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 List" sheetId="1" r:id="rId5"/>
    <sheet state="visible" name="Likely Leaving" sheetId="2" r:id="rId6"/>
    <sheet state="visible" name="Tiers" sheetId="3" r:id="rId7"/>
    <sheet state="visible" name="PC" sheetId="4" r:id="rId8"/>
    <sheet state="visible" name="xCloud" sheetId="5" r:id="rId9"/>
    <sheet state="visible" name="Leaving Soon" sheetId="6" r:id="rId10"/>
    <sheet state="visible" name="Suggestions" sheetId="7" r:id="rId11"/>
    <sheet state="visible" name="Xbox Game Studios" sheetId="8" r:id="rId12"/>
    <sheet state="visible" name="Returning Titles" sheetId="9" r:id="rId13"/>
    <sheet state="visible" name="Retro Classics" sheetId="10" r:id="rId14"/>
    <sheet state="visible" name="Game Pass Premium" sheetId="11" r:id="rId15"/>
    <sheet state="visible" name="Game Pass Essential" sheetId="12" r:id="rId16"/>
    <sheet state="visible" name="Cross Play" sheetId="13" r:id="rId17"/>
    <sheet state="visible" name="Upcoming" sheetId="14" r:id="rId18"/>
    <sheet state="visible" name="Series X|S" sheetId="15" r:id="rId19"/>
    <sheet state="visible" name="Xbox" sheetId="16" r:id="rId20"/>
    <sheet state="visible" name="Removed" sheetId="17" r:id="rId21"/>
    <sheet state="visible" name="Copy of Removed" sheetId="18" r:id="rId22"/>
    <sheet state="visible" name="EA Play" sheetId="19" r:id="rId23"/>
  </sheets>
  <definedNames>
    <definedName name="Lake">PC!$B$467</definedName>
    <definedName name="b">'Master List'!$A:$A</definedName>
    <definedName name="dragon">'Master List'!$A$1829</definedName>
    <definedName name="assass">'Master List'!$A$1046</definedName>
    <definedName localSheetId="17" name="banjo">'Copy of Removed'!$I$110</definedName>
    <definedName name="onrush">'Master List'!$A$1327</definedName>
    <definedName name="Tiny">'Xbox Game Studios'!$A$1</definedName>
    <definedName name="civ">PC!$A$1</definedName>
    <definedName localSheetId="2" name="civ">#REF!</definedName>
    <definedName name="gris">'Master List'!$A$1732</definedName>
    <definedName localSheetId="2" name="Lake">#REF!</definedName>
    <definedName name="PC">'Master List'!$A$2</definedName>
    <definedName name="hellslinger">xCloud!$K$85</definedName>
    <definedName localSheetId="17" name="persona">'Copy of Removed'!$H$288:$H$295</definedName>
    <definedName name="chain">'Master List'!$A$1</definedName>
    <definedName name="persona">Removed!$H$288:$H$295</definedName>
    <definedName localSheetId="16" name="banjo">Removed!$I$110</definedName>
    <definedName name="banjo">'Master List'!$I$1356</definedName>
    <definedName hidden="1" localSheetId="0" name="_xlnm._FilterDatabase">'Master List'!$A$2:$V$2289</definedName>
    <definedName hidden="1" localSheetId="2" name="_xlnm._FilterDatabase">Tiers!$A$1:$O$721</definedName>
    <definedName hidden="1" localSheetId="3" name="_xlnm._FilterDatabase">PC!$A$2:$K$474</definedName>
    <definedName hidden="1" localSheetId="4" name="_xlnm._FilterDatabase">xCloud!$A$2:$L$173</definedName>
    <definedName hidden="1" localSheetId="7" name="_xlnm._FilterDatabase">'Xbox Game Studios'!$A$1:$J$276</definedName>
    <definedName hidden="1" localSheetId="8" name="_xlnm._FilterDatabase">'Returning Titles'!$A$2:$M$400</definedName>
    <definedName hidden="1" localSheetId="13" name="_xlnm._FilterDatabase">Upcoming!$A$2:$A$80</definedName>
    <definedName hidden="1" localSheetId="14" name="_xlnm._FilterDatabase">'Series X|S'!$A$2:$M$400</definedName>
    <definedName hidden="1" localSheetId="15" name="_xlnm._FilterDatabase">Xbox!$A$2:$M$400</definedName>
    <definedName hidden="1" localSheetId="16" name="_xlnm._FilterDatabase">Removed!$A$2:$L$863</definedName>
    <definedName hidden="1" localSheetId="17" name="_xlnm._FilterDatabase">'Copy of Removed'!$A$2:$L$863</definedName>
    <definedName hidden="1" localSheetId="18" name="_xlnm._FilterDatabase">'EA Play'!$A$1:$D$229</definedName>
    <definedName name="YEARDUR">LAMBDA(start, end, lambda(s, e, if(s &gt; e, -1 , 1 ) * yearfrac(s, e, 4))(if(isblank(start),today(),start), if(isblank(end),today(),end)))</definedName>
    <definedName name="MONTHDUR">LAMBDA(start, end, YEARDUR(start, end) * 12)</definedName>
    <definedName name="MY_FUNCTION1">LAMBDA(SORT(FILTER('Master List'!$A:$Q, 'Master List'!$D:$D="Active", ISNA(MATCH('Master List'!$A:$A, 'Xbox Game Studios'!$A:$A, 0)), ISNA(MATCH('Master List'!$A:$A, 'EA Play'!$A:$A, 0)), ('Master List'!$G:$G&gt;9.5)*('Master List'!$G:$G&lt;13) + ('Master List'!$G:$G&gt;22.5)*('Master List'!$G:$G&lt;25) + ('Master List'!$G:$G&gt;34.5)*('Master List'!$G:$G&lt;37) + ('Master List'!$G:$G&gt;46.5)*('Master List'!$G:$G&lt;49) + ('Master List'!$G:$G&gt;58.5)*('Master List'!$G:$G&lt;61) + ('Master List'!$G:$G&gt;70.5)*('Master List'!$G:$G&lt;73) + ('Master List'!$G:$G&gt;82.5)*('Master List'!$G:$G&lt;85)),7,1))</definedName>
  </definedNames>
  <calcPr/>
</workbook>
</file>

<file path=xl/sharedStrings.xml><?xml version="1.0" encoding="utf-8"?>
<sst xmlns="http://schemas.openxmlformats.org/spreadsheetml/2006/main" count="13954" uniqueCount="3867">
  <si>
    <t>Game</t>
  </si>
  <si>
    <t>PC Games by Metacritic Score</t>
  </si>
  <si>
    <t>System</t>
  </si>
  <si>
    <t>xCloud</t>
  </si>
  <si>
    <t>Status</t>
  </si>
  <si>
    <t>Added</t>
  </si>
  <si>
    <t>Removed</t>
  </si>
  <si>
    <t>Months</t>
  </si>
  <si>
    <t>Release</t>
  </si>
  <si>
    <t>Age</t>
  </si>
  <si>
    <t>Metacritic</t>
  </si>
  <si>
    <t>Completion</t>
  </si>
  <si>
    <t>Genre (Giantbomb)</t>
  </si>
  <si>
    <t>PC</t>
  </si>
  <si>
    <t>Premium</t>
  </si>
  <si>
    <t>Essential</t>
  </si>
  <si>
    <t>Complete Game Pass Master List by u/ABattleVet</t>
  </si>
  <si>
    <t>Games with Gold</t>
  </si>
  <si>
    <t>GPU</t>
  </si>
  <si>
    <t>Playstation Plus</t>
  </si>
  <si>
    <t>https://www.trueachievements.com/gamer/Bloomy/blog</t>
  </si>
  <si>
    <t>The community can add games to cross play/play anywhere</t>
  </si>
  <si>
    <t>Public Notes</t>
  </si>
  <si>
    <t>GP Premium (10/1/25 Standard 9/12/24)</t>
  </si>
  <si>
    <t>GP Essential (10/1/25 Core 9/14/23)</t>
  </si>
  <si>
    <t>l</t>
  </si>
  <si>
    <t>Xbox Series X|S</t>
  </si>
  <si>
    <t>Owner Notes</t>
  </si>
  <si>
    <t>ESRB</t>
  </si>
  <si>
    <t>ESRB Content Descriptors</t>
  </si>
  <si>
    <t>Genre</t>
  </si>
  <si>
    <t>Series X|S</t>
  </si>
  <si>
    <t>Community Notes</t>
  </si>
  <si>
    <t>Delay</t>
  </si>
  <si>
    <t>Gears of War: E-Day</t>
  </si>
  <si>
    <t>Xbox / PC</t>
  </si>
  <si>
    <t>Yes</t>
  </si>
  <si>
    <t>Shooter</t>
  </si>
  <si>
    <t>Exclusive</t>
  </si>
  <si>
    <t>Handheld Optimized</t>
  </si>
  <si>
    <t>Minecraft Dungeons II</t>
  </si>
  <si>
    <t>Action-Adventure</t>
  </si>
  <si>
    <t>Mad King Redemption</t>
  </si>
  <si>
    <t>Dune: Awakening</t>
  </si>
  <si>
    <t>Well Dweller</t>
  </si>
  <si>
    <t>Shape of Dreams</t>
  </si>
  <si>
    <t>RPG</t>
  </si>
  <si>
    <t>Kernel Hearts</t>
  </si>
  <si>
    <t>RuneScape: Dragonwilds</t>
  </si>
  <si>
    <t>The Royal Writ</t>
  </si>
  <si>
    <t>Card Battle</t>
  </si>
  <si>
    <t>Virtua Fighter 5 R.E.V.O. World Stage</t>
  </si>
  <si>
    <t>Fighting</t>
  </si>
  <si>
    <t>Call of Duty: Black Ops Cold War</t>
  </si>
  <si>
    <t>Speedrunners 2: King of Speed</t>
  </si>
  <si>
    <t>Racing</t>
  </si>
  <si>
    <t>Shelldiver</t>
  </si>
  <si>
    <t>Platformer</t>
  </si>
  <si>
    <t>Resonance: A Plague Tale Legacy</t>
  </si>
  <si>
    <t>Blood Dungeon</t>
  </si>
  <si>
    <t>Vapor World: Over the Mind (Game Preview)</t>
  </si>
  <si>
    <t>Cricket 26</t>
  </si>
  <si>
    <t>Sports</t>
  </si>
  <si>
    <t>Sandustry (Game Preview)</t>
  </si>
  <si>
    <t>Simulation</t>
  </si>
  <si>
    <t>Date Everything!</t>
  </si>
  <si>
    <t>Beast of Reincarnation</t>
  </si>
  <si>
    <t>Tears of Metal (Game Preview)</t>
  </si>
  <si>
    <t>Corsair Cove</t>
  </si>
  <si>
    <t>Mistfall Hunter</t>
  </si>
  <si>
    <t>Halo: Campaign Evolved</t>
  </si>
  <si>
    <t>Conker: Live &amp; Reloaded</t>
  </si>
  <si>
    <t>Enhanced</t>
  </si>
  <si>
    <t>XBOX Backward Compatibility on PC (7/22/26)</t>
  </si>
  <si>
    <t>Hell is Us</t>
  </si>
  <si>
    <t>Shift at Midnight</t>
  </si>
  <si>
    <t>Horror</t>
  </si>
  <si>
    <t>The Planet Crafter</t>
  </si>
  <si>
    <t>Sandbox</t>
  </si>
  <si>
    <t>FixForce</t>
  </si>
  <si>
    <t>Fogpiercer</t>
  </si>
  <si>
    <t>Strategy</t>
  </si>
  <si>
    <t>Mavrix by Matt Jones</t>
  </si>
  <si>
    <t>Denshattack!</t>
  </si>
  <si>
    <t>PBA Pro Bowling 2026</t>
  </si>
  <si>
    <t>Ascend to Zero</t>
  </si>
  <si>
    <t>Tamashika</t>
  </si>
  <si>
    <t>Buckshot Roulette</t>
  </si>
  <si>
    <t>Winds of Arcana: Ruination</t>
  </si>
  <si>
    <t>RV There Yet?</t>
  </si>
  <si>
    <t>Abyssus</t>
  </si>
  <si>
    <t>EA Sports FC 26</t>
  </si>
  <si>
    <t>Call of Duty: Vanguard</t>
  </si>
  <si>
    <t>Junkster</t>
  </si>
  <si>
    <t>Beastro</t>
  </si>
  <si>
    <t>Frog Sqwad</t>
  </si>
  <si>
    <t>Puzzle</t>
  </si>
  <si>
    <t>Starseeker: Astroneer Expeditions (Game Preview)</t>
  </si>
  <si>
    <t>Beatdown City Survivors</t>
  </si>
  <si>
    <t>Persona 5 Royal</t>
  </si>
  <si>
    <t>Touch Controls</t>
  </si>
  <si>
    <t>Returning title: Added 10/21/22, left 10/31/23</t>
  </si>
  <si>
    <t>Solarpunk</t>
  </si>
  <si>
    <t>Undisputed</t>
  </si>
  <si>
    <t>Wo Long: Fallen Dynasty</t>
  </si>
  <si>
    <t>Action</t>
  </si>
  <si>
    <t>Returning title: Added 3/3/23, left 2/28/25</t>
  </si>
  <si>
    <t>M</t>
  </si>
  <si>
    <t>Blood and Gore, Violence</t>
  </si>
  <si>
    <t>Final Fantasy VI</t>
  </si>
  <si>
    <t>Jurassic World Evolution 3</t>
  </si>
  <si>
    <t>Escape the Backrooms</t>
  </si>
  <si>
    <t>Survival</t>
  </si>
  <si>
    <t>Crashout Crew</t>
  </si>
  <si>
    <t>Kabuto Park</t>
  </si>
  <si>
    <t>Echo Generation 2</t>
  </si>
  <si>
    <t>The Outer Worlds: Spacer’s Choice Edition</t>
  </si>
  <si>
    <t>Escape Simulator</t>
  </si>
  <si>
    <t>Luna Abyss</t>
  </si>
  <si>
    <t>My Friend Peppa Pig</t>
  </si>
  <si>
    <t>Returning title: joined 7/14/22, left 6/30/25</t>
  </si>
  <si>
    <t>Remnant II</t>
  </si>
  <si>
    <t>Returning game: joined 11/29/23, left 5/31/25</t>
  </si>
  <si>
    <t>Forza Horizon 6</t>
  </si>
  <si>
    <t>Subnautica 2 (Game Preview)</t>
  </si>
  <si>
    <t>Black Jacket</t>
  </si>
  <si>
    <t>Roguelike Card Game</t>
  </si>
  <si>
    <t>Call of the Elder Gods</t>
  </si>
  <si>
    <t>Elite Dangerous</t>
  </si>
  <si>
    <t>Xbox</t>
  </si>
  <si>
    <t>Space Simulation</t>
  </si>
  <si>
    <t>Returning title: Joined 2/25/21, left 8/31/22</t>
  </si>
  <si>
    <t>Outbound</t>
  </si>
  <si>
    <t>Survival Crafting</t>
  </si>
  <si>
    <t>Mixtape</t>
  </si>
  <si>
    <t>Adventure</t>
  </si>
  <si>
    <t>Ben 10: Power Trip</t>
  </si>
  <si>
    <t>Returning title: Originally joined 12/16/21, left 8/31/25</t>
  </si>
  <si>
    <t>Wildgate</t>
  </si>
  <si>
    <t>Final Fantasy V</t>
  </si>
  <si>
    <t>MOTORSLICE</t>
  </si>
  <si>
    <t>Heroes of Might &amp; Magic: Olden Era (Game Preview)</t>
  </si>
  <si>
    <t>inKonbini: One Store. Many Stories </t>
  </si>
  <si>
    <t>Sledding Game (Game Preview)</t>
  </si>
  <si>
    <t>TerraTech Legion</t>
  </si>
  <si>
    <t>Trepang2</t>
  </si>
  <si>
    <t>Aphelion</t>
  </si>
  <si>
    <t>Kiln</t>
  </si>
  <si>
    <t>Vampire Crawlers: The Turbo Wildcard from Vampire Survivors</t>
  </si>
  <si>
    <t>Call of Duty: Modern Warfare (2019)</t>
  </si>
  <si>
    <t>NHL 26</t>
  </si>
  <si>
    <t>Hades II</t>
  </si>
  <si>
    <t>REPLACED</t>
  </si>
  <si>
    <t>The Thaumaturge</t>
  </si>
  <si>
    <t>Tiny Bookshop</t>
  </si>
  <si>
    <t>Tycoon</t>
  </si>
  <si>
    <t>Planet Coaster 2</t>
  </si>
  <si>
    <t>Final Fantasy IV</t>
  </si>
  <si>
    <t>Barbie Horse Trails</t>
  </si>
  <si>
    <t>Resident Evil 7: Biohazard</t>
  </si>
  <si>
    <t>Returning title: Joined 9/3/20, left 5/31/22</t>
  </si>
  <si>
    <t>Super Meat Boy 3D</t>
  </si>
  <si>
    <t>The Long Dark</t>
  </si>
  <si>
    <t>Returning title: Joined 4/16/20, left 4/15/23</t>
  </si>
  <si>
    <t>Easy Delivery Co.</t>
  </si>
  <si>
    <t>Absolum</t>
  </si>
  <si>
    <t>Beat-’Em-Up</t>
  </si>
  <si>
    <t>Like a Dragon: Infinite Wealth</t>
  </si>
  <si>
    <t>Disco Elysium</t>
  </si>
  <si>
    <t>DreamWorks Gabby's Dollhouse: Ready to Party</t>
  </si>
  <si>
    <t>Construction Simulator</t>
  </si>
  <si>
    <t>Planet of Lana II: Children of the Leaf</t>
  </si>
  <si>
    <t>F1 25</t>
  </si>
  <si>
    <t>Final Fantasy III</t>
  </si>
  <si>
    <t>Kingdom Come: Deliverance II</t>
  </si>
  <si>
    <t>Minishoot' Adventures</t>
  </si>
  <si>
    <t>Dice A Million</t>
  </si>
  <si>
    <t>Joins console and cloud on 9/4/26</t>
  </si>
  <si>
    <t>TCG Card Shop Simulator (Game Preview)</t>
  </si>
  <si>
    <t>Beyond Zork: The Coconut of Quendor</t>
  </si>
  <si>
    <t>Retro Classics: DOS</t>
  </si>
  <si>
    <t>Kabobber</t>
  </si>
  <si>
    <t>Retro Classics: Atari 2600</t>
  </si>
  <si>
    <t>Return to Zork</t>
  </si>
  <si>
    <t>Point and Click</t>
  </si>
  <si>
    <t>Seaquest</t>
  </si>
  <si>
    <t>Stampede</t>
  </si>
  <si>
    <t>EA Sports College Football 26</t>
  </si>
  <si>
    <t>Aerial_Knight's DropShot</t>
  </si>
  <si>
    <t>Avatar: Frontiers of Pandora</t>
  </si>
  <si>
    <t>High on Life 2</t>
  </si>
  <si>
    <t>Kingdom Come: Deliverance</t>
  </si>
  <si>
    <t>Returning title: Joined 8/22/19, left 8/14/20</t>
  </si>
  <si>
    <t>BlazBlue Entropy Effect X</t>
  </si>
  <si>
    <t>Roadside Research (Game Preview)</t>
  </si>
  <si>
    <t>Diablo II: Resurrected</t>
  </si>
  <si>
    <t>Starsand Island</t>
  </si>
  <si>
    <t>Relooted</t>
  </si>
  <si>
    <t>Madden NFL 26</t>
  </si>
  <si>
    <t>Final Fantasy II</t>
  </si>
  <si>
    <t>Like A Dragon: Pirate Yakuza in Hawaii</t>
  </si>
  <si>
    <t>INDIKA</t>
  </si>
  <si>
    <t>MySims: Cozy Bundle</t>
  </si>
  <si>
    <t>Warhammer 40,000: Space Marine II</t>
  </si>
  <si>
    <t>ANNO: Mutationem</t>
  </si>
  <si>
    <t>Drop Duchy</t>
  </si>
  <si>
    <t>The Talos Principle 2: Road to Elysium</t>
  </si>
  <si>
    <t>Death Stranding: Director's Cut</t>
  </si>
  <si>
    <t>Ninja Gaiden: Ragebound</t>
  </si>
  <si>
    <t>Resident Evil Village</t>
  </si>
  <si>
    <t>MIO: Memories in Orbit</t>
  </si>
  <si>
    <t>Star Wars Outlaws</t>
  </si>
  <si>
    <t>Ubisoft Connect launcher</t>
  </si>
  <si>
    <t>Quarantine Zone: The Last Check</t>
  </si>
  <si>
    <t>FINAL FANTASY</t>
  </si>
  <si>
    <t>Brews &amp; Bastards</t>
  </si>
  <si>
    <t>Little Nightmares: Enhanced Edition</t>
  </si>
  <si>
    <t>Mortal Kombat 1</t>
  </si>
  <si>
    <t>A Game About Digging A Hole</t>
  </si>
  <si>
    <t>Death Howl</t>
  </si>
  <si>
    <t>Handheld Optimized, joined console and cloud 2/18/26</t>
  </si>
  <si>
    <t>Dome Keeper</t>
  </si>
  <si>
    <t>Ultimate Sheep Raccoon</t>
  </si>
  <si>
    <t>ROUTINE</t>
  </si>
  <si>
    <t>Lost Records: Bloom &amp; Rage</t>
  </si>
  <si>
    <t>Marvel Cosmic Invasion</t>
  </si>
  <si>
    <t>Beat ’em up</t>
  </si>
  <si>
    <t>Banishers: Ghosts of New Eden</t>
  </si>
  <si>
    <t>Kill It With Fire! 2</t>
  </si>
  <si>
    <t>Young Suns</t>
  </si>
  <si>
    <t>Virtual Life</t>
  </si>
  <si>
    <t>xCloud Games by Metacritic Score</t>
  </si>
  <si>
    <t>Clover Pit</t>
  </si>
  <si>
    <t>Monsters are Coming! Rock &amp; Road</t>
  </si>
  <si>
    <t>The Crew Motorfest</t>
  </si>
  <si>
    <t>Total Chaos (2025)</t>
  </si>
  <si>
    <t>Moonlighter 2: The Endless Vault (Game Preview)</t>
  </si>
  <si>
    <t>Call of Duty: Black Ops 7</t>
  </si>
  <si>
    <t>Relic Hunters Legend</t>
  </si>
  <si>
    <t>Shoot-’Em-Up</t>
  </si>
  <si>
    <t>Winter Burrow</t>
  </si>
  <si>
    <t>Great God Grove</t>
  </si>
  <si>
    <t>Lara Croft and the Temple of Osiris</t>
  </si>
  <si>
    <t>Pigeon Simulator</t>
  </si>
  <si>
    <t>Voidtrain</t>
  </si>
  <si>
    <t>Egging On</t>
  </si>
  <si>
    <t>Dead Static Drive</t>
  </si>
  <si>
    <t>1000xResist</t>
  </si>
  <si>
    <t>Football Manager 26</t>
  </si>
  <si>
    <t>Management</t>
  </si>
  <si>
    <t>The Outer Worlds 2</t>
  </si>
  <si>
    <t>Halls of Torment</t>
  </si>
  <si>
    <t>Shoot-'Em-Up</t>
  </si>
  <si>
    <t>PowerWash Simulator 2</t>
  </si>
  <si>
    <t>Bounty Star: The Morose Tale of Graveyard Clem</t>
  </si>
  <si>
    <t>Ninja Gaiden 4</t>
  </si>
  <si>
    <t>Keeper (2025)</t>
  </si>
  <si>
    <t>BattleTech: The Crescent Hawk's Inception</t>
  </si>
  <si>
    <t>Retro Classics: Amagi</t>
  </si>
  <si>
    <t>BattleTech: The Crescent Hawk's Revenge</t>
  </si>
  <si>
    <t>Ice Hockey</t>
  </si>
  <si>
    <t>Moonsweeper</t>
  </si>
  <si>
    <t>Pax Dei</t>
  </si>
  <si>
    <t>Ball x Pit</t>
  </si>
  <si>
    <t>Heroes of Might and Magic II: Gold Edition</t>
  </si>
  <si>
    <t>Ubisoft games joining with price increase</t>
  </si>
  <si>
    <t>Heroes of Might and Magic III: Complete Edition</t>
  </si>
  <si>
    <t>Supermarket Simulator</t>
  </si>
  <si>
    <t>Hogwarts Legacy</t>
  </si>
  <si>
    <t>Assassin's Creed II</t>
  </si>
  <si>
    <t>Assassin's Creed III: Remastered</t>
  </si>
  <si>
    <t>Assassin's Creed IV Black Flag</t>
  </si>
  <si>
    <t>Assassin's Creed IV Black Flag: Freedom Cry</t>
  </si>
  <si>
    <t>Assassin's Creed Brotherhood</t>
  </si>
  <si>
    <t>Assassin's Creed Chronicles: China</t>
  </si>
  <si>
    <t>Assassin's Creed Chronicles: India</t>
  </si>
  <si>
    <t>Assassin's Creed Chronicles: Russia</t>
  </si>
  <si>
    <t>Assassin's Creed Liberation HD</t>
  </si>
  <si>
    <t>Assassin's Creed Revelations</t>
  </si>
  <si>
    <t>Assassin's Creed Rogue: Remastered</t>
  </si>
  <si>
    <t>Assassin's Creed Syndicate</t>
  </si>
  <si>
    <t>Assassin's Creed: The Ezio Collection</t>
  </si>
  <si>
    <t>Assassin's Creed Unity</t>
  </si>
  <si>
    <t>Child of Light</t>
  </si>
  <si>
    <t>Far Cry 3</t>
  </si>
  <si>
    <t>Far Cry 3: Blood Dragon</t>
  </si>
  <si>
    <t>Far Cry Primal</t>
  </si>
  <si>
    <t>Hungry Shark World</t>
  </si>
  <si>
    <t>Monopoly Madness</t>
  </si>
  <si>
    <t>Party</t>
  </si>
  <si>
    <t>Monopoly (2024)</t>
  </si>
  <si>
    <t>Board</t>
  </si>
  <si>
    <t>OddBallers</t>
  </si>
  <si>
    <t>Prince of Persia: The Lost Crown</t>
  </si>
  <si>
    <t>Metroidvania</t>
  </si>
  <si>
    <t>Rabbids Invasion: The Interactive TV Show</t>
  </si>
  <si>
    <t>Rabbids: Party of Legends</t>
  </si>
  <si>
    <t>Rayman Legends</t>
  </si>
  <si>
    <t>Risk: Urban Assault</t>
  </si>
  <si>
    <t>Skull and Bones</t>
  </si>
  <si>
    <t>South Park: The Stick of Truth</t>
  </si>
  <si>
    <t>Starlink: Battle for Atlas</t>
  </si>
  <si>
    <t>Steep</t>
  </si>
  <si>
    <t>FPS Boost S Only</t>
  </si>
  <si>
    <t>Returning title: Joined 5/6/21, left 5/15/22. Ubisoft games joining with price increase</t>
  </si>
  <si>
    <t>The Crew 2</t>
  </si>
  <si>
    <t>The Settlers: New Allies</t>
  </si>
  <si>
    <t>Tom Clancy's Ghost Recon Breakpoint</t>
  </si>
  <si>
    <t>Tom Clancy's Rainbow Six: Extraction</t>
  </si>
  <si>
    <t>Returning game: added 1/20/22, left 4/15/23. Ubisoft Connect launcher. Ubisoft games joining with price increase</t>
  </si>
  <si>
    <t>Blood, Drug Reference, Strong Language, Violence</t>
  </si>
  <si>
    <t>Tom Clancy's The Division</t>
  </si>
  <si>
    <t>Returning title: Joined 12/1/19, left 6/10/18. Ubisoft games joining with price increase</t>
  </si>
  <si>
    <t>Trackmania Turbo</t>
  </si>
  <si>
    <t>Transference</t>
  </si>
  <si>
    <t>Trials Fusion</t>
  </si>
  <si>
    <t>Trials of the Blood Dragon</t>
  </si>
  <si>
    <t>Trials Rising</t>
  </si>
  <si>
    <t>Uno</t>
  </si>
  <si>
    <t>Valiant Hearts: The Great War</t>
  </si>
  <si>
    <t>Watch_Dogs</t>
  </si>
  <si>
    <t>Wheel of Fortune</t>
  </si>
  <si>
    <t>Trivia</t>
  </si>
  <si>
    <t>Zombi</t>
  </si>
  <si>
    <t>Visions of Mana</t>
  </si>
  <si>
    <t>Hades</t>
  </si>
  <si>
    <t>Optimized</t>
  </si>
  <si>
    <t>Game Pass Essential (10/1/25). Returning title: Joined 8/13/21, left 8/31/22</t>
  </si>
  <si>
    <t>T</t>
  </si>
  <si>
    <t>Blood, Suggestive Themes, Alcohol Reference, Mild Language, Violence</t>
  </si>
  <si>
    <t>Wobbly Life</t>
  </si>
  <si>
    <t>RoadCraft</t>
  </si>
  <si>
    <t>Joined PC 1/21/26</t>
  </si>
  <si>
    <t>Hollow Knight: Silksong</t>
  </si>
  <si>
    <t>Cataclismo</t>
  </si>
  <si>
    <t>Defense</t>
  </si>
  <si>
    <t>Dragon Age: The Veilguard</t>
  </si>
  <si>
    <t>Gears of War: Reloaded</t>
  </si>
  <si>
    <t>Herdling</t>
  </si>
  <si>
    <t>The Rogue Prince of Persia</t>
  </si>
  <si>
    <t>VOID/BREAKER</t>
  </si>
  <si>
    <t>1.0 launched 11/4/26</t>
  </si>
  <si>
    <t>9 Kings (Game Preview)</t>
  </si>
  <si>
    <t>Caesar III</t>
  </si>
  <si>
    <t>Retro Classics: Windows 9x</t>
  </si>
  <si>
    <t>Climber 5</t>
  </si>
  <si>
    <t>The Colonel's Bequest</t>
  </si>
  <si>
    <t>Retro Classics: Amiga</t>
  </si>
  <si>
    <t>Private Eye</t>
  </si>
  <si>
    <t>Oystron</t>
  </si>
  <si>
    <t>Shootin' Gallery</t>
  </si>
  <si>
    <t>Wing War</t>
  </si>
  <si>
    <t>Assassin's Creed Mirage</t>
  </si>
  <si>
    <t>Heretic + Hexen</t>
  </si>
  <si>
    <t>Compilation</t>
  </si>
  <si>
    <t>Farming Simulator 25</t>
  </si>
  <si>
    <t>Grounded 2 (Game Preview)</t>
  </si>
  <si>
    <t>WUCHANG: Fallen Feathers</t>
  </si>
  <si>
    <t>Wheel World</t>
  </si>
  <si>
    <t>Abiotic Factor</t>
  </si>
  <si>
    <t>Descenders Next (Game Preview)</t>
  </si>
  <si>
    <t>Caesar</t>
  </si>
  <si>
    <t>City‑building</t>
  </si>
  <si>
    <t>Conquests of Camelot: The Search for the Grail</t>
  </si>
  <si>
    <t>Gabriel Knight: Sins of the Fathers</t>
  </si>
  <si>
    <t>Hard Head</t>
  </si>
  <si>
    <t>Okie Dokie</t>
  </si>
  <si>
    <t>Skate Boardin'</t>
  </si>
  <si>
    <t>Skeleton+</t>
  </si>
  <si>
    <t>RoboCop: Rogue City</t>
  </si>
  <si>
    <t>High on Life</t>
  </si>
  <si>
    <t>M+KB</t>
  </si>
  <si>
    <t>Returning title: Joined 12/12/22, left 6/15/24</t>
  </si>
  <si>
    <t>Violence, Blood, Sexual Themes, Use of Drugs, Strong Language, Crude Humor</t>
  </si>
  <si>
    <t>Tony Hawk's Pro Skater 3 + 4</t>
  </si>
  <si>
    <t>Skating</t>
  </si>
  <si>
    <t>Cosmic Commuter</t>
  </si>
  <si>
    <t>Heart of China</t>
  </si>
  <si>
    <t>Skiing</t>
  </si>
  <si>
    <t>Solar Storm</t>
  </si>
  <si>
    <t>Subterranea</t>
  </si>
  <si>
    <t>Call of Duty: WWII</t>
  </si>
  <si>
    <t>Warcraft I: Remastered</t>
  </si>
  <si>
    <t>Warcraft II: Remastered</t>
  </si>
  <si>
    <t>Warcraft III: Reforged</t>
  </si>
  <si>
    <t>Rematch</t>
  </si>
  <si>
    <t>FBC: Firebreak</t>
  </si>
  <si>
    <t>Crash Bandicoot 4: It's About Time</t>
  </si>
  <si>
    <t>Plaformer</t>
  </si>
  <si>
    <t>Lost in Random: The Eternal Die</t>
  </si>
  <si>
    <t>The Alters</t>
  </si>
  <si>
    <t>EA Sports FC 25</t>
  </si>
  <si>
    <t>Baldur's Gate: Enhanced Edition</t>
  </si>
  <si>
    <t>Joined PC 10/9/25</t>
  </si>
  <si>
    <t>Baldur's Gate II: Enhanced Edition</t>
  </si>
  <si>
    <t>Symphonia (2024)</t>
  </si>
  <si>
    <t>To a T</t>
  </si>
  <si>
    <t>Tom Clancy's The Division 2</t>
  </si>
  <si>
    <t>Complete Game Pass List by u/ABattleVet</t>
  </si>
  <si>
    <t>Tales of Kenzera: ZAU</t>
  </si>
  <si>
    <t xml:space="preserve">Metroidvania </t>
  </si>
  <si>
    <t>Activision Prototype #1</t>
  </si>
  <si>
    <t>Retro Classics: Atari 2600, Publisher</t>
  </si>
  <si>
    <t>Atlantis</t>
  </si>
  <si>
    <t>Atlantis II</t>
  </si>
  <si>
    <t>Barnstorming</t>
  </si>
  <si>
    <t>Baseball</t>
  </si>
  <si>
    <t>Beamrider</t>
  </si>
  <si>
    <t>Bloody Human Freeway</t>
  </si>
  <si>
    <t>Boxing</t>
  </si>
  <si>
    <t>Bridge</t>
  </si>
  <si>
    <t>Caesar II</t>
  </si>
  <si>
    <t>Retro Classics: DOS, Sierra Entertainment (defunct) publisher</t>
  </si>
  <si>
    <t>Checkers</t>
  </si>
  <si>
    <t>Chopper Command</t>
  </si>
  <si>
    <t>Commando</t>
  </si>
  <si>
    <t>Conquests of the Longbow: The Legend of Robin Hood</t>
  </si>
  <si>
    <t>Action‑Adventure</t>
  </si>
  <si>
    <t>Cosmic Ark</t>
  </si>
  <si>
    <t>Crackpots</t>
  </si>
  <si>
    <t>Decathlon</t>
  </si>
  <si>
    <t>Demon Attack</t>
  </si>
  <si>
    <t>Dolphin</t>
  </si>
  <si>
    <t>Dragster</t>
  </si>
  <si>
    <t>Enduro</t>
  </si>
  <si>
    <t>Fathom</t>
  </si>
  <si>
    <t>Fire Fighter</t>
  </si>
  <si>
    <t>Fishing Derby</t>
  </si>
  <si>
    <t>Freddy Pharkas: Frontier Pharmacist</t>
  </si>
  <si>
    <t>Freeway</t>
  </si>
  <si>
    <t>Frostbite</t>
  </si>
  <si>
    <t>Grand Prix</t>
  </si>
  <si>
    <t>H.E.R.O.</t>
  </si>
  <si>
    <t>Kaboom!</t>
  </si>
  <si>
    <t>Laser Blast</t>
  </si>
  <si>
    <t>MechWarrior</t>
  </si>
  <si>
    <t>Retro Classics: SNES</t>
  </si>
  <si>
    <t>MechWarrior 2: 31st Century Combat</t>
  </si>
  <si>
    <t>Retro Classics: PSX</t>
  </si>
  <si>
    <t>Megamania</t>
  </si>
  <si>
    <t>Pitfall II: Lost Caverns</t>
  </si>
  <si>
    <t>Pitfall!</t>
  </si>
  <si>
    <t>Police Quest</t>
  </si>
  <si>
    <t>Retro Classics: Amiga, Sierra Entertainment (defunct) publisher</t>
  </si>
  <si>
    <t>Pressure Cooker</t>
  </si>
  <si>
    <t>Quest for Glory: So You Want to Be a Hero</t>
  </si>
  <si>
    <t>Riddle of the Sphinx</t>
  </si>
  <si>
    <t>River Raid</t>
  </si>
  <si>
    <t>River Raid II</t>
  </si>
  <si>
    <t>Robot Tank</t>
  </si>
  <si>
    <t>Sky Jinks</t>
  </si>
  <si>
    <t>Space Quest 2</t>
  </si>
  <si>
    <t>Space Quest 6</t>
  </si>
  <si>
    <t>Space Treat Deluxe</t>
  </si>
  <si>
    <t>Spider Fighter</t>
  </si>
  <si>
    <t>Star Voyager</t>
  </si>
  <si>
    <t>Tennis</t>
  </si>
  <si>
    <t>The Adventures of Willy Beamish</t>
  </si>
  <si>
    <t>The Dagger of Amon Ra</t>
  </si>
  <si>
    <t>Thwocker</t>
  </si>
  <si>
    <t>Title Match Pro Wrestling</t>
  </si>
  <si>
    <t>Torin's Passage</t>
  </si>
  <si>
    <t>Trick Shot</t>
  </si>
  <si>
    <t>Vault Assault</t>
  </si>
  <si>
    <t>Venetian Blinds</t>
  </si>
  <si>
    <t>Zork I: The Great Underground</t>
  </si>
  <si>
    <t>Zork Zero: The Revenge of Megaboz</t>
  </si>
  <si>
    <t>Monster Train 2</t>
  </si>
  <si>
    <t>DOOM: The Dark Ages</t>
  </si>
  <si>
    <t>Firefighting Simulator: The Squad</t>
  </si>
  <si>
    <t>Police Simulator: Patrol Officers</t>
  </si>
  <si>
    <t>Warhammer: Vermintide 2</t>
  </si>
  <si>
    <t>Game Pass Essential (4/8/26). Returning title: joined 9/24/20, left 9/30/21. Left 7/1/19</t>
  </si>
  <si>
    <t>DREDGE</t>
  </si>
  <si>
    <t>Anno 1800</t>
  </si>
  <si>
    <t>Call of Duty: Modern Warfare II</t>
  </si>
  <si>
    <t>Far Cry 4</t>
  </si>
  <si>
    <t>Towerborne</t>
  </si>
  <si>
    <t xml:space="preserve">Beat-'Em-Up </t>
  </si>
  <si>
    <t>Handheld Optimized, leaves preview 2/26/26</t>
  </si>
  <si>
    <t>The Elder Scrolls IV: Oblivion - Remastered</t>
  </si>
  <si>
    <t>Tempopo</t>
  </si>
  <si>
    <t>Acton Puzzle</t>
  </si>
  <si>
    <t>SpongeBob SquarePants: The Patrick Star Game</t>
  </si>
  <si>
    <t>Blue Prince</t>
  </si>
  <si>
    <t>NHL 25</t>
  </si>
  <si>
    <t>Diablo III: Reaper of Souls - Ultimate Evil Edition</t>
  </si>
  <si>
    <t>South of Midnight</t>
  </si>
  <si>
    <t>EA Sports College Football 25</t>
  </si>
  <si>
    <t>Blizzard Arcade Collection</t>
  </si>
  <si>
    <t>Blackthorne, The Lost Vikings, The Lost Vikings 2, Rock N Roll Racing, RPM Racing</t>
  </si>
  <si>
    <t>33 Immortals</t>
  </si>
  <si>
    <t>1.0 launches 6/11/26</t>
  </si>
  <si>
    <t>Watch Dogs: Legion</t>
  </si>
  <si>
    <t>Balatro</t>
  </si>
  <si>
    <t>F1 24</t>
  </si>
  <si>
    <t>Warhammer 40,000: Rogue Trader</t>
  </si>
  <si>
    <t>Avowed</t>
  </si>
  <si>
    <t>Kingdom: Two Crowns</t>
  </si>
  <si>
    <t>Returning title: Originally joined 12/11/18, left 11/15/19 (console only). Joins PC 6/11/25</t>
  </si>
  <si>
    <t>Madden NFL 25 (2024)</t>
  </si>
  <si>
    <t>Far Cry: New Dawn</t>
  </si>
  <si>
    <t>Coming Soon</t>
  </si>
  <si>
    <t>Leaving Soon</t>
  </si>
  <si>
    <t>Xbox Game Studios</t>
  </si>
  <si>
    <t>EA Play</t>
  </si>
  <si>
    <t>Day One</t>
  </si>
  <si>
    <t>Cross Play</t>
  </si>
  <si>
    <t>Play Anywhere</t>
  </si>
  <si>
    <t>Cross Play and Play Anywhere</t>
  </si>
  <si>
    <t>Eternal Strands</t>
  </si>
  <si>
    <t>Username</t>
  </si>
  <si>
    <t>Suggestion</t>
  </si>
  <si>
    <t>Responses</t>
  </si>
  <si>
    <t>Destiny Mccloud</t>
  </si>
  <si>
    <t>Xbox One: Slime rancher, WWE 2K20, Far Cry 5, Friday The 13th</t>
  </si>
  <si>
    <t>Slime Rancher - Games with Gold
WWE 2K20 - xCloud
Far Cry 5 - Cannot find info about this
Friday The 13th - Games with Gold</t>
  </si>
  <si>
    <t>Dylan Girardot</t>
  </si>
  <si>
    <t>Xbox one: WWE 2K20, Far Cry 5, Minecraft, Hunter Call To The Wild, Slime Rancher, Resident Evil 3</t>
  </si>
  <si>
    <t>WWE 2K20 - Games with Gold
Far Cry 5 - Cannot find info about this
Minecraft - Already on list
Hunter Call To The Wild - Already on list
Slime Rancher - Games with Gold
Resident Evil 3 - Cannot find info about this</t>
  </si>
  <si>
    <t>Robert Joseph</t>
  </si>
  <si>
    <t>WWE 2K20 (XONE), Civilization 6 (Both), Tropico 6 (Both), MGS PW HD (XONE), Doom Eternal (Both)</t>
  </si>
  <si>
    <t>WWE 2K20 - Games with Gold
Civilization 6 - Cannot find info about this
Tropico 6 - Cannot find info about this
MGS PW HD - Cannot find info about this
Doom Eternal - Cannot find info about this</t>
  </si>
  <si>
    <t>Fabian Trejo</t>
  </si>
  <si>
    <t>eFootball PES 2020 (line 82) should be xbox one only, not pc only</t>
  </si>
  <si>
    <t>You can filter checking both PC and "Xbox/PC" and you will see all the PC games that way</t>
  </si>
  <si>
    <t>Henry</t>
  </si>
  <si>
    <t>Include price of the  who want to get the biggest bang for their buck. Also add a user score like the old excel sheet.</t>
  </si>
  <si>
    <t>I do not want to add user score because of review bombing, which does not happen at the critic level. I would probably need help for the price piece.</t>
  </si>
  <si>
    <t>cdytoby</t>
  </si>
  <si>
    <t>Sunset Overdrive is a Xbox Game Studio game.</t>
  </si>
  <si>
    <t>They no longer own the rights, Insomniac was purchased by Sony, who confirmed they own the rights. I don't know  how much longer it will remain on GP and would suggest those that want to play it to do so</t>
  </si>
  <si>
    <t>Brian</t>
  </si>
  <si>
    <t>Add column "Achievements" and place Console/PC depending on where they can occur.</t>
  </si>
  <si>
    <t>I think this would be too hard for me to do without others' help</t>
  </si>
  <si>
    <t>Spencer</t>
  </si>
  <si>
    <t>Add Satisfactory (PC) and The Witness (PC) please</t>
  </si>
  <si>
    <t>Cannot find info about this</t>
  </si>
  <si>
    <t>kel2342</t>
  </si>
  <si>
    <t>Add Wreckfest on Xbox One please</t>
  </si>
  <si>
    <t>TangoAK</t>
  </si>
  <si>
    <t>Add link to game's how long to beat and metacritic pages. Thanks for great list! :) Btw. is possible to make copy of the list and still get it updated? I would like to make my own notes.</t>
  </si>
  <si>
    <t>Ninja Gaiden II: Black</t>
  </si>
  <si>
    <t>I think importrange can work? I'm not sure if this will require linking sheets, which I would like to try to avoid. I think I did this off of another google sheet (Playstation Now) and it worked fine</t>
  </si>
  <si>
    <t>dolfan058</t>
  </si>
  <si>
    <t>asdsaddsadsadasd</t>
  </si>
  <si>
    <t>Added, thank you!</t>
  </si>
  <si>
    <t>disgruntledJarl</t>
  </si>
  <si>
    <t>The Title 'Astroneer' has a small space in front of the word. This is fine except I am trying to extract this sheet via a script and it is causing issues. The Title currently says 'Astroneer '</t>
  </si>
  <si>
    <t>Fixed, thank you</t>
  </si>
  <si>
    <t>Dead by Daylight on Xbox Gamepass is not special Edition. It is included with Gamepass Ultimate but I feel like the base version should be mentioned in the title</t>
  </si>
  <si>
    <t>I am just going to show the most enhanced edition available for simplicity on my part</t>
  </si>
  <si>
    <t>Farming Simulator 17 should be on Xbox and PC. Right now, it is shown as available only on Xbox One</t>
  </si>
  <si>
    <t>Rush: A Disney Pixar Adeventure is misspelt. Adventure:-)</t>
  </si>
  <si>
    <t>Omen</t>
  </si>
  <si>
    <t>Kingdom Come Deliverence (PC &amp; Console) is leaving soon</t>
  </si>
  <si>
    <t>Where the Water Tastes Like Wine (PC) is leaving soon</t>
  </si>
  <si>
    <t>Space Hulk: Tactics (PC) is leaving soon</t>
  </si>
  <si>
    <t>Yoku's Island Express (PC &amp; Xbox) is leaving soon but</t>
  </si>
  <si>
    <t>Devil may Cry 5 (Console) is leaving soon</t>
  </si>
  <si>
    <t>Brent</t>
  </si>
  <si>
    <t>Move legend from top row to somewhere else</t>
  </si>
  <si>
    <t>I am not planning on doing this, many people only use the main tab and the legend is in a frozen row</t>
  </si>
  <si>
    <t>GG</t>
  </si>
  <si>
    <t xml:space="preserve">Streets of Rage 4 Crossplay is available. </t>
  </si>
  <si>
    <t>Sixel</t>
  </si>
  <si>
    <t>Hi! Is there any chance to have a "most likely leaving" list with "Active" games that have already exceeded the 13 months? Thank you very much for your work!</t>
  </si>
  <si>
    <t>Ron</t>
  </si>
  <si>
    <t>Is there any way to find out which publisher, by title?</t>
  </si>
  <si>
    <t>I think this would be too difficult to track</t>
  </si>
  <si>
    <t>loxim</t>
  </si>
  <si>
    <t>Is it possible to have a filter for genre without needing to do Cntrl+ F?</t>
  </si>
  <si>
    <t>Open on desktop browser, you can do a custom temporary filter.</t>
  </si>
  <si>
    <t>Strawberry_Automata</t>
  </si>
  <si>
    <t>Cris Tales and Haven were seen in GAMESCOM 2020 promo video. 1 year ago, it was announced that Cris Tales is coming to the service, but the twit not longer exists. to</t>
  </si>
  <si>
    <t>Cris Tales delayed to 2021</t>
  </si>
  <si>
    <t>Highlight Battletoads (it is an XGS game) and Halo 3</t>
  </si>
  <si>
    <t>Batman is missing</t>
  </si>
  <si>
    <t>This was originally leaving soon and back without an explanation, I have added it back</t>
  </si>
  <si>
    <t>Diablo</t>
  </si>
  <si>
    <r>
      <rPr>
        <rFont val="Arial"/>
      </rPr>
      <t xml:space="preserve">World War Z has Crossplay (Source </t>
    </r>
    <r>
      <rPr>
        <rFont val="Arial"/>
        <color rgb="FF1155CC"/>
        <u/>
      </rPr>
      <t>https://www.pcgamesn.com/world-war-z/full-cross-play)</t>
    </r>
  </si>
  <si>
    <t>Kel2342</t>
  </si>
  <si>
    <t xml:space="preserve">Add Rocket league in the cross play list
No need as RL will leave GP ;) </t>
  </si>
  <si>
    <t>No action</t>
  </si>
  <si>
    <t>Add the XCloud Games (list can be found at https://news.xbox.com/en-us/2020/09/14/cloud-gaming-with-xbox-game-pass-ultimate/ )</t>
  </si>
  <si>
    <t>Maybe change verbiage from XCloud to "Game Streaming" or just "Android" (as MS seems to be doing)</t>
  </si>
  <si>
    <t>Dawn Breaker</t>
  </si>
  <si>
    <t>Add a column info on Multiplayer on the local, lan, cross platform (PC/PS), "Multi local and online multi", "Single player local but online-only multiplayer"</t>
  </si>
  <si>
    <t>Too much work</t>
  </si>
  <si>
    <t>Evan</t>
  </si>
  <si>
    <t>Add "Android" or "Cloud" to System column on the Master list to reflect which games we can stream</t>
  </si>
  <si>
    <t>littleraldani</t>
  </si>
  <si>
    <t>On my dashboard I have available Company of Heroes 2 COmplete Collection for a few days, don't know if i'ts EU only but just to remind you</t>
  </si>
  <si>
    <t>Add Bethesda games to upcoming</t>
  </si>
  <si>
    <t>I am waiting to see which games will be on the service</t>
  </si>
  <si>
    <t>RadicalDog</t>
  </si>
  <si>
    <t>Metacritic scores for the following - a couple are the real scores, some of these are indies with 2-3 reviews averaged, Disgaea is using the average of other platforms since no-one seems to be reviewing it on PC. Point is, the better the score estimates, the stronger the Metacritic sheets are: 
Hotshot Racing 77 / Drake Hollow 78 / Disgaea 4 Complete+ 84 / Star Renegades 79 / Touhou Luna Nights 77 / It Lurks Below 45 / Trailmakers 70 / UnderMine 80 / HyperDot 73 / Levelhead 82 / Gris 84 (released 2018 - not 2004!)</t>
  </si>
  <si>
    <t>Updated, thank you</t>
  </si>
  <si>
    <t>EA Sports UFC 5</t>
  </si>
  <si>
    <r>
      <rPr>
        <rFont val="Arial"/>
      </rPr>
      <t xml:space="preserve">Add Destiny 2 PC version to "Coming Soon" (source: </t>
    </r>
    <r>
      <rPr>
        <rFont val="Arial"/>
        <color rgb="FF1155CC"/>
        <u/>
      </rPr>
      <t>https://gamerant.com/destiny-2-game-pass-pc/)</t>
    </r>
  </si>
  <si>
    <t>Added to section in my notes for changes coming at some point in the future</t>
  </si>
  <si>
    <t>RyZum</t>
  </si>
  <si>
    <r>
      <rPr>
        <rFont val="Arial"/>
      </rPr>
      <t xml:space="preserve">CrossCode is now available on console too : </t>
    </r>
    <r>
      <rPr>
        <rFont val="Arial"/>
        <color rgb="FF1155CC"/>
        <u/>
      </rPr>
      <t>https://www.windowscentral.com/crosscode-xbox-game-pass-has-more-players-other-consoles-combined</t>
    </r>
  </si>
  <si>
    <t>For The King II</t>
  </si>
  <si>
    <t>Remove Dishonored 2 from Leaving Soon</t>
  </si>
  <si>
    <t>Updated</t>
  </si>
  <si>
    <t>RAGE 2 should be highlighted since it's a Bethesda game and won't be removed anymore</t>
  </si>
  <si>
    <t>EA PLAY GAMES?</t>
  </si>
  <si>
    <t>I am waiting to see which games will be on the service, I'm not sure if all current ones will be</t>
  </si>
  <si>
    <t>size on disk?</t>
  </si>
  <si>
    <t>Too much work and I do not think this is relevant. Game sizes also change all the time</t>
  </si>
  <si>
    <t>Tarragon</t>
  </si>
  <si>
    <t>Probably not feasible, but I would dearly love to be able to have seperation of games by achievement lists. Games such as A Plague Tale, Talos Principle, many others, have seperate achievement lists on Xbox vs PC, and as an achievement hunter this is invaluable information. I note there is a similar suggestion above marked as too hard without help - I'd be happy to help here.  Edit/Update: TrueAchievements is probably the go to source here (although their game pass lists are often inaccurate), and I can help with identification.</t>
  </si>
  <si>
    <t>If I can have a source that displays what games have achievements with maybe some help in identifying which current games have them, I can do this</t>
  </si>
  <si>
    <t>Gears Tactics is also on console.</t>
  </si>
  <si>
    <t>andrenoboru</t>
  </si>
  <si>
    <t>https://news.xbox.com/en-us/2020/10/13/coming-soon-xbox-game-pass-october-2020-wave-2/</t>
  </si>
  <si>
    <t>Roguelike</t>
  </si>
  <si>
    <t>I usually update the same day that news comes out, adding something like this to the suggestion sheet is completely unhelpful</t>
  </si>
  <si>
    <t>brynhh</t>
  </si>
  <si>
    <t>Metro LL Redux is an example that says it has left, but it's still on the xbox app on PC. Could these be marked slightly differently, instead of just "removed"?</t>
  </si>
  <si>
    <t>Fixed, thank you. I had asked this in the subreddit and forgot to check if it remained for PC. I have updated it now</t>
  </si>
  <si>
    <t>Re the above with alternate achievement lists: some games also have regional variants, which also have their own achievement lists. A current example is Resident Evil 7, this has a Japanese variant "Grotesque Ver" with it's own achievement list, which is also on Game Pass.
In the past, games like Bioshock/Bioshock 2 gave access to some of their regional variants, and the Dead Rising XBLA titles too. Tracking down historical data on this will be challenging.</t>
  </si>
  <si>
    <t>Waiting on list</t>
  </si>
  <si>
    <r>
      <rPr>
        <rFont val="Arial"/>
      </rPr>
      <t xml:space="preserve">NBA 2K16 was in GP at launch, referenced from Game Pass announcement videos and removal mentioned here </t>
    </r>
    <r>
      <rPr>
        <rFont val="Arial"/>
        <color rgb="FF1155CC"/>
        <u/>
      </rPr>
      <t>https://www.reddit.com/r/xboxone/comments/7lk2or/nba_2k16_leaves_xbox_game_pass_on_december_31st/</t>
    </r>
  </si>
  <si>
    <t>Indiana Jones and the Great Circle</t>
  </si>
  <si>
    <t>Added, thank you</t>
  </si>
  <si>
    <t>Vlad</t>
  </si>
  <si>
    <t>Torment: Tides of Numenera -- is not listed/highlighted as a Xbox Game Studios game. But it's an inXile Entertainment game. So, should be in pass forever (I hope). And thanks for this project. Really useful.</t>
  </si>
  <si>
    <t>Can someone held me understand if Microsoft owns all previous IPs and games form before the acquisition? I know Tides was released before the acquisition</t>
  </si>
  <si>
    <t>wartime</t>
  </si>
  <si>
    <t xml:space="preserve">GONNER2 - Xbox/PC, release 10/22, day 1. </t>
  </si>
  <si>
    <t>dumber</t>
  </si>
  <si>
    <t>How about a returned game list? (if theres any....idk...)</t>
  </si>
  <si>
    <t>There are less than 5</t>
  </si>
  <si>
    <t>ddd</t>
  </si>
  <si>
    <t>Release date of Infinifactory is wrong. It says Dec 20, 2004, it should be June 30, 2015 acording to wikipedia, or January 19, 2015 if you consider Early Access</t>
  </si>
  <si>
    <t>Gingerbread0Men</t>
  </si>
  <si>
    <t>What does the Completion column mean? Also, have you considered a sheet for non-Game Pass Free-to-Play games sorted by Metascore?</t>
  </si>
  <si>
    <r>
      <rPr>
        <rFont val="Arial"/>
      </rPr>
      <t xml:space="preserve">Generally for single player games, it is the hours to beat derived from </t>
    </r>
    <r>
      <rPr>
        <rFont val="Arial"/>
        <color rgb="FF1155CC"/>
        <u/>
      </rPr>
      <t>howlongtobeat.com</t>
    </r>
    <r>
      <rPr>
        <rFont val="Arial"/>
      </rPr>
      <t>. For non-story games, I still use the number on the website</t>
    </r>
  </si>
  <si>
    <t>Coming to PS5 Spring 2025</t>
  </si>
  <si>
    <t>Not Me</t>
  </si>
  <si>
    <t>Wolfenstein Youngblood should be highlighted since it's a Bethesda game and won't be removed anymore</t>
  </si>
  <si>
    <t>Chocosplitter</t>
  </si>
  <si>
    <t>Add 'Deep Rock Galactic' to Cross Play (Xbox / PC)</t>
  </si>
  <si>
    <t>packmanx5</t>
  </si>
  <si>
    <t>Add size of the games (GB)</t>
  </si>
  <si>
    <t>Suggested above, too much work and I do not think this is relevant. Game sizes also change all the time</t>
  </si>
  <si>
    <t>GHDpro</t>
  </si>
  <si>
    <t>Mass Effect listed twice (first game was already on Game Pass)</t>
  </si>
  <si>
    <t>I am aware but I am trying to figure out how I should handle this and The Bard's Tale Trilogy as they are on both services</t>
  </si>
  <si>
    <t>crush vanderspleen</t>
  </si>
  <si>
    <t>I apologize but think I somehow was able to rename this google sheet. thought I was saving/naming a personal copy using my phone. interface is awful there. but I think I might have renamed the OG list instead?</t>
  </si>
  <si>
    <t>No worries</t>
  </si>
  <si>
    <t>Rabus</t>
  </si>
  <si>
    <t>EA Games do not have metacritic score?</t>
  </si>
  <si>
    <t>I'm waiting to confirm which have PC versions (score is averaged). There are a few different EA offerings on PC</t>
  </si>
  <si>
    <t>MohandL3G</t>
  </si>
  <si>
    <t>EA Sports WRC</t>
  </si>
  <si>
    <r>
      <rPr>
        <rFont val="Arial"/>
      </rPr>
      <t xml:space="preserve">I found out this list of games that have XboxPlayAnywhere Feature: </t>
    </r>
    <r>
      <rPr>
        <rFont val="Arial"/>
        <color rgb="FF1155CC"/>
        <u/>
      </rPr>
      <t>https://www.pcgamingwiki.com/wiki/List_of_Xbox_Play_Anywhere_games</t>
    </r>
    <r>
      <rPr>
        <rFont val="Arial"/>
      </rPr>
      <t xml:space="preserve">
I just wanted to play Celeste, and in this Amazing List it's not listed with Xbox Play Anywhere games, not a problem, but then when I was reading about it on PCGamingWiki, I found out that it have Play Anywhere feature.
You can search for celeste here: </t>
    </r>
    <r>
      <rPr>
        <rFont val="Arial"/>
        <color rgb="FF1155CC"/>
        <u/>
      </rPr>
      <t>https://www.xbox.com/en-US/games/xbox-play-anywhere</t>
    </r>
    <r>
      <rPr>
        <rFont val="Arial"/>
      </rPr>
      <t xml:space="preserve"> and it's listed with the games that have this feature.
Thank you so much for this list BTW.</t>
    </r>
  </si>
  <si>
    <t>Wow, I think I added 39 new entries to the list, thank you!</t>
  </si>
  <si>
    <t>Malkair</t>
  </si>
  <si>
    <t>Tetris Effect: Connected is available for Xbox, it also appears as Upcoming</t>
  </si>
  <si>
    <t>Already listed for both</t>
  </si>
  <si>
    <t>Nier: Automata should have a note to say it's the best game. 
Just kidding, but did want to say thanks for keeping this maintained. Looking forward to digging back in once EA Play hits PC!</t>
  </si>
  <si>
    <t>Thank you and same!</t>
  </si>
  <si>
    <t>kimsim</t>
  </si>
  <si>
    <t>Leaving soon sheet</t>
  </si>
  <si>
    <t>I have a likely leaving sheet and the leaving soon games are between the active and removed games</t>
  </si>
  <si>
    <t>koltregaskes</t>
  </si>
  <si>
    <t>Add filters on each sheet.  Great list btw, thank you.  I've used Wikipedia to do something similar for mty personal games list.</t>
  </si>
  <si>
    <t>You should have an option to add temporary filters that you can use</t>
  </si>
  <si>
    <t>Appreciate your list</t>
  </si>
  <si>
    <t xml:space="preserve">What's the deal with the unrated games at the bottom? i think EA should be kept separate if you do add ratings on them since it's only with Ultimate. There are other games without ratings such as Tetris Effect for XSX. Thanks for everything!!! </t>
  </si>
  <si>
    <t>Iguajo</t>
  </si>
  <si>
    <t>What an interesting excel... Congrats! Frostpunk "Likely Leaving sheet" was not released on 2004. It seems to be released on 2018. Same for "indivisible" game</t>
  </si>
  <si>
    <t>Thank you, you helped me catch a lot of errors!</t>
  </si>
  <si>
    <t>Anony</t>
  </si>
  <si>
    <t>This is really awesome! I'm new to GamePass, and I really like the "Likely Leaving" category so I can catch up on games that might leave soon. I think a FAQ would be nice, especially regarding how long games ususally stay on the platform, what happens when games leave the service, and when announcements are usually made (ex: are they going to announce games they're going to remove tomorrow on the 15th? Where can I get this info?). Seriously tho, great work!</t>
  </si>
  <si>
    <t>Twice a month we get a list of upcoming games as well as those that are leaving. Working on getting likely leaving to have its own category</t>
  </si>
  <si>
    <t>Milk</t>
  </si>
  <si>
    <t>This is a really cool list and very well organized. I would personally suggest a "game predicitons" tab for us to put games we would predict would come to the service with a resonable explanation. Ex. - Publisher, Developer, Popular Game, etc.</t>
  </si>
  <si>
    <t>Created and removed as no one was using this</t>
  </si>
  <si>
    <t>Uliamar</t>
  </si>
  <si>
    <t>Would love to see the "cross play" attribute dissociated from "available on xcloud". This would help in few ways: get to know what games I can play with someone on other plateform without using xcloud. Also non-multiplayer games end up in the cross play tab despite not handling multiplayer: e.g. "Hello Neighbor"</t>
  </si>
  <si>
    <t>My cross play list is not associated to xCloud. I'm going off of official lists</t>
  </si>
  <si>
    <t>genail</t>
  </si>
  <si>
    <r>
      <rPr>
        <rFont val="Arial"/>
      </rPr>
      <t xml:space="preserve">Forza Horizon 4 supports cross play between XBox and PC </t>
    </r>
    <r>
      <rPr>
        <rFont val="Arial"/>
        <color rgb="FF1155CC"/>
        <u/>
      </rPr>
      <t>https://www.google.com/search?hl=&amp;site=&amp;q=forza+horizon+4+cross+play</t>
    </r>
  </si>
  <si>
    <t>Anonymous</t>
  </si>
  <si>
    <t>Add the number of players supported to aid multiplayer/coop arrangement</t>
  </si>
  <si>
    <t>This would be too much work with information that is not readily available / would take a time to upload and maintain for new games</t>
  </si>
  <si>
    <t>AmbassadorKingz</t>
  </si>
  <si>
    <t>To expand on Anon's suggestion, a field describing couch co-op vs. online co-op etc. would be great!</t>
  </si>
  <si>
    <t>In the master list, it might be useful to list the games with the status in the order of "Coming Soon", "Leaving Soon", and then "Active".</t>
  </si>
  <si>
    <t>I have items moved so they join the removed list in the right order. If you click in the removed column and hit ctrl + down, you will see / you can filter for leaving soon</t>
  </si>
  <si>
    <t>kauah</t>
  </si>
  <si>
    <t>Overthrown (Game Preview)</t>
  </si>
  <si>
    <t>add information if the game supports CO-OP</t>
  </si>
  <si>
    <t>defi</t>
  </si>
  <si>
    <t>Monster Train is also available on PC, just installed and played it on Gamepass Ultimate</t>
  </si>
  <si>
    <t>Kromis</t>
  </si>
  <si>
    <t xml:space="preserve">Add Publisher as a column to sort by. Reason for this is to see the general pattern of deals in place for certain publishers (e.g. X publisher generally puts games on the service for Y months so you can somewhat predict when a game is going to leave; also X publisher only has content on a specific platform like Capcom on console with RE7 being the exception with Play Anywhere support) </t>
  </si>
  <si>
    <t>fableton</t>
  </si>
  <si>
    <t>YIIK: A Postmodern RPG is already active</t>
  </si>
  <si>
    <r>
      <rPr>
        <rFont val="Arial"/>
      </rPr>
      <t xml:space="preserve">Apologies if I missed it, but I believe that Genesis Noir has been announced as being on Game Pass when it gets released
Source: </t>
    </r>
    <r>
      <rPr>
        <rFont val="Arial"/>
        <color rgb="FF1155CC"/>
        <u/>
      </rPr>
      <t>https://www.windowscentral.com/demons-tilt-genesis-noir-and-more-join-xbox-game-pass-soon</t>
    </r>
  </si>
  <si>
    <t>imo, for games that had different release dates on console vs pc, you should somehow note that. e.g. add an aditional column with a note "PC version released on XXX"
since just a few games have this case, it could be on a generic "comments" or "notes" column, where you could also add additional information.
Some games with this case are Doom Eternal and Control.</t>
  </si>
  <si>
    <t>I have considered this but it is just easier to use the first date a game was on Game Pass</t>
  </si>
  <si>
    <t>Trixxstrr</t>
  </si>
  <si>
    <t>Add something that shows optimized for Series X|S</t>
  </si>
  <si>
    <t>ZeroNow</t>
  </si>
  <si>
    <t>Project winter has cross-play</t>
  </si>
  <si>
    <t>Could you move the removed games to their own sheet? It almost doubles the amount of data to parse and isn't that useful of information. Also thanks for all your work on this!</t>
  </si>
  <si>
    <t>Added a removed sheet, you can create a temporary filter to exclude removed games</t>
  </si>
  <si>
    <t>Minecraft is Cross-play</t>
  </si>
  <si>
    <t>Need Metacritic scores for EA Play games</t>
  </si>
  <si>
    <t>Added, I had been waiting to fuse with PC scores but I am sick of waiting</t>
  </si>
  <si>
    <t>cbomb</t>
  </si>
  <si>
    <t>Halo MCC is crossplay and Play anywhere</t>
  </si>
  <si>
    <t>lemeinLetMeInLETME</t>
  </si>
  <si>
    <t>Can you highlight xCloud games that are not available on PC? This would be useful for people with GPU but do not have an Xbox</t>
  </si>
  <si>
    <t>You can create temporary filters on the xCloud tab</t>
  </si>
  <si>
    <t>OJ</t>
  </si>
  <si>
    <t>Note which xcloud games have touchscreen controls support</t>
  </si>
  <si>
    <t>Is there a maintained list of this?</t>
  </si>
  <si>
    <t>Remove duplicate Mass Effect entry</t>
  </si>
  <si>
    <t>I'm still trying to determine what to do for this and The Bard's Tale, 2 duplicated that were on the service before EA Play</t>
  </si>
  <si>
    <t>Lancerer</t>
  </si>
  <si>
    <t>CrossCode is duplicated</t>
  </si>
  <si>
    <t>Mount &amp; Blade: Warband
 is also on PC</t>
  </si>
  <si>
    <t>wolvshade</t>
  </si>
  <si>
    <t>Thanks Great Job. please Add Something to show series X/S exclusivity (for example for medium)
To help people without new generation of consoles</t>
  </si>
  <si>
    <t>Edu Moretti</t>
  </si>
  <si>
    <t>We have two different games: Football Manager 2021 Xbox Edition (for pc and Xbox - Play Anywhere) and Football Manager 2021 (just for pc).The games are different, although they are very similar.</t>
  </si>
  <si>
    <t>I'll just leave it as it is</t>
  </si>
  <si>
    <t>Sabaspep</t>
  </si>
  <si>
    <t>This is a fantastic list. I keep checking it when new info comes out, and you're all over it. Is there any chance to add a column, or indicator for Co-Op games?</t>
  </si>
  <si>
    <t>TimtheEnchanter</t>
  </si>
  <si>
    <t>Cricket 19 is down as xbox only when it is on PC too</t>
  </si>
  <si>
    <t>Halo Reach is missing (PC) - Joined Dec 2019</t>
  </si>
  <si>
    <t>Hypnospace is spelt Hypospace</t>
  </si>
  <si>
    <t>Grim Fandango is spelt Grim Fandago</t>
  </si>
  <si>
    <t>Prison Architect is missing (PC) - Joined Jan 2021</t>
  </si>
  <si>
    <t>The Elder Scrolls IV: Oblivion is down as Xbox only when it is on PC too</t>
  </si>
  <si>
    <t>Grounded is down as Xbox only when it is on PC too</t>
  </si>
  <si>
    <t>Updated, awesome catches, thank you so much :)</t>
  </si>
  <si>
    <t>gingerbread0men</t>
  </si>
  <si>
    <t>Crash Team Racing: Nitro-Fueled</t>
  </si>
  <si>
    <t>Can you make a highlight color for Xbox Series X/S Enhanced? Please and thanks</t>
  </si>
  <si>
    <t>Added as column</t>
  </si>
  <si>
    <t>Command and Conquered Remastered release date was actually Jun 5, 2020</t>
  </si>
  <si>
    <t>Anon</t>
  </si>
  <si>
    <t>Thank you so much for putting this together. I'd suggest creating a "How to read" page. It took me a while to figure out that row 1 is just a color guide that appears in various cells (right?). And I'm still not sure what "Both to Right" means.</t>
  </si>
  <si>
    <t>I moved the key/legend to this tab because too many people were confusing it with the columns</t>
  </si>
  <si>
    <t>khwarezm89</t>
  </si>
  <si>
    <t>Thanks a lot for your efforts here. I would suggest adding a tab for Games with gold since it's a benefit with Xbox Game Pass Ultimate.</t>
  </si>
  <si>
    <t>I don't think this would be helpful given the quality going down and many assuming it will go away</t>
  </si>
  <si>
    <t>ak56Lk</t>
  </si>
  <si>
    <t>A column with an URL to the image and maybe a column with a description</t>
  </si>
  <si>
    <t>SINNER is no longer on Game Pass for PC</t>
  </si>
  <si>
    <t>It is part of EA Play PC</t>
  </si>
  <si>
    <t>Totally Accurate Battle Simulator is no longer in early access.</t>
  </si>
  <si>
    <t>Lunki</t>
  </si>
  <si>
    <t>Streets of Rage 4 Crossplay PC &lt;-&gt; XBOX works.</t>
  </si>
  <si>
    <t>wilpz</t>
  </si>
  <si>
    <r>
      <rPr>
        <rFont val="Arial"/>
      </rPr>
      <t>Phogs is not included in XBOX Pass PC in Japan :(</t>
    </r>
    <r>
      <rPr>
        <rFont val="Arial"/>
        <color rgb="FF000000"/>
      </rPr>
      <t xml:space="preserve">
</t>
    </r>
    <r>
      <rPr>
        <rFont val="Arial"/>
        <color rgb="FF1155CC"/>
        <u/>
      </rPr>
      <t>https://www.microsoft.com/ja-jp/p/phogs/9P6X271HLG8Q?activetab=pivot:overviewtab</t>
    </r>
  </si>
  <si>
    <t>Not changing as it is included everywhere else</t>
  </si>
  <si>
    <t>thiagomda</t>
  </si>
  <si>
    <t>Torchlight 2 is not on Gamepass PC(or console), only Torchlight 3</t>
  </si>
  <si>
    <t>Trine 2, The Sexy Brutale are not on Gamepass PC. --They are thru EA Play.</t>
  </si>
  <si>
    <t>I am including EA play in this mater list as it is included with GamePass on PC and Ultimate</t>
  </si>
  <si>
    <t>Camaro6460</t>
  </si>
  <si>
    <t>OXENFREE is no longer on Game Pass, but still listed in the xCloud tab</t>
  </si>
  <si>
    <t>Possible to add details over time? i.e. resolution, hdr support, framerate? to create a true overall master database? thanks for your work</t>
  </si>
  <si>
    <t>Game Pass Essential (12/4/24)</t>
  </si>
  <si>
    <t>In "Likely leaving" section "~2 Years" is broken</t>
  </si>
  <si>
    <t>Fixed</t>
  </si>
  <si>
    <t>mo</t>
  </si>
  <si>
    <t>outriders has cross play</t>
  </si>
  <si>
    <t>Trin</t>
  </si>
  <si>
    <t>Maybe highlight Series S|X enhanced and Series S|X exclusives</t>
  </si>
  <si>
    <t>Goik</t>
  </si>
  <si>
    <t>Remnant from the ashes supports cross-play between Xbox and Windows 10 now</t>
  </si>
  <si>
    <t>Seems like Trine: Enhanced Edition is actually Trine: Enchanted Edition</t>
  </si>
  <si>
    <t>"Steep" is xCloudable since I was able to play it on my phone tonight</t>
  </si>
  <si>
    <t>"Steep" is only available on Xbox Console, no PC version, at least for now</t>
  </si>
  <si>
    <t>Snow Runner is now on Gamepass</t>
  </si>
  <si>
    <t>Please give me a few days to add brand new games, this comment does not help</t>
  </si>
  <si>
    <t>Knockout City has got cross-play</t>
  </si>
  <si>
    <t>ronabs</t>
  </si>
  <si>
    <t>The "upcoming" list have some games that are not confirmed on Xbox Game Pass: 12 minutes, The Artful Escape, Lake, Last Stop, Mad Streets, Shredders, Song of Iron, The Big Con and Tunic.</t>
  </si>
  <si>
    <t>Most of these were from a showcase last year I believe where every game in the showcase was said to be coming to Game Pass</t>
  </si>
  <si>
    <t>oliver</t>
  </si>
  <si>
    <t>Monster Hunter World is available on cloud but is not in your list</t>
  </si>
  <si>
    <t>erick</t>
  </si>
  <si>
    <t>is outriders coming pc gamepass?</t>
  </si>
  <si>
    <t>I can almost guarantee it will not unfortunately (look at GTA V, RDR2, etc)</t>
  </si>
  <si>
    <t>sienok</t>
  </si>
  <si>
    <t>can't find vampyr on PC.</t>
  </si>
  <si>
    <t>It's part of EA Play</t>
  </si>
  <si>
    <t xml:space="preserve">Anonymous </t>
  </si>
  <si>
    <t>Can't find Undertale on Xbox</t>
  </si>
  <si>
    <t>It is there</t>
  </si>
  <si>
    <t>A flag if a game has touch controls or not</t>
  </si>
  <si>
    <t>Mutant Road Zero: Road to Eden name is incorrect, should be: Mutant Year Zero: Road to Eden</t>
  </si>
  <si>
    <t>Wargroove has been removed but still on the Cross Play tab</t>
  </si>
  <si>
    <t>It's fine to keep as is</t>
  </si>
  <si>
    <t>ArkJK</t>
  </si>
  <si>
    <r>
      <rPr>
        <rFont val="Arial"/>
      </rPr>
      <t xml:space="preserve">Missing: wolfenstein 2 (xbox/pc), fallout new vegas (now also on pc), fallout 1 2 tactics (pc), fallout 3 (xbox/pc), dishonored death of the outsider (xbox/pc), evil within 2 (xbox/pc), arx fatalis (pc), doom 2016 (xbox), rage (xbox).And all the future games announced in E3, I imagine. List with dates here </t>
    </r>
    <r>
      <rPr>
        <rFont val="Arial"/>
        <color rgb="FF1155CC"/>
        <u/>
      </rPr>
      <t>https://www.pcgamer.com/theres-a-whole-27-games-coming-day-one-on-game-pass-for-pc/.</t>
    </r>
    <r>
      <rPr>
        <rFont val="Arial"/>
      </rPr>
      <t xml:space="preserve"> (if they are also releasing on xbox would have to be manually checked). Thanks!</t>
    </r>
  </si>
  <si>
    <t>Please give me a few days to add brand new games</t>
  </si>
  <si>
    <t>Tzman</t>
  </si>
  <si>
    <t>Leaving soon games for June 2nd half</t>
  </si>
  <si>
    <t>What you think about a slack or discord channel (or whatever) to simplify discussions about releases etc.</t>
  </si>
  <si>
    <t>I mean we have the subreddit</t>
  </si>
  <si>
    <t>The Falconeer and Tetris Effect Connected can be removed from the Upcoming tab, both are already available on console/PC</t>
  </si>
  <si>
    <t>boltfan43</t>
  </si>
  <si>
    <t xml:space="preserve">The Ascent is listed twice. Just a heads up. </t>
  </si>
  <si>
    <t>FTL: Faster Than Light left game pass January 15 2021</t>
  </si>
  <si>
    <t>I thought it had been part of EA Play, guess it was just EA Play Pro</t>
  </si>
  <si>
    <t>rafaelgrn</t>
  </si>
  <si>
    <t>Missing Cris Tales - releases on Game Pass on July 20 2021</t>
  </si>
  <si>
    <t>Stewart</t>
  </si>
  <si>
    <r>
      <rPr>
        <rFont val="Arial"/>
      </rPr>
      <t xml:space="preserve">Dungeon Keeper Metacritic score is inaccurate. It says 42 but that score comes from an iOS game, not the PC game. The PC game has no critic score on Metacritic but is rated 8.8/10 by users. Arguably it should be marked here as 88: </t>
    </r>
    <r>
      <rPr>
        <rFont val="Arial"/>
        <color rgb="FF1155CC"/>
        <u/>
      </rPr>
      <t>https://www.metacritic.com/game/pc/dungeon-keeper</t>
    </r>
  </si>
  <si>
    <t>Aliens: Dark Descent</t>
  </si>
  <si>
    <t>Payam</t>
  </si>
  <si>
    <t>Microsoft Flight Simulator is not in the coming soon list however, it releases to xbox game pass on July 27th as an xbox series x/s exclusive. Space Jam: A New Legacy has also been recently released.</t>
  </si>
  <si>
    <t>Updated Space Jam date. MFS is already on PC, I have a note at the top of when to add Xbox on the devices</t>
  </si>
  <si>
    <t>Banjo Kazooie has wrong metacritic score</t>
  </si>
  <si>
    <t>The score is correct, I start by using X360 scores</t>
  </si>
  <si>
    <t>Andrey</t>
  </si>
  <si>
    <t>What about a list of PC Games that are exclusive (or at least currently exclusive) to Xbox Game Pass / Microsoft Store? For example, Gears of War Ultimate, Gears of War 4, Halo Wars 2... Tetris Effect Connectted is releasing next month for other platforms, but it's currently exclusive to XGP on PC. That could be a good resource for PC players interested in getting XGP for the "exclusives".</t>
  </si>
  <si>
    <t>I don't think it makes sense for me to add unless someone wants to provide a complete list to me or if there is a resource I could reference</t>
  </si>
  <si>
    <t>Mag</t>
  </si>
  <si>
    <t>Yoku's Island Express has removed in Aug 2020, masterlist can be edited</t>
  </si>
  <si>
    <t>OXENFREE is no longer on Game Pass, but still listed in the PC tab</t>
  </si>
  <si>
    <t>It is part of EA Play</t>
  </si>
  <si>
    <t>SD</t>
  </si>
  <si>
    <t>These games were removed from EA Play PC (or now require Pro) and aren't available on Game Pass PC anymore and should be removed:
Star Wars X-Wing Alliance
Star Wars Episode I Racer
Star Wars Shadows of the Empire
Star Wars Galactic Battlegrounds
Star Wars Starfighter
Star Wars Jedi Knight: Mysteries of the Sith
Breathedge
Mutant Year Zero: Road to Eden
Shift Quantum
Into the Breach
Hue</t>
  </si>
  <si>
    <t>Frostpunk on PC is now available directly on Game Pass PC instead of EA Play (doesn't need highlighting for EA Play)</t>
  </si>
  <si>
    <t xml:space="preserve">These games will be leaving EA Play PC on August 20, 2021 so will be leaving Game Pass PC soon. It is listed on their pages (like https://www.origin.com/usa/en-us/store/nex-machina/nex-machina):
Overcooked: Gourmet Edition
Nex Machine
Yoku's Island Express
Dear Esther: Landmark Edition
Mugsters
The Escapists
</t>
  </si>
  <si>
    <t>Updated, thank you, it is much harder to keep track of EA Play without any announcements</t>
  </si>
  <si>
    <t>Peralta 80</t>
  </si>
  <si>
    <t>add the pc games that have achievements, either those that do not share them with the xbox ones, such as those that, being exclusively pc, have achievements (on pc it is not mandatory that they carry achievements)</t>
  </si>
  <si>
    <t>I am not going to include achievements on here</t>
  </si>
  <si>
    <t>F1 2020 is listed for Xbox, PC and xCloud but I think it's currently only available on Xbox console</t>
  </si>
  <si>
    <r>
      <rPr>
        <rFont val="Arial"/>
        <b/>
      </rPr>
      <t xml:space="preserve">Also a suggestion: can you add "FPS Boost" to the Xbox Series X|S column for games that support FPS Boost.  Here's a list of FPS Boost supported games: </t>
    </r>
    <r>
      <rPr>
        <rFont val="Arial"/>
        <b/>
        <color rgb="FF1155CC"/>
        <u/>
      </rPr>
      <t>https://majornelson.com/fpsboost/</t>
    </r>
  </si>
  <si>
    <t>Nine Sols</t>
  </si>
  <si>
    <t>Added, please let me know of any updates as a new suggestion</t>
  </si>
  <si>
    <t>anon</t>
  </si>
  <si>
    <t>Leaving soon list not updated</t>
  </si>
  <si>
    <t>It was, sometimes I need a day or 2 to get the updates in</t>
  </si>
  <si>
    <t>a better enphasis on games that support Play Anywhere (the list is not upadated-Hades, Like a Dragon, The Ascent, etc)</t>
  </si>
  <si>
    <t>Updated, most of my spreadhseet is manual, so I get most of that info from this tab</t>
  </si>
  <si>
    <t>A Dud3</t>
  </si>
  <si>
    <t>Bomber Crew was removed in April 30th 2020.</t>
  </si>
  <si>
    <t>canbi</t>
  </si>
  <si>
    <t>suggestion page should be protected.</t>
  </si>
  <si>
    <t>I cannot do that, otherwise people could nto add comments, the top and the response row is protected</t>
  </si>
  <si>
    <t>An easy way to confirm these is to do a Google search like https://www.google.com/search?q=%22This+game+will+be+leaving+EA+Play+on+September+9%2C+2021%22+site%3Aorigin.com
These games will be leaving EA Play PC on September 9, 2021:
STAR WARS™ Republic Commando™
Vambrace: Cold Soul
The Escapists 2
Ultimate Chicken Horse
Yooka-Laylee
STAR WARS™ Battlefront (Classic, 2004)
STAR WARS™ Battlefront II (Classic, 2005)
These games will be leaving EA Play PC on Oct 1, 2021:
FIFA 19
These games will be leaving EA Play PC on Oct 23, 2021:
Shio
Slay The Spire
Sudden Strike 4
Shantae: Half-Genie Hero
Dead Cells</t>
  </si>
  <si>
    <t>Updated,
This is amazing I would really appreciate if you could help share information of games that are leaving EA Play.
Ultimate Chicken Horse and Sudden Strike 4 are EA Play Pro, so those ar enot on my list</t>
  </si>
  <si>
    <t>zodiac</t>
  </si>
  <si>
    <t>ape out and crossing souls are still at 'Likely Leaving' page, but they already left.</t>
  </si>
  <si>
    <t>what about having platforms to Upcoming games? Like specify if it's coming on console or PC (or both). Another thing: coming soon games aren't updated to reflect the Ucoming entries. Thank you!!!</t>
  </si>
  <si>
    <t>I used to and there are a good amount of times where it is just not provided, I'm just going to leave it more barebones as it is easier to maintain</t>
  </si>
  <si>
    <t xml:space="preserve">Rosie </t>
  </si>
  <si>
    <t>Flag movies? was sad that there isnt a spacejam game :( and also this is an amazing spreadsheet, thank you!! :)</t>
  </si>
  <si>
    <t>Space Jam has a game</t>
  </si>
  <si>
    <t>Yatak31</t>
  </si>
  <si>
    <t>Ape Out , Crossing Souls, Apotheon is left. idk who you are but i love you!</t>
  </si>
  <si>
    <t>Speejays</t>
  </si>
  <si>
    <t>The list has Aragami 1, but it isn't on Game Pass</t>
  </si>
  <si>
    <t>PC EA Play</t>
  </si>
  <si>
    <t>Knice</t>
  </si>
  <si>
    <t>Elite Dangerous shouldn't have a ":" in the name. Also, it is available on xcloud</t>
  </si>
  <si>
    <t>Muzzle</t>
  </si>
  <si>
    <t>Metacritic scores (xbox):
Psychonauts 2: 87
Sable: 68
Aragami 2: 73
SkateBIRD: 61
The Artful Escape: 80 (PC, XBOX tbd)
Twelve Minutes: 74
Ancestors: The humankind odyssey: 72 (called "Humankind" in the Master List, L44)
Thank you for this incredible source of information</t>
  </si>
  <si>
    <t>Most of these are update to take teh average of the PC and Xbox scores.
Humankind is a separate game from Ancestors</t>
  </si>
  <si>
    <t>Moc</t>
  </si>
  <si>
    <t>Joins GP in time for day one on console</t>
  </si>
  <si>
    <t xml:space="preserve">Add meta data speifying PC Steam vs PC Windows cross-play. Many games are "Cross Play" (i.e. Astroneer, Deep Rock Galactic) but these are only cross play with the Windows Store version and not </t>
  </si>
  <si>
    <t>I just added a column O for public notes, feel free to add this information there, please let me know if this works</t>
  </si>
  <si>
    <t>J</t>
  </si>
  <si>
    <t>Sea of Thieves was added in March 2018, not 2019</t>
  </si>
  <si>
    <t>Snake Pass was removed March 2020</t>
  </si>
  <si>
    <t>Label "The Walking Dead: A Telltale Games Series" as "The Walking Dead: The Complete First Season" (as it appears on the Xbox Store) to prevent confusion; the final season isn't included</t>
  </si>
  <si>
    <t>The Walking Dead: Season Two was added in February 2019, not 2020</t>
  </si>
  <si>
    <t>Gears Tactics was added April 2020</t>
  </si>
  <si>
    <t>This is correct on the main list</t>
  </si>
  <si>
    <t>MechWarrior 5 was added May 2021, not 2020</t>
  </si>
  <si>
    <t>I believe this is when it was added to console, it joined PC in 2020</t>
  </si>
  <si>
    <t>Add Destiny 2: Forsaken and Shadowkeep (active since Sept 2020). Beyond Light was active since Nov 2020, not September.</t>
  </si>
  <si>
    <t>Updated the name to show all included expansions as well as first date hitting Game Pass (left as is)</t>
  </si>
  <si>
    <t>Star Renegades was added November 2020</t>
  </si>
  <si>
    <t>Chandler</t>
  </si>
  <si>
    <t>Possibly add a column for ESRB rating and content descriptors?</t>
  </si>
  <si>
    <t>Can we list mouse&amp;keyboard supported games? Thank you so much!</t>
  </si>
  <si>
    <t>Vordus</t>
  </si>
  <si>
    <t>Moonglow Bay was delayed(?) to Oct 26.</t>
  </si>
  <si>
    <t>Microsoft Flight Simulator 2024</t>
  </si>
  <si>
    <r>
      <rPr>
        <rFont val="Arial"/>
      </rPr>
      <t xml:space="preserve">Unpacking's release date is </t>
    </r>
    <r>
      <rPr>
        <rFont val="Arial"/>
        <color rgb="FF1155CC"/>
        <u/>
      </rPr>
      <t>Nov 2, 2021</t>
    </r>
  </si>
  <si>
    <t>Pyre is no longer included in EA Play</t>
  </si>
  <si>
    <t>Oxenfree should not be fully capitalized</t>
  </si>
  <si>
    <t>Weapuh</t>
  </si>
  <si>
    <t>Outriders is also available for PC</t>
  </si>
  <si>
    <t>I'd like to help and mark games as Single-player only so people can filter the negation for possible Multiplayer games. As you've stated above, it's too much work to retreive the playercount for all the games, but marking things Single-player would likely eliminate a bunch of SP games for people looking for MP experiences such as myself.</t>
  </si>
  <si>
    <t>I've begun adding ESRB ratings to column O, but I feel like that column will get too full. It'd be nice if once I'm finished the ESRB ratings could move to their own column</t>
  </si>
  <si>
    <t>Sounds good to me if they get mostly filled in</t>
  </si>
  <si>
    <t>The application shows the "Pillars of Eternity: Hero Edition", while this document has the "Complete Edition". According to igdb the "Complete Edition" contains two expansion that the hero edition does not.</t>
  </si>
  <si>
    <t>Include in game pass</t>
  </si>
  <si>
    <t>You appear to be missing "Mighty Goose"</t>
  </si>
  <si>
    <t>ty_hot</t>
  </si>
  <si>
    <t>Back 4 Blood is crossplay (Xbox PC)</t>
  </si>
  <si>
    <t>Column or flag for games which are back compat from console? Thanks again for this resource!</t>
  </si>
  <si>
    <t>I think some people started populating this in the public notes column</t>
  </si>
  <si>
    <t>I think it would be more helpful if, on the master list sheet, under the age column, to reference the current month instead of the month it was added to Game Pass. This would show how old each game is instead of how old it was when Microsoft added it to Game Pass. I think this would be a better metric to keep track of. EDIT: Not sure we are talking about the same thing. I am talking specifically about the column titled "Age" on the master list. Which currently shows the age of the game when added to Game Pass. Is that what you are talking about? (Thank you for making this btw. It's very helpful!)</t>
  </si>
  <si>
    <t>I don't agree, especially considering most games are added for durations of 1, 2, or 3 years
EDIT: Now I see what you mean, I'll need to think about it, as it holds constant teh age of the game when it was added to gamepass vs today's date, but then it would be harder to show day one games</t>
  </si>
  <si>
    <t>Thiago</t>
  </si>
  <si>
    <r>
      <rPr>
        <rFont val="Arial"/>
      </rPr>
      <t xml:space="preserve">I made a simple website to better visualize what we have on this sheet.
It's updated once a day. 
I mentioned this sheet in the "About" page, but if someone wants their nominal credit please let me know who I should thank ;)
So it would be nice to have people's Twitter/Github/whatever here.
</t>
    </r>
    <r>
      <rPr>
        <rFont val="Arial"/>
        <color rgb="FF1155CC"/>
        <u/>
      </rPr>
      <t>https://gametracker.softr.app</t>
    </r>
  </si>
  <si>
    <t>Spyro Reignited Trilogy</t>
  </si>
  <si>
    <t>I honestly would prefer if you had asked before using my work</t>
  </si>
  <si>
    <t>DEEER Simulator is actually named DEEEER Simulator, with 4 "E" :)</t>
  </si>
  <si>
    <t>Conan Exiles is available on PC gamepass</t>
  </si>
  <si>
    <t>Luis</t>
  </si>
  <si>
    <t>The Gunk will come to game pass on day 1 (16 December): 
https://gamerant.com/the-gunk-release-date-xbox-game-pass-day-one/</t>
  </si>
  <si>
    <t>Already on my list, but thank you</t>
  </si>
  <si>
    <t>Somewhere on the upcoming page, it would be nice to put a link to the source confirming that the game will come to gamepass instead of having people do it through public notes</t>
  </si>
  <si>
    <t>I ususally go through mobile for that sheet and find most of my info that is shared to the game pass sub on reddit</t>
  </si>
  <si>
    <t>Cyber Shadow can be removed from the upcoming page, it is already on gamepass</t>
  </si>
  <si>
    <t>Sort the Upcoming tab by release date then by name instead of just by name</t>
  </si>
  <si>
    <t>Most of the release dates are just years and we received info we would receive some games in 2020 that never materialized</t>
  </si>
  <si>
    <t>na</t>
  </si>
  <si>
    <t>Slay the Spire only left EA Play for PC, on Xbox it's still available. similar story with dead cells and maybe other EA Play titles?</t>
  </si>
  <si>
    <t>also sniper elite 4 vanished from the likely leaving list, albeit it's 36+ month stay (that is an auto generated list compiled from the oldest titles, excluding XGS games, right?</t>
  </si>
  <si>
    <t>Correct, I will add in 4 year variables</t>
  </si>
  <si>
    <t>maybe seperate entries for PC and Xbox titles would be helpful, cause Phoenix Point was just recently added to Xbox, but is still listed under likely leaving</t>
  </si>
  <si>
    <t>This is what I use the notes section for/it helps the users who were on the first platform, also this would misrepresent the total number of games</t>
  </si>
  <si>
    <t>I came to say the same thing as the previous comment. Other examples are Code Vein or Nier Automata, with different release dates for xbox and pc.</t>
  </si>
  <si>
    <t>See above</t>
  </si>
  <si>
    <t>I am not sure, but I believe Beholder is leaving soon for console only</t>
  </si>
  <si>
    <t>It was fully removed</t>
  </si>
  <si>
    <t>hkmthr</t>
  </si>
  <si>
    <t>slay the spire is still on game pass no?</t>
  </si>
  <si>
    <t>muzzle</t>
  </si>
  <si>
    <t>Title for GTA SA is wrong at the end || Grand Theft Auto: San Andreas - The Definitive Edition= Hgvb yb yb u ygfve egfv q</t>
  </si>
  <si>
    <t>Updated, must have been trying to do something else lol</t>
  </si>
  <si>
    <t>Wrong title for Townscraper ---&gt; Townscaper, without a R</t>
  </si>
  <si>
    <t>Before We Leave is present twice: line 22 and 26</t>
  </si>
  <si>
    <r>
      <rPr>
        <rFont val="Arial"/>
      </rPr>
      <t xml:space="preserve">The dates are weird for whatever this is under master list </t>
    </r>
    <r>
      <rPr>
        <rFont val="Arial"/>
        <color rgb="FF1155CC"/>
        <u/>
      </rPr>
      <t>https://i.imgur.com/2k7PI7V.png</t>
    </r>
  </si>
  <si>
    <t>Starcraft: Remastered</t>
  </si>
  <si>
    <t>I could not find an accurate date for when these were removed</t>
  </si>
  <si>
    <t>in the XGS list, the note regarding Sunset Overdrive is next to Pillars of Eternity</t>
  </si>
  <si>
    <t>It's just meant to be under the acquisitions of studios</t>
  </si>
  <si>
    <t>scorn was delayed to october 2022</t>
  </si>
  <si>
    <t>C</t>
  </si>
  <si>
    <t>Destiny 2 left game pass on 8 December. Thanks!</t>
  </si>
  <si>
    <t>It only left console, it was recently added for PC</t>
  </si>
  <si>
    <t>PUBG is listed as leaving on Jan 12, 2022</t>
  </si>
  <si>
    <t>Not exactly a suggestion but some useful information. If you look up a PC Game Pass game on the Microsoft Store desktop app, you can see a date that is possibly the date it leaves the service. The date only shows up if the game is currently not on sale though and instead has the 20% discount that you would normally get from the game being on the service for more than 90 days. For example, Greedfall shows it has 20% off until 6/1/2022 (18 months after it came to Game Pass) and The Forgotten City shows 11/1/2022 (1 year). Resident Evil 7 is currently on sale (as of 1/1/2022) but prior to being on sale it showed a 9/1/2022 date (2 years). Some games are weird and don't really show up on app unless you go digging for it, like Spiritfarer leaving in August and Middle Earth: Shadow of War not showing a date but the Definitive Edition shows a 2/1/2022 date.</t>
  </si>
  <si>
    <t>Great tip!</t>
  </si>
  <si>
    <t>DisCordyceps</t>
  </si>
  <si>
    <t>Grounded is crossplay</t>
  </si>
  <si>
    <t>Already on the list</t>
  </si>
  <si>
    <t xml:space="preserve">Games leaving on the 16th:
-Desperados 3 (Console, PC)
-Ghost Of A Tale (PC)
-Mount &amp; Blade: Warband (Console, PC)
-Pandemic: The Board Game (Console, PC)
-YIIK: A Postmodern RPG (PC)
Source: Game Pass app and also https://www.purexbox.com/news/2022/01/another-seven-games-will-leave-xbox-game-pass-soon-january-15
</t>
  </si>
  <si>
    <t>Please give me a few days to add brand new games
I'd prefer to not have to keep repeating, I nromally update within a few hours</t>
  </si>
  <si>
    <t>Outer Wilds is listed as Cloud, Console, and PC on the official announcement (I saw the note in the previous one, just wanted to point that out!)</t>
  </si>
  <si>
    <r>
      <rPr>
        <rFont val="Arial"/>
      </rPr>
      <t xml:space="preserve">FAR: Changing Tides is coming to gamepass day 1: </t>
    </r>
    <r>
      <rPr>
        <rFont val="Arial"/>
        <color rgb="FF1155CC"/>
        <u/>
      </rPr>
      <t>https://youtu.be/r1ye5cBgKoU?t=29</t>
    </r>
  </si>
  <si>
    <t>Matthew</t>
  </si>
  <si>
    <r>
      <rPr>
        <rFont val="Arial"/>
      </rPr>
      <t xml:space="preserve">S.T.A.L.K.E.R. 2 has now been delayed until 8th December - </t>
    </r>
    <r>
      <rPr>
        <rFont val="Arial"/>
        <color rgb="FF1155CC"/>
        <u/>
      </rPr>
      <t>https://www.eurogamer.net/articles/2022-01-12-stalker-2-delayed-until-december</t>
    </r>
  </si>
  <si>
    <t>Starcraft II: Campaign Collection</t>
  </si>
  <si>
    <t>Windjammers 2 releases on 1/20/2022</t>
  </si>
  <si>
    <t>Craftopia (Game Preview) has removed (Game Preview) from the name</t>
  </si>
  <si>
    <t>Broken Age should be marked as Xbox Game Studios (Double Fine)</t>
  </si>
  <si>
    <t>Starmancer should have (Game Preview) in its name</t>
  </si>
  <si>
    <t>I have finished adding in the ESRB ratings and content descriptors for every game currently on Gamepass to the Public Notes, and it would be great if these could move to their own column (Maybe even 2 columns: one for the rating and another for the content descriptors)</t>
  </si>
  <si>
    <r>
      <rPr>
        <rFont val="Arial"/>
        <color theme="1"/>
      </rPr>
      <t xml:space="preserve">Updated, you should be able to just add on, thank you for your help.
</t>
    </r>
    <r>
      <rPr>
        <rFont val="Arial"/>
        <b/>
        <color theme="1"/>
      </rPr>
      <t xml:space="preserve">
Edit: You are awesome, thank you!</t>
    </r>
  </si>
  <si>
    <t>https://news.xbox.com/en-us/2022/01/28/two-point-campus-coming-to-xbox-game-pass-on-day-one/</t>
  </si>
  <si>
    <t>The dates for Two Point Campus both have the wrong month (Should be May instead of February)</t>
  </si>
  <si>
    <t>Dexter</t>
  </si>
  <si>
    <t>Just Cause 4 is a Play Anywhere title and is missing from the list</t>
  </si>
  <si>
    <r>
      <rPr>
        <rFont val="Arial"/>
      </rPr>
      <t xml:space="preserve">Kingdom Hearts III is still on gamepass: </t>
    </r>
    <r>
      <rPr>
        <rFont val="Arial"/>
        <color rgb="FF1155CC"/>
        <u/>
      </rPr>
      <t>https://www.xbox.com/en-us/games/store/kingdom-hearts/c08mw8xhqn9g</t>
    </r>
  </si>
  <si>
    <t>Updated, still shows as leaving soon, updated for end of Feb</t>
  </si>
  <si>
    <r>
      <rPr>
        <rFont val="Arial"/>
      </rPr>
      <t xml:space="preserve">Edit for A Memoir Blue:
I accidentally posted the wrong link above, sorry!
The actual article still exists: </t>
    </r>
    <r>
      <rPr>
        <rFont val="Arial"/>
        <color rgb="FF1155CC"/>
        <u/>
      </rPr>
      <t>https://gamerant.com/a-memoir-blue-xbox-game-pass-march</t>
    </r>
  </si>
  <si>
    <t>Call of Duty: Black Ops 6</t>
  </si>
  <si>
    <t>alistair</t>
  </si>
  <si>
    <r>
      <rPr>
        <rFont val="Arial"/>
      </rPr>
      <t xml:space="preserve">I have added notes to the public notes column for games which don't FPS boost on series s (and the two games which only FPS boost on Series S). This should reduce the amount of confusion if someone notices they can't enable FPS boost on these games (compatibility options says fps boost isn't avaliable even if its on the fps boost list). I have used the list from here: </t>
    </r>
    <r>
      <rPr>
        <rFont val="Arial"/>
        <color rgb="FF1155CC"/>
        <u/>
      </rPr>
      <t>https://majornelson.com/fpsboost/</t>
    </r>
  </si>
  <si>
    <r>
      <rPr>
        <rFont val="Arial"/>
      </rPr>
      <t xml:space="preserve">The Elder Scrolls Online was temporarily removed from xcloud due to player disconnect issues </t>
    </r>
    <r>
      <rPr>
        <rFont val="Arial"/>
        <color rgb="FF1155CC"/>
        <u/>
      </rPr>
      <t>https://www.trueachievements.com/n48641/the-elder-scrolls-online-removed-from-xbox-cloud-gaming</t>
    </r>
  </si>
  <si>
    <t>GP standard only users only have campaign access</t>
  </si>
  <si>
    <r>
      <t xml:space="preserve">Destiny 2 expansions left console game pass &amp; xcloud 8 December (still on pc) however the master list still shows it being on xbox &amp; xcloud </t>
    </r>
    <r>
      <rPr>
        <rFont val="Arial"/>
        <color rgb="FF1155CC"/>
        <u/>
      </rPr>
      <t>https://help.bungie.net/hc/en-us/articles/360054430692</t>
    </r>
  </si>
  <si>
    <t>Mechwarrior 5: Clans</t>
  </si>
  <si>
    <r>
      <rPr>
        <rFont val="Arial"/>
        <color rgb="FF1155CC"/>
        <u/>
      </rPr>
      <t xml:space="preserve">https://twitter.com/FellowTravellr/status/1504175386485456896
</t>
    </r>
    <r>
      <rPr>
        <rFont val="Arial"/>
        <color rgb="FF000000"/>
        <u/>
      </rPr>
      <t>Out of the four games mentioned in the linked Tweet and trailer: Paradise Killer is on the sheet already, Kraken Academy is the only one with a release date of March 22 coming day one to Game Pass, and the other 2 are confirmed for Game Pass without dates</t>
    </r>
  </si>
  <si>
    <r>
      <rPr>
        <rFont val="Arial"/>
      </rPr>
      <t xml:space="preserve">Aragami is leaving EA Play on March 28th
</t>
    </r>
    <r>
      <rPr>
        <rFont val="Arial"/>
        <color rgb="FF1155CC"/>
        <u/>
      </rPr>
      <t>https://www.origin.com/usa/en-us/store/aragami/aragami</t>
    </r>
  </si>
  <si>
    <t>Gert XBoxx</t>
  </si>
  <si>
    <t>someone alrdy asked for keyboard/mouse control support
you responded in column O, i can't see this column...</t>
  </si>
  <si>
    <t>Sorry this is not something that I am including, feel free to add to public notes</t>
  </si>
  <si>
    <t>Hot</t>
  </si>
  <si>
    <t>Regarding cell B1 in Master List, what is the reason it starts counting from row 69?</t>
  </si>
  <si>
    <t>Updated, this was due to inserting rows at the top for new games</t>
  </si>
  <si>
    <t>South Park: The Fractured but Whole</t>
  </si>
  <si>
    <t>Great! Why do you subtract 1 in cell B1?</t>
  </si>
  <si>
    <t>To prevent missing new rows, I include the top row for the formula but I need to remove that from the count</t>
  </si>
  <si>
    <t>Killer instinct is listed 4 times in rows 429:432 but it seems to me that only the last one in row 432 is active on game pass.</t>
  </si>
  <si>
    <t>There are 4 different games on GP I believe</t>
  </si>
  <si>
    <t>B1: The top row does not have "Active" or "Leaving Soon" in it so it's not being counted. I don't see how 1 should be subtracted, am I missing something?</t>
  </si>
  <si>
    <t>Good point, thanks</t>
  </si>
  <si>
    <t>Marvel's Guardians of the Galaxy is a Play Anywhere game</t>
  </si>
  <si>
    <t>me</t>
  </si>
  <si>
    <r>
      <rPr>
        <rFont val="Arial"/>
      </rPr>
      <t xml:space="preserve">Townscaper now in Cloud :) </t>
    </r>
    <r>
      <rPr>
        <rFont val="Arial"/>
        <color rgb="FF1155CC"/>
        <u/>
      </rPr>
      <t>https://www.xbox.com/en-US/play/games/townscaper/9NFM39PSFXJD</t>
    </r>
  </si>
  <si>
    <t>leo</t>
  </si>
  <si>
    <t>Just post here to thank the author #ABattleVet#. This list helped me. It's MS's shame that players have to collect info by this mean. It looks like a huge workload to initiate these sheets and keep them updated.</t>
  </si>
  <si>
    <t>Ha, it was a huge amount of work but I really appreciate the kind words!</t>
  </si>
  <si>
    <t>Wondering why some games are not listed as "yes" for xCloud when they can be played via cloud, like MLB The Show 22?  Should that not say yes?</t>
  </si>
  <si>
    <t>Updated, give me any other specifics you find</t>
  </si>
  <si>
    <t>Jeffery</t>
  </si>
  <si>
    <t>Do you think Battlefield V would be removed anytime soon? Thinking about installing it but don't want to do it because its a BIG game (especially on data capped internet). Since F1 2019 was introduced in July 2020, and removed in April 22, maybe Battlefield V would be removed in August 22?</t>
  </si>
  <si>
    <t>They removed old sports games, I have not seen them remove any Battlefield titles yet</t>
  </si>
  <si>
    <t>Scram</t>
  </si>
  <si>
    <t>Would you guys consider adding a column for Opencritic scores?</t>
  </si>
  <si>
    <t>For now probabably not, it already takes quite a while to update the list</t>
  </si>
  <si>
    <t>NHL 94 Ruina and Library of Ruina are listed as a metacritic score of 100 and 95 respectively. Neither are accurate, neither even have metacritic scores.</t>
  </si>
  <si>
    <t>At the top you can see that boldened items are user scores</t>
  </si>
  <si>
    <t>Tunic is available on xCloud, but it's missing from the sheet</t>
  </si>
  <si>
    <t>Is there a way to add in xCloud games that have "native" touch controls? i.e. not just xbox buttons overlaid on screen. Nonary Games and Danganronpa are two examples of games with native touch and it makes the gameplay so much smoother. So I think marking this on the sheet somewhere would be good. I don't know if there's an easy way to find out which games support this though</t>
  </si>
  <si>
    <t>This is not published anywhere, feel free to use the public notes column</t>
  </si>
  <si>
    <t>Balderdash</t>
  </si>
  <si>
    <t>Possible to show the game's original platform (360, original Xbox, PC, etc.)?</t>
  </si>
  <si>
    <t>I think this is something others had started doing in the public notes</t>
  </si>
  <si>
    <t>Mini Metro is listed on master list but doesnt even exist on games pass or xbox lol</t>
  </si>
  <si>
    <t>Killer Instinct (2013) is called Killer Instinct: Definitive Edition on the Xbox Store so it would probably be more consistent to list it as such</t>
  </si>
  <si>
    <t>I alread had it, but I removed the redundant listing to only show the highest tiered game</t>
  </si>
  <si>
    <t>Inscryption</t>
  </si>
  <si>
    <r>
      <rPr>
        <rFont val="Arial"/>
      </rPr>
      <t xml:space="preserve">Danganronpa 2, Research and Destroy, Tunic and Eiyuden Chronicle have Touch Controls but are not listed as so via </t>
    </r>
    <r>
      <rPr>
        <rFont val="Arial"/>
        <color rgb="FF1155CC"/>
        <u/>
      </rPr>
      <t>https://www.xbox.com/en-US/play/gallery/touch</t>
    </r>
  </si>
  <si>
    <r>
      <rPr>
        <rFont val="Arial"/>
        <color theme="1"/>
      </rPr>
      <t xml:space="preserve">A couple of Coming Soon games are missing from the list: </t>
    </r>
    <r>
      <rPr>
        <rFont val="Arial"/>
        <color theme="1"/>
        <u/>
      </rPr>
      <t>Shadowrun Trilogy</t>
    </r>
    <r>
      <rPr>
        <rFont val="Arial"/>
        <color theme="1"/>
      </rPr>
      <t xml:space="preserve">, June 21st - https://gamerant.com/xbox-game-pass-june-2022-games-shadowrun-trilogy/ 
</t>
    </r>
    <r>
      <rPr>
        <rFont val="Arial"/>
        <color theme="1"/>
        <u/>
      </rPr>
      <t>Matchpoint - Tennis Championships</t>
    </r>
    <r>
      <rPr>
        <rFont val="Arial"/>
        <color theme="1"/>
      </rPr>
      <t>, July 7th - https://matchpoint-game.com/ 
These games are also all listed under the Coming Soon section on the Game Pass website</t>
    </r>
  </si>
  <si>
    <t xml:space="preserve">thank you so much for this guys, I really appreciate it. </t>
  </si>
  <si>
    <t>You're welcome</t>
  </si>
  <si>
    <t>Wrong initial release dates for a group of games. 
Capsized, Cryptark, Shio, Pyre, Mugsters, Apotheon.
They all say Dec 2014 but they were all released years later.</t>
  </si>
  <si>
    <t>Unsouled, Umurangi Generation, Little Witch in the Woods, Sniper Elite 5, Cricket 22 are all available on Cloud</t>
  </si>
  <si>
    <t>LavosBR</t>
  </si>
  <si>
    <t>Sheet with games that leaved and returned to GP</t>
  </si>
  <si>
    <t>Only a handful hame, I have started adding notes in the owner notes for these</t>
  </si>
  <si>
    <t>These were on Game Pass in the past: 
Batman: Return to Arkham
Borderlands: The Handsome Collection
Disney Epic Mickey 2: The Power of Two
Euro Fishing
F1 2015
Final Fantasy 15
Robocraft Infinity
State of Decay 2
State of Decay 2: Heartland
Thief of Thieves
Some may be variants of others.  I wasn't sure of FF15?
In answer to someone above about IMPORTRANGE, yes this works.  I selected "Master List!A:Q" as the cell refs</t>
  </si>
  <si>
    <t xml:space="preserve">
Batman: Return to Arkham games split up, on list
Same for Borderlands: The Handsome Collection
Disney Epic Mickey 2: The Power of Two added
Euro Fishing on list as Dovetail Games: Euro Fishing
F1 2015 added
Final Fantasy 15 listed as Final Fantasy XV
Robocraft Infinity added
State of Decay 2 listed as SoD 2: Juggernaut Edition
SoD 2: Heartland listed as SoD 2: Juggernaut Edition
Thief of Thieves seems to have never been on GP
See above
Yup!
</t>
  </si>
  <si>
    <r>
      <rPr>
        <rFont val="Arial"/>
      </rPr>
      <t>Forza Horizon 3 was on Game Pass, removed on 27th-Sep-2020 when licence expired
Red Lantern *was* to premiere on Game Pass (PC only?).  I'm not sure if ever did?
EA Play list: I've found 76 titles that possible should be added to your list (via PC Gaming Wiki).  Let me know if you would like them?
Matchpoint: Tennis Championships is coming on 7th July
The following are coming on 21st June:
Shadowrun Returns
Shadownrun: Dragonfall
Shadownrun: Hong Kong
Worms W.M.D and Secret Neighbor are still available on Game Pass.  So is Long Dark, it was on the leaving list but never seem to actually leave
Lots of games announced in the last few days, here's a great list from Eurogamer</t>
    </r>
    <r>
      <rPr>
        <rFont val="Arial"/>
        <color rgb="FF000000"/>
      </rPr>
      <t xml:space="preserve">: </t>
    </r>
    <r>
      <rPr>
        <rFont val="Arial"/>
        <color rgb="FF1155CC"/>
        <u/>
      </rPr>
      <t>https://www.eurogamer.net/xbox-game-pass-games-list-this-month-price-6400</t>
    </r>
    <r>
      <rPr>
        <rFont val="Arial"/>
      </rPr>
      <t xml:space="preserve">  There are some new dates, e.g. for As Dusk Falls</t>
    </r>
  </si>
  <si>
    <t>Legend of Mana (2021)</t>
  </si>
  <si>
    <t xml:space="preserve">I don't believe Forza Horizon 3 was ever on Game Pass
Red Lantern has not been on Game Pass
Can you provide the list?
Added
Added
Updated
Thank you
</t>
  </si>
  <si>
    <t>Vasilios</t>
  </si>
  <si>
    <t>Space Jam: A New Legacy - The Game appears in the list of Likely Leaving. This game is free, and it does not require Game Pass to own it.</t>
  </si>
  <si>
    <t>nmorelli</t>
  </si>
  <si>
    <t xml:space="preserve">Why in the likely leaving list are we seeing limitations on month values, like &gt;10.5 and  &lt;13, or  &gt;22.5 but  &lt;25. Why isn't it just anything greater than 12? </t>
  </si>
  <si>
    <t>It is normally based around 1 or 2 year incrmenets, not 1.5 years</t>
  </si>
  <si>
    <t>LavosTGR</t>
  </si>
  <si>
    <t>Leaving soon: Jurassic World Evolution -- console, cloud
Last Stop -- console, cloud, PC
MotoGP 20 -- console, cloud, PC</t>
  </si>
  <si>
    <t>As pointed out in the public notes, As Dusk Falls has a typo in the title (As DuCk Falls)</t>
  </si>
  <si>
    <t>Fixed lol thanks</t>
  </si>
  <si>
    <t>Tz</t>
  </si>
  <si>
    <t>Plague Tale Requiem Launch Date (18/10/22)</t>
  </si>
  <si>
    <t>Updated thanks!</t>
  </si>
  <si>
    <t>Complete Launch date (including day) at least in upcoming tab</t>
  </si>
  <si>
    <t>I removed this because so many have moved and some just have not come to game pass despite having been confirmed. I'll just add to the main tab when confirmed release dates are made</t>
  </si>
  <si>
    <t>The community editable fields are a great idea, thanks!</t>
  </si>
  <si>
    <t>Of course!</t>
  </si>
  <si>
    <t>Solasta: Crown of the Magister is now available on Xbox in addition to PC</t>
  </si>
  <si>
    <r>
      <rPr>
        <rFont val="Arial"/>
      </rPr>
      <t xml:space="preserve">Garden Story coming to gamepass: </t>
    </r>
    <r>
      <rPr>
        <rFont val="Arial"/>
        <color rgb="FF1155CC"/>
        <u/>
      </rPr>
      <t>https://twitter.com/gardenstorygame/status/1544444534339149824</t>
    </r>
  </si>
  <si>
    <r>
      <rPr>
        <rFont val="Arial"/>
      </rPr>
      <t xml:space="preserve">Upcoming Game Pass releases:
</t>
    </r>
    <r>
      <rPr>
        <rFont val="Arial"/>
        <u/>
      </rPr>
      <t>Disney Dreamlight Valley</t>
    </r>
    <r>
      <rPr>
        <rFont val="Arial"/>
      </rPr>
      <t xml:space="preserve">: September 6th, day one via </t>
    </r>
    <r>
      <rPr>
        <rFont val="Arial"/>
        <color rgb="FF1155CC"/>
        <u/>
      </rPr>
      <t>https://www.xbox.com/en-US/games/disney-dreamlight-valley</t>
    </r>
    <r>
      <rPr>
        <rFont val="Arial"/>
      </rPr>
      <t xml:space="preserve">
</t>
    </r>
    <r>
      <rPr>
        <rFont val="Arial"/>
        <u/>
      </rPr>
      <t>Midnight Fight Express</t>
    </r>
    <r>
      <rPr>
        <rFont val="Arial"/>
      </rPr>
      <t xml:space="preserve">: August 23rd, day one via its trailer and seen here </t>
    </r>
    <r>
      <rPr>
        <rFont val="Arial"/>
        <color rgb="FF1155CC"/>
        <u/>
      </rPr>
      <t xml:space="preserve">https://twitter.com/klobrille/status/1534976777847771136
</t>
    </r>
    <r>
      <rPr>
        <rFont val="Arial"/>
        <u/>
      </rPr>
      <t>Commandos 3 HD</t>
    </r>
    <r>
      <rPr>
        <rFont val="Arial"/>
      </rPr>
      <t xml:space="preserve">: September 1st,
</t>
    </r>
    <r>
      <rPr>
        <rFont val="Arial"/>
        <u/>
      </rPr>
      <t>Signalis</t>
    </r>
    <r>
      <rPr>
        <rFont val="Arial"/>
      </rPr>
      <t xml:space="preserve">: October 27th,
</t>
    </r>
    <r>
      <rPr>
        <rFont val="Arial"/>
        <u/>
      </rPr>
      <t>Immortality</t>
    </r>
    <r>
      <rPr>
        <rFont val="Arial"/>
      </rPr>
      <t>: July 26th, All three of the above vi</t>
    </r>
    <r>
      <rPr>
        <rFont val="Arial"/>
        <color rgb="FF000000"/>
      </rPr>
      <t xml:space="preserve">a </t>
    </r>
    <r>
      <rPr>
        <rFont val="Arial"/>
        <color rgb="FF1155CC"/>
        <u/>
      </rPr>
      <t xml:space="preserve">https://www.purexbox.com/news/2022/06/commandos-3-hd-signalis-and-more-announced-for-xbox-game-pass
</t>
    </r>
    <r>
      <rPr>
        <rFont val="Arial"/>
        <u/>
      </rPr>
      <t>Warhammer 40k: Darktide</t>
    </r>
    <r>
      <rPr>
        <rFont val="Arial"/>
      </rPr>
      <t>: September 13th, day one via</t>
    </r>
    <r>
      <rPr>
        <rFont val="Arial"/>
        <color rgb="FF000000"/>
      </rPr>
      <t xml:space="preserve"> </t>
    </r>
    <r>
      <rPr>
        <rFont val="Arial"/>
        <color rgb="FF1155CC"/>
        <u/>
      </rPr>
      <t xml:space="preserve">https://www.gamespot.com/articles/warhammer-40k-darktide-releasing-september-13-on-xbox-game-pass/1100-6504376/
</t>
    </r>
    <r>
      <rPr>
        <rFont val="Arial"/>
        <u/>
      </rPr>
      <t>Persona 5 Royal</t>
    </r>
    <r>
      <rPr>
        <rFont val="Arial"/>
      </rPr>
      <t>: October 21st via</t>
    </r>
    <r>
      <rPr>
        <rFont val="Arial"/>
        <color rgb="FF000000"/>
      </rPr>
      <t xml:space="preserve"> </t>
    </r>
    <r>
      <rPr>
        <rFont val="Arial"/>
        <color rgb="FF1155CC"/>
        <u/>
      </rPr>
      <t>https://news.xbox.com/en-us/2022/06/12/persona-series-coming-soon-to-xbox/</t>
    </r>
  </si>
  <si>
    <t>Trials of Mana (2020)</t>
  </si>
  <si>
    <t>Updated
Immortality delayed</t>
  </si>
  <si>
    <t>"The Dungeon of Naheulbeuk: The Amulet of Chaos" is listed twice in the Master List</t>
  </si>
  <si>
    <t>Naraka Bladepoint is still listed in the upcoming section but it's already on game pass now</t>
  </si>
  <si>
    <t>This was always showing correctly, including yesterday</t>
  </si>
  <si>
    <t>Edgy</t>
  </si>
  <si>
    <t>Furi is mentioned as a game in PC gp but i cant find it anywhere and a quick google search suggests otherwise</t>
  </si>
  <si>
    <t>Back 4 Blood is leaving soon (74 days left)</t>
  </si>
  <si>
    <t>Did you get this form the microsoft store "leak?" It's not technically confirmed yet right?</t>
  </si>
  <si>
    <t>doucebrise</t>
  </si>
  <si>
    <r>
      <rPr>
        <rFont val="Arial"/>
        <color rgb="FF1155CC"/>
        <u/>
      </rPr>
      <t xml:space="preserve">signalis </t>
    </r>
    <r>
      <rPr>
        <rFont val="Arial"/>
        <color rgb="FF1155CC"/>
        <u/>
      </rPr>
      <t>(october 27th)</t>
    </r>
  </si>
  <si>
    <t>Ara: History Untold</t>
  </si>
  <si>
    <t>Okay, assuming there's not some kind of regional bullshit I'm unaware of, it looks like most of the third party games seem to have been removed from EA Play PC. This seems to include:
Capsized
Cryptark
Diluvion: Resubmerged
Dungeons of Dredmor: Complete
Epistory: Typing Chronicles
HIVESWAP: Act 1
Stealth Bastard Deluxe
Slay The Spire (No longer an EA Play title but still on Game Pass)
Worms W.M.D (ditto)
Moonlighter (thritto?)</t>
  </si>
  <si>
    <r>
      <rPr>
        <rFont val="Arial"/>
      </rPr>
      <t xml:space="preserve">Not listed: </t>
    </r>
    <r>
      <rPr>
        <rFont val="Arial"/>
        <color rgb="FF1155CC"/>
        <u/>
      </rPr>
      <t>Rebel Galaxy (EA Play PC)</t>
    </r>
  </si>
  <si>
    <r>
      <rPr>
        <rFont val="Arial"/>
      </rPr>
      <t xml:space="preserve">Not listed for PC: </t>
    </r>
    <r>
      <rPr>
        <rFont val="Arial"/>
        <color rgb="FF1155CC"/>
        <u/>
      </rPr>
      <t>Super Mega Baseball 3 (EA Play)</t>
    </r>
  </si>
  <si>
    <r>
      <rPr>
        <rFont val="Arial"/>
      </rPr>
      <t xml:space="preserve">Not listed: </t>
    </r>
    <r>
      <rPr>
        <rFont val="Arial"/>
        <color rgb="FF1155CC"/>
        <u/>
      </rPr>
      <t>Syndicate (1993) (EA Play PC)</t>
    </r>
  </si>
  <si>
    <t>Overwatch 2</t>
  </si>
  <si>
    <r>
      <rPr>
        <rFont val="Arial"/>
      </rPr>
      <t xml:space="preserve">Not listed: </t>
    </r>
    <r>
      <rPr>
        <rFont val="Arial"/>
        <color rgb="FF1155CC"/>
        <u/>
      </rPr>
      <t>Ultima Underworld 1 (EA Play PC)</t>
    </r>
  </si>
  <si>
    <r>
      <rPr>
        <rFont val="Arial"/>
      </rPr>
      <t xml:space="preserve">Not listed: </t>
    </r>
    <r>
      <rPr>
        <rFont val="Arial"/>
        <color rgb="FF1155CC"/>
        <u/>
      </rPr>
      <t>Ultima Underworld 2 (EA Play PC)</t>
    </r>
  </si>
  <si>
    <t>Riders Republic</t>
  </si>
  <si>
    <r>
      <rPr>
        <rFont val="Arial"/>
      </rPr>
      <t xml:space="preserve">Upcoming Game Pass releases:
</t>
    </r>
    <r>
      <rPr>
        <rFont val="Arial"/>
        <u/>
      </rPr>
      <t>Moonscars</t>
    </r>
    <r>
      <rPr>
        <rFont val="Arial"/>
      </rPr>
      <t xml:space="preserve">: September 27th, </t>
    </r>
    <r>
      <rPr>
        <rFont val="Arial"/>
        <color rgb="FF1155CC"/>
        <u/>
      </rPr>
      <t xml:space="preserve">https://www.youtube.com/watch?v=2JQHg517Cz8
</t>
    </r>
    <r>
      <rPr>
        <rFont val="Arial"/>
        <u/>
      </rPr>
      <t>Train Sim World 3</t>
    </r>
    <r>
      <rPr>
        <rFont val="Arial"/>
      </rPr>
      <t xml:space="preserve">: September 6th, </t>
    </r>
    <r>
      <rPr>
        <rFont val="Arial"/>
        <color rgb="FF1155CC"/>
        <u/>
      </rPr>
      <t xml:space="preserve">https://news.xbox.com/en-us/2022/08/09/master-the-machine-with-train-sim-world-3-launching-september-6/
</t>
    </r>
    <r>
      <rPr>
        <rFont val="Arial"/>
        <u/>
      </rPr>
      <t>Beacon Pines</t>
    </r>
    <r>
      <rPr>
        <rFont val="Arial"/>
      </rPr>
      <t xml:space="preserve">: September 22nd, </t>
    </r>
    <r>
      <rPr>
        <rFont val="Arial"/>
        <color rgb="FF1155CC"/>
        <u/>
      </rPr>
      <t>https://twitter.com/BeaconPines/status/1560295461860347905</t>
    </r>
  </si>
  <si>
    <t>Geoffrey</t>
  </si>
  <si>
    <t>EA Play list:
- Games header should probably match the standard of "Game" like the rest of the lists
- Platform header has a typo, is currently "Platorm"</t>
  </si>
  <si>
    <t>High on Life releases on December 13th and will be Day One Gamepass
Slime Rancher 2 releases on September 22nd and will be Day One Gamepass</t>
  </si>
  <si>
    <t>I think we could clean up  / delete some old rows of this
table, old stuff you already implemented or answered to
make it clearer</t>
  </si>
  <si>
    <t>I like leaving it as a log for changes</t>
  </si>
  <si>
    <t>Tim</t>
  </si>
  <si>
    <t>Signs of the Sojourner is marked with xbox 360 in its note.</t>
  </si>
  <si>
    <t>That's fine, at some point someone from the community wanted to show the console each game launched on</t>
  </si>
  <si>
    <t>Microsoft Solitaire Collection is showing in the 'Likely Leaving' section. This seems unlikely as it's a first-party title. (see also: Crimson Skies, and possibly Blinx the Time Sweeper but who bloody knows with that one what with Artoon being super dead)</t>
  </si>
  <si>
    <r>
      <rPr>
        <rFont val="Arial"/>
      </rPr>
      <t xml:space="preserve">Tom Clancy's Rainbow Six Siege, Tom Clancy's Rainbow Six Extraction, Tetris Effect: Connected, Secret Neighbor, Realm Royale, Quake, Power Rangers: Battle for the Grid, Teenage Mutant Ninja Turtles: Shredder's Revenger, Among Us, Aragami 2, Black Desert, Bleeding Edge, Craftopia, Embr, For Honor, Halo Infinite, Killer Instinct (2013): Definitive Edition.MechWarrior 5: Mercenaries, Microsoft Flight Simulator, Minecraft Dungeons, MLB The Show 22, Monster Train, Mortal Kombat 11  they all have CROSSPLAY. https://1drv.ms/x/s!AqvH7IJ-eRvhhdlBrL0BG6M_ppq9PQ?e=AUxR18 </t>
    </r>
    <r>
      <rPr>
        <rFont val="Arial"/>
        <color rgb="FF1155CC"/>
        <u/>
      </rPr>
      <t>https://www.windowscentral.com/xbox-cross-play-games</t>
    </r>
  </si>
  <si>
    <t>Age of Mythology: Retold</t>
  </si>
  <si>
    <t>Updated
Realm Royale is F2P</t>
  </si>
  <si>
    <t>Pentiment release date is November 15th (first party, day one gamepass)</t>
  </si>
  <si>
    <r>
      <rPr>
        <rFont val="Arial"/>
      </rPr>
      <t>Here's are the 76 EA Play games:
(from</t>
    </r>
    <r>
      <rPr>
        <rFont val="Arial"/>
        <color rgb="FF000000"/>
      </rPr>
      <t xml:space="preserve"> </t>
    </r>
    <r>
      <rPr>
        <rFont val="Arial"/>
        <color rgb="FF1155CC"/>
        <u/>
      </rPr>
      <t>https://www.pcgamingwiki.com/wiki/List_of_EA_Play_games)</t>
    </r>
    <r>
      <rPr>
        <rFont val="Arial"/>
      </rPr>
      <t xml:space="preserve">
Command &amp; Conquer 3: Tiberium Wars
Command &amp; Conquer 4: Tiberian Twilight
Command &amp; Conquer Remastered Collection
Command &amp; Conquer: Red Alert 2
Command &amp; Conquer: Red Alert 3
Command &amp; Conquer: Red Alert 3 - Uprising
Command &amp; Conquer: Renegade
Command &amp; Conquer: Tiberian Sun
FIFA 22
Syndicate
Battlefield 2042
GRID Legends
AO Tennis 2
Autonauts
Beholder 2
Biomutant
Breathedge
Command &amp; Conquer
Command &amp; Conquer: Generals
Command &amp; Conquer: Red Alert
Conan Chop Chop
Darkwood
Dead Cells
Dungeons 3
Endless Legend
Farmer's Dynasty
Fran Bow
Frostpunk
Ghost of a Tale
Gone Home
Halcyon 6: Lightspeed Edition
Hand of Fate
Hospital Tycoon
Hyper Light Drifter
Inside
Judgment
Kingdoms of Amalur: Re-Reckoning
Limbo
Mad Games Tycoon
Operation Flashpoint: Dragon Rising
Opus Magnum
Overlord (2007)
Overlord 2
Overlord: Fellowship of Evil
Project CARS
Project Highrise
Rise of the Argonauts
Shadow Tactics: Blades of the Shogun
Shenzhen I/O
Star Wars: Empire at War
Star Wars: Galactic Battlegrounds
Star Wars: Jedi Knight - Dark Forces 2
Star Wars: Jedi Knight - Jedi Academy
Star Wars: Jedi Knight 2 - Jedi Outcast
Star Wars: Knights of the Old Republic
Star Wars: Knights of the Old Republic 2 - The Sith Lords
Star Wars: Rebel Assault
Star Wars: Rebel Assault 2: The Hidden Empire
Star Wars: The Force Unleashed
Star Wars: The Force Unleashed 2
Star Wars: TIE Fighter
Star Wars: X-Wing
Star Wars: X-Wing vs. TIE Fighter
Sudden Strike 4
Super Mega Baseball 3
Sinking City
Solus Project
Surge
Surge 2
They Are Billions
Toybox Turbos
Trine 4: The Nightmare Prince
Turmoil
Two Point Hospital
Ultima Underworld 2: Labyrinth of Worlds
Ultima Underworld: The Stygian Abyss</t>
    </r>
  </si>
  <si>
    <t>Star Trucker</t>
  </si>
  <si>
    <t>This list is not correct</t>
  </si>
  <si>
    <r>
      <rPr>
        <rFont val="Arial"/>
        <color rgb="FF1155CC"/>
        <u/>
      </rPr>
      <t>https://www.gematsu.com/2022/08/ghost-song-launches-november-3-for-ps5-xbox-series-ps4-xbox-one-switch-and-pc</t>
    </r>
    <r>
      <rPr>
        <rFont val="Arial"/>
        <color rgb="FF000000"/>
        <u/>
      </rPr>
      <t xml:space="preserve"> Ghost Song, Day one Gamepass, November 3rd</t>
    </r>
  </si>
  <si>
    <t>AminZzZ</t>
  </si>
  <si>
    <r>
      <rPr>
        <rFont val="Arial"/>
      </rPr>
      <t xml:space="preserve">Metal: Hellsinger is NOT an Xbox exclusive </t>
    </r>
    <r>
      <rPr>
        <rFont val="Arial"/>
        <color rgb="FF1155CC"/>
        <u/>
      </rPr>
      <t>https://www.playstation.com/en-gb/games/metal-hellsinger/</t>
    </r>
    <r>
      <rPr>
        <rFont val="Arial"/>
      </rPr>
      <t xml:space="preserve"> - </t>
    </r>
    <r>
      <rPr>
        <rFont val="Arial"/>
      </rPr>
      <t>I9 cell is empty</t>
    </r>
  </si>
  <si>
    <t>DOOM + DOOM II: Enhanced</t>
  </si>
  <si>
    <t>The header for the exclusive column is not for that, uit is xbox one and/or xbox series x|s</t>
  </si>
  <si>
    <r>
      <rPr>
        <rFont val="Arial"/>
        <color rgb="FF071924"/>
        <u/>
      </rPr>
      <t xml:space="preserve">https://news.xbox.com/en-us/2022/09/07/gungrave-gore-launching-day-one-with-game-pass/
</t>
    </r>
    <r>
      <rPr>
        <rFont val="Arial"/>
        <color rgb="FF000000"/>
        <u/>
      </rPr>
      <t>Also it'd be really nice if you could remove (or somehow shrink) that giant list of EA Play games above from this sheet, as it makes it hard to navigate the suggestions</t>
    </r>
  </si>
  <si>
    <t>Added
Done</t>
  </si>
  <si>
    <t>"Turbo Golf Racing" should be titled "Turbo Golf Racing (Game Preview)"</t>
  </si>
  <si>
    <t>The Age cell for Ghost Song seems to be missing</t>
  </si>
  <si>
    <t>add languages</t>
  </si>
  <si>
    <t>That is too manual</t>
  </si>
  <si>
    <t>A Plague Tale: Requiem and S.T.A.L.K.E.R. 2: Heart of Chornobyl are Xbox series X|S exclusives
(will not be released on Xbox one)</t>
  </si>
  <si>
    <r>
      <rPr>
        <rFont val="Arial"/>
      </rPr>
      <t xml:space="preserve">Deathloop will be on gamepass on 9/20 Xbox series X|S exclusive </t>
    </r>
    <r>
      <rPr>
        <rFont val="Arial"/>
        <color rgb="FF1155CC"/>
        <u/>
      </rPr>
      <t>https://www.theverge.com/2022/9/15/23352606/deathloop-xbox-series-x-s-release-date-ps5-microsoft</t>
    </r>
  </si>
  <si>
    <t>Enhanced versions</t>
  </si>
  <si>
    <r>
      <rPr>
        <rFont val="Arial"/>
      </rPr>
      <t xml:space="preserve">Upcoming Gamepass Releases: </t>
    </r>
    <r>
      <rPr>
        <rFont val="Arial"/>
        <color rgb="FF1155CC"/>
        <u/>
      </rPr>
      <t xml:space="preserve">
</t>
    </r>
    <r>
      <rPr>
        <rFont val="Arial"/>
        <u/>
      </rPr>
      <t>Coral Island</t>
    </r>
    <r>
      <rPr>
        <rFont val="Arial"/>
      </rPr>
      <t xml:space="preserve">: October 11th, </t>
    </r>
    <r>
      <rPr>
        <rFont val="Arial"/>
        <color rgb="FF1155CC"/>
        <u/>
      </rPr>
      <t xml:space="preserve">https://www.pcgamesn.com/coral-island/pc-game-pass-humble
</t>
    </r>
    <r>
      <rPr>
        <rFont val="Arial"/>
        <u/>
      </rPr>
      <t>Phantom Abyss</t>
    </r>
    <r>
      <rPr>
        <rFont val="Arial"/>
      </rPr>
      <t xml:space="preserve">: October 20th, </t>
    </r>
    <r>
      <rPr>
        <rFont val="Arial"/>
        <color rgb="FF1155CC"/>
        <u/>
      </rPr>
      <t>https://twitter.com/devolverdigital/status/1579849304746754048</t>
    </r>
    <r>
      <rPr>
        <rFont val="Arial"/>
      </rPr>
      <t xml:space="preserve">
</t>
    </r>
    <r>
      <rPr>
        <rFont val="Arial"/>
        <u/>
      </rPr>
      <t>Gunfire Reborn</t>
    </r>
    <r>
      <rPr>
        <rFont val="Arial"/>
      </rPr>
      <t>: October 27th,</t>
    </r>
    <r>
      <rPr>
        <rFont val="Arial"/>
        <color rgb="FF071924"/>
      </rPr>
      <t xml:space="preserve"> </t>
    </r>
    <r>
      <rPr>
        <rFont val="Arial"/>
        <color rgb="FF1155CC"/>
        <u/>
      </rPr>
      <t xml:space="preserve">https://twitter.com/505_Games/status/1570774627500048384
</t>
    </r>
    <r>
      <rPr>
        <rFont val="Arial"/>
        <u/>
      </rPr>
      <t>The Legend of Tianding</t>
    </r>
    <r>
      <rPr>
        <rFont val="Arial"/>
      </rPr>
      <t>: October 31st,</t>
    </r>
    <r>
      <rPr>
        <rFont val="Arial"/>
        <color rgb="FF071924"/>
      </rPr>
      <t xml:space="preserve"> </t>
    </r>
    <r>
      <rPr>
        <rFont val="Arial"/>
        <color rgb="FF1155CC"/>
        <u/>
      </rPr>
      <t>https://www.gematsu.com/2022/10/the-legend-of-tianding-for-ps5-xbox-series-ps4-and-xbox-one-launches-october-31-alongside-free-boss-rush-update</t>
    </r>
  </si>
  <si>
    <t>Crash Bandicoot N. Sane Trilogy</t>
  </si>
  <si>
    <t>Updated, thank you for being amazing and providing links!!!</t>
  </si>
  <si>
    <r>
      <rPr>
        <rFont val="Arial"/>
      </rPr>
      <t xml:space="preserve">Slime Rancher leaving September 30th </t>
    </r>
    <r>
      <rPr>
        <rFont val="Arial"/>
        <color rgb="FF1155CC"/>
        <u/>
      </rPr>
      <t>https://www.trueachievements.com/n51131/xbox-game-pass-leaving-soon</t>
    </r>
  </si>
  <si>
    <t>Football Managager 2023 is misspelled</t>
  </si>
  <si>
    <r>
      <rPr>
        <rFont val="Arial"/>
      </rPr>
      <t xml:space="preserve">Despot's Game delayed to September 29th: </t>
    </r>
    <r>
      <rPr>
        <rFont val="Arial"/>
        <color rgb="FF1155CC"/>
        <u/>
      </rPr>
      <t>https://twitter.com/Despotism_3k/status/1569710108715765760</t>
    </r>
  </si>
  <si>
    <t>Call of Duty: Modern Warfare III</t>
  </si>
  <si>
    <t>Danganronpa 3 is grossly misgenred. If you aren't going to manually change listed genres, I don't blame you</t>
  </si>
  <si>
    <t>Sorry I straight copy, paste from Giantbomb, if you want to tell me what it should be updated to, I would be happy to make the edits</t>
  </si>
  <si>
    <t>Kreeeee</t>
  </si>
  <si>
    <t>Leaving end of September 2022:
    AI: The Somnium Files
    Astria Ascending
    Dandy Ace
    Going Under
    Lemnis Gate
    Slime Rancher
    Subnautica: Below Zero
    The Procession to Calvary
    Unsighted
    Visage</t>
  </si>
  <si>
    <t>Laleth</t>
  </si>
  <si>
    <t>Despite being annonced leaving for the 15th of September, Aragami 2 is still present on the GP as of today (26/09) and I can play it on xCloud: maybe note it as Not Removed?</t>
  </si>
  <si>
    <t>Costume Quest is Xbox Game Studios from Double Fine</t>
  </si>
  <si>
    <t>Coral Island and Dyson Sphere Program are Game Previews</t>
  </si>
  <si>
    <t>Courtney</t>
  </si>
  <si>
    <t>Epic Mickey: The Power of Two is on the list twice as two titles - Disney Epic Mickey 2: The Power of Two &amp; Epic Mickey 2: The Power of Two</t>
  </si>
  <si>
    <t>Atomic Heart is day one Gamepass on February 21, 2023 (https://www.thegamer.com/atomic-heart-launches-february-21/)</t>
  </si>
  <si>
    <t>Wo Long should switch places with Persona 3 to be in order by date</t>
  </si>
  <si>
    <t xml:space="preserve">Return to Monkey Island is Series S/X exclusive (as in, only available to play on Xbox One via Cloud) </t>
  </si>
  <si>
    <t>Need to add subnautica to leaving soon and remove from likely leaving</t>
  </si>
  <si>
    <t>Lapin is a Game Preview</t>
  </si>
  <si>
    <t>CS Student</t>
  </si>
  <si>
    <t>I'm a student in comp sci, and therefore understand working on projects that are for passion, not reward. However, I'm sure there are at least a few others who would voluntarily donate either funds or time (here) or both. Do you have an option or plan on doing so? Totally understandable if not/too complicated. Thank you so very much for this either way! MS should be paying you!</t>
  </si>
  <si>
    <t>I would love to, I haven't had anyone offer help besides making suggestions and the help of adding retail prices for games whose names exactly match MS's store and I haven't figured a way for this to work for all</t>
  </si>
  <si>
    <t>Is there a bitly or linktree or QR code for this sheet? (the latter can usually be made by a browser in incognito mode so not to accidentally add editors)</t>
  </si>
  <si>
    <t>No, I'm not even too sure how to do this</t>
  </si>
  <si>
    <r>
      <rPr>
        <rFont val="Arial"/>
        <color theme="1"/>
      </rPr>
      <t xml:space="preserve">I believe there is a way to lock/backup this tab/sheet while </t>
    </r>
    <r>
      <rPr>
        <rFont val="Arial"/>
        <i/>
        <color theme="1"/>
      </rPr>
      <t xml:space="preserve">also still </t>
    </r>
    <r>
      <rPr>
        <rFont val="Arial"/>
        <color theme="1"/>
      </rPr>
      <t>allowing editing by anon users. I notice it allows someone to "delete" accidentally the entire sheet.</t>
    </r>
  </si>
  <si>
    <t>Joins cloud on 10/25/24 (GPU only)</t>
  </si>
  <si>
    <t>Can you please make a share request and provide your email so we can talk about this in an email?</t>
  </si>
  <si>
    <t>Miggi</t>
  </si>
  <si>
    <t>It would be nice to have a tab for Ubisoft games on Game Pass</t>
  </si>
  <si>
    <t>Just filter Owner Notes for Ubisoft Connect launcher</t>
  </si>
  <si>
    <t>Hioki</t>
  </si>
  <si>
    <t>ive noticed that silksong is not in upcoming</t>
  </si>
  <si>
    <t>are games in likely living tab added 12n±1 months ago?</t>
  </si>
  <si>
    <t>You can see the formula in A3 -1 &lt; x &lt; 1 around each year increment</t>
  </si>
  <si>
    <t>Maybe this is already known but Starfield was definitley confirmed for Game Pass in the Game awards.</t>
  </si>
  <si>
    <t>It's in upcoming, just shifted from the main sheet due to the delays</t>
  </si>
  <si>
    <t>gadelat</t>
  </si>
  <si>
    <t>Prodeus, Tainted Grail: Conquest are listed here as PC only, but store says it's Xbox / PC</t>
  </si>
  <si>
    <t>It doesn't look like Crysis: Remastered is part of game pass</t>
  </si>
  <si>
    <t>You need to use the EA Play app, not the Xbox app</t>
  </si>
  <si>
    <t>fuga melodies of steel, ni no kuni remastered, super mega baseball 3, are all on pc game pass, says only xbox, also shows syndicate 1993 and ultima underworld as available on pc gamepass but i cant find them</t>
  </si>
  <si>
    <t>Updated
You need to use the EA Play app, not the Xbox app</t>
  </si>
  <si>
    <t>Nickelodeon All-Star Brawl 2</t>
  </si>
  <si>
    <r>
      <rPr>
        <rFont val="Arial"/>
      </rPr>
      <t xml:space="preserve">Elder scrolls online xcloud reinstated after removal in February 2022 (see b232) </t>
    </r>
    <r>
      <rPr>
        <rFont val="Arial"/>
        <color rgb="FF1155CC"/>
        <u/>
      </rPr>
      <t>https://www.trueachievements.com/n52349/xbox-cloud-gaming-the-elder-scrolls-online-game-pass-ultimate</t>
    </r>
  </si>
  <si>
    <t>RDS</t>
  </si>
  <si>
    <t>PEGI rating columns in the same format as ESRB in the main sheet?</t>
  </si>
  <si>
    <t>Too much clutter, there is already a lot of rating information</t>
  </si>
  <si>
    <t>runner</t>
  </si>
  <si>
    <t>ark is on game pass "perpetually" and ark 2 will be "at least three years" according to the devs - i would say ark is no longer "likely to be removed"</t>
  </si>
  <si>
    <t>I agree but that formula should not be changed for 1 exception that will go away automatically</t>
  </si>
  <si>
    <t>keyduq</t>
  </si>
  <si>
    <t>Dead Space has a wrong release date, it should be October 2008</t>
  </si>
  <si>
    <t>E10+</t>
  </si>
  <si>
    <t>Medieval Dynasty seems to be duplicated since there is another one called Medieval Dynasty (Game Preview), I think the game is not in preview anymore.</t>
  </si>
  <si>
    <t>hioki</t>
  </si>
  <si>
    <t>xgs tab. e136 should be on e139 as of 1 feb 2023</t>
  </si>
  <si>
    <t>Removed the notes entirely</t>
  </si>
  <si>
    <t>KaykyEleuOreo</t>
  </si>
  <si>
    <t xml:space="preserve">Fuga Melodies of steel sequel is confirmed to come to gamepass, source: https://www.gematsu.com/2023/01/fuga-melodies-of-steel-2-launches-may-11 </t>
  </si>
  <si>
    <t>Comic Mischief, Fantasy Violence</t>
  </si>
  <si>
    <t>BeegTank</t>
  </si>
  <si>
    <t>Alien: Isolation is also leaving gamepass on 1st of March</t>
  </si>
  <si>
    <t>Age of empires 2:DE supports crossplay Xbox/PC</t>
  </si>
  <si>
    <t>uglygod</t>
  </si>
  <si>
    <t>why does everything clear out when I try to sort by Metacritic score on the "Removed" tab? It works for all the other tabs except "Removed". It looks like it hides the rows for some reason. idk maybe I'm an idiot with google sheets.</t>
  </si>
  <si>
    <t>Sorry no idea, can't help you here</t>
  </si>
  <si>
    <t xml:space="preserve">Clustertruck, Power Rangers, Kraken Academy, A Memoir Blue, Chinatown Detective Agency, Double Dragon Neon, MLB The Show 22 are leaving on April 1st </t>
  </si>
  <si>
    <t>Consider making the default sort Metascore on each tab. This is a really common request and you can see everyone trying to sort the tabs be Metacritic score all the time.</t>
  </si>
  <si>
    <t>I have it for the platform specific ones but I wnat the other tabs to go by when they were added</t>
  </si>
  <si>
    <t xml:space="preserve">Dragon age Inquisition seems to be missing from gamepass </t>
  </si>
  <si>
    <t>It's there</t>
  </si>
  <si>
    <t>vikingdog</t>
  </si>
  <si>
    <t>You could add which console it was originally released on, I know the official library has a classics but it would be nice to see the break down compared to new games. unless there is already something for that which I haven't been able to find. great work by the way!</t>
  </si>
  <si>
    <t>Some people have kind of added that in the past in the community notes but the best way to go by that is to just look at the release date/age</t>
  </si>
  <si>
    <t>AW</t>
  </si>
  <si>
    <t>Moving Out 2</t>
  </si>
  <si>
    <t>add to crossplay: 
Anvil: Vault Breaker (Game Preview), Chivalry 2, Escape Academy, Gang Beasts, Gunfire Reborn, Human Fall Flat, Monster Hunter Rise, Naraka: Bladepoint, PowerWash Simulator, Sniper Elite 5, Star Wars: Squadrons, Valheim (Game Preview), Wo Long: Fallen Dynasty</t>
  </si>
  <si>
    <t>Updated, thank you so much for this!</t>
  </si>
  <si>
    <t>upcoming tab is outdated. inkluminati and mc legend were launched</t>
  </si>
  <si>
    <t>Haibohne</t>
  </si>
  <si>
    <t>Prodeus is available on xcloud</t>
  </si>
  <si>
    <t xml:space="preserve">CreeperChief </t>
  </si>
  <si>
    <t>Dordogne coming to Game Pass on June 13th. Also Hypnospace Outlaw coming to Game Pass in June 6th. Also a suggestion of adding Game Preview tab for games in Early Access (Game Preview)</t>
  </si>
  <si>
    <t>I'm not so sure adding a game preview tab would be helpful as games could be lacking in features and polish</t>
  </si>
  <si>
    <t>Farworld Pioneers has the incorrect date in the "Added" tab (Should be May 30th)</t>
  </si>
  <si>
    <t>the title of "Teenage Mutant Ninja Turtles: Shredder's Revenge" is misspelled (there's an extra r at the end)</t>
  </si>
  <si>
    <t>Leaving soon:
Omori
Olija
Road 96
Matchpoint - Tennis Championships
DJMAX RESPECT V
Empire of Sin</t>
  </si>
  <si>
    <t>B</t>
  </si>
  <si>
    <t>I started the poor attempt at the Multiplayer tab think it could be super useful to many players. I see now that others have mentioned this in this thread and it is too much work as there are no offical docs to scrape this info from. Perhaps I can organize some people to go through and test the library, or maybe see if co-optimus has an API</t>
  </si>
  <si>
    <t>That would be great, thank you!</t>
  </si>
  <si>
    <t>Inside is not likely leaving as it's been added to the Game Pass Core games list.</t>
  </si>
  <si>
    <t>In crossplay list but removed: The Ascent</t>
  </si>
  <si>
    <t>I don't update that list with removed games, it drives the colors for the main sheet</t>
  </si>
  <si>
    <t>Age of Empires IV is available on Xbox/PC now</t>
  </si>
  <si>
    <t>As Dusk Falls is published by Xbox game studios</t>
  </si>
  <si>
    <t>Sed</t>
  </si>
  <si>
    <t>Most games are hidden in the Master List, I think the filter for Game Pass Core is applied on it?</t>
  </si>
  <si>
    <t>Cocoon is Day One gamepass, releases September 29th</t>
  </si>
  <si>
    <r>
      <rPr>
        <rFont val="Arial"/>
        <color theme="1"/>
      </rPr>
      <t>Headbangers: Rhythm Royal should be
Headbangers: Rhythm Royal</t>
    </r>
    <r>
      <rPr>
        <rFont val="Arial"/>
        <i/>
        <color theme="1"/>
      </rPr>
      <t>e</t>
    </r>
  </si>
  <si>
    <t>test</t>
  </si>
  <si>
    <t>add How Long to Beat info if possible</t>
  </si>
  <si>
    <t>It is, it's the base game completion time</t>
  </si>
  <si>
    <t>J. Safir</t>
  </si>
  <si>
    <t>E</t>
  </si>
  <si>
    <t>Is there a reason why certain old games are missing from the likely leaving tab? I noticed Coffee Talk, Cooking Simulator, Offworld Trading Company, the yakuza games, etc.</t>
  </si>
  <si>
    <t>The function is based on if a game is 1.5 months away from hitting yearly increments or 1 month over, if it is not in that range it won't be flagged</t>
  </si>
  <si>
    <t>Crude Humor</t>
  </si>
  <si>
    <t>Dunedain</t>
  </si>
  <si>
    <t>add to crossplay: Broforce, Minecraft Legends, Railway Empire 2, Redfall, Turbo Golf Racing, Techtonica, Payday 3, Party Animals</t>
  </si>
  <si>
    <t>Added, thanks I need people to tell me this as I don't check lists for this</t>
  </si>
  <si>
    <t>crossplay tab: spelling error - Teenage Mutant Ninja Turtles: Shredder's Revenge (says "Revenger" on tab)</t>
  </si>
  <si>
    <t>Hassan</t>
  </si>
  <si>
    <t>Starfield Metacritic Rating is 84, not 87</t>
  </si>
  <si>
    <t>s2</t>
  </si>
  <si>
    <t>leaving soon:
Eville
Overwhelm
Shenzen I/O
The Legend of Tianding
Trek to Yomi
Turnip Boy Commits Tax Evasion</t>
  </si>
  <si>
    <t>erick xbLiV</t>
  </si>
  <si>
    <t xml:space="preserve">Speaking of multiplayer, could we get another column for combo coop games? (Local + online) </t>
  </si>
  <si>
    <t>This is too much info for me to do on my own</t>
  </si>
  <si>
    <t xml:space="preserve">MozartDaniel </t>
  </si>
  <si>
    <t>Could it be possible to add a Publisher column? I'd like to try to decipher some publishers and how long do they tend to have their games on Game Pass.</t>
  </si>
  <si>
    <t>This is too much info for me to do on my own. Some poeple tend to enter info in the community notes column for this or used to</t>
  </si>
  <si>
    <t>Like a Dragon: Ishin! should be removed from "upcoming" tab as it is already availabe on Gamepass</t>
  </si>
  <si>
    <t>This is done automiatically and will not update if you are in a different timezone (the matter of so many hours)</t>
  </si>
  <si>
    <t>nadsAE</t>
  </si>
  <si>
    <r>
      <rPr>
        <rFont val="Arial"/>
      </rPr>
      <t xml:space="preserve">Add column for Geforcne Now compatibility games since more and more PC GP games can be accessed through them. Blogpost updates new additions every thursday Eg: </t>
    </r>
    <r>
      <rPr>
        <rFont val="Arial"/>
        <color rgb="FF1155CC"/>
        <u/>
      </rPr>
      <t>https://blogs.nvidia.com/blog/2023/08/24/geforce-now-thursday-aug-24/</t>
    </r>
  </si>
  <si>
    <t>Hellblade II: Senua’s Saga</t>
  </si>
  <si>
    <t>crossplay:
add: Headbangers: Rhythm Royale, Gotham Knights, Texas Chainsaw Massacre, Warhammer 40,000: Darktide
remove: Tom Clancy's Rainbow Six: Extraction, Broforce</t>
  </si>
  <si>
    <t>Updated, you can manually enter these on the bottom of the crossplay tab (just make sure the nemaes exactly match how they are on the master list)</t>
  </si>
  <si>
    <t>OmniscientCajun</t>
  </si>
  <si>
    <t>Leaving Soon (12/31/23):
Grand Theft Auto V
Monster Train
Naraka: Bladepoint - Deluxe Edition</t>
  </si>
  <si>
    <t>Added (~12/13/23?):
Pillars of Eternity: Deluxe Edition (PC only)</t>
  </si>
  <si>
    <t>shazbot131</t>
  </si>
  <si>
    <t>Could you add a colum that tells us how many online coop players you can have.  always looking for LAN party games for 5-8 people</t>
  </si>
  <si>
    <t>tman</t>
  </si>
  <si>
    <r>
      <rPr>
        <rFont val="Arial"/>
      </rPr>
      <t xml:space="preserve">Roboquest left early access preview and v1.0 released in 11/2023.  Not sure how it affects likely leaving but good to add as details: </t>
    </r>
    <r>
      <rPr>
        <rFont val="Arial"/>
        <color rgb="FF1155CC"/>
        <u/>
      </rPr>
      <t>https://gamerant.com/xbox-game-pass-leaves-early-access-full-release/</t>
    </r>
  </si>
  <si>
    <t>noname</t>
  </si>
  <si>
    <t>Thanks for this useful spreadsheet
suggested edits:
Close to the Sun    System      Xbox / PC
Yakuza i    Game        Yakuza Kiwami
Series X exclusives:
Microsoft Flight Simulator (2020): Game of the Year Edition
This War of Mine: Final Cut</t>
  </si>
  <si>
    <t>drops</t>
  </si>
  <si>
    <t xml:space="preserve">1-"Massice Chalise" and "The Cave"  they have to be in yellow
2-"Ninja Gaiden II" should not be yellow
3-"Iron Brigade" was added on April 6, 2023 XBOX/CLOUD
4-"Minecraft Preview" available XBOX/PC
5-"Conan Chop Chop" it's on EA Play PC
6-"NBA Live 16"  was removed on October 19, 2020
7-"NHL 17"  was removed on October 13, 2020
8-"Tainted Grail: Conquest"  was removed on September 15, 2023
9-"Rocket Arena" was removed on November 14, 2023
10-Halo 2: Anniversary, Halo 3, Halo 3: ODST, Halo 4, Halo: Combat Evolved - Anniversary, Halo: Reach, Close to the Sun
and Rise of the Tomb Raider also available on Xbox
11-Cricket 22, Everspace 2, Mutant Year Zero: Road to Eden, Opus Magnum, Stacking and Tainted Grail: Conquest is duplicated
</t>
  </si>
  <si>
    <t>Updated
Thank you so so much, comments like these are absolutely amazing and ifnormative in order to keep this list perfect
I don't see Conan Chop Chop on the EA Play list, was that a limited run?</t>
  </si>
  <si>
    <t>Blood and Gore, Intense Violence, Strong Language</t>
  </si>
  <si>
    <t>ThoughtfulHedon</t>
  </si>
  <si>
    <t xml:space="preserve"> If we could add GeForce Now availability as another metric that'd be great, having a hard time finding a list over what's available on PCGP/GFN. Happy to help how I can</t>
  </si>
  <si>
    <t>If you can get me a full list and have the names correspond to what is in my sheet, I'll add a column, but then someone wold have to detail whenever they add new items too</t>
  </si>
  <si>
    <t>Bluebell</t>
  </si>
  <si>
    <t>Metacritic score for INFINITE GUITARS seems to be wrong. Says 85, should be 62.</t>
  </si>
  <si>
    <t>vbrison</t>
  </si>
  <si>
    <t>Age of Mythology: Retold confirmed to be coming out in 2024, should be updated on the upcoming tab.</t>
  </si>
  <si>
    <t>Updated, removed from teh upcoming tab and added to the master list</t>
  </si>
  <si>
    <r>
      <rPr>
        <rFont val="Arial"/>
        <color theme="1"/>
      </rPr>
      <t xml:space="preserve">A question, really: sometimes a game isn't listed as Play Anywhere </t>
    </r>
    <r>
      <rPr>
        <rFont val="Arial"/>
        <i/>
        <color theme="1"/>
      </rPr>
      <t>anywhere</t>
    </r>
    <r>
      <rPr>
        <rFont val="Arial"/>
        <color theme="1"/>
      </rPr>
      <t>, but it still allows for cross save (e.g. Soul Hackers 2). Are you putting those games on the Play Anywhere column? If not, how about adding a cross save column because for GP users that might be useful, knowing they can play a game on PC/console/cloud and the progress carries over between each platform.</t>
    </r>
  </si>
  <si>
    <t>Is there a list of these? I tried making a community section that people could edit but no one does</t>
  </si>
  <si>
    <t>"Control: ultimate edition" can be tagged as "returning title" since the standard edition was removed from gamepass about 2 yeas ago</t>
  </si>
  <si>
    <r>
      <rPr>
        <rFont val="Arial"/>
      </rPr>
      <t xml:space="preserve">Check the latest news report about game pass, Ni no kuni is no longer leaving: </t>
    </r>
    <r>
      <rPr>
        <rFont val="Arial"/>
        <color rgb="FF1155CC"/>
        <u/>
      </rPr>
      <t>https://news.xbox.com/en-us/2024/03/05/xbox-game-pass-new-for-march-2024/</t>
    </r>
  </si>
  <si>
    <t>Immortals of Aveum</t>
  </si>
  <si>
    <t>Populous: The Beginning isn't present in EA Play</t>
  </si>
  <si>
    <t>Yes it is, check the EA Play app</t>
  </si>
  <si>
    <t>Just checked and The Quarry is not on game pass PC</t>
  </si>
  <si>
    <t>why is the layout of this page destroyed? On the edit history, you can see on May 14 someone deleted every cell in here I assume as a "prank" damn. I restored it, but somebody deleted again...mhh</t>
  </si>
  <si>
    <t>Fixed and locked</t>
  </si>
  <si>
    <t>Randy</t>
  </si>
  <si>
    <t>A bunch of #N/A errors in the upcoming tab. Not sure what exactly you were doing there of i would offfer a repair formula. Thanks for the work youre doing here</t>
  </si>
  <si>
    <t>This is on purpose to make sure I remove the games from the upcoming tab when they are on the master list</t>
  </si>
  <si>
    <t>Recster</t>
  </si>
  <si>
    <t>Since we have lists for Playstation Plus and Game Pass, why not create one for Ubisoft+?  That list is rather large, and may be starting to update more frequently.
(edit: at least a year hence, and no response.  why?)</t>
  </si>
  <si>
    <t>Blood, Strong Language, Violence</t>
  </si>
  <si>
    <t>Sorry this seems like a big ask, I meant to respond. I'm unaware of there being any sort of blog or anything of the sort that tracks when games are released for Ubisoft and I use blog posts as my main material for this and PS+</t>
  </si>
  <si>
    <t>cdncowboy</t>
  </si>
  <si>
    <t>tab for game pass standard</t>
  </si>
  <si>
    <t>Zilvor Wolf</t>
  </si>
  <si>
    <t>Game Pass Core tab needing a little update as to extend the table</t>
  </si>
  <si>
    <t>I keep adding tabs, i don't see how helpful it is to keep adding in the last columns</t>
  </si>
  <si>
    <t>Danny</t>
  </si>
  <si>
    <t xml:space="preserve">Thanks for the work - I reference both your Xbox and PS sheets and reference errors come up with different naming conventions from official names. E.g., "Red Dead Redemption II" vs. "Red Dead Redemption 2", "Horizon: Forbidden West" vs. "Horizon Forbidden West", what's the best way to send you these suggested naming updates? </t>
  </si>
  <si>
    <t>Just adding them to the suggestions tab is best</t>
  </si>
  <si>
    <t>BornFey</t>
  </si>
  <si>
    <t>Starfield isnt included in Game Pass Standard, it should be removed</t>
  </si>
  <si>
    <t>Dannywq</t>
  </si>
  <si>
    <t>XGP / PS Plus Name Fixes
PS Plus
"Horizon Forbidden West" without : 
All "Assassin's Creed" titles without :
Game Pass
"Red Dead Redemption II" instead of 2 
All "Assassin's Creed" titles without :</t>
  </si>
  <si>
    <t>C-RAD</t>
  </si>
  <si>
    <t>please add thin colomn left of xcloud on master lst tab OR NEW TAB to show games playable on GEFORCENOW   ...  OR I can pay for a GEFORCENOW MASTER LIST WITH ONLY MINIMAL IMPORTANT INFOS. 5 COLUMNS : GAME NAME,STATUS,ADEED,REMOVED, FREE-2-PLAY</t>
  </si>
  <si>
    <t>If you can get me a full list and have the names correspond to what is in my sheet, I'll add a column, but then someone wold have to detail whenever they add/remove items</t>
  </si>
  <si>
    <t>Some corrections to be made
SteamWorld Dig 2 and Darkest Dungeon are duplicated
Ashen is also available on Pc
Valorant is also available on Xbox
Goat Simulator available on Xbox
Genshin Impact available on Xbox</t>
  </si>
  <si>
    <t>Little Kitty, Big City</t>
  </si>
  <si>
    <t>Willox</t>
  </si>
  <si>
    <t>Likely Leaving has disappeared and an empty Sheet581 appeared</t>
  </si>
  <si>
    <t>Walking Dead games not on PC Game Pass</t>
  </si>
  <si>
    <t>JLWavock</t>
  </si>
  <si>
    <t>Spyro Reignited Trilogy is on xCloud</t>
  </si>
  <si>
    <t>Are you sure? I don't see that</t>
  </si>
  <si>
    <t>Sid77</t>
  </si>
  <si>
    <t>First, congrats to this great work. What is the basic knowledge behind the "Likely Leaving" list? I understand that at least it must be related to the amount of months since it was added, but again we have titles added 50+, 60+ months ago and not listed as Likely Leaving. What else is considered to make this list?</t>
  </si>
  <si>
    <t>1.5 months on the service approaching yearly increments and 1 month after. This excludes EA play, first party titles, and Core titles</t>
  </si>
  <si>
    <t>A column grouping was added to the master list that makes columns B thru G unviewable, which are the most important columns.  The grouping is a protected item so it can't be opened by users. Can this be fixed?</t>
  </si>
  <si>
    <t>Sorry I collapse them for ease of adding in new lines and sometimes forget to out it back</t>
  </si>
  <si>
    <t>stan</t>
  </si>
  <si>
    <t>Have been removed
Madden NFL 23
NHL 23
The Last Case of Benedict Fox</t>
  </si>
  <si>
    <t>macael</t>
  </si>
  <si>
    <t>A column or filter to view games included in new Tiers (essential, premium, ultimate) to compare catalog included.</t>
  </si>
  <si>
    <t>I have tabs for them</t>
  </si>
  <si>
    <t>Somebody</t>
  </si>
  <si>
    <t>Why is Hogwarts Legacy not included on the Master List?  Ultimate and Premium
LOL!  It wasn't when I added this comment.  Also, it is still not in the Premium list.  Try being less flippant next time!</t>
  </si>
  <si>
    <t>It is</t>
  </si>
  <si>
    <t>Darktalon</t>
  </si>
  <si>
    <t>Thirsty Suitors left gamepass April 30th, 2025</t>
  </si>
  <si>
    <t>Z</t>
  </si>
  <si>
    <t>Back to the Dawn is missing from the sheet</t>
  </si>
  <si>
    <t>Krystiah</t>
  </si>
  <si>
    <t xml:space="preserve">If I understand correctly, the upcoming tags that have the #N/A mean they weren't found on the masterlist. 
Moonlighter 2: The Endless Vault shows as N/A because it has (Game Preview) in the masterlist. 
Same goes for 33 Immortals.
Dates that should change to 2026 in upcoming according to gamescriptions.com: 
REPLACED
Vapor World: Over the Mind
Sleight of Hand
Mixtape
Fable
Clockwork Revolution
Witchbrook
Gears of War: E-Day
Change to 2027: 
State of Decay 3
There are also more releases not on the list if you'd like them! :) </t>
  </si>
  <si>
    <t>Updated, thank you so much!!!!!
If you could provide them that would be great!</t>
  </si>
  <si>
    <t>OneOfThem</t>
  </si>
  <si>
    <t>These are leaving soon (on Jan 16):
Neon White
Road 96
Flintlock: The Siege of Dawn
The Grinch: Christmas Adventures
The Ascent</t>
  </si>
  <si>
    <t xml:space="preserve">Glad I could help! Here's upcoming games: 
2026:
Menace (2/5/26)
High On Life 2 (2/13/26)
Aphelion
Armatus
At Fate's End
Awaysis
Beast of Reincarnation
Beastro
Buckshot Roulette
Crowsworn
D-topia
Darkwood II
Denshattack!
Echo Generation 2
Echo Weaver
Erosion
Forza Horizon 6
Freestyle Football 2
Nirvana Noir
Outbound
Persona 4 Revival
Planet of Lana II: Children of the Leaf
Raji: Kaliyuga
Resonance: A Plague Tale Legacy
Roadside Research
Sledding Game
Snap &amp; Grab
Subnautica 2
Super Meat Boy 3D
Tanuki: Pon's Summer
TCG Card Shop Simulator
There Are No Ghosts At The Grand
Tropico 7
Vampire Crawlers
Wildekin
2027: 
OD
</t>
  </si>
  <si>
    <t>Hollow Knight: Silksong is listed twice</t>
  </si>
  <si>
    <t>Chasmic</t>
  </si>
  <si>
    <t>Barbie Horse Trails
Like A Dragon: Infinite Wealth
Paw Patrol Rescue Wheels: Championship
Like A Dragon: Pirate Yakuza In Hawaii
MIO: Memories In Orbit
My Little Pony: A Zephyr Heights Mystery
Little Nightmares: Enhanced Edition
Roadcraft
Listed as Xbox but are available through PC Game Pass</t>
  </si>
  <si>
    <t>RP</t>
  </si>
  <si>
    <t>Aliens: Fireteam Elite, Baldur's Gate and Baldur's Gate II: Enhanced Editions, Ben 10: Power Trip, Death Howl, Elite Dangerous, Frostpunk 2, Hollow Knight: Silksong, Kingdom Come: Deliverance, Resident Evil 7: Biohazard, RoadCraft, Steep, The Long Dark, Tom Clancy's The Division
They are duplicates.
Fortnite= It should be added that it is available on Xbox and PC, as it is no longer exclusive to the cloud.</t>
  </si>
  <si>
    <t>Updated, thank you so much!
For Fortnite and other free games with in game benefits (GP Essential), I fo not list them. Fortnite is only here as it is the only non gamepass game that is free on xCloud</t>
  </si>
  <si>
    <t>The Elder Scrolls Online, inKonbini: One Store. Many Stories , Batman: Arkham Knight and NBA 2K26
I should add that it's also available on PC.</t>
  </si>
  <si>
    <t>Winds of Arcana: Ruination
Listed as Xbox but is available through PC Game Pass</t>
  </si>
  <si>
    <t>Me</t>
  </si>
  <si>
    <t xml:space="preserve">Please add Game Pass Starter edition (Discord/Meta Horizon) game list.  Thanks! </t>
  </si>
  <si>
    <t>I'm pretty sure the games are the same, just other things included with essential are not a part of the starter edition</t>
  </si>
  <si>
    <t>Terminull Brigade is missing</t>
  </si>
  <si>
    <t>I do not add free games that comes with perks on GP essential</t>
  </si>
  <si>
    <t>Well Dweller
Minecraft Dungeons II
Listed as Xbox but is available through PC Game Pass</t>
  </si>
  <si>
    <t>Xuriks</t>
  </si>
  <si>
    <t>Subnautica 2 Tiers tab Missing GamePass tier information</t>
  </si>
  <si>
    <t>Manor Lords (Game Preview)</t>
  </si>
  <si>
    <t>Star Wars Jedi: Survivor</t>
  </si>
  <si>
    <t>Joins last gen consoles on 9/17/24</t>
  </si>
  <si>
    <t>Mild Language, Violence</t>
  </si>
  <si>
    <t>Published or Developed by Subsidiary</t>
  </si>
  <si>
    <t>Populous: The Beginning</t>
  </si>
  <si>
    <t>Studio</t>
  </si>
  <si>
    <t>Publisher</t>
  </si>
  <si>
    <t>Count</t>
  </si>
  <si>
    <t>Date</t>
  </si>
  <si>
    <t>left</t>
  </si>
  <si>
    <t>The Coalition</t>
  </si>
  <si>
    <t>Microsoft Game Studios Publishing</t>
  </si>
  <si>
    <t>Sid Meier's Alpha Centauri</t>
  </si>
  <si>
    <t>Rebranded</t>
  </si>
  <si>
    <t>Mojang Studios</t>
  </si>
  <si>
    <t>Mild Animated Violence</t>
  </si>
  <si>
    <t>Turn 10 Studios</t>
  </si>
  <si>
    <t>SimCity 3000: Unlimited</t>
  </si>
  <si>
    <t>343 Industries</t>
  </si>
  <si>
    <t>Rare</t>
  </si>
  <si>
    <t>Sledgehammer Games</t>
  </si>
  <si>
    <t>Lionhead Studios</t>
  </si>
  <si>
    <t>Obsidian Entertainment</t>
  </si>
  <si>
    <t>EA Sports PGA Tour</t>
  </si>
  <si>
    <t>Playground Games</t>
  </si>
  <si>
    <t>Double Fine Productions</t>
  </si>
  <si>
    <t>Bigpark</t>
  </si>
  <si>
    <t>Superhot: Mind Control Delete</t>
  </si>
  <si>
    <t>Consolidated</t>
  </si>
  <si>
    <t>Infinity Ward</t>
  </si>
  <si>
    <t>Press Play</t>
  </si>
  <si>
    <t>Infocom</t>
  </si>
  <si>
    <t>Game Pass Essential (4/23/24), Returning title: Added 12/10/20, left 5/31/22</t>
  </si>
  <si>
    <t>Violence</t>
  </si>
  <si>
    <t>Activision</t>
  </si>
  <si>
    <t>Compulsion Games</t>
  </si>
  <si>
    <t>Ark: Survival Ascended</t>
  </si>
  <si>
    <t>Spun off, independent</t>
  </si>
  <si>
    <t>The Initiative</t>
  </si>
  <si>
    <t>inXile Entertainment</t>
  </si>
  <si>
    <t>Language, Violence</t>
  </si>
  <si>
    <t>Ninja Theory</t>
  </si>
  <si>
    <t>In process of being bought</t>
  </si>
  <si>
    <t>Blizzard Entertainment</t>
  </si>
  <si>
    <t>Diablo IV</t>
  </si>
  <si>
    <t>Treyarch</t>
  </si>
  <si>
    <t>Blood and Gore, Intense Violence, Language</t>
  </si>
  <si>
    <t>Undead Labs</t>
  </si>
  <si>
    <t>Xbox Game Studios Publishing</t>
  </si>
  <si>
    <t>Minecraft: Preview</t>
  </si>
  <si>
    <t>From rebrand</t>
  </si>
  <si>
    <t>Fantasy Violence</t>
  </si>
  <si>
    <t>World's Edge</t>
  </si>
  <si>
    <t>Control: Ultimate Edition</t>
  </si>
  <si>
    <t>ZeniMax Media/Bethesda Softworks</t>
  </si>
  <si>
    <t>Bethesda Game Studios</t>
  </si>
  <si>
    <t>ZeniMax Online Studios</t>
  </si>
  <si>
    <t>Returning title: Joined 12/3/20, left 2/15/22 (base game)</t>
  </si>
  <si>
    <t>Arkane Studios</t>
  </si>
  <si>
    <t>Bluey: The Videogame</t>
  </si>
  <si>
    <t>Exploring options, Austin office closed 2014</t>
  </si>
  <si>
    <t>Sierra On-Line</t>
  </si>
  <si>
    <t>id Software</t>
  </si>
  <si>
    <t>Bethesda Softworks</t>
  </si>
  <si>
    <t>ZeniMax Media</t>
  </si>
  <si>
    <t>Dead Island 2</t>
  </si>
  <si>
    <t>MachineGames</t>
  </si>
  <si>
    <t>Homebrew</t>
  </si>
  <si>
    <t>Joins PC 10/31/24, Epic exclusive until April, hence no PC version yet</t>
  </si>
  <si>
    <t>Blood and Gore, Intense Violence, Strong Language, Suggestive Themes, Use of Drugs</t>
  </si>
  <si>
    <t>Tango Gameworks</t>
  </si>
  <si>
    <t>Krafton bought after being shutdown</t>
  </si>
  <si>
    <t>PlateUp!</t>
  </si>
  <si>
    <t>Alpha Dog Games</t>
  </si>
  <si>
    <t>Closed</t>
  </si>
  <si>
    <t>Roundhouse Studios</t>
  </si>
  <si>
    <t>Alcohol Reference</t>
  </si>
  <si>
    <t>Closed, had been absorbed by ZeniMax</t>
  </si>
  <si>
    <t>Raven Software</t>
  </si>
  <si>
    <t>Activision Blizzard King</t>
  </si>
  <si>
    <t>Resident Evil 3</t>
  </si>
  <si>
    <t>Brotato</t>
  </si>
  <si>
    <t>High Moon Studios</t>
  </si>
  <si>
    <t>Toys for Bob</t>
  </si>
  <si>
    <t>Palworld</t>
  </si>
  <si>
    <t>Beenox</t>
  </si>
  <si>
    <t>1.0 launched 7/10, leaves game preview</t>
  </si>
  <si>
    <t>Digital Legends Entertainment</t>
  </si>
  <si>
    <t>Mobile dev</t>
  </si>
  <si>
    <t>Solid State Studios</t>
  </si>
  <si>
    <t>Resident Evil 2 (2019)</t>
  </si>
  <si>
    <t>Radical Entertainment</t>
  </si>
  <si>
    <t>King</t>
  </si>
  <si>
    <t>Super Mega Baseball 4</t>
  </si>
  <si>
    <t>Imagic</t>
  </si>
  <si>
    <t>Retro Classics</t>
  </si>
  <si>
    <t>Anstream Arcade partnership, back catalogue</t>
  </si>
  <si>
    <t>Anstream Arcade partnership, Bob DeCrescenzo ("PacManPlus") is a modern Atari 2600 homebrew developer, not Activision owned</t>
  </si>
  <si>
    <t>We Happy Few</t>
  </si>
  <si>
    <t>Anstream Arcade partnership, defunct in 1986 after 1983 vidoe game crash, Activision holds rights</t>
  </si>
  <si>
    <t>Anstream Arcade partnership, Activision acquired in 1986</t>
  </si>
  <si>
    <t>Returning title: Added 1/17/19, left 1/15/23</t>
  </si>
  <si>
    <t>Use Of Drugs And Alcohol, Blood, Suggestive Themes, Strong Language, Violence</t>
  </si>
  <si>
    <t>Anstream Arcade partnership, Vivendi merged with Activision in 2008</t>
  </si>
  <si>
    <t>Assassin's Creed Valhalla</t>
  </si>
  <si>
    <t>Activision Games will not be on xCloud, Ubisoft controls cloud streaming rights as part of the merger</t>
  </si>
  <si>
    <t>Former</t>
  </si>
  <si>
    <t>Sold or spun off</t>
  </si>
  <si>
    <t>Access Software/Salt Lake Games Studio/Indie Games — Links series — Sold to Take-Two Interactive in 2004</t>
  </si>
  <si>
    <t>Far Cry 6</t>
  </si>
  <si>
    <t>Lift London — Removed from Microsoft's games business in 2019[111]</t>
  </si>
  <si>
    <t>Goat Simulator 3</t>
  </si>
  <si>
    <t>Twisted Pixel Games — The Gunstringer, LocoCycle, The Maw, 'Splosion Man — Spun off in 2015</t>
  </si>
  <si>
    <t>Clone Drone in the Danger Zone</t>
  </si>
  <si>
    <t>WingNut Interactive — Peter Jackson's joint venture game studio — Sold to WingNut Films[112][113]</t>
  </si>
  <si>
    <t>Closed or consolidated</t>
  </si>
  <si>
    <t>Aces Game Studio — Microsoft Flight Simulator series — Closed</t>
  </si>
  <si>
    <t>World War Z: Aftermath</t>
  </si>
  <si>
    <t>Game Pass Essential (12/3/25), Returning title: Joined 10/10/19, left 8/31/22 (original game)</t>
  </si>
  <si>
    <t>Bungie — Halo series — Spun off in 2007[110]</t>
  </si>
  <si>
    <t>BigPark — Kinect Joy Ride, Kinect Sports: Season Two, Joy Ride Turbo — Consolidated</t>
  </si>
  <si>
    <t>Wild Hearts</t>
  </si>
  <si>
    <t>Carbonated Games — Closed</t>
  </si>
  <si>
    <t>Digital Anvil — Brute Force, Freelancer — Consolidated[114]</t>
  </si>
  <si>
    <t>Ensemble Studios — Age of Empires series, Age of Mythology series, Halo Wars — Closed</t>
  </si>
  <si>
    <t>Wartales</t>
  </si>
  <si>
    <t>FASA Studio — MechWarrior series, Shadowrun, Crimson Skies series — Closed</t>
  </si>
  <si>
    <t>Joined xbox one ine June 2024</t>
  </si>
  <si>
    <t>Good Science Studio — Kinect Adventures, Kinect Fun Labs, Kinect Star Wars — Consolidated</t>
  </si>
  <si>
    <t>Dead Space (2023)</t>
  </si>
  <si>
    <t>Hired Gun — Halo 2 PC port — Consolidated[115]</t>
  </si>
  <si>
    <r>
      <rPr>
        <rFont val="Arial"/>
      </rPr>
      <t xml:space="preserve"> — </t>
    </r>
    <r>
      <rPr>
        <rFont val="Arial"/>
        <color rgb="FF071924"/>
      </rPr>
      <t>Fable</t>
    </r>
    <r>
      <rPr>
        <rFont val="Arial"/>
      </rPr>
      <t xml:space="preserve"> series, </t>
    </r>
    <r>
      <rPr>
        <rFont val="Arial"/>
        <color rgb="FF071924"/>
      </rPr>
      <t>Black &amp; White</t>
    </r>
    <r>
      <rPr>
        <rFont val="Arial"/>
      </rPr>
      <t xml:space="preserve"> series — Closed</t>
    </r>
  </si>
  <si>
    <t>Cities: Skylines II</t>
  </si>
  <si>
    <t>Microsoft Studios Japan — Phantom Dust — Closed</t>
  </si>
  <si>
    <t>Microsoft Studios Victoria — Closed</t>
  </si>
  <si>
    <t>Team Dakota — Project Spark — Consolidated</t>
  </si>
  <si>
    <t>Forza Motorsport (2023)</t>
  </si>
  <si>
    <t>Xbox Entertainment Studios — Closed</t>
  </si>
  <si>
    <t>Xbox Live Productions — Consolidated</t>
  </si>
  <si>
    <t>Starfield</t>
  </si>
  <si>
    <t>Blood, Strong Language, Suggestive Themes, Use of Drugs, Violence</t>
  </si>
  <si>
    <t>Call of the Wild: The Angler</t>
  </si>
  <si>
    <t xml:space="preserve">Zork I: The Great Underground </t>
  </si>
  <si>
    <t>Mild Language, Tobacco Reference, Violent References</t>
  </si>
  <si>
    <t>Limbo</t>
  </si>
  <si>
    <t>Game Pass Essential launch title (9/14/23), Returning title: Joined 8/1/17, left 6/15/22</t>
  </si>
  <si>
    <t>Blood, Violence</t>
  </si>
  <si>
    <t>The Cave</t>
  </si>
  <si>
    <t>Fantasy Violence, Blood</t>
  </si>
  <si>
    <t>Need for Speed: Unbound</t>
  </si>
  <si>
    <t>Language, Mild Suggestive Themes, Mild Violence</t>
  </si>
  <si>
    <t>Stacking</t>
  </si>
  <si>
    <t>Returning title: Joined 6/1/17, left 1/15/19</t>
  </si>
  <si>
    <t>Crude Humor, Use of Tobacco, Mild Fantasy Violence, Mild Suggestive Themes</t>
  </si>
  <si>
    <t>Car Mechanic Simulator 2021</t>
  </si>
  <si>
    <t>Massive Chalice</t>
  </si>
  <si>
    <t>Returning title: Joined 6/1/17, left 2/1/19</t>
  </si>
  <si>
    <t>Fantasy Violence, Alcohol Reference, Language</t>
  </si>
  <si>
    <t>Redfall</t>
  </si>
  <si>
    <t>Persistent online requirement, may be removed</t>
  </si>
  <si>
    <t>Minecraft: Legends</t>
  </si>
  <si>
    <t>Ghostwire: Tokyo</t>
  </si>
  <si>
    <t>Mild Blood, Violence, Mild Suggestive Themes, Language</t>
  </si>
  <si>
    <t>GoldenEye 007 (2023)</t>
  </si>
  <si>
    <t>Hi-Fi RUSH</t>
  </si>
  <si>
    <t>Iron Brigade</t>
  </si>
  <si>
    <t>Pentiment</t>
  </si>
  <si>
    <t>Costume Quest</t>
  </si>
  <si>
    <t>Returning title: Originally joined 6/1/17, left 7/15/19</t>
  </si>
  <si>
    <t>Language, Mild Suggestive Themes, Use of Tobacco, Violence</t>
  </si>
  <si>
    <t>DEATHLOOP</t>
  </si>
  <si>
    <t>An Elder Scrolls Legend: Battlespire</t>
  </si>
  <si>
    <t>Ni no Kuni II: Revenant Kingdom - The Prince's Edition</t>
  </si>
  <si>
    <t>Return to Castle Wolfenstein</t>
  </si>
  <si>
    <t>Fantasy Violence, Mild Blood</t>
  </si>
  <si>
    <t>Quake 4</t>
  </si>
  <si>
    <t>Wolfenstein 3D</t>
  </si>
  <si>
    <t>As Dusk Falls</t>
  </si>
  <si>
    <t>Contrast</t>
  </si>
  <si>
    <t>Broken Age</t>
  </si>
  <si>
    <t>Halo: Infinite</t>
  </si>
  <si>
    <t>Forza Horizon 5</t>
  </si>
  <si>
    <t>Fantasy Violence, Language</t>
  </si>
  <si>
    <t>Age of Empires IV: Anniversary Edition</t>
  </si>
  <si>
    <t>Crysis 2: Remastered</t>
  </si>
  <si>
    <t>Psychonauts 2</t>
  </si>
  <si>
    <t>Quake</t>
  </si>
  <si>
    <t>Check the EA App for the remastered version</t>
  </si>
  <si>
    <t>Quake II</t>
  </si>
  <si>
    <t>Crysis 3: Remastered</t>
  </si>
  <si>
    <t>Quake III: Arena</t>
  </si>
  <si>
    <t>Microsoft Solitaire Collection: Premium Edition</t>
  </si>
  <si>
    <t>Crimson Skies: High Road to Revenge</t>
  </si>
  <si>
    <t>Blinx: The Time Sweeper</t>
  </si>
  <si>
    <t>Arx Fatalis</t>
  </si>
  <si>
    <t>Crysis Trilogy: Remastered</t>
  </si>
  <si>
    <t>Dishonored: Death of the Outsider</t>
  </si>
  <si>
    <t>Fallout</t>
  </si>
  <si>
    <t>Fallout 2</t>
  </si>
  <si>
    <t>Fallout Tactics: Brotherhood of Steel</t>
  </si>
  <si>
    <t>The Evil Within 2</t>
  </si>
  <si>
    <t>LEGO Star Wars: The Skywalker Saga</t>
  </si>
  <si>
    <t>Psychonauts</t>
  </si>
  <si>
    <t>Dishonored: Definitive Edition</t>
  </si>
  <si>
    <t>DOOM</t>
  </si>
  <si>
    <t>Cartoon Violence, Comic Mischief</t>
  </si>
  <si>
    <t>DOOM 3</t>
  </si>
  <si>
    <t>The Walking Dead: The Final Season</t>
  </si>
  <si>
    <t>DOOM 64</t>
  </si>
  <si>
    <t>DOOM II: Hell on Earth</t>
  </si>
  <si>
    <t>Left PC 11,33/24</t>
  </si>
  <si>
    <t>The Elder Scrolls III: Morrowind</t>
  </si>
  <si>
    <t>Warhammer 40,000: Darktide</t>
  </si>
  <si>
    <t>The Evil Within</t>
  </si>
  <si>
    <t>Wolfenstein: The Old Blood</t>
  </si>
  <si>
    <t>Pillars of Eternity II: Deadfire - Ultimate Edition</t>
  </si>
  <si>
    <t>The Elder Scrolls V: Skyrim Special Edition</t>
  </si>
  <si>
    <t>Game Pass Essential (10/1/25). Joined cloud and console 10/4/23</t>
  </si>
  <si>
    <t>Intense Violence, Blood and Gore</t>
  </si>
  <si>
    <t>Halo 4</t>
  </si>
  <si>
    <t>Knights and Bikes</t>
  </si>
  <si>
    <t>Day of the Tentacle Remastered</t>
  </si>
  <si>
    <t>Battlefield 2042</t>
  </si>
  <si>
    <t>Full Throttle Remastered</t>
  </si>
  <si>
    <t>Grim Fandango Remastered</t>
  </si>
  <si>
    <t>Seperate Xbox Gen8 (Xbox One) and Gen9 (Xbox Series X|S) versions (Not Smart Delivery enabled)</t>
  </si>
  <si>
    <t>Age of Empires III: Definitive Edition</t>
  </si>
  <si>
    <t>Brütal Legend</t>
  </si>
  <si>
    <t>Touch Controls, M+KB</t>
  </si>
  <si>
    <t>Forza Motorsport 7</t>
  </si>
  <si>
    <t>DOOM Eternal</t>
  </si>
  <si>
    <t>Blood and Gore, Sexual Themes, Strong Language, Violence</t>
  </si>
  <si>
    <t>Halo 3: ODST</t>
  </si>
  <si>
    <t>New Super Lucky's Tale</t>
  </si>
  <si>
    <t>Wasteland 3</t>
  </si>
  <si>
    <t>Tell Me Why</t>
  </si>
  <si>
    <t>Fantasy Violence, Tobacco Reference</t>
  </si>
  <si>
    <t>Battletoads</t>
  </si>
  <si>
    <t>Chivalry II</t>
  </si>
  <si>
    <t>Microsoft Flight Simulator (2020): Game of the Year Edition</t>
  </si>
  <si>
    <t>Grounded</t>
  </si>
  <si>
    <t>Game Pass Essential (12/6/23)</t>
  </si>
  <si>
    <t>Halo 3</t>
  </si>
  <si>
    <t>Use of Alcohol, Blood and Gore, Mild Sexual Themes, Language, Intense Violence</t>
  </si>
  <si>
    <t>Fallout 76</t>
  </si>
  <si>
    <t>The Bard's Tale ARPG: Remastered and Resnarkled</t>
  </si>
  <si>
    <t>Minecraft Dungeons</t>
  </si>
  <si>
    <t>Halo 2: Anniversary</t>
  </si>
  <si>
    <t>Blood and Gore, Sexual Themes, Drug Reference, Strong Language, Intense Violence</t>
  </si>
  <si>
    <t>Gears Tactics</t>
  </si>
  <si>
    <t>Assassin's Creed Odyssey</t>
  </si>
  <si>
    <t>Bleeding Edge</t>
  </si>
  <si>
    <t>Ori and the Will of the Wisps</t>
  </si>
  <si>
    <t>Blood and Gore, Sexual Themes, Strong Language, Intense Violence</t>
  </si>
  <si>
    <t>Halo: Combat Evolved - Anniversary</t>
  </si>
  <si>
    <t>Wasteland Remastered</t>
  </si>
  <si>
    <t>Ni no Kuni: Wrath of the White Witch - Remastered</t>
  </si>
  <si>
    <t>Wolfenstein: Youngblood</t>
  </si>
  <si>
    <t>Pillars of Eternity: Definitive Edition</t>
  </si>
  <si>
    <t>Halo: Reach</t>
  </si>
  <si>
    <t>Fantasy Violence, Mild Language, Simulated Gambling, Alcohol and Tobacco Reference</t>
  </si>
  <si>
    <t>Age of Empires II: Definitive Edition</t>
  </si>
  <si>
    <t>Disney Dreamlight Valley: Founder's Edition</t>
  </si>
  <si>
    <t>RAGE 2</t>
  </si>
  <si>
    <t>The Outer Worlds</t>
  </si>
  <si>
    <t>Game Pass Essential (10/1/25)</t>
  </si>
  <si>
    <t>Fallout: New Vegas - Ultimate Edition</t>
  </si>
  <si>
    <t>Dishonored 2</t>
  </si>
  <si>
    <t>GRID: Legends</t>
  </si>
  <si>
    <t>Gears 5: Game of the Year Edition</t>
  </si>
  <si>
    <t>The Bard's Tale IV: Director's Cut</t>
  </si>
  <si>
    <t>Joined cloud 2/2/23</t>
  </si>
  <si>
    <t>Mild Language, Mild Suggestive Themes, Mild Violence</t>
  </si>
  <si>
    <t>Age of Empires: Definitive Edition</t>
  </si>
  <si>
    <t>Immortals Fenyx Rising</t>
  </si>
  <si>
    <t>The Bard's Tale Trilogy</t>
  </si>
  <si>
    <t>Killer Instinct 2 Classic</t>
  </si>
  <si>
    <t>Killer Instinct Classic</t>
  </si>
  <si>
    <t>Language, Suggestive Themes, Violence</t>
  </si>
  <si>
    <t>Killer Instinct (2013): Anniversary Edition</t>
  </si>
  <si>
    <t>Perfect Dark</t>
  </si>
  <si>
    <t>Rare Replay</t>
  </si>
  <si>
    <t>Animated Blood and Gore, Mature Sexual Themes</t>
  </si>
  <si>
    <t>Halo: Spartan Strike</t>
  </si>
  <si>
    <t>The Elder Scrolls Adventures: Redguard</t>
  </si>
  <si>
    <t>Rise of Nations: Extended Edition</t>
  </si>
  <si>
    <t>Wolfenstein II: The New Colossus</t>
  </si>
  <si>
    <t>Violence, Use of Alcohol And Tobacco</t>
  </si>
  <si>
    <t>Prey</t>
  </si>
  <si>
    <t>Minecraft</t>
  </si>
  <si>
    <t>Sea of Thieves</t>
  </si>
  <si>
    <t>Fallout 4</t>
  </si>
  <si>
    <t>Crackdown 3</t>
  </si>
  <si>
    <t>Ori and the Blind Forest: Definitive Edition</t>
  </si>
  <si>
    <t>Hellblade: Senua's Sacrifice</t>
  </si>
  <si>
    <t>Forza Horizon 4</t>
  </si>
  <si>
    <t>Wolfenstein: The New Order</t>
  </si>
  <si>
    <t>Joined console and cloud on 8/12/26</t>
  </si>
  <si>
    <t>Halo: The Master Chief Collection</t>
  </si>
  <si>
    <t>Cooking Simulator</t>
  </si>
  <si>
    <t>Quantum Break</t>
  </si>
  <si>
    <t>DOOM (2016)</t>
  </si>
  <si>
    <t>RAGE</t>
  </si>
  <si>
    <t>Tom Clancy's Ghost Recon: Wildlands</t>
  </si>
  <si>
    <t>Ryse: Son of Rome</t>
  </si>
  <si>
    <t>Fallout 3: Game of the Year Edition</t>
  </si>
  <si>
    <t>Blood and Gore, Intense Violence, Partial Nudity, Sexual Themes, Strong Language, Use of Drugs</t>
  </si>
  <si>
    <t>The Elder Scrolls IV: Oblivion</t>
  </si>
  <si>
    <t>The Elder Scrolls Online</t>
  </si>
  <si>
    <t>Inside</t>
  </si>
  <si>
    <t>Disneyland Adventures</t>
  </si>
  <si>
    <t>Hydro Thunder: Hurricane</t>
  </si>
  <si>
    <t>Game Pass Essential launch title (9/14/23)</t>
  </si>
  <si>
    <t>Wasteland 2: Director's Cut</t>
  </si>
  <si>
    <t>State of Decay 2: Juggernaut Edition</t>
  </si>
  <si>
    <t>Super Lucky's Tale</t>
  </si>
  <si>
    <t>Fable Anniversary</t>
  </si>
  <si>
    <t>Blood, Strong Language, Suggestive Themes, Use of Drugs and Alcohol, Violence</t>
  </si>
  <si>
    <t>Halo Wars 2</t>
  </si>
  <si>
    <t>Zoo Tycoon: Ultimate Animal Collection</t>
  </si>
  <si>
    <t>Watch_Dogs 2</t>
  </si>
  <si>
    <t>Gears of War 4</t>
  </si>
  <si>
    <t>Halo Wars: Definitive Edition</t>
  </si>
  <si>
    <t>Blood, Intense Violence, Nudity, Sexual Themes, Strong Language, Use of Drugs</t>
  </si>
  <si>
    <t>Costume Quest 2</t>
  </si>
  <si>
    <t>Far Cry 5</t>
  </si>
  <si>
    <t>State of Decay: Year One Survival Edition</t>
  </si>
  <si>
    <t>Fable II</t>
  </si>
  <si>
    <t>ReCore: Definitive Edition</t>
  </si>
  <si>
    <t>Blood and Gore, Intense Violence, Sexual Themes, Strong Language, Use of Drugs and Alcohol</t>
  </si>
  <si>
    <t>Banjo-Kazooie</t>
  </si>
  <si>
    <t>House Flipper</t>
  </si>
  <si>
    <t>Banjo-Kazooie: Nuts &amp; Bolts</t>
  </si>
  <si>
    <t>Banjo-Tooie</t>
  </si>
  <si>
    <t>Fable III</t>
  </si>
  <si>
    <t>Fuzion Frenzy</t>
  </si>
  <si>
    <t>Gears of War</t>
  </si>
  <si>
    <t>Shadowrun Trilogy</t>
  </si>
  <si>
    <t>Gears of War 2</t>
  </si>
  <si>
    <t>Gears of War 3</t>
  </si>
  <si>
    <t>Gears of War: Judgment</t>
  </si>
  <si>
    <t>Joins PC 5/9/23</t>
  </si>
  <si>
    <t>Gears of War: Ultimate Edition</t>
  </si>
  <si>
    <t>Blood and Gore, Drug Reference, Sexual Themes, Strong Language, Violence</t>
  </si>
  <si>
    <t>Consists of three games (seperate listings, must be installed seperately); Shadowrun Returns, Shadowrun Dragonfall, Shadowrun Hong Kong</t>
  </si>
  <si>
    <t>Halo 5: Guardians</t>
  </si>
  <si>
    <t>Assassin's Creed Origins</t>
  </si>
  <si>
    <t>Halo: Spartan Assault</t>
  </si>
  <si>
    <t>Jetpac Refuelled</t>
  </si>
  <si>
    <t>Joy Ride Turbo</t>
  </si>
  <si>
    <t>BigPark</t>
  </si>
  <si>
    <t>Kameo: Elements of Power</t>
  </si>
  <si>
    <t>Blood and Gore, Drug Reference, Intense Violence, Nudity, Sexual Content, Strong Language, Use of Alcohol</t>
  </si>
  <si>
    <t>Max: The Curse of Brotherhood</t>
  </si>
  <si>
    <t>Vampire Survivors</t>
  </si>
  <si>
    <t>Perfect Dark Zero</t>
  </si>
  <si>
    <t>ScreamRide</t>
  </si>
  <si>
    <t>Game Pass Essential launch title (9/14/23), Joins console 11/10/22</t>
  </si>
  <si>
    <t>Sunset Overdrive</t>
  </si>
  <si>
    <t>Viva Piñata</t>
  </si>
  <si>
    <t>Viva Piñata: Trouble in Paradise</t>
  </si>
  <si>
    <t>Tunic</t>
  </si>
  <si>
    <t>Game Pass Essential (3/26/25)</t>
  </si>
  <si>
    <t>Super Mega Baseball 3</t>
  </si>
  <si>
    <t>Xbox Games by Metacritic Score</t>
  </si>
  <si>
    <t>Roboquest (2020)</t>
  </si>
  <si>
    <t>Joined console 1/30/23, 1.0 launch 11/7/23</t>
  </si>
  <si>
    <t>Fantasy Violence, Suggestive Themes, Use of Tobacco</t>
  </si>
  <si>
    <t>Peggle Nights</t>
  </si>
  <si>
    <t>Mass Effect: Legendary Edition</t>
  </si>
  <si>
    <t>Use of Alcohol, Blood, Sexual Content, Partial Nudity, Drug Reference, Strong Language, Violence</t>
  </si>
  <si>
    <t>If you encounter problems with HDR on Series X|S, try disabling Auto HDR in the game's compatibility settings (Mass Effect LE has a native HDR implementation)</t>
  </si>
  <si>
    <t>Fantasy Violence, Crude Humor, Mild Blood, Mild Language</t>
  </si>
  <si>
    <t>The Gunk</t>
  </si>
  <si>
    <t>Violence, Blood, Language</t>
  </si>
  <si>
    <t>Multiplayer beta available 11/15/21, Halo's and Xbox's 20th anniversary</t>
  </si>
  <si>
    <t>Violence, Blood, Mild Language</t>
  </si>
  <si>
    <t>Stardew Valley</t>
  </si>
  <si>
    <t>Fantasy Violence, Mild Blood, Mild Language, Simulated Gambling, Use of Alcohol And Tobacco</t>
  </si>
  <si>
    <t>It Takes Two</t>
  </si>
  <si>
    <t>Fantasy Violence, Comic Mischief, Language, Animated Blood</t>
  </si>
  <si>
    <t>Real-Time Strategy</t>
  </si>
  <si>
    <t>Joined PC and cloud 8/22/23</t>
  </si>
  <si>
    <t>Mild Blood, Mild Violence</t>
  </si>
  <si>
    <t>Crysis: Remastered</t>
  </si>
  <si>
    <t>Fantasy Violence, Crude Humor, Use of Tobacco, Alcohol Reference, Mild Language, Mild Suggestive Themes</t>
  </si>
  <si>
    <t>Joined console 8/10/23</t>
  </si>
  <si>
    <t>Violence, Blood and Gore, Language</t>
  </si>
  <si>
    <t>Blood and Gore, Language, Violence</t>
  </si>
  <si>
    <t>Syndicate (1993)</t>
  </si>
  <si>
    <t>Ultima Underworld 1</t>
  </si>
  <si>
    <t>Animated Violence</t>
  </si>
  <si>
    <t>Ultima Underworld 2</t>
  </si>
  <si>
    <t>Card Game</t>
  </si>
  <si>
    <t>DiRT Rally 2.0</t>
  </si>
  <si>
    <t>GP: Added 9/26/19, left 9/30/20</t>
  </si>
  <si>
    <t>Skate</t>
  </si>
  <si>
    <t>Mild Violence, Crude Humor, Blood and Gore, Tobacco Reference, Language</t>
  </si>
  <si>
    <t>Flight</t>
  </si>
  <si>
    <t>Xbox 360, PlayStation 3</t>
  </si>
  <si>
    <t>OG Xbox</t>
  </si>
  <si>
    <t>EA Sports UFC 4</t>
  </si>
  <si>
    <t>FPS Boost</t>
  </si>
  <si>
    <t>Blood, Language, Mild Suggestive Themes, Violence</t>
  </si>
  <si>
    <t>Gang Beasts</t>
  </si>
  <si>
    <t>Brawler</t>
  </si>
  <si>
    <t>Cartoon Violence</t>
  </si>
  <si>
    <t>Need for Speed: Hot Pursuit - Remastered</t>
  </si>
  <si>
    <t>Mild Violence, Mild Lyrics</t>
  </si>
  <si>
    <t>Medieval Dynasty</t>
  </si>
  <si>
    <t>Joined console and cloud 10/6/22, left game preview 9/23/21, joined xbox one 4/20/23</t>
  </si>
  <si>
    <t>Use of Alcohol, Blood, Suggestive Themes, Mild Language, Violence</t>
  </si>
  <si>
    <t>Official PC Mod Support</t>
  </si>
  <si>
    <t>Violence, Blood, Simulated Gambling</t>
  </si>
  <si>
    <t>Blood and Gore, Strong Language, Intense Violence</t>
  </si>
  <si>
    <t>Blood and Gore, Strong Language, Suggestive Themes, Violence</t>
  </si>
  <si>
    <t>Blood and Gore, Sexual Content, Strong Language, Violence</t>
  </si>
  <si>
    <t>Violence, Blood, Strong Language</t>
  </si>
  <si>
    <t>Blood and Gore, Partial Nudity, Strong Language, Intense Violence</t>
  </si>
  <si>
    <t>For Honor: Marching Fire Edition</t>
  </si>
  <si>
    <t>Ubisoft Connect launcher, Matching Fire Edition replaced standard version 6/1/22</t>
  </si>
  <si>
    <t>Blood and Gore, Intense Violence</t>
  </si>
  <si>
    <t>SnowRunner</t>
  </si>
  <si>
    <t>Crude Humor, Language, Cartoon Violence</t>
  </si>
  <si>
    <t>Zombie Army 4: Dead War</t>
  </si>
  <si>
    <t>Blood and Gore, Language, Intense Violence</t>
  </si>
  <si>
    <t>Genesis Noir</t>
  </si>
  <si>
    <t>Mild Blood, Mild Violence, Sexual Themes, Use of Alcohol And Tobacco</t>
  </si>
  <si>
    <t>Command &amp; Conquer: Remastered Collection</t>
  </si>
  <si>
    <t>Blood, Mild Language, Use of Alcohol and Tobacco, Violence</t>
  </si>
  <si>
    <t>Dungeon Keeper</t>
  </si>
  <si>
    <t>Animated Violence, Animated Blood, Blood and Gore</t>
  </si>
  <si>
    <t>Dungeon Keeper 2</t>
  </si>
  <si>
    <t>Animated Blood, Blood and Gore, Animated Violence</t>
  </si>
  <si>
    <t>Jade Empire: Special Edition</t>
  </si>
  <si>
    <t>Blood and Gore, Intense Violence, Mild Language, Suggestive Themes</t>
  </si>
  <si>
    <t>Medal of Honor: Allied Assault - War Chest</t>
  </si>
  <si>
    <t>Need for Speed: Most Wanted</t>
  </si>
  <si>
    <t>Alcohol Reference, Comic Mischief, Violence</t>
  </si>
  <si>
    <t>Populous</t>
  </si>
  <si>
    <t>Populous II: Trials of the Olympian Gods</t>
  </si>
  <si>
    <t>Fantasy Violence, Partial Nudity</t>
  </si>
  <si>
    <t>Rebel Galaxy</t>
  </si>
  <si>
    <t>Removed 3/28/22</t>
  </si>
  <si>
    <t>Violence, Drug Reference, Language</t>
  </si>
  <si>
    <t>SimCity 2000: Special Edition</t>
  </si>
  <si>
    <t>SimCity 4: Deluxe Party Edition</t>
  </si>
  <si>
    <t>SimCity: Complete Edition</t>
  </si>
  <si>
    <t>Mild Violence</t>
  </si>
  <si>
    <t>SPORE</t>
  </si>
  <si>
    <t>Comic Mischief, Fantasy Violence, Animated Blood</t>
  </si>
  <si>
    <t>Star Wars Squadrons</t>
  </si>
  <si>
    <t>Added to cloud 4/7/22</t>
  </si>
  <si>
    <t>Fantasy Violence, Mild Language</t>
  </si>
  <si>
    <t>The Saboteur</t>
  </si>
  <si>
    <t>Blood, Intense Violence, Nudity, Sexual Themes, Strong Language</t>
  </si>
  <si>
    <t>The Sims 3</t>
  </si>
  <si>
    <t>Crude Humor, Sexual Themes, Violence</t>
  </si>
  <si>
    <t>Violence, Blood and Gore</t>
  </si>
  <si>
    <t>Generation Zero</t>
  </si>
  <si>
    <t>Violence, Language</t>
  </si>
  <si>
    <t>DiRT 5</t>
  </si>
  <si>
    <t>Joined EA Play 8/10/21</t>
  </si>
  <si>
    <t>Nudity, Blood and Gore, Sexual Themes, Strong Language, Violence</t>
  </si>
  <si>
    <t>Wreckfest</t>
  </si>
  <si>
    <t>Game Pass Essential (4/23/24)</t>
  </si>
  <si>
    <t>Among Us</t>
  </si>
  <si>
    <t>Game Pass Essential launch title (9/14/23), Joined console and cloud 12/14/21</t>
  </si>
  <si>
    <t>Use of Alcohol, Blood and Gore, Sexual Themes, Language, Intense Violence</t>
  </si>
  <si>
    <t>Monster Sanctuary</t>
  </si>
  <si>
    <t>Fantasy Violence, Mild Blood, Tobacco Reference</t>
  </si>
  <si>
    <t>NHL 94 Rewind</t>
  </si>
  <si>
    <t>Blood and Gore, Violence, Language</t>
  </si>
  <si>
    <t>A Way Out</t>
  </si>
  <si>
    <t>Nudity, Blood, Sexual Content, Strong Language, Intense Violence</t>
  </si>
  <si>
    <t>Alice: Madness Returns</t>
  </si>
  <si>
    <t>Joins PC 2/28/22</t>
  </si>
  <si>
    <t>Xbox 360</t>
  </si>
  <si>
    <t>Army of Two</t>
  </si>
  <si>
    <t>Blood, Strong Language, Intense Violence</t>
  </si>
  <si>
    <t>Battlefield 1: Revolution</t>
  </si>
  <si>
    <t>FPS Boost X Only</t>
  </si>
  <si>
    <t>Does not FPS boost on Series S</t>
  </si>
  <si>
    <t>Battlefield 3: Premium Edition</t>
  </si>
  <si>
    <t>Enhanced edition only on PC</t>
  </si>
  <si>
    <t>Battlefield 4: Premium Edition</t>
  </si>
  <si>
    <t>Battlefield V: Year Two Edition</t>
  </si>
  <si>
    <t>Battlefield: Hardline - Ultimate Edition</t>
  </si>
  <si>
    <t>Blood and Gore, Use of Drugs, Strong Language, Intense Violence</t>
  </si>
  <si>
    <t>Bejeweled 2</t>
  </si>
  <si>
    <t>Bejeweled 3</t>
  </si>
  <si>
    <t>BLACK</t>
  </si>
  <si>
    <t>Strong Language, Violence</t>
  </si>
  <si>
    <t>Burnout: Paradise - Remastered</t>
  </si>
  <si>
    <t>Mild Violence, Mild Suggestive Themes</t>
  </si>
  <si>
    <t>Crysis</t>
  </si>
  <si>
    <t>Crysis 2: Maximum Edition</t>
  </si>
  <si>
    <t>Blood, Partial Nudity, Strong Language, Violence</t>
  </si>
  <si>
    <t>Crysis 3</t>
  </si>
  <si>
    <t>Dante's Inferno</t>
  </si>
  <si>
    <t>Blood and Gore, Intense Violence, Nudity, Sexual Content</t>
  </si>
  <si>
    <t>Dead Space</t>
  </si>
  <si>
    <t>Dead Space 2</t>
  </si>
  <si>
    <t>Joined cloud 3/9/23</t>
  </si>
  <si>
    <t>Dead Space 3</t>
  </si>
  <si>
    <t>Dead Space: Ignition</t>
  </si>
  <si>
    <t>Dragon Age II</t>
  </si>
  <si>
    <t>Blood and Gore, Sexual Content, Violence, Language</t>
  </si>
  <si>
    <t>Dragon Age: Inquisition - Game of the Year Edition</t>
  </si>
  <si>
    <t>Dragon Age: Origins - Ultimate Edition</t>
  </si>
  <si>
    <t>Blood, Intense Violence, Language, Partial Nudity, Sexual Themes</t>
  </si>
  <si>
    <t>Fe</t>
  </si>
  <si>
    <t>Mild Fantasy Violence</t>
  </si>
  <si>
    <t>Feeding Frenzy</t>
  </si>
  <si>
    <t>Feeding Frenzy 2: Shipwreck Showdown</t>
  </si>
  <si>
    <t>Comic Mischief</t>
  </si>
  <si>
    <t>Fight Night: Champion</t>
  </si>
  <si>
    <t>Blood, Suggestive Themes, Strong Language, Violence</t>
  </si>
  <si>
    <t>Heavy Weapon</t>
  </si>
  <si>
    <t>Fantasy Violence, Use of Tobacco</t>
  </si>
  <si>
    <t>Mass Effect 2: Digital Deluxe Edition</t>
  </si>
  <si>
    <t>Blood, Sexual Content, Drug Reference, Strong Language, Violence</t>
  </si>
  <si>
    <t>Mass Effect 3: N7 Digital Deluxe Edition</t>
  </si>
  <si>
    <t>Blood, Sexual Content, Partial Nudity, Strong Language, Violence</t>
  </si>
  <si>
    <t>Mass Effect: Andromeda - Deluxe Edition</t>
  </si>
  <si>
    <t>Nudity, Blood, Strong Sexual Content, Strong Language, Violence</t>
  </si>
  <si>
    <t>Medal of Honor: Airborne</t>
  </si>
  <si>
    <t>Mirror's Edge</t>
  </si>
  <si>
    <t>Blood, Violence, Language</t>
  </si>
  <si>
    <t>Mirror's Edge: Catalyst</t>
  </si>
  <si>
    <t>Need for Speed: Deluxe Edition</t>
  </si>
  <si>
    <t>Mild Violence, Language</t>
  </si>
  <si>
    <t>Need for Speed: Heat - Deluxe Edition</t>
  </si>
  <si>
    <t>Need for Speed: Payback - Deluxe Edition</t>
  </si>
  <si>
    <t>Mild Violence, Mild Suggestive Themes, Language</t>
  </si>
  <si>
    <t>Need for Speed: Rivals - Complete Edition</t>
  </si>
  <si>
    <t>Peggle</t>
  </si>
  <si>
    <t>Peggle 2</t>
  </si>
  <si>
    <t>Plants vs. Zombies: Game of the Year Edition</t>
  </si>
  <si>
    <t>Animated Blood, Cartoon Violence</t>
  </si>
  <si>
    <t>Plants vs. Zombies: Battle for Neighborville - Deluxe Edition</t>
  </si>
  <si>
    <t>Fantasy Violence, Comic Mischief</t>
  </si>
  <si>
    <t>Plants vs. Zombies: Garden Warfare</t>
  </si>
  <si>
    <t>Fantasy Violence, Crude Humor, Animated Blood</t>
  </si>
  <si>
    <t>Plants vs. Zombies: Garden Warfare 2 - Deluxe Edition</t>
  </si>
  <si>
    <t>Sea of Solitude</t>
  </si>
  <si>
    <t>Skate 3</t>
  </si>
  <si>
    <t>Skateboarding</t>
  </si>
  <si>
    <t>Crude Humor, Drug Reference, Language, Mild Violence, Suggestive Themes</t>
  </si>
  <si>
    <t>SSX</t>
  </si>
  <si>
    <t>Mild Lyrics, Mild Violence</t>
  </si>
  <si>
    <t>Star Wars Battlefront: Ultimate Edition</t>
  </si>
  <si>
    <t>Star Wars Battlefront II: Celebration Edition</t>
  </si>
  <si>
    <t>Star Wars Jedi: Fallen Order</t>
  </si>
  <si>
    <t>The Sims 4: Deluxe Party Edition</t>
  </si>
  <si>
    <t>Titanfall 2: Ultimate Edition</t>
  </si>
  <si>
    <t>Unravel</t>
  </si>
  <si>
    <t>Unravel Two</t>
  </si>
  <si>
    <t>Zuma</t>
  </si>
  <si>
    <t>Zuma's Revenge!</t>
  </si>
  <si>
    <t>Violence, Blood, Use of Alcohol, Language</t>
  </si>
  <si>
    <t>Deep Rock Galactic</t>
  </si>
  <si>
    <t>Formerly Game Pass Standard</t>
  </si>
  <si>
    <t>Violence, Blood, Mild Language, Use of Alcohol and Tobacco</t>
  </si>
  <si>
    <t>Crude Humor, Fantasy Violence, Mild Language, Mild Suggestive Themes, Use of Alcohol and Tobacco</t>
  </si>
  <si>
    <t>Tom Clancy's Rainbow Six: Siege - Deluxe Edition</t>
  </si>
  <si>
    <t>Ubisoft Connect launcher, joined PC 1/20/21</t>
  </si>
  <si>
    <t>Mild Blood, Violence</t>
  </si>
  <si>
    <t>Blood and Gore, Intense Violence, Partial Nudity, Strong Language, Suggestive Themes</t>
  </si>
  <si>
    <t>Blood, Language, Violence</t>
  </si>
  <si>
    <t>Blood and Gore, Sexual Content, Use of Drugs, Strong Language, Intense Violence</t>
  </si>
  <si>
    <t>Mild Blood, Drug Reference, Strong Language, Violence</t>
  </si>
  <si>
    <t>Crude Humor, Mild Language, Animated Blood, Cartoon Violence</t>
  </si>
  <si>
    <t>Mild Cartoon Violence</t>
  </si>
  <si>
    <t>Exclusive, Optimized</t>
  </si>
  <si>
    <t>Joining Xbox Series X|S on 7/27/21, PC 3/1/22</t>
  </si>
  <si>
    <t>Trailmakers</t>
  </si>
  <si>
    <t>Game Pass Essential launch title (9/14/23), Game launches with campaign 9/27/22, game preview up until then</t>
  </si>
  <si>
    <t>Violence, Blood, Drug Reference, Language</t>
  </si>
  <si>
    <t>Game Pass Essential launch title (9/14/23), Official PC Mod Support</t>
  </si>
  <si>
    <t>Use of Alcohol, Blood and Gore, Suggestive Themes, Drug Reference, Strong Language, Intense Violence</t>
  </si>
  <si>
    <t>Blood, Mild Language, Suggestive Themes, Use of Alcohol, Violence</t>
  </si>
  <si>
    <t>BattleTech</t>
  </si>
  <si>
    <t>Violence, Use of Alcohol And Tobacco, Language</t>
  </si>
  <si>
    <t>No Man's Sky</t>
  </si>
  <si>
    <t>Fantasy Violence, Animated Blood</t>
  </si>
  <si>
    <t>DayZ</t>
  </si>
  <si>
    <t>Game Pass Essential (12/4/24). Joins PC on 4/8/26</t>
  </si>
  <si>
    <t>MechWarrior 5: Mercenaries</t>
  </si>
  <si>
    <t>Language, Mild Blood, Violence</t>
  </si>
  <si>
    <t>Totally Reliable Delivery Service</t>
  </si>
  <si>
    <t>Game Pass Essential (12/6/23), Joined PC 12/1/22</t>
  </si>
  <si>
    <t>Crude Humor, Mild Fantasy Violence</t>
  </si>
  <si>
    <t>Violence, Blood, Sexual Content, Use of Alcohol, Simulated Gambling</t>
  </si>
  <si>
    <t>Phoenix Point</t>
  </si>
  <si>
    <t>Joined console 10/1/21</t>
  </si>
  <si>
    <t>Totally Accurate Battle Simulator</t>
  </si>
  <si>
    <t>Upgraded from complete to definitive edition on 12/13/23</t>
  </si>
  <si>
    <t>Blood, Sexual Themes, Strong Language, Violence</t>
  </si>
  <si>
    <t>Overcooked! 2</t>
  </si>
  <si>
    <t>Joined console 1/31/23</t>
  </si>
  <si>
    <t>Mild Blood, Mild Language, Violence</t>
  </si>
  <si>
    <t>Blood and Gore, Suggestive Themes, Strong Language, Intense Violence</t>
  </si>
  <si>
    <t>Official PC Mod Support, enhanced edition only on PC</t>
  </si>
  <si>
    <t>Blood and Gore, Intense Violence, Strong Language, Use of Drugs, Sexual Content</t>
  </si>
  <si>
    <t>Use of Alcohol, Blood, Violence, Language</t>
  </si>
  <si>
    <t>Blood, Mild Violence</t>
  </si>
  <si>
    <t>Fantasy Violence, Use of Alcohol, Simulated Gambling</t>
  </si>
  <si>
    <t>Blood and Gore, Suggestive Themes, Violence</t>
  </si>
  <si>
    <t>Blood and Gore, Suggestive Themes, Mild Crude Humor, Violence</t>
  </si>
  <si>
    <t>Anniversary Edition added 11/28/23</t>
  </si>
  <si>
    <t>Blood and Gore, Suggestive Themes, Violence, Mild Language, Mild Crude Humor</t>
  </si>
  <si>
    <t>Torment: Tides of Numenera</t>
  </si>
  <si>
    <t>Joined Xbox and cloud 7/21/22, originally only on PC</t>
  </si>
  <si>
    <t>Blood, Sexual Themes, Violence, Language</t>
  </si>
  <si>
    <t>Violence, Blood, Language, Use of Alcohol, Use of Tobacco</t>
  </si>
  <si>
    <t>ASTRONEER</t>
  </si>
  <si>
    <t>Batman: Arkham Knight</t>
  </si>
  <si>
    <t>Game Pass Essential (3/26/25). Joined PC 65/16/26</t>
  </si>
  <si>
    <t>Blood, Suggestive Themes, Violence, Language</t>
  </si>
  <si>
    <t>Hollow Knight: Voidheart Edition</t>
  </si>
  <si>
    <t>Moonlighter</t>
  </si>
  <si>
    <t>Left EA Play 10/23/21</t>
  </si>
  <si>
    <t>Formerly Game Pass Core</t>
  </si>
  <si>
    <t>Dead by Daylight: Special Edition</t>
  </si>
  <si>
    <t>Essential Join Date</t>
  </si>
  <si>
    <t>Descenders</t>
  </si>
  <si>
    <t>Blood and Gore, Sexual Content, Partial Nudity, Use of Drugs, Strong Language, Intense Violence</t>
  </si>
  <si>
    <t>The Walking Dead: A New Frontier</t>
  </si>
  <si>
    <t>Joined PC 11/1/22, left 9/30/24</t>
  </si>
  <si>
    <t>Violence, Blood, Use of Drugs, Strong Language</t>
  </si>
  <si>
    <t>Joined PC 11/2/21 (Java and Bedrock Editions)</t>
  </si>
  <si>
    <t>The Walking Dead: Michonne</t>
  </si>
  <si>
    <t>Intense Violence, Blood, Use of Drugs, Language</t>
  </si>
  <si>
    <t>Blood, Sexual Themes, Drug Reference, Strong Language, Violence</t>
  </si>
  <si>
    <t>The Walking Dead: The Complete First Season</t>
  </si>
  <si>
    <t>Joined PC 10/6/22, leaves PC 9/30/24</t>
  </si>
  <si>
    <t>The Walking Dead: Season Two</t>
  </si>
  <si>
    <t xml:space="preserve">ARK: Ultimate Survivor Edition </t>
  </si>
  <si>
    <t>New edition joins 2/14/22, Previously ARK: Survival Evolved - Explorer's Edition</t>
  </si>
  <si>
    <t>Use of Alcohol, Crude Humor, Blood, Violence</t>
  </si>
  <si>
    <t>Blood and Gore, Strong Sexual Content, Use of Drugs, Strong Language, Intense Violence</t>
  </si>
  <si>
    <t>Joined 9/1/18, briefly left 4/15/23 due to licensing issues, PC added when game returned</t>
  </si>
  <si>
    <t>Rush: A Disney Pixar Adventure</t>
  </si>
  <si>
    <t>Joined cloud 2/18/25</t>
  </si>
  <si>
    <t>Blood and Gore, Sexual Content, Partial Nudity, Strong Language, Intense Violence</t>
  </si>
  <si>
    <t>Blood and Gore, Intense Violence, Sexual Themes, Strong Language, Use of Drugs</t>
  </si>
  <si>
    <t>Human: Fall Flat</t>
  </si>
  <si>
    <t>Use of Alcohol, Blood and Gore, Sexual Themes, Violence, Language</t>
  </si>
  <si>
    <t>MMORPG</t>
  </si>
  <si>
    <t>Joins PC 6/2/26. Game Pass Essential launch title (9/14/23), Temporarily removed from cloud 2/22/22 due to disconnect issues, reinstated 12/20/22</t>
  </si>
  <si>
    <t>Use of Alcohol, Blood and Gore, Sexual Themes, Violence</t>
  </si>
  <si>
    <t>Blood and Gore, Sexual Content, Drug Reference, Strong Language, Violence</t>
  </si>
  <si>
    <t>Blood and Gore, Drug Reference, Strong Language, Intense Violence</t>
  </si>
  <si>
    <t>Cities: Skylines - Remastered</t>
  </si>
  <si>
    <t>Game Pass Essential (10/1/25). Remasted coming to Xbox Series X|S and cloud exclusively beginning 2/15/23. PC version is not remastered</t>
  </si>
  <si>
    <t>theHunter: Call of the Wild</t>
  </si>
  <si>
    <t>Joined PC 12/1/2021</t>
  </si>
  <si>
    <t>Use of Alcohol, Crude Humor, Violence</t>
  </si>
  <si>
    <t>Blood and Gore, Language, Use of Alcohol, Violence, Sexual Content</t>
  </si>
  <si>
    <t>Mass Effect</t>
  </si>
  <si>
    <t>Blood, Sexual Themes, Partial Nudity, Violence, Language</t>
  </si>
  <si>
    <t>Violence, Mild Blood, Mild Language</t>
  </si>
  <si>
    <t>Use of Alcohol, Blood, Sexual Themes, Violence, Language</t>
  </si>
  <si>
    <t>Crude Humor, Cartoon Violence</t>
  </si>
  <si>
    <t>Use of Alcohol, Blood, Sexual Content, Violence, Language</t>
  </si>
  <si>
    <t>Minigame Collection</t>
  </si>
  <si>
    <t>Blood, Mild Language, Violence</t>
  </si>
  <si>
    <t>3</t>
  </si>
  <si>
    <t>Blood and Gore, Sexual Themes, Drug Reference, Strong Language, Violence</t>
  </si>
  <si>
    <t>Terraria</t>
  </si>
  <si>
    <t>Use of Alcohol, Blood and Gore, Mild Suggestive Themes, Cartoon Violence</t>
  </si>
  <si>
    <t>Crude Humor, Mild Cartoon Violence</t>
  </si>
  <si>
    <t>Nova Roma (Game Preview)</t>
  </si>
  <si>
    <t>Pacific Drive</t>
  </si>
  <si>
    <t>Evil West</t>
  </si>
  <si>
    <t>Returning title: Joined 3/21/24, left 3/15/25</t>
  </si>
  <si>
    <t>The Casting of Frank Stone</t>
  </si>
  <si>
    <t>Clair Obscur: Expedition 33</t>
  </si>
  <si>
    <t>Crime Scene Cleaner</t>
  </si>
  <si>
    <t>Donut County</t>
  </si>
  <si>
    <t>Returning title: Originally joined 1/21/21, left 1/31/23, Official PC Mod Support</t>
  </si>
  <si>
    <t>Mild Fantasy Violence, Comic Mischief</t>
  </si>
  <si>
    <t>A Plague Tale: Requiem</t>
  </si>
  <si>
    <t>Intense Violence, Blood, Language</t>
  </si>
  <si>
    <t>Little Rocket Lab</t>
  </si>
  <si>
    <t>Sopa: Tale of the Stolen Potato</t>
  </si>
  <si>
    <t>Lara Croft and the Guardian of Light</t>
  </si>
  <si>
    <t>SWORN</t>
  </si>
  <si>
    <t>Little Nightmares II</t>
  </si>
  <si>
    <t>Atomfall</t>
  </si>
  <si>
    <t>SIFU</t>
  </si>
  <si>
    <t>Beat-'Em-Up</t>
  </si>
  <si>
    <t>Cyberpunk 2077</t>
  </si>
  <si>
    <t>Deep Rock Galactic: Survivor</t>
  </si>
  <si>
    <t>Commandos: Origins</t>
  </si>
  <si>
    <t>Mullet Madjack</t>
  </si>
  <si>
    <t>Frostpunk 2</t>
  </si>
  <si>
    <t>Joins console and cloud 9/18/25</t>
  </si>
  <si>
    <t>Train Sim World 5</t>
  </si>
  <si>
    <t>Cricket 24</t>
  </si>
  <si>
    <t>Spiritfarer</t>
  </si>
  <si>
    <t>Game Pass Essential launch title (9/14/23), Returning title: Joined 8/18/20, left 8/31/22</t>
  </si>
  <si>
    <t>Language, Use of Tobacco, Violent References</t>
  </si>
  <si>
    <t>Superliminal</t>
  </si>
  <si>
    <t>Mild Blood</t>
  </si>
  <si>
    <t>Dead Cells</t>
  </si>
  <si>
    <t>Game Pass Essential launch title (9/14/23), Left EA Play 10/23/21</t>
  </si>
  <si>
    <t>NBA 2K26</t>
  </si>
  <si>
    <t>The Witcher 3: Wild Hunt - Complete Edition</t>
  </si>
  <si>
    <t>I Am Your Beast</t>
  </si>
  <si>
    <t>One Lonely Outpost</t>
  </si>
  <si>
    <t>Another Crab's Treasure</t>
  </si>
  <si>
    <t>Neon Abyss</t>
  </si>
  <si>
    <t>Blood and Gore, Simulated Gambling, Violence, Comic Mischief</t>
  </si>
  <si>
    <t>Menace (2026) (Game Preview)</t>
  </si>
  <si>
    <t>Aliens: Fireteam Elite</t>
  </si>
  <si>
    <t>Handheld Optimized. Returning title: Originally joined 12/14/21, left 12/15/22</t>
  </si>
  <si>
    <t>Atlas Fallen: Reign of Sand</t>
  </si>
  <si>
    <t>Firewatch</t>
  </si>
  <si>
    <t>Game Pass Essential launch title (9/14/23), Returning title: Joined 2/16/21, left 12/15/22</t>
  </si>
  <si>
    <t>Nudity, Suggestive Themes, Alcohol Reference, Drug Reference, Strong Language</t>
  </si>
  <si>
    <t>Whiskerwood</t>
  </si>
  <si>
    <t>Rain World</t>
  </si>
  <si>
    <t>Back to the Dawn</t>
  </si>
  <si>
    <t>Crossplay Game</t>
  </si>
  <si>
    <t>My Friendly Neighborhood</t>
  </si>
  <si>
    <t>Xbox Play Anywhere Game</t>
  </si>
  <si>
    <t>ARK: Survival Evolved</t>
  </si>
  <si>
    <t>Alvastia Chronicles</t>
  </si>
  <si>
    <t>Astroneer</t>
  </si>
  <si>
    <t>Blair Witch</t>
  </si>
  <si>
    <t>Drake Hollow</t>
  </si>
  <si>
    <t>Celeste</t>
  </si>
  <si>
    <t>Children of Morta</t>
  </si>
  <si>
    <t>Gears 5: Ultimate Edition</t>
  </si>
  <si>
    <t>Grounded (Game Preview)</t>
  </si>
  <si>
    <t>Sniper Elite: Resistance</t>
  </si>
  <si>
    <t>Knockout City</t>
  </si>
  <si>
    <t>Don't Starve: Giant Edition</t>
  </si>
  <si>
    <t>Dragon Quest XI S: Echoes of an Elusive Age - Definitive Edition</t>
  </si>
  <si>
    <t>Power Rangers: Battle for the Grid</t>
  </si>
  <si>
    <t>Enter the Gungeon</t>
  </si>
  <si>
    <t>Everspace</t>
  </si>
  <si>
    <t>Final Fantasy IX</t>
  </si>
  <si>
    <t>Wargroove</t>
  </si>
  <si>
    <t>Five Nights at Freddy's</t>
  </si>
  <si>
    <t>World War Z</t>
  </si>
  <si>
    <t>Five Nights at Freddy's 2</t>
  </si>
  <si>
    <t>Five Nights at Freddy's 3</t>
  </si>
  <si>
    <t>Remnant: From the Ashes</t>
  </si>
  <si>
    <t>Five Nights at Freddy's 4</t>
  </si>
  <si>
    <t>Streets of Rage 4</t>
  </si>
  <si>
    <t>Project Winter</t>
  </si>
  <si>
    <t>Outriders</t>
  </si>
  <si>
    <t>Full Metal Furies</t>
  </si>
  <si>
    <t>The Ascent</t>
  </si>
  <si>
    <t>Back 4 Blood</t>
  </si>
  <si>
    <t>Tetris Effect: Connected</t>
  </si>
  <si>
    <t>Guacamelee! 2</t>
  </si>
  <si>
    <t>Secret Neighbor</t>
  </si>
  <si>
    <t>Haven</t>
  </si>
  <si>
    <t>Teenage Mutant Ninja Turtles: Shredder's Revenge</t>
  </si>
  <si>
    <t>Hello Neighbor</t>
  </si>
  <si>
    <t>HyperDot</t>
  </si>
  <si>
    <t>Aragami 2</t>
  </si>
  <si>
    <t>Hypnospace Outlaw</t>
  </si>
  <si>
    <t>Black Desert</t>
  </si>
  <si>
    <t>It Lurks Below</t>
  </si>
  <si>
    <t>Killer Instinct</t>
  </si>
  <si>
    <t>Craftopia</t>
  </si>
  <si>
    <t>Killer Instinct: Definitive Edition</t>
  </si>
  <si>
    <t>Embr</t>
  </si>
  <si>
    <t>Levelhead</t>
  </si>
  <si>
    <t>Lichtspeer: Double Speer Edition</t>
  </si>
  <si>
    <t>Killer Instinct (2013): Definitive Edition</t>
  </si>
  <si>
    <t>Lonely Mountains: Downhill</t>
  </si>
  <si>
    <t>Game Pass Essential launch title (9/14/23), Returning title: Joined 11/5/20, left 10/31/21</t>
  </si>
  <si>
    <t>Maneater</t>
  </si>
  <si>
    <t>MARVEL VS. CAPCOM: INFINITE</t>
  </si>
  <si>
    <t>Alcohol Reference, Fantasy Violence, Mild Language</t>
  </si>
  <si>
    <t>Middle-earth: Shadow of Mordor - Game of the Year Edition</t>
  </si>
  <si>
    <t>MLB The Show 22</t>
  </si>
  <si>
    <t>Middle-earth: Shadow of War</t>
  </si>
  <si>
    <t>Monster Train</t>
  </si>
  <si>
    <t>Mortal Kombat 11</t>
  </si>
  <si>
    <t>Mørkredd</t>
  </si>
  <si>
    <t>Anvil: Vault Breaker (Game Preview)</t>
  </si>
  <si>
    <t>Mutant Year Zero: Road to Eden</t>
  </si>
  <si>
    <t>Chivalry 2</t>
  </si>
  <si>
    <t>Escape Academy</t>
  </si>
  <si>
    <t>Observation</t>
  </si>
  <si>
    <t>Operencia: The Stolen Sun</t>
  </si>
  <si>
    <t>Gunfire Reborn</t>
  </si>
  <si>
    <t>Human Fall Flat</t>
  </si>
  <si>
    <t>Monster Hunter Rise</t>
  </si>
  <si>
    <t>Naraka: Bladepoint</t>
  </si>
  <si>
    <t>Mount &amp; Blade II: Bannerlord</t>
  </si>
  <si>
    <t>PowerWash Simulator</t>
  </si>
  <si>
    <t>Riptide GP: Renegade</t>
  </si>
  <si>
    <t>Sniper Elite 5</t>
  </si>
  <si>
    <t>Ruiner</t>
  </si>
  <si>
    <t>Star Wars: Squadrons</t>
  </si>
  <si>
    <t>Valheim (Game Preview)</t>
  </si>
  <si>
    <t>ScourgeBringer</t>
  </si>
  <si>
    <t>Minecraft Legends</t>
  </si>
  <si>
    <t>Sea Salt</t>
  </si>
  <si>
    <t>Railway Empire 2</t>
  </si>
  <si>
    <t>Silence: The Whispered World 2</t>
  </si>
  <si>
    <t>Snake Pass</t>
  </si>
  <si>
    <t>Turbo Golf Racing</t>
  </si>
  <si>
    <t>Techtonica</t>
  </si>
  <si>
    <t>SteamWorld Dig 2</t>
  </si>
  <si>
    <t>Payday 3</t>
  </si>
  <si>
    <t>Party Animals</t>
  </si>
  <si>
    <t>Subnautica</t>
  </si>
  <si>
    <t>The Texas Chainsaw Massacre</t>
  </si>
  <si>
    <t>Tacoma</t>
  </si>
  <si>
    <t>Gotham Knights</t>
  </si>
  <si>
    <t>Headbangers: Rhythm Royale</t>
  </si>
  <si>
    <t>Insurgency: Sandstorm</t>
  </si>
  <si>
    <t>The Gardens Between</t>
  </si>
  <si>
    <t>Thimbleweed Park</t>
  </si>
  <si>
    <t>Ticket to Ride</t>
  </si>
  <si>
    <t>Totally Accurate Battle Simulator (Game Preview)</t>
  </si>
  <si>
    <t>UnderMine</t>
  </si>
  <si>
    <t>Unto the End</t>
  </si>
  <si>
    <t>Vambrace: Cold Soul</t>
  </si>
  <si>
    <t>Crusader Kings III</t>
  </si>
  <si>
    <t>Yakuza: Like a Dragon</t>
  </si>
  <si>
    <t>art of rally</t>
  </si>
  <si>
    <t>Omno</t>
  </si>
  <si>
    <t>Microsoft Flight Simulator</t>
  </si>
  <si>
    <t>Library of Ruina</t>
  </si>
  <si>
    <t>Scarlet Nexus</t>
  </si>
  <si>
    <t>Community</t>
  </si>
  <si>
    <t>Just Cause 4: Reloaded</t>
  </si>
  <si>
    <t>Additions</t>
  </si>
  <si>
    <t>Marvel's Guardians of the Galaxy</t>
  </si>
  <si>
    <t>Must match</t>
  </si>
  <si>
    <t>Joined Xbox 3/29/22</t>
  </si>
  <si>
    <t>Neverwinter Nights: Enhanced Edition</t>
  </si>
  <si>
    <t>name on</t>
  </si>
  <si>
    <t>Violence, Blood, Sexual Themes, Partial Nudity, Use of Drugs, Language</t>
  </si>
  <si>
    <t>master list</t>
  </si>
  <si>
    <t>exactly, so</t>
  </si>
  <si>
    <t>just copy</t>
  </si>
  <si>
    <t>As dusk falls</t>
  </si>
  <si>
    <t>and paste</t>
  </si>
  <si>
    <t>Armello</t>
  </si>
  <si>
    <t>from there</t>
  </si>
  <si>
    <t>For the king 2</t>
  </si>
  <si>
    <t>Mortal kombat 1</t>
  </si>
  <si>
    <t>Super Fantasy Kingdom (Game Preview)</t>
  </si>
  <si>
    <t>Minami Lane</t>
  </si>
  <si>
    <t>Dungeons Of Hinterberg</t>
  </si>
  <si>
    <t>Joins xbox one 12/4/24 (series exclusive before)</t>
  </si>
  <si>
    <t>GP Date</t>
  </si>
  <si>
    <t>Vapor World: Over The Mind</t>
  </si>
  <si>
    <t>June 2026</t>
  </si>
  <si>
    <t>EA Sports FC 24</t>
  </si>
  <si>
    <t>Shadow of the Tomb Raider: Definitive Edition</t>
  </si>
  <si>
    <t>Wuthering Waves</t>
  </si>
  <si>
    <t>Returning title: Added 2/1/19, left 2/15/20 (base game only)</t>
  </si>
  <si>
    <t>Techtonica (Game Preview)</t>
  </si>
  <si>
    <t>SpeedRunners 2: King of Speed</t>
  </si>
  <si>
    <t>July 2026</t>
  </si>
  <si>
    <t>Sandustry</t>
  </si>
  <si>
    <t>Grave Seasons</t>
  </si>
  <si>
    <t>Valor Mortis</t>
  </si>
  <si>
    <t>Bluey's Happy Snaps</t>
  </si>
  <si>
    <t>Fall 2026</t>
  </si>
  <si>
    <t>Golf With Your Friends</t>
  </si>
  <si>
    <t>Forever Ago</t>
  </si>
  <si>
    <t>Oct 2026</t>
  </si>
  <si>
    <t>Vaunted</t>
  </si>
  <si>
    <t>Vapor World: Over the Mind</t>
  </si>
  <si>
    <t>Mild Blood, Mild Fantasy Violence</t>
  </si>
  <si>
    <t>Sleight of Hand</t>
  </si>
  <si>
    <t>Witchbrook</t>
  </si>
  <si>
    <t>Stellaris</t>
  </si>
  <si>
    <t>Armatus</t>
  </si>
  <si>
    <t>At Fate's End</t>
  </si>
  <si>
    <t>Game Pass Essential (12/3/25)</t>
  </si>
  <si>
    <t>Awaysis</t>
  </si>
  <si>
    <t>Violent References, Mild Language</t>
  </si>
  <si>
    <t>Clockwork Revolution</t>
  </si>
  <si>
    <t>Crowsworn</t>
  </si>
  <si>
    <t>D-topia</t>
  </si>
  <si>
    <t>Darkwood II</t>
  </si>
  <si>
    <t>Ultimate Chicken Horse</t>
  </si>
  <si>
    <t>Deep Dish Dungeon</t>
  </si>
  <si>
    <t>Echo Weaver</t>
  </si>
  <si>
    <t>Erosion</t>
  </si>
  <si>
    <t>Escape Academy 2: Back 2 School</t>
  </si>
  <si>
    <t>Fable</t>
  </si>
  <si>
    <t>Freestyle Football 2</t>
  </si>
  <si>
    <t>Rise of the Tomb Raider</t>
  </si>
  <si>
    <t>Harmonium: The Musical</t>
  </si>
  <si>
    <t>Mariachi Legends</t>
  </si>
  <si>
    <t>Nirvana Noir</t>
  </si>
  <si>
    <t>Raji: Kaliyuga</t>
  </si>
  <si>
    <t>Returning title: Joined 12/5/23, left 12/15/24. Joined 3/1/18, left 5/15/20</t>
  </si>
  <si>
    <t>Rogue Carrier</t>
  </si>
  <si>
    <t>Screenbound</t>
  </si>
  <si>
    <t>Volcano Princess</t>
  </si>
  <si>
    <t>Snap &amp; Grab</t>
  </si>
  <si>
    <t>Tanuki: Pon’s Summer</t>
  </si>
  <si>
    <t>Tears of Metal</t>
  </si>
  <si>
    <t>The Eternal Life of Goldman</t>
  </si>
  <si>
    <t>There Are No Ghosts At The Grand</t>
  </si>
  <si>
    <t>Tropico 7</t>
  </si>
  <si>
    <t>Tomb Raider: Definitive Edition</t>
  </si>
  <si>
    <t>Wildekin</t>
  </si>
  <si>
    <t>Persona 4: Revival</t>
  </si>
  <si>
    <t>Fable (2027)</t>
  </si>
  <si>
    <t>Returning title: Added 1/1/19, left 1/15/20 (console only)</t>
  </si>
  <si>
    <t>Blood and Gore, Drug Reference, Intense Violence, Strong Language</t>
  </si>
  <si>
    <t>Join Us</t>
  </si>
  <si>
    <t>The Expanse: Osiris Reborn</t>
  </si>
  <si>
    <t>Spring 2027</t>
  </si>
  <si>
    <t>Unpacking</t>
  </si>
  <si>
    <t>Spyro: A Realm Beyond</t>
  </si>
  <si>
    <t>Wo Long 2: Wings of Ember</t>
  </si>
  <si>
    <t>Early 2027</t>
  </si>
  <si>
    <t>Persona 6</t>
  </si>
  <si>
    <t>Alien Deathstorm</t>
  </si>
  <si>
    <t>Magicians: The Devil’s Deal</t>
  </si>
  <si>
    <t>Artificial Detective</t>
  </si>
  <si>
    <t>Bad Magpie</t>
  </si>
  <si>
    <t>Vivarium</t>
  </si>
  <si>
    <t>Slay the Spire</t>
  </si>
  <si>
    <t>Moosa Dirty Fate</t>
  </si>
  <si>
    <t>Senua</t>
  </si>
  <si>
    <t>Bushiden</t>
  </si>
  <si>
    <t>Marauders</t>
  </si>
  <si>
    <t>Payday 2: Crimewave Edition</t>
  </si>
  <si>
    <t>Moosa: Dirty Fate</t>
  </si>
  <si>
    <t>Stranger Than Heaven</t>
  </si>
  <si>
    <t>Way to the Woods</t>
  </si>
  <si>
    <t>ARK 2</t>
  </si>
  <si>
    <t>Blood and Gore, Suggestive Themes, Drug Reference, Strong Language, Intense Violence</t>
  </si>
  <si>
    <t>OD</t>
  </si>
  <si>
    <t>Contraband</t>
  </si>
  <si>
    <t>TBC</t>
  </si>
  <si>
    <t>Scott Pilgrim vs. The World: The Game</t>
  </si>
  <si>
    <t>Exomecha</t>
  </si>
  <si>
    <t>Path of the Goddess</t>
  </si>
  <si>
    <t>Project GR</t>
  </si>
  <si>
    <t>Project: Mara</t>
  </si>
  <si>
    <t>She Dreams Elsewhere</t>
  </si>
  <si>
    <t>Song of Iron</t>
  </si>
  <si>
    <t>Warhammer 40,000: Space Marine - Master Crafted Edition</t>
  </si>
  <si>
    <t>The Elder Scolls VI</t>
  </si>
  <si>
    <t>Unexplored 2: The Wayfarer's Legacy</t>
  </si>
  <si>
    <t>Stranger than Heaven</t>
  </si>
  <si>
    <t>Jurassic World Evolution 2</t>
  </si>
  <si>
    <t>Lost In Random</t>
  </si>
  <si>
    <t>Fantasy Violence, Language, Use of Alcohol</t>
  </si>
  <si>
    <t>Persona 4: Golden</t>
  </si>
  <si>
    <t>Returning title: Joined 1/19/23, left 1/15/24</t>
  </si>
  <si>
    <t>Alcohol Reference, Animated Blood, Language, Partial Nudity, Sexual Themes, Violence</t>
  </si>
  <si>
    <t>Crypt Custodian</t>
  </si>
  <si>
    <t>Spray Paint Simulator</t>
  </si>
  <si>
    <t>Metaphor: ReFantazio</t>
  </si>
  <si>
    <t>Against the Storm</t>
  </si>
  <si>
    <t>Joins console 6/26/25</t>
  </si>
  <si>
    <t>PAW Patrol Rescue Wheels: Championship</t>
  </si>
  <si>
    <t>Kulebra and the Souls of Limbo</t>
  </si>
  <si>
    <t>Galacticare</t>
  </si>
  <si>
    <t>Go Mecha Ball</t>
  </si>
  <si>
    <t>Planet of Lana</t>
  </si>
  <si>
    <t>ENDLESS Legend II (Game Preview)</t>
  </si>
  <si>
    <t>Revenge of the Savage Planet</t>
  </si>
  <si>
    <t>Dragon Ball Xenoverse 2</t>
  </si>
  <si>
    <t>Hunt: Showdown 1896</t>
  </si>
  <si>
    <t>Joined PC 4/15/2025</t>
  </si>
  <si>
    <t>Goat Simulator: Remastered</t>
  </si>
  <si>
    <t>Creatures of Ava</t>
  </si>
  <si>
    <t>NHL 24</t>
  </si>
  <si>
    <t>Joins cloud 5/16/24</t>
  </si>
  <si>
    <t>Citizen Sleeper</t>
  </si>
  <si>
    <t>Fantasy Violence, Use of Alcohol, Language</t>
  </si>
  <si>
    <t>My Little Pony: A Zephyr Heights Mystery</t>
  </si>
  <si>
    <t>Grand Theft Auto V</t>
  </si>
  <si>
    <t>Returning title: returned 7/5/23, removed 1/5/24, returned 4/8/21, removed 8/8/21, joined 1/30/20, Removed 5/30/20,</t>
  </si>
  <si>
    <t>Blood and Gore, Intense Violence, Mature Humor, Nudity, Strong Language, Strong Sexual Content, Use of Drugs and Alcohol</t>
  </si>
  <si>
    <t>Ashen</t>
  </si>
  <si>
    <t>Returning title: Originally joined 12/31/18, left 12/1/19</t>
  </si>
  <si>
    <t>Eiyuden Chronicle: Hundred Heroes</t>
  </si>
  <si>
    <t>Terra Invicta (Game Preview)</t>
  </si>
  <si>
    <t>Peppa Pig: World Adventures</t>
  </si>
  <si>
    <t>Mad Streets</t>
  </si>
  <si>
    <t>Bratz: Rhythm &amp; Style</t>
  </si>
  <si>
    <t>He Is Coming (Game Preview)</t>
  </si>
  <si>
    <t>Mythwrecked: Ambrosia Island</t>
  </si>
  <si>
    <t>Returning title: Originally joined 9/12/19, left 5/15/22</t>
  </si>
  <si>
    <t>Fantasy Violence, Use of Tobacco, Blood, Mild Language</t>
  </si>
  <si>
    <t>Lightyear Frontier (Game Preview)</t>
  </si>
  <si>
    <t>F1 23</t>
  </si>
  <si>
    <t>Returning title: Originally joined 12/7/20, left 12/31/23</t>
  </si>
  <si>
    <t>Expeditions: A MudRunner Game</t>
  </si>
  <si>
    <t>Injustice 2</t>
  </si>
  <si>
    <t>Blood, Suggestive Themes, Alcohol Reference, Violence, Language</t>
  </si>
  <si>
    <t>Madden NFL 24</t>
  </si>
  <si>
    <t>Mild Lyrics</t>
  </si>
  <si>
    <t>PAW Patrol World</t>
  </si>
  <si>
    <t>Returning title: Joined 3/7/24, left 2/28/25</t>
  </si>
  <si>
    <t>Citizen Sleeper 2: Starward Vector</t>
  </si>
  <si>
    <t>Shady Part of Me</t>
  </si>
  <si>
    <t>Orcs Must Die! Deathtrap</t>
  </si>
  <si>
    <t>Lonely Mountain: Snow Riders</t>
  </si>
  <si>
    <t>Biking</t>
  </si>
  <si>
    <t>Starbound</t>
  </si>
  <si>
    <t>Official PC Mod Support, joins console and cloud 1/22/25</t>
  </si>
  <si>
    <t>Fantasy Violence, Crude Humor, Mild Blood, Alcohol Reference</t>
  </si>
  <si>
    <t>The Grinch: Christmas Adventures</t>
  </si>
  <si>
    <t>Returning title: Joined 7/29/21, left 7/31/23</t>
  </si>
  <si>
    <t>Blood, Sexual Themes, Simulated Gambling, Strong Language, Violence</t>
  </si>
  <si>
    <t>Road 96</t>
  </si>
  <si>
    <t>Returning title: Originally joined 7/7/22, left 6/30/23</t>
  </si>
  <si>
    <t>Drug Reference, Language, Mild Blood, Suggestive Themes, Use of Alcohol and Tobacco, Violence</t>
  </si>
  <si>
    <t>Flintlock: The Siege of Dawn</t>
  </si>
  <si>
    <t>Neon White</t>
  </si>
  <si>
    <t>Fantasy Violence, Language, Mild Blood, Mild Suggestive Themes, Use of Tobacco</t>
  </si>
  <si>
    <t>Carrion</t>
  </si>
  <si>
    <t>Returning title: Originally joined 7/23/20, left 7/15/22</t>
  </si>
  <si>
    <t>Hell Let Loose</t>
  </si>
  <si>
    <t>Wildfrost</t>
  </si>
  <si>
    <t>Still Wakes the Deep</t>
  </si>
  <si>
    <t>Blood and Gore, Strong Language, Violence</t>
  </si>
  <si>
    <t>Barbie Project Friendship</t>
  </si>
  <si>
    <t>Octopath Traveler</t>
  </si>
  <si>
    <t>Returning title: Originally joined 3/25/21, left 2/28/23</t>
  </si>
  <si>
    <t>Blood, Fantasy Violence, Mild Language, Suggestive Themes, Use of Alcohol</t>
  </si>
  <si>
    <t>Octopath Traveler II</t>
  </si>
  <si>
    <t>Fantasy Violence, Mild Blood, Mild Language, Suggestive Themes, Use of Alcohol and Tobacco</t>
  </si>
  <si>
    <t>Lords of the Fallen</t>
  </si>
  <si>
    <t>Blood and Gore, Partial Nudity, Strong Language, Violence</t>
  </si>
  <si>
    <t>SteamWorld Build</t>
  </si>
  <si>
    <t>Blacksmith Master</t>
  </si>
  <si>
    <t>S.T.A.L.K.E.R. 2: Heart of Chornobyl</t>
  </si>
  <si>
    <t>Spirittea</t>
  </si>
  <si>
    <t>Football Manager 2024</t>
  </si>
  <si>
    <t>Frostpunk</t>
  </si>
  <si>
    <t>Mild Violence, Blood, Mild Sexual Themes, Strong Language</t>
  </si>
  <si>
    <t>Metal Slug: Tactics</t>
  </si>
  <si>
    <t>Jusant</t>
  </si>
  <si>
    <t>Return to Monkey Island</t>
  </si>
  <si>
    <t>Alcohol Reference, Fantasy Violence</t>
  </si>
  <si>
    <t>NBA LIVE 19</t>
  </si>
  <si>
    <t>Teenage Mutant Ninja Turtles: Mutants Unleashed</t>
  </si>
  <si>
    <t>Core Keeper</t>
  </si>
  <si>
    <t>Cocoon</t>
  </si>
  <si>
    <t>NINJA GAIDEN: Master Collection</t>
  </si>
  <si>
    <t>All You Need Is Help</t>
  </si>
  <si>
    <t>We Love Katamari Reroll + Royal Reverie</t>
  </si>
  <si>
    <t>Wargroove 2</t>
  </si>
  <si>
    <t>Borderlands 3: Ultimate Edition</t>
  </si>
  <si>
    <t>Sea of Stars</t>
  </si>
  <si>
    <t>Fantasy Violence, Mild Blood, Mild Language</t>
  </si>
  <si>
    <t>This War of Mine: Final Cut</t>
  </si>
  <si>
    <t>Blood, Mild Sexual Themes, Strong Language, Use of Alcohol and Tobacco, Violence</t>
  </si>
  <si>
    <t>PAW Patrol Mighty Pups: Save Adventure Bay</t>
  </si>
  <si>
    <t>Persona 3: Reload</t>
  </si>
  <si>
    <t>Blood, Partial Nudity, Sexual Themes, Strong Language, Violence</t>
  </si>
  <si>
    <t>Farming Simulator 22</t>
  </si>
  <si>
    <t>Anthem</t>
  </si>
  <si>
    <t>Mild Blood, Use of Tobacco, Alcohol Reference, Violence, Language</t>
  </si>
  <si>
    <t>Gigantic: Rampage Edition</t>
  </si>
  <si>
    <t>MOBA</t>
  </si>
  <si>
    <t>Kunitsu-Gami: Path of the Goddess</t>
  </si>
  <si>
    <t>Turnip Boy Robs a Bank</t>
  </si>
  <si>
    <t>Mafia: Definitive Edition</t>
  </si>
  <si>
    <t>Flock (2024)</t>
  </si>
  <si>
    <t>Magical Delicacy</t>
  </si>
  <si>
    <t>Tchia</t>
  </si>
  <si>
    <t>Blood and Gore, Crude Humor, Language, Violence</t>
  </si>
  <si>
    <t>The Case of the Golden Idol</t>
  </si>
  <si>
    <t>The Callisto Protocol</t>
  </si>
  <si>
    <t>Journey to the Savage Planet</t>
  </si>
  <si>
    <t>Returning title: Added 4/9/20, left 3/31/21 (xbox and cloud)</t>
  </si>
  <si>
    <t>Blood and Gore, Crude Humor, Language, Use of Drugs, Violence</t>
  </si>
  <si>
    <t>Robin Hood: Sherwood Builders</t>
  </si>
  <si>
    <t>SteamWorld Dig</t>
  </si>
  <si>
    <t>Returning title: Originally joined 6/9/19, left 6/30/20</t>
  </si>
  <si>
    <t>Arcade Paradise</t>
  </si>
  <si>
    <t>Blood, Fantasy Violence, Lyrics</t>
  </si>
  <si>
    <t>Keplerth</t>
  </si>
  <si>
    <t>My Time at Sandrock</t>
  </si>
  <si>
    <t>Alcohol Reference, Comic Mischief, Fantasy Violence, Mild Language, Mild Suggestive Themes</t>
  </si>
  <si>
    <t>Isonzo</t>
  </si>
  <si>
    <t>Depersonalization</t>
  </si>
  <si>
    <t>Rolling Hills: Make Sushi, Make Friends</t>
  </si>
  <si>
    <t>Dordogne</t>
  </si>
  <si>
    <t>Mild Language</t>
  </si>
  <si>
    <t>Returning title: Joined 18/27/20, left 2/28/22</t>
  </si>
  <si>
    <t>Violence, Blood, Suggestive Themes, Drug Reference</t>
  </si>
  <si>
    <t>Firework</t>
  </si>
  <si>
    <t>Humanity</t>
  </si>
  <si>
    <t>Slayers X: Terminal Aftermath - Vengance of the Slayer</t>
  </si>
  <si>
    <t>Cassette Beasts</t>
  </si>
  <si>
    <t>Joined console 5/25/23</t>
  </si>
  <si>
    <t>Hauntii</t>
  </si>
  <si>
    <t>Chants of Sennaar</t>
  </si>
  <si>
    <t>Brothers: A Tale of Two Sons</t>
  </si>
  <si>
    <t>Returning title: Added 6/1/17, left 5/31/20</t>
  </si>
  <si>
    <t>The Big Con</t>
  </si>
  <si>
    <t>Language, Drug Reference, Use of Tobacco</t>
  </si>
  <si>
    <t>Dune: Spice Wars</t>
  </si>
  <si>
    <t>Left Game Preview 9/14/23, joined cloud and console 11/28/23</t>
  </si>
  <si>
    <t>Fantasy Violence, Drug Reference</t>
  </si>
  <si>
    <t>Kona II: Brume</t>
  </si>
  <si>
    <t>Have A Nice Death</t>
  </si>
  <si>
    <t>Alcohol and Tobacco Reference, Blood, Fantasy Violence, Mild Language</t>
  </si>
  <si>
    <t>The Rewinder</t>
  </si>
  <si>
    <t>Thirsty Suitors</t>
  </si>
  <si>
    <t>The Last Case of Benedict Fox</t>
  </si>
  <si>
    <t>NHL 23</t>
  </si>
  <si>
    <t>Orcs Must Die! 3</t>
  </si>
  <si>
    <t>Harold Halibut</t>
  </si>
  <si>
    <t>Botany Manor</t>
  </si>
  <si>
    <t>Kona</t>
  </si>
  <si>
    <t>Returning title: Added 3/19/20, left 3/15/21</t>
  </si>
  <si>
    <t>Blood, Sexual Themes, Use of Alcohol and Tobacco, Violence</t>
  </si>
  <si>
    <t>Homestead Arcana</t>
  </si>
  <si>
    <t>Coral Island</t>
  </si>
  <si>
    <t>Joins cloud and console and leaves preview on 11/14/23</t>
  </si>
  <si>
    <t>Fantasy Violence, Alcohol Reference, Comic Mischief</t>
  </si>
  <si>
    <t>Turbo Golf Racing (Game Preview)</t>
  </si>
  <si>
    <t>Lil Gator Game</t>
  </si>
  <si>
    <t>Hot Wheels Unleashed 2: Turbocharged</t>
  </si>
  <si>
    <t>Open Roads</t>
  </si>
  <si>
    <t>Alcohol and Tobacco Reference, Language, Mild Blood, Mild Suggestive Themes</t>
  </si>
  <si>
    <t>MLB The Show 24</t>
  </si>
  <si>
    <t>Joined cloud 2/27/24</t>
  </si>
  <si>
    <t>The Lamplighters League</t>
  </si>
  <si>
    <t>Monster Hunter: Rise</t>
  </si>
  <si>
    <t>Alcohol Reference, Blood, Violence</t>
  </si>
  <si>
    <t>Yakuza 0</t>
  </si>
  <si>
    <t>Returning title: Originally joined 2/26/20, left 12/31/21</t>
  </si>
  <si>
    <t>Blood, Intense Violence, Sexual Content, Strong Language, Use of Alcohol</t>
  </si>
  <si>
    <t>Yakuza Kiwami</t>
  </si>
  <si>
    <t>Returning title: Originally joined 4/22/20, left 12/31/21</t>
  </si>
  <si>
    <t>Blood, Intense Violence, Partial Nudity, Sexual Themes, Strong Language, Use of Alcohol</t>
  </si>
  <si>
    <t>Yakuza Kiwami 2</t>
  </si>
  <si>
    <t>Returning title: Originally joined 7/30/20, left 12/31/21</t>
  </si>
  <si>
    <t>Blood, Intense Violence, Sexual Themes, Strong Language, Use of Alcohol</t>
  </si>
  <si>
    <t>Use of Alcohol, Blood, Sexual Themes, Strong Language, Intense Violence</t>
  </si>
  <si>
    <t>No More Heroes III</t>
  </si>
  <si>
    <t>Blood and Gore, Intense Violence, Strong Language, Suggestive Themes</t>
  </si>
  <si>
    <t>SpongeBob SquarePants: Battle for Bikini Bottom - Rehydrated</t>
  </si>
  <si>
    <t>Lies of P</t>
  </si>
  <si>
    <t>Solar Ash</t>
  </si>
  <si>
    <t>Blood, Fantasy Violence, Mild Language</t>
  </si>
  <si>
    <t>Yakuza 6: The Song of Life</t>
  </si>
  <si>
    <t>Use of Alcohol, Blood, Sexual Content, Partial Nudity, Strong Language, Intense Violence</t>
  </si>
  <si>
    <t>Yakuza 5: Remastered</t>
  </si>
  <si>
    <t>Warhammer 40,000: Boltgun</t>
  </si>
  <si>
    <t>Space Engineers</t>
  </si>
  <si>
    <t>Drug Reference, Fantasy Violence, Mild Language</t>
  </si>
  <si>
    <t>Returning title: Added 5/25/21, left 6/15/23</t>
  </si>
  <si>
    <t>Blood and Gore, Mild Language, Drug Reference, Intense Violence, Mature Humor</t>
  </si>
  <si>
    <t>GRIS</t>
  </si>
  <si>
    <t>Returning title: Joined 1/16/20, left 1/29/21</t>
  </si>
  <si>
    <t>Yakuza 3: Remastered</t>
  </si>
  <si>
    <t>Use of Alcohol, Blood, Sexual Themes, Strong Language, Violence</t>
  </si>
  <si>
    <t>Yakuza 4: Remastered</t>
  </si>
  <si>
    <t>F1 22</t>
  </si>
  <si>
    <t>Indivisible</t>
  </si>
  <si>
    <t>Returning title: Added 1/23/20, left 1/29/21</t>
  </si>
  <si>
    <t>Blood, Fantasy Violence, Suggestive Themes</t>
  </si>
  <si>
    <t>Return to Grace</t>
  </si>
  <si>
    <t>Tales of Arise</t>
  </si>
  <si>
    <t>Alcohol Reference, Blood, Language, Suggestive Themes, Violence</t>
  </si>
  <si>
    <t>A Little to the Left</t>
  </si>
  <si>
    <t>Bloodstained: Ritual of the Night</t>
  </si>
  <si>
    <t>Returning title: Added 9/19/19, left 3/15/21</t>
  </si>
  <si>
    <t>Blood, Partial Nudity, Violence</t>
  </si>
  <si>
    <t>Merge &amp; Blade</t>
  </si>
  <si>
    <t>Madden NFL 23</t>
  </si>
  <si>
    <t>EA Sports UFC 3</t>
  </si>
  <si>
    <t>Anuchard</t>
  </si>
  <si>
    <t>Broforce Forever</t>
  </si>
  <si>
    <t>Serious Sam: Siberian Mayhem</t>
  </si>
  <si>
    <t>Maquette</t>
  </si>
  <si>
    <t>Alcohol Reference, Lyrics</t>
  </si>
  <si>
    <t>Darkest Dungeon</t>
  </si>
  <si>
    <t>Returning title: Originally joined 6/10/21, left 6/15/22</t>
  </si>
  <si>
    <t>Fantasy Violence, Mild Blood, Sexual Themes, Partial Nudity</t>
  </si>
  <si>
    <t>Death's Door</t>
  </si>
  <si>
    <t>Blood, Fantasy Violence, Language, Use of Alcohol and Tobacco</t>
  </si>
  <si>
    <t>Those Who Remain</t>
  </si>
  <si>
    <t>Figment</t>
  </si>
  <si>
    <t>Exoprimal</t>
  </si>
  <si>
    <t>Common'hood</t>
  </si>
  <si>
    <t>Joined PC 7/11/23</t>
  </si>
  <si>
    <t>LEGO 2K Drive</t>
  </si>
  <si>
    <t>Close to the Sun</t>
  </si>
  <si>
    <t>Cartoon Violence, Crude Humor, Suggestive Themes</t>
  </si>
  <si>
    <t>McPixel 3</t>
  </si>
  <si>
    <t>BlazBlue: Cross Tag Battle - Special Edition</t>
  </si>
  <si>
    <t>Humankind</t>
  </si>
  <si>
    <t>Joined cloud and console 8/22/23</t>
  </si>
  <si>
    <t>Mild Violence, Alcohol Reference, Mild Language</t>
  </si>
  <si>
    <t>The Quarry</t>
  </si>
  <si>
    <t>Blood and Gore, Intense Violence, Mild Sexual Themes, Strong Language</t>
  </si>
  <si>
    <t>Tin Hearts</t>
  </si>
  <si>
    <t>Amnesia: The Bunker</t>
  </si>
  <si>
    <t>Rainbow Billy: The Curse of the Leviathan</t>
  </si>
  <si>
    <t>Forager</t>
  </si>
  <si>
    <t>Fantasy Violence, Mild Blood, Crude Humor</t>
  </si>
  <si>
    <t>While the Iron's Hot</t>
  </si>
  <si>
    <t>Spirit of the North: Enhanced Edition</t>
  </si>
  <si>
    <t>Returning title: Joined 11/14/19, left 5/15/22</t>
  </si>
  <si>
    <t>Region lock</t>
  </si>
  <si>
    <t>Rollerdrome</t>
  </si>
  <si>
    <t>Hello Neighbor 2</t>
  </si>
  <si>
    <t>Soccer Story</t>
  </si>
  <si>
    <t>Conan Exiles</t>
  </si>
  <si>
    <t>Nudity, Use of Alcohol, Blood and Gore, Language, Intense Violence</t>
  </si>
  <si>
    <t>Persona 5: Tactica</t>
  </si>
  <si>
    <t>Dungeons 4</t>
  </si>
  <si>
    <t>Like a Dragon Gaiden: The Man Who Erased His Name</t>
  </si>
  <si>
    <t>Like a Dragon: Ishin!</t>
  </si>
  <si>
    <t>Goat Simulator</t>
  </si>
  <si>
    <t>Game Pass Essential (12/4/24), Returning title: Joined 6/27/19, left 3/215/23</t>
  </si>
  <si>
    <t>Somerville</t>
  </si>
  <si>
    <t>Dicey Dungeons</t>
  </si>
  <si>
    <t>Music</t>
  </si>
  <si>
    <t>Mineko's Night Market</t>
  </si>
  <si>
    <t>Inkulinati (Game Preview)</t>
  </si>
  <si>
    <t>Mild Fantasy Violence, Mild Language, Comic Mischief</t>
  </si>
  <si>
    <t>Frog Detective: The Entire Mystery</t>
  </si>
  <si>
    <t>Joined cloud and console 10/26/23</t>
  </si>
  <si>
    <t>F1 Manager 2023</t>
  </si>
  <si>
    <t>From Space</t>
  </si>
  <si>
    <t>Scorn</t>
  </si>
  <si>
    <t>Intense Violence, Blood and Gore, Sexual Themes</t>
  </si>
  <si>
    <t>Dyson Sphere Program (Game Preview)</t>
  </si>
  <si>
    <t>Everspace 2</t>
  </si>
  <si>
    <t>Joins Xbox Series and cloud 8/15/23. 1.0 release 4/16/23 out of early accesss</t>
  </si>
  <si>
    <t>Phoenix Wright: Ace Attorney Trilogy</t>
  </si>
  <si>
    <t>Violence, Blood, Suggestive Themes, Use of Tobacco</t>
  </si>
  <si>
    <t>Loop Hero</t>
  </si>
  <si>
    <t>Fantasy Violence, Language, Mild Suggestive Themes</t>
  </si>
  <si>
    <t>PAW Patrol Grand Prix</t>
  </si>
  <si>
    <t>Let's Build A Zoo</t>
  </si>
  <si>
    <t>Alcohol Reference, Comic Mischief, Mild Blood, Mild Violence</t>
  </si>
  <si>
    <t>Joined console 3/14/23</t>
  </si>
  <si>
    <t>Violence, Blood, Use of Alcohol, Crude Humor</t>
  </si>
  <si>
    <t>My Time at Portia</t>
  </si>
  <si>
    <t>Fantasy Violence, Crude Humor, Alcohol Reference, Mild Suggestive Themes</t>
  </si>
  <si>
    <t>PAYDAY 3</t>
  </si>
  <si>
    <t>FIFA 23</t>
  </si>
  <si>
    <t>Slime Rancher 2 (Game Preview)</t>
  </si>
  <si>
    <t>SpiderHeck</t>
  </si>
  <si>
    <t>You Suck at Parking</t>
  </si>
  <si>
    <t>Ashes of the Singularity: Escalation</t>
  </si>
  <si>
    <t>NBA 2K24</t>
  </si>
  <si>
    <t>Guilty Gear -Strive-</t>
  </si>
  <si>
    <t>Atomic Heart</t>
  </si>
  <si>
    <t>Intense Violence, Blood and Gore, Nudity, Language</t>
  </si>
  <si>
    <t>Airborne Kingdom</t>
  </si>
  <si>
    <t>Shadow Warrior 3: Definitive Edition</t>
  </si>
  <si>
    <t>Offworld Trading Company</t>
  </si>
  <si>
    <t>Train Sim World 4</t>
  </si>
  <si>
    <t>A Short Hike</t>
  </si>
  <si>
    <t>Venba</t>
  </si>
  <si>
    <t>Figment 2: Creed Valley</t>
  </si>
  <si>
    <t>The Wandering Village</t>
  </si>
  <si>
    <t>TOEM</t>
  </si>
  <si>
    <t>Coffee Talk Episode 2: Hibiscus &amp; Butterfly</t>
  </si>
  <si>
    <t>Alcohol Reference, Language, Mild Suggestive Themes, Use of Tobacco</t>
  </si>
  <si>
    <t>Sins of a Solar Empire: Rebellion</t>
  </si>
  <si>
    <t>Cricket 22</t>
  </si>
  <si>
    <t>Sword and Fairy: Together Forever</t>
  </si>
  <si>
    <t>Blood, Language, Use of Alcohol, Violence</t>
  </si>
  <si>
    <t>Story of Seasons: Friends of Mineral Town</t>
  </si>
  <si>
    <t>Comic Mischief, Suggestive Themes, Use of Alcohol</t>
  </si>
  <si>
    <t>F.I.S.T.: Forged In Shadow Torch</t>
  </si>
  <si>
    <t>Fantasy Violence, Language, Mild Suggestive Themes, Use of Alcohol</t>
  </si>
  <si>
    <t>Stranded Deep</t>
  </si>
  <si>
    <t>Blood, Crude Humor, Mild Violence</t>
  </si>
  <si>
    <t>FIFA 22</t>
  </si>
  <si>
    <t>Bramble: The Mountain King</t>
  </si>
  <si>
    <t>Blood and Gore, Intense Violence, Partial Nudity</t>
  </si>
  <si>
    <t>The Bookwalker: Thief of Tales</t>
  </si>
  <si>
    <t>Rune Factory 4: Special</t>
  </si>
  <si>
    <t>Fantasy Violence, Mild Language, Mild Suggestive Themes, Use of Alcohol</t>
  </si>
  <si>
    <t>Spacelines from the Far Out</t>
  </si>
  <si>
    <t>Chicory: A Colorful Tale</t>
  </si>
  <si>
    <t>Farworld Pioneers</t>
  </si>
  <si>
    <t>JoJo's Bizarre Adventure: All-Star Battle R</t>
  </si>
  <si>
    <t>Language, Mild Blood, Suggestive Themes, Use of Tobacco, Violence</t>
  </si>
  <si>
    <t>Pac-Man Museum+</t>
  </si>
  <si>
    <t>Mild Cartoon Violence, Comic Mischief</t>
  </si>
  <si>
    <t>Little Witch in the Woods (Game Preview)</t>
  </si>
  <si>
    <t>Eastern Exorcist</t>
  </si>
  <si>
    <t>Supraland: Six Inches Under</t>
  </si>
  <si>
    <t>Fuga: Melodies of Steel 2</t>
  </si>
  <si>
    <t>SD Gundam Battle Alliance</t>
  </si>
  <si>
    <t>Fantasy Violence, Mild Blood, Mild Language, Use of Alcohol</t>
  </si>
  <si>
    <t>Ghostlore</t>
  </si>
  <si>
    <t>Left game preview and joined console 5/17/23</t>
  </si>
  <si>
    <t>Eiyuden Chronicle: Rising</t>
  </si>
  <si>
    <t>Norco</t>
  </si>
  <si>
    <t>Joined cloud and console 11/17/22</t>
  </si>
  <si>
    <t>Violence, Blood, Drug Reference, Strong Language</t>
  </si>
  <si>
    <t>Ravenlok</t>
  </si>
  <si>
    <t>Besiege</t>
  </si>
  <si>
    <t>Returning title: Joined 2/10/22, left 2/15/23 while in game preview, rejoins post full release</t>
  </si>
  <si>
    <t>NHL 22</t>
  </si>
  <si>
    <t>Loot River</t>
  </si>
  <si>
    <t>Violence, Blood</t>
  </si>
  <si>
    <t>7 Days to Die (Game Preview)</t>
  </si>
  <si>
    <t>Pikuniku</t>
  </si>
  <si>
    <t>Mild Fantasy Violence, Mild Language</t>
  </si>
  <si>
    <t>Amnesia: Collection</t>
  </si>
  <si>
    <t>Violence, Blood and Gore, Nudity, Strong Language</t>
  </si>
  <si>
    <t>Amnesia: Rebirth</t>
  </si>
  <si>
    <t>Blood and Gore, Intense Violence, Nudity, Strong Language</t>
  </si>
  <si>
    <t>Phantom Abyss (Game Preview)</t>
  </si>
  <si>
    <t>SOMA</t>
  </si>
  <si>
    <t>Violence, Blood, Nudity, Strong Language</t>
  </si>
  <si>
    <t>Research and Destroy</t>
  </si>
  <si>
    <t>Intense Violence, Blood and Gore, Strong Language, Drug Reference</t>
  </si>
  <si>
    <t>Left 4 Dead successor</t>
  </si>
  <si>
    <t>INFINITE GUITARS</t>
  </si>
  <si>
    <t>MLB The Show 23</t>
  </si>
  <si>
    <t>Hot Wheels Unleashed: Game of the Year Edition</t>
  </si>
  <si>
    <t>Hardspace: Shipbreaker</t>
  </si>
  <si>
    <t>Joined Xbox Series and clod 9/20/22</t>
  </si>
  <si>
    <t>Shredders</t>
  </si>
  <si>
    <t>Soul Hackers 2</t>
  </si>
  <si>
    <t>Madden NFL 22</t>
  </si>
  <si>
    <t>Opus: Echo of Starsong - Full Bloom Edition</t>
  </si>
  <si>
    <t>Mild Language, Mild Violence</t>
  </si>
  <si>
    <t>Galactic Civilizations III</t>
  </si>
  <si>
    <t>Alcohol Reference, Fantasy Violence, Mild Suggestive Themes</t>
  </si>
  <si>
    <t>F1 2021</t>
  </si>
  <si>
    <t>HITMAN: World of Assassination</t>
  </si>
  <si>
    <t>Blood, Drug Reference, Intense Violence, Strong Language</t>
  </si>
  <si>
    <t>Persona 3: Portable</t>
  </si>
  <si>
    <t>Blood, Language, Partial Nudity, Sexual Themes, Violence</t>
  </si>
  <si>
    <t>MotoGP 22</t>
  </si>
  <si>
    <t>Mild Violence, Use of Alcohol</t>
  </si>
  <si>
    <t>Garden Story</t>
  </si>
  <si>
    <t>NARAKA: BLADEPOINT</t>
  </si>
  <si>
    <t>Potion Craft</t>
  </si>
  <si>
    <t>Violent References, Alcohol Reference</t>
  </si>
  <si>
    <t>Chained Echoes</t>
  </si>
  <si>
    <t>Opus Magnum</t>
  </si>
  <si>
    <t>Returning title: Joined 6/9/19, left 5/31/20</t>
  </si>
  <si>
    <t>Violent References, Suggestive Themes</t>
  </si>
  <si>
    <t>Rubber Bandits</t>
  </si>
  <si>
    <t>Eastward</t>
  </si>
  <si>
    <t>Blood, Fantasy Violence, Language, Suggestive Themes, Use of Alcohol</t>
  </si>
  <si>
    <t>Disc Room (2020)</t>
  </si>
  <si>
    <t>ANVIL: Vault Breaker (Game Preview)</t>
  </si>
  <si>
    <t>GRID (2019)</t>
  </si>
  <si>
    <t>Battlefield 1943</t>
  </si>
  <si>
    <t>Delisted 4/28/23</t>
  </si>
  <si>
    <t>Battlefield: Bad Company</t>
  </si>
  <si>
    <t>Alcohol Reference, Strong Language, Violence</t>
  </si>
  <si>
    <t>Battlefield: Bad Company 2</t>
  </si>
  <si>
    <t>Gungrave G.O.R.E</t>
  </si>
  <si>
    <t>Lapin (Game Preview)</t>
  </si>
  <si>
    <t>Football Manager 2023</t>
  </si>
  <si>
    <t>Ghost Song</t>
  </si>
  <si>
    <t>Violence, Blood, Partial Nudity</t>
  </si>
  <si>
    <t>Exapunks</t>
  </si>
  <si>
    <t>Strong Language</t>
  </si>
  <si>
    <t>Coffee Talk</t>
  </si>
  <si>
    <t>Sexual Themes, Use of Tobacco, Language</t>
  </si>
  <si>
    <t>Townscaper</t>
  </si>
  <si>
    <t>Rocket Arena</t>
  </si>
  <si>
    <t>Signalis</t>
  </si>
  <si>
    <t>Kill It With Fire</t>
  </si>
  <si>
    <t>Solasta: Crown of the Magister</t>
  </si>
  <si>
    <t>Joined console and cloud on 7/18/22</t>
  </si>
  <si>
    <t>Violence, Blood, Suggestive Themes, Use of Alcohol, Language</t>
  </si>
  <si>
    <t>The Legend of Tianding</t>
  </si>
  <si>
    <t>Eville</t>
  </si>
  <si>
    <t>Shenzhen I/O</t>
  </si>
  <si>
    <t>Drug Reference, Mild Language</t>
  </si>
  <si>
    <t>Overwhelm</t>
  </si>
  <si>
    <t>Trek to Yomi</t>
  </si>
  <si>
    <t>Turnip Boy Commits Tax Evasion</t>
  </si>
  <si>
    <t>Crude Humor, Fantasy Violence, Mild Language</t>
  </si>
  <si>
    <t>Despot's Game</t>
  </si>
  <si>
    <t>Moonscars</t>
  </si>
  <si>
    <t>Beacon Pines</t>
  </si>
  <si>
    <t>Language</t>
  </si>
  <si>
    <t>Last Call BBS</t>
  </si>
  <si>
    <t>Weird West: Definitive Edition</t>
  </si>
  <si>
    <t>Xbox Series X|S versions available 5/8/23</t>
  </si>
  <si>
    <t>Prodeus</t>
  </si>
  <si>
    <t>Game left preview/launched 9/23/22</t>
  </si>
  <si>
    <t>Joined PC 10/19/21</t>
  </si>
  <si>
    <t>Sid Meier's Civilization VI</t>
  </si>
  <si>
    <t>Drug Reference, Language, Mild Violence, Suggestive Themes</t>
  </si>
  <si>
    <t>Danganronpa V3: Killing Harmony</t>
  </si>
  <si>
    <t>Blood, Drug Reference, Intense Violence, Partial Nudity, Sexual Themes, Strong Language</t>
  </si>
  <si>
    <t>Fuga: Melodies of Steel</t>
  </si>
  <si>
    <t>Fantasy Violence, Mild Blood, Suggestive Themes, Language</t>
  </si>
  <si>
    <t>Metal: Hellsinger</t>
  </si>
  <si>
    <t>Joined last gen Xbox One on 12/8/22</t>
  </si>
  <si>
    <t>Violence, Blood, Use of Tobacco</t>
  </si>
  <si>
    <t>Amazing Cultivation Simulator</t>
  </si>
  <si>
    <t>DC League of Super-Pets: The Adventures of Krypto and Ace</t>
  </si>
  <si>
    <t>Train Sim World 3</t>
  </si>
  <si>
    <t>Tainted Grail: Conquest</t>
  </si>
  <si>
    <t>Blue Fire</t>
  </si>
  <si>
    <t>XB1/Series X|S</t>
  </si>
  <si>
    <t>GwG Temporary</t>
  </si>
  <si>
    <t>Backwards Compatible</t>
  </si>
  <si>
    <t>Inertial Drift</t>
  </si>
  <si>
    <t>Commandos 3: HD Remaster</t>
  </si>
  <si>
    <t>Violence, Blood, Use of Alcohol And Tobacco</t>
  </si>
  <si>
    <t>"Commandos 3: Destination Berlin" metacritic score: 72</t>
  </si>
  <si>
    <t>Immortality</t>
  </si>
  <si>
    <t>Violence, Blood, Sexual Content, Nudity, Use of Drugs, Strong Language</t>
  </si>
  <si>
    <t>Tinykin</t>
  </si>
  <si>
    <t>Fantasy Violence, Mild Language, Comic Mischief</t>
  </si>
  <si>
    <t>Nuclear Throne</t>
  </si>
  <si>
    <t>Surgeon Simulator 2: Access All Areas</t>
  </si>
  <si>
    <t>When the Past was Around</t>
  </si>
  <si>
    <t>DEATH STRANDING</t>
  </si>
  <si>
    <t>Blood, Intense Violence, Partial Nudity, Strong Language</t>
  </si>
  <si>
    <t>Midnight Fight Express</t>
  </si>
  <si>
    <t>Violence, Blood, Suggestive Themes, Strong Language</t>
  </si>
  <si>
    <t>Total War: Warhammer III</t>
  </si>
  <si>
    <t>Violence, Blood, Crude Humor</t>
  </si>
  <si>
    <t>Edge of Eternity</t>
  </si>
  <si>
    <t>Language, Mild Blood, Mild Suggestive Themes, Partial Nudity, Violence</t>
  </si>
  <si>
    <t>Darkwood</t>
  </si>
  <si>
    <t>Expeditions: Rome</t>
  </si>
  <si>
    <t>Two Point Campus</t>
  </si>
  <si>
    <t>Crude Humor, Mild Suggestive Themes</t>
  </si>
  <si>
    <t>Dreamscaper</t>
  </si>
  <si>
    <t>Fantasy Violence, Alcohol Reference, Mild Language, Mild Suggestive Themes</t>
  </si>
  <si>
    <t>Marvel's Avengers</t>
  </si>
  <si>
    <t>The Vale: Shadow of the Crown</t>
  </si>
  <si>
    <t>PAW Patrol The Movie: Adventure City Calls</t>
  </si>
  <si>
    <t>Spelunky 2</t>
  </si>
  <si>
    <t>Exo One</t>
  </si>
  <si>
    <t>Adios</t>
  </si>
  <si>
    <t>DJMax Respect V</t>
  </si>
  <si>
    <t>Music/Rhythm</t>
  </si>
  <si>
    <t>Violence, Suggestive Themes</t>
  </si>
  <si>
    <t>Matchpoint: Tennis Championships</t>
  </si>
  <si>
    <t>OMORI</t>
  </si>
  <si>
    <t>Contains content which some viewers may find disturbing, viewer discretion advised (This game contains depictions of depression, anxiety, and suicide, and may not be suitable for all audiences. It also contains bright flashing imagery that may cause discomfort and/or seizures for those with photosensitive epilepsy. Viewer discretion is advised.)</t>
  </si>
  <si>
    <t>Olija</t>
  </si>
  <si>
    <t>Empire of Sin</t>
  </si>
  <si>
    <t>Blood, Sexual Themes, Alcohol Reference, Strong Language, Violence</t>
  </si>
  <si>
    <t>Hoa</t>
  </si>
  <si>
    <t>Mortal Shell: Enhanced Edition</t>
  </si>
  <si>
    <t>Returning title: Joined 11/23/21, left 11/30/22</t>
  </si>
  <si>
    <t>Total War: Three Kingdoms</t>
  </si>
  <si>
    <t>Chorus</t>
  </si>
  <si>
    <t>Serious Sam 4</t>
  </si>
  <si>
    <t>Intense Violence, Blood and Gore, Parital Nudity, Drug Reference, Language</t>
  </si>
  <si>
    <t>Bridge Constructor: Portal</t>
  </si>
  <si>
    <t>Star Wars Episode I Racer</t>
  </si>
  <si>
    <t>Floppy Knights</t>
  </si>
  <si>
    <t>Lawn Mowing Simulator</t>
  </si>
  <si>
    <t>Joined Xbox One 3/10/22</t>
  </si>
  <si>
    <t>Evil Genius 2: World Domination</t>
  </si>
  <si>
    <t>Satirical evil lair builder strategy game</t>
  </si>
  <si>
    <t>FIFA 21</t>
  </si>
  <si>
    <t>Europa Universalis IV</t>
  </si>
  <si>
    <t>Mild Violence, Mild Language, Drug Reference, Mild Sexual Themes</t>
  </si>
  <si>
    <t>Peaky Blinders: Mastermind</t>
  </si>
  <si>
    <t>Her Story</t>
  </si>
  <si>
    <t>Sexual Themes, Strong Language</t>
  </si>
  <si>
    <t>Umurangi Generation - Special Edition</t>
  </si>
  <si>
    <t>Danganronpa 2: Goodbye Despair - Anniversary Edition</t>
  </si>
  <si>
    <t>Before We Leave</t>
  </si>
  <si>
    <t>My Friend Pedro</t>
  </si>
  <si>
    <t>Returning title: Joined 12/5/19, left 1/15/21</t>
  </si>
  <si>
    <t>Hearts of Iron IV: Cadet Edition</t>
  </si>
  <si>
    <t>Violence, Blood, Use of Tobacco</t>
  </si>
  <si>
    <t>Out of Space: Couch Edition</t>
  </si>
  <si>
    <t>Bugsnax</t>
  </si>
  <si>
    <t>Animated Blood, Crude Humor, Fantasy Violence, Suggestive Themes</t>
  </si>
  <si>
    <t>Unsouled</t>
  </si>
  <si>
    <t>Dragon Quest Builders 2</t>
  </si>
  <si>
    <t>Alcohol Reference, Fantasy Violence, Mild Blood, Mild Language, Suggestive Themes, Comic Mischief</t>
  </si>
  <si>
    <t>Destroy All Humans! (2020)</t>
  </si>
  <si>
    <t>Crude Humor, Sexual Themes, Drug Reference, Violence, Language, Animated Blood</t>
  </si>
  <si>
    <t>NHL 21</t>
  </si>
  <si>
    <t>Lamentum</t>
  </si>
  <si>
    <t>Life Is Strange: True Colors</t>
  </si>
  <si>
    <t>Use of Alcohol, Blood, Suggestive Themes, Drug Reference, Strong Language, Violence</t>
  </si>
  <si>
    <t/>
  </si>
  <si>
    <t>Panzer Corps 2</t>
  </si>
  <si>
    <t>Mild Violence, Mild Language</t>
  </si>
  <si>
    <t>The Dungeon of Naheulbeuk: The Amulet of Chaos</t>
  </si>
  <si>
    <t>Blood, Violence, Suggestive Themes, Strong Language</t>
  </si>
  <si>
    <t>Moonglow Bay</t>
  </si>
  <si>
    <t>The Riftbreaker</t>
  </si>
  <si>
    <t>RTS/Twin stick shooter singleplayer</t>
  </si>
  <si>
    <t>Trüberbrook</t>
  </si>
  <si>
    <t>Sudden Strike 4 - Complete Collection</t>
  </si>
  <si>
    <t>Chinatown Detective Agency</t>
  </si>
  <si>
    <t>Violence, Blood, Suggestive Themes, Use of Alcohol And Tobacco, Language</t>
  </si>
  <si>
    <t>A Memoir Blue</t>
  </si>
  <si>
    <t>Kraken Academy!!</t>
  </si>
  <si>
    <t>ClusterTruck</t>
  </si>
  <si>
    <t>Double Dragon Neon</t>
  </si>
  <si>
    <t>Fantasy Violence, Partial Nudity, Suggestive Themes</t>
  </si>
  <si>
    <t>Guts N Goals</t>
  </si>
  <si>
    <t>Zero Escape: The Nonary Games</t>
  </si>
  <si>
    <t>Blood, Drug Reference, Sexual Themes, Strong Language, Violence</t>
  </si>
  <si>
    <t>Paradise Killer</t>
  </si>
  <si>
    <t>Violence, Blood, Sexual Themes, Strong Language</t>
  </si>
  <si>
    <t>Kentucky Route Zero</t>
  </si>
  <si>
    <t>Language, Use of Drugs</t>
  </si>
  <si>
    <t>Language, Mild Blood, Mild Suggestive Themes, Use of Alcohol, Violence</t>
  </si>
  <si>
    <t>Young Souls</t>
  </si>
  <si>
    <t>Drug Reference, Fantasy Violence, Strong Language</t>
  </si>
  <si>
    <t>F1 2020</t>
  </si>
  <si>
    <t>Undertale</t>
  </si>
  <si>
    <t>Fantasy Violence, Mild Blood, Use of Tobacco, Mild Language, Simulated Gambling</t>
  </si>
  <si>
    <t>For the King</t>
  </si>
  <si>
    <t>Lightning Returns: Final Fantasy XIII</t>
  </si>
  <si>
    <t>FAR: Changing Tides</t>
  </si>
  <si>
    <t>Dragon Ball FighterZ</t>
  </si>
  <si>
    <t>Joined PC 2/24/22</t>
  </si>
  <si>
    <t>Cartoon Violence, Mild Language, Mild Suggestive Themes</t>
  </si>
  <si>
    <t>Crown Trick</t>
  </si>
  <si>
    <t>Fantasy Violence, Simulated Gambling</t>
  </si>
  <si>
    <t>Madden NFL 21</t>
  </si>
  <si>
    <t>Alien: Isolation</t>
  </si>
  <si>
    <t>Autonauts</t>
  </si>
  <si>
    <t>Infernax</t>
  </si>
  <si>
    <t>Blood and Gore, Violence, Partial Nudity</t>
  </si>
  <si>
    <t>CrossfireX</t>
  </si>
  <si>
    <t>2 campaigns, Operation Catalyst included, Operation Spectre not included. Multiplayer free</t>
  </si>
  <si>
    <t>Skul: The Hero Slayer</t>
  </si>
  <si>
    <t>The Last Kids on Earth and the Staff of Doom</t>
  </si>
  <si>
    <t>Recompile</t>
  </si>
  <si>
    <t>Iris Fall</t>
  </si>
  <si>
    <t>Telling Lies</t>
  </si>
  <si>
    <t>Drug Reference, Sexual Content, Strong Language, Violence</t>
  </si>
  <si>
    <t>Taiko no Tatsujin: The Drum Master</t>
  </si>
  <si>
    <t>Suggestive Themes, Drug Reference</t>
  </si>
  <si>
    <t>Worms W.M.D</t>
  </si>
  <si>
    <t>Cartoon Violence, Crude Humor, Language</t>
  </si>
  <si>
    <t>Bladed Fury</t>
  </si>
  <si>
    <t>Pupperazzi</t>
  </si>
  <si>
    <t>Windjammers 2</t>
  </si>
  <si>
    <t>Danganronpa: Trigger Happy Havoc - Anniversary Edition</t>
  </si>
  <si>
    <t>Blood, Intense Violence, Strong Language, Suggestive Themes</t>
  </si>
  <si>
    <t>Nobody Saves the World</t>
  </si>
  <si>
    <t>Violence, Blood, Sexual Themes, Language</t>
  </si>
  <si>
    <t>The Anacrusis (Game Preview)</t>
  </si>
  <si>
    <t>Colt Canyon</t>
  </si>
  <si>
    <t>Mild Violence, Comic Mischief, Alcohol Reference</t>
  </si>
  <si>
    <t>Outer Wilds</t>
  </si>
  <si>
    <t>Returning title: Added 5/30/19, left 6/30/21</t>
  </si>
  <si>
    <t>Fantasy Violence, Alcohol Reference</t>
  </si>
  <si>
    <t>Gorogoa</t>
  </si>
  <si>
    <t>The Pedestrian</t>
  </si>
  <si>
    <t>Alcohol Reference, Blood, Mild Language, Violence</t>
  </si>
  <si>
    <t>Immortal Realms: Vampire Wars</t>
  </si>
  <si>
    <t>Iron Harvest</t>
  </si>
  <si>
    <t>Tropico 6</t>
  </si>
  <si>
    <t>Removed from EA Play 5/20/21</t>
  </si>
  <si>
    <t>Mild Language, Drug Reference, Violence</t>
  </si>
  <si>
    <t>Dead End Job</t>
  </si>
  <si>
    <t>Lake</t>
  </si>
  <si>
    <t>Suggestive Themes, Use Of Drugs And Alcohol, Strong Language</t>
  </si>
  <si>
    <t>Race With Ryan</t>
  </si>
  <si>
    <t>also 3MGP's waifu</t>
  </si>
  <si>
    <t>Record of Lodoss War: Deedlit in Wonder Labyrinth</t>
  </si>
  <si>
    <t>3MGP's waifu</t>
  </si>
  <si>
    <t>Transformers: Battlegrounds</t>
  </si>
  <si>
    <t>One Piece: Pirate Warriors 4</t>
  </si>
  <si>
    <t>Suggestive Themes, Violence, Language, Use of Alcohol And Tobacco</t>
  </si>
  <si>
    <t>Breathedge</t>
  </si>
  <si>
    <t>EA Play: joined 3/18/21, left 3/29/21</t>
  </si>
  <si>
    <t>Blood, Crude Humor, Mild Language, Mild Violence, Suggestive Themes, Use of Alcohol And Tobacco</t>
  </si>
  <si>
    <t>Neoverse</t>
  </si>
  <si>
    <t>Violence, Blood, Suggestive Themes</t>
  </si>
  <si>
    <t>Use of Alcohol, Fantasy Violence, Crude Humor, Mild Blood, Suggestive Themes, Simulated Gambling</t>
  </si>
  <si>
    <t>Rory McIlroy PGA Tour</t>
  </si>
  <si>
    <t>Praetorians - HD Remaster</t>
  </si>
  <si>
    <t>Space Warlord Organ Trading Simulator</t>
  </si>
  <si>
    <t>Violence, Blood, Suggestive Themes, Drug Reference, Language</t>
  </si>
  <si>
    <t>Archvale</t>
  </si>
  <si>
    <t>Final Fantasy XIII-2</t>
  </si>
  <si>
    <t>Mild Language, Drug Reference, Violence, Simulated Gambline, Mild Suggestive Themes</t>
  </si>
  <si>
    <t>Warhammer 40,000: Battlesector</t>
  </si>
  <si>
    <t>Mind Scanners</t>
  </si>
  <si>
    <t>Blood, Sexual Themes, Strong Language, Use of Drugs, Violence</t>
  </si>
  <si>
    <t>DEEEER Simulator</t>
  </si>
  <si>
    <t>Undungeon</t>
  </si>
  <si>
    <t>Violence, Blood, Use of Tobacco, Language</t>
  </si>
  <si>
    <t>Bomber Crew Deluxe Edition</t>
  </si>
  <si>
    <t>Fae Tactics</t>
  </si>
  <si>
    <t>Next Space Rebels</t>
  </si>
  <si>
    <t>Suggestive Themes, Drug Reference, Strong Language</t>
  </si>
  <si>
    <t>Youtuber + Rocket Building Simulator</t>
  </si>
  <si>
    <t>One Step from Eden</t>
  </si>
  <si>
    <t>Fantasy Violence, Mild Blood, Mild Language, Suggestive Themes</t>
  </si>
  <si>
    <t>Supraland</t>
  </si>
  <si>
    <t>Football Manager 2022</t>
  </si>
  <si>
    <t>Windbound</t>
  </si>
  <si>
    <t>Alan Wake's American Nightmare</t>
  </si>
  <si>
    <t>Suggestive Themes, Violence, Blood, Language</t>
  </si>
  <si>
    <t>Bassmaster Fishing 2022</t>
  </si>
  <si>
    <t>Nongunz: Doppelganger Edition</t>
  </si>
  <si>
    <t>The Forgotten City</t>
  </si>
  <si>
    <t>Alcohol Reference, Blood, Mild Language, Suggestive Themes, Violence</t>
  </si>
  <si>
    <t>Based off of a popular Skyrim mod!</t>
  </si>
  <si>
    <t>Project Wingman</t>
  </si>
  <si>
    <t>Backbone</t>
  </si>
  <si>
    <t>Joined console on 10/28</t>
  </si>
  <si>
    <t>Sexual Themes, Use of Drugs, Strong Language</t>
  </si>
  <si>
    <t>Second Extinction (Game Preview)</t>
  </si>
  <si>
    <t>Sniper Elite 4</t>
  </si>
  <si>
    <t>Double Kick Heroes</t>
  </si>
  <si>
    <t>Echo Generation</t>
  </si>
  <si>
    <t>Into the Pit</t>
  </si>
  <si>
    <t>The Good Life</t>
  </si>
  <si>
    <t>Blood, Violence, Use of Alcohol and Tobacco, Mild Language, Crude Humor</t>
  </si>
  <si>
    <t>Ring of Pain</t>
  </si>
  <si>
    <t>Sable</t>
  </si>
  <si>
    <t>Mild Language, Crude Humor</t>
  </si>
  <si>
    <t>Bloodroots</t>
  </si>
  <si>
    <t>Violence, Blood and Gore, Strong Language</t>
  </si>
  <si>
    <t>DiRT 4</t>
  </si>
  <si>
    <t>GP: Added 7/1/18, left 2/15/21</t>
  </si>
  <si>
    <t>DiRT Rally</t>
  </si>
  <si>
    <t>GP: Added 8/1/17, left 8/1/17</t>
  </si>
  <si>
    <t>Portal 2</t>
  </si>
  <si>
    <t>XB360/OG Xbox</t>
  </si>
  <si>
    <t>GwG Permanent</t>
  </si>
  <si>
    <t>Gods Will Fall</t>
  </si>
  <si>
    <t>The Procession to Calvary</t>
  </si>
  <si>
    <t>Visage</t>
  </si>
  <si>
    <t>Blood and Gore, Intense Violence, Strong Language, Use of Alcohol</t>
  </si>
  <si>
    <t>AI: The Somnium Files</t>
  </si>
  <si>
    <t>Astria Ascending</t>
  </si>
  <si>
    <t>Fantasy Violence, Suggestive Themes</t>
  </si>
  <si>
    <t>Publisher takes forever to patch this version vs other platforms</t>
  </si>
  <si>
    <t>Unsighted</t>
  </si>
  <si>
    <t>Dandy Ace</t>
  </si>
  <si>
    <t>Lemnis Gate</t>
  </si>
  <si>
    <t>Time travel shooter chess match</t>
  </si>
  <si>
    <t>Subnautica: Below Zero</t>
  </si>
  <si>
    <t>Animated Blood, Fantasy Violence, Mild Language</t>
  </si>
  <si>
    <t>Going Under</t>
  </si>
  <si>
    <t>Fantasy Violence, Mild Blood, Mild Language, Mild Suggestive Themes</t>
  </si>
  <si>
    <t>Slime Rancher</t>
  </si>
  <si>
    <t>Thrillville</t>
  </si>
  <si>
    <t>Mighty Goose</t>
  </si>
  <si>
    <t>Lost Words: Beyond the Page</t>
  </si>
  <si>
    <t>I Am Fish</t>
  </si>
  <si>
    <t>SkateBird</t>
  </si>
  <si>
    <t>Lyrics</t>
  </si>
  <si>
    <t>Flynn: Son of Crimson</t>
  </si>
  <si>
    <t>The Artful Escape</t>
  </si>
  <si>
    <t>Use of Tobacco, Alcohol Reference, Mild Suggestive Themes, Language</t>
  </si>
  <si>
    <t>Violence, Crude Humor</t>
  </si>
  <si>
    <t>Final Fantasy XIII</t>
  </si>
  <si>
    <t>Suggestive Themes, Strong Language, Violence</t>
  </si>
  <si>
    <t>Bug Fables: The Everlasting Sapling</t>
  </si>
  <si>
    <t>A Plague Tale: Innocence</t>
  </si>
  <si>
    <t>Monaco: What's Yours is Mine</t>
  </si>
  <si>
    <t>Stealth</t>
  </si>
  <si>
    <t>Calico</t>
  </si>
  <si>
    <t>NBA 2K22</t>
  </si>
  <si>
    <t>Signs of the Sojourner</t>
  </si>
  <si>
    <t>Mild Language, Mild Violence, Alcohol And Tobacco Reference</t>
  </si>
  <si>
    <t>Myst (2021)</t>
  </si>
  <si>
    <t>Remake released first as VR experience on Oculus Quest, this is day and date for PC and Xbox release, though the dev confirmed Game Pass will not get the VR version</t>
  </si>
  <si>
    <t>Twelve Minutes</t>
  </si>
  <si>
    <t>Violence, Blood and Gore, Sexual Content, Strong Language</t>
  </si>
  <si>
    <t>Do yourself a favor and watch a playthrough instead of playing this game</t>
  </si>
  <si>
    <t>Two Point Hospital</t>
  </si>
  <si>
    <t>Crude Humor, Animated Blood</t>
  </si>
  <si>
    <t>What Remains of Edith Finch</t>
  </si>
  <si>
    <t>Blood, Drug Reference, Violence, Language</t>
  </si>
  <si>
    <t>Saints Row 2</t>
  </si>
  <si>
    <t>Relicta</t>
  </si>
  <si>
    <t>Train Sim World 2</t>
  </si>
  <si>
    <t>Boyfriend Dungeon</t>
  </si>
  <si>
    <t>Fantasy Violence, Language, Sexual Theme</t>
  </si>
  <si>
    <t>Curse of the Dead Gods</t>
  </si>
  <si>
    <t>Starmancer (Game Preview)</t>
  </si>
  <si>
    <t>Fantasy Violence, Mild Blood, Use of Alcohol, Crude Humor</t>
  </si>
  <si>
    <t>Torchlight</t>
  </si>
  <si>
    <t>Beasts of Maravilla Island</t>
  </si>
  <si>
    <t>Dodgeball Academia</t>
  </si>
  <si>
    <t>Katamari Damacy Reroll</t>
  </si>
  <si>
    <t>Mild Fantasy Violence, Alcohol And Tobacco Reference</t>
  </si>
  <si>
    <t>Lumines: Remastered</t>
  </si>
  <si>
    <t>OMNO</t>
  </si>
  <si>
    <t>Raji: An Ancient Epic</t>
  </si>
  <si>
    <t>Thrillville: Off the Rails</t>
  </si>
  <si>
    <t>Project Highrise: Architect's Edition</t>
  </si>
  <si>
    <t>Lethal League Blaze</t>
  </si>
  <si>
    <t>Atomicrops</t>
  </si>
  <si>
    <t>Fantasy Violence, Mild Blood, Comic Mischief</t>
  </si>
  <si>
    <t>Cris Tales</t>
  </si>
  <si>
    <t>FIFA 20</t>
  </si>
  <si>
    <t>Raskulls</t>
  </si>
  <si>
    <t>Arcade</t>
  </si>
  <si>
    <t>Aven Colony</t>
  </si>
  <si>
    <t>Last Stop</t>
  </si>
  <si>
    <t>Blood, Drug Reference, Language, Sexual Themes, Use of Alcohol, Violence</t>
  </si>
  <si>
    <t>ff</t>
  </si>
  <si>
    <t>Jurassic World Evolution</t>
  </si>
  <si>
    <t>MotoGP 20</t>
  </si>
  <si>
    <t>Does not FPS boost on Series X</t>
  </si>
  <si>
    <t>Super Meat Boy</t>
  </si>
  <si>
    <t>The Inner World – The Last Wind Monk</t>
  </si>
  <si>
    <t>Worms Rumble</t>
  </si>
  <si>
    <t>Dungeons &amp; Dragons: Dark Alliance</t>
  </si>
  <si>
    <t>GreedFall</t>
  </si>
  <si>
    <t>Blood, Suggestive Themes, Partial Nudity, Violence, Language</t>
  </si>
  <si>
    <t>Capsized</t>
  </si>
  <si>
    <t>Cryptark</t>
  </si>
  <si>
    <t>Diluvion: Resubmerged</t>
  </si>
  <si>
    <t>Alcohol Reference, Fantasy Violence, Language</t>
  </si>
  <si>
    <t>Dungeons of Dredmor: Complete</t>
  </si>
  <si>
    <t>NR</t>
  </si>
  <si>
    <t>Epistory: Typing Chronicles</t>
  </si>
  <si>
    <t>Alcohol Reference, Mild Fantasy Violence</t>
  </si>
  <si>
    <t>HIVESWAP: Act 1</t>
  </si>
  <si>
    <t>Alcohol Reference, Comic Mischief, Fantasy Violence, Language, Mild Blood, Suggestive Themes</t>
  </si>
  <si>
    <t>Stealth Bastard Deluxe</t>
  </si>
  <si>
    <t>Blood and Gore, Fantasy Violence, Language</t>
  </si>
  <si>
    <t>Viva Piñata: Party Animals</t>
  </si>
  <si>
    <t>Yoku's Island Express</t>
  </si>
  <si>
    <t>Farming Simulator 19</t>
  </si>
  <si>
    <t>SpellForce 3: Soul Harvest</t>
  </si>
  <si>
    <t>Yes, Your Grace</t>
  </si>
  <si>
    <t>Fantasy Violence, Sexual Content, Drug Reference</t>
  </si>
  <si>
    <t>NHL 20</t>
  </si>
  <si>
    <t>Hue</t>
  </si>
  <si>
    <t>The Catch: Carp &amp; Coarse Fishing</t>
  </si>
  <si>
    <t>The Wild at Heart</t>
  </si>
  <si>
    <t>Fantasy Violence, Language, Comic Mischief</t>
  </si>
  <si>
    <t>Final Fantasy X/X-2 HD Remaster</t>
  </si>
  <si>
    <t>Mild Blood, Suggestive Themes, Mild Language, Violence</t>
  </si>
  <si>
    <t>Grand Theft Auto: San Andreas - The Definitive Edition</t>
  </si>
  <si>
    <t>MX vs. ATV: Alive</t>
  </si>
  <si>
    <t>Another Sight</t>
  </si>
  <si>
    <t>Outlast 2</t>
  </si>
  <si>
    <t>Intense Violence, Blood and Gore, Sexual Content, Partial Nudity, Strong Language</t>
  </si>
  <si>
    <t>Cricket 19</t>
  </si>
  <si>
    <t>Mild Language, Mild Suggestive Themes, Cartoon Violence</t>
  </si>
  <si>
    <t>F1 2019</t>
  </si>
  <si>
    <t>Joined EA Play 8/10</t>
  </si>
  <si>
    <t>Outpost Kaloki X</t>
  </si>
  <si>
    <t>Street Power Football</t>
  </si>
  <si>
    <t>MLB The Show 21</t>
  </si>
  <si>
    <t>Pathway</t>
  </si>
  <si>
    <t>Rain on Your Parade</t>
  </si>
  <si>
    <t>Destiny 2: Forsaken, Shadowkeep, Beyond Light</t>
  </si>
  <si>
    <t>Joined PC 10/12/21, Joined Xbox 9/22/20, Leaving Xbox and Cloud 12/8/21</t>
  </si>
  <si>
    <t>Spongebob's Truth or Square</t>
  </si>
  <si>
    <t>The Flame in the Flood</t>
  </si>
  <si>
    <t>Narita Boy</t>
  </si>
  <si>
    <t>Blood, Crude Humor, Fantasy Violence, Language</t>
  </si>
  <si>
    <t>Madden NFL 20</t>
  </si>
  <si>
    <t>Shadow Warrior 2</t>
  </si>
  <si>
    <t>Intense Violence, Blood and Gore, Suggestive Themes, Partial Nudity, Strong Language</t>
  </si>
  <si>
    <t>Aragami</t>
  </si>
  <si>
    <t>Lost Castle</t>
  </si>
  <si>
    <t>Fantasy Violence, Mild Blood, Simulated Gambling</t>
  </si>
  <si>
    <t>The Sexy Brutale</t>
  </si>
  <si>
    <t>Blood, Mild Language, Use of Alcohol, Violence</t>
  </si>
  <si>
    <t>Sacred 2: Fallen Angel</t>
  </si>
  <si>
    <t>Aerial_Knight's Never Yield</t>
  </si>
  <si>
    <t>Torchlight III</t>
  </si>
  <si>
    <t>PHOGS!</t>
  </si>
  <si>
    <t>NieR Automata: Become as Gods Edition</t>
  </si>
  <si>
    <t>Joined PC 3/19/21</t>
  </si>
  <si>
    <t>The Surge 2</t>
  </si>
  <si>
    <t>Titanfall: Deluxe Edition</t>
  </si>
  <si>
    <t>Band of Bugs</t>
  </si>
  <si>
    <t>Broken Sword 5: The Serpent's Curse</t>
  </si>
  <si>
    <t>Killer Queen Black</t>
  </si>
  <si>
    <t>Touhou Luna Nights</t>
  </si>
  <si>
    <t>Kingdom Hearts III</t>
  </si>
  <si>
    <t>Stealth Inc 2: A Game of Clones</t>
  </si>
  <si>
    <t>Hydrophobia</t>
  </si>
  <si>
    <t>Aground</t>
  </si>
  <si>
    <t>Final Fantasy XII: The Zodiac Age</t>
  </si>
  <si>
    <t>Mild Blood, Suggestive Themes, Violence</t>
  </si>
  <si>
    <t>Violence, Blood, Use of Alcohol</t>
  </si>
  <si>
    <t>The Falconeer</t>
  </si>
  <si>
    <t>The Medium</t>
  </si>
  <si>
    <t>Code Vein</t>
  </si>
  <si>
    <t>Control</t>
  </si>
  <si>
    <t>Furi</t>
  </si>
  <si>
    <t>Violence, Strong Language</t>
  </si>
  <si>
    <t>Space Invaders: Infinity Gene</t>
  </si>
  <si>
    <t>NeuroVoider</t>
  </si>
  <si>
    <t>Prison Architect</t>
  </si>
  <si>
    <t>Blood, Sexual Content, Partial Nudity, Drug Reference, Strong Language, Violence</t>
  </si>
  <si>
    <t>Cyber Shadow</t>
  </si>
  <si>
    <t>Xeno Crisis</t>
  </si>
  <si>
    <t>Nowhere Prophet</t>
  </si>
  <si>
    <t>Blood, Use of Tobacco, Violence</t>
  </si>
  <si>
    <t>LEGRAND LEGACY: Tale of the Fatebounds</t>
  </si>
  <si>
    <t>This War of Mine</t>
  </si>
  <si>
    <t>Torchlight II</t>
  </si>
  <si>
    <t>Trine 2: Complete Story</t>
  </si>
  <si>
    <t>Trine: Enchanted Edition</t>
  </si>
  <si>
    <t>Radiant Silvergun</t>
  </si>
  <si>
    <t>Tropico 5 – Penultimate Edition</t>
  </si>
  <si>
    <t>Ghost of a Tale</t>
  </si>
  <si>
    <t>Desperados III</t>
  </si>
  <si>
    <t>YIIK: A Postmodern RPG</t>
  </si>
  <si>
    <t>Mount &amp; Blade: Warband</t>
  </si>
  <si>
    <t>Pandemic: The Board Game</t>
  </si>
  <si>
    <t>Trivia/Board Game</t>
  </si>
  <si>
    <t>PlayerUnknown's Battlegrounds</t>
  </si>
  <si>
    <t>Going free to play 1/12/22</t>
  </si>
  <si>
    <t>Insanely Twisted Shadow Planet</t>
  </si>
  <si>
    <t>The Escapists 2</t>
  </si>
  <si>
    <t>eFootball PES 2021</t>
  </si>
  <si>
    <t>Soccer</t>
  </si>
  <si>
    <t>The Little Acre</t>
  </si>
  <si>
    <t>Orcs Must Die!</t>
  </si>
  <si>
    <t>Kingdom Two Crowns</t>
  </si>
  <si>
    <t>Beholder: Complete Edition</t>
  </si>
  <si>
    <t>Wilmot's Warehouse</t>
  </si>
  <si>
    <t>Yooka-Laylee and the Impossible Lair</t>
  </si>
  <si>
    <t>The Dark Pictures Anthology: Man Of Medan</t>
  </si>
  <si>
    <t>SUPERHOT</t>
  </si>
  <si>
    <t>Lego Batman 2 DC Super Heroes</t>
  </si>
  <si>
    <t>Moving Out</t>
  </si>
  <si>
    <t>Football Manager 2021</t>
  </si>
  <si>
    <t>Call of the Sea</t>
  </si>
  <si>
    <t>Va-11 Hall-A: Cyberpunk Bartender Action</t>
  </si>
  <si>
    <t>FIFA 19</t>
  </si>
  <si>
    <t>SINNER: Sacrifice for Redemption</t>
  </si>
  <si>
    <t>Oxenfree</t>
  </si>
  <si>
    <t>Rocket Knight</t>
  </si>
  <si>
    <t>Hover</t>
  </si>
  <si>
    <t>River City Girls</t>
  </si>
  <si>
    <t>Star Renegades</t>
  </si>
  <si>
    <t>Final Fantasy VIII: Remastered</t>
  </si>
  <si>
    <t>Planet Coaster</t>
  </si>
  <si>
    <t>Streets of Rogue</t>
  </si>
  <si>
    <t>Resident Evil Code: Veronica X</t>
  </si>
  <si>
    <t>Aaero</t>
  </si>
  <si>
    <t>Comanche</t>
  </si>
  <si>
    <t>Eastshade</t>
  </si>
  <si>
    <t>Unruly Heroes</t>
  </si>
  <si>
    <t>Carto</t>
  </si>
  <si>
    <t>Home Behind</t>
  </si>
  <si>
    <t>Shio</t>
  </si>
  <si>
    <t>Shantae: Half-Genie Hero</t>
  </si>
  <si>
    <t>Castlevania: Harmony of Despair</t>
  </si>
  <si>
    <t>Mulaka</t>
  </si>
  <si>
    <t>GoNNER2</t>
  </si>
  <si>
    <t>Heave Ho</t>
  </si>
  <si>
    <t>Katana Zero</t>
  </si>
  <si>
    <t>Tales of Vesperia: Definitive Edition</t>
  </si>
  <si>
    <t>The Swords of Ditto: Mormo's Curse</t>
  </si>
  <si>
    <t>Samurai Shodown II</t>
  </si>
  <si>
    <t>Warhammer: Chaosbane</t>
  </si>
  <si>
    <t>Ikenfell</t>
  </si>
  <si>
    <t>Kathy Rain</t>
  </si>
  <si>
    <t>Night in the Woods</t>
  </si>
  <si>
    <t>Zone of the Enders HD Collection</t>
  </si>
  <si>
    <t>Yooka-Laylee</t>
  </si>
  <si>
    <t>Company of Heroes 2: Complete Edition</t>
  </si>
  <si>
    <t>Disgaea 4 Complete+</t>
  </si>
  <si>
    <t>Hotshot Racing</t>
  </si>
  <si>
    <t>The Dark Crystal: Age of Resistance Tactics</t>
  </si>
  <si>
    <t>Thronebreaker: The Witcher Tales</t>
  </si>
  <si>
    <t>Red Dead Online</t>
  </si>
  <si>
    <t>Star Wars Battlefront (Classic)</t>
  </si>
  <si>
    <t>Star Wars Battlefront II (Classic)</t>
  </si>
  <si>
    <t>Star Wars Republic Commando</t>
  </si>
  <si>
    <t>Games</t>
  </si>
  <si>
    <t>Platform</t>
  </si>
  <si>
    <t>Garou: Mark of the Wolves</t>
  </si>
  <si>
    <t>Darksiders III</t>
  </si>
  <si>
    <t>NBA 2K21</t>
  </si>
  <si>
    <t>Stranger Things 3: The Game</t>
  </si>
  <si>
    <t>Pyre</t>
  </si>
  <si>
    <t>Dear Esther: Landmark Edition</t>
  </si>
  <si>
    <t>Mugsters</t>
  </si>
  <si>
    <t>Nex Machina</t>
  </si>
  <si>
    <t>Shoot 'Em Up</t>
  </si>
  <si>
    <t>Overcooked: Gourmet Edition</t>
  </si>
  <si>
    <t>Renowned Explorers: International Society</t>
  </si>
  <si>
    <t>The Escapists</t>
  </si>
  <si>
    <t>Madden NFL 19</t>
  </si>
  <si>
    <t>Removed from Game Pass 8/15/20</t>
  </si>
  <si>
    <t>Vampyr</t>
  </si>
  <si>
    <t>Lost Planet 3</t>
  </si>
  <si>
    <t>Rock of Ages 3: Make &amp; Break</t>
  </si>
  <si>
    <t>Crossing Souls</t>
  </si>
  <si>
    <t>Final Fantasy VII</t>
  </si>
  <si>
    <t>Darksiders Genesis</t>
  </si>
  <si>
    <t>Lost in Random</t>
  </si>
  <si>
    <t>Train Sim World 2020</t>
  </si>
  <si>
    <t>Ape Out</t>
  </si>
  <si>
    <t>Midway Arcade Origins</t>
  </si>
  <si>
    <t>Planet Alpha</t>
  </si>
  <si>
    <t>The Touryst</t>
  </si>
  <si>
    <t>Shadows: Awakening</t>
  </si>
  <si>
    <t>Endless Space 2: Deluxe Edition</t>
  </si>
  <si>
    <t>Downwell</t>
  </si>
  <si>
    <t>CrossCode</t>
  </si>
  <si>
    <t>EA Sports UFC</t>
  </si>
  <si>
    <t>Apotheon</t>
  </si>
  <si>
    <t>EA Sports UFC 2</t>
  </si>
  <si>
    <t>Injustice: Gods Among Us</t>
  </si>
  <si>
    <t>The King's Bird</t>
  </si>
  <si>
    <t>Out of the Park Baseball 21</t>
  </si>
  <si>
    <t>Detention</t>
  </si>
  <si>
    <t>SoulCalibur VI</t>
  </si>
  <si>
    <t>MISTOVER</t>
  </si>
  <si>
    <t>Battle Chasers: Nightwar</t>
  </si>
  <si>
    <t>The Messenger</t>
  </si>
  <si>
    <t>Monster Hunter: World</t>
  </si>
  <si>
    <t>Marvel vs. Capcom: Infinite</t>
  </si>
  <si>
    <t>NeoGeo Battle Coliseum</t>
  </si>
  <si>
    <t>Dungeons 3</t>
  </si>
  <si>
    <t>West of Dead</t>
  </si>
  <si>
    <t>Ace Combat 7: Skies Unknown</t>
  </si>
  <si>
    <t>Flight Simulator</t>
  </si>
  <si>
    <t>Night Call</t>
  </si>
  <si>
    <t>Wizard of Legend</t>
  </si>
  <si>
    <t>Tropico 4</t>
  </si>
  <si>
    <t>Kingdom Hearts HD I.5 + II.5 ReMix</t>
  </si>
  <si>
    <t>Shift Quantum</t>
  </si>
  <si>
    <t>Kingdom Hearts HD II.8 Final Chapter Prologue</t>
  </si>
  <si>
    <t>Broforce</t>
  </si>
  <si>
    <t>Void Bastards</t>
  </si>
  <si>
    <t>Surviving Mars</t>
  </si>
  <si>
    <t>Star Wars Dark Forces</t>
  </si>
  <si>
    <t>Assetto Corsa</t>
  </si>
  <si>
    <t>Star Wars Episode I: Racer</t>
  </si>
  <si>
    <t>Star Wars Galactic Battlegrounds: Saga</t>
  </si>
  <si>
    <t>Lego Batman</t>
  </si>
  <si>
    <t>Star Wars Jedi Knight: Mysteries of the Sith</t>
  </si>
  <si>
    <t>Star Wars Rebellion</t>
  </si>
  <si>
    <t>Truck Racing Championship</t>
  </si>
  <si>
    <t>Battlefleet Gothic: Armada II</t>
  </si>
  <si>
    <t>Star Wars Rogue Squadron 3D</t>
  </si>
  <si>
    <t>Star Wars Shadows of the Empire</t>
  </si>
  <si>
    <t>Dungeon of the Endless</t>
  </si>
  <si>
    <t>Star Wars Starfighter</t>
  </si>
  <si>
    <t>Star Wars X-Wing Alliance</t>
  </si>
  <si>
    <t>Plebby Quest: The Crusades</t>
  </si>
  <si>
    <t>Alan Wake</t>
  </si>
  <si>
    <t>Remedy Entertainment bought the IP from Microsoft</t>
  </si>
  <si>
    <t>Hotline Miami</t>
  </si>
  <si>
    <t>FIFA 15</t>
  </si>
  <si>
    <t>FIFA 16</t>
  </si>
  <si>
    <t>FIFA 17</t>
  </si>
  <si>
    <t>FIFA 18</t>
  </si>
  <si>
    <t>NBA LIVE 15</t>
  </si>
  <si>
    <t>NBA LIVE 18: The One Edition</t>
  </si>
  <si>
    <t>Hard Corps: Uprising</t>
  </si>
  <si>
    <t>Vikings: Wolves of Midgard</t>
  </si>
  <si>
    <t>Fractured Minds</t>
  </si>
  <si>
    <t>Endless Legend</t>
  </si>
  <si>
    <t>Thumper</t>
  </si>
  <si>
    <t>For The King</t>
  </si>
  <si>
    <t>Bomber Crew</t>
  </si>
  <si>
    <t>Madden NFL 15</t>
  </si>
  <si>
    <t>Madden NFL 16</t>
  </si>
  <si>
    <t>Madden NFL 17</t>
  </si>
  <si>
    <t>Madden NFL 18</t>
  </si>
  <si>
    <t>Madden NFL 25</t>
  </si>
  <si>
    <t>NHL 18</t>
  </si>
  <si>
    <t>NHL 19</t>
  </si>
  <si>
    <t>Dark Void</t>
  </si>
  <si>
    <t>Vicious Attack Llama Apocalypse</t>
  </si>
  <si>
    <t>Deliver Us the Moon</t>
  </si>
  <si>
    <t>Gato Roboto</t>
  </si>
  <si>
    <t>Port Royale 3</t>
  </si>
  <si>
    <t>Warface: Breakout</t>
  </si>
  <si>
    <t>Machinarium</t>
  </si>
  <si>
    <t>Returning title: Joined 12/4/18, left 12/15/20 (console and PC)</t>
  </si>
  <si>
    <t>NBA LIVE 16</t>
  </si>
  <si>
    <t>NHL 17</t>
  </si>
  <si>
    <t>Into the Breach</t>
  </si>
  <si>
    <t>Shadows of the Damned</t>
  </si>
  <si>
    <t>Metal Slug 3</t>
  </si>
  <si>
    <t>Dandara: Trials of Fear Edition</t>
  </si>
  <si>
    <t>Astrologaster</t>
  </si>
  <si>
    <t>The Witcher 3: Wild Hunt</t>
  </si>
  <si>
    <t>Lost Planet 2</t>
  </si>
  <si>
    <t>Gears 5</t>
  </si>
  <si>
    <t>Resident Evil</t>
  </si>
  <si>
    <t>FTL: Faster than Light</t>
  </si>
  <si>
    <t>The Jackbox Party Pack 4</t>
  </si>
  <si>
    <t>Mother Russia Bleeds</t>
  </si>
  <si>
    <t>Pony Island</t>
  </si>
  <si>
    <t>Momodora: Reverie Under the Moonlight</t>
  </si>
  <si>
    <t>Indiana Jones and the Emperor's Tomb</t>
  </si>
  <si>
    <t>Dead Rising</t>
  </si>
  <si>
    <t>Ninja Gaiden II</t>
  </si>
  <si>
    <t>World of Horror (Game Preview)</t>
  </si>
  <si>
    <t>de Blob</t>
  </si>
  <si>
    <t>Breakdown</t>
  </si>
  <si>
    <t>Little Nightmares</t>
  </si>
  <si>
    <t>Reigns: Game of Thrones</t>
  </si>
  <si>
    <t>Death Squared</t>
  </si>
  <si>
    <t>Death's Gambit</t>
  </si>
  <si>
    <t>Final Fantasy XV</t>
  </si>
  <si>
    <t>Fishing Sim World: Pro Tour</t>
  </si>
  <si>
    <t>Fishing</t>
  </si>
  <si>
    <t>Bleed 2</t>
  </si>
  <si>
    <t>The King of Fighters XIII</t>
  </si>
  <si>
    <t>Tekken 7</t>
  </si>
  <si>
    <t>Sword Art Online: Fatal Bullet</t>
  </si>
  <si>
    <t>FTL: Faster Than Light</t>
  </si>
  <si>
    <t>The Raven Remastered</t>
  </si>
  <si>
    <t>Football Manager 2020</t>
  </si>
  <si>
    <t>Farming Simulator 17</t>
  </si>
  <si>
    <t>Mortal Kombat X</t>
  </si>
  <si>
    <t>Saints Row: Gat Out of Hell</t>
  </si>
  <si>
    <t>Swimsanity!</t>
  </si>
  <si>
    <t>Infinifactory</t>
  </si>
  <si>
    <t>Untitled Goose Game</t>
  </si>
  <si>
    <t>Pathologic 2</t>
  </si>
  <si>
    <t>Naruto to Boruto: Shinobi Striker</t>
  </si>
  <si>
    <t>Age of Wonders: Planetfall</t>
  </si>
  <si>
    <t>The Turing Test</t>
  </si>
  <si>
    <t>MudRunner</t>
  </si>
  <si>
    <t>Metro: Last Light Redux</t>
  </si>
  <si>
    <t>eFootball PES 2020</t>
  </si>
  <si>
    <t>Demon's Tilt</t>
  </si>
  <si>
    <t>Pinball</t>
  </si>
  <si>
    <t>Wandersong</t>
  </si>
  <si>
    <t>Faeria</t>
  </si>
  <si>
    <t>Hatoful Boyfriend</t>
  </si>
  <si>
    <t>Absolver</t>
  </si>
  <si>
    <t>Dead Island: Definitive Edition</t>
  </si>
  <si>
    <t>Lego Indiana Jones</t>
  </si>
  <si>
    <t>Aragami: Shadow Edition</t>
  </si>
  <si>
    <t>Munchkin: Quacked Quest</t>
  </si>
  <si>
    <t>Tracks: The Train Set Game</t>
  </si>
  <si>
    <t>The Talos Principle</t>
  </si>
  <si>
    <t>Full Spectrum Warrior</t>
  </si>
  <si>
    <t>Maid of Sker</t>
  </si>
  <si>
    <t>Slayaway Camp: Butcher's Cut</t>
  </si>
  <si>
    <t>The Lord of the Rings: Adventure Card Game</t>
  </si>
  <si>
    <t>Lego Star Wars III: The Clone Wars</t>
  </si>
  <si>
    <t>Afterparty</t>
  </si>
  <si>
    <t>The Red Strings Club</t>
  </si>
  <si>
    <t>Rise &amp; Shine</t>
  </si>
  <si>
    <t>Sphinx and the Cursed Mummy</t>
  </si>
  <si>
    <t>The Book of Unwritten Tales 2</t>
  </si>
  <si>
    <t>State of Mind</t>
  </si>
  <si>
    <t>Minit</t>
  </si>
  <si>
    <t>Felix the Reaper</t>
  </si>
  <si>
    <t>GRIP: Combat Racing</t>
  </si>
  <si>
    <t>Metro 2033 Redux</t>
  </si>
  <si>
    <t>Saints Row IV: Re-Elected</t>
  </si>
  <si>
    <t>Armed and Dangerous</t>
  </si>
  <si>
    <t>Panzer Dragoon Orta</t>
  </si>
  <si>
    <t>Bad North: Jotunn Edition</t>
  </si>
  <si>
    <t>Westerado: Double Barreled</t>
  </si>
  <si>
    <t>Rocket League</t>
  </si>
  <si>
    <t>de Blob 2</t>
  </si>
  <si>
    <t>Override: Mech City Brawl</t>
  </si>
  <si>
    <t>NBA 2K20</t>
  </si>
  <si>
    <t>Jump Force</t>
  </si>
  <si>
    <t>GoNNER: Blueberry Edition</t>
  </si>
  <si>
    <t>Red Dead Redemption 2</t>
  </si>
  <si>
    <t>Red Faction II</t>
  </si>
  <si>
    <t>Portal Knights</t>
  </si>
  <si>
    <t>The Jackbox Party Pack 3</t>
  </si>
  <si>
    <t>Creature in the Well</t>
  </si>
  <si>
    <t>Metal Gear Solid HD Edition: 2 &amp; 3</t>
  </si>
  <si>
    <t>Giana Sisters: Twisted Dreams - Director's Cut</t>
  </si>
  <si>
    <t>MX Unleashed</t>
  </si>
  <si>
    <t>Dunk Lords</t>
  </si>
  <si>
    <t>Devil May Cry 5</t>
  </si>
  <si>
    <t>Space Hulk: Tactics</t>
  </si>
  <si>
    <t>Where The Water Tastes Like Wine</t>
  </si>
  <si>
    <t>F1 2018</t>
  </si>
  <si>
    <t>JUJU</t>
  </si>
  <si>
    <t>WRC 8 FIA World Rally Championship</t>
  </si>
  <si>
    <t>Ashes Cricket</t>
  </si>
  <si>
    <t>The Banner Saga 3</t>
  </si>
  <si>
    <t>RiME</t>
  </si>
  <si>
    <t>Metal Gear Solid V: The Phantom Pain</t>
  </si>
  <si>
    <t>Blazing Chrome</t>
  </si>
  <si>
    <t>Dead Rising 4</t>
  </si>
  <si>
    <t>Timespinner</t>
  </si>
  <si>
    <t>Unavowed</t>
  </si>
  <si>
    <t>Sine Mora</t>
  </si>
  <si>
    <t>Shantae and the Pirate's Curse</t>
  </si>
  <si>
    <t>Battlefleet Gothic: Armada</t>
  </si>
  <si>
    <t>ACA NeoGeo Metal Slug X</t>
  </si>
  <si>
    <t>Metro Exodus</t>
  </si>
  <si>
    <t>Neon Chrome</t>
  </si>
  <si>
    <t>Shadow Tactics: Blades of the Shogun</t>
  </si>
  <si>
    <t>Life is Strange 2</t>
  </si>
  <si>
    <t>Die for Valhalla!</t>
  </si>
  <si>
    <t>Destroy All Humans!</t>
  </si>
  <si>
    <t>Warhammer 40,000: Inquisitor - Martyr</t>
  </si>
  <si>
    <t>Resident Evil: Revelations</t>
  </si>
  <si>
    <t>Book of Demons</t>
  </si>
  <si>
    <t>Riverbond</t>
  </si>
  <si>
    <t>Samorost 3</t>
  </si>
  <si>
    <t>Supermarket Shriek</t>
  </si>
  <si>
    <t>The Last Door: Season 2 - Collector's Edition</t>
  </si>
  <si>
    <t>The Stillness of the Wind</t>
  </si>
  <si>
    <t>Overlord II</t>
  </si>
  <si>
    <t>V-Rally 4</t>
  </si>
  <si>
    <t>Old Man's Journey</t>
  </si>
  <si>
    <t>#IDARB</t>
  </si>
  <si>
    <t>The King of Fighters '98 Ultimate Match (KOF98UM)</t>
  </si>
  <si>
    <t>Sensible World of Soccer</t>
  </si>
  <si>
    <t>Knights of Pen and Paper Bundle</t>
  </si>
  <si>
    <t>The Lego Ninjago Movie Video Game</t>
  </si>
  <si>
    <t>Imperator: Rome</t>
  </si>
  <si>
    <t>West of Loathing</t>
  </si>
  <si>
    <t>Metal Gear Survive</t>
  </si>
  <si>
    <t>The Banner Saga</t>
  </si>
  <si>
    <t>Mega Man Legacy Collection 2</t>
  </si>
  <si>
    <t>Toybox Turbos</t>
  </si>
  <si>
    <t>Project CARS 2</t>
  </si>
  <si>
    <t>Smoke and Sacrifice</t>
  </si>
  <si>
    <t>The Banner Saga 2</t>
  </si>
  <si>
    <t>RUINER</t>
  </si>
  <si>
    <t>Braid</t>
  </si>
  <si>
    <t>FEZ</t>
  </si>
  <si>
    <t>Valkyria Chronicles</t>
  </si>
  <si>
    <t>Guacamelee! Super Turbo Championship Edition</t>
  </si>
  <si>
    <t>MX vs. ATV: Reflex</t>
  </si>
  <si>
    <t>Sonic Generations</t>
  </si>
  <si>
    <t>Batman: The Enemy Within</t>
  </si>
  <si>
    <t>Castlevania: Lords of Shadow 2</t>
  </si>
  <si>
    <t>Call of Cthulhu</t>
  </si>
  <si>
    <t>LEGO Worlds</t>
  </si>
  <si>
    <t>Apocalipsis</t>
  </si>
  <si>
    <t>Battle Chef Brigade</t>
  </si>
  <si>
    <t>Borderlands 2</t>
  </si>
  <si>
    <t>Borderlands: The Pre-Sequel!</t>
  </si>
  <si>
    <t>Kingsway</t>
  </si>
  <si>
    <t>Orwell: Keeping an Eye on You</t>
  </si>
  <si>
    <t>Shenmue</t>
  </si>
  <si>
    <t>Shenmue II</t>
  </si>
  <si>
    <t>Titan-Quest: Anniversary Edition</t>
  </si>
  <si>
    <t>The Golf Club 2</t>
  </si>
  <si>
    <t>Golf</t>
  </si>
  <si>
    <t>Deus Ex: Mankind Divided</t>
  </si>
  <si>
    <t>Star Wars Battlefront</t>
  </si>
  <si>
    <t>TT Isle of Man</t>
  </si>
  <si>
    <t>Fable Heroes</t>
  </si>
  <si>
    <t>Batman: The Telltale Series</t>
  </si>
  <si>
    <t>Disney Epic Mickey 2: The Power of Two</t>
  </si>
  <si>
    <t>Just Cause 4</t>
  </si>
  <si>
    <t>Batman: Arkham City</t>
  </si>
  <si>
    <t>The Jackbox Party Pack 2</t>
  </si>
  <si>
    <t>Batman: Arkham Asylum</t>
  </si>
  <si>
    <t>Pumped BMX Pro</t>
  </si>
  <si>
    <t>LEGO Star Wars II: The Original Trilogy</t>
  </si>
  <si>
    <t>Styx: Shards of Darkness</t>
  </si>
  <si>
    <t>Tekken 6</t>
  </si>
  <si>
    <t>LEGO City Undercover</t>
  </si>
  <si>
    <t>Resident Evil 4</t>
  </si>
  <si>
    <t>Just Cause 3</t>
  </si>
  <si>
    <t>Saints Row: The Third</t>
  </si>
  <si>
    <t>Castlevania: Lords of Shadow - Mirror of Fate HD</t>
  </si>
  <si>
    <t>Insane Robots</t>
  </si>
  <si>
    <t>Toy Story 3</t>
  </si>
  <si>
    <t>The Final Station</t>
  </si>
  <si>
    <t>Headlander</t>
  </si>
  <si>
    <t>Life is Strange</t>
  </si>
  <si>
    <t>Life is Strange: Before the Storm</t>
  </si>
  <si>
    <t>Pro Evolution Soccer 2019</t>
  </si>
  <si>
    <t>Tecmo Bowl: Throwback</t>
  </si>
  <si>
    <t>Football</t>
  </si>
  <si>
    <t>Sherlock Holmes: The Devil's Daughter</t>
  </si>
  <si>
    <t>Robocraft Infinity</t>
  </si>
  <si>
    <t>Star Wars: Jedi Starfighter</t>
  </si>
  <si>
    <t>Friday the 13th: The Game</t>
  </si>
  <si>
    <t>Tyranny: Gold Edition</t>
  </si>
  <si>
    <t>Football Manager 2019</t>
  </si>
  <si>
    <t>LEGO Batman 3: Beyond Gotham</t>
  </si>
  <si>
    <t>The Surge</t>
  </si>
  <si>
    <t>Below</t>
  </si>
  <si>
    <t>Strange Brigade</t>
  </si>
  <si>
    <t>Agents of Mayhem</t>
  </si>
  <si>
    <t>MXGP3</t>
  </si>
  <si>
    <t>Thomas Was Alone</t>
  </si>
  <si>
    <t>ABZÛ</t>
  </si>
  <si>
    <t>Darksiders II: Deathinitive Edition</t>
  </si>
  <si>
    <t>Darksiders: Warmastered Edition</t>
  </si>
  <si>
    <t>GRID 2</t>
  </si>
  <si>
    <t>Ninja Gaiden 3: Razor's Edge</t>
  </si>
  <si>
    <t>Tembo the Badass Elephant</t>
  </si>
  <si>
    <t>Bolt</t>
  </si>
  <si>
    <t>We Were Here</t>
  </si>
  <si>
    <t>Resident Evil 5</t>
  </si>
  <si>
    <t>Dead Island: Riptide - Definitive Edition</t>
  </si>
  <si>
    <t>&gt;observer_</t>
  </si>
  <si>
    <t>Tekken Tag Tournament 2</t>
  </si>
  <si>
    <t>Hitman: The Complete First Season</t>
  </si>
  <si>
    <t>Earth Defense Force 2025</t>
  </si>
  <si>
    <t>Forza Motorsport 6</t>
  </si>
  <si>
    <t>LEGO Batman 2: DC Super Heroes</t>
  </si>
  <si>
    <t>LEGO Indiana Jones: The Original Adventures</t>
  </si>
  <si>
    <t>Split/Second</t>
  </si>
  <si>
    <t>Onrush</t>
  </si>
  <si>
    <t>Ninja Gaiden Black</t>
  </si>
  <si>
    <t>Super Street Fighter IV: Arcade Edition</t>
  </si>
  <si>
    <t>'Splosion Man</t>
  </si>
  <si>
    <t>The Maw</t>
  </si>
  <si>
    <t>Castlevania: Lords of Shadow</t>
  </si>
  <si>
    <t>Big Crown: Showdown</t>
  </si>
  <si>
    <t>InnerSpace</t>
  </si>
  <si>
    <t>Manual Samuel</t>
  </si>
  <si>
    <t>Sky Force: Reloaded</t>
  </si>
  <si>
    <t>Graveyard Keeper</t>
  </si>
  <si>
    <t>Alien Hominid HD</t>
  </si>
  <si>
    <t>BattleBlock Theater</t>
  </si>
  <si>
    <t>A Kingdom for Keflings</t>
  </si>
  <si>
    <t>A World of Keflings</t>
  </si>
  <si>
    <t>CastleStorm</t>
  </si>
  <si>
    <t>Joe Danger 2: The Movie</t>
  </si>
  <si>
    <t>Joe Danger: Special Edition</t>
  </si>
  <si>
    <t>Monday Night Combat</t>
  </si>
  <si>
    <t>N+</t>
  </si>
  <si>
    <t>Spelunky</t>
  </si>
  <si>
    <t>Toy Soldiers</t>
  </si>
  <si>
    <t>Toy Soldiers: Cold War</t>
  </si>
  <si>
    <t>Meet the Robinsons</t>
  </si>
  <si>
    <t>INSIDE</t>
  </si>
  <si>
    <t>Castlevania: Symphony of the Night</t>
  </si>
  <si>
    <t>Rivals of Aether</t>
  </si>
  <si>
    <t>Aftercharge</t>
  </si>
  <si>
    <t>The LEGO Movie Videogame</t>
  </si>
  <si>
    <t>Dandara</t>
  </si>
  <si>
    <t>Dead Rising 2</t>
  </si>
  <si>
    <t>HITMAN</t>
  </si>
  <si>
    <t>Metal Slug XX</t>
  </si>
  <si>
    <t>Defense Grid: The Awakening</t>
  </si>
  <si>
    <t>Hexic 2</t>
  </si>
  <si>
    <t>Earth Defense Force 2017</t>
  </si>
  <si>
    <t>Portal: Still Alive</t>
  </si>
  <si>
    <t>The Golf Club 2019 featuring PGA Tour</t>
  </si>
  <si>
    <t>Ultimate Marvel vs. Capcom 3</t>
  </si>
  <si>
    <t>Shadow Complex: Remastered</t>
  </si>
  <si>
    <t>Zombie Army Trilogy</t>
  </si>
  <si>
    <t>Next Up Hero</t>
  </si>
  <si>
    <t>Devil May Cry 4: Special Edition</t>
  </si>
  <si>
    <t>Comic Jumper</t>
  </si>
  <si>
    <t>Marooners</t>
  </si>
  <si>
    <t>Earth Defense Force: Insect Armageddon</t>
  </si>
  <si>
    <t>Outcast: Second Contact</t>
  </si>
  <si>
    <t>LEGO Star Wars: The Complete Saga</t>
  </si>
  <si>
    <t>STAR WARS: Knights of the Old Republic</t>
  </si>
  <si>
    <t>MotoGP 17</t>
  </si>
  <si>
    <t>Star Wars: The Force Unleashed</t>
  </si>
  <si>
    <t>Star Wars: The Force Unleashed II</t>
  </si>
  <si>
    <t>Laser League</t>
  </si>
  <si>
    <t>D4: Dark Dreams Don't Die</t>
  </si>
  <si>
    <t>DmC: Devil May Cry - Definitive Edition</t>
  </si>
  <si>
    <t>JumpJet Rex</t>
  </si>
  <si>
    <t>Knight Squad</t>
  </si>
  <si>
    <t>Layers of Fear</t>
  </si>
  <si>
    <t>Mega Man Legacy Collection</t>
  </si>
  <si>
    <t>Ms. Splosion Man</t>
  </si>
  <si>
    <t>Super Mega Baseball: Extra Innings</t>
  </si>
  <si>
    <t>Super Time Force</t>
  </si>
  <si>
    <t>Tom Clancy's Ghost Recon Advanced Warfighter 2</t>
  </si>
  <si>
    <t>The Technomancer</t>
  </si>
  <si>
    <t>Star Wars: Battlefront II</t>
  </si>
  <si>
    <t>Plants vs. Zombies: Garden Warfare 2</t>
  </si>
  <si>
    <t>OlliOlli2: XL Edition</t>
  </si>
  <si>
    <t>Sheltered</t>
  </si>
  <si>
    <t>Outlast</t>
  </si>
  <si>
    <t>Homefront: The Revolution</t>
  </si>
  <si>
    <t>Sonic &amp; Knuckles</t>
  </si>
  <si>
    <t>Unmechanical: Extended Edition</t>
  </si>
  <si>
    <t>OlliOlli</t>
  </si>
  <si>
    <t>Pumped BMX +</t>
  </si>
  <si>
    <t>The Golf Club</t>
  </si>
  <si>
    <t>The Swapper</t>
  </si>
  <si>
    <t>Metal Gear Rising: Revengeance</t>
  </si>
  <si>
    <t>Adventure Time: Pirates of the Enchiridion</t>
  </si>
  <si>
    <t>Super Bomberman R</t>
  </si>
  <si>
    <t>Kingdom: New Lands</t>
  </si>
  <si>
    <t>Late Shift</t>
  </si>
  <si>
    <t>Sacred Citadel</t>
  </si>
  <si>
    <t>Star Wars Jedi Knight: Jedi Academy</t>
  </si>
  <si>
    <t>Bloodstained: Curse of the Moon</t>
  </si>
  <si>
    <t>F1 2015</t>
  </si>
  <si>
    <t>Assassin's Creed Rogue</t>
  </si>
  <si>
    <t>WRC 6</t>
  </si>
  <si>
    <t>Shadow Warrior</t>
  </si>
  <si>
    <t>Dovetail Games: Euro Fishing</t>
  </si>
  <si>
    <t>Resident Evil: Revelations 2</t>
  </si>
  <si>
    <t>Sonic CD</t>
  </si>
  <si>
    <t>Kyub</t>
  </si>
  <si>
    <t>Mega Coin Squad</t>
  </si>
  <si>
    <t>Far Cry 2</t>
  </si>
  <si>
    <t>Never Alone (Kishima Ingitchuna)</t>
  </si>
  <si>
    <t>The Escapists: The Walking Dead</t>
  </si>
  <si>
    <t>Letter Quest: Grimm's Journey - Remastered</t>
  </si>
  <si>
    <t>Dead Rising 3</t>
  </si>
  <si>
    <t>Electronic Super Joy</t>
  </si>
  <si>
    <t>Roundabout</t>
  </si>
  <si>
    <t>Steredenn</t>
  </si>
  <si>
    <t>Mercenaries: Playground of Destruction</t>
  </si>
  <si>
    <t>Q.U.B.E. 2</t>
  </si>
  <si>
    <t>Race the Sun</t>
  </si>
  <si>
    <t>Bayonetta</t>
  </si>
  <si>
    <t>Deadlight: Director's Cut</t>
  </si>
  <si>
    <t>Metal Gear Solid V: Ground Zeroes</t>
  </si>
  <si>
    <t>NBA Playgrounds</t>
  </si>
  <si>
    <t>WRC 5: FIA World Rally Championships</t>
  </si>
  <si>
    <t>Farming Simulator 15</t>
  </si>
  <si>
    <t>Battlefield 1</t>
  </si>
  <si>
    <t>Assassin's Creed</t>
  </si>
  <si>
    <t>Victor Vran</t>
  </si>
  <si>
    <t>Casey Powell Lacrosse 16</t>
  </si>
  <si>
    <t>Mega Man 10</t>
  </si>
  <si>
    <t>This War of Mine: The Little Ones</t>
  </si>
  <si>
    <t>Resident Evil Zero</t>
  </si>
  <si>
    <t>Hitman: Blood Money</t>
  </si>
  <si>
    <t>Overcooked!</t>
  </si>
  <si>
    <t>Stuntman: Ignition</t>
  </si>
  <si>
    <t>Livelock</t>
  </si>
  <si>
    <t>Oddworld: New 'n' Tasty</t>
  </si>
  <si>
    <t>Mega Man 9</t>
  </si>
  <si>
    <t>Sky Force: Anniversary</t>
  </si>
  <si>
    <t>World of Van Helsing: Deathtrap</t>
  </si>
  <si>
    <t>Sega Vintage Collection: Monster World</t>
  </si>
  <si>
    <t>LEGO Star Wars III: The Clone Wars</t>
  </si>
  <si>
    <t>For Honor</t>
  </si>
  <si>
    <t>Maldita Castilla EX: Cursed Castilla</t>
  </si>
  <si>
    <t>The Bug Butcher</t>
  </si>
  <si>
    <t>Tower of Guns</t>
  </si>
  <si>
    <t>Epic Mickey 2: The Power of Two</t>
  </si>
  <si>
    <t>Forza Horizon 2</t>
  </si>
  <si>
    <t>Pro Evolution Soccer 2018</t>
  </si>
  <si>
    <t>10 Second Ninja X</t>
  </si>
  <si>
    <t>The Bridge</t>
  </si>
  <si>
    <t>Galaga Legions DX</t>
  </si>
  <si>
    <t>Pac-Man Museum</t>
  </si>
  <si>
    <t>SoulCalibur II HD Online</t>
  </si>
  <si>
    <t>Tom Clancy's Splinter Cell: Conviction</t>
  </si>
  <si>
    <t>Assault Android Cactus</t>
  </si>
  <si>
    <t>Virtua Fighter 5 Final Showdown</t>
  </si>
  <si>
    <t>Smite</t>
  </si>
  <si>
    <t>Pharaonic</t>
  </si>
  <si>
    <t>So Many Me</t>
  </si>
  <si>
    <t>Ultratron</t>
  </si>
  <si>
    <t>LEGO Indiana Jones 2: The Adventure Continues</t>
  </si>
  <si>
    <t>Sonic &amp; All-Stars Racing Transformed</t>
  </si>
  <si>
    <t>Bomberman Live: Battlefest</t>
  </si>
  <si>
    <t>Bard's Gold</t>
  </si>
  <si>
    <t>Resident Evil 6</t>
  </si>
  <si>
    <t>Vanquish</t>
  </si>
  <si>
    <t>Super Mega Baseball 2</t>
  </si>
  <si>
    <t>Sega Vintage Collection: Streets of Rage</t>
  </si>
  <si>
    <t>BioShock Infinite</t>
  </si>
  <si>
    <t>BioShock 2</t>
  </si>
  <si>
    <t>BioShock</t>
  </si>
  <si>
    <t>Age of Booty</t>
  </si>
  <si>
    <t>Bionic Commando: Rearmed 2</t>
  </si>
  <si>
    <t>Blood Bowl 2</t>
  </si>
  <si>
    <t>Borderlands</t>
  </si>
  <si>
    <t>Bound by Flame</t>
  </si>
  <si>
    <t>Dead Rising 2: Case Zero</t>
  </si>
  <si>
    <t>Defense Grid 2</t>
  </si>
  <si>
    <t>Dig Dug</t>
  </si>
  <si>
    <t>Final Fight: Double Impact</t>
  </si>
  <si>
    <t>LEGO Batman: The Videogame</t>
  </si>
  <si>
    <t>Mad Max</t>
  </si>
  <si>
    <t>Operation Flashpoint: Dragon Rising</t>
  </si>
  <si>
    <t>Pac-Man Championship Edition DX</t>
  </si>
  <si>
    <t>Sacred 3</t>
  </si>
  <si>
    <t>Sam &amp; Max: Beyond Time and Space</t>
  </si>
  <si>
    <t>Sam &amp; Max: Save the World</t>
  </si>
  <si>
    <t>SEGA Vintage Collection: Alex Kidd &amp; Co.</t>
  </si>
  <si>
    <t>SEGA Vintage Collection: Golden Axe</t>
  </si>
  <si>
    <t>SoulCalibur</t>
  </si>
  <si>
    <t>XCOM: Enemy Within</t>
  </si>
  <si>
    <t>The Witness</t>
  </si>
  <si>
    <t>Lumo</t>
  </si>
  <si>
    <t>Cars 2: The Video Game</t>
  </si>
  <si>
    <t>Superhot</t>
  </si>
  <si>
    <t>NBA 2K17</t>
  </si>
  <si>
    <t>WWE 2K17</t>
  </si>
  <si>
    <t>Wrestling</t>
  </si>
  <si>
    <t>Quantum Conundrum</t>
  </si>
  <si>
    <t>Comix Zone</t>
  </si>
  <si>
    <t>Brave: The Video Game</t>
  </si>
  <si>
    <t>CAPCOM Arcade Cabinet</t>
  </si>
  <si>
    <t>FLOCK!</t>
  </si>
  <si>
    <t>SEGA Vintage Collection: Monster World</t>
  </si>
  <si>
    <t>SEGA Vintage Collection: Streets of Rage</t>
  </si>
  <si>
    <t>Strider</t>
  </si>
  <si>
    <t>Crazy Taxi</t>
  </si>
  <si>
    <t>The Incredible Adventures of Van Helsing III</t>
  </si>
  <si>
    <t>WWE 2K16</t>
  </si>
  <si>
    <t>Tomb Raider: Underworld</t>
  </si>
  <si>
    <t>Back to the Future: The Game 30th Anniversary Edition</t>
  </si>
  <si>
    <t>Marlow Briggs and the Mask of Death</t>
  </si>
  <si>
    <t>Warhammer: End Times - Vermintide</t>
  </si>
  <si>
    <t>NBA 2K16</t>
  </si>
  <si>
    <t>Child of Eden</t>
  </si>
  <si>
    <t>Tales from the Borderlands</t>
  </si>
  <si>
    <t>Deadfall Adventures</t>
  </si>
  <si>
    <t>NiGHTS into Dreams</t>
  </si>
  <si>
    <t>Gone Home: Console Edition</t>
  </si>
  <si>
    <t>Rayman 3 HD</t>
  </si>
  <si>
    <t>Battlefield 3</t>
  </si>
  <si>
    <t>Forza Motorsport 5</t>
  </si>
  <si>
    <t>Hydro Thunder Hurricane</t>
  </si>
  <si>
    <t>Red Faction: Armageddon</t>
  </si>
  <si>
    <t>Runbow</t>
  </si>
  <si>
    <t>Dungeons &amp; Dragons: Chronicles of Mystara</t>
  </si>
  <si>
    <t>LEGO Pirates of the Caribbean: The Video Game</t>
  </si>
  <si>
    <t>Grow Up</t>
  </si>
  <si>
    <t>Kane &amp; Lynch 2: Dog Days</t>
  </si>
  <si>
    <t>WATCH_DOGS</t>
  </si>
  <si>
    <t>Dragon Age: Origins</t>
  </si>
  <si>
    <t>SpeedRunners</t>
  </si>
  <si>
    <t>Assassin's Creed III</t>
  </si>
  <si>
    <t>Lego Star Wars: The Complete Saga</t>
  </si>
  <si>
    <t>Giana Sisters: Twisted Dreams – Director's Cut</t>
  </si>
  <si>
    <t>Darksiders</t>
  </si>
  <si>
    <t>Evolve: Ultimate Edition</t>
  </si>
  <si>
    <t>Project CARS</t>
  </si>
  <si>
    <t>Lovers in a Dangerous Spacetime</t>
  </si>
  <si>
    <t>Monkey Island 2 Special Edition: LeChuck's Revenge</t>
  </si>
  <si>
    <t>Killer Instinct Season 2 Ultra Edition</t>
  </si>
  <si>
    <t>Rayman Origins</t>
  </si>
  <si>
    <t>Tower Defense</t>
  </si>
  <si>
    <t>Burnout Paradise</t>
  </si>
  <si>
    <t>Sleeping Dogs: Definitive Edition</t>
  </si>
  <si>
    <t>Outland</t>
  </si>
  <si>
    <t>Murdered: Soul Suspect</t>
  </si>
  <si>
    <t>Super Dungeon Bros</t>
  </si>
  <si>
    <t>The Secret of Monkey Island: Special Edition</t>
  </si>
  <si>
    <t>I Am Alive</t>
  </si>
  <si>
    <t>MX vs. ATV Reflex</t>
  </si>
  <si>
    <t>Earthlock: Festival of Magic</t>
  </si>
  <si>
    <t>Forza Horizon</t>
  </si>
  <si>
    <t>Beyond Good &amp; Evil HD</t>
  </si>
  <si>
    <t>Warriors Orochi 3 Ultimate</t>
  </si>
  <si>
    <t>Tumblestone</t>
  </si>
  <si>
    <t>Tron: Evolution</t>
  </si>
  <si>
    <t>Tom Clancy's Rainbow Six: Vegas 2</t>
  </si>
  <si>
    <t>The Crew</t>
  </si>
  <si>
    <t>XCOM: Enemy Unknown</t>
  </si>
  <si>
    <t>Grid 2</t>
  </si>
  <si>
    <t>Saints Row IV</t>
  </si>
  <si>
    <t>The Wolf Among Us</t>
  </si>
  <si>
    <t>Sherlock Holmes: Crimes &amp; Punishments</t>
  </si>
  <si>
    <t>Supreme Commander 2</t>
  </si>
  <si>
    <t>Styx: Master of Shadows</t>
  </si>
  <si>
    <t>Hand of Fate</t>
  </si>
  <si>
    <t>Zheros</t>
  </si>
  <si>
    <t>Deus Ex: Human Revolution</t>
  </si>
  <si>
    <t>Killer Instinct Season 1 Ultra Edition</t>
  </si>
  <si>
    <t>DiRT Showdown</t>
  </si>
  <si>
    <t>Thief</t>
  </si>
  <si>
    <t>The Incredible Adventures of Van Helsing</t>
  </si>
  <si>
    <t>Dungeon Siege III</t>
  </si>
  <si>
    <t>Pneuma: Breath of Life</t>
  </si>
  <si>
    <t>DiRT 3</t>
  </si>
  <si>
    <t>The Deer God</t>
  </si>
  <si>
    <t>Battlestations: Pacific</t>
  </si>
  <si>
    <t>How To Survive: Storm Warning Edition</t>
  </si>
  <si>
    <t>Metro: Last Light</t>
  </si>
  <si>
    <t>Metro 2033</t>
  </si>
  <si>
    <t>Assassin's Creed IV: Black Flag</t>
  </si>
  <si>
    <t>Plants vs. Zombies</t>
  </si>
  <si>
    <t>Pool Nation FX</t>
  </si>
  <si>
    <t>Just Cause 2</t>
  </si>
  <si>
    <t>F1 2013</t>
  </si>
  <si>
    <t>CastleStorm: Definitive Edition</t>
  </si>
  <si>
    <t>Mafia II</t>
  </si>
  <si>
    <t>Army of Two: The Devil's Cartel</t>
  </si>
  <si>
    <t>Tomb Raider</t>
  </si>
  <si>
    <t>Sniper Elite V2</t>
  </si>
  <si>
    <t>Worms Battlegrounds</t>
  </si>
  <si>
    <t>The Witcher 2: Assassins of Kings</t>
  </si>
  <si>
    <t>MX vs. ATV Alive</t>
  </si>
  <si>
    <t>Völgarr the Viking</t>
  </si>
  <si>
    <t>The Raven: Legacy of a Master Thief</t>
  </si>
  <si>
    <t>Red Faction: Guerrilla</t>
  </si>
  <si>
    <t>Chariot</t>
  </si>
  <si>
    <t>Darksiders II</t>
  </si>
  <si>
    <t>Crimson Dragon</t>
  </si>
  <si>
    <t>Monaco: What's Yours Is Mine</t>
  </si>
  <si>
    <t>Dishonored</t>
  </si>
  <si>
    <t>Strike Suit Zero: Director's Cut</t>
  </si>
  <si>
    <t>Motocross Madness</t>
  </si>
  <si>
    <t>Gotham City Impostors</t>
  </si>
  <si>
    <t>Charlie Murder</t>
  </si>
  <si>
    <t>Beat-Em-Up</t>
  </si>
  <si>
    <t>Dark Souls</t>
  </si>
  <si>
    <t>Dust: An Elysian Tail</t>
  </si>
  <si>
    <t>Deadlight</t>
  </si>
  <si>
    <t>Hitman: Absolution</t>
  </si>
  <si>
    <t>Dungeon Defenders</t>
  </si>
  <si>
    <t>Sid Meier's Civilization Revolution</t>
  </si>
  <si>
    <t>Dead Island</t>
  </si>
  <si>
    <t>Sleeping Dogs</t>
  </si>
  <si>
    <t>Shoot Many Robots</t>
  </si>
  <si>
    <t>Might &amp; Magic: Clash of Heroes</t>
  </si>
  <si>
    <t>Tom Clancy's Rainbow Six: Vegas</t>
  </si>
  <si>
    <t>Magic: The Gathering - Duels of the Planeswalkers 2013</t>
  </si>
  <si>
    <t>Crackdown</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</si>
</sst>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mm yyyy"/>
    <numFmt numFmtId="165" formatCode="#"/>
    <numFmt numFmtId="166" formatCode="mmmm d"/>
    <numFmt numFmtId="167" formatCode="_(&quot;$&quot;* #,##0.00_);_(&quot;$&quot;* \(#,##0.00\);_(&quot;$&quot;* &quot;-&quot;??_);_(@_)"/>
    <numFmt numFmtId="168" formatCode="M/d/yyyy"/>
    <numFmt numFmtId="169" formatCode="&quot;$&quot;#,##0.00"/>
  </numFmts>
  <fonts count="37">
    <font>
      <sz val="10.0"/>
      <color rgb="FF000000"/>
      <name val="Georgia"/>
      <scheme val="minor"/>
    </font>
    <font>
      <color rgb="FFFFFFFF"/>
      <name val="Arial"/>
    </font>
    <font>
      <b/>
      <color rgb="FFFFFFFF"/>
      <name val="Georgia"/>
      <scheme val="minor"/>
    </font>
    <font>
      <b/>
      <color rgb="FFFFFFFF"/>
      <name val="Arial"/>
    </font>
    <font>
      <b/>
      <color rgb="FFFFFF00"/>
      <name val="Georgia"/>
      <scheme val="minor"/>
    </font>
    <font>
      <b/>
      <sz val="10.0"/>
      <color rgb="FFFFFFFF"/>
      <name val="Arial"/>
    </font>
    <font>
      <color theme="1"/>
      <name val="Arial"/>
    </font>
    <font>
      <b/>
      <sz val="10.0"/>
      <color rgb="FFFFFF00"/>
      <name val="Arial"/>
    </font>
    <font>
      <b/>
      <u/>
      <sz val="10.0"/>
      <color rgb="FF00FF00"/>
      <name val="Arial"/>
    </font>
    <font>
      <b/>
      <u/>
      <sz val="10.0"/>
      <color rgb="FFFFFF00"/>
      <name val="Arial"/>
    </font>
    <font>
      <b/>
      <u/>
      <sz val="10.0"/>
      <color rgb="FFFFFF00"/>
      <name val="Arial"/>
    </font>
    <font>
      <b/>
      <sz val="10.0"/>
      <color rgb="FF000000"/>
      <name val="Arial"/>
    </font>
    <font/>
    <font>
      <sz val="10.0"/>
      <color rgb="FFFFFFFF"/>
      <name val="Arial"/>
    </font>
    <font>
      <sz val="10.0"/>
      <color theme="1"/>
      <name val="Arial"/>
    </font>
    <font>
      <color theme="1"/>
      <name val="Georgia"/>
    </font>
    <font>
      <color theme="1"/>
      <name val="Georgia"/>
      <scheme val="minor"/>
    </font>
    <font>
      <color theme="1"/>
      <name val="Roboto"/>
    </font>
    <font>
      <b/>
      <color rgb="FF000000"/>
      <name val="Arial"/>
    </font>
    <font>
      <b/>
      <color theme="1"/>
      <name val="Arial"/>
    </font>
    <font>
      <color rgb="FF383632"/>
      <name val="Arial"/>
    </font>
    <font>
      <u/>
      <color rgb="FF0000FF"/>
      <name val="Arial"/>
    </font>
    <font>
      <u/>
      <color rgb="FF1155CC"/>
      <name val="Arial"/>
    </font>
    <font>
      <u/>
      <color rgb="FF0000FF"/>
      <name val="Arial"/>
    </font>
    <font>
      <u/>
      <color rgb="FF0000FF"/>
      <name val="Arial"/>
    </font>
    <font>
      <b/>
      <u/>
      <color rgb="FF0000FF"/>
      <name val="Arial"/>
    </font>
    <font>
      <sz val="11.0"/>
      <color rgb="FF333333"/>
      <name val="Arial"/>
    </font>
    <font>
      <u/>
      <color rgb="FF0000FF"/>
      <name val="Arial"/>
    </font>
    <font>
      <u/>
      <color rgb="FF071924"/>
      <name val="Arial"/>
    </font>
    <font>
      <b/>
      <sz val="10.0"/>
      <color theme="1"/>
      <name val="Arial"/>
    </font>
    <font>
      <u/>
      <color rgb="FF0000FF"/>
      <name val="Arial"/>
    </font>
    <font>
      <u/>
      <color rgb="FF0000FF"/>
      <name val="Arial"/>
    </font>
    <font>
      <color rgb="FF000000"/>
      <name val="Arial"/>
    </font>
    <font>
      <sz val="10.0"/>
      <color rgb="FF000000"/>
      <name val="Arial"/>
    </font>
    <font>
      <color rgb="FF434343"/>
      <name val="Arial"/>
    </font>
    <font>
      <sz val="9.0"/>
      <color rgb="FF1F1F1F"/>
      <name val="Arial"/>
    </font>
    <font>
      <color rgb="FF000000"/>
      <name val="&quot;Arial&quot;"/>
    </font>
  </fonts>
  <fills count="18">
    <fill>
      <patternFill patternType="none"/>
    </fill>
    <fill>
      <patternFill patternType="lightGray"/>
    </fill>
    <fill>
      <patternFill patternType="solid">
        <fgColor rgb="FF000000"/>
        <bgColor rgb="FF000000"/>
      </patternFill>
    </fill>
    <fill>
      <patternFill patternType="solid">
        <fgColor rgb="FFFFFFFF"/>
        <bgColor rgb="FFFFFFFF"/>
      </patternFill>
    </fill>
    <fill>
      <patternFill patternType="solid">
        <fgColor rgb="FFEFEFEF"/>
        <bgColor rgb="FFEFEFEF"/>
      </patternFill>
    </fill>
    <fill>
      <patternFill patternType="solid">
        <fgColor rgb="FFFFFF00"/>
        <bgColor rgb="FFFFFF00"/>
      </patternFill>
    </fill>
    <fill>
      <patternFill patternType="solid">
        <fgColor rgb="FFF9CB9C"/>
        <bgColor rgb="FFF9CB9C"/>
      </patternFill>
    </fill>
    <fill>
      <patternFill patternType="solid">
        <fgColor rgb="FFA4C2F4"/>
        <bgColor rgb="FFA4C2F4"/>
      </patternFill>
    </fill>
    <fill>
      <patternFill patternType="solid">
        <fgColor rgb="FFFCE8B2"/>
        <bgColor rgb="FFFCE8B2"/>
      </patternFill>
    </fill>
    <fill>
      <patternFill patternType="solid">
        <fgColor rgb="FFB7E1CD"/>
        <bgColor rgb="FFB7E1CD"/>
      </patternFill>
    </fill>
    <fill>
      <patternFill patternType="solid">
        <fgColor rgb="FFF4C7C3"/>
        <bgColor rgb="FFF4C7C3"/>
      </patternFill>
    </fill>
    <fill>
      <patternFill patternType="solid">
        <fgColor rgb="FF46BDC6"/>
        <bgColor rgb="FF46BDC6"/>
      </patternFill>
    </fill>
    <fill>
      <patternFill patternType="solid">
        <fgColor rgb="FFB4A7D6"/>
        <bgColor rgb="FFB4A7D6"/>
      </patternFill>
    </fill>
    <fill>
      <patternFill patternType="solid">
        <fgColor rgb="FF783F04"/>
        <bgColor rgb="FF783F04"/>
      </patternFill>
    </fill>
    <fill>
      <patternFill patternType="solid">
        <fgColor rgb="FFC27BA0"/>
        <bgColor rgb="FFC27BA0"/>
      </patternFill>
    </fill>
    <fill>
      <patternFill patternType="solid">
        <fgColor rgb="FF9FC5E8"/>
        <bgColor rgb="FF9FC5E8"/>
      </patternFill>
    </fill>
    <fill>
      <patternFill patternType="solid">
        <fgColor rgb="FFFF0000"/>
        <bgColor rgb="FFFF0000"/>
      </patternFill>
    </fill>
    <fill>
      <patternFill patternType="solid">
        <fgColor rgb="FFFF9900"/>
        <bgColor rgb="FFFF9900"/>
      </patternFill>
    </fill>
  </fills>
  <borders count="13">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FFFFFF"/>
      </left>
      <right style="thin">
        <color rgb="FFFFFFFF"/>
      </right>
      <top style="thin">
        <color rgb="FFFFFFFF"/>
      </top>
      <bottom style="thin">
        <color rgb="FF284E3F"/>
      </bottom>
    </border>
    <border>
      <top style="thin">
        <color rgb="FFFFFFFF"/>
      </top>
      <bottom style="thin">
        <color rgb="FFFFFFFF"/>
      </bottom>
    </border>
    <border>
      <top style="thin">
        <color rgb="FFFFFFFF"/>
      </top>
    </border>
    <border>
      <left style="thin">
        <color rgb="FFFFFFFF"/>
      </left>
      <right style="thin">
        <color rgb="FFFFFFFF"/>
      </right>
      <top style="thin">
        <color rgb="FFFFFFFF"/>
      </top>
      <bottom style="thin">
        <color rgb="FFFFFFFF"/>
      </bottom>
    </border>
    <border>
      <right style="thin">
        <color rgb="FFFFFFFF"/>
      </right>
      <top style="thin">
        <color rgb="FFFFFFFF"/>
      </top>
      <bottom style="thin">
        <color rgb="FFFFFFFF"/>
      </bottom>
    </border>
    <border>
      <right style="thin">
        <color rgb="FFFFFFFF"/>
      </right>
      <bottom style="thin">
        <color rgb="FFFFFFFF"/>
      </bottom>
    </border>
  </borders>
  <cellStyleXfs count="1">
    <xf borderId="0" fillId="0" fontId="0" numFmtId="0" applyAlignment="1" applyFont="1"/>
  </cellStyleXfs>
  <cellXfs count="297">
    <xf borderId="0" fillId="0" fontId="0" numFmtId="0" xfId="0" applyAlignment="1" applyFont="1">
      <alignment readingOrder="0" shrinkToFit="0" vertical="bottom" wrapText="0"/>
    </xf>
    <xf borderId="0" fillId="2" fontId="1" numFmtId="49" xfId="0" applyAlignment="1" applyFill="1" applyFont="1" applyNumberFormat="1">
      <alignment horizontal="center" vertical="bottom"/>
    </xf>
    <xf borderId="0" fillId="2" fontId="2" numFmtId="49" xfId="0" applyAlignment="1" applyFill="1" applyFont="1" applyNumberFormat="1">
      <alignment horizontal="center" readingOrder="0"/>
    </xf>
    <xf borderId="1" fillId="2" fontId="3" numFmtId="49" xfId="0" applyAlignment="1" applyBorder="1" applyFill="1" applyFont="1" applyNumberFormat="1">
      <alignment horizontal="center" vertical="bottom"/>
    </xf>
    <xf borderId="1" fillId="2" fontId="3" numFmtId="49" xfId="0" applyAlignment="1" applyBorder="1" applyFill="1" applyFont="1" applyNumberFormat="1">
      <alignment horizontal="center" readingOrder="0" vertical="bottom"/>
    </xf>
    <xf borderId="1" fillId="2" fontId="3" numFmtId="4" xfId="0" applyAlignment="1" applyBorder="1" applyFill="1" applyFont="1" applyNumberFormat="1">
      <alignment horizontal="center" vertical="bottom"/>
    </xf>
    <xf borderId="0" fillId="2" fontId="4" numFmtId="49" xfId="0" applyAlignment="1" applyFill="1" applyFont="1" applyNumberFormat="1">
      <alignment horizontal="left" readingOrder="0"/>
    </xf>
    <xf borderId="0" fillId="2" fontId="3" numFmtId="49" xfId="0" applyAlignment="1" applyFill="1" applyFont="1" applyNumberFormat="1">
      <alignment horizontal="center" readingOrder="0" vertical="bottom"/>
    </xf>
    <xf borderId="2" fillId="2" fontId="3" numFmtId="49" xfId="0" applyAlignment="1" applyBorder="1" applyFill="1" applyFont="1" applyNumberFormat="1">
      <alignment horizontal="center" vertical="bottom"/>
    </xf>
    <xf borderId="2" fillId="2" fontId="3" numFmtId="49" xfId="0" applyAlignment="1" applyBorder="1" applyFill="1" applyFont="1" applyNumberFormat="1">
      <alignment horizontal="center" readingOrder="0" vertical="bottom"/>
    </xf>
    <xf borderId="0" fillId="2" fontId="5" numFmtId="49" xfId="0" applyAlignment="1" applyFill="1" applyFont="1" applyNumberFormat="1">
      <alignment horizontal="center" readingOrder="0"/>
    </xf>
    <xf borderId="2" fillId="2" fontId="3" numFmtId="4" xfId="0" applyAlignment="1" applyBorder="1" applyFill="1" applyFont="1" applyNumberFormat="1">
      <alignment horizontal="center" vertical="bottom"/>
    </xf>
    <xf borderId="0" fillId="0" fontId="6" numFmtId="0" xfId="0" applyAlignment="1" applyFont="1">
      <alignment readingOrder="0" vertical="bottom"/>
    </xf>
    <xf borderId="0" fillId="0" fontId="6" numFmtId="49" xfId="0" applyAlignment="1" applyFont="1" applyNumberFormat="1">
      <alignment horizontal="center" readingOrder="0" vertical="bottom"/>
    </xf>
    <xf borderId="0" fillId="0" fontId="6" numFmtId="49" xfId="0" applyAlignment="1" applyFont="1" applyNumberFormat="1">
      <alignment horizontal="center" vertical="bottom"/>
    </xf>
    <xf borderId="0" fillId="0" fontId="6" numFmtId="164" xfId="0" applyAlignment="1" applyFont="1" applyNumberFormat="1">
      <alignment horizontal="right" readingOrder="0" vertical="bottom"/>
    </xf>
    <xf borderId="0" fillId="0" fontId="6" numFmtId="164" xfId="0" applyAlignment="1" applyFont="1" applyNumberFormat="1">
      <alignment vertical="bottom"/>
    </xf>
    <xf borderId="2" fillId="0" fontId="6" numFmtId="0" xfId="0" applyAlignment="1" applyBorder="1" applyFont="1">
      <alignment readingOrder="0" vertical="bottom"/>
    </xf>
    <xf borderId="0" fillId="0" fontId="6" numFmtId="4" xfId="0" applyAlignment="1" applyFont="1" applyNumberFormat="1">
      <alignment horizontal="right" vertical="bottom"/>
    </xf>
    <xf borderId="0" fillId="2" fontId="7" numFmtId="49" xfId="0" applyAlignment="1" applyFill="1" applyFont="1" applyNumberFormat="1">
      <alignment horizontal="center" readingOrder="0"/>
    </xf>
    <xf borderId="2" fillId="0" fontId="6" numFmtId="49" xfId="0" applyAlignment="1" applyBorder="1" applyFont="1" applyNumberFormat="1">
      <alignment horizontal="center" readingOrder="0" vertical="bottom"/>
    </xf>
    <xf borderId="2" fillId="0" fontId="6" numFmtId="49" xfId="0" applyAlignment="1" applyBorder="1" applyFont="1" applyNumberFormat="1">
      <alignment horizontal="center" vertical="bottom"/>
    </xf>
    <xf borderId="0" fillId="0" fontId="6" numFmtId="165" xfId="0" applyAlignment="1" applyFont="1" applyNumberFormat="1">
      <alignment horizontal="center" readingOrder="0" vertical="bottom"/>
    </xf>
    <xf borderId="2" fillId="0" fontId="6" numFmtId="164" xfId="0" applyAlignment="1" applyBorder="1" applyFont="1" applyNumberFormat="1">
      <alignment horizontal="right" readingOrder="0" vertical="bottom"/>
    </xf>
    <xf borderId="2" fillId="0" fontId="6" numFmtId="164" xfId="0" applyAlignment="1" applyBorder="1" applyFont="1" applyNumberFormat="1">
      <alignment vertical="bottom"/>
    </xf>
    <xf borderId="0" fillId="2" fontId="7" numFmtId="49" xfId="0" applyAlignment="1" applyFill="1" applyFont="1" applyNumberFormat="1">
      <alignment horizontal="left" readingOrder="0"/>
    </xf>
    <xf borderId="0" fillId="0" fontId="6" numFmtId="49" xfId="0" applyAlignment="1" applyFont="1" applyNumberFormat="1">
      <alignment horizontal="left" readingOrder="0" vertical="bottom"/>
    </xf>
    <xf borderId="2" fillId="0" fontId="6" numFmtId="4" xfId="0" applyAlignment="1" applyBorder="1" applyFont="1" applyNumberFormat="1">
      <alignment horizontal="right" vertical="bottom"/>
    </xf>
    <xf borderId="0" fillId="2" fontId="8" numFmtId="49" xfId="0" applyAlignment="1" applyFill="1" applyFont="1" applyNumberFormat="1">
      <alignment horizontal="center" readingOrder="0"/>
    </xf>
    <xf borderId="2" fillId="0" fontId="6" numFmtId="165" xfId="0" applyAlignment="1" applyBorder="1" applyFont="1" applyNumberFormat="1">
      <alignment horizontal="center" readingOrder="0" vertical="bottom"/>
    </xf>
    <xf borderId="0" fillId="2" fontId="9" numFmtId="49" xfId="0" applyAlignment="1" applyFill="1" applyFont="1" applyNumberFormat="1">
      <alignment horizontal="left" readingOrder="0"/>
    </xf>
    <xf borderId="2" fillId="0" fontId="6" numFmtId="49" xfId="0" applyAlignment="1" applyBorder="1" applyFont="1" applyNumberFormat="1">
      <alignment horizontal="left" readingOrder="0" vertical="bottom"/>
    </xf>
    <xf borderId="2" fillId="2" fontId="5" numFmtId="49" xfId="0" applyAlignment="1" applyBorder="1" applyFill="1" applyFont="1" applyNumberFormat="1">
      <alignment horizontal="center" readingOrder="0"/>
    </xf>
    <xf borderId="2" fillId="2" fontId="7" numFmtId="49" xfId="0" applyAlignment="1" applyBorder="1" applyFill="1" applyFont="1" applyNumberFormat="1">
      <alignment horizontal="center" readingOrder="0"/>
    </xf>
    <xf borderId="0" fillId="2" fontId="10" numFmtId="49" xfId="0" applyAlignment="1" applyFill="1" applyFont="1" applyNumberFormat="1">
      <alignment horizontal="center" readingOrder="0"/>
    </xf>
    <xf borderId="2" fillId="2" fontId="11" numFmtId="49" xfId="0" applyAlignment="1" applyBorder="1" applyFill="1" applyFont="1" applyNumberFormat="1">
      <alignment horizontal="center" readingOrder="0" vertical="bottom"/>
    </xf>
    <xf borderId="3" fillId="2" fontId="5" numFmtId="49" xfId="0" applyAlignment="1" applyBorder="1" applyFill="1" applyFont="1" applyNumberFormat="1">
      <alignment horizontal="center" readingOrder="0"/>
    </xf>
    <xf borderId="4" fillId="0" fontId="12" numFmtId="0" xfId="0" applyBorder="1" applyFont="1"/>
    <xf borderId="0" fillId="2" fontId="13" numFmtId="49" xfId="0" applyAlignment="1" applyFill="1" applyFont="1" applyNumberFormat="1">
      <alignment horizontal="center" vertical="bottom"/>
    </xf>
    <xf borderId="0" fillId="2" fontId="13" numFmtId="49" xfId="0" applyAlignment="1" applyFill="1" applyFont="1" applyNumberFormat="1">
      <alignment horizontal="center" vertical="bottom"/>
    </xf>
    <xf borderId="2" fillId="2" fontId="5" numFmtId="49" xfId="0" applyAlignment="1" applyBorder="1" applyFill="1" applyFont="1" applyNumberFormat="1">
      <alignment horizontal="center" vertical="bottom"/>
    </xf>
    <xf borderId="2" fillId="2" fontId="5" numFmtId="49" xfId="0" applyAlignment="1" applyBorder="1" applyFill="1" applyFont="1" applyNumberFormat="1">
      <alignment horizontal="center" vertical="bottom"/>
    </xf>
    <xf borderId="2" fillId="2" fontId="5" numFmtId="49" xfId="0" applyAlignment="1" applyBorder="1" applyFill="1" applyFont="1" applyNumberFormat="1">
      <alignment horizontal="center" readingOrder="0" vertical="bottom"/>
    </xf>
    <xf borderId="2" fillId="2" fontId="5" numFmtId="49" xfId="0" applyAlignment="1" applyBorder="1" applyFill="1" applyFont="1" applyNumberFormat="1">
      <alignment horizontal="center" readingOrder="0" vertical="bottom"/>
    </xf>
    <xf borderId="2" fillId="2" fontId="5" numFmtId="4" xfId="0" applyAlignment="1" applyBorder="1" applyFill="1" applyFont="1" applyNumberFormat="1">
      <alignment horizontal="center" vertical="bottom"/>
    </xf>
    <xf borderId="0" fillId="2" fontId="5" numFmtId="49" xfId="0" applyAlignment="1" applyFill="1" applyFont="1" applyNumberFormat="1">
      <alignment horizontal="center" readingOrder="0" vertical="bottom"/>
    </xf>
    <xf borderId="2" fillId="2" fontId="5" numFmtId="4" xfId="0" applyAlignment="1" applyBorder="1" applyFill="1" applyFont="1" applyNumberFormat="1">
      <alignment horizontal="center" vertical="bottom"/>
    </xf>
    <xf borderId="0" fillId="2" fontId="5" numFmtId="49" xfId="0" applyAlignment="1" applyFill="1" applyFont="1" applyNumberFormat="1">
      <alignment horizontal="center" readingOrder="0" vertical="bottom"/>
    </xf>
    <xf borderId="2" fillId="2" fontId="7" numFmtId="49" xfId="0" applyAlignment="1" applyBorder="1" applyFill="1" applyFont="1" applyNumberFormat="1">
      <alignment horizontal="center" readingOrder="0" vertical="bottom"/>
    </xf>
    <xf borderId="0" fillId="2" fontId="7" numFmtId="49" xfId="0" applyAlignment="1" applyFill="1" applyFont="1" applyNumberFormat="1">
      <alignment horizontal="center" readingOrder="0" vertical="bottom"/>
    </xf>
    <xf borderId="2" fillId="2" fontId="7" numFmtId="49" xfId="0" applyAlignment="1" applyBorder="1" applyFill="1" applyFont="1" applyNumberFormat="1">
      <alignment horizontal="center" readingOrder="0" vertical="top"/>
    </xf>
    <xf borderId="2" fillId="2" fontId="7" numFmtId="49" xfId="0" applyAlignment="1" applyBorder="1" applyFill="1" applyFont="1" applyNumberFormat="1">
      <alignment horizontal="left" readingOrder="0" vertical="bottom"/>
    </xf>
    <xf borderId="2" fillId="2" fontId="7" numFmtId="49" xfId="0" applyAlignment="1" applyBorder="1" applyFill="1" applyFont="1" applyNumberFormat="1">
      <alignment horizontal="center" readingOrder="0" vertical="bottom"/>
    </xf>
    <xf borderId="2" fillId="3" fontId="14" numFmtId="0" xfId="0" applyAlignment="1" applyBorder="1" applyFill="1" applyFont="1">
      <alignment readingOrder="0" vertical="bottom"/>
    </xf>
    <xf borderId="2" fillId="3" fontId="14" numFmtId="49" xfId="0" applyAlignment="1" applyBorder="1" applyFill="1" applyFont="1" applyNumberFormat="1">
      <alignment horizontal="center" readingOrder="0" vertical="bottom"/>
    </xf>
    <xf borderId="2" fillId="0" fontId="6" numFmtId="49" xfId="0" applyBorder="1" applyFont="1" applyNumberFormat="1"/>
    <xf borderId="2" fillId="0" fontId="14" numFmtId="49" xfId="0" applyAlignment="1" applyBorder="1" applyFont="1" applyNumberFormat="1">
      <alignment horizontal="center" vertical="bottom"/>
    </xf>
    <xf borderId="4" fillId="0" fontId="6" numFmtId="164" xfId="0" applyAlignment="1" applyBorder="1" applyFont="1" applyNumberFormat="1">
      <alignment horizontal="right" readingOrder="0" vertical="bottom"/>
    </xf>
    <xf borderId="4" fillId="0" fontId="6" numFmtId="164" xfId="0" applyAlignment="1" applyBorder="1" applyFont="1" applyNumberFormat="1">
      <alignment horizontal="right" vertical="bottom"/>
    </xf>
    <xf borderId="2" fillId="3" fontId="14" numFmtId="49" xfId="0" applyAlignment="1" applyBorder="1" applyFill="1" applyFont="1" applyNumberFormat="1">
      <alignment horizontal="center" vertical="bottom"/>
    </xf>
    <xf borderId="2" fillId="0" fontId="14" numFmtId="4" xfId="0" applyAlignment="1" applyBorder="1" applyFont="1" applyNumberFormat="1">
      <alignment horizontal="right" vertical="bottom"/>
    </xf>
    <xf borderId="2" fillId="3" fontId="14" numFmtId="164" xfId="0" applyAlignment="1" applyBorder="1" applyFill="1" applyFont="1" applyNumberFormat="1">
      <alignment horizontal="right" readingOrder="0" vertical="bottom"/>
    </xf>
    <xf borderId="4" fillId="3" fontId="14" numFmtId="164" xfId="0" applyAlignment="1" applyBorder="1" applyFill="1" applyFont="1" applyNumberFormat="1">
      <alignment vertical="bottom"/>
    </xf>
    <xf borderId="2" fillId="0" fontId="14" numFmtId="164" xfId="0" applyAlignment="1" applyBorder="1" applyFont="1" applyNumberFormat="1">
      <alignment horizontal="right" readingOrder="0" vertical="bottom"/>
    </xf>
    <xf borderId="2" fillId="0" fontId="14" numFmtId="165" xfId="0" applyAlignment="1" applyBorder="1" applyFont="1" applyNumberFormat="1">
      <alignment horizontal="center" readingOrder="0" vertical="bottom"/>
    </xf>
    <xf borderId="2" fillId="3" fontId="14" numFmtId="4" xfId="0" applyAlignment="1" applyBorder="1" applyFill="1" applyFont="1" applyNumberFormat="1">
      <alignment horizontal="right" vertical="bottom"/>
    </xf>
    <xf borderId="0" fillId="0" fontId="6" numFmtId="49" xfId="0" applyFont="1" applyNumberFormat="1"/>
    <xf borderId="4" fillId="3" fontId="14" numFmtId="164" xfId="0" applyAlignment="1" applyBorder="1" applyFill="1" applyFont="1" applyNumberFormat="1">
      <alignment horizontal="right" readingOrder="0" vertical="bottom"/>
    </xf>
    <xf borderId="4" fillId="3" fontId="14" numFmtId="165" xfId="0" applyAlignment="1" applyBorder="1" applyFill="1" applyFont="1" applyNumberFormat="1">
      <alignment horizontal="center" vertical="bottom"/>
    </xf>
    <xf borderId="2" fillId="3" fontId="14" numFmtId="49" xfId="0" applyAlignment="1" applyBorder="1" applyFill="1" applyFont="1" applyNumberFormat="1">
      <alignment horizontal="left" readingOrder="0" vertical="bottom"/>
    </xf>
    <xf borderId="4" fillId="3" fontId="14" numFmtId="49" xfId="0" applyAlignment="1" applyBorder="1" applyFill="1" applyFont="1" applyNumberFormat="1">
      <alignment horizontal="left" readingOrder="0" vertical="bottom"/>
    </xf>
    <xf borderId="4" fillId="3" fontId="14" numFmtId="49" xfId="0" applyAlignment="1" applyBorder="1" applyFill="1" applyFont="1" applyNumberFormat="1">
      <alignment horizontal="left" vertical="bottom"/>
    </xf>
    <xf borderId="4" fillId="3" fontId="14" numFmtId="49" xfId="0" applyAlignment="1" applyBorder="1" applyFill="1" applyFont="1" applyNumberFormat="1">
      <alignment horizontal="left" shrinkToFit="0" vertical="bottom" wrapText="0"/>
    </xf>
    <xf borderId="2" fillId="3" fontId="14" numFmtId="164" xfId="0" applyAlignment="1" applyBorder="1" applyFill="1" applyFont="1" applyNumberFormat="1">
      <alignment horizontal="right" vertical="bottom"/>
    </xf>
    <xf borderId="2" fillId="4" fontId="14" numFmtId="0" xfId="0" applyAlignment="1" applyBorder="1" applyFill="1" applyFont="1">
      <alignment readingOrder="0" vertical="bottom"/>
    </xf>
    <xf borderId="2" fillId="4" fontId="14" numFmtId="49" xfId="0" applyAlignment="1" applyBorder="1" applyFill="1" applyFont="1" applyNumberFormat="1">
      <alignment horizontal="center" readingOrder="0" vertical="bottom"/>
    </xf>
    <xf borderId="2" fillId="4" fontId="14" numFmtId="49" xfId="0" applyAlignment="1" applyBorder="1" applyFill="1" applyFont="1" applyNumberFormat="1">
      <alignment horizontal="center" vertical="bottom"/>
    </xf>
    <xf borderId="2" fillId="4" fontId="14" numFmtId="164" xfId="0" applyAlignment="1" applyBorder="1" applyFill="1" applyFont="1" applyNumberFormat="1">
      <alignment horizontal="right" readingOrder="0" vertical="bottom"/>
    </xf>
    <xf borderId="4" fillId="4" fontId="14" numFmtId="164" xfId="0" applyAlignment="1" applyBorder="1" applyFill="1" applyFont="1" applyNumberFormat="1">
      <alignment vertical="bottom"/>
    </xf>
    <xf borderId="2" fillId="4" fontId="14" numFmtId="4" xfId="0" applyAlignment="1" applyBorder="1" applyFill="1" applyFont="1" applyNumberFormat="1">
      <alignment horizontal="right" vertical="bottom"/>
    </xf>
    <xf borderId="4" fillId="4" fontId="14" numFmtId="164" xfId="0" applyAlignment="1" applyBorder="1" applyFill="1" applyFont="1" applyNumberFormat="1">
      <alignment horizontal="right" readingOrder="0" vertical="bottom"/>
    </xf>
    <xf borderId="4" fillId="4" fontId="14" numFmtId="165" xfId="0" applyAlignment="1" applyBorder="1" applyFill="1" applyFont="1" applyNumberFormat="1">
      <alignment horizontal="center" vertical="bottom"/>
    </xf>
    <xf borderId="2" fillId="4" fontId="14" numFmtId="49" xfId="0" applyAlignment="1" applyBorder="1" applyFill="1" applyFont="1" applyNumberFormat="1">
      <alignment horizontal="left" readingOrder="0" vertical="bottom"/>
    </xf>
    <xf borderId="2" fillId="4" fontId="14" numFmtId="49" xfId="0" applyAlignment="1" applyBorder="1" applyFill="1" applyFont="1" applyNumberFormat="1">
      <alignment horizontal="left" vertical="bottom"/>
    </xf>
    <xf borderId="4" fillId="4" fontId="14" numFmtId="49" xfId="0" applyAlignment="1" applyBorder="1" applyFill="1" applyFont="1" applyNumberFormat="1">
      <alignment horizontal="left" readingOrder="0" vertical="bottom"/>
    </xf>
    <xf borderId="4" fillId="4" fontId="14" numFmtId="49" xfId="0" applyAlignment="1" applyBorder="1" applyFill="1" applyFont="1" applyNumberFormat="1">
      <alignment horizontal="left" vertical="bottom"/>
    </xf>
    <xf borderId="4" fillId="4" fontId="14" numFmtId="49" xfId="0" applyAlignment="1" applyBorder="1" applyFill="1" applyFont="1" applyNumberFormat="1">
      <alignment horizontal="left" shrinkToFit="0" vertical="bottom" wrapText="0"/>
    </xf>
    <xf borderId="2" fillId="4" fontId="14" numFmtId="164" xfId="0" applyAlignment="1" applyBorder="1" applyFill="1" applyFont="1" applyNumberFormat="1">
      <alignment horizontal="right" vertical="bottom"/>
    </xf>
    <xf borderId="2" fillId="3" fontId="14" numFmtId="164" xfId="0" applyAlignment="1" applyBorder="1" applyFill="1" applyFont="1" applyNumberFormat="1">
      <alignment horizontal="right" readingOrder="0" vertical="bottom"/>
    </xf>
    <xf borderId="4" fillId="4" fontId="14" numFmtId="165" xfId="0" applyAlignment="1" applyBorder="1" applyFill="1" applyFont="1" applyNumberFormat="1">
      <alignment horizontal="center" readingOrder="0" vertical="bottom"/>
    </xf>
    <xf borderId="2" fillId="4" fontId="14" numFmtId="164" xfId="0" applyAlignment="1" applyBorder="1" applyFill="1" applyFont="1" applyNumberFormat="1">
      <alignment horizontal="right" readingOrder="0" vertical="bottom"/>
    </xf>
    <xf borderId="2" fillId="3" fontId="14" numFmtId="49" xfId="0" applyAlignment="1" applyBorder="1" applyFill="1" applyFont="1" applyNumberFormat="1">
      <alignment horizontal="left" vertical="bottom"/>
    </xf>
    <xf borderId="4" fillId="3" fontId="14" numFmtId="165" xfId="0" applyAlignment="1" applyBorder="1" applyFill="1" applyFont="1" applyNumberFormat="1">
      <alignment horizontal="center" readingOrder="0" vertical="bottom"/>
    </xf>
    <xf borderId="2" fillId="3" fontId="14" numFmtId="49" xfId="0" applyAlignment="1" applyBorder="1" applyFill="1" applyFont="1" applyNumberFormat="1">
      <alignment readingOrder="0" vertical="bottom"/>
    </xf>
    <xf borderId="2" fillId="3" fontId="6" numFmtId="0" xfId="0" applyAlignment="1" applyBorder="1" applyFill="1" applyFont="1">
      <alignment vertical="bottom"/>
    </xf>
    <xf borderId="2" fillId="3" fontId="6" numFmtId="164" xfId="0" applyAlignment="1" applyBorder="1" applyFill="1" applyFont="1" applyNumberFormat="1">
      <alignment horizontal="right" readingOrder="0" vertical="bottom"/>
    </xf>
    <xf borderId="2" fillId="3" fontId="6" numFmtId="164" xfId="0" applyAlignment="1" applyBorder="1" applyFill="1" applyFont="1" applyNumberFormat="1">
      <alignment horizontal="right" vertical="bottom"/>
    </xf>
    <xf borderId="2" fillId="3" fontId="6" numFmtId="4" xfId="0" applyAlignment="1" applyBorder="1" applyFill="1" applyFont="1" applyNumberFormat="1">
      <alignment horizontal="right" vertical="bottom"/>
    </xf>
    <xf borderId="2" fillId="3" fontId="6" numFmtId="164" xfId="0" applyAlignment="1" applyBorder="1" applyFill="1" applyFont="1" applyNumberFormat="1">
      <alignment horizontal="right" vertical="bottom"/>
    </xf>
    <xf borderId="2" fillId="3" fontId="6" numFmtId="165" xfId="0" applyAlignment="1" applyBorder="1" applyFill="1" applyFont="1" applyNumberFormat="1">
      <alignment horizontal="center" vertical="bottom"/>
    </xf>
    <xf borderId="2" fillId="3" fontId="6" numFmtId="49" xfId="0" applyAlignment="1" applyBorder="1" applyFill="1" applyFont="1" applyNumberFormat="1">
      <alignment vertical="bottom"/>
    </xf>
    <xf borderId="2" fillId="3" fontId="15" numFmtId="49" xfId="0" applyAlignment="1" applyBorder="1" applyFill="1" applyFont="1" applyNumberFormat="1">
      <alignment vertical="bottom"/>
    </xf>
    <xf borderId="2" fillId="4" fontId="6" numFmtId="49" xfId="0" applyAlignment="1" applyBorder="1" applyFill="1" applyFont="1" applyNumberFormat="1">
      <alignment horizontal="center" vertical="bottom"/>
    </xf>
    <xf borderId="2" fillId="4" fontId="6" numFmtId="4" xfId="0" applyAlignment="1" applyBorder="1" applyFill="1" applyFont="1" applyNumberFormat="1">
      <alignment horizontal="right" vertical="bottom"/>
    </xf>
    <xf borderId="2" fillId="3" fontId="6" numFmtId="49" xfId="0" applyAlignment="1" applyBorder="1" applyFill="1" applyFont="1" applyNumberFormat="1">
      <alignment horizontal="center" vertical="bottom"/>
    </xf>
    <xf borderId="2" fillId="4" fontId="14" numFmtId="164" xfId="0" applyAlignment="1" applyBorder="1" applyFill="1" applyFont="1" applyNumberFormat="1">
      <alignment readingOrder="0" vertical="bottom"/>
    </xf>
    <xf borderId="2" fillId="4" fontId="14" numFmtId="165" xfId="0" applyAlignment="1" applyBorder="1" applyFill="1" applyFont="1" applyNumberFormat="1">
      <alignment horizontal="center" readingOrder="0" vertical="bottom"/>
    </xf>
    <xf borderId="2" fillId="4" fontId="14" numFmtId="49" xfId="0" applyAlignment="1" applyBorder="1" applyFill="1" applyFont="1" applyNumberFormat="1">
      <alignment horizontal="left" readingOrder="0" shrinkToFit="0" vertical="bottom" wrapText="0"/>
    </xf>
    <xf borderId="0" fillId="0" fontId="6" numFmtId="0" xfId="0" applyAlignment="1" applyFont="1">
      <alignment horizontal="center" readingOrder="0" vertical="bottom"/>
    </xf>
    <xf borderId="2" fillId="4" fontId="6" numFmtId="49" xfId="0" applyAlignment="1" applyBorder="1" applyFill="1" applyFont="1" applyNumberFormat="1">
      <alignment horizontal="left" readingOrder="0" vertical="bottom"/>
    </xf>
    <xf borderId="2" fillId="3" fontId="6" numFmtId="49" xfId="0" applyAlignment="1" applyBorder="1" applyFill="1" applyFont="1" applyNumberFormat="1">
      <alignment horizontal="left" readingOrder="0" vertical="bottom"/>
    </xf>
    <xf borderId="2" fillId="0" fontId="6" numFmtId="166" xfId="0" applyAlignment="1" applyBorder="1" applyFont="1" applyNumberFormat="1">
      <alignment readingOrder="0" vertical="bottom"/>
    </xf>
    <xf borderId="2" fillId="4" fontId="6" numFmtId="164" xfId="0" applyAlignment="1" applyBorder="1" applyFill="1" applyFont="1" applyNumberFormat="1">
      <alignment horizontal="right" vertical="bottom"/>
    </xf>
    <xf borderId="4" fillId="5" fontId="14" numFmtId="164" xfId="0" applyAlignment="1" applyBorder="1" applyFill="1" applyFont="1" applyNumberFormat="1">
      <alignment horizontal="right" readingOrder="0" vertical="bottom"/>
    </xf>
    <xf borderId="0" fillId="3" fontId="16" numFmtId="0" xfId="0" applyFill="1" applyFont="1"/>
    <xf borderId="4" fillId="3" fontId="14" numFmtId="49" xfId="0" applyAlignment="1" applyBorder="1" applyFill="1" applyFont="1" applyNumberFormat="1">
      <alignment horizontal="left" readingOrder="0" shrinkToFit="0" vertical="bottom" wrapText="0"/>
    </xf>
    <xf borderId="4" fillId="4" fontId="14" numFmtId="164" xfId="0" applyAlignment="1" applyBorder="1" applyFill="1" applyFont="1" applyNumberFormat="1">
      <alignment horizontal="right" vertical="bottom"/>
    </xf>
    <xf borderId="4" fillId="3" fontId="14" numFmtId="164" xfId="0" applyAlignment="1" applyBorder="1" applyFill="1" applyFont="1" applyNumberFormat="1">
      <alignment horizontal="right" vertical="bottom"/>
    </xf>
    <xf borderId="4" fillId="4" fontId="14" numFmtId="49" xfId="0" applyAlignment="1" applyBorder="1" applyFill="1" applyFont="1" applyNumberFormat="1">
      <alignment horizontal="left" readingOrder="0" shrinkToFit="0" vertical="bottom" wrapText="0"/>
    </xf>
    <xf borderId="0" fillId="0" fontId="6" numFmtId="166" xfId="0" applyAlignment="1" applyFont="1" applyNumberFormat="1">
      <alignment readingOrder="0" vertical="bottom"/>
    </xf>
    <xf borderId="2" fillId="3" fontId="14" numFmtId="164" xfId="0" applyAlignment="1" applyBorder="1" applyFill="1" applyFont="1" applyNumberFormat="1">
      <alignment readingOrder="0" vertical="bottom"/>
    </xf>
    <xf borderId="2" fillId="3" fontId="14" numFmtId="165" xfId="0" applyAlignment="1" applyBorder="1" applyFill="1" applyFont="1" applyNumberFormat="1">
      <alignment horizontal="center" readingOrder="0" vertical="bottom"/>
    </xf>
    <xf borderId="2" fillId="3" fontId="14" numFmtId="49" xfId="0" applyAlignment="1" applyBorder="1" applyFill="1" applyFont="1" applyNumberFormat="1">
      <alignment horizontal="left" readingOrder="0" shrinkToFit="0" vertical="bottom" wrapText="0"/>
    </xf>
    <xf borderId="4" fillId="3" fontId="14" numFmtId="164" xfId="0" applyAlignment="1" applyBorder="1" applyFill="1" applyFont="1" applyNumberFormat="1">
      <alignment readingOrder="0" vertical="bottom"/>
    </xf>
    <xf borderId="0" fillId="0" fontId="6" numFmtId="49" xfId="0" applyAlignment="1" applyFont="1" applyNumberFormat="1">
      <alignment readingOrder="0" vertical="bottom"/>
    </xf>
    <xf borderId="4" fillId="4" fontId="14" numFmtId="164" xfId="0" applyAlignment="1" applyBorder="1" applyFill="1" applyFont="1" applyNumberFormat="1">
      <alignment readingOrder="0" vertical="bottom"/>
    </xf>
    <xf borderId="0" fillId="2" fontId="2" numFmtId="49" xfId="0" applyAlignment="1" applyFill="1" applyFont="1" applyNumberFormat="1">
      <alignment horizontal="center"/>
    </xf>
    <xf borderId="2" fillId="0" fontId="17" numFmtId="164" xfId="0" applyAlignment="1" applyBorder="1" applyFont="1" applyNumberFormat="1">
      <alignment horizontal="right" readingOrder="0" vertical="bottom"/>
    </xf>
    <xf borderId="2" fillId="0" fontId="6" numFmtId="164" xfId="0" applyAlignment="1" applyBorder="1" applyFont="1" applyNumberFormat="1">
      <alignment horizontal="right" readingOrder="0" vertical="bottom"/>
    </xf>
    <xf borderId="2" fillId="0" fontId="6" numFmtId="0" xfId="0" applyAlignment="1" applyBorder="1" applyFont="1">
      <alignment horizontal="center" readingOrder="0" vertical="bottom"/>
    </xf>
    <xf borderId="0" fillId="0" fontId="17" numFmtId="164" xfId="0" applyAlignment="1" applyFont="1" applyNumberFormat="1">
      <alignment horizontal="right" readingOrder="0" vertical="bottom"/>
    </xf>
    <xf borderId="0" fillId="0" fontId="6" numFmtId="164" xfId="0" applyAlignment="1" applyFont="1" applyNumberFormat="1">
      <alignment horizontal="right" readingOrder="0" vertical="bottom"/>
    </xf>
    <xf borderId="2" fillId="5" fontId="14" numFmtId="49" xfId="0" applyAlignment="1" applyBorder="1" applyFill="1" applyFont="1" applyNumberFormat="1">
      <alignment horizontal="center" readingOrder="0" vertical="bottom"/>
    </xf>
    <xf borderId="2" fillId="3" fontId="14" numFmtId="164" xfId="0" applyAlignment="1" applyBorder="1" applyFill="1" applyFont="1" applyNumberFormat="1">
      <alignment horizontal="right" vertical="bottom"/>
    </xf>
    <xf borderId="2" fillId="3" fontId="14" numFmtId="49" xfId="0" applyAlignment="1" applyBorder="1" applyFill="1" applyFont="1" applyNumberFormat="1">
      <alignment horizontal="left" shrinkToFit="0" vertical="bottom" wrapText="0"/>
    </xf>
    <xf borderId="2" fillId="6" fontId="18" numFmtId="49" xfId="0" applyAlignment="1" applyBorder="1" applyFill="1" applyFont="1" applyNumberFormat="1">
      <alignment horizontal="center" readingOrder="0" vertical="bottom"/>
    </xf>
    <xf borderId="2" fillId="7" fontId="18" numFmtId="49" xfId="0" applyAlignment="1" applyBorder="1" applyFill="1" applyFont="1" applyNumberFormat="1">
      <alignment horizontal="center" readingOrder="0" vertical="bottom"/>
    </xf>
    <xf borderId="2" fillId="8" fontId="19" numFmtId="49" xfId="0" applyAlignment="1" applyBorder="1" applyFill="1" applyFont="1" applyNumberFormat="1">
      <alignment horizontal="center" readingOrder="0" vertical="bottom"/>
    </xf>
    <xf borderId="2" fillId="9" fontId="19" numFmtId="49" xfId="0" applyAlignment="1" applyBorder="1" applyFill="1" applyFont="1" applyNumberFormat="1">
      <alignment horizontal="center" vertical="bottom"/>
    </xf>
    <xf borderId="4" fillId="10" fontId="19" numFmtId="49" xfId="0" applyAlignment="1" applyBorder="1" applyFill="1" applyFont="1" applyNumberFormat="1">
      <alignment horizontal="center" vertical="bottom"/>
    </xf>
    <xf borderId="4" fillId="11" fontId="18" numFmtId="49" xfId="0" applyAlignment="1" applyBorder="1" applyFill="1" applyFont="1" applyNumberFormat="1">
      <alignment horizontal="center" vertical="bottom"/>
    </xf>
    <xf borderId="0" fillId="12" fontId="18" numFmtId="49" xfId="0" applyAlignment="1" applyFill="1" applyFont="1" applyNumberFormat="1">
      <alignment horizontal="center" readingOrder="0"/>
    </xf>
    <xf borderId="2" fillId="13" fontId="18" numFmtId="49" xfId="0" applyAlignment="1" applyBorder="1" applyFill="1" applyFont="1" applyNumberFormat="1">
      <alignment horizontal="center" readingOrder="0"/>
    </xf>
    <xf borderId="2" fillId="14" fontId="18" numFmtId="49" xfId="0" applyAlignment="1" applyBorder="1" applyFill="1" applyFont="1" applyNumberFormat="1">
      <alignment horizontal="center" readingOrder="0"/>
    </xf>
    <xf borderId="2" fillId="2" fontId="3" numFmtId="49" xfId="0" applyAlignment="1" applyBorder="1" applyFill="1" applyFont="1" applyNumberFormat="1">
      <alignment horizontal="center" readingOrder="0" shrinkToFit="0" vertical="bottom" wrapText="1"/>
    </xf>
    <xf borderId="5" fillId="0" fontId="6" numFmtId="0" xfId="0" applyAlignment="1" applyBorder="1" applyFont="1">
      <alignment vertical="bottom"/>
    </xf>
    <xf borderId="5" fillId="0" fontId="6" numFmtId="0" xfId="0" applyAlignment="1" applyBorder="1" applyFont="1">
      <alignment shrinkToFit="0" vertical="bottom" wrapText="1"/>
    </xf>
    <xf borderId="2" fillId="10" fontId="6" numFmtId="0" xfId="0" applyAlignment="1" applyBorder="1" applyFill="1" applyFont="1">
      <alignment readingOrder="0" shrinkToFit="0" wrapText="1"/>
    </xf>
    <xf borderId="6" fillId="0" fontId="6" numFmtId="0" xfId="0" applyAlignment="1" applyBorder="1" applyFont="1">
      <alignment vertical="bottom"/>
    </xf>
    <xf borderId="2" fillId="9" fontId="6" numFmtId="0" xfId="0" applyAlignment="1" applyBorder="1" applyFill="1" applyFont="1">
      <alignment readingOrder="0" shrinkToFit="0" wrapText="1"/>
    </xf>
    <xf borderId="2" fillId="8" fontId="6" numFmtId="0" xfId="0" applyAlignment="1" applyBorder="1" applyFill="1" applyFont="1">
      <alignment readingOrder="0" shrinkToFit="0" wrapText="1"/>
    </xf>
    <xf borderId="5" fillId="0" fontId="6" numFmtId="0" xfId="0" applyAlignment="1" applyBorder="1" applyFont="1">
      <alignment readingOrder="0" shrinkToFit="0" vertical="bottom" wrapText="1"/>
    </xf>
    <xf borderId="6" fillId="0" fontId="20" numFmtId="0" xfId="0" applyAlignment="1" applyBorder="1" applyFont="1">
      <alignment vertical="bottom"/>
    </xf>
    <xf borderId="2" fillId="15" fontId="6" numFmtId="0" xfId="0" applyAlignment="1" applyBorder="1" applyFill="1" applyFont="1">
      <alignment readingOrder="0" shrinkToFit="0" wrapText="1"/>
    </xf>
    <xf borderId="6" fillId="0" fontId="6" numFmtId="0" xfId="0" applyAlignment="1" applyBorder="1" applyFont="1">
      <alignment shrinkToFit="0" vertical="bottom" wrapText="1"/>
    </xf>
    <xf borderId="5" fillId="0" fontId="21" numFmtId="0" xfId="0" applyAlignment="1" applyBorder="1" applyFont="1">
      <alignment shrinkToFit="0" vertical="bottom" wrapText="1"/>
    </xf>
    <xf borderId="5" fillId="0" fontId="20" numFmtId="0" xfId="0" applyAlignment="1" applyBorder="1" applyFont="1">
      <alignment readingOrder="0" shrinkToFit="0" vertical="bottom" wrapText="1"/>
    </xf>
    <xf borderId="5" fillId="0" fontId="22" numFmtId="0" xfId="0" applyAlignment="1" applyBorder="1" applyFont="1">
      <alignment shrinkToFit="0" vertical="bottom" wrapText="1"/>
    </xf>
    <xf borderId="2" fillId="9" fontId="23" numFmtId="0" xfId="0" applyAlignment="1" applyBorder="1" applyFill="1" applyFont="1">
      <alignment readingOrder="0" shrinkToFit="0" wrapText="1"/>
    </xf>
    <xf borderId="5" fillId="0" fontId="24" numFmtId="0" xfId="0" applyAlignment="1" applyBorder="1" applyFont="1">
      <alignment readingOrder="0" shrinkToFit="0" vertical="bottom" wrapText="1"/>
    </xf>
    <xf borderId="2" fillId="4" fontId="6" numFmtId="49" xfId="0" applyAlignment="1" applyBorder="1" applyFill="1" applyFont="1" applyNumberFormat="1">
      <alignment readingOrder="0"/>
    </xf>
    <xf borderId="5" fillId="0" fontId="25" numFmtId="0" xfId="0" applyAlignment="1" applyBorder="1" applyFont="1">
      <alignment readingOrder="0" shrinkToFit="0" vertical="bottom" wrapText="1"/>
    </xf>
    <xf borderId="6" fillId="0" fontId="20" numFmtId="0" xfId="0" applyAlignment="1" applyBorder="1" applyFont="1">
      <alignment shrinkToFit="0" vertical="bottom" wrapText="1"/>
    </xf>
    <xf borderId="5" fillId="3" fontId="26" numFmtId="0" xfId="0" applyAlignment="1" applyBorder="1" applyFill="1" applyFont="1">
      <alignment shrinkToFit="0" vertical="bottom" wrapText="1"/>
    </xf>
    <xf borderId="4" fillId="3" fontId="14" numFmtId="164" xfId="0" applyAlignment="1" applyBorder="1" applyFill="1" applyFont="1" applyNumberFormat="1">
      <alignment horizontal="right" readingOrder="0" vertical="bottom"/>
    </xf>
    <xf borderId="4" fillId="4" fontId="14" numFmtId="164" xfId="0" applyAlignment="1" applyBorder="1" applyFill="1" applyFont="1" applyNumberFormat="1">
      <alignment horizontal="right" readingOrder="0" vertical="bottom"/>
    </xf>
    <xf borderId="5" fillId="0" fontId="27" numFmtId="0" xfId="0" applyAlignment="1" applyBorder="1" applyFont="1">
      <alignment readingOrder="0" vertical="bottom"/>
    </xf>
    <xf borderId="2" fillId="8" fontId="6" numFmtId="0" xfId="0" applyAlignment="1" applyBorder="1" applyFill="1" applyFont="1">
      <alignment readingOrder="0" vertical="bottom"/>
    </xf>
    <xf borderId="2" fillId="3" fontId="6" numFmtId="164" xfId="0" applyAlignment="1" applyBorder="1" applyFill="1" applyFont="1" applyNumberFormat="1">
      <alignment horizontal="right" readingOrder="0" vertical="bottom"/>
    </xf>
    <xf borderId="5" fillId="0" fontId="28" numFmtId="0" xfId="0" applyAlignment="1" applyBorder="1" applyFont="1">
      <alignment readingOrder="0" shrinkToFit="0" vertical="bottom" wrapText="1"/>
    </xf>
    <xf borderId="2" fillId="9" fontId="6" numFmtId="165" xfId="0" applyAlignment="1" applyBorder="1" applyFill="1" applyFont="1" applyNumberFormat="1">
      <alignment horizontal="center" readingOrder="0" vertical="bottom"/>
    </xf>
    <xf borderId="2" fillId="3" fontId="6" numFmtId="165" xfId="0" applyAlignment="1" applyBorder="1" applyFill="1" applyFont="1" applyNumberFormat="1">
      <alignment horizontal="center" readingOrder="0" vertical="bottom"/>
    </xf>
    <xf borderId="2" fillId="3" fontId="6" numFmtId="49" xfId="0" applyAlignment="1" applyBorder="1" applyFill="1" applyFont="1" applyNumberFormat="1">
      <alignment readingOrder="0" vertical="bottom"/>
    </xf>
    <xf borderId="2" fillId="3" fontId="6" numFmtId="49" xfId="0" applyAlignment="1" applyBorder="1" applyFill="1" applyFont="1" applyNumberFormat="1">
      <alignment shrinkToFit="0" vertical="bottom" wrapText="0"/>
    </xf>
    <xf borderId="5" fillId="0" fontId="6" numFmtId="0" xfId="0" applyAlignment="1" applyBorder="1" applyFont="1">
      <alignment readingOrder="0" vertical="bottom"/>
    </xf>
    <xf borderId="4" fillId="3" fontId="6" numFmtId="49" xfId="0" applyAlignment="1" applyBorder="1" applyFill="1" applyFont="1" applyNumberFormat="1">
      <alignment vertical="bottom"/>
    </xf>
    <xf borderId="2" fillId="3" fontId="6" numFmtId="0" xfId="0" applyAlignment="1" applyBorder="1" applyFill="1" applyFont="1">
      <alignment readingOrder="0" vertical="bottom"/>
    </xf>
    <xf borderId="4" fillId="3" fontId="6" numFmtId="49" xfId="0" applyAlignment="1" applyBorder="1" applyFill="1" applyFont="1" applyNumberFormat="1">
      <alignment horizontal="center" vertical="bottom"/>
    </xf>
    <xf borderId="4" fillId="3" fontId="6" numFmtId="164" xfId="0" applyAlignment="1" applyBorder="1" applyFill="1" applyFont="1" applyNumberFormat="1">
      <alignment horizontal="right" readingOrder="0" vertical="bottom"/>
    </xf>
    <xf borderId="4" fillId="3" fontId="6" numFmtId="164" xfId="0" applyAlignment="1" applyBorder="1" applyFill="1" applyFont="1" applyNumberFormat="1">
      <alignment vertical="bottom"/>
    </xf>
    <xf borderId="4" fillId="3" fontId="6" numFmtId="164" xfId="0" applyAlignment="1" applyBorder="1" applyFill="1" applyFont="1" applyNumberFormat="1">
      <alignment readingOrder="0" vertical="bottom"/>
    </xf>
    <xf borderId="4" fillId="3" fontId="6" numFmtId="49" xfId="0" applyAlignment="1" applyBorder="1" applyFill="1" applyFont="1" applyNumberFormat="1">
      <alignment readingOrder="0" vertical="bottom"/>
    </xf>
    <xf borderId="0" fillId="0" fontId="16" numFmtId="0" xfId="0" applyAlignment="1" applyFont="1">
      <alignment readingOrder="0"/>
    </xf>
    <xf borderId="2" fillId="0" fontId="6" numFmtId="0" xfId="0" applyAlignment="1" applyBorder="1" applyFont="1">
      <alignment readingOrder="0" shrinkToFit="0" wrapText="1"/>
    </xf>
    <xf borderId="4" fillId="3" fontId="14" numFmtId="164" xfId="0" applyAlignment="1" applyBorder="1" applyFill="1" applyFont="1" applyNumberFormat="1">
      <alignment horizontal="right" vertical="bottom"/>
    </xf>
    <xf borderId="2" fillId="0" fontId="6" numFmtId="0" xfId="0" applyAlignment="1" applyBorder="1" applyFont="1">
      <alignment shrinkToFit="0" wrapText="1"/>
    </xf>
    <xf borderId="4" fillId="3" fontId="14" numFmtId="49" xfId="0" applyAlignment="1" applyBorder="1" applyFill="1" applyFont="1" applyNumberFormat="1">
      <alignment horizontal="center" readingOrder="0" vertical="bottom"/>
    </xf>
    <xf borderId="2" fillId="3" fontId="14" numFmtId="164" xfId="0" applyAlignment="1" applyBorder="1" applyFill="1" applyFont="1" applyNumberFormat="1">
      <alignment vertical="bottom"/>
    </xf>
    <xf borderId="2" fillId="0" fontId="6" numFmtId="0" xfId="0" applyAlignment="1" applyBorder="1" applyFont="1">
      <alignment readingOrder="0"/>
    </xf>
    <xf borderId="2" fillId="4" fontId="29" numFmtId="165" xfId="0" applyAlignment="1" applyBorder="1" applyFill="1" applyFont="1" applyNumberFormat="1">
      <alignment horizontal="center" readingOrder="0" vertical="bottom"/>
    </xf>
    <xf borderId="2" fillId="0" fontId="6" numFmtId="164" xfId="0" applyAlignment="1" applyBorder="1" applyFont="1" applyNumberFormat="1">
      <alignment readingOrder="0"/>
    </xf>
    <xf borderId="0" fillId="0" fontId="6" numFmtId="0" xfId="0" applyAlignment="1" applyFont="1">
      <alignment readingOrder="0"/>
    </xf>
    <xf borderId="2" fillId="0" fontId="6" numFmtId="164" xfId="0" applyAlignment="1" applyBorder="1" applyFont="1" applyNumberFormat="1">
      <alignment horizontal="right" vertical="bottom"/>
    </xf>
    <xf borderId="2" fillId="0" fontId="6" numFmtId="0" xfId="0" applyAlignment="1" applyBorder="1" applyFont="1">
      <alignment vertical="bottom"/>
    </xf>
    <xf borderId="0" fillId="0" fontId="6" numFmtId="0" xfId="0" applyFont="1"/>
    <xf borderId="2" fillId="0" fontId="6" numFmtId="0" xfId="0" applyBorder="1" applyFont="1"/>
    <xf borderId="2" fillId="16" fontId="6" numFmtId="49" xfId="0" applyAlignment="1" applyBorder="1" applyFill="1" applyFont="1" applyNumberFormat="1">
      <alignment readingOrder="0"/>
    </xf>
    <xf borderId="0" fillId="5" fontId="6" numFmtId="0" xfId="0" applyAlignment="1" applyFill="1" applyFont="1">
      <alignment readingOrder="0"/>
    </xf>
    <xf borderId="2" fillId="4" fontId="14" numFmtId="164" xfId="0" applyAlignment="1" applyBorder="1" applyFill="1" applyFont="1" applyNumberFormat="1">
      <alignment vertical="bottom"/>
    </xf>
    <xf borderId="2" fillId="0" fontId="6" numFmtId="0" xfId="0" applyBorder="1" applyFont="1"/>
    <xf borderId="2" fillId="5" fontId="6" numFmtId="0" xfId="0" applyAlignment="1" applyBorder="1" applyFill="1" applyFont="1">
      <alignment readingOrder="0"/>
    </xf>
    <xf borderId="4" fillId="3" fontId="6" numFmtId="164" xfId="0" applyAlignment="1" applyBorder="1" applyFill="1" applyFont="1" applyNumberFormat="1">
      <alignment horizontal="right" readingOrder="0" vertical="bottom"/>
    </xf>
    <xf borderId="4" fillId="3" fontId="6" numFmtId="164" xfId="0" applyAlignment="1" applyBorder="1" applyFill="1" applyFont="1" applyNumberFormat="1">
      <alignment horizontal="right" vertical="bottom"/>
    </xf>
    <xf borderId="4" fillId="3" fontId="6" numFmtId="165" xfId="0" applyAlignment="1" applyBorder="1" applyFill="1" applyFont="1" applyNumberFormat="1">
      <alignment horizontal="center" vertical="bottom"/>
    </xf>
    <xf borderId="4" fillId="3" fontId="6" numFmtId="49" xfId="0" applyAlignment="1" applyBorder="1" applyFill="1" applyFont="1" applyNumberFormat="1">
      <alignment shrinkToFit="0" vertical="bottom" wrapText="0"/>
    </xf>
    <xf borderId="0" fillId="16" fontId="6" numFmtId="0" xfId="0" applyAlignment="1" applyFill="1" applyFont="1">
      <alignment readingOrder="0"/>
    </xf>
    <xf borderId="0" fillId="17" fontId="6" numFmtId="0" xfId="0" applyAlignment="1" applyFill="1" applyFont="1">
      <alignment readingOrder="0"/>
    </xf>
    <xf borderId="2" fillId="3" fontId="14" numFmtId="0" xfId="0" applyAlignment="1" applyBorder="1" applyFill="1" applyFont="1">
      <alignment vertical="bottom"/>
    </xf>
    <xf borderId="2" fillId="3" fontId="14" numFmtId="165" xfId="0" applyAlignment="1" applyBorder="1" applyFill="1" applyFont="1" applyNumberFormat="1">
      <alignment horizontal="center" vertical="bottom"/>
    </xf>
    <xf borderId="0" fillId="5" fontId="16" numFmtId="0" xfId="0" applyAlignment="1" applyFill="1" applyFont="1">
      <alignment readingOrder="0"/>
    </xf>
    <xf borderId="0" fillId="5" fontId="16" numFmtId="0" xfId="0" applyFill="1" applyFont="1"/>
    <xf borderId="0" fillId="0" fontId="19" numFmtId="0" xfId="0" applyAlignment="1" applyFont="1">
      <alignment readingOrder="0"/>
    </xf>
    <xf borderId="2" fillId="3" fontId="14" numFmtId="166" xfId="0" applyAlignment="1" applyBorder="1" applyFill="1" applyFont="1" applyNumberFormat="1">
      <alignment readingOrder="0" vertical="bottom"/>
    </xf>
    <xf borderId="0" fillId="0" fontId="30" numFmtId="0" xfId="0" applyAlignment="1" applyFont="1">
      <alignment readingOrder="0"/>
    </xf>
    <xf borderId="2" fillId="4" fontId="14" numFmtId="166" xfId="0" applyAlignment="1" applyBorder="1" applyFill="1" applyFont="1" applyNumberFormat="1">
      <alignment readingOrder="0" vertical="bottom"/>
    </xf>
    <xf borderId="0" fillId="0" fontId="31" numFmtId="0" xfId="0" applyAlignment="1" applyFont="1">
      <alignment readingOrder="0"/>
    </xf>
    <xf borderId="2" fillId="4" fontId="14" numFmtId="165" xfId="0" applyAlignment="1" applyBorder="1" applyFill="1" applyFont="1" applyNumberFormat="1">
      <alignment horizontal="center" vertical="bottom"/>
    </xf>
    <xf borderId="2" fillId="0" fontId="6" numFmtId="164" xfId="0" applyAlignment="1" applyBorder="1" applyFont="1" applyNumberFormat="1">
      <alignment readingOrder="0"/>
    </xf>
    <xf borderId="2" fillId="4" fontId="14" numFmtId="164" xfId="0" applyAlignment="1" applyBorder="1" applyFill="1" applyFont="1" applyNumberFormat="1">
      <alignment horizontal="right" vertical="bottom"/>
    </xf>
    <xf borderId="2" fillId="4" fontId="14" numFmtId="49" xfId="0" applyAlignment="1" applyBorder="1" applyFill="1" applyFont="1" applyNumberFormat="1">
      <alignment horizontal="left" shrinkToFit="0" vertical="bottom" wrapText="0"/>
    </xf>
    <xf borderId="2" fillId="0" fontId="6" numFmtId="0" xfId="0" applyAlignment="1" applyBorder="1" applyFont="1">
      <alignment readingOrder="0"/>
    </xf>
    <xf borderId="4" fillId="4" fontId="6" numFmtId="49" xfId="0" applyAlignment="1" applyBorder="1" applyFill="1" applyFont="1" applyNumberFormat="1">
      <alignment horizontal="center" vertical="bottom"/>
    </xf>
    <xf borderId="2" fillId="4" fontId="14" numFmtId="3" xfId="0" applyAlignment="1" applyBorder="1" applyFill="1" applyFont="1" applyNumberFormat="1">
      <alignment horizontal="center" readingOrder="0" vertical="bottom"/>
    </xf>
    <xf borderId="2" fillId="3" fontId="14" numFmtId="3" xfId="0" applyAlignment="1" applyBorder="1" applyFill="1" applyFont="1" applyNumberFormat="1">
      <alignment horizontal="center" readingOrder="0" vertical="bottom"/>
    </xf>
    <xf borderId="0" fillId="3" fontId="16" numFmtId="0" xfId="0" applyAlignment="1" applyFill="1" applyFont="1">
      <alignment readingOrder="0"/>
    </xf>
    <xf borderId="2" fillId="3" fontId="29" numFmtId="165" xfId="0" applyAlignment="1" applyBorder="1" applyFill="1" applyFont="1" applyNumberFormat="1">
      <alignment horizontal="center" readingOrder="0" vertical="bottom"/>
    </xf>
    <xf borderId="2" fillId="4" fontId="14" numFmtId="0" xfId="0" applyAlignment="1" applyBorder="1" applyFill="1" applyFont="1">
      <alignment vertical="bottom"/>
    </xf>
    <xf borderId="2" fillId="3" fontId="29" numFmtId="165" xfId="0" applyAlignment="1" applyBorder="1" applyFill="1" applyFont="1" applyNumberFormat="1">
      <alignment horizontal="center" vertical="bottom"/>
    </xf>
    <xf borderId="2" fillId="4" fontId="29" numFmtId="165" xfId="0" applyAlignment="1" applyBorder="1" applyFill="1" applyFont="1" applyNumberFormat="1">
      <alignment horizontal="center" vertical="bottom"/>
    </xf>
    <xf borderId="0" fillId="3" fontId="32" numFmtId="49" xfId="0" applyAlignment="1" applyFill="1" applyFont="1" applyNumberFormat="1">
      <alignment horizontal="left" readingOrder="0"/>
    </xf>
    <xf borderId="2" fillId="3" fontId="6" numFmtId="49" xfId="0" applyAlignment="1" applyBorder="1" applyFill="1" applyFont="1" applyNumberFormat="1">
      <alignment readingOrder="0"/>
    </xf>
    <xf borderId="2" fillId="0" fontId="6" numFmtId="49" xfId="0" applyAlignment="1" applyBorder="1" applyFont="1" applyNumberFormat="1">
      <alignment readingOrder="0"/>
    </xf>
    <xf borderId="0" fillId="2" fontId="5" numFmtId="49" xfId="0" applyAlignment="1" applyFill="1" applyFont="1" applyNumberFormat="1">
      <alignment horizontal="left" readingOrder="0"/>
    </xf>
    <xf borderId="2" fillId="2" fontId="7" numFmtId="49" xfId="0" applyAlignment="1" applyBorder="1" applyFill="1" applyFont="1" applyNumberFormat="1">
      <alignment horizontal="center" readingOrder="0" vertical="top"/>
    </xf>
    <xf borderId="2" fillId="4" fontId="33" numFmtId="49" xfId="0" applyAlignment="1" applyBorder="1" applyFill="1" applyFont="1" applyNumberFormat="1">
      <alignment readingOrder="0"/>
    </xf>
    <xf borderId="2" fillId="0" fontId="29" numFmtId="4" xfId="0" applyAlignment="1" applyBorder="1" applyFont="1" applyNumberFormat="1">
      <alignment horizontal="right" vertical="bottom"/>
    </xf>
    <xf borderId="7" fillId="3" fontId="6" numFmtId="164" xfId="0" applyAlignment="1" applyBorder="1" applyFill="1" applyFont="1" applyNumberFormat="1">
      <alignment readingOrder="0" vertical="bottom"/>
    </xf>
    <xf borderId="7" fillId="3" fontId="34" numFmtId="167" xfId="0" applyAlignment="1" applyBorder="1" applyFill="1" applyFont="1" applyNumberFormat="1">
      <alignment horizontal="right" readingOrder="0" shrinkToFit="0" vertical="bottom" wrapText="0"/>
    </xf>
    <xf borderId="2" fillId="3" fontId="14" numFmtId="0" xfId="0" applyAlignment="1" applyBorder="1" applyFill="1" applyFont="1">
      <alignment readingOrder="0" vertical="bottom"/>
    </xf>
    <xf borderId="2" fillId="3" fontId="33" numFmtId="49" xfId="0" applyAlignment="1" applyBorder="1" applyFill="1" applyFont="1" applyNumberFormat="1">
      <alignment readingOrder="0"/>
    </xf>
    <xf borderId="2" fillId="4" fontId="14" numFmtId="49" xfId="0" applyAlignment="1" applyBorder="1" applyFill="1" applyFont="1" applyNumberFormat="1">
      <alignment horizontal="left" readingOrder="0" vertical="bottom"/>
    </xf>
    <xf borderId="0" fillId="4" fontId="16" numFmtId="49" xfId="0" applyFill="1" applyFont="1" applyNumberFormat="1"/>
    <xf borderId="8" fillId="0" fontId="6" numFmtId="0" xfId="0" applyAlignment="1" applyBorder="1" applyFont="1">
      <alignment readingOrder="0"/>
    </xf>
    <xf borderId="9" fillId="0" fontId="6" numFmtId="0" xfId="0" applyAlignment="1" applyBorder="1" applyFont="1">
      <alignment readingOrder="0"/>
    </xf>
    <xf borderId="10" fillId="0" fontId="6" numFmtId="0" xfId="0" applyAlignment="1" applyBorder="1" applyFont="1">
      <alignment readingOrder="0"/>
    </xf>
    <xf borderId="11" fillId="0" fontId="6" numFmtId="0" xfId="0" applyAlignment="1" applyBorder="1" applyFont="1">
      <alignment readingOrder="0"/>
    </xf>
    <xf borderId="12" fillId="0" fontId="6" numFmtId="0" xfId="0" applyAlignment="1" applyBorder="1" applyFont="1">
      <alignment readingOrder="0"/>
    </xf>
    <xf borderId="12" fillId="5" fontId="19" numFmtId="0" xfId="0" applyAlignment="1" applyBorder="1" applyFill="1" applyFont="1">
      <alignment readingOrder="0"/>
    </xf>
    <xf borderId="2" fillId="0" fontId="35" numFmtId="0" xfId="0" applyAlignment="1" applyBorder="1" applyFont="1">
      <alignment readingOrder="0"/>
    </xf>
    <xf quotePrefix="1" borderId="2" fillId="11" fontId="6" numFmtId="0" xfId="0" applyAlignment="1" applyBorder="1" applyFill="1" applyFont="1">
      <alignment horizontal="left" readingOrder="0" vertical="bottom"/>
    </xf>
    <xf borderId="2" fillId="0" fontId="6" numFmtId="0" xfId="0" applyAlignment="1" applyBorder="1" applyFont="1">
      <alignment horizontal="left" readingOrder="0" vertical="bottom"/>
    </xf>
    <xf borderId="2" fillId="11" fontId="6" numFmtId="168" xfId="0" applyAlignment="1" applyBorder="1" applyFill="1" applyFont="1" applyNumberFormat="1">
      <alignment horizontal="left" readingOrder="0" vertical="bottom"/>
    </xf>
    <xf borderId="2" fillId="0" fontId="6" numFmtId="168" xfId="0" applyAlignment="1" applyBorder="1" applyFont="1" applyNumberFormat="1">
      <alignment horizontal="left" readingOrder="0" vertical="bottom"/>
    </xf>
    <xf borderId="6" fillId="11" fontId="6" numFmtId="0" xfId="0" applyAlignment="1" applyBorder="1" applyFill="1" applyFont="1">
      <alignment horizontal="left" readingOrder="0" vertical="bottom"/>
    </xf>
    <xf borderId="2" fillId="11" fontId="6" numFmtId="164" xfId="0" applyAlignment="1" applyBorder="1" applyFill="1" applyFont="1" applyNumberFormat="1">
      <alignment horizontal="left" readingOrder="0" vertical="bottom"/>
    </xf>
    <xf borderId="2" fillId="11" fontId="6" numFmtId="0" xfId="0" applyAlignment="1" applyBorder="1" applyFill="1" applyFont="1">
      <alignment horizontal="left" readingOrder="0" vertical="bottom"/>
    </xf>
    <xf borderId="1" fillId="8" fontId="6" numFmtId="0" xfId="0" applyAlignment="1" applyBorder="1" applyFill="1" applyFont="1">
      <alignment readingOrder="0" vertical="bottom"/>
    </xf>
    <xf borderId="4" fillId="3" fontId="6" numFmtId="164" xfId="0" applyAlignment="1" applyBorder="1" applyFill="1" applyFont="1" applyNumberFormat="1">
      <alignment readingOrder="0" vertical="bottom"/>
    </xf>
    <xf borderId="4" fillId="4" fontId="6" numFmtId="164" xfId="0" applyAlignment="1" applyBorder="1" applyFill="1" applyFont="1" applyNumberFormat="1">
      <alignment readingOrder="0" vertical="bottom"/>
    </xf>
    <xf borderId="0" fillId="4" fontId="16" numFmtId="0" xfId="0" applyAlignment="1" applyFill="1" applyFont="1">
      <alignment horizontal="center" readingOrder="0"/>
    </xf>
    <xf borderId="4" fillId="4" fontId="14" numFmtId="49" xfId="0" applyAlignment="1" applyBorder="1" applyFill="1" applyFont="1" applyNumberFormat="1">
      <alignment horizontal="center" readingOrder="0" vertical="bottom"/>
    </xf>
    <xf borderId="4" fillId="4" fontId="6" numFmtId="49" xfId="0" applyAlignment="1" applyBorder="1" applyFill="1" applyFont="1" applyNumberFormat="1">
      <alignment vertical="bottom"/>
    </xf>
    <xf borderId="0" fillId="5" fontId="32" numFmtId="49" xfId="0" applyAlignment="1" applyFill="1" applyFont="1" applyNumberFormat="1">
      <alignment horizontal="left" readingOrder="0"/>
    </xf>
    <xf borderId="4" fillId="4" fontId="6" numFmtId="164" xfId="0" applyAlignment="1" applyBorder="1" applyFill="1" applyFont="1" applyNumberFormat="1">
      <alignment horizontal="right" readingOrder="0" vertical="bottom"/>
    </xf>
    <xf borderId="4" fillId="4" fontId="6" numFmtId="49" xfId="0" applyAlignment="1" applyBorder="1" applyFill="1" applyFont="1" applyNumberFormat="1">
      <alignment readingOrder="0" vertical="bottom"/>
    </xf>
    <xf borderId="4" fillId="4" fontId="6" numFmtId="49" xfId="0" applyAlignment="1" applyBorder="1" applyFill="1" applyFont="1" applyNumberFormat="1">
      <alignment readingOrder="0" shrinkToFit="0" vertical="bottom" wrapText="0"/>
    </xf>
    <xf borderId="0" fillId="4" fontId="16" numFmtId="0" xfId="0" applyAlignment="1" applyFill="1" applyFont="1">
      <alignment readingOrder="0"/>
    </xf>
    <xf borderId="0" fillId="3" fontId="14" numFmtId="49" xfId="0" applyAlignment="1" applyFill="1" applyFont="1" applyNumberFormat="1">
      <alignment horizontal="left" readingOrder="0" vertical="bottom"/>
    </xf>
    <xf borderId="2" fillId="4" fontId="32" numFmtId="49" xfId="0" applyAlignment="1" applyBorder="1" applyFill="1" applyFont="1" applyNumberFormat="1">
      <alignment horizontal="left" readingOrder="0"/>
    </xf>
    <xf borderId="2" fillId="3" fontId="14" numFmtId="169" xfId="0" applyAlignment="1" applyBorder="1" applyFill="1" applyFont="1" applyNumberFormat="1">
      <alignment horizontal="left" readingOrder="0" vertical="bottom"/>
    </xf>
    <xf borderId="4" fillId="3" fontId="6" numFmtId="165" xfId="0" applyAlignment="1" applyBorder="1" applyFill="1" applyFont="1" applyNumberFormat="1">
      <alignment horizontal="center" readingOrder="0" vertical="bottom"/>
    </xf>
    <xf borderId="2" fillId="3" fontId="14" numFmtId="49" xfId="0" applyAlignment="1" applyBorder="1" applyFill="1" applyFont="1" applyNumberFormat="1">
      <alignment horizontal="left" readingOrder="0" shrinkToFit="0" vertical="bottom" wrapText="0"/>
    </xf>
    <xf borderId="2" fillId="4" fontId="36" numFmtId="49" xfId="0" applyAlignment="1" applyBorder="1" applyFill="1" applyFont="1" applyNumberFormat="1">
      <alignment readingOrder="0"/>
    </xf>
    <xf borderId="2" fillId="4" fontId="14" numFmtId="49" xfId="0" applyAlignment="1" applyBorder="1" applyFill="1" applyFont="1" applyNumberFormat="1">
      <alignment horizontal="left" readingOrder="0" vertical="bottom"/>
    </xf>
    <xf borderId="0" fillId="4" fontId="14" numFmtId="49" xfId="0" applyAlignment="1" applyFill="1" applyFont="1" applyNumberFormat="1">
      <alignment horizontal="left" readingOrder="0" vertical="bottom"/>
    </xf>
    <xf borderId="2" fillId="0" fontId="6" numFmtId="49" xfId="0" applyAlignment="1" applyBorder="1" applyFont="1" applyNumberFormat="1">
      <alignment horizontal="left" vertical="bottom"/>
    </xf>
    <xf borderId="2" fillId="0" fontId="6" numFmtId="164" xfId="0" applyAlignment="1" applyBorder="1" applyFont="1" applyNumberFormat="1">
      <alignment readingOrder="0" vertical="bottom"/>
    </xf>
    <xf borderId="2" fillId="0" fontId="6" numFmtId="165" xfId="0" applyAlignment="1" applyBorder="1" applyFont="1" applyNumberFormat="1">
      <alignment horizontal="center" vertical="bottom"/>
    </xf>
    <xf borderId="2" fillId="0" fontId="6" numFmtId="0" xfId="0" applyAlignment="1" applyBorder="1" applyFont="1">
      <alignment vertical="bottom"/>
    </xf>
    <xf borderId="2" fillId="0" fontId="6" numFmtId="164" xfId="0" applyAlignment="1" applyBorder="1" applyFont="1" applyNumberFormat="1">
      <alignment horizontal="right" vertical="bottom"/>
    </xf>
    <xf borderId="4" fillId="0" fontId="6" numFmtId="49" xfId="0" applyAlignment="1" applyBorder="1" applyFont="1" applyNumberFormat="1">
      <alignment vertical="bottom"/>
    </xf>
    <xf borderId="4" fillId="0" fontId="6" numFmtId="164" xfId="0" applyAlignment="1" applyBorder="1" applyFont="1" applyNumberFormat="1">
      <alignment horizontal="right" vertical="bottom"/>
    </xf>
    <xf borderId="2" fillId="0" fontId="16" numFmtId="49" xfId="0" applyAlignment="1" applyBorder="1" applyFont="1" applyNumberFormat="1">
      <alignment readingOrder="0"/>
    </xf>
    <xf borderId="2" fillId="0" fontId="17" numFmtId="164" xfId="0" applyAlignment="1" applyBorder="1" applyFont="1" applyNumberFormat="1">
      <alignment horizontal="right" readingOrder="0" vertical="bottom"/>
    </xf>
    <xf borderId="2" fillId="0" fontId="16" numFmtId="4" xfId="0" applyBorder="1" applyFont="1" applyNumberFormat="1"/>
    <xf borderId="2" fillId="0" fontId="6" numFmtId="169" xfId="0" applyAlignment="1" applyBorder="1" applyFont="1" applyNumberFormat="1">
      <alignment vertical="bottom"/>
    </xf>
    <xf borderId="0" fillId="0" fontId="6" numFmtId="49" xfId="0" applyAlignment="1" applyFont="1" applyNumberFormat="1">
      <alignment horizontal="left" vertical="bottom"/>
    </xf>
    <xf borderId="2" fillId="0" fontId="17" numFmtId="0" xfId="0" applyAlignment="1" applyBorder="1" applyFont="1">
      <alignment vertical="bottom"/>
    </xf>
    <xf borderId="2" fillId="3" fontId="29" numFmtId="164" xfId="0" applyAlignment="1" applyBorder="1" applyFill="1" applyFont="1" applyNumberFormat="1">
      <alignment horizontal="right" readingOrder="0" vertical="bottom"/>
    </xf>
    <xf borderId="0" fillId="3" fontId="14" numFmtId="49" xfId="0" applyAlignment="1" applyFill="1" applyFont="1" applyNumberFormat="1">
      <alignment horizontal="left" vertical="bottom"/>
    </xf>
    <xf borderId="2" fillId="4" fontId="14" numFmtId="0" xfId="0" applyAlignment="1" applyBorder="1" applyFill="1" applyFont="1">
      <alignment readingOrder="0"/>
    </xf>
    <xf borderId="2" fillId="4" fontId="14" numFmtId="0" xfId="0" applyAlignment="1" applyBorder="1" applyFill="1" applyFont="1">
      <alignment readingOrder="0" shrinkToFit="0" vertical="bottom" wrapText="0"/>
    </xf>
    <xf borderId="2" fillId="3" fontId="32" numFmtId="49" xfId="0" applyAlignment="1" applyBorder="1" applyFill="1" applyFont="1" applyNumberFormat="1">
      <alignment horizontal="left" readingOrder="0"/>
    </xf>
    <xf quotePrefix="1" borderId="2" fillId="4" fontId="14" numFmtId="0" xfId="0" applyAlignment="1" applyBorder="1" applyFill="1" applyFont="1">
      <alignment readingOrder="0" vertical="bottom"/>
    </xf>
    <xf borderId="0" fillId="0" fontId="6" numFmtId="164" xfId="0" applyAlignment="1" applyFont="1" applyNumberFormat="1">
      <alignment horizontal="right" vertical="bottom"/>
    </xf>
    <xf borderId="2" fillId="3" fontId="14" numFmtId="0" xfId="0" applyAlignment="1" applyBorder="1" applyFill="1" applyFont="1">
      <alignment readingOrder="0"/>
    </xf>
    <xf borderId="2" fillId="3" fontId="14" numFmtId="0" xfId="0" applyAlignment="1" applyBorder="1" applyFill="1" applyFont="1">
      <alignment readingOrder="0" shrinkToFit="0" vertical="bottom" wrapText="0"/>
    </xf>
  </cellXfs>
  <cellStyles count="1">
    <cellStyle xfId="0" name="Normal" builtinId="0"/>
  </cellStyles>
  <dxfs count="18">
    <dxf>
      <font/>
      <fill>
        <patternFill patternType="none"/>
      </fill>
      <border/>
    </dxf>
    <dxf>
      <font/>
      <fill>
        <patternFill patternType="solid">
          <fgColor rgb="FF000000"/>
          <bgColor rgb="FF000000"/>
        </patternFill>
      </fill>
      <border/>
    </dxf>
    <dxf>
      <font/>
      <fill>
        <patternFill patternType="solid">
          <fgColor rgb="FFFFFFFF"/>
          <bgColor rgb="FFFFFFFF"/>
        </patternFill>
      </fill>
      <border/>
    </dxf>
    <dxf>
      <font/>
      <fill>
        <patternFill patternType="solid">
          <fgColor rgb="FFEFEFEF"/>
          <bgColor rgb="FFEFEFEF"/>
        </patternFill>
      </fill>
      <border/>
    </dxf>
    <dxf>
      <font/>
      <fill>
        <patternFill patternType="solid">
          <fgColor rgb="FF46BDC6"/>
          <bgColor rgb="FF46BDC6"/>
        </patternFill>
      </fill>
      <border/>
    </dxf>
    <dxf>
      <font/>
      <fill>
        <patternFill patternType="solid">
          <fgColor rgb="FFB7E1CD"/>
          <bgColor rgb="FFB7E1CD"/>
        </patternFill>
      </fill>
      <border/>
    </dxf>
    <dxf>
      <font/>
      <fill>
        <patternFill patternType="solid">
          <fgColor rgb="FFFCE8B2"/>
          <bgColor rgb="FFFCE8B2"/>
        </patternFill>
      </fill>
      <border/>
    </dxf>
    <dxf>
      <font/>
      <fill>
        <patternFill patternType="solid">
          <fgColor rgb="FFF4C7C3"/>
          <bgColor rgb="FFF4C7C3"/>
        </patternFill>
      </fill>
      <border/>
    </dxf>
    <dxf>
      <font/>
      <fill>
        <patternFill patternType="solid">
          <fgColor rgb="FF6AA84F"/>
          <bgColor rgb="FF6AA84F"/>
        </patternFill>
      </fill>
      <border/>
    </dxf>
    <dxf>
      <font/>
      <fill>
        <patternFill patternType="none"/>
      </fill>
      <border/>
    </dxf>
    <dxf>
      <font/>
      <fill>
        <patternFill patternType="solid">
          <fgColor rgb="FFA4C2F4"/>
          <bgColor rgb="FFA4C2F4"/>
        </patternFill>
      </fill>
      <border/>
    </dxf>
    <dxf>
      <font/>
      <fill>
        <patternFill patternType="solid">
          <fgColor rgb="FFFFFF00"/>
          <bgColor rgb="FFFFFF00"/>
        </patternFill>
      </fill>
      <border/>
    </dxf>
    <dxf>
      <font/>
      <fill>
        <patternFill patternType="solid">
          <fgColor rgb="FFF4CCCC"/>
          <bgColor rgb="FFF4CCCC"/>
        </patternFill>
      </fill>
      <border/>
    </dxf>
    <dxf>
      <font/>
      <fill>
        <patternFill patternType="solid">
          <fgColor rgb="FFF9CB9C"/>
          <bgColor rgb="FFF9CB9C"/>
        </patternFill>
      </fill>
      <border/>
    </dxf>
    <dxf>
      <font/>
      <fill>
        <patternFill patternType="solid">
          <fgColor rgb="FFC27BA0"/>
          <bgColor rgb="FFC27BA0"/>
        </patternFill>
      </fill>
      <border/>
    </dxf>
    <dxf>
      <font/>
      <fill>
        <patternFill patternType="solid">
          <fgColor rgb="FFB4A7D6"/>
          <bgColor rgb="FFB4A7D6"/>
        </patternFill>
      </fill>
      <border/>
    </dxf>
    <dxf>
      <font/>
      <fill>
        <patternFill patternType="solid">
          <fgColor rgb="FF783F04"/>
          <bgColor rgb="FF783F04"/>
        </patternFill>
      </fill>
      <border/>
    </dxf>
    <dxf>
      <font/>
      <fill>
        <patternFill patternType="solid">
          <fgColor theme="9"/>
          <bgColor theme="9"/>
        </patternFill>
      </fill>
      <border/>
    </dxf>
  </dxfs>
  <tableStyles count="8">
    <tableStyle count="3" pivot="0" name="Likely Leaving-style">
      <tableStyleElement dxfId="1" type="headerRow"/>
      <tableStyleElement dxfId="2" type="firstRowStripe"/>
      <tableStyleElement dxfId="3" type="secondRowStripe"/>
    </tableStyle>
    <tableStyle count="2" pivot="0" name="Likely Leaving-style 2">
      <tableStyleElement dxfId="3" type="firstRowStripe"/>
      <tableStyleElement dxfId="2" type="secondRowStripe"/>
    </tableStyle>
    <tableStyle count="3" pivot="0" name="Retro Classics-style">
      <tableStyleElement dxfId="1" type="headerRow"/>
      <tableStyleElement dxfId="2" type="firstRowStripe"/>
      <tableStyleElement dxfId="3" type="secondRowStripe"/>
    </tableStyle>
    <tableStyle count="2" pivot="0" name="Retro Classics-style 2">
      <tableStyleElement dxfId="3" type="firstRowStripe"/>
      <tableStyleElement dxfId="2" type="secondRowStripe"/>
    </tableStyle>
    <tableStyle count="3" pivot="0" name="Game Pass Premium-style">
      <tableStyleElement dxfId="1" type="headerRow"/>
      <tableStyleElement dxfId="2" type="firstRowStripe"/>
      <tableStyleElement dxfId="3" type="secondRowStripe"/>
    </tableStyle>
    <tableStyle count="2" pivot="0" name="Game Pass Premium-style 2">
      <tableStyleElement dxfId="3" type="firstRowStripe"/>
      <tableStyleElement dxfId="2" type="secondRowStripe"/>
    </tableStyle>
    <tableStyle count="3" pivot="0" name="Game Pass Essential-style">
      <tableStyleElement dxfId="1" type="headerRow"/>
      <tableStyleElement dxfId="2" type="firstRowStripe"/>
      <tableStyleElement dxfId="3" type="secondRowStripe"/>
    </tableStyle>
    <tableStyle count="2" pivot="0" name="Game Pass Essential-style 2">
      <tableStyleElement dxfId="3"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3" Type="http://schemas.openxmlformats.org/officeDocument/2006/relationships/worksheet" Target="worksheets/sheet19.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AC2" displayName="Table_1" name="Table_1" id="1">
  <tableColumns count="2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s>
  <tableStyleInfo name="Likely Leaving-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D3:K59" displayName="Table_2" name="Table_2" id="2">
  <tableColumns count="8">
    <tableColumn name="Column1" id="1"/>
    <tableColumn name="Column2" id="2"/>
    <tableColumn name="Column3" id="3"/>
    <tableColumn name="Column4" id="4"/>
    <tableColumn name="Column5" id="5"/>
    <tableColumn name="Column6" id="6"/>
    <tableColumn name="Column7" id="7"/>
    <tableColumn name="Column8" id="8"/>
  </tableColumns>
  <tableStyleInfo name="Likely Leaving-style 2" showColumnStripes="0" showFirstColumn="1" showLastColumn="1" showRowStripes="1"/>
</table>
</file>

<file path=xl/tables/table3.xml><?xml version="1.0" encoding="utf-8"?>
<table xmlns="http://schemas.openxmlformats.org/spreadsheetml/2006/main" headerRowCount="0" ref="A2:S2" displayName="Table_3" name="Table_3" id="3">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Retro Classics-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D3:K39" displayName="Table_4" name="Table_4" id="4">
  <tableColumns count="8">
    <tableColumn name="Column1" id="1"/>
    <tableColumn name="Column2" id="2"/>
    <tableColumn name="Column3" id="3"/>
    <tableColumn name="Column4" id="4"/>
    <tableColumn name="Column5" id="5"/>
    <tableColumn name="Column6" id="6"/>
    <tableColumn name="Column7" id="7"/>
    <tableColumn name="Column8" id="8"/>
  </tableColumns>
  <tableStyleInfo name="Retro Classics-style 2" showColumnStripes="0" showFirstColumn="1" showLastColumn="1" showRowStripes="1"/>
</table>
</file>

<file path=xl/tables/table5.xml><?xml version="1.0" encoding="utf-8"?>
<table xmlns="http://schemas.openxmlformats.org/spreadsheetml/2006/main" headerRowCount="0" ref="A2:T2" displayName="Table_5" name="Table_5" id="5">
  <tableColumns count="2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s>
  <tableStyleInfo name="Game Pass Premium-style"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D3:K39" displayName="Table_6" name="Table_6" id="6">
  <tableColumns count="8">
    <tableColumn name="Column1" id="1"/>
    <tableColumn name="Column2" id="2"/>
    <tableColumn name="Column3" id="3"/>
    <tableColumn name="Column4" id="4"/>
    <tableColumn name="Column5" id="5"/>
    <tableColumn name="Column6" id="6"/>
    <tableColumn name="Column7" id="7"/>
    <tableColumn name="Column8" id="8"/>
  </tableColumns>
  <tableStyleInfo name="Game Pass Premium-style 2" showColumnStripes="0" showFirstColumn="1" showLastColumn="1" showRowStripes="1"/>
</table>
</file>

<file path=xl/tables/table7.xml><?xml version="1.0" encoding="utf-8"?>
<table xmlns="http://schemas.openxmlformats.org/spreadsheetml/2006/main" headerRowCount="0" ref="A2:S2" displayName="Table_7" name="Table_7" id="7">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Game Pass Essential-style" showColumnStripes="0" showFirstColumn="1" showLastColumn="1" showRowStripes="1"/>
  <extLst>
    <ext uri="GoogleSheetsCustomDataVersion1">
      <go:sheetsCustomData xmlns:go="http://customooxmlschemas.google.com/" headerRowCount="1"/>
    </ext>
  </extLst>
</table>
</file>

<file path=xl/tables/table8.xml><?xml version="1.0" encoding="utf-8"?>
<table xmlns="http://schemas.openxmlformats.org/spreadsheetml/2006/main" headerRowCount="0" ref="D3:K39" displayName="Table_8" name="Table_8" id="8">
  <tableColumns count="8">
    <tableColumn name="Column1" id="1"/>
    <tableColumn name="Column2" id="2"/>
    <tableColumn name="Column3" id="3"/>
    <tableColumn name="Column4" id="4"/>
    <tableColumn name="Column5" id="5"/>
    <tableColumn name="Column6" id="6"/>
    <tableColumn name="Column7" id="7"/>
    <tableColumn name="Column8" id="8"/>
  </tableColumns>
  <tableStyleInfo name="Game Pass Essential-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71924"/>
      </a:dk1>
      <a:lt1>
        <a:srgbClr val="FFFFFF"/>
      </a:lt1>
      <a:dk2>
        <a:srgbClr val="071924"/>
      </a:dk2>
      <a:lt2>
        <a:srgbClr val="FFFFFF"/>
      </a:lt2>
      <a:accent1>
        <a:srgbClr val="002F4A"/>
      </a:accent1>
      <a:accent2>
        <a:srgbClr val="B85741"/>
      </a:accent2>
      <a:accent3>
        <a:srgbClr val="AD8463"/>
      </a:accent3>
      <a:accent4>
        <a:srgbClr val="009384"/>
      </a:accent4>
      <a:accent5>
        <a:srgbClr val="EDDAC9"/>
      </a:accent5>
      <a:accent6>
        <a:srgbClr val="6FC8D6"/>
      </a:accent6>
      <a:hlink>
        <a:srgbClr val="009384"/>
      </a:hlink>
      <a:folHlink>
        <a:srgbClr val="009384"/>
      </a:folHlink>
    </a:clrScheme>
    <a:fontScheme name="Sheets">
      <a:majorFont>
        <a:latin typeface="Georgia"/>
        <a:ea typeface="Georgia"/>
        <a:cs typeface="Georgia"/>
      </a:majorFont>
      <a:minorFont>
        <a:latin typeface="Georgia"/>
        <a:ea typeface="Georgia"/>
        <a:cs typeface="Georgi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9RorxFhWc2lHocg4c9zrVssSwZq1u2nPcpTsAvzdJQw"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trueachievements.com/gamer/Bloomy/blog" TargetMode="External"/><Relationship Id="rId2" Type="http://schemas.openxmlformats.org/officeDocument/2006/relationships/drawing" Target="../drawings/drawing2.xml"/><Relationship Id="rId5" Type="http://schemas.openxmlformats.org/officeDocument/2006/relationships/table" Target="../tables/table1.xml"/><Relationship Id="rId6"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40" Type="http://schemas.openxmlformats.org/officeDocument/2006/relationships/hyperlink" Target="https://www.pcgamingwiki.com/wiki/List_of_EA_Play_games)" TargetMode="External"/><Relationship Id="rId42" Type="http://schemas.openxmlformats.org/officeDocument/2006/relationships/hyperlink" Target="https://www.playstation.com/en-gb/games/metal-hellsinger/" TargetMode="External"/><Relationship Id="rId41" Type="http://schemas.openxmlformats.org/officeDocument/2006/relationships/hyperlink" Target="https://www.gematsu.com/2022/08/ghost-song-launches-november-3-for-ps5-xbox-series-ps4-xbox-one-switch-and-pc" TargetMode="External"/><Relationship Id="rId44" Type="http://schemas.openxmlformats.org/officeDocument/2006/relationships/hyperlink" Target="https://www.theverge.com/2022/9/15/23352606/deathloop-xbox-series-x-s-release-date-ps5-microsoft" TargetMode="External"/><Relationship Id="rId43" Type="http://schemas.openxmlformats.org/officeDocument/2006/relationships/hyperlink" Target="https://news.xbox.com/en-us/2022/09/07/gungrave-gore-launching-day-one-with-game-pass/" TargetMode="External"/><Relationship Id="rId46" Type="http://schemas.openxmlformats.org/officeDocument/2006/relationships/hyperlink" Target="https://www.trueachievements.com/n51131/xbox-game-pass-leaving-soon" TargetMode="External"/><Relationship Id="rId45" Type="http://schemas.openxmlformats.org/officeDocument/2006/relationships/hyperlink" Target="https://www.trueachievements.com/n51135/eville-xbox-game-pas" TargetMode="External"/><Relationship Id="rId1" Type="http://schemas.openxmlformats.org/officeDocument/2006/relationships/hyperlink" Target="https://www.pcgamesn.com/world-war-z/full-cross-play)" TargetMode="External"/><Relationship Id="rId2" Type="http://schemas.openxmlformats.org/officeDocument/2006/relationships/hyperlink" Target="https://gamerant.com/destiny-2-game-pass-pc/)" TargetMode="External"/><Relationship Id="rId3" Type="http://schemas.openxmlformats.org/officeDocument/2006/relationships/hyperlink" Target="https://www.windowscentral.com/crosscode-xbox-game-pass-has-more-players-other-consoles-combined" TargetMode="External"/><Relationship Id="rId4" Type="http://schemas.openxmlformats.org/officeDocument/2006/relationships/hyperlink" Target="https://news.xbox.com/en-us/2020/10/13/coming-soon-xbox-game-pass-october-2020-wave-2/" TargetMode="External"/><Relationship Id="rId9" Type="http://schemas.openxmlformats.org/officeDocument/2006/relationships/hyperlink" Target="https://www.windowscentral.com/demons-tilt-genesis-noir-and-more-join-xbox-game-pass-soon" TargetMode="External"/><Relationship Id="rId48" Type="http://schemas.openxmlformats.org/officeDocument/2006/relationships/hyperlink" Target="https://www.trueachievements.com/n52349/xbox-cloud-gaming-the-elder-scrolls-online-game-pass-ultimate" TargetMode="External"/><Relationship Id="rId47" Type="http://schemas.openxmlformats.org/officeDocument/2006/relationships/hyperlink" Target="https://twitter.com/Despotism_3k/status/1569710108715765760" TargetMode="External"/><Relationship Id="rId49" Type="http://schemas.openxmlformats.org/officeDocument/2006/relationships/hyperlink" Target="https://blogs.nvidia.com/blog/2023/08/24/geforce-now-thursday-aug-24/" TargetMode="External"/><Relationship Id="rId5" Type="http://schemas.openxmlformats.org/officeDocument/2006/relationships/hyperlink" Target="https://www.reddit.com/r/xboxone/comments/7lk2or/nba_2k16_leaves_xbox_game_pass_on_december_31st/" TargetMode="External"/><Relationship Id="rId6" Type="http://schemas.openxmlformats.org/officeDocument/2006/relationships/hyperlink" Target="http://howlongtobeat.com/" TargetMode="External"/><Relationship Id="rId7" Type="http://schemas.openxmlformats.org/officeDocument/2006/relationships/hyperlink" Target="https://www.pcgamingwiki.com/wiki/List_of_Xbox_Play_Anywhere_games" TargetMode="External"/><Relationship Id="rId8" Type="http://schemas.openxmlformats.org/officeDocument/2006/relationships/hyperlink" Target="https://www.google.com/search?hl=&amp;site=&amp;q=forza+horizon+4+cross+play" TargetMode="External"/><Relationship Id="rId31" Type="http://schemas.openxmlformats.org/officeDocument/2006/relationships/hyperlink" Target="https://www.xbox.com/en-US/games/disney-dreamlight-valley" TargetMode="External"/><Relationship Id="rId30" Type="http://schemas.openxmlformats.org/officeDocument/2006/relationships/hyperlink" Target="https://twitter.com/gardenstorygame/status/1544444534339149824" TargetMode="External"/><Relationship Id="rId33" Type="http://schemas.openxmlformats.org/officeDocument/2006/relationships/hyperlink" Target="https://www.origin.com/esp/en-us/store/rebel-galaxy/rebel-galaxy" TargetMode="External"/><Relationship Id="rId32" Type="http://schemas.openxmlformats.org/officeDocument/2006/relationships/hyperlink" Target="https://www.youtube.com/watch?v=QgkiQn0XG4I" TargetMode="External"/><Relationship Id="rId35" Type="http://schemas.openxmlformats.org/officeDocument/2006/relationships/hyperlink" Target="https://www.origin.com/gbr/en-us/store/syndicate/syndicate-1993" TargetMode="External"/><Relationship Id="rId34" Type="http://schemas.openxmlformats.org/officeDocument/2006/relationships/hyperlink" Target="https://www.origin.com/gbr/en-us/store/super-mega-baseball/super-mega-baseball-3" TargetMode="External"/><Relationship Id="rId37" Type="http://schemas.openxmlformats.org/officeDocument/2006/relationships/hyperlink" Target="https://www.origin.com/gbr/en-us/store/ultima/ultima-underworld-ii-labyrinth-of-worlds" TargetMode="External"/><Relationship Id="rId36" Type="http://schemas.openxmlformats.org/officeDocument/2006/relationships/hyperlink" Target="https://www.origin.com/gbr/en-us/store/ultima/ultima-underworld-the-stygian-abyss" TargetMode="External"/><Relationship Id="rId39" Type="http://schemas.openxmlformats.org/officeDocument/2006/relationships/hyperlink" Target="https://www.windowscentral.com/xbox-cross-play-games" TargetMode="External"/><Relationship Id="rId38" Type="http://schemas.openxmlformats.org/officeDocument/2006/relationships/hyperlink" Target="https://www.youtube.com/watch?v=2JQHg517Cz8" TargetMode="External"/><Relationship Id="rId20" Type="http://schemas.openxmlformats.org/officeDocument/2006/relationships/hyperlink" Target="https://www.xbox.com/en-us/games/store/kingdom-hearts/c08mw8xhqn9g" TargetMode="External"/><Relationship Id="rId22" Type="http://schemas.openxmlformats.org/officeDocument/2006/relationships/hyperlink" Target="https://majornelson.com/fpsboost/" TargetMode="External"/><Relationship Id="rId21" Type="http://schemas.openxmlformats.org/officeDocument/2006/relationships/hyperlink" Target="https://gamerant.com/a-memoir-blue-xbox-game-pass-march" TargetMode="External"/><Relationship Id="rId24" Type="http://schemas.openxmlformats.org/officeDocument/2006/relationships/hyperlink" Target="https://help.bungie.net/hc/en-us/articles/360054430692" TargetMode="External"/><Relationship Id="rId23" Type="http://schemas.openxmlformats.org/officeDocument/2006/relationships/hyperlink" Target="https://www.trueachievements.com/n48641/the-elder-scrolls-online-removed-from-xbox-cloud-gaming" TargetMode="External"/><Relationship Id="rId26" Type="http://schemas.openxmlformats.org/officeDocument/2006/relationships/hyperlink" Target="https://www.origin.com/usa/en-us/store/aragami/aragami" TargetMode="External"/><Relationship Id="rId25" Type="http://schemas.openxmlformats.org/officeDocument/2006/relationships/hyperlink" Target="https://twitter.com/FellowTravellr/status/1504175386485456896" TargetMode="External"/><Relationship Id="rId28" Type="http://schemas.openxmlformats.org/officeDocument/2006/relationships/hyperlink" Target="https://www.xbox.com/en-US/play/gallery/touch" TargetMode="External"/><Relationship Id="rId27" Type="http://schemas.openxmlformats.org/officeDocument/2006/relationships/hyperlink" Target="https://www.xbox.com/en-US/play/games/townscaper/9NFM39PSFXJD" TargetMode="External"/><Relationship Id="rId29" Type="http://schemas.openxmlformats.org/officeDocument/2006/relationships/hyperlink" Target="https://www.eurogamer.net/xbox-game-pass-games-list-this-month-price-6400" TargetMode="External"/><Relationship Id="rId51" Type="http://schemas.openxmlformats.org/officeDocument/2006/relationships/hyperlink" Target="https://news.xbox.com/en-us/2024/03/05/xbox-game-pass-new-for-march-2024/" TargetMode="External"/><Relationship Id="rId50" Type="http://schemas.openxmlformats.org/officeDocument/2006/relationships/hyperlink" Target="https://gamerant.com/xbox-game-pass-leaves-early-access-full-release/" TargetMode="External"/><Relationship Id="rId52" Type="http://schemas.openxmlformats.org/officeDocument/2006/relationships/drawing" Target="../drawings/drawing7.xml"/><Relationship Id="rId11" Type="http://schemas.openxmlformats.org/officeDocument/2006/relationships/hyperlink" Target="https://www.pcgamer.com/theres-a-whole-27-games-coming-day-one-on-game-pass-for-pc/" TargetMode="External"/><Relationship Id="rId10" Type="http://schemas.openxmlformats.org/officeDocument/2006/relationships/hyperlink" Target="https://www.microsoft.com/ja-jp/p/phogs/9P6X271HLG8Q?activetab=pivot:overviewtab" TargetMode="External"/><Relationship Id="rId13" Type="http://schemas.openxmlformats.org/officeDocument/2006/relationships/hyperlink" Target="https://majornelson.com/fpsboost/" TargetMode="External"/><Relationship Id="rId12" Type="http://schemas.openxmlformats.org/officeDocument/2006/relationships/hyperlink" Target="https://www.metacritic.com/game/pc/dungeon-keeper" TargetMode="External"/><Relationship Id="rId15" Type="http://schemas.openxmlformats.org/officeDocument/2006/relationships/hyperlink" Target="https://gametracker.softr.app/" TargetMode="External"/><Relationship Id="rId14" Type="http://schemas.openxmlformats.org/officeDocument/2006/relationships/hyperlink" Target="https://twitter.com/UnpackingALife/status/1437832567303061507" TargetMode="External"/><Relationship Id="rId17" Type="http://schemas.openxmlformats.org/officeDocument/2006/relationships/hyperlink" Target="https://youtu.be/r1ye5cBgKoU?t=29" TargetMode="External"/><Relationship Id="rId16" Type="http://schemas.openxmlformats.org/officeDocument/2006/relationships/hyperlink" Target="https://i.imgur.com/2k7PI7V.png" TargetMode="External"/><Relationship Id="rId19" Type="http://schemas.openxmlformats.org/officeDocument/2006/relationships/hyperlink" Target="https://news.xbox.com/en-us/2022/01/28/two-point-campus-coming-to-xbox-game-pass-on-day-one/" TargetMode="External"/><Relationship Id="rId18" Type="http://schemas.openxmlformats.org/officeDocument/2006/relationships/hyperlink" Target="https://www.eurogamer.net/articles/2022-01-12-stalker-2-delayed-until-december"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en.wikipedia.org/wiki/Access_Software" TargetMode="External"/><Relationship Id="rId2" Type="http://schemas.openxmlformats.org/officeDocument/2006/relationships/hyperlink" Target="https://en.wikipedia.org/wiki/Lift_London" TargetMode="External"/><Relationship Id="rId3" Type="http://schemas.openxmlformats.org/officeDocument/2006/relationships/hyperlink" Target="https://en.wikipedia.org/wiki/Twisted_Pixel_Games" TargetMode="External"/><Relationship Id="rId4" Type="http://schemas.openxmlformats.org/officeDocument/2006/relationships/hyperlink" Target="https://en.wikipedia.org/wiki/Peter_Jackson" TargetMode="External"/><Relationship Id="rId9" Type="http://schemas.openxmlformats.org/officeDocument/2006/relationships/hyperlink" Target="https://en.wikipedia.org/wiki/Ensemble_Studios" TargetMode="External"/><Relationship Id="rId5" Type="http://schemas.openxmlformats.org/officeDocument/2006/relationships/hyperlink" Target="https://en.wikipedia.org/wiki/Aces_Game_Studio" TargetMode="External"/><Relationship Id="rId6" Type="http://schemas.openxmlformats.org/officeDocument/2006/relationships/hyperlink" Target="https://en.wikipedia.org/wiki/Bungie" TargetMode="External"/><Relationship Id="rId7" Type="http://schemas.openxmlformats.org/officeDocument/2006/relationships/hyperlink" Target="https://en.wikipedia.org/wiki/BigPark" TargetMode="External"/><Relationship Id="rId8" Type="http://schemas.openxmlformats.org/officeDocument/2006/relationships/hyperlink" Target="https://en.wikipedia.org/wiki/Digital_Anvil" TargetMode="External"/><Relationship Id="rId11" Type="http://schemas.openxmlformats.org/officeDocument/2006/relationships/hyperlink" Target="https://en.wikipedia.org/wiki/Kinect_Adventures" TargetMode="External"/><Relationship Id="rId10" Type="http://schemas.openxmlformats.org/officeDocument/2006/relationships/hyperlink" Target="https://en.wikipedia.org/wiki/FASA_Studio" TargetMode="External"/><Relationship Id="rId13" Type="http://schemas.openxmlformats.org/officeDocument/2006/relationships/hyperlink" Target="https://en.wikipedia.org/wiki/Fable_(video_game_series)" TargetMode="External"/><Relationship Id="rId12" Type="http://schemas.openxmlformats.org/officeDocument/2006/relationships/hyperlink" Target="https://en.wikipedia.org/wiki/Halo_2" TargetMode="External"/><Relationship Id="rId15" Type="http://schemas.openxmlformats.org/officeDocument/2006/relationships/hyperlink" Target="https://en.wikipedia.org/wiki/Project_Spark" TargetMode="External"/><Relationship Id="rId14" Type="http://schemas.openxmlformats.org/officeDocument/2006/relationships/hyperlink" Target="https://en.wikipedia.org/wiki/Phantom_Dust" TargetMode="External"/><Relationship Id="rId17" Type="http://schemas.openxmlformats.org/officeDocument/2006/relationships/drawing" Target="../drawings/drawing8.xml"/><Relationship Id="rId16" Type="http://schemas.openxmlformats.org/officeDocument/2006/relationships/hyperlink" Target="https://en.wikipedia.org/wiki/Xbox_Entertainment_Studios"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4" Type="http://schemas.openxmlformats.org/officeDocument/2006/relationships/table" Target="../tables/table3.xml"/><Relationship Id="rId5"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4" Type="http://schemas.openxmlformats.org/officeDocument/2006/relationships/table" Target="../tables/table5.xml"/><Relationship Id="rId5"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4" Type="http://schemas.openxmlformats.org/officeDocument/2006/relationships/table" Target="../tables/table7.xml"/><Relationship Id="rId5"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2"/>
  <cols>
    <col customWidth="1" min="1" max="1" width="48.75"/>
    <col customWidth="1" min="2" max="2" width="12.63" outlineLevel="2"/>
    <col customWidth="1" min="3" max="3" width="17.38" outlineLevel="2"/>
    <col customWidth="1" min="4" max="4" width="13.0" outlineLevel="2"/>
    <col customWidth="1" min="5" max="5" width="8.63" outlineLevel="2"/>
    <col customWidth="1" min="6" max="6" width="11.0" outlineLevel="2"/>
    <col customWidth="1" min="7" max="7" width="9.38" outlineLevel="2"/>
    <col customWidth="1" min="8" max="8" width="11.5" outlineLevel="1"/>
    <col customWidth="1" min="9" max="9" width="6.63" outlineLevel="1"/>
    <col customWidth="1" min="10" max="10" width="11.25" outlineLevel="1"/>
    <col customWidth="1" min="11" max="11" width="12.5" outlineLevel="1"/>
    <col customWidth="1" min="12" max="12" width="18.75" outlineLevel="1"/>
    <col customWidth="1" min="13" max="13" width="11.75" outlineLevel="1"/>
    <col collapsed="1" customWidth="1" min="14" max="14" width="33.25" outlineLevel="1"/>
    <col customWidth="1" hidden="1" min="15" max="15" width="11.5" outlineLevel="2"/>
    <col customWidth="1" hidden="1" min="16" max="16" width="8.38" outlineLevel="2"/>
    <col customWidth="1" hidden="1" min="17" max="17" width="16.25" outlineLevel="2"/>
    <col customWidth="1" min="18" max="20" width="11.13"/>
    <col customWidth="1" min="21" max="21" width="16.38"/>
    <col customWidth="1" min="22" max="22" width="11.13"/>
  </cols>
  <sheetData>
    <row r="1">
      <c r="A1" s="10" t="s">
        <v>16</v>
      </c>
      <c r="B1" s="19">
        <f>COUNTIFS(D2:D2289,"Active",B2:B2289,"&lt;&gt;")+COUNTIF(D2:D2289,"Leaving Soon")</f>
        <v>741</v>
      </c>
      <c r="C1" s="10" t="s">
        <v>17</v>
      </c>
      <c r="D1" s="10"/>
      <c r="E1" s="10" t="s">
        <v>18</v>
      </c>
      <c r="F1" s="10"/>
      <c r="G1" s="10"/>
      <c r="H1" s="28" t="s">
        <v>19</v>
      </c>
      <c r="I1" s="10"/>
      <c r="J1" s="10"/>
      <c r="K1" s="10"/>
      <c r="L1" s="10" t="str">
        <f>Suggestions!A1</f>
        <v>Coming Soon</v>
      </c>
      <c r="M1" s="32"/>
      <c r="N1" s="33" t="s">
        <v>21</v>
      </c>
      <c r="O1" s="32"/>
      <c r="P1" s="35" t="s">
        <v>22</v>
      </c>
      <c r="Q1" s="32"/>
      <c r="R1" s="10" t="s">
        <v>23</v>
      </c>
      <c r="U1" s="36" t="s">
        <v>24</v>
      </c>
      <c r="V1" s="37"/>
    </row>
    <row r="2">
      <c r="A2" s="38" t="s">
        <v>0</v>
      </c>
      <c r="B2" s="40" t="s">
        <v>2</v>
      </c>
      <c r="C2" s="42" t="s">
        <v>3</v>
      </c>
      <c r="D2" s="40" t="s">
        <v>4</v>
      </c>
      <c r="E2" s="40" t="s">
        <v>5</v>
      </c>
      <c r="F2" s="42" t="s">
        <v>6</v>
      </c>
      <c r="G2" s="46" t="s">
        <v>7</v>
      </c>
      <c r="H2" s="47" t="s">
        <v>8</v>
      </c>
      <c r="I2" s="47" t="s">
        <v>9</v>
      </c>
      <c r="J2" s="47" t="s">
        <v>10</v>
      </c>
      <c r="K2" s="47" t="s">
        <v>11</v>
      </c>
      <c r="L2" s="47" t="s">
        <v>30</v>
      </c>
      <c r="M2" s="47" t="s">
        <v>31</v>
      </c>
      <c r="N2" s="42" t="s">
        <v>27</v>
      </c>
      <c r="O2" s="50" t="s">
        <v>28</v>
      </c>
      <c r="P2" s="51" t="s">
        <v>29</v>
      </c>
      <c r="Q2" s="52" t="s">
        <v>32</v>
      </c>
      <c r="R2" s="42" t="s">
        <v>4</v>
      </c>
      <c r="S2" s="40" t="s">
        <v>5</v>
      </c>
      <c r="T2" s="47" t="s">
        <v>33</v>
      </c>
      <c r="U2" s="40" t="s">
        <v>5</v>
      </c>
      <c r="V2" s="47" t="s">
        <v>33</v>
      </c>
    </row>
    <row r="3">
      <c r="A3" s="53" t="s">
        <v>34</v>
      </c>
      <c r="B3" s="54" t="s">
        <v>35</v>
      </c>
      <c r="C3" s="54" t="s">
        <v>36</v>
      </c>
      <c r="D3" s="59" t="str">
        <f t="shared" ref="D3:D119" si="1">IF(E3&gt;TODAY(),"Coming Soon",IF(F3="","Active",IF(F3&gt;TODAY(),"Leaving Soon","Removed")))</f>
        <v>Active</v>
      </c>
      <c r="E3" s="61">
        <v>46301.0</v>
      </c>
      <c r="F3" s="62"/>
      <c r="G3" s="65">
        <f t="shared" ref="G3:G2289" si="2">MONTHDUR(E3,F3)</f>
        <v>0</v>
      </c>
      <c r="H3" s="67">
        <v>46301.0</v>
      </c>
      <c r="I3" s="65">
        <f t="shared" ref="I3:I2289" si="3">YEARDUR(H3,E3)</f>
        <v>0</v>
      </c>
      <c r="J3" s="68"/>
      <c r="K3" s="68"/>
      <c r="L3" s="69" t="s">
        <v>37</v>
      </c>
      <c r="M3" s="69" t="s">
        <v>38</v>
      </c>
      <c r="N3" s="70" t="s">
        <v>39</v>
      </c>
      <c r="O3" s="71"/>
      <c r="P3" s="72"/>
      <c r="Q3" s="71"/>
      <c r="R3" s="59" t="str">
        <f t="shared" ref="R3:R1015" si="4">IF(S3="","TBD",IF(S3&gt;TODAY(),"Coming Soon",IF(F3="","Active",IF(F3&gt;TODAY(),"Leaving Soon","Removed"))))</f>
        <v>TBD</v>
      </c>
      <c r="S3" s="73"/>
      <c r="T3" s="65">
        <f t="shared" ref="T3:T1015" si="5">MONTHDUR(E3,S3)</f>
        <v>0</v>
      </c>
      <c r="U3" s="73"/>
      <c r="V3" s="65"/>
    </row>
    <row r="4">
      <c r="A4" s="74" t="s">
        <v>40</v>
      </c>
      <c r="B4" s="75" t="s">
        <v>35</v>
      </c>
      <c r="C4" s="75" t="s">
        <v>36</v>
      </c>
      <c r="D4" s="76" t="str">
        <f t="shared" si="1"/>
        <v>Active</v>
      </c>
      <c r="E4" s="77">
        <v>46294.0</v>
      </c>
      <c r="F4" s="78"/>
      <c r="G4" s="79">
        <f t="shared" si="2"/>
        <v>0.2333333333</v>
      </c>
      <c r="H4" s="80">
        <v>46294.0</v>
      </c>
      <c r="I4" s="79">
        <f t="shared" si="3"/>
        <v>0</v>
      </c>
      <c r="J4" s="81"/>
      <c r="K4" s="81"/>
      <c r="L4" s="82" t="s">
        <v>41</v>
      </c>
      <c r="M4" s="83"/>
      <c r="N4" s="84" t="s">
        <v>39</v>
      </c>
      <c r="O4" s="85"/>
      <c r="P4" s="86"/>
      <c r="Q4" s="85"/>
      <c r="R4" s="76" t="str">
        <f t="shared" si="4"/>
        <v>TBD</v>
      </c>
      <c r="S4" s="87"/>
      <c r="T4" s="79">
        <f t="shared" si="5"/>
        <v>0.2333333333</v>
      </c>
      <c r="U4" s="87"/>
      <c r="V4" s="79"/>
    </row>
    <row r="5">
      <c r="A5" s="53" t="s">
        <v>42</v>
      </c>
      <c r="B5" s="54" t="s">
        <v>35</v>
      </c>
      <c r="C5" s="54" t="s">
        <v>36</v>
      </c>
      <c r="D5" s="59" t="str">
        <f t="shared" si="1"/>
        <v>Active</v>
      </c>
      <c r="E5" s="61">
        <v>46288.0</v>
      </c>
      <c r="F5" s="62"/>
      <c r="G5" s="65">
        <f t="shared" si="2"/>
        <v>0.4333333333</v>
      </c>
      <c r="H5" s="67">
        <v>46288.0</v>
      </c>
      <c r="I5" s="65">
        <f t="shared" si="3"/>
        <v>0</v>
      </c>
      <c r="J5" s="68"/>
      <c r="K5" s="68"/>
      <c r="L5" s="69" t="s">
        <v>41</v>
      </c>
      <c r="M5" s="69" t="s">
        <v>38</v>
      </c>
      <c r="N5" s="70" t="s">
        <v>39</v>
      </c>
      <c r="O5" s="71"/>
      <c r="P5" s="72"/>
      <c r="Q5" s="71"/>
      <c r="R5" s="59" t="str">
        <f t="shared" si="4"/>
        <v>Active</v>
      </c>
      <c r="S5" s="88">
        <f t="shared" ref="S5:S6" si="6">E5</f>
        <v>46288</v>
      </c>
      <c r="T5" s="65">
        <f t="shared" si="5"/>
        <v>0</v>
      </c>
      <c r="U5" s="73"/>
      <c r="V5" s="65"/>
    </row>
    <row r="6">
      <c r="A6" s="74" t="s">
        <v>43</v>
      </c>
      <c r="B6" s="75" t="s">
        <v>35</v>
      </c>
      <c r="C6" s="75" t="s">
        <v>36</v>
      </c>
      <c r="D6" s="76" t="str">
        <f t="shared" si="1"/>
        <v>Active</v>
      </c>
      <c r="E6" s="77">
        <v>46287.0</v>
      </c>
      <c r="F6" s="78"/>
      <c r="G6" s="79">
        <f t="shared" si="2"/>
        <v>0.4666666667</v>
      </c>
      <c r="H6" s="80">
        <v>45818.0</v>
      </c>
      <c r="I6" s="79">
        <f t="shared" si="3"/>
        <v>1.283333333</v>
      </c>
      <c r="J6" s="89">
        <v>78.0</v>
      </c>
      <c r="K6" s="89">
        <v>114.0</v>
      </c>
      <c r="L6" s="82" t="s">
        <v>41</v>
      </c>
      <c r="M6" s="82" t="s">
        <v>38</v>
      </c>
      <c r="N6" s="84" t="s">
        <v>39</v>
      </c>
      <c r="O6" s="85"/>
      <c r="P6" s="86"/>
      <c r="Q6" s="85"/>
      <c r="R6" s="76" t="str">
        <f t="shared" si="4"/>
        <v>Active</v>
      </c>
      <c r="S6" s="90">
        <f t="shared" si="6"/>
        <v>46287</v>
      </c>
      <c r="T6" s="79">
        <f t="shared" si="5"/>
        <v>0</v>
      </c>
      <c r="U6" s="87"/>
      <c r="V6" s="79"/>
    </row>
    <row r="7">
      <c r="A7" s="53" t="s">
        <v>44</v>
      </c>
      <c r="B7" s="54" t="s">
        <v>35</v>
      </c>
      <c r="C7" s="54" t="s">
        <v>36</v>
      </c>
      <c r="D7" s="59" t="str">
        <f t="shared" si="1"/>
        <v>Active</v>
      </c>
      <c r="E7" s="61">
        <v>46287.0</v>
      </c>
      <c r="F7" s="62"/>
      <c r="G7" s="65">
        <f t="shared" si="2"/>
        <v>0.4666666667</v>
      </c>
      <c r="H7" s="67">
        <v>46287.0</v>
      </c>
      <c r="I7" s="65">
        <f t="shared" si="3"/>
        <v>0</v>
      </c>
      <c r="J7" s="68"/>
      <c r="K7" s="68"/>
      <c r="L7" s="69" t="s">
        <v>41</v>
      </c>
      <c r="M7" s="91"/>
      <c r="N7" s="70" t="s">
        <v>39</v>
      </c>
      <c r="O7" s="71"/>
      <c r="P7" s="72"/>
      <c r="Q7" s="71"/>
      <c r="R7" s="59" t="str">
        <f t="shared" si="4"/>
        <v>TBD</v>
      </c>
      <c r="S7" s="73"/>
      <c r="T7" s="65">
        <f t="shared" si="5"/>
        <v>0.4666666667</v>
      </c>
      <c r="U7" s="73"/>
      <c r="V7" s="65"/>
    </row>
    <row r="8">
      <c r="A8" s="74" t="s">
        <v>45</v>
      </c>
      <c r="B8" s="75" t="s">
        <v>35</v>
      </c>
      <c r="C8" s="75" t="s">
        <v>36</v>
      </c>
      <c r="D8" s="76" t="str">
        <f t="shared" si="1"/>
        <v>Active</v>
      </c>
      <c r="E8" s="77">
        <v>46282.0</v>
      </c>
      <c r="F8" s="78"/>
      <c r="G8" s="79">
        <f t="shared" si="2"/>
        <v>0.6333333333</v>
      </c>
      <c r="H8" s="80">
        <v>45910.0</v>
      </c>
      <c r="I8" s="79">
        <f t="shared" si="3"/>
        <v>1.019444444</v>
      </c>
      <c r="J8" s="89">
        <v>84.0</v>
      </c>
      <c r="K8" s="89">
        <v>9.0</v>
      </c>
      <c r="L8" s="82" t="s">
        <v>46</v>
      </c>
      <c r="M8" s="82"/>
      <c r="N8" s="85"/>
      <c r="O8" s="85"/>
      <c r="P8" s="86"/>
      <c r="Q8" s="85"/>
      <c r="R8" s="76" t="str">
        <f t="shared" si="4"/>
        <v>Active</v>
      </c>
      <c r="S8" s="90">
        <f>E8</f>
        <v>46282</v>
      </c>
      <c r="T8" s="79">
        <f t="shared" si="5"/>
        <v>0</v>
      </c>
      <c r="U8" s="87"/>
      <c r="V8" s="79"/>
    </row>
    <row r="9">
      <c r="A9" s="53" t="s">
        <v>47</v>
      </c>
      <c r="B9" s="54" t="s">
        <v>35</v>
      </c>
      <c r="C9" s="54" t="s">
        <v>36</v>
      </c>
      <c r="D9" s="59" t="str">
        <f t="shared" si="1"/>
        <v>Active</v>
      </c>
      <c r="E9" s="61">
        <v>46282.0</v>
      </c>
      <c r="F9" s="62"/>
      <c r="G9" s="65">
        <f t="shared" si="2"/>
        <v>0.6333333333</v>
      </c>
      <c r="H9" s="67">
        <v>46282.0</v>
      </c>
      <c r="I9" s="65">
        <f t="shared" si="3"/>
        <v>0</v>
      </c>
      <c r="J9" s="68"/>
      <c r="K9" s="68"/>
      <c r="L9" s="69" t="s">
        <v>46</v>
      </c>
      <c r="M9" s="69" t="s">
        <v>38</v>
      </c>
      <c r="N9" s="71"/>
      <c r="O9" s="71"/>
      <c r="P9" s="72"/>
      <c r="Q9" s="71"/>
      <c r="R9" s="59" t="str">
        <f t="shared" si="4"/>
        <v>TBD</v>
      </c>
      <c r="S9" s="73"/>
      <c r="T9" s="65">
        <f t="shared" si="5"/>
        <v>0.6333333333</v>
      </c>
      <c r="U9" s="73"/>
      <c r="V9" s="65"/>
    </row>
    <row r="10">
      <c r="A10" s="74" t="s">
        <v>48</v>
      </c>
      <c r="B10" s="75" t="s">
        <v>35</v>
      </c>
      <c r="C10" s="75" t="s">
        <v>36</v>
      </c>
      <c r="D10" s="76" t="str">
        <f t="shared" si="1"/>
        <v>Active</v>
      </c>
      <c r="E10" s="77">
        <v>46280.0</v>
      </c>
      <c r="F10" s="78"/>
      <c r="G10" s="79">
        <f t="shared" si="2"/>
        <v>0.7</v>
      </c>
      <c r="H10" s="80">
        <v>46280.0</v>
      </c>
      <c r="I10" s="79">
        <f t="shared" si="3"/>
        <v>0</v>
      </c>
      <c r="J10" s="81"/>
      <c r="K10" s="89">
        <v>23.0</v>
      </c>
      <c r="L10" s="82" t="s">
        <v>41</v>
      </c>
      <c r="M10" s="82" t="s">
        <v>38</v>
      </c>
      <c r="N10" s="85"/>
      <c r="O10" s="85"/>
      <c r="P10" s="86"/>
      <c r="Q10" s="85"/>
      <c r="R10" s="76" t="str">
        <f t="shared" si="4"/>
        <v>Active</v>
      </c>
      <c r="S10" s="90">
        <f t="shared" ref="S10:S13" si="7">E10</f>
        <v>46280</v>
      </c>
      <c r="T10" s="79">
        <f t="shared" si="5"/>
        <v>0</v>
      </c>
      <c r="U10" s="87"/>
      <c r="V10" s="79"/>
    </row>
    <row r="11">
      <c r="A11" s="53" t="s">
        <v>49</v>
      </c>
      <c r="B11" s="54" t="s">
        <v>35</v>
      </c>
      <c r="C11" s="54" t="s">
        <v>36</v>
      </c>
      <c r="D11" s="59" t="str">
        <f t="shared" si="1"/>
        <v>Active</v>
      </c>
      <c r="E11" s="61">
        <v>46275.0</v>
      </c>
      <c r="F11" s="62"/>
      <c r="G11" s="65">
        <f t="shared" si="2"/>
        <v>0.8666666667</v>
      </c>
      <c r="H11" s="67">
        <v>45876.0</v>
      </c>
      <c r="I11" s="65">
        <f t="shared" si="3"/>
        <v>1.091666667</v>
      </c>
      <c r="J11" s="92">
        <v>80.0</v>
      </c>
      <c r="K11" s="92">
        <v>5.0</v>
      </c>
      <c r="L11" s="69" t="s">
        <v>50</v>
      </c>
      <c r="M11" s="69" t="s">
        <v>38</v>
      </c>
      <c r="N11" s="70" t="s">
        <v>39</v>
      </c>
      <c r="O11" s="71"/>
      <c r="P11" s="72"/>
      <c r="Q11" s="71"/>
      <c r="R11" s="59" t="str">
        <f t="shared" si="4"/>
        <v>Active</v>
      </c>
      <c r="S11" s="88">
        <f t="shared" si="7"/>
        <v>46275</v>
      </c>
      <c r="T11" s="65">
        <f t="shared" si="5"/>
        <v>0</v>
      </c>
      <c r="U11" s="73"/>
      <c r="V11" s="65"/>
    </row>
    <row r="12">
      <c r="A12" s="74" t="s">
        <v>51</v>
      </c>
      <c r="B12" s="75" t="s">
        <v>35</v>
      </c>
      <c r="C12" s="75" t="s">
        <v>36</v>
      </c>
      <c r="D12" s="76" t="str">
        <f t="shared" si="1"/>
        <v>Active</v>
      </c>
      <c r="E12" s="77">
        <v>46275.0</v>
      </c>
      <c r="F12" s="78"/>
      <c r="G12" s="79">
        <f t="shared" si="2"/>
        <v>0.8666666667</v>
      </c>
      <c r="H12" s="80">
        <v>45960.0</v>
      </c>
      <c r="I12" s="79">
        <f t="shared" si="3"/>
        <v>0.8611111111</v>
      </c>
      <c r="J12" s="89">
        <v>78.0</v>
      </c>
      <c r="K12" s="89">
        <v>1.0</v>
      </c>
      <c r="L12" s="82" t="s">
        <v>52</v>
      </c>
      <c r="M12" s="82" t="s">
        <v>38</v>
      </c>
      <c r="N12" s="85"/>
      <c r="O12" s="85"/>
      <c r="P12" s="86"/>
      <c r="Q12" s="85"/>
      <c r="R12" s="76" t="str">
        <f t="shared" si="4"/>
        <v>Active</v>
      </c>
      <c r="S12" s="90">
        <f t="shared" si="7"/>
        <v>46275</v>
      </c>
      <c r="T12" s="79">
        <f t="shared" si="5"/>
        <v>0</v>
      </c>
      <c r="U12" s="87"/>
      <c r="V12" s="79"/>
    </row>
    <row r="13">
      <c r="A13" s="53" t="s">
        <v>53</v>
      </c>
      <c r="B13" s="54" t="s">
        <v>35</v>
      </c>
      <c r="C13" s="54" t="s">
        <v>36</v>
      </c>
      <c r="D13" s="59" t="str">
        <f t="shared" si="1"/>
        <v>Active</v>
      </c>
      <c r="E13" s="61">
        <v>46273.0</v>
      </c>
      <c r="F13" s="62"/>
      <c r="G13" s="65">
        <f t="shared" si="2"/>
        <v>0.9333333333</v>
      </c>
      <c r="H13" s="67">
        <v>44148.0</v>
      </c>
      <c r="I13" s="65">
        <f t="shared" si="3"/>
        <v>5.819444444</v>
      </c>
      <c r="J13" s="92">
        <v>76.0</v>
      </c>
      <c r="K13" s="92">
        <v>5.5</v>
      </c>
      <c r="L13" s="69" t="s">
        <v>37</v>
      </c>
      <c r="M13" s="91"/>
      <c r="N13" s="71"/>
      <c r="O13" s="71"/>
      <c r="P13" s="72"/>
      <c r="Q13" s="71"/>
      <c r="R13" s="59" t="str">
        <f t="shared" si="4"/>
        <v>Active</v>
      </c>
      <c r="S13" s="88">
        <f t="shared" si="7"/>
        <v>46273</v>
      </c>
      <c r="T13" s="65">
        <f t="shared" si="5"/>
        <v>0</v>
      </c>
      <c r="U13" s="73"/>
      <c r="V13" s="65"/>
    </row>
    <row r="14">
      <c r="A14" s="74" t="s">
        <v>54</v>
      </c>
      <c r="B14" s="75" t="s">
        <v>35</v>
      </c>
      <c r="C14" s="75" t="s">
        <v>36</v>
      </c>
      <c r="D14" s="76" t="str">
        <f t="shared" si="1"/>
        <v>Active</v>
      </c>
      <c r="E14" s="77">
        <v>46268.0</v>
      </c>
      <c r="F14" s="78"/>
      <c r="G14" s="79">
        <f t="shared" si="2"/>
        <v>1.1</v>
      </c>
      <c r="H14" s="80">
        <v>46268.0</v>
      </c>
      <c r="I14" s="79">
        <f t="shared" si="3"/>
        <v>0</v>
      </c>
      <c r="J14" s="81"/>
      <c r="K14" s="89">
        <v>3.0</v>
      </c>
      <c r="L14" s="82" t="s">
        <v>55</v>
      </c>
      <c r="M14" s="82" t="s">
        <v>38</v>
      </c>
      <c r="N14" s="85"/>
      <c r="O14" s="85"/>
      <c r="P14" s="86"/>
      <c r="Q14" s="85"/>
      <c r="R14" s="76" t="str">
        <f t="shared" si="4"/>
        <v>TBD</v>
      </c>
      <c r="S14" s="87"/>
      <c r="T14" s="79">
        <f t="shared" si="5"/>
        <v>1.1</v>
      </c>
      <c r="U14" s="87"/>
      <c r="V14" s="79"/>
    </row>
    <row r="15">
      <c r="A15" s="93" t="s">
        <v>56</v>
      </c>
      <c r="B15" s="54" t="s">
        <v>35</v>
      </c>
      <c r="C15" s="54" t="s">
        <v>36</v>
      </c>
      <c r="D15" s="59" t="str">
        <f t="shared" si="1"/>
        <v>Active</v>
      </c>
      <c r="E15" s="61">
        <v>46266.0</v>
      </c>
      <c r="F15" s="62"/>
      <c r="G15" s="65">
        <f t="shared" si="2"/>
        <v>1.166666667</v>
      </c>
      <c r="H15" s="67">
        <v>45977.0</v>
      </c>
      <c r="I15" s="65">
        <f t="shared" si="3"/>
        <v>0.7916666667</v>
      </c>
      <c r="J15" s="68"/>
      <c r="K15" s="92">
        <v>4.0</v>
      </c>
      <c r="L15" s="69" t="s">
        <v>57</v>
      </c>
      <c r="M15" s="91"/>
      <c r="N15" s="71"/>
      <c r="O15" s="71"/>
      <c r="P15" s="72"/>
      <c r="Q15" s="71"/>
      <c r="R15" s="59" t="str">
        <f t="shared" si="4"/>
        <v>Active</v>
      </c>
      <c r="S15" s="88">
        <f>E15</f>
        <v>46266</v>
      </c>
      <c r="T15" s="65">
        <f t="shared" si="5"/>
        <v>0</v>
      </c>
      <c r="U15" s="73"/>
      <c r="V15" s="65"/>
    </row>
    <row r="16">
      <c r="A16" s="74" t="s">
        <v>58</v>
      </c>
      <c r="B16" s="75" t="s">
        <v>35</v>
      </c>
      <c r="C16" s="75" t="s">
        <v>36</v>
      </c>
      <c r="D16" s="76" t="str">
        <f t="shared" si="1"/>
        <v>Active</v>
      </c>
      <c r="E16" s="77">
        <v>46261.0</v>
      </c>
      <c r="F16" s="78"/>
      <c r="G16" s="79">
        <f t="shared" si="2"/>
        <v>1.3</v>
      </c>
      <c r="H16" s="80">
        <v>46261.0</v>
      </c>
      <c r="I16" s="79">
        <f t="shared" si="3"/>
        <v>0</v>
      </c>
      <c r="J16" s="89">
        <v>78.0</v>
      </c>
      <c r="K16" s="89">
        <v>12.0</v>
      </c>
      <c r="L16" s="82" t="s">
        <v>41</v>
      </c>
      <c r="M16" s="82" t="s">
        <v>38</v>
      </c>
      <c r="N16" s="84" t="s">
        <v>39</v>
      </c>
      <c r="O16" s="85"/>
      <c r="P16" s="86"/>
      <c r="Q16" s="85"/>
      <c r="R16" s="76" t="str">
        <f t="shared" si="4"/>
        <v>TBD</v>
      </c>
      <c r="S16" s="87"/>
      <c r="T16" s="79">
        <f t="shared" si="5"/>
        <v>1.3</v>
      </c>
      <c r="U16" s="87"/>
      <c r="V16" s="79"/>
    </row>
    <row r="17">
      <c r="A17" s="53" t="s">
        <v>59</v>
      </c>
      <c r="B17" s="54" t="s">
        <v>35</v>
      </c>
      <c r="C17" s="54" t="s">
        <v>36</v>
      </c>
      <c r="D17" s="59" t="str">
        <f t="shared" si="1"/>
        <v>Active</v>
      </c>
      <c r="E17" s="61">
        <v>46259.0</v>
      </c>
      <c r="F17" s="62"/>
      <c r="G17" s="65">
        <f t="shared" si="2"/>
        <v>1.366666667</v>
      </c>
      <c r="H17" s="67">
        <v>46259.0</v>
      </c>
      <c r="I17" s="65">
        <f t="shared" si="3"/>
        <v>0</v>
      </c>
      <c r="J17" s="92">
        <v>74.0</v>
      </c>
      <c r="K17" s="92">
        <v>2.0</v>
      </c>
      <c r="L17" s="69" t="s">
        <v>41</v>
      </c>
      <c r="M17" s="69" t="s">
        <v>38</v>
      </c>
      <c r="N17" s="71"/>
      <c r="O17" s="71"/>
      <c r="P17" s="72"/>
      <c r="Q17" s="71"/>
      <c r="R17" s="59" t="str">
        <f t="shared" si="4"/>
        <v>TBD</v>
      </c>
      <c r="S17" s="73"/>
      <c r="T17" s="65">
        <f t="shared" si="5"/>
        <v>1.366666667</v>
      </c>
      <c r="U17" s="73"/>
      <c r="V17" s="65"/>
    </row>
    <row r="18">
      <c r="A18" s="74" t="s">
        <v>60</v>
      </c>
      <c r="B18" s="75" t="s">
        <v>35</v>
      </c>
      <c r="C18" s="75" t="s">
        <v>36</v>
      </c>
      <c r="D18" s="76" t="str">
        <f t="shared" si="1"/>
        <v>Active</v>
      </c>
      <c r="E18" s="77">
        <v>46253.0</v>
      </c>
      <c r="F18" s="78"/>
      <c r="G18" s="79">
        <f t="shared" si="2"/>
        <v>1.566666667</v>
      </c>
      <c r="H18" s="80">
        <v>46253.0</v>
      </c>
      <c r="I18" s="79">
        <f t="shared" si="3"/>
        <v>0</v>
      </c>
      <c r="J18" s="81"/>
      <c r="K18" s="89">
        <v>12.0</v>
      </c>
      <c r="L18" s="82" t="s">
        <v>41</v>
      </c>
      <c r="M18" s="83"/>
      <c r="N18" s="85"/>
      <c r="O18" s="85"/>
      <c r="P18" s="86"/>
      <c r="Q18" s="85"/>
      <c r="R18" s="76" t="str">
        <f t="shared" si="4"/>
        <v>TBD</v>
      </c>
      <c r="S18" s="87"/>
      <c r="T18" s="79">
        <f t="shared" si="5"/>
        <v>1.566666667</v>
      </c>
      <c r="U18" s="87"/>
      <c r="V18" s="79"/>
    </row>
    <row r="19">
      <c r="A19" s="53" t="s">
        <v>61</v>
      </c>
      <c r="B19" s="54" t="s">
        <v>35</v>
      </c>
      <c r="C19" s="54" t="s">
        <v>36</v>
      </c>
      <c r="D19" s="59" t="str">
        <f t="shared" si="1"/>
        <v>Active</v>
      </c>
      <c r="E19" s="61">
        <v>46247.0</v>
      </c>
      <c r="F19" s="62"/>
      <c r="G19" s="65">
        <f t="shared" si="2"/>
        <v>1.766666667</v>
      </c>
      <c r="H19" s="67">
        <v>45974.0</v>
      </c>
      <c r="I19" s="65">
        <f t="shared" si="3"/>
        <v>0.75</v>
      </c>
      <c r="J19" s="92">
        <v>75.0</v>
      </c>
      <c r="K19" s="92">
        <v>33.0</v>
      </c>
      <c r="L19" s="69" t="s">
        <v>62</v>
      </c>
      <c r="M19" s="91"/>
      <c r="N19" s="71"/>
      <c r="O19" s="71"/>
      <c r="P19" s="72"/>
      <c r="Q19" s="71"/>
      <c r="R19" s="59" t="str">
        <f t="shared" si="4"/>
        <v>Active</v>
      </c>
      <c r="S19" s="88">
        <f>E19</f>
        <v>46247</v>
      </c>
      <c r="T19" s="65">
        <f t="shared" si="5"/>
        <v>0</v>
      </c>
      <c r="U19" s="73"/>
      <c r="V19" s="65"/>
    </row>
    <row r="20">
      <c r="A20" s="74" t="s">
        <v>63</v>
      </c>
      <c r="B20" s="75" t="s">
        <v>13</v>
      </c>
      <c r="C20" s="75"/>
      <c r="D20" s="76" t="str">
        <f t="shared" si="1"/>
        <v>Active</v>
      </c>
      <c r="E20" s="77">
        <v>46247.0</v>
      </c>
      <c r="F20" s="78"/>
      <c r="G20" s="79">
        <f t="shared" si="2"/>
        <v>1.766666667</v>
      </c>
      <c r="H20" s="80">
        <v>46247.0</v>
      </c>
      <c r="I20" s="79">
        <f t="shared" si="3"/>
        <v>0</v>
      </c>
      <c r="J20" s="81"/>
      <c r="K20" s="89">
        <v>8.0</v>
      </c>
      <c r="L20" s="82" t="s">
        <v>64</v>
      </c>
      <c r="M20" s="83"/>
      <c r="N20" s="85"/>
      <c r="O20" s="85"/>
      <c r="P20" s="86"/>
      <c r="Q20" s="85"/>
      <c r="R20" s="76" t="str">
        <f t="shared" si="4"/>
        <v>TBD</v>
      </c>
      <c r="S20" s="87"/>
      <c r="T20" s="79">
        <f t="shared" si="5"/>
        <v>1.766666667</v>
      </c>
      <c r="U20" s="87"/>
      <c r="V20" s="79"/>
    </row>
    <row r="21">
      <c r="A21" s="53" t="s">
        <v>65</v>
      </c>
      <c r="B21" s="54" t="s">
        <v>35</v>
      </c>
      <c r="C21" s="54" t="s">
        <v>36</v>
      </c>
      <c r="D21" s="59" t="str">
        <f t="shared" si="1"/>
        <v>Active</v>
      </c>
      <c r="E21" s="61">
        <v>46245.0</v>
      </c>
      <c r="F21" s="62"/>
      <c r="G21" s="65">
        <f t="shared" si="2"/>
        <v>1.833333333</v>
      </c>
      <c r="H21" s="67">
        <v>45825.0</v>
      </c>
      <c r="I21" s="65">
        <f t="shared" si="3"/>
        <v>1.15</v>
      </c>
      <c r="J21" s="92">
        <v>78.0</v>
      </c>
      <c r="K21" s="92">
        <v>15.0</v>
      </c>
      <c r="L21" s="69" t="s">
        <v>64</v>
      </c>
      <c r="M21" s="69" t="s">
        <v>38</v>
      </c>
      <c r="N21" s="70" t="s">
        <v>39</v>
      </c>
      <c r="O21" s="71"/>
      <c r="P21" s="72"/>
      <c r="Q21" s="71"/>
      <c r="R21" s="59" t="str">
        <f t="shared" si="4"/>
        <v>Active</v>
      </c>
      <c r="S21" s="88">
        <f>E21</f>
        <v>46245</v>
      </c>
      <c r="T21" s="65">
        <f t="shared" si="5"/>
        <v>0</v>
      </c>
      <c r="U21" s="73"/>
      <c r="V21" s="65"/>
    </row>
    <row r="22">
      <c r="A22" s="74" t="s">
        <v>66</v>
      </c>
      <c r="B22" s="75" t="s">
        <v>35</v>
      </c>
      <c r="C22" s="75" t="s">
        <v>36</v>
      </c>
      <c r="D22" s="76" t="str">
        <f t="shared" si="1"/>
        <v>Active</v>
      </c>
      <c r="E22" s="77">
        <v>46238.0</v>
      </c>
      <c r="F22" s="78"/>
      <c r="G22" s="79">
        <f t="shared" si="2"/>
        <v>2.066666667</v>
      </c>
      <c r="H22" s="80">
        <v>46238.0</v>
      </c>
      <c r="I22" s="79">
        <f t="shared" si="3"/>
        <v>0</v>
      </c>
      <c r="J22" s="89">
        <v>72.0</v>
      </c>
      <c r="K22" s="89">
        <v>23.0</v>
      </c>
      <c r="L22" s="82" t="s">
        <v>46</v>
      </c>
      <c r="M22" s="82" t="s">
        <v>38</v>
      </c>
      <c r="N22" s="84" t="s">
        <v>39</v>
      </c>
      <c r="O22" s="85"/>
      <c r="P22" s="86"/>
      <c r="Q22" s="85"/>
      <c r="R22" s="76" t="str">
        <f t="shared" si="4"/>
        <v>TBD</v>
      </c>
      <c r="S22" s="87"/>
      <c r="T22" s="79">
        <f t="shared" si="5"/>
        <v>2.066666667</v>
      </c>
      <c r="U22" s="87"/>
      <c r="V22" s="79"/>
    </row>
    <row r="23">
      <c r="A23" s="53" t="s">
        <v>67</v>
      </c>
      <c r="B23" s="54" t="s">
        <v>13</v>
      </c>
      <c r="C23" s="54"/>
      <c r="D23" s="59" t="str">
        <f t="shared" si="1"/>
        <v>Active</v>
      </c>
      <c r="E23" s="61">
        <v>46225.0</v>
      </c>
      <c r="F23" s="62"/>
      <c r="G23" s="65">
        <f t="shared" si="2"/>
        <v>2.466666667</v>
      </c>
      <c r="H23" s="67">
        <v>46225.0</v>
      </c>
      <c r="I23" s="65">
        <f t="shared" si="3"/>
        <v>0</v>
      </c>
      <c r="J23" s="92">
        <v>75.0</v>
      </c>
      <c r="K23" s="92">
        <v>4.0</v>
      </c>
      <c r="L23" s="69" t="s">
        <v>41</v>
      </c>
      <c r="M23" s="91"/>
      <c r="N23" s="71"/>
      <c r="O23" s="71"/>
      <c r="P23" s="72"/>
      <c r="Q23" s="71"/>
      <c r="R23" s="59" t="str">
        <f t="shared" si="4"/>
        <v>TBD</v>
      </c>
      <c r="S23" s="73"/>
      <c r="T23" s="65">
        <f t="shared" si="5"/>
        <v>2.466666667</v>
      </c>
      <c r="U23" s="73"/>
      <c r="V23" s="65"/>
    </row>
    <row r="24">
      <c r="A24" s="74" t="s">
        <v>68</v>
      </c>
      <c r="B24" s="75" t="s">
        <v>13</v>
      </c>
      <c r="C24" s="75"/>
      <c r="D24" s="76" t="str">
        <f t="shared" si="1"/>
        <v>Active</v>
      </c>
      <c r="E24" s="77">
        <v>46234.0</v>
      </c>
      <c r="F24" s="78"/>
      <c r="G24" s="79">
        <f t="shared" si="2"/>
        <v>2.2</v>
      </c>
      <c r="H24" s="80">
        <v>46234.0</v>
      </c>
      <c r="I24" s="79">
        <f t="shared" si="3"/>
        <v>0</v>
      </c>
      <c r="J24" s="89">
        <v>70.0</v>
      </c>
      <c r="K24" s="89">
        <v>29.0</v>
      </c>
      <c r="L24" s="82" t="s">
        <v>64</v>
      </c>
      <c r="M24" s="83"/>
      <c r="N24" s="85"/>
      <c r="O24" s="85"/>
      <c r="P24" s="86"/>
      <c r="Q24" s="85"/>
      <c r="R24" s="76" t="str">
        <f t="shared" si="4"/>
        <v>TBD</v>
      </c>
      <c r="S24" s="87"/>
      <c r="T24" s="79">
        <f t="shared" si="5"/>
        <v>2.2</v>
      </c>
      <c r="U24" s="87"/>
      <c r="V24" s="79"/>
    </row>
    <row r="25">
      <c r="A25" s="53" t="s">
        <v>69</v>
      </c>
      <c r="B25" s="54" t="s">
        <v>35</v>
      </c>
      <c r="C25" s="54" t="s">
        <v>36</v>
      </c>
      <c r="D25" s="59" t="str">
        <f t="shared" si="1"/>
        <v>Active</v>
      </c>
      <c r="E25" s="61">
        <v>46233.0</v>
      </c>
      <c r="F25" s="62"/>
      <c r="G25" s="65">
        <f t="shared" si="2"/>
        <v>2.2</v>
      </c>
      <c r="H25" s="67">
        <v>46233.0</v>
      </c>
      <c r="I25" s="65">
        <f t="shared" si="3"/>
        <v>0</v>
      </c>
      <c r="J25" s="92">
        <v>70.0</v>
      </c>
      <c r="K25" s="68"/>
      <c r="L25" s="69" t="s">
        <v>46</v>
      </c>
      <c r="M25" s="69" t="s">
        <v>38</v>
      </c>
      <c r="N25" s="71"/>
      <c r="O25" s="71"/>
      <c r="P25" s="72"/>
      <c r="Q25" s="71"/>
      <c r="R25" s="59" t="str">
        <f t="shared" si="4"/>
        <v>TBD</v>
      </c>
      <c r="S25" s="73"/>
      <c r="T25" s="65">
        <f t="shared" si="5"/>
        <v>2.2</v>
      </c>
      <c r="U25" s="73"/>
      <c r="V25" s="65"/>
    </row>
    <row r="26">
      <c r="A26" s="74" t="s">
        <v>70</v>
      </c>
      <c r="B26" s="75" t="s">
        <v>35</v>
      </c>
      <c r="C26" s="75" t="s">
        <v>36</v>
      </c>
      <c r="D26" s="76" t="str">
        <f t="shared" si="1"/>
        <v>Active</v>
      </c>
      <c r="E26" s="77">
        <v>46231.0</v>
      </c>
      <c r="F26" s="78"/>
      <c r="G26" s="79">
        <f t="shared" si="2"/>
        <v>2.266666667</v>
      </c>
      <c r="H26" s="80">
        <v>46231.0</v>
      </c>
      <c r="I26" s="79">
        <f t="shared" si="3"/>
        <v>0</v>
      </c>
      <c r="J26" s="89">
        <v>80.0</v>
      </c>
      <c r="K26" s="89">
        <v>9.0</v>
      </c>
      <c r="L26" s="82" t="s">
        <v>37</v>
      </c>
      <c r="M26" s="83"/>
      <c r="N26" s="84" t="s">
        <v>39</v>
      </c>
      <c r="O26" s="85"/>
      <c r="P26" s="86"/>
      <c r="Q26" s="85"/>
      <c r="R26" s="76" t="str">
        <f t="shared" si="4"/>
        <v>TBD</v>
      </c>
      <c r="S26" s="87"/>
      <c r="T26" s="79">
        <f t="shared" si="5"/>
        <v>2.266666667</v>
      </c>
      <c r="U26" s="87"/>
      <c r="V26" s="79"/>
    </row>
    <row r="27">
      <c r="A27" s="94" t="s">
        <v>71</v>
      </c>
      <c r="B27" s="54" t="s">
        <v>35</v>
      </c>
      <c r="C27" s="54" t="s">
        <v>36</v>
      </c>
      <c r="D27" s="59" t="str">
        <f t="shared" si="1"/>
        <v>Active</v>
      </c>
      <c r="E27" s="95">
        <v>46225.0</v>
      </c>
      <c r="F27" s="96"/>
      <c r="G27" s="97">
        <f t="shared" si="2"/>
        <v>2.466666667</v>
      </c>
      <c r="H27" s="98">
        <v>38673.0</v>
      </c>
      <c r="I27" s="97">
        <f t="shared" si="3"/>
        <v>20.68055556</v>
      </c>
      <c r="J27" s="99">
        <v>82.0</v>
      </c>
      <c r="K27" s="92">
        <v>11.0</v>
      </c>
      <c r="L27" s="100" t="s">
        <v>41</v>
      </c>
      <c r="M27" s="100" t="s">
        <v>72</v>
      </c>
      <c r="N27" s="69" t="s">
        <v>73</v>
      </c>
      <c r="O27" s="101"/>
      <c r="P27" s="101"/>
      <c r="Q27" s="101"/>
      <c r="R27" s="59" t="str">
        <f t="shared" si="4"/>
        <v>Active</v>
      </c>
      <c r="S27" s="88">
        <f t="shared" ref="S27:S28" si="8">E27</f>
        <v>46225</v>
      </c>
      <c r="T27" s="65">
        <f t="shared" si="5"/>
        <v>0</v>
      </c>
      <c r="U27" s="88">
        <v>46225.0</v>
      </c>
      <c r="V27" s="65">
        <f>MONTHDUR(E27,U27)</f>
        <v>0</v>
      </c>
    </row>
    <row r="28">
      <c r="A28" s="74" t="s">
        <v>74</v>
      </c>
      <c r="B28" s="75" t="s">
        <v>35</v>
      </c>
      <c r="C28" s="75" t="s">
        <v>36</v>
      </c>
      <c r="D28" s="76" t="str">
        <f t="shared" si="1"/>
        <v>Active</v>
      </c>
      <c r="E28" s="77">
        <v>46226.0</v>
      </c>
      <c r="F28" s="78"/>
      <c r="G28" s="79">
        <f t="shared" si="2"/>
        <v>2.433333333</v>
      </c>
      <c r="H28" s="80">
        <v>45904.0</v>
      </c>
      <c r="I28" s="79">
        <f t="shared" si="3"/>
        <v>0.8861111111</v>
      </c>
      <c r="J28" s="89">
        <v>77.0</v>
      </c>
      <c r="K28" s="89">
        <v>18.0</v>
      </c>
      <c r="L28" s="82" t="s">
        <v>41</v>
      </c>
      <c r="M28" s="82" t="s">
        <v>38</v>
      </c>
      <c r="N28" s="85"/>
      <c r="O28" s="85"/>
      <c r="P28" s="86"/>
      <c r="Q28" s="85"/>
      <c r="R28" s="102" t="str">
        <f t="shared" si="4"/>
        <v>Active</v>
      </c>
      <c r="S28" s="90">
        <f t="shared" si="8"/>
        <v>46226</v>
      </c>
      <c r="T28" s="103">
        <f t="shared" si="5"/>
        <v>0</v>
      </c>
      <c r="U28" s="87"/>
      <c r="V28" s="79"/>
    </row>
    <row r="29">
      <c r="A29" s="53" t="s">
        <v>75</v>
      </c>
      <c r="B29" s="54" t="s">
        <v>35</v>
      </c>
      <c r="C29" s="54" t="s">
        <v>36</v>
      </c>
      <c r="D29" s="59" t="str">
        <f t="shared" si="1"/>
        <v>Active</v>
      </c>
      <c r="E29" s="61">
        <v>46225.0</v>
      </c>
      <c r="F29" s="62"/>
      <c r="G29" s="65">
        <f t="shared" si="2"/>
        <v>2.466666667</v>
      </c>
      <c r="H29" s="67">
        <v>46225.0</v>
      </c>
      <c r="I29" s="65">
        <f t="shared" si="3"/>
        <v>0</v>
      </c>
      <c r="J29" s="92">
        <v>80.0</v>
      </c>
      <c r="K29" s="92">
        <v>5.0</v>
      </c>
      <c r="L29" s="69" t="s">
        <v>76</v>
      </c>
      <c r="M29" s="69" t="s">
        <v>38</v>
      </c>
      <c r="N29" s="71"/>
      <c r="O29" s="71"/>
      <c r="P29" s="72"/>
      <c r="Q29" s="71"/>
      <c r="R29" s="59" t="str">
        <f t="shared" si="4"/>
        <v>TBD</v>
      </c>
      <c r="S29" s="73"/>
      <c r="T29" s="65">
        <f t="shared" si="5"/>
        <v>2.466666667</v>
      </c>
      <c r="U29" s="73"/>
      <c r="V29" s="65"/>
    </row>
    <row r="30">
      <c r="A30" s="74" t="s">
        <v>77</v>
      </c>
      <c r="B30" s="75" t="s">
        <v>35</v>
      </c>
      <c r="C30" s="75" t="s">
        <v>36</v>
      </c>
      <c r="D30" s="76" t="str">
        <f t="shared" si="1"/>
        <v>Active</v>
      </c>
      <c r="E30" s="77">
        <v>46224.0</v>
      </c>
      <c r="F30" s="78"/>
      <c r="G30" s="79">
        <f t="shared" si="2"/>
        <v>2.5</v>
      </c>
      <c r="H30" s="80">
        <v>44644.0</v>
      </c>
      <c r="I30" s="79">
        <f t="shared" si="3"/>
        <v>4.325</v>
      </c>
      <c r="J30" s="89">
        <v>81.0</v>
      </c>
      <c r="K30" s="89">
        <v>35.0</v>
      </c>
      <c r="L30" s="82" t="s">
        <v>78</v>
      </c>
      <c r="M30" s="82" t="s">
        <v>38</v>
      </c>
      <c r="N30" s="85"/>
      <c r="O30" s="85"/>
      <c r="P30" s="86"/>
      <c r="Q30" s="85"/>
      <c r="R30" s="102" t="str">
        <f t="shared" si="4"/>
        <v>Active</v>
      </c>
      <c r="S30" s="90">
        <f t="shared" ref="S30:S31" si="9">E30</f>
        <v>46224</v>
      </c>
      <c r="T30" s="103">
        <f t="shared" si="5"/>
        <v>0</v>
      </c>
      <c r="U30" s="87"/>
      <c r="V30" s="79"/>
    </row>
    <row r="31">
      <c r="A31" s="53" t="s">
        <v>79</v>
      </c>
      <c r="B31" s="54" t="s">
        <v>35</v>
      </c>
      <c r="C31" s="54" t="s">
        <v>36</v>
      </c>
      <c r="D31" s="59" t="str">
        <f t="shared" si="1"/>
        <v>Active</v>
      </c>
      <c r="E31" s="61">
        <v>46220.0</v>
      </c>
      <c r="F31" s="62"/>
      <c r="G31" s="65">
        <f t="shared" si="2"/>
        <v>2.633333333</v>
      </c>
      <c r="H31" s="67">
        <v>46220.0</v>
      </c>
      <c r="I31" s="65">
        <f t="shared" si="3"/>
        <v>0</v>
      </c>
      <c r="J31" s="92">
        <v>80.0</v>
      </c>
      <c r="K31" s="68"/>
      <c r="L31" s="69" t="s">
        <v>57</v>
      </c>
      <c r="M31" s="69" t="s">
        <v>38</v>
      </c>
      <c r="N31" s="71"/>
      <c r="O31" s="71"/>
      <c r="P31" s="72"/>
      <c r="Q31" s="71"/>
      <c r="R31" s="104" t="str">
        <f t="shared" si="4"/>
        <v>Active</v>
      </c>
      <c r="S31" s="88">
        <f t="shared" si="9"/>
        <v>46220</v>
      </c>
      <c r="T31" s="97">
        <f t="shared" si="5"/>
        <v>0</v>
      </c>
      <c r="U31" s="73"/>
      <c r="V31" s="65"/>
    </row>
    <row r="32">
      <c r="A32" s="74" t="s">
        <v>80</v>
      </c>
      <c r="B32" s="75" t="s">
        <v>13</v>
      </c>
      <c r="C32" s="76"/>
      <c r="D32" s="76" t="str">
        <f t="shared" si="1"/>
        <v>Active</v>
      </c>
      <c r="E32" s="77">
        <v>46220.0</v>
      </c>
      <c r="F32" s="78"/>
      <c r="G32" s="79">
        <f t="shared" si="2"/>
        <v>2.633333333</v>
      </c>
      <c r="H32" s="80">
        <v>46220.0</v>
      </c>
      <c r="I32" s="79">
        <f t="shared" si="3"/>
        <v>0</v>
      </c>
      <c r="J32" s="89">
        <v>73.0</v>
      </c>
      <c r="K32" s="89">
        <v>5.0</v>
      </c>
      <c r="L32" s="82" t="s">
        <v>81</v>
      </c>
      <c r="M32" s="83"/>
      <c r="N32" s="85"/>
      <c r="O32" s="85"/>
      <c r="P32" s="86"/>
      <c r="Q32" s="85"/>
      <c r="R32" s="76" t="str">
        <f t="shared" si="4"/>
        <v>TBD</v>
      </c>
      <c r="S32" s="87"/>
      <c r="T32" s="79">
        <f t="shared" si="5"/>
        <v>2.633333333</v>
      </c>
      <c r="U32" s="87"/>
      <c r="V32" s="79"/>
    </row>
    <row r="33">
      <c r="A33" s="53" t="s">
        <v>82</v>
      </c>
      <c r="B33" s="54" t="s">
        <v>35</v>
      </c>
      <c r="C33" s="54" t="s">
        <v>36</v>
      </c>
      <c r="D33" s="59" t="str">
        <f t="shared" si="1"/>
        <v>Active</v>
      </c>
      <c r="E33" s="61">
        <v>46219.0</v>
      </c>
      <c r="F33" s="62"/>
      <c r="G33" s="65">
        <f t="shared" si="2"/>
        <v>2.666666667</v>
      </c>
      <c r="H33" s="67">
        <v>46219.0</v>
      </c>
      <c r="I33" s="65">
        <f t="shared" si="3"/>
        <v>0</v>
      </c>
      <c r="J33" s="92">
        <v>78.0</v>
      </c>
      <c r="K33" s="68"/>
      <c r="L33" s="69" t="s">
        <v>55</v>
      </c>
      <c r="M33" s="69" t="s">
        <v>38</v>
      </c>
      <c r="N33" s="70" t="s">
        <v>39</v>
      </c>
      <c r="O33" s="71"/>
      <c r="P33" s="72"/>
      <c r="Q33" s="71"/>
      <c r="R33" s="104" t="str">
        <f t="shared" si="4"/>
        <v>Active</v>
      </c>
      <c r="S33" s="88">
        <f>E33</f>
        <v>46219</v>
      </c>
      <c r="T33" s="97">
        <f t="shared" si="5"/>
        <v>0</v>
      </c>
      <c r="U33" s="73"/>
      <c r="V33" s="65"/>
    </row>
    <row r="34">
      <c r="A34" s="74" t="s">
        <v>83</v>
      </c>
      <c r="B34" s="75" t="s">
        <v>35</v>
      </c>
      <c r="C34" s="75" t="s">
        <v>36</v>
      </c>
      <c r="D34" s="76" t="str">
        <f t="shared" si="1"/>
        <v>Active</v>
      </c>
      <c r="E34" s="77">
        <v>46218.0</v>
      </c>
      <c r="F34" s="78"/>
      <c r="G34" s="79">
        <f t="shared" si="2"/>
        <v>2.7</v>
      </c>
      <c r="H34" s="80">
        <v>45853.0</v>
      </c>
      <c r="I34" s="79">
        <f t="shared" si="3"/>
        <v>1</v>
      </c>
      <c r="J34" s="89">
        <v>88.0</v>
      </c>
      <c r="K34" s="89">
        <v>9.0</v>
      </c>
      <c r="L34" s="82" t="s">
        <v>41</v>
      </c>
      <c r="M34" s="82" t="s">
        <v>38</v>
      </c>
      <c r="N34" s="85"/>
      <c r="O34" s="85"/>
      <c r="P34" s="86"/>
      <c r="Q34" s="85"/>
      <c r="R34" s="76" t="str">
        <f t="shared" si="4"/>
        <v>TBD</v>
      </c>
      <c r="S34" s="87"/>
      <c r="T34" s="79">
        <f t="shared" si="5"/>
        <v>2.7</v>
      </c>
      <c r="U34" s="87"/>
      <c r="V34" s="79"/>
    </row>
    <row r="35">
      <c r="A35" s="53" t="s">
        <v>84</v>
      </c>
      <c r="B35" s="54" t="s">
        <v>35</v>
      </c>
      <c r="C35" s="54" t="s">
        <v>36</v>
      </c>
      <c r="D35" s="59" t="str">
        <f t="shared" si="1"/>
        <v>Active</v>
      </c>
      <c r="E35" s="61">
        <v>46217.0</v>
      </c>
      <c r="F35" s="62"/>
      <c r="G35" s="65">
        <f t="shared" si="2"/>
        <v>2.733333333</v>
      </c>
      <c r="H35" s="67">
        <v>46217.0</v>
      </c>
      <c r="I35" s="65">
        <f t="shared" si="3"/>
        <v>0</v>
      </c>
      <c r="J35" s="92">
        <v>70.0</v>
      </c>
      <c r="K35" s="92">
        <v>5.0</v>
      </c>
      <c r="L35" s="69" t="s">
        <v>62</v>
      </c>
      <c r="M35" s="69" t="s">
        <v>38</v>
      </c>
      <c r="N35" s="71"/>
      <c r="O35" s="71"/>
      <c r="P35" s="72"/>
      <c r="Q35" s="71"/>
      <c r="R35" s="104" t="str">
        <f t="shared" si="4"/>
        <v>Active</v>
      </c>
      <c r="S35" s="88">
        <f>E35</f>
        <v>46217</v>
      </c>
      <c r="T35" s="97">
        <f t="shared" si="5"/>
        <v>0</v>
      </c>
      <c r="U35" s="73"/>
      <c r="V35" s="65"/>
    </row>
    <row r="36">
      <c r="A36" s="74" t="s">
        <v>85</v>
      </c>
      <c r="B36" s="75" t="s">
        <v>35</v>
      </c>
      <c r="C36" s="75" t="s">
        <v>36</v>
      </c>
      <c r="D36" s="76" t="str">
        <f t="shared" si="1"/>
        <v>Active</v>
      </c>
      <c r="E36" s="77">
        <v>46216.0</v>
      </c>
      <c r="F36" s="78"/>
      <c r="G36" s="79">
        <f t="shared" si="2"/>
        <v>2.766666667</v>
      </c>
      <c r="H36" s="80">
        <v>46216.0</v>
      </c>
      <c r="I36" s="79">
        <f t="shared" si="3"/>
        <v>0</v>
      </c>
      <c r="J36" s="89">
        <v>82.0</v>
      </c>
      <c r="K36" s="89">
        <v>13.0</v>
      </c>
      <c r="L36" s="82" t="s">
        <v>41</v>
      </c>
      <c r="M36" s="82" t="s">
        <v>38</v>
      </c>
      <c r="N36" s="84" t="s">
        <v>39</v>
      </c>
      <c r="O36" s="85"/>
      <c r="P36" s="86"/>
      <c r="Q36" s="85"/>
      <c r="R36" s="76" t="str">
        <f t="shared" si="4"/>
        <v>TBD</v>
      </c>
      <c r="S36" s="87"/>
      <c r="T36" s="79">
        <f t="shared" si="5"/>
        <v>2.766666667</v>
      </c>
      <c r="U36" s="87"/>
      <c r="V36" s="79"/>
    </row>
    <row r="37">
      <c r="A37" s="53" t="s">
        <v>86</v>
      </c>
      <c r="B37" s="54" t="s">
        <v>35</v>
      </c>
      <c r="C37" s="54" t="s">
        <v>36</v>
      </c>
      <c r="D37" s="59" t="str">
        <f t="shared" si="1"/>
        <v>Active</v>
      </c>
      <c r="E37" s="61">
        <v>46212.0</v>
      </c>
      <c r="F37" s="62"/>
      <c r="G37" s="65">
        <f t="shared" si="2"/>
        <v>2.9</v>
      </c>
      <c r="H37" s="67">
        <v>46122.0</v>
      </c>
      <c r="I37" s="65">
        <f t="shared" si="3"/>
        <v>0.2472222222</v>
      </c>
      <c r="J37" s="92">
        <v>79.0</v>
      </c>
      <c r="K37" s="92">
        <v>2.0</v>
      </c>
      <c r="L37" s="69" t="s">
        <v>37</v>
      </c>
      <c r="M37" s="69" t="s">
        <v>38</v>
      </c>
      <c r="N37" s="70" t="s">
        <v>39</v>
      </c>
      <c r="O37" s="71"/>
      <c r="P37" s="72"/>
      <c r="Q37" s="71"/>
      <c r="R37" s="104" t="str">
        <f t="shared" si="4"/>
        <v>Active</v>
      </c>
      <c r="S37" s="88">
        <f t="shared" ref="S37:S41" si="10">E37</f>
        <v>46212</v>
      </c>
      <c r="T37" s="97">
        <f t="shared" si="5"/>
        <v>0</v>
      </c>
      <c r="U37" s="73"/>
      <c r="V37" s="65"/>
    </row>
    <row r="38">
      <c r="A38" s="74" t="s">
        <v>87</v>
      </c>
      <c r="B38" s="75" t="s">
        <v>35</v>
      </c>
      <c r="C38" s="75" t="s">
        <v>36</v>
      </c>
      <c r="D38" s="76" t="str">
        <f t="shared" si="1"/>
        <v>Active</v>
      </c>
      <c r="E38" s="77">
        <v>46211.0</v>
      </c>
      <c r="F38" s="78"/>
      <c r="G38" s="79">
        <f t="shared" si="2"/>
        <v>2.933333333</v>
      </c>
      <c r="H38" s="80">
        <v>45288.0</v>
      </c>
      <c r="I38" s="79">
        <f t="shared" si="3"/>
        <v>2.527777778</v>
      </c>
      <c r="J38" s="89">
        <v>85.0</v>
      </c>
      <c r="K38" s="89">
        <v>1.0</v>
      </c>
      <c r="L38" s="82" t="s">
        <v>81</v>
      </c>
      <c r="M38" s="83"/>
      <c r="N38" s="84"/>
      <c r="O38" s="85"/>
      <c r="P38" s="86"/>
      <c r="Q38" s="85"/>
      <c r="R38" s="102" t="str">
        <f t="shared" si="4"/>
        <v>Active</v>
      </c>
      <c r="S38" s="90">
        <f t="shared" si="10"/>
        <v>46211</v>
      </c>
      <c r="T38" s="103">
        <f t="shared" si="5"/>
        <v>0</v>
      </c>
      <c r="U38" s="87"/>
      <c r="V38" s="79"/>
    </row>
    <row r="39">
      <c r="A39" s="53" t="s">
        <v>88</v>
      </c>
      <c r="B39" s="54" t="s">
        <v>35</v>
      </c>
      <c r="C39" s="54" t="s">
        <v>36</v>
      </c>
      <c r="D39" s="59" t="str">
        <f t="shared" si="1"/>
        <v>Active</v>
      </c>
      <c r="E39" s="61">
        <v>46209.0</v>
      </c>
      <c r="F39" s="62"/>
      <c r="G39" s="65">
        <f t="shared" si="2"/>
        <v>3</v>
      </c>
      <c r="H39" s="67">
        <v>45975.0</v>
      </c>
      <c r="I39" s="65">
        <f t="shared" si="3"/>
        <v>0.6444444444</v>
      </c>
      <c r="J39" s="92">
        <v>72.0</v>
      </c>
      <c r="K39" s="92">
        <v>9.0</v>
      </c>
      <c r="L39" s="69" t="s">
        <v>46</v>
      </c>
      <c r="M39" s="91"/>
      <c r="N39" s="70" t="s">
        <v>39</v>
      </c>
      <c r="O39" s="71"/>
      <c r="P39" s="72"/>
      <c r="Q39" s="71"/>
      <c r="R39" s="104" t="str">
        <f t="shared" si="4"/>
        <v>Active</v>
      </c>
      <c r="S39" s="88">
        <f t="shared" si="10"/>
        <v>46209</v>
      </c>
      <c r="T39" s="97">
        <f t="shared" si="5"/>
        <v>0</v>
      </c>
      <c r="U39" s="73"/>
      <c r="V39" s="65"/>
    </row>
    <row r="40">
      <c r="A40" s="74" t="s">
        <v>89</v>
      </c>
      <c r="B40" s="75" t="s">
        <v>35</v>
      </c>
      <c r="C40" s="75" t="s">
        <v>36</v>
      </c>
      <c r="D40" s="76" t="str">
        <f t="shared" si="1"/>
        <v>Active</v>
      </c>
      <c r="E40" s="77">
        <v>46203.0</v>
      </c>
      <c r="F40" s="78"/>
      <c r="G40" s="79">
        <f t="shared" si="2"/>
        <v>3.2</v>
      </c>
      <c r="H40" s="80">
        <v>46203.0</v>
      </c>
      <c r="I40" s="79">
        <f t="shared" si="3"/>
        <v>0</v>
      </c>
      <c r="J40" s="89">
        <v>71.0</v>
      </c>
      <c r="K40" s="89">
        <v>4.0</v>
      </c>
      <c r="L40" s="82" t="s">
        <v>41</v>
      </c>
      <c r="M40" s="82" t="s">
        <v>38</v>
      </c>
      <c r="N40" s="85"/>
      <c r="O40" s="85"/>
      <c r="P40" s="86"/>
      <c r="Q40" s="85"/>
      <c r="R40" s="102" t="str">
        <f t="shared" si="4"/>
        <v>Active</v>
      </c>
      <c r="S40" s="90">
        <f t="shared" si="10"/>
        <v>46203</v>
      </c>
      <c r="T40" s="103">
        <f t="shared" si="5"/>
        <v>0</v>
      </c>
      <c r="U40" s="87"/>
      <c r="V40" s="79"/>
    </row>
    <row r="41">
      <c r="A41" s="53" t="s">
        <v>90</v>
      </c>
      <c r="B41" s="54" t="s">
        <v>35</v>
      </c>
      <c r="C41" s="54" t="s">
        <v>36</v>
      </c>
      <c r="D41" s="59" t="str">
        <f t="shared" si="1"/>
        <v>Active</v>
      </c>
      <c r="E41" s="61">
        <v>46198.0</v>
      </c>
      <c r="F41" s="62"/>
      <c r="G41" s="65">
        <f t="shared" si="2"/>
        <v>3.366666667</v>
      </c>
      <c r="H41" s="67">
        <v>46198.0</v>
      </c>
      <c r="I41" s="65">
        <f t="shared" si="3"/>
        <v>0</v>
      </c>
      <c r="J41" s="92">
        <v>80.0</v>
      </c>
      <c r="K41" s="92">
        <v>25.0</v>
      </c>
      <c r="L41" s="69" t="s">
        <v>37</v>
      </c>
      <c r="M41" s="69" t="s">
        <v>38</v>
      </c>
      <c r="N41" s="71"/>
      <c r="O41" s="71"/>
      <c r="P41" s="72"/>
      <c r="Q41" s="71"/>
      <c r="R41" s="104" t="str">
        <f t="shared" si="4"/>
        <v>Active</v>
      </c>
      <c r="S41" s="88">
        <f t="shared" si="10"/>
        <v>46198</v>
      </c>
      <c r="T41" s="97">
        <f t="shared" si="5"/>
        <v>0</v>
      </c>
      <c r="U41" s="73"/>
      <c r="V41" s="65"/>
    </row>
    <row r="42">
      <c r="A42" s="74" t="s">
        <v>91</v>
      </c>
      <c r="B42" s="75" t="s">
        <v>35</v>
      </c>
      <c r="C42" s="75" t="s">
        <v>36</v>
      </c>
      <c r="D42" s="76" t="str">
        <f t="shared" si="1"/>
        <v>Active</v>
      </c>
      <c r="E42" s="77">
        <v>46191.0</v>
      </c>
      <c r="F42" s="78"/>
      <c r="G42" s="79">
        <f t="shared" si="2"/>
        <v>3.6</v>
      </c>
      <c r="H42" s="80">
        <v>45926.0</v>
      </c>
      <c r="I42" s="79">
        <f t="shared" si="3"/>
        <v>0.7277777778</v>
      </c>
      <c r="J42" s="89">
        <v>77.0</v>
      </c>
      <c r="K42" s="89">
        <v>25.0</v>
      </c>
      <c r="L42" s="82" t="s">
        <v>62</v>
      </c>
      <c r="M42" s="83"/>
      <c r="N42" s="85"/>
      <c r="O42" s="85"/>
      <c r="P42" s="86"/>
      <c r="Q42" s="85"/>
      <c r="R42" s="76" t="str">
        <f t="shared" si="4"/>
        <v>TBD</v>
      </c>
      <c r="S42" s="87"/>
      <c r="T42" s="79">
        <f t="shared" si="5"/>
        <v>3.6</v>
      </c>
      <c r="U42" s="87"/>
      <c r="V42" s="79"/>
    </row>
    <row r="43">
      <c r="A43" s="53" t="s">
        <v>92</v>
      </c>
      <c r="B43" s="54" t="s">
        <v>35</v>
      </c>
      <c r="C43" s="54" t="s">
        <v>36</v>
      </c>
      <c r="D43" s="59" t="str">
        <f t="shared" si="1"/>
        <v>Active</v>
      </c>
      <c r="E43" s="61">
        <v>46190.0</v>
      </c>
      <c r="F43" s="62"/>
      <c r="G43" s="65">
        <f t="shared" si="2"/>
        <v>3.633333333</v>
      </c>
      <c r="H43" s="67">
        <v>44504.0</v>
      </c>
      <c r="I43" s="65">
        <f t="shared" si="3"/>
        <v>4.619444444</v>
      </c>
      <c r="J43" s="92">
        <v>73.0</v>
      </c>
      <c r="K43" s="92">
        <v>6.0</v>
      </c>
      <c r="L43" s="69" t="s">
        <v>37</v>
      </c>
      <c r="M43" s="91"/>
      <c r="N43" s="71"/>
      <c r="O43" s="71"/>
      <c r="P43" s="72"/>
      <c r="Q43" s="71"/>
      <c r="R43" s="104" t="str">
        <f t="shared" si="4"/>
        <v>Active</v>
      </c>
      <c r="S43" s="88">
        <f>E43</f>
        <v>46190</v>
      </c>
      <c r="T43" s="97">
        <f t="shared" si="5"/>
        <v>0</v>
      </c>
      <c r="U43" s="73"/>
      <c r="V43" s="65"/>
    </row>
    <row r="44">
      <c r="A44" s="74" t="s">
        <v>93</v>
      </c>
      <c r="B44" s="75" t="s">
        <v>35</v>
      </c>
      <c r="C44" s="75" t="s">
        <v>36</v>
      </c>
      <c r="D44" s="76" t="str">
        <f t="shared" si="1"/>
        <v>Active</v>
      </c>
      <c r="E44" s="77">
        <v>46189.0</v>
      </c>
      <c r="F44" s="78"/>
      <c r="G44" s="79">
        <f t="shared" si="2"/>
        <v>3.666666667</v>
      </c>
      <c r="H44" s="80">
        <v>46189.0</v>
      </c>
      <c r="I44" s="79">
        <f t="shared" si="3"/>
        <v>0</v>
      </c>
      <c r="J44" s="89">
        <v>78.0</v>
      </c>
      <c r="K44" s="89">
        <v>4.0</v>
      </c>
      <c r="L44" s="82" t="s">
        <v>41</v>
      </c>
      <c r="M44" s="82" t="s">
        <v>38</v>
      </c>
      <c r="N44" s="84" t="s">
        <v>39</v>
      </c>
      <c r="O44" s="85"/>
      <c r="P44" s="86"/>
      <c r="Q44" s="85"/>
      <c r="R44" s="76" t="str">
        <f t="shared" si="4"/>
        <v>TBD</v>
      </c>
      <c r="S44" s="87"/>
      <c r="T44" s="79">
        <f t="shared" si="5"/>
        <v>3.666666667</v>
      </c>
      <c r="U44" s="87"/>
      <c r="V44" s="79"/>
    </row>
    <row r="45">
      <c r="A45" s="53" t="s">
        <v>94</v>
      </c>
      <c r="B45" s="54" t="s">
        <v>35</v>
      </c>
      <c r="C45" s="54" t="s">
        <v>36</v>
      </c>
      <c r="D45" s="59" t="str">
        <f t="shared" si="1"/>
        <v>Active</v>
      </c>
      <c r="E45" s="61">
        <v>46184.0</v>
      </c>
      <c r="F45" s="62"/>
      <c r="G45" s="65">
        <f t="shared" si="2"/>
        <v>3.833333333</v>
      </c>
      <c r="H45" s="67">
        <v>46163.0</v>
      </c>
      <c r="I45" s="65">
        <f t="shared" si="3"/>
        <v>0.05555555556</v>
      </c>
      <c r="J45" s="92">
        <v>73.0</v>
      </c>
      <c r="K45" s="92">
        <v>9.0</v>
      </c>
      <c r="L45" s="69" t="s">
        <v>41</v>
      </c>
      <c r="M45" s="69" t="s">
        <v>38</v>
      </c>
      <c r="N45" s="70" t="s">
        <v>39</v>
      </c>
      <c r="O45" s="71"/>
      <c r="P45" s="72"/>
      <c r="Q45" s="71"/>
      <c r="R45" s="59" t="str">
        <f t="shared" si="4"/>
        <v>TBD</v>
      </c>
      <c r="S45" s="73"/>
      <c r="T45" s="65">
        <f t="shared" si="5"/>
        <v>3.833333333</v>
      </c>
      <c r="U45" s="73"/>
      <c r="V45" s="65"/>
    </row>
    <row r="46">
      <c r="A46" s="74" t="s">
        <v>95</v>
      </c>
      <c r="B46" s="75" t="s">
        <v>35</v>
      </c>
      <c r="C46" s="75" t="s">
        <v>36</v>
      </c>
      <c r="D46" s="76" t="str">
        <f t="shared" si="1"/>
        <v>Active</v>
      </c>
      <c r="E46" s="77">
        <v>46184.0</v>
      </c>
      <c r="F46" s="78"/>
      <c r="G46" s="79">
        <f t="shared" si="2"/>
        <v>3.833333333</v>
      </c>
      <c r="H46" s="80">
        <v>46184.0</v>
      </c>
      <c r="I46" s="79">
        <f t="shared" si="3"/>
        <v>0</v>
      </c>
      <c r="J46" s="89">
        <v>70.0</v>
      </c>
      <c r="K46" s="89">
        <v>1.0</v>
      </c>
      <c r="L46" s="82" t="s">
        <v>96</v>
      </c>
      <c r="M46" s="82" t="s">
        <v>38</v>
      </c>
      <c r="N46" s="85"/>
      <c r="O46" s="85"/>
      <c r="P46" s="86"/>
      <c r="Q46" s="85"/>
      <c r="R46" s="76" t="str">
        <f t="shared" si="4"/>
        <v>TBD</v>
      </c>
      <c r="S46" s="87"/>
      <c r="T46" s="79">
        <f t="shared" si="5"/>
        <v>3.833333333</v>
      </c>
      <c r="U46" s="87"/>
      <c r="V46" s="79"/>
    </row>
    <row r="47">
      <c r="A47" s="53" t="s">
        <v>97</v>
      </c>
      <c r="B47" s="54" t="s">
        <v>35</v>
      </c>
      <c r="C47" s="54" t="s">
        <v>36</v>
      </c>
      <c r="D47" s="59" t="str">
        <f t="shared" si="1"/>
        <v>Active</v>
      </c>
      <c r="E47" s="61">
        <v>46184.0</v>
      </c>
      <c r="F47" s="62"/>
      <c r="G47" s="65">
        <f t="shared" si="2"/>
        <v>3.833333333</v>
      </c>
      <c r="H47" s="67">
        <v>46184.0</v>
      </c>
      <c r="I47" s="65">
        <f t="shared" si="3"/>
        <v>0</v>
      </c>
      <c r="J47" s="68"/>
      <c r="K47" s="92">
        <v>1.0</v>
      </c>
      <c r="L47" s="69" t="s">
        <v>41</v>
      </c>
      <c r="M47" s="91"/>
      <c r="N47" s="71"/>
      <c r="O47" s="71"/>
      <c r="P47" s="72"/>
      <c r="Q47" s="71"/>
      <c r="R47" s="59" t="str">
        <f t="shared" si="4"/>
        <v>TBD</v>
      </c>
      <c r="S47" s="73"/>
      <c r="T47" s="65">
        <f t="shared" si="5"/>
        <v>3.833333333</v>
      </c>
      <c r="U47" s="73"/>
      <c r="V47" s="65"/>
    </row>
    <row r="48">
      <c r="A48" s="74" t="s">
        <v>98</v>
      </c>
      <c r="B48" s="75" t="s">
        <v>35</v>
      </c>
      <c r="C48" s="75" t="s">
        <v>36</v>
      </c>
      <c r="D48" s="76" t="str">
        <f t="shared" si="1"/>
        <v>Active</v>
      </c>
      <c r="E48" s="77">
        <v>46183.0</v>
      </c>
      <c r="F48" s="78"/>
      <c r="G48" s="79">
        <f t="shared" si="2"/>
        <v>3.866666667</v>
      </c>
      <c r="H48" s="80">
        <v>45693.0</v>
      </c>
      <c r="I48" s="79">
        <f t="shared" si="3"/>
        <v>1.347222222</v>
      </c>
      <c r="J48" s="89">
        <v>64.0</v>
      </c>
      <c r="K48" s="89">
        <v>10.0</v>
      </c>
      <c r="L48" s="82" t="s">
        <v>41</v>
      </c>
      <c r="M48" s="82" t="s">
        <v>38</v>
      </c>
      <c r="N48" s="84" t="s">
        <v>39</v>
      </c>
      <c r="O48" s="85"/>
      <c r="P48" s="86"/>
      <c r="Q48" s="85"/>
      <c r="R48" s="76" t="str">
        <f t="shared" si="4"/>
        <v>TBD</v>
      </c>
      <c r="S48" s="87"/>
      <c r="T48" s="79">
        <f t="shared" si="5"/>
        <v>3.866666667</v>
      </c>
      <c r="U48" s="87"/>
      <c r="V48" s="79"/>
    </row>
    <row r="49">
      <c r="A49" s="53" t="s">
        <v>99</v>
      </c>
      <c r="B49" s="54" t="s">
        <v>35</v>
      </c>
      <c r="C49" s="54" t="s">
        <v>100</v>
      </c>
      <c r="D49" s="59" t="str">
        <f t="shared" si="1"/>
        <v>Active</v>
      </c>
      <c r="E49" s="61">
        <v>46182.0</v>
      </c>
      <c r="F49" s="62"/>
      <c r="G49" s="65">
        <f t="shared" si="2"/>
        <v>3.9</v>
      </c>
      <c r="H49" s="67">
        <v>43921.0</v>
      </c>
      <c r="I49" s="65">
        <f t="shared" si="3"/>
        <v>6.191666667</v>
      </c>
      <c r="J49" s="92">
        <v>95.0</v>
      </c>
      <c r="K49" s="92">
        <v>101.0</v>
      </c>
      <c r="L49" s="69" t="s">
        <v>46</v>
      </c>
      <c r="M49" s="91"/>
      <c r="N49" s="70" t="s">
        <v>101</v>
      </c>
      <c r="O49" s="71"/>
      <c r="P49" s="72"/>
      <c r="Q49" s="71"/>
      <c r="R49" s="104" t="str">
        <f t="shared" si="4"/>
        <v>Active</v>
      </c>
      <c r="S49" s="88">
        <f>E49</f>
        <v>46182</v>
      </c>
      <c r="T49" s="97">
        <f t="shared" si="5"/>
        <v>0</v>
      </c>
      <c r="U49" s="73"/>
      <c r="V49" s="65"/>
    </row>
    <row r="50">
      <c r="A50" s="74" t="s">
        <v>102</v>
      </c>
      <c r="B50" s="75" t="s">
        <v>35</v>
      </c>
      <c r="C50" s="75" t="s">
        <v>36</v>
      </c>
      <c r="D50" s="76" t="str">
        <f t="shared" si="1"/>
        <v>Active</v>
      </c>
      <c r="E50" s="77">
        <v>46181.0</v>
      </c>
      <c r="F50" s="78"/>
      <c r="G50" s="79">
        <f t="shared" si="2"/>
        <v>3.933333333</v>
      </c>
      <c r="H50" s="80">
        <v>46181.0</v>
      </c>
      <c r="I50" s="79">
        <f t="shared" si="3"/>
        <v>0</v>
      </c>
      <c r="J50" s="89">
        <v>65.0</v>
      </c>
      <c r="K50" s="89">
        <v>17.0</v>
      </c>
      <c r="L50" s="82" t="s">
        <v>64</v>
      </c>
      <c r="M50" s="82" t="s">
        <v>38</v>
      </c>
      <c r="N50" s="85"/>
      <c r="O50" s="85"/>
      <c r="P50" s="86"/>
      <c r="Q50" s="85"/>
      <c r="R50" s="76" t="str">
        <f t="shared" si="4"/>
        <v>TBD</v>
      </c>
      <c r="S50" s="87"/>
      <c r="T50" s="79">
        <f t="shared" si="5"/>
        <v>3.933333333</v>
      </c>
      <c r="U50" s="87"/>
      <c r="V50" s="79"/>
    </row>
    <row r="51">
      <c r="A51" s="53" t="s">
        <v>103</v>
      </c>
      <c r="B51" s="54" t="s">
        <v>35</v>
      </c>
      <c r="C51" s="54" t="s">
        <v>36</v>
      </c>
      <c r="D51" s="59" t="str">
        <f t="shared" si="1"/>
        <v>Active</v>
      </c>
      <c r="E51" s="61">
        <v>46181.0</v>
      </c>
      <c r="F51" s="62"/>
      <c r="G51" s="65">
        <f t="shared" si="2"/>
        <v>3.933333333</v>
      </c>
      <c r="H51" s="67">
        <v>45576.0</v>
      </c>
      <c r="I51" s="65">
        <f t="shared" si="3"/>
        <v>1.658333333</v>
      </c>
      <c r="J51" s="92">
        <v>73.0</v>
      </c>
      <c r="K51" s="92">
        <v>15.0</v>
      </c>
      <c r="L51" s="69" t="s">
        <v>62</v>
      </c>
      <c r="M51" s="69" t="s">
        <v>38</v>
      </c>
      <c r="N51" s="70" t="s">
        <v>39</v>
      </c>
      <c r="O51" s="71"/>
      <c r="P51" s="72"/>
      <c r="Q51" s="71"/>
      <c r="R51" s="104" t="str">
        <f t="shared" si="4"/>
        <v>Active</v>
      </c>
      <c r="S51" s="88">
        <f t="shared" ref="S51:S55" si="11">E51</f>
        <v>46181</v>
      </c>
      <c r="T51" s="97">
        <f t="shared" si="5"/>
        <v>0</v>
      </c>
      <c r="U51" s="73"/>
      <c r="V51" s="65"/>
    </row>
    <row r="52">
      <c r="A52" s="74" t="s">
        <v>104</v>
      </c>
      <c r="B52" s="75" t="s">
        <v>35</v>
      </c>
      <c r="C52" s="75" t="s">
        <v>36</v>
      </c>
      <c r="D52" s="76" t="str">
        <f t="shared" si="1"/>
        <v>Active</v>
      </c>
      <c r="E52" s="90">
        <v>46180.0</v>
      </c>
      <c r="F52" s="105"/>
      <c r="G52" s="79">
        <f t="shared" si="2"/>
        <v>3.966666667</v>
      </c>
      <c r="H52" s="90">
        <v>44988.0</v>
      </c>
      <c r="I52" s="79">
        <f t="shared" si="3"/>
        <v>3.261111111</v>
      </c>
      <c r="J52" s="106">
        <v>80.0</v>
      </c>
      <c r="K52" s="106">
        <v>29.0</v>
      </c>
      <c r="L52" s="82" t="s">
        <v>105</v>
      </c>
      <c r="M52" s="82"/>
      <c r="N52" s="84" t="s">
        <v>106</v>
      </c>
      <c r="O52" s="82" t="s">
        <v>107</v>
      </c>
      <c r="P52" s="107" t="s">
        <v>108</v>
      </c>
      <c r="Q52" s="82"/>
      <c r="R52" s="76" t="str">
        <f t="shared" si="4"/>
        <v>Active</v>
      </c>
      <c r="S52" s="90">
        <f t="shared" si="11"/>
        <v>46180</v>
      </c>
      <c r="T52" s="79">
        <f t="shared" si="5"/>
        <v>0</v>
      </c>
      <c r="U52" s="90"/>
      <c r="V52" s="79"/>
    </row>
    <row r="53">
      <c r="A53" s="53" t="s">
        <v>109</v>
      </c>
      <c r="B53" s="54" t="s">
        <v>35</v>
      </c>
      <c r="C53" s="54" t="s">
        <v>36</v>
      </c>
      <c r="D53" s="59" t="str">
        <f t="shared" si="1"/>
        <v>Active</v>
      </c>
      <c r="E53" s="61">
        <v>46175.0</v>
      </c>
      <c r="F53" s="62"/>
      <c r="G53" s="65">
        <f t="shared" si="2"/>
        <v>4.133333333</v>
      </c>
      <c r="H53" s="67">
        <v>45561.0</v>
      </c>
      <c r="I53" s="65">
        <f t="shared" si="3"/>
        <v>1.683333333</v>
      </c>
      <c r="J53" s="92">
        <v>87.0</v>
      </c>
      <c r="K53" s="92">
        <v>36.0</v>
      </c>
      <c r="L53" s="69" t="s">
        <v>46</v>
      </c>
      <c r="M53" s="69" t="s">
        <v>38</v>
      </c>
      <c r="N53" s="71"/>
      <c r="O53" s="71"/>
      <c r="P53" s="72"/>
      <c r="Q53" s="71"/>
      <c r="R53" s="104" t="str">
        <f t="shared" si="4"/>
        <v>Active</v>
      </c>
      <c r="S53" s="88">
        <f t="shared" si="11"/>
        <v>46175</v>
      </c>
      <c r="T53" s="97">
        <f t="shared" si="5"/>
        <v>0</v>
      </c>
      <c r="U53" s="73"/>
      <c r="V53" s="65"/>
    </row>
    <row r="54">
      <c r="A54" s="74" t="s">
        <v>110</v>
      </c>
      <c r="B54" s="75" t="s">
        <v>35</v>
      </c>
      <c r="C54" s="75" t="s">
        <v>36</v>
      </c>
      <c r="D54" s="76" t="str">
        <f t="shared" si="1"/>
        <v>Active</v>
      </c>
      <c r="E54" s="77">
        <v>46175.0</v>
      </c>
      <c r="F54" s="78"/>
      <c r="G54" s="79">
        <f t="shared" si="2"/>
        <v>4.133333333</v>
      </c>
      <c r="H54" s="80">
        <v>45951.0</v>
      </c>
      <c r="I54" s="79">
        <f t="shared" si="3"/>
        <v>0.6138888889</v>
      </c>
      <c r="J54" s="89">
        <v>81.0</v>
      </c>
      <c r="K54" s="89">
        <v>20.0</v>
      </c>
      <c r="L54" s="82" t="s">
        <v>64</v>
      </c>
      <c r="M54" s="82" t="s">
        <v>38</v>
      </c>
      <c r="N54" s="85"/>
      <c r="O54" s="85"/>
      <c r="P54" s="86"/>
      <c r="Q54" s="85"/>
      <c r="R54" s="102" t="str">
        <f t="shared" si="4"/>
        <v>Active</v>
      </c>
      <c r="S54" s="90">
        <f t="shared" si="11"/>
        <v>46175</v>
      </c>
      <c r="T54" s="103">
        <f t="shared" si="5"/>
        <v>0</v>
      </c>
      <c r="U54" s="87"/>
      <c r="V54" s="79"/>
    </row>
    <row r="55">
      <c r="A55" s="53" t="s">
        <v>111</v>
      </c>
      <c r="B55" s="54" t="s">
        <v>35</v>
      </c>
      <c r="C55" s="54" t="s">
        <v>36</v>
      </c>
      <c r="D55" s="59" t="str">
        <f t="shared" si="1"/>
        <v>Active</v>
      </c>
      <c r="E55" s="61">
        <v>46170.0</v>
      </c>
      <c r="F55" s="62"/>
      <c r="G55" s="65">
        <f t="shared" si="2"/>
        <v>4.266666667</v>
      </c>
      <c r="H55" s="67">
        <v>45953.0</v>
      </c>
      <c r="I55" s="65">
        <f t="shared" si="3"/>
        <v>0.5972222222</v>
      </c>
      <c r="J55" s="92">
        <v>80.0</v>
      </c>
      <c r="K55" s="92">
        <v>9.0</v>
      </c>
      <c r="L55" s="69" t="s">
        <v>112</v>
      </c>
      <c r="M55" s="69" t="s">
        <v>38</v>
      </c>
      <c r="N55" s="70"/>
      <c r="O55" s="71"/>
      <c r="P55" s="72"/>
      <c r="Q55" s="71"/>
      <c r="R55" s="104" t="str">
        <f t="shared" si="4"/>
        <v>Active</v>
      </c>
      <c r="S55" s="88">
        <f t="shared" si="11"/>
        <v>46170</v>
      </c>
      <c r="T55" s="97">
        <f t="shared" si="5"/>
        <v>0</v>
      </c>
      <c r="U55" s="73"/>
      <c r="V55" s="65"/>
    </row>
    <row r="56">
      <c r="A56" s="74" t="s">
        <v>113</v>
      </c>
      <c r="B56" s="75" t="s">
        <v>35</v>
      </c>
      <c r="C56" s="75" t="s">
        <v>36</v>
      </c>
      <c r="D56" s="76" t="str">
        <f t="shared" si="1"/>
        <v>Active</v>
      </c>
      <c r="E56" s="77">
        <v>46170.0</v>
      </c>
      <c r="F56" s="78"/>
      <c r="G56" s="79">
        <f t="shared" si="2"/>
        <v>4.266666667</v>
      </c>
      <c r="H56" s="80">
        <v>46170.0</v>
      </c>
      <c r="I56" s="79">
        <f t="shared" si="3"/>
        <v>0</v>
      </c>
      <c r="J56" s="89">
        <v>80.0</v>
      </c>
      <c r="K56" s="89">
        <v>12.0</v>
      </c>
      <c r="L56" s="82" t="s">
        <v>41</v>
      </c>
      <c r="M56" s="82" t="s">
        <v>38</v>
      </c>
      <c r="N56" s="84" t="s">
        <v>39</v>
      </c>
      <c r="O56" s="85"/>
      <c r="P56" s="86"/>
      <c r="Q56" s="85"/>
      <c r="R56" s="76" t="str">
        <f t="shared" si="4"/>
        <v>TBD</v>
      </c>
      <c r="S56" s="87"/>
      <c r="T56" s="79">
        <f t="shared" si="5"/>
        <v>4.266666667</v>
      </c>
      <c r="U56" s="87"/>
      <c r="V56" s="79"/>
    </row>
    <row r="57">
      <c r="A57" s="53" t="s">
        <v>114</v>
      </c>
      <c r="B57" s="54" t="s">
        <v>35</v>
      </c>
      <c r="C57" s="54" t="s">
        <v>36</v>
      </c>
      <c r="D57" s="59" t="str">
        <f t="shared" si="1"/>
        <v>Active</v>
      </c>
      <c r="E57" s="61">
        <v>46170.0</v>
      </c>
      <c r="F57" s="62"/>
      <c r="G57" s="65">
        <f t="shared" si="2"/>
        <v>4.266666667</v>
      </c>
      <c r="H57" s="67">
        <v>46170.0</v>
      </c>
      <c r="I57" s="65">
        <f t="shared" si="3"/>
        <v>0</v>
      </c>
      <c r="J57" s="92">
        <v>78.0</v>
      </c>
      <c r="K57" s="92">
        <v>2.0</v>
      </c>
      <c r="L57" s="69" t="s">
        <v>64</v>
      </c>
      <c r="M57" s="69" t="s">
        <v>38</v>
      </c>
      <c r="N57" s="71"/>
      <c r="O57" s="71"/>
      <c r="P57" s="72"/>
      <c r="Q57" s="71"/>
      <c r="R57" s="104" t="str">
        <f t="shared" si="4"/>
        <v>Active</v>
      </c>
      <c r="S57" s="88">
        <f>E57</f>
        <v>46170</v>
      </c>
      <c r="T57" s="97">
        <f t="shared" si="5"/>
        <v>0</v>
      </c>
      <c r="U57" s="73"/>
      <c r="V57" s="65"/>
    </row>
    <row r="58">
      <c r="A58" s="74" t="s">
        <v>115</v>
      </c>
      <c r="B58" s="75" t="s">
        <v>35</v>
      </c>
      <c r="C58" s="75" t="s">
        <v>36</v>
      </c>
      <c r="D58" s="76" t="str">
        <f t="shared" si="1"/>
        <v>Active</v>
      </c>
      <c r="E58" s="77">
        <v>46169.0</v>
      </c>
      <c r="F58" s="78"/>
      <c r="G58" s="79">
        <f t="shared" si="2"/>
        <v>4.3</v>
      </c>
      <c r="H58" s="80">
        <v>46169.0</v>
      </c>
      <c r="I58" s="79">
        <f t="shared" si="3"/>
        <v>0</v>
      </c>
      <c r="J58" s="89">
        <v>70.0</v>
      </c>
      <c r="K58" s="89">
        <v>9.0</v>
      </c>
      <c r="L58" s="82" t="s">
        <v>46</v>
      </c>
      <c r="M58" s="82" t="s">
        <v>38</v>
      </c>
      <c r="N58" s="85"/>
      <c r="O58" s="85"/>
      <c r="P58" s="86"/>
      <c r="Q58" s="85"/>
      <c r="R58" s="76" t="str">
        <f t="shared" si="4"/>
        <v>TBD</v>
      </c>
      <c r="S58" s="87"/>
      <c r="T58" s="79">
        <f t="shared" si="5"/>
        <v>4.3</v>
      </c>
      <c r="U58" s="87"/>
      <c r="V58" s="79"/>
    </row>
    <row r="59">
      <c r="A59" s="53" t="s">
        <v>116</v>
      </c>
      <c r="B59" s="54" t="s">
        <v>35</v>
      </c>
      <c r="C59" s="54" t="s">
        <v>36</v>
      </c>
      <c r="D59" s="59" t="str">
        <f t="shared" si="1"/>
        <v>Active</v>
      </c>
      <c r="E59" s="61">
        <v>46169.0</v>
      </c>
      <c r="F59" s="62"/>
      <c r="G59" s="65">
        <f t="shared" si="2"/>
        <v>4.3</v>
      </c>
      <c r="H59" s="67">
        <v>44992.0</v>
      </c>
      <c r="I59" s="65">
        <f t="shared" si="3"/>
        <v>3.222222222</v>
      </c>
      <c r="J59" s="92">
        <v>82.0</v>
      </c>
      <c r="K59" s="92">
        <v>13.0</v>
      </c>
      <c r="L59" s="69" t="s">
        <v>46</v>
      </c>
      <c r="M59" s="69" t="s">
        <v>38</v>
      </c>
      <c r="N59" s="71"/>
      <c r="O59" s="71"/>
      <c r="P59" s="72"/>
      <c r="Q59" s="71"/>
      <c r="R59" s="104" t="str">
        <f t="shared" si="4"/>
        <v>Active</v>
      </c>
      <c r="S59" s="88">
        <f t="shared" ref="S59:S60" si="12">E59</f>
        <v>46169</v>
      </c>
      <c r="T59" s="97">
        <f t="shared" si="5"/>
        <v>0</v>
      </c>
      <c r="U59" s="73"/>
      <c r="V59" s="65"/>
    </row>
    <row r="60">
      <c r="A60" s="74" t="s">
        <v>117</v>
      </c>
      <c r="B60" s="75" t="s">
        <v>35</v>
      </c>
      <c r="C60" s="75" t="s">
        <v>36</v>
      </c>
      <c r="D60" s="76" t="str">
        <f t="shared" si="1"/>
        <v>Active</v>
      </c>
      <c r="E60" s="77">
        <v>46168.0</v>
      </c>
      <c r="F60" s="78"/>
      <c r="G60" s="79">
        <f t="shared" si="2"/>
        <v>4.333333333</v>
      </c>
      <c r="H60" s="80">
        <v>44491.0</v>
      </c>
      <c r="I60" s="79">
        <f t="shared" si="3"/>
        <v>4.594444444</v>
      </c>
      <c r="J60" s="89">
        <v>81.0</v>
      </c>
      <c r="K60" s="89">
        <v>6.0</v>
      </c>
      <c r="L60" s="82" t="s">
        <v>96</v>
      </c>
      <c r="M60" s="82" t="s">
        <v>38</v>
      </c>
      <c r="N60" s="85"/>
      <c r="O60" s="85"/>
      <c r="P60" s="86"/>
      <c r="Q60" s="85"/>
      <c r="R60" s="102" t="str">
        <f t="shared" si="4"/>
        <v>Active</v>
      </c>
      <c r="S60" s="90">
        <f t="shared" si="12"/>
        <v>46168</v>
      </c>
      <c r="T60" s="103">
        <f t="shared" si="5"/>
        <v>0</v>
      </c>
      <c r="U60" s="87"/>
      <c r="V60" s="79"/>
    </row>
    <row r="61">
      <c r="A61" s="53" t="s">
        <v>118</v>
      </c>
      <c r="B61" s="54" t="s">
        <v>35</v>
      </c>
      <c r="C61" s="54" t="s">
        <v>36</v>
      </c>
      <c r="D61" s="59" t="str">
        <f t="shared" si="1"/>
        <v>Active</v>
      </c>
      <c r="E61" s="61">
        <v>46163.0</v>
      </c>
      <c r="F61" s="62"/>
      <c r="G61" s="65">
        <f t="shared" si="2"/>
        <v>4.5</v>
      </c>
      <c r="H61" s="67">
        <v>46163.0</v>
      </c>
      <c r="I61" s="65">
        <f t="shared" si="3"/>
        <v>0</v>
      </c>
      <c r="J61" s="92">
        <v>81.0</v>
      </c>
      <c r="K61" s="92">
        <v>8.0</v>
      </c>
      <c r="L61" s="69" t="s">
        <v>37</v>
      </c>
      <c r="M61" s="69" t="s">
        <v>38</v>
      </c>
      <c r="N61" s="71"/>
      <c r="O61" s="71"/>
      <c r="P61" s="72"/>
      <c r="Q61" s="71"/>
      <c r="R61" s="59" t="str">
        <f t="shared" si="4"/>
        <v>TBD</v>
      </c>
      <c r="S61" s="73"/>
      <c r="T61" s="65">
        <f t="shared" si="5"/>
        <v>4.5</v>
      </c>
      <c r="U61" s="73"/>
      <c r="V61" s="65"/>
    </row>
    <row r="62">
      <c r="A62" s="74" t="s">
        <v>119</v>
      </c>
      <c r="B62" s="75" t="s">
        <v>35</v>
      </c>
      <c r="C62" s="75" t="s">
        <v>100</v>
      </c>
      <c r="D62" s="76" t="str">
        <f t="shared" si="1"/>
        <v>Active</v>
      </c>
      <c r="E62" s="77">
        <v>46162.0</v>
      </c>
      <c r="F62" s="78"/>
      <c r="G62" s="79">
        <f t="shared" si="2"/>
        <v>4.533333333</v>
      </c>
      <c r="H62" s="80">
        <v>44491.0</v>
      </c>
      <c r="I62" s="79">
        <f t="shared" si="3"/>
        <v>4.577777778</v>
      </c>
      <c r="J62" s="89">
        <v>67.0</v>
      </c>
      <c r="K62" s="89">
        <v>3.0</v>
      </c>
      <c r="L62" s="82" t="s">
        <v>41</v>
      </c>
      <c r="M62" s="83"/>
      <c r="N62" s="84" t="s">
        <v>120</v>
      </c>
      <c r="O62" s="85"/>
      <c r="P62" s="86"/>
      <c r="Q62" s="85"/>
      <c r="R62" s="102" t="str">
        <f t="shared" si="4"/>
        <v>Active</v>
      </c>
      <c r="S62" s="90">
        <f t="shared" ref="S62:S63" si="13">E62</f>
        <v>46162</v>
      </c>
      <c r="T62" s="103">
        <f t="shared" si="5"/>
        <v>0</v>
      </c>
      <c r="U62" s="87"/>
      <c r="V62" s="79"/>
    </row>
    <row r="63">
      <c r="A63" s="53" t="s">
        <v>121</v>
      </c>
      <c r="B63" s="54" t="s">
        <v>35</v>
      </c>
      <c r="C63" s="54" t="s">
        <v>36</v>
      </c>
      <c r="D63" s="59" t="str">
        <f t="shared" si="1"/>
        <v>Active</v>
      </c>
      <c r="E63" s="61">
        <v>46162.0</v>
      </c>
      <c r="F63" s="62"/>
      <c r="G63" s="65">
        <f t="shared" si="2"/>
        <v>4.533333333</v>
      </c>
      <c r="H63" s="67">
        <v>45132.0</v>
      </c>
      <c r="I63" s="65">
        <f t="shared" si="3"/>
        <v>2.819444444</v>
      </c>
      <c r="J63" s="92">
        <v>84.0</v>
      </c>
      <c r="K63" s="92">
        <v>18.0</v>
      </c>
      <c r="L63" s="69" t="s">
        <v>46</v>
      </c>
      <c r="M63" s="91"/>
      <c r="N63" s="70" t="s">
        <v>122</v>
      </c>
      <c r="O63" s="71"/>
      <c r="P63" s="72"/>
      <c r="Q63" s="71"/>
      <c r="R63" s="104" t="str">
        <f t="shared" si="4"/>
        <v>Active</v>
      </c>
      <c r="S63" s="88">
        <f t="shared" si="13"/>
        <v>46162</v>
      </c>
      <c r="T63" s="97">
        <f t="shared" si="5"/>
        <v>0</v>
      </c>
      <c r="U63" s="73"/>
      <c r="V63" s="65"/>
    </row>
    <row r="64">
      <c r="A64" s="74" t="s">
        <v>123</v>
      </c>
      <c r="B64" s="75" t="s">
        <v>35</v>
      </c>
      <c r="C64" s="75" t="s">
        <v>36</v>
      </c>
      <c r="D64" s="76" t="str">
        <f t="shared" si="1"/>
        <v>Active</v>
      </c>
      <c r="E64" s="77">
        <v>46161.0</v>
      </c>
      <c r="F64" s="78"/>
      <c r="G64" s="79">
        <f t="shared" si="2"/>
        <v>4.566666667</v>
      </c>
      <c r="H64" s="80">
        <v>46161.0</v>
      </c>
      <c r="I64" s="79">
        <f t="shared" si="3"/>
        <v>0</v>
      </c>
      <c r="J64" s="89">
        <v>92.0</v>
      </c>
      <c r="K64" s="89">
        <v>17.0</v>
      </c>
      <c r="L64" s="82" t="s">
        <v>55</v>
      </c>
      <c r="M64" s="82" t="s">
        <v>38</v>
      </c>
      <c r="N64" s="84" t="s">
        <v>39</v>
      </c>
      <c r="O64" s="85"/>
      <c r="P64" s="86"/>
      <c r="Q64" s="85"/>
      <c r="R64" s="76" t="str">
        <f t="shared" si="4"/>
        <v>TBD</v>
      </c>
      <c r="S64" s="87"/>
      <c r="T64" s="79">
        <f t="shared" si="5"/>
        <v>4.566666667</v>
      </c>
      <c r="U64" s="87"/>
      <c r="V64" s="79"/>
    </row>
    <row r="65">
      <c r="A65" s="53" t="s">
        <v>124</v>
      </c>
      <c r="B65" s="54" t="s">
        <v>35</v>
      </c>
      <c r="C65" s="54" t="s">
        <v>36</v>
      </c>
      <c r="D65" s="59" t="str">
        <f t="shared" si="1"/>
        <v>Active</v>
      </c>
      <c r="E65" s="61">
        <v>46156.0</v>
      </c>
      <c r="F65" s="62"/>
      <c r="G65" s="65">
        <f t="shared" si="2"/>
        <v>4.733333333</v>
      </c>
      <c r="H65" s="67">
        <v>46156.0</v>
      </c>
      <c r="I65" s="65">
        <f t="shared" si="3"/>
        <v>0</v>
      </c>
      <c r="J65" s="68"/>
      <c r="K65" s="92">
        <v>13.0</v>
      </c>
      <c r="L65" s="69" t="s">
        <v>41</v>
      </c>
      <c r="M65" s="91"/>
      <c r="N65" s="70" t="s">
        <v>39</v>
      </c>
      <c r="O65" s="71"/>
      <c r="P65" s="72"/>
      <c r="Q65" s="71"/>
      <c r="R65" s="59" t="str">
        <f t="shared" si="4"/>
        <v>TBD</v>
      </c>
      <c r="S65" s="73"/>
      <c r="T65" s="65">
        <f t="shared" si="5"/>
        <v>4.733333333</v>
      </c>
      <c r="U65" s="73"/>
      <c r="V65" s="65"/>
    </row>
    <row r="66">
      <c r="A66" s="74" t="s">
        <v>125</v>
      </c>
      <c r="B66" s="75" t="s">
        <v>35</v>
      </c>
      <c r="C66" s="75" t="s">
        <v>36</v>
      </c>
      <c r="D66" s="76" t="str">
        <f t="shared" si="1"/>
        <v>Active</v>
      </c>
      <c r="E66" s="77">
        <v>46154.0</v>
      </c>
      <c r="F66" s="78"/>
      <c r="G66" s="79">
        <f t="shared" si="2"/>
        <v>4.8</v>
      </c>
      <c r="H66" s="80">
        <v>46154.0</v>
      </c>
      <c r="I66" s="79">
        <f t="shared" si="3"/>
        <v>0</v>
      </c>
      <c r="J66" s="89">
        <v>82.0</v>
      </c>
      <c r="K66" s="89">
        <v>6.0</v>
      </c>
      <c r="L66" s="82" t="s">
        <v>126</v>
      </c>
      <c r="M66" s="82" t="s">
        <v>38</v>
      </c>
      <c r="N66" s="84" t="s">
        <v>39</v>
      </c>
      <c r="O66" s="85"/>
      <c r="P66" s="86"/>
      <c r="Q66" s="85"/>
      <c r="R66" s="76" t="str">
        <f t="shared" si="4"/>
        <v>TBD</v>
      </c>
      <c r="S66" s="87"/>
      <c r="T66" s="79">
        <f t="shared" si="5"/>
        <v>4.8</v>
      </c>
      <c r="U66" s="87"/>
      <c r="V66" s="79"/>
    </row>
    <row r="67">
      <c r="A67" s="53" t="s">
        <v>127</v>
      </c>
      <c r="B67" s="54" t="s">
        <v>35</v>
      </c>
      <c r="C67" s="54" t="s">
        <v>36</v>
      </c>
      <c r="D67" s="59" t="str">
        <f t="shared" si="1"/>
        <v>Active</v>
      </c>
      <c r="E67" s="61">
        <v>46154.0</v>
      </c>
      <c r="F67" s="62"/>
      <c r="G67" s="65">
        <f t="shared" si="2"/>
        <v>4.8</v>
      </c>
      <c r="H67" s="67">
        <v>46154.0</v>
      </c>
      <c r="I67" s="65">
        <f t="shared" si="3"/>
        <v>0</v>
      </c>
      <c r="J67" s="92">
        <v>76.0</v>
      </c>
      <c r="K67" s="92">
        <v>6.0</v>
      </c>
      <c r="L67" s="69" t="s">
        <v>41</v>
      </c>
      <c r="M67" s="69" t="s">
        <v>38</v>
      </c>
      <c r="N67" s="70" t="s">
        <v>39</v>
      </c>
      <c r="O67" s="71"/>
      <c r="P67" s="72"/>
      <c r="Q67" s="71"/>
      <c r="R67" s="59" t="str">
        <f t="shared" si="4"/>
        <v>TBD</v>
      </c>
      <c r="S67" s="73"/>
      <c r="T67" s="65">
        <f t="shared" si="5"/>
        <v>4.8</v>
      </c>
      <c r="U67" s="73"/>
      <c r="V67" s="65"/>
    </row>
    <row r="68">
      <c r="A68" s="74" t="s">
        <v>128</v>
      </c>
      <c r="B68" s="75" t="s">
        <v>129</v>
      </c>
      <c r="C68" s="75" t="s">
        <v>36</v>
      </c>
      <c r="D68" s="76" t="str">
        <f t="shared" si="1"/>
        <v>Active</v>
      </c>
      <c r="E68" s="77">
        <v>46154.0</v>
      </c>
      <c r="F68" s="78"/>
      <c r="G68" s="79">
        <f t="shared" si="2"/>
        <v>4.8</v>
      </c>
      <c r="H68" s="80">
        <v>41989.0</v>
      </c>
      <c r="I68" s="79">
        <f t="shared" si="3"/>
        <v>11.40555556</v>
      </c>
      <c r="J68" s="89">
        <v>80.0</v>
      </c>
      <c r="K68" s="89">
        <v>113.0</v>
      </c>
      <c r="L68" s="82" t="s">
        <v>130</v>
      </c>
      <c r="M68" s="83"/>
      <c r="N68" s="109" t="s">
        <v>131</v>
      </c>
      <c r="O68" s="85"/>
      <c r="P68" s="86"/>
      <c r="Q68" s="85"/>
      <c r="R68" s="102" t="str">
        <f t="shared" si="4"/>
        <v>Active</v>
      </c>
      <c r="S68" s="90">
        <f>E68</f>
        <v>46154</v>
      </c>
      <c r="T68" s="103">
        <f t="shared" si="5"/>
        <v>0</v>
      </c>
      <c r="U68" s="87"/>
      <c r="V68" s="79"/>
    </row>
    <row r="69">
      <c r="A69" s="53" t="s">
        <v>132</v>
      </c>
      <c r="B69" s="54" t="s">
        <v>35</v>
      </c>
      <c r="C69" s="54" t="s">
        <v>36</v>
      </c>
      <c r="D69" s="59" t="str">
        <f t="shared" si="1"/>
        <v>Active</v>
      </c>
      <c r="E69" s="61">
        <v>46153.0</v>
      </c>
      <c r="F69" s="62"/>
      <c r="G69" s="65">
        <f t="shared" si="2"/>
        <v>4.833333333</v>
      </c>
      <c r="H69" s="67">
        <v>46153.0</v>
      </c>
      <c r="I69" s="65">
        <f t="shared" si="3"/>
        <v>0</v>
      </c>
      <c r="J69" s="92">
        <v>64.0</v>
      </c>
      <c r="K69" s="92">
        <v>15.0</v>
      </c>
      <c r="L69" s="69" t="s">
        <v>133</v>
      </c>
      <c r="M69" s="91"/>
      <c r="N69" s="71"/>
      <c r="O69" s="71"/>
      <c r="P69" s="72"/>
      <c r="Q69" s="71"/>
      <c r="R69" s="59" t="str">
        <f t="shared" si="4"/>
        <v>TBD</v>
      </c>
      <c r="S69" s="73"/>
      <c r="T69" s="65">
        <f t="shared" si="5"/>
        <v>4.833333333</v>
      </c>
      <c r="U69" s="73"/>
      <c r="V69" s="65"/>
    </row>
    <row r="70">
      <c r="A70" s="74" t="s">
        <v>134</v>
      </c>
      <c r="B70" s="75" t="s">
        <v>35</v>
      </c>
      <c r="C70" s="75" t="s">
        <v>36</v>
      </c>
      <c r="D70" s="76" t="str">
        <f t="shared" si="1"/>
        <v>Active</v>
      </c>
      <c r="E70" s="77">
        <v>46149.0</v>
      </c>
      <c r="F70" s="78"/>
      <c r="G70" s="79">
        <f t="shared" si="2"/>
        <v>4.966666667</v>
      </c>
      <c r="H70" s="80">
        <v>46148.0</v>
      </c>
      <c r="I70" s="79">
        <f t="shared" si="3"/>
        <v>0.002777777778</v>
      </c>
      <c r="J70" s="89">
        <v>86.0</v>
      </c>
      <c r="K70" s="89">
        <v>3.0</v>
      </c>
      <c r="L70" s="82" t="s">
        <v>135</v>
      </c>
      <c r="M70" s="82" t="s">
        <v>38</v>
      </c>
      <c r="N70" s="84" t="s">
        <v>39</v>
      </c>
      <c r="O70" s="85"/>
      <c r="P70" s="86"/>
      <c r="Q70" s="85"/>
      <c r="R70" s="76" t="str">
        <f t="shared" si="4"/>
        <v>TBD</v>
      </c>
      <c r="S70" s="87"/>
      <c r="T70" s="79">
        <f t="shared" si="5"/>
        <v>4.966666667</v>
      </c>
      <c r="U70" s="87"/>
      <c r="V70" s="79"/>
    </row>
    <row r="71">
      <c r="A71" s="53" t="s">
        <v>136</v>
      </c>
      <c r="B71" s="54" t="s">
        <v>35</v>
      </c>
      <c r="C71" s="54" t="s">
        <v>100</v>
      </c>
      <c r="D71" s="59" t="str">
        <f t="shared" si="1"/>
        <v>Active</v>
      </c>
      <c r="E71" s="61">
        <v>46148.0</v>
      </c>
      <c r="F71" s="62"/>
      <c r="G71" s="65">
        <f t="shared" si="2"/>
        <v>5</v>
      </c>
      <c r="H71" s="67">
        <v>44113.0</v>
      </c>
      <c r="I71" s="65">
        <f t="shared" si="3"/>
        <v>5.575</v>
      </c>
      <c r="J71" s="92">
        <v>70.0</v>
      </c>
      <c r="K71" s="92">
        <v>5.0</v>
      </c>
      <c r="L71" s="69" t="s">
        <v>41</v>
      </c>
      <c r="M71" s="91"/>
      <c r="N71" s="110" t="s">
        <v>137</v>
      </c>
      <c r="O71" s="71"/>
      <c r="P71" s="72"/>
      <c r="Q71" s="71"/>
      <c r="R71" s="104" t="str">
        <f t="shared" si="4"/>
        <v>Active</v>
      </c>
      <c r="S71" s="88">
        <f t="shared" ref="S71:S73" si="14">E71</f>
        <v>46148</v>
      </c>
      <c r="T71" s="97">
        <f t="shared" si="5"/>
        <v>0</v>
      </c>
      <c r="U71" s="73"/>
      <c r="V71" s="65"/>
    </row>
    <row r="72">
      <c r="A72" s="74" t="s">
        <v>138</v>
      </c>
      <c r="B72" s="75" t="s">
        <v>35</v>
      </c>
      <c r="C72" s="75" t="s">
        <v>36</v>
      </c>
      <c r="D72" s="76" t="str">
        <f t="shared" si="1"/>
        <v>Active</v>
      </c>
      <c r="E72" s="77">
        <v>46148.0</v>
      </c>
      <c r="F72" s="78"/>
      <c r="G72" s="79">
        <f t="shared" si="2"/>
        <v>5</v>
      </c>
      <c r="H72" s="80">
        <v>45860.0</v>
      </c>
      <c r="I72" s="79">
        <f t="shared" si="3"/>
        <v>0.7888888889</v>
      </c>
      <c r="J72" s="89">
        <v>72.0</v>
      </c>
      <c r="K72" s="89">
        <v>19.0</v>
      </c>
      <c r="L72" s="82" t="s">
        <v>37</v>
      </c>
      <c r="M72" s="82" t="s">
        <v>38</v>
      </c>
      <c r="N72" s="85"/>
      <c r="O72" s="85"/>
      <c r="P72" s="86"/>
      <c r="Q72" s="85"/>
      <c r="R72" s="102" t="str">
        <f t="shared" si="4"/>
        <v>Active</v>
      </c>
      <c r="S72" s="90">
        <f t="shared" si="14"/>
        <v>46148</v>
      </c>
      <c r="T72" s="103">
        <f t="shared" si="5"/>
        <v>0</v>
      </c>
      <c r="U72" s="87"/>
      <c r="V72" s="79"/>
    </row>
    <row r="73">
      <c r="A73" s="53" t="s">
        <v>139</v>
      </c>
      <c r="B73" s="54" t="s">
        <v>35</v>
      </c>
      <c r="C73" s="54" t="s">
        <v>36</v>
      </c>
      <c r="D73" s="59" t="str">
        <f t="shared" si="1"/>
        <v>Active</v>
      </c>
      <c r="E73" s="61">
        <v>46147.0</v>
      </c>
      <c r="F73" s="62"/>
      <c r="G73" s="65">
        <f t="shared" si="2"/>
        <v>5.033333333</v>
      </c>
      <c r="H73" s="67">
        <v>39027.0</v>
      </c>
      <c r="I73" s="65">
        <f t="shared" si="3"/>
        <v>19.49722222</v>
      </c>
      <c r="J73" s="92">
        <v>82.0</v>
      </c>
      <c r="K73" s="92">
        <v>31.0</v>
      </c>
      <c r="L73" s="69" t="s">
        <v>46</v>
      </c>
      <c r="M73" s="69" t="s">
        <v>38</v>
      </c>
      <c r="N73" s="71"/>
      <c r="O73" s="71"/>
      <c r="P73" s="72"/>
      <c r="Q73" s="71"/>
      <c r="R73" s="104" t="str">
        <f t="shared" si="4"/>
        <v>Active</v>
      </c>
      <c r="S73" s="88">
        <f t="shared" si="14"/>
        <v>46147</v>
      </c>
      <c r="T73" s="97">
        <f t="shared" si="5"/>
        <v>0</v>
      </c>
      <c r="U73" s="73"/>
      <c r="V73" s="65"/>
    </row>
    <row r="74">
      <c r="A74" s="74" t="s">
        <v>140</v>
      </c>
      <c r="B74" s="75" t="s">
        <v>35</v>
      </c>
      <c r="C74" s="75" t="s">
        <v>36</v>
      </c>
      <c r="D74" s="76" t="str">
        <f t="shared" si="1"/>
        <v>Active</v>
      </c>
      <c r="E74" s="77">
        <v>46147.0</v>
      </c>
      <c r="F74" s="78"/>
      <c r="G74" s="79">
        <f t="shared" si="2"/>
        <v>5.033333333</v>
      </c>
      <c r="H74" s="80">
        <v>46147.0</v>
      </c>
      <c r="I74" s="79">
        <f t="shared" si="3"/>
        <v>0</v>
      </c>
      <c r="J74" s="89">
        <v>79.0</v>
      </c>
      <c r="K74" s="89">
        <v>8.0</v>
      </c>
      <c r="L74" s="82" t="s">
        <v>41</v>
      </c>
      <c r="M74" s="83"/>
      <c r="N74" s="85"/>
      <c r="O74" s="85"/>
      <c r="P74" s="86"/>
      <c r="Q74" s="85"/>
      <c r="R74" s="76" t="str">
        <f t="shared" si="4"/>
        <v>TBD</v>
      </c>
      <c r="S74" s="87"/>
      <c r="T74" s="79">
        <f t="shared" si="5"/>
        <v>5.033333333</v>
      </c>
      <c r="U74" s="87"/>
      <c r="V74" s="79"/>
    </row>
    <row r="75">
      <c r="A75" s="53" t="s">
        <v>141</v>
      </c>
      <c r="B75" s="54" t="s">
        <v>13</v>
      </c>
      <c r="C75" s="59"/>
      <c r="D75" s="59" t="str">
        <f t="shared" si="1"/>
        <v>Active</v>
      </c>
      <c r="E75" s="61">
        <v>46142.0</v>
      </c>
      <c r="F75" s="62"/>
      <c r="G75" s="65">
        <f t="shared" si="2"/>
        <v>5.2</v>
      </c>
      <c r="H75" s="67">
        <v>46142.0</v>
      </c>
      <c r="I75" s="65">
        <f t="shared" si="3"/>
        <v>0</v>
      </c>
      <c r="J75" s="92">
        <v>80.0</v>
      </c>
      <c r="K75" s="92">
        <v>18.0</v>
      </c>
      <c r="L75" s="69" t="s">
        <v>81</v>
      </c>
      <c r="M75" s="91"/>
      <c r="N75" s="71"/>
      <c r="O75" s="71"/>
      <c r="P75" s="72"/>
      <c r="Q75" s="71"/>
      <c r="R75" s="59" t="str">
        <f t="shared" si="4"/>
        <v>TBD</v>
      </c>
      <c r="S75" s="73"/>
      <c r="T75" s="65">
        <f t="shared" si="5"/>
        <v>5.2</v>
      </c>
      <c r="U75" s="73"/>
      <c r="V75" s="65"/>
    </row>
    <row r="76">
      <c r="A76" s="74" t="s">
        <v>142</v>
      </c>
      <c r="B76" s="75" t="s">
        <v>35</v>
      </c>
      <c r="C76" s="75" t="s">
        <v>36</v>
      </c>
      <c r="D76" s="76" t="str">
        <f t="shared" si="1"/>
        <v>Active</v>
      </c>
      <c r="E76" s="77">
        <v>46142.0</v>
      </c>
      <c r="F76" s="78"/>
      <c r="G76" s="79">
        <f t="shared" si="2"/>
        <v>5.2</v>
      </c>
      <c r="H76" s="80">
        <v>46142.0</v>
      </c>
      <c r="I76" s="79">
        <f t="shared" si="3"/>
        <v>0</v>
      </c>
      <c r="J76" s="89">
        <v>82.0</v>
      </c>
      <c r="K76" s="89">
        <v>7.0</v>
      </c>
      <c r="L76" s="82" t="s">
        <v>41</v>
      </c>
      <c r="M76" s="82"/>
      <c r="N76" s="84" t="s">
        <v>39</v>
      </c>
      <c r="O76" s="85"/>
      <c r="P76" s="86"/>
      <c r="Q76" s="85"/>
      <c r="R76" s="76" t="str">
        <f t="shared" si="4"/>
        <v>TBD</v>
      </c>
      <c r="S76" s="87"/>
      <c r="T76" s="79">
        <f t="shared" si="5"/>
        <v>5.2</v>
      </c>
      <c r="U76" s="87"/>
      <c r="V76" s="79"/>
    </row>
    <row r="77">
      <c r="A77" s="53" t="s">
        <v>143</v>
      </c>
      <c r="B77" s="54" t="s">
        <v>35</v>
      </c>
      <c r="C77" s="54" t="s">
        <v>36</v>
      </c>
      <c r="D77" s="59" t="str">
        <f t="shared" si="1"/>
        <v>Active</v>
      </c>
      <c r="E77" s="61">
        <v>46142.0</v>
      </c>
      <c r="F77" s="62"/>
      <c r="G77" s="65">
        <f t="shared" si="2"/>
        <v>5.2</v>
      </c>
      <c r="H77" s="67">
        <v>46142.0</v>
      </c>
      <c r="I77" s="65">
        <f t="shared" si="3"/>
        <v>0</v>
      </c>
      <c r="J77" s="92">
        <v>60.0</v>
      </c>
      <c r="K77" s="92">
        <v>27.0</v>
      </c>
      <c r="L77" s="69" t="s">
        <v>62</v>
      </c>
      <c r="M77" s="69" t="s">
        <v>38</v>
      </c>
      <c r="N77" s="71"/>
      <c r="O77" s="71"/>
      <c r="P77" s="72"/>
      <c r="Q77" s="71"/>
      <c r="R77" s="59" t="str">
        <f t="shared" si="4"/>
        <v>TBD</v>
      </c>
      <c r="S77" s="73"/>
      <c r="T77" s="65">
        <f t="shared" si="5"/>
        <v>5.2</v>
      </c>
      <c r="U77" s="73"/>
      <c r="V77" s="65"/>
    </row>
    <row r="78">
      <c r="A78" s="74" t="s">
        <v>144</v>
      </c>
      <c r="B78" s="75" t="s">
        <v>35</v>
      </c>
      <c r="C78" s="75" t="s">
        <v>36</v>
      </c>
      <c r="D78" s="76" t="str">
        <f t="shared" si="1"/>
        <v>Active</v>
      </c>
      <c r="E78" s="77">
        <v>46142.0</v>
      </c>
      <c r="F78" s="78"/>
      <c r="G78" s="79">
        <f t="shared" si="2"/>
        <v>5.2</v>
      </c>
      <c r="H78" s="80">
        <v>46142.0</v>
      </c>
      <c r="I78" s="79">
        <f t="shared" si="3"/>
        <v>0</v>
      </c>
      <c r="J78" s="89">
        <v>85.0</v>
      </c>
      <c r="K78" s="89">
        <v>4.0</v>
      </c>
      <c r="L78" s="82" t="s">
        <v>41</v>
      </c>
      <c r="M78" s="82" t="s">
        <v>38</v>
      </c>
      <c r="N78" s="85"/>
      <c r="O78" s="85"/>
      <c r="P78" s="86"/>
      <c r="Q78" s="85"/>
      <c r="R78" s="76" t="str">
        <f t="shared" si="4"/>
        <v>TBD</v>
      </c>
      <c r="S78" s="87"/>
      <c r="T78" s="79">
        <f t="shared" si="5"/>
        <v>5.2</v>
      </c>
      <c r="U78" s="87"/>
      <c r="V78" s="79"/>
    </row>
    <row r="79">
      <c r="A79" s="53" t="s">
        <v>145</v>
      </c>
      <c r="B79" s="54" t="s">
        <v>35</v>
      </c>
      <c r="C79" s="54" t="s">
        <v>36</v>
      </c>
      <c r="D79" s="59" t="str">
        <f t="shared" si="1"/>
        <v>Active</v>
      </c>
      <c r="E79" s="61">
        <v>46141.0</v>
      </c>
      <c r="F79" s="62"/>
      <c r="G79" s="65">
        <f t="shared" si="2"/>
        <v>5.233333333</v>
      </c>
      <c r="H79" s="67">
        <v>45098.0</v>
      </c>
      <c r="I79" s="65">
        <f t="shared" si="3"/>
        <v>2.855555556</v>
      </c>
      <c r="J79" s="92">
        <v>79.0</v>
      </c>
      <c r="K79" s="92">
        <v>5.0</v>
      </c>
      <c r="L79" s="69" t="s">
        <v>37</v>
      </c>
      <c r="M79" s="69" t="s">
        <v>38</v>
      </c>
      <c r="N79" s="71"/>
      <c r="O79" s="71"/>
      <c r="P79" s="72"/>
      <c r="Q79" s="71"/>
      <c r="R79" s="104" t="str">
        <f t="shared" si="4"/>
        <v>Active</v>
      </c>
      <c r="S79" s="88">
        <f>E79</f>
        <v>46141</v>
      </c>
      <c r="T79" s="97">
        <f t="shared" si="5"/>
        <v>0</v>
      </c>
      <c r="U79" s="73"/>
      <c r="V79" s="65"/>
    </row>
    <row r="80">
      <c r="A80" s="74" t="s">
        <v>146</v>
      </c>
      <c r="B80" s="75" t="s">
        <v>35</v>
      </c>
      <c r="C80" s="75" t="s">
        <v>36</v>
      </c>
      <c r="D80" s="76" t="str">
        <f t="shared" si="1"/>
        <v>Active</v>
      </c>
      <c r="E80" s="77">
        <v>46140.0</v>
      </c>
      <c r="F80" s="78"/>
      <c r="G80" s="79">
        <f t="shared" si="2"/>
        <v>5.266666667</v>
      </c>
      <c r="H80" s="80">
        <v>46140.0</v>
      </c>
      <c r="I80" s="79">
        <f t="shared" si="3"/>
        <v>0</v>
      </c>
      <c r="J80" s="89">
        <v>63.0</v>
      </c>
      <c r="K80" s="89">
        <v>7.0</v>
      </c>
      <c r="L80" s="82" t="s">
        <v>41</v>
      </c>
      <c r="M80" s="82" t="s">
        <v>38</v>
      </c>
      <c r="N80" s="84" t="s">
        <v>39</v>
      </c>
      <c r="O80" s="85"/>
      <c r="P80" s="86"/>
      <c r="Q80" s="85"/>
      <c r="R80" s="76" t="str">
        <f t="shared" si="4"/>
        <v>TBD</v>
      </c>
      <c r="S80" s="87"/>
      <c r="T80" s="79">
        <f t="shared" si="5"/>
        <v>5.266666667</v>
      </c>
      <c r="U80" s="87"/>
      <c r="V80" s="79"/>
    </row>
    <row r="81">
      <c r="A81" s="53" t="s">
        <v>147</v>
      </c>
      <c r="B81" s="54" t="s">
        <v>35</v>
      </c>
      <c r="C81" s="54" t="s">
        <v>36</v>
      </c>
      <c r="D81" s="59" t="str">
        <f t="shared" si="1"/>
        <v>Active</v>
      </c>
      <c r="E81" s="61">
        <v>46135.0</v>
      </c>
      <c r="F81" s="62"/>
      <c r="G81" s="65">
        <f t="shared" si="2"/>
        <v>5.433333333</v>
      </c>
      <c r="H81" s="67">
        <v>46135.0</v>
      </c>
      <c r="I81" s="65">
        <f t="shared" si="3"/>
        <v>0</v>
      </c>
      <c r="J81" s="92">
        <v>68.0</v>
      </c>
      <c r="K81" s="92">
        <v>6.0</v>
      </c>
      <c r="L81" s="69" t="s">
        <v>37</v>
      </c>
      <c r="M81" s="69" t="s">
        <v>38</v>
      </c>
      <c r="N81" s="70" t="s">
        <v>39</v>
      </c>
      <c r="O81" s="71"/>
      <c r="P81" s="72"/>
      <c r="Q81" s="71"/>
      <c r="R81" s="59" t="str">
        <f t="shared" si="4"/>
        <v>TBD</v>
      </c>
      <c r="S81" s="73"/>
      <c r="T81" s="65">
        <f t="shared" si="5"/>
        <v>5.433333333</v>
      </c>
      <c r="U81" s="73"/>
      <c r="V81" s="65"/>
    </row>
    <row r="82">
      <c r="A82" s="74" t="s">
        <v>148</v>
      </c>
      <c r="B82" s="75" t="s">
        <v>35</v>
      </c>
      <c r="C82" s="75" t="s">
        <v>36</v>
      </c>
      <c r="D82" s="76" t="str">
        <f t="shared" si="1"/>
        <v>Active</v>
      </c>
      <c r="E82" s="77">
        <v>46133.0</v>
      </c>
      <c r="F82" s="78"/>
      <c r="G82" s="79">
        <f t="shared" si="2"/>
        <v>5.5</v>
      </c>
      <c r="H82" s="80">
        <v>46133.0</v>
      </c>
      <c r="I82" s="79">
        <f t="shared" si="3"/>
        <v>0</v>
      </c>
      <c r="J82" s="89">
        <v>83.0</v>
      </c>
      <c r="K82" s="89">
        <v>14.0</v>
      </c>
      <c r="L82" s="82" t="s">
        <v>50</v>
      </c>
      <c r="M82" s="82" t="s">
        <v>38</v>
      </c>
      <c r="N82" s="84" t="s">
        <v>39</v>
      </c>
      <c r="O82" s="85"/>
      <c r="P82" s="86"/>
      <c r="Q82" s="85"/>
      <c r="R82" s="76" t="str">
        <f t="shared" si="4"/>
        <v>TBD</v>
      </c>
      <c r="S82" s="87"/>
      <c r="T82" s="79">
        <f t="shared" si="5"/>
        <v>5.5</v>
      </c>
      <c r="U82" s="87"/>
      <c r="V82" s="79"/>
    </row>
    <row r="83">
      <c r="A83" s="53" t="s">
        <v>149</v>
      </c>
      <c r="B83" s="54" t="s">
        <v>35</v>
      </c>
      <c r="C83" s="54" t="s">
        <v>36</v>
      </c>
      <c r="D83" s="59" t="str">
        <f t="shared" si="1"/>
        <v>Active</v>
      </c>
      <c r="E83" s="61">
        <v>46129.0</v>
      </c>
      <c r="F83" s="62"/>
      <c r="G83" s="65">
        <f t="shared" si="2"/>
        <v>5.633333333</v>
      </c>
      <c r="H83" s="67">
        <v>43763.0</v>
      </c>
      <c r="I83" s="65">
        <f t="shared" si="3"/>
        <v>6.477777778</v>
      </c>
      <c r="J83" s="92">
        <v>80.0</v>
      </c>
      <c r="K83" s="92">
        <v>6.0</v>
      </c>
      <c r="L83" s="69" t="s">
        <v>37</v>
      </c>
      <c r="M83" s="91"/>
      <c r="N83" s="71"/>
      <c r="O83" s="71"/>
      <c r="P83" s="72"/>
      <c r="Q83" s="71"/>
      <c r="R83" s="104" t="str">
        <f t="shared" si="4"/>
        <v>Active</v>
      </c>
      <c r="S83" s="88">
        <f>E83</f>
        <v>46129</v>
      </c>
      <c r="T83" s="97">
        <f t="shared" si="5"/>
        <v>0</v>
      </c>
      <c r="U83" s="88"/>
      <c r="V83" s="97"/>
    </row>
    <row r="84">
      <c r="A84" s="74" t="s">
        <v>150</v>
      </c>
      <c r="B84" s="75" t="s">
        <v>129</v>
      </c>
      <c r="C84" s="75" t="s">
        <v>36</v>
      </c>
      <c r="D84" s="76" t="str">
        <f t="shared" si="1"/>
        <v>Active</v>
      </c>
      <c r="E84" s="77">
        <v>46128.0</v>
      </c>
      <c r="F84" s="78"/>
      <c r="G84" s="79">
        <f t="shared" si="2"/>
        <v>5.666666667</v>
      </c>
      <c r="H84" s="80">
        <v>45912.0</v>
      </c>
      <c r="I84" s="79">
        <f t="shared" si="3"/>
        <v>0.5944444444</v>
      </c>
      <c r="J84" s="89">
        <v>73.0</v>
      </c>
      <c r="K84" s="89">
        <v>20.0</v>
      </c>
      <c r="L84" s="82" t="s">
        <v>62</v>
      </c>
      <c r="M84" s="82" t="s">
        <v>38</v>
      </c>
      <c r="N84" s="85"/>
      <c r="O84" s="85"/>
      <c r="P84" s="86"/>
      <c r="Q84" s="85"/>
      <c r="R84" s="76" t="str">
        <f t="shared" si="4"/>
        <v>TBD</v>
      </c>
      <c r="S84" s="87"/>
      <c r="T84" s="79">
        <f t="shared" si="5"/>
        <v>5.666666667</v>
      </c>
      <c r="U84" s="87"/>
      <c r="V84" s="79"/>
    </row>
    <row r="85">
      <c r="A85" s="53" t="s">
        <v>151</v>
      </c>
      <c r="B85" s="54" t="s">
        <v>35</v>
      </c>
      <c r="C85" s="54" t="s">
        <v>36</v>
      </c>
      <c r="D85" s="59" t="str">
        <f t="shared" si="1"/>
        <v>Active</v>
      </c>
      <c r="E85" s="61">
        <v>46126.0</v>
      </c>
      <c r="F85" s="62"/>
      <c r="G85" s="65">
        <f t="shared" si="2"/>
        <v>5.733333333</v>
      </c>
      <c r="H85" s="67">
        <v>45925.0</v>
      </c>
      <c r="I85" s="65">
        <f t="shared" si="3"/>
        <v>0.5527777778</v>
      </c>
      <c r="J85" s="92">
        <v>95.0</v>
      </c>
      <c r="K85" s="92">
        <v>22.0</v>
      </c>
      <c r="L85" s="69" t="s">
        <v>46</v>
      </c>
      <c r="M85" s="69" t="s">
        <v>38</v>
      </c>
      <c r="N85" s="70" t="s">
        <v>39</v>
      </c>
      <c r="O85" s="71"/>
      <c r="P85" s="72"/>
      <c r="Q85" s="71"/>
      <c r="R85" s="104" t="str">
        <f t="shared" si="4"/>
        <v>Active</v>
      </c>
      <c r="S85" s="88">
        <f>E85</f>
        <v>46126</v>
      </c>
      <c r="T85" s="97">
        <f t="shared" si="5"/>
        <v>0</v>
      </c>
      <c r="U85" s="88"/>
      <c r="V85" s="97"/>
    </row>
    <row r="86">
      <c r="A86" s="74" t="s">
        <v>152</v>
      </c>
      <c r="B86" s="75" t="s">
        <v>35</v>
      </c>
      <c r="C86" s="75" t="s">
        <v>36</v>
      </c>
      <c r="D86" s="76" t="str">
        <f t="shared" si="1"/>
        <v>Active</v>
      </c>
      <c r="E86" s="77">
        <v>46126.0</v>
      </c>
      <c r="F86" s="78"/>
      <c r="G86" s="79">
        <f t="shared" si="2"/>
        <v>5.733333333</v>
      </c>
      <c r="H86" s="80">
        <v>46126.0</v>
      </c>
      <c r="I86" s="79">
        <f t="shared" si="3"/>
        <v>0</v>
      </c>
      <c r="J86" s="89">
        <v>76.0</v>
      </c>
      <c r="K86" s="89">
        <v>11.0</v>
      </c>
      <c r="L86" s="82" t="s">
        <v>41</v>
      </c>
      <c r="M86" s="82" t="s">
        <v>38</v>
      </c>
      <c r="N86" s="85"/>
      <c r="O86" s="85"/>
      <c r="P86" s="86"/>
      <c r="Q86" s="85"/>
      <c r="R86" s="76" t="str">
        <f t="shared" si="4"/>
        <v>TBD</v>
      </c>
      <c r="S86" s="87"/>
      <c r="T86" s="79">
        <f t="shared" si="5"/>
        <v>5.733333333</v>
      </c>
      <c r="U86" s="87"/>
      <c r="V86" s="79"/>
    </row>
    <row r="87">
      <c r="A87" s="53" t="s">
        <v>153</v>
      </c>
      <c r="B87" s="54" t="s">
        <v>35</v>
      </c>
      <c r="C87" s="54" t="s">
        <v>36</v>
      </c>
      <c r="D87" s="59" t="str">
        <f t="shared" si="1"/>
        <v>Active</v>
      </c>
      <c r="E87" s="61">
        <v>46126.0</v>
      </c>
      <c r="F87" s="62"/>
      <c r="G87" s="65">
        <f t="shared" si="2"/>
        <v>5.733333333</v>
      </c>
      <c r="H87" s="67">
        <v>45355.0</v>
      </c>
      <c r="I87" s="65">
        <f t="shared" si="3"/>
        <v>2.111111111</v>
      </c>
      <c r="J87" s="92">
        <v>74.0</v>
      </c>
      <c r="K87" s="92">
        <v>16.0</v>
      </c>
      <c r="L87" s="69" t="s">
        <v>46</v>
      </c>
      <c r="M87" s="69" t="s">
        <v>38</v>
      </c>
      <c r="N87" s="71"/>
      <c r="O87" s="71"/>
      <c r="P87" s="72"/>
      <c r="Q87" s="71"/>
      <c r="R87" s="104" t="str">
        <f t="shared" si="4"/>
        <v>Active</v>
      </c>
      <c r="S87" s="88">
        <f t="shared" ref="S87:S92" si="15">E87</f>
        <v>46126</v>
      </c>
      <c r="T87" s="97">
        <f t="shared" si="5"/>
        <v>0</v>
      </c>
      <c r="U87" s="88"/>
      <c r="V87" s="97"/>
    </row>
    <row r="88">
      <c r="A88" s="74" t="s">
        <v>154</v>
      </c>
      <c r="B88" s="75" t="s">
        <v>35</v>
      </c>
      <c r="C88" s="75" t="s">
        <v>36</v>
      </c>
      <c r="D88" s="76" t="str">
        <f t="shared" si="1"/>
        <v>Active</v>
      </c>
      <c r="E88" s="77">
        <v>46122.0</v>
      </c>
      <c r="F88" s="78"/>
      <c r="G88" s="79">
        <f t="shared" si="2"/>
        <v>5.866666667</v>
      </c>
      <c r="H88" s="80">
        <v>45876.0</v>
      </c>
      <c r="I88" s="79">
        <f t="shared" si="3"/>
        <v>0.675</v>
      </c>
      <c r="J88" s="89">
        <v>81.0</v>
      </c>
      <c r="K88" s="89">
        <v>16.0</v>
      </c>
      <c r="L88" s="82" t="s">
        <v>155</v>
      </c>
      <c r="M88" s="82" t="s">
        <v>38</v>
      </c>
      <c r="N88" s="84" t="s">
        <v>39</v>
      </c>
      <c r="O88" s="85"/>
      <c r="P88" s="86"/>
      <c r="Q88" s="85"/>
      <c r="R88" s="102" t="str">
        <f t="shared" si="4"/>
        <v>Active</v>
      </c>
      <c r="S88" s="90">
        <f t="shared" si="15"/>
        <v>46122</v>
      </c>
      <c r="T88" s="103">
        <f t="shared" si="5"/>
        <v>0</v>
      </c>
      <c r="U88" s="90"/>
      <c r="V88" s="103"/>
    </row>
    <row r="89">
      <c r="A89" s="53" t="s">
        <v>156</v>
      </c>
      <c r="B89" s="54" t="s">
        <v>35</v>
      </c>
      <c r="C89" s="54" t="s">
        <v>36</v>
      </c>
      <c r="D89" s="59" t="str">
        <f t="shared" si="1"/>
        <v>Active</v>
      </c>
      <c r="E89" s="61">
        <v>46121.0</v>
      </c>
      <c r="F89" s="62"/>
      <c r="G89" s="65">
        <f t="shared" si="2"/>
        <v>5.9</v>
      </c>
      <c r="H89" s="67">
        <v>45602.0</v>
      </c>
      <c r="I89" s="65">
        <f t="shared" si="3"/>
        <v>1.425</v>
      </c>
      <c r="J89" s="92">
        <v>76.0</v>
      </c>
      <c r="K89" s="92">
        <v>32.0</v>
      </c>
      <c r="L89" s="69" t="s">
        <v>64</v>
      </c>
      <c r="M89" s="69" t="s">
        <v>38</v>
      </c>
      <c r="N89" s="71"/>
      <c r="O89" s="71"/>
      <c r="P89" s="72"/>
      <c r="Q89" s="71"/>
      <c r="R89" s="104" t="str">
        <f t="shared" si="4"/>
        <v>Active</v>
      </c>
      <c r="S89" s="88">
        <f t="shared" si="15"/>
        <v>46121</v>
      </c>
      <c r="T89" s="97">
        <f t="shared" si="5"/>
        <v>0</v>
      </c>
      <c r="U89" s="88"/>
      <c r="V89" s="97"/>
    </row>
    <row r="90">
      <c r="A90" s="74" t="s">
        <v>157</v>
      </c>
      <c r="B90" s="75" t="s">
        <v>35</v>
      </c>
      <c r="C90" s="75" t="s">
        <v>36</v>
      </c>
      <c r="D90" s="76" t="str">
        <f t="shared" si="1"/>
        <v>Active</v>
      </c>
      <c r="E90" s="77">
        <v>46119.0</v>
      </c>
      <c r="F90" s="78"/>
      <c r="G90" s="79">
        <f t="shared" si="2"/>
        <v>5.966666667</v>
      </c>
      <c r="H90" s="80">
        <v>41899.0</v>
      </c>
      <c r="I90" s="79">
        <f t="shared" si="3"/>
        <v>11.55555556</v>
      </c>
      <c r="J90" s="89">
        <v>67.0</v>
      </c>
      <c r="K90" s="89">
        <v>23.0</v>
      </c>
      <c r="L90" s="82" t="s">
        <v>46</v>
      </c>
      <c r="M90" s="82" t="s">
        <v>38</v>
      </c>
      <c r="N90" s="85"/>
      <c r="O90" s="85"/>
      <c r="P90" s="86"/>
      <c r="Q90" s="85"/>
      <c r="R90" s="102" t="str">
        <f t="shared" si="4"/>
        <v>Active</v>
      </c>
      <c r="S90" s="112">
        <f t="shared" si="15"/>
        <v>46119</v>
      </c>
      <c r="T90" s="103">
        <f t="shared" si="5"/>
        <v>0</v>
      </c>
      <c r="U90" s="112"/>
      <c r="V90" s="103"/>
    </row>
    <row r="91">
      <c r="A91" s="53" t="s">
        <v>158</v>
      </c>
      <c r="B91" s="54" t="s">
        <v>35</v>
      </c>
      <c r="C91" s="54" t="s">
        <v>36</v>
      </c>
      <c r="D91" s="59" t="str">
        <f t="shared" si="1"/>
        <v>Active</v>
      </c>
      <c r="E91" s="61">
        <v>46114.0</v>
      </c>
      <c r="F91" s="62"/>
      <c r="G91" s="65">
        <f t="shared" si="2"/>
        <v>6.133333333</v>
      </c>
      <c r="H91" s="67">
        <v>39734.0</v>
      </c>
      <c r="I91" s="65">
        <f t="shared" si="3"/>
        <v>17.46944444</v>
      </c>
      <c r="J91" s="92">
        <v>80.0</v>
      </c>
      <c r="K91" s="92">
        <v>6.0</v>
      </c>
      <c r="L91" s="69" t="s">
        <v>41</v>
      </c>
      <c r="M91" s="91"/>
      <c r="N91" s="70" t="s">
        <v>39</v>
      </c>
      <c r="O91" s="71"/>
      <c r="P91" s="72"/>
      <c r="Q91" s="71"/>
      <c r="R91" s="104" t="str">
        <f t="shared" si="4"/>
        <v>Active</v>
      </c>
      <c r="S91" s="88">
        <f t="shared" si="15"/>
        <v>46114</v>
      </c>
      <c r="T91" s="97">
        <f t="shared" si="5"/>
        <v>0</v>
      </c>
      <c r="U91" s="88"/>
      <c r="V91" s="97"/>
    </row>
    <row r="92">
      <c r="A92" s="74" t="s">
        <v>159</v>
      </c>
      <c r="B92" s="75" t="s">
        <v>35</v>
      </c>
      <c r="C92" s="75" t="s">
        <v>36</v>
      </c>
      <c r="D92" s="76" t="str">
        <f t="shared" si="1"/>
        <v>Active</v>
      </c>
      <c r="E92" s="77">
        <v>46112.0</v>
      </c>
      <c r="F92" s="78"/>
      <c r="G92" s="79">
        <f t="shared" si="2"/>
        <v>6.2</v>
      </c>
      <c r="H92" s="80">
        <v>42759.0</v>
      </c>
      <c r="I92" s="79">
        <f t="shared" si="3"/>
        <v>9.183333333</v>
      </c>
      <c r="J92" s="89">
        <v>86.0</v>
      </c>
      <c r="K92" s="89">
        <v>9.0</v>
      </c>
      <c r="L92" s="82" t="s">
        <v>41</v>
      </c>
      <c r="M92" s="83"/>
      <c r="N92" s="109" t="s">
        <v>160</v>
      </c>
      <c r="O92" s="85"/>
      <c r="P92" s="86"/>
      <c r="Q92" s="85"/>
      <c r="R92" s="102" t="str">
        <f t="shared" si="4"/>
        <v>Active</v>
      </c>
      <c r="S92" s="90">
        <f t="shared" si="15"/>
        <v>46112</v>
      </c>
      <c r="T92" s="103">
        <f t="shared" si="5"/>
        <v>0</v>
      </c>
      <c r="U92" s="90"/>
      <c r="V92" s="103"/>
    </row>
    <row r="93">
      <c r="A93" s="53" t="s">
        <v>161</v>
      </c>
      <c r="B93" s="54" t="s">
        <v>35</v>
      </c>
      <c r="C93" s="54" t="s">
        <v>36</v>
      </c>
      <c r="D93" s="59" t="str">
        <f t="shared" si="1"/>
        <v>Active</v>
      </c>
      <c r="E93" s="61">
        <v>46112.0</v>
      </c>
      <c r="F93" s="62"/>
      <c r="G93" s="65">
        <f t="shared" si="2"/>
        <v>6.2</v>
      </c>
      <c r="H93" s="67">
        <v>46112.0</v>
      </c>
      <c r="I93" s="65">
        <f t="shared" si="3"/>
        <v>0</v>
      </c>
      <c r="J93" s="92">
        <v>75.0</v>
      </c>
      <c r="K93" s="92">
        <v>6.0</v>
      </c>
      <c r="L93" s="69" t="s">
        <v>57</v>
      </c>
      <c r="M93" s="69" t="s">
        <v>38</v>
      </c>
      <c r="N93" s="70" t="s">
        <v>39</v>
      </c>
      <c r="O93" s="71"/>
      <c r="P93" s="72"/>
      <c r="Q93" s="71"/>
      <c r="R93" s="59" t="str">
        <f t="shared" si="4"/>
        <v>TBD</v>
      </c>
      <c r="S93" s="73"/>
      <c r="T93" s="65">
        <f t="shared" si="5"/>
        <v>6.2</v>
      </c>
      <c r="U93" s="73"/>
      <c r="V93" s="65"/>
    </row>
    <row r="94">
      <c r="A94" s="74" t="s">
        <v>162</v>
      </c>
      <c r="B94" s="75" t="s">
        <v>35</v>
      </c>
      <c r="C94" s="75" t="s">
        <v>36</v>
      </c>
      <c r="D94" s="76" t="str">
        <f t="shared" si="1"/>
        <v>Active</v>
      </c>
      <c r="E94" s="77">
        <v>46111.0</v>
      </c>
      <c r="F94" s="78"/>
      <c r="G94" s="79">
        <f t="shared" si="2"/>
        <v>6.2</v>
      </c>
      <c r="H94" s="80">
        <v>42948.0</v>
      </c>
      <c r="I94" s="79">
        <f t="shared" si="3"/>
        <v>8.663888889</v>
      </c>
      <c r="J94" s="89">
        <v>77.0</v>
      </c>
      <c r="K94" s="89">
        <v>20.0</v>
      </c>
      <c r="L94" s="82" t="s">
        <v>41</v>
      </c>
      <c r="M94" s="83"/>
      <c r="N94" s="109" t="s">
        <v>163</v>
      </c>
      <c r="O94" s="85"/>
      <c r="P94" s="86"/>
      <c r="Q94" s="85"/>
      <c r="R94" s="102" t="str">
        <f t="shared" si="4"/>
        <v>Active</v>
      </c>
      <c r="S94" s="90">
        <f t="shared" ref="S94:S100" si="16">E94</f>
        <v>46111</v>
      </c>
      <c r="T94" s="103">
        <f t="shared" si="5"/>
        <v>0</v>
      </c>
      <c r="U94" s="90"/>
      <c r="V94" s="103"/>
    </row>
    <row r="95">
      <c r="A95" s="53" t="s">
        <v>164</v>
      </c>
      <c r="B95" s="54" t="s">
        <v>35</v>
      </c>
      <c r="C95" s="54" t="s">
        <v>36</v>
      </c>
      <c r="D95" s="59" t="str">
        <f t="shared" si="1"/>
        <v>Active</v>
      </c>
      <c r="E95" s="61">
        <v>46107.0</v>
      </c>
      <c r="F95" s="62"/>
      <c r="G95" s="65">
        <f t="shared" si="2"/>
        <v>6.333333333</v>
      </c>
      <c r="H95" s="67">
        <v>45918.0</v>
      </c>
      <c r="I95" s="65">
        <f t="shared" si="3"/>
        <v>0.5222222222</v>
      </c>
      <c r="J95" s="92">
        <v>73.0</v>
      </c>
      <c r="K95" s="92">
        <v>5.0</v>
      </c>
      <c r="L95" s="69" t="s">
        <v>41</v>
      </c>
      <c r="M95" s="91"/>
      <c r="N95" s="70" t="s">
        <v>39</v>
      </c>
      <c r="O95" s="71"/>
      <c r="P95" s="72"/>
      <c r="Q95" s="71"/>
      <c r="R95" s="104" t="str">
        <f t="shared" si="4"/>
        <v>Active</v>
      </c>
      <c r="S95" s="88">
        <f t="shared" si="16"/>
        <v>46107</v>
      </c>
      <c r="T95" s="97">
        <f t="shared" si="5"/>
        <v>0</v>
      </c>
      <c r="U95" s="88"/>
      <c r="V95" s="97"/>
    </row>
    <row r="96">
      <c r="A96" s="74" t="s">
        <v>165</v>
      </c>
      <c r="B96" s="75" t="s">
        <v>35</v>
      </c>
      <c r="C96" s="75" t="s">
        <v>36</v>
      </c>
      <c r="D96" s="76" t="str">
        <f t="shared" si="1"/>
        <v>Active</v>
      </c>
      <c r="E96" s="77">
        <v>46106.0</v>
      </c>
      <c r="F96" s="78"/>
      <c r="G96" s="79">
        <f t="shared" si="2"/>
        <v>6.366666667</v>
      </c>
      <c r="H96" s="80">
        <v>45939.0</v>
      </c>
      <c r="I96" s="79">
        <f t="shared" si="3"/>
        <v>0.4611111111</v>
      </c>
      <c r="J96" s="89">
        <v>87.0</v>
      </c>
      <c r="K96" s="89">
        <v>9.0</v>
      </c>
      <c r="L96" s="82" t="s">
        <v>166</v>
      </c>
      <c r="M96" s="82" t="s">
        <v>38</v>
      </c>
      <c r="N96" s="85"/>
      <c r="O96" s="85"/>
      <c r="P96" s="86"/>
      <c r="Q96" s="85"/>
      <c r="R96" s="102" t="str">
        <f t="shared" si="4"/>
        <v>Active</v>
      </c>
      <c r="S96" s="90">
        <f t="shared" si="16"/>
        <v>46106</v>
      </c>
      <c r="T96" s="103">
        <f t="shared" si="5"/>
        <v>0</v>
      </c>
      <c r="U96" s="90"/>
      <c r="V96" s="103"/>
    </row>
    <row r="97">
      <c r="A97" s="53" t="s">
        <v>167</v>
      </c>
      <c r="B97" s="54" t="s">
        <v>35</v>
      </c>
      <c r="C97" s="54" t="s">
        <v>36</v>
      </c>
      <c r="D97" s="59" t="str">
        <f t="shared" si="1"/>
        <v>Active</v>
      </c>
      <c r="E97" s="61">
        <v>46105.0</v>
      </c>
      <c r="F97" s="62"/>
      <c r="G97" s="65">
        <f t="shared" si="2"/>
        <v>6.4</v>
      </c>
      <c r="H97" s="67">
        <v>45317.0</v>
      </c>
      <c r="I97" s="65">
        <f t="shared" si="3"/>
        <v>2.161111111</v>
      </c>
      <c r="J97" s="92">
        <v>89.0</v>
      </c>
      <c r="K97" s="92">
        <v>45.0</v>
      </c>
      <c r="L97" s="69" t="s">
        <v>46</v>
      </c>
      <c r="M97" s="91"/>
      <c r="N97" s="70" t="s">
        <v>39</v>
      </c>
      <c r="O97" s="71"/>
      <c r="P97" s="72"/>
      <c r="Q97" s="71"/>
      <c r="R97" s="104" t="str">
        <f t="shared" si="4"/>
        <v>Active</v>
      </c>
      <c r="S97" s="88">
        <f t="shared" si="16"/>
        <v>46105</v>
      </c>
      <c r="T97" s="97">
        <f t="shared" si="5"/>
        <v>0</v>
      </c>
      <c r="U97" s="88"/>
      <c r="V97" s="97"/>
    </row>
    <row r="98">
      <c r="A98" s="74" t="s">
        <v>168</v>
      </c>
      <c r="B98" s="75" t="s">
        <v>35</v>
      </c>
      <c r="C98" s="75" t="s">
        <v>36</v>
      </c>
      <c r="D98" s="76" t="str">
        <f t="shared" si="1"/>
        <v>Active</v>
      </c>
      <c r="E98" s="77">
        <v>46100.0</v>
      </c>
      <c r="F98" s="78"/>
      <c r="G98" s="79">
        <f t="shared" si="2"/>
        <v>6.566666667</v>
      </c>
      <c r="H98" s="80">
        <v>43753.0</v>
      </c>
      <c r="I98" s="79">
        <f t="shared" si="3"/>
        <v>6.427777778</v>
      </c>
      <c r="J98" s="89">
        <v>91.0</v>
      </c>
      <c r="K98" s="89">
        <v>23.0</v>
      </c>
      <c r="L98" s="82" t="s">
        <v>46</v>
      </c>
      <c r="M98" s="82" t="s">
        <v>38</v>
      </c>
      <c r="N98" s="85"/>
      <c r="O98" s="85"/>
      <c r="P98" s="86"/>
      <c r="Q98" s="85"/>
      <c r="R98" s="102" t="str">
        <f t="shared" si="4"/>
        <v>Active</v>
      </c>
      <c r="S98" s="90">
        <f t="shared" si="16"/>
        <v>46100</v>
      </c>
      <c r="T98" s="103">
        <f t="shared" si="5"/>
        <v>0</v>
      </c>
      <c r="U98" s="90"/>
      <c r="V98" s="103"/>
    </row>
    <row r="99">
      <c r="A99" s="53" t="s">
        <v>169</v>
      </c>
      <c r="B99" s="54" t="s">
        <v>35</v>
      </c>
      <c r="C99" s="54" t="s">
        <v>36</v>
      </c>
      <c r="D99" s="59" t="str">
        <f t="shared" si="1"/>
        <v>Active</v>
      </c>
      <c r="E99" s="61">
        <v>46098.0</v>
      </c>
      <c r="F99" s="62"/>
      <c r="G99" s="65">
        <f t="shared" si="2"/>
        <v>6.633333333</v>
      </c>
      <c r="H99" s="67">
        <v>45919.0</v>
      </c>
      <c r="I99" s="65">
        <f t="shared" si="3"/>
        <v>0.4944444444</v>
      </c>
      <c r="J99" s="92">
        <v>80.0</v>
      </c>
      <c r="K99" s="92">
        <v>3.0</v>
      </c>
      <c r="L99" s="69" t="s">
        <v>41</v>
      </c>
      <c r="M99" s="69" t="s">
        <v>38</v>
      </c>
      <c r="N99" s="71"/>
      <c r="O99" s="71"/>
      <c r="P99" s="72"/>
      <c r="Q99" s="71"/>
      <c r="R99" s="104" t="str">
        <f t="shared" si="4"/>
        <v>Active</v>
      </c>
      <c r="S99" s="88">
        <f t="shared" si="16"/>
        <v>46098</v>
      </c>
      <c r="T99" s="97">
        <f t="shared" si="5"/>
        <v>0</v>
      </c>
      <c r="U99" s="88"/>
      <c r="V99" s="97"/>
    </row>
    <row r="100">
      <c r="A100" s="74" t="s">
        <v>170</v>
      </c>
      <c r="B100" s="75" t="s">
        <v>35</v>
      </c>
      <c r="C100" s="75" t="s">
        <v>36</v>
      </c>
      <c r="D100" s="76" t="str">
        <f t="shared" si="1"/>
        <v>Active</v>
      </c>
      <c r="E100" s="77">
        <v>46091.0</v>
      </c>
      <c r="F100" s="78"/>
      <c r="G100" s="79">
        <f t="shared" si="2"/>
        <v>6.866666667</v>
      </c>
      <c r="H100" s="80">
        <v>43775.0</v>
      </c>
      <c r="I100" s="79">
        <f t="shared" si="3"/>
        <v>6.344444444</v>
      </c>
      <c r="J100" s="89">
        <v>72.0</v>
      </c>
      <c r="K100" s="89">
        <v>43.0</v>
      </c>
      <c r="L100" s="82" t="s">
        <v>64</v>
      </c>
      <c r="M100" s="83"/>
      <c r="N100" s="85"/>
      <c r="O100" s="85"/>
      <c r="P100" s="86"/>
      <c r="Q100" s="85"/>
      <c r="R100" s="102" t="str">
        <f t="shared" si="4"/>
        <v>Active</v>
      </c>
      <c r="S100" s="90">
        <f t="shared" si="16"/>
        <v>46091</v>
      </c>
      <c r="T100" s="103">
        <f t="shared" si="5"/>
        <v>0</v>
      </c>
      <c r="U100" s="90"/>
      <c r="V100" s="103"/>
    </row>
    <row r="101">
      <c r="A101" s="53" t="s">
        <v>171</v>
      </c>
      <c r="B101" s="54" t="s">
        <v>35</v>
      </c>
      <c r="C101" s="54" t="s">
        <v>36</v>
      </c>
      <c r="D101" s="59" t="str">
        <f t="shared" si="1"/>
        <v>Active</v>
      </c>
      <c r="E101" s="61">
        <v>46086.0</v>
      </c>
      <c r="F101" s="62"/>
      <c r="G101" s="65">
        <f t="shared" si="2"/>
        <v>7.033333333</v>
      </c>
      <c r="H101" s="67">
        <v>46086.0</v>
      </c>
      <c r="I101" s="65">
        <f t="shared" si="3"/>
        <v>0</v>
      </c>
      <c r="J101" s="92">
        <v>83.0</v>
      </c>
      <c r="K101" s="92">
        <v>6.0</v>
      </c>
      <c r="L101" s="69" t="s">
        <v>41</v>
      </c>
      <c r="M101" s="69" t="s">
        <v>38</v>
      </c>
      <c r="N101" s="70" t="s">
        <v>39</v>
      </c>
      <c r="O101" s="71"/>
      <c r="P101" s="72"/>
      <c r="Q101" s="71"/>
      <c r="R101" s="59" t="str">
        <f t="shared" si="4"/>
        <v>Active</v>
      </c>
      <c r="S101" s="88">
        <v>46281.0</v>
      </c>
      <c r="T101" s="65">
        <f t="shared" si="5"/>
        <v>6.366666667</v>
      </c>
      <c r="U101" s="73"/>
      <c r="V101" s="65"/>
    </row>
    <row r="102">
      <c r="A102" s="74" t="s">
        <v>172</v>
      </c>
      <c r="B102" s="75" t="s">
        <v>35</v>
      </c>
      <c r="C102" s="75" t="s">
        <v>36</v>
      </c>
      <c r="D102" s="76" t="str">
        <f t="shared" si="1"/>
        <v>Active</v>
      </c>
      <c r="E102" s="77">
        <v>46085.0</v>
      </c>
      <c r="F102" s="78"/>
      <c r="G102" s="79">
        <f t="shared" si="2"/>
        <v>7.066666667</v>
      </c>
      <c r="H102" s="80">
        <v>46085.0</v>
      </c>
      <c r="I102" s="79">
        <f t="shared" si="3"/>
        <v>0</v>
      </c>
      <c r="J102" s="89">
        <v>80.0</v>
      </c>
      <c r="K102" s="89">
        <v>6.0</v>
      </c>
      <c r="L102" s="82" t="s">
        <v>55</v>
      </c>
      <c r="M102" s="82" t="s">
        <v>38</v>
      </c>
      <c r="N102" s="85"/>
      <c r="O102" s="85"/>
      <c r="P102" s="86"/>
      <c r="Q102" s="85"/>
      <c r="R102" s="76" t="str">
        <f t="shared" si="4"/>
        <v>TBD</v>
      </c>
      <c r="S102" s="87"/>
      <c r="T102" s="79">
        <f t="shared" si="5"/>
        <v>7.066666667</v>
      </c>
      <c r="U102" s="87"/>
      <c r="V102" s="79"/>
    </row>
    <row r="103">
      <c r="A103" s="53" t="s">
        <v>173</v>
      </c>
      <c r="B103" s="54" t="s">
        <v>35</v>
      </c>
      <c r="C103" s="54" t="s">
        <v>36</v>
      </c>
      <c r="D103" s="59" t="str">
        <f t="shared" si="1"/>
        <v>Active</v>
      </c>
      <c r="E103" s="61">
        <v>46084.0</v>
      </c>
      <c r="F103" s="62"/>
      <c r="G103" s="65">
        <f t="shared" si="2"/>
        <v>7.1</v>
      </c>
      <c r="H103" s="67">
        <v>33082.0</v>
      </c>
      <c r="I103" s="65">
        <f t="shared" si="3"/>
        <v>35.59722222</v>
      </c>
      <c r="J103" s="92">
        <v>77.0</v>
      </c>
      <c r="K103" s="92">
        <v>28.0</v>
      </c>
      <c r="L103" s="69" t="s">
        <v>46</v>
      </c>
      <c r="M103" s="69" t="s">
        <v>38</v>
      </c>
      <c r="N103" s="71"/>
      <c r="O103" s="71"/>
      <c r="P103" s="72"/>
      <c r="Q103" s="71"/>
      <c r="R103" s="104" t="str">
        <f t="shared" si="4"/>
        <v>Active</v>
      </c>
      <c r="S103" s="88">
        <f t="shared" ref="S103:S105" si="17">E103</f>
        <v>46084</v>
      </c>
      <c r="T103" s="97">
        <f t="shared" si="5"/>
        <v>0</v>
      </c>
      <c r="U103" s="88"/>
      <c r="V103" s="97"/>
    </row>
    <row r="104">
      <c r="A104" s="74" t="s">
        <v>174</v>
      </c>
      <c r="B104" s="75" t="s">
        <v>35</v>
      </c>
      <c r="C104" s="75" t="s">
        <v>36</v>
      </c>
      <c r="D104" s="76" t="str">
        <f t="shared" si="1"/>
        <v>Active</v>
      </c>
      <c r="E104" s="77">
        <v>46084.0</v>
      </c>
      <c r="F104" s="78"/>
      <c r="G104" s="79">
        <f t="shared" si="2"/>
        <v>7.1</v>
      </c>
      <c r="H104" s="80">
        <v>45699.0</v>
      </c>
      <c r="I104" s="79">
        <f t="shared" si="3"/>
        <v>1.061111111</v>
      </c>
      <c r="J104" s="89">
        <v>88.0</v>
      </c>
      <c r="K104" s="89">
        <v>40.0</v>
      </c>
      <c r="L104" s="82" t="s">
        <v>41</v>
      </c>
      <c r="M104" s="82" t="s">
        <v>38</v>
      </c>
      <c r="N104" s="85"/>
      <c r="O104" s="85"/>
      <c r="P104" s="86"/>
      <c r="Q104" s="85"/>
      <c r="R104" s="102" t="str">
        <f t="shared" si="4"/>
        <v>Active</v>
      </c>
      <c r="S104" s="90">
        <f t="shared" si="17"/>
        <v>46084</v>
      </c>
      <c r="T104" s="103">
        <f t="shared" si="5"/>
        <v>0</v>
      </c>
      <c r="U104" s="90"/>
      <c r="V104" s="103"/>
    </row>
    <row r="105">
      <c r="A105" s="53" t="s">
        <v>175</v>
      </c>
      <c r="B105" s="54" t="s">
        <v>35</v>
      </c>
      <c r="C105" s="54" t="s">
        <v>36</v>
      </c>
      <c r="D105" s="59" t="str">
        <f t="shared" si="1"/>
        <v>Active</v>
      </c>
      <c r="E105" s="61">
        <v>46084.0</v>
      </c>
      <c r="F105" s="62"/>
      <c r="G105" s="65">
        <f t="shared" si="2"/>
        <v>7.1</v>
      </c>
      <c r="H105" s="67">
        <v>45384.0</v>
      </c>
      <c r="I105" s="65">
        <f t="shared" si="3"/>
        <v>1.919444444</v>
      </c>
      <c r="J105" s="92">
        <v>87.0</v>
      </c>
      <c r="K105" s="92">
        <v>8.0</v>
      </c>
      <c r="L105" s="69" t="s">
        <v>81</v>
      </c>
      <c r="M105" s="91"/>
      <c r="N105" s="71"/>
      <c r="O105" s="71"/>
      <c r="P105" s="72"/>
      <c r="Q105" s="71"/>
      <c r="R105" s="104" t="str">
        <f t="shared" si="4"/>
        <v>Active</v>
      </c>
      <c r="S105" s="88">
        <f t="shared" si="17"/>
        <v>46084</v>
      </c>
      <c r="T105" s="97">
        <f t="shared" si="5"/>
        <v>0</v>
      </c>
      <c r="U105" s="88"/>
      <c r="V105" s="97"/>
    </row>
    <row r="106">
      <c r="A106" s="74" t="s">
        <v>176</v>
      </c>
      <c r="B106" s="75" t="s">
        <v>35</v>
      </c>
      <c r="C106" s="75" t="s">
        <v>36</v>
      </c>
      <c r="D106" s="76" t="str">
        <f t="shared" si="1"/>
        <v>Active</v>
      </c>
      <c r="E106" s="77">
        <v>46078.0</v>
      </c>
      <c r="F106" s="78"/>
      <c r="G106" s="79">
        <f t="shared" si="2"/>
        <v>7.366666667</v>
      </c>
      <c r="H106" s="80">
        <v>46078.0</v>
      </c>
      <c r="I106" s="79">
        <f t="shared" si="3"/>
        <v>0</v>
      </c>
      <c r="J106" s="89">
        <v>85.0</v>
      </c>
      <c r="K106" s="89">
        <v>5.0</v>
      </c>
      <c r="L106" s="82" t="s">
        <v>81</v>
      </c>
      <c r="M106" s="82" t="s">
        <v>38</v>
      </c>
      <c r="N106" s="84" t="s">
        <v>177</v>
      </c>
      <c r="O106" s="85"/>
      <c r="P106" s="86"/>
      <c r="Q106" s="85"/>
      <c r="R106" s="76" t="str">
        <f t="shared" si="4"/>
        <v>Active</v>
      </c>
      <c r="S106" s="90">
        <v>46269.0</v>
      </c>
      <c r="T106" s="79">
        <f t="shared" si="5"/>
        <v>6.3</v>
      </c>
      <c r="U106" s="87"/>
      <c r="V106" s="79"/>
    </row>
    <row r="107">
      <c r="A107" s="53" t="s">
        <v>178</v>
      </c>
      <c r="B107" s="54" t="s">
        <v>35</v>
      </c>
      <c r="C107" s="54" t="s">
        <v>36</v>
      </c>
      <c r="D107" s="59" t="str">
        <f t="shared" si="1"/>
        <v>Active</v>
      </c>
      <c r="E107" s="61">
        <v>46077.0</v>
      </c>
      <c r="F107" s="62"/>
      <c r="G107" s="65">
        <f t="shared" si="2"/>
        <v>7.4</v>
      </c>
      <c r="H107" s="67">
        <v>45184.0</v>
      </c>
      <c r="I107" s="65">
        <f t="shared" si="3"/>
        <v>2.441666667</v>
      </c>
      <c r="J107" s="68"/>
      <c r="K107" s="92">
        <v>32.0</v>
      </c>
      <c r="L107" s="69" t="s">
        <v>64</v>
      </c>
      <c r="M107" s="69" t="s">
        <v>38</v>
      </c>
      <c r="N107" s="70" t="s">
        <v>39</v>
      </c>
      <c r="O107" s="71"/>
      <c r="P107" s="72"/>
      <c r="Q107" s="71"/>
      <c r="R107" s="104" t="str">
        <f t="shared" si="4"/>
        <v>Active</v>
      </c>
      <c r="S107" s="88">
        <f t="shared" ref="S107:S112" si="18">E107</f>
        <v>46077</v>
      </c>
      <c r="T107" s="97">
        <f t="shared" si="5"/>
        <v>0</v>
      </c>
      <c r="U107" s="88"/>
      <c r="V107" s="97"/>
    </row>
    <row r="108">
      <c r="A108" s="74" t="s">
        <v>179</v>
      </c>
      <c r="B108" s="75" t="s">
        <v>35</v>
      </c>
      <c r="C108" s="75" t="s">
        <v>36</v>
      </c>
      <c r="D108" s="76" t="str">
        <f t="shared" si="1"/>
        <v>Active</v>
      </c>
      <c r="E108" s="77">
        <v>46072.0</v>
      </c>
      <c r="F108" s="78"/>
      <c r="G108" s="79">
        <f t="shared" si="2"/>
        <v>7.566666667</v>
      </c>
      <c r="H108" s="80">
        <v>32051.0</v>
      </c>
      <c r="I108" s="79">
        <f t="shared" si="3"/>
        <v>38.38333333</v>
      </c>
      <c r="J108" s="89">
        <v>84.0</v>
      </c>
      <c r="K108" s="89">
        <v>1.0</v>
      </c>
      <c r="L108" s="82" t="s">
        <v>41</v>
      </c>
      <c r="M108" s="83"/>
      <c r="N108" s="84" t="s">
        <v>180</v>
      </c>
      <c r="O108" s="85"/>
      <c r="P108" s="86"/>
      <c r="Q108" s="85"/>
      <c r="R108" s="76" t="str">
        <f t="shared" si="4"/>
        <v>Active</v>
      </c>
      <c r="S108" s="90">
        <f t="shared" si="18"/>
        <v>46072</v>
      </c>
      <c r="T108" s="79">
        <f t="shared" si="5"/>
        <v>0</v>
      </c>
      <c r="U108" s="90"/>
      <c r="V108" s="79"/>
    </row>
    <row r="109">
      <c r="A109" s="53" t="s">
        <v>181</v>
      </c>
      <c r="B109" s="54" t="s">
        <v>35</v>
      </c>
      <c r="C109" s="54" t="s">
        <v>36</v>
      </c>
      <c r="D109" s="59" t="str">
        <f t="shared" si="1"/>
        <v>Active</v>
      </c>
      <c r="E109" s="61">
        <v>46072.0</v>
      </c>
      <c r="F109" s="62"/>
      <c r="G109" s="65">
        <f t="shared" si="2"/>
        <v>7.566666667</v>
      </c>
      <c r="H109" s="113">
        <v>30317.0</v>
      </c>
      <c r="I109" s="65">
        <f t="shared" si="3"/>
        <v>43.13333333</v>
      </c>
      <c r="J109" s="68"/>
      <c r="K109" s="68"/>
      <c r="L109" s="69" t="s">
        <v>105</v>
      </c>
      <c r="M109" s="91"/>
      <c r="N109" s="70" t="s">
        <v>182</v>
      </c>
      <c r="O109" s="71"/>
      <c r="P109" s="72"/>
      <c r="Q109" s="71"/>
      <c r="R109" s="59" t="str">
        <f t="shared" si="4"/>
        <v>Active</v>
      </c>
      <c r="S109" s="88">
        <f t="shared" si="18"/>
        <v>46072</v>
      </c>
      <c r="T109" s="65">
        <f t="shared" si="5"/>
        <v>0</v>
      </c>
      <c r="U109" s="88"/>
      <c r="V109" s="65"/>
    </row>
    <row r="110">
      <c r="A110" s="74" t="s">
        <v>183</v>
      </c>
      <c r="B110" s="75" t="s">
        <v>35</v>
      </c>
      <c r="C110" s="75" t="s">
        <v>36</v>
      </c>
      <c r="D110" s="76" t="str">
        <f t="shared" si="1"/>
        <v>Active</v>
      </c>
      <c r="E110" s="77">
        <v>46072.0</v>
      </c>
      <c r="F110" s="78"/>
      <c r="G110" s="79">
        <f t="shared" si="2"/>
        <v>7.566666667</v>
      </c>
      <c r="H110" s="80">
        <v>34192.0</v>
      </c>
      <c r="I110" s="79">
        <f t="shared" si="3"/>
        <v>32.52222222</v>
      </c>
      <c r="J110" s="81"/>
      <c r="K110" s="89">
        <v>7.0</v>
      </c>
      <c r="L110" s="82" t="s">
        <v>184</v>
      </c>
      <c r="M110" s="83"/>
      <c r="N110" s="84" t="s">
        <v>180</v>
      </c>
      <c r="O110" s="85"/>
      <c r="P110" s="86"/>
      <c r="Q110" s="85"/>
      <c r="R110" s="76" t="str">
        <f t="shared" si="4"/>
        <v>Active</v>
      </c>
      <c r="S110" s="90">
        <f t="shared" si="18"/>
        <v>46072</v>
      </c>
      <c r="T110" s="79">
        <f t="shared" si="5"/>
        <v>0</v>
      </c>
      <c r="U110" s="90"/>
      <c r="V110" s="79"/>
    </row>
    <row r="111">
      <c r="A111" s="53" t="s">
        <v>185</v>
      </c>
      <c r="B111" s="54" t="s">
        <v>35</v>
      </c>
      <c r="C111" s="54" t="s">
        <v>36</v>
      </c>
      <c r="D111" s="59" t="str">
        <f t="shared" si="1"/>
        <v>Active</v>
      </c>
      <c r="E111" s="61">
        <v>46072.0</v>
      </c>
      <c r="F111" s="62"/>
      <c r="G111" s="65">
        <f t="shared" si="2"/>
        <v>7.566666667</v>
      </c>
      <c r="H111" s="67">
        <v>30348.0</v>
      </c>
      <c r="I111" s="65">
        <f t="shared" si="3"/>
        <v>43.05</v>
      </c>
      <c r="J111" s="92">
        <v>73.0</v>
      </c>
      <c r="K111" s="68"/>
      <c r="L111" s="69" t="s">
        <v>81</v>
      </c>
      <c r="M111" s="91"/>
      <c r="N111" s="70" t="s">
        <v>182</v>
      </c>
      <c r="O111" s="71"/>
      <c r="P111" s="72"/>
      <c r="Q111" s="71"/>
      <c r="R111" s="59" t="str">
        <f t="shared" si="4"/>
        <v>Active</v>
      </c>
      <c r="S111" s="88">
        <f t="shared" si="18"/>
        <v>46072</v>
      </c>
      <c r="T111" s="65">
        <f t="shared" si="5"/>
        <v>0</v>
      </c>
      <c r="U111" s="88"/>
      <c r="V111" s="65"/>
    </row>
    <row r="112">
      <c r="A112" s="74" t="s">
        <v>186</v>
      </c>
      <c r="B112" s="75" t="s">
        <v>35</v>
      </c>
      <c r="C112" s="75" t="s">
        <v>36</v>
      </c>
      <c r="D112" s="76" t="str">
        <f t="shared" si="1"/>
        <v>Active</v>
      </c>
      <c r="E112" s="77">
        <v>46072.0</v>
      </c>
      <c r="F112" s="78"/>
      <c r="G112" s="79">
        <f t="shared" si="2"/>
        <v>7.566666667</v>
      </c>
      <c r="H112" s="80">
        <v>29921.0</v>
      </c>
      <c r="I112" s="79">
        <f t="shared" si="3"/>
        <v>44.21666667</v>
      </c>
      <c r="J112" s="89">
        <v>83.0</v>
      </c>
      <c r="K112" s="81"/>
      <c r="L112" s="82" t="s">
        <v>105</v>
      </c>
      <c r="M112" s="83"/>
      <c r="N112" s="84" t="s">
        <v>182</v>
      </c>
      <c r="O112" s="85"/>
      <c r="P112" s="86"/>
      <c r="Q112" s="85"/>
      <c r="R112" s="76" t="str">
        <f t="shared" si="4"/>
        <v>Active</v>
      </c>
      <c r="S112" s="90">
        <f t="shared" si="18"/>
        <v>46072</v>
      </c>
      <c r="T112" s="79">
        <f t="shared" si="5"/>
        <v>0</v>
      </c>
      <c r="U112" s="90"/>
      <c r="V112" s="79"/>
    </row>
    <row r="113">
      <c r="A113" s="53" t="s">
        <v>187</v>
      </c>
      <c r="B113" s="54" t="s">
        <v>129</v>
      </c>
      <c r="C113" s="54" t="s">
        <v>36</v>
      </c>
      <c r="D113" s="59" t="str">
        <f t="shared" si="1"/>
        <v>Active</v>
      </c>
      <c r="E113" s="61">
        <v>46072.0</v>
      </c>
      <c r="F113" s="62"/>
      <c r="G113" s="65">
        <f t="shared" si="2"/>
        <v>7.566666667</v>
      </c>
      <c r="H113" s="67">
        <v>45856.0</v>
      </c>
      <c r="I113" s="65">
        <f t="shared" si="3"/>
        <v>0.5861111111</v>
      </c>
      <c r="J113" s="92">
        <v>82.0</v>
      </c>
      <c r="K113" s="92">
        <v>6.0</v>
      </c>
      <c r="L113" s="69" t="s">
        <v>62</v>
      </c>
      <c r="M113" s="69" t="s">
        <v>38</v>
      </c>
      <c r="N113" s="71"/>
      <c r="O113" s="71"/>
      <c r="P113" s="72"/>
      <c r="Q113" s="71"/>
      <c r="R113" s="59" t="str">
        <f t="shared" si="4"/>
        <v>TBD</v>
      </c>
      <c r="S113" s="73"/>
      <c r="T113" s="65">
        <f t="shared" si="5"/>
        <v>7.566666667</v>
      </c>
      <c r="U113" s="73"/>
      <c r="V113" s="65"/>
    </row>
    <row r="114">
      <c r="A114" s="74" t="s">
        <v>188</v>
      </c>
      <c r="B114" s="75" t="s">
        <v>35</v>
      </c>
      <c r="C114" s="75" t="s">
        <v>36</v>
      </c>
      <c r="D114" s="76" t="str">
        <f t="shared" si="1"/>
        <v>Active</v>
      </c>
      <c r="E114" s="77">
        <v>46070.0</v>
      </c>
      <c r="F114" s="78"/>
      <c r="G114" s="79">
        <f t="shared" si="2"/>
        <v>7.633333333</v>
      </c>
      <c r="H114" s="80">
        <v>45337.0</v>
      </c>
      <c r="I114" s="79">
        <f t="shared" si="3"/>
        <v>2.005555556</v>
      </c>
      <c r="J114" s="89">
        <v>60.0</v>
      </c>
      <c r="K114" s="89">
        <v>2.0</v>
      </c>
      <c r="L114" s="82" t="s">
        <v>41</v>
      </c>
      <c r="M114" s="82" t="s">
        <v>38</v>
      </c>
      <c r="N114" s="84" t="s">
        <v>39</v>
      </c>
      <c r="O114" s="85"/>
      <c r="P114" s="86"/>
      <c r="Q114" s="85"/>
      <c r="R114" s="76" t="str">
        <f t="shared" si="4"/>
        <v>Active</v>
      </c>
      <c r="S114" s="90">
        <v>46259.0</v>
      </c>
      <c r="T114" s="79">
        <f t="shared" si="5"/>
        <v>6.266666667</v>
      </c>
      <c r="U114" s="87"/>
      <c r="V114" s="79"/>
    </row>
    <row r="115">
      <c r="A115" s="53" t="s">
        <v>189</v>
      </c>
      <c r="B115" s="54" t="s">
        <v>35</v>
      </c>
      <c r="C115" s="54" t="s">
        <v>36</v>
      </c>
      <c r="D115" s="59" t="str">
        <f t="shared" si="1"/>
        <v>Active</v>
      </c>
      <c r="E115" s="61">
        <v>46070.0</v>
      </c>
      <c r="F115" s="62"/>
      <c r="G115" s="65">
        <f t="shared" si="2"/>
        <v>7.633333333</v>
      </c>
      <c r="H115" s="67">
        <v>45267.0</v>
      </c>
      <c r="I115" s="65">
        <f t="shared" si="3"/>
        <v>2.194444444</v>
      </c>
      <c r="J115" s="92">
        <v>72.0</v>
      </c>
      <c r="K115" s="92">
        <v>18.0</v>
      </c>
      <c r="L115" s="69" t="s">
        <v>37</v>
      </c>
      <c r="M115" s="69" t="s">
        <v>38</v>
      </c>
      <c r="N115" s="70" t="s">
        <v>39</v>
      </c>
      <c r="O115" s="71"/>
      <c r="P115" s="72"/>
      <c r="Q115" s="71"/>
      <c r="R115" s="59" t="str">
        <f t="shared" si="4"/>
        <v>TBD</v>
      </c>
      <c r="S115" s="73"/>
      <c r="T115" s="65">
        <f t="shared" si="5"/>
        <v>7.633333333</v>
      </c>
      <c r="U115" s="73"/>
      <c r="V115" s="65"/>
    </row>
    <row r="116">
      <c r="A116" s="74" t="s">
        <v>190</v>
      </c>
      <c r="B116" s="75" t="s">
        <v>35</v>
      </c>
      <c r="C116" s="75" t="s">
        <v>36</v>
      </c>
      <c r="D116" s="76" t="str">
        <f t="shared" si="1"/>
        <v>Active</v>
      </c>
      <c r="E116" s="77">
        <v>46066.0</v>
      </c>
      <c r="F116" s="78"/>
      <c r="G116" s="79">
        <f t="shared" si="2"/>
        <v>7.766666667</v>
      </c>
      <c r="H116" s="80">
        <v>46066.0</v>
      </c>
      <c r="I116" s="79">
        <f t="shared" si="3"/>
        <v>0</v>
      </c>
      <c r="J116" s="89">
        <v>73.0</v>
      </c>
      <c r="K116" s="89">
        <v>12.0</v>
      </c>
      <c r="L116" s="82" t="s">
        <v>37</v>
      </c>
      <c r="M116" s="82" t="s">
        <v>38</v>
      </c>
      <c r="N116" s="85"/>
      <c r="O116" s="85"/>
      <c r="P116" s="86"/>
      <c r="Q116" s="85"/>
      <c r="R116" s="76" t="str">
        <f t="shared" si="4"/>
        <v>TBD</v>
      </c>
      <c r="S116" s="87"/>
      <c r="T116" s="79">
        <f t="shared" si="5"/>
        <v>7.766666667</v>
      </c>
      <c r="U116" s="87"/>
      <c r="V116" s="79"/>
    </row>
    <row r="117">
      <c r="A117" s="53" t="s">
        <v>191</v>
      </c>
      <c r="B117" s="54" t="s">
        <v>35</v>
      </c>
      <c r="C117" s="54" t="s">
        <v>36</v>
      </c>
      <c r="D117" s="59" t="str">
        <f t="shared" si="1"/>
        <v>Active</v>
      </c>
      <c r="E117" s="61">
        <v>46066.0</v>
      </c>
      <c r="F117" s="62"/>
      <c r="G117" s="65">
        <f t="shared" si="2"/>
        <v>7.766666667</v>
      </c>
      <c r="H117" s="67">
        <v>43144.0</v>
      </c>
      <c r="I117" s="65">
        <f t="shared" si="3"/>
        <v>8</v>
      </c>
      <c r="J117" s="92">
        <v>78.0</v>
      </c>
      <c r="K117" s="92">
        <v>50.0</v>
      </c>
      <c r="L117" s="69" t="s">
        <v>41</v>
      </c>
      <c r="M117" s="91"/>
      <c r="N117" s="110" t="s">
        <v>192</v>
      </c>
      <c r="O117" s="71"/>
      <c r="P117" s="72"/>
      <c r="R117" s="104" t="str">
        <f t="shared" si="4"/>
        <v>Active</v>
      </c>
      <c r="S117" s="98">
        <f>E117</f>
        <v>46066</v>
      </c>
      <c r="T117" s="97">
        <f t="shared" si="5"/>
        <v>0</v>
      </c>
      <c r="U117" s="98"/>
      <c r="V117" s="97"/>
    </row>
    <row r="118">
      <c r="A118" s="74" t="s">
        <v>193</v>
      </c>
      <c r="B118" s="75" t="s">
        <v>35</v>
      </c>
      <c r="C118" s="75" t="s">
        <v>36</v>
      </c>
      <c r="D118" s="76" t="str">
        <f t="shared" si="1"/>
        <v>Active</v>
      </c>
      <c r="E118" s="77">
        <v>46065.0</v>
      </c>
      <c r="F118" s="78"/>
      <c r="G118" s="79">
        <f t="shared" si="2"/>
        <v>7.8</v>
      </c>
      <c r="H118" s="80">
        <v>46065.0</v>
      </c>
      <c r="I118" s="79">
        <f t="shared" si="3"/>
        <v>0</v>
      </c>
      <c r="J118" s="89">
        <v>83.0</v>
      </c>
      <c r="K118" s="89">
        <v>13.0</v>
      </c>
      <c r="L118" s="82" t="s">
        <v>41</v>
      </c>
      <c r="M118" s="82" t="s">
        <v>38</v>
      </c>
      <c r="N118" s="85"/>
      <c r="O118" s="85"/>
      <c r="P118" s="86"/>
      <c r="Q118" s="85"/>
      <c r="R118" s="76" t="str">
        <f t="shared" si="4"/>
        <v>Active</v>
      </c>
      <c r="S118" s="90">
        <v>46253.0</v>
      </c>
      <c r="T118" s="79">
        <f t="shared" si="5"/>
        <v>6.233333333</v>
      </c>
      <c r="U118" s="87"/>
      <c r="V118" s="79"/>
    </row>
    <row r="119">
      <c r="A119" s="53" t="s">
        <v>194</v>
      </c>
      <c r="B119" s="54" t="s">
        <v>35</v>
      </c>
      <c r="C119" s="114"/>
      <c r="D119" s="59" t="str">
        <f t="shared" si="1"/>
        <v>Active</v>
      </c>
      <c r="E119" s="61">
        <v>46065.0</v>
      </c>
      <c r="F119" s="62"/>
      <c r="G119" s="65">
        <f t="shared" si="2"/>
        <v>7.8</v>
      </c>
      <c r="H119" s="67">
        <v>46065.0</v>
      </c>
      <c r="I119" s="65">
        <f t="shared" si="3"/>
        <v>0</v>
      </c>
      <c r="J119" s="68"/>
      <c r="K119" s="92">
        <v>24.0</v>
      </c>
      <c r="L119" s="69" t="s">
        <v>41</v>
      </c>
      <c r="M119" s="69" t="s">
        <v>38</v>
      </c>
      <c r="N119" s="71"/>
      <c r="O119" s="71"/>
      <c r="P119" s="72"/>
      <c r="Q119" s="71"/>
      <c r="R119" s="59" t="str">
        <f t="shared" si="4"/>
        <v>TBD</v>
      </c>
      <c r="S119" s="73"/>
      <c r="T119" s="65">
        <f t="shared" si="5"/>
        <v>7.8</v>
      </c>
      <c r="U119" s="73"/>
      <c r="V119" s="65"/>
    </row>
    <row r="120">
      <c r="A120" s="74" t="s">
        <v>195</v>
      </c>
      <c r="B120" s="75" t="s">
        <v>35</v>
      </c>
      <c r="C120" s="75" t="s">
        <v>36</v>
      </c>
      <c r="D120" s="76" t="str">
        <f>IF(E119&gt;TODAY(),"Coming Soon",IF(F119="","Active",IF(F119&gt;TODAY(),"Leaving Soon","Removed")))</f>
        <v>Active</v>
      </c>
      <c r="E120" s="77">
        <v>46064.0</v>
      </c>
      <c r="F120" s="78"/>
      <c r="G120" s="79">
        <f t="shared" si="2"/>
        <v>7.833333333</v>
      </c>
      <c r="H120" s="80">
        <v>44462.0</v>
      </c>
      <c r="I120" s="79">
        <f t="shared" si="3"/>
        <v>4.383333333</v>
      </c>
      <c r="J120" s="89">
        <v>80.0</v>
      </c>
      <c r="K120" s="89">
        <v>22.0</v>
      </c>
      <c r="L120" s="82" t="s">
        <v>46</v>
      </c>
      <c r="M120" s="82"/>
      <c r="N120" s="85"/>
      <c r="O120" s="85"/>
      <c r="P120" s="86"/>
      <c r="Q120" s="85"/>
      <c r="R120" s="102" t="str">
        <f t="shared" si="4"/>
        <v>Active</v>
      </c>
      <c r="S120" s="112">
        <f>E120</f>
        <v>46064</v>
      </c>
      <c r="T120" s="103">
        <f t="shared" si="5"/>
        <v>0</v>
      </c>
      <c r="U120" s="112"/>
      <c r="V120" s="103"/>
    </row>
    <row r="121">
      <c r="A121" s="53" t="s">
        <v>196</v>
      </c>
      <c r="B121" s="54" t="s">
        <v>35</v>
      </c>
      <c r="C121" s="54" t="s">
        <v>36</v>
      </c>
      <c r="D121" s="59" t="str">
        <f t="shared" ref="D121:D1128" si="19">IF(E121&gt;TODAY(),"Coming Soon",IF(F121="","Active",IF(F121&gt;TODAY(),"Leaving Soon","Removed")))</f>
        <v>Active</v>
      </c>
      <c r="E121" s="61">
        <v>46064.0</v>
      </c>
      <c r="F121" s="62"/>
      <c r="G121" s="65">
        <f t="shared" si="2"/>
        <v>7.833333333</v>
      </c>
      <c r="H121" s="67">
        <v>46065.0</v>
      </c>
      <c r="I121" s="65">
        <f t="shared" si="3"/>
        <v>-0.002777777778</v>
      </c>
      <c r="J121" s="92">
        <v>90.0</v>
      </c>
      <c r="K121" s="92">
        <v>66.0</v>
      </c>
      <c r="L121" s="69" t="s">
        <v>41</v>
      </c>
      <c r="M121" s="69" t="s">
        <v>38</v>
      </c>
      <c r="N121" s="71"/>
      <c r="O121" s="71"/>
      <c r="P121" s="72"/>
      <c r="Q121" s="71"/>
      <c r="R121" s="59" t="str">
        <f t="shared" si="4"/>
        <v>Active</v>
      </c>
      <c r="S121" s="88">
        <v>46254.0</v>
      </c>
      <c r="T121" s="65">
        <f t="shared" si="5"/>
        <v>6.3</v>
      </c>
      <c r="U121" s="73"/>
      <c r="V121" s="65"/>
    </row>
    <row r="122">
      <c r="A122" s="74" t="s">
        <v>197</v>
      </c>
      <c r="B122" s="75" t="s">
        <v>35</v>
      </c>
      <c r="C122" s="75" t="s">
        <v>36</v>
      </c>
      <c r="D122" s="76" t="str">
        <f t="shared" si="19"/>
        <v>Active</v>
      </c>
      <c r="E122" s="77">
        <v>46063.0</v>
      </c>
      <c r="F122" s="78"/>
      <c r="G122" s="79">
        <f t="shared" si="2"/>
        <v>7.866666667</v>
      </c>
      <c r="H122" s="80">
        <v>46063.0</v>
      </c>
      <c r="I122" s="79">
        <f t="shared" si="3"/>
        <v>0</v>
      </c>
      <c r="J122" s="89">
        <v>76.0</v>
      </c>
      <c r="K122" s="89">
        <v>6.0</v>
      </c>
      <c r="L122" s="82" t="s">
        <v>41</v>
      </c>
      <c r="M122" s="82" t="s">
        <v>38</v>
      </c>
      <c r="N122" s="85"/>
      <c r="O122" s="85"/>
      <c r="P122" s="86"/>
      <c r="Q122" s="85"/>
      <c r="R122" s="76" t="str">
        <f t="shared" si="4"/>
        <v>Active</v>
      </c>
      <c r="S122" s="90">
        <v>46253.0</v>
      </c>
      <c r="T122" s="79">
        <f t="shared" si="5"/>
        <v>6.3</v>
      </c>
      <c r="U122" s="87"/>
      <c r="V122" s="79"/>
    </row>
    <row r="123">
      <c r="A123" s="53" t="s">
        <v>198</v>
      </c>
      <c r="B123" s="54" t="s">
        <v>35</v>
      </c>
      <c r="C123" s="54" t="s">
        <v>36</v>
      </c>
      <c r="D123" s="59" t="str">
        <f t="shared" si="19"/>
        <v>Active</v>
      </c>
      <c r="E123" s="61">
        <v>46058.0</v>
      </c>
      <c r="F123" s="62"/>
      <c r="G123" s="65">
        <f t="shared" si="2"/>
        <v>8.033333333</v>
      </c>
      <c r="H123" s="67">
        <v>45883.0</v>
      </c>
      <c r="I123" s="65">
        <f t="shared" si="3"/>
        <v>0.475</v>
      </c>
      <c r="J123" s="92">
        <v>77.0</v>
      </c>
      <c r="K123" s="92">
        <v>4.0</v>
      </c>
      <c r="L123" s="69" t="s">
        <v>62</v>
      </c>
      <c r="M123" s="91"/>
      <c r="N123" s="71"/>
      <c r="O123" s="71"/>
      <c r="P123" s="72"/>
      <c r="Q123" s="71"/>
      <c r="R123" s="59" t="str">
        <f t="shared" si="4"/>
        <v>TBD</v>
      </c>
      <c r="S123" s="73"/>
      <c r="T123" s="65">
        <f t="shared" si="5"/>
        <v>8.033333333</v>
      </c>
      <c r="U123" s="73"/>
      <c r="V123" s="65"/>
    </row>
    <row r="124">
      <c r="A124" s="74" t="s">
        <v>199</v>
      </c>
      <c r="B124" s="75" t="s">
        <v>35</v>
      </c>
      <c r="C124" s="75" t="s">
        <v>36</v>
      </c>
      <c r="D124" s="76" t="str">
        <f t="shared" si="19"/>
        <v>Active</v>
      </c>
      <c r="E124" s="77">
        <v>46056.0</v>
      </c>
      <c r="F124" s="78"/>
      <c r="G124" s="79">
        <f t="shared" si="2"/>
        <v>8.1</v>
      </c>
      <c r="H124" s="80">
        <v>44405.0</v>
      </c>
      <c r="I124" s="79">
        <f t="shared" si="3"/>
        <v>4.513888889</v>
      </c>
      <c r="J124" s="89">
        <v>77.0</v>
      </c>
      <c r="K124" s="89">
        <v>20.0</v>
      </c>
      <c r="L124" s="82" t="s">
        <v>41</v>
      </c>
      <c r="M124" s="82" t="s">
        <v>38</v>
      </c>
      <c r="N124" s="85"/>
      <c r="O124" s="85"/>
      <c r="P124" s="86"/>
      <c r="Q124" s="85"/>
      <c r="R124" s="76" t="str">
        <f t="shared" si="4"/>
        <v>Active</v>
      </c>
      <c r="S124" s="90">
        <f t="shared" ref="S124:S126" si="20">E124</f>
        <v>46056</v>
      </c>
      <c r="T124" s="79">
        <f t="shared" si="5"/>
        <v>0</v>
      </c>
      <c r="U124" s="90"/>
      <c r="V124" s="79"/>
    </row>
    <row r="125">
      <c r="A125" s="53" t="s">
        <v>200</v>
      </c>
      <c r="B125" s="54" t="s">
        <v>35</v>
      </c>
      <c r="C125" s="54" t="s">
        <v>36</v>
      </c>
      <c r="D125" s="59" t="str">
        <f t="shared" si="19"/>
        <v>Active</v>
      </c>
      <c r="E125" s="61">
        <v>46055.0</v>
      </c>
      <c r="F125" s="62"/>
      <c r="G125" s="65">
        <f t="shared" si="2"/>
        <v>8.133333333</v>
      </c>
      <c r="H125" s="67">
        <v>45709.0</v>
      </c>
      <c r="I125" s="65">
        <f t="shared" si="3"/>
        <v>0.9472222222</v>
      </c>
      <c r="J125" s="92">
        <v>80.0</v>
      </c>
      <c r="K125" s="92">
        <v>35.0</v>
      </c>
      <c r="L125" s="69" t="s">
        <v>41</v>
      </c>
      <c r="M125" s="91"/>
      <c r="N125" s="70" t="s">
        <v>39</v>
      </c>
      <c r="O125" s="71"/>
      <c r="P125" s="72"/>
      <c r="Q125" s="71"/>
      <c r="R125" s="104" t="str">
        <f t="shared" si="4"/>
        <v>Active</v>
      </c>
      <c r="S125" s="98">
        <f t="shared" si="20"/>
        <v>46055</v>
      </c>
      <c r="T125" s="97">
        <f t="shared" si="5"/>
        <v>0</v>
      </c>
      <c r="U125" s="98"/>
      <c r="V125" s="97"/>
    </row>
    <row r="126">
      <c r="A126" s="74" t="s">
        <v>201</v>
      </c>
      <c r="B126" s="75" t="s">
        <v>35</v>
      </c>
      <c r="C126" s="75" t="s">
        <v>36</v>
      </c>
      <c r="D126" s="76" t="str">
        <f t="shared" si="19"/>
        <v>Active</v>
      </c>
      <c r="E126" s="77">
        <v>46055.0</v>
      </c>
      <c r="F126" s="78"/>
      <c r="G126" s="79">
        <f t="shared" si="2"/>
        <v>8.133333333</v>
      </c>
      <c r="H126" s="80">
        <v>45414.0</v>
      </c>
      <c r="I126" s="79">
        <f t="shared" si="3"/>
        <v>1.75</v>
      </c>
      <c r="J126" s="89">
        <v>80.0</v>
      </c>
      <c r="K126" s="89">
        <v>4.0</v>
      </c>
      <c r="L126" s="82" t="s">
        <v>41</v>
      </c>
      <c r="M126" s="82" t="s">
        <v>38</v>
      </c>
      <c r="N126" s="85"/>
      <c r="O126" s="85"/>
      <c r="P126" s="86"/>
      <c r="Q126" s="85"/>
      <c r="R126" s="102" t="str">
        <f t="shared" si="4"/>
        <v>Active</v>
      </c>
      <c r="S126" s="90">
        <f t="shared" si="20"/>
        <v>46055</v>
      </c>
      <c r="T126" s="103">
        <f t="shared" si="5"/>
        <v>0</v>
      </c>
      <c r="U126" s="112"/>
      <c r="V126" s="103"/>
    </row>
    <row r="127">
      <c r="A127" s="53" t="s">
        <v>202</v>
      </c>
      <c r="B127" s="54" t="s">
        <v>13</v>
      </c>
      <c r="C127" s="54"/>
      <c r="D127" s="59" t="str">
        <f t="shared" si="19"/>
        <v>Active</v>
      </c>
      <c r="E127" s="61">
        <v>46051.0</v>
      </c>
      <c r="F127" s="62"/>
      <c r="G127" s="65">
        <f t="shared" si="2"/>
        <v>8.233333333</v>
      </c>
      <c r="H127" s="67">
        <v>45615.0</v>
      </c>
      <c r="I127" s="65">
        <f t="shared" si="3"/>
        <v>1.194444444</v>
      </c>
      <c r="J127" s="92">
        <v>72.0</v>
      </c>
      <c r="K127" s="92">
        <v>44.0</v>
      </c>
      <c r="L127" s="69" t="s">
        <v>64</v>
      </c>
      <c r="M127" s="91"/>
      <c r="N127" s="71"/>
      <c r="O127" s="71"/>
      <c r="P127" s="115"/>
      <c r="Q127" s="71"/>
      <c r="R127" s="59" t="str">
        <f t="shared" si="4"/>
        <v>TBD</v>
      </c>
      <c r="S127" s="73"/>
      <c r="T127" s="65">
        <f t="shared" si="5"/>
        <v>8.233333333</v>
      </c>
      <c r="U127" s="73"/>
      <c r="V127" s="65"/>
    </row>
    <row r="128">
      <c r="A128" s="74" t="s">
        <v>203</v>
      </c>
      <c r="B128" s="75" t="s">
        <v>35</v>
      </c>
      <c r="C128" s="75" t="s">
        <v>36</v>
      </c>
      <c r="D128" s="76" t="str">
        <f t="shared" si="19"/>
        <v>Active</v>
      </c>
      <c r="E128" s="77">
        <v>46051.0</v>
      </c>
      <c r="F128" s="78"/>
      <c r="G128" s="79">
        <f t="shared" si="2"/>
        <v>8.233333333</v>
      </c>
      <c r="H128" s="80">
        <v>45540.0</v>
      </c>
      <c r="I128" s="79">
        <f t="shared" si="3"/>
        <v>1.4</v>
      </c>
      <c r="J128" s="89">
        <v>82.0</v>
      </c>
      <c r="K128" s="89">
        <v>9.0</v>
      </c>
      <c r="L128" s="82" t="s">
        <v>37</v>
      </c>
      <c r="M128" s="82" t="s">
        <v>38</v>
      </c>
      <c r="N128" s="85"/>
      <c r="O128" s="85"/>
      <c r="P128" s="86"/>
      <c r="Q128" s="85"/>
      <c r="R128" s="76" t="str">
        <f t="shared" si="4"/>
        <v>Active</v>
      </c>
      <c r="S128" s="90">
        <f t="shared" ref="S128:S134" si="21">E128</f>
        <v>46051</v>
      </c>
      <c r="T128" s="79">
        <f t="shared" si="5"/>
        <v>0</v>
      </c>
      <c r="U128" s="90"/>
      <c r="V128" s="79"/>
    </row>
    <row r="129">
      <c r="A129" s="53" t="s">
        <v>204</v>
      </c>
      <c r="B129" s="54" t="s">
        <v>35</v>
      </c>
      <c r="C129" s="54" t="s">
        <v>36</v>
      </c>
      <c r="D129" s="59" t="str">
        <f t="shared" si="19"/>
        <v>Active</v>
      </c>
      <c r="E129" s="61">
        <v>46050.0</v>
      </c>
      <c r="F129" s="62"/>
      <c r="G129" s="65">
        <f t="shared" si="2"/>
        <v>8.266666667</v>
      </c>
      <c r="H129" s="67">
        <v>44637.0</v>
      </c>
      <c r="I129" s="65">
        <f t="shared" si="3"/>
        <v>3.863888889</v>
      </c>
      <c r="J129" s="92">
        <v>71.0</v>
      </c>
      <c r="K129" s="92">
        <v>11.0</v>
      </c>
      <c r="L129" s="69" t="s">
        <v>41</v>
      </c>
      <c r="M129" s="91"/>
      <c r="N129" s="71"/>
      <c r="O129" s="71"/>
      <c r="P129" s="72"/>
      <c r="Q129" s="71"/>
      <c r="R129" s="59" t="str">
        <f t="shared" si="4"/>
        <v>Active</v>
      </c>
      <c r="S129" s="88">
        <f t="shared" si="21"/>
        <v>46050</v>
      </c>
      <c r="T129" s="65">
        <f t="shared" si="5"/>
        <v>0</v>
      </c>
      <c r="U129" s="88"/>
      <c r="V129" s="65"/>
    </row>
    <row r="130">
      <c r="A130" s="74" t="s">
        <v>205</v>
      </c>
      <c r="B130" s="75" t="s">
        <v>35</v>
      </c>
      <c r="C130" s="75" t="s">
        <v>36</v>
      </c>
      <c r="D130" s="76" t="str">
        <f t="shared" si="19"/>
        <v>Active</v>
      </c>
      <c r="E130" s="77">
        <v>46050.0</v>
      </c>
      <c r="F130" s="78"/>
      <c r="G130" s="79">
        <f t="shared" si="2"/>
        <v>8.266666667</v>
      </c>
      <c r="H130" s="80">
        <v>46050.0</v>
      </c>
      <c r="I130" s="79">
        <f t="shared" si="3"/>
        <v>0</v>
      </c>
      <c r="J130" s="89">
        <v>83.0</v>
      </c>
      <c r="K130" s="89">
        <v>5.0</v>
      </c>
      <c r="L130" s="82" t="s">
        <v>41</v>
      </c>
      <c r="M130" s="83"/>
      <c r="N130" s="85"/>
      <c r="O130" s="85"/>
      <c r="P130" s="86"/>
      <c r="Q130" s="85"/>
      <c r="R130" s="76" t="str">
        <f t="shared" si="4"/>
        <v>Active</v>
      </c>
      <c r="S130" s="90">
        <f t="shared" si="21"/>
        <v>46050</v>
      </c>
      <c r="T130" s="79">
        <f t="shared" si="5"/>
        <v>0</v>
      </c>
      <c r="U130" s="90"/>
      <c r="V130" s="79"/>
    </row>
    <row r="131">
      <c r="A131" s="53" t="s">
        <v>206</v>
      </c>
      <c r="B131" s="54" t="s">
        <v>35</v>
      </c>
      <c r="C131" s="54"/>
      <c r="D131" s="59" t="str">
        <f t="shared" si="19"/>
        <v>Active</v>
      </c>
      <c r="E131" s="61">
        <v>46049.0</v>
      </c>
      <c r="F131" s="62"/>
      <c r="G131" s="65">
        <f t="shared" si="2"/>
        <v>8.3</v>
      </c>
      <c r="H131" s="67">
        <v>45457.0</v>
      </c>
      <c r="I131" s="65">
        <f t="shared" si="3"/>
        <v>1.619444444</v>
      </c>
      <c r="J131" s="92">
        <v>88.0</v>
      </c>
      <c r="K131" s="92">
        <v>20.0</v>
      </c>
      <c r="L131" s="69" t="s">
        <v>41</v>
      </c>
      <c r="M131" s="69" t="s">
        <v>38</v>
      </c>
      <c r="N131" s="71"/>
      <c r="O131" s="71"/>
      <c r="P131" s="72"/>
      <c r="Q131" s="71"/>
      <c r="R131" s="59" t="str">
        <f t="shared" si="4"/>
        <v>Active</v>
      </c>
      <c r="S131" s="88">
        <f t="shared" si="21"/>
        <v>46049</v>
      </c>
      <c r="T131" s="65">
        <f t="shared" si="5"/>
        <v>0</v>
      </c>
      <c r="U131" s="88"/>
      <c r="V131" s="65"/>
    </row>
    <row r="132">
      <c r="A132" s="74" t="s">
        <v>207</v>
      </c>
      <c r="B132" s="75" t="s">
        <v>35</v>
      </c>
      <c r="C132" s="75" t="s">
        <v>36</v>
      </c>
      <c r="D132" s="76" t="str">
        <f t="shared" si="19"/>
        <v>Active</v>
      </c>
      <c r="E132" s="77">
        <v>46043.0</v>
      </c>
      <c r="F132" s="78"/>
      <c r="G132" s="79">
        <f t="shared" si="2"/>
        <v>8.5</v>
      </c>
      <c r="H132" s="80">
        <v>44217.0</v>
      </c>
      <c r="I132" s="79">
        <f t="shared" si="3"/>
        <v>5</v>
      </c>
      <c r="J132" s="89">
        <v>85.0</v>
      </c>
      <c r="K132" s="89">
        <v>38.0</v>
      </c>
      <c r="L132" s="82" t="s">
        <v>41</v>
      </c>
      <c r="M132" s="82" t="s">
        <v>38</v>
      </c>
      <c r="N132" s="84" t="s">
        <v>39</v>
      </c>
      <c r="O132" s="85"/>
      <c r="P132" s="86"/>
      <c r="Q132" s="85"/>
      <c r="R132" s="76" t="str">
        <f t="shared" si="4"/>
        <v>Active</v>
      </c>
      <c r="S132" s="90">
        <f t="shared" si="21"/>
        <v>46043</v>
      </c>
      <c r="T132" s="79">
        <f t="shared" si="5"/>
        <v>0</v>
      </c>
      <c r="U132" s="90"/>
      <c r="V132" s="79"/>
    </row>
    <row r="133">
      <c r="A133" s="53" t="s">
        <v>208</v>
      </c>
      <c r="B133" s="54" t="s">
        <v>35</v>
      </c>
      <c r="C133" s="54" t="s">
        <v>36</v>
      </c>
      <c r="D133" s="59" t="str">
        <f t="shared" si="19"/>
        <v>Active</v>
      </c>
      <c r="E133" s="61">
        <v>46043.0</v>
      </c>
      <c r="F133" s="62"/>
      <c r="G133" s="65">
        <f t="shared" si="2"/>
        <v>8.5</v>
      </c>
      <c r="H133" s="67">
        <v>45869.0</v>
      </c>
      <c r="I133" s="65">
        <f t="shared" si="3"/>
        <v>0.475</v>
      </c>
      <c r="J133" s="92">
        <v>84.0</v>
      </c>
      <c r="K133" s="92">
        <v>6.0</v>
      </c>
      <c r="L133" s="69" t="s">
        <v>41</v>
      </c>
      <c r="M133" s="69" t="s">
        <v>38</v>
      </c>
      <c r="N133" s="71"/>
      <c r="O133" s="71"/>
      <c r="P133" s="72"/>
      <c r="Q133" s="71"/>
      <c r="R133" s="59" t="str">
        <f t="shared" si="4"/>
        <v>Active</v>
      </c>
      <c r="S133" s="88">
        <f t="shared" si="21"/>
        <v>46043</v>
      </c>
      <c r="T133" s="65">
        <f t="shared" si="5"/>
        <v>0</v>
      </c>
      <c r="U133" s="88"/>
      <c r="V133" s="65"/>
    </row>
    <row r="134">
      <c r="A134" s="74" t="s">
        <v>209</v>
      </c>
      <c r="B134" s="75" t="s">
        <v>35</v>
      </c>
      <c r="C134" s="75" t="s">
        <v>36</v>
      </c>
      <c r="D134" s="76" t="str">
        <f t="shared" si="19"/>
        <v>Active</v>
      </c>
      <c r="E134" s="77">
        <v>46042.0</v>
      </c>
      <c r="F134" s="78"/>
      <c r="G134" s="79">
        <f t="shared" si="2"/>
        <v>8.533333333</v>
      </c>
      <c r="H134" s="80">
        <v>44323.0</v>
      </c>
      <c r="I134" s="79">
        <f t="shared" si="3"/>
        <v>4.702777778</v>
      </c>
      <c r="J134" s="89">
        <v>84.0</v>
      </c>
      <c r="K134" s="89">
        <v>9.0</v>
      </c>
      <c r="L134" s="82" t="s">
        <v>41</v>
      </c>
      <c r="M134" s="83"/>
      <c r="N134" s="85"/>
      <c r="O134" s="85"/>
      <c r="P134" s="86"/>
      <c r="Q134" s="85"/>
      <c r="R134" s="76" t="str">
        <f t="shared" si="4"/>
        <v>Active</v>
      </c>
      <c r="S134" s="90">
        <f t="shared" si="21"/>
        <v>46042</v>
      </c>
      <c r="T134" s="79">
        <f t="shared" si="5"/>
        <v>0</v>
      </c>
      <c r="U134" s="90"/>
      <c r="V134" s="79"/>
    </row>
    <row r="135">
      <c r="A135" s="53" t="s">
        <v>210</v>
      </c>
      <c r="B135" s="54" t="s">
        <v>35</v>
      </c>
      <c r="C135" s="54" t="s">
        <v>36</v>
      </c>
      <c r="D135" s="59" t="str">
        <f t="shared" si="19"/>
        <v>Active</v>
      </c>
      <c r="E135" s="61">
        <v>46042.0</v>
      </c>
      <c r="F135" s="62"/>
      <c r="G135" s="65">
        <f t="shared" si="2"/>
        <v>8.533333333</v>
      </c>
      <c r="H135" s="67">
        <v>46042.0</v>
      </c>
      <c r="I135" s="65">
        <f t="shared" si="3"/>
        <v>0</v>
      </c>
      <c r="J135" s="92">
        <v>83.0</v>
      </c>
      <c r="K135" s="92">
        <v>16.0</v>
      </c>
      <c r="L135" s="69" t="s">
        <v>41</v>
      </c>
      <c r="M135" s="69" t="s">
        <v>38</v>
      </c>
      <c r="N135" s="70" t="s">
        <v>39</v>
      </c>
      <c r="O135" s="71"/>
      <c r="P135" s="72"/>
      <c r="Q135" s="71"/>
      <c r="R135" s="59" t="str">
        <f t="shared" si="4"/>
        <v>Active</v>
      </c>
      <c r="S135" s="88">
        <v>46247.0</v>
      </c>
      <c r="T135" s="65">
        <f t="shared" si="5"/>
        <v>6.766666667</v>
      </c>
      <c r="U135" s="73"/>
      <c r="V135" s="65"/>
    </row>
    <row r="136">
      <c r="A136" s="74" t="s">
        <v>211</v>
      </c>
      <c r="B136" s="75" t="s">
        <v>35</v>
      </c>
      <c r="C136" s="75" t="s">
        <v>36</v>
      </c>
      <c r="D136" s="76" t="str">
        <f t="shared" si="19"/>
        <v>Active</v>
      </c>
      <c r="E136" s="77">
        <v>46035.0</v>
      </c>
      <c r="F136" s="78"/>
      <c r="G136" s="79">
        <f t="shared" si="2"/>
        <v>8.766666667</v>
      </c>
      <c r="H136" s="80">
        <v>45531.0</v>
      </c>
      <c r="I136" s="79">
        <f t="shared" si="3"/>
        <v>1.377777778</v>
      </c>
      <c r="J136" s="89">
        <v>75.0</v>
      </c>
      <c r="K136" s="89">
        <v>19.0</v>
      </c>
      <c r="L136" s="82" t="s">
        <v>41</v>
      </c>
      <c r="M136" s="82" t="s">
        <v>38</v>
      </c>
      <c r="N136" s="82" t="s">
        <v>212</v>
      </c>
      <c r="O136" s="85"/>
      <c r="P136" s="86"/>
      <c r="Q136" s="85"/>
      <c r="R136" s="76" t="str">
        <f t="shared" si="4"/>
        <v>TBD</v>
      </c>
      <c r="S136" s="87"/>
      <c r="T136" s="79">
        <f t="shared" si="5"/>
        <v>8.766666667</v>
      </c>
      <c r="U136" s="87"/>
      <c r="V136" s="79"/>
    </row>
    <row r="137">
      <c r="A137" s="53" t="s">
        <v>213</v>
      </c>
      <c r="B137" s="54" t="s">
        <v>13</v>
      </c>
      <c r="C137" s="54"/>
      <c r="D137" s="59" t="str">
        <f t="shared" si="19"/>
        <v>Active</v>
      </c>
      <c r="E137" s="61">
        <v>46034.0</v>
      </c>
      <c r="F137" s="62"/>
      <c r="G137" s="65">
        <f t="shared" si="2"/>
        <v>8.8</v>
      </c>
      <c r="H137" s="67">
        <v>46034.0</v>
      </c>
      <c r="I137" s="65">
        <f t="shared" si="3"/>
        <v>0</v>
      </c>
      <c r="J137" s="92">
        <v>67.0</v>
      </c>
      <c r="K137" s="92">
        <v>9.0</v>
      </c>
      <c r="L137" s="69" t="s">
        <v>41</v>
      </c>
      <c r="M137" s="91"/>
      <c r="N137" s="71"/>
      <c r="O137" s="71"/>
      <c r="P137" s="72"/>
      <c r="Q137" s="71"/>
      <c r="R137" s="59" t="str">
        <f t="shared" si="4"/>
        <v>TBD</v>
      </c>
      <c r="S137" s="73"/>
      <c r="T137" s="65">
        <f t="shared" si="5"/>
        <v>8.8</v>
      </c>
      <c r="U137" s="73"/>
      <c r="V137" s="65"/>
    </row>
    <row r="138">
      <c r="A138" s="74" t="s">
        <v>214</v>
      </c>
      <c r="B138" s="75" t="s">
        <v>35</v>
      </c>
      <c r="C138" s="75" t="s">
        <v>36</v>
      </c>
      <c r="D138" s="76" t="str">
        <f t="shared" si="19"/>
        <v>Active</v>
      </c>
      <c r="E138" s="77">
        <v>46030.0</v>
      </c>
      <c r="F138" s="78"/>
      <c r="G138" s="79">
        <f t="shared" si="2"/>
        <v>8.933333333</v>
      </c>
      <c r="H138" s="80">
        <v>39259.0</v>
      </c>
      <c r="I138" s="79">
        <f t="shared" si="3"/>
        <v>18.53333333</v>
      </c>
      <c r="J138" s="89">
        <v>67.0</v>
      </c>
      <c r="K138" s="89">
        <v>16.0</v>
      </c>
      <c r="L138" s="82" t="s">
        <v>41</v>
      </c>
      <c r="M138" s="82" t="s">
        <v>38</v>
      </c>
      <c r="N138" s="85"/>
      <c r="O138" s="85"/>
      <c r="P138" s="86"/>
      <c r="Q138" s="85"/>
      <c r="R138" s="76" t="str">
        <f t="shared" si="4"/>
        <v>Active</v>
      </c>
      <c r="S138" s="112">
        <f t="shared" ref="S138:S142" si="22">E138</f>
        <v>46030</v>
      </c>
      <c r="T138" s="79">
        <f t="shared" si="5"/>
        <v>0</v>
      </c>
      <c r="U138" s="90"/>
      <c r="V138" s="79"/>
    </row>
    <row r="139">
      <c r="A139" s="53" t="s">
        <v>215</v>
      </c>
      <c r="B139" s="54" t="s">
        <v>35</v>
      </c>
      <c r="C139" s="54" t="s">
        <v>36</v>
      </c>
      <c r="D139" s="59" t="str">
        <f t="shared" si="19"/>
        <v>Active</v>
      </c>
      <c r="E139" s="61">
        <v>46028.0</v>
      </c>
      <c r="F139" s="62"/>
      <c r="G139" s="65">
        <f t="shared" si="2"/>
        <v>9</v>
      </c>
      <c r="H139" s="67">
        <v>45922.0</v>
      </c>
      <c r="I139" s="65">
        <f t="shared" si="3"/>
        <v>0.2888888889</v>
      </c>
      <c r="J139" s="92">
        <v>60.0</v>
      </c>
      <c r="K139" s="92">
        <v>4.0</v>
      </c>
      <c r="L139" s="69" t="s">
        <v>41</v>
      </c>
      <c r="M139" s="69" t="s">
        <v>38</v>
      </c>
      <c r="N139" s="71"/>
      <c r="O139" s="71"/>
      <c r="P139" s="72"/>
      <c r="Q139" s="71"/>
      <c r="R139" s="59" t="str">
        <f t="shared" si="4"/>
        <v>Active</v>
      </c>
      <c r="S139" s="98">
        <f t="shared" si="22"/>
        <v>46028</v>
      </c>
      <c r="T139" s="65">
        <f t="shared" si="5"/>
        <v>0</v>
      </c>
      <c r="U139" s="88"/>
      <c r="V139" s="65"/>
    </row>
    <row r="140">
      <c r="A140" s="74" t="s">
        <v>216</v>
      </c>
      <c r="B140" s="75" t="s">
        <v>35</v>
      </c>
      <c r="C140" s="75" t="s">
        <v>36</v>
      </c>
      <c r="D140" s="76" t="str">
        <f t="shared" si="19"/>
        <v>Active</v>
      </c>
      <c r="E140" s="77">
        <v>46028.0</v>
      </c>
      <c r="F140" s="78"/>
      <c r="G140" s="79">
        <f t="shared" si="2"/>
        <v>9</v>
      </c>
      <c r="H140" s="80">
        <v>43238.0</v>
      </c>
      <c r="I140" s="79">
        <f t="shared" si="3"/>
        <v>7.633333333</v>
      </c>
      <c r="J140" s="89">
        <v>79.0</v>
      </c>
      <c r="K140" s="89">
        <v>4.0</v>
      </c>
      <c r="L140" s="82" t="s">
        <v>41</v>
      </c>
      <c r="M140" s="82" t="s">
        <v>38</v>
      </c>
      <c r="N140" s="84" t="s">
        <v>39</v>
      </c>
      <c r="O140" s="85"/>
      <c r="P140" s="86"/>
      <c r="Q140" s="85"/>
      <c r="R140" s="76" t="str">
        <f t="shared" si="4"/>
        <v>Active</v>
      </c>
      <c r="S140" s="112">
        <f t="shared" si="22"/>
        <v>46028</v>
      </c>
      <c r="T140" s="79">
        <f t="shared" si="5"/>
        <v>0</v>
      </c>
      <c r="U140" s="90"/>
      <c r="V140" s="79"/>
    </row>
    <row r="141">
      <c r="A141" s="53" t="s">
        <v>217</v>
      </c>
      <c r="B141" s="54" t="s">
        <v>35</v>
      </c>
      <c r="C141" s="54" t="s">
        <v>36</v>
      </c>
      <c r="D141" s="59" t="str">
        <f t="shared" si="19"/>
        <v>Active</v>
      </c>
      <c r="E141" s="61">
        <v>46001.0</v>
      </c>
      <c r="F141" s="62"/>
      <c r="G141" s="65">
        <f t="shared" si="2"/>
        <v>9.866666667</v>
      </c>
      <c r="H141" s="67">
        <v>45188.0</v>
      </c>
      <c r="I141" s="65">
        <f t="shared" si="3"/>
        <v>2.225</v>
      </c>
      <c r="J141" s="92">
        <v>83.0</v>
      </c>
      <c r="K141" s="92">
        <v>7.0</v>
      </c>
      <c r="L141" s="69" t="s">
        <v>41</v>
      </c>
      <c r="M141" s="69" t="s">
        <v>38</v>
      </c>
      <c r="N141" s="71"/>
      <c r="O141" s="71"/>
      <c r="P141" s="72"/>
      <c r="Q141" s="71"/>
      <c r="R141" s="59" t="str">
        <f t="shared" si="4"/>
        <v>Active</v>
      </c>
      <c r="S141" s="98">
        <f t="shared" si="22"/>
        <v>46001</v>
      </c>
      <c r="T141" s="65">
        <f t="shared" si="5"/>
        <v>0</v>
      </c>
      <c r="U141" s="88"/>
      <c r="V141" s="65"/>
    </row>
    <row r="142">
      <c r="A142" s="74" t="s">
        <v>218</v>
      </c>
      <c r="B142" s="75" t="s">
        <v>35</v>
      </c>
      <c r="C142" s="75" t="s">
        <v>36</v>
      </c>
      <c r="D142" s="76" t="str">
        <f t="shared" si="19"/>
        <v>Active</v>
      </c>
      <c r="E142" s="77">
        <v>46000.0</v>
      </c>
      <c r="F142" s="78"/>
      <c r="G142" s="79">
        <f t="shared" si="2"/>
        <v>9.9</v>
      </c>
      <c r="H142" s="80">
        <v>45695.0</v>
      </c>
      <c r="I142" s="79">
        <f t="shared" si="3"/>
        <v>0.8388888889</v>
      </c>
      <c r="J142" s="89">
        <v>75.0</v>
      </c>
      <c r="K142" s="89">
        <v>2.35</v>
      </c>
      <c r="L142" s="82" t="s">
        <v>135</v>
      </c>
      <c r="M142" s="82"/>
      <c r="N142" s="84" t="s">
        <v>39</v>
      </c>
      <c r="O142" s="85"/>
      <c r="P142" s="86"/>
      <c r="Q142" s="85"/>
      <c r="R142" s="76" t="str">
        <f t="shared" si="4"/>
        <v>Active</v>
      </c>
      <c r="S142" s="112">
        <f t="shared" si="22"/>
        <v>46000</v>
      </c>
      <c r="T142" s="79">
        <f t="shared" si="5"/>
        <v>0</v>
      </c>
      <c r="U142" s="90"/>
      <c r="V142" s="79"/>
    </row>
    <row r="143">
      <c r="A143" s="53" t="s">
        <v>219</v>
      </c>
      <c r="B143" s="54" t="s">
        <v>35</v>
      </c>
      <c r="C143" s="54" t="s">
        <v>36</v>
      </c>
      <c r="D143" s="59" t="str">
        <f t="shared" si="19"/>
        <v>Active</v>
      </c>
      <c r="E143" s="61">
        <v>46000.0</v>
      </c>
      <c r="F143" s="62"/>
      <c r="G143" s="65">
        <f t="shared" si="2"/>
        <v>9.9</v>
      </c>
      <c r="H143" s="67">
        <v>46000.0</v>
      </c>
      <c r="I143" s="65">
        <f t="shared" si="3"/>
        <v>0</v>
      </c>
      <c r="J143" s="92">
        <v>82.0</v>
      </c>
      <c r="K143" s="92">
        <v>25.0</v>
      </c>
      <c r="L143" s="69" t="s">
        <v>135</v>
      </c>
      <c r="M143" s="69" t="s">
        <v>38</v>
      </c>
      <c r="N143" s="70" t="s">
        <v>220</v>
      </c>
      <c r="O143" s="71"/>
      <c r="P143" s="72"/>
      <c r="Q143" s="71"/>
      <c r="R143" s="59" t="str">
        <f t="shared" si="4"/>
        <v>Active</v>
      </c>
      <c r="S143" s="88">
        <v>46071.0</v>
      </c>
      <c r="T143" s="65">
        <f t="shared" si="5"/>
        <v>2.3</v>
      </c>
      <c r="U143" s="73"/>
      <c r="V143" s="65"/>
    </row>
    <row r="144">
      <c r="A144" s="74" t="s">
        <v>221</v>
      </c>
      <c r="B144" s="75" t="s">
        <v>35</v>
      </c>
      <c r="C144" s="75" t="s">
        <v>36</v>
      </c>
      <c r="D144" s="76" t="str">
        <f t="shared" si="19"/>
        <v>Active</v>
      </c>
      <c r="E144" s="77">
        <v>46000.0</v>
      </c>
      <c r="F144" s="78"/>
      <c r="G144" s="79">
        <f t="shared" si="2"/>
        <v>9.9</v>
      </c>
      <c r="H144" s="80">
        <v>44831.0</v>
      </c>
      <c r="I144" s="79">
        <f t="shared" si="3"/>
        <v>3.2</v>
      </c>
      <c r="J144" s="89">
        <v>90.0</v>
      </c>
      <c r="K144" s="89">
        <v>5.0</v>
      </c>
      <c r="L144" s="82" t="s">
        <v>105</v>
      </c>
      <c r="M144" s="83"/>
      <c r="N144" s="84" t="s">
        <v>39</v>
      </c>
      <c r="O144" s="85"/>
      <c r="P144" s="86"/>
      <c r="Q144" s="85"/>
      <c r="R144" s="76" t="str">
        <f t="shared" si="4"/>
        <v>Active</v>
      </c>
      <c r="S144" s="112">
        <f>E144</f>
        <v>46000</v>
      </c>
      <c r="T144" s="79">
        <f t="shared" si="5"/>
        <v>0</v>
      </c>
      <c r="U144" s="90"/>
      <c r="V144" s="79"/>
    </row>
    <row r="145">
      <c r="A145" s="53" t="s">
        <v>222</v>
      </c>
      <c r="B145" s="54" t="s">
        <v>35</v>
      </c>
      <c r="C145" s="54" t="s">
        <v>36</v>
      </c>
      <c r="D145" s="59" t="str">
        <f t="shared" si="19"/>
        <v>Active</v>
      </c>
      <c r="E145" s="61">
        <v>46000.0</v>
      </c>
      <c r="F145" s="62"/>
      <c r="G145" s="65">
        <f t="shared" si="2"/>
        <v>9.9</v>
      </c>
      <c r="H145" s="67">
        <v>46000.0</v>
      </c>
      <c r="I145" s="65">
        <f t="shared" si="3"/>
        <v>0</v>
      </c>
      <c r="J145" s="92">
        <v>80.0</v>
      </c>
      <c r="K145" s="92"/>
      <c r="L145" s="69" t="s">
        <v>55</v>
      </c>
      <c r="M145" s="91"/>
      <c r="N145" s="70" t="s">
        <v>39</v>
      </c>
      <c r="O145" s="71"/>
      <c r="P145" s="72"/>
      <c r="Q145" s="71"/>
      <c r="R145" s="59" t="str">
        <f t="shared" si="4"/>
        <v>Active</v>
      </c>
      <c r="S145" s="88">
        <v>46281.0</v>
      </c>
      <c r="T145" s="65">
        <f t="shared" si="5"/>
        <v>9.233333333</v>
      </c>
      <c r="U145" s="73"/>
      <c r="V145" s="65"/>
    </row>
    <row r="146">
      <c r="A146" s="74" t="s">
        <v>223</v>
      </c>
      <c r="B146" s="75" t="s">
        <v>35</v>
      </c>
      <c r="C146" s="75" t="s">
        <v>36</v>
      </c>
      <c r="D146" s="76" t="str">
        <f t="shared" si="19"/>
        <v>Active</v>
      </c>
      <c r="E146" s="77">
        <v>45995.0</v>
      </c>
      <c r="F146" s="78"/>
      <c r="G146" s="79">
        <f t="shared" si="2"/>
        <v>10.06666667</v>
      </c>
      <c r="H146" s="80">
        <v>45995.0</v>
      </c>
      <c r="I146" s="79">
        <f t="shared" si="3"/>
        <v>0</v>
      </c>
      <c r="J146" s="89">
        <v>79.0</v>
      </c>
      <c r="K146" s="89">
        <v>6.0</v>
      </c>
      <c r="L146" s="82" t="s">
        <v>41</v>
      </c>
      <c r="M146" s="83"/>
      <c r="N146" s="84" t="s">
        <v>39</v>
      </c>
      <c r="O146" s="85"/>
      <c r="P146" s="86"/>
      <c r="Q146" s="85"/>
      <c r="R146" s="76" t="str">
        <f t="shared" si="4"/>
        <v>Active</v>
      </c>
      <c r="S146" s="90">
        <v>46281.0</v>
      </c>
      <c r="T146" s="79">
        <f t="shared" si="5"/>
        <v>9.4</v>
      </c>
      <c r="U146" s="87"/>
      <c r="V146" s="79"/>
    </row>
    <row r="147">
      <c r="A147" s="53" t="s">
        <v>224</v>
      </c>
      <c r="B147" s="54" t="s">
        <v>35</v>
      </c>
      <c r="C147" s="54" t="s">
        <v>36</v>
      </c>
      <c r="D147" s="59" t="str">
        <f t="shared" si="19"/>
        <v>Active</v>
      </c>
      <c r="E147" s="61">
        <v>45993.0</v>
      </c>
      <c r="F147" s="62"/>
      <c r="G147" s="65">
        <f t="shared" si="2"/>
        <v>10.13333333</v>
      </c>
      <c r="H147" s="67">
        <v>45706.0</v>
      </c>
      <c r="I147" s="65">
        <f t="shared" si="3"/>
        <v>0.7888888889</v>
      </c>
      <c r="J147" s="92">
        <v>74.0</v>
      </c>
      <c r="K147" s="92">
        <v>11.0</v>
      </c>
      <c r="L147" s="69" t="s">
        <v>41</v>
      </c>
      <c r="M147" s="69" t="s">
        <v>38</v>
      </c>
      <c r="N147" s="71"/>
      <c r="O147" s="71"/>
      <c r="P147" s="72"/>
      <c r="Q147" s="71"/>
      <c r="R147" s="59" t="str">
        <f t="shared" si="4"/>
        <v>Active</v>
      </c>
      <c r="S147" s="98">
        <f>E147</f>
        <v>45993</v>
      </c>
      <c r="T147" s="65">
        <f t="shared" si="5"/>
        <v>0</v>
      </c>
      <c r="U147" s="88"/>
      <c r="V147" s="65"/>
    </row>
    <row r="148">
      <c r="A148" s="74" t="s">
        <v>225</v>
      </c>
      <c r="B148" s="75" t="s">
        <v>35</v>
      </c>
      <c r="C148" s="75" t="s">
        <v>36</v>
      </c>
      <c r="D148" s="76" t="str">
        <f t="shared" si="19"/>
        <v>Active</v>
      </c>
      <c r="E148" s="77">
        <v>45992.0</v>
      </c>
      <c r="F148" s="78"/>
      <c r="G148" s="79">
        <f t="shared" si="2"/>
        <v>10.16666667</v>
      </c>
      <c r="H148" s="80">
        <v>45992.0</v>
      </c>
      <c r="I148" s="79">
        <f t="shared" si="3"/>
        <v>0</v>
      </c>
      <c r="J148" s="89">
        <v>81.0</v>
      </c>
      <c r="K148" s="89">
        <v>4.0</v>
      </c>
      <c r="L148" s="82" t="s">
        <v>226</v>
      </c>
      <c r="M148" s="83"/>
      <c r="N148" s="84" t="s">
        <v>39</v>
      </c>
      <c r="O148" s="84"/>
      <c r="P148" s="86"/>
      <c r="Q148" s="85"/>
      <c r="R148" s="76" t="str">
        <f t="shared" si="4"/>
        <v>Active</v>
      </c>
      <c r="S148" s="90">
        <v>46281.0</v>
      </c>
      <c r="T148" s="79">
        <f t="shared" si="5"/>
        <v>9.5</v>
      </c>
      <c r="U148" s="87"/>
      <c r="V148" s="79"/>
    </row>
    <row r="149">
      <c r="A149" s="53" t="s">
        <v>227</v>
      </c>
      <c r="B149" s="54" t="s">
        <v>35</v>
      </c>
      <c r="C149" s="54" t="s">
        <v>36</v>
      </c>
      <c r="D149" s="59" t="str">
        <f t="shared" si="19"/>
        <v>Active</v>
      </c>
      <c r="E149" s="61">
        <v>45986.0</v>
      </c>
      <c r="F149" s="62"/>
      <c r="G149" s="65">
        <f t="shared" si="2"/>
        <v>10.36666667</v>
      </c>
      <c r="H149" s="67">
        <v>45335.0</v>
      </c>
      <c r="I149" s="65">
        <f t="shared" si="3"/>
        <v>1.783333333</v>
      </c>
      <c r="J149" s="92">
        <v>78.0</v>
      </c>
      <c r="K149" s="92">
        <v>27.0</v>
      </c>
      <c r="L149" s="69" t="s">
        <v>41</v>
      </c>
      <c r="M149" s="69" t="s">
        <v>38</v>
      </c>
      <c r="N149" s="70" t="s">
        <v>39</v>
      </c>
      <c r="O149" s="71"/>
      <c r="P149" s="72"/>
      <c r="Q149" s="71"/>
      <c r="R149" s="59" t="str">
        <f t="shared" si="4"/>
        <v>Active</v>
      </c>
      <c r="S149" s="98">
        <f t="shared" ref="S149:S150" si="23">E149</f>
        <v>45986</v>
      </c>
      <c r="T149" s="65">
        <f t="shared" si="5"/>
        <v>0</v>
      </c>
      <c r="U149" s="88"/>
      <c r="V149" s="65"/>
    </row>
    <row r="150">
      <c r="A150" s="74" t="s">
        <v>228</v>
      </c>
      <c r="B150" s="75" t="s">
        <v>35</v>
      </c>
      <c r="C150" s="75" t="s">
        <v>36</v>
      </c>
      <c r="D150" s="76" t="str">
        <f t="shared" si="19"/>
        <v>Active</v>
      </c>
      <c r="E150" s="77">
        <v>45986.0</v>
      </c>
      <c r="F150" s="78"/>
      <c r="G150" s="79">
        <f t="shared" si="2"/>
        <v>10.36666667</v>
      </c>
      <c r="H150" s="80">
        <v>45986.0</v>
      </c>
      <c r="I150" s="79">
        <f t="shared" si="3"/>
        <v>0</v>
      </c>
      <c r="J150" s="89">
        <v>70.0</v>
      </c>
      <c r="K150" s="89">
        <v>8.0</v>
      </c>
      <c r="L150" s="82" t="s">
        <v>37</v>
      </c>
      <c r="M150" s="83"/>
      <c r="N150" s="85"/>
      <c r="O150" s="85"/>
      <c r="P150" s="86"/>
      <c r="Q150" s="85"/>
      <c r="R150" s="76" t="str">
        <f t="shared" si="4"/>
        <v>Active</v>
      </c>
      <c r="S150" s="112">
        <f t="shared" si="23"/>
        <v>45986</v>
      </c>
      <c r="T150" s="79">
        <f t="shared" si="5"/>
        <v>0</v>
      </c>
      <c r="U150" s="90"/>
      <c r="V150" s="79"/>
    </row>
    <row r="151">
      <c r="A151" s="53" t="s">
        <v>229</v>
      </c>
      <c r="B151" s="54" t="s">
        <v>35</v>
      </c>
      <c r="C151" s="54" t="s">
        <v>36</v>
      </c>
      <c r="D151" s="59" t="str">
        <f t="shared" si="19"/>
        <v>Active</v>
      </c>
      <c r="E151" s="61">
        <v>45986.0</v>
      </c>
      <c r="F151" s="62"/>
      <c r="G151" s="65">
        <f t="shared" si="2"/>
        <v>10.36666667</v>
      </c>
      <c r="H151" s="67">
        <v>45986.0</v>
      </c>
      <c r="I151" s="65">
        <f t="shared" si="3"/>
        <v>0</v>
      </c>
      <c r="J151" s="68"/>
      <c r="K151" s="92">
        <v>2.0</v>
      </c>
      <c r="L151" s="69" t="s">
        <v>230</v>
      </c>
      <c r="M151" s="91"/>
      <c r="N151" s="71"/>
      <c r="O151" s="71"/>
      <c r="P151" s="72"/>
      <c r="Q151" s="71"/>
      <c r="R151" s="59" t="str">
        <f t="shared" si="4"/>
        <v>Active</v>
      </c>
      <c r="S151" s="88">
        <v>46265.0</v>
      </c>
      <c r="T151" s="65">
        <f t="shared" si="5"/>
        <v>9.166666667</v>
      </c>
      <c r="U151" s="73"/>
      <c r="V151" s="65"/>
    </row>
    <row r="152">
      <c r="A152" s="74" t="s">
        <v>232</v>
      </c>
      <c r="B152" s="75" t="s">
        <v>35</v>
      </c>
      <c r="C152" s="75" t="s">
        <v>36</v>
      </c>
      <c r="D152" s="76" t="str">
        <f t="shared" si="19"/>
        <v>Active</v>
      </c>
      <c r="E152" s="77">
        <v>45981.0</v>
      </c>
      <c r="F152" s="78"/>
      <c r="G152" s="79">
        <f t="shared" si="2"/>
        <v>10.53333333</v>
      </c>
      <c r="H152" s="80">
        <v>45926.0</v>
      </c>
      <c r="I152" s="79">
        <f t="shared" si="3"/>
        <v>0.15</v>
      </c>
      <c r="J152" s="89">
        <v>77.0</v>
      </c>
      <c r="K152" s="89">
        <v>8.0</v>
      </c>
      <c r="L152" s="82" t="s">
        <v>41</v>
      </c>
      <c r="M152" s="83"/>
      <c r="N152" s="84" t="s">
        <v>39</v>
      </c>
      <c r="O152" s="85"/>
      <c r="P152" s="86"/>
      <c r="Q152" s="85"/>
      <c r="R152" s="76" t="str">
        <f t="shared" si="4"/>
        <v>TBD</v>
      </c>
      <c r="S152" s="87"/>
      <c r="T152" s="79">
        <f t="shared" si="5"/>
        <v>10.53333333</v>
      </c>
      <c r="U152" s="87"/>
      <c r="V152" s="79"/>
    </row>
    <row r="153">
      <c r="A153" s="53" t="s">
        <v>233</v>
      </c>
      <c r="B153" s="54" t="s">
        <v>13</v>
      </c>
      <c r="C153" s="59"/>
      <c r="D153" s="59" t="str">
        <f t="shared" si="19"/>
        <v>Active</v>
      </c>
      <c r="E153" s="61">
        <v>45981.0</v>
      </c>
      <c r="F153" s="62"/>
      <c r="G153" s="65">
        <f t="shared" si="2"/>
        <v>10.53333333</v>
      </c>
      <c r="H153" s="67">
        <v>45981.0</v>
      </c>
      <c r="I153" s="65">
        <f t="shared" si="3"/>
        <v>0</v>
      </c>
      <c r="J153" s="92">
        <v>79.0</v>
      </c>
      <c r="K153" s="92">
        <v>3.0</v>
      </c>
      <c r="L153" s="69" t="s">
        <v>41</v>
      </c>
      <c r="M153" s="91"/>
      <c r="N153" s="71"/>
      <c r="O153" s="71"/>
      <c r="P153" s="72"/>
      <c r="Q153" s="71"/>
      <c r="R153" s="59" t="str">
        <f t="shared" si="4"/>
        <v>Active</v>
      </c>
      <c r="S153" s="88">
        <v>46240.0</v>
      </c>
      <c r="T153" s="65">
        <f t="shared" si="5"/>
        <v>8.533333333</v>
      </c>
      <c r="U153" s="73"/>
      <c r="V153" s="65"/>
    </row>
    <row r="154">
      <c r="A154" s="74" t="s">
        <v>234</v>
      </c>
      <c r="B154" s="75" t="s">
        <v>35</v>
      </c>
      <c r="C154" s="75" t="s">
        <v>36</v>
      </c>
      <c r="D154" s="76" t="str">
        <f t="shared" si="19"/>
        <v>Active</v>
      </c>
      <c r="E154" s="77">
        <v>45981.0</v>
      </c>
      <c r="F154" s="78"/>
      <c r="G154" s="79">
        <f t="shared" si="2"/>
        <v>10.53333333</v>
      </c>
      <c r="H154" s="80">
        <v>45183.0</v>
      </c>
      <c r="I154" s="79">
        <f t="shared" si="3"/>
        <v>2.183333333</v>
      </c>
      <c r="J154" s="89">
        <v>76.0</v>
      </c>
      <c r="K154" s="89">
        <v>21.0</v>
      </c>
      <c r="L154" s="82" t="s">
        <v>55</v>
      </c>
      <c r="M154" s="83"/>
      <c r="N154" s="85"/>
      <c r="O154" s="85"/>
      <c r="P154" s="86"/>
      <c r="Q154" s="85"/>
      <c r="R154" s="76" t="str">
        <f t="shared" si="4"/>
        <v>TBD</v>
      </c>
      <c r="S154" s="87"/>
      <c r="T154" s="79">
        <f t="shared" si="5"/>
        <v>10.53333333</v>
      </c>
      <c r="U154" s="87"/>
      <c r="V154" s="79"/>
    </row>
    <row r="155">
      <c r="A155" s="53" t="s">
        <v>235</v>
      </c>
      <c r="B155" s="54" t="s">
        <v>35</v>
      </c>
      <c r="C155" s="54" t="s">
        <v>36</v>
      </c>
      <c r="D155" s="59" t="str">
        <f t="shared" si="19"/>
        <v>Active</v>
      </c>
      <c r="E155" s="61">
        <v>45981.0</v>
      </c>
      <c r="F155" s="62"/>
      <c r="G155" s="65">
        <f t="shared" si="2"/>
        <v>10.53333333</v>
      </c>
      <c r="H155" s="67">
        <v>45981.0</v>
      </c>
      <c r="I155" s="65">
        <f t="shared" si="3"/>
        <v>0</v>
      </c>
      <c r="J155" s="92">
        <v>80.0</v>
      </c>
      <c r="K155" s="92">
        <v>11.0</v>
      </c>
      <c r="L155" s="69" t="s">
        <v>41</v>
      </c>
      <c r="M155" s="69" t="s">
        <v>38</v>
      </c>
      <c r="N155" s="71"/>
      <c r="O155" s="71"/>
      <c r="P155" s="72"/>
      <c r="Q155" s="71"/>
      <c r="R155" s="59" t="str">
        <f t="shared" si="4"/>
        <v>TBD</v>
      </c>
      <c r="S155" s="73"/>
      <c r="T155" s="65">
        <f t="shared" si="5"/>
        <v>10.53333333</v>
      </c>
      <c r="U155" s="73"/>
      <c r="V155" s="65"/>
    </row>
    <row r="156">
      <c r="A156" s="74" t="s">
        <v>236</v>
      </c>
      <c r="B156" s="75" t="s">
        <v>13</v>
      </c>
      <c r="C156" s="76"/>
      <c r="D156" s="76" t="str">
        <f t="shared" si="19"/>
        <v>Active</v>
      </c>
      <c r="E156" s="77">
        <v>45980.0</v>
      </c>
      <c r="F156" s="78"/>
      <c r="G156" s="79">
        <f t="shared" si="2"/>
        <v>10.56666667</v>
      </c>
      <c r="H156" s="80">
        <v>45980.0</v>
      </c>
      <c r="I156" s="79">
        <f t="shared" si="3"/>
        <v>0</v>
      </c>
      <c r="J156" s="81"/>
      <c r="K156" s="89">
        <v>13.0</v>
      </c>
      <c r="L156" s="82" t="s">
        <v>41</v>
      </c>
      <c r="M156" s="83"/>
      <c r="N156" s="85"/>
      <c r="O156" s="85"/>
      <c r="P156" s="86"/>
      <c r="Q156" s="85"/>
      <c r="R156" s="76" t="str">
        <f t="shared" si="4"/>
        <v>Active</v>
      </c>
      <c r="S156" s="90">
        <v>46267.0</v>
      </c>
      <c r="T156" s="79">
        <f t="shared" si="5"/>
        <v>9.433333333</v>
      </c>
      <c r="U156" s="87"/>
      <c r="V156" s="79"/>
    </row>
    <row r="157">
      <c r="A157" s="53" t="s">
        <v>237</v>
      </c>
      <c r="B157" s="54" t="s">
        <v>35</v>
      </c>
      <c r="C157" s="54" t="s">
        <v>36</v>
      </c>
      <c r="D157" s="59" t="str">
        <f t="shared" si="19"/>
        <v>Active</v>
      </c>
      <c r="E157" s="61">
        <v>45975.0</v>
      </c>
      <c r="F157" s="62"/>
      <c r="G157" s="65">
        <f t="shared" si="2"/>
        <v>10.73333333</v>
      </c>
      <c r="H157" s="67">
        <v>45975.0</v>
      </c>
      <c r="I157" s="65">
        <f t="shared" si="3"/>
        <v>0</v>
      </c>
      <c r="J157" s="92">
        <v>65.0</v>
      </c>
      <c r="K157" s="92">
        <v>5.0</v>
      </c>
      <c r="L157" s="69" t="s">
        <v>37</v>
      </c>
      <c r="M157" s="91"/>
      <c r="N157" s="71"/>
      <c r="O157" s="71"/>
      <c r="P157" s="72"/>
      <c r="Q157" s="71"/>
      <c r="R157" s="59" t="str">
        <f t="shared" si="4"/>
        <v>TBD</v>
      </c>
      <c r="S157" s="73"/>
      <c r="T157" s="65">
        <f t="shared" si="5"/>
        <v>10.73333333</v>
      </c>
      <c r="U157" s="73"/>
      <c r="V157" s="65"/>
    </row>
    <row r="158">
      <c r="A158" s="74" t="s">
        <v>238</v>
      </c>
      <c r="B158" s="75" t="s">
        <v>35</v>
      </c>
      <c r="C158" s="75" t="s">
        <v>36</v>
      </c>
      <c r="D158" s="76" t="str">
        <f t="shared" si="19"/>
        <v>Active</v>
      </c>
      <c r="E158" s="77">
        <v>45973.0</v>
      </c>
      <c r="F158" s="78"/>
      <c r="G158" s="79">
        <f t="shared" si="2"/>
        <v>10.8</v>
      </c>
      <c r="H158" s="80">
        <v>45883.0</v>
      </c>
      <c r="I158" s="79">
        <f t="shared" si="3"/>
        <v>0.2444444444</v>
      </c>
      <c r="J158" s="81"/>
      <c r="K158" s="89">
        <v>29.0</v>
      </c>
      <c r="L158" s="82" t="s">
        <v>239</v>
      </c>
      <c r="M158" s="83"/>
      <c r="N158" s="85"/>
      <c r="O158" s="85"/>
      <c r="P158" s="86"/>
      <c r="Q158" s="85"/>
      <c r="R158" s="76" t="str">
        <f t="shared" si="4"/>
        <v>Active</v>
      </c>
      <c r="S158" s="112">
        <f>E158</f>
        <v>45973</v>
      </c>
      <c r="T158" s="79">
        <f t="shared" si="5"/>
        <v>0</v>
      </c>
      <c r="U158" s="90"/>
      <c r="V158" s="79"/>
    </row>
    <row r="159">
      <c r="A159" s="53" t="s">
        <v>240</v>
      </c>
      <c r="B159" s="54" t="s">
        <v>35</v>
      </c>
      <c r="C159" s="54" t="s">
        <v>36</v>
      </c>
      <c r="D159" s="59" t="str">
        <f t="shared" si="19"/>
        <v>Active</v>
      </c>
      <c r="E159" s="61">
        <v>45973.0</v>
      </c>
      <c r="F159" s="62"/>
      <c r="G159" s="65">
        <f t="shared" si="2"/>
        <v>10.8</v>
      </c>
      <c r="H159" s="67">
        <f>E159</f>
        <v>45973</v>
      </c>
      <c r="I159" s="65">
        <f t="shared" si="3"/>
        <v>0</v>
      </c>
      <c r="J159" s="92">
        <v>68.0</v>
      </c>
      <c r="K159" s="92">
        <v>8.0</v>
      </c>
      <c r="L159" s="69" t="s">
        <v>41</v>
      </c>
      <c r="M159" s="91"/>
      <c r="N159" s="71"/>
      <c r="O159" s="71"/>
      <c r="P159" s="72"/>
      <c r="Q159" s="71"/>
      <c r="R159" s="59" t="str">
        <f t="shared" si="4"/>
        <v>TBD</v>
      </c>
      <c r="S159" s="73"/>
      <c r="T159" s="65">
        <f t="shared" si="5"/>
        <v>10.8</v>
      </c>
      <c r="U159" s="73"/>
      <c r="V159" s="65"/>
    </row>
    <row r="160">
      <c r="A160" s="74" t="s">
        <v>241</v>
      </c>
      <c r="B160" s="75" t="s">
        <v>35</v>
      </c>
      <c r="C160" s="75" t="s">
        <v>36</v>
      </c>
      <c r="D160" s="76" t="str">
        <f t="shared" si="19"/>
        <v>Active</v>
      </c>
      <c r="E160" s="77">
        <v>45972.0</v>
      </c>
      <c r="F160" s="78"/>
      <c r="G160" s="79">
        <f t="shared" si="2"/>
        <v>10.83333333</v>
      </c>
      <c r="H160" s="80">
        <v>45611.0</v>
      </c>
      <c r="I160" s="79">
        <f t="shared" si="3"/>
        <v>0.9888888889</v>
      </c>
      <c r="J160" s="89">
        <v>81.0</v>
      </c>
      <c r="K160" s="89">
        <v>6.0</v>
      </c>
      <c r="L160" s="82" t="s">
        <v>41</v>
      </c>
      <c r="M160" s="82" t="s">
        <v>38</v>
      </c>
      <c r="N160" s="85"/>
      <c r="O160" s="85"/>
      <c r="P160" s="86"/>
      <c r="Q160" s="85"/>
      <c r="R160" s="76" t="str">
        <f t="shared" si="4"/>
        <v>Active</v>
      </c>
      <c r="S160" s="112">
        <f t="shared" ref="S160:S161" si="24">E160</f>
        <v>45972</v>
      </c>
      <c r="T160" s="79">
        <f t="shared" si="5"/>
        <v>0</v>
      </c>
      <c r="U160" s="90"/>
      <c r="V160" s="79"/>
    </row>
    <row r="161">
      <c r="A161" s="53" t="s">
        <v>242</v>
      </c>
      <c r="B161" s="54" t="s">
        <v>35</v>
      </c>
      <c r="C161" s="54" t="s">
        <v>36</v>
      </c>
      <c r="D161" s="59" t="str">
        <f t="shared" si="19"/>
        <v>Active</v>
      </c>
      <c r="E161" s="61">
        <v>45972.0</v>
      </c>
      <c r="F161" s="62"/>
      <c r="G161" s="65">
        <f t="shared" si="2"/>
        <v>10.83333333</v>
      </c>
      <c r="H161" s="67">
        <v>41982.0</v>
      </c>
      <c r="I161" s="65">
        <f t="shared" si="3"/>
        <v>10.92222222</v>
      </c>
      <c r="J161" s="92">
        <v>74.0</v>
      </c>
      <c r="K161" s="92">
        <v>5.0</v>
      </c>
      <c r="L161" s="69" t="s">
        <v>41</v>
      </c>
      <c r="M161" s="91"/>
      <c r="N161" s="71"/>
      <c r="O161" s="71"/>
      <c r="P161" s="72"/>
      <c r="Q161" s="71"/>
      <c r="R161" s="59" t="str">
        <f t="shared" si="4"/>
        <v>Active</v>
      </c>
      <c r="S161" s="98">
        <f t="shared" si="24"/>
        <v>45972</v>
      </c>
      <c r="T161" s="65">
        <f t="shared" si="5"/>
        <v>0</v>
      </c>
      <c r="U161" s="88"/>
      <c r="V161" s="65"/>
    </row>
    <row r="162">
      <c r="A162" s="74" t="s">
        <v>243</v>
      </c>
      <c r="B162" s="75" t="s">
        <v>35</v>
      </c>
      <c r="C162" s="75" t="s">
        <v>36</v>
      </c>
      <c r="D162" s="76" t="str">
        <f t="shared" si="19"/>
        <v>Active</v>
      </c>
      <c r="E162" s="77">
        <v>45972.0</v>
      </c>
      <c r="F162" s="78"/>
      <c r="G162" s="79">
        <f t="shared" si="2"/>
        <v>10.83333333</v>
      </c>
      <c r="H162" s="80">
        <v>45972.0</v>
      </c>
      <c r="I162" s="79">
        <f t="shared" si="3"/>
        <v>0</v>
      </c>
      <c r="J162" s="89">
        <v>64.0</v>
      </c>
      <c r="K162" s="89">
        <v>7.0</v>
      </c>
      <c r="L162" s="82" t="s">
        <v>78</v>
      </c>
      <c r="M162" s="82" t="s">
        <v>38</v>
      </c>
      <c r="N162" s="85"/>
      <c r="O162" s="85"/>
      <c r="P162" s="86"/>
      <c r="Q162" s="85"/>
      <c r="R162" s="76" t="str">
        <f t="shared" si="4"/>
        <v>TBD</v>
      </c>
      <c r="S162" s="87"/>
      <c r="T162" s="79">
        <f t="shared" si="5"/>
        <v>10.83333333</v>
      </c>
      <c r="U162" s="87"/>
      <c r="V162" s="79"/>
    </row>
    <row r="163">
      <c r="A163" s="53" t="s">
        <v>244</v>
      </c>
      <c r="B163" s="54" t="s">
        <v>35</v>
      </c>
      <c r="C163" s="54" t="s">
        <v>36</v>
      </c>
      <c r="D163" s="59" t="str">
        <f t="shared" si="19"/>
        <v>Active</v>
      </c>
      <c r="E163" s="61">
        <v>45968.0</v>
      </c>
      <c r="F163" s="62"/>
      <c r="G163" s="65">
        <f t="shared" si="2"/>
        <v>10.96666667</v>
      </c>
      <c r="H163" s="67">
        <v>45968.0</v>
      </c>
      <c r="I163" s="65">
        <f t="shared" si="3"/>
        <v>0</v>
      </c>
      <c r="J163" s="92">
        <v>82.0</v>
      </c>
      <c r="K163" s="92">
        <v>19.0</v>
      </c>
      <c r="L163" s="69" t="s">
        <v>37</v>
      </c>
      <c r="M163" s="69" t="s">
        <v>38</v>
      </c>
      <c r="N163" s="71"/>
      <c r="O163" s="71"/>
      <c r="P163" s="72"/>
      <c r="Q163" s="71"/>
      <c r="R163" s="59" t="str">
        <f t="shared" si="4"/>
        <v>Active</v>
      </c>
      <c r="S163" s="98">
        <f>E163</f>
        <v>45968</v>
      </c>
      <c r="T163" s="65">
        <f t="shared" si="5"/>
        <v>0</v>
      </c>
      <c r="U163" s="88"/>
      <c r="V163" s="65"/>
    </row>
    <row r="164">
      <c r="A164" s="74" t="s">
        <v>245</v>
      </c>
      <c r="B164" s="75" t="s">
        <v>35</v>
      </c>
      <c r="C164" s="75" t="s">
        <v>36</v>
      </c>
      <c r="D164" s="76" t="str">
        <f t="shared" si="19"/>
        <v>Active</v>
      </c>
      <c r="E164" s="77">
        <v>45967.0</v>
      </c>
      <c r="F164" s="78"/>
      <c r="G164" s="79">
        <f t="shared" si="2"/>
        <v>11</v>
      </c>
      <c r="H164" s="80">
        <f t="shared" ref="H164:H165" si="25">E164</f>
        <v>45967</v>
      </c>
      <c r="I164" s="79">
        <f t="shared" si="3"/>
        <v>0</v>
      </c>
      <c r="J164" s="89">
        <v>80.0</v>
      </c>
      <c r="K164" s="89">
        <v>8.0</v>
      </c>
      <c r="L164" s="82" t="s">
        <v>57</v>
      </c>
      <c r="M164" s="82" t="s">
        <v>38</v>
      </c>
      <c r="N164" s="85"/>
      <c r="O164" s="85"/>
      <c r="P164" s="86"/>
      <c r="Q164" s="85"/>
      <c r="R164" s="76" t="str">
        <f t="shared" si="4"/>
        <v>Active</v>
      </c>
      <c r="S164" s="90">
        <v>46252.0</v>
      </c>
      <c r="T164" s="79">
        <f t="shared" si="5"/>
        <v>9.4</v>
      </c>
      <c r="U164" s="87"/>
      <c r="V164" s="79"/>
    </row>
    <row r="165">
      <c r="A165" s="53" t="s">
        <v>246</v>
      </c>
      <c r="B165" s="54" t="s">
        <v>35</v>
      </c>
      <c r="C165" s="54" t="s">
        <v>36</v>
      </c>
      <c r="D165" s="59" t="str">
        <f t="shared" si="19"/>
        <v>Active</v>
      </c>
      <c r="E165" s="61">
        <v>45966.0</v>
      </c>
      <c r="F165" s="62"/>
      <c r="G165" s="65">
        <f t="shared" si="2"/>
        <v>11.03333333</v>
      </c>
      <c r="H165" s="67">
        <f t="shared" si="25"/>
        <v>45966</v>
      </c>
      <c r="I165" s="65">
        <f t="shared" si="3"/>
        <v>0</v>
      </c>
      <c r="J165" s="92">
        <v>35.0</v>
      </c>
      <c r="K165" s="92">
        <v>4.0</v>
      </c>
      <c r="L165" s="69" t="s">
        <v>112</v>
      </c>
      <c r="M165" s="91"/>
      <c r="N165" s="71"/>
      <c r="O165" s="71"/>
      <c r="P165" s="72"/>
      <c r="Q165" s="71"/>
      <c r="R165" s="59" t="str">
        <f t="shared" si="4"/>
        <v>TBD</v>
      </c>
      <c r="S165" s="73"/>
      <c r="T165" s="65">
        <f t="shared" si="5"/>
        <v>11.03333333</v>
      </c>
      <c r="U165" s="73"/>
      <c r="V165" s="65"/>
    </row>
    <row r="166">
      <c r="A166" s="74" t="s">
        <v>247</v>
      </c>
      <c r="B166" s="75" t="s">
        <v>35</v>
      </c>
      <c r="C166" s="75" t="s">
        <v>36</v>
      </c>
      <c r="D166" s="76" t="str">
        <f t="shared" si="19"/>
        <v>Active</v>
      </c>
      <c r="E166" s="77">
        <v>45965.0</v>
      </c>
      <c r="F166" s="78"/>
      <c r="G166" s="79">
        <f t="shared" si="2"/>
        <v>11.06666667</v>
      </c>
      <c r="H166" s="80">
        <v>45786.0</v>
      </c>
      <c r="I166" s="79">
        <f t="shared" si="3"/>
        <v>0.4861111111</v>
      </c>
      <c r="J166" s="89">
        <v>86.0</v>
      </c>
      <c r="K166" s="89">
        <v>11.0</v>
      </c>
      <c r="L166" s="82" t="s">
        <v>41</v>
      </c>
      <c r="M166" s="82" t="s">
        <v>38</v>
      </c>
      <c r="N166" s="85"/>
      <c r="O166" s="85"/>
      <c r="P166" s="86"/>
      <c r="Q166" s="85"/>
      <c r="R166" s="76" t="str">
        <f t="shared" si="4"/>
        <v>TBD</v>
      </c>
      <c r="S166" s="87"/>
      <c r="T166" s="79">
        <f t="shared" si="5"/>
        <v>11.06666667</v>
      </c>
      <c r="U166" s="87"/>
      <c r="V166" s="79"/>
    </row>
    <row r="167">
      <c r="A167" s="53" t="s">
        <v>248</v>
      </c>
      <c r="B167" s="54" t="s">
        <v>13</v>
      </c>
      <c r="C167" s="59"/>
      <c r="D167" s="59" t="str">
        <f t="shared" si="19"/>
        <v>Active</v>
      </c>
      <c r="E167" s="61">
        <v>45965.0</v>
      </c>
      <c r="F167" s="62"/>
      <c r="G167" s="65">
        <f t="shared" si="2"/>
        <v>11.06666667</v>
      </c>
      <c r="H167" s="67">
        <v>45965.0</v>
      </c>
      <c r="I167" s="65">
        <f t="shared" si="3"/>
        <v>0</v>
      </c>
      <c r="J167" s="92">
        <v>68.0</v>
      </c>
      <c r="K167" s="92">
        <v>64.0</v>
      </c>
      <c r="L167" s="69" t="s">
        <v>249</v>
      </c>
      <c r="M167" s="91"/>
      <c r="N167" s="71"/>
      <c r="O167" s="71"/>
      <c r="P167" s="72"/>
      <c r="Q167" s="71"/>
      <c r="R167" s="59" t="str">
        <f t="shared" si="4"/>
        <v>Active</v>
      </c>
      <c r="S167" s="88">
        <v>46125.0</v>
      </c>
      <c r="T167" s="65">
        <f t="shared" si="5"/>
        <v>5.3</v>
      </c>
      <c r="U167" s="88"/>
      <c r="V167" s="65"/>
    </row>
    <row r="168">
      <c r="A168" s="74" t="s">
        <v>250</v>
      </c>
      <c r="B168" s="75" t="s">
        <v>35</v>
      </c>
      <c r="C168" s="75" t="s">
        <v>36</v>
      </c>
      <c r="D168" s="76" t="str">
        <f t="shared" si="19"/>
        <v>Active</v>
      </c>
      <c r="E168" s="90">
        <v>45959.0</v>
      </c>
      <c r="F168" s="78"/>
      <c r="G168" s="79">
        <f t="shared" si="2"/>
        <v>11.23333333</v>
      </c>
      <c r="H168" s="116">
        <f>E168</f>
        <v>45959</v>
      </c>
      <c r="I168" s="79">
        <f t="shared" si="3"/>
        <v>0</v>
      </c>
      <c r="J168" s="89">
        <v>83.0</v>
      </c>
      <c r="K168" s="89">
        <v>16.0</v>
      </c>
      <c r="L168" s="82" t="s">
        <v>46</v>
      </c>
      <c r="M168" s="82" t="s">
        <v>38</v>
      </c>
      <c r="N168" s="85"/>
      <c r="O168" s="85"/>
      <c r="P168" s="86"/>
      <c r="Q168" s="85"/>
      <c r="R168" s="76" t="str">
        <f t="shared" si="4"/>
        <v>TBD</v>
      </c>
      <c r="S168" s="87"/>
      <c r="T168" s="79">
        <f t="shared" si="5"/>
        <v>11.23333333</v>
      </c>
      <c r="U168" s="87"/>
      <c r="V168" s="79"/>
    </row>
    <row r="169">
      <c r="A169" s="53" t="s">
        <v>251</v>
      </c>
      <c r="B169" s="54" t="s">
        <v>35</v>
      </c>
      <c r="C169" s="54" t="s">
        <v>36</v>
      </c>
      <c r="D169" s="59" t="str">
        <f t="shared" si="19"/>
        <v>Active</v>
      </c>
      <c r="E169" s="61">
        <v>45958.0</v>
      </c>
      <c r="F169" s="62"/>
      <c r="G169" s="65">
        <f t="shared" si="2"/>
        <v>11.26666667</v>
      </c>
      <c r="H169" s="67">
        <v>45559.0</v>
      </c>
      <c r="I169" s="65">
        <f t="shared" si="3"/>
        <v>1.094444444</v>
      </c>
      <c r="J169" s="92">
        <v>88.0</v>
      </c>
      <c r="K169" s="92">
        <v>12.0</v>
      </c>
      <c r="L169" s="69" t="s">
        <v>252</v>
      </c>
      <c r="M169" s="69" t="s">
        <v>38</v>
      </c>
      <c r="N169" s="71"/>
      <c r="O169" s="71"/>
      <c r="P169" s="72"/>
      <c r="Q169" s="71"/>
      <c r="R169" s="59" t="str">
        <f t="shared" si="4"/>
        <v>Active</v>
      </c>
      <c r="S169" s="98">
        <f>E169</f>
        <v>45958</v>
      </c>
      <c r="T169" s="65">
        <f t="shared" si="5"/>
        <v>0</v>
      </c>
      <c r="U169" s="88"/>
      <c r="V169" s="65"/>
    </row>
    <row r="170">
      <c r="A170" s="74" t="s">
        <v>253</v>
      </c>
      <c r="B170" s="75" t="s">
        <v>35</v>
      </c>
      <c r="C170" s="75" t="s">
        <v>36</v>
      </c>
      <c r="D170" s="76" t="str">
        <f t="shared" si="19"/>
        <v>Active</v>
      </c>
      <c r="E170" s="77">
        <v>45953.0</v>
      </c>
      <c r="F170" s="78"/>
      <c r="G170" s="79">
        <f t="shared" si="2"/>
        <v>11.43333333</v>
      </c>
      <c r="H170" s="80">
        <v>45953.0</v>
      </c>
      <c r="I170" s="79">
        <f t="shared" si="3"/>
        <v>0</v>
      </c>
      <c r="J170" s="89">
        <v>82.0</v>
      </c>
      <c r="K170" s="89">
        <v>37.0</v>
      </c>
      <c r="L170" s="82" t="s">
        <v>64</v>
      </c>
      <c r="M170" s="82" t="s">
        <v>38</v>
      </c>
      <c r="N170" s="85"/>
      <c r="O170" s="85"/>
      <c r="P170" s="86"/>
      <c r="Q170" s="85"/>
      <c r="R170" s="76" t="str">
        <f t="shared" si="4"/>
        <v>Active</v>
      </c>
      <c r="S170" s="90">
        <v>46240.0</v>
      </c>
      <c r="T170" s="79">
        <f t="shared" si="5"/>
        <v>9.433333333</v>
      </c>
      <c r="U170" s="87"/>
      <c r="V170" s="79"/>
    </row>
    <row r="171">
      <c r="A171" s="53" t="s">
        <v>254</v>
      </c>
      <c r="B171" s="54" t="s">
        <v>35</v>
      </c>
      <c r="C171" s="54" t="s">
        <v>36</v>
      </c>
      <c r="D171" s="59" t="str">
        <f t="shared" si="19"/>
        <v>Active</v>
      </c>
      <c r="E171" s="61">
        <v>45953.0</v>
      </c>
      <c r="F171" s="62"/>
      <c r="G171" s="65">
        <f t="shared" si="2"/>
        <v>11.43333333</v>
      </c>
      <c r="H171" s="67">
        <v>45953.0</v>
      </c>
      <c r="I171" s="65">
        <f t="shared" si="3"/>
        <v>0</v>
      </c>
      <c r="J171" s="92">
        <v>74.0</v>
      </c>
      <c r="K171" s="92">
        <v>13.0</v>
      </c>
      <c r="L171" s="69" t="s">
        <v>37</v>
      </c>
      <c r="M171" s="69" t="s">
        <v>38</v>
      </c>
      <c r="N171" s="71"/>
      <c r="O171" s="71"/>
      <c r="P171" s="72"/>
      <c r="Q171" s="71"/>
      <c r="R171" s="59" t="str">
        <f t="shared" si="4"/>
        <v>Active</v>
      </c>
      <c r="S171" s="88">
        <v>46245.0</v>
      </c>
      <c r="T171" s="65">
        <f t="shared" si="5"/>
        <v>9.6</v>
      </c>
      <c r="U171" s="73"/>
      <c r="V171" s="65"/>
    </row>
    <row r="172">
      <c r="A172" s="74" t="s">
        <v>255</v>
      </c>
      <c r="B172" s="75" t="s">
        <v>35</v>
      </c>
      <c r="C172" s="75" t="s">
        <v>36</v>
      </c>
      <c r="D172" s="76" t="str">
        <f t="shared" si="19"/>
        <v>Active</v>
      </c>
      <c r="E172" s="90">
        <v>45951.0</v>
      </c>
      <c r="F172" s="78"/>
      <c r="G172" s="79">
        <f t="shared" si="2"/>
        <v>11.5</v>
      </c>
      <c r="H172" s="116">
        <f t="shared" ref="H172:H173" si="26">E172</f>
        <v>45951</v>
      </c>
      <c r="I172" s="79">
        <f t="shared" si="3"/>
        <v>0</v>
      </c>
      <c r="J172" s="89">
        <v>82.0</v>
      </c>
      <c r="K172" s="89">
        <v>12.0</v>
      </c>
      <c r="L172" s="82" t="s">
        <v>41</v>
      </c>
      <c r="M172" s="82" t="s">
        <v>38</v>
      </c>
      <c r="N172" s="85"/>
      <c r="O172" s="85"/>
      <c r="P172" s="86"/>
      <c r="Q172" s="85"/>
      <c r="R172" s="76" t="str">
        <f t="shared" si="4"/>
        <v>Active</v>
      </c>
      <c r="S172" s="90">
        <v>46282.0</v>
      </c>
      <c r="T172" s="79">
        <f t="shared" si="5"/>
        <v>10.86666667</v>
      </c>
      <c r="U172" s="87"/>
      <c r="V172" s="79"/>
    </row>
    <row r="173">
      <c r="A173" s="53" t="s">
        <v>256</v>
      </c>
      <c r="B173" s="54" t="s">
        <v>35</v>
      </c>
      <c r="C173" s="54" t="s">
        <v>36</v>
      </c>
      <c r="D173" s="59" t="str">
        <f t="shared" si="19"/>
        <v>Active</v>
      </c>
      <c r="E173" s="88">
        <v>45947.0</v>
      </c>
      <c r="F173" s="62"/>
      <c r="G173" s="65">
        <f t="shared" si="2"/>
        <v>11.63333333</v>
      </c>
      <c r="H173" s="117">
        <f t="shared" si="26"/>
        <v>45947</v>
      </c>
      <c r="I173" s="65">
        <f t="shared" si="3"/>
        <v>0</v>
      </c>
      <c r="J173" s="92">
        <v>80.0</v>
      </c>
      <c r="K173" s="92">
        <v>5.0</v>
      </c>
      <c r="L173" s="69" t="s">
        <v>41</v>
      </c>
      <c r="M173" s="69" t="s">
        <v>38</v>
      </c>
      <c r="N173" s="71"/>
      <c r="O173" s="70"/>
      <c r="P173" s="72"/>
      <c r="Q173" s="71"/>
      <c r="R173" s="59" t="str">
        <f t="shared" si="4"/>
        <v>Active</v>
      </c>
      <c r="S173" s="88">
        <v>46297.0</v>
      </c>
      <c r="T173" s="65">
        <f t="shared" si="5"/>
        <v>11.5</v>
      </c>
      <c r="U173" s="73"/>
      <c r="V173" s="65"/>
    </row>
    <row r="174">
      <c r="A174" s="74" t="s">
        <v>257</v>
      </c>
      <c r="B174" s="75" t="s">
        <v>35</v>
      </c>
      <c r="C174" s="75" t="s">
        <v>36</v>
      </c>
      <c r="D174" s="76" t="str">
        <f t="shared" si="19"/>
        <v>Active</v>
      </c>
      <c r="E174" s="90">
        <v>45945.0</v>
      </c>
      <c r="F174" s="78"/>
      <c r="G174" s="79">
        <f t="shared" si="2"/>
        <v>11.7</v>
      </c>
      <c r="H174" s="80">
        <v>32813.0</v>
      </c>
      <c r="I174" s="79">
        <f t="shared" si="3"/>
        <v>35.95555556</v>
      </c>
      <c r="J174" s="81"/>
      <c r="K174" s="89">
        <v>8.0</v>
      </c>
      <c r="L174" s="82" t="s">
        <v>46</v>
      </c>
      <c r="M174" s="83"/>
      <c r="N174" s="84" t="s">
        <v>258</v>
      </c>
      <c r="O174" s="85"/>
      <c r="P174" s="86"/>
      <c r="Q174" s="85"/>
      <c r="R174" s="76" t="str">
        <f t="shared" si="4"/>
        <v>Active</v>
      </c>
      <c r="S174" s="90">
        <f t="shared" ref="S174:S177" si="27">E174</f>
        <v>45945</v>
      </c>
      <c r="T174" s="79">
        <f t="shared" si="5"/>
        <v>0</v>
      </c>
      <c r="U174" s="90"/>
      <c r="V174" s="79"/>
    </row>
    <row r="175">
      <c r="A175" s="53" t="s">
        <v>259</v>
      </c>
      <c r="B175" s="54" t="s">
        <v>35</v>
      </c>
      <c r="C175" s="54" t="s">
        <v>36</v>
      </c>
      <c r="D175" s="59" t="str">
        <f t="shared" si="19"/>
        <v>Active</v>
      </c>
      <c r="E175" s="88">
        <v>45945.0</v>
      </c>
      <c r="F175" s="62"/>
      <c r="G175" s="65">
        <f t="shared" si="2"/>
        <v>11.7</v>
      </c>
      <c r="H175" s="113">
        <v>32874.0</v>
      </c>
      <c r="I175" s="65">
        <f t="shared" si="3"/>
        <v>35.78888889</v>
      </c>
      <c r="J175" s="92">
        <v>69.0</v>
      </c>
      <c r="K175" s="68"/>
      <c r="L175" s="69" t="s">
        <v>81</v>
      </c>
      <c r="M175" s="91"/>
      <c r="N175" s="70" t="s">
        <v>180</v>
      </c>
      <c r="O175" s="71"/>
      <c r="P175" s="72"/>
      <c r="Q175" s="71"/>
      <c r="R175" s="59" t="str">
        <f t="shared" si="4"/>
        <v>Active</v>
      </c>
      <c r="S175" s="88">
        <f t="shared" si="27"/>
        <v>45945</v>
      </c>
      <c r="T175" s="65">
        <f t="shared" si="5"/>
        <v>0</v>
      </c>
      <c r="U175" s="88"/>
      <c r="V175" s="65"/>
    </row>
    <row r="176">
      <c r="A176" s="74" t="s">
        <v>260</v>
      </c>
      <c r="B176" s="75" t="s">
        <v>35</v>
      </c>
      <c r="C176" s="75" t="s">
        <v>36</v>
      </c>
      <c r="D176" s="76" t="str">
        <f t="shared" si="19"/>
        <v>Active</v>
      </c>
      <c r="E176" s="90">
        <v>45945.0</v>
      </c>
      <c r="F176" s="78"/>
      <c r="G176" s="79">
        <f t="shared" si="2"/>
        <v>11.7</v>
      </c>
      <c r="H176" s="80">
        <v>29921.0</v>
      </c>
      <c r="I176" s="79">
        <f t="shared" si="3"/>
        <v>43.87222222</v>
      </c>
      <c r="J176" s="89">
        <v>85.0</v>
      </c>
      <c r="K176" s="89">
        <v>1.0</v>
      </c>
      <c r="L176" s="82" t="s">
        <v>62</v>
      </c>
      <c r="M176" s="83"/>
      <c r="N176" s="85" t="s">
        <v>182</v>
      </c>
      <c r="O176" s="85"/>
      <c r="P176" s="86"/>
      <c r="Q176" s="85"/>
      <c r="R176" s="76" t="str">
        <f t="shared" si="4"/>
        <v>Active</v>
      </c>
      <c r="S176" s="90">
        <f t="shared" si="27"/>
        <v>45945</v>
      </c>
      <c r="T176" s="79">
        <f t="shared" si="5"/>
        <v>0</v>
      </c>
      <c r="U176" s="90"/>
      <c r="V176" s="79"/>
    </row>
    <row r="177">
      <c r="A177" s="53" t="s">
        <v>261</v>
      </c>
      <c r="B177" s="54" t="s">
        <v>35</v>
      </c>
      <c r="C177" s="54" t="s">
        <v>36</v>
      </c>
      <c r="D177" s="59" t="str">
        <f t="shared" si="19"/>
        <v>Active</v>
      </c>
      <c r="E177" s="88">
        <v>45945.0</v>
      </c>
      <c r="F177" s="62"/>
      <c r="G177" s="65">
        <f t="shared" si="2"/>
        <v>11.7</v>
      </c>
      <c r="H177" s="67">
        <v>30529.0</v>
      </c>
      <c r="I177" s="65">
        <f t="shared" si="3"/>
        <v>42.20555556</v>
      </c>
      <c r="J177" s="92">
        <v>81.0</v>
      </c>
      <c r="K177" s="68"/>
      <c r="L177" s="69" t="s">
        <v>41</v>
      </c>
      <c r="M177" s="91"/>
      <c r="N177" s="71" t="s">
        <v>182</v>
      </c>
      <c r="O177" s="71"/>
      <c r="P177" s="72"/>
      <c r="Q177" s="71"/>
      <c r="R177" s="59" t="str">
        <f t="shared" si="4"/>
        <v>Active</v>
      </c>
      <c r="S177" s="88">
        <f t="shared" si="27"/>
        <v>45945</v>
      </c>
      <c r="T177" s="65">
        <f t="shared" si="5"/>
        <v>0</v>
      </c>
      <c r="U177" s="88"/>
      <c r="V177" s="65"/>
    </row>
    <row r="178">
      <c r="A178" s="74" t="s">
        <v>262</v>
      </c>
      <c r="B178" s="75" t="s">
        <v>13</v>
      </c>
      <c r="C178" s="75"/>
      <c r="D178" s="76" t="str">
        <f t="shared" si="19"/>
        <v>Active</v>
      </c>
      <c r="E178" s="90">
        <v>45946.0</v>
      </c>
      <c r="F178" s="78"/>
      <c r="G178" s="79">
        <f t="shared" si="2"/>
        <v>11.66666667</v>
      </c>
      <c r="H178" s="116">
        <f t="shared" ref="H178:H179" si="28">E178</f>
        <v>45946</v>
      </c>
      <c r="I178" s="79">
        <f t="shared" si="3"/>
        <v>0</v>
      </c>
      <c r="J178" s="89">
        <v>70.0</v>
      </c>
      <c r="K178" s="81"/>
      <c r="L178" s="82" t="s">
        <v>46</v>
      </c>
      <c r="M178" s="83"/>
      <c r="N178" s="85"/>
      <c r="O178" s="85"/>
      <c r="P178" s="86"/>
      <c r="Q178" s="85"/>
      <c r="R178" s="76" t="str">
        <f t="shared" si="4"/>
        <v>TBD</v>
      </c>
      <c r="S178" s="87"/>
      <c r="T178" s="79">
        <f t="shared" si="5"/>
        <v>11.66666667</v>
      </c>
      <c r="U178" s="87"/>
      <c r="V178" s="79"/>
    </row>
    <row r="179">
      <c r="A179" s="53" t="s">
        <v>263</v>
      </c>
      <c r="B179" s="54" t="s">
        <v>35</v>
      </c>
      <c r="C179" s="54" t="s">
        <v>36</v>
      </c>
      <c r="D179" s="59" t="str">
        <f t="shared" si="19"/>
        <v>Active</v>
      </c>
      <c r="E179" s="88">
        <v>45945.0</v>
      </c>
      <c r="F179" s="62"/>
      <c r="G179" s="65">
        <f t="shared" si="2"/>
        <v>11.7</v>
      </c>
      <c r="H179" s="117">
        <f t="shared" si="28"/>
        <v>45945</v>
      </c>
      <c r="I179" s="65">
        <f t="shared" si="3"/>
        <v>0</v>
      </c>
      <c r="J179" s="92">
        <v>84.0</v>
      </c>
      <c r="K179" s="92">
        <v>19.0</v>
      </c>
      <c r="L179" s="69" t="s">
        <v>252</v>
      </c>
      <c r="M179" s="91"/>
      <c r="N179" s="71"/>
      <c r="O179" s="71"/>
      <c r="P179" s="72"/>
      <c r="Q179" s="71"/>
      <c r="R179" s="59" t="str">
        <f t="shared" si="4"/>
        <v>Active</v>
      </c>
      <c r="S179" s="88">
        <v>46246.0</v>
      </c>
      <c r="T179" s="65">
        <f t="shared" si="5"/>
        <v>9.9</v>
      </c>
      <c r="U179" s="73"/>
      <c r="V179" s="65"/>
    </row>
    <row r="180">
      <c r="A180" s="74" t="s">
        <v>264</v>
      </c>
      <c r="B180" s="75" t="s">
        <v>13</v>
      </c>
      <c r="C180" s="76"/>
      <c r="D180" s="76" t="str">
        <f t="shared" si="19"/>
        <v>Active</v>
      </c>
      <c r="E180" s="77">
        <v>45940.0</v>
      </c>
      <c r="F180" s="78"/>
      <c r="G180" s="79">
        <f t="shared" si="2"/>
        <v>11.86666667</v>
      </c>
      <c r="H180" s="80">
        <v>35338.0</v>
      </c>
      <c r="I180" s="79">
        <f t="shared" si="3"/>
        <v>29.02777778</v>
      </c>
      <c r="J180" s="89">
        <v>84.0</v>
      </c>
      <c r="K180" s="89">
        <f>47+33</f>
        <v>80</v>
      </c>
      <c r="L180" s="82" t="s">
        <v>81</v>
      </c>
      <c r="M180" s="83"/>
      <c r="N180" s="84" t="s">
        <v>265</v>
      </c>
      <c r="O180" s="85"/>
      <c r="P180" s="86"/>
      <c r="Q180" s="85"/>
      <c r="R180" s="76" t="str">
        <f t="shared" si="4"/>
        <v>TBD</v>
      </c>
      <c r="S180" s="87"/>
      <c r="T180" s="79">
        <f t="shared" si="5"/>
        <v>11.86666667</v>
      </c>
      <c r="U180" s="87"/>
      <c r="V180" s="79"/>
    </row>
    <row r="181">
      <c r="A181" s="53" t="s">
        <v>266</v>
      </c>
      <c r="B181" s="54" t="s">
        <v>13</v>
      </c>
      <c r="C181" s="59"/>
      <c r="D181" s="59" t="str">
        <f t="shared" si="19"/>
        <v>Active</v>
      </c>
      <c r="E181" s="61">
        <v>45940.0</v>
      </c>
      <c r="F181" s="62"/>
      <c r="G181" s="65">
        <f t="shared" si="2"/>
        <v>11.86666667</v>
      </c>
      <c r="H181" s="67">
        <v>36219.0</v>
      </c>
      <c r="I181" s="65">
        <f t="shared" si="3"/>
        <v>26.61666667</v>
      </c>
      <c r="J181" s="92">
        <v>65.0</v>
      </c>
      <c r="K181" s="92">
        <v>153.0</v>
      </c>
      <c r="L181" s="69" t="s">
        <v>81</v>
      </c>
      <c r="M181" s="91"/>
      <c r="N181" s="70" t="s">
        <v>265</v>
      </c>
      <c r="O181" s="71"/>
      <c r="P181" s="72"/>
      <c r="Q181" s="71"/>
      <c r="R181" s="59" t="str">
        <f t="shared" si="4"/>
        <v>TBD</v>
      </c>
      <c r="S181" s="73"/>
      <c r="T181" s="65">
        <f t="shared" si="5"/>
        <v>11.86666667</v>
      </c>
      <c r="U181" s="73"/>
      <c r="V181" s="65"/>
    </row>
    <row r="182">
      <c r="A182" s="74" t="s">
        <v>267</v>
      </c>
      <c r="B182" s="75" t="s">
        <v>35</v>
      </c>
      <c r="C182" s="75" t="s">
        <v>36</v>
      </c>
      <c r="D182" s="76" t="str">
        <f t="shared" si="19"/>
        <v>Active</v>
      </c>
      <c r="E182" s="90">
        <v>45938.0</v>
      </c>
      <c r="F182" s="78"/>
      <c r="G182" s="79">
        <f t="shared" si="2"/>
        <v>11.93333333</v>
      </c>
      <c r="H182" s="80">
        <v>45827.0</v>
      </c>
      <c r="I182" s="79">
        <f t="shared" si="3"/>
        <v>0.3027777778</v>
      </c>
      <c r="J182" s="81">
        <f>average(70,80,80)</f>
        <v>76.66666667</v>
      </c>
      <c r="K182" s="89">
        <v>22.0</v>
      </c>
      <c r="L182" s="82" t="s">
        <v>64</v>
      </c>
      <c r="M182" s="83"/>
      <c r="N182" s="85"/>
      <c r="O182" s="85"/>
      <c r="P182" s="86"/>
      <c r="Q182" s="85"/>
      <c r="R182" s="76" t="str">
        <f t="shared" si="4"/>
        <v>TBD</v>
      </c>
      <c r="S182" s="87"/>
      <c r="T182" s="79">
        <f t="shared" si="5"/>
        <v>11.93333333</v>
      </c>
      <c r="U182" s="87"/>
      <c r="V182" s="79"/>
    </row>
    <row r="183">
      <c r="A183" s="53" t="s">
        <v>268</v>
      </c>
      <c r="B183" s="54" t="s">
        <v>35</v>
      </c>
      <c r="C183" s="54" t="s">
        <v>36</v>
      </c>
      <c r="D183" s="59" t="str">
        <f t="shared" si="19"/>
        <v>Active</v>
      </c>
      <c r="E183" s="88">
        <v>45931.0</v>
      </c>
      <c r="F183" s="62"/>
      <c r="G183" s="65">
        <f t="shared" si="2"/>
        <v>12.16666667</v>
      </c>
      <c r="H183" s="67">
        <v>44964.0</v>
      </c>
      <c r="I183" s="65">
        <f t="shared" si="3"/>
        <v>2.65</v>
      </c>
      <c r="J183" s="92">
        <v>84.0</v>
      </c>
      <c r="K183" s="92">
        <v>27.0</v>
      </c>
      <c r="L183" s="69" t="s">
        <v>41</v>
      </c>
      <c r="M183" s="91"/>
      <c r="N183" s="70" t="s">
        <v>265</v>
      </c>
      <c r="O183" s="71"/>
      <c r="P183" s="72"/>
      <c r="Q183" s="71"/>
      <c r="R183" s="59" t="str">
        <f t="shared" si="4"/>
        <v>Active</v>
      </c>
      <c r="S183" s="88">
        <v>45931.0</v>
      </c>
      <c r="T183" s="65">
        <f t="shared" si="5"/>
        <v>0</v>
      </c>
      <c r="U183" s="88"/>
      <c r="V183" s="65"/>
    </row>
    <row r="184">
      <c r="A184" s="74" t="s">
        <v>269</v>
      </c>
      <c r="B184" s="75" t="s">
        <v>35</v>
      </c>
      <c r="C184" s="75"/>
      <c r="D184" s="76" t="str">
        <f t="shared" si="19"/>
        <v>Active</v>
      </c>
      <c r="E184" s="90">
        <v>45931.0</v>
      </c>
      <c r="F184" s="78"/>
      <c r="G184" s="79">
        <f t="shared" si="2"/>
        <v>12.16666667</v>
      </c>
      <c r="H184" s="80">
        <v>40134.0</v>
      </c>
      <c r="I184" s="79">
        <f t="shared" si="3"/>
        <v>15.87222222</v>
      </c>
      <c r="J184" s="89">
        <v>90.0</v>
      </c>
      <c r="K184" s="89">
        <v>19.0</v>
      </c>
      <c r="L184" s="82" t="s">
        <v>41</v>
      </c>
      <c r="M184" s="83"/>
      <c r="N184" s="84" t="s">
        <v>265</v>
      </c>
      <c r="O184" s="85"/>
      <c r="P184" s="118"/>
      <c r="Q184" s="85"/>
      <c r="R184" s="76" t="str">
        <f t="shared" si="4"/>
        <v>TBD</v>
      </c>
      <c r="S184" s="87"/>
      <c r="T184" s="79">
        <f t="shared" si="5"/>
        <v>12.16666667</v>
      </c>
      <c r="U184" s="87"/>
      <c r="V184" s="79"/>
    </row>
    <row r="185">
      <c r="A185" s="53" t="s">
        <v>270</v>
      </c>
      <c r="B185" s="54" t="s">
        <v>35</v>
      </c>
      <c r="C185" s="54" t="s">
        <v>36</v>
      </c>
      <c r="D185" s="59" t="str">
        <f t="shared" si="19"/>
        <v>Active</v>
      </c>
      <c r="E185" s="88">
        <v>45931.0</v>
      </c>
      <c r="F185" s="62"/>
      <c r="G185" s="65">
        <f t="shared" si="2"/>
        <v>12.16666667</v>
      </c>
      <c r="H185" s="67">
        <v>43553.0</v>
      </c>
      <c r="I185" s="65">
        <f t="shared" si="3"/>
        <v>6.505555556</v>
      </c>
      <c r="J185" s="92">
        <v>72.0</v>
      </c>
      <c r="K185" s="92">
        <v>15.0</v>
      </c>
      <c r="L185" s="69" t="s">
        <v>41</v>
      </c>
      <c r="M185" s="91"/>
      <c r="N185" s="70" t="s">
        <v>265</v>
      </c>
      <c r="O185" s="71"/>
      <c r="P185" s="72"/>
      <c r="Q185" s="71"/>
      <c r="R185" s="59" t="str">
        <f t="shared" si="4"/>
        <v>TBD</v>
      </c>
      <c r="S185" s="73"/>
      <c r="T185" s="65">
        <f t="shared" si="5"/>
        <v>12.16666667</v>
      </c>
      <c r="U185" s="73"/>
      <c r="V185" s="65"/>
    </row>
    <row r="186">
      <c r="A186" s="74" t="s">
        <v>271</v>
      </c>
      <c r="B186" s="75" t="s">
        <v>35</v>
      </c>
      <c r="C186" s="75" t="s">
        <v>36</v>
      </c>
      <c r="D186" s="76" t="str">
        <f t="shared" si="19"/>
        <v>Active</v>
      </c>
      <c r="E186" s="90">
        <v>45931.0</v>
      </c>
      <c r="F186" s="78"/>
      <c r="G186" s="79">
        <f t="shared" si="2"/>
        <v>12.16666667</v>
      </c>
      <c r="H186" s="80">
        <v>41576.0</v>
      </c>
      <c r="I186" s="79">
        <f t="shared" si="3"/>
        <v>11.92222222</v>
      </c>
      <c r="J186" s="89">
        <v>88.0</v>
      </c>
      <c r="K186" s="89">
        <v>24.0</v>
      </c>
      <c r="L186" s="82" t="s">
        <v>41</v>
      </c>
      <c r="M186" s="83"/>
      <c r="N186" s="84" t="s">
        <v>265</v>
      </c>
      <c r="O186" s="85"/>
      <c r="P186" s="86"/>
      <c r="Q186" s="85"/>
      <c r="R186" s="76" t="str">
        <f t="shared" si="4"/>
        <v>TBD</v>
      </c>
      <c r="S186" s="87"/>
      <c r="T186" s="79">
        <f t="shared" si="5"/>
        <v>12.16666667</v>
      </c>
      <c r="U186" s="87"/>
      <c r="V186" s="79"/>
    </row>
    <row r="187">
      <c r="A187" s="53" t="s">
        <v>272</v>
      </c>
      <c r="B187" s="54" t="s">
        <v>35</v>
      </c>
      <c r="C187" s="54"/>
      <c r="D187" s="59" t="str">
        <f t="shared" si="19"/>
        <v>Active</v>
      </c>
      <c r="E187" s="88">
        <v>45931.0</v>
      </c>
      <c r="F187" s="62"/>
      <c r="G187" s="65">
        <f t="shared" si="2"/>
        <v>12.16666667</v>
      </c>
      <c r="H187" s="67">
        <v>41626.0</v>
      </c>
      <c r="I187" s="65">
        <f t="shared" si="3"/>
        <v>11.78611111</v>
      </c>
      <c r="J187" s="92">
        <v>71.0</v>
      </c>
      <c r="K187" s="92">
        <v>4.0</v>
      </c>
      <c r="L187" s="69" t="s">
        <v>41</v>
      </c>
      <c r="M187" s="91"/>
      <c r="N187" s="70" t="s">
        <v>265</v>
      </c>
      <c r="O187" s="71"/>
      <c r="P187" s="72"/>
      <c r="Q187" s="71"/>
      <c r="R187" s="59" t="str">
        <f t="shared" si="4"/>
        <v>TBD</v>
      </c>
      <c r="S187" s="73"/>
      <c r="T187" s="65">
        <f t="shared" si="5"/>
        <v>12.16666667</v>
      </c>
      <c r="U187" s="73"/>
      <c r="V187" s="65"/>
    </row>
    <row r="188">
      <c r="A188" s="74" t="s">
        <v>273</v>
      </c>
      <c r="B188" s="75" t="s">
        <v>35</v>
      </c>
      <c r="C188" s="75"/>
      <c r="D188" s="76" t="str">
        <f t="shared" si="19"/>
        <v>Active</v>
      </c>
      <c r="E188" s="90">
        <v>45931.0</v>
      </c>
      <c r="F188" s="78"/>
      <c r="G188" s="79">
        <f t="shared" si="2"/>
        <v>12.16666667</v>
      </c>
      <c r="H188" s="80">
        <v>40498.0</v>
      </c>
      <c r="I188" s="79">
        <f t="shared" si="3"/>
        <v>14.875</v>
      </c>
      <c r="J188" s="89">
        <v>89.0</v>
      </c>
      <c r="K188" s="89">
        <v>15.0</v>
      </c>
      <c r="L188" s="82" t="s">
        <v>41</v>
      </c>
      <c r="M188" s="83"/>
      <c r="N188" s="84" t="s">
        <v>265</v>
      </c>
      <c r="O188" s="85"/>
      <c r="P188" s="86"/>
      <c r="Q188" s="85"/>
      <c r="R188" s="76" t="str">
        <f t="shared" si="4"/>
        <v>TBD</v>
      </c>
      <c r="S188" s="87"/>
      <c r="T188" s="79">
        <f t="shared" si="5"/>
        <v>12.16666667</v>
      </c>
      <c r="U188" s="87"/>
      <c r="V188" s="79"/>
    </row>
    <row r="189">
      <c r="A189" s="53" t="s">
        <v>274</v>
      </c>
      <c r="B189" s="54" t="s">
        <v>35</v>
      </c>
      <c r="C189" s="54" t="s">
        <v>36</v>
      </c>
      <c r="D189" s="59" t="str">
        <f t="shared" si="19"/>
        <v>Active</v>
      </c>
      <c r="E189" s="88">
        <v>45931.0</v>
      </c>
      <c r="F189" s="62"/>
      <c r="G189" s="65">
        <f t="shared" si="2"/>
        <v>12.16666667</v>
      </c>
      <c r="H189" s="67">
        <v>42115.0</v>
      </c>
      <c r="I189" s="65">
        <f t="shared" si="3"/>
        <v>10.44444444</v>
      </c>
      <c r="J189" s="92">
        <v>69.0</v>
      </c>
      <c r="K189" s="92">
        <v>6.0</v>
      </c>
      <c r="L189" s="69" t="s">
        <v>41</v>
      </c>
      <c r="M189" s="91"/>
      <c r="N189" s="70" t="s">
        <v>265</v>
      </c>
      <c r="O189" s="71"/>
      <c r="P189" s="72"/>
      <c r="Q189" s="71"/>
      <c r="R189" s="59" t="str">
        <f t="shared" si="4"/>
        <v>TBD</v>
      </c>
      <c r="S189" s="73"/>
      <c r="T189" s="65">
        <f t="shared" si="5"/>
        <v>12.16666667</v>
      </c>
      <c r="U189" s="73"/>
      <c r="V189" s="65"/>
    </row>
    <row r="190">
      <c r="A190" s="74" t="s">
        <v>275</v>
      </c>
      <c r="B190" s="75" t="s">
        <v>35</v>
      </c>
      <c r="C190" s="75" t="s">
        <v>36</v>
      </c>
      <c r="D190" s="76" t="str">
        <f t="shared" si="19"/>
        <v>Active</v>
      </c>
      <c r="E190" s="90">
        <v>45931.0</v>
      </c>
      <c r="F190" s="78"/>
      <c r="G190" s="79">
        <f t="shared" si="2"/>
        <v>12.16666667</v>
      </c>
      <c r="H190" s="80">
        <v>42382.0</v>
      </c>
      <c r="I190" s="79">
        <f t="shared" si="3"/>
        <v>9.716666667</v>
      </c>
      <c r="J190" s="89">
        <v>63.0</v>
      </c>
      <c r="K190" s="89">
        <v>6.0</v>
      </c>
      <c r="L190" s="82" t="s">
        <v>41</v>
      </c>
      <c r="M190" s="83"/>
      <c r="N190" s="84" t="s">
        <v>265</v>
      </c>
      <c r="O190" s="85"/>
      <c r="P190" s="86"/>
      <c r="Q190" s="85"/>
      <c r="R190" s="76" t="str">
        <f t="shared" si="4"/>
        <v>TBD</v>
      </c>
      <c r="S190" s="87"/>
      <c r="T190" s="79">
        <f t="shared" si="5"/>
        <v>12.16666667</v>
      </c>
      <c r="U190" s="87"/>
      <c r="V190" s="79"/>
    </row>
    <row r="191">
      <c r="A191" s="53" t="s">
        <v>276</v>
      </c>
      <c r="B191" s="54" t="s">
        <v>35</v>
      </c>
      <c r="C191" s="54" t="s">
        <v>36</v>
      </c>
      <c r="D191" s="59" t="str">
        <f t="shared" si="19"/>
        <v>Active</v>
      </c>
      <c r="E191" s="88">
        <v>45931.0</v>
      </c>
      <c r="F191" s="62"/>
      <c r="G191" s="65">
        <f t="shared" si="2"/>
        <v>12.16666667</v>
      </c>
      <c r="H191" s="67">
        <v>42409.0</v>
      </c>
      <c r="I191" s="65">
        <f t="shared" si="3"/>
        <v>9.644444444</v>
      </c>
      <c r="J191" s="92">
        <v>62.0</v>
      </c>
      <c r="K191" s="92">
        <v>7.0</v>
      </c>
      <c r="L191" s="69" t="s">
        <v>41</v>
      </c>
      <c r="M191" s="91"/>
      <c r="N191" s="70" t="s">
        <v>265</v>
      </c>
      <c r="O191" s="71"/>
      <c r="P191" s="72"/>
      <c r="Q191" s="71"/>
      <c r="R191" s="59" t="str">
        <f t="shared" si="4"/>
        <v>TBD</v>
      </c>
      <c r="S191" s="73"/>
      <c r="T191" s="65">
        <f t="shared" si="5"/>
        <v>12.16666667</v>
      </c>
      <c r="U191" s="73"/>
      <c r="V191" s="65"/>
    </row>
    <row r="192">
      <c r="A192" s="74" t="s">
        <v>277</v>
      </c>
      <c r="B192" s="75" t="s">
        <v>35</v>
      </c>
      <c r="C192" s="75"/>
      <c r="D192" s="76" t="str">
        <f t="shared" si="19"/>
        <v>Active</v>
      </c>
      <c r="E192" s="90">
        <v>45931.0</v>
      </c>
      <c r="F192" s="78"/>
      <c r="G192" s="79">
        <f t="shared" si="2"/>
        <v>12.16666667</v>
      </c>
      <c r="H192" s="80">
        <v>41654.0</v>
      </c>
      <c r="I192" s="79">
        <f t="shared" si="3"/>
        <v>11.71111111</v>
      </c>
      <c r="J192" s="89">
        <v>62.0</v>
      </c>
      <c r="K192" s="89">
        <v>8.0</v>
      </c>
      <c r="L192" s="82" t="s">
        <v>41</v>
      </c>
      <c r="M192" s="83"/>
      <c r="N192" s="84" t="s">
        <v>265</v>
      </c>
      <c r="O192" s="85"/>
      <c r="P192" s="86"/>
      <c r="Q192" s="85"/>
      <c r="R192" s="76" t="str">
        <f t="shared" si="4"/>
        <v>TBD</v>
      </c>
      <c r="S192" s="87"/>
      <c r="T192" s="79">
        <f t="shared" si="5"/>
        <v>12.16666667</v>
      </c>
      <c r="U192" s="87"/>
      <c r="V192" s="79"/>
    </row>
    <row r="193">
      <c r="A193" s="53" t="s">
        <v>278</v>
      </c>
      <c r="B193" s="54" t="s">
        <v>35</v>
      </c>
      <c r="C193" s="54"/>
      <c r="D193" s="59" t="str">
        <f t="shared" si="19"/>
        <v>Active</v>
      </c>
      <c r="E193" s="88">
        <v>45931.0</v>
      </c>
      <c r="F193" s="62"/>
      <c r="G193" s="65">
        <f t="shared" si="2"/>
        <v>12.16666667</v>
      </c>
      <c r="H193" s="67">
        <v>40862.0</v>
      </c>
      <c r="I193" s="65">
        <f t="shared" si="3"/>
        <v>13.87777778</v>
      </c>
      <c r="J193" s="92">
        <v>80.0</v>
      </c>
      <c r="K193" s="92">
        <v>13.0</v>
      </c>
      <c r="L193" s="69" t="s">
        <v>41</v>
      </c>
      <c r="M193" s="91"/>
      <c r="N193" s="70" t="s">
        <v>265</v>
      </c>
      <c r="O193" s="71"/>
      <c r="P193" s="72"/>
      <c r="Q193" s="71"/>
      <c r="R193" s="59" t="str">
        <f t="shared" si="4"/>
        <v>TBD</v>
      </c>
      <c r="S193" s="73"/>
      <c r="T193" s="65">
        <f t="shared" si="5"/>
        <v>12.16666667</v>
      </c>
      <c r="U193" s="73"/>
      <c r="V193" s="65"/>
    </row>
    <row r="194">
      <c r="A194" s="74" t="s">
        <v>279</v>
      </c>
      <c r="B194" s="75" t="s">
        <v>35</v>
      </c>
      <c r="C194" s="75" t="s">
        <v>36</v>
      </c>
      <c r="D194" s="76" t="str">
        <f t="shared" si="19"/>
        <v>Active</v>
      </c>
      <c r="E194" s="90">
        <v>45931.0</v>
      </c>
      <c r="F194" s="78"/>
      <c r="G194" s="79">
        <f t="shared" si="2"/>
        <v>12.16666667</v>
      </c>
      <c r="H194" s="80">
        <v>43179.0</v>
      </c>
      <c r="I194" s="79">
        <f t="shared" si="3"/>
        <v>7.530555556</v>
      </c>
      <c r="J194" s="89">
        <v>71.0</v>
      </c>
      <c r="K194" s="89">
        <v>11.0</v>
      </c>
      <c r="L194" s="82" t="s">
        <v>41</v>
      </c>
      <c r="M194" s="83"/>
      <c r="N194" s="84" t="s">
        <v>265</v>
      </c>
      <c r="O194" s="85"/>
      <c r="P194" s="86"/>
      <c r="Q194" s="85"/>
      <c r="R194" s="76" t="str">
        <f t="shared" si="4"/>
        <v>TBD</v>
      </c>
      <c r="S194" s="87"/>
      <c r="T194" s="79">
        <f t="shared" si="5"/>
        <v>12.16666667</v>
      </c>
      <c r="U194" s="87"/>
      <c r="V194" s="79"/>
    </row>
    <row r="195">
      <c r="A195" s="53" t="s">
        <v>280</v>
      </c>
      <c r="B195" s="54" t="s">
        <v>35</v>
      </c>
      <c r="C195" s="54" t="s">
        <v>36</v>
      </c>
      <c r="D195" s="59" t="str">
        <f t="shared" si="19"/>
        <v>Active</v>
      </c>
      <c r="E195" s="88">
        <v>45931.0</v>
      </c>
      <c r="F195" s="62"/>
      <c r="G195" s="65">
        <f t="shared" si="2"/>
        <v>12.16666667</v>
      </c>
      <c r="H195" s="67">
        <v>42300.0</v>
      </c>
      <c r="I195" s="65">
        <f t="shared" si="3"/>
        <v>9.938888889</v>
      </c>
      <c r="J195" s="92">
        <v>76.0</v>
      </c>
      <c r="K195" s="92">
        <v>19.0</v>
      </c>
      <c r="L195" s="69" t="s">
        <v>41</v>
      </c>
      <c r="M195" s="91"/>
      <c r="N195" s="70" t="s">
        <v>265</v>
      </c>
      <c r="O195" s="71"/>
      <c r="P195" s="72"/>
      <c r="Q195" s="71"/>
      <c r="R195" s="59" t="str">
        <f t="shared" si="4"/>
        <v>TBD</v>
      </c>
      <c r="S195" s="73"/>
      <c r="T195" s="65">
        <f t="shared" si="5"/>
        <v>12.16666667</v>
      </c>
      <c r="U195" s="73"/>
      <c r="V195" s="65"/>
    </row>
    <row r="196">
      <c r="A196" s="74" t="s">
        <v>281</v>
      </c>
      <c r="B196" s="75" t="s">
        <v>35</v>
      </c>
      <c r="C196" s="75" t="s">
        <v>36</v>
      </c>
      <c r="D196" s="76" t="str">
        <f t="shared" si="19"/>
        <v>Active</v>
      </c>
      <c r="E196" s="90">
        <v>45931.0</v>
      </c>
      <c r="F196" s="78"/>
      <c r="G196" s="79">
        <f t="shared" si="2"/>
        <v>12.16666667</v>
      </c>
      <c r="H196" s="80">
        <v>42689.0</v>
      </c>
      <c r="I196" s="79">
        <f t="shared" si="3"/>
        <v>8.877777778</v>
      </c>
      <c r="J196" s="89">
        <v>72.0</v>
      </c>
      <c r="K196" s="89">
        <v>72.0</v>
      </c>
      <c r="L196" s="82" t="s">
        <v>41</v>
      </c>
      <c r="M196" s="83"/>
      <c r="N196" s="84" t="s">
        <v>265</v>
      </c>
      <c r="O196" s="85"/>
      <c r="P196" s="86"/>
      <c r="Q196" s="85"/>
      <c r="R196" s="76" t="str">
        <f t="shared" si="4"/>
        <v>TBD</v>
      </c>
      <c r="S196" s="87"/>
      <c r="T196" s="79">
        <f t="shared" si="5"/>
        <v>12.16666667</v>
      </c>
      <c r="U196" s="87"/>
      <c r="V196" s="79"/>
    </row>
    <row r="197">
      <c r="A197" s="53" t="s">
        <v>282</v>
      </c>
      <c r="B197" s="54" t="s">
        <v>35</v>
      </c>
      <c r="C197" s="54" t="s">
        <v>36</v>
      </c>
      <c r="D197" s="59" t="str">
        <f t="shared" si="19"/>
        <v>Active</v>
      </c>
      <c r="E197" s="88">
        <v>45931.0</v>
      </c>
      <c r="F197" s="62"/>
      <c r="G197" s="65">
        <f t="shared" si="2"/>
        <v>12.16666667</v>
      </c>
      <c r="H197" s="67">
        <v>41954.0</v>
      </c>
      <c r="I197" s="65">
        <f t="shared" si="3"/>
        <v>10.88888889</v>
      </c>
      <c r="J197" s="92">
        <v>72.0</v>
      </c>
      <c r="K197" s="92">
        <v>17.0</v>
      </c>
      <c r="L197" s="69" t="s">
        <v>41</v>
      </c>
      <c r="M197" s="91"/>
      <c r="N197" s="70" t="s">
        <v>265</v>
      </c>
      <c r="O197" s="71"/>
      <c r="P197" s="72"/>
      <c r="Q197" s="71"/>
      <c r="R197" s="59" t="str">
        <f t="shared" si="4"/>
        <v>TBD</v>
      </c>
      <c r="S197" s="73"/>
      <c r="T197" s="65">
        <f t="shared" si="5"/>
        <v>12.16666667</v>
      </c>
      <c r="U197" s="73"/>
      <c r="V197" s="65"/>
    </row>
    <row r="198">
      <c r="A198" s="74" t="s">
        <v>283</v>
      </c>
      <c r="B198" s="75" t="s">
        <v>35</v>
      </c>
      <c r="C198" s="75" t="s">
        <v>36</v>
      </c>
      <c r="D198" s="76" t="str">
        <f t="shared" si="19"/>
        <v>Active</v>
      </c>
      <c r="E198" s="90">
        <v>45931.0</v>
      </c>
      <c r="F198" s="78"/>
      <c r="G198" s="79">
        <f t="shared" si="2"/>
        <v>12.16666667</v>
      </c>
      <c r="H198" s="80">
        <v>41758.0</v>
      </c>
      <c r="I198" s="79">
        <f t="shared" si="3"/>
        <v>11.42222222</v>
      </c>
      <c r="J198" s="89">
        <v>82.0</v>
      </c>
      <c r="K198" s="89">
        <v>11.0</v>
      </c>
      <c r="L198" s="82" t="s">
        <v>46</v>
      </c>
      <c r="M198" s="83"/>
      <c r="N198" s="84" t="s">
        <v>265</v>
      </c>
      <c r="O198" s="85"/>
      <c r="P198" s="86"/>
      <c r="Q198" s="85"/>
      <c r="R198" s="76" t="str">
        <f t="shared" si="4"/>
        <v>TBD</v>
      </c>
      <c r="S198" s="87"/>
      <c r="T198" s="79">
        <f t="shared" si="5"/>
        <v>12.16666667</v>
      </c>
      <c r="U198" s="87"/>
      <c r="V198" s="79"/>
    </row>
    <row r="199">
      <c r="A199" s="53" t="s">
        <v>284</v>
      </c>
      <c r="B199" s="54" t="s">
        <v>35</v>
      </c>
      <c r="C199" s="54" t="s">
        <v>36</v>
      </c>
      <c r="D199" s="59" t="str">
        <f t="shared" si="19"/>
        <v>Active</v>
      </c>
      <c r="E199" s="88">
        <v>45931.0</v>
      </c>
      <c r="F199" s="62"/>
      <c r="G199" s="65">
        <f t="shared" si="2"/>
        <v>12.16666667</v>
      </c>
      <c r="H199" s="67">
        <v>41247.0</v>
      </c>
      <c r="I199" s="65">
        <f t="shared" si="3"/>
        <v>12.825</v>
      </c>
      <c r="J199" s="92">
        <v>88.0</v>
      </c>
      <c r="K199" s="92">
        <v>16.0</v>
      </c>
      <c r="L199" s="69" t="s">
        <v>41</v>
      </c>
      <c r="M199" s="91"/>
      <c r="N199" s="70" t="s">
        <v>265</v>
      </c>
      <c r="O199" s="71"/>
      <c r="P199" s="72"/>
      <c r="Q199" s="71"/>
      <c r="R199" s="59" t="str">
        <f t="shared" si="4"/>
        <v>TBD</v>
      </c>
      <c r="S199" s="73"/>
      <c r="T199" s="65">
        <f t="shared" si="5"/>
        <v>12.16666667</v>
      </c>
      <c r="U199" s="73"/>
      <c r="V199" s="65"/>
    </row>
    <row r="200">
      <c r="A200" s="74" t="s">
        <v>285</v>
      </c>
      <c r="B200" s="75" t="s">
        <v>35</v>
      </c>
      <c r="C200" s="75" t="s">
        <v>36</v>
      </c>
      <c r="D200" s="76" t="str">
        <f t="shared" si="19"/>
        <v>Active</v>
      </c>
      <c r="E200" s="90">
        <v>45931.0</v>
      </c>
      <c r="F200" s="78"/>
      <c r="G200" s="79">
        <f t="shared" si="2"/>
        <v>12.16666667</v>
      </c>
      <c r="H200" s="80">
        <v>41395.0</v>
      </c>
      <c r="I200" s="79">
        <f t="shared" si="3"/>
        <v>12.41666667</v>
      </c>
      <c r="J200" s="89">
        <v>80.0</v>
      </c>
      <c r="K200" s="89">
        <v>5.0</v>
      </c>
      <c r="L200" s="82" t="s">
        <v>41</v>
      </c>
      <c r="M200" s="83"/>
      <c r="N200" s="84" t="s">
        <v>265</v>
      </c>
      <c r="O200" s="85"/>
      <c r="P200" s="86"/>
      <c r="Q200" s="85"/>
      <c r="R200" s="76" t="str">
        <f t="shared" si="4"/>
        <v>TBD</v>
      </c>
      <c r="S200" s="87"/>
      <c r="T200" s="79">
        <f t="shared" si="5"/>
        <v>12.16666667</v>
      </c>
      <c r="U200" s="87"/>
      <c r="V200" s="79"/>
    </row>
    <row r="201">
      <c r="A201" s="53" t="s">
        <v>286</v>
      </c>
      <c r="B201" s="54" t="s">
        <v>35</v>
      </c>
      <c r="C201" s="54" t="s">
        <v>36</v>
      </c>
      <c r="D201" s="59" t="str">
        <f t="shared" si="19"/>
        <v>Active</v>
      </c>
      <c r="E201" s="88">
        <v>45931.0</v>
      </c>
      <c r="F201" s="62"/>
      <c r="G201" s="65">
        <f t="shared" si="2"/>
        <v>12.16666667</v>
      </c>
      <c r="H201" s="67">
        <v>42423.0</v>
      </c>
      <c r="I201" s="65">
        <f t="shared" si="3"/>
        <v>9.605555556</v>
      </c>
      <c r="J201" s="92">
        <v>76.0</v>
      </c>
      <c r="K201" s="92">
        <v>15.0</v>
      </c>
      <c r="L201" s="69" t="s">
        <v>41</v>
      </c>
      <c r="M201" s="91"/>
      <c r="N201" s="70" t="s">
        <v>265</v>
      </c>
      <c r="O201" s="71"/>
      <c r="P201" s="72"/>
      <c r="Q201" s="71"/>
      <c r="R201" s="59" t="str">
        <f t="shared" si="4"/>
        <v>TBD</v>
      </c>
      <c r="S201" s="73"/>
      <c r="T201" s="65">
        <f t="shared" si="5"/>
        <v>12.16666667</v>
      </c>
      <c r="U201" s="73"/>
      <c r="V201" s="65"/>
    </row>
    <row r="202">
      <c r="A202" s="74" t="s">
        <v>287</v>
      </c>
      <c r="B202" s="75" t="s">
        <v>35</v>
      </c>
      <c r="C202" s="75" t="s">
        <v>36</v>
      </c>
      <c r="D202" s="76" t="str">
        <f t="shared" si="19"/>
        <v>Active</v>
      </c>
      <c r="E202" s="90">
        <v>45931.0</v>
      </c>
      <c r="F202" s="78"/>
      <c r="G202" s="79">
        <f t="shared" si="2"/>
        <v>12.16666667</v>
      </c>
      <c r="H202" s="80">
        <v>43298.0</v>
      </c>
      <c r="I202" s="79">
        <f t="shared" si="3"/>
        <v>7.205555556</v>
      </c>
      <c r="J202" s="89">
        <v>58.0</v>
      </c>
      <c r="K202" s="89">
        <v>8.0</v>
      </c>
      <c r="L202" s="82" t="s">
        <v>41</v>
      </c>
      <c r="M202" s="83"/>
      <c r="N202" s="84" t="s">
        <v>265</v>
      </c>
      <c r="O202" s="85"/>
      <c r="P202" s="86"/>
      <c r="Q202" s="85"/>
      <c r="R202" s="76" t="str">
        <f t="shared" si="4"/>
        <v>TBD</v>
      </c>
      <c r="S202" s="87"/>
      <c r="T202" s="79">
        <f t="shared" si="5"/>
        <v>12.16666667</v>
      </c>
      <c r="U202" s="87"/>
      <c r="V202" s="79"/>
    </row>
    <row r="203">
      <c r="A203" s="53" t="s">
        <v>288</v>
      </c>
      <c r="B203" s="54" t="s">
        <v>35</v>
      </c>
      <c r="C203" s="54" t="s">
        <v>36</v>
      </c>
      <c r="D203" s="59" t="str">
        <f t="shared" si="19"/>
        <v>Active</v>
      </c>
      <c r="E203" s="88">
        <v>45931.0</v>
      </c>
      <c r="F203" s="62"/>
      <c r="G203" s="65">
        <f t="shared" si="2"/>
        <v>12.16666667</v>
      </c>
      <c r="H203" s="67">
        <v>44914.0</v>
      </c>
      <c r="I203" s="65">
        <f t="shared" si="3"/>
        <v>2.783333333</v>
      </c>
      <c r="J203" s="92">
        <v>71.0</v>
      </c>
      <c r="K203" s="92">
        <v>6.0</v>
      </c>
      <c r="L203" s="69" t="s">
        <v>289</v>
      </c>
      <c r="M203" s="91"/>
      <c r="N203" s="70" t="s">
        <v>265</v>
      </c>
      <c r="O203" s="71"/>
      <c r="P203" s="72"/>
      <c r="Q203" s="71"/>
      <c r="R203" s="59" t="str">
        <f t="shared" si="4"/>
        <v>TBD</v>
      </c>
      <c r="S203" s="73"/>
      <c r="T203" s="65">
        <f t="shared" si="5"/>
        <v>12.16666667</v>
      </c>
      <c r="U203" s="73"/>
      <c r="V203" s="65"/>
    </row>
    <row r="204">
      <c r="A204" s="74" t="s">
        <v>290</v>
      </c>
      <c r="B204" s="75" t="s">
        <v>35</v>
      </c>
      <c r="C204" s="75" t="s">
        <v>36</v>
      </c>
      <c r="D204" s="76" t="str">
        <f t="shared" si="19"/>
        <v>Active</v>
      </c>
      <c r="E204" s="90">
        <v>45931.0</v>
      </c>
      <c r="F204" s="78"/>
      <c r="G204" s="79">
        <f t="shared" si="2"/>
        <v>12.16666667</v>
      </c>
      <c r="H204" s="80">
        <v>45561.0</v>
      </c>
      <c r="I204" s="79">
        <f t="shared" si="3"/>
        <v>1.013888889</v>
      </c>
      <c r="J204" s="89">
        <v>74.0</v>
      </c>
      <c r="K204" s="89">
        <v>14.0</v>
      </c>
      <c r="L204" s="82" t="s">
        <v>291</v>
      </c>
      <c r="M204" s="83"/>
      <c r="N204" s="84" t="s">
        <v>265</v>
      </c>
      <c r="O204" s="85"/>
      <c r="P204" s="86"/>
      <c r="Q204" s="85"/>
      <c r="R204" s="76" t="str">
        <f t="shared" si="4"/>
        <v>TBD</v>
      </c>
      <c r="S204" s="87"/>
      <c r="T204" s="79">
        <f t="shared" si="5"/>
        <v>12.16666667</v>
      </c>
      <c r="U204" s="87"/>
      <c r="V204" s="79"/>
    </row>
    <row r="205">
      <c r="A205" s="53" t="s">
        <v>292</v>
      </c>
      <c r="B205" s="54" t="s">
        <v>35</v>
      </c>
      <c r="C205" s="54" t="s">
        <v>36</v>
      </c>
      <c r="D205" s="59" t="str">
        <f t="shared" si="19"/>
        <v>Active</v>
      </c>
      <c r="E205" s="88">
        <v>45931.0</v>
      </c>
      <c r="F205" s="62"/>
      <c r="G205" s="65">
        <f t="shared" si="2"/>
        <v>12.16666667</v>
      </c>
      <c r="H205" s="67">
        <v>44952.0</v>
      </c>
      <c r="I205" s="65">
        <f t="shared" si="3"/>
        <v>2.680555556</v>
      </c>
      <c r="J205" s="92">
        <v>71.0</v>
      </c>
      <c r="K205" s="92">
        <v>8.0</v>
      </c>
      <c r="L205" s="69" t="s">
        <v>289</v>
      </c>
      <c r="M205" s="91"/>
      <c r="N205" s="70" t="s">
        <v>265</v>
      </c>
      <c r="O205" s="71"/>
      <c r="P205" s="72"/>
      <c r="Q205" s="71"/>
      <c r="R205" s="59" t="str">
        <f t="shared" si="4"/>
        <v>TBD</v>
      </c>
      <c r="S205" s="73"/>
      <c r="T205" s="65">
        <f t="shared" si="5"/>
        <v>12.16666667</v>
      </c>
      <c r="U205" s="73"/>
      <c r="V205" s="65"/>
    </row>
    <row r="206">
      <c r="A206" s="74" t="s">
        <v>293</v>
      </c>
      <c r="B206" s="75" t="s">
        <v>35</v>
      </c>
      <c r="C206" s="75" t="s">
        <v>36</v>
      </c>
      <c r="D206" s="76" t="str">
        <f t="shared" si="19"/>
        <v>Active</v>
      </c>
      <c r="E206" s="90">
        <v>45931.0</v>
      </c>
      <c r="F206" s="78"/>
      <c r="G206" s="79">
        <f t="shared" si="2"/>
        <v>12.16666667</v>
      </c>
      <c r="H206" s="80">
        <v>45309.0</v>
      </c>
      <c r="I206" s="79">
        <f t="shared" si="3"/>
        <v>1.702777778</v>
      </c>
      <c r="J206" s="89">
        <v>86.0</v>
      </c>
      <c r="K206" s="89">
        <v>17.0</v>
      </c>
      <c r="L206" s="82" t="s">
        <v>294</v>
      </c>
      <c r="M206" s="83"/>
      <c r="N206" s="84" t="s">
        <v>265</v>
      </c>
      <c r="O206" s="85"/>
      <c r="P206" s="86"/>
      <c r="Q206" s="85"/>
      <c r="R206" s="76" t="str">
        <f t="shared" si="4"/>
        <v>TBD</v>
      </c>
      <c r="S206" s="87"/>
      <c r="T206" s="79">
        <f t="shared" si="5"/>
        <v>12.16666667</v>
      </c>
      <c r="U206" s="87"/>
      <c r="V206" s="79"/>
    </row>
    <row r="207">
      <c r="A207" s="53" t="s">
        <v>295</v>
      </c>
      <c r="B207" s="54" t="s">
        <v>129</v>
      </c>
      <c r="C207" s="54" t="s">
        <v>36</v>
      </c>
      <c r="D207" s="59" t="str">
        <f t="shared" si="19"/>
        <v>Active</v>
      </c>
      <c r="E207" s="88">
        <v>45931.0</v>
      </c>
      <c r="F207" s="62"/>
      <c r="G207" s="65">
        <f t="shared" si="2"/>
        <v>12.16666667</v>
      </c>
      <c r="H207" s="67">
        <v>41951.0</v>
      </c>
      <c r="I207" s="65">
        <f t="shared" si="3"/>
        <v>10.89722222</v>
      </c>
      <c r="J207" s="92">
        <v>53.0</v>
      </c>
      <c r="K207" s="92">
        <v>10.0</v>
      </c>
      <c r="L207" s="69" t="s">
        <v>289</v>
      </c>
      <c r="M207" s="91"/>
      <c r="N207" s="70" t="s">
        <v>265</v>
      </c>
      <c r="O207" s="71"/>
      <c r="P207" s="72"/>
      <c r="Q207" s="71"/>
      <c r="R207" s="59" t="str">
        <f t="shared" si="4"/>
        <v>TBD</v>
      </c>
      <c r="S207" s="73"/>
      <c r="T207" s="65">
        <f t="shared" si="5"/>
        <v>12.16666667</v>
      </c>
      <c r="U207" s="73"/>
      <c r="V207" s="65"/>
    </row>
    <row r="208">
      <c r="A208" s="74" t="s">
        <v>296</v>
      </c>
      <c r="B208" s="75" t="s">
        <v>35</v>
      </c>
      <c r="C208" s="75" t="s">
        <v>36</v>
      </c>
      <c r="D208" s="76" t="str">
        <f t="shared" si="19"/>
        <v>Active</v>
      </c>
      <c r="E208" s="90">
        <v>45931.0</v>
      </c>
      <c r="F208" s="78"/>
      <c r="G208" s="79">
        <f t="shared" si="2"/>
        <v>12.16666667</v>
      </c>
      <c r="H208" s="80">
        <v>44742.0</v>
      </c>
      <c r="I208" s="79">
        <f t="shared" si="3"/>
        <v>3.252777778</v>
      </c>
      <c r="J208" s="89">
        <v>69.0</v>
      </c>
      <c r="K208" s="89">
        <v>3.0</v>
      </c>
      <c r="L208" s="82" t="s">
        <v>289</v>
      </c>
      <c r="M208" s="83"/>
      <c r="N208" s="84" t="s">
        <v>265</v>
      </c>
      <c r="O208" s="85"/>
      <c r="P208" s="86"/>
      <c r="Q208" s="85"/>
      <c r="R208" s="76" t="str">
        <f t="shared" si="4"/>
        <v>TBD</v>
      </c>
      <c r="S208" s="87"/>
      <c r="T208" s="79">
        <f t="shared" si="5"/>
        <v>12.16666667</v>
      </c>
      <c r="U208" s="87"/>
      <c r="V208" s="79"/>
    </row>
    <row r="209">
      <c r="A209" s="53" t="s">
        <v>297</v>
      </c>
      <c r="B209" s="54" t="s">
        <v>35</v>
      </c>
      <c r="C209" s="54" t="s">
        <v>36</v>
      </c>
      <c r="D209" s="59" t="str">
        <f t="shared" si="19"/>
        <v>Active</v>
      </c>
      <c r="E209" s="88">
        <v>45931.0</v>
      </c>
      <c r="F209" s="62"/>
      <c r="G209" s="65">
        <f t="shared" si="2"/>
        <v>12.16666667</v>
      </c>
      <c r="H209" s="67">
        <v>41520.0</v>
      </c>
      <c r="I209" s="65">
        <f t="shared" si="3"/>
        <v>12.07777778</v>
      </c>
      <c r="J209" s="92">
        <v>92.0</v>
      </c>
      <c r="K209" s="92">
        <v>10.0</v>
      </c>
      <c r="L209" s="69" t="s">
        <v>57</v>
      </c>
      <c r="M209" s="91"/>
      <c r="N209" s="70" t="s">
        <v>265</v>
      </c>
      <c r="O209" s="71"/>
      <c r="P209" s="72"/>
      <c r="Q209" s="71"/>
      <c r="R209" s="59" t="str">
        <f t="shared" si="4"/>
        <v>TBD</v>
      </c>
      <c r="S209" s="73"/>
      <c r="T209" s="65">
        <f t="shared" si="5"/>
        <v>12.16666667</v>
      </c>
      <c r="U209" s="73"/>
      <c r="V209" s="65"/>
    </row>
    <row r="210">
      <c r="A210" s="74" t="s">
        <v>298</v>
      </c>
      <c r="B210" s="75" t="s">
        <v>129</v>
      </c>
      <c r="C210" s="75" t="s">
        <v>36</v>
      </c>
      <c r="D210" s="76" t="str">
        <f t="shared" si="19"/>
        <v>Active</v>
      </c>
      <c r="E210" s="90">
        <v>45931.0</v>
      </c>
      <c r="F210" s="78"/>
      <c r="G210" s="79">
        <f t="shared" si="2"/>
        <v>12.16666667</v>
      </c>
      <c r="H210" s="80">
        <v>42584.0</v>
      </c>
      <c r="I210" s="79">
        <f t="shared" si="3"/>
        <v>9.163888889</v>
      </c>
      <c r="J210" s="89">
        <v>61.0</v>
      </c>
      <c r="K210" s="89">
        <v>4.0</v>
      </c>
      <c r="L210" s="82" t="s">
        <v>291</v>
      </c>
      <c r="M210" s="83"/>
      <c r="N210" s="84" t="s">
        <v>265</v>
      </c>
      <c r="O210" s="85"/>
      <c r="P210" s="86"/>
      <c r="Q210" s="85"/>
      <c r="R210" s="76" t="str">
        <f t="shared" si="4"/>
        <v>TBD</v>
      </c>
      <c r="S210" s="87"/>
      <c r="T210" s="79">
        <f t="shared" si="5"/>
        <v>12.16666667</v>
      </c>
      <c r="U210" s="87"/>
      <c r="V210" s="79"/>
    </row>
    <row r="211">
      <c r="A211" s="53" t="s">
        <v>299</v>
      </c>
      <c r="B211" s="54" t="s">
        <v>35</v>
      </c>
      <c r="C211" s="54" t="s">
        <v>36</v>
      </c>
      <c r="D211" s="59" t="str">
        <f t="shared" si="19"/>
        <v>Active</v>
      </c>
      <c r="E211" s="88">
        <v>45931.0</v>
      </c>
      <c r="F211" s="62"/>
      <c r="G211" s="65">
        <f t="shared" si="2"/>
        <v>12.16666667</v>
      </c>
      <c r="H211" s="67">
        <v>45338.0</v>
      </c>
      <c r="I211" s="65">
        <f t="shared" si="3"/>
        <v>1.625</v>
      </c>
      <c r="J211" s="92">
        <v>59.0</v>
      </c>
      <c r="K211" s="92">
        <v>32.0</v>
      </c>
      <c r="L211" s="69" t="s">
        <v>41</v>
      </c>
      <c r="M211" s="91"/>
      <c r="N211" s="70" t="s">
        <v>265</v>
      </c>
      <c r="O211" s="71"/>
      <c r="P211" s="72"/>
      <c r="Q211" s="71"/>
      <c r="R211" s="59" t="str">
        <f t="shared" si="4"/>
        <v>TBD</v>
      </c>
      <c r="S211" s="73"/>
      <c r="T211" s="65">
        <f t="shared" si="5"/>
        <v>12.16666667</v>
      </c>
      <c r="U211" s="73"/>
      <c r="V211" s="65"/>
    </row>
    <row r="212">
      <c r="A212" s="74" t="s">
        <v>300</v>
      </c>
      <c r="B212" s="75" t="s">
        <v>35</v>
      </c>
      <c r="C212" s="75" t="s">
        <v>36</v>
      </c>
      <c r="D212" s="76" t="str">
        <f t="shared" si="19"/>
        <v>Active</v>
      </c>
      <c r="E212" s="90">
        <v>45931.0</v>
      </c>
      <c r="F212" s="78"/>
      <c r="G212" s="79">
        <f t="shared" si="2"/>
        <v>12.16666667</v>
      </c>
      <c r="H212" s="80">
        <v>41702.0</v>
      </c>
      <c r="I212" s="79">
        <f t="shared" si="3"/>
        <v>11.575</v>
      </c>
      <c r="J212" s="89">
        <v>85.0</v>
      </c>
      <c r="K212" s="89">
        <v>12.0</v>
      </c>
      <c r="L212" s="82" t="s">
        <v>46</v>
      </c>
      <c r="M212" s="83"/>
      <c r="N212" s="84" t="s">
        <v>265</v>
      </c>
      <c r="O212" s="85"/>
      <c r="P212" s="86"/>
      <c r="Q212" s="85"/>
      <c r="R212" s="76" t="str">
        <f t="shared" si="4"/>
        <v>TBD</v>
      </c>
      <c r="S212" s="87"/>
      <c r="T212" s="79">
        <f t="shared" si="5"/>
        <v>12.16666667</v>
      </c>
      <c r="U212" s="87"/>
      <c r="V212" s="79"/>
    </row>
    <row r="213">
      <c r="A213" s="53" t="s">
        <v>301</v>
      </c>
      <c r="B213" s="54" t="s">
        <v>35</v>
      </c>
      <c r="C213" s="54" t="s">
        <v>36</v>
      </c>
      <c r="D213" s="59" t="str">
        <f t="shared" si="19"/>
        <v>Active</v>
      </c>
      <c r="E213" s="88">
        <v>45931.0</v>
      </c>
      <c r="F213" s="62"/>
      <c r="G213" s="65">
        <f t="shared" si="2"/>
        <v>12.16666667</v>
      </c>
      <c r="H213" s="67">
        <v>43389.0</v>
      </c>
      <c r="I213" s="65">
        <f t="shared" si="3"/>
        <v>6.958333333</v>
      </c>
      <c r="J213" s="92">
        <v>74.0</v>
      </c>
      <c r="K213" s="92">
        <v>15.0</v>
      </c>
      <c r="L213" s="69" t="s">
        <v>64</v>
      </c>
      <c r="M213" s="91"/>
      <c r="N213" s="70" t="s">
        <v>265</v>
      </c>
      <c r="O213" s="71"/>
      <c r="P213" s="72"/>
      <c r="Q213" s="71"/>
      <c r="R213" s="59" t="str">
        <f t="shared" si="4"/>
        <v>TBD</v>
      </c>
      <c r="S213" s="73"/>
      <c r="T213" s="65">
        <f t="shared" si="5"/>
        <v>12.16666667</v>
      </c>
      <c r="U213" s="73"/>
      <c r="V213" s="65"/>
    </row>
    <row r="214">
      <c r="A214" s="74" t="s">
        <v>302</v>
      </c>
      <c r="B214" s="75" t="s">
        <v>35</v>
      </c>
      <c r="C214" s="75" t="s">
        <v>100</v>
      </c>
      <c r="D214" s="76" t="str">
        <f t="shared" si="19"/>
        <v>Active</v>
      </c>
      <c r="E214" s="90">
        <v>45931.0</v>
      </c>
      <c r="F214" s="78"/>
      <c r="G214" s="79">
        <f t="shared" si="2"/>
        <v>12.16666667</v>
      </c>
      <c r="H214" s="80">
        <v>42703.0</v>
      </c>
      <c r="I214" s="79">
        <f t="shared" si="3"/>
        <v>8.838888889</v>
      </c>
      <c r="J214" s="89">
        <v>71.0</v>
      </c>
      <c r="K214" s="89">
        <v>12.0</v>
      </c>
      <c r="L214" s="82" t="s">
        <v>62</v>
      </c>
      <c r="M214" s="82" t="s">
        <v>303</v>
      </c>
      <c r="N214" s="84" t="s">
        <v>304</v>
      </c>
      <c r="O214" s="85"/>
      <c r="P214" s="86"/>
      <c r="Q214" s="85"/>
      <c r="R214" s="76" t="str">
        <f t="shared" si="4"/>
        <v>TBD</v>
      </c>
      <c r="S214" s="87"/>
      <c r="T214" s="79">
        <f t="shared" si="5"/>
        <v>12.16666667</v>
      </c>
      <c r="U214" s="87"/>
      <c r="V214" s="79"/>
    </row>
    <row r="215">
      <c r="A215" s="53" t="s">
        <v>305</v>
      </c>
      <c r="B215" s="54" t="s">
        <v>35</v>
      </c>
      <c r="C215" s="54" t="s">
        <v>36</v>
      </c>
      <c r="D215" s="59" t="str">
        <f t="shared" si="19"/>
        <v>Active</v>
      </c>
      <c r="E215" s="88">
        <v>45931.0</v>
      </c>
      <c r="F215" s="62"/>
      <c r="G215" s="65">
        <f t="shared" si="2"/>
        <v>12.16666667</v>
      </c>
      <c r="H215" s="67">
        <v>43277.0</v>
      </c>
      <c r="I215" s="65">
        <f t="shared" si="3"/>
        <v>7.263888889</v>
      </c>
      <c r="J215" s="92">
        <v>64.0</v>
      </c>
      <c r="K215" s="92">
        <v>21.0</v>
      </c>
      <c r="L215" s="69" t="s">
        <v>55</v>
      </c>
      <c r="M215" s="91"/>
      <c r="N215" s="70" t="s">
        <v>265</v>
      </c>
      <c r="O215" s="71"/>
      <c r="P215" s="72"/>
      <c r="Q215" s="71"/>
      <c r="R215" s="59" t="str">
        <f t="shared" si="4"/>
        <v>TBD</v>
      </c>
      <c r="S215" s="73"/>
      <c r="T215" s="65">
        <f t="shared" si="5"/>
        <v>12.16666667</v>
      </c>
      <c r="U215" s="73"/>
      <c r="V215" s="65"/>
    </row>
    <row r="216">
      <c r="A216" s="74" t="s">
        <v>306</v>
      </c>
      <c r="B216" s="75" t="s">
        <v>35</v>
      </c>
      <c r="C216" s="75" t="s">
        <v>36</v>
      </c>
      <c r="D216" s="76" t="str">
        <f t="shared" si="19"/>
        <v>Active</v>
      </c>
      <c r="E216" s="90">
        <v>45931.0</v>
      </c>
      <c r="F216" s="78"/>
      <c r="G216" s="79">
        <f t="shared" si="2"/>
        <v>12.16666667</v>
      </c>
      <c r="H216" s="80">
        <v>44974.0</v>
      </c>
      <c r="I216" s="79">
        <f t="shared" si="3"/>
        <v>2.622222222</v>
      </c>
      <c r="J216" s="89">
        <v>54.0</v>
      </c>
      <c r="K216" s="89">
        <v>35.0</v>
      </c>
      <c r="L216" s="82" t="s">
        <v>249</v>
      </c>
      <c r="M216" s="83"/>
      <c r="N216" s="84" t="s">
        <v>265</v>
      </c>
      <c r="O216" s="85"/>
      <c r="P216" s="86"/>
      <c r="Q216" s="85"/>
      <c r="R216" s="76" t="str">
        <f t="shared" si="4"/>
        <v>TBD</v>
      </c>
      <c r="S216" s="87"/>
      <c r="T216" s="79">
        <f t="shared" si="5"/>
        <v>12.16666667</v>
      </c>
      <c r="U216" s="87"/>
      <c r="V216" s="79"/>
    </row>
    <row r="217">
      <c r="A217" s="53" t="s">
        <v>307</v>
      </c>
      <c r="B217" s="54" t="s">
        <v>35</v>
      </c>
      <c r="C217" s="54" t="s">
        <v>36</v>
      </c>
      <c r="D217" s="59" t="str">
        <f t="shared" si="19"/>
        <v>Active</v>
      </c>
      <c r="E217" s="88">
        <v>45931.0</v>
      </c>
      <c r="F217" s="62"/>
      <c r="G217" s="65">
        <f t="shared" si="2"/>
        <v>12.16666667</v>
      </c>
      <c r="H217" s="67">
        <v>43739.0</v>
      </c>
      <c r="I217" s="65">
        <f t="shared" si="3"/>
        <v>6</v>
      </c>
      <c r="J217" s="92">
        <v>56.0</v>
      </c>
      <c r="K217" s="92">
        <v>23.0</v>
      </c>
      <c r="L217" s="69" t="s">
        <v>37</v>
      </c>
      <c r="M217" s="91"/>
      <c r="N217" s="70" t="s">
        <v>265</v>
      </c>
      <c r="O217" s="71"/>
      <c r="P217" s="72"/>
      <c r="Q217" s="71"/>
      <c r="R217" s="59" t="str">
        <f t="shared" si="4"/>
        <v>TBD</v>
      </c>
      <c r="S217" s="73"/>
      <c r="T217" s="65">
        <f t="shared" si="5"/>
        <v>12.16666667</v>
      </c>
      <c r="U217" s="73"/>
      <c r="V217" s="65"/>
    </row>
    <row r="218">
      <c r="A218" s="74" t="s">
        <v>308</v>
      </c>
      <c r="B218" s="75" t="s">
        <v>35</v>
      </c>
      <c r="C218" s="75" t="s">
        <v>36</v>
      </c>
      <c r="D218" s="76" t="str">
        <f t="shared" si="19"/>
        <v>Active</v>
      </c>
      <c r="E218" s="90">
        <v>45931.0</v>
      </c>
      <c r="F218" s="105"/>
      <c r="G218" s="79">
        <f t="shared" si="2"/>
        <v>12.16666667</v>
      </c>
      <c r="H218" s="80">
        <v>44581.0</v>
      </c>
      <c r="I218" s="79">
        <f t="shared" si="3"/>
        <v>3.697222222</v>
      </c>
      <c r="J218" s="106">
        <f>average(71,72)</f>
        <v>71.5</v>
      </c>
      <c r="K218" s="106">
        <v>8.0</v>
      </c>
      <c r="L218" s="82" t="s">
        <v>37</v>
      </c>
      <c r="M218" s="82"/>
      <c r="N218" s="82" t="s">
        <v>309</v>
      </c>
      <c r="O218" s="82" t="s">
        <v>107</v>
      </c>
      <c r="P218" s="107" t="s">
        <v>310</v>
      </c>
      <c r="Q218" s="82"/>
      <c r="R218" s="76" t="str">
        <f t="shared" si="4"/>
        <v>TBD</v>
      </c>
      <c r="S218" s="87"/>
      <c r="T218" s="79">
        <f t="shared" si="5"/>
        <v>12.16666667</v>
      </c>
      <c r="U218" s="87"/>
      <c r="V218" s="79"/>
    </row>
    <row r="219">
      <c r="A219" s="53" t="s">
        <v>311</v>
      </c>
      <c r="B219" s="54" t="s">
        <v>35</v>
      </c>
      <c r="C219" s="54" t="s">
        <v>36</v>
      </c>
      <c r="D219" s="59" t="str">
        <f t="shared" si="19"/>
        <v>Active</v>
      </c>
      <c r="E219" s="88">
        <v>45931.0</v>
      </c>
      <c r="F219" s="62"/>
      <c r="G219" s="65">
        <f t="shared" si="2"/>
        <v>12.16666667</v>
      </c>
      <c r="H219" s="67">
        <v>42437.0</v>
      </c>
      <c r="I219" s="65">
        <f t="shared" si="3"/>
        <v>9.563888889</v>
      </c>
      <c r="J219" s="92">
        <v>80.0</v>
      </c>
      <c r="K219" s="92">
        <v>24.0</v>
      </c>
      <c r="L219" s="69" t="s">
        <v>37</v>
      </c>
      <c r="M219" s="91"/>
      <c r="N219" s="70" t="s">
        <v>312</v>
      </c>
      <c r="O219" s="71"/>
      <c r="P219" s="72"/>
      <c r="Q219" s="71"/>
      <c r="R219" s="59" t="str">
        <f t="shared" si="4"/>
        <v>TBD</v>
      </c>
      <c r="S219" s="73"/>
      <c r="T219" s="65">
        <f t="shared" si="5"/>
        <v>12.16666667</v>
      </c>
      <c r="U219" s="73"/>
      <c r="V219" s="65"/>
    </row>
    <row r="220">
      <c r="A220" s="74" t="s">
        <v>313</v>
      </c>
      <c r="B220" s="75" t="s">
        <v>35</v>
      </c>
      <c r="C220" s="75" t="s">
        <v>36</v>
      </c>
      <c r="D220" s="76" t="str">
        <f t="shared" si="19"/>
        <v>Active</v>
      </c>
      <c r="E220" s="90">
        <v>45931.0</v>
      </c>
      <c r="F220" s="78"/>
      <c r="G220" s="79">
        <f t="shared" si="2"/>
        <v>12.16666667</v>
      </c>
      <c r="H220" s="80">
        <v>42451.0</v>
      </c>
      <c r="I220" s="79">
        <f t="shared" si="3"/>
        <v>9.525</v>
      </c>
      <c r="J220" s="89">
        <v>81.0</v>
      </c>
      <c r="K220" s="89">
        <v>13.0</v>
      </c>
      <c r="L220" s="82" t="s">
        <v>55</v>
      </c>
      <c r="M220" s="83"/>
      <c r="N220" s="84" t="s">
        <v>265</v>
      </c>
      <c r="O220" s="85"/>
      <c r="P220" s="86"/>
      <c r="Q220" s="85"/>
      <c r="R220" s="76" t="str">
        <f t="shared" si="4"/>
        <v>TBD</v>
      </c>
      <c r="S220" s="87"/>
      <c r="T220" s="79">
        <f t="shared" si="5"/>
        <v>12.16666667</v>
      </c>
      <c r="U220" s="87"/>
      <c r="V220" s="79"/>
    </row>
    <row r="221">
      <c r="A221" s="53" t="s">
        <v>314</v>
      </c>
      <c r="B221" s="54" t="s">
        <v>129</v>
      </c>
      <c r="C221" s="54" t="s">
        <v>36</v>
      </c>
      <c r="D221" s="59" t="str">
        <f t="shared" si="19"/>
        <v>Active</v>
      </c>
      <c r="E221" s="88">
        <v>45931.0</v>
      </c>
      <c r="F221" s="62"/>
      <c r="G221" s="65">
        <f t="shared" si="2"/>
        <v>12.16666667</v>
      </c>
      <c r="H221" s="67">
        <v>43361.0</v>
      </c>
      <c r="I221" s="65">
        <f t="shared" si="3"/>
        <v>7.036111111</v>
      </c>
      <c r="J221" s="92">
        <v>71.0</v>
      </c>
      <c r="K221" s="92">
        <v>2.0</v>
      </c>
      <c r="L221" s="69" t="s">
        <v>41</v>
      </c>
      <c r="M221" s="91"/>
      <c r="N221" s="70" t="s">
        <v>265</v>
      </c>
      <c r="O221" s="71"/>
      <c r="P221" s="72"/>
      <c r="Q221" s="71"/>
      <c r="R221" s="59" t="str">
        <f t="shared" si="4"/>
        <v>TBD</v>
      </c>
      <c r="S221" s="73"/>
      <c r="T221" s="65">
        <f t="shared" si="5"/>
        <v>12.16666667</v>
      </c>
      <c r="U221" s="73"/>
      <c r="V221" s="65"/>
    </row>
    <row r="222">
      <c r="A222" s="74" t="s">
        <v>315</v>
      </c>
      <c r="B222" s="75" t="s">
        <v>35</v>
      </c>
      <c r="C222" s="75" t="s">
        <v>36</v>
      </c>
      <c r="D222" s="76" t="str">
        <f t="shared" si="19"/>
        <v>Active</v>
      </c>
      <c r="E222" s="90">
        <v>45931.0</v>
      </c>
      <c r="F222" s="78"/>
      <c r="G222" s="79">
        <f t="shared" si="2"/>
        <v>12.16666667</v>
      </c>
      <c r="H222" s="80">
        <v>41744.0</v>
      </c>
      <c r="I222" s="79">
        <f t="shared" si="3"/>
        <v>11.46111111</v>
      </c>
      <c r="J222" s="89">
        <v>79.0</v>
      </c>
      <c r="K222" s="89">
        <v>7.0</v>
      </c>
      <c r="L222" s="82" t="s">
        <v>55</v>
      </c>
      <c r="M222" s="83"/>
      <c r="N222" s="84" t="s">
        <v>265</v>
      </c>
      <c r="O222" s="85"/>
      <c r="P222" s="86"/>
      <c r="Q222" s="85"/>
      <c r="R222" s="76" t="str">
        <f t="shared" si="4"/>
        <v>TBD</v>
      </c>
      <c r="S222" s="87"/>
      <c r="T222" s="79">
        <f t="shared" si="5"/>
        <v>12.16666667</v>
      </c>
      <c r="U222" s="87"/>
      <c r="V222" s="79"/>
    </row>
    <row r="223">
      <c r="A223" s="53" t="s">
        <v>316</v>
      </c>
      <c r="B223" s="54" t="s">
        <v>35</v>
      </c>
      <c r="C223" s="54" t="s">
        <v>36</v>
      </c>
      <c r="D223" s="59" t="str">
        <f t="shared" si="19"/>
        <v>Active</v>
      </c>
      <c r="E223" s="88">
        <v>45931.0</v>
      </c>
      <c r="F223" s="62"/>
      <c r="G223" s="65">
        <f t="shared" si="2"/>
        <v>12.16666667</v>
      </c>
      <c r="H223" s="67">
        <v>42534.0</v>
      </c>
      <c r="I223" s="65">
        <f t="shared" si="3"/>
        <v>9.3</v>
      </c>
      <c r="J223" s="92">
        <v>55.0</v>
      </c>
      <c r="K223" s="92">
        <v>3.0</v>
      </c>
      <c r="L223" s="69" t="s">
        <v>55</v>
      </c>
      <c r="M223" s="91"/>
      <c r="N223" s="70" t="s">
        <v>265</v>
      </c>
      <c r="O223" s="71"/>
      <c r="P223" s="72"/>
      <c r="Q223" s="71"/>
      <c r="R223" s="59" t="str">
        <f t="shared" si="4"/>
        <v>TBD</v>
      </c>
      <c r="S223" s="73"/>
      <c r="T223" s="65">
        <f t="shared" si="5"/>
        <v>12.16666667</v>
      </c>
      <c r="U223" s="73"/>
      <c r="V223" s="65"/>
    </row>
    <row r="224">
      <c r="A224" s="74" t="s">
        <v>317</v>
      </c>
      <c r="B224" s="75" t="s">
        <v>35</v>
      </c>
      <c r="C224" s="75" t="s">
        <v>36</v>
      </c>
      <c r="D224" s="76" t="str">
        <f t="shared" si="19"/>
        <v>Active</v>
      </c>
      <c r="E224" s="90">
        <v>45931.0</v>
      </c>
      <c r="F224" s="78"/>
      <c r="G224" s="79">
        <f t="shared" si="2"/>
        <v>12.16666667</v>
      </c>
      <c r="H224" s="80">
        <v>43522.0</v>
      </c>
      <c r="I224" s="79">
        <f t="shared" si="3"/>
        <v>6.597222222</v>
      </c>
      <c r="J224" s="89">
        <v>79.0</v>
      </c>
      <c r="K224" s="89">
        <v>18.0</v>
      </c>
      <c r="L224" s="82" t="s">
        <v>55</v>
      </c>
      <c r="M224" s="83"/>
      <c r="N224" s="84" t="s">
        <v>265</v>
      </c>
      <c r="O224" s="85"/>
      <c r="P224" s="86"/>
      <c r="Q224" s="85"/>
      <c r="R224" s="76" t="str">
        <f t="shared" si="4"/>
        <v>TBD</v>
      </c>
      <c r="S224" s="87"/>
      <c r="T224" s="79">
        <f t="shared" si="5"/>
        <v>12.16666667</v>
      </c>
      <c r="U224" s="87"/>
      <c r="V224" s="79"/>
    </row>
    <row r="225">
      <c r="A225" s="53" t="s">
        <v>318</v>
      </c>
      <c r="B225" s="54" t="s">
        <v>35</v>
      </c>
      <c r="C225" s="54" t="s">
        <v>36</v>
      </c>
      <c r="D225" s="59" t="str">
        <f t="shared" si="19"/>
        <v>Active</v>
      </c>
      <c r="E225" s="88">
        <v>45931.0</v>
      </c>
      <c r="F225" s="62"/>
      <c r="G225" s="65">
        <f t="shared" si="2"/>
        <v>12.16666667</v>
      </c>
      <c r="H225" s="67">
        <v>38846.0</v>
      </c>
      <c r="I225" s="65">
        <f t="shared" si="3"/>
        <v>19.39444444</v>
      </c>
      <c r="J225" s="92">
        <v>81.0</v>
      </c>
      <c r="K225" s="92">
        <v>3.0</v>
      </c>
      <c r="L225" s="69" t="s">
        <v>291</v>
      </c>
      <c r="M225" s="91"/>
      <c r="N225" s="70" t="s">
        <v>265</v>
      </c>
      <c r="O225" s="71"/>
      <c r="P225" s="72"/>
      <c r="Q225" s="71"/>
      <c r="R225" s="59" t="str">
        <f t="shared" si="4"/>
        <v>TBD</v>
      </c>
      <c r="S225" s="73"/>
      <c r="T225" s="65">
        <f t="shared" si="5"/>
        <v>12.16666667</v>
      </c>
      <c r="U225" s="73"/>
      <c r="V225" s="65"/>
    </row>
    <row r="226">
      <c r="A226" s="74" t="s">
        <v>319</v>
      </c>
      <c r="B226" s="75" t="s">
        <v>35</v>
      </c>
      <c r="C226" s="75" t="s">
        <v>36</v>
      </c>
      <c r="D226" s="76" t="str">
        <f t="shared" si="19"/>
        <v>Active</v>
      </c>
      <c r="E226" s="90">
        <v>45931.0</v>
      </c>
      <c r="F226" s="78"/>
      <c r="G226" s="79">
        <f t="shared" si="2"/>
        <v>12.16666667</v>
      </c>
      <c r="H226" s="80">
        <v>41814.0</v>
      </c>
      <c r="I226" s="79">
        <f t="shared" si="3"/>
        <v>11.26944444</v>
      </c>
      <c r="J226" s="89">
        <v>77.0</v>
      </c>
      <c r="K226" s="89">
        <v>7.0</v>
      </c>
      <c r="L226" s="82" t="s">
        <v>57</v>
      </c>
      <c r="M226" s="83"/>
      <c r="N226" s="84" t="s">
        <v>265</v>
      </c>
      <c r="O226" s="85"/>
      <c r="P226" s="86"/>
      <c r="Q226" s="85"/>
      <c r="R226" s="76" t="str">
        <f t="shared" si="4"/>
        <v>TBD</v>
      </c>
      <c r="S226" s="87"/>
      <c r="T226" s="79">
        <f t="shared" si="5"/>
        <v>12.16666667</v>
      </c>
      <c r="U226" s="87"/>
      <c r="V226" s="79"/>
    </row>
    <row r="227">
      <c r="A227" s="53" t="s">
        <v>320</v>
      </c>
      <c r="B227" s="54" t="s">
        <v>35</v>
      </c>
      <c r="C227" s="54" t="s">
        <v>36</v>
      </c>
      <c r="D227" s="59" t="str">
        <f t="shared" si="19"/>
        <v>Active</v>
      </c>
      <c r="E227" s="88">
        <v>45931.0</v>
      </c>
      <c r="F227" s="62"/>
      <c r="G227" s="65">
        <f t="shared" si="2"/>
        <v>12.16666667</v>
      </c>
      <c r="H227" s="67">
        <v>41786.0</v>
      </c>
      <c r="I227" s="65">
        <f t="shared" si="3"/>
        <v>11.34444444</v>
      </c>
      <c r="J227" s="92">
        <v>80.0</v>
      </c>
      <c r="K227" s="92">
        <v>20.0</v>
      </c>
      <c r="L227" s="69" t="s">
        <v>41</v>
      </c>
      <c r="M227" s="91"/>
      <c r="N227" s="70" t="s">
        <v>265</v>
      </c>
      <c r="O227" s="71"/>
      <c r="P227" s="72"/>
      <c r="Q227" s="71"/>
      <c r="R227" s="59" t="str">
        <f t="shared" si="4"/>
        <v>TBD</v>
      </c>
      <c r="S227" s="73"/>
      <c r="T227" s="65">
        <f t="shared" si="5"/>
        <v>12.16666667</v>
      </c>
      <c r="U227" s="73"/>
      <c r="V227" s="65"/>
    </row>
    <row r="228">
      <c r="A228" s="74" t="s">
        <v>321</v>
      </c>
      <c r="B228" s="75" t="s">
        <v>129</v>
      </c>
      <c r="C228" s="75" t="s">
        <v>36</v>
      </c>
      <c r="D228" s="76" t="str">
        <f t="shared" si="19"/>
        <v>Active</v>
      </c>
      <c r="E228" s="90">
        <v>45931.0</v>
      </c>
      <c r="F228" s="78"/>
      <c r="G228" s="79">
        <f t="shared" si="2"/>
        <v>12.16666667</v>
      </c>
      <c r="H228" s="80">
        <v>43046.0</v>
      </c>
      <c r="I228" s="79">
        <f t="shared" si="3"/>
        <v>7.9</v>
      </c>
      <c r="J228" s="89">
        <v>80.0</v>
      </c>
      <c r="K228" s="89">
        <v>2.0</v>
      </c>
      <c r="L228" s="82" t="s">
        <v>322</v>
      </c>
      <c r="M228" s="83"/>
      <c r="N228" s="84" t="s">
        <v>265</v>
      </c>
      <c r="O228" s="85"/>
      <c r="P228" s="86"/>
      <c r="Q228" s="85"/>
      <c r="R228" s="76" t="str">
        <f t="shared" si="4"/>
        <v>TBD</v>
      </c>
      <c r="S228" s="87"/>
      <c r="T228" s="79">
        <f t="shared" si="5"/>
        <v>12.16666667</v>
      </c>
      <c r="U228" s="87"/>
      <c r="V228" s="79"/>
    </row>
    <row r="229">
      <c r="A229" s="53" t="s">
        <v>323</v>
      </c>
      <c r="B229" s="54" t="s">
        <v>35</v>
      </c>
      <c r="C229" s="54" t="s">
        <v>36</v>
      </c>
      <c r="D229" s="59" t="str">
        <f t="shared" si="19"/>
        <v>Active</v>
      </c>
      <c r="E229" s="88">
        <v>45931.0</v>
      </c>
      <c r="F229" s="62"/>
      <c r="G229" s="65">
        <f t="shared" si="2"/>
        <v>12.16666667</v>
      </c>
      <c r="H229" s="67">
        <v>42234.0</v>
      </c>
      <c r="I229" s="65">
        <f t="shared" si="3"/>
        <v>10.11944444</v>
      </c>
      <c r="J229" s="92">
        <v>65.0</v>
      </c>
      <c r="K229" s="92">
        <v>12.0</v>
      </c>
      <c r="L229" s="69" t="s">
        <v>112</v>
      </c>
      <c r="M229" s="91"/>
      <c r="N229" s="70" t="s">
        <v>265</v>
      </c>
      <c r="O229" s="71"/>
      <c r="P229" s="72"/>
      <c r="Q229" s="71"/>
      <c r="R229" s="59" t="str">
        <f t="shared" si="4"/>
        <v>TBD</v>
      </c>
      <c r="S229" s="73"/>
      <c r="T229" s="65">
        <f t="shared" si="5"/>
        <v>12.16666667</v>
      </c>
      <c r="U229" s="73"/>
      <c r="V229" s="65"/>
    </row>
    <row r="230">
      <c r="A230" s="74" t="s">
        <v>324</v>
      </c>
      <c r="B230" s="75" t="s">
        <v>35</v>
      </c>
      <c r="C230" s="75" t="s">
        <v>36</v>
      </c>
      <c r="D230" s="76" t="str">
        <f t="shared" si="19"/>
        <v>Active</v>
      </c>
      <c r="E230" s="90">
        <v>45925.0</v>
      </c>
      <c r="F230" s="78"/>
      <c r="G230" s="79">
        <f t="shared" si="2"/>
        <v>12.36666667</v>
      </c>
      <c r="H230" s="80">
        <v>45533.0</v>
      </c>
      <c r="I230" s="79">
        <f t="shared" si="3"/>
        <v>1.072222222</v>
      </c>
      <c r="J230" s="89">
        <v>75.0</v>
      </c>
      <c r="K230" s="89">
        <v>29.0</v>
      </c>
      <c r="L230" s="82" t="s">
        <v>46</v>
      </c>
      <c r="M230" s="82" t="s">
        <v>38</v>
      </c>
      <c r="N230" s="85"/>
      <c r="O230" s="85"/>
      <c r="P230" s="86"/>
      <c r="Q230" s="85"/>
      <c r="R230" s="76" t="str">
        <f t="shared" si="4"/>
        <v>Active</v>
      </c>
      <c r="S230" s="90">
        <f t="shared" ref="S230:S233" si="29">E230</f>
        <v>45925</v>
      </c>
      <c r="T230" s="79">
        <f t="shared" si="5"/>
        <v>0</v>
      </c>
      <c r="U230" s="90"/>
      <c r="V230" s="79"/>
    </row>
    <row r="231">
      <c r="A231" s="53" t="s">
        <v>325</v>
      </c>
      <c r="B231" s="54" t="s">
        <v>35</v>
      </c>
      <c r="C231" s="54" t="s">
        <v>100</v>
      </c>
      <c r="D231" s="59" t="str">
        <f t="shared" si="19"/>
        <v>Active</v>
      </c>
      <c r="E231" s="88">
        <v>45919.0</v>
      </c>
      <c r="F231" s="120"/>
      <c r="G231" s="65">
        <f t="shared" si="2"/>
        <v>12.56666667</v>
      </c>
      <c r="H231" s="88">
        <v>43441.0</v>
      </c>
      <c r="I231" s="65">
        <f t="shared" si="3"/>
        <v>6.783333333</v>
      </c>
      <c r="J231" s="121">
        <f>(93+94)/2</f>
        <v>93.5</v>
      </c>
      <c r="K231" s="121">
        <v>21.0</v>
      </c>
      <c r="L231" s="69" t="s">
        <v>46</v>
      </c>
      <c r="M231" s="69" t="s">
        <v>326</v>
      </c>
      <c r="N231" s="69" t="s">
        <v>327</v>
      </c>
      <c r="O231" s="69" t="s">
        <v>328</v>
      </c>
      <c r="P231" s="122" t="s">
        <v>329</v>
      </c>
      <c r="Q231" s="69"/>
      <c r="R231" s="59" t="str">
        <f t="shared" si="4"/>
        <v>Active</v>
      </c>
      <c r="S231" s="88">
        <f t="shared" si="29"/>
        <v>45919</v>
      </c>
      <c r="T231" s="65">
        <f t="shared" si="5"/>
        <v>0</v>
      </c>
      <c r="U231" s="88">
        <v>45931.0</v>
      </c>
      <c r="V231" s="65">
        <f>MONTHDUR(E231,U231)</f>
        <v>0.4</v>
      </c>
    </row>
    <row r="232">
      <c r="A232" s="74" t="s">
        <v>330</v>
      </c>
      <c r="B232" s="75" t="s">
        <v>35</v>
      </c>
      <c r="C232" s="75" t="s">
        <v>36</v>
      </c>
      <c r="D232" s="76" t="str">
        <f t="shared" si="19"/>
        <v>Active</v>
      </c>
      <c r="E232" s="90">
        <v>45918.0</v>
      </c>
      <c r="F232" s="78"/>
      <c r="G232" s="79">
        <f t="shared" si="2"/>
        <v>12.6</v>
      </c>
      <c r="H232" s="80">
        <v>45898.0</v>
      </c>
      <c r="I232" s="79">
        <f t="shared" si="3"/>
        <v>0.05277777778</v>
      </c>
      <c r="J232" s="89">
        <v>80.0</v>
      </c>
      <c r="K232" s="89">
        <v>3.0</v>
      </c>
      <c r="L232" s="82" t="s">
        <v>41</v>
      </c>
      <c r="M232" s="82" t="s">
        <v>38</v>
      </c>
      <c r="N232" s="85"/>
      <c r="O232" s="85"/>
      <c r="P232" s="86"/>
      <c r="Q232" s="85"/>
      <c r="R232" s="76" t="str">
        <f t="shared" si="4"/>
        <v>Active</v>
      </c>
      <c r="S232" s="90">
        <f t="shared" si="29"/>
        <v>45918</v>
      </c>
      <c r="T232" s="79">
        <f t="shared" si="5"/>
        <v>0</v>
      </c>
      <c r="U232" s="90"/>
      <c r="V232" s="79"/>
    </row>
    <row r="233">
      <c r="A233" s="53" t="s">
        <v>331</v>
      </c>
      <c r="B233" s="54" t="s">
        <v>35</v>
      </c>
      <c r="C233" s="54" t="s">
        <v>36</v>
      </c>
      <c r="D233" s="59" t="str">
        <f t="shared" si="19"/>
        <v>Active</v>
      </c>
      <c r="E233" s="88">
        <v>45916.0</v>
      </c>
      <c r="F233" s="62"/>
      <c r="G233" s="65">
        <f t="shared" si="2"/>
        <v>12.66666667</v>
      </c>
      <c r="H233" s="67">
        <v>45797.0</v>
      </c>
      <c r="I233" s="65">
        <f t="shared" si="3"/>
        <v>0.3222222222</v>
      </c>
      <c r="J233" s="92">
        <v>77.0</v>
      </c>
      <c r="K233" s="92">
        <v>51.0</v>
      </c>
      <c r="L233" s="69" t="s">
        <v>55</v>
      </c>
      <c r="M233" s="69" t="s">
        <v>38</v>
      </c>
      <c r="N233" s="70" t="s">
        <v>332</v>
      </c>
      <c r="O233" s="71"/>
      <c r="P233" s="72"/>
      <c r="Q233" s="71"/>
      <c r="R233" s="59" t="str">
        <f t="shared" si="4"/>
        <v>Active</v>
      </c>
      <c r="S233" s="88">
        <f t="shared" si="29"/>
        <v>45916</v>
      </c>
      <c r="T233" s="65">
        <f t="shared" si="5"/>
        <v>0</v>
      </c>
      <c r="U233" s="88"/>
      <c r="V233" s="65"/>
    </row>
    <row r="234">
      <c r="A234" s="74" t="s">
        <v>333</v>
      </c>
      <c r="B234" s="75" t="s">
        <v>35</v>
      </c>
      <c r="C234" s="75" t="s">
        <v>36</v>
      </c>
      <c r="D234" s="76" t="str">
        <f t="shared" si="19"/>
        <v>Active</v>
      </c>
      <c r="E234" s="90">
        <v>45904.0</v>
      </c>
      <c r="F234" s="78"/>
      <c r="G234" s="79">
        <f t="shared" si="2"/>
        <v>13.06666667</v>
      </c>
      <c r="H234" s="80">
        <v>45904.0</v>
      </c>
      <c r="I234" s="79">
        <f t="shared" si="3"/>
        <v>0</v>
      </c>
      <c r="J234" s="89">
        <v>90.0</v>
      </c>
      <c r="K234" s="89">
        <v>28.0</v>
      </c>
      <c r="L234" s="82" t="s">
        <v>294</v>
      </c>
      <c r="M234" s="83"/>
      <c r="N234" s="84" t="s">
        <v>39</v>
      </c>
      <c r="O234" s="85"/>
      <c r="P234" s="86"/>
      <c r="Q234" s="85"/>
      <c r="R234" s="76" t="str">
        <f t="shared" si="4"/>
        <v>Active</v>
      </c>
      <c r="S234" s="90">
        <v>46093.0</v>
      </c>
      <c r="T234" s="79">
        <f t="shared" si="5"/>
        <v>6.266666667</v>
      </c>
      <c r="U234" s="90"/>
      <c r="V234" s="79"/>
    </row>
    <row r="235">
      <c r="A235" s="53" t="s">
        <v>334</v>
      </c>
      <c r="B235" s="54" t="s">
        <v>13</v>
      </c>
      <c r="C235" s="54"/>
      <c r="D235" s="59" t="str">
        <f t="shared" si="19"/>
        <v>Active</v>
      </c>
      <c r="E235" s="88">
        <v>45904.0</v>
      </c>
      <c r="F235" s="62"/>
      <c r="G235" s="65">
        <f t="shared" si="2"/>
        <v>13.06666667</v>
      </c>
      <c r="H235" s="67">
        <v>45736.0</v>
      </c>
      <c r="I235" s="65">
        <f t="shared" si="3"/>
        <v>0.4555555556</v>
      </c>
      <c r="J235" s="92">
        <v>82.0</v>
      </c>
      <c r="K235" s="92">
        <v>16.0</v>
      </c>
      <c r="L235" s="69" t="s">
        <v>335</v>
      </c>
      <c r="M235" s="91"/>
      <c r="N235" s="71"/>
      <c r="O235" s="71"/>
      <c r="P235" s="72"/>
      <c r="Q235" s="71"/>
      <c r="R235" s="104" t="str">
        <f t="shared" si="4"/>
        <v>Active</v>
      </c>
      <c r="S235" s="98">
        <v>45931.0</v>
      </c>
      <c r="T235" s="65">
        <f t="shared" si="5"/>
        <v>0.9</v>
      </c>
      <c r="U235" s="98"/>
      <c r="V235" s="65"/>
    </row>
    <row r="236">
      <c r="A236" s="74" t="s">
        <v>336</v>
      </c>
      <c r="B236" s="75" t="s">
        <v>35</v>
      </c>
      <c r="C236" s="75" t="s">
        <v>36</v>
      </c>
      <c r="D236" s="76" t="str">
        <f t="shared" si="19"/>
        <v>Active</v>
      </c>
      <c r="E236" s="90">
        <v>45897.0</v>
      </c>
      <c r="F236" s="78"/>
      <c r="G236" s="79">
        <f t="shared" si="2"/>
        <v>13.26666667</v>
      </c>
      <c r="H236" s="80">
        <v>45596.0</v>
      </c>
      <c r="I236" s="79">
        <f t="shared" si="3"/>
        <v>0.8277777778</v>
      </c>
      <c r="J236" s="89">
        <v>82.0</v>
      </c>
      <c r="K236" s="89">
        <v>29.0</v>
      </c>
      <c r="L236" s="82" t="s">
        <v>46</v>
      </c>
      <c r="M236" s="82" t="s">
        <v>38</v>
      </c>
      <c r="N236" s="84"/>
      <c r="O236" s="84"/>
      <c r="P236" s="118"/>
      <c r="Q236" s="84"/>
      <c r="R236" s="76" t="str">
        <f t="shared" si="4"/>
        <v>TBD</v>
      </c>
      <c r="S236" s="90"/>
      <c r="T236" s="79">
        <f t="shared" si="5"/>
        <v>13.26666667</v>
      </c>
      <c r="U236" s="90"/>
      <c r="V236" s="79"/>
    </row>
    <row r="237">
      <c r="A237" s="53" t="s">
        <v>337</v>
      </c>
      <c r="B237" s="54" t="s">
        <v>35</v>
      </c>
      <c r="C237" s="54" t="s">
        <v>36</v>
      </c>
      <c r="D237" s="59" t="str">
        <f t="shared" si="19"/>
        <v>Active</v>
      </c>
      <c r="E237" s="88">
        <v>45895.0</v>
      </c>
      <c r="F237" s="62"/>
      <c r="G237" s="65">
        <f t="shared" si="2"/>
        <v>13.33333333</v>
      </c>
      <c r="H237" s="67">
        <v>45895.0</v>
      </c>
      <c r="I237" s="65">
        <f t="shared" si="3"/>
        <v>0</v>
      </c>
      <c r="J237" s="92">
        <v>79.0</v>
      </c>
      <c r="K237" s="92">
        <v>7.0</v>
      </c>
      <c r="L237" s="69" t="s">
        <v>37</v>
      </c>
      <c r="M237" s="69" t="s">
        <v>38</v>
      </c>
      <c r="N237" s="70"/>
      <c r="O237" s="70"/>
      <c r="P237" s="115"/>
      <c r="Q237" s="70"/>
      <c r="R237" s="59" t="str">
        <f t="shared" si="4"/>
        <v>TBD</v>
      </c>
      <c r="S237" s="88"/>
      <c r="T237" s="65">
        <f t="shared" si="5"/>
        <v>13.33333333</v>
      </c>
      <c r="U237" s="88"/>
      <c r="V237" s="65"/>
    </row>
    <row r="238">
      <c r="A238" s="74" t="s">
        <v>338</v>
      </c>
      <c r="B238" s="75" t="s">
        <v>35</v>
      </c>
      <c r="C238" s="75" t="s">
        <v>36</v>
      </c>
      <c r="D238" s="76" t="str">
        <f t="shared" si="19"/>
        <v>Active</v>
      </c>
      <c r="E238" s="90">
        <v>45890.0</v>
      </c>
      <c r="F238" s="78"/>
      <c r="G238" s="79">
        <f t="shared" si="2"/>
        <v>13.5</v>
      </c>
      <c r="H238" s="80">
        <v>45890.0</v>
      </c>
      <c r="I238" s="79">
        <f t="shared" si="3"/>
        <v>0</v>
      </c>
      <c r="J238" s="89">
        <v>77.0</v>
      </c>
      <c r="K238" s="89">
        <v>4.0</v>
      </c>
      <c r="L238" s="82" t="s">
        <v>41</v>
      </c>
      <c r="M238" s="82" t="s">
        <v>38</v>
      </c>
      <c r="N238" s="84"/>
      <c r="O238" s="84"/>
      <c r="P238" s="118"/>
      <c r="Q238" s="84"/>
      <c r="R238" s="76" t="str">
        <f t="shared" si="4"/>
        <v>TBD</v>
      </c>
      <c r="S238" s="90"/>
      <c r="T238" s="79">
        <f t="shared" si="5"/>
        <v>13.5</v>
      </c>
      <c r="U238" s="90"/>
      <c r="V238" s="79"/>
    </row>
    <row r="239">
      <c r="A239" s="53" t="s">
        <v>339</v>
      </c>
      <c r="B239" s="54" t="s">
        <v>35</v>
      </c>
      <c r="C239" s="54" t="s">
        <v>36</v>
      </c>
      <c r="D239" s="59" t="str">
        <f t="shared" si="19"/>
        <v>Active</v>
      </c>
      <c r="E239" s="88">
        <v>45889.0</v>
      </c>
      <c r="F239" s="123"/>
      <c r="G239" s="65">
        <f t="shared" si="2"/>
        <v>13.53333333</v>
      </c>
      <c r="H239" s="67">
        <v>45889.0</v>
      </c>
      <c r="I239" s="65">
        <f t="shared" si="3"/>
        <v>0</v>
      </c>
      <c r="J239" s="92">
        <v>81.0</v>
      </c>
      <c r="K239" s="92">
        <v>8.0</v>
      </c>
      <c r="L239" s="69" t="s">
        <v>57</v>
      </c>
      <c r="M239" s="69"/>
      <c r="N239" s="70"/>
      <c r="O239" s="70"/>
      <c r="P239" s="115"/>
      <c r="Q239" s="70"/>
      <c r="R239" s="59" t="str">
        <f t="shared" si="4"/>
        <v>TBD</v>
      </c>
      <c r="S239" s="88"/>
      <c r="T239" s="65">
        <f t="shared" si="5"/>
        <v>13.53333333</v>
      </c>
      <c r="U239" s="88"/>
      <c r="V239" s="65"/>
    </row>
    <row r="240">
      <c r="A240" s="74" t="s">
        <v>340</v>
      </c>
      <c r="B240" s="75" t="s">
        <v>13</v>
      </c>
      <c r="C240" s="75"/>
      <c r="D240" s="76" t="str">
        <f t="shared" si="19"/>
        <v>Active</v>
      </c>
      <c r="E240" s="90">
        <v>45888.0</v>
      </c>
      <c r="F240" s="78"/>
      <c r="G240" s="79">
        <f t="shared" si="2"/>
        <v>13.56666667</v>
      </c>
      <c r="H240" s="80">
        <v>45888.0</v>
      </c>
      <c r="I240" s="79">
        <f t="shared" si="3"/>
        <v>0</v>
      </c>
      <c r="J240" s="81"/>
      <c r="K240" s="89">
        <v>3.0</v>
      </c>
      <c r="L240" s="82" t="s">
        <v>37</v>
      </c>
      <c r="M240" s="83"/>
      <c r="N240" s="84" t="s">
        <v>341</v>
      </c>
      <c r="O240" s="85"/>
      <c r="P240" s="86"/>
      <c r="Q240" s="85"/>
      <c r="R240" s="76" t="str">
        <f t="shared" si="4"/>
        <v>TBD</v>
      </c>
      <c r="S240" s="90"/>
      <c r="T240" s="79">
        <f t="shared" si="5"/>
        <v>13.56666667</v>
      </c>
      <c r="U240" s="90"/>
      <c r="V240" s="79"/>
    </row>
    <row r="241">
      <c r="A241" s="53" t="s">
        <v>342</v>
      </c>
      <c r="B241" s="54" t="s">
        <v>13</v>
      </c>
      <c r="C241" s="59"/>
      <c r="D241" s="59" t="str">
        <f t="shared" si="19"/>
        <v>Active</v>
      </c>
      <c r="E241" s="88">
        <v>45883.0</v>
      </c>
      <c r="F241" s="62"/>
      <c r="G241" s="65">
        <f t="shared" si="2"/>
        <v>13.73333333</v>
      </c>
      <c r="H241" s="67">
        <v>45883.0</v>
      </c>
      <c r="I241" s="65">
        <f t="shared" si="3"/>
        <v>0</v>
      </c>
      <c r="J241" s="92">
        <v>80.0</v>
      </c>
      <c r="K241" s="92">
        <v>3.0</v>
      </c>
      <c r="L241" s="69" t="s">
        <v>50</v>
      </c>
      <c r="M241" s="91"/>
      <c r="N241" s="71"/>
      <c r="O241" s="71"/>
      <c r="P241" s="72"/>
      <c r="Q241" s="71"/>
      <c r="R241" s="59" t="str">
        <f t="shared" si="4"/>
        <v>Active</v>
      </c>
      <c r="S241" s="88">
        <v>45931.0</v>
      </c>
      <c r="T241" s="65">
        <f t="shared" si="5"/>
        <v>1.566666667</v>
      </c>
      <c r="U241" s="88"/>
      <c r="V241" s="65"/>
    </row>
    <row r="242">
      <c r="A242" s="74" t="s">
        <v>343</v>
      </c>
      <c r="B242" s="75" t="s">
        <v>35</v>
      </c>
      <c r="C242" s="75" t="s">
        <v>36</v>
      </c>
      <c r="D242" s="76" t="str">
        <f t="shared" si="19"/>
        <v>Active</v>
      </c>
      <c r="E242" s="90">
        <v>45883.0</v>
      </c>
      <c r="F242" s="78"/>
      <c r="G242" s="79">
        <f t="shared" si="2"/>
        <v>13.73333333</v>
      </c>
      <c r="H242" s="80">
        <v>36068.0</v>
      </c>
      <c r="I242" s="79">
        <f t="shared" si="3"/>
        <v>26.87222222</v>
      </c>
      <c r="J242" s="89">
        <v>83.0</v>
      </c>
      <c r="K242" s="89">
        <v>35.0</v>
      </c>
      <c r="L242" s="82" t="s">
        <v>81</v>
      </c>
      <c r="M242" s="83"/>
      <c r="N242" s="85" t="s">
        <v>344</v>
      </c>
      <c r="O242" s="85"/>
      <c r="P242" s="86"/>
      <c r="Q242" s="85"/>
      <c r="R242" s="76" t="str">
        <f t="shared" si="4"/>
        <v>Active</v>
      </c>
      <c r="S242" s="90">
        <f t="shared" ref="S242:S248" si="30">E242</f>
        <v>45883</v>
      </c>
      <c r="T242" s="79">
        <f t="shared" si="5"/>
        <v>0</v>
      </c>
      <c r="U242" s="90"/>
      <c r="V242" s="79"/>
    </row>
    <row r="243">
      <c r="A243" s="53" t="s">
        <v>345</v>
      </c>
      <c r="B243" s="54" t="s">
        <v>35</v>
      </c>
      <c r="C243" s="54" t="s">
        <v>36</v>
      </c>
      <c r="D243" s="59" t="str">
        <f t="shared" si="19"/>
        <v>Active</v>
      </c>
      <c r="E243" s="88">
        <v>45883.0</v>
      </c>
      <c r="F243" s="62"/>
      <c r="G243" s="65">
        <f t="shared" si="2"/>
        <v>13.73333333</v>
      </c>
      <c r="H243" s="113">
        <v>31048.0</v>
      </c>
      <c r="I243" s="65">
        <f t="shared" si="3"/>
        <v>40.61944444</v>
      </c>
      <c r="J243" s="92">
        <v>80.0</v>
      </c>
      <c r="K243" s="68"/>
      <c r="L243" s="69" t="s">
        <v>105</v>
      </c>
      <c r="M243" s="91"/>
      <c r="N243" s="71" t="s">
        <v>182</v>
      </c>
      <c r="O243" s="71"/>
      <c r="P243" s="72"/>
      <c r="Q243" s="71"/>
      <c r="R243" s="59" t="str">
        <f t="shared" si="4"/>
        <v>Active</v>
      </c>
      <c r="S243" s="88">
        <f t="shared" si="30"/>
        <v>45883</v>
      </c>
      <c r="T243" s="65">
        <f t="shared" si="5"/>
        <v>0</v>
      </c>
      <c r="U243" s="88"/>
      <c r="V243" s="65"/>
    </row>
    <row r="244">
      <c r="A244" s="74" t="s">
        <v>346</v>
      </c>
      <c r="B244" s="75" t="s">
        <v>35</v>
      </c>
      <c r="C244" s="75" t="s">
        <v>36</v>
      </c>
      <c r="D244" s="76" t="str">
        <f t="shared" si="19"/>
        <v>Active</v>
      </c>
      <c r="E244" s="90">
        <v>45883.0</v>
      </c>
      <c r="F244" s="78"/>
      <c r="G244" s="79">
        <f t="shared" si="2"/>
        <v>13.73333333</v>
      </c>
      <c r="H244" s="80">
        <v>32782.0</v>
      </c>
      <c r="I244" s="79">
        <f t="shared" si="3"/>
        <v>35.86944444</v>
      </c>
      <c r="J244" s="89">
        <v>78.0</v>
      </c>
      <c r="K244" s="89">
        <v>3.5</v>
      </c>
      <c r="L244" s="82" t="s">
        <v>41</v>
      </c>
      <c r="M244" s="83"/>
      <c r="N244" s="85" t="s">
        <v>347</v>
      </c>
      <c r="O244" s="85"/>
      <c r="P244" s="86"/>
      <c r="Q244" s="85"/>
      <c r="R244" s="76" t="str">
        <f t="shared" si="4"/>
        <v>Active</v>
      </c>
      <c r="S244" s="90">
        <f t="shared" si="30"/>
        <v>45883</v>
      </c>
      <c r="T244" s="79">
        <f t="shared" si="5"/>
        <v>0</v>
      </c>
      <c r="U244" s="90"/>
      <c r="V244" s="79"/>
    </row>
    <row r="245">
      <c r="A245" s="53" t="s">
        <v>348</v>
      </c>
      <c r="B245" s="54" t="s">
        <v>35</v>
      </c>
      <c r="C245" s="54" t="s">
        <v>36</v>
      </c>
      <c r="D245" s="59" t="str">
        <f t="shared" si="19"/>
        <v>Active</v>
      </c>
      <c r="E245" s="88">
        <v>45883.0</v>
      </c>
      <c r="F245" s="62"/>
      <c r="G245" s="65">
        <f t="shared" si="2"/>
        <v>13.73333333</v>
      </c>
      <c r="H245" s="67">
        <v>30713.0</v>
      </c>
      <c r="I245" s="65">
        <f t="shared" si="3"/>
        <v>41.53611111</v>
      </c>
      <c r="J245" s="92">
        <v>45.0</v>
      </c>
      <c r="K245" s="92">
        <v>12.0</v>
      </c>
      <c r="L245" s="69" t="s">
        <v>105</v>
      </c>
      <c r="M245" s="91"/>
      <c r="N245" s="71" t="s">
        <v>182</v>
      </c>
      <c r="O245" s="71"/>
      <c r="P245" s="72"/>
      <c r="Q245" s="71"/>
      <c r="R245" s="59" t="str">
        <f t="shared" si="4"/>
        <v>Active</v>
      </c>
      <c r="S245" s="88">
        <f t="shared" si="30"/>
        <v>45883</v>
      </c>
      <c r="T245" s="65">
        <f t="shared" si="5"/>
        <v>0</v>
      </c>
      <c r="U245" s="88"/>
      <c r="V245" s="65"/>
    </row>
    <row r="246">
      <c r="A246" s="74" t="s">
        <v>349</v>
      </c>
      <c r="B246" s="75" t="s">
        <v>35</v>
      </c>
      <c r="C246" s="75" t="s">
        <v>36</v>
      </c>
      <c r="D246" s="76" t="str">
        <f t="shared" si="19"/>
        <v>Active</v>
      </c>
      <c r="E246" s="90">
        <v>45883.0</v>
      </c>
      <c r="F246" s="78"/>
      <c r="G246" s="79">
        <f t="shared" si="2"/>
        <v>13.73333333</v>
      </c>
      <c r="H246" s="113">
        <v>35431.0</v>
      </c>
      <c r="I246" s="79">
        <f t="shared" si="3"/>
        <v>28.61944444</v>
      </c>
      <c r="J246" s="89">
        <v>92.0</v>
      </c>
      <c r="K246" s="81"/>
      <c r="L246" s="82" t="s">
        <v>105</v>
      </c>
      <c r="M246" s="83"/>
      <c r="N246" s="85" t="s">
        <v>182</v>
      </c>
      <c r="O246" s="85"/>
      <c r="P246" s="86"/>
      <c r="Q246" s="85"/>
      <c r="R246" s="76" t="str">
        <f t="shared" si="4"/>
        <v>Active</v>
      </c>
      <c r="S246" s="90">
        <f t="shared" si="30"/>
        <v>45883</v>
      </c>
      <c r="T246" s="79">
        <f t="shared" si="5"/>
        <v>0</v>
      </c>
      <c r="U246" s="90"/>
      <c r="V246" s="79"/>
    </row>
    <row r="247">
      <c r="A247" s="53" t="s">
        <v>350</v>
      </c>
      <c r="B247" s="54" t="s">
        <v>35</v>
      </c>
      <c r="C247" s="54" t="s">
        <v>36</v>
      </c>
      <c r="D247" s="59" t="str">
        <f t="shared" si="19"/>
        <v>Active</v>
      </c>
      <c r="E247" s="88">
        <v>45883.0</v>
      </c>
      <c r="F247" s="62"/>
      <c r="G247" s="65">
        <f t="shared" si="2"/>
        <v>13.73333333</v>
      </c>
      <c r="H247" s="67">
        <v>30376.0</v>
      </c>
      <c r="I247" s="65">
        <f t="shared" si="3"/>
        <v>42.45277778</v>
      </c>
      <c r="J247" s="92">
        <v>76.0</v>
      </c>
      <c r="K247" s="68"/>
      <c r="L247" s="69" t="s">
        <v>37</v>
      </c>
      <c r="M247" s="91"/>
      <c r="N247" s="71" t="s">
        <v>182</v>
      </c>
      <c r="O247" s="71"/>
      <c r="P247" s="72"/>
      <c r="Q247" s="71"/>
      <c r="R247" s="59" t="str">
        <f t="shared" si="4"/>
        <v>Active</v>
      </c>
      <c r="S247" s="88">
        <f t="shared" si="30"/>
        <v>45883</v>
      </c>
      <c r="T247" s="65">
        <f t="shared" si="5"/>
        <v>0</v>
      </c>
      <c r="U247" s="88"/>
      <c r="V247" s="65"/>
    </row>
    <row r="248">
      <c r="A248" s="74" t="s">
        <v>351</v>
      </c>
      <c r="B248" s="75" t="s">
        <v>35</v>
      </c>
      <c r="C248" s="75" t="s">
        <v>36</v>
      </c>
      <c r="D248" s="76" t="str">
        <f t="shared" si="19"/>
        <v>Active</v>
      </c>
      <c r="E248" s="90">
        <v>45883.0</v>
      </c>
      <c r="F248" s="78"/>
      <c r="G248" s="79">
        <f t="shared" si="2"/>
        <v>13.73333333</v>
      </c>
      <c r="H248" s="80">
        <v>30681.0</v>
      </c>
      <c r="I248" s="79">
        <f t="shared" si="3"/>
        <v>41.62222222</v>
      </c>
      <c r="J248" s="89">
        <v>61.0</v>
      </c>
      <c r="K248" s="81"/>
      <c r="L248" s="82" t="s">
        <v>105</v>
      </c>
      <c r="M248" s="83"/>
      <c r="N248" s="85" t="s">
        <v>182</v>
      </c>
      <c r="O248" s="85"/>
      <c r="P248" s="86"/>
      <c r="Q248" s="85"/>
      <c r="R248" s="76" t="str">
        <f t="shared" si="4"/>
        <v>Active</v>
      </c>
      <c r="S248" s="90">
        <f t="shared" si="30"/>
        <v>45883</v>
      </c>
      <c r="T248" s="79">
        <f t="shared" si="5"/>
        <v>0</v>
      </c>
      <c r="U248" s="90"/>
      <c r="V248" s="79"/>
    </row>
    <row r="249">
      <c r="A249" s="53" t="s">
        <v>352</v>
      </c>
      <c r="B249" s="54" t="s">
        <v>35</v>
      </c>
      <c r="C249" s="54" t="s">
        <v>36</v>
      </c>
      <c r="D249" s="59" t="str">
        <f t="shared" si="19"/>
        <v>Active</v>
      </c>
      <c r="E249" s="88">
        <v>45876.0</v>
      </c>
      <c r="F249" s="62"/>
      <c r="G249" s="65">
        <f t="shared" si="2"/>
        <v>13.96666667</v>
      </c>
      <c r="H249" s="67">
        <v>45204.0</v>
      </c>
      <c r="I249" s="65">
        <f t="shared" si="3"/>
        <v>1.838888889</v>
      </c>
      <c r="J249" s="92">
        <v>76.0</v>
      </c>
      <c r="K249" s="92">
        <v>16.0</v>
      </c>
      <c r="L249" s="69" t="s">
        <v>46</v>
      </c>
      <c r="M249" s="91"/>
      <c r="N249" s="71"/>
      <c r="O249" s="71"/>
      <c r="P249" s="72"/>
      <c r="Q249" s="71"/>
      <c r="R249" s="59" t="str">
        <f t="shared" si="4"/>
        <v>TBD</v>
      </c>
      <c r="S249" s="73"/>
      <c r="T249" s="65">
        <f t="shared" si="5"/>
        <v>13.96666667</v>
      </c>
      <c r="U249" s="73"/>
      <c r="V249" s="65"/>
    </row>
    <row r="250">
      <c r="A250" s="74" t="s">
        <v>353</v>
      </c>
      <c r="B250" s="75" t="s">
        <v>35</v>
      </c>
      <c r="C250" s="75" t="s">
        <v>36</v>
      </c>
      <c r="D250" s="76" t="str">
        <f t="shared" si="19"/>
        <v>Active</v>
      </c>
      <c r="E250" s="90">
        <v>45876.0</v>
      </c>
      <c r="F250" s="78"/>
      <c r="G250" s="79">
        <f t="shared" si="2"/>
        <v>13.96666667</v>
      </c>
      <c r="H250" s="80">
        <v>45876.0</v>
      </c>
      <c r="I250" s="79">
        <f t="shared" si="3"/>
        <v>0</v>
      </c>
      <c r="J250" s="89">
        <v>82.0</v>
      </c>
      <c r="K250" s="89">
        <v>27.0</v>
      </c>
      <c r="L250" s="82" t="s">
        <v>354</v>
      </c>
      <c r="M250" s="83"/>
      <c r="N250" s="85"/>
      <c r="O250" s="85"/>
      <c r="P250" s="86"/>
      <c r="Q250" s="85"/>
      <c r="R250" s="76" t="str">
        <f t="shared" si="4"/>
        <v>Active</v>
      </c>
      <c r="S250" s="90">
        <v>46238.0</v>
      </c>
      <c r="T250" s="79">
        <f t="shared" si="5"/>
        <v>11.9</v>
      </c>
      <c r="U250" s="87"/>
      <c r="V250" s="79"/>
    </row>
    <row r="251">
      <c r="A251" s="53" t="s">
        <v>355</v>
      </c>
      <c r="B251" s="54" t="s">
        <v>35</v>
      </c>
      <c r="C251" s="54" t="s">
        <v>36</v>
      </c>
      <c r="D251" s="59" t="str">
        <f t="shared" si="19"/>
        <v>Active</v>
      </c>
      <c r="E251" s="88">
        <v>45870.0</v>
      </c>
      <c r="F251" s="62"/>
      <c r="G251" s="65">
        <f t="shared" si="2"/>
        <v>14.16666667</v>
      </c>
      <c r="H251" s="67">
        <v>45608.0</v>
      </c>
      <c r="I251" s="65">
        <f t="shared" si="3"/>
        <v>0.7194444444</v>
      </c>
      <c r="J251" s="92">
        <v>75.0</v>
      </c>
      <c r="K251" s="92">
        <v>45.0</v>
      </c>
      <c r="L251" s="69" t="s">
        <v>64</v>
      </c>
      <c r="M251" s="91"/>
      <c r="N251" s="71"/>
      <c r="O251" s="71"/>
      <c r="P251" s="72"/>
      <c r="Q251" s="71"/>
      <c r="R251" s="59" t="str">
        <f t="shared" si="4"/>
        <v>Active</v>
      </c>
      <c r="S251" s="88">
        <f>E251</f>
        <v>45870</v>
      </c>
      <c r="T251" s="65">
        <f t="shared" si="5"/>
        <v>0</v>
      </c>
      <c r="U251" s="88"/>
      <c r="V251" s="65"/>
    </row>
    <row r="252">
      <c r="A252" s="74" t="s">
        <v>356</v>
      </c>
      <c r="B252" s="75" t="s">
        <v>35</v>
      </c>
      <c r="C252" s="75" t="s">
        <v>36</v>
      </c>
      <c r="D252" s="76" t="str">
        <f t="shared" si="19"/>
        <v>Active</v>
      </c>
      <c r="E252" s="90">
        <v>45867.0</v>
      </c>
      <c r="F252" s="78"/>
      <c r="G252" s="79">
        <f t="shared" si="2"/>
        <v>14.23333333</v>
      </c>
      <c r="H252" s="80">
        <v>45867.0</v>
      </c>
      <c r="I252" s="79">
        <f t="shared" si="3"/>
        <v>0</v>
      </c>
      <c r="J252" s="81"/>
      <c r="K252" s="89">
        <v>14.0</v>
      </c>
      <c r="L252" s="82" t="s">
        <v>78</v>
      </c>
      <c r="M252" s="82" t="s">
        <v>38</v>
      </c>
      <c r="N252" s="85"/>
      <c r="O252" s="85"/>
      <c r="P252" s="86"/>
      <c r="Q252" s="85"/>
      <c r="R252" s="76" t="str">
        <f t="shared" si="4"/>
        <v>Active</v>
      </c>
      <c r="S252" s="90">
        <v>46245.0</v>
      </c>
      <c r="T252" s="79">
        <f t="shared" si="5"/>
        <v>12.4</v>
      </c>
      <c r="U252" s="87"/>
      <c r="V252" s="79"/>
    </row>
    <row r="253">
      <c r="A253" s="53" t="s">
        <v>357</v>
      </c>
      <c r="B253" s="54" t="s">
        <v>35</v>
      </c>
      <c r="C253" s="54" t="s">
        <v>36</v>
      </c>
      <c r="D253" s="59" t="str">
        <f t="shared" si="19"/>
        <v>Active</v>
      </c>
      <c r="E253" s="88">
        <v>45862.0</v>
      </c>
      <c r="F253" s="62"/>
      <c r="G253" s="65">
        <f t="shared" si="2"/>
        <v>14.4</v>
      </c>
      <c r="H253" s="67">
        <v>45862.0</v>
      </c>
      <c r="I253" s="65">
        <f t="shared" si="3"/>
        <v>0</v>
      </c>
      <c r="J253" s="92">
        <v>74.0</v>
      </c>
      <c r="K253" s="92">
        <v>32.0</v>
      </c>
      <c r="L253" s="69" t="s">
        <v>46</v>
      </c>
      <c r="M253" s="69" t="s">
        <v>38</v>
      </c>
      <c r="N253" s="71"/>
      <c r="O253" s="71"/>
      <c r="P253" s="72"/>
      <c r="Q253" s="71"/>
      <c r="R253" s="59" t="str">
        <f t="shared" si="4"/>
        <v>TBD</v>
      </c>
      <c r="S253" s="73"/>
      <c r="T253" s="65">
        <f t="shared" si="5"/>
        <v>14.4</v>
      </c>
      <c r="U253" s="73"/>
      <c r="V253" s="65"/>
    </row>
    <row r="254">
      <c r="A254" s="74" t="s">
        <v>358</v>
      </c>
      <c r="B254" s="75" t="s">
        <v>35</v>
      </c>
      <c r="C254" s="75" t="s">
        <v>36</v>
      </c>
      <c r="D254" s="76" t="str">
        <f t="shared" si="19"/>
        <v>Active</v>
      </c>
      <c r="E254" s="90">
        <v>45861.0</v>
      </c>
      <c r="F254" s="78"/>
      <c r="G254" s="79">
        <f t="shared" si="2"/>
        <v>14.43333333</v>
      </c>
      <c r="H254" s="80">
        <v>45861.0</v>
      </c>
      <c r="I254" s="79">
        <f t="shared" si="3"/>
        <v>0</v>
      </c>
      <c r="J254" s="89">
        <v>71.0</v>
      </c>
      <c r="K254" s="89">
        <v>5.0</v>
      </c>
      <c r="L254" s="82" t="s">
        <v>41</v>
      </c>
      <c r="M254" s="82" t="s">
        <v>38</v>
      </c>
      <c r="N254" s="85"/>
      <c r="O254" s="85"/>
      <c r="P254" s="86"/>
      <c r="Q254" s="85"/>
      <c r="R254" s="76" t="str">
        <f t="shared" si="4"/>
        <v>TBD</v>
      </c>
      <c r="S254" s="87"/>
      <c r="T254" s="79">
        <f t="shared" si="5"/>
        <v>14.43333333</v>
      </c>
      <c r="U254" s="87"/>
      <c r="V254" s="79"/>
    </row>
    <row r="255">
      <c r="A255" s="53" t="s">
        <v>359</v>
      </c>
      <c r="B255" s="54" t="s">
        <v>35</v>
      </c>
      <c r="C255" s="54" t="s">
        <v>36</v>
      </c>
      <c r="D255" s="59" t="str">
        <f t="shared" si="19"/>
        <v>Active</v>
      </c>
      <c r="E255" s="88">
        <v>45860.0</v>
      </c>
      <c r="F255" s="62"/>
      <c r="G255" s="65">
        <f t="shared" si="2"/>
        <v>14.46666667</v>
      </c>
      <c r="H255" s="67">
        <v>45860.0</v>
      </c>
      <c r="I255" s="65">
        <f t="shared" si="3"/>
        <v>0</v>
      </c>
      <c r="J255" s="92">
        <v>88.0</v>
      </c>
      <c r="K255" s="92">
        <v>33.0</v>
      </c>
      <c r="L255" s="69" t="s">
        <v>112</v>
      </c>
      <c r="M255" s="69" t="s">
        <v>38</v>
      </c>
      <c r="N255" s="71"/>
      <c r="O255" s="71"/>
      <c r="P255" s="72"/>
      <c r="Q255" s="71"/>
      <c r="R255" s="59" t="str">
        <f t="shared" si="4"/>
        <v>Active</v>
      </c>
      <c r="S255" s="88">
        <v>45931.0</v>
      </c>
      <c r="T255" s="65">
        <f t="shared" si="5"/>
        <v>2.3</v>
      </c>
      <c r="U255" s="88"/>
      <c r="V255" s="65"/>
    </row>
    <row r="256">
      <c r="A256" s="74" t="s">
        <v>360</v>
      </c>
      <c r="B256" s="75" t="s">
        <v>35</v>
      </c>
      <c r="C256" s="75" t="s">
        <v>36</v>
      </c>
      <c r="D256" s="76" t="str">
        <f t="shared" si="19"/>
        <v>Active</v>
      </c>
      <c r="E256" s="77">
        <v>45859.0</v>
      </c>
      <c r="F256" s="78"/>
      <c r="G256" s="79">
        <f t="shared" si="2"/>
        <v>14.5</v>
      </c>
      <c r="H256" s="80">
        <v>45859.0</v>
      </c>
      <c r="I256" s="79">
        <f t="shared" si="3"/>
        <v>0</v>
      </c>
      <c r="J256" s="81"/>
      <c r="K256" s="81"/>
      <c r="L256" s="82" t="s">
        <v>62</v>
      </c>
      <c r="M256" s="83"/>
      <c r="N256" s="85"/>
      <c r="O256" s="84"/>
      <c r="P256" s="118"/>
      <c r="Q256" s="84"/>
      <c r="R256" s="76" t="str">
        <f t="shared" si="4"/>
        <v>TBD</v>
      </c>
      <c r="S256" s="87"/>
      <c r="T256" s="79">
        <f t="shared" si="5"/>
        <v>14.5</v>
      </c>
      <c r="U256" s="87"/>
      <c r="V256" s="79"/>
    </row>
    <row r="257">
      <c r="A257" s="53" t="s">
        <v>361</v>
      </c>
      <c r="B257" s="54" t="s">
        <v>35</v>
      </c>
      <c r="C257" s="54" t="s">
        <v>36</v>
      </c>
      <c r="D257" s="59" t="str">
        <f t="shared" si="19"/>
        <v>Active</v>
      </c>
      <c r="E257" s="61">
        <v>45859.0</v>
      </c>
      <c r="F257" s="62"/>
      <c r="G257" s="65">
        <f t="shared" si="2"/>
        <v>14.5</v>
      </c>
      <c r="H257" s="67">
        <v>33889.0</v>
      </c>
      <c r="I257" s="65">
        <f t="shared" si="3"/>
        <v>32.775</v>
      </c>
      <c r="J257" s="92">
        <v>72.0</v>
      </c>
      <c r="K257" s="92">
        <v>8.0</v>
      </c>
      <c r="L257" s="69" t="s">
        <v>362</v>
      </c>
      <c r="M257" s="91"/>
      <c r="N257" s="70" t="s">
        <v>347</v>
      </c>
      <c r="O257" s="70"/>
      <c r="P257" s="115"/>
      <c r="Q257" s="70"/>
      <c r="R257" s="59" t="str">
        <f t="shared" si="4"/>
        <v>Active</v>
      </c>
      <c r="S257" s="88">
        <f t="shared" ref="S257:S265" si="31">E257</f>
        <v>45859</v>
      </c>
      <c r="T257" s="65">
        <f t="shared" si="5"/>
        <v>0</v>
      </c>
      <c r="U257" s="88"/>
      <c r="V257" s="65"/>
    </row>
    <row r="258">
      <c r="A258" s="74" t="s">
        <v>363</v>
      </c>
      <c r="B258" s="75" t="s">
        <v>35</v>
      </c>
      <c r="C258" s="75" t="s">
        <v>36</v>
      </c>
      <c r="D258" s="76" t="str">
        <f t="shared" si="19"/>
        <v>Active</v>
      </c>
      <c r="E258" s="77">
        <v>45859.0</v>
      </c>
      <c r="F258" s="78"/>
      <c r="G258" s="79">
        <f t="shared" si="2"/>
        <v>14.5</v>
      </c>
      <c r="H258" s="80">
        <v>32933.0</v>
      </c>
      <c r="I258" s="79">
        <f t="shared" si="3"/>
        <v>35.38888889</v>
      </c>
      <c r="J258" s="89">
        <v>79.0</v>
      </c>
      <c r="K258" s="89">
        <v>4.0</v>
      </c>
      <c r="L258" s="82" t="s">
        <v>41</v>
      </c>
      <c r="M258" s="83"/>
      <c r="N258" s="84" t="s">
        <v>347</v>
      </c>
      <c r="O258" s="84"/>
      <c r="P258" s="118"/>
      <c r="Q258" s="84"/>
      <c r="R258" s="76" t="str">
        <f t="shared" si="4"/>
        <v>Active</v>
      </c>
      <c r="S258" s="90">
        <f t="shared" si="31"/>
        <v>45859</v>
      </c>
      <c r="T258" s="79">
        <f t="shared" si="5"/>
        <v>0</v>
      </c>
      <c r="U258" s="90"/>
      <c r="V258" s="79"/>
    </row>
    <row r="259">
      <c r="A259" s="53" t="s">
        <v>364</v>
      </c>
      <c r="B259" s="54" t="s">
        <v>35</v>
      </c>
      <c r="C259" s="54" t="s">
        <v>36</v>
      </c>
      <c r="D259" s="59" t="str">
        <f t="shared" si="19"/>
        <v>Active</v>
      </c>
      <c r="E259" s="61">
        <v>45859.0</v>
      </c>
      <c r="F259" s="62"/>
      <c r="G259" s="65">
        <f t="shared" si="2"/>
        <v>14.5</v>
      </c>
      <c r="H259" s="67">
        <v>34320.0</v>
      </c>
      <c r="I259" s="65">
        <f t="shared" si="3"/>
        <v>31.59444444</v>
      </c>
      <c r="J259" s="92">
        <v>89.0</v>
      </c>
      <c r="K259" s="92">
        <v>11.0</v>
      </c>
      <c r="L259" s="69" t="s">
        <v>41</v>
      </c>
      <c r="M259" s="91"/>
      <c r="N259" s="70" t="s">
        <v>180</v>
      </c>
      <c r="O259" s="70"/>
      <c r="P259" s="115"/>
      <c r="Q259" s="70"/>
      <c r="R259" s="59" t="str">
        <f t="shared" si="4"/>
        <v>Active</v>
      </c>
      <c r="S259" s="88">
        <f t="shared" si="31"/>
        <v>45859</v>
      </c>
      <c r="T259" s="65">
        <f t="shared" si="5"/>
        <v>0</v>
      </c>
      <c r="U259" s="88"/>
      <c r="V259" s="65"/>
    </row>
    <row r="260">
      <c r="A260" s="74" t="s">
        <v>365</v>
      </c>
      <c r="B260" s="75" t="s">
        <v>35</v>
      </c>
      <c r="C260" s="75" t="s">
        <v>36</v>
      </c>
      <c r="D260" s="76" t="str">
        <f t="shared" si="19"/>
        <v>Active</v>
      </c>
      <c r="E260" s="77">
        <v>45859.0</v>
      </c>
      <c r="F260" s="78"/>
      <c r="G260" s="79">
        <f t="shared" si="2"/>
        <v>14.5</v>
      </c>
      <c r="H260" s="113">
        <v>30682.0</v>
      </c>
      <c r="I260" s="79">
        <f t="shared" si="3"/>
        <v>41.55555556</v>
      </c>
      <c r="J260" s="89">
        <v>72.0</v>
      </c>
      <c r="K260" s="81"/>
      <c r="L260" s="82" t="s">
        <v>105</v>
      </c>
      <c r="M260" s="83"/>
      <c r="N260" s="84" t="s">
        <v>182</v>
      </c>
      <c r="O260" s="84"/>
      <c r="P260" s="118"/>
      <c r="Q260" s="84"/>
      <c r="R260" s="76" t="str">
        <f t="shared" si="4"/>
        <v>Active</v>
      </c>
      <c r="S260" s="90">
        <f t="shared" si="31"/>
        <v>45859</v>
      </c>
      <c r="T260" s="79">
        <f t="shared" si="5"/>
        <v>0</v>
      </c>
      <c r="U260" s="90"/>
      <c r="V260" s="79"/>
    </row>
    <row r="261">
      <c r="A261" s="53" t="s">
        <v>366</v>
      </c>
      <c r="B261" s="54" t="s">
        <v>35</v>
      </c>
      <c r="C261" s="54" t="s">
        <v>36</v>
      </c>
      <c r="D261" s="59" t="str">
        <f t="shared" si="19"/>
        <v>Active</v>
      </c>
      <c r="E261" s="61">
        <v>45859.0</v>
      </c>
      <c r="F261" s="62"/>
      <c r="G261" s="65">
        <f t="shared" si="2"/>
        <v>14.5</v>
      </c>
      <c r="H261" s="113">
        <v>31048.0</v>
      </c>
      <c r="I261" s="65">
        <f t="shared" si="3"/>
        <v>40.55555556</v>
      </c>
      <c r="J261" s="68"/>
      <c r="K261" s="68"/>
      <c r="L261" s="69" t="s">
        <v>96</v>
      </c>
      <c r="M261" s="91"/>
      <c r="N261" s="70" t="s">
        <v>182</v>
      </c>
      <c r="O261" s="70"/>
      <c r="P261" s="115"/>
      <c r="Q261" s="70"/>
      <c r="R261" s="59" t="str">
        <f t="shared" si="4"/>
        <v>Active</v>
      </c>
      <c r="S261" s="88">
        <f t="shared" si="31"/>
        <v>45859</v>
      </c>
      <c r="T261" s="65">
        <f t="shared" si="5"/>
        <v>0</v>
      </c>
      <c r="U261" s="88"/>
      <c r="V261" s="65"/>
    </row>
    <row r="262">
      <c r="A262" s="74" t="s">
        <v>367</v>
      </c>
      <c r="B262" s="75" t="s">
        <v>35</v>
      </c>
      <c r="C262" s="75" t="s">
        <v>36</v>
      </c>
      <c r="D262" s="76" t="str">
        <f t="shared" si="19"/>
        <v>Active</v>
      </c>
      <c r="E262" s="77">
        <v>45859.0</v>
      </c>
      <c r="F262" s="78"/>
      <c r="G262" s="79">
        <f t="shared" si="2"/>
        <v>14.5</v>
      </c>
      <c r="H262" s="80">
        <v>31972.0</v>
      </c>
      <c r="I262" s="79">
        <f t="shared" si="3"/>
        <v>38.01944444</v>
      </c>
      <c r="J262" s="89">
        <v>58.0</v>
      </c>
      <c r="K262" s="89">
        <v>1.0</v>
      </c>
      <c r="L262" s="82" t="s">
        <v>62</v>
      </c>
      <c r="M262" s="83"/>
      <c r="N262" s="84" t="s">
        <v>182</v>
      </c>
      <c r="O262" s="84"/>
      <c r="P262" s="118"/>
      <c r="Q262" s="84"/>
      <c r="R262" s="76" t="str">
        <f t="shared" si="4"/>
        <v>Active</v>
      </c>
      <c r="S262" s="90">
        <f t="shared" si="31"/>
        <v>45859</v>
      </c>
      <c r="T262" s="79">
        <f t="shared" si="5"/>
        <v>0</v>
      </c>
      <c r="U262" s="90"/>
      <c r="V262" s="79"/>
    </row>
    <row r="263">
      <c r="A263" s="53" t="s">
        <v>368</v>
      </c>
      <c r="B263" s="54" t="s">
        <v>35</v>
      </c>
      <c r="C263" s="54" t="s">
        <v>36</v>
      </c>
      <c r="D263" s="59" t="str">
        <f t="shared" si="19"/>
        <v>Active</v>
      </c>
      <c r="E263" s="61">
        <v>45859.0</v>
      </c>
      <c r="F263" s="62"/>
      <c r="G263" s="65">
        <f t="shared" si="2"/>
        <v>14.5</v>
      </c>
      <c r="H263" s="67">
        <v>37774.0</v>
      </c>
      <c r="I263" s="65">
        <f t="shared" si="3"/>
        <v>22.13611111</v>
      </c>
      <c r="J263" s="92">
        <v>75.0</v>
      </c>
      <c r="K263" s="92">
        <v>2.0</v>
      </c>
      <c r="L263" s="69" t="s">
        <v>105</v>
      </c>
      <c r="M263" s="91"/>
      <c r="N263" s="70" t="s">
        <v>182</v>
      </c>
      <c r="O263" s="70"/>
      <c r="P263" s="115"/>
      <c r="Q263" s="70"/>
      <c r="R263" s="59" t="str">
        <f t="shared" si="4"/>
        <v>Active</v>
      </c>
      <c r="S263" s="88">
        <f t="shared" si="31"/>
        <v>45859</v>
      </c>
      <c r="T263" s="65">
        <f t="shared" si="5"/>
        <v>0</v>
      </c>
      <c r="U263" s="88"/>
      <c r="V263" s="65"/>
    </row>
    <row r="264">
      <c r="A264" s="74" t="s">
        <v>369</v>
      </c>
      <c r="B264" s="75" t="s">
        <v>35</v>
      </c>
      <c r="C264" s="75" t="s">
        <v>36</v>
      </c>
      <c r="D264" s="76" t="str">
        <f t="shared" si="19"/>
        <v>Active</v>
      </c>
      <c r="E264" s="90">
        <v>45855.0</v>
      </c>
      <c r="F264" s="78"/>
      <c r="G264" s="79">
        <f t="shared" si="2"/>
        <v>14.63333333</v>
      </c>
      <c r="H264" s="80">
        <v>45232.0</v>
      </c>
      <c r="I264" s="79">
        <f t="shared" si="3"/>
        <v>1.708333333</v>
      </c>
      <c r="J264" s="89">
        <v>72.0</v>
      </c>
      <c r="K264" s="89">
        <v>12.0</v>
      </c>
      <c r="L264" s="82" t="s">
        <v>37</v>
      </c>
      <c r="M264" s="82" t="s">
        <v>38</v>
      </c>
      <c r="N264" s="85"/>
      <c r="O264" s="85"/>
      <c r="P264" s="86"/>
      <c r="Q264" s="85"/>
      <c r="R264" s="76" t="str">
        <f t="shared" si="4"/>
        <v>Active</v>
      </c>
      <c r="S264" s="90">
        <f t="shared" si="31"/>
        <v>45855</v>
      </c>
      <c r="T264" s="79">
        <f t="shared" si="5"/>
        <v>0</v>
      </c>
      <c r="U264" s="90"/>
      <c r="V264" s="79"/>
    </row>
    <row r="265">
      <c r="A265" s="53" t="s">
        <v>370</v>
      </c>
      <c r="B265" s="54" t="s">
        <v>35</v>
      </c>
      <c r="C265" s="54" t="s">
        <v>371</v>
      </c>
      <c r="D265" s="59" t="str">
        <f t="shared" si="19"/>
        <v>Active</v>
      </c>
      <c r="E265" s="88">
        <v>45853.0</v>
      </c>
      <c r="F265" s="120"/>
      <c r="G265" s="65">
        <f t="shared" si="2"/>
        <v>14.7</v>
      </c>
      <c r="H265" s="88">
        <v>44908.0</v>
      </c>
      <c r="I265" s="65">
        <f t="shared" si="3"/>
        <v>2.588888889</v>
      </c>
      <c r="J265" s="121">
        <v>67.0</v>
      </c>
      <c r="K265" s="121">
        <v>9.0</v>
      </c>
      <c r="L265" s="69" t="s">
        <v>37</v>
      </c>
      <c r="M265" s="69"/>
      <c r="N265" s="69" t="s">
        <v>372</v>
      </c>
      <c r="O265" s="69" t="s">
        <v>107</v>
      </c>
      <c r="P265" s="122" t="s">
        <v>373</v>
      </c>
      <c r="Q265" s="69"/>
      <c r="R265" s="59" t="str">
        <f t="shared" si="4"/>
        <v>Active</v>
      </c>
      <c r="S265" s="88">
        <f t="shared" si="31"/>
        <v>45853</v>
      </c>
      <c r="T265" s="65">
        <f t="shared" si="5"/>
        <v>0</v>
      </c>
      <c r="U265" s="88"/>
      <c r="V265" s="65"/>
    </row>
    <row r="266">
      <c r="A266" s="74" t="s">
        <v>374</v>
      </c>
      <c r="B266" s="75" t="s">
        <v>35</v>
      </c>
      <c r="C266" s="75" t="s">
        <v>36</v>
      </c>
      <c r="D266" s="76" t="str">
        <f t="shared" si="19"/>
        <v>Active</v>
      </c>
      <c r="E266" s="90">
        <v>45849.0</v>
      </c>
      <c r="F266" s="125"/>
      <c r="G266" s="79">
        <f t="shared" si="2"/>
        <v>14.83333333</v>
      </c>
      <c r="H266" s="80">
        <v>45849.0</v>
      </c>
      <c r="I266" s="79">
        <f t="shared" si="3"/>
        <v>0</v>
      </c>
      <c r="J266" s="89">
        <v>82.0</v>
      </c>
      <c r="K266" s="89">
        <f>7+11</f>
        <v>18</v>
      </c>
      <c r="L266" s="82" t="s">
        <v>375</v>
      </c>
      <c r="M266" s="82"/>
      <c r="N266" s="84"/>
      <c r="O266" s="84"/>
      <c r="P266" s="118"/>
      <c r="Q266" s="84"/>
      <c r="R266" s="76" t="str">
        <f t="shared" si="4"/>
        <v>Active</v>
      </c>
      <c r="S266" s="90">
        <v>46205.0</v>
      </c>
      <c r="T266" s="79">
        <f t="shared" si="5"/>
        <v>11.7</v>
      </c>
      <c r="U266" s="90"/>
      <c r="V266" s="79"/>
    </row>
    <row r="267">
      <c r="A267" s="53" t="s">
        <v>376</v>
      </c>
      <c r="B267" s="54" t="s">
        <v>35</v>
      </c>
      <c r="C267" s="54" t="s">
        <v>36</v>
      </c>
      <c r="D267" s="59" t="str">
        <f t="shared" si="19"/>
        <v>Active</v>
      </c>
      <c r="E267" s="61">
        <v>45839.0</v>
      </c>
      <c r="F267" s="62"/>
      <c r="G267" s="65">
        <f t="shared" si="2"/>
        <v>15.16666667</v>
      </c>
      <c r="H267" s="113">
        <v>31048.0</v>
      </c>
      <c r="I267" s="65">
        <f t="shared" si="3"/>
        <v>40.5</v>
      </c>
      <c r="J267" s="92">
        <v>67.0</v>
      </c>
      <c r="K267" s="68"/>
      <c r="L267" s="69" t="s">
        <v>37</v>
      </c>
      <c r="M267" s="91"/>
      <c r="N267" s="70" t="s">
        <v>182</v>
      </c>
      <c r="O267" s="70"/>
      <c r="P267" s="115"/>
      <c r="Q267" s="70"/>
      <c r="R267" s="59" t="str">
        <f t="shared" si="4"/>
        <v>Active</v>
      </c>
      <c r="S267" s="88">
        <f t="shared" ref="S267:S272" si="32">E267</f>
        <v>45839</v>
      </c>
      <c r="T267" s="65">
        <f t="shared" si="5"/>
        <v>0</v>
      </c>
      <c r="U267" s="88"/>
      <c r="V267" s="65"/>
    </row>
    <row r="268">
      <c r="A268" s="74" t="s">
        <v>377</v>
      </c>
      <c r="B268" s="75" t="s">
        <v>35</v>
      </c>
      <c r="C268" s="75" t="s">
        <v>36</v>
      </c>
      <c r="D268" s="76" t="str">
        <f t="shared" si="19"/>
        <v>Active</v>
      </c>
      <c r="E268" s="77">
        <v>45839.0</v>
      </c>
      <c r="F268" s="78"/>
      <c r="G268" s="79">
        <f t="shared" si="2"/>
        <v>15.16666667</v>
      </c>
      <c r="H268" s="113">
        <v>33239.0</v>
      </c>
      <c r="I268" s="79">
        <f t="shared" si="3"/>
        <v>34.5</v>
      </c>
      <c r="J268" s="81"/>
      <c r="K268" s="89">
        <v>4.0</v>
      </c>
      <c r="L268" s="82" t="s">
        <v>135</v>
      </c>
      <c r="M268" s="83"/>
      <c r="N268" s="84" t="s">
        <v>180</v>
      </c>
      <c r="O268" s="84"/>
      <c r="P268" s="118"/>
      <c r="Q268" s="84"/>
      <c r="R268" s="76" t="str">
        <f t="shared" si="4"/>
        <v>Active</v>
      </c>
      <c r="S268" s="90">
        <f t="shared" si="32"/>
        <v>45839</v>
      </c>
      <c r="T268" s="79">
        <f t="shared" si="5"/>
        <v>0</v>
      </c>
      <c r="U268" s="90"/>
      <c r="V268" s="79"/>
    </row>
    <row r="269">
      <c r="A269" s="53" t="s">
        <v>378</v>
      </c>
      <c r="B269" s="54" t="s">
        <v>35</v>
      </c>
      <c r="C269" s="54" t="s">
        <v>36</v>
      </c>
      <c r="D269" s="59" t="str">
        <f t="shared" si="19"/>
        <v>Active</v>
      </c>
      <c r="E269" s="61">
        <v>45839.0</v>
      </c>
      <c r="F269" s="62"/>
      <c r="G269" s="65">
        <f t="shared" si="2"/>
        <v>15.16666667</v>
      </c>
      <c r="H269" s="67">
        <v>29556.0</v>
      </c>
      <c r="I269" s="65">
        <f t="shared" si="3"/>
        <v>44.58333333</v>
      </c>
      <c r="J269" s="92">
        <v>72.0</v>
      </c>
      <c r="K269" s="92">
        <v>1.0</v>
      </c>
      <c r="L269" s="69" t="s">
        <v>62</v>
      </c>
      <c r="M269" s="91"/>
      <c r="N269" s="70" t="s">
        <v>182</v>
      </c>
      <c r="O269" s="70"/>
      <c r="P269" s="115"/>
      <c r="Q269" s="70"/>
      <c r="R269" s="59" t="str">
        <f t="shared" si="4"/>
        <v>Active</v>
      </c>
      <c r="S269" s="88">
        <f t="shared" si="32"/>
        <v>45839</v>
      </c>
      <c r="T269" s="65">
        <f t="shared" si="5"/>
        <v>0</v>
      </c>
      <c r="U269" s="88"/>
      <c r="V269" s="65"/>
    </row>
    <row r="270">
      <c r="A270" s="74" t="s">
        <v>379</v>
      </c>
      <c r="B270" s="75" t="s">
        <v>35</v>
      </c>
      <c r="C270" s="75" t="s">
        <v>36</v>
      </c>
      <c r="D270" s="76" t="str">
        <f t="shared" si="19"/>
        <v>Active</v>
      </c>
      <c r="E270" s="77">
        <v>45839.0</v>
      </c>
      <c r="F270" s="78"/>
      <c r="G270" s="79">
        <f t="shared" si="2"/>
        <v>15.16666667</v>
      </c>
      <c r="H270" s="80">
        <v>30468.0</v>
      </c>
      <c r="I270" s="79">
        <f t="shared" si="3"/>
        <v>42.08333333</v>
      </c>
      <c r="J270" s="89">
        <v>71.0</v>
      </c>
      <c r="K270" s="81"/>
      <c r="L270" s="82" t="s">
        <v>41</v>
      </c>
      <c r="M270" s="83"/>
      <c r="N270" s="84" t="s">
        <v>182</v>
      </c>
      <c r="O270" s="84"/>
      <c r="P270" s="118"/>
      <c r="Q270" s="84"/>
      <c r="R270" s="76" t="str">
        <f t="shared" si="4"/>
        <v>Active</v>
      </c>
      <c r="S270" s="90">
        <f t="shared" si="32"/>
        <v>45839</v>
      </c>
      <c r="T270" s="79">
        <f t="shared" si="5"/>
        <v>0</v>
      </c>
      <c r="U270" s="90"/>
      <c r="V270" s="79"/>
    </row>
    <row r="271">
      <c r="A271" s="53" t="s">
        <v>380</v>
      </c>
      <c r="B271" s="54" t="s">
        <v>35</v>
      </c>
      <c r="C271" s="54" t="s">
        <v>36</v>
      </c>
      <c r="D271" s="59" t="str">
        <f t="shared" si="19"/>
        <v>Active</v>
      </c>
      <c r="E271" s="61">
        <v>45839.0</v>
      </c>
      <c r="F271" s="62"/>
      <c r="G271" s="65">
        <f t="shared" si="2"/>
        <v>15.16666667</v>
      </c>
      <c r="H271" s="113">
        <v>30317.0</v>
      </c>
      <c r="I271" s="65">
        <f t="shared" si="3"/>
        <v>42.5</v>
      </c>
      <c r="J271" s="92">
        <v>68.0</v>
      </c>
      <c r="K271" s="68"/>
      <c r="L271" s="69" t="s">
        <v>37</v>
      </c>
      <c r="M271" s="91"/>
      <c r="N271" s="70" t="s">
        <v>182</v>
      </c>
      <c r="O271" s="70"/>
      <c r="P271" s="115"/>
      <c r="Q271" s="70"/>
      <c r="R271" s="59" t="str">
        <f t="shared" si="4"/>
        <v>Active</v>
      </c>
      <c r="S271" s="88">
        <f t="shared" si="32"/>
        <v>45839</v>
      </c>
      <c r="T271" s="65">
        <f t="shared" si="5"/>
        <v>0</v>
      </c>
      <c r="U271" s="88"/>
      <c r="V271" s="65"/>
    </row>
    <row r="272">
      <c r="A272" s="74" t="s">
        <v>381</v>
      </c>
      <c r="B272" s="75" t="s">
        <v>35</v>
      </c>
      <c r="C272" s="75"/>
      <c r="D272" s="76" t="str">
        <f t="shared" si="19"/>
        <v>Active</v>
      </c>
      <c r="E272" s="77">
        <v>45838.0</v>
      </c>
      <c r="F272" s="78"/>
      <c r="G272" s="79">
        <f t="shared" si="2"/>
        <v>15.2</v>
      </c>
      <c r="H272" s="80">
        <v>43042.0</v>
      </c>
      <c r="I272" s="79">
        <f t="shared" si="3"/>
        <v>7.658333333</v>
      </c>
      <c r="J272" s="89">
        <v>79.0</v>
      </c>
      <c r="K272" s="89">
        <v>7.0</v>
      </c>
      <c r="L272" s="82" t="s">
        <v>37</v>
      </c>
      <c r="M272" s="83"/>
      <c r="N272" s="84"/>
      <c r="O272" s="84"/>
      <c r="P272" s="118"/>
      <c r="Q272" s="84"/>
      <c r="R272" s="76" t="str">
        <f t="shared" si="4"/>
        <v>Active</v>
      </c>
      <c r="S272" s="90">
        <f t="shared" si="32"/>
        <v>45838</v>
      </c>
      <c r="T272" s="79">
        <f t="shared" si="5"/>
        <v>0</v>
      </c>
      <c r="U272" s="90"/>
      <c r="V272" s="79"/>
    </row>
    <row r="273">
      <c r="A273" s="53" t="s">
        <v>382</v>
      </c>
      <c r="B273" s="54" t="s">
        <v>13</v>
      </c>
      <c r="C273" s="54"/>
      <c r="D273" s="59" t="str">
        <f t="shared" si="19"/>
        <v>Active</v>
      </c>
      <c r="E273" s="61">
        <v>45834.0</v>
      </c>
      <c r="F273" s="62"/>
      <c r="G273" s="65">
        <f t="shared" si="2"/>
        <v>15.33333333</v>
      </c>
      <c r="H273" s="67">
        <v>45609.0</v>
      </c>
      <c r="I273" s="65">
        <f t="shared" si="3"/>
        <v>0.6194444444</v>
      </c>
      <c r="J273" s="68">
        <f>average(80,70,63)</f>
        <v>71</v>
      </c>
      <c r="K273" s="92">
        <v>15.0</v>
      </c>
      <c r="L273" s="69" t="s">
        <v>81</v>
      </c>
      <c r="M273" s="91"/>
      <c r="N273" s="71"/>
      <c r="O273" s="70"/>
      <c r="P273" s="115"/>
      <c r="Q273" s="70"/>
      <c r="R273" s="59" t="str">
        <f t="shared" si="4"/>
        <v>Active</v>
      </c>
      <c r="S273" s="88">
        <v>45931.0</v>
      </c>
      <c r="T273" s="65">
        <f t="shared" si="5"/>
        <v>3.166666667</v>
      </c>
      <c r="U273" s="88"/>
      <c r="V273" s="65"/>
    </row>
    <row r="274">
      <c r="A274" s="74" t="s">
        <v>383</v>
      </c>
      <c r="B274" s="75" t="s">
        <v>13</v>
      </c>
      <c r="C274" s="75"/>
      <c r="D274" s="76" t="str">
        <f t="shared" si="19"/>
        <v>Active</v>
      </c>
      <c r="E274" s="77">
        <v>45834.0</v>
      </c>
      <c r="F274" s="78"/>
      <c r="G274" s="79">
        <f t="shared" si="2"/>
        <v>15.33333333</v>
      </c>
      <c r="H274" s="80">
        <v>45609.0</v>
      </c>
      <c r="I274" s="79">
        <f t="shared" si="3"/>
        <v>0.6194444444</v>
      </c>
      <c r="J274" s="81">
        <f>average(63,80)</f>
        <v>71.5</v>
      </c>
      <c r="K274" s="89">
        <v>21.0</v>
      </c>
      <c r="L274" s="82" t="s">
        <v>81</v>
      </c>
      <c r="M274" s="83"/>
      <c r="N274" s="85"/>
      <c r="O274" s="84"/>
      <c r="P274" s="118"/>
      <c r="Q274" s="84"/>
      <c r="R274" s="76" t="str">
        <f t="shared" si="4"/>
        <v>Active</v>
      </c>
      <c r="S274" s="90">
        <v>45931.0</v>
      </c>
      <c r="T274" s="79">
        <f t="shared" si="5"/>
        <v>3.166666667</v>
      </c>
      <c r="U274" s="90"/>
      <c r="V274" s="79"/>
    </row>
    <row r="275">
      <c r="A275" s="53" t="s">
        <v>384</v>
      </c>
      <c r="B275" s="54" t="s">
        <v>13</v>
      </c>
      <c r="C275" s="54"/>
      <c r="D275" s="59" t="str">
        <f t="shared" si="19"/>
        <v>Active</v>
      </c>
      <c r="E275" s="61">
        <v>45834.0</v>
      </c>
      <c r="F275" s="62"/>
      <c r="G275" s="65">
        <f t="shared" si="2"/>
        <v>15.33333333</v>
      </c>
      <c r="H275" s="67">
        <v>43858.0</v>
      </c>
      <c r="I275" s="65">
        <f t="shared" si="3"/>
        <v>5.411111111</v>
      </c>
      <c r="J275" s="92">
        <v>59.0</v>
      </c>
      <c r="K275" s="92">
        <v>31.0</v>
      </c>
      <c r="L275" s="69" t="s">
        <v>81</v>
      </c>
      <c r="M275" s="91"/>
      <c r="N275" s="71"/>
      <c r="O275" s="70"/>
      <c r="P275" s="115"/>
      <c r="Q275" s="70"/>
      <c r="R275" s="59" t="str">
        <f t="shared" si="4"/>
        <v>Active</v>
      </c>
      <c r="S275" s="88">
        <v>45931.0</v>
      </c>
      <c r="T275" s="65">
        <f t="shared" si="5"/>
        <v>3.166666667</v>
      </c>
      <c r="U275" s="88"/>
      <c r="V275" s="65"/>
    </row>
    <row r="276">
      <c r="A276" s="74" t="s">
        <v>385</v>
      </c>
      <c r="B276" s="75" t="s">
        <v>35</v>
      </c>
      <c r="C276" s="75" t="s">
        <v>36</v>
      </c>
      <c r="D276" s="76" t="str">
        <f t="shared" si="19"/>
        <v>Active</v>
      </c>
      <c r="E276" s="77">
        <v>45827.0</v>
      </c>
      <c r="F276" s="78"/>
      <c r="G276" s="79">
        <f t="shared" si="2"/>
        <v>15.56666667</v>
      </c>
      <c r="H276" s="80">
        <v>45827.0</v>
      </c>
      <c r="I276" s="79">
        <f t="shared" si="3"/>
        <v>0</v>
      </c>
      <c r="J276" s="89">
        <v>78.0</v>
      </c>
      <c r="K276" s="89">
        <v>37.0</v>
      </c>
      <c r="L276" s="82" t="s">
        <v>62</v>
      </c>
      <c r="M276" s="82" t="s">
        <v>38</v>
      </c>
      <c r="N276" s="85"/>
      <c r="O276" s="84"/>
      <c r="P276" s="118"/>
      <c r="Q276" s="84"/>
      <c r="R276" s="76" t="str">
        <f t="shared" si="4"/>
        <v>Active</v>
      </c>
      <c r="S276" s="90">
        <v>46029.0</v>
      </c>
      <c r="T276" s="79">
        <f t="shared" si="5"/>
        <v>6.6</v>
      </c>
      <c r="U276" s="90">
        <v>46290.0</v>
      </c>
      <c r="V276" s="79">
        <f>MONTHDUR(E276,U276)</f>
        <v>15.2</v>
      </c>
    </row>
    <row r="277">
      <c r="A277" s="53" t="s">
        <v>386</v>
      </c>
      <c r="B277" s="54" t="s">
        <v>35</v>
      </c>
      <c r="C277" s="54" t="s">
        <v>36</v>
      </c>
      <c r="D277" s="59" t="str">
        <f t="shared" si="19"/>
        <v>Active</v>
      </c>
      <c r="E277" s="61">
        <v>45825.0</v>
      </c>
      <c r="F277" s="62"/>
      <c r="G277" s="65">
        <f t="shared" si="2"/>
        <v>15.63333333</v>
      </c>
      <c r="H277" s="67">
        <v>45825.0</v>
      </c>
      <c r="I277" s="65">
        <f t="shared" si="3"/>
        <v>0</v>
      </c>
      <c r="J277" s="92">
        <v>64.0</v>
      </c>
      <c r="K277" s="92">
        <v>7.0</v>
      </c>
      <c r="L277" s="69" t="s">
        <v>37</v>
      </c>
      <c r="M277" s="91" t="s">
        <v>38</v>
      </c>
      <c r="N277" s="70"/>
      <c r="O277" s="70"/>
      <c r="P277" s="115"/>
      <c r="Q277" s="70"/>
      <c r="R277" s="59" t="str">
        <f t="shared" si="4"/>
        <v>Active</v>
      </c>
      <c r="S277" s="88">
        <v>46120.0</v>
      </c>
      <c r="T277" s="65">
        <f t="shared" si="5"/>
        <v>9.7</v>
      </c>
      <c r="U277" s="88"/>
      <c r="V277" s="65"/>
    </row>
    <row r="278">
      <c r="A278" s="74" t="s">
        <v>387</v>
      </c>
      <c r="B278" s="75" t="s">
        <v>35</v>
      </c>
      <c r="C278" s="75"/>
      <c r="D278" s="76" t="str">
        <f t="shared" si="19"/>
        <v>Active</v>
      </c>
      <c r="E278" s="77">
        <v>45825.0</v>
      </c>
      <c r="F278" s="78"/>
      <c r="G278" s="79">
        <f t="shared" si="2"/>
        <v>15.63333333</v>
      </c>
      <c r="H278" s="80">
        <v>44106.0</v>
      </c>
      <c r="I278" s="79">
        <f t="shared" si="3"/>
        <v>4.708333333</v>
      </c>
      <c r="J278" s="89">
        <v>85.0</v>
      </c>
      <c r="K278" s="89">
        <v>10.0</v>
      </c>
      <c r="L278" s="82" t="s">
        <v>388</v>
      </c>
      <c r="M278" s="83"/>
      <c r="N278" s="84"/>
      <c r="O278" s="84"/>
      <c r="P278" s="118"/>
      <c r="Q278" s="84"/>
      <c r="R278" s="76" t="str">
        <f t="shared" si="4"/>
        <v>Active</v>
      </c>
      <c r="S278" s="90">
        <f>E278</f>
        <v>45825</v>
      </c>
      <c r="T278" s="79">
        <f t="shared" si="5"/>
        <v>0</v>
      </c>
      <c r="U278" s="90"/>
      <c r="V278" s="79"/>
    </row>
    <row r="279">
      <c r="A279" s="53" t="s">
        <v>389</v>
      </c>
      <c r="B279" s="54" t="s">
        <v>35</v>
      </c>
      <c r="C279" s="54" t="s">
        <v>36</v>
      </c>
      <c r="D279" s="59" t="str">
        <f t="shared" si="19"/>
        <v>Active</v>
      </c>
      <c r="E279" s="61">
        <v>45825.0</v>
      </c>
      <c r="F279" s="62"/>
      <c r="G279" s="65">
        <f t="shared" si="2"/>
        <v>15.63333333</v>
      </c>
      <c r="H279" s="67">
        <v>45825.0</v>
      </c>
      <c r="I279" s="65">
        <f t="shared" si="3"/>
        <v>0</v>
      </c>
      <c r="J279" s="92">
        <v>78.0</v>
      </c>
      <c r="K279" s="92">
        <v>6.0</v>
      </c>
      <c r="L279" s="69" t="s">
        <v>41</v>
      </c>
      <c r="M279" s="91" t="s">
        <v>38</v>
      </c>
      <c r="N279" s="70"/>
      <c r="O279" s="70"/>
      <c r="P279" s="115"/>
      <c r="Q279" s="70"/>
      <c r="R279" s="59" t="str">
        <f t="shared" si="4"/>
        <v>Active</v>
      </c>
      <c r="S279" s="88">
        <v>46029.0</v>
      </c>
      <c r="T279" s="65">
        <f t="shared" si="5"/>
        <v>6.666666667</v>
      </c>
      <c r="U279" s="88"/>
      <c r="V279" s="65"/>
    </row>
    <row r="280">
      <c r="A280" s="74" t="s">
        <v>390</v>
      </c>
      <c r="B280" s="75" t="s">
        <v>35</v>
      </c>
      <c r="C280" s="75" t="s">
        <v>36</v>
      </c>
      <c r="D280" s="76" t="str">
        <f t="shared" si="19"/>
        <v>Active</v>
      </c>
      <c r="E280" s="77">
        <v>45821.0</v>
      </c>
      <c r="F280" s="78"/>
      <c r="G280" s="79">
        <f t="shared" si="2"/>
        <v>15.76666667</v>
      </c>
      <c r="H280" s="80">
        <v>45821.0</v>
      </c>
      <c r="I280" s="79">
        <f t="shared" si="3"/>
        <v>0</v>
      </c>
      <c r="J280" s="89">
        <v>84.0</v>
      </c>
      <c r="K280" s="89">
        <v>19.0</v>
      </c>
      <c r="L280" s="82" t="s">
        <v>112</v>
      </c>
      <c r="M280" s="83" t="s">
        <v>38</v>
      </c>
      <c r="N280" s="84"/>
      <c r="O280" s="84"/>
      <c r="P280" s="118"/>
      <c r="Q280" s="84"/>
      <c r="R280" s="76" t="str">
        <f t="shared" si="4"/>
        <v>Active</v>
      </c>
      <c r="S280" s="90">
        <v>46099.0</v>
      </c>
      <c r="T280" s="79">
        <f t="shared" si="5"/>
        <v>9.166666667</v>
      </c>
      <c r="U280" s="90"/>
      <c r="V280" s="79"/>
    </row>
    <row r="281">
      <c r="A281" s="53" t="s">
        <v>391</v>
      </c>
      <c r="B281" s="54" t="s">
        <v>35</v>
      </c>
      <c r="C281" s="54" t="s">
        <v>36</v>
      </c>
      <c r="D281" s="59" t="str">
        <f t="shared" si="19"/>
        <v>Active</v>
      </c>
      <c r="E281" s="61">
        <v>45820.0</v>
      </c>
      <c r="F281" s="62"/>
      <c r="G281" s="65">
        <f t="shared" si="2"/>
        <v>15.8</v>
      </c>
      <c r="H281" s="67">
        <v>45562.0</v>
      </c>
      <c r="I281" s="65">
        <f t="shared" si="3"/>
        <v>0.7083333333</v>
      </c>
      <c r="J281" s="92">
        <v>76.0</v>
      </c>
      <c r="K281" s="92">
        <v>35.0</v>
      </c>
      <c r="L281" s="69" t="s">
        <v>62</v>
      </c>
      <c r="M281" s="91"/>
      <c r="N281" s="70"/>
      <c r="O281" s="70"/>
      <c r="P281" s="115"/>
      <c r="Q281" s="70"/>
      <c r="R281" s="59" t="str">
        <f t="shared" si="4"/>
        <v>TBD</v>
      </c>
      <c r="S281" s="88"/>
      <c r="T281" s="65">
        <f t="shared" si="5"/>
        <v>15.8</v>
      </c>
      <c r="U281" s="88"/>
      <c r="V281" s="65"/>
    </row>
    <row r="282">
      <c r="A282" s="74" t="s">
        <v>392</v>
      </c>
      <c r="B282" s="75" t="s">
        <v>35</v>
      </c>
      <c r="C282" s="75" t="s">
        <v>36</v>
      </c>
      <c r="D282" s="76" t="str">
        <f t="shared" si="19"/>
        <v>Active</v>
      </c>
      <c r="E282" s="77">
        <v>45813.0</v>
      </c>
      <c r="F282" s="78"/>
      <c r="G282" s="79">
        <f t="shared" si="2"/>
        <v>16.03333333</v>
      </c>
      <c r="H282" s="80">
        <v>41241.0</v>
      </c>
      <c r="I282" s="79">
        <f t="shared" si="3"/>
        <v>12.51944444</v>
      </c>
      <c r="J282" s="89">
        <v>78.0</v>
      </c>
      <c r="K282" s="89">
        <v>31.0</v>
      </c>
      <c r="L282" s="82" t="s">
        <v>46</v>
      </c>
      <c r="M282" s="83"/>
      <c r="N282" s="84" t="s">
        <v>393</v>
      </c>
      <c r="O282" s="84"/>
      <c r="P282" s="118"/>
      <c r="Q282" s="84"/>
      <c r="R282" s="76" t="str">
        <f t="shared" si="4"/>
        <v>Active</v>
      </c>
      <c r="S282" s="90">
        <f t="shared" ref="S282:S284" si="33">E282</f>
        <v>45813</v>
      </c>
      <c r="T282" s="79">
        <f t="shared" si="5"/>
        <v>0</v>
      </c>
      <c r="U282" s="90"/>
      <c r="V282" s="79"/>
    </row>
    <row r="283">
      <c r="A283" s="53" t="s">
        <v>394</v>
      </c>
      <c r="B283" s="54" t="s">
        <v>35</v>
      </c>
      <c r="C283" s="54" t="s">
        <v>36</v>
      </c>
      <c r="D283" s="59" t="str">
        <f t="shared" si="19"/>
        <v>Active</v>
      </c>
      <c r="E283" s="61">
        <v>45813.0</v>
      </c>
      <c r="F283" s="62"/>
      <c r="G283" s="65">
        <f t="shared" si="2"/>
        <v>16.03333333</v>
      </c>
      <c r="H283" s="67">
        <v>41593.0</v>
      </c>
      <c r="I283" s="65">
        <f t="shared" si="3"/>
        <v>11.55555556</v>
      </c>
      <c r="J283" s="92">
        <v>78.0</v>
      </c>
      <c r="K283" s="92">
        <v>45.0</v>
      </c>
      <c r="L283" s="69" t="s">
        <v>46</v>
      </c>
      <c r="M283" s="91"/>
      <c r="N283" s="70" t="s">
        <v>393</v>
      </c>
      <c r="O283" s="70"/>
      <c r="P283" s="115"/>
      <c r="Q283" s="70"/>
      <c r="R283" s="59" t="str">
        <f t="shared" si="4"/>
        <v>Active</v>
      </c>
      <c r="S283" s="88">
        <f t="shared" si="33"/>
        <v>45813</v>
      </c>
      <c r="T283" s="65">
        <f t="shared" si="5"/>
        <v>0</v>
      </c>
      <c r="U283" s="88"/>
      <c r="V283" s="65"/>
    </row>
    <row r="284">
      <c r="A284" s="74" t="s">
        <v>395</v>
      </c>
      <c r="B284" s="75" t="s">
        <v>35</v>
      </c>
      <c r="C284" s="75" t="s">
        <v>36</v>
      </c>
      <c r="D284" s="76" t="str">
        <f t="shared" si="19"/>
        <v>Active</v>
      </c>
      <c r="E284" s="77">
        <v>45811.0</v>
      </c>
      <c r="F284" s="78"/>
      <c r="G284" s="79">
        <f t="shared" si="2"/>
        <v>16.1</v>
      </c>
      <c r="H284" s="80">
        <v>45631.0</v>
      </c>
      <c r="I284" s="79">
        <f t="shared" si="3"/>
        <v>0.4944444444</v>
      </c>
      <c r="J284" s="89">
        <v>85.0</v>
      </c>
      <c r="K284" s="89">
        <v>5.0</v>
      </c>
      <c r="L284" s="82" t="s">
        <v>57</v>
      </c>
      <c r="M284" s="83"/>
      <c r="N284" s="84"/>
      <c r="O284" s="84"/>
      <c r="P284" s="118"/>
      <c r="Q284" s="84"/>
      <c r="R284" s="76" t="str">
        <f t="shared" si="4"/>
        <v>Active</v>
      </c>
      <c r="S284" s="90">
        <f t="shared" si="33"/>
        <v>45811</v>
      </c>
      <c r="T284" s="79">
        <f t="shared" si="5"/>
        <v>0</v>
      </c>
      <c r="U284" s="90"/>
      <c r="V284" s="79"/>
    </row>
    <row r="285">
      <c r="A285" s="53" t="s">
        <v>396</v>
      </c>
      <c r="B285" s="54" t="s">
        <v>35</v>
      </c>
      <c r="C285" s="54" t="s">
        <v>36</v>
      </c>
      <c r="D285" s="59" t="str">
        <f t="shared" si="19"/>
        <v>Active</v>
      </c>
      <c r="E285" s="61">
        <v>45805.0</v>
      </c>
      <c r="F285" s="62"/>
      <c r="G285" s="65">
        <f t="shared" si="2"/>
        <v>16.26666667</v>
      </c>
      <c r="H285" s="67">
        <v>45805.0</v>
      </c>
      <c r="I285" s="65">
        <f t="shared" si="3"/>
        <v>0</v>
      </c>
      <c r="J285" s="92">
        <v>73.0</v>
      </c>
      <c r="K285" s="92">
        <v>6.0</v>
      </c>
      <c r="L285" s="69" t="s">
        <v>41</v>
      </c>
      <c r="M285" s="69" t="s">
        <v>38</v>
      </c>
      <c r="N285" s="71"/>
      <c r="O285" s="70"/>
      <c r="P285" s="115"/>
      <c r="Q285" s="70"/>
      <c r="R285" s="59" t="str">
        <f t="shared" si="4"/>
        <v>TBD</v>
      </c>
      <c r="S285" s="88"/>
      <c r="T285" s="65">
        <f t="shared" si="5"/>
        <v>16.26666667</v>
      </c>
      <c r="U285" s="88"/>
      <c r="V285" s="65"/>
    </row>
    <row r="286">
      <c r="A286" s="74" t="s">
        <v>397</v>
      </c>
      <c r="B286" s="75" t="s">
        <v>35</v>
      </c>
      <c r="C286" s="75" t="s">
        <v>36</v>
      </c>
      <c r="D286" s="76" t="str">
        <f t="shared" si="19"/>
        <v>Active</v>
      </c>
      <c r="E286" s="77">
        <v>45804.0</v>
      </c>
      <c r="F286" s="78"/>
      <c r="G286" s="79">
        <f t="shared" si="2"/>
        <v>16.3</v>
      </c>
      <c r="H286" s="80">
        <v>43536.0</v>
      </c>
      <c r="I286" s="79">
        <f t="shared" si="3"/>
        <v>6.208333333</v>
      </c>
      <c r="J286" s="89">
        <v>82.0</v>
      </c>
      <c r="K286" s="89">
        <v>26.0</v>
      </c>
      <c r="L286" s="82" t="s">
        <v>37</v>
      </c>
      <c r="M286" s="83"/>
      <c r="N286" s="84"/>
      <c r="O286" s="84"/>
      <c r="P286" s="118"/>
      <c r="Q286" s="84"/>
      <c r="R286" s="76" t="str">
        <f t="shared" si="4"/>
        <v>Active</v>
      </c>
      <c r="S286" s="90">
        <f>E286</f>
        <v>45804</v>
      </c>
      <c r="T286" s="79">
        <f t="shared" si="5"/>
        <v>0</v>
      </c>
      <c r="U286" s="90"/>
      <c r="V286" s="79"/>
    </row>
    <row r="287">
      <c r="A287" s="53" t="s">
        <v>399</v>
      </c>
      <c r="B287" s="54" t="s">
        <v>35</v>
      </c>
      <c r="C287" s="54" t="s">
        <v>36</v>
      </c>
      <c r="D287" s="59" t="str">
        <f t="shared" si="19"/>
        <v>Active</v>
      </c>
      <c r="E287" s="61">
        <v>45799.0</v>
      </c>
      <c r="F287" s="62"/>
      <c r="G287" s="65">
        <f t="shared" si="2"/>
        <v>16.46666667</v>
      </c>
      <c r="H287" s="67">
        <v>45405.0</v>
      </c>
      <c r="I287" s="65">
        <f t="shared" si="3"/>
        <v>1.080555556</v>
      </c>
      <c r="J287" s="92">
        <v>76.0</v>
      </c>
      <c r="K287" s="92">
        <v>8.0</v>
      </c>
      <c r="L287" s="69" t="s">
        <v>400</v>
      </c>
      <c r="M287" s="69" t="s">
        <v>38</v>
      </c>
      <c r="N287" s="71"/>
      <c r="O287" s="70"/>
      <c r="P287" s="115"/>
      <c r="Q287" s="70"/>
      <c r="R287" s="59" t="str">
        <f t="shared" si="4"/>
        <v>TBD</v>
      </c>
      <c r="S287" s="88"/>
      <c r="T287" s="65">
        <f t="shared" si="5"/>
        <v>16.46666667</v>
      </c>
      <c r="U287" s="88"/>
      <c r="V287" s="65"/>
    </row>
    <row r="288">
      <c r="A288" s="74" t="s">
        <v>401</v>
      </c>
      <c r="B288" s="75" t="s">
        <v>35</v>
      </c>
      <c r="C288" s="75" t="s">
        <v>36</v>
      </c>
      <c r="D288" s="76" t="str">
        <f t="shared" si="19"/>
        <v>Active</v>
      </c>
      <c r="E288" s="80">
        <v>45798.0</v>
      </c>
      <c r="F288" s="78"/>
      <c r="G288" s="79">
        <f t="shared" si="2"/>
        <v>16.5</v>
      </c>
      <c r="H288" s="113">
        <v>30317.0</v>
      </c>
      <c r="I288" s="79">
        <f t="shared" si="3"/>
        <v>42.38888889</v>
      </c>
      <c r="J288" s="81"/>
      <c r="K288" s="81"/>
      <c r="L288" s="82" t="s">
        <v>105</v>
      </c>
      <c r="M288" s="82"/>
      <c r="N288" s="84" t="s">
        <v>402</v>
      </c>
      <c r="O288" s="84"/>
      <c r="P288" s="118"/>
      <c r="Q288" s="84"/>
      <c r="R288" s="76" t="str">
        <f t="shared" si="4"/>
        <v>Active</v>
      </c>
      <c r="S288" s="90">
        <f t="shared" ref="S288:S347" si="34">E288</f>
        <v>45798</v>
      </c>
      <c r="T288" s="79">
        <f t="shared" si="5"/>
        <v>0</v>
      </c>
      <c r="U288" s="90"/>
      <c r="V288" s="79"/>
    </row>
    <row r="289">
      <c r="A289" s="53" t="s">
        <v>403</v>
      </c>
      <c r="B289" s="54" t="s">
        <v>35</v>
      </c>
      <c r="C289" s="54" t="s">
        <v>36</v>
      </c>
      <c r="D289" s="59" t="str">
        <f t="shared" si="19"/>
        <v>Active</v>
      </c>
      <c r="E289" s="67">
        <v>45798.0</v>
      </c>
      <c r="F289" s="62"/>
      <c r="G289" s="65">
        <f t="shared" si="2"/>
        <v>16.5</v>
      </c>
      <c r="H289" s="67">
        <v>32255.0</v>
      </c>
      <c r="I289" s="65">
        <f t="shared" si="3"/>
        <v>37.08055556</v>
      </c>
      <c r="J289" s="92">
        <v>78.0</v>
      </c>
      <c r="K289" s="68"/>
      <c r="L289" s="69" t="s">
        <v>37</v>
      </c>
      <c r="M289" s="91"/>
      <c r="N289" s="70" t="s">
        <v>182</v>
      </c>
      <c r="O289" s="70"/>
      <c r="P289" s="115"/>
      <c r="Q289" s="70"/>
      <c r="R289" s="59" t="str">
        <f t="shared" si="4"/>
        <v>Active</v>
      </c>
      <c r="S289" s="88">
        <f t="shared" si="34"/>
        <v>45798</v>
      </c>
      <c r="T289" s="65">
        <f t="shared" si="5"/>
        <v>0</v>
      </c>
      <c r="U289" s="88"/>
      <c r="V289" s="65"/>
    </row>
    <row r="290">
      <c r="A290" s="74" t="s">
        <v>404</v>
      </c>
      <c r="B290" s="75" t="s">
        <v>35</v>
      </c>
      <c r="C290" s="75" t="s">
        <v>36</v>
      </c>
      <c r="D290" s="76" t="str">
        <f t="shared" si="19"/>
        <v>Active</v>
      </c>
      <c r="E290" s="80">
        <v>45798.0</v>
      </c>
      <c r="F290" s="78"/>
      <c r="G290" s="79">
        <f t="shared" si="2"/>
        <v>16.5</v>
      </c>
      <c r="H290" s="80">
        <v>32255.0</v>
      </c>
      <c r="I290" s="79">
        <f t="shared" si="3"/>
        <v>37.08055556</v>
      </c>
      <c r="J290" s="89">
        <v>72.0</v>
      </c>
      <c r="K290" s="89">
        <v>7.0</v>
      </c>
      <c r="L290" s="82" t="s">
        <v>37</v>
      </c>
      <c r="M290" s="83"/>
      <c r="N290" s="84" t="s">
        <v>182</v>
      </c>
      <c r="O290" s="84"/>
      <c r="P290" s="118"/>
      <c r="Q290" s="84"/>
      <c r="R290" s="76" t="str">
        <f t="shared" si="4"/>
        <v>Active</v>
      </c>
      <c r="S290" s="90">
        <f t="shared" si="34"/>
        <v>45798</v>
      </c>
      <c r="T290" s="79">
        <f t="shared" si="5"/>
        <v>0</v>
      </c>
      <c r="U290" s="90"/>
      <c r="V290" s="79"/>
    </row>
    <row r="291">
      <c r="A291" s="53" t="s">
        <v>405</v>
      </c>
      <c r="B291" s="54" t="s">
        <v>35</v>
      </c>
      <c r="C291" s="54" t="s">
        <v>36</v>
      </c>
      <c r="D291" s="59" t="str">
        <f t="shared" si="19"/>
        <v>Active</v>
      </c>
      <c r="E291" s="67">
        <v>45798.0</v>
      </c>
      <c r="F291" s="62"/>
      <c r="G291" s="65">
        <f t="shared" si="2"/>
        <v>16.5</v>
      </c>
      <c r="H291" s="67">
        <v>30011.0</v>
      </c>
      <c r="I291" s="65">
        <f t="shared" si="3"/>
        <v>43.22222222</v>
      </c>
      <c r="J291" s="92">
        <v>62.0</v>
      </c>
      <c r="K291" s="68"/>
      <c r="L291" s="69" t="s">
        <v>55</v>
      </c>
      <c r="M291" s="91"/>
      <c r="N291" s="70" t="s">
        <v>182</v>
      </c>
      <c r="O291" s="70"/>
      <c r="P291" s="115"/>
      <c r="Q291" s="70"/>
      <c r="R291" s="59" t="str">
        <f t="shared" si="4"/>
        <v>Active</v>
      </c>
      <c r="S291" s="88">
        <f t="shared" si="34"/>
        <v>45798</v>
      </c>
      <c r="T291" s="65">
        <f t="shared" si="5"/>
        <v>0</v>
      </c>
      <c r="U291" s="88"/>
      <c r="V291" s="65"/>
    </row>
    <row r="292">
      <c r="A292" s="74" t="s">
        <v>406</v>
      </c>
      <c r="B292" s="75" t="s">
        <v>35</v>
      </c>
      <c r="C292" s="75" t="s">
        <v>36</v>
      </c>
      <c r="D292" s="76" t="str">
        <f t="shared" si="19"/>
        <v>Active</v>
      </c>
      <c r="E292" s="80">
        <v>45798.0</v>
      </c>
      <c r="F292" s="78"/>
      <c r="G292" s="79">
        <f t="shared" si="2"/>
        <v>16.5</v>
      </c>
      <c r="H292" s="80">
        <v>32214.0</v>
      </c>
      <c r="I292" s="79">
        <f t="shared" si="3"/>
        <v>37.19166667</v>
      </c>
      <c r="J292" s="89">
        <v>62.0</v>
      </c>
      <c r="K292" s="81"/>
      <c r="L292" s="82" t="s">
        <v>62</v>
      </c>
      <c r="M292" s="83"/>
      <c r="N292" s="84" t="s">
        <v>182</v>
      </c>
      <c r="O292" s="84"/>
      <c r="P292" s="118"/>
      <c r="Q292" s="84"/>
      <c r="R292" s="76" t="str">
        <f t="shared" si="4"/>
        <v>Active</v>
      </c>
      <c r="S292" s="90">
        <f t="shared" si="34"/>
        <v>45798</v>
      </c>
      <c r="T292" s="79">
        <f t="shared" si="5"/>
        <v>0</v>
      </c>
      <c r="U292" s="90"/>
      <c r="V292" s="79"/>
    </row>
    <row r="293">
      <c r="A293" s="53" t="s">
        <v>407</v>
      </c>
      <c r="B293" s="54" t="s">
        <v>35</v>
      </c>
      <c r="C293" s="54" t="s">
        <v>36</v>
      </c>
      <c r="D293" s="59" t="str">
        <f t="shared" si="19"/>
        <v>Active</v>
      </c>
      <c r="E293" s="67">
        <v>45798.0</v>
      </c>
      <c r="F293" s="62"/>
      <c r="G293" s="65">
        <f t="shared" si="2"/>
        <v>16.5</v>
      </c>
      <c r="H293" s="67">
        <v>30705.0</v>
      </c>
      <c r="I293" s="65">
        <f t="shared" si="3"/>
        <v>41.325</v>
      </c>
      <c r="J293" s="92">
        <v>76.0</v>
      </c>
      <c r="K293" s="68"/>
      <c r="L293" s="69" t="s">
        <v>37</v>
      </c>
      <c r="M293" s="91"/>
      <c r="N293" s="70" t="s">
        <v>182</v>
      </c>
      <c r="O293" s="70"/>
      <c r="P293" s="115"/>
      <c r="Q293" s="70"/>
      <c r="R293" s="59" t="str">
        <f t="shared" si="4"/>
        <v>Active</v>
      </c>
      <c r="S293" s="88">
        <f t="shared" si="34"/>
        <v>45798</v>
      </c>
      <c r="T293" s="65">
        <f t="shared" si="5"/>
        <v>0</v>
      </c>
      <c r="U293" s="88"/>
      <c r="V293" s="65"/>
    </row>
    <row r="294">
      <c r="A294" s="74" t="s">
        <v>408</v>
      </c>
      <c r="B294" s="75" t="s">
        <v>35</v>
      </c>
      <c r="C294" s="75" t="s">
        <v>36</v>
      </c>
      <c r="D294" s="76" t="str">
        <f t="shared" si="19"/>
        <v>Active</v>
      </c>
      <c r="E294" s="80">
        <v>45798.0</v>
      </c>
      <c r="F294" s="78"/>
      <c r="G294" s="79">
        <f t="shared" si="2"/>
        <v>16.5</v>
      </c>
      <c r="H294" s="80">
        <v>29768.0</v>
      </c>
      <c r="I294" s="79">
        <f t="shared" si="3"/>
        <v>43.88888889</v>
      </c>
      <c r="J294" s="89">
        <v>55.0</v>
      </c>
      <c r="K294" s="81"/>
      <c r="L294" s="82" t="s">
        <v>105</v>
      </c>
      <c r="M294" s="83"/>
      <c r="N294" s="84" t="s">
        <v>182</v>
      </c>
      <c r="O294" s="84"/>
      <c r="P294" s="118"/>
      <c r="Q294" s="84"/>
      <c r="R294" s="76" t="str">
        <f t="shared" si="4"/>
        <v>Active</v>
      </c>
      <c r="S294" s="90">
        <f t="shared" si="34"/>
        <v>45798</v>
      </c>
      <c r="T294" s="79">
        <f t="shared" si="5"/>
        <v>0</v>
      </c>
      <c r="U294" s="90"/>
      <c r="V294" s="79"/>
    </row>
    <row r="295">
      <c r="A295" s="53" t="s">
        <v>409</v>
      </c>
      <c r="B295" s="54" t="s">
        <v>35</v>
      </c>
      <c r="C295" s="54" t="s">
        <v>36</v>
      </c>
      <c r="D295" s="59" t="str">
        <f t="shared" si="19"/>
        <v>Active</v>
      </c>
      <c r="E295" s="67">
        <v>45798.0</v>
      </c>
      <c r="F295" s="62"/>
      <c r="G295" s="65">
        <f t="shared" si="2"/>
        <v>16.5</v>
      </c>
      <c r="H295" s="67">
        <v>29403.0</v>
      </c>
      <c r="I295" s="65">
        <f t="shared" si="3"/>
        <v>44.88888889</v>
      </c>
      <c r="J295" s="92">
        <v>70.0</v>
      </c>
      <c r="K295" s="68"/>
      <c r="L295" s="69" t="s">
        <v>62</v>
      </c>
      <c r="M295" s="91"/>
      <c r="N295" s="70" t="s">
        <v>182</v>
      </c>
      <c r="O295" s="70"/>
      <c r="P295" s="115"/>
      <c r="Q295" s="70"/>
      <c r="R295" s="59" t="str">
        <f t="shared" si="4"/>
        <v>Active</v>
      </c>
      <c r="S295" s="88">
        <f t="shared" si="34"/>
        <v>45798</v>
      </c>
      <c r="T295" s="65">
        <f t="shared" si="5"/>
        <v>0</v>
      </c>
      <c r="U295" s="88"/>
      <c r="V295" s="65"/>
    </row>
    <row r="296">
      <c r="A296" s="74" t="s">
        <v>410</v>
      </c>
      <c r="B296" s="75" t="s">
        <v>35</v>
      </c>
      <c r="C296" s="75" t="s">
        <v>36</v>
      </c>
      <c r="D296" s="76" t="str">
        <f t="shared" si="19"/>
        <v>Active</v>
      </c>
      <c r="E296" s="80">
        <v>45798.0</v>
      </c>
      <c r="F296" s="78"/>
      <c r="G296" s="79">
        <f t="shared" si="2"/>
        <v>16.5</v>
      </c>
      <c r="H296" s="80">
        <v>29556.0</v>
      </c>
      <c r="I296" s="79">
        <f t="shared" si="3"/>
        <v>44.47222222</v>
      </c>
      <c r="J296" s="89">
        <v>68.0</v>
      </c>
      <c r="K296" s="81"/>
      <c r="L296" s="82" t="s">
        <v>81</v>
      </c>
      <c r="M296" s="83"/>
      <c r="N296" s="84" t="s">
        <v>182</v>
      </c>
      <c r="O296" s="84"/>
      <c r="P296" s="118"/>
      <c r="Q296" s="84"/>
      <c r="R296" s="76" t="str">
        <f t="shared" si="4"/>
        <v>Active</v>
      </c>
      <c r="S296" s="90">
        <f t="shared" si="34"/>
        <v>45798</v>
      </c>
      <c r="T296" s="79">
        <f t="shared" si="5"/>
        <v>0</v>
      </c>
      <c r="U296" s="90"/>
      <c r="V296" s="79"/>
    </row>
    <row r="297">
      <c r="A297" s="53" t="s">
        <v>411</v>
      </c>
      <c r="B297" s="54" t="s">
        <v>35</v>
      </c>
      <c r="C297" s="54" t="s">
        <v>36</v>
      </c>
      <c r="D297" s="59" t="str">
        <f t="shared" si="19"/>
        <v>Active</v>
      </c>
      <c r="E297" s="67">
        <v>45798.0</v>
      </c>
      <c r="F297" s="62"/>
      <c r="G297" s="65">
        <f t="shared" si="2"/>
        <v>16.5</v>
      </c>
      <c r="H297" s="67">
        <v>34956.0</v>
      </c>
      <c r="I297" s="65">
        <f t="shared" si="3"/>
        <v>29.68611111</v>
      </c>
      <c r="J297" s="92">
        <v>82.0</v>
      </c>
      <c r="K297" s="92">
        <v>7.0</v>
      </c>
      <c r="L297" s="69" t="s">
        <v>81</v>
      </c>
      <c r="M297" s="91"/>
      <c r="N297" s="70" t="s">
        <v>412</v>
      </c>
      <c r="O297" s="70"/>
      <c r="P297" s="115"/>
      <c r="Q297" s="70"/>
      <c r="R297" s="59" t="str">
        <f t="shared" si="4"/>
        <v>Active</v>
      </c>
      <c r="S297" s="88">
        <f t="shared" si="34"/>
        <v>45798</v>
      </c>
      <c r="T297" s="65">
        <f t="shared" si="5"/>
        <v>0</v>
      </c>
      <c r="U297" s="88"/>
      <c r="V297" s="65"/>
    </row>
    <row r="298">
      <c r="A298" s="74" t="s">
        <v>413</v>
      </c>
      <c r="B298" s="75" t="s">
        <v>35</v>
      </c>
      <c r="C298" s="75" t="s">
        <v>36</v>
      </c>
      <c r="D298" s="76" t="str">
        <f t="shared" si="19"/>
        <v>Active</v>
      </c>
      <c r="E298" s="80">
        <v>45798.0</v>
      </c>
      <c r="F298" s="78"/>
      <c r="G298" s="79">
        <f t="shared" si="2"/>
        <v>16.5</v>
      </c>
      <c r="H298" s="80">
        <v>29403.0</v>
      </c>
      <c r="I298" s="79">
        <f t="shared" si="3"/>
        <v>44.88888889</v>
      </c>
      <c r="J298" s="89">
        <v>58.0</v>
      </c>
      <c r="K298" s="81"/>
      <c r="L298" s="82" t="s">
        <v>81</v>
      </c>
      <c r="M298" s="83"/>
      <c r="N298" s="84" t="s">
        <v>182</v>
      </c>
      <c r="O298" s="84"/>
      <c r="P298" s="118"/>
      <c r="Q298" s="84"/>
      <c r="R298" s="76" t="str">
        <f t="shared" si="4"/>
        <v>Active</v>
      </c>
      <c r="S298" s="90">
        <f t="shared" si="34"/>
        <v>45798</v>
      </c>
      <c r="T298" s="79">
        <f t="shared" si="5"/>
        <v>0</v>
      </c>
      <c r="U298" s="90"/>
      <c r="V298" s="79"/>
    </row>
    <row r="299">
      <c r="A299" s="53" t="s">
        <v>414</v>
      </c>
      <c r="B299" s="54" t="s">
        <v>35</v>
      </c>
      <c r="C299" s="54" t="s">
        <v>36</v>
      </c>
      <c r="D299" s="59" t="str">
        <f t="shared" si="19"/>
        <v>Active</v>
      </c>
      <c r="E299" s="67">
        <v>45798.0</v>
      </c>
      <c r="F299" s="62"/>
      <c r="G299" s="65">
        <f t="shared" si="2"/>
        <v>16.5</v>
      </c>
      <c r="H299" s="67">
        <v>30072.0</v>
      </c>
      <c r="I299" s="65">
        <f t="shared" si="3"/>
        <v>43.05555556</v>
      </c>
      <c r="J299" s="92">
        <v>76.0</v>
      </c>
      <c r="K299" s="68"/>
      <c r="L299" s="69" t="s">
        <v>37</v>
      </c>
      <c r="M299" s="91"/>
      <c r="N299" s="70" t="s">
        <v>182</v>
      </c>
      <c r="O299" s="70"/>
      <c r="P299" s="115"/>
      <c r="Q299" s="70"/>
      <c r="R299" s="59" t="str">
        <f t="shared" si="4"/>
        <v>Active</v>
      </c>
      <c r="S299" s="88">
        <f t="shared" si="34"/>
        <v>45798</v>
      </c>
      <c r="T299" s="65">
        <f t="shared" si="5"/>
        <v>0</v>
      </c>
      <c r="U299" s="88"/>
      <c r="V299" s="65"/>
    </row>
    <row r="300">
      <c r="A300" s="74" t="s">
        <v>415</v>
      </c>
      <c r="B300" s="75" t="s">
        <v>35</v>
      </c>
      <c r="C300" s="75" t="s">
        <v>36</v>
      </c>
      <c r="D300" s="76" t="str">
        <f t="shared" si="19"/>
        <v>Active</v>
      </c>
      <c r="E300" s="80">
        <v>45798.0</v>
      </c>
      <c r="F300" s="78"/>
      <c r="G300" s="79">
        <f t="shared" si="2"/>
        <v>16.5</v>
      </c>
      <c r="H300" s="80">
        <v>30393.0</v>
      </c>
      <c r="I300" s="79">
        <f t="shared" si="3"/>
        <v>42.175</v>
      </c>
      <c r="J300" s="89">
        <v>56.0</v>
      </c>
      <c r="K300" s="81"/>
      <c r="L300" s="82" t="s">
        <v>37</v>
      </c>
      <c r="M300" s="83"/>
      <c r="N300" s="84" t="s">
        <v>182</v>
      </c>
      <c r="O300" s="84"/>
      <c r="P300" s="118"/>
      <c r="Q300" s="84"/>
      <c r="R300" s="76" t="str">
        <f t="shared" si="4"/>
        <v>Active</v>
      </c>
      <c r="S300" s="90">
        <f t="shared" si="34"/>
        <v>45798</v>
      </c>
      <c r="T300" s="79">
        <f t="shared" si="5"/>
        <v>0</v>
      </c>
      <c r="U300" s="90"/>
      <c r="V300" s="79"/>
    </row>
    <row r="301">
      <c r="A301" s="53" t="s">
        <v>416</v>
      </c>
      <c r="B301" s="54" t="s">
        <v>35</v>
      </c>
      <c r="C301" s="54" t="s">
        <v>36</v>
      </c>
      <c r="D301" s="59" t="str">
        <f t="shared" si="19"/>
        <v>Active</v>
      </c>
      <c r="E301" s="67">
        <v>45798.0</v>
      </c>
      <c r="F301" s="62"/>
      <c r="G301" s="65">
        <f t="shared" si="2"/>
        <v>16.5</v>
      </c>
      <c r="H301" s="67">
        <v>33616.0</v>
      </c>
      <c r="I301" s="65">
        <f t="shared" si="3"/>
        <v>33.35555556</v>
      </c>
      <c r="J301" s="92">
        <v>91.0</v>
      </c>
      <c r="K301" s="92">
        <v>6.0</v>
      </c>
      <c r="L301" s="69" t="s">
        <v>417</v>
      </c>
      <c r="M301" s="91"/>
      <c r="N301" s="70" t="s">
        <v>412</v>
      </c>
      <c r="O301" s="70"/>
      <c r="P301" s="115"/>
      <c r="Q301" s="70"/>
      <c r="R301" s="59" t="str">
        <f t="shared" si="4"/>
        <v>Active</v>
      </c>
      <c r="S301" s="88">
        <f t="shared" si="34"/>
        <v>45798</v>
      </c>
      <c r="T301" s="65">
        <f t="shared" si="5"/>
        <v>0</v>
      </c>
      <c r="U301" s="88"/>
      <c r="V301" s="65"/>
    </row>
    <row r="302">
      <c r="A302" s="74" t="s">
        <v>418</v>
      </c>
      <c r="B302" s="75" t="s">
        <v>35</v>
      </c>
      <c r="C302" s="75" t="s">
        <v>36</v>
      </c>
      <c r="D302" s="76" t="str">
        <f t="shared" si="19"/>
        <v>Active</v>
      </c>
      <c r="E302" s="80">
        <v>45798.0</v>
      </c>
      <c r="F302" s="78"/>
      <c r="G302" s="79">
        <f t="shared" si="2"/>
        <v>16.5</v>
      </c>
      <c r="H302" s="80">
        <v>30164.0</v>
      </c>
      <c r="I302" s="79">
        <f t="shared" si="3"/>
        <v>42.80555556</v>
      </c>
      <c r="J302" s="89">
        <v>71.0</v>
      </c>
      <c r="K302" s="81"/>
      <c r="L302" s="82" t="s">
        <v>417</v>
      </c>
      <c r="M302" s="83"/>
      <c r="N302" s="84" t="s">
        <v>182</v>
      </c>
      <c r="O302" s="84"/>
      <c r="P302" s="118"/>
      <c r="Q302" s="84"/>
      <c r="R302" s="76" t="str">
        <f t="shared" si="4"/>
        <v>Active</v>
      </c>
      <c r="S302" s="90">
        <f t="shared" si="34"/>
        <v>45798</v>
      </c>
      <c r="T302" s="79">
        <f t="shared" si="5"/>
        <v>0</v>
      </c>
      <c r="U302" s="90"/>
      <c r="V302" s="79"/>
    </row>
    <row r="303">
      <c r="A303" s="53" t="s">
        <v>419</v>
      </c>
      <c r="B303" s="54" t="s">
        <v>35</v>
      </c>
      <c r="C303" s="54" t="s">
        <v>36</v>
      </c>
      <c r="D303" s="59" t="str">
        <f t="shared" si="19"/>
        <v>Active</v>
      </c>
      <c r="E303" s="67">
        <v>45798.0</v>
      </c>
      <c r="F303" s="62"/>
      <c r="G303" s="65">
        <f t="shared" si="2"/>
        <v>16.5</v>
      </c>
      <c r="H303" s="67">
        <v>30452.0</v>
      </c>
      <c r="I303" s="65">
        <f t="shared" si="3"/>
        <v>42.01388889</v>
      </c>
      <c r="J303" s="92">
        <v>65.0</v>
      </c>
      <c r="K303" s="92">
        <v>2.0</v>
      </c>
      <c r="L303" s="69" t="s">
        <v>37</v>
      </c>
      <c r="M303" s="91"/>
      <c r="N303" s="70" t="s">
        <v>182</v>
      </c>
      <c r="O303" s="70"/>
      <c r="P303" s="115"/>
      <c r="Q303" s="70"/>
      <c r="R303" s="59" t="str">
        <f t="shared" si="4"/>
        <v>Active</v>
      </c>
      <c r="S303" s="88">
        <f t="shared" si="34"/>
        <v>45798</v>
      </c>
      <c r="T303" s="65">
        <f t="shared" si="5"/>
        <v>0</v>
      </c>
      <c r="U303" s="88"/>
      <c r="V303" s="65"/>
    </row>
    <row r="304">
      <c r="A304" s="74" t="s">
        <v>420</v>
      </c>
      <c r="B304" s="75" t="s">
        <v>35</v>
      </c>
      <c r="C304" s="75" t="s">
        <v>36</v>
      </c>
      <c r="D304" s="76" t="str">
        <f t="shared" si="19"/>
        <v>Active</v>
      </c>
      <c r="E304" s="80">
        <v>45798.0</v>
      </c>
      <c r="F304" s="78"/>
      <c r="G304" s="79">
        <f t="shared" si="2"/>
        <v>16.5</v>
      </c>
      <c r="H304" s="80">
        <v>30393.0</v>
      </c>
      <c r="I304" s="79">
        <f t="shared" si="3"/>
        <v>42.175</v>
      </c>
      <c r="J304" s="89">
        <v>65.0</v>
      </c>
      <c r="K304" s="81"/>
      <c r="L304" s="82" t="s">
        <v>62</v>
      </c>
      <c r="M304" s="83"/>
      <c r="N304" s="84" t="s">
        <v>182</v>
      </c>
      <c r="O304" s="84"/>
      <c r="P304" s="118"/>
      <c r="Q304" s="84"/>
      <c r="R304" s="76" t="str">
        <f t="shared" si="4"/>
        <v>Active</v>
      </c>
      <c r="S304" s="90">
        <f t="shared" si="34"/>
        <v>45798</v>
      </c>
      <c r="T304" s="79">
        <f t="shared" si="5"/>
        <v>0</v>
      </c>
      <c r="U304" s="90"/>
      <c r="V304" s="79"/>
    </row>
    <row r="305">
      <c r="A305" s="53" t="s">
        <v>421</v>
      </c>
      <c r="B305" s="54" t="s">
        <v>35</v>
      </c>
      <c r="C305" s="54" t="s">
        <v>36</v>
      </c>
      <c r="D305" s="59" t="str">
        <f t="shared" si="19"/>
        <v>Active</v>
      </c>
      <c r="E305" s="67">
        <v>45798.0</v>
      </c>
      <c r="F305" s="62"/>
      <c r="G305" s="65">
        <f t="shared" si="2"/>
        <v>16.5</v>
      </c>
      <c r="H305" s="67">
        <v>32255.0</v>
      </c>
      <c r="I305" s="65">
        <f t="shared" si="3"/>
        <v>37.08055556</v>
      </c>
      <c r="J305" s="92">
        <v>77.0</v>
      </c>
      <c r="K305" s="68"/>
      <c r="L305" s="69" t="s">
        <v>37</v>
      </c>
      <c r="M305" s="91"/>
      <c r="N305" s="70" t="s">
        <v>182</v>
      </c>
      <c r="O305" s="70"/>
      <c r="P305" s="115"/>
      <c r="Q305" s="70"/>
      <c r="R305" s="59" t="str">
        <f t="shared" si="4"/>
        <v>Active</v>
      </c>
      <c r="S305" s="88">
        <f t="shared" si="34"/>
        <v>45798</v>
      </c>
      <c r="T305" s="65">
        <f t="shared" si="5"/>
        <v>0</v>
      </c>
      <c r="U305" s="88"/>
      <c r="V305" s="65"/>
    </row>
    <row r="306">
      <c r="A306" s="74" t="s">
        <v>422</v>
      </c>
      <c r="B306" s="75" t="s">
        <v>35</v>
      </c>
      <c r="C306" s="75" t="s">
        <v>36</v>
      </c>
      <c r="D306" s="76" t="str">
        <f t="shared" si="19"/>
        <v>Active</v>
      </c>
      <c r="E306" s="80">
        <v>45798.0</v>
      </c>
      <c r="F306" s="78"/>
      <c r="G306" s="79">
        <f t="shared" si="2"/>
        <v>16.5</v>
      </c>
      <c r="H306" s="80">
        <v>30677.0</v>
      </c>
      <c r="I306" s="79">
        <f t="shared" si="3"/>
        <v>41.4</v>
      </c>
      <c r="J306" s="89">
        <v>65.0</v>
      </c>
      <c r="K306" s="81"/>
      <c r="L306" s="82" t="s">
        <v>105</v>
      </c>
      <c r="M306" s="83"/>
      <c r="N306" s="84" t="s">
        <v>182</v>
      </c>
      <c r="O306" s="84"/>
      <c r="P306" s="118"/>
      <c r="Q306" s="84"/>
      <c r="R306" s="76" t="str">
        <f t="shared" si="4"/>
        <v>Active</v>
      </c>
      <c r="S306" s="90">
        <f t="shared" si="34"/>
        <v>45798</v>
      </c>
      <c r="T306" s="79">
        <f t="shared" si="5"/>
        <v>0</v>
      </c>
      <c r="U306" s="90"/>
      <c r="V306" s="79"/>
    </row>
    <row r="307">
      <c r="A307" s="53" t="s">
        <v>423</v>
      </c>
      <c r="B307" s="54" t="s">
        <v>35</v>
      </c>
      <c r="C307" s="54" t="s">
        <v>36</v>
      </c>
      <c r="D307" s="59" t="str">
        <f t="shared" si="19"/>
        <v>Active</v>
      </c>
      <c r="E307" s="67">
        <v>45798.0</v>
      </c>
      <c r="F307" s="62"/>
      <c r="G307" s="65">
        <f t="shared" si="2"/>
        <v>16.5</v>
      </c>
      <c r="H307" s="67">
        <v>29403.0</v>
      </c>
      <c r="I307" s="65">
        <f t="shared" si="3"/>
        <v>44.88888889</v>
      </c>
      <c r="J307" s="92">
        <v>45.0</v>
      </c>
      <c r="K307" s="68"/>
      <c r="L307" s="69" t="s">
        <v>55</v>
      </c>
      <c r="M307" s="91"/>
      <c r="N307" s="70" t="s">
        <v>182</v>
      </c>
      <c r="O307" s="70"/>
      <c r="P307" s="115"/>
      <c r="Q307" s="70"/>
      <c r="R307" s="59" t="str">
        <f t="shared" si="4"/>
        <v>Active</v>
      </c>
      <c r="S307" s="88">
        <f t="shared" si="34"/>
        <v>45798</v>
      </c>
      <c r="T307" s="65">
        <f t="shared" si="5"/>
        <v>0</v>
      </c>
      <c r="U307" s="88"/>
      <c r="V307" s="65"/>
    </row>
    <row r="308">
      <c r="A308" s="74" t="s">
        <v>424</v>
      </c>
      <c r="B308" s="75" t="s">
        <v>35</v>
      </c>
      <c r="C308" s="75" t="s">
        <v>36</v>
      </c>
      <c r="D308" s="76" t="str">
        <f t="shared" si="19"/>
        <v>Active</v>
      </c>
      <c r="E308" s="80">
        <v>45798.0</v>
      </c>
      <c r="F308" s="78"/>
      <c r="G308" s="79">
        <f t="shared" si="2"/>
        <v>16.5</v>
      </c>
      <c r="H308" s="80">
        <v>30348.0</v>
      </c>
      <c r="I308" s="79">
        <f t="shared" si="3"/>
        <v>42.30555556</v>
      </c>
      <c r="J308" s="89">
        <v>76.0</v>
      </c>
      <c r="K308" s="89">
        <v>1.0</v>
      </c>
      <c r="L308" s="82" t="s">
        <v>55</v>
      </c>
      <c r="M308" s="83"/>
      <c r="N308" s="84" t="s">
        <v>182</v>
      </c>
      <c r="O308" s="84"/>
      <c r="P308" s="118"/>
      <c r="Q308" s="84"/>
      <c r="R308" s="76" t="str">
        <f t="shared" si="4"/>
        <v>Active</v>
      </c>
      <c r="S308" s="90">
        <f t="shared" si="34"/>
        <v>45798</v>
      </c>
      <c r="T308" s="79">
        <f t="shared" si="5"/>
        <v>0</v>
      </c>
      <c r="U308" s="90"/>
      <c r="V308" s="79"/>
    </row>
    <row r="309">
      <c r="A309" s="53" t="s">
        <v>425</v>
      </c>
      <c r="B309" s="54" t="s">
        <v>35</v>
      </c>
      <c r="C309" s="54" t="s">
        <v>36</v>
      </c>
      <c r="D309" s="59" t="str">
        <f t="shared" si="19"/>
        <v>Active</v>
      </c>
      <c r="E309" s="67">
        <v>45798.0</v>
      </c>
      <c r="F309" s="62"/>
      <c r="G309" s="65">
        <f t="shared" si="2"/>
        <v>16.5</v>
      </c>
      <c r="H309" s="67">
        <v>30529.0</v>
      </c>
      <c r="I309" s="65">
        <f t="shared" si="3"/>
        <v>41.80555556</v>
      </c>
      <c r="J309" s="92">
        <v>74.0</v>
      </c>
      <c r="K309" s="68"/>
      <c r="L309" s="69" t="s">
        <v>417</v>
      </c>
      <c r="M309" s="91"/>
      <c r="N309" s="70" t="s">
        <v>182</v>
      </c>
      <c r="O309" s="70"/>
      <c r="P309" s="115"/>
      <c r="Q309" s="70"/>
      <c r="R309" s="59" t="str">
        <f t="shared" si="4"/>
        <v>Active</v>
      </c>
      <c r="S309" s="88">
        <f t="shared" si="34"/>
        <v>45798</v>
      </c>
      <c r="T309" s="65">
        <f t="shared" si="5"/>
        <v>0</v>
      </c>
      <c r="U309" s="88"/>
      <c r="V309" s="65"/>
    </row>
    <row r="310">
      <c r="A310" s="74" t="s">
        <v>426</v>
      </c>
      <c r="B310" s="75" t="s">
        <v>35</v>
      </c>
      <c r="C310" s="75" t="s">
        <v>36</v>
      </c>
      <c r="D310" s="76" t="str">
        <f t="shared" si="19"/>
        <v>Active</v>
      </c>
      <c r="E310" s="80">
        <v>45798.0</v>
      </c>
      <c r="F310" s="78"/>
      <c r="G310" s="79">
        <f t="shared" si="2"/>
        <v>16.5</v>
      </c>
      <c r="H310" s="80">
        <v>30195.0</v>
      </c>
      <c r="I310" s="79">
        <f t="shared" si="3"/>
        <v>42.72222222</v>
      </c>
      <c r="J310" s="89">
        <v>63.0</v>
      </c>
      <c r="K310" s="81"/>
      <c r="L310" s="82" t="s">
        <v>417</v>
      </c>
      <c r="M310" s="83"/>
      <c r="N310" s="84" t="s">
        <v>182</v>
      </c>
      <c r="O310" s="84"/>
      <c r="P310" s="118"/>
      <c r="Q310" s="84"/>
      <c r="R310" s="76" t="str">
        <f t="shared" si="4"/>
        <v>Active</v>
      </c>
      <c r="S310" s="90">
        <f t="shared" si="34"/>
        <v>45798</v>
      </c>
      <c r="T310" s="79">
        <f t="shared" si="5"/>
        <v>0</v>
      </c>
      <c r="U310" s="90"/>
      <c r="V310" s="79"/>
    </row>
    <row r="311">
      <c r="A311" s="53" t="s">
        <v>427</v>
      </c>
      <c r="B311" s="54" t="s">
        <v>35</v>
      </c>
      <c r="C311" s="54" t="s">
        <v>36</v>
      </c>
      <c r="D311" s="59" t="str">
        <f t="shared" si="19"/>
        <v>Active</v>
      </c>
      <c r="E311" s="67">
        <v>45798.0</v>
      </c>
      <c r="F311" s="62"/>
      <c r="G311" s="65">
        <f t="shared" si="2"/>
        <v>16.5</v>
      </c>
      <c r="H311" s="67">
        <v>29403.0</v>
      </c>
      <c r="I311" s="65">
        <f t="shared" si="3"/>
        <v>44.88888889</v>
      </c>
      <c r="J311" s="92">
        <v>65.0</v>
      </c>
      <c r="K311" s="68"/>
      <c r="L311" s="69" t="s">
        <v>62</v>
      </c>
      <c r="M311" s="91"/>
      <c r="N311" s="70" t="s">
        <v>182</v>
      </c>
      <c r="O311" s="70"/>
      <c r="P311" s="115"/>
      <c r="Q311" s="70"/>
      <c r="R311" s="59" t="str">
        <f t="shared" si="4"/>
        <v>Active</v>
      </c>
      <c r="S311" s="88">
        <f t="shared" si="34"/>
        <v>45798</v>
      </c>
      <c r="T311" s="65">
        <f t="shared" si="5"/>
        <v>0</v>
      </c>
      <c r="U311" s="88"/>
      <c r="V311" s="65"/>
    </row>
    <row r="312">
      <c r="A312" s="74" t="s">
        <v>428</v>
      </c>
      <c r="B312" s="75" t="s">
        <v>35</v>
      </c>
      <c r="C312" s="75" t="s">
        <v>36</v>
      </c>
      <c r="D312" s="76" t="str">
        <f t="shared" si="19"/>
        <v>Active</v>
      </c>
      <c r="E312" s="80">
        <v>45798.0</v>
      </c>
      <c r="F312" s="78"/>
      <c r="G312" s="79">
        <f t="shared" si="2"/>
        <v>16.5</v>
      </c>
      <c r="H312" s="80">
        <v>34121.0</v>
      </c>
      <c r="I312" s="79">
        <f t="shared" si="3"/>
        <v>31.97222222</v>
      </c>
      <c r="J312" s="89">
        <v>90.0</v>
      </c>
      <c r="K312" s="89">
        <v>17.0</v>
      </c>
      <c r="L312" s="82" t="s">
        <v>135</v>
      </c>
      <c r="M312" s="83"/>
      <c r="N312" s="84" t="s">
        <v>412</v>
      </c>
      <c r="O312" s="84"/>
      <c r="P312" s="118"/>
      <c r="Q312" s="84"/>
      <c r="R312" s="76" t="str">
        <f t="shared" si="4"/>
        <v>Active</v>
      </c>
      <c r="S312" s="90">
        <f t="shared" si="34"/>
        <v>45798</v>
      </c>
      <c r="T312" s="79">
        <f t="shared" si="5"/>
        <v>0</v>
      </c>
      <c r="U312" s="90"/>
      <c r="V312" s="79"/>
    </row>
    <row r="313">
      <c r="A313" s="53" t="s">
        <v>429</v>
      </c>
      <c r="B313" s="54" t="s">
        <v>35</v>
      </c>
      <c r="C313" s="54" t="s">
        <v>36</v>
      </c>
      <c r="D313" s="59" t="str">
        <f t="shared" si="19"/>
        <v>Active</v>
      </c>
      <c r="E313" s="67">
        <v>45798.0</v>
      </c>
      <c r="F313" s="62"/>
      <c r="G313" s="65">
        <f t="shared" si="2"/>
        <v>16.5</v>
      </c>
      <c r="H313" s="67">
        <v>29768.0</v>
      </c>
      <c r="I313" s="65">
        <f t="shared" si="3"/>
        <v>43.88888889</v>
      </c>
      <c r="J313" s="92">
        <v>67.0</v>
      </c>
      <c r="K313" s="68"/>
      <c r="L313" s="69" t="s">
        <v>55</v>
      </c>
      <c r="M313" s="91"/>
      <c r="N313" s="70" t="s">
        <v>182</v>
      </c>
      <c r="O313" s="70"/>
      <c r="P313" s="115"/>
      <c r="Q313" s="70"/>
      <c r="R313" s="59" t="str">
        <f t="shared" si="4"/>
        <v>Active</v>
      </c>
      <c r="S313" s="88">
        <f t="shared" si="34"/>
        <v>45798</v>
      </c>
      <c r="T313" s="65">
        <f t="shared" si="5"/>
        <v>0</v>
      </c>
      <c r="U313" s="88"/>
      <c r="V313" s="65"/>
    </row>
    <row r="314">
      <c r="A314" s="74" t="s">
        <v>430</v>
      </c>
      <c r="B314" s="75" t="s">
        <v>35</v>
      </c>
      <c r="C314" s="75" t="s">
        <v>36</v>
      </c>
      <c r="D314" s="76" t="str">
        <f t="shared" si="19"/>
        <v>Active</v>
      </c>
      <c r="E314" s="80">
        <v>45798.0</v>
      </c>
      <c r="F314" s="78"/>
      <c r="G314" s="79">
        <f t="shared" si="2"/>
        <v>16.5</v>
      </c>
      <c r="H314" s="80">
        <v>30542.0</v>
      </c>
      <c r="I314" s="79">
        <f t="shared" si="3"/>
        <v>41.76944444</v>
      </c>
      <c r="J314" s="89">
        <v>72.0</v>
      </c>
      <c r="K314" s="81"/>
      <c r="L314" s="82" t="s">
        <v>417</v>
      </c>
      <c r="M314" s="83"/>
      <c r="N314" s="84" t="s">
        <v>182</v>
      </c>
      <c r="O314" s="84"/>
      <c r="P314" s="118"/>
      <c r="Q314" s="84"/>
      <c r="R314" s="76" t="str">
        <f t="shared" si="4"/>
        <v>Active</v>
      </c>
      <c r="S314" s="90">
        <f t="shared" si="34"/>
        <v>45798</v>
      </c>
      <c r="T314" s="79">
        <f t="shared" si="5"/>
        <v>0</v>
      </c>
      <c r="U314" s="90"/>
      <c r="V314" s="79"/>
    </row>
    <row r="315">
      <c r="A315" s="53" t="s">
        <v>431</v>
      </c>
      <c r="B315" s="54" t="s">
        <v>35</v>
      </c>
      <c r="C315" s="54" t="s">
        <v>36</v>
      </c>
      <c r="D315" s="59" t="str">
        <f t="shared" si="19"/>
        <v>Active</v>
      </c>
      <c r="E315" s="67">
        <v>45798.0</v>
      </c>
      <c r="F315" s="62"/>
      <c r="G315" s="65">
        <f t="shared" si="2"/>
        <v>16.5</v>
      </c>
      <c r="H315" s="67">
        <v>30011.0</v>
      </c>
      <c r="I315" s="65">
        <f t="shared" si="3"/>
        <v>43.22222222</v>
      </c>
      <c r="J315" s="92">
        <v>65.0</v>
      </c>
      <c r="K315" s="68"/>
      <c r="L315" s="69" t="s">
        <v>55</v>
      </c>
      <c r="M315" s="91"/>
      <c r="N315" s="70" t="s">
        <v>182</v>
      </c>
      <c r="O315" s="70"/>
      <c r="P315" s="115"/>
      <c r="Q315" s="70"/>
      <c r="R315" s="59" t="str">
        <f t="shared" si="4"/>
        <v>Active</v>
      </c>
      <c r="S315" s="88">
        <f t="shared" si="34"/>
        <v>45798</v>
      </c>
      <c r="T315" s="65">
        <f t="shared" si="5"/>
        <v>0</v>
      </c>
      <c r="U315" s="88"/>
      <c r="V315" s="65"/>
    </row>
    <row r="316">
      <c r="A316" s="74" t="s">
        <v>432</v>
      </c>
      <c r="B316" s="75" t="s">
        <v>35</v>
      </c>
      <c r="C316" s="75" t="s">
        <v>36</v>
      </c>
      <c r="D316" s="76" t="str">
        <f t="shared" si="19"/>
        <v>Active</v>
      </c>
      <c r="E316" s="80">
        <v>45798.0</v>
      </c>
      <c r="F316" s="78"/>
      <c r="G316" s="79">
        <f t="shared" si="2"/>
        <v>16.5</v>
      </c>
      <c r="H316" s="80">
        <v>30764.0</v>
      </c>
      <c r="I316" s="79">
        <f t="shared" si="3"/>
        <v>41.16111111</v>
      </c>
      <c r="J316" s="89">
        <v>83.0</v>
      </c>
      <c r="K316" s="81"/>
      <c r="L316" s="82" t="s">
        <v>417</v>
      </c>
      <c r="M316" s="83"/>
      <c r="N316" s="84" t="s">
        <v>182</v>
      </c>
      <c r="O316" s="84"/>
      <c r="P316" s="118"/>
      <c r="Q316" s="84"/>
      <c r="R316" s="76" t="str">
        <f t="shared" si="4"/>
        <v>Active</v>
      </c>
      <c r="S316" s="90">
        <f t="shared" si="34"/>
        <v>45798</v>
      </c>
      <c r="T316" s="79">
        <f t="shared" si="5"/>
        <v>0</v>
      </c>
      <c r="U316" s="90"/>
      <c r="V316" s="79"/>
    </row>
    <row r="317">
      <c r="A317" s="53" t="s">
        <v>433</v>
      </c>
      <c r="B317" s="54" t="s">
        <v>35</v>
      </c>
      <c r="C317" s="54" t="s">
        <v>36</v>
      </c>
      <c r="D317" s="59" t="str">
        <f t="shared" si="19"/>
        <v>Active</v>
      </c>
      <c r="E317" s="67">
        <v>45798.0</v>
      </c>
      <c r="F317" s="62"/>
      <c r="G317" s="65">
        <f t="shared" si="2"/>
        <v>16.5</v>
      </c>
      <c r="H317" s="67">
        <v>29768.0</v>
      </c>
      <c r="I317" s="65">
        <f t="shared" si="3"/>
        <v>43.88888889</v>
      </c>
      <c r="J317" s="92">
        <v>80.0</v>
      </c>
      <c r="K317" s="68"/>
      <c r="L317" s="69" t="s">
        <v>417</v>
      </c>
      <c r="M317" s="91"/>
      <c r="N317" s="70" t="s">
        <v>182</v>
      </c>
      <c r="O317" s="70"/>
      <c r="P317" s="115"/>
      <c r="Q317" s="70"/>
      <c r="R317" s="59" t="str">
        <f t="shared" si="4"/>
        <v>Active</v>
      </c>
      <c r="S317" s="88">
        <f t="shared" si="34"/>
        <v>45798</v>
      </c>
      <c r="T317" s="65">
        <f t="shared" si="5"/>
        <v>0</v>
      </c>
      <c r="U317" s="88"/>
      <c r="V317" s="65"/>
    </row>
    <row r="318">
      <c r="A318" s="74" t="s">
        <v>434</v>
      </c>
      <c r="B318" s="75" t="s">
        <v>35</v>
      </c>
      <c r="C318" s="75" t="s">
        <v>36</v>
      </c>
      <c r="D318" s="76" t="str">
        <f t="shared" si="19"/>
        <v>Active</v>
      </c>
      <c r="E318" s="80">
        <v>45798.0</v>
      </c>
      <c r="F318" s="78"/>
      <c r="G318" s="79">
        <f t="shared" si="2"/>
        <v>16.5</v>
      </c>
      <c r="H318" s="80">
        <v>29646.0</v>
      </c>
      <c r="I318" s="79">
        <f t="shared" si="3"/>
        <v>44.22222222</v>
      </c>
      <c r="J318" s="89">
        <v>55.0</v>
      </c>
      <c r="K318" s="81"/>
      <c r="L318" s="82" t="s">
        <v>37</v>
      </c>
      <c r="M318" s="83"/>
      <c r="N318" s="84" t="s">
        <v>182</v>
      </c>
      <c r="O318" s="84"/>
      <c r="P318" s="118"/>
      <c r="Q318" s="84"/>
      <c r="R318" s="76" t="str">
        <f t="shared" si="4"/>
        <v>Active</v>
      </c>
      <c r="S318" s="90">
        <f t="shared" si="34"/>
        <v>45798</v>
      </c>
      <c r="T318" s="79">
        <f t="shared" si="5"/>
        <v>0</v>
      </c>
      <c r="U318" s="90"/>
      <c r="V318" s="79"/>
    </row>
    <row r="319">
      <c r="A319" s="53" t="s">
        <v>435</v>
      </c>
      <c r="B319" s="54" t="s">
        <v>35</v>
      </c>
      <c r="C319" s="54" t="s">
        <v>36</v>
      </c>
      <c r="D319" s="59" t="str">
        <f t="shared" si="19"/>
        <v>Active</v>
      </c>
      <c r="E319" s="67">
        <v>45798.0</v>
      </c>
      <c r="F319" s="62"/>
      <c r="G319" s="65">
        <f t="shared" si="2"/>
        <v>16.5</v>
      </c>
      <c r="H319" s="67">
        <v>32843.0</v>
      </c>
      <c r="I319" s="65">
        <f t="shared" si="3"/>
        <v>35.47222222</v>
      </c>
      <c r="J319" s="92">
        <v>73.0</v>
      </c>
      <c r="K319" s="92">
        <v>12.0</v>
      </c>
      <c r="L319" s="69" t="s">
        <v>37</v>
      </c>
      <c r="M319" s="91"/>
      <c r="N319" s="70" t="s">
        <v>436</v>
      </c>
      <c r="O319" s="70"/>
      <c r="P319" s="115"/>
      <c r="Q319" s="70"/>
      <c r="R319" s="59" t="str">
        <f t="shared" si="4"/>
        <v>Active</v>
      </c>
      <c r="S319" s="88">
        <f t="shared" si="34"/>
        <v>45798</v>
      </c>
      <c r="T319" s="65">
        <f t="shared" si="5"/>
        <v>0</v>
      </c>
      <c r="U319" s="88"/>
      <c r="V319" s="65"/>
    </row>
    <row r="320">
      <c r="A320" s="74" t="s">
        <v>437</v>
      </c>
      <c r="B320" s="75" t="s">
        <v>35</v>
      </c>
      <c r="C320" s="75" t="s">
        <v>36</v>
      </c>
      <c r="D320" s="76" t="str">
        <f t="shared" si="19"/>
        <v>Active</v>
      </c>
      <c r="E320" s="80">
        <v>45798.0</v>
      </c>
      <c r="F320" s="78"/>
      <c r="G320" s="79">
        <f t="shared" si="2"/>
        <v>16.5</v>
      </c>
      <c r="H320" s="80">
        <v>34904.0</v>
      </c>
      <c r="I320" s="79">
        <f t="shared" si="3"/>
        <v>29.825</v>
      </c>
      <c r="J320" s="89">
        <v>87.0</v>
      </c>
      <c r="K320" s="89">
        <v>20.0</v>
      </c>
      <c r="L320" s="82" t="s">
        <v>37</v>
      </c>
      <c r="M320" s="83"/>
      <c r="N320" s="84" t="s">
        <v>438</v>
      </c>
      <c r="O320" s="84"/>
      <c r="P320" s="118"/>
      <c r="Q320" s="84"/>
      <c r="R320" s="76" t="str">
        <f t="shared" si="4"/>
        <v>Active</v>
      </c>
      <c r="S320" s="90">
        <f t="shared" si="34"/>
        <v>45798</v>
      </c>
      <c r="T320" s="79">
        <f t="shared" si="5"/>
        <v>0</v>
      </c>
      <c r="U320" s="90"/>
      <c r="V320" s="79"/>
    </row>
    <row r="321">
      <c r="A321" s="53" t="s">
        <v>439</v>
      </c>
      <c r="B321" s="54" t="s">
        <v>35</v>
      </c>
      <c r="C321" s="54" t="s">
        <v>36</v>
      </c>
      <c r="D321" s="59" t="str">
        <f t="shared" si="19"/>
        <v>Active</v>
      </c>
      <c r="E321" s="67">
        <v>45798.0</v>
      </c>
      <c r="F321" s="62"/>
      <c r="G321" s="65">
        <f t="shared" si="2"/>
        <v>16.5</v>
      </c>
      <c r="H321" s="67">
        <v>30050.0</v>
      </c>
      <c r="I321" s="65">
        <f t="shared" si="3"/>
        <v>43.11666667</v>
      </c>
      <c r="J321" s="92">
        <v>73.0</v>
      </c>
      <c r="K321" s="68"/>
      <c r="L321" s="69" t="s">
        <v>37</v>
      </c>
      <c r="M321" s="91"/>
      <c r="N321" s="70" t="s">
        <v>182</v>
      </c>
      <c r="O321" s="70"/>
      <c r="P321" s="115"/>
      <c r="Q321" s="70"/>
      <c r="R321" s="59" t="str">
        <f t="shared" si="4"/>
        <v>Active</v>
      </c>
      <c r="S321" s="88">
        <f t="shared" si="34"/>
        <v>45798</v>
      </c>
      <c r="T321" s="65">
        <f t="shared" si="5"/>
        <v>0</v>
      </c>
      <c r="U321" s="88"/>
      <c r="V321" s="65"/>
    </row>
    <row r="322">
      <c r="A322" s="74" t="s">
        <v>440</v>
      </c>
      <c r="B322" s="75" t="s">
        <v>35</v>
      </c>
      <c r="C322" s="75" t="s">
        <v>36</v>
      </c>
      <c r="D322" s="76" t="str">
        <f t="shared" si="19"/>
        <v>Active</v>
      </c>
      <c r="E322" s="80">
        <v>45798.0</v>
      </c>
      <c r="F322" s="78"/>
      <c r="G322" s="79">
        <f t="shared" si="2"/>
        <v>16.5</v>
      </c>
      <c r="H322" s="80">
        <v>30575.0</v>
      </c>
      <c r="I322" s="79">
        <f t="shared" si="3"/>
        <v>41.68055556</v>
      </c>
      <c r="J322" s="89">
        <v>82.0</v>
      </c>
      <c r="K322" s="81"/>
      <c r="L322" s="82" t="s">
        <v>57</v>
      </c>
      <c r="M322" s="83"/>
      <c r="N322" s="84" t="s">
        <v>182</v>
      </c>
      <c r="O322" s="84"/>
      <c r="P322" s="118"/>
      <c r="Q322" s="84"/>
      <c r="R322" s="76" t="str">
        <f t="shared" si="4"/>
        <v>Active</v>
      </c>
      <c r="S322" s="90">
        <f t="shared" si="34"/>
        <v>45798</v>
      </c>
      <c r="T322" s="79">
        <f t="shared" si="5"/>
        <v>0</v>
      </c>
      <c r="U322" s="90"/>
      <c r="V322" s="79"/>
    </row>
    <row r="323">
      <c r="A323" s="53" t="s">
        <v>441</v>
      </c>
      <c r="B323" s="54" t="s">
        <v>35</v>
      </c>
      <c r="C323" s="54" t="s">
        <v>36</v>
      </c>
      <c r="D323" s="59" t="str">
        <f t="shared" si="19"/>
        <v>Active</v>
      </c>
      <c r="E323" s="67">
        <v>45798.0</v>
      </c>
      <c r="F323" s="62"/>
      <c r="G323" s="65">
        <f t="shared" si="2"/>
        <v>16.5</v>
      </c>
      <c r="H323" s="67">
        <v>30061.0</v>
      </c>
      <c r="I323" s="65">
        <f t="shared" si="3"/>
        <v>43.08611111</v>
      </c>
      <c r="J323" s="92">
        <v>71.0</v>
      </c>
      <c r="K323" s="92">
        <v>1.0</v>
      </c>
      <c r="L323" s="69" t="s">
        <v>57</v>
      </c>
      <c r="M323" s="91"/>
      <c r="N323" s="70" t="s">
        <v>182</v>
      </c>
      <c r="O323" s="70"/>
      <c r="P323" s="115"/>
      <c r="Q323" s="70"/>
      <c r="R323" s="59" t="str">
        <f t="shared" si="4"/>
        <v>Active</v>
      </c>
      <c r="S323" s="88">
        <f t="shared" si="34"/>
        <v>45798</v>
      </c>
      <c r="T323" s="65">
        <f t="shared" si="5"/>
        <v>0</v>
      </c>
      <c r="U323" s="88"/>
      <c r="V323" s="65"/>
    </row>
    <row r="324">
      <c r="A324" s="74" t="s">
        <v>442</v>
      </c>
      <c r="B324" s="75" t="s">
        <v>35</v>
      </c>
      <c r="C324" s="75" t="s">
        <v>36</v>
      </c>
      <c r="D324" s="76" t="str">
        <f t="shared" si="19"/>
        <v>Active</v>
      </c>
      <c r="E324" s="80">
        <v>45798.0</v>
      </c>
      <c r="F324" s="78"/>
      <c r="G324" s="79">
        <f t="shared" si="2"/>
        <v>16.5</v>
      </c>
      <c r="H324" s="113">
        <v>31778.0</v>
      </c>
      <c r="I324" s="79">
        <f t="shared" si="3"/>
        <v>38.38888889</v>
      </c>
      <c r="J324" s="89">
        <v>77.0</v>
      </c>
      <c r="K324" s="89">
        <v>4.0</v>
      </c>
      <c r="L324" s="82" t="s">
        <v>135</v>
      </c>
      <c r="M324" s="83"/>
      <c r="N324" s="84" t="s">
        <v>443</v>
      </c>
      <c r="O324" s="84"/>
      <c r="P324" s="118"/>
      <c r="Q324" s="84"/>
      <c r="R324" s="76" t="str">
        <f t="shared" si="4"/>
        <v>Active</v>
      </c>
      <c r="S324" s="90">
        <f t="shared" si="34"/>
        <v>45798</v>
      </c>
      <c r="T324" s="79">
        <f t="shared" si="5"/>
        <v>0</v>
      </c>
      <c r="U324" s="90"/>
      <c r="V324" s="79"/>
    </row>
    <row r="325">
      <c r="A325" s="53" t="s">
        <v>444</v>
      </c>
      <c r="B325" s="54" t="s">
        <v>35</v>
      </c>
      <c r="C325" s="54" t="s">
        <v>36</v>
      </c>
      <c r="D325" s="59" t="str">
        <f t="shared" si="19"/>
        <v>Active</v>
      </c>
      <c r="E325" s="67">
        <v>45798.0</v>
      </c>
      <c r="F325" s="62"/>
      <c r="G325" s="65">
        <f t="shared" si="2"/>
        <v>16.5</v>
      </c>
      <c r="H325" s="67">
        <v>30369.0</v>
      </c>
      <c r="I325" s="65">
        <f t="shared" si="3"/>
        <v>42.24722222</v>
      </c>
      <c r="J325" s="92">
        <v>71.0</v>
      </c>
      <c r="K325" s="68"/>
      <c r="L325" s="69" t="s">
        <v>64</v>
      </c>
      <c r="M325" s="91"/>
      <c r="N325" s="70" t="s">
        <v>182</v>
      </c>
      <c r="O325" s="70"/>
      <c r="P325" s="115"/>
      <c r="Q325" s="70"/>
      <c r="R325" s="59" t="str">
        <f t="shared" si="4"/>
        <v>Active</v>
      </c>
      <c r="S325" s="88">
        <f t="shared" si="34"/>
        <v>45798</v>
      </c>
      <c r="T325" s="65">
        <f t="shared" si="5"/>
        <v>0</v>
      </c>
      <c r="U325" s="88"/>
      <c r="V325" s="65"/>
    </row>
    <row r="326">
      <c r="A326" s="74" t="s">
        <v>445</v>
      </c>
      <c r="B326" s="75" t="s">
        <v>35</v>
      </c>
      <c r="C326" s="75" t="s">
        <v>36</v>
      </c>
      <c r="D326" s="76" t="str">
        <f t="shared" si="19"/>
        <v>Active</v>
      </c>
      <c r="E326" s="80">
        <v>45798.0</v>
      </c>
      <c r="F326" s="78"/>
      <c r="G326" s="79">
        <f t="shared" si="2"/>
        <v>16.5</v>
      </c>
      <c r="H326" s="80">
        <v>32782.0</v>
      </c>
      <c r="I326" s="79">
        <f t="shared" si="3"/>
        <v>35.63888889</v>
      </c>
      <c r="J326" s="89">
        <v>88.0</v>
      </c>
      <c r="K326" s="89">
        <v>7.0</v>
      </c>
      <c r="L326" s="82" t="s">
        <v>417</v>
      </c>
      <c r="M326" s="83"/>
      <c r="N326" s="84" t="s">
        <v>412</v>
      </c>
      <c r="O326" s="84"/>
      <c r="P326" s="118"/>
      <c r="Q326" s="84"/>
      <c r="R326" s="76" t="str">
        <f t="shared" si="4"/>
        <v>Active</v>
      </c>
      <c r="S326" s="90">
        <f t="shared" si="34"/>
        <v>45798</v>
      </c>
      <c r="T326" s="79">
        <f t="shared" si="5"/>
        <v>0</v>
      </c>
      <c r="U326" s="90"/>
      <c r="V326" s="79"/>
    </row>
    <row r="327">
      <c r="A327" s="53" t="s">
        <v>446</v>
      </c>
      <c r="B327" s="54" t="s">
        <v>35</v>
      </c>
      <c r="C327" s="54" t="s">
        <v>36</v>
      </c>
      <c r="D327" s="59" t="str">
        <f t="shared" si="19"/>
        <v>Active</v>
      </c>
      <c r="E327" s="67">
        <v>45798.0</v>
      </c>
      <c r="F327" s="62"/>
      <c r="G327" s="65">
        <f t="shared" si="2"/>
        <v>16.5</v>
      </c>
      <c r="H327" s="67">
        <v>30195.0</v>
      </c>
      <c r="I327" s="65">
        <f t="shared" si="3"/>
        <v>42.72222222</v>
      </c>
      <c r="J327" s="92">
        <v>70.0</v>
      </c>
      <c r="K327" s="68"/>
      <c r="L327" s="69" t="s">
        <v>417</v>
      </c>
      <c r="M327" s="91"/>
      <c r="N327" s="70" t="s">
        <v>182</v>
      </c>
      <c r="O327" s="70"/>
      <c r="P327" s="115"/>
      <c r="Q327" s="70"/>
      <c r="R327" s="59" t="str">
        <f t="shared" si="4"/>
        <v>Active</v>
      </c>
      <c r="S327" s="88">
        <f t="shared" si="34"/>
        <v>45798</v>
      </c>
      <c r="T327" s="65">
        <f t="shared" si="5"/>
        <v>0</v>
      </c>
      <c r="U327" s="88"/>
      <c r="V327" s="65"/>
    </row>
    <row r="328">
      <c r="A328" s="74" t="s">
        <v>447</v>
      </c>
      <c r="B328" s="75" t="s">
        <v>35</v>
      </c>
      <c r="C328" s="75" t="s">
        <v>36</v>
      </c>
      <c r="D328" s="76" t="str">
        <f t="shared" si="19"/>
        <v>Active</v>
      </c>
      <c r="E328" s="80">
        <v>45798.0</v>
      </c>
      <c r="F328" s="78"/>
      <c r="G328" s="79">
        <f t="shared" si="2"/>
        <v>16.5</v>
      </c>
      <c r="H328" s="80">
        <v>30164.0</v>
      </c>
      <c r="I328" s="79">
        <f t="shared" si="3"/>
        <v>42.80555556</v>
      </c>
      <c r="J328" s="89">
        <v>78.0</v>
      </c>
      <c r="K328" s="89">
        <v>1.0</v>
      </c>
      <c r="L328" s="82" t="s">
        <v>37</v>
      </c>
      <c r="M328" s="83"/>
      <c r="N328" s="84" t="s">
        <v>182</v>
      </c>
      <c r="O328" s="84"/>
      <c r="P328" s="118"/>
      <c r="Q328" s="84"/>
      <c r="R328" s="76" t="str">
        <f t="shared" si="4"/>
        <v>Active</v>
      </c>
      <c r="S328" s="90">
        <f t="shared" si="34"/>
        <v>45798</v>
      </c>
      <c r="T328" s="79">
        <f t="shared" si="5"/>
        <v>0</v>
      </c>
      <c r="U328" s="90"/>
      <c r="V328" s="79"/>
    </row>
    <row r="329">
      <c r="A329" s="53" t="s">
        <v>448</v>
      </c>
      <c r="B329" s="54" t="s">
        <v>35</v>
      </c>
      <c r="C329" s="54" t="s">
        <v>36</v>
      </c>
      <c r="D329" s="59" t="str">
        <f t="shared" si="19"/>
        <v>Active</v>
      </c>
      <c r="E329" s="67">
        <v>45798.0</v>
      </c>
      <c r="F329" s="62"/>
      <c r="G329" s="65">
        <f t="shared" si="2"/>
        <v>16.5</v>
      </c>
      <c r="H329" s="67">
        <v>32352.0</v>
      </c>
      <c r="I329" s="65">
        <f t="shared" si="3"/>
        <v>36.81388889</v>
      </c>
      <c r="J329" s="92">
        <v>73.0</v>
      </c>
      <c r="K329" s="68"/>
      <c r="L329" s="69" t="s">
        <v>37</v>
      </c>
      <c r="M329" s="91"/>
      <c r="N329" s="70" t="s">
        <v>182</v>
      </c>
      <c r="O329" s="70"/>
      <c r="P329" s="115"/>
      <c r="Q329" s="70"/>
      <c r="R329" s="59" t="str">
        <f t="shared" si="4"/>
        <v>Active</v>
      </c>
      <c r="S329" s="88">
        <f t="shared" si="34"/>
        <v>45798</v>
      </c>
      <c r="T329" s="65">
        <f t="shared" si="5"/>
        <v>0</v>
      </c>
      <c r="U329" s="88"/>
      <c r="V329" s="65"/>
    </row>
    <row r="330">
      <c r="A330" s="74" t="s">
        <v>449</v>
      </c>
      <c r="B330" s="75" t="s">
        <v>35</v>
      </c>
      <c r="C330" s="75" t="s">
        <v>36</v>
      </c>
      <c r="D330" s="76" t="str">
        <f t="shared" si="19"/>
        <v>Active</v>
      </c>
      <c r="E330" s="80">
        <v>45798.0</v>
      </c>
      <c r="F330" s="78"/>
      <c r="G330" s="79">
        <f t="shared" si="2"/>
        <v>16.5</v>
      </c>
      <c r="H330" s="80">
        <v>30399.0</v>
      </c>
      <c r="I330" s="79">
        <f t="shared" si="3"/>
        <v>42.15833333</v>
      </c>
      <c r="J330" s="89">
        <v>73.0</v>
      </c>
      <c r="K330" s="81"/>
      <c r="L330" s="82" t="s">
        <v>37</v>
      </c>
      <c r="M330" s="83"/>
      <c r="N330" s="84" t="s">
        <v>182</v>
      </c>
      <c r="O330" s="84"/>
      <c r="P330" s="118"/>
      <c r="Q330" s="84"/>
      <c r="R330" s="76" t="str">
        <f t="shared" si="4"/>
        <v>Active</v>
      </c>
      <c r="S330" s="90">
        <f t="shared" si="34"/>
        <v>45798</v>
      </c>
      <c r="T330" s="79">
        <f t="shared" si="5"/>
        <v>0</v>
      </c>
      <c r="U330" s="90"/>
      <c r="V330" s="79"/>
    </row>
    <row r="331">
      <c r="A331" s="53" t="s">
        <v>450</v>
      </c>
      <c r="B331" s="54" t="s">
        <v>35</v>
      </c>
      <c r="C331" s="54" t="s">
        <v>36</v>
      </c>
      <c r="D331" s="59" t="str">
        <f t="shared" si="19"/>
        <v>Active</v>
      </c>
      <c r="E331" s="67">
        <v>45798.0</v>
      </c>
      <c r="F331" s="62"/>
      <c r="G331" s="65">
        <f t="shared" si="2"/>
        <v>16.5</v>
      </c>
      <c r="H331" s="67">
        <v>30256.0</v>
      </c>
      <c r="I331" s="65">
        <f t="shared" si="3"/>
        <v>42.55555556</v>
      </c>
      <c r="J331" s="92">
        <v>63.0</v>
      </c>
      <c r="K331" s="68"/>
      <c r="L331" s="69" t="s">
        <v>37</v>
      </c>
      <c r="M331" s="91"/>
      <c r="N331" s="70" t="s">
        <v>182</v>
      </c>
      <c r="O331" s="70"/>
      <c r="P331" s="115"/>
      <c r="Q331" s="70"/>
      <c r="R331" s="59" t="str">
        <f t="shared" si="4"/>
        <v>Active</v>
      </c>
      <c r="S331" s="88">
        <f t="shared" si="34"/>
        <v>45798</v>
      </c>
      <c r="T331" s="65">
        <f t="shared" si="5"/>
        <v>0</v>
      </c>
      <c r="U331" s="88"/>
      <c r="V331" s="65"/>
    </row>
    <row r="332">
      <c r="A332" s="74" t="s">
        <v>451</v>
      </c>
      <c r="B332" s="75" t="s">
        <v>35</v>
      </c>
      <c r="C332" s="75" t="s">
        <v>36</v>
      </c>
      <c r="D332" s="76" t="str">
        <f t="shared" si="19"/>
        <v>Active</v>
      </c>
      <c r="E332" s="80">
        <v>45798.0</v>
      </c>
      <c r="F332" s="78"/>
      <c r="G332" s="79">
        <f t="shared" si="2"/>
        <v>16.5</v>
      </c>
      <c r="H332" s="80">
        <v>32082.0</v>
      </c>
      <c r="I332" s="79">
        <f t="shared" si="3"/>
        <v>37.55555556</v>
      </c>
      <c r="J332" s="89">
        <v>83.0</v>
      </c>
      <c r="K332" s="89">
        <v>3.0</v>
      </c>
      <c r="L332" s="82" t="s">
        <v>417</v>
      </c>
      <c r="M332" s="83"/>
      <c r="N332" s="84" t="s">
        <v>443</v>
      </c>
      <c r="O332" s="84"/>
      <c r="P332" s="118"/>
      <c r="Q332" s="84"/>
      <c r="R332" s="76" t="str">
        <f t="shared" si="4"/>
        <v>Active</v>
      </c>
      <c r="S332" s="90">
        <f t="shared" si="34"/>
        <v>45798</v>
      </c>
      <c r="T332" s="79">
        <f t="shared" si="5"/>
        <v>0</v>
      </c>
      <c r="U332" s="90"/>
      <c r="V332" s="79"/>
    </row>
    <row r="333">
      <c r="A333" s="53" t="s">
        <v>452</v>
      </c>
      <c r="B333" s="54" t="s">
        <v>35</v>
      </c>
      <c r="C333" s="54" t="s">
        <v>36</v>
      </c>
      <c r="D333" s="59" t="str">
        <f t="shared" si="19"/>
        <v>Active</v>
      </c>
      <c r="E333" s="67">
        <v>45798.0</v>
      </c>
      <c r="F333" s="62"/>
      <c r="G333" s="65">
        <f t="shared" si="2"/>
        <v>16.5</v>
      </c>
      <c r="H333" s="67">
        <v>34891.0</v>
      </c>
      <c r="I333" s="65">
        <f t="shared" si="3"/>
        <v>29.86111111</v>
      </c>
      <c r="J333" s="92">
        <v>71.0</v>
      </c>
      <c r="K333" s="92">
        <v>4.0</v>
      </c>
      <c r="L333" s="69" t="s">
        <v>417</v>
      </c>
      <c r="M333" s="91"/>
      <c r="N333" s="70" t="s">
        <v>412</v>
      </c>
      <c r="O333" s="70"/>
      <c r="P333" s="115"/>
      <c r="Q333" s="70"/>
      <c r="R333" s="59" t="str">
        <f t="shared" si="4"/>
        <v>Active</v>
      </c>
      <c r="S333" s="88">
        <f t="shared" si="34"/>
        <v>45798</v>
      </c>
      <c r="T333" s="65">
        <f t="shared" si="5"/>
        <v>0</v>
      </c>
      <c r="U333" s="88"/>
      <c r="V333" s="65"/>
    </row>
    <row r="334">
      <c r="A334" s="74" t="s">
        <v>453</v>
      </c>
      <c r="B334" s="75" t="s">
        <v>35</v>
      </c>
      <c r="C334" s="75" t="s">
        <v>36</v>
      </c>
      <c r="D334" s="76" t="str">
        <f t="shared" si="19"/>
        <v>Active</v>
      </c>
      <c r="E334" s="80">
        <v>45798.0</v>
      </c>
      <c r="F334" s="78"/>
      <c r="G334" s="79">
        <f t="shared" si="2"/>
        <v>16.5</v>
      </c>
      <c r="H334" s="80">
        <v>37714.0</v>
      </c>
      <c r="I334" s="79">
        <f t="shared" si="3"/>
        <v>22.13333333</v>
      </c>
      <c r="J334" s="81"/>
      <c r="K334" s="81"/>
      <c r="L334" s="82" t="s">
        <v>105</v>
      </c>
      <c r="M334" s="83"/>
      <c r="N334" s="84" t="s">
        <v>182</v>
      </c>
      <c r="O334" s="84"/>
      <c r="P334" s="118"/>
      <c r="Q334" s="84"/>
      <c r="R334" s="76" t="str">
        <f t="shared" si="4"/>
        <v>Active</v>
      </c>
      <c r="S334" s="90">
        <f t="shared" si="34"/>
        <v>45798</v>
      </c>
      <c r="T334" s="79">
        <f t="shared" si="5"/>
        <v>0</v>
      </c>
      <c r="U334" s="90"/>
      <c r="V334" s="79"/>
    </row>
    <row r="335">
      <c r="A335" s="53" t="s">
        <v>454</v>
      </c>
      <c r="B335" s="54" t="s">
        <v>35</v>
      </c>
      <c r="C335" s="54" t="s">
        <v>36</v>
      </c>
      <c r="D335" s="59" t="str">
        <f t="shared" si="19"/>
        <v>Active</v>
      </c>
      <c r="E335" s="67">
        <v>45798.0</v>
      </c>
      <c r="F335" s="62"/>
      <c r="G335" s="65">
        <f t="shared" si="2"/>
        <v>16.5</v>
      </c>
      <c r="H335" s="67">
        <v>30317.0</v>
      </c>
      <c r="I335" s="65">
        <f t="shared" si="3"/>
        <v>42.38888889</v>
      </c>
      <c r="J335" s="92">
        <v>72.0</v>
      </c>
      <c r="K335" s="68"/>
      <c r="L335" s="69" t="s">
        <v>37</v>
      </c>
      <c r="M335" s="91"/>
      <c r="N335" s="70" t="s">
        <v>182</v>
      </c>
      <c r="O335" s="70"/>
      <c r="P335" s="115"/>
      <c r="Q335" s="70"/>
      <c r="R335" s="59" t="str">
        <f t="shared" si="4"/>
        <v>Active</v>
      </c>
      <c r="S335" s="88">
        <f t="shared" si="34"/>
        <v>45798</v>
      </c>
      <c r="T335" s="65">
        <f t="shared" si="5"/>
        <v>0</v>
      </c>
      <c r="U335" s="88"/>
      <c r="V335" s="65"/>
    </row>
    <row r="336">
      <c r="A336" s="74" t="s">
        <v>455</v>
      </c>
      <c r="B336" s="75" t="s">
        <v>35</v>
      </c>
      <c r="C336" s="75" t="s">
        <v>36</v>
      </c>
      <c r="D336" s="76" t="str">
        <f t="shared" si="19"/>
        <v>Active</v>
      </c>
      <c r="E336" s="80">
        <v>45798.0</v>
      </c>
      <c r="F336" s="78"/>
      <c r="G336" s="79">
        <f t="shared" si="2"/>
        <v>16.5</v>
      </c>
      <c r="H336" s="80">
        <v>30042.0</v>
      </c>
      <c r="I336" s="79">
        <f t="shared" si="3"/>
        <v>43.13888889</v>
      </c>
      <c r="J336" s="89">
        <v>59.0</v>
      </c>
      <c r="K336" s="81"/>
      <c r="L336" s="82" t="s">
        <v>37</v>
      </c>
      <c r="M336" s="83"/>
      <c r="N336" s="84" t="s">
        <v>182</v>
      </c>
      <c r="O336" s="84"/>
      <c r="P336" s="118"/>
      <c r="Q336" s="84"/>
      <c r="R336" s="76" t="str">
        <f t="shared" si="4"/>
        <v>Active</v>
      </c>
      <c r="S336" s="90">
        <f t="shared" si="34"/>
        <v>45798</v>
      </c>
      <c r="T336" s="79">
        <f t="shared" si="5"/>
        <v>0</v>
      </c>
      <c r="U336" s="90"/>
      <c r="V336" s="79"/>
    </row>
    <row r="337">
      <c r="A337" s="53" t="s">
        <v>456</v>
      </c>
      <c r="B337" s="54" t="s">
        <v>35</v>
      </c>
      <c r="C337" s="54" t="s">
        <v>36</v>
      </c>
      <c r="D337" s="59" t="str">
        <f t="shared" si="19"/>
        <v>Active</v>
      </c>
      <c r="E337" s="67">
        <v>45798.0</v>
      </c>
      <c r="F337" s="62"/>
      <c r="G337" s="65">
        <f t="shared" si="2"/>
        <v>16.5</v>
      </c>
      <c r="H337" s="67">
        <v>29646.0</v>
      </c>
      <c r="I337" s="65">
        <f t="shared" si="3"/>
        <v>44.22222222</v>
      </c>
      <c r="J337" s="92">
        <v>60.0</v>
      </c>
      <c r="K337" s="68"/>
      <c r="L337" s="69" t="s">
        <v>62</v>
      </c>
      <c r="M337" s="91"/>
      <c r="N337" s="70" t="s">
        <v>182</v>
      </c>
      <c r="O337" s="70"/>
      <c r="P337" s="115"/>
      <c r="Q337" s="70"/>
      <c r="R337" s="59" t="str">
        <f t="shared" si="4"/>
        <v>Active</v>
      </c>
      <c r="S337" s="88">
        <f t="shared" si="34"/>
        <v>45798</v>
      </c>
      <c r="T337" s="65">
        <f t="shared" si="5"/>
        <v>0</v>
      </c>
      <c r="U337" s="88"/>
      <c r="V337" s="65"/>
    </row>
    <row r="338">
      <c r="A338" s="74" t="s">
        <v>457</v>
      </c>
      <c r="B338" s="75" t="s">
        <v>35</v>
      </c>
      <c r="C338" s="75" t="s">
        <v>36</v>
      </c>
      <c r="D338" s="76" t="str">
        <f t="shared" si="19"/>
        <v>Active</v>
      </c>
      <c r="E338" s="80">
        <v>45798.0</v>
      </c>
      <c r="F338" s="78"/>
      <c r="G338" s="79">
        <f t="shared" si="2"/>
        <v>16.5</v>
      </c>
      <c r="H338" s="80">
        <v>33506.0</v>
      </c>
      <c r="I338" s="79">
        <f t="shared" si="3"/>
        <v>33.65555556</v>
      </c>
      <c r="J338" s="89">
        <v>71.0</v>
      </c>
      <c r="K338" s="89">
        <v>5.0</v>
      </c>
      <c r="L338" s="82" t="s">
        <v>417</v>
      </c>
      <c r="M338" s="83"/>
      <c r="N338" s="84" t="s">
        <v>443</v>
      </c>
      <c r="O338" s="84"/>
      <c r="P338" s="118"/>
      <c r="Q338" s="84"/>
      <c r="R338" s="76" t="str">
        <f t="shared" si="4"/>
        <v>Active</v>
      </c>
      <c r="S338" s="90">
        <f t="shared" si="34"/>
        <v>45798</v>
      </c>
      <c r="T338" s="79">
        <f t="shared" si="5"/>
        <v>0</v>
      </c>
      <c r="U338" s="90"/>
      <c r="V338" s="79"/>
    </row>
    <row r="339">
      <c r="A339" s="53" t="s">
        <v>458</v>
      </c>
      <c r="B339" s="54" t="s">
        <v>35</v>
      </c>
      <c r="C339" s="54" t="s">
        <v>36</v>
      </c>
      <c r="D339" s="59" t="str">
        <f t="shared" si="19"/>
        <v>Active</v>
      </c>
      <c r="E339" s="67">
        <v>45798.0</v>
      </c>
      <c r="F339" s="62"/>
      <c r="G339" s="65">
        <f t="shared" si="2"/>
        <v>16.5</v>
      </c>
      <c r="H339" s="113">
        <v>33604.0</v>
      </c>
      <c r="I339" s="65">
        <f t="shared" si="3"/>
        <v>33.38888889</v>
      </c>
      <c r="J339" s="92">
        <v>73.0</v>
      </c>
      <c r="K339" s="92">
        <v>4.0</v>
      </c>
      <c r="L339" s="69" t="s">
        <v>417</v>
      </c>
      <c r="M339" s="91"/>
      <c r="N339" s="70" t="s">
        <v>412</v>
      </c>
      <c r="O339" s="70"/>
      <c r="P339" s="115"/>
      <c r="Q339" s="70"/>
      <c r="R339" s="59" t="str">
        <f t="shared" si="4"/>
        <v>Active</v>
      </c>
      <c r="S339" s="88">
        <f t="shared" si="34"/>
        <v>45798</v>
      </c>
      <c r="T339" s="65">
        <f t="shared" si="5"/>
        <v>0</v>
      </c>
      <c r="U339" s="88"/>
      <c r="V339" s="65"/>
    </row>
    <row r="340">
      <c r="A340" s="74" t="s">
        <v>459</v>
      </c>
      <c r="B340" s="75" t="s">
        <v>35</v>
      </c>
      <c r="C340" s="75" t="s">
        <v>36</v>
      </c>
      <c r="D340" s="76" t="str">
        <f t="shared" si="19"/>
        <v>Active</v>
      </c>
      <c r="E340" s="80">
        <v>45798.0</v>
      </c>
      <c r="F340" s="78"/>
      <c r="G340" s="79">
        <f t="shared" si="2"/>
        <v>16.5</v>
      </c>
      <c r="H340" s="113">
        <v>30682.0</v>
      </c>
      <c r="I340" s="79">
        <f t="shared" si="3"/>
        <v>41.38888889</v>
      </c>
      <c r="J340" s="81"/>
      <c r="K340" s="81"/>
      <c r="L340" s="82" t="s">
        <v>105</v>
      </c>
      <c r="M340" s="83"/>
      <c r="N340" s="84" t="s">
        <v>182</v>
      </c>
      <c r="O340" s="84"/>
      <c r="P340" s="118"/>
      <c r="Q340" s="84"/>
      <c r="R340" s="76" t="str">
        <f t="shared" si="4"/>
        <v>Active</v>
      </c>
      <c r="S340" s="90">
        <f t="shared" si="34"/>
        <v>45798</v>
      </c>
      <c r="T340" s="79">
        <f t="shared" si="5"/>
        <v>0</v>
      </c>
      <c r="U340" s="90"/>
      <c r="V340" s="79"/>
    </row>
    <row r="341">
      <c r="A341" s="53" t="s">
        <v>460</v>
      </c>
      <c r="B341" s="54" t="s">
        <v>35</v>
      </c>
      <c r="C341" s="54" t="s">
        <v>36</v>
      </c>
      <c r="D341" s="59" t="str">
        <f t="shared" si="19"/>
        <v>Active</v>
      </c>
      <c r="E341" s="67">
        <v>45798.0</v>
      </c>
      <c r="F341" s="62"/>
      <c r="G341" s="65">
        <f t="shared" si="2"/>
        <v>16.5</v>
      </c>
      <c r="H341" s="67">
        <v>31972.0</v>
      </c>
      <c r="I341" s="65">
        <f t="shared" si="3"/>
        <v>37.85277778</v>
      </c>
      <c r="J341" s="92">
        <v>50.0</v>
      </c>
      <c r="K341" s="68"/>
      <c r="L341" s="69" t="s">
        <v>62</v>
      </c>
      <c r="M341" s="91"/>
      <c r="N341" s="70" t="s">
        <v>182</v>
      </c>
      <c r="O341" s="70"/>
      <c r="P341" s="115"/>
      <c r="Q341" s="70"/>
      <c r="R341" s="59" t="str">
        <f t="shared" si="4"/>
        <v>Active</v>
      </c>
      <c r="S341" s="88">
        <f t="shared" si="34"/>
        <v>45798</v>
      </c>
      <c r="T341" s="65">
        <f t="shared" si="5"/>
        <v>0</v>
      </c>
      <c r="U341" s="88"/>
      <c r="V341" s="65"/>
    </row>
    <row r="342">
      <c r="A342" s="74" t="s">
        <v>461</v>
      </c>
      <c r="B342" s="75" t="s">
        <v>35</v>
      </c>
      <c r="C342" s="75" t="s">
        <v>36</v>
      </c>
      <c r="D342" s="76" t="str">
        <f t="shared" si="19"/>
        <v>Active</v>
      </c>
      <c r="E342" s="80">
        <v>45798.0</v>
      </c>
      <c r="F342" s="78"/>
      <c r="G342" s="79">
        <f t="shared" si="2"/>
        <v>16.5</v>
      </c>
      <c r="H342" s="80">
        <v>35003.0</v>
      </c>
      <c r="I342" s="79">
        <f t="shared" si="3"/>
        <v>29.55833333</v>
      </c>
      <c r="J342" s="81"/>
      <c r="K342" s="89">
        <v>4.0</v>
      </c>
      <c r="L342" s="82" t="s">
        <v>417</v>
      </c>
      <c r="M342" s="83"/>
      <c r="N342" s="84" t="s">
        <v>412</v>
      </c>
      <c r="O342" s="84"/>
      <c r="P342" s="118"/>
      <c r="Q342" s="84"/>
      <c r="R342" s="76" t="str">
        <f t="shared" si="4"/>
        <v>Active</v>
      </c>
      <c r="S342" s="90">
        <f t="shared" si="34"/>
        <v>45798</v>
      </c>
      <c r="T342" s="79">
        <f t="shared" si="5"/>
        <v>0</v>
      </c>
      <c r="U342" s="90"/>
      <c r="V342" s="79"/>
    </row>
    <row r="343">
      <c r="A343" s="53" t="s">
        <v>462</v>
      </c>
      <c r="B343" s="54" t="s">
        <v>35</v>
      </c>
      <c r="C343" s="54" t="s">
        <v>36</v>
      </c>
      <c r="D343" s="59" t="str">
        <f t="shared" si="19"/>
        <v>Active</v>
      </c>
      <c r="E343" s="67">
        <v>45798.0</v>
      </c>
      <c r="F343" s="62"/>
      <c r="G343" s="65">
        <f t="shared" si="2"/>
        <v>16.5</v>
      </c>
      <c r="H343" s="113">
        <v>29952.0</v>
      </c>
      <c r="I343" s="65">
        <f t="shared" si="3"/>
        <v>43.38888889</v>
      </c>
      <c r="J343" s="92">
        <v>60.0</v>
      </c>
      <c r="K343" s="68"/>
      <c r="L343" s="69" t="s">
        <v>62</v>
      </c>
      <c r="M343" s="91"/>
      <c r="N343" s="70" t="s">
        <v>182</v>
      </c>
      <c r="O343" s="70"/>
      <c r="P343" s="115"/>
      <c r="Q343" s="70"/>
      <c r="R343" s="59" t="str">
        <f t="shared" si="4"/>
        <v>Active</v>
      </c>
      <c r="S343" s="88">
        <f t="shared" si="34"/>
        <v>45798</v>
      </c>
      <c r="T343" s="65">
        <f t="shared" si="5"/>
        <v>0</v>
      </c>
      <c r="U343" s="88"/>
      <c r="V343" s="65"/>
    </row>
    <row r="344">
      <c r="A344" s="74" t="s">
        <v>463</v>
      </c>
      <c r="B344" s="75" t="s">
        <v>35</v>
      </c>
      <c r="C344" s="75" t="s">
        <v>36</v>
      </c>
      <c r="D344" s="76" t="str">
        <f t="shared" si="19"/>
        <v>Active</v>
      </c>
      <c r="E344" s="80">
        <v>45798.0</v>
      </c>
      <c r="F344" s="78"/>
      <c r="G344" s="79">
        <f t="shared" si="2"/>
        <v>16.5</v>
      </c>
      <c r="H344" s="80">
        <v>37114.0</v>
      </c>
      <c r="I344" s="79">
        <f t="shared" si="3"/>
        <v>23.77777778</v>
      </c>
      <c r="J344" s="81"/>
      <c r="K344" s="81"/>
      <c r="L344" s="82" t="s">
        <v>37</v>
      </c>
      <c r="M344" s="83"/>
      <c r="N344" s="84" t="s">
        <v>182</v>
      </c>
      <c r="O344" s="84"/>
      <c r="P344" s="118"/>
      <c r="Q344" s="84"/>
      <c r="R344" s="76" t="str">
        <f t="shared" si="4"/>
        <v>Active</v>
      </c>
      <c r="S344" s="90">
        <f t="shared" si="34"/>
        <v>45798</v>
      </c>
      <c r="T344" s="79">
        <f t="shared" si="5"/>
        <v>0</v>
      </c>
      <c r="U344" s="90"/>
      <c r="V344" s="79"/>
    </row>
    <row r="345">
      <c r="A345" s="53" t="s">
        <v>464</v>
      </c>
      <c r="B345" s="54" t="s">
        <v>35</v>
      </c>
      <c r="C345" s="54" t="s">
        <v>36</v>
      </c>
      <c r="D345" s="59" t="str">
        <f t="shared" si="19"/>
        <v>Active</v>
      </c>
      <c r="E345" s="67">
        <v>45798.0</v>
      </c>
      <c r="F345" s="62"/>
      <c r="G345" s="65">
        <f t="shared" si="2"/>
        <v>16.5</v>
      </c>
      <c r="H345" s="113">
        <v>37622.0</v>
      </c>
      <c r="I345" s="65">
        <f t="shared" si="3"/>
        <v>22.38888889</v>
      </c>
      <c r="J345" s="68"/>
      <c r="K345" s="68"/>
      <c r="L345" s="69" t="s">
        <v>64</v>
      </c>
      <c r="M345" s="91"/>
      <c r="N345" s="70" t="s">
        <v>182</v>
      </c>
      <c r="O345" s="70"/>
      <c r="P345" s="115"/>
      <c r="Q345" s="70"/>
      <c r="R345" s="59" t="str">
        <f t="shared" si="4"/>
        <v>Active</v>
      </c>
      <c r="S345" s="88">
        <f t="shared" si="34"/>
        <v>45798</v>
      </c>
      <c r="T345" s="65">
        <f t="shared" si="5"/>
        <v>0</v>
      </c>
      <c r="U345" s="88"/>
      <c r="V345" s="65"/>
    </row>
    <row r="346">
      <c r="A346" s="74" t="s">
        <v>465</v>
      </c>
      <c r="B346" s="75" t="s">
        <v>35</v>
      </c>
      <c r="C346" s="75" t="s">
        <v>36</v>
      </c>
      <c r="D346" s="76" t="str">
        <f t="shared" si="19"/>
        <v>Active</v>
      </c>
      <c r="E346" s="80">
        <v>45798.0</v>
      </c>
      <c r="F346" s="78"/>
      <c r="G346" s="79">
        <f t="shared" si="2"/>
        <v>16.5</v>
      </c>
      <c r="H346" s="80">
        <v>29342.0</v>
      </c>
      <c r="I346" s="79">
        <f t="shared" si="3"/>
        <v>45.05555556</v>
      </c>
      <c r="J346" s="89">
        <v>86.0</v>
      </c>
      <c r="K346" s="89">
        <v>4.0</v>
      </c>
      <c r="L346" s="82" t="s">
        <v>417</v>
      </c>
      <c r="M346" s="83"/>
      <c r="N346" s="84" t="s">
        <v>180</v>
      </c>
      <c r="O346" s="84"/>
      <c r="P346" s="118"/>
      <c r="Q346" s="84"/>
      <c r="R346" s="76" t="str">
        <f t="shared" si="4"/>
        <v>Active</v>
      </c>
      <c r="S346" s="90">
        <f t="shared" si="34"/>
        <v>45798</v>
      </c>
      <c r="T346" s="79">
        <f t="shared" si="5"/>
        <v>0</v>
      </c>
      <c r="U346" s="90"/>
      <c r="V346" s="79"/>
    </row>
    <row r="347">
      <c r="A347" s="53" t="s">
        <v>466</v>
      </c>
      <c r="B347" s="54" t="s">
        <v>35</v>
      </c>
      <c r="C347" s="54" t="s">
        <v>36</v>
      </c>
      <c r="D347" s="59" t="str">
        <f t="shared" si="19"/>
        <v>Active</v>
      </c>
      <c r="E347" s="67">
        <v>45798.0</v>
      </c>
      <c r="F347" s="62"/>
      <c r="G347" s="65">
        <f t="shared" si="2"/>
        <v>16.5</v>
      </c>
      <c r="H347" s="67">
        <v>32435.0</v>
      </c>
      <c r="I347" s="65">
        <f t="shared" si="3"/>
        <v>36.58888889</v>
      </c>
      <c r="J347" s="68"/>
      <c r="K347" s="92">
        <v>7.0</v>
      </c>
      <c r="L347" s="69" t="s">
        <v>417</v>
      </c>
      <c r="M347" s="91"/>
      <c r="N347" s="70" t="s">
        <v>180</v>
      </c>
      <c r="O347" s="70"/>
      <c r="P347" s="115"/>
      <c r="Q347" s="70"/>
      <c r="R347" s="59" t="str">
        <f t="shared" si="4"/>
        <v>Active</v>
      </c>
      <c r="S347" s="88">
        <f t="shared" si="34"/>
        <v>45798</v>
      </c>
      <c r="T347" s="65">
        <f t="shared" si="5"/>
        <v>0</v>
      </c>
      <c r="U347" s="88"/>
      <c r="V347" s="65"/>
    </row>
    <row r="348">
      <c r="A348" s="74" t="s">
        <v>467</v>
      </c>
      <c r="B348" s="75" t="s">
        <v>35</v>
      </c>
      <c r="C348" s="75" t="s">
        <v>36</v>
      </c>
      <c r="D348" s="76" t="str">
        <f t="shared" si="19"/>
        <v>Active</v>
      </c>
      <c r="E348" s="77">
        <v>45798.0</v>
      </c>
      <c r="F348" s="78"/>
      <c r="G348" s="79">
        <f t="shared" si="2"/>
        <v>16.5</v>
      </c>
      <c r="H348" s="80">
        <v>45798.0</v>
      </c>
      <c r="I348" s="79">
        <f t="shared" si="3"/>
        <v>0</v>
      </c>
      <c r="J348" s="89">
        <v>90.0</v>
      </c>
      <c r="K348" s="89">
        <v>6.0</v>
      </c>
      <c r="L348" s="82" t="s">
        <v>50</v>
      </c>
      <c r="M348" s="82" t="s">
        <v>38</v>
      </c>
      <c r="N348" s="85"/>
      <c r="O348" s="84"/>
      <c r="P348" s="118"/>
      <c r="Q348" s="84"/>
      <c r="R348" s="76" t="str">
        <f t="shared" si="4"/>
        <v>Active</v>
      </c>
      <c r="S348" s="90">
        <v>45994.0</v>
      </c>
      <c r="T348" s="79">
        <f t="shared" si="5"/>
        <v>6.4</v>
      </c>
      <c r="U348" s="90"/>
      <c r="V348" s="79"/>
    </row>
    <row r="349">
      <c r="A349" s="53" t="s">
        <v>468</v>
      </c>
      <c r="B349" s="54" t="s">
        <v>35</v>
      </c>
      <c r="C349" s="54" t="s">
        <v>36</v>
      </c>
      <c r="D349" s="59" t="str">
        <f t="shared" si="19"/>
        <v>Active</v>
      </c>
      <c r="E349" s="88">
        <v>45792.0</v>
      </c>
      <c r="F349" s="123"/>
      <c r="G349" s="65">
        <f t="shared" si="2"/>
        <v>16.7</v>
      </c>
      <c r="H349" s="67">
        <v>45792.0</v>
      </c>
      <c r="I349" s="65">
        <f t="shared" si="3"/>
        <v>0</v>
      </c>
      <c r="J349" s="92">
        <v>85.0</v>
      </c>
      <c r="K349" s="92">
        <v>13.0</v>
      </c>
      <c r="L349" s="69" t="s">
        <v>37</v>
      </c>
      <c r="M349" s="69" t="s">
        <v>38</v>
      </c>
      <c r="N349" s="70"/>
      <c r="O349" s="70"/>
      <c r="P349" s="115"/>
      <c r="Q349" s="70"/>
      <c r="R349" s="59" t="str">
        <f t="shared" si="4"/>
        <v>TBD</v>
      </c>
      <c r="S349" s="88"/>
      <c r="T349" s="65">
        <f t="shared" si="5"/>
        <v>16.7</v>
      </c>
      <c r="U349" s="88"/>
      <c r="V349" s="65"/>
    </row>
    <row r="350">
      <c r="A350" s="74" t="s">
        <v>469</v>
      </c>
      <c r="B350" s="75" t="s">
        <v>35</v>
      </c>
      <c r="C350" s="75" t="s">
        <v>36</v>
      </c>
      <c r="D350" s="76" t="str">
        <f t="shared" si="19"/>
        <v>Active</v>
      </c>
      <c r="E350" s="77">
        <v>45797.0</v>
      </c>
      <c r="F350" s="105"/>
      <c r="G350" s="79">
        <f t="shared" si="2"/>
        <v>16.53333333</v>
      </c>
      <c r="H350" s="90">
        <v>44901.0</v>
      </c>
      <c r="I350" s="79">
        <f t="shared" si="3"/>
        <v>2.455555556</v>
      </c>
      <c r="J350" s="106">
        <v>60.0</v>
      </c>
      <c r="K350" s="106">
        <v>10.0</v>
      </c>
      <c r="L350" s="82" t="s">
        <v>64</v>
      </c>
      <c r="M350" s="82"/>
      <c r="N350" s="82"/>
      <c r="O350" s="82"/>
      <c r="P350" s="107"/>
      <c r="Q350" s="82"/>
      <c r="R350" s="76" t="str">
        <f t="shared" si="4"/>
        <v>Active</v>
      </c>
      <c r="S350" s="90">
        <f t="shared" ref="S350:S354" si="35">E350</f>
        <v>45797</v>
      </c>
      <c r="T350" s="79">
        <f t="shared" si="5"/>
        <v>0</v>
      </c>
      <c r="U350" s="90"/>
      <c r="V350" s="79"/>
    </row>
    <row r="351">
      <c r="A351" s="53" t="s">
        <v>470</v>
      </c>
      <c r="B351" s="54" t="s">
        <v>35</v>
      </c>
      <c r="C351" s="54" t="s">
        <v>36</v>
      </c>
      <c r="D351" s="59" t="str">
        <f t="shared" si="19"/>
        <v>Active</v>
      </c>
      <c r="E351" s="61">
        <v>45797.0</v>
      </c>
      <c r="F351" s="120"/>
      <c r="G351" s="65">
        <f t="shared" si="2"/>
        <v>16.53333333</v>
      </c>
      <c r="H351" s="88">
        <v>44875.0</v>
      </c>
      <c r="I351" s="65">
        <f t="shared" si="3"/>
        <v>2.527777778</v>
      </c>
      <c r="J351" s="121">
        <v>58.0</v>
      </c>
      <c r="K351" s="121">
        <v>16.0</v>
      </c>
      <c r="L351" s="69" t="s">
        <v>64</v>
      </c>
      <c r="M351" s="69"/>
      <c r="N351" s="69"/>
      <c r="O351" s="69"/>
      <c r="P351" s="122"/>
      <c r="Q351" s="69"/>
      <c r="R351" s="59" t="str">
        <f t="shared" si="4"/>
        <v>Active</v>
      </c>
      <c r="S351" s="88">
        <f t="shared" si="35"/>
        <v>45797</v>
      </c>
      <c r="T351" s="65">
        <f t="shared" si="5"/>
        <v>0</v>
      </c>
      <c r="U351" s="88"/>
      <c r="V351" s="65"/>
    </row>
    <row r="352">
      <c r="A352" s="74" t="s">
        <v>471</v>
      </c>
      <c r="B352" s="75" t="s">
        <v>129</v>
      </c>
      <c r="C352" s="75" t="s">
        <v>36</v>
      </c>
      <c r="D352" s="76" t="str">
        <f t="shared" si="19"/>
        <v>Active</v>
      </c>
      <c r="E352" s="77">
        <v>45790.0</v>
      </c>
      <c r="F352" s="105"/>
      <c r="G352" s="79">
        <f t="shared" si="2"/>
        <v>16.76666667</v>
      </c>
      <c r="H352" s="90">
        <v>43167.0</v>
      </c>
      <c r="I352" s="79">
        <f t="shared" si="3"/>
        <v>7.180555556</v>
      </c>
      <c r="J352" s="106">
        <v>83.0</v>
      </c>
      <c r="K352" s="106">
        <v>20.0</v>
      </c>
      <c r="L352" s="82" t="s">
        <v>37</v>
      </c>
      <c r="M352" s="82" t="s">
        <v>326</v>
      </c>
      <c r="N352" s="82" t="s">
        <v>472</v>
      </c>
      <c r="O352" s="82"/>
      <c r="P352" s="107"/>
      <c r="Q352" s="82"/>
      <c r="R352" s="76" t="str">
        <f t="shared" si="4"/>
        <v>Active</v>
      </c>
      <c r="S352" s="90">
        <f t="shared" si="35"/>
        <v>45790</v>
      </c>
      <c r="T352" s="79">
        <f t="shared" si="5"/>
        <v>0</v>
      </c>
      <c r="U352" s="90">
        <v>46120.0</v>
      </c>
      <c r="V352" s="79">
        <f>MONTHDUR(E352,U352)</f>
        <v>10.83333333</v>
      </c>
    </row>
    <row r="353">
      <c r="A353" s="53" t="s">
        <v>473</v>
      </c>
      <c r="B353" s="54" t="s">
        <v>35</v>
      </c>
      <c r="C353" s="54" t="s">
        <v>36</v>
      </c>
      <c r="D353" s="59" t="str">
        <f t="shared" si="19"/>
        <v>Active</v>
      </c>
      <c r="E353" s="88">
        <v>45783.0</v>
      </c>
      <c r="F353" s="62"/>
      <c r="G353" s="65">
        <f t="shared" si="2"/>
        <v>17</v>
      </c>
      <c r="H353" s="67">
        <v>45015.0</v>
      </c>
      <c r="I353" s="65">
        <f t="shared" si="3"/>
        <v>2.1</v>
      </c>
      <c r="J353" s="92">
        <v>80.0</v>
      </c>
      <c r="K353" s="92">
        <v>10.0</v>
      </c>
      <c r="L353" s="69" t="s">
        <v>41</v>
      </c>
      <c r="M353" s="69" t="s">
        <v>38</v>
      </c>
      <c r="N353" s="70"/>
      <c r="O353" s="70"/>
      <c r="P353" s="115"/>
      <c r="Q353" s="70"/>
      <c r="R353" s="59" t="str">
        <f t="shared" si="4"/>
        <v>Active</v>
      </c>
      <c r="S353" s="88">
        <f t="shared" si="35"/>
        <v>45783</v>
      </c>
      <c r="T353" s="65">
        <f t="shared" si="5"/>
        <v>0</v>
      </c>
      <c r="U353" s="88"/>
      <c r="V353" s="65"/>
    </row>
    <row r="354">
      <c r="A354" s="74" t="s">
        <v>474</v>
      </c>
      <c r="B354" s="75" t="s">
        <v>35</v>
      </c>
      <c r="C354" s="75" t="s">
        <v>36</v>
      </c>
      <c r="D354" s="76" t="str">
        <f t="shared" si="19"/>
        <v>Active</v>
      </c>
      <c r="E354" s="90">
        <v>45778.0</v>
      </c>
      <c r="F354" s="78"/>
      <c r="G354" s="79">
        <f t="shared" si="2"/>
        <v>17.16666667</v>
      </c>
      <c r="H354" s="80">
        <v>43571.0</v>
      </c>
      <c r="I354" s="79">
        <f t="shared" si="3"/>
        <v>6.041666667</v>
      </c>
      <c r="J354" s="89">
        <v>81.0</v>
      </c>
      <c r="K354" s="89">
        <v>15.0</v>
      </c>
      <c r="L354" s="82" t="s">
        <v>249</v>
      </c>
      <c r="M354" s="82" t="s">
        <v>38</v>
      </c>
      <c r="N354" s="84"/>
      <c r="O354" s="84"/>
      <c r="P354" s="118"/>
      <c r="Q354" s="84"/>
      <c r="R354" s="76" t="str">
        <f t="shared" si="4"/>
        <v>Active</v>
      </c>
      <c r="S354" s="90">
        <f t="shared" si="35"/>
        <v>45778</v>
      </c>
      <c r="T354" s="79">
        <f t="shared" si="5"/>
        <v>0</v>
      </c>
      <c r="U354" s="90"/>
      <c r="V354" s="79"/>
    </row>
    <row r="355">
      <c r="A355" s="53" t="s">
        <v>475</v>
      </c>
      <c r="B355" s="54" t="s">
        <v>35</v>
      </c>
      <c r="C355" s="54" t="s">
        <v>36</v>
      </c>
      <c r="D355" s="59" t="str">
        <f t="shared" si="19"/>
        <v>Active</v>
      </c>
      <c r="E355" s="88">
        <v>45778.0</v>
      </c>
      <c r="F355" s="62"/>
      <c r="G355" s="65">
        <f t="shared" si="2"/>
        <v>17.16666667</v>
      </c>
      <c r="H355" s="67">
        <v>44862.0</v>
      </c>
      <c r="I355" s="65">
        <f t="shared" si="3"/>
        <v>2.508333333</v>
      </c>
      <c r="J355" s="92">
        <v>75.0</v>
      </c>
      <c r="K355" s="92">
        <v>8.0</v>
      </c>
      <c r="L355" s="69" t="s">
        <v>37</v>
      </c>
      <c r="M355" s="69"/>
      <c r="N355" s="70"/>
      <c r="O355" s="70"/>
      <c r="P355" s="115"/>
      <c r="Q355" s="70"/>
      <c r="R355" s="59" t="str">
        <f t="shared" si="4"/>
        <v>Active</v>
      </c>
      <c r="S355" s="88">
        <v>45917.0</v>
      </c>
      <c r="T355" s="65">
        <f t="shared" si="5"/>
        <v>4.533333333</v>
      </c>
      <c r="U355" s="88"/>
      <c r="V355" s="65"/>
    </row>
    <row r="356">
      <c r="A356" s="74" t="s">
        <v>476</v>
      </c>
      <c r="B356" s="75" t="s">
        <v>35</v>
      </c>
      <c r="C356" s="75" t="s">
        <v>36</v>
      </c>
      <c r="D356" s="76" t="str">
        <f t="shared" si="19"/>
        <v>Active</v>
      </c>
      <c r="E356" s="90">
        <v>45777.0</v>
      </c>
      <c r="F356" s="78"/>
      <c r="G356" s="79">
        <f t="shared" si="2"/>
        <v>17.2</v>
      </c>
      <c r="H356" s="80">
        <v>41961.0</v>
      </c>
      <c r="I356" s="79">
        <f t="shared" si="3"/>
        <v>10.45</v>
      </c>
      <c r="J356" s="89">
        <v>85.0</v>
      </c>
      <c r="K356" s="89">
        <v>18.0</v>
      </c>
      <c r="L356" s="82" t="s">
        <v>37</v>
      </c>
      <c r="M356" s="82"/>
      <c r="N356" s="84"/>
      <c r="O356" s="84"/>
      <c r="P356" s="118"/>
      <c r="Q356" s="84"/>
      <c r="R356" s="76" t="str">
        <f t="shared" si="4"/>
        <v>Active</v>
      </c>
      <c r="S356" s="90">
        <f>E356</f>
        <v>45777</v>
      </c>
      <c r="T356" s="79">
        <f t="shared" si="5"/>
        <v>0</v>
      </c>
      <c r="U356" s="90"/>
      <c r="V356" s="79"/>
    </row>
    <row r="357">
      <c r="A357" s="53" t="s">
        <v>477</v>
      </c>
      <c r="B357" s="54" t="s">
        <v>35</v>
      </c>
      <c r="C357" s="54" t="s">
        <v>36</v>
      </c>
      <c r="D357" s="59" t="str">
        <f t="shared" si="19"/>
        <v>Active</v>
      </c>
      <c r="E357" s="88">
        <v>45776.0</v>
      </c>
      <c r="F357" s="62"/>
      <c r="G357" s="65">
        <f t="shared" si="2"/>
        <v>17.23333333</v>
      </c>
      <c r="H357" s="67">
        <v>45776.0</v>
      </c>
      <c r="I357" s="65">
        <f t="shared" si="3"/>
        <v>0</v>
      </c>
      <c r="J357" s="92">
        <v>73.0</v>
      </c>
      <c r="K357" s="92">
        <v>15.0</v>
      </c>
      <c r="L357" s="69" t="s">
        <v>478</v>
      </c>
      <c r="M357" s="69" t="s">
        <v>38</v>
      </c>
      <c r="N357" s="70" t="s">
        <v>479</v>
      </c>
      <c r="O357" s="70"/>
      <c r="P357" s="115"/>
      <c r="Q357" s="70"/>
      <c r="R357" s="59" t="str">
        <f t="shared" si="4"/>
        <v>TBD</v>
      </c>
      <c r="S357" s="88"/>
      <c r="T357" s="65">
        <f t="shared" si="5"/>
        <v>17.23333333</v>
      </c>
      <c r="U357" s="88"/>
      <c r="V357" s="65"/>
    </row>
    <row r="358">
      <c r="A358" s="74" t="s">
        <v>480</v>
      </c>
      <c r="B358" s="75" t="s">
        <v>35</v>
      </c>
      <c r="C358" s="75" t="s">
        <v>36</v>
      </c>
      <c r="D358" s="76" t="str">
        <f t="shared" si="19"/>
        <v>Active</v>
      </c>
      <c r="E358" s="90">
        <v>45769.0</v>
      </c>
      <c r="F358" s="78"/>
      <c r="G358" s="79">
        <f t="shared" si="2"/>
        <v>17.46666667</v>
      </c>
      <c r="H358" s="80">
        <v>45769.0</v>
      </c>
      <c r="I358" s="79">
        <f t="shared" si="3"/>
        <v>0</v>
      </c>
      <c r="J358" s="89">
        <v>82.0</v>
      </c>
      <c r="K358" s="89">
        <v>14.0</v>
      </c>
      <c r="L358" s="82" t="s">
        <v>46</v>
      </c>
      <c r="M358" s="82" t="s">
        <v>38</v>
      </c>
      <c r="N358" s="84"/>
      <c r="O358" s="84"/>
      <c r="P358" s="118"/>
      <c r="Q358" s="84"/>
      <c r="R358" s="76" t="str">
        <f t="shared" si="4"/>
        <v>Active</v>
      </c>
      <c r="S358" s="90">
        <v>46128.0</v>
      </c>
      <c r="T358" s="79">
        <f t="shared" si="5"/>
        <v>11.8</v>
      </c>
      <c r="U358" s="90"/>
      <c r="V358" s="79"/>
    </row>
    <row r="359">
      <c r="A359" s="53" t="s">
        <v>481</v>
      </c>
      <c r="B359" s="54" t="s">
        <v>35</v>
      </c>
      <c r="C359" s="54" t="s">
        <v>36</v>
      </c>
      <c r="D359" s="59" t="str">
        <f t="shared" si="19"/>
        <v>Active</v>
      </c>
      <c r="E359" s="88">
        <v>45764.0</v>
      </c>
      <c r="F359" s="62"/>
      <c r="G359" s="65">
        <f t="shared" si="2"/>
        <v>17.63333333</v>
      </c>
      <c r="H359" s="67">
        <v>45764.0</v>
      </c>
      <c r="I359" s="65">
        <f t="shared" si="3"/>
        <v>0</v>
      </c>
      <c r="J359" s="92">
        <v>74.0</v>
      </c>
      <c r="K359" s="92">
        <v>5.0</v>
      </c>
      <c r="L359" s="69" t="s">
        <v>482</v>
      </c>
      <c r="M359" s="69"/>
      <c r="N359" s="70"/>
      <c r="O359" s="70"/>
      <c r="P359" s="115"/>
      <c r="Q359" s="70"/>
      <c r="R359" s="59" t="str">
        <f t="shared" si="4"/>
        <v>TBD</v>
      </c>
      <c r="S359" s="88"/>
      <c r="T359" s="65">
        <f t="shared" si="5"/>
        <v>17.63333333</v>
      </c>
      <c r="U359" s="88"/>
      <c r="V359" s="65"/>
    </row>
    <row r="360">
      <c r="A360" s="74" t="s">
        <v>483</v>
      </c>
      <c r="B360" s="75" t="s">
        <v>35</v>
      </c>
      <c r="C360" s="75" t="s">
        <v>36</v>
      </c>
      <c r="D360" s="76" t="str">
        <f t="shared" si="19"/>
        <v>Active</v>
      </c>
      <c r="E360" s="90">
        <v>45763.0</v>
      </c>
      <c r="F360" s="78"/>
      <c r="G360" s="79">
        <f t="shared" si="2"/>
        <v>17.66666667</v>
      </c>
      <c r="H360" s="80">
        <v>45569.0</v>
      </c>
      <c r="I360" s="79">
        <f t="shared" si="3"/>
        <v>0.5333333333</v>
      </c>
      <c r="J360" s="89">
        <v>67.0</v>
      </c>
      <c r="K360" s="89">
        <v>4.0</v>
      </c>
      <c r="L360" s="82" t="s">
        <v>57</v>
      </c>
      <c r="M360" s="82"/>
      <c r="N360" s="84"/>
      <c r="O360" s="84"/>
      <c r="P360" s="118"/>
      <c r="Q360" s="84"/>
      <c r="R360" s="76" t="str">
        <f t="shared" si="4"/>
        <v>Active</v>
      </c>
      <c r="S360" s="90">
        <f>E360</f>
        <v>45763</v>
      </c>
      <c r="T360" s="79">
        <f t="shared" si="5"/>
        <v>0</v>
      </c>
      <c r="U360" s="90"/>
      <c r="V360" s="79"/>
    </row>
    <row r="361">
      <c r="A361" s="53" t="s">
        <v>484</v>
      </c>
      <c r="B361" s="54" t="s">
        <v>35</v>
      </c>
      <c r="C361" s="54" t="s">
        <v>36</v>
      </c>
      <c r="D361" s="59" t="str">
        <f t="shared" si="19"/>
        <v>Active</v>
      </c>
      <c r="E361" s="88">
        <v>45757.0</v>
      </c>
      <c r="F361" s="62"/>
      <c r="G361" s="65">
        <f t="shared" si="2"/>
        <v>17.86666667</v>
      </c>
      <c r="H361" s="67">
        <v>45757.0</v>
      </c>
      <c r="I361" s="65">
        <f t="shared" si="3"/>
        <v>0</v>
      </c>
      <c r="J361" s="92">
        <v>93.0</v>
      </c>
      <c r="K361" s="92">
        <v>14.0</v>
      </c>
      <c r="L361" s="69" t="s">
        <v>41</v>
      </c>
      <c r="M361" s="69" t="s">
        <v>38</v>
      </c>
      <c r="N361" s="70"/>
      <c r="O361" s="70"/>
      <c r="P361" s="115"/>
      <c r="Q361" s="70"/>
      <c r="R361" s="59" t="str">
        <f t="shared" si="4"/>
        <v>TBD</v>
      </c>
      <c r="S361" s="88"/>
      <c r="T361" s="65">
        <f t="shared" si="5"/>
        <v>17.86666667</v>
      </c>
      <c r="U361" s="88"/>
      <c r="V361" s="65"/>
    </row>
    <row r="362">
      <c r="A362" s="74" t="s">
        <v>485</v>
      </c>
      <c r="B362" s="75" t="s">
        <v>129</v>
      </c>
      <c r="C362" s="132"/>
      <c r="D362" s="76" t="str">
        <f t="shared" si="19"/>
        <v>Active</v>
      </c>
      <c r="E362" s="90">
        <v>45762.0</v>
      </c>
      <c r="F362" s="78"/>
      <c r="G362" s="79">
        <f t="shared" si="2"/>
        <v>17.7</v>
      </c>
      <c r="H362" s="80">
        <v>45757.0</v>
      </c>
      <c r="I362" s="79">
        <f t="shared" si="3"/>
        <v>0.01388888889</v>
      </c>
      <c r="J362" s="89">
        <v>66.0</v>
      </c>
      <c r="K362" s="89">
        <v>15.0</v>
      </c>
      <c r="L362" s="82" t="s">
        <v>62</v>
      </c>
      <c r="M362" s="82"/>
      <c r="N362" s="84"/>
      <c r="O362" s="84"/>
      <c r="P362" s="118"/>
      <c r="Q362" s="84"/>
      <c r="R362" s="76" t="str">
        <f t="shared" si="4"/>
        <v>TBD</v>
      </c>
      <c r="S362" s="90"/>
      <c r="T362" s="79">
        <f t="shared" si="5"/>
        <v>17.7</v>
      </c>
      <c r="U362" s="90"/>
      <c r="V362" s="79"/>
    </row>
    <row r="363">
      <c r="A363" s="53" t="s">
        <v>486</v>
      </c>
      <c r="B363" s="54" t="s">
        <v>35</v>
      </c>
      <c r="C363" s="54"/>
      <c r="D363" s="59" t="str">
        <f t="shared" si="19"/>
        <v>Active</v>
      </c>
      <c r="E363" s="88">
        <v>45755.0</v>
      </c>
      <c r="F363" s="62"/>
      <c r="G363" s="65">
        <f t="shared" si="2"/>
        <v>17.93333333</v>
      </c>
      <c r="H363" s="67">
        <v>41870.0</v>
      </c>
      <c r="I363" s="65">
        <f t="shared" si="3"/>
        <v>10.63611111</v>
      </c>
      <c r="J363" s="92">
        <v>90.0</v>
      </c>
      <c r="K363" s="92">
        <v>19.0</v>
      </c>
      <c r="L363" s="69" t="s">
        <v>46</v>
      </c>
      <c r="M363" s="69"/>
      <c r="N363" s="70"/>
      <c r="O363" s="70"/>
      <c r="P363" s="115"/>
      <c r="Q363" s="70"/>
      <c r="R363" s="59" t="str">
        <f t="shared" si="4"/>
        <v>Active</v>
      </c>
      <c r="S363" s="88">
        <f>E363</f>
        <v>45755</v>
      </c>
      <c r="T363" s="65">
        <f t="shared" si="5"/>
        <v>0</v>
      </c>
      <c r="U363" s="88"/>
      <c r="V363" s="65"/>
    </row>
    <row r="364">
      <c r="A364" s="74" t="s">
        <v>487</v>
      </c>
      <c r="B364" s="75" t="s">
        <v>35</v>
      </c>
      <c r="C364" s="75"/>
      <c r="D364" s="76" t="str">
        <f t="shared" si="19"/>
        <v>Active</v>
      </c>
      <c r="E364" s="90">
        <v>45755.0</v>
      </c>
      <c r="F364" s="78"/>
      <c r="G364" s="79">
        <f t="shared" si="2"/>
        <v>17.93333333</v>
      </c>
      <c r="H364" s="80">
        <v>45755.0</v>
      </c>
      <c r="I364" s="79">
        <f t="shared" si="3"/>
        <v>0</v>
      </c>
      <c r="J364" s="89">
        <v>77.0</v>
      </c>
      <c r="K364" s="89">
        <v>10.0</v>
      </c>
      <c r="L364" s="82" t="s">
        <v>41</v>
      </c>
      <c r="M364" s="82" t="s">
        <v>38</v>
      </c>
      <c r="N364" s="84"/>
      <c r="O364" s="84"/>
      <c r="P364" s="118"/>
      <c r="Q364" s="84"/>
      <c r="R364" s="76" t="str">
        <f t="shared" si="4"/>
        <v>Active</v>
      </c>
      <c r="S364" s="90">
        <v>46099.0</v>
      </c>
      <c r="T364" s="79">
        <f t="shared" si="5"/>
        <v>11.33333333</v>
      </c>
      <c r="U364" s="90"/>
      <c r="V364" s="79"/>
    </row>
    <row r="365">
      <c r="A365" s="53" t="s">
        <v>488</v>
      </c>
      <c r="B365" s="54" t="s">
        <v>129</v>
      </c>
      <c r="C365" s="54" t="s">
        <v>36</v>
      </c>
      <c r="D365" s="59" t="str">
        <f t="shared" si="19"/>
        <v>Active</v>
      </c>
      <c r="E365" s="61">
        <v>45743.0</v>
      </c>
      <c r="F365" s="123"/>
      <c r="G365" s="65">
        <f t="shared" si="2"/>
        <v>18.3</v>
      </c>
      <c r="H365" s="67">
        <v>45492.0</v>
      </c>
      <c r="I365" s="65">
        <f t="shared" si="3"/>
        <v>0.6888888889</v>
      </c>
      <c r="J365" s="92">
        <v>83.0</v>
      </c>
      <c r="K365" s="92">
        <v>11.0</v>
      </c>
      <c r="L365" s="69" t="s">
        <v>62</v>
      </c>
      <c r="M365" s="69" t="s">
        <v>38</v>
      </c>
      <c r="N365" s="70"/>
      <c r="O365" s="70"/>
      <c r="P365" s="115"/>
      <c r="Q365" s="70"/>
      <c r="R365" s="59" t="str">
        <f t="shared" si="4"/>
        <v>TBD</v>
      </c>
      <c r="S365" s="88"/>
      <c r="T365" s="65">
        <f t="shared" si="5"/>
        <v>18.3</v>
      </c>
      <c r="U365" s="88"/>
      <c r="V365" s="65"/>
    </row>
    <row r="366">
      <c r="A366" s="74" t="s">
        <v>489</v>
      </c>
      <c r="B366" s="75" t="s">
        <v>35</v>
      </c>
      <c r="C366" s="75" t="s">
        <v>36</v>
      </c>
      <c r="D366" s="76" t="str">
        <f t="shared" si="19"/>
        <v>Active</v>
      </c>
      <c r="E366" s="90">
        <v>45741.0</v>
      </c>
      <c r="F366" s="125"/>
      <c r="G366" s="79">
        <f t="shared" si="2"/>
        <v>18.36666667</v>
      </c>
      <c r="H366" s="80">
        <v>44246.0</v>
      </c>
      <c r="I366" s="79">
        <f t="shared" si="3"/>
        <v>4.1</v>
      </c>
      <c r="J366" s="89">
        <v>75.0</v>
      </c>
      <c r="K366" s="89">
        <v>5.0</v>
      </c>
      <c r="L366" s="82" t="s">
        <v>354</v>
      </c>
      <c r="M366" s="82"/>
      <c r="N366" s="84" t="s">
        <v>490</v>
      </c>
      <c r="O366" s="84"/>
      <c r="P366" s="118"/>
      <c r="Q366" s="84"/>
      <c r="R366" s="76" t="str">
        <f t="shared" si="4"/>
        <v>Active</v>
      </c>
      <c r="S366" s="90">
        <f>E366</f>
        <v>45741</v>
      </c>
      <c r="T366" s="79">
        <f t="shared" si="5"/>
        <v>0</v>
      </c>
      <c r="U366" s="90"/>
      <c r="V366" s="79"/>
    </row>
    <row r="367">
      <c r="A367" s="53" t="s">
        <v>491</v>
      </c>
      <c r="B367" s="54" t="s">
        <v>35</v>
      </c>
      <c r="C367" s="54" t="s">
        <v>36</v>
      </c>
      <c r="D367" s="59" t="str">
        <f t="shared" si="19"/>
        <v>Active</v>
      </c>
      <c r="E367" s="88">
        <v>45734.0</v>
      </c>
      <c r="F367" s="123"/>
      <c r="G367" s="65">
        <f t="shared" si="2"/>
        <v>18.6</v>
      </c>
      <c r="H367" s="67">
        <v>45734.0</v>
      </c>
      <c r="I367" s="65">
        <f t="shared" si="3"/>
        <v>0</v>
      </c>
      <c r="J367" s="92">
        <v>79.0</v>
      </c>
      <c r="K367" s="92">
        <v>5.0</v>
      </c>
      <c r="L367" s="69" t="s">
        <v>46</v>
      </c>
      <c r="M367" s="69" t="s">
        <v>38</v>
      </c>
      <c r="N367" s="70" t="s">
        <v>492</v>
      </c>
      <c r="O367" s="70"/>
      <c r="P367" s="115"/>
      <c r="Q367" s="70"/>
      <c r="R367" s="59" t="str">
        <f t="shared" si="4"/>
        <v>Active</v>
      </c>
      <c r="S367" s="88">
        <v>45995.0</v>
      </c>
      <c r="T367" s="65">
        <f t="shared" si="5"/>
        <v>8.533333333</v>
      </c>
      <c r="U367" s="88"/>
      <c r="V367" s="65"/>
    </row>
    <row r="368">
      <c r="A368" s="74" t="s">
        <v>493</v>
      </c>
      <c r="B368" s="75" t="s">
        <v>35</v>
      </c>
      <c r="C368" s="75" t="s">
        <v>36</v>
      </c>
      <c r="D368" s="76" t="str">
        <f t="shared" si="19"/>
        <v>Active</v>
      </c>
      <c r="E368" s="90">
        <v>45713.0</v>
      </c>
      <c r="F368" s="125"/>
      <c r="G368" s="79">
        <f t="shared" si="2"/>
        <v>19.36666667</v>
      </c>
      <c r="H368" s="80">
        <v>44133.0</v>
      </c>
      <c r="I368" s="79">
        <f t="shared" si="3"/>
        <v>4.322222222</v>
      </c>
      <c r="J368" s="89">
        <v>76.0</v>
      </c>
      <c r="K368" s="89">
        <v>18.0</v>
      </c>
      <c r="L368" s="82" t="s">
        <v>41</v>
      </c>
      <c r="M368" s="82"/>
      <c r="N368" s="84"/>
      <c r="O368" s="84"/>
      <c r="P368" s="118"/>
      <c r="Q368" s="84"/>
      <c r="R368" s="76" t="str">
        <f t="shared" si="4"/>
        <v>Active</v>
      </c>
      <c r="S368" s="90">
        <f t="shared" ref="S368:S369" si="36">E368</f>
        <v>45713</v>
      </c>
      <c r="T368" s="79">
        <f t="shared" si="5"/>
        <v>0</v>
      </c>
      <c r="U368" s="90"/>
      <c r="V368" s="79"/>
    </row>
    <row r="369">
      <c r="A369" s="53" t="s">
        <v>494</v>
      </c>
      <c r="B369" s="54" t="s">
        <v>35</v>
      </c>
      <c r="C369" s="54" t="s">
        <v>36</v>
      </c>
      <c r="D369" s="59" t="str">
        <f t="shared" si="19"/>
        <v>Active</v>
      </c>
      <c r="E369" s="88">
        <v>45712.0</v>
      </c>
      <c r="F369" s="123"/>
      <c r="G369" s="65">
        <f t="shared" si="2"/>
        <v>19.4</v>
      </c>
      <c r="H369" s="67">
        <v>45616.0</v>
      </c>
      <c r="I369" s="65">
        <f t="shared" si="3"/>
        <v>0.2611111111</v>
      </c>
      <c r="J369" s="92">
        <v>90.0</v>
      </c>
      <c r="K369" s="121">
        <v>7.0</v>
      </c>
      <c r="L369" s="69" t="s">
        <v>50</v>
      </c>
      <c r="M369" s="69"/>
      <c r="N369" s="70"/>
      <c r="O369" s="70"/>
      <c r="P369" s="115"/>
      <c r="Q369" s="70"/>
      <c r="R369" s="59" t="str">
        <f t="shared" si="4"/>
        <v>Active</v>
      </c>
      <c r="S369" s="88">
        <f t="shared" si="36"/>
        <v>45712</v>
      </c>
      <c r="T369" s="65">
        <f t="shared" si="5"/>
        <v>0</v>
      </c>
      <c r="U369" s="88"/>
      <c r="V369" s="65"/>
    </row>
    <row r="370">
      <c r="A370" s="74" t="s">
        <v>495</v>
      </c>
      <c r="B370" s="75" t="s">
        <v>35</v>
      </c>
      <c r="C370" s="75" t="s">
        <v>36</v>
      </c>
      <c r="D370" s="76" t="str">
        <f t="shared" si="19"/>
        <v>Active</v>
      </c>
      <c r="E370" s="90">
        <v>45708.0</v>
      </c>
      <c r="F370" s="125"/>
      <c r="G370" s="79">
        <f t="shared" si="2"/>
        <v>19.53333333</v>
      </c>
      <c r="H370" s="80">
        <v>45443.0</v>
      </c>
      <c r="I370" s="79">
        <f t="shared" si="3"/>
        <v>0.7222222222</v>
      </c>
      <c r="J370" s="89">
        <v>72.0</v>
      </c>
      <c r="K370" s="89">
        <v>7.0</v>
      </c>
      <c r="L370" s="82" t="s">
        <v>55</v>
      </c>
      <c r="M370" s="82"/>
      <c r="N370" s="84"/>
      <c r="O370" s="84"/>
      <c r="P370" s="118"/>
      <c r="Q370" s="84"/>
      <c r="R370" s="76" t="str">
        <f t="shared" si="4"/>
        <v>TBD</v>
      </c>
      <c r="S370" s="90"/>
      <c r="T370" s="79">
        <f t="shared" si="5"/>
        <v>19.53333333</v>
      </c>
      <c r="U370" s="90"/>
      <c r="V370" s="79"/>
    </row>
    <row r="371">
      <c r="A371" s="53" t="s">
        <v>496</v>
      </c>
      <c r="B371" s="54" t="s">
        <v>35</v>
      </c>
      <c r="C371" s="54" t="s">
        <v>36</v>
      </c>
      <c r="D371" s="59" t="str">
        <f t="shared" si="19"/>
        <v>Active</v>
      </c>
      <c r="E371" s="88">
        <v>45708.0</v>
      </c>
      <c r="F371" s="123"/>
      <c r="G371" s="65">
        <f t="shared" si="2"/>
        <v>19.53333333</v>
      </c>
      <c r="H371" s="67">
        <v>45559.0</v>
      </c>
      <c r="I371" s="65">
        <f t="shared" si="3"/>
        <v>0.4055555556</v>
      </c>
      <c r="J371" s="92">
        <v>86.0</v>
      </c>
      <c r="K371" s="92">
        <v>65.0</v>
      </c>
      <c r="L371" s="69" t="s">
        <v>46</v>
      </c>
      <c r="M371" s="69" t="s">
        <v>38</v>
      </c>
      <c r="N371" s="70"/>
      <c r="O371" s="70"/>
      <c r="P371" s="115"/>
      <c r="Q371" s="70"/>
      <c r="R371" s="59" t="str">
        <f t="shared" si="4"/>
        <v>Active</v>
      </c>
      <c r="S371" s="88">
        <f>E371</f>
        <v>45708</v>
      </c>
      <c r="T371" s="65">
        <f t="shared" si="5"/>
        <v>0</v>
      </c>
      <c r="U371" s="88"/>
      <c r="V371" s="65"/>
    </row>
    <row r="372">
      <c r="A372" s="74" t="s">
        <v>497</v>
      </c>
      <c r="B372" s="75" t="s">
        <v>35</v>
      </c>
      <c r="C372" s="75" t="s">
        <v>36</v>
      </c>
      <c r="D372" s="76" t="str">
        <f t="shared" si="19"/>
        <v>Active</v>
      </c>
      <c r="E372" s="90">
        <v>45706.0</v>
      </c>
      <c r="F372" s="125"/>
      <c r="G372" s="79">
        <f t="shared" si="2"/>
        <v>19.6</v>
      </c>
      <c r="H372" s="80">
        <v>45706.0</v>
      </c>
      <c r="I372" s="79">
        <f t="shared" si="3"/>
        <v>0</v>
      </c>
      <c r="J372" s="89">
        <v>81.0</v>
      </c>
      <c r="K372" s="89">
        <v>17.0</v>
      </c>
      <c r="L372" s="82" t="s">
        <v>46</v>
      </c>
      <c r="M372" s="82" t="s">
        <v>38</v>
      </c>
      <c r="N372" s="84"/>
      <c r="O372" s="84"/>
      <c r="P372" s="118"/>
      <c r="Q372" s="84"/>
      <c r="R372" s="76" t="str">
        <f t="shared" si="4"/>
        <v>Active</v>
      </c>
      <c r="S372" s="90">
        <v>46070.0</v>
      </c>
      <c r="T372" s="79">
        <f t="shared" si="5"/>
        <v>11.96666667</v>
      </c>
      <c r="U372" s="90"/>
      <c r="V372" s="79"/>
    </row>
    <row r="373">
      <c r="A373" s="53" t="s">
        <v>498</v>
      </c>
      <c r="B373" s="54" t="s">
        <v>35</v>
      </c>
      <c r="C373" s="54" t="s">
        <v>36</v>
      </c>
      <c r="D373" s="59" t="str">
        <f t="shared" si="19"/>
        <v>Active</v>
      </c>
      <c r="E373" s="61">
        <v>45701.0</v>
      </c>
      <c r="F373" s="133"/>
      <c r="G373" s="65">
        <f t="shared" si="2"/>
        <v>19.76666667</v>
      </c>
      <c r="H373" s="88">
        <v>43445.0</v>
      </c>
      <c r="I373" s="65">
        <f t="shared" si="3"/>
        <v>6.172222222</v>
      </c>
      <c r="J373" s="121">
        <v>84.0</v>
      </c>
      <c r="K373" s="121">
        <v>28.5</v>
      </c>
      <c r="L373" s="69" t="s">
        <v>81</v>
      </c>
      <c r="M373" s="91"/>
      <c r="N373" s="69" t="s">
        <v>499</v>
      </c>
      <c r="O373" s="91"/>
      <c r="P373" s="134"/>
      <c r="Q373" s="91"/>
      <c r="R373" s="59" t="str">
        <f t="shared" si="4"/>
        <v>TBD</v>
      </c>
      <c r="S373" s="88"/>
      <c r="T373" s="65">
        <f t="shared" si="5"/>
        <v>19.76666667</v>
      </c>
      <c r="U373" s="88"/>
      <c r="V373" s="65"/>
    </row>
    <row r="374">
      <c r="A374" s="74" t="s">
        <v>500</v>
      </c>
      <c r="B374" s="75" t="s">
        <v>35</v>
      </c>
      <c r="C374" s="75" t="s">
        <v>36</v>
      </c>
      <c r="D374" s="76" t="str">
        <f t="shared" si="19"/>
        <v>Active</v>
      </c>
      <c r="E374" s="90">
        <v>45694.0</v>
      </c>
      <c r="F374" s="125"/>
      <c r="G374" s="79">
        <f t="shared" si="2"/>
        <v>20</v>
      </c>
      <c r="H374" s="80">
        <v>45520.0</v>
      </c>
      <c r="I374" s="79">
        <f t="shared" si="3"/>
        <v>0.4722222222</v>
      </c>
      <c r="J374" s="89">
        <v>70.0</v>
      </c>
      <c r="K374" s="89">
        <v>3.1</v>
      </c>
      <c r="L374" s="82" t="s">
        <v>62</v>
      </c>
      <c r="M374" s="82"/>
      <c r="N374" s="84"/>
      <c r="O374" s="84"/>
      <c r="P374" s="118"/>
      <c r="Q374" s="84"/>
      <c r="R374" s="76" t="str">
        <f t="shared" si="4"/>
        <v>TBD</v>
      </c>
      <c r="S374" s="90"/>
      <c r="T374" s="79">
        <f t="shared" si="5"/>
        <v>20</v>
      </c>
      <c r="U374" s="90"/>
      <c r="V374" s="79"/>
    </row>
    <row r="375">
      <c r="A375" s="53" t="s">
        <v>501</v>
      </c>
      <c r="B375" s="54" t="s">
        <v>35</v>
      </c>
      <c r="C375" s="54" t="s">
        <v>36</v>
      </c>
      <c r="D375" s="59" t="str">
        <f t="shared" si="19"/>
        <v>Active</v>
      </c>
      <c r="E375" s="88">
        <v>45692.0</v>
      </c>
      <c r="F375" s="123"/>
      <c r="G375" s="65">
        <f t="shared" si="2"/>
        <v>20.06666667</v>
      </c>
      <c r="H375" s="67">
        <v>43511.0</v>
      </c>
      <c r="I375" s="65">
        <f t="shared" si="3"/>
        <v>5.969444444</v>
      </c>
      <c r="J375" s="92">
        <v>71.0</v>
      </c>
      <c r="K375" s="92">
        <v>11.0</v>
      </c>
      <c r="L375" s="69" t="s">
        <v>37</v>
      </c>
      <c r="M375" s="69"/>
      <c r="N375" s="70"/>
      <c r="O375" s="70"/>
      <c r="P375" s="115"/>
      <c r="Q375" s="70"/>
      <c r="R375" s="59" t="str">
        <f t="shared" si="4"/>
        <v>Active</v>
      </c>
      <c r="S375" s="88">
        <f>E375</f>
        <v>45692</v>
      </c>
      <c r="T375" s="65">
        <f t="shared" si="5"/>
        <v>0</v>
      </c>
      <c r="U375" s="88"/>
      <c r="V375" s="65"/>
    </row>
    <row r="376">
      <c r="A376" s="74" t="s">
        <v>510</v>
      </c>
      <c r="B376" s="75" t="s">
        <v>35</v>
      </c>
      <c r="C376" s="75" t="s">
        <v>36</v>
      </c>
      <c r="D376" s="76" t="str">
        <f t="shared" si="19"/>
        <v>Active</v>
      </c>
      <c r="E376" s="90">
        <v>45685.0</v>
      </c>
      <c r="F376" s="125"/>
      <c r="G376" s="79">
        <f t="shared" si="2"/>
        <v>20.26666667</v>
      </c>
      <c r="H376" s="80">
        <v>45685.0</v>
      </c>
      <c r="I376" s="79">
        <f t="shared" si="3"/>
        <v>0</v>
      </c>
      <c r="J376" s="89">
        <v>68.0</v>
      </c>
      <c r="K376" s="89">
        <v>18.0</v>
      </c>
      <c r="L376" s="82" t="s">
        <v>41</v>
      </c>
      <c r="M376" s="82"/>
      <c r="N376" s="84"/>
      <c r="O376" s="84"/>
      <c r="P376" s="118"/>
      <c r="Q376" s="84"/>
      <c r="R376" s="76" t="str">
        <f t="shared" si="4"/>
        <v>Active</v>
      </c>
      <c r="S376" s="90">
        <v>45945.0</v>
      </c>
      <c r="T376" s="79">
        <f t="shared" si="5"/>
        <v>8.566666667</v>
      </c>
      <c r="U376" s="90"/>
      <c r="V376" s="79"/>
    </row>
    <row r="377" ht="16.5" customHeight="1">
      <c r="A377" s="53" t="s">
        <v>542</v>
      </c>
      <c r="B377" s="54" t="s">
        <v>35</v>
      </c>
      <c r="C377" s="54" t="s">
        <v>36</v>
      </c>
      <c r="D377" s="59" t="str">
        <f t="shared" si="19"/>
        <v>Active</v>
      </c>
      <c r="E377" s="88">
        <v>45680.0</v>
      </c>
      <c r="F377" s="123"/>
      <c r="G377" s="65">
        <f t="shared" si="2"/>
        <v>20.43333333</v>
      </c>
      <c r="H377" s="67">
        <v>45680.0</v>
      </c>
      <c r="I377" s="65">
        <f t="shared" si="3"/>
        <v>0</v>
      </c>
      <c r="J377" s="92">
        <v>80.0</v>
      </c>
      <c r="K377" s="92">
        <v>10.0</v>
      </c>
      <c r="L377" s="69" t="s">
        <v>41</v>
      </c>
      <c r="M377" s="69"/>
      <c r="N377" s="70"/>
      <c r="O377" s="70"/>
      <c r="P377" s="115"/>
      <c r="Q377" s="70"/>
      <c r="R377" s="59" t="str">
        <f t="shared" si="4"/>
        <v>Active</v>
      </c>
      <c r="S377" s="88">
        <v>45945.0</v>
      </c>
      <c r="T377" s="65">
        <f t="shared" si="5"/>
        <v>8.733333333</v>
      </c>
      <c r="U377" s="88"/>
      <c r="V377" s="65"/>
    </row>
    <row r="378">
      <c r="A378" s="74" t="s">
        <v>579</v>
      </c>
      <c r="B378" s="75" t="s">
        <v>13</v>
      </c>
      <c r="C378" s="75"/>
      <c r="D378" s="76" t="str">
        <f t="shared" si="19"/>
        <v>Active</v>
      </c>
      <c r="E378" s="90">
        <v>45671.0</v>
      </c>
      <c r="F378" s="125"/>
      <c r="G378" s="79">
        <f t="shared" si="2"/>
        <v>20.73333333</v>
      </c>
      <c r="H378" s="80">
        <v>35430.0</v>
      </c>
      <c r="I378" s="79">
        <f t="shared" si="3"/>
        <v>28.03888889</v>
      </c>
      <c r="J378" s="89">
        <v>94.0</v>
      </c>
      <c r="K378" s="89">
        <v>7.0</v>
      </c>
      <c r="L378" s="82" t="s">
        <v>46</v>
      </c>
      <c r="M378" s="82"/>
      <c r="N378" s="84"/>
      <c r="O378" s="84"/>
      <c r="P378" s="118"/>
      <c r="Q378" s="84"/>
      <c r="R378" s="102" t="str">
        <f t="shared" si="4"/>
        <v>Active</v>
      </c>
      <c r="S378" s="112">
        <v>45931.0</v>
      </c>
      <c r="T378" s="79">
        <f t="shared" si="5"/>
        <v>8.566666667</v>
      </c>
      <c r="U378" s="112"/>
      <c r="V378" s="79"/>
    </row>
    <row r="379">
      <c r="A379" s="53" t="s">
        <v>598</v>
      </c>
      <c r="B379" s="54" t="s">
        <v>129</v>
      </c>
      <c r="C379" s="54" t="s">
        <v>36</v>
      </c>
      <c r="D379" s="59" t="str">
        <f t="shared" si="19"/>
        <v>Active</v>
      </c>
      <c r="E379" s="88">
        <v>45671.0</v>
      </c>
      <c r="F379" s="123"/>
      <c r="G379" s="65">
        <f t="shared" si="2"/>
        <v>20.73333333</v>
      </c>
      <c r="H379" s="67">
        <v>45226.0</v>
      </c>
      <c r="I379" s="65">
        <f t="shared" si="3"/>
        <v>1.213888889</v>
      </c>
      <c r="J379" s="92">
        <v>78.0</v>
      </c>
      <c r="K379" s="92">
        <v>14.0</v>
      </c>
      <c r="L379" s="69" t="s">
        <v>52</v>
      </c>
      <c r="M379" s="69" t="s">
        <v>38</v>
      </c>
      <c r="N379" s="70"/>
      <c r="O379" s="70"/>
      <c r="P379" s="115"/>
      <c r="Q379" s="70"/>
      <c r="R379" s="59" t="str">
        <f t="shared" si="4"/>
        <v>TBD</v>
      </c>
      <c r="S379" s="88"/>
      <c r="T379" s="65">
        <f t="shared" si="5"/>
        <v>20.73333333</v>
      </c>
      <c r="U379" s="88"/>
      <c r="V379" s="65"/>
    </row>
    <row r="380">
      <c r="A380" s="74" t="s">
        <v>603</v>
      </c>
      <c r="B380" s="75" t="s">
        <v>35</v>
      </c>
      <c r="C380" s="75" t="s">
        <v>36</v>
      </c>
      <c r="D380" s="76" t="str">
        <f t="shared" si="19"/>
        <v>Active</v>
      </c>
      <c r="E380" s="90">
        <v>45638.0</v>
      </c>
      <c r="F380" s="78"/>
      <c r="G380" s="79">
        <f t="shared" si="2"/>
        <v>21.8</v>
      </c>
      <c r="H380" s="90">
        <v>45232.0</v>
      </c>
      <c r="I380" s="79">
        <f t="shared" si="3"/>
        <v>1.111111111</v>
      </c>
      <c r="J380" s="89">
        <v>76.0</v>
      </c>
      <c r="K380" s="89">
        <v>15.0</v>
      </c>
      <c r="L380" s="82" t="s">
        <v>617</v>
      </c>
      <c r="M380" s="82"/>
      <c r="N380" s="84"/>
      <c r="O380" s="84"/>
      <c r="P380" s="118"/>
      <c r="Q380" s="84"/>
      <c r="R380" s="76" t="str">
        <f t="shared" si="4"/>
        <v>Active</v>
      </c>
      <c r="S380" s="90">
        <v>45917.0</v>
      </c>
      <c r="T380" s="79">
        <f t="shared" si="5"/>
        <v>9.166666667</v>
      </c>
      <c r="U380" s="90"/>
      <c r="V380" s="79"/>
    </row>
    <row r="381">
      <c r="A381" s="53" t="s">
        <v>625</v>
      </c>
      <c r="B381" s="54" t="s">
        <v>35</v>
      </c>
      <c r="C381" s="54" t="s">
        <v>36</v>
      </c>
      <c r="D381" s="59" t="str">
        <f t="shared" si="19"/>
        <v>Active</v>
      </c>
      <c r="E381" s="88">
        <v>45635.0</v>
      </c>
      <c r="F381" s="62"/>
      <c r="G381" s="65">
        <f t="shared" si="2"/>
        <v>21.9</v>
      </c>
      <c r="H381" s="88">
        <v>45635.0</v>
      </c>
      <c r="I381" s="65">
        <f t="shared" si="3"/>
        <v>0</v>
      </c>
      <c r="J381" s="92">
        <v>86.0</v>
      </c>
      <c r="K381" s="92">
        <v>15.0</v>
      </c>
      <c r="L381" s="69" t="s">
        <v>41</v>
      </c>
      <c r="M381" s="69" t="s">
        <v>38</v>
      </c>
      <c r="N381" s="70" t="s">
        <v>640</v>
      </c>
      <c r="O381" s="70"/>
      <c r="P381" s="70"/>
      <c r="Q381" s="70"/>
      <c r="R381" s="59" t="str">
        <f t="shared" si="4"/>
        <v>Active</v>
      </c>
      <c r="S381" s="88">
        <v>45995.0</v>
      </c>
      <c r="T381" s="65">
        <f t="shared" si="5"/>
        <v>11.83333333</v>
      </c>
      <c r="U381" s="88"/>
      <c r="V381" s="65"/>
    </row>
    <row r="382">
      <c r="A382" s="74" t="s">
        <v>658</v>
      </c>
      <c r="B382" s="75" t="s">
        <v>35</v>
      </c>
      <c r="C382" s="75" t="s">
        <v>36</v>
      </c>
      <c r="D382" s="76" t="str">
        <f t="shared" si="19"/>
        <v>Active</v>
      </c>
      <c r="E382" s="90">
        <v>45631.0</v>
      </c>
      <c r="F382" s="78"/>
      <c r="G382" s="79">
        <f t="shared" si="2"/>
        <v>22.03333333</v>
      </c>
      <c r="H382" s="90">
        <v>45233.0</v>
      </c>
      <c r="I382" s="79">
        <f t="shared" si="3"/>
        <v>1.088888889</v>
      </c>
      <c r="J382" s="89">
        <v>80.0</v>
      </c>
      <c r="K382" s="89">
        <v>11.0</v>
      </c>
      <c r="L382" s="82" t="s">
        <v>55</v>
      </c>
      <c r="M382" s="82" t="s">
        <v>38</v>
      </c>
      <c r="N382" s="84"/>
      <c r="O382" s="84"/>
      <c r="P382" s="118"/>
      <c r="Q382" s="84"/>
      <c r="R382" s="76" t="str">
        <f t="shared" si="4"/>
        <v>TBD</v>
      </c>
      <c r="S382" s="90"/>
      <c r="T382" s="79">
        <f t="shared" si="5"/>
        <v>22.03333333</v>
      </c>
      <c r="U382" s="90"/>
      <c r="V382" s="79"/>
    </row>
    <row r="383">
      <c r="A383" s="53" t="s">
        <v>696</v>
      </c>
      <c r="B383" s="54" t="s">
        <v>35</v>
      </c>
      <c r="C383" s="54" t="s">
        <v>36</v>
      </c>
      <c r="D383" s="59" t="str">
        <f t="shared" si="19"/>
        <v>Active</v>
      </c>
      <c r="E383" s="88">
        <v>45631.0</v>
      </c>
      <c r="F383" s="62"/>
      <c r="G383" s="65">
        <f t="shared" si="2"/>
        <v>22.03333333</v>
      </c>
      <c r="H383" s="88">
        <v>45631.0</v>
      </c>
      <c r="I383" s="65">
        <f t="shared" si="3"/>
        <v>0</v>
      </c>
      <c r="J383" s="68"/>
      <c r="K383" s="92">
        <v>12.0</v>
      </c>
      <c r="L383" s="69" t="s">
        <v>78</v>
      </c>
      <c r="M383" s="69" t="s">
        <v>38</v>
      </c>
      <c r="N383" s="70"/>
      <c r="O383" s="70"/>
      <c r="P383" s="115"/>
      <c r="Q383" s="70"/>
      <c r="R383" s="59" t="str">
        <f t="shared" si="4"/>
        <v>Active</v>
      </c>
      <c r="S383" s="88">
        <v>45917.0</v>
      </c>
      <c r="T383" s="65">
        <f t="shared" si="5"/>
        <v>9.4</v>
      </c>
      <c r="U383" s="88"/>
      <c r="V383" s="65"/>
    </row>
    <row r="384">
      <c r="A384" s="74" t="s">
        <v>746</v>
      </c>
      <c r="B384" s="75" t="s">
        <v>129</v>
      </c>
      <c r="C384" s="75"/>
      <c r="D384" s="76" t="str">
        <f t="shared" si="19"/>
        <v>Active</v>
      </c>
      <c r="E384" s="90">
        <v>45630.0</v>
      </c>
      <c r="F384" s="78"/>
      <c r="G384" s="79">
        <f t="shared" si="2"/>
        <v>22.06666667</v>
      </c>
      <c r="H384" s="90">
        <v>43637.0</v>
      </c>
      <c r="I384" s="79">
        <f t="shared" si="3"/>
        <v>5.452777778</v>
      </c>
      <c r="J384" s="89">
        <v>83.0</v>
      </c>
      <c r="K384" s="89">
        <v>6.0</v>
      </c>
      <c r="L384" s="82" t="s">
        <v>55</v>
      </c>
      <c r="M384" s="82"/>
      <c r="N384" s="160" t="s">
        <v>773</v>
      </c>
      <c r="O384" s="84"/>
      <c r="P384" s="118"/>
      <c r="Q384" s="84"/>
      <c r="R384" s="76" t="str">
        <f t="shared" si="4"/>
        <v>Active</v>
      </c>
      <c r="S384" s="90">
        <f t="shared" ref="S384:S385" si="37">E384</f>
        <v>45630</v>
      </c>
      <c r="T384" s="79">
        <f t="shared" si="5"/>
        <v>0</v>
      </c>
      <c r="U384" s="90">
        <v>45630.0</v>
      </c>
      <c r="V384" s="79">
        <f>MONTHDUR(E384,U384)</f>
        <v>0</v>
      </c>
    </row>
    <row r="385">
      <c r="A385" s="53" t="s">
        <v>822</v>
      </c>
      <c r="B385" s="54" t="s">
        <v>35</v>
      </c>
      <c r="C385" s="54" t="s">
        <v>36</v>
      </c>
      <c r="D385" s="59" t="str">
        <f t="shared" si="19"/>
        <v>Active</v>
      </c>
      <c r="E385" s="88">
        <v>45623.0</v>
      </c>
      <c r="F385" s="62"/>
      <c r="G385" s="65">
        <f t="shared" si="2"/>
        <v>22.3</v>
      </c>
      <c r="H385" s="67">
        <v>45097.0</v>
      </c>
      <c r="I385" s="65">
        <f t="shared" si="3"/>
        <v>1.436111111</v>
      </c>
      <c r="J385" s="92">
        <v>75.0</v>
      </c>
      <c r="K385" s="92">
        <v>24.0</v>
      </c>
      <c r="L385" s="69" t="s">
        <v>81</v>
      </c>
      <c r="M385" s="69"/>
      <c r="N385" s="70"/>
      <c r="O385" s="70"/>
      <c r="P385" s="115"/>
      <c r="Q385" s="70"/>
      <c r="R385" s="59" t="str">
        <f t="shared" si="4"/>
        <v>Active</v>
      </c>
      <c r="S385" s="88">
        <f t="shared" si="37"/>
        <v>45623</v>
      </c>
      <c r="T385" s="65">
        <f t="shared" si="5"/>
        <v>0</v>
      </c>
      <c r="U385" s="88"/>
      <c r="V385" s="65"/>
    </row>
    <row r="386">
      <c r="A386" s="74" t="s">
        <v>845</v>
      </c>
      <c r="B386" s="75" t="s">
        <v>35</v>
      </c>
      <c r="C386" s="75" t="s">
        <v>36</v>
      </c>
      <c r="D386" s="76" t="str">
        <f t="shared" si="19"/>
        <v>Active</v>
      </c>
      <c r="E386" s="90">
        <v>45622.0</v>
      </c>
      <c r="F386" s="78"/>
      <c r="G386" s="79">
        <f t="shared" si="2"/>
        <v>22.33333333</v>
      </c>
      <c r="H386" s="80">
        <v>45440.0</v>
      </c>
      <c r="I386" s="79">
        <f t="shared" si="3"/>
        <v>0.4944444444</v>
      </c>
      <c r="J386" s="89">
        <v>83.0</v>
      </c>
      <c r="K386" s="89">
        <v>21.0</v>
      </c>
      <c r="L386" s="82" t="s">
        <v>57</v>
      </c>
      <c r="M386" s="82" t="s">
        <v>38</v>
      </c>
      <c r="N386" s="84" t="s">
        <v>877</v>
      </c>
      <c r="O386" s="84"/>
      <c r="P386" s="118"/>
      <c r="Q386" s="84"/>
      <c r="R386" s="76" t="str">
        <f t="shared" si="4"/>
        <v>Active</v>
      </c>
      <c r="S386" s="90">
        <v>45903.0</v>
      </c>
      <c r="T386" s="79">
        <f t="shared" si="5"/>
        <v>9.233333333</v>
      </c>
      <c r="U386" s="90"/>
      <c r="V386" s="79"/>
    </row>
    <row r="387">
      <c r="A387" s="53" t="s">
        <v>897</v>
      </c>
      <c r="B387" s="54" t="s">
        <v>35</v>
      </c>
      <c r="C387" s="54" t="s">
        <v>36</v>
      </c>
      <c r="D387" s="59" t="str">
        <f t="shared" si="19"/>
        <v>Active</v>
      </c>
      <c r="E387" s="88">
        <v>45615.0</v>
      </c>
      <c r="F387" s="62"/>
      <c r="G387" s="65">
        <f t="shared" si="2"/>
        <v>22.56666667</v>
      </c>
      <c r="H387" s="67">
        <v>45615.0</v>
      </c>
      <c r="I387" s="65">
        <f t="shared" si="3"/>
        <v>0</v>
      </c>
      <c r="J387" s="92">
        <v>78.0</v>
      </c>
      <c r="K387" s="92">
        <v>50.0</v>
      </c>
      <c r="L387" s="69" t="s">
        <v>64</v>
      </c>
      <c r="M387" s="69" t="s">
        <v>38</v>
      </c>
      <c r="N387" s="70"/>
      <c r="O387" s="70"/>
      <c r="P387" s="115"/>
      <c r="Q387" s="70"/>
      <c r="R387" s="59" t="str">
        <f t="shared" si="4"/>
        <v>Active</v>
      </c>
      <c r="S387" s="88">
        <v>45952.0</v>
      </c>
      <c r="T387" s="65">
        <f t="shared" si="5"/>
        <v>11.1</v>
      </c>
      <c r="U387" s="88"/>
      <c r="V387" s="65"/>
    </row>
    <row r="388">
      <c r="A388" s="74" t="s">
        <v>917</v>
      </c>
      <c r="B388" s="75" t="s">
        <v>35</v>
      </c>
      <c r="C388" s="75"/>
      <c r="D388" s="76" t="str">
        <f t="shared" si="19"/>
        <v>Active</v>
      </c>
      <c r="E388" s="90">
        <v>45608.0</v>
      </c>
      <c r="F388" s="125"/>
      <c r="G388" s="79">
        <f t="shared" si="2"/>
        <v>22.8</v>
      </c>
      <c r="H388" s="80">
        <v>43417.0</v>
      </c>
      <c r="I388" s="79">
        <f t="shared" si="3"/>
        <v>5.997222222</v>
      </c>
      <c r="J388" s="89">
        <v>82.0</v>
      </c>
      <c r="K388" s="89">
        <v>17.0</v>
      </c>
      <c r="L388" s="82" t="s">
        <v>57</v>
      </c>
      <c r="M388" s="82"/>
      <c r="N388" s="84"/>
      <c r="O388" s="85"/>
      <c r="P388" s="86"/>
      <c r="Q388" s="85"/>
      <c r="R388" s="76" t="str">
        <f t="shared" si="4"/>
        <v>Active</v>
      </c>
      <c r="S388" s="90">
        <f>E388</f>
        <v>45608</v>
      </c>
      <c r="T388" s="79">
        <f t="shared" si="5"/>
        <v>0</v>
      </c>
      <c r="U388" s="90"/>
      <c r="V388" s="79"/>
    </row>
    <row r="389">
      <c r="A389" s="53" t="s">
        <v>947</v>
      </c>
      <c r="B389" s="54" t="s">
        <v>13</v>
      </c>
      <c r="C389" s="54"/>
      <c r="D389" s="59" t="str">
        <f t="shared" si="19"/>
        <v>Active</v>
      </c>
      <c r="E389" s="164">
        <v>45601.0</v>
      </c>
      <c r="F389" s="123"/>
      <c r="G389" s="65">
        <f t="shared" si="2"/>
        <v>23.03333333</v>
      </c>
      <c r="H389" s="67">
        <v>42961.0</v>
      </c>
      <c r="I389" s="65">
        <f t="shared" si="3"/>
        <v>7.225</v>
      </c>
      <c r="J389" s="92">
        <v>85.0</v>
      </c>
      <c r="K389" s="92">
        <v>25.0</v>
      </c>
      <c r="L389" s="69" t="s">
        <v>81</v>
      </c>
      <c r="M389" s="91"/>
      <c r="N389" s="70"/>
      <c r="O389" s="71"/>
      <c r="P389" s="72"/>
      <c r="Q389" s="71"/>
      <c r="R389" s="59" t="str">
        <f t="shared" si="4"/>
        <v>TBD</v>
      </c>
      <c r="S389" s="88"/>
      <c r="T389" s="65">
        <f t="shared" si="5"/>
        <v>23.03333333</v>
      </c>
      <c r="U389" s="88"/>
      <c r="V389" s="65"/>
    </row>
    <row r="390">
      <c r="A390" s="74" t="s">
        <v>967</v>
      </c>
      <c r="B390" s="75" t="s">
        <v>13</v>
      </c>
      <c r="C390" s="75"/>
      <c r="D390" s="76" t="str">
        <f t="shared" si="19"/>
        <v>Active</v>
      </c>
      <c r="E390" s="165">
        <v>45601.0</v>
      </c>
      <c r="F390" s="125"/>
      <c r="G390" s="79">
        <f t="shared" si="2"/>
        <v>23.03333333</v>
      </c>
      <c r="H390" s="80">
        <v>45601.0</v>
      </c>
      <c r="I390" s="79">
        <f t="shared" si="3"/>
        <v>0</v>
      </c>
      <c r="J390" s="89">
        <v>85.0</v>
      </c>
      <c r="K390" s="89">
        <f>18+18+14+5</f>
        <v>55</v>
      </c>
      <c r="L390" s="82" t="s">
        <v>81</v>
      </c>
      <c r="M390" s="83"/>
      <c r="N390" s="84"/>
      <c r="O390" s="85"/>
      <c r="P390" s="86"/>
      <c r="Q390" s="85"/>
      <c r="R390" s="76" t="str">
        <f t="shared" si="4"/>
        <v>TBD</v>
      </c>
      <c r="S390" s="90"/>
      <c r="T390" s="79">
        <f t="shared" si="5"/>
        <v>23.03333333</v>
      </c>
      <c r="U390" s="90"/>
      <c r="V390" s="79"/>
    </row>
    <row r="391">
      <c r="A391" s="53" t="s">
        <v>981</v>
      </c>
      <c r="B391" s="54" t="s">
        <v>35</v>
      </c>
      <c r="C391" s="54" t="s">
        <v>36</v>
      </c>
      <c r="D391" s="59" t="str">
        <f t="shared" si="19"/>
        <v>Active</v>
      </c>
      <c r="E391" s="164">
        <v>45590.0</v>
      </c>
      <c r="F391" s="123"/>
      <c r="G391" s="65">
        <f t="shared" si="2"/>
        <v>23.36666667</v>
      </c>
      <c r="H391" s="67">
        <v>45590.0</v>
      </c>
      <c r="I391" s="65">
        <f t="shared" si="3"/>
        <v>0</v>
      </c>
      <c r="J391" s="92">
        <v>83.0</v>
      </c>
      <c r="K391" s="92">
        <v>9.0</v>
      </c>
      <c r="L391" s="69" t="s">
        <v>37</v>
      </c>
      <c r="M391" s="91"/>
      <c r="N391" s="70" t="s">
        <v>985</v>
      </c>
      <c r="O391" s="71"/>
      <c r="P391" s="72"/>
      <c r="Q391" s="71"/>
      <c r="R391" s="59" t="str">
        <f t="shared" si="4"/>
        <v>Active</v>
      </c>
      <c r="S391" s="88">
        <v>46290.0</v>
      </c>
      <c r="T391" s="65">
        <f t="shared" si="5"/>
        <v>23</v>
      </c>
      <c r="U391" s="88"/>
      <c r="V391" s="65"/>
    </row>
    <row r="392">
      <c r="A392" s="74" t="s">
        <v>987</v>
      </c>
      <c r="B392" s="75" t="s">
        <v>35</v>
      </c>
      <c r="C392" s="75" t="s">
        <v>36</v>
      </c>
      <c r="D392" s="76" t="str">
        <f t="shared" si="19"/>
        <v>Active</v>
      </c>
      <c r="E392" s="90">
        <v>45582.0</v>
      </c>
      <c r="F392" s="125"/>
      <c r="G392" s="79">
        <f t="shared" si="2"/>
        <v>23.63333333</v>
      </c>
      <c r="H392" s="80">
        <v>45582.0</v>
      </c>
      <c r="I392" s="79">
        <f t="shared" si="3"/>
        <v>0</v>
      </c>
      <c r="J392" s="89">
        <v>79.0</v>
      </c>
      <c r="K392" s="89">
        <v>23.0</v>
      </c>
      <c r="L392" s="82" t="s">
        <v>64</v>
      </c>
      <c r="M392" s="82" t="s">
        <v>38</v>
      </c>
      <c r="N392" s="84"/>
      <c r="O392" s="84"/>
      <c r="P392" s="118"/>
      <c r="Q392" s="84"/>
      <c r="R392" s="76" t="str">
        <f t="shared" si="4"/>
        <v>Active</v>
      </c>
      <c r="S392" s="90">
        <v>45875.0</v>
      </c>
      <c r="T392" s="79">
        <f t="shared" si="5"/>
        <v>9.633333333</v>
      </c>
      <c r="U392" s="90"/>
      <c r="V392" s="79"/>
    </row>
    <row r="393">
      <c r="A393" s="53" t="s">
        <v>996</v>
      </c>
      <c r="B393" s="54" t="s">
        <v>35</v>
      </c>
      <c r="C393" s="54" t="s">
        <v>36</v>
      </c>
      <c r="D393" s="59" t="str">
        <f t="shared" si="19"/>
        <v>Active</v>
      </c>
      <c r="E393" s="88">
        <v>45581.0</v>
      </c>
      <c r="F393" s="123"/>
      <c r="G393" s="65">
        <f t="shared" si="2"/>
        <v>23.66666667</v>
      </c>
      <c r="H393" s="67">
        <v>43312.0</v>
      </c>
      <c r="I393" s="65">
        <f t="shared" si="3"/>
        <v>6.211111111</v>
      </c>
      <c r="J393" s="92">
        <v>75.0</v>
      </c>
      <c r="K393" s="92">
        <v>18.0</v>
      </c>
      <c r="L393" s="69" t="s">
        <v>46</v>
      </c>
      <c r="M393" s="69"/>
      <c r="N393" s="70"/>
      <c r="O393" s="70"/>
      <c r="P393" s="115"/>
      <c r="Q393" s="70"/>
      <c r="R393" s="59" t="str">
        <f t="shared" si="4"/>
        <v>TBD</v>
      </c>
      <c r="S393" s="88"/>
      <c r="T393" s="65">
        <f t="shared" si="5"/>
        <v>23.66666667</v>
      </c>
      <c r="U393" s="88"/>
      <c r="V393" s="65"/>
    </row>
    <row r="394">
      <c r="A394" s="74" t="s">
        <v>1028</v>
      </c>
      <c r="B394" s="75" t="s">
        <v>35</v>
      </c>
      <c r="C394" s="75" t="s">
        <v>36</v>
      </c>
      <c r="D394" s="76" t="str">
        <f t="shared" si="19"/>
        <v>Active</v>
      </c>
      <c r="E394" s="90">
        <v>45575.0</v>
      </c>
      <c r="F394" s="125"/>
      <c r="G394" s="79">
        <f t="shared" si="2"/>
        <v>23.86666667</v>
      </c>
      <c r="H394" s="80">
        <v>44488.0</v>
      </c>
      <c r="I394" s="79">
        <f t="shared" si="3"/>
        <v>2.975</v>
      </c>
      <c r="J394" s="89">
        <v>85.0</v>
      </c>
      <c r="K394" s="89">
        <v>13.0</v>
      </c>
      <c r="L394" s="82" t="s">
        <v>50</v>
      </c>
      <c r="M394" s="82"/>
      <c r="N394" s="84"/>
      <c r="O394" s="84"/>
      <c r="P394" s="118"/>
      <c r="Q394" s="84"/>
      <c r="R394" s="76" t="str">
        <f t="shared" si="4"/>
        <v>Active</v>
      </c>
      <c r="S394" s="90">
        <f>E394</f>
        <v>45575</v>
      </c>
      <c r="T394" s="79">
        <f t="shared" si="5"/>
        <v>0</v>
      </c>
      <c r="U394" s="90"/>
      <c r="V394" s="79"/>
    </row>
    <row r="395">
      <c r="A395" s="53" t="s">
        <v>1041</v>
      </c>
      <c r="B395" s="54" t="s">
        <v>35</v>
      </c>
      <c r="C395" s="54" t="s">
        <v>36</v>
      </c>
      <c r="D395" s="59" t="str">
        <f t="shared" si="19"/>
        <v>Active</v>
      </c>
      <c r="E395" s="88">
        <v>45561.0</v>
      </c>
      <c r="F395" s="123"/>
      <c r="G395" s="65">
        <f t="shared" si="2"/>
        <v>24.33333333</v>
      </c>
      <c r="H395" s="67">
        <v>44371.0</v>
      </c>
      <c r="I395" s="65">
        <f t="shared" si="3"/>
        <v>3.255555556</v>
      </c>
      <c r="J395" s="92">
        <v>72.0</v>
      </c>
      <c r="K395" s="92">
        <v>18.0</v>
      </c>
      <c r="L395" s="69" t="s">
        <v>46</v>
      </c>
      <c r="M395" s="69"/>
      <c r="N395" s="70"/>
      <c r="O395" s="70"/>
      <c r="P395" s="115"/>
      <c r="Q395" s="70"/>
      <c r="R395" s="59" t="str">
        <f t="shared" si="4"/>
        <v>Active</v>
      </c>
      <c r="S395" s="88">
        <v>45840.0</v>
      </c>
      <c r="T395" s="65">
        <f t="shared" si="5"/>
        <v>9.2</v>
      </c>
      <c r="U395" s="88"/>
      <c r="V395" s="65"/>
    </row>
    <row r="396">
      <c r="A396" s="74" t="s">
        <v>1062</v>
      </c>
      <c r="B396" s="75" t="s">
        <v>35</v>
      </c>
      <c r="C396" s="75" t="s">
        <v>36</v>
      </c>
      <c r="D396" s="76" t="str">
        <f t="shared" si="19"/>
        <v>Active</v>
      </c>
      <c r="E396" s="90">
        <v>45561.0</v>
      </c>
      <c r="F396" s="125"/>
      <c r="G396" s="79">
        <f t="shared" si="2"/>
        <v>24.33333333</v>
      </c>
      <c r="H396" s="80">
        <v>43945.0</v>
      </c>
      <c r="I396" s="79">
        <f t="shared" si="3"/>
        <v>4.422222222</v>
      </c>
      <c r="J396" s="89">
        <v>76.0</v>
      </c>
      <c r="K396" s="89">
        <v>21.0</v>
      </c>
      <c r="L396" s="82" t="s">
        <v>46</v>
      </c>
      <c r="M396" s="82"/>
      <c r="N396" s="84"/>
      <c r="O396" s="84"/>
      <c r="P396" s="118"/>
      <c r="Q396" s="84"/>
      <c r="R396" s="76" t="str">
        <f t="shared" si="4"/>
        <v>Active</v>
      </c>
      <c r="S396" s="90">
        <v>45840.0</v>
      </c>
      <c r="T396" s="79">
        <f t="shared" si="5"/>
        <v>9.2</v>
      </c>
      <c r="U396" s="90"/>
      <c r="V396" s="79"/>
    </row>
    <row r="397">
      <c r="A397" s="53" t="s">
        <v>1073</v>
      </c>
      <c r="B397" s="54" t="s">
        <v>13</v>
      </c>
      <c r="C397" s="54"/>
      <c r="D397" s="59" t="str">
        <f t="shared" si="19"/>
        <v>Active</v>
      </c>
      <c r="E397" s="88">
        <v>45559.0</v>
      </c>
      <c r="F397" s="123"/>
      <c r="G397" s="65">
        <f t="shared" si="2"/>
        <v>24.4</v>
      </c>
      <c r="H397" s="67">
        <v>45559.0</v>
      </c>
      <c r="I397" s="65">
        <f t="shared" si="3"/>
        <v>0</v>
      </c>
      <c r="J397" s="92">
        <v>76.0</v>
      </c>
      <c r="K397" s="92">
        <v>13.0</v>
      </c>
      <c r="L397" s="69" t="s">
        <v>81</v>
      </c>
      <c r="M397" s="69"/>
      <c r="N397" s="70"/>
      <c r="O397" s="70"/>
      <c r="P397" s="115"/>
      <c r="Q397" s="70"/>
      <c r="R397" s="104" t="str">
        <f t="shared" si="4"/>
        <v>Active</v>
      </c>
      <c r="S397" s="98">
        <v>45931.0</v>
      </c>
      <c r="T397" s="65">
        <f t="shared" si="5"/>
        <v>12.23333333</v>
      </c>
      <c r="U397" s="98"/>
      <c r="V397" s="65"/>
    </row>
    <row r="398">
      <c r="A398" s="74" t="s">
        <v>1078</v>
      </c>
      <c r="B398" s="75" t="s">
        <v>35</v>
      </c>
      <c r="C398" s="75"/>
      <c r="D398" s="76" t="str">
        <f t="shared" si="19"/>
        <v>Active</v>
      </c>
      <c r="E398" s="90">
        <v>45552.0</v>
      </c>
      <c r="F398" s="105"/>
      <c r="G398" s="79">
        <f t="shared" si="2"/>
        <v>24.63333333</v>
      </c>
      <c r="H398" s="90">
        <v>45148.0</v>
      </c>
      <c r="I398" s="79">
        <f t="shared" si="3"/>
        <v>1.102777778</v>
      </c>
      <c r="J398" s="106">
        <v>79.0</v>
      </c>
      <c r="K398" s="106">
        <v>57.0</v>
      </c>
      <c r="L398" s="82" t="s">
        <v>37</v>
      </c>
      <c r="M398" s="82"/>
      <c r="N398" s="82"/>
      <c r="O398" s="82"/>
      <c r="P398" s="107"/>
      <c r="Q398" s="82"/>
      <c r="R398" s="76" t="str">
        <f t="shared" si="4"/>
        <v>TBD</v>
      </c>
      <c r="S398" s="90"/>
      <c r="T398" s="79">
        <f t="shared" si="5"/>
        <v>24.63333333</v>
      </c>
      <c r="U398" s="90"/>
      <c r="V398" s="79"/>
    </row>
    <row r="399">
      <c r="A399" s="53" t="s">
        <v>1081</v>
      </c>
      <c r="B399" s="54" t="s">
        <v>35</v>
      </c>
      <c r="C399" s="54" t="s">
        <v>36</v>
      </c>
      <c r="D399" s="59" t="str">
        <f t="shared" si="19"/>
        <v>Active</v>
      </c>
      <c r="E399" s="88">
        <v>45546.0</v>
      </c>
      <c r="F399" s="120"/>
      <c r="G399" s="65">
        <f t="shared" si="2"/>
        <v>24.83333333</v>
      </c>
      <c r="H399" s="88">
        <v>44497.0</v>
      </c>
      <c r="I399" s="65">
        <f t="shared" si="3"/>
        <v>2.869444444</v>
      </c>
      <c r="J399" s="121">
        <v>77.0</v>
      </c>
      <c r="K399" s="121">
        <v>18.0</v>
      </c>
      <c r="L399" s="69" t="s">
        <v>62</v>
      </c>
      <c r="M399" s="69"/>
      <c r="N399" s="69"/>
      <c r="O399" s="69"/>
      <c r="P399" s="122"/>
      <c r="Q399" s="69"/>
      <c r="R399" s="59" t="str">
        <f t="shared" si="4"/>
        <v>Active</v>
      </c>
      <c r="S399" s="88">
        <v>45547.0</v>
      </c>
      <c r="T399" s="65">
        <f t="shared" si="5"/>
        <v>0.03333333333</v>
      </c>
      <c r="U399" s="88"/>
      <c r="V399" s="65"/>
    </row>
    <row r="400">
      <c r="A400" s="74" t="s">
        <v>1093</v>
      </c>
      <c r="B400" s="75" t="s">
        <v>35</v>
      </c>
      <c r="C400" s="75" t="s">
        <v>36</v>
      </c>
      <c r="D400" s="76" t="str">
        <f t="shared" si="19"/>
        <v>Active</v>
      </c>
      <c r="E400" s="90">
        <v>45539.0</v>
      </c>
      <c r="F400" s="105"/>
      <c r="G400" s="79">
        <f t="shared" si="2"/>
        <v>25.06666667</v>
      </c>
      <c r="H400" s="90">
        <v>45539.0</v>
      </c>
      <c r="I400" s="79">
        <f t="shared" si="3"/>
        <v>0</v>
      </c>
      <c r="J400" s="106">
        <v>84.0</v>
      </c>
      <c r="K400" s="106">
        <v>21.0</v>
      </c>
      <c r="L400" s="82" t="s">
        <v>81</v>
      </c>
      <c r="M400" s="82" t="s">
        <v>38</v>
      </c>
      <c r="N400" s="82"/>
      <c r="O400" s="82"/>
      <c r="P400" s="107"/>
      <c r="Q400" s="82"/>
      <c r="R400" s="102" t="str">
        <f t="shared" si="4"/>
        <v>Active</v>
      </c>
      <c r="S400" s="112">
        <v>45931.0</v>
      </c>
      <c r="T400" s="79">
        <f t="shared" si="5"/>
        <v>12.9</v>
      </c>
      <c r="U400" s="112"/>
      <c r="V400" s="79"/>
    </row>
    <row r="401">
      <c r="A401" s="53" t="s">
        <v>1097</v>
      </c>
      <c r="B401" s="54" t="s">
        <v>35</v>
      </c>
      <c r="C401" s="54" t="s">
        <v>36</v>
      </c>
      <c r="D401" s="59" t="str">
        <f t="shared" si="19"/>
        <v>Active</v>
      </c>
      <c r="E401" s="88">
        <v>45538.0</v>
      </c>
      <c r="F401" s="120"/>
      <c r="G401" s="65">
        <f t="shared" si="2"/>
        <v>25.1</v>
      </c>
      <c r="H401" s="88">
        <v>45538.0</v>
      </c>
      <c r="I401" s="65">
        <f t="shared" si="3"/>
        <v>0</v>
      </c>
      <c r="J401" s="121">
        <v>74.0</v>
      </c>
      <c r="K401" s="121">
        <v>25.0</v>
      </c>
      <c r="L401" s="69" t="s">
        <v>64</v>
      </c>
      <c r="M401" s="69"/>
      <c r="N401" s="69"/>
      <c r="O401" s="69"/>
      <c r="P401" s="122"/>
      <c r="Q401" s="69"/>
      <c r="R401" s="59" t="str">
        <f t="shared" si="4"/>
        <v>Active</v>
      </c>
      <c r="S401" s="88">
        <v>45826.0</v>
      </c>
      <c r="T401" s="65">
        <f t="shared" si="5"/>
        <v>9.5</v>
      </c>
      <c r="U401" s="88"/>
      <c r="V401" s="65"/>
    </row>
    <row r="402">
      <c r="A402" s="167" t="s">
        <v>1102</v>
      </c>
      <c r="B402" s="75" t="s">
        <v>35</v>
      </c>
      <c r="C402" s="75" t="s">
        <v>36</v>
      </c>
      <c r="D402" s="76" t="str">
        <f t="shared" si="19"/>
        <v>Active</v>
      </c>
      <c r="E402" s="168">
        <v>45512.0</v>
      </c>
      <c r="F402" s="96"/>
      <c r="G402" s="79">
        <f t="shared" si="2"/>
        <v>25.93333333</v>
      </c>
      <c r="H402" s="168">
        <v>45512.0</v>
      </c>
      <c r="I402" s="79">
        <f t="shared" si="3"/>
        <v>0</v>
      </c>
      <c r="J402" s="170">
        <v>82.0</v>
      </c>
      <c r="K402" s="171">
        <v>12.0</v>
      </c>
      <c r="L402" s="82" t="s">
        <v>37</v>
      </c>
      <c r="M402" s="100"/>
      <c r="N402" s="172" t="s">
        <v>1112</v>
      </c>
      <c r="O402" s="100"/>
      <c r="P402" s="173"/>
      <c r="Q402" s="100"/>
      <c r="R402" s="76" t="str">
        <f t="shared" si="4"/>
        <v>Active</v>
      </c>
      <c r="S402" s="90">
        <v>45547.0</v>
      </c>
      <c r="T402" s="79">
        <f t="shared" si="5"/>
        <v>1.133333333</v>
      </c>
      <c r="U402" s="90"/>
      <c r="V402" s="79"/>
    </row>
    <row r="403">
      <c r="A403" s="53" t="s">
        <v>1114</v>
      </c>
      <c r="B403" s="54" t="s">
        <v>35</v>
      </c>
      <c r="C403" s="54" t="s">
        <v>36</v>
      </c>
      <c r="D403" s="59" t="str">
        <f t="shared" si="19"/>
        <v>Active</v>
      </c>
      <c r="E403" s="88">
        <v>45512.0</v>
      </c>
      <c r="F403" s="120"/>
      <c r="G403" s="65">
        <f t="shared" si="2"/>
        <v>25.93333333</v>
      </c>
      <c r="H403" s="88">
        <v>42916.0</v>
      </c>
      <c r="I403" s="65">
        <f t="shared" si="3"/>
        <v>7.105555556</v>
      </c>
      <c r="J403" s="121">
        <v>80.0</v>
      </c>
      <c r="K403" s="121">
        <v>15.0</v>
      </c>
      <c r="L403" s="69" t="s">
        <v>57</v>
      </c>
      <c r="M403" s="69"/>
      <c r="N403" s="69"/>
      <c r="O403" s="69"/>
      <c r="P403" s="122"/>
      <c r="Q403" s="69"/>
      <c r="R403" s="59" t="str">
        <f t="shared" si="4"/>
        <v>Active</v>
      </c>
      <c r="S403" s="88">
        <v>45547.0</v>
      </c>
      <c r="T403" s="65">
        <f t="shared" si="5"/>
        <v>1.133333333</v>
      </c>
      <c r="U403" s="88"/>
      <c r="V403" s="65"/>
    </row>
    <row r="404">
      <c r="A404" s="74" t="s">
        <v>1119</v>
      </c>
      <c r="B404" s="75" t="s">
        <v>35</v>
      </c>
      <c r="C404" s="75" t="s">
        <v>36</v>
      </c>
      <c r="D404" s="76" t="str">
        <f t="shared" si="19"/>
        <v>Active</v>
      </c>
      <c r="E404" s="165">
        <v>45497.0</v>
      </c>
      <c r="F404" s="125"/>
      <c r="G404" s="79">
        <f t="shared" si="2"/>
        <v>26.4</v>
      </c>
      <c r="H404" s="80">
        <v>45211.0</v>
      </c>
      <c r="I404" s="79">
        <f t="shared" si="3"/>
        <v>0.7833333333</v>
      </c>
      <c r="J404" s="89">
        <v>56.0</v>
      </c>
      <c r="K404" s="89">
        <v>5.0</v>
      </c>
      <c r="L404" s="82" t="s">
        <v>37</v>
      </c>
      <c r="M404" s="82"/>
      <c r="N404" s="84" t="s">
        <v>1141</v>
      </c>
      <c r="O404" s="85"/>
      <c r="P404" s="86"/>
      <c r="Q404" s="85"/>
      <c r="R404" s="76" t="str">
        <f t="shared" si="4"/>
        <v>TBD</v>
      </c>
      <c r="S404" s="90"/>
      <c r="T404" s="79">
        <f t="shared" si="5"/>
        <v>26.4</v>
      </c>
      <c r="U404" s="90"/>
      <c r="V404" s="79"/>
    </row>
    <row r="405">
      <c r="A405" s="53" t="s">
        <v>1158</v>
      </c>
      <c r="B405" s="54" t="s">
        <v>35</v>
      </c>
      <c r="C405" s="54" t="s">
        <v>36</v>
      </c>
      <c r="D405" s="59" t="str">
        <f t="shared" si="19"/>
        <v>Active</v>
      </c>
      <c r="E405" s="61">
        <v>45476.0</v>
      </c>
      <c r="F405" s="123"/>
      <c r="G405" s="65">
        <f t="shared" si="2"/>
        <v>27.1</v>
      </c>
      <c r="H405" s="67">
        <v>45237.0</v>
      </c>
      <c r="I405" s="65">
        <f t="shared" si="3"/>
        <v>0.6555555556</v>
      </c>
      <c r="J405" s="92">
        <v>77.0</v>
      </c>
      <c r="K405" s="92">
        <v>4.0</v>
      </c>
      <c r="L405" s="69" t="s">
        <v>52</v>
      </c>
      <c r="M405" s="91"/>
      <c r="N405" s="70"/>
      <c r="O405" s="175" t="s">
        <v>1168</v>
      </c>
      <c r="P405" s="115" t="s">
        <v>1175</v>
      </c>
      <c r="Q405" s="71"/>
      <c r="R405" s="59" t="str">
        <f t="shared" si="4"/>
        <v>Active</v>
      </c>
      <c r="S405" s="88">
        <v>45547.0</v>
      </c>
      <c r="T405" s="65">
        <f t="shared" si="5"/>
        <v>2.3</v>
      </c>
      <c r="U405" s="88"/>
      <c r="V405" s="65"/>
    </row>
    <row r="406">
      <c r="A406" s="74" t="s">
        <v>1191</v>
      </c>
      <c r="B406" s="75" t="s">
        <v>35</v>
      </c>
      <c r="C406" s="75" t="s">
        <v>36</v>
      </c>
      <c r="D406" s="76" t="str">
        <f t="shared" si="19"/>
        <v>Active</v>
      </c>
      <c r="E406" s="165">
        <v>45440.0</v>
      </c>
      <c r="F406" s="125"/>
      <c r="G406" s="79">
        <f t="shared" si="2"/>
        <v>28.26666667</v>
      </c>
      <c r="H406" s="80">
        <v>45153.0</v>
      </c>
      <c r="I406" s="79">
        <f t="shared" si="3"/>
        <v>0.7861111111</v>
      </c>
      <c r="J406" s="89">
        <v>80.0</v>
      </c>
      <c r="K406" s="89">
        <v>10.0</v>
      </c>
      <c r="L406" s="82" t="s">
        <v>64</v>
      </c>
      <c r="M406" s="82" t="s">
        <v>38</v>
      </c>
      <c r="N406" s="84"/>
      <c r="O406" s="84" t="s">
        <v>1219</v>
      </c>
      <c r="P406" s="118" t="s">
        <v>1222</v>
      </c>
      <c r="Q406" s="85"/>
      <c r="R406" s="76" t="str">
        <f t="shared" si="4"/>
        <v>Active</v>
      </c>
      <c r="S406" s="90">
        <v>45547.0</v>
      </c>
      <c r="T406" s="79">
        <f t="shared" si="5"/>
        <v>3.466666667</v>
      </c>
      <c r="U406" s="90"/>
      <c r="V406" s="79"/>
    </row>
    <row r="407">
      <c r="A407" s="176" t="s">
        <v>1241</v>
      </c>
      <c r="B407" s="177" t="s">
        <v>35</v>
      </c>
      <c r="C407" s="177" t="s">
        <v>36</v>
      </c>
      <c r="D407" s="177" t="str">
        <f t="shared" si="19"/>
        <v>Active</v>
      </c>
      <c r="E407" s="178">
        <v>45433.0</v>
      </c>
      <c r="F407" s="179"/>
      <c r="G407" s="65">
        <f t="shared" si="2"/>
        <v>28.5</v>
      </c>
      <c r="H407" s="180">
        <v>45433.0</v>
      </c>
      <c r="I407" s="65">
        <f t="shared" si="3"/>
        <v>0</v>
      </c>
      <c r="J407" s="92">
        <v>80.0</v>
      </c>
      <c r="K407" s="92">
        <v>7.0</v>
      </c>
      <c r="L407" s="69" t="s">
        <v>41</v>
      </c>
      <c r="M407" s="69" t="s">
        <v>38</v>
      </c>
      <c r="N407" s="175"/>
      <c r="O407" s="181" t="s">
        <v>107</v>
      </c>
      <c r="P407" s="181" t="s">
        <v>1256</v>
      </c>
      <c r="Q407" s="175"/>
      <c r="R407" s="59" t="str">
        <f t="shared" si="4"/>
        <v>Active</v>
      </c>
      <c r="S407" s="88">
        <v>45931.0</v>
      </c>
      <c r="T407" s="65">
        <f t="shared" si="5"/>
        <v>16.33333333</v>
      </c>
      <c r="U407" s="88"/>
      <c r="V407" s="65"/>
    </row>
    <row r="408">
      <c r="A408" s="74" t="s">
        <v>1269</v>
      </c>
      <c r="B408" s="75" t="s">
        <v>35</v>
      </c>
      <c r="C408" s="75" t="s">
        <v>36</v>
      </c>
      <c r="D408" s="76" t="str">
        <f t="shared" si="19"/>
        <v>Active</v>
      </c>
      <c r="E408" s="165">
        <v>45427.0</v>
      </c>
      <c r="F408" s="125"/>
      <c r="G408" s="79">
        <f t="shared" si="2"/>
        <v>28.7</v>
      </c>
      <c r="H408" s="80">
        <v>45160.0</v>
      </c>
      <c r="I408" s="79">
        <f t="shared" si="3"/>
        <v>0.7305555556</v>
      </c>
      <c r="J408" s="89">
        <v>69.0</v>
      </c>
      <c r="K408" s="89">
        <v>15.0</v>
      </c>
      <c r="L408" s="82" t="s">
        <v>37</v>
      </c>
      <c r="M408" s="82" t="s">
        <v>38</v>
      </c>
      <c r="N408" s="84"/>
      <c r="O408" s="84" t="s">
        <v>107</v>
      </c>
      <c r="P408" s="118" t="s">
        <v>1280</v>
      </c>
      <c r="Q408" s="85"/>
      <c r="R408" s="76" t="str">
        <f t="shared" si="4"/>
        <v>Active</v>
      </c>
      <c r="S408" s="90">
        <v>45547.0</v>
      </c>
      <c r="T408" s="79">
        <f t="shared" si="5"/>
        <v>3.9</v>
      </c>
      <c r="U408" s="90"/>
      <c r="V408" s="79"/>
    </row>
    <row r="409">
      <c r="A409" s="53" t="s">
        <v>1298</v>
      </c>
      <c r="B409" s="54" t="s">
        <v>35</v>
      </c>
      <c r="C409" s="54" t="s">
        <v>36</v>
      </c>
      <c r="D409" s="59" t="str">
        <f t="shared" si="19"/>
        <v>Active</v>
      </c>
      <c r="E409" s="61">
        <v>45421.0</v>
      </c>
      <c r="F409" s="184"/>
      <c r="G409" s="65">
        <f t="shared" si="2"/>
        <v>28.9</v>
      </c>
      <c r="H409" s="67">
        <v>45421.0</v>
      </c>
      <c r="I409" s="65">
        <f t="shared" si="3"/>
        <v>0</v>
      </c>
      <c r="J409" s="92">
        <v>79.0</v>
      </c>
      <c r="K409" s="92">
        <v>3.0</v>
      </c>
      <c r="L409" s="69" t="s">
        <v>41</v>
      </c>
      <c r="M409" s="69"/>
      <c r="N409" s="70"/>
      <c r="O409" s="70" t="s">
        <v>1331</v>
      </c>
      <c r="P409" s="72"/>
      <c r="Q409" s="71"/>
      <c r="R409" s="59" t="str">
        <f t="shared" si="4"/>
        <v>Active</v>
      </c>
      <c r="S409" s="88">
        <v>45616.0</v>
      </c>
      <c r="T409" s="65">
        <f t="shared" si="5"/>
        <v>6.366666667</v>
      </c>
      <c r="U409" s="88"/>
      <c r="V409" s="65"/>
    </row>
    <row r="410">
      <c r="A410" s="74" t="s">
        <v>1344</v>
      </c>
      <c r="B410" s="75" t="s">
        <v>13</v>
      </c>
      <c r="C410" s="75"/>
      <c r="D410" s="76" t="str">
        <f t="shared" si="19"/>
        <v>Active</v>
      </c>
      <c r="E410" s="90">
        <v>45408.0</v>
      </c>
      <c r="F410" s="105"/>
      <c r="G410" s="79">
        <f t="shared" si="2"/>
        <v>29.33333333</v>
      </c>
      <c r="H410" s="90">
        <v>45408.0</v>
      </c>
      <c r="I410" s="79">
        <f t="shared" si="3"/>
        <v>0</v>
      </c>
      <c r="J410" s="106">
        <v>73.0</v>
      </c>
      <c r="K410" s="106">
        <v>7.0</v>
      </c>
      <c r="L410" s="82" t="s">
        <v>81</v>
      </c>
      <c r="M410" s="82"/>
      <c r="N410" s="82"/>
      <c r="O410" s="82" t="s">
        <v>1331</v>
      </c>
      <c r="P410" s="107"/>
      <c r="Q410" s="82"/>
      <c r="R410" s="76" t="str">
        <f t="shared" si="4"/>
        <v>Active</v>
      </c>
      <c r="S410" s="90">
        <v>45931.0</v>
      </c>
      <c r="T410" s="79">
        <f t="shared" si="5"/>
        <v>17.16666667</v>
      </c>
      <c r="U410" s="90"/>
      <c r="V410" s="79"/>
    </row>
    <row r="411">
      <c r="A411" s="53" t="s">
        <v>1345</v>
      </c>
      <c r="B411" s="54" t="s">
        <v>35</v>
      </c>
      <c r="C411" s="186"/>
      <c r="D411" s="59" t="str">
        <f t="shared" si="19"/>
        <v>Active</v>
      </c>
      <c r="E411" s="88">
        <v>45407.0</v>
      </c>
      <c r="F411" s="187"/>
      <c r="G411" s="65">
        <f t="shared" si="2"/>
        <v>29.36666667</v>
      </c>
      <c r="H411" s="88">
        <v>45044.0</v>
      </c>
      <c r="I411" s="65">
        <f t="shared" si="3"/>
        <v>0.9916666667</v>
      </c>
      <c r="J411" s="121">
        <v>85.0</v>
      </c>
      <c r="K411" s="121">
        <v>20.0</v>
      </c>
      <c r="L411" s="69" t="s">
        <v>41</v>
      </c>
      <c r="M411" s="69"/>
      <c r="N411" s="69" t="s">
        <v>1346</v>
      </c>
      <c r="O411" s="69" t="s">
        <v>328</v>
      </c>
      <c r="P411" s="122" t="s">
        <v>1347</v>
      </c>
      <c r="Q411" s="69"/>
      <c r="R411" s="59" t="str">
        <f t="shared" si="4"/>
        <v>Active</v>
      </c>
      <c r="S411" s="88">
        <v>45547.0</v>
      </c>
      <c r="T411" s="65">
        <f t="shared" si="5"/>
        <v>4.566666667</v>
      </c>
      <c r="U411" s="88"/>
      <c r="V411" s="65"/>
    </row>
    <row r="412">
      <c r="A412" s="74" t="s">
        <v>1349</v>
      </c>
      <c r="B412" s="75" t="s">
        <v>13</v>
      </c>
      <c r="C412" s="75"/>
      <c r="D412" s="76" t="str">
        <f t="shared" si="19"/>
        <v>Active</v>
      </c>
      <c r="E412" s="77">
        <v>45398.0</v>
      </c>
      <c r="F412" s="105"/>
      <c r="G412" s="79">
        <f t="shared" si="2"/>
        <v>29.66666667</v>
      </c>
      <c r="H412" s="90">
        <v>36129.0</v>
      </c>
      <c r="I412" s="79">
        <f t="shared" si="3"/>
        <v>25.37777778</v>
      </c>
      <c r="J412" s="189">
        <f>8.8*10</f>
        <v>88</v>
      </c>
      <c r="K412" s="106">
        <v>23.0</v>
      </c>
      <c r="L412" s="82" t="s">
        <v>81</v>
      </c>
      <c r="M412" s="82"/>
      <c r="N412" s="82"/>
      <c r="O412" s="82" t="s">
        <v>1331</v>
      </c>
      <c r="P412" s="107"/>
      <c r="Q412" s="82"/>
      <c r="R412" s="76" t="str">
        <f t="shared" si="4"/>
        <v>TBD</v>
      </c>
      <c r="S412" s="90"/>
      <c r="T412" s="79">
        <f t="shared" si="5"/>
        <v>29.66666667</v>
      </c>
      <c r="U412" s="90"/>
      <c r="V412" s="79"/>
    </row>
    <row r="413">
      <c r="A413" s="53" t="s">
        <v>1357</v>
      </c>
      <c r="B413" s="54" t="s">
        <v>13</v>
      </c>
      <c r="C413" s="54"/>
      <c r="D413" s="59" t="str">
        <f t="shared" si="19"/>
        <v>Active</v>
      </c>
      <c r="E413" s="61">
        <v>45398.0</v>
      </c>
      <c r="F413" s="120"/>
      <c r="G413" s="65">
        <f t="shared" si="2"/>
        <v>29.66666667</v>
      </c>
      <c r="H413" s="88">
        <v>36203.0</v>
      </c>
      <c r="I413" s="65">
        <f t="shared" si="3"/>
        <v>25.17777778</v>
      </c>
      <c r="J413" s="121">
        <v>92.0</v>
      </c>
      <c r="K413" s="121">
        <v>25.0</v>
      </c>
      <c r="L413" s="69" t="s">
        <v>81</v>
      </c>
      <c r="M413" s="69"/>
      <c r="N413" s="69"/>
      <c r="O413" s="69" t="s">
        <v>1219</v>
      </c>
      <c r="P413" s="122" t="s">
        <v>1360</v>
      </c>
      <c r="Q413" s="69"/>
      <c r="R413" s="59" t="str">
        <f t="shared" si="4"/>
        <v>TBD</v>
      </c>
      <c r="S413" s="88"/>
      <c r="T413" s="65">
        <f t="shared" si="5"/>
        <v>29.66666667</v>
      </c>
      <c r="U413" s="88"/>
      <c r="V413" s="65"/>
    </row>
    <row r="414">
      <c r="A414" s="74" t="s">
        <v>1362</v>
      </c>
      <c r="B414" s="75" t="s">
        <v>13</v>
      </c>
      <c r="C414" s="75"/>
      <c r="D414" s="76" t="str">
        <f t="shared" si="19"/>
        <v>Active</v>
      </c>
      <c r="E414" s="77">
        <v>45398.0</v>
      </c>
      <c r="F414" s="105"/>
      <c r="G414" s="79">
        <f t="shared" si="2"/>
        <v>29.66666667</v>
      </c>
      <c r="H414" s="90">
        <v>36662.0</v>
      </c>
      <c r="I414" s="79">
        <f t="shared" si="3"/>
        <v>23.91666667</v>
      </c>
      <c r="J414" s="106">
        <v>77.0</v>
      </c>
      <c r="K414" s="106">
        <v>4.0</v>
      </c>
      <c r="L414" s="82" t="s">
        <v>81</v>
      </c>
      <c r="M414" s="82"/>
      <c r="N414" s="82"/>
      <c r="O414" s="82" t="s">
        <v>1219</v>
      </c>
      <c r="P414" s="107"/>
      <c r="Q414" s="82"/>
      <c r="R414" s="76" t="str">
        <f t="shared" si="4"/>
        <v>TBD</v>
      </c>
      <c r="S414" s="90"/>
      <c r="T414" s="79">
        <f t="shared" si="5"/>
        <v>29.66666667</v>
      </c>
      <c r="U414" s="90"/>
      <c r="V414" s="79"/>
    </row>
    <row r="415">
      <c r="A415" s="53" t="s">
        <v>1368</v>
      </c>
      <c r="B415" s="54" t="s">
        <v>35</v>
      </c>
      <c r="C415" s="54" t="s">
        <v>36</v>
      </c>
      <c r="D415" s="59" t="str">
        <f t="shared" si="19"/>
        <v>Active</v>
      </c>
      <c r="E415" s="88">
        <v>45386.0</v>
      </c>
      <c r="F415" s="120"/>
      <c r="G415" s="65">
        <f t="shared" si="2"/>
        <v>30.06666667</v>
      </c>
      <c r="H415" s="88">
        <v>45020.0</v>
      </c>
      <c r="I415" s="65">
        <f t="shared" si="3"/>
        <v>1</v>
      </c>
      <c r="J415" s="121">
        <v>76.0</v>
      </c>
      <c r="K415" s="121">
        <v>31.0</v>
      </c>
      <c r="L415" s="69" t="s">
        <v>62</v>
      </c>
      <c r="M415" s="69" t="s">
        <v>38</v>
      </c>
      <c r="N415" s="69"/>
      <c r="O415" s="69" t="s">
        <v>1219</v>
      </c>
      <c r="P415" s="122"/>
      <c r="Q415" s="69"/>
      <c r="R415" s="59" t="str">
        <f t="shared" si="4"/>
        <v>Active</v>
      </c>
      <c r="S415" s="88">
        <v>45547.0</v>
      </c>
      <c r="T415" s="65">
        <f t="shared" si="5"/>
        <v>5.266666667</v>
      </c>
      <c r="U415" s="88"/>
      <c r="V415" s="65"/>
    </row>
    <row r="416">
      <c r="A416" s="74" t="s">
        <v>1372</v>
      </c>
      <c r="B416" s="75" t="s">
        <v>35</v>
      </c>
      <c r="C416" s="75" t="s">
        <v>36</v>
      </c>
      <c r="D416" s="76" t="str">
        <f t="shared" si="19"/>
        <v>Active</v>
      </c>
      <c r="E416" s="90">
        <v>45384.0</v>
      </c>
      <c r="F416" s="105"/>
      <c r="G416" s="79">
        <f t="shared" si="2"/>
        <v>30.13333333</v>
      </c>
      <c r="H416" s="90">
        <v>44028.0</v>
      </c>
      <c r="I416" s="79">
        <f t="shared" si="3"/>
        <v>3.711111111</v>
      </c>
      <c r="J416" s="106">
        <v>82.0</v>
      </c>
      <c r="K416" s="106">
        <v>5.5</v>
      </c>
      <c r="L416" s="82" t="s">
        <v>37</v>
      </c>
      <c r="M416" s="82" t="s">
        <v>326</v>
      </c>
      <c r="N416" s="82" t="s">
        <v>1377</v>
      </c>
      <c r="O416" s="82" t="s">
        <v>328</v>
      </c>
      <c r="P416" s="107" t="s">
        <v>1378</v>
      </c>
      <c r="Q416" s="82"/>
      <c r="R416" s="76" t="str">
        <f t="shared" si="4"/>
        <v>Active</v>
      </c>
      <c r="S416" s="90">
        <v>45547.0</v>
      </c>
      <c r="T416" s="79">
        <f t="shared" si="5"/>
        <v>5.333333333</v>
      </c>
      <c r="U416" s="90">
        <v>45405.0</v>
      </c>
      <c r="V416" s="79">
        <f>MONTHDUR(E416,U416)</f>
        <v>0.7</v>
      </c>
    </row>
    <row r="417">
      <c r="A417" s="53" t="s">
        <v>1381</v>
      </c>
      <c r="B417" s="54" t="s">
        <v>35</v>
      </c>
      <c r="C417" s="54" t="s">
        <v>371</v>
      </c>
      <c r="D417" s="59" t="str">
        <f t="shared" si="19"/>
        <v>Active</v>
      </c>
      <c r="E417" s="61">
        <v>45383.0</v>
      </c>
      <c r="F417" s="187"/>
      <c r="G417" s="65">
        <f t="shared" si="2"/>
        <v>30.16666667</v>
      </c>
      <c r="H417" s="88">
        <v>45260.0</v>
      </c>
      <c r="I417" s="65">
        <f t="shared" si="3"/>
        <v>0.3361111111</v>
      </c>
      <c r="J417" s="121">
        <f>average(50,70,80)</f>
        <v>66.66666667</v>
      </c>
      <c r="K417" s="121">
        <v>380.0</v>
      </c>
      <c r="L417" s="69" t="s">
        <v>78</v>
      </c>
      <c r="M417" s="69" t="s">
        <v>38</v>
      </c>
      <c r="N417" s="69"/>
      <c r="O417" s="69" t="s">
        <v>328</v>
      </c>
      <c r="P417" s="122" t="s">
        <v>1385</v>
      </c>
      <c r="Q417" s="69"/>
      <c r="R417" s="59" t="str">
        <f t="shared" si="4"/>
        <v>Active</v>
      </c>
      <c r="S417" s="88">
        <v>45547.0</v>
      </c>
      <c r="T417" s="65">
        <f t="shared" si="5"/>
        <v>5.366666667</v>
      </c>
      <c r="U417" s="88"/>
      <c r="V417" s="65"/>
    </row>
    <row r="418">
      <c r="A418" s="74" t="s">
        <v>1389</v>
      </c>
      <c r="B418" s="75" t="s">
        <v>35</v>
      </c>
      <c r="C418" s="75"/>
      <c r="D418" s="76" t="str">
        <f t="shared" si="19"/>
        <v>Active</v>
      </c>
      <c r="E418" s="77">
        <v>45379.0</v>
      </c>
      <c r="F418" s="198"/>
      <c r="G418" s="79">
        <f t="shared" si="2"/>
        <v>30.26666667</v>
      </c>
      <c r="H418" s="90">
        <v>45078.0</v>
      </c>
      <c r="I418" s="79">
        <f t="shared" si="3"/>
        <v>0.825</v>
      </c>
      <c r="J418" s="106">
        <v>86.0</v>
      </c>
      <c r="K418" s="106">
        <v>27.0</v>
      </c>
      <c r="L418" s="82" t="s">
        <v>46</v>
      </c>
      <c r="M418" s="82"/>
      <c r="N418" s="82"/>
      <c r="O418" s="82" t="s">
        <v>107</v>
      </c>
      <c r="P418" s="107" t="s">
        <v>1391</v>
      </c>
      <c r="Q418" s="82"/>
      <c r="R418" s="102" t="str">
        <f t="shared" si="4"/>
        <v>Active</v>
      </c>
      <c r="S418" s="112">
        <v>45931.0</v>
      </c>
      <c r="T418" s="79">
        <f t="shared" si="5"/>
        <v>18.1</v>
      </c>
      <c r="U418" s="112"/>
      <c r="V418" s="79"/>
    </row>
    <row r="419">
      <c r="A419" s="176" t="s">
        <v>1394</v>
      </c>
      <c r="B419" s="177" t="s">
        <v>35</v>
      </c>
      <c r="C419" s="175"/>
      <c r="D419" s="177" t="str">
        <f t="shared" si="19"/>
        <v>Active</v>
      </c>
      <c r="E419" s="201">
        <v>45368.0</v>
      </c>
      <c r="F419" s="179"/>
      <c r="G419" s="65">
        <f t="shared" si="2"/>
        <v>30.63333333</v>
      </c>
      <c r="H419" s="202">
        <v>40865.0</v>
      </c>
      <c r="I419" s="65">
        <f t="shared" si="3"/>
        <v>12.33055556</v>
      </c>
      <c r="J419" s="203">
        <v>88.0</v>
      </c>
      <c r="K419" s="203">
        <v>116.0</v>
      </c>
      <c r="L419" s="175" t="s">
        <v>41</v>
      </c>
      <c r="M419" s="175"/>
      <c r="N419" s="175"/>
      <c r="O419" s="175" t="s">
        <v>1168</v>
      </c>
      <c r="P419" s="204" t="s">
        <v>1396</v>
      </c>
      <c r="Q419" s="175"/>
      <c r="R419" s="59" t="str">
        <f t="shared" si="4"/>
        <v>Active</v>
      </c>
      <c r="S419" s="88">
        <v>45547.0</v>
      </c>
      <c r="T419" s="65">
        <f t="shared" si="5"/>
        <v>5.833333333</v>
      </c>
      <c r="U419" s="88"/>
      <c r="V419" s="65"/>
    </row>
    <row r="420">
      <c r="A420" s="74" t="s">
        <v>1398</v>
      </c>
      <c r="B420" s="75" t="s">
        <v>35</v>
      </c>
      <c r="C420" s="75" t="s">
        <v>36</v>
      </c>
      <c r="D420" s="76" t="str">
        <f t="shared" si="19"/>
        <v>Active</v>
      </c>
      <c r="E420" s="77">
        <v>45364.0</v>
      </c>
      <c r="F420" s="198"/>
      <c r="G420" s="79">
        <f t="shared" si="2"/>
        <v>30.76666667</v>
      </c>
      <c r="H420" s="90">
        <v>44229.0</v>
      </c>
      <c r="I420" s="79">
        <f t="shared" si="3"/>
        <v>3.113888889</v>
      </c>
      <c r="J420" s="106">
        <v>85.0</v>
      </c>
      <c r="K420" s="106">
        <v>13.0</v>
      </c>
      <c r="L420" s="82" t="s">
        <v>105</v>
      </c>
      <c r="M420" s="82"/>
      <c r="N420" s="82" t="s">
        <v>1402</v>
      </c>
      <c r="O420" s="82" t="s">
        <v>107</v>
      </c>
      <c r="P420" s="107" t="s">
        <v>1280</v>
      </c>
      <c r="Q420" s="82"/>
      <c r="R420" s="76" t="str">
        <f t="shared" si="4"/>
        <v>Active</v>
      </c>
      <c r="S420" s="90">
        <v>45547.0</v>
      </c>
      <c r="T420" s="79">
        <f t="shared" si="5"/>
        <v>5.966666667</v>
      </c>
      <c r="U420" s="90"/>
      <c r="V420" s="79"/>
    </row>
    <row r="421">
      <c r="A421" s="53" t="s">
        <v>1404</v>
      </c>
      <c r="B421" s="54" t="s">
        <v>35</v>
      </c>
      <c r="C421" s="54" t="s">
        <v>36</v>
      </c>
      <c r="D421" s="59" t="str">
        <f t="shared" si="19"/>
        <v>Active</v>
      </c>
      <c r="E421" s="61">
        <v>45344.0</v>
      </c>
      <c r="F421" s="187"/>
      <c r="G421" s="65">
        <f t="shared" si="2"/>
        <v>31.46666667</v>
      </c>
      <c r="H421" s="88">
        <v>45247.0</v>
      </c>
      <c r="I421" s="65">
        <f t="shared" si="3"/>
        <v>0.2638888889</v>
      </c>
      <c r="J421" s="121">
        <v>56.0</v>
      </c>
      <c r="K421" s="121">
        <v>1.0</v>
      </c>
      <c r="L421" s="69" t="s">
        <v>135</v>
      </c>
      <c r="M421" s="69"/>
      <c r="N421" s="69"/>
      <c r="O421" s="69" t="s">
        <v>1219</v>
      </c>
      <c r="P421" s="122"/>
      <c r="Q421" s="69"/>
      <c r="R421" s="59" t="str">
        <f t="shared" si="4"/>
        <v>Active</v>
      </c>
      <c r="S421" s="88">
        <v>45547.0</v>
      </c>
      <c r="T421" s="65">
        <f t="shared" si="5"/>
        <v>6.666666667</v>
      </c>
      <c r="U421" s="88"/>
      <c r="V421" s="65"/>
    </row>
    <row r="422">
      <c r="A422" s="74" t="s">
        <v>1410</v>
      </c>
      <c r="B422" s="75" t="s">
        <v>35</v>
      </c>
      <c r="C422" s="75" t="s">
        <v>36</v>
      </c>
      <c r="D422" s="76" t="str">
        <f t="shared" si="19"/>
        <v>Active</v>
      </c>
      <c r="E422" s="90">
        <v>45342.0</v>
      </c>
      <c r="F422" s="198"/>
      <c r="G422" s="79">
        <f t="shared" si="2"/>
        <v>31.53333333</v>
      </c>
      <c r="H422" s="90">
        <v>45037.0</v>
      </c>
      <c r="I422" s="79">
        <f t="shared" si="3"/>
        <v>0.8305555556</v>
      </c>
      <c r="J422" s="106">
        <v>73.0</v>
      </c>
      <c r="K422" s="106">
        <v>16.0</v>
      </c>
      <c r="L422" s="82" t="s">
        <v>37</v>
      </c>
      <c r="M422" s="82"/>
      <c r="N422" s="82" t="s">
        <v>1413</v>
      </c>
      <c r="O422" s="82" t="s">
        <v>107</v>
      </c>
      <c r="P422" s="107" t="s">
        <v>1414</v>
      </c>
      <c r="Q422" s="82"/>
      <c r="R422" s="76" t="str">
        <f t="shared" si="4"/>
        <v>Active</v>
      </c>
      <c r="S422" s="90">
        <v>45547.0</v>
      </c>
      <c r="T422" s="79">
        <f t="shared" si="5"/>
        <v>6.733333333</v>
      </c>
      <c r="U422" s="90"/>
      <c r="V422" s="79"/>
    </row>
    <row r="423">
      <c r="A423" s="53" t="s">
        <v>1417</v>
      </c>
      <c r="B423" s="54" t="s">
        <v>35</v>
      </c>
      <c r="C423" s="54" t="s">
        <v>36</v>
      </c>
      <c r="D423" s="59" t="str">
        <f t="shared" si="19"/>
        <v>Active</v>
      </c>
      <c r="E423" s="61">
        <v>45337.0</v>
      </c>
      <c r="F423" s="187"/>
      <c r="G423" s="65">
        <f t="shared" si="2"/>
        <v>31.7</v>
      </c>
      <c r="H423" s="88">
        <v>44777.0</v>
      </c>
      <c r="I423" s="65">
        <f t="shared" si="3"/>
        <v>1.530555556</v>
      </c>
      <c r="J423" s="121">
        <v>73.0</v>
      </c>
      <c r="K423" s="121">
        <v>19.0</v>
      </c>
      <c r="L423" s="69" t="s">
        <v>81</v>
      </c>
      <c r="M423" s="69"/>
      <c r="N423" s="69"/>
      <c r="O423" s="69" t="s">
        <v>1219</v>
      </c>
      <c r="P423" s="122" t="s">
        <v>1421</v>
      </c>
      <c r="Q423" s="69"/>
      <c r="R423" s="59" t="str">
        <f t="shared" si="4"/>
        <v>Active</v>
      </c>
      <c r="S423" s="88">
        <v>45616.0</v>
      </c>
      <c r="T423" s="65">
        <f t="shared" si="5"/>
        <v>9.166666667</v>
      </c>
      <c r="U423" s="88"/>
      <c r="V423" s="65"/>
    </row>
    <row r="424">
      <c r="A424" s="74" t="s">
        <v>1425</v>
      </c>
      <c r="B424" s="75" t="s">
        <v>35</v>
      </c>
      <c r="C424" s="75" t="s">
        <v>36</v>
      </c>
      <c r="D424" s="76" t="str">
        <f t="shared" si="19"/>
        <v>Active</v>
      </c>
      <c r="E424" s="90">
        <v>45335.0</v>
      </c>
      <c r="F424" s="198"/>
      <c r="G424" s="79">
        <f t="shared" si="2"/>
        <v>31.76666667</v>
      </c>
      <c r="H424" s="90">
        <v>43924.0</v>
      </c>
      <c r="I424" s="79">
        <f t="shared" si="3"/>
        <v>3.861111111</v>
      </c>
      <c r="J424" s="106">
        <v>79.0</v>
      </c>
      <c r="K424" s="106">
        <v>6.0</v>
      </c>
      <c r="L424" s="82" t="s">
        <v>37</v>
      </c>
      <c r="M424" s="82"/>
      <c r="N424" s="82"/>
      <c r="O424" s="82" t="s">
        <v>107</v>
      </c>
      <c r="P424" s="107" t="s">
        <v>1256</v>
      </c>
      <c r="Q424" s="82"/>
      <c r="R424" s="76" t="str">
        <f t="shared" si="4"/>
        <v>Active</v>
      </c>
      <c r="S424" s="90">
        <v>45547.0</v>
      </c>
      <c r="T424" s="79">
        <f t="shared" si="5"/>
        <v>6.966666667</v>
      </c>
      <c r="U424" s="90"/>
      <c r="V424" s="79"/>
    </row>
    <row r="425">
      <c r="A425" s="53" t="s">
        <v>1426</v>
      </c>
      <c r="B425" s="54" t="s">
        <v>35</v>
      </c>
      <c r="C425" s="54" t="s">
        <v>36</v>
      </c>
      <c r="D425" s="59" t="str">
        <f t="shared" si="19"/>
        <v>Active</v>
      </c>
      <c r="E425" s="88">
        <v>45321.0</v>
      </c>
      <c r="F425" s="187"/>
      <c r="G425" s="65">
        <f t="shared" si="2"/>
        <v>32.2</v>
      </c>
      <c r="H425" s="88">
        <v>44619.0</v>
      </c>
      <c r="I425" s="65">
        <f t="shared" si="3"/>
        <v>1.925</v>
      </c>
      <c r="J425" s="121">
        <v>76.0</v>
      </c>
      <c r="K425" s="121">
        <v>5.0</v>
      </c>
      <c r="L425" s="69" t="s">
        <v>105</v>
      </c>
      <c r="M425" s="69"/>
      <c r="N425" s="69"/>
      <c r="O425" s="69" t="s">
        <v>1331</v>
      </c>
      <c r="P425" s="122"/>
      <c r="Q425" s="69"/>
      <c r="R425" s="59" t="str">
        <f t="shared" si="4"/>
        <v>Active</v>
      </c>
      <c r="S425" s="88">
        <v>45547.0</v>
      </c>
      <c r="T425" s="65">
        <f t="shared" si="5"/>
        <v>7.4</v>
      </c>
      <c r="U425" s="88"/>
      <c r="V425" s="65"/>
    </row>
    <row r="426">
      <c r="A426" s="74" t="s">
        <v>1429</v>
      </c>
      <c r="B426" s="75" t="s">
        <v>35</v>
      </c>
      <c r="C426" s="75" t="s">
        <v>36</v>
      </c>
      <c r="D426" s="76" t="str">
        <f t="shared" si="19"/>
        <v>Active</v>
      </c>
      <c r="E426" s="90">
        <v>45310.0</v>
      </c>
      <c r="F426" s="198"/>
      <c r="G426" s="79">
        <f t="shared" si="2"/>
        <v>32.56666667</v>
      </c>
      <c r="H426" s="90">
        <v>45310.0</v>
      </c>
      <c r="I426" s="79">
        <f t="shared" si="3"/>
        <v>0</v>
      </c>
      <c r="J426" s="106">
        <v>78.0</v>
      </c>
      <c r="K426" s="106">
        <v>31.0</v>
      </c>
      <c r="L426" s="82" t="s">
        <v>105</v>
      </c>
      <c r="M426" s="82"/>
      <c r="N426" s="82" t="s">
        <v>1431</v>
      </c>
      <c r="O426" s="82" t="s">
        <v>1331</v>
      </c>
      <c r="P426" s="107"/>
      <c r="Q426" s="82"/>
      <c r="R426" s="76" t="str">
        <f t="shared" si="4"/>
        <v>Active</v>
      </c>
      <c r="S426" s="90">
        <v>45547.0</v>
      </c>
      <c r="T426" s="79">
        <f t="shared" si="5"/>
        <v>7.766666667</v>
      </c>
      <c r="U426" s="90"/>
      <c r="V426" s="79"/>
    </row>
    <row r="427">
      <c r="A427" s="53" t="s">
        <v>1435</v>
      </c>
      <c r="B427" s="54" t="s">
        <v>35</v>
      </c>
      <c r="C427" s="54" t="s">
        <v>36</v>
      </c>
      <c r="D427" s="59" t="str">
        <f t="shared" si="19"/>
        <v>Active</v>
      </c>
      <c r="E427" s="88">
        <v>45307.0</v>
      </c>
      <c r="F427" s="187"/>
      <c r="G427" s="65">
        <f t="shared" si="2"/>
        <v>32.66666667</v>
      </c>
      <c r="H427" s="88">
        <v>43480.0</v>
      </c>
      <c r="I427" s="65">
        <f t="shared" si="3"/>
        <v>5.002777778</v>
      </c>
      <c r="J427" s="121">
        <v>91.0</v>
      </c>
      <c r="K427" s="121">
        <v>9.0</v>
      </c>
      <c r="L427" s="69" t="s">
        <v>37</v>
      </c>
      <c r="M427" s="69"/>
      <c r="N427" s="69"/>
      <c r="O427" s="69"/>
      <c r="P427" s="122"/>
      <c r="Q427" s="69"/>
      <c r="R427" s="59" t="str">
        <f t="shared" si="4"/>
        <v>Active</v>
      </c>
      <c r="S427" s="88">
        <v>45547.0</v>
      </c>
      <c r="T427" s="65">
        <f t="shared" si="5"/>
        <v>7.866666667</v>
      </c>
      <c r="U427" s="88"/>
      <c r="V427" s="65"/>
    </row>
    <row r="428">
      <c r="A428" s="74" t="s">
        <v>1438</v>
      </c>
      <c r="B428" s="75" t="s">
        <v>35</v>
      </c>
      <c r="C428" s="75" t="s">
        <v>36</v>
      </c>
      <c r="D428" s="76" t="str">
        <f t="shared" si="19"/>
        <v>Active</v>
      </c>
      <c r="E428" s="90">
        <v>45302.0</v>
      </c>
      <c r="F428" s="198"/>
      <c r="G428" s="79">
        <f t="shared" si="2"/>
        <v>32.83333333</v>
      </c>
      <c r="H428" s="90">
        <v>45079.0</v>
      </c>
      <c r="I428" s="79">
        <f t="shared" si="3"/>
        <v>0.6083333333</v>
      </c>
      <c r="J428" s="106">
        <v>79.0</v>
      </c>
      <c r="K428" s="106">
        <v>12.0</v>
      </c>
      <c r="L428" s="82" t="s">
        <v>62</v>
      </c>
      <c r="M428" s="82"/>
      <c r="N428" s="82"/>
      <c r="O428" s="82"/>
      <c r="P428" s="107"/>
      <c r="Q428" s="82"/>
      <c r="R428" s="76" t="str">
        <f t="shared" si="4"/>
        <v>Active</v>
      </c>
      <c r="S428" s="90">
        <v>45547.0</v>
      </c>
      <c r="T428" s="79">
        <f t="shared" si="5"/>
        <v>8.033333333</v>
      </c>
      <c r="U428" s="90"/>
      <c r="V428" s="79"/>
    </row>
    <row r="429">
      <c r="A429" s="207" t="s">
        <v>1443</v>
      </c>
      <c r="B429" s="54" t="s">
        <v>35</v>
      </c>
      <c r="C429" s="54" t="s">
        <v>36</v>
      </c>
      <c r="D429" s="59" t="str">
        <f t="shared" si="19"/>
        <v>Active</v>
      </c>
      <c r="E429" s="61">
        <v>45302.0</v>
      </c>
      <c r="F429" s="120"/>
      <c r="G429" s="65">
        <f t="shared" si="2"/>
        <v>32.83333333</v>
      </c>
      <c r="H429" s="88">
        <v>43322.0</v>
      </c>
      <c r="I429" s="65">
        <f t="shared" si="3"/>
        <v>5.419444444</v>
      </c>
      <c r="J429" s="208">
        <v>64.0</v>
      </c>
      <c r="K429" s="121">
        <v>21.0</v>
      </c>
      <c r="L429" s="69" t="s">
        <v>37</v>
      </c>
      <c r="M429" s="69" t="s">
        <v>326</v>
      </c>
      <c r="N429" s="69" t="s">
        <v>1446</v>
      </c>
      <c r="O429" s="69" t="s">
        <v>107</v>
      </c>
      <c r="P429" s="122" t="s">
        <v>1447</v>
      </c>
      <c r="Q429" s="69"/>
      <c r="R429" s="59" t="str">
        <f t="shared" si="4"/>
        <v>Active</v>
      </c>
      <c r="S429" s="88">
        <v>45547.0</v>
      </c>
      <c r="T429" s="65">
        <f t="shared" si="5"/>
        <v>8.033333333</v>
      </c>
      <c r="U429" s="88"/>
      <c r="V429" s="65"/>
    </row>
    <row r="430">
      <c r="A430" s="74" t="s">
        <v>1449</v>
      </c>
      <c r="B430" s="75" t="s">
        <v>35</v>
      </c>
      <c r="C430" s="75" t="s">
        <v>36</v>
      </c>
      <c r="D430" s="76" t="str">
        <f t="shared" si="19"/>
        <v>Active</v>
      </c>
      <c r="E430" s="90">
        <v>45300.0</v>
      </c>
      <c r="F430" s="198"/>
      <c r="G430" s="79">
        <f t="shared" si="2"/>
        <v>32.9</v>
      </c>
      <c r="H430" s="90">
        <v>44145.0</v>
      </c>
      <c r="I430" s="79">
        <f t="shared" si="3"/>
        <v>3.163888889</v>
      </c>
      <c r="J430" s="106">
        <v>80.0</v>
      </c>
      <c r="K430" s="106">
        <v>61.0</v>
      </c>
      <c r="L430" s="82" t="s">
        <v>46</v>
      </c>
      <c r="M430" s="82"/>
      <c r="N430" s="82" t="s">
        <v>212</v>
      </c>
      <c r="O430" s="82"/>
      <c r="P430" s="107"/>
      <c r="Q430" s="82"/>
      <c r="R430" s="76" t="str">
        <f t="shared" si="4"/>
        <v>Active</v>
      </c>
      <c r="S430" s="90">
        <v>45547.0</v>
      </c>
      <c r="T430" s="79">
        <f t="shared" si="5"/>
        <v>8.1</v>
      </c>
      <c r="U430" s="90"/>
      <c r="V430" s="79"/>
    </row>
    <row r="431">
      <c r="A431" s="212" t="s">
        <v>1454</v>
      </c>
      <c r="B431" s="54" t="s">
        <v>35</v>
      </c>
      <c r="C431" s="54" t="s">
        <v>36</v>
      </c>
      <c r="D431" s="59" t="str">
        <f t="shared" si="19"/>
        <v>Active</v>
      </c>
      <c r="E431" s="88">
        <v>45274.0</v>
      </c>
      <c r="F431" s="187"/>
      <c r="G431" s="65">
        <f t="shared" si="2"/>
        <v>33.73333333</v>
      </c>
      <c r="H431" s="88">
        <v>44476.0</v>
      </c>
      <c r="I431" s="65">
        <f t="shared" si="3"/>
        <v>2.186111111</v>
      </c>
      <c r="J431" s="121">
        <v>73.0</v>
      </c>
      <c r="K431" s="121">
        <v>24.0</v>
      </c>
      <c r="L431" s="69" t="s">
        <v>37</v>
      </c>
      <c r="M431" s="69"/>
      <c r="N431" s="69" t="s">
        <v>212</v>
      </c>
      <c r="O431" s="69"/>
      <c r="P431" s="122"/>
      <c r="Q431" s="69"/>
      <c r="R431" s="59" t="str">
        <f t="shared" si="4"/>
        <v>Active</v>
      </c>
      <c r="S431" s="88">
        <v>45547.0</v>
      </c>
      <c r="T431" s="65">
        <f t="shared" si="5"/>
        <v>8.933333333</v>
      </c>
      <c r="U431" s="88"/>
      <c r="V431" s="65"/>
    </row>
    <row r="432">
      <c r="A432" s="214" t="s">
        <v>1456</v>
      </c>
      <c r="B432" s="75" t="s">
        <v>35</v>
      </c>
      <c r="C432" s="75" t="s">
        <v>36</v>
      </c>
      <c r="D432" s="76" t="str">
        <f t="shared" si="19"/>
        <v>Active</v>
      </c>
      <c r="E432" s="90">
        <v>45267.0</v>
      </c>
      <c r="F432" s="198"/>
      <c r="G432" s="79">
        <f t="shared" si="2"/>
        <v>33.96666667</v>
      </c>
      <c r="H432" s="90">
        <v>44882.0</v>
      </c>
      <c r="I432" s="79">
        <f t="shared" si="3"/>
        <v>1.055555556</v>
      </c>
      <c r="J432" s="106">
        <v>68.0</v>
      </c>
      <c r="K432" s="106">
        <v>8.0</v>
      </c>
      <c r="L432" s="82" t="s">
        <v>64</v>
      </c>
      <c r="M432" s="82" t="s">
        <v>38</v>
      </c>
      <c r="N432" s="82"/>
      <c r="O432" s="82"/>
      <c r="P432" s="107"/>
      <c r="Q432" s="82"/>
      <c r="R432" s="76" t="str">
        <f t="shared" si="4"/>
        <v>Active</v>
      </c>
      <c r="S432" s="90">
        <v>45547.0</v>
      </c>
      <c r="T432" s="79">
        <f t="shared" si="5"/>
        <v>9.166666667</v>
      </c>
      <c r="U432" s="90"/>
      <c r="V432" s="79"/>
    </row>
    <row r="433">
      <c r="A433" s="212" t="s">
        <v>1458</v>
      </c>
      <c r="B433" s="54" t="s">
        <v>35</v>
      </c>
      <c r="C433" s="54" t="s">
        <v>36</v>
      </c>
      <c r="D433" s="59" t="str">
        <f t="shared" si="19"/>
        <v>Active</v>
      </c>
      <c r="E433" s="88">
        <v>45265.0</v>
      </c>
      <c r="F433" s="187"/>
      <c r="G433" s="65">
        <f t="shared" si="2"/>
        <v>34.03333333</v>
      </c>
      <c r="H433" s="88">
        <v>42702.0</v>
      </c>
      <c r="I433" s="65">
        <f t="shared" si="3"/>
        <v>7.019444444</v>
      </c>
      <c r="J433" s="121">
        <v>82.0</v>
      </c>
      <c r="K433" s="121">
        <v>2.0</v>
      </c>
      <c r="L433" s="69" t="s">
        <v>105</v>
      </c>
      <c r="M433" s="69" t="s">
        <v>38</v>
      </c>
      <c r="N433" s="69"/>
      <c r="O433" s="69"/>
      <c r="P433" s="122"/>
      <c r="Q433" s="69"/>
      <c r="R433" s="59" t="str">
        <f t="shared" si="4"/>
        <v>Active</v>
      </c>
      <c r="S433" s="88">
        <v>45547.0</v>
      </c>
      <c r="T433" s="65">
        <f t="shared" si="5"/>
        <v>9.233333333</v>
      </c>
      <c r="U433" s="88"/>
      <c r="V433" s="65"/>
    </row>
    <row r="434">
      <c r="A434" s="74" t="s">
        <v>1462</v>
      </c>
      <c r="B434" s="75" t="s">
        <v>35</v>
      </c>
      <c r="C434" s="75" t="s">
        <v>36</v>
      </c>
      <c r="D434" s="76" t="str">
        <f t="shared" si="19"/>
        <v>Active</v>
      </c>
      <c r="E434" s="90">
        <v>45265.0</v>
      </c>
      <c r="F434" s="105"/>
      <c r="G434" s="79">
        <f t="shared" si="2"/>
        <v>34.03333333</v>
      </c>
      <c r="H434" s="90">
        <v>43571.0</v>
      </c>
      <c r="I434" s="79">
        <f t="shared" si="3"/>
        <v>4.636111111</v>
      </c>
      <c r="J434" s="216">
        <v>73.0</v>
      </c>
      <c r="K434" s="106">
        <v>7.0</v>
      </c>
      <c r="L434" s="83" t="s">
        <v>105</v>
      </c>
      <c r="M434" s="83"/>
      <c r="N434" s="82" t="s">
        <v>1463</v>
      </c>
      <c r="O434" s="82" t="s">
        <v>107</v>
      </c>
      <c r="P434" s="107" t="s">
        <v>1256</v>
      </c>
      <c r="Q434" s="82"/>
      <c r="R434" s="76" t="str">
        <f t="shared" si="4"/>
        <v>Active</v>
      </c>
      <c r="S434" s="90">
        <v>45547.0</v>
      </c>
      <c r="T434" s="79">
        <f t="shared" si="5"/>
        <v>9.233333333</v>
      </c>
      <c r="U434" s="90">
        <v>45994.0</v>
      </c>
      <c r="V434" s="79">
        <f>MONTHDUR(E434,U434)</f>
        <v>23.93333333</v>
      </c>
    </row>
    <row r="435">
      <c r="A435" s="53" t="s">
        <v>1466</v>
      </c>
      <c r="B435" s="54" t="s">
        <v>35</v>
      </c>
      <c r="C435" s="54" t="s">
        <v>36</v>
      </c>
      <c r="D435" s="59" t="str">
        <f t="shared" si="19"/>
        <v>Active</v>
      </c>
      <c r="E435" s="88">
        <v>45239.0</v>
      </c>
      <c r="F435" s="187"/>
      <c r="G435" s="65">
        <f t="shared" si="2"/>
        <v>34.9</v>
      </c>
      <c r="H435" s="88">
        <v>44974.0</v>
      </c>
      <c r="I435" s="65">
        <f t="shared" si="3"/>
        <v>0.7277777778</v>
      </c>
      <c r="J435" s="121">
        <v>79.0</v>
      </c>
      <c r="K435" s="121">
        <v>46.0</v>
      </c>
      <c r="L435" s="69" t="s">
        <v>41</v>
      </c>
      <c r="M435" s="69"/>
      <c r="N435" s="69"/>
      <c r="O435" s="69"/>
      <c r="P435" s="122"/>
      <c r="Q435" s="69"/>
      <c r="R435" s="59" t="str">
        <f t="shared" si="4"/>
        <v>Active</v>
      </c>
      <c r="S435" s="88">
        <v>45547.0</v>
      </c>
      <c r="T435" s="65">
        <f t="shared" si="5"/>
        <v>10.1</v>
      </c>
      <c r="U435" s="88"/>
      <c r="V435" s="65"/>
    </row>
    <row r="436">
      <c r="A436" s="74" t="s">
        <v>1470</v>
      </c>
      <c r="B436" s="75" t="s">
        <v>35</v>
      </c>
      <c r="C436" s="75" t="s">
        <v>36</v>
      </c>
      <c r="D436" s="76" t="str">
        <f t="shared" si="19"/>
        <v>Active</v>
      </c>
      <c r="E436" s="90">
        <v>45230.0</v>
      </c>
      <c r="F436" s="198"/>
      <c r="G436" s="79">
        <f t="shared" si="2"/>
        <v>35.2</v>
      </c>
      <c r="H436" s="90">
        <v>44531.0</v>
      </c>
      <c r="I436" s="79">
        <f t="shared" si="3"/>
        <v>1.913888889</v>
      </c>
      <c r="J436" s="106">
        <v>80.0</v>
      </c>
      <c r="K436" s="106">
        <v>38.0</v>
      </c>
      <c r="L436" s="82" t="s">
        <v>46</v>
      </c>
      <c r="M436" s="82"/>
      <c r="N436" s="82" t="s">
        <v>1472</v>
      </c>
      <c r="O436" s="82"/>
      <c r="P436" s="107"/>
      <c r="Q436" s="82"/>
      <c r="R436" s="76" t="str">
        <f t="shared" si="4"/>
        <v>Active</v>
      </c>
      <c r="S436" s="90">
        <v>45547.0</v>
      </c>
      <c r="T436" s="79">
        <f t="shared" si="5"/>
        <v>10.4</v>
      </c>
      <c r="U436" s="90"/>
      <c r="V436" s="79"/>
    </row>
    <row r="437">
      <c r="A437" s="53" t="s">
        <v>1474</v>
      </c>
      <c r="B437" s="54" t="s">
        <v>35</v>
      </c>
      <c r="C437" s="54" t="s">
        <v>36</v>
      </c>
      <c r="D437" s="59" t="str">
        <f t="shared" si="19"/>
        <v>Active</v>
      </c>
      <c r="E437" s="88">
        <v>45225.0</v>
      </c>
      <c r="F437" s="187"/>
      <c r="G437" s="65">
        <f t="shared" si="2"/>
        <v>35.33333333</v>
      </c>
      <c r="H437" s="88">
        <v>44953.0</v>
      </c>
      <c r="I437" s="65">
        <f t="shared" si="3"/>
        <v>0.7472222222</v>
      </c>
      <c r="J437" s="121">
        <v>88.0</v>
      </c>
      <c r="K437" s="121">
        <v>12.0</v>
      </c>
      <c r="L437" s="69" t="s">
        <v>37</v>
      </c>
      <c r="M437" s="69" t="s">
        <v>38</v>
      </c>
      <c r="N437" s="69"/>
      <c r="O437" s="69" t="s">
        <v>107</v>
      </c>
      <c r="P437" s="122" t="s">
        <v>1256</v>
      </c>
      <c r="Q437" s="69"/>
      <c r="R437" s="59" t="str">
        <f t="shared" si="4"/>
        <v>Active</v>
      </c>
      <c r="S437" s="88">
        <v>45547.0</v>
      </c>
      <c r="T437" s="65">
        <f t="shared" si="5"/>
        <v>10.53333333</v>
      </c>
      <c r="U437" s="88"/>
      <c r="V437" s="65"/>
    </row>
    <row r="438">
      <c r="A438" s="74" t="s">
        <v>1477</v>
      </c>
      <c r="B438" s="75" t="s">
        <v>13</v>
      </c>
      <c r="C438" s="75"/>
      <c r="D438" s="76" t="str">
        <f t="shared" si="19"/>
        <v>Active</v>
      </c>
      <c r="E438" s="90">
        <v>45223.0</v>
      </c>
      <c r="F438" s="198"/>
      <c r="G438" s="79">
        <f t="shared" si="2"/>
        <v>35.4</v>
      </c>
      <c r="H438" s="90">
        <v>45223.0</v>
      </c>
      <c r="I438" s="79">
        <f t="shared" si="3"/>
        <v>0</v>
      </c>
      <c r="J438" s="106">
        <v>75.0</v>
      </c>
      <c r="K438" s="106">
        <v>25.0</v>
      </c>
      <c r="L438" s="82" t="s">
        <v>64</v>
      </c>
      <c r="M438" s="82"/>
      <c r="N438" s="82"/>
      <c r="O438" s="82" t="s">
        <v>1331</v>
      </c>
      <c r="P438" s="107"/>
      <c r="Q438" s="82"/>
      <c r="R438" s="102" t="str">
        <f t="shared" si="4"/>
        <v>Active</v>
      </c>
      <c r="S438" s="112">
        <v>45931.0</v>
      </c>
      <c r="T438" s="79">
        <f t="shared" si="5"/>
        <v>23.23333333</v>
      </c>
      <c r="U438" s="112"/>
      <c r="V438" s="79"/>
    </row>
    <row r="439">
      <c r="A439" s="53" t="s">
        <v>1481</v>
      </c>
      <c r="B439" s="54" t="s">
        <v>35</v>
      </c>
      <c r="C439" s="54" t="s">
        <v>36</v>
      </c>
      <c r="D439" s="59" t="str">
        <f t="shared" si="19"/>
        <v>Active</v>
      </c>
      <c r="E439" s="88">
        <v>45209.0</v>
      </c>
      <c r="F439" s="187"/>
      <c r="G439" s="65">
        <f t="shared" si="2"/>
        <v>35.86666667</v>
      </c>
      <c r="H439" s="88">
        <v>45209.0</v>
      </c>
      <c r="I439" s="65">
        <f t="shared" si="3"/>
        <v>0</v>
      </c>
      <c r="J439" s="121">
        <v>85.0</v>
      </c>
      <c r="K439" s="121">
        <v>8.0</v>
      </c>
      <c r="L439" s="69" t="s">
        <v>55</v>
      </c>
      <c r="M439" s="69" t="s">
        <v>38</v>
      </c>
      <c r="N439" s="69"/>
      <c r="O439" s="69" t="s">
        <v>1331</v>
      </c>
      <c r="P439" s="122"/>
      <c r="Q439" s="69"/>
      <c r="R439" s="59" t="str">
        <f t="shared" si="4"/>
        <v>Active</v>
      </c>
      <c r="S439" s="88">
        <v>45630.0</v>
      </c>
      <c r="T439" s="65">
        <f t="shared" si="5"/>
        <v>13.8</v>
      </c>
      <c r="U439" s="88"/>
      <c r="V439" s="65"/>
    </row>
    <row r="440">
      <c r="A440" s="74" t="s">
        <v>1484</v>
      </c>
      <c r="B440" s="75" t="s">
        <v>35</v>
      </c>
      <c r="C440" s="75" t="s">
        <v>36</v>
      </c>
      <c r="D440" s="76" t="str">
        <f t="shared" si="19"/>
        <v>Active</v>
      </c>
      <c r="E440" s="90">
        <v>45175.0</v>
      </c>
      <c r="F440" s="198"/>
      <c r="G440" s="79">
        <f t="shared" si="2"/>
        <v>37</v>
      </c>
      <c r="H440" s="90">
        <v>45175.0</v>
      </c>
      <c r="I440" s="79">
        <f t="shared" si="3"/>
        <v>0</v>
      </c>
      <c r="J440" s="106">
        <v>84.0</v>
      </c>
      <c r="K440" s="106">
        <v>20.0</v>
      </c>
      <c r="L440" s="82" t="s">
        <v>46</v>
      </c>
      <c r="M440" s="82" t="s">
        <v>38</v>
      </c>
      <c r="N440" s="82"/>
      <c r="O440" s="82" t="s">
        <v>107</v>
      </c>
      <c r="P440" s="107" t="s">
        <v>1485</v>
      </c>
      <c r="Q440" s="82"/>
      <c r="R440" s="76" t="str">
        <f t="shared" si="4"/>
        <v>Active</v>
      </c>
      <c r="S440" s="90">
        <v>45693.0</v>
      </c>
      <c r="T440" s="79">
        <f t="shared" si="5"/>
        <v>16.96666667</v>
      </c>
      <c r="U440" s="90"/>
      <c r="V440" s="79"/>
    </row>
    <row r="441">
      <c r="A441" s="53" t="s">
        <v>1486</v>
      </c>
      <c r="B441" s="54" t="s">
        <v>35</v>
      </c>
      <c r="C441" s="54"/>
      <c r="D441" s="59" t="str">
        <f t="shared" si="19"/>
        <v>Active</v>
      </c>
      <c r="E441" s="88">
        <v>45167.0</v>
      </c>
      <c r="F441" s="187"/>
      <c r="G441" s="65">
        <f t="shared" si="2"/>
        <v>37.23333333</v>
      </c>
      <c r="H441" s="88">
        <v>44804.0</v>
      </c>
      <c r="I441" s="65">
        <f t="shared" si="3"/>
        <v>0.9972222222</v>
      </c>
      <c r="J441" s="121">
        <v>63.0</v>
      </c>
      <c r="K441" s="121">
        <v>11.5</v>
      </c>
      <c r="L441" s="69" t="s">
        <v>62</v>
      </c>
      <c r="M441" s="69"/>
      <c r="N441" s="69"/>
      <c r="O441" s="69" t="s">
        <v>1219</v>
      </c>
      <c r="P441" s="122" t="s">
        <v>1488</v>
      </c>
      <c r="Q441" s="69"/>
      <c r="R441" s="59" t="str">
        <f t="shared" si="4"/>
        <v>Active</v>
      </c>
      <c r="S441" s="88">
        <v>45547.0</v>
      </c>
      <c r="T441" s="65">
        <f t="shared" si="5"/>
        <v>12.43333333</v>
      </c>
      <c r="U441" s="88"/>
      <c r="V441" s="65"/>
    </row>
    <row r="442">
      <c r="A442" s="74" t="s">
        <v>1489</v>
      </c>
      <c r="B442" s="75" t="s">
        <v>35</v>
      </c>
      <c r="C442" s="75" t="s">
        <v>36</v>
      </c>
      <c r="D442" s="76" t="str">
        <f t="shared" si="19"/>
        <v>Active</v>
      </c>
      <c r="E442" s="77">
        <v>45147.0</v>
      </c>
      <c r="F442" s="105"/>
      <c r="G442" s="79">
        <f t="shared" si="2"/>
        <v>37.9</v>
      </c>
      <c r="H442" s="90">
        <v>40380.0</v>
      </c>
      <c r="I442" s="79">
        <f t="shared" si="3"/>
        <v>13.05</v>
      </c>
      <c r="J442" s="106">
        <v>85.0</v>
      </c>
      <c r="K442" s="106">
        <v>3.5</v>
      </c>
      <c r="L442" s="82" t="s">
        <v>57</v>
      </c>
      <c r="M442" s="83"/>
      <c r="N442" s="82" t="s">
        <v>1490</v>
      </c>
      <c r="O442" s="82" t="s">
        <v>328</v>
      </c>
      <c r="P442" s="107" t="s">
        <v>1491</v>
      </c>
      <c r="Q442" s="82"/>
      <c r="R442" s="76" t="str">
        <f t="shared" si="4"/>
        <v>Active</v>
      </c>
      <c r="S442" s="90">
        <v>45547.0</v>
      </c>
      <c r="T442" s="79">
        <f t="shared" si="5"/>
        <v>13.1</v>
      </c>
      <c r="U442" s="90">
        <v>45183.0</v>
      </c>
      <c r="V442" s="79">
        <f>MONTHDUR(E442,U442)</f>
        <v>1.166666667</v>
      </c>
    </row>
    <row r="443">
      <c r="A443" s="53" t="s">
        <v>1492</v>
      </c>
      <c r="B443" s="54" t="s">
        <v>129</v>
      </c>
      <c r="C443" s="54" t="s">
        <v>36</v>
      </c>
      <c r="D443" s="59" t="str">
        <f t="shared" si="19"/>
        <v>Active</v>
      </c>
      <c r="E443" s="88">
        <v>45125.0</v>
      </c>
      <c r="F443" s="187"/>
      <c r="G443" s="65">
        <f t="shared" si="2"/>
        <v>38.6</v>
      </c>
      <c r="H443" s="88">
        <v>41600.0</v>
      </c>
      <c r="I443" s="65">
        <f t="shared" si="3"/>
        <v>9.655555556</v>
      </c>
      <c r="J443" s="121">
        <v>69.0</v>
      </c>
      <c r="K443" s="121">
        <v>5.0</v>
      </c>
      <c r="L443" s="69" t="s">
        <v>57</v>
      </c>
      <c r="M443" s="69"/>
      <c r="N443" s="69"/>
      <c r="O443" s="69" t="s">
        <v>328</v>
      </c>
      <c r="P443" s="122" t="s">
        <v>1493</v>
      </c>
      <c r="Q443" s="69"/>
      <c r="R443" s="59" t="str">
        <f t="shared" si="4"/>
        <v>Active</v>
      </c>
      <c r="S443" s="88">
        <v>45547.0</v>
      </c>
      <c r="T443" s="65">
        <f t="shared" si="5"/>
        <v>13.8</v>
      </c>
      <c r="U443" s="88"/>
      <c r="V443" s="65"/>
    </row>
    <row r="444">
      <c r="A444" s="74" t="s">
        <v>1494</v>
      </c>
      <c r="B444" s="75" t="s">
        <v>35</v>
      </c>
      <c r="C444" s="75" t="s">
        <v>36</v>
      </c>
      <c r="D444" s="76" t="str">
        <f t="shared" si="19"/>
        <v>Active</v>
      </c>
      <c r="E444" s="90">
        <v>45099.0</v>
      </c>
      <c r="F444" s="198"/>
      <c r="G444" s="79">
        <f t="shared" si="2"/>
        <v>39.46666667</v>
      </c>
      <c r="H444" s="90">
        <v>44894.0</v>
      </c>
      <c r="I444" s="79">
        <f t="shared" si="3"/>
        <v>0.5638888889</v>
      </c>
      <c r="J444" s="106">
        <v>77.0</v>
      </c>
      <c r="K444" s="106">
        <v>23.0</v>
      </c>
      <c r="L444" s="82" t="s">
        <v>55</v>
      </c>
      <c r="M444" s="82" t="s">
        <v>38</v>
      </c>
      <c r="N444" s="82"/>
      <c r="O444" s="82" t="s">
        <v>328</v>
      </c>
      <c r="P444" s="107" t="s">
        <v>1495</v>
      </c>
      <c r="Q444" s="82"/>
      <c r="R444" s="76" t="str">
        <f t="shared" si="4"/>
        <v>Active</v>
      </c>
      <c r="S444" s="90">
        <v>45547.0</v>
      </c>
      <c r="T444" s="79">
        <f t="shared" si="5"/>
        <v>14.66666667</v>
      </c>
      <c r="U444" s="90"/>
      <c r="V444" s="79"/>
    </row>
    <row r="445">
      <c r="A445" s="53" t="s">
        <v>1496</v>
      </c>
      <c r="B445" s="54" t="s">
        <v>129</v>
      </c>
      <c r="C445" s="54" t="s">
        <v>36</v>
      </c>
      <c r="D445" s="59" t="str">
        <f t="shared" si="19"/>
        <v>Active</v>
      </c>
      <c r="E445" s="61">
        <v>45085.0</v>
      </c>
      <c r="F445" s="187"/>
      <c r="G445" s="65">
        <f t="shared" si="2"/>
        <v>39.93333333</v>
      </c>
      <c r="H445" s="88">
        <v>40582.0</v>
      </c>
      <c r="I445" s="65">
        <f t="shared" si="3"/>
        <v>12.33333333</v>
      </c>
      <c r="J445" s="121">
        <v>82.0</v>
      </c>
      <c r="K445" s="121">
        <v>4.0</v>
      </c>
      <c r="L445" s="69" t="s">
        <v>135</v>
      </c>
      <c r="M445" s="69"/>
      <c r="N445" s="69" t="s">
        <v>1497</v>
      </c>
      <c r="O445" s="69" t="s">
        <v>1168</v>
      </c>
      <c r="P445" s="122" t="s">
        <v>1498</v>
      </c>
      <c r="Q445" s="69"/>
      <c r="R445" s="59" t="str">
        <f t="shared" si="4"/>
        <v>Active</v>
      </c>
      <c r="S445" s="88">
        <v>45547.0</v>
      </c>
      <c r="T445" s="65">
        <f t="shared" si="5"/>
        <v>15.13333333</v>
      </c>
      <c r="U445" s="88">
        <v>46151.0</v>
      </c>
      <c r="V445" s="65">
        <f>MONTHDUR(E445,U445)</f>
        <v>35.03333333</v>
      </c>
    </row>
    <row r="446">
      <c r="A446" s="74" t="s">
        <v>1499</v>
      </c>
      <c r="B446" s="75" t="s">
        <v>35</v>
      </c>
      <c r="C446" s="75" t="s">
        <v>36</v>
      </c>
      <c r="D446" s="76" t="str">
        <f t="shared" si="19"/>
        <v>Active</v>
      </c>
      <c r="E446" s="90">
        <v>45078.0</v>
      </c>
      <c r="F446" s="218"/>
      <c r="G446" s="79">
        <f t="shared" si="2"/>
        <v>40.16666667</v>
      </c>
      <c r="H446" s="90">
        <v>44419.0</v>
      </c>
      <c r="I446" s="79">
        <f t="shared" si="3"/>
        <v>1.805555556</v>
      </c>
      <c r="J446" s="106">
        <v>70.0</v>
      </c>
      <c r="K446" s="106">
        <v>23.0</v>
      </c>
      <c r="L446" s="82" t="s">
        <v>64</v>
      </c>
      <c r="M446" s="83"/>
      <c r="N446" s="82"/>
      <c r="O446" s="82" t="s">
        <v>1219</v>
      </c>
      <c r="P446" s="219"/>
      <c r="Q446" s="83"/>
      <c r="R446" s="76" t="str">
        <f t="shared" si="4"/>
        <v>Active</v>
      </c>
      <c r="S446" s="90">
        <v>45547.0</v>
      </c>
      <c r="T446" s="79">
        <f t="shared" si="5"/>
        <v>15.36666667</v>
      </c>
      <c r="U446" s="90"/>
      <c r="V446" s="79"/>
    </row>
    <row r="447">
      <c r="A447" s="53" t="s">
        <v>1500</v>
      </c>
      <c r="B447" s="54" t="s">
        <v>129</v>
      </c>
      <c r="C447" s="54" t="s">
        <v>36</v>
      </c>
      <c r="D447" s="59" t="str">
        <f t="shared" si="19"/>
        <v>Active</v>
      </c>
      <c r="E447" s="61">
        <v>45071.0</v>
      </c>
      <c r="F447" s="133"/>
      <c r="G447" s="65">
        <f t="shared" si="2"/>
        <v>40.36666667</v>
      </c>
      <c r="H447" s="88">
        <v>42156.0</v>
      </c>
      <c r="I447" s="65">
        <f t="shared" si="3"/>
        <v>7.983333333</v>
      </c>
      <c r="J447" s="121">
        <v>72.0</v>
      </c>
      <c r="K447" s="121">
        <v>15.5</v>
      </c>
      <c r="L447" s="69" t="s">
        <v>46</v>
      </c>
      <c r="M447" s="91"/>
      <c r="N447" s="69" t="s">
        <v>1501</v>
      </c>
      <c r="O447" s="69" t="s">
        <v>328</v>
      </c>
      <c r="P447" s="122" t="s">
        <v>1502</v>
      </c>
      <c r="Q447" s="91"/>
      <c r="R447" s="59" t="str">
        <f t="shared" si="4"/>
        <v>Active</v>
      </c>
      <c r="S447" s="88">
        <v>45547.0</v>
      </c>
      <c r="T447" s="65">
        <f t="shared" si="5"/>
        <v>15.56666667</v>
      </c>
      <c r="U447" s="88">
        <v>46151.0</v>
      </c>
      <c r="V447" s="65">
        <f>MONTHDUR(E447,U447)</f>
        <v>35.46666667</v>
      </c>
    </row>
    <row r="448">
      <c r="A448" s="74" t="s">
        <v>1503</v>
      </c>
      <c r="B448" s="75" t="s">
        <v>35</v>
      </c>
      <c r="C448" s="75" t="s">
        <v>36</v>
      </c>
      <c r="D448" s="76" t="str">
        <f t="shared" si="19"/>
        <v>Active</v>
      </c>
      <c r="E448" s="90">
        <v>45048.0</v>
      </c>
      <c r="F448" s="198"/>
      <c r="G448" s="79">
        <f t="shared" si="2"/>
        <v>41.13333333</v>
      </c>
      <c r="H448" s="90">
        <v>45048.0</v>
      </c>
      <c r="I448" s="79">
        <f t="shared" si="3"/>
        <v>0</v>
      </c>
      <c r="J448" s="106">
        <v>55.0</v>
      </c>
      <c r="K448" s="106">
        <v>11.0</v>
      </c>
      <c r="L448" s="82" t="s">
        <v>37</v>
      </c>
      <c r="M448" s="82" t="s">
        <v>38</v>
      </c>
      <c r="N448" s="82" t="s">
        <v>1504</v>
      </c>
      <c r="O448" s="82" t="s">
        <v>107</v>
      </c>
      <c r="P448" s="107" t="s">
        <v>310</v>
      </c>
      <c r="Q448" s="82"/>
      <c r="R448" s="76" t="str">
        <f t="shared" si="4"/>
        <v>Active</v>
      </c>
      <c r="S448" s="90">
        <v>45547.0</v>
      </c>
      <c r="T448" s="79">
        <f t="shared" si="5"/>
        <v>16.33333333</v>
      </c>
      <c r="U448" s="90"/>
      <c r="V448" s="79"/>
    </row>
    <row r="449">
      <c r="A449" s="53" t="s">
        <v>1505</v>
      </c>
      <c r="B449" s="54" t="s">
        <v>35</v>
      </c>
      <c r="C449" s="54" t="s">
        <v>36</v>
      </c>
      <c r="D449" s="59" t="str">
        <f t="shared" si="19"/>
        <v>Active</v>
      </c>
      <c r="E449" s="88">
        <v>45034.0</v>
      </c>
      <c r="F449" s="187"/>
      <c r="G449" s="65">
        <f t="shared" si="2"/>
        <v>41.6</v>
      </c>
      <c r="H449" s="88">
        <v>45034.0</v>
      </c>
      <c r="I449" s="65">
        <f t="shared" si="3"/>
        <v>0</v>
      </c>
      <c r="J449" s="121">
        <v>69.0</v>
      </c>
      <c r="K449" s="121">
        <v>8.0</v>
      </c>
      <c r="L449" s="69" t="s">
        <v>41</v>
      </c>
      <c r="M449" s="69" t="s">
        <v>38</v>
      </c>
      <c r="N449" s="69"/>
      <c r="O449" s="69" t="s">
        <v>1168</v>
      </c>
      <c r="P449" s="122" t="s">
        <v>1507</v>
      </c>
      <c r="Q449" s="69"/>
      <c r="R449" s="59" t="str">
        <f t="shared" si="4"/>
        <v>Active</v>
      </c>
      <c r="S449" s="88">
        <v>45547.0</v>
      </c>
      <c r="T449" s="65">
        <f t="shared" si="5"/>
        <v>16.8</v>
      </c>
      <c r="U449" s="88"/>
      <c r="V449" s="65"/>
    </row>
    <row r="450">
      <c r="A450" s="74" t="s">
        <v>1506</v>
      </c>
      <c r="B450" s="75" t="s">
        <v>35</v>
      </c>
      <c r="C450" s="75" t="s">
        <v>36</v>
      </c>
      <c r="D450" s="76" t="str">
        <f t="shared" si="19"/>
        <v>Active</v>
      </c>
      <c r="E450" s="90">
        <v>45028.0</v>
      </c>
      <c r="F450" s="198"/>
      <c r="G450" s="79">
        <f t="shared" si="2"/>
        <v>41.8</v>
      </c>
      <c r="H450" s="90">
        <v>44645.0</v>
      </c>
      <c r="I450" s="79">
        <f t="shared" si="3"/>
        <v>1.047222222</v>
      </c>
      <c r="J450" s="106">
        <v>76.0</v>
      </c>
      <c r="K450" s="106">
        <v>11.0</v>
      </c>
      <c r="L450" s="82" t="s">
        <v>41</v>
      </c>
      <c r="M450" s="82" t="s">
        <v>38</v>
      </c>
      <c r="N450" s="82"/>
      <c r="O450" s="82" t="s">
        <v>328</v>
      </c>
      <c r="P450" s="107" t="s">
        <v>1385</v>
      </c>
      <c r="Q450" s="82"/>
      <c r="R450" s="76" t="str">
        <f t="shared" si="4"/>
        <v>Active</v>
      </c>
      <c r="S450" s="90">
        <v>45547.0</v>
      </c>
      <c r="T450" s="79">
        <f t="shared" si="5"/>
        <v>17</v>
      </c>
      <c r="U450" s="90"/>
      <c r="V450" s="79"/>
    </row>
    <row r="451">
      <c r="A451" s="207" t="s">
        <v>1510</v>
      </c>
      <c r="B451" s="54" t="s">
        <v>129</v>
      </c>
      <c r="C451" s="59"/>
      <c r="D451" s="59" t="str">
        <f t="shared" si="19"/>
        <v>Active</v>
      </c>
      <c r="E451" s="61">
        <v>45022.0</v>
      </c>
      <c r="F451" s="133"/>
      <c r="G451" s="65">
        <f t="shared" si="2"/>
        <v>42</v>
      </c>
      <c r="H451" s="88">
        <v>40716.0</v>
      </c>
      <c r="I451" s="65">
        <f t="shared" si="3"/>
        <v>11.78888889</v>
      </c>
      <c r="J451" s="121">
        <v>82.0</v>
      </c>
      <c r="K451" s="121">
        <v>6.5</v>
      </c>
      <c r="L451" s="69" t="s">
        <v>37</v>
      </c>
      <c r="M451" s="91"/>
      <c r="N451" s="69" t="s">
        <v>1513</v>
      </c>
      <c r="O451" s="69" t="s">
        <v>328</v>
      </c>
      <c r="P451" s="122" t="s">
        <v>1514</v>
      </c>
      <c r="Q451" s="91"/>
      <c r="R451" s="59" t="str">
        <f t="shared" si="4"/>
        <v>Active</v>
      </c>
      <c r="S451" s="88">
        <v>45547.0</v>
      </c>
      <c r="T451" s="65">
        <f t="shared" si="5"/>
        <v>17.2</v>
      </c>
      <c r="U451" s="88">
        <v>46151.0</v>
      </c>
      <c r="V451" s="65">
        <f>MONTHDUR(E451,U451)</f>
        <v>37.1</v>
      </c>
    </row>
    <row r="452">
      <c r="A452" s="74" t="s">
        <v>1517</v>
      </c>
      <c r="B452" s="75" t="s">
        <v>35</v>
      </c>
      <c r="C452" s="75"/>
      <c r="D452" s="76" t="str">
        <f t="shared" si="19"/>
        <v>Active</v>
      </c>
      <c r="E452" s="90">
        <v>45006.0</v>
      </c>
      <c r="F452" s="198"/>
      <c r="G452" s="79">
        <f t="shared" si="2"/>
        <v>42.5</v>
      </c>
      <c r="H452" s="90">
        <v>43182.0</v>
      </c>
      <c r="I452" s="79">
        <f t="shared" si="3"/>
        <v>4.994444444</v>
      </c>
      <c r="J452" s="106">
        <v>81.0</v>
      </c>
      <c r="K452" s="106">
        <v>39.0</v>
      </c>
      <c r="L452" s="82" t="s">
        <v>46</v>
      </c>
      <c r="M452" s="82"/>
      <c r="N452" s="82"/>
      <c r="O452" s="82" t="s">
        <v>328</v>
      </c>
      <c r="P452" s="107" t="s">
        <v>1519</v>
      </c>
      <c r="Q452" s="82"/>
      <c r="R452" s="76" t="str">
        <f t="shared" si="4"/>
        <v>Active</v>
      </c>
      <c r="S452" s="90">
        <v>45547.0</v>
      </c>
      <c r="T452" s="79">
        <f t="shared" si="5"/>
        <v>17.7</v>
      </c>
      <c r="U452" s="90"/>
      <c r="V452" s="79"/>
    </row>
    <row r="453">
      <c r="A453" s="53" t="s">
        <v>1508</v>
      </c>
      <c r="B453" s="54" t="s">
        <v>129</v>
      </c>
      <c r="C453" s="54" t="s">
        <v>36</v>
      </c>
      <c r="D453" s="59" t="str">
        <f t="shared" si="19"/>
        <v>Active</v>
      </c>
      <c r="E453" s="88">
        <v>44953.0</v>
      </c>
      <c r="F453" s="187"/>
      <c r="G453" s="65">
        <f t="shared" si="2"/>
        <v>44.3</v>
      </c>
      <c r="H453" s="88">
        <v>44953.0</v>
      </c>
      <c r="I453" s="65">
        <f t="shared" si="3"/>
        <v>0</v>
      </c>
      <c r="J453" s="121">
        <v>96.0</v>
      </c>
      <c r="K453" s="121">
        <v>10.0</v>
      </c>
      <c r="L453" s="69" t="s">
        <v>37</v>
      </c>
      <c r="M453" s="69"/>
      <c r="N453" s="69"/>
      <c r="O453" s="69" t="s">
        <v>328</v>
      </c>
      <c r="P453" s="122"/>
      <c r="Q453" s="69"/>
      <c r="R453" s="59" t="str">
        <f t="shared" si="4"/>
        <v>Active</v>
      </c>
      <c r="S453" s="88">
        <v>45547.0</v>
      </c>
      <c r="T453" s="65">
        <f t="shared" si="5"/>
        <v>19.5</v>
      </c>
      <c r="U453" s="88"/>
      <c r="V453" s="65"/>
    </row>
    <row r="454">
      <c r="A454" s="74" t="s">
        <v>1509</v>
      </c>
      <c r="B454" s="75" t="s">
        <v>35</v>
      </c>
      <c r="C454" s="75" t="s">
        <v>36</v>
      </c>
      <c r="D454" s="76" t="str">
        <f t="shared" si="19"/>
        <v>Active</v>
      </c>
      <c r="E454" s="90">
        <v>44951.0</v>
      </c>
      <c r="F454" s="198"/>
      <c r="G454" s="79">
        <f t="shared" si="2"/>
        <v>44.36666667</v>
      </c>
      <c r="H454" s="90">
        <v>44951.0</v>
      </c>
      <c r="I454" s="79">
        <f t="shared" si="3"/>
        <v>0</v>
      </c>
      <c r="J454" s="106">
        <v>89.0</v>
      </c>
      <c r="K454" s="106">
        <v>10.0</v>
      </c>
      <c r="L454" s="82" t="s">
        <v>41</v>
      </c>
      <c r="M454" s="82" t="s">
        <v>38</v>
      </c>
      <c r="N454" s="82"/>
      <c r="O454" s="82" t="s">
        <v>328</v>
      </c>
      <c r="P454" s="107" t="s">
        <v>1527</v>
      </c>
      <c r="Q454" s="82"/>
      <c r="R454" s="76" t="str">
        <f t="shared" si="4"/>
        <v>Active</v>
      </c>
      <c r="S454" s="90">
        <v>45547.0</v>
      </c>
      <c r="T454" s="79">
        <f t="shared" si="5"/>
        <v>19.56666667</v>
      </c>
      <c r="U454" s="90"/>
      <c r="V454" s="79"/>
    </row>
    <row r="455">
      <c r="A455" s="53" t="s">
        <v>1529</v>
      </c>
      <c r="B455" s="54" t="s">
        <v>13</v>
      </c>
      <c r="C455" s="54"/>
      <c r="D455" s="59" t="str">
        <f t="shared" si="19"/>
        <v>Active</v>
      </c>
      <c r="E455" s="88">
        <v>44901.0</v>
      </c>
      <c r="F455" s="187"/>
      <c r="G455" s="65">
        <f t="shared" si="2"/>
        <v>46</v>
      </c>
      <c r="H455" s="88">
        <v>44484.0</v>
      </c>
      <c r="I455" s="65">
        <f t="shared" si="3"/>
        <v>1.141666667</v>
      </c>
      <c r="J455" s="121">
        <v>70.0</v>
      </c>
      <c r="K455" s="121">
        <v>9.0</v>
      </c>
      <c r="L455" s="69" t="s">
        <v>37</v>
      </c>
      <c r="M455" s="69"/>
      <c r="N455" s="69"/>
      <c r="O455" s="69" t="s">
        <v>107</v>
      </c>
      <c r="P455" s="122" t="s">
        <v>1280</v>
      </c>
      <c r="Q455" s="69" t="s">
        <v>1532</v>
      </c>
      <c r="R455" s="59" t="str">
        <f t="shared" si="4"/>
        <v>TBD</v>
      </c>
      <c r="S455" s="88"/>
      <c r="T455" s="65">
        <f t="shared" si="5"/>
        <v>46</v>
      </c>
      <c r="U455" s="88"/>
      <c r="V455" s="65"/>
    </row>
    <row r="456">
      <c r="A456" s="74" t="s">
        <v>1534</v>
      </c>
      <c r="B456" s="75" t="s">
        <v>13</v>
      </c>
      <c r="C456" s="75"/>
      <c r="D456" s="76" t="str">
        <f t="shared" si="19"/>
        <v>Active</v>
      </c>
      <c r="E456" s="90">
        <v>44901.0</v>
      </c>
      <c r="F456" s="198"/>
      <c r="G456" s="79">
        <f t="shared" si="2"/>
        <v>46</v>
      </c>
      <c r="H456" s="90">
        <v>44484.0</v>
      </c>
      <c r="I456" s="79">
        <f t="shared" si="3"/>
        <v>1.141666667</v>
      </c>
      <c r="J456" s="106">
        <v>80.0</v>
      </c>
      <c r="K456" s="106">
        <v>7.0</v>
      </c>
      <c r="L456" s="82" t="s">
        <v>37</v>
      </c>
      <c r="M456" s="82"/>
      <c r="N456" s="82"/>
      <c r="O456" s="82" t="s">
        <v>107</v>
      </c>
      <c r="P456" s="107" t="s">
        <v>1280</v>
      </c>
      <c r="Q456" s="82" t="s">
        <v>1532</v>
      </c>
      <c r="R456" s="76" t="str">
        <f t="shared" si="4"/>
        <v>TBD</v>
      </c>
      <c r="S456" s="90"/>
      <c r="T456" s="79">
        <f t="shared" si="5"/>
        <v>46</v>
      </c>
      <c r="U456" s="90"/>
      <c r="V456" s="79"/>
    </row>
    <row r="457">
      <c r="A457" s="53" t="s">
        <v>1540</v>
      </c>
      <c r="B457" s="54" t="s">
        <v>13</v>
      </c>
      <c r="C457" s="54"/>
      <c r="D457" s="59" t="str">
        <f t="shared" si="19"/>
        <v>Active</v>
      </c>
      <c r="E457" s="88">
        <v>44901.0</v>
      </c>
      <c r="F457" s="187"/>
      <c r="G457" s="65">
        <f t="shared" si="2"/>
        <v>46</v>
      </c>
      <c r="H457" s="88">
        <v>44484.0</v>
      </c>
      <c r="I457" s="65">
        <f t="shared" si="3"/>
        <v>1.141666667</v>
      </c>
      <c r="J457" s="121">
        <v>80.0</v>
      </c>
      <c r="K457" s="121">
        <f>10+9+7</f>
        <v>26</v>
      </c>
      <c r="L457" s="69" t="s">
        <v>37</v>
      </c>
      <c r="M457" s="69"/>
      <c r="N457" s="69"/>
      <c r="O457" s="69" t="s">
        <v>107</v>
      </c>
      <c r="P457" s="122" t="s">
        <v>1280</v>
      </c>
      <c r="Q457" s="69" t="s">
        <v>1532</v>
      </c>
      <c r="R457" s="59" t="str">
        <f t="shared" si="4"/>
        <v>TBD</v>
      </c>
      <c r="S457" s="88"/>
      <c r="T457" s="65">
        <f t="shared" si="5"/>
        <v>46</v>
      </c>
      <c r="U457" s="88"/>
      <c r="V457" s="65"/>
    </row>
    <row r="458">
      <c r="A458" s="74" t="s">
        <v>1546</v>
      </c>
      <c r="B458" s="75" t="s">
        <v>35</v>
      </c>
      <c r="C458" s="75" t="s">
        <v>36</v>
      </c>
      <c r="D458" s="76" t="str">
        <f t="shared" si="19"/>
        <v>Active</v>
      </c>
      <c r="E458" s="90">
        <v>44901.0</v>
      </c>
      <c r="F458" s="198"/>
      <c r="G458" s="79">
        <f t="shared" si="2"/>
        <v>46</v>
      </c>
      <c r="H458" s="90">
        <v>44656.0</v>
      </c>
      <c r="I458" s="79">
        <f t="shared" si="3"/>
        <v>0.6694444444</v>
      </c>
      <c r="J458" s="106">
        <v>80.0</v>
      </c>
      <c r="K458" s="106">
        <v>19.0</v>
      </c>
      <c r="L458" s="82" t="s">
        <v>37</v>
      </c>
      <c r="M458" s="82"/>
      <c r="N458" s="82"/>
      <c r="O458" s="82" t="s">
        <v>1168</v>
      </c>
      <c r="P458" s="107" t="s">
        <v>1550</v>
      </c>
      <c r="Q458" s="82"/>
      <c r="R458" s="76" t="str">
        <f t="shared" si="4"/>
        <v>Active</v>
      </c>
      <c r="S458" s="90">
        <v>45547.0</v>
      </c>
      <c r="T458" s="79">
        <f t="shared" si="5"/>
        <v>21.2</v>
      </c>
      <c r="U458" s="90"/>
      <c r="V458" s="79"/>
    </row>
    <row r="459">
      <c r="A459" s="53" t="s">
        <v>1552</v>
      </c>
      <c r="B459" s="54" t="s">
        <v>35</v>
      </c>
      <c r="C459" s="54" t="s">
        <v>36</v>
      </c>
      <c r="D459" s="59" t="str">
        <f t="shared" si="19"/>
        <v>Active</v>
      </c>
      <c r="E459" s="88">
        <v>44896.0</v>
      </c>
      <c r="F459" s="120"/>
      <c r="G459" s="65">
        <f t="shared" si="2"/>
        <v>46.16666667</v>
      </c>
      <c r="H459" s="88">
        <v>43325.0</v>
      </c>
      <c r="I459" s="65">
        <f t="shared" si="3"/>
        <v>4.3</v>
      </c>
      <c r="J459" s="121">
        <v>78.0</v>
      </c>
      <c r="K459" s="121">
        <v>10.0</v>
      </c>
      <c r="L459" s="69" t="s">
        <v>135</v>
      </c>
      <c r="M459" s="69"/>
      <c r="N459" s="69" t="s">
        <v>1555</v>
      </c>
      <c r="O459" s="69" t="s">
        <v>107</v>
      </c>
      <c r="P459" s="122" t="s">
        <v>1256</v>
      </c>
      <c r="Q459" s="69"/>
      <c r="R459" s="59" t="str">
        <f t="shared" si="4"/>
        <v>Active</v>
      </c>
      <c r="S459" s="88">
        <v>45547.0</v>
      </c>
      <c r="T459" s="65">
        <f t="shared" si="5"/>
        <v>21.36666667</v>
      </c>
      <c r="U459" s="88"/>
      <c r="V459" s="65"/>
    </row>
    <row r="460">
      <c r="A460" s="74" t="s">
        <v>1557</v>
      </c>
      <c r="B460" s="102" t="s">
        <v>35</v>
      </c>
      <c r="C460" s="221" t="s">
        <v>36</v>
      </c>
      <c r="D460" s="76" t="str">
        <f t="shared" si="19"/>
        <v>Active</v>
      </c>
      <c r="E460" s="90">
        <v>44895.0</v>
      </c>
      <c r="F460" s="198"/>
      <c r="G460" s="79">
        <f t="shared" si="2"/>
        <v>46.2</v>
      </c>
      <c r="H460" s="90">
        <v>44895.0</v>
      </c>
      <c r="I460" s="79">
        <f t="shared" si="3"/>
        <v>0</v>
      </c>
      <c r="J460" s="106">
        <v>78.0</v>
      </c>
      <c r="K460" s="106">
        <v>41.0</v>
      </c>
      <c r="L460" s="82" t="s">
        <v>105</v>
      </c>
      <c r="M460" s="82" t="s">
        <v>38</v>
      </c>
      <c r="N460" s="82" t="s">
        <v>1562</v>
      </c>
      <c r="O460" s="82" t="s">
        <v>107</v>
      </c>
      <c r="P460" s="107" t="s">
        <v>1563</v>
      </c>
      <c r="Q460" s="82"/>
      <c r="R460" s="76" t="str">
        <f t="shared" si="4"/>
        <v>Active</v>
      </c>
      <c r="S460" s="90">
        <v>45547.0</v>
      </c>
      <c r="T460" s="79">
        <f t="shared" si="5"/>
        <v>21.4</v>
      </c>
      <c r="U460" s="90">
        <v>45931.0</v>
      </c>
      <c r="V460" s="79">
        <f>MONTHDUR(E460,U460)</f>
        <v>34.03333333</v>
      </c>
    </row>
    <row r="461">
      <c r="A461" s="53" t="s">
        <v>1567</v>
      </c>
      <c r="B461" s="54" t="s">
        <v>35</v>
      </c>
      <c r="C461" s="54" t="s">
        <v>36</v>
      </c>
      <c r="D461" s="59" t="str">
        <f t="shared" si="19"/>
        <v>Active</v>
      </c>
      <c r="E461" s="88">
        <v>44887.0</v>
      </c>
      <c r="F461" s="187"/>
      <c r="G461" s="65">
        <f t="shared" si="2"/>
        <v>46.46666667</v>
      </c>
      <c r="H461" s="88">
        <v>44512.0</v>
      </c>
      <c r="I461" s="65">
        <f t="shared" si="3"/>
        <v>1.027777778</v>
      </c>
      <c r="J461" s="121">
        <v>66.0</v>
      </c>
      <c r="K461" s="121">
        <v>58.0</v>
      </c>
      <c r="L461" s="69" t="s">
        <v>37</v>
      </c>
      <c r="M461" s="69"/>
      <c r="N461" s="69"/>
      <c r="O461" s="69" t="s">
        <v>107</v>
      </c>
      <c r="P461" s="122" t="s">
        <v>1280</v>
      </c>
      <c r="Q461" s="69" t="s">
        <v>1570</v>
      </c>
      <c r="R461" s="59" t="str">
        <f t="shared" si="4"/>
        <v>Active</v>
      </c>
      <c r="S461" s="88">
        <v>45547.0</v>
      </c>
      <c r="T461" s="65">
        <f t="shared" si="5"/>
        <v>21.66666667</v>
      </c>
      <c r="U461" s="88"/>
      <c r="V461" s="65"/>
    </row>
    <row r="462">
      <c r="A462" s="74" t="s">
        <v>1511</v>
      </c>
      <c r="B462" s="75" t="s">
        <v>35</v>
      </c>
      <c r="C462" s="75" t="s">
        <v>1573</v>
      </c>
      <c r="D462" s="76" t="str">
        <f t="shared" si="19"/>
        <v>Active</v>
      </c>
      <c r="E462" s="90">
        <v>44880.0</v>
      </c>
      <c r="F462" s="198"/>
      <c r="G462" s="79">
        <f t="shared" si="2"/>
        <v>46.7</v>
      </c>
      <c r="H462" s="90">
        <v>44880.0</v>
      </c>
      <c r="I462" s="79">
        <f t="shared" si="3"/>
        <v>0</v>
      </c>
      <c r="J462" s="106">
        <v>87.0</v>
      </c>
      <c r="K462" s="106">
        <v>18.5</v>
      </c>
      <c r="L462" s="82" t="s">
        <v>135</v>
      </c>
      <c r="M462" s="82"/>
      <c r="N462" s="82"/>
      <c r="O462" s="82" t="s">
        <v>107</v>
      </c>
      <c r="P462" s="107" t="s">
        <v>1576</v>
      </c>
      <c r="Q462" s="82"/>
      <c r="R462" s="76" t="str">
        <f t="shared" si="4"/>
        <v>Active</v>
      </c>
      <c r="S462" s="90">
        <v>45547.0</v>
      </c>
      <c r="T462" s="79">
        <f t="shared" si="5"/>
        <v>21.9</v>
      </c>
      <c r="U462" s="90"/>
      <c r="V462" s="79"/>
    </row>
    <row r="463">
      <c r="A463" s="53" t="s">
        <v>1512</v>
      </c>
      <c r="B463" s="54" t="s">
        <v>129</v>
      </c>
      <c r="C463" s="54" t="s">
        <v>36</v>
      </c>
      <c r="D463" s="59" t="str">
        <f t="shared" si="19"/>
        <v>Active</v>
      </c>
      <c r="E463" s="88">
        <v>44845.0</v>
      </c>
      <c r="F463" s="187"/>
      <c r="G463" s="65">
        <f t="shared" si="2"/>
        <v>47.83333333</v>
      </c>
      <c r="H463" s="88">
        <v>40471.0</v>
      </c>
      <c r="I463" s="65">
        <f t="shared" si="3"/>
        <v>11.975</v>
      </c>
      <c r="J463" s="121">
        <v>74.0</v>
      </c>
      <c r="K463" s="121">
        <v>5.5</v>
      </c>
      <c r="L463" s="69" t="s">
        <v>46</v>
      </c>
      <c r="M463" s="69"/>
      <c r="N463" s="69"/>
      <c r="O463" s="69" t="s">
        <v>1168</v>
      </c>
      <c r="P463" s="122" t="s">
        <v>1581</v>
      </c>
      <c r="Q463" s="69"/>
      <c r="R463" s="59" t="str">
        <f t="shared" si="4"/>
        <v>Active</v>
      </c>
      <c r="S463" s="88">
        <v>45547.0</v>
      </c>
      <c r="T463" s="65">
        <f t="shared" si="5"/>
        <v>23.03333333</v>
      </c>
      <c r="U463" s="88"/>
      <c r="V463" s="65"/>
    </row>
    <row r="464">
      <c r="A464" s="74" t="s">
        <v>1583</v>
      </c>
      <c r="B464" s="75" t="s">
        <v>35</v>
      </c>
      <c r="C464" s="75" t="s">
        <v>36</v>
      </c>
      <c r="D464" s="76" t="str">
        <f t="shared" si="19"/>
        <v>Active</v>
      </c>
      <c r="E464" s="90">
        <v>44838.0</v>
      </c>
      <c r="F464" s="198"/>
      <c r="G464" s="79">
        <f t="shared" si="2"/>
        <v>48.06666667</v>
      </c>
      <c r="H464" s="90">
        <v>44355.0</v>
      </c>
      <c r="I464" s="79">
        <f t="shared" si="3"/>
        <v>1.322222222</v>
      </c>
      <c r="J464" s="106">
        <v>82.0</v>
      </c>
      <c r="K464" s="106">
        <v>42.5</v>
      </c>
      <c r="L464" s="82" t="s">
        <v>105</v>
      </c>
      <c r="M464" s="82"/>
      <c r="N464" s="82" t="s">
        <v>1586</v>
      </c>
      <c r="O464" s="82" t="s">
        <v>107</v>
      </c>
      <c r="P464" s="107" t="s">
        <v>1588</v>
      </c>
      <c r="Q464" s="82"/>
      <c r="R464" s="76" t="str">
        <f t="shared" si="4"/>
        <v>Active</v>
      </c>
      <c r="S464" s="90">
        <v>45547.0</v>
      </c>
      <c r="T464" s="79">
        <f t="shared" si="5"/>
        <v>23.26666667</v>
      </c>
      <c r="U464" s="90">
        <v>45266.0</v>
      </c>
      <c r="V464" s="79">
        <f>MONTHDUR(E464,U464)</f>
        <v>14.06666667</v>
      </c>
    </row>
    <row r="465">
      <c r="A465" s="53" t="s">
        <v>1515</v>
      </c>
      <c r="B465" s="54" t="s">
        <v>35</v>
      </c>
      <c r="C465" s="54" t="s">
        <v>36</v>
      </c>
      <c r="D465" s="59" t="str">
        <f t="shared" si="19"/>
        <v>Active</v>
      </c>
      <c r="E465" s="88">
        <v>44824.0</v>
      </c>
      <c r="F465" s="187"/>
      <c r="G465" s="65">
        <f t="shared" si="2"/>
        <v>48.53333333</v>
      </c>
      <c r="H465" s="88">
        <v>44453.0</v>
      </c>
      <c r="I465" s="65">
        <f t="shared" si="3"/>
        <v>1.016666667</v>
      </c>
      <c r="J465" s="121">
        <v>89.0</v>
      </c>
      <c r="K465" s="121">
        <v>16.0</v>
      </c>
      <c r="L465" s="69" t="s">
        <v>37</v>
      </c>
      <c r="M465" s="69" t="s">
        <v>38</v>
      </c>
      <c r="N465" s="69"/>
      <c r="O465" s="69" t="s">
        <v>107</v>
      </c>
      <c r="P465" s="122" t="s">
        <v>1593</v>
      </c>
      <c r="Q465" s="69"/>
      <c r="R465" s="59" t="str">
        <f t="shared" si="4"/>
        <v>Active</v>
      </c>
      <c r="S465" s="88">
        <v>45547.0</v>
      </c>
      <c r="T465" s="65">
        <f t="shared" si="5"/>
        <v>23.73333333</v>
      </c>
      <c r="U465" s="88"/>
      <c r="V465" s="65"/>
    </row>
    <row r="466">
      <c r="A466" s="74" t="s">
        <v>1595</v>
      </c>
      <c r="B466" s="75" t="s">
        <v>35</v>
      </c>
      <c r="C466" s="75" t="s">
        <v>100</v>
      </c>
      <c r="D466" s="76" t="str">
        <f t="shared" si="19"/>
        <v>Active</v>
      </c>
      <c r="E466" s="90">
        <v>44819.0</v>
      </c>
      <c r="F466" s="198"/>
      <c r="G466" s="79">
        <f t="shared" si="2"/>
        <v>48.7</v>
      </c>
      <c r="H466" s="90">
        <v>43375.0</v>
      </c>
      <c r="I466" s="79">
        <f t="shared" si="3"/>
        <v>3.952777778</v>
      </c>
      <c r="J466" s="106">
        <v>87.0</v>
      </c>
      <c r="K466" s="106">
        <v>44.5</v>
      </c>
      <c r="L466" s="82" t="s">
        <v>46</v>
      </c>
      <c r="M466" s="82"/>
      <c r="N466" s="82" t="s">
        <v>212</v>
      </c>
      <c r="O466" s="82" t="s">
        <v>107</v>
      </c>
      <c r="P466" s="107" t="s">
        <v>1598</v>
      </c>
      <c r="Q466" s="82"/>
      <c r="R466" s="76" t="str">
        <f t="shared" si="4"/>
        <v>Active</v>
      </c>
      <c r="S466" s="90">
        <v>45547.0</v>
      </c>
      <c r="T466" s="79">
        <f t="shared" si="5"/>
        <v>23.9</v>
      </c>
      <c r="U466" s="90"/>
      <c r="V466" s="79"/>
    </row>
    <row r="467">
      <c r="A467" s="53" t="s">
        <v>1601</v>
      </c>
      <c r="B467" s="54" t="s">
        <v>35</v>
      </c>
      <c r="C467" s="54" t="s">
        <v>100</v>
      </c>
      <c r="D467" s="59" t="str">
        <f t="shared" si="19"/>
        <v>Active</v>
      </c>
      <c r="E467" s="88">
        <v>44819.0</v>
      </c>
      <c r="F467" s="120"/>
      <c r="G467" s="65">
        <f t="shared" si="2"/>
        <v>48.7</v>
      </c>
      <c r="H467" s="88">
        <v>43728.0</v>
      </c>
      <c r="I467" s="65">
        <f t="shared" si="3"/>
        <v>2.986111111</v>
      </c>
      <c r="J467" s="121">
        <v>82.0</v>
      </c>
      <c r="K467" s="121">
        <v>44.5</v>
      </c>
      <c r="L467" s="69" t="s">
        <v>46</v>
      </c>
      <c r="M467" s="69"/>
      <c r="N467" s="69"/>
      <c r="O467" s="69" t="s">
        <v>1168</v>
      </c>
      <c r="P467" s="122" t="s">
        <v>1605</v>
      </c>
      <c r="Q467" s="69"/>
      <c r="R467" s="59" t="str">
        <f t="shared" si="4"/>
        <v>Active</v>
      </c>
      <c r="S467" s="88">
        <v>45547.0</v>
      </c>
      <c r="T467" s="65">
        <f t="shared" si="5"/>
        <v>23.9</v>
      </c>
      <c r="U467" s="88"/>
      <c r="V467" s="65"/>
    </row>
    <row r="468">
      <c r="A468" s="74" t="s">
        <v>1607</v>
      </c>
      <c r="B468" s="75" t="s">
        <v>35</v>
      </c>
      <c r="C468" s="75" t="s">
        <v>100</v>
      </c>
      <c r="D468" s="76" t="str">
        <f t="shared" si="19"/>
        <v>Active</v>
      </c>
      <c r="E468" s="90">
        <v>44810.0</v>
      </c>
      <c r="F468" s="198"/>
      <c r="G468" s="79">
        <f t="shared" si="2"/>
        <v>49</v>
      </c>
      <c r="H468" s="90">
        <v>44810.0</v>
      </c>
      <c r="I468" s="79">
        <f t="shared" si="3"/>
        <v>0</v>
      </c>
      <c r="J468" s="106">
        <v>75.0</v>
      </c>
      <c r="K468" s="106">
        <v>15.5</v>
      </c>
      <c r="L468" s="82" t="s">
        <v>64</v>
      </c>
      <c r="M468" s="82"/>
      <c r="N468" s="82" t="s">
        <v>1610</v>
      </c>
      <c r="O468" s="82" t="s">
        <v>1219</v>
      </c>
      <c r="P468" s="107"/>
      <c r="Q468" s="82"/>
      <c r="R468" s="76" t="str">
        <f t="shared" si="4"/>
        <v>Active</v>
      </c>
      <c r="S468" s="90">
        <v>45547.0</v>
      </c>
      <c r="T468" s="79">
        <f t="shared" si="5"/>
        <v>24.2</v>
      </c>
      <c r="U468" s="90">
        <v>45931.0</v>
      </c>
      <c r="V468" s="79">
        <f>MONTHDUR(E468,U468)</f>
        <v>36.83333333</v>
      </c>
    </row>
    <row r="469">
      <c r="A469" s="53" t="s">
        <v>1613</v>
      </c>
      <c r="B469" s="54" t="s">
        <v>35</v>
      </c>
      <c r="C469" s="54" t="s">
        <v>36</v>
      </c>
      <c r="D469" s="59" t="str">
        <f t="shared" si="19"/>
        <v>Active</v>
      </c>
      <c r="E469" s="88">
        <v>44805.0</v>
      </c>
      <c r="F469" s="187"/>
      <c r="G469" s="65">
        <f t="shared" si="2"/>
        <v>49.16666667</v>
      </c>
      <c r="H469" s="88">
        <v>44617.0</v>
      </c>
      <c r="I469" s="65">
        <f t="shared" si="3"/>
        <v>0.5166666667</v>
      </c>
      <c r="J469" s="121">
        <v>75.0</v>
      </c>
      <c r="K469" s="121">
        <v>6.0</v>
      </c>
      <c r="L469" s="69" t="s">
        <v>55</v>
      </c>
      <c r="M469" s="69"/>
      <c r="N469" s="69" t="s">
        <v>1616</v>
      </c>
      <c r="O469" s="69" t="s">
        <v>1168</v>
      </c>
      <c r="P469" s="122" t="s">
        <v>1617</v>
      </c>
      <c r="Q469" s="69"/>
      <c r="R469" s="59" t="str">
        <f t="shared" si="4"/>
        <v>Active</v>
      </c>
      <c r="S469" s="88">
        <v>45547.0</v>
      </c>
      <c r="T469" s="65">
        <f t="shared" si="5"/>
        <v>24.36666667</v>
      </c>
      <c r="U469" s="88"/>
      <c r="V469" s="65"/>
    </row>
    <row r="470">
      <c r="A470" s="74" t="s">
        <v>1619</v>
      </c>
      <c r="B470" s="75" t="s">
        <v>35</v>
      </c>
      <c r="C470" s="75" t="s">
        <v>100</v>
      </c>
      <c r="D470" s="76" t="str">
        <f t="shared" si="19"/>
        <v>Active</v>
      </c>
      <c r="E470" s="90">
        <v>44803.0</v>
      </c>
      <c r="F470" s="198"/>
      <c r="G470" s="79">
        <f t="shared" si="2"/>
        <v>49.2</v>
      </c>
      <c r="H470" s="90">
        <v>44168.0</v>
      </c>
      <c r="I470" s="79">
        <f t="shared" si="3"/>
        <v>1.741666667</v>
      </c>
      <c r="J470" s="222">
        <v>81.0</v>
      </c>
      <c r="K470" s="106">
        <v>25.5</v>
      </c>
      <c r="L470" s="82" t="s">
        <v>46</v>
      </c>
      <c r="M470" s="82"/>
      <c r="N470" s="82" t="s">
        <v>212</v>
      </c>
      <c r="O470" s="82" t="s">
        <v>328</v>
      </c>
      <c r="P470" s="107" t="s">
        <v>1623</v>
      </c>
      <c r="Q470" s="82"/>
      <c r="R470" s="76" t="str">
        <f t="shared" si="4"/>
        <v>Active</v>
      </c>
      <c r="S470" s="90">
        <v>45547.0</v>
      </c>
      <c r="T470" s="79">
        <f t="shared" si="5"/>
        <v>24.4</v>
      </c>
      <c r="U470" s="90"/>
      <c r="V470" s="79"/>
    </row>
    <row r="471">
      <c r="A471" s="53" t="s">
        <v>1516</v>
      </c>
      <c r="B471" s="54" t="s">
        <v>13</v>
      </c>
      <c r="C471" s="54"/>
      <c r="D471" s="59" t="str">
        <f t="shared" si="19"/>
        <v>Active</v>
      </c>
      <c r="E471" s="88">
        <v>44791.0</v>
      </c>
      <c r="F471" s="187"/>
      <c r="G471" s="65">
        <f t="shared" si="2"/>
        <v>49.6</v>
      </c>
      <c r="H471" s="88">
        <v>35764.0</v>
      </c>
      <c r="I471" s="65">
        <f t="shared" si="3"/>
        <v>24.71666667</v>
      </c>
      <c r="J471" s="121">
        <f>5.6*10</f>
        <v>56</v>
      </c>
      <c r="K471" s="121">
        <v>15.5</v>
      </c>
      <c r="L471" s="69" t="s">
        <v>46</v>
      </c>
      <c r="M471" s="69"/>
      <c r="N471" s="69"/>
      <c r="O471" s="69" t="s">
        <v>107</v>
      </c>
      <c r="P471" s="122" t="s">
        <v>1627</v>
      </c>
      <c r="Q471" s="69"/>
      <c r="R471" s="104" t="str">
        <f t="shared" si="4"/>
        <v>Active</v>
      </c>
      <c r="S471" s="98">
        <v>45931.0</v>
      </c>
      <c r="T471" s="65">
        <f t="shared" si="5"/>
        <v>37.43333333</v>
      </c>
      <c r="U471" s="98"/>
      <c r="V471" s="65"/>
    </row>
    <row r="472">
      <c r="A472" s="74" t="s">
        <v>1629</v>
      </c>
      <c r="B472" s="75" t="s">
        <v>13</v>
      </c>
      <c r="C472" s="75"/>
      <c r="D472" s="76" t="str">
        <f t="shared" si="19"/>
        <v>Active</v>
      </c>
      <c r="E472" s="90">
        <v>44791.0</v>
      </c>
      <c r="F472" s="198"/>
      <c r="G472" s="79">
        <f t="shared" si="2"/>
        <v>49.6</v>
      </c>
      <c r="H472" s="90">
        <v>36099.0</v>
      </c>
      <c r="I472" s="79">
        <f t="shared" si="3"/>
        <v>23.8</v>
      </c>
      <c r="J472" s="106">
        <f>7.3*10</f>
        <v>73</v>
      </c>
      <c r="K472" s="106">
        <v>17.0</v>
      </c>
      <c r="L472" s="82" t="s">
        <v>41</v>
      </c>
      <c r="M472" s="82"/>
      <c r="N472" s="82"/>
      <c r="O472" s="82" t="s">
        <v>328</v>
      </c>
      <c r="P472" s="107" t="s">
        <v>1632</v>
      </c>
      <c r="Q472" s="82"/>
      <c r="R472" s="102" t="str">
        <f t="shared" si="4"/>
        <v>Active</v>
      </c>
      <c r="S472" s="112">
        <v>45931.0</v>
      </c>
      <c r="T472" s="79">
        <f t="shared" si="5"/>
        <v>37.43333333</v>
      </c>
      <c r="U472" s="112"/>
      <c r="V472" s="79"/>
    </row>
    <row r="473">
      <c r="A473" s="53" t="s">
        <v>1518</v>
      </c>
      <c r="B473" s="54" t="s">
        <v>13</v>
      </c>
      <c r="C473" s="54"/>
      <c r="D473" s="59" t="str">
        <f t="shared" si="19"/>
        <v>Active</v>
      </c>
      <c r="E473" s="88">
        <v>44791.0</v>
      </c>
      <c r="F473" s="187"/>
      <c r="G473" s="65">
        <f t="shared" si="2"/>
        <v>49.6</v>
      </c>
      <c r="H473" s="88">
        <v>37214.0</v>
      </c>
      <c r="I473" s="65">
        <f t="shared" si="3"/>
        <v>20.74722222</v>
      </c>
      <c r="J473" s="121">
        <v>88.0</v>
      </c>
      <c r="K473" s="121">
        <v>8.0</v>
      </c>
      <c r="L473" s="69" t="s">
        <v>37</v>
      </c>
      <c r="M473" s="69"/>
      <c r="N473" s="69"/>
      <c r="O473" s="69" t="s">
        <v>107</v>
      </c>
      <c r="P473" s="122" t="s">
        <v>108</v>
      </c>
      <c r="Q473" s="69"/>
      <c r="R473" s="59" t="str">
        <f t="shared" si="4"/>
        <v>Active</v>
      </c>
      <c r="S473" s="88">
        <v>45931.0</v>
      </c>
      <c r="T473" s="65">
        <f t="shared" si="5"/>
        <v>37.43333333</v>
      </c>
      <c r="U473" s="88"/>
      <c r="V473" s="65"/>
    </row>
    <row r="474">
      <c r="A474" s="74" t="s">
        <v>1520</v>
      </c>
      <c r="B474" s="75" t="s">
        <v>13</v>
      </c>
      <c r="C474" s="75"/>
      <c r="D474" s="76" t="str">
        <f t="shared" si="19"/>
        <v>Active</v>
      </c>
      <c r="E474" s="90">
        <v>44791.0</v>
      </c>
      <c r="F474" s="198"/>
      <c r="G474" s="79">
        <f t="shared" si="2"/>
        <v>49.6</v>
      </c>
      <c r="H474" s="90">
        <v>38643.0</v>
      </c>
      <c r="I474" s="79">
        <f t="shared" si="3"/>
        <v>16.83333333</v>
      </c>
      <c r="J474" s="106">
        <v>81.0</v>
      </c>
      <c r="K474" s="106">
        <v>8.0</v>
      </c>
      <c r="L474" s="82" t="s">
        <v>37</v>
      </c>
      <c r="M474" s="82"/>
      <c r="N474" s="82"/>
      <c r="O474" s="82" t="s">
        <v>107</v>
      </c>
      <c r="P474" s="107" t="s">
        <v>1256</v>
      </c>
      <c r="Q474" s="82"/>
      <c r="R474" s="76" t="str">
        <f t="shared" si="4"/>
        <v>Active</v>
      </c>
      <c r="S474" s="90">
        <v>45931.0</v>
      </c>
      <c r="T474" s="79">
        <f t="shared" si="5"/>
        <v>37.43333333</v>
      </c>
      <c r="U474" s="90"/>
      <c r="V474" s="79"/>
    </row>
    <row r="475">
      <c r="A475" s="53" t="s">
        <v>1521</v>
      </c>
      <c r="B475" s="54" t="s">
        <v>35</v>
      </c>
      <c r="C475" s="54" t="s">
        <v>36</v>
      </c>
      <c r="D475" s="59" t="str">
        <f t="shared" si="19"/>
        <v>Active</v>
      </c>
      <c r="E475" s="88">
        <v>44791.0</v>
      </c>
      <c r="F475" s="187"/>
      <c r="G475" s="65">
        <f t="shared" si="2"/>
        <v>49.6</v>
      </c>
      <c r="H475" s="88">
        <v>33729.0</v>
      </c>
      <c r="I475" s="65">
        <f t="shared" si="3"/>
        <v>30.28611111</v>
      </c>
      <c r="J475" s="121">
        <f>8.5*10</f>
        <v>85</v>
      </c>
      <c r="K475" s="121">
        <v>6.5</v>
      </c>
      <c r="L475" s="69" t="s">
        <v>37</v>
      </c>
      <c r="M475" s="69"/>
      <c r="N475" s="69" t="s">
        <v>1642</v>
      </c>
      <c r="O475" s="69" t="s">
        <v>107</v>
      </c>
      <c r="P475" s="122" t="s">
        <v>108</v>
      </c>
      <c r="Q475" s="69"/>
      <c r="R475" s="59" t="str">
        <f t="shared" si="4"/>
        <v>Active</v>
      </c>
      <c r="S475" s="88">
        <v>45931.0</v>
      </c>
      <c r="T475" s="65">
        <f t="shared" si="5"/>
        <v>37.43333333</v>
      </c>
      <c r="U475" s="88"/>
      <c r="V475" s="65"/>
    </row>
    <row r="476">
      <c r="A476" s="74" t="s">
        <v>1644</v>
      </c>
      <c r="B476" s="75" t="s">
        <v>35</v>
      </c>
      <c r="C476" s="75" t="s">
        <v>36</v>
      </c>
      <c r="D476" s="76" t="str">
        <f t="shared" si="19"/>
        <v>Active</v>
      </c>
      <c r="E476" s="90">
        <v>44784.0</v>
      </c>
      <c r="F476" s="198"/>
      <c r="G476" s="79">
        <f t="shared" si="2"/>
        <v>49.83333333</v>
      </c>
      <c r="H476" s="90">
        <v>43622.0</v>
      </c>
      <c r="I476" s="79">
        <f t="shared" si="3"/>
        <v>3.180555556</v>
      </c>
      <c r="J476" s="106">
        <v>64.0</v>
      </c>
      <c r="K476" s="106">
        <v>8.5</v>
      </c>
      <c r="L476" s="82" t="s">
        <v>64</v>
      </c>
      <c r="M476" s="82"/>
      <c r="N476" s="82"/>
      <c r="O476" s="82" t="s">
        <v>1219</v>
      </c>
      <c r="P476" s="107" t="s">
        <v>1421</v>
      </c>
      <c r="Q476" s="82"/>
      <c r="R476" s="76" t="str">
        <f t="shared" si="4"/>
        <v>Active</v>
      </c>
      <c r="S476" s="90">
        <v>45547.0</v>
      </c>
      <c r="T476" s="79">
        <f t="shared" si="5"/>
        <v>25.03333333</v>
      </c>
      <c r="U476" s="90"/>
      <c r="V476" s="79"/>
    </row>
    <row r="477">
      <c r="A477" s="53" t="s">
        <v>1648</v>
      </c>
      <c r="B477" s="54" t="s">
        <v>35</v>
      </c>
      <c r="C477" s="54" t="s">
        <v>36</v>
      </c>
      <c r="D477" s="59" t="str">
        <f t="shared" si="19"/>
        <v>Active</v>
      </c>
      <c r="E477" s="88">
        <v>44774.0</v>
      </c>
      <c r="F477" s="187"/>
      <c r="G477" s="65">
        <f t="shared" si="2"/>
        <v>50.16666667</v>
      </c>
      <c r="H477" s="88">
        <v>42801.0</v>
      </c>
      <c r="I477" s="65">
        <f t="shared" si="3"/>
        <v>5.4</v>
      </c>
      <c r="J477" s="223">
        <v>76.0</v>
      </c>
      <c r="K477" s="121">
        <v>26.5</v>
      </c>
      <c r="L477" s="69" t="s">
        <v>37</v>
      </c>
      <c r="M477" s="69"/>
      <c r="N477" s="69" t="s">
        <v>212</v>
      </c>
      <c r="O477" s="69" t="s">
        <v>107</v>
      </c>
      <c r="P477" s="122" t="s">
        <v>1651</v>
      </c>
      <c r="Q477" s="69"/>
      <c r="R477" s="59" t="str">
        <f t="shared" si="4"/>
        <v>Active</v>
      </c>
      <c r="S477" s="88">
        <v>45547.0</v>
      </c>
      <c r="T477" s="65">
        <f t="shared" si="5"/>
        <v>25.36666667</v>
      </c>
      <c r="U477" s="88"/>
      <c r="V477" s="65"/>
    </row>
    <row r="478">
      <c r="A478" s="74" t="s">
        <v>1654</v>
      </c>
      <c r="B478" s="75" t="s">
        <v>35</v>
      </c>
      <c r="C478" s="75" t="s">
        <v>36</v>
      </c>
      <c r="D478" s="76" t="str">
        <f t="shared" si="19"/>
        <v>Active</v>
      </c>
      <c r="E478" s="90">
        <v>44763.0</v>
      </c>
      <c r="F478" s="198"/>
      <c r="G478" s="79">
        <f t="shared" si="2"/>
        <v>50.5</v>
      </c>
      <c r="H478" s="90">
        <v>42550.0</v>
      </c>
      <c r="I478" s="79">
        <f t="shared" si="3"/>
        <v>6.061111111</v>
      </c>
      <c r="J478" s="106">
        <v>93.0</v>
      </c>
      <c r="K478" s="106">
        <v>3.5</v>
      </c>
      <c r="L478" s="82" t="s">
        <v>57</v>
      </c>
      <c r="M478" s="82"/>
      <c r="N478" s="82" t="s">
        <v>1657</v>
      </c>
      <c r="O478" s="82" t="s">
        <v>107</v>
      </c>
      <c r="P478" s="107" t="s">
        <v>108</v>
      </c>
      <c r="Q478" s="82"/>
      <c r="R478" s="76" t="str">
        <f t="shared" si="4"/>
        <v>Active</v>
      </c>
      <c r="S478" s="90">
        <v>45547.0</v>
      </c>
      <c r="T478" s="79">
        <f t="shared" si="5"/>
        <v>25.7</v>
      </c>
      <c r="U478" s="90">
        <v>45183.0</v>
      </c>
      <c r="V478" s="79">
        <f>MONTHDUR(E478,U478)</f>
        <v>13.76666667</v>
      </c>
    </row>
    <row r="479">
      <c r="A479" s="53" t="s">
        <v>1522</v>
      </c>
      <c r="B479" s="54" t="s">
        <v>35</v>
      </c>
      <c r="C479" s="54" t="s">
        <v>100</v>
      </c>
      <c r="D479" s="59" t="str">
        <f t="shared" si="19"/>
        <v>Active</v>
      </c>
      <c r="E479" s="88">
        <v>44761.0</v>
      </c>
      <c r="F479" s="187"/>
      <c r="G479" s="65">
        <f t="shared" si="2"/>
        <v>50.56666667</v>
      </c>
      <c r="H479" s="88">
        <v>44761.0</v>
      </c>
      <c r="I479" s="65">
        <f t="shared" si="3"/>
        <v>0</v>
      </c>
      <c r="J479" s="121">
        <v>78.0</v>
      </c>
      <c r="K479" s="121">
        <v>6.0</v>
      </c>
      <c r="L479" s="69" t="s">
        <v>135</v>
      </c>
      <c r="M479" s="69"/>
      <c r="N479" s="69"/>
      <c r="O479" s="69" t="s">
        <v>107</v>
      </c>
      <c r="P479" s="122" t="s">
        <v>1662</v>
      </c>
      <c r="Q479" s="69"/>
      <c r="R479" s="59" t="str">
        <f t="shared" si="4"/>
        <v>Active</v>
      </c>
      <c r="S479" s="88">
        <v>45547.0</v>
      </c>
      <c r="T479" s="65">
        <f t="shared" si="5"/>
        <v>25.76666667</v>
      </c>
      <c r="U479" s="88"/>
      <c r="V479" s="65"/>
    </row>
    <row r="480">
      <c r="A480" s="74" t="s">
        <v>1665</v>
      </c>
      <c r="B480" s="75" t="s">
        <v>35</v>
      </c>
      <c r="C480" s="75" t="s">
        <v>36</v>
      </c>
      <c r="D480" s="76" t="str">
        <f t="shared" si="19"/>
        <v>Active</v>
      </c>
      <c r="E480" s="90">
        <v>44761.0</v>
      </c>
      <c r="F480" s="198"/>
      <c r="G480" s="79">
        <f t="shared" si="2"/>
        <v>50.56666667</v>
      </c>
      <c r="H480" s="90">
        <v>42689.0</v>
      </c>
      <c r="I480" s="79">
        <f t="shared" si="3"/>
        <v>5.677777778</v>
      </c>
      <c r="J480" s="106">
        <v>78.0</v>
      </c>
      <c r="K480" s="106">
        <v>19.0</v>
      </c>
      <c r="L480" s="82" t="s">
        <v>37</v>
      </c>
      <c r="M480" s="82"/>
      <c r="N480" s="82"/>
      <c r="O480" s="82" t="s">
        <v>107</v>
      </c>
      <c r="P480" s="107" t="s">
        <v>1668</v>
      </c>
      <c r="Q480" s="82"/>
      <c r="R480" s="76" t="str">
        <f t="shared" si="4"/>
        <v>Active</v>
      </c>
      <c r="S480" s="90">
        <v>45547.0</v>
      </c>
      <c r="T480" s="79">
        <f t="shared" si="5"/>
        <v>25.76666667</v>
      </c>
      <c r="U480" s="90"/>
      <c r="V480" s="79"/>
    </row>
    <row r="481">
      <c r="A481" s="53" t="s">
        <v>1670</v>
      </c>
      <c r="B481" s="54" t="s">
        <v>35</v>
      </c>
      <c r="C481" s="54" t="s">
        <v>36</v>
      </c>
      <c r="D481" s="59" t="str">
        <f t="shared" si="19"/>
        <v>Active</v>
      </c>
      <c r="E481" s="88">
        <v>44743.0</v>
      </c>
      <c r="F481" s="187"/>
      <c r="G481" s="65">
        <f t="shared" si="2"/>
        <v>51.16666667</v>
      </c>
      <c r="H481" s="88">
        <v>43186.0</v>
      </c>
      <c r="I481" s="65">
        <f t="shared" si="3"/>
        <v>4.261111111</v>
      </c>
      <c r="J481" s="121">
        <f>average(78,82)</f>
        <v>80</v>
      </c>
      <c r="K481" s="121">
        <v>18.0</v>
      </c>
      <c r="L481" s="69" t="s">
        <v>37</v>
      </c>
      <c r="M481" s="69"/>
      <c r="N481" s="69"/>
      <c r="O481" s="69" t="s">
        <v>107</v>
      </c>
      <c r="P481" s="122" t="s">
        <v>1674</v>
      </c>
      <c r="Q481" s="69"/>
      <c r="R481" s="59" t="str">
        <f t="shared" si="4"/>
        <v>Active</v>
      </c>
      <c r="S481" s="88">
        <v>45547.0</v>
      </c>
      <c r="T481" s="65">
        <f t="shared" si="5"/>
        <v>26.36666667</v>
      </c>
      <c r="U481" s="88"/>
      <c r="V481" s="65"/>
    </row>
    <row r="482">
      <c r="A482" s="74" t="s">
        <v>1676</v>
      </c>
      <c r="B482" s="75" t="s">
        <v>35</v>
      </c>
      <c r="C482" s="75" t="s">
        <v>371</v>
      </c>
      <c r="D482" s="76" t="str">
        <f t="shared" si="19"/>
        <v>Active</v>
      </c>
      <c r="E482" s="90">
        <v>44742.0</v>
      </c>
      <c r="F482" s="198"/>
      <c r="G482" s="79">
        <f t="shared" si="2"/>
        <v>51.2</v>
      </c>
      <c r="H482" s="90">
        <v>43237.0</v>
      </c>
      <c r="I482" s="79">
        <f t="shared" si="3"/>
        <v>4.119444444</v>
      </c>
      <c r="J482" s="106">
        <v>68.0</v>
      </c>
      <c r="K482" s="106">
        <v>12.0</v>
      </c>
      <c r="L482" s="82" t="s">
        <v>64</v>
      </c>
      <c r="M482" s="82"/>
      <c r="N482" s="82"/>
      <c r="O482" s="82" t="s">
        <v>1219</v>
      </c>
      <c r="P482" s="107"/>
      <c r="Q482" s="82"/>
      <c r="R482" s="76" t="str">
        <f t="shared" si="4"/>
        <v>Active</v>
      </c>
      <c r="S482" s="90">
        <v>45547.0</v>
      </c>
      <c r="T482" s="79">
        <f t="shared" si="5"/>
        <v>26.4</v>
      </c>
      <c r="U482" s="90"/>
      <c r="V482" s="79"/>
    </row>
    <row r="483">
      <c r="A483" s="53" t="s">
        <v>1682</v>
      </c>
      <c r="B483" s="54" t="s">
        <v>35</v>
      </c>
      <c r="C483" s="54" t="s">
        <v>100</v>
      </c>
      <c r="D483" s="59" t="str">
        <f t="shared" si="19"/>
        <v>Active</v>
      </c>
      <c r="E483" s="88">
        <v>44733.0</v>
      </c>
      <c r="F483" s="187"/>
      <c r="G483" s="65">
        <f t="shared" si="2"/>
        <v>51.5</v>
      </c>
      <c r="H483" s="88">
        <v>42236.0</v>
      </c>
      <c r="I483" s="65">
        <f t="shared" si="3"/>
        <v>6.836111111</v>
      </c>
      <c r="J483" s="121">
        <f>average(76,81,81)</f>
        <v>79.33333333</v>
      </c>
      <c r="K483" s="121">
        <v>53.5</v>
      </c>
      <c r="L483" s="69" t="s">
        <v>46</v>
      </c>
      <c r="M483" s="69"/>
      <c r="N483" s="69" t="s">
        <v>1686</v>
      </c>
      <c r="O483" s="69" t="s">
        <v>107</v>
      </c>
      <c r="P483" s="122" t="s">
        <v>1688</v>
      </c>
      <c r="Q483" s="224" t="s">
        <v>1689</v>
      </c>
      <c r="R483" s="59" t="str">
        <f t="shared" si="4"/>
        <v>Active</v>
      </c>
      <c r="S483" s="88">
        <v>45547.0</v>
      </c>
      <c r="T483" s="65">
        <f t="shared" si="5"/>
        <v>26.7</v>
      </c>
      <c r="U483" s="88"/>
      <c r="V483" s="65"/>
    </row>
    <row r="484">
      <c r="A484" s="74" t="s">
        <v>1691</v>
      </c>
      <c r="B484" s="75" t="s">
        <v>35</v>
      </c>
      <c r="C484" s="75" t="s">
        <v>100</v>
      </c>
      <c r="D484" s="76" t="str">
        <f t="shared" si="19"/>
        <v>Active</v>
      </c>
      <c r="E484" s="90">
        <v>44719.0</v>
      </c>
      <c r="F484" s="198"/>
      <c r="G484" s="79">
        <f t="shared" si="2"/>
        <v>51.96666667</v>
      </c>
      <c r="H484" s="90">
        <v>43035.0</v>
      </c>
      <c r="I484" s="79">
        <f t="shared" si="3"/>
        <v>4.611111111</v>
      </c>
      <c r="J484" s="106">
        <f>average(84,85)</f>
        <v>84.5</v>
      </c>
      <c r="K484" s="106">
        <v>30.0</v>
      </c>
      <c r="L484" s="82" t="s">
        <v>46</v>
      </c>
      <c r="M484" s="82"/>
      <c r="N484" s="82" t="s">
        <v>212</v>
      </c>
      <c r="O484" s="82" t="s">
        <v>107</v>
      </c>
      <c r="P484" s="107" t="s">
        <v>1697</v>
      </c>
      <c r="Q484" s="82"/>
      <c r="R484" s="76" t="str">
        <f t="shared" si="4"/>
        <v>Active</v>
      </c>
      <c r="S484" s="90">
        <v>45547.0</v>
      </c>
      <c r="T484" s="79">
        <f t="shared" si="5"/>
        <v>27.16666667</v>
      </c>
      <c r="U484" s="90"/>
      <c r="V484" s="79"/>
    </row>
    <row r="485">
      <c r="A485" s="53" t="s">
        <v>1699</v>
      </c>
      <c r="B485" s="54" t="s">
        <v>35</v>
      </c>
      <c r="C485" s="54" t="s">
        <v>36</v>
      </c>
      <c r="D485" s="59" t="str">
        <f t="shared" si="19"/>
        <v>Active</v>
      </c>
      <c r="E485" s="88">
        <v>44700.0</v>
      </c>
      <c r="F485" s="187"/>
      <c r="G485" s="65">
        <f t="shared" si="2"/>
        <v>52.56666667</v>
      </c>
      <c r="H485" s="88">
        <v>44547.0</v>
      </c>
      <c r="I485" s="65">
        <f t="shared" si="3"/>
        <v>0.4222222222</v>
      </c>
      <c r="J485" s="121">
        <v>87.0</v>
      </c>
      <c r="K485" s="121">
        <v>4.5</v>
      </c>
      <c r="L485" s="69" t="s">
        <v>105</v>
      </c>
      <c r="M485" s="69"/>
      <c r="N485" s="69" t="s">
        <v>1702</v>
      </c>
      <c r="O485" s="69" t="s">
        <v>1168</v>
      </c>
      <c r="P485" s="122" t="s">
        <v>1396</v>
      </c>
      <c r="Q485" s="69"/>
      <c r="R485" s="59" t="str">
        <f t="shared" si="4"/>
        <v>Active</v>
      </c>
      <c r="S485" s="88">
        <v>45547.0</v>
      </c>
      <c r="T485" s="65">
        <f t="shared" si="5"/>
        <v>27.76666667</v>
      </c>
      <c r="U485" s="88">
        <v>45183.0</v>
      </c>
      <c r="V485" s="65">
        <f t="shared" ref="V485:V486" si="38">MONTHDUR(E485,U485)</f>
        <v>15.83333333</v>
      </c>
    </row>
    <row r="486">
      <c r="A486" s="74" t="s">
        <v>1706</v>
      </c>
      <c r="B486" s="75" t="s">
        <v>35</v>
      </c>
      <c r="C486" s="75" t="s">
        <v>36</v>
      </c>
      <c r="D486" s="76" t="str">
        <f t="shared" si="19"/>
        <v>Active</v>
      </c>
      <c r="E486" s="90">
        <v>44636.0</v>
      </c>
      <c r="F486" s="105"/>
      <c r="G486" s="79">
        <f t="shared" si="2"/>
        <v>54.66666667</v>
      </c>
      <c r="H486" s="90">
        <v>44636.0</v>
      </c>
      <c r="I486" s="79">
        <f t="shared" si="3"/>
        <v>0</v>
      </c>
      <c r="J486" s="106">
        <f>average(80,87)</f>
        <v>83.5</v>
      </c>
      <c r="K486" s="106">
        <v>12.0</v>
      </c>
      <c r="L486" s="82" t="s">
        <v>41</v>
      </c>
      <c r="M486" s="82"/>
      <c r="N486" s="160" t="s">
        <v>1707</v>
      </c>
      <c r="O486" s="82" t="s">
        <v>1168</v>
      </c>
      <c r="P486" s="107" t="s">
        <v>1396</v>
      </c>
      <c r="Q486" s="82"/>
      <c r="R486" s="76" t="str">
        <f t="shared" si="4"/>
        <v>Active</v>
      </c>
      <c r="S486" s="90">
        <v>45547.0</v>
      </c>
      <c r="T486" s="79">
        <f t="shared" si="5"/>
        <v>29.86666667</v>
      </c>
      <c r="U486" s="90">
        <v>45742.0</v>
      </c>
      <c r="V486" s="79">
        <f t="shared" si="38"/>
        <v>36.33333333</v>
      </c>
    </row>
    <row r="487">
      <c r="A487" s="53" t="s">
        <v>1708</v>
      </c>
      <c r="B487" s="54" t="s">
        <v>35</v>
      </c>
      <c r="C487" s="54" t="s">
        <v>100</v>
      </c>
      <c r="D487" s="59" t="str">
        <f t="shared" si="19"/>
        <v>Active</v>
      </c>
      <c r="E487" s="88">
        <v>44616.0</v>
      </c>
      <c r="F487" s="187"/>
      <c r="G487" s="65">
        <f t="shared" si="2"/>
        <v>55.4</v>
      </c>
      <c r="H487" s="88">
        <v>43964.0</v>
      </c>
      <c r="I487" s="65">
        <f t="shared" si="3"/>
        <v>1.780555556</v>
      </c>
      <c r="J487" s="121">
        <f>average(80,83)</f>
        <v>81.5</v>
      </c>
      <c r="K487" s="121">
        <v>24.0</v>
      </c>
      <c r="L487" s="69" t="s">
        <v>62</v>
      </c>
      <c r="M487" s="69"/>
      <c r="N487" s="69"/>
      <c r="O487" s="69" t="s">
        <v>1219</v>
      </c>
      <c r="P487" s="122"/>
      <c r="Q487" s="69"/>
      <c r="R487" s="59" t="str">
        <f t="shared" si="4"/>
        <v>Active</v>
      </c>
      <c r="S487" s="88">
        <v>45547.0</v>
      </c>
      <c r="T487" s="65">
        <f t="shared" si="5"/>
        <v>30.6</v>
      </c>
      <c r="U487" s="88"/>
      <c r="V487" s="65"/>
    </row>
    <row r="488">
      <c r="A488" s="74" t="s">
        <v>1710</v>
      </c>
      <c r="B488" s="75" t="s">
        <v>35</v>
      </c>
      <c r="C488" s="75"/>
      <c r="D488" s="76" t="str">
        <f t="shared" si="19"/>
        <v>Active</v>
      </c>
      <c r="E488" s="90">
        <v>44614.0</v>
      </c>
      <c r="F488" s="198"/>
      <c r="G488" s="79">
        <f t="shared" si="2"/>
        <v>55.46666667</v>
      </c>
      <c r="H488" s="90">
        <v>44063.0</v>
      </c>
      <c r="I488" s="79">
        <f t="shared" si="3"/>
        <v>1.505555556</v>
      </c>
      <c r="J488" s="106">
        <v>85.0</v>
      </c>
      <c r="K488" s="106">
        <v>6.0</v>
      </c>
      <c r="L488" s="82" t="s">
        <v>37</v>
      </c>
      <c r="M488" s="82"/>
      <c r="N488" s="82" t="s">
        <v>1711</v>
      </c>
      <c r="O488" s="82" t="s">
        <v>1168</v>
      </c>
      <c r="P488" s="107" t="s">
        <v>1396</v>
      </c>
      <c r="Q488" s="82"/>
      <c r="R488" s="76" t="str">
        <f t="shared" si="4"/>
        <v>Active</v>
      </c>
      <c r="S488" s="90">
        <v>45547.0</v>
      </c>
      <c r="T488" s="79">
        <f t="shared" si="5"/>
        <v>30.66666667</v>
      </c>
      <c r="U488" s="90"/>
      <c r="V488" s="79"/>
    </row>
    <row r="489">
      <c r="A489" s="53" t="s">
        <v>1523</v>
      </c>
      <c r="B489" s="54" t="s">
        <v>129</v>
      </c>
      <c r="C489" s="54" t="s">
        <v>100</v>
      </c>
      <c r="D489" s="59" t="str">
        <f t="shared" si="19"/>
        <v>Active</v>
      </c>
      <c r="E489" s="88">
        <v>44595.0</v>
      </c>
      <c r="F489" s="187"/>
      <c r="G489" s="65">
        <f t="shared" si="2"/>
        <v>56.1</v>
      </c>
      <c r="H489" s="88">
        <v>41593.0</v>
      </c>
      <c r="I489" s="65">
        <f t="shared" si="3"/>
        <v>8.216666667</v>
      </c>
      <c r="J489" s="121">
        <f>average(62,65)</f>
        <v>63.5</v>
      </c>
      <c r="K489" s="121">
        <v>3.5</v>
      </c>
      <c r="L489" s="69" t="s">
        <v>57</v>
      </c>
      <c r="M489" s="69"/>
      <c r="N489" s="69"/>
      <c r="O489" s="69" t="s">
        <v>328</v>
      </c>
      <c r="P489" s="122" t="s">
        <v>1712</v>
      </c>
      <c r="Q489" s="69"/>
      <c r="R489" s="59" t="str">
        <f t="shared" si="4"/>
        <v>Active</v>
      </c>
      <c r="S489" s="88">
        <v>45547.0</v>
      </c>
      <c r="T489" s="65">
        <f t="shared" si="5"/>
        <v>31.3</v>
      </c>
      <c r="U489" s="88"/>
      <c r="V489" s="65"/>
    </row>
    <row r="490">
      <c r="A490" s="74" t="s">
        <v>1713</v>
      </c>
      <c r="B490" s="75" t="s">
        <v>13</v>
      </c>
      <c r="C490" s="75"/>
      <c r="D490" s="76" t="str">
        <f t="shared" si="19"/>
        <v>Active</v>
      </c>
      <c r="E490" s="90">
        <v>44597.0</v>
      </c>
      <c r="F490" s="198"/>
      <c r="G490" s="79">
        <f t="shared" si="2"/>
        <v>56.03333333</v>
      </c>
      <c r="H490" s="90">
        <v>39708.0</v>
      </c>
      <c r="I490" s="79">
        <f t="shared" si="3"/>
        <v>13.38333333</v>
      </c>
      <c r="J490" s="106">
        <v>76.0</v>
      </c>
      <c r="K490" s="106">
        <v>3.5</v>
      </c>
      <c r="L490" s="82" t="s">
        <v>96</v>
      </c>
      <c r="M490" s="82"/>
      <c r="N490" s="82"/>
      <c r="O490" s="82" t="s">
        <v>1219</v>
      </c>
      <c r="P490" s="107"/>
      <c r="Q490" s="82"/>
      <c r="R490" s="76" t="str">
        <f t="shared" si="4"/>
        <v>TBD</v>
      </c>
      <c r="S490" s="90"/>
      <c r="T490" s="79">
        <f t="shared" si="5"/>
        <v>56.03333333</v>
      </c>
      <c r="U490" s="90"/>
      <c r="V490" s="79"/>
    </row>
    <row r="491">
      <c r="A491" s="53" t="s">
        <v>1714</v>
      </c>
      <c r="B491" s="54" t="s">
        <v>35</v>
      </c>
      <c r="C491" s="54" t="s">
        <v>36</v>
      </c>
      <c r="D491" s="59" t="str">
        <f t="shared" si="19"/>
        <v>Active</v>
      </c>
      <c r="E491" s="88">
        <v>44567.0</v>
      </c>
      <c r="F491" s="187"/>
      <c r="G491" s="65">
        <f t="shared" si="2"/>
        <v>57</v>
      </c>
      <c r="H491" s="88">
        <v>44330.0</v>
      </c>
      <c r="I491" s="65">
        <f t="shared" si="3"/>
        <v>0.6444444444</v>
      </c>
      <c r="J491" s="121">
        <f>(86+90)/2</f>
        <v>88</v>
      </c>
      <c r="K491" s="121">
        <v>106.0</v>
      </c>
      <c r="L491" s="69" t="s">
        <v>37</v>
      </c>
      <c r="M491" s="69"/>
      <c r="N491" s="69"/>
      <c r="O491" s="69" t="s">
        <v>107</v>
      </c>
      <c r="P491" s="122" t="s">
        <v>1715</v>
      </c>
      <c r="Q491" s="69" t="s">
        <v>1716</v>
      </c>
      <c r="R491" s="59" t="str">
        <f t="shared" si="4"/>
        <v>Active</v>
      </c>
      <c r="S491" s="88">
        <v>45547.0</v>
      </c>
      <c r="T491" s="65">
        <f t="shared" si="5"/>
        <v>32.2</v>
      </c>
      <c r="U491" s="88"/>
      <c r="V491" s="65"/>
    </row>
    <row r="492">
      <c r="A492" s="74" t="s">
        <v>1524</v>
      </c>
      <c r="B492" s="75" t="s">
        <v>35</v>
      </c>
      <c r="C492" s="75" t="s">
        <v>100</v>
      </c>
      <c r="D492" s="76" t="str">
        <f t="shared" si="19"/>
        <v>Active</v>
      </c>
      <c r="E492" s="90">
        <v>44546.0</v>
      </c>
      <c r="F492" s="198"/>
      <c r="G492" s="79">
        <f t="shared" si="2"/>
        <v>57.66666667</v>
      </c>
      <c r="H492" s="90">
        <v>41653.0</v>
      </c>
      <c r="I492" s="79">
        <f t="shared" si="3"/>
        <v>7.922222222</v>
      </c>
      <c r="J492" s="106">
        <f>(76+78)/2</f>
        <v>77</v>
      </c>
      <c r="K492" s="106">
        <v>10.0</v>
      </c>
      <c r="L492" s="82" t="s">
        <v>135</v>
      </c>
      <c r="M492" s="82"/>
      <c r="N492" s="82"/>
      <c r="O492" s="82" t="s">
        <v>1168</v>
      </c>
      <c r="P492" s="107" t="s">
        <v>1717</v>
      </c>
      <c r="Q492" s="82"/>
      <c r="R492" s="76" t="str">
        <f t="shared" si="4"/>
        <v>Active</v>
      </c>
      <c r="S492" s="90">
        <v>45547.0</v>
      </c>
      <c r="T492" s="79">
        <f t="shared" si="5"/>
        <v>32.86666667</v>
      </c>
      <c r="U492" s="90"/>
      <c r="V492" s="79"/>
    </row>
    <row r="493">
      <c r="A493" s="53" t="s">
        <v>1718</v>
      </c>
      <c r="B493" s="54" t="s">
        <v>35</v>
      </c>
      <c r="C493" s="54" t="s">
        <v>100</v>
      </c>
      <c r="D493" s="59" t="str">
        <f t="shared" si="19"/>
        <v>Active</v>
      </c>
      <c r="E493" s="88">
        <v>44546.0</v>
      </c>
      <c r="F493" s="187"/>
      <c r="G493" s="65">
        <f t="shared" si="2"/>
        <v>57.66666667</v>
      </c>
      <c r="H493" s="88">
        <v>44546.0</v>
      </c>
      <c r="I493" s="65">
        <f t="shared" si="3"/>
        <v>0</v>
      </c>
      <c r="J493" s="121">
        <f>(65+69+71)/3</f>
        <v>68.33333333</v>
      </c>
      <c r="K493" s="121">
        <v>4.5</v>
      </c>
      <c r="L493" s="69" t="s">
        <v>41</v>
      </c>
      <c r="M493" s="69"/>
      <c r="N493" s="69"/>
      <c r="O493" s="69" t="s">
        <v>328</v>
      </c>
      <c r="P493" s="122" t="s">
        <v>1719</v>
      </c>
      <c r="Q493" s="69"/>
      <c r="R493" s="59" t="str">
        <f t="shared" si="4"/>
        <v>Active</v>
      </c>
      <c r="S493" s="88">
        <v>45547.0</v>
      </c>
      <c r="T493" s="65">
        <f t="shared" si="5"/>
        <v>32.86666667</v>
      </c>
      <c r="U493" s="88"/>
      <c r="V493" s="65"/>
    </row>
    <row r="494">
      <c r="A494" s="74" t="s">
        <v>1525</v>
      </c>
      <c r="B494" s="75" t="s">
        <v>35</v>
      </c>
      <c r="C494" s="75" t="s">
        <v>371</v>
      </c>
      <c r="D494" s="76" t="str">
        <f t="shared" si="19"/>
        <v>Active</v>
      </c>
      <c r="E494" s="90">
        <v>44538.0</v>
      </c>
      <c r="F494" s="198"/>
      <c r="G494" s="79">
        <f t="shared" si="2"/>
        <v>57.93333333</v>
      </c>
      <c r="H494" s="90">
        <v>44538.0</v>
      </c>
      <c r="I494" s="79">
        <f t="shared" si="3"/>
        <v>0</v>
      </c>
      <c r="J494" s="106">
        <f>(80+87)/2</f>
        <v>83.5</v>
      </c>
      <c r="K494" s="106">
        <v>10.0</v>
      </c>
      <c r="L494" s="82" t="s">
        <v>37</v>
      </c>
      <c r="M494" s="82"/>
      <c r="N494" s="82" t="s">
        <v>1720</v>
      </c>
      <c r="O494" s="82" t="s">
        <v>328</v>
      </c>
      <c r="P494" s="107" t="s">
        <v>1721</v>
      </c>
      <c r="Q494" s="82"/>
      <c r="R494" s="76" t="str">
        <f t="shared" si="4"/>
        <v>Active</v>
      </c>
      <c r="S494" s="90">
        <v>45547.0</v>
      </c>
      <c r="T494" s="79">
        <f t="shared" si="5"/>
        <v>33.13333333</v>
      </c>
      <c r="U494" s="90"/>
      <c r="V494" s="79"/>
    </row>
    <row r="495">
      <c r="A495" s="53" t="s">
        <v>1722</v>
      </c>
      <c r="B495" s="54" t="s">
        <v>35</v>
      </c>
      <c r="C495" s="54" t="s">
        <v>100</v>
      </c>
      <c r="D495" s="59" t="str">
        <f t="shared" si="19"/>
        <v>Active</v>
      </c>
      <c r="E495" s="88">
        <v>44532.0</v>
      </c>
      <c r="F495" s="187"/>
      <c r="G495" s="65">
        <f t="shared" si="2"/>
        <v>58.13333333</v>
      </c>
      <c r="H495" s="88">
        <v>42426.0</v>
      </c>
      <c r="I495" s="65">
        <f t="shared" si="3"/>
        <v>5.766666667</v>
      </c>
      <c r="J495" s="121">
        <v>89.0</v>
      </c>
      <c r="K495" s="121">
        <v>52.5</v>
      </c>
      <c r="L495" s="69" t="s">
        <v>46</v>
      </c>
      <c r="M495" s="69"/>
      <c r="N495" s="69" t="s">
        <v>1657</v>
      </c>
      <c r="O495" s="69" t="s">
        <v>1168</v>
      </c>
      <c r="P495" s="122" t="s">
        <v>1723</v>
      </c>
      <c r="Q495" s="69"/>
      <c r="R495" s="59" t="str">
        <f t="shared" si="4"/>
        <v>Active</v>
      </c>
      <c r="S495" s="88">
        <v>45547.0</v>
      </c>
      <c r="T495" s="65">
        <f t="shared" si="5"/>
        <v>33.33333333</v>
      </c>
      <c r="U495" s="88">
        <v>45183.0</v>
      </c>
      <c r="V495" s="65">
        <f>MONTHDUR(E495,U495)</f>
        <v>21.4</v>
      </c>
    </row>
    <row r="496">
      <c r="A496" s="74" t="s">
        <v>1526</v>
      </c>
      <c r="B496" s="75" t="s">
        <v>35</v>
      </c>
      <c r="C496" s="75" t="s">
        <v>36</v>
      </c>
      <c r="D496" s="76" t="str">
        <f t="shared" si="19"/>
        <v>Active</v>
      </c>
      <c r="E496" s="90">
        <v>44509.0</v>
      </c>
      <c r="F496" s="198"/>
      <c r="G496" s="79">
        <f t="shared" si="2"/>
        <v>58.9</v>
      </c>
      <c r="H496" s="90">
        <v>44509.0</v>
      </c>
      <c r="I496" s="79">
        <f t="shared" si="3"/>
        <v>0</v>
      </c>
      <c r="J496" s="106">
        <f>(91+92)/2</f>
        <v>91.5</v>
      </c>
      <c r="K496" s="106">
        <v>17.0</v>
      </c>
      <c r="L496" s="82" t="s">
        <v>55</v>
      </c>
      <c r="M496" s="82"/>
      <c r="N496" s="82"/>
      <c r="O496" s="82" t="s">
        <v>1219</v>
      </c>
      <c r="P496" s="107"/>
      <c r="Q496" s="82"/>
      <c r="R496" s="76" t="str">
        <f t="shared" si="4"/>
        <v>Active</v>
      </c>
      <c r="S496" s="90">
        <v>45547.0</v>
      </c>
      <c r="T496" s="79">
        <f t="shared" si="5"/>
        <v>34.1</v>
      </c>
      <c r="U496" s="90"/>
      <c r="V496" s="79"/>
    </row>
    <row r="497">
      <c r="A497" s="53" t="s">
        <v>1724</v>
      </c>
      <c r="B497" s="54" t="s">
        <v>35</v>
      </c>
      <c r="C497" s="54" t="s">
        <v>36</v>
      </c>
      <c r="D497" s="59" t="str">
        <f t="shared" si="19"/>
        <v>Active</v>
      </c>
      <c r="E497" s="88">
        <v>44504.0</v>
      </c>
      <c r="F497" s="187"/>
      <c r="G497" s="65">
        <f t="shared" si="2"/>
        <v>59.06666667</v>
      </c>
      <c r="H497" s="88">
        <v>44281.0</v>
      </c>
      <c r="I497" s="65">
        <f t="shared" si="3"/>
        <v>0.6055555556</v>
      </c>
      <c r="J497" s="121">
        <f>(88+89)/2</f>
        <v>88.5</v>
      </c>
      <c r="K497" s="121">
        <v>12.0</v>
      </c>
      <c r="L497" s="69" t="s">
        <v>57</v>
      </c>
      <c r="M497" s="69" t="s">
        <v>326</v>
      </c>
      <c r="N497" s="69"/>
      <c r="O497" s="69" t="s">
        <v>328</v>
      </c>
      <c r="P497" s="122" t="s">
        <v>1725</v>
      </c>
      <c r="Q497" s="69"/>
      <c r="R497" s="59" t="str">
        <f t="shared" si="4"/>
        <v>Active</v>
      </c>
      <c r="S497" s="88">
        <v>45547.0</v>
      </c>
      <c r="T497" s="65">
        <f t="shared" si="5"/>
        <v>34.26666667</v>
      </c>
      <c r="U497" s="88"/>
      <c r="V497" s="65"/>
    </row>
    <row r="498">
      <c r="A498" s="74" t="s">
        <v>1528</v>
      </c>
      <c r="B498" s="75" t="s">
        <v>35</v>
      </c>
      <c r="C498" s="75" t="s">
        <v>36</v>
      </c>
      <c r="D498" s="76" t="str">
        <f t="shared" si="19"/>
        <v>Active</v>
      </c>
      <c r="E498" s="90">
        <v>44497.0</v>
      </c>
      <c r="F498" s="198"/>
      <c r="G498" s="79">
        <f t="shared" si="2"/>
        <v>59.26666667</v>
      </c>
      <c r="H498" s="90">
        <v>44497.0</v>
      </c>
      <c r="I498" s="79">
        <f t="shared" si="3"/>
        <v>0</v>
      </c>
      <c r="J498" s="106">
        <v>81.0</v>
      </c>
      <c r="K498" s="106">
        <v>24.5</v>
      </c>
      <c r="L498" s="82" t="s">
        <v>1726</v>
      </c>
      <c r="M498" s="82"/>
      <c r="N498" s="82" t="s">
        <v>1727</v>
      </c>
      <c r="O498" s="82" t="s">
        <v>328</v>
      </c>
      <c r="P498" s="107" t="s">
        <v>1728</v>
      </c>
      <c r="Q498" s="82"/>
      <c r="R498" s="76" t="str">
        <f t="shared" si="4"/>
        <v>Active</v>
      </c>
      <c r="S498" s="90">
        <v>45547.0</v>
      </c>
      <c r="T498" s="79">
        <f t="shared" si="5"/>
        <v>34.46666667</v>
      </c>
      <c r="U498" s="90"/>
      <c r="V498" s="79"/>
    </row>
    <row r="499">
      <c r="A499" s="53" t="s">
        <v>1729</v>
      </c>
      <c r="B499" s="54" t="s">
        <v>13</v>
      </c>
      <c r="C499" s="54"/>
      <c r="D499" s="59" t="str">
        <f t="shared" si="19"/>
        <v>Active</v>
      </c>
      <c r="E499" s="88">
        <v>44469.0</v>
      </c>
      <c r="F499" s="187"/>
      <c r="G499" s="65">
        <f t="shared" si="2"/>
        <v>60.2</v>
      </c>
      <c r="H499" s="88">
        <v>44092.0</v>
      </c>
      <c r="I499" s="65">
        <f t="shared" si="3"/>
        <v>1.033333333</v>
      </c>
      <c r="J499" s="121">
        <v>69.0</v>
      </c>
      <c r="K499" s="121">
        <v>10.0</v>
      </c>
      <c r="L499" s="69" t="s">
        <v>37</v>
      </c>
      <c r="M499" s="69"/>
      <c r="N499" s="69"/>
      <c r="O499" s="69" t="s">
        <v>107</v>
      </c>
      <c r="P499" s="122" t="s">
        <v>1280</v>
      </c>
      <c r="Q499" s="69" t="s">
        <v>1532</v>
      </c>
      <c r="R499" s="59" t="str">
        <f t="shared" si="4"/>
        <v>TBD</v>
      </c>
      <c r="S499" s="88"/>
      <c r="T499" s="65">
        <f t="shared" si="5"/>
        <v>60.2</v>
      </c>
      <c r="U499" s="88"/>
      <c r="V499" s="65"/>
    </row>
    <row r="500">
      <c r="A500" s="74" t="s">
        <v>1530</v>
      </c>
      <c r="B500" s="75" t="s">
        <v>35</v>
      </c>
      <c r="C500" s="75" t="s">
        <v>100</v>
      </c>
      <c r="D500" s="76" t="str">
        <f t="shared" si="19"/>
        <v>Active</v>
      </c>
      <c r="E500" s="90">
        <v>44433.0</v>
      </c>
      <c r="F500" s="198"/>
      <c r="G500" s="79">
        <f t="shared" si="2"/>
        <v>61.36666667</v>
      </c>
      <c r="H500" s="90">
        <v>44433.0</v>
      </c>
      <c r="I500" s="79">
        <f t="shared" si="3"/>
        <v>0</v>
      </c>
      <c r="J500" s="106">
        <f>(87+89+91)/3</f>
        <v>89</v>
      </c>
      <c r="K500" s="106">
        <v>14.0</v>
      </c>
      <c r="L500" s="82" t="s">
        <v>57</v>
      </c>
      <c r="M500" s="82"/>
      <c r="N500" s="82" t="s">
        <v>1657</v>
      </c>
      <c r="O500" s="82" t="s">
        <v>328</v>
      </c>
      <c r="P500" s="107" t="s">
        <v>1730</v>
      </c>
      <c r="Q500" s="82"/>
      <c r="R500" s="76" t="str">
        <f t="shared" si="4"/>
        <v>Active</v>
      </c>
      <c r="S500" s="90">
        <v>45547.0</v>
      </c>
      <c r="T500" s="79">
        <f t="shared" si="5"/>
        <v>36.56666667</v>
      </c>
      <c r="U500" s="90">
        <v>45183.0</v>
      </c>
      <c r="V500" s="79">
        <f>MONTHDUR(E500,U500)</f>
        <v>24.63333333</v>
      </c>
    </row>
    <row r="501">
      <c r="A501" s="53" t="s">
        <v>1531</v>
      </c>
      <c r="B501" s="54" t="s">
        <v>35</v>
      </c>
      <c r="C501" s="54" t="s">
        <v>371</v>
      </c>
      <c r="D501" s="59" t="str">
        <f t="shared" si="19"/>
        <v>Active</v>
      </c>
      <c r="E501" s="88">
        <v>44427.0</v>
      </c>
      <c r="F501" s="187"/>
      <c r="G501" s="65">
        <f t="shared" si="2"/>
        <v>61.56666667</v>
      </c>
      <c r="H501" s="88">
        <v>35269.0</v>
      </c>
      <c r="I501" s="65">
        <f t="shared" si="3"/>
        <v>25.07222222</v>
      </c>
      <c r="J501" s="121">
        <v>94.0</v>
      </c>
      <c r="K501" s="121">
        <v>5.5</v>
      </c>
      <c r="L501" s="69" t="s">
        <v>37</v>
      </c>
      <c r="M501" s="69"/>
      <c r="N501" s="69"/>
      <c r="O501" s="69" t="s">
        <v>107</v>
      </c>
      <c r="P501" s="122" t="s">
        <v>108</v>
      </c>
      <c r="Q501" s="69"/>
      <c r="R501" s="59" t="str">
        <f t="shared" si="4"/>
        <v>Active</v>
      </c>
      <c r="S501" s="88">
        <v>45547.0</v>
      </c>
      <c r="T501" s="65">
        <f t="shared" si="5"/>
        <v>36.76666667</v>
      </c>
      <c r="U501" s="88"/>
      <c r="V501" s="65"/>
    </row>
    <row r="502">
      <c r="A502" s="74" t="s">
        <v>1533</v>
      </c>
      <c r="B502" s="75" t="s">
        <v>35</v>
      </c>
      <c r="C502" s="75" t="s">
        <v>371</v>
      </c>
      <c r="D502" s="76" t="str">
        <f t="shared" si="19"/>
        <v>Active</v>
      </c>
      <c r="E502" s="90">
        <v>44427.0</v>
      </c>
      <c r="F502" s="198"/>
      <c r="G502" s="79">
        <f t="shared" si="2"/>
        <v>61.56666667</v>
      </c>
      <c r="H502" s="90">
        <v>35773.0</v>
      </c>
      <c r="I502" s="79">
        <f t="shared" si="3"/>
        <v>23.69444444</v>
      </c>
      <c r="J502" s="189">
        <f>8.9*10</f>
        <v>89</v>
      </c>
      <c r="K502" s="106">
        <v>8.0</v>
      </c>
      <c r="L502" s="82" t="s">
        <v>37</v>
      </c>
      <c r="M502" s="82"/>
      <c r="N502" s="82" t="s">
        <v>1731</v>
      </c>
      <c r="O502" s="82" t="s">
        <v>107</v>
      </c>
      <c r="P502" s="107" t="s">
        <v>1732</v>
      </c>
      <c r="Q502" s="82"/>
      <c r="R502" s="76" t="str">
        <f t="shared" si="4"/>
        <v>Active</v>
      </c>
      <c r="S502" s="90">
        <v>45547.0</v>
      </c>
      <c r="T502" s="79">
        <f t="shared" si="5"/>
        <v>36.76666667</v>
      </c>
      <c r="U502" s="90"/>
      <c r="V502" s="79"/>
    </row>
    <row r="503">
      <c r="A503" s="53" t="s">
        <v>1535</v>
      </c>
      <c r="B503" s="54" t="s">
        <v>13</v>
      </c>
      <c r="C503" s="54"/>
      <c r="D503" s="59" t="str">
        <f t="shared" si="19"/>
        <v>Active</v>
      </c>
      <c r="E503" s="88">
        <v>44427.0</v>
      </c>
      <c r="F503" s="187"/>
      <c r="G503" s="65">
        <f t="shared" si="2"/>
        <v>61.56666667</v>
      </c>
      <c r="H503" s="88">
        <v>36496.0</v>
      </c>
      <c r="I503" s="65">
        <f t="shared" si="3"/>
        <v>21.71388889</v>
      </c>
      <c r="J503" s="225">
        <f>9*10</f>
        <v>90</v>
      </c>
      <c r="K503" s="121">
        <v>5.5</v>
      </c>
      <c r="L503" s="69" t="s">
        <v>37</v>
      </c>
      <c r="M503" s="69"/>
      <c r="N503" s="69"/>
      <c r="O503" s="69" t="s">
        <v>107</v>
      </c>
      <c r="P503" s="122" t="s">
        <v>1733</v>
      </c>
      <c r="Q503" s="69"/>
      <c r="R503" s="59" t="str">
        <f t="shared" si="4"/>
        <v>Active</v>
      </c>
      <c r="S503" s="88">
        <v>45931.0</v>
      </c>
      <c r="T503" s="65">
        <f t="shared" si="5"/>
        <v>49.4</v>
      </c>
      <c r="U503" s="88"/>
      <c r="V503" s="65"/>
    </row>
    <row r="504">
      <c r="A504" s="74" t="s">
        <v>1734</v>
      </c>
      <c r="B504" s="75" t="s">
        <v>13</v>
      </c>
      <c r="C504" s="75"/>
      <c r="D504" s="76" t="str">
        <f t="shared" si="19"/>
        <v>Active</v>
      </c>
      <c r="E504" s="90">
        <v>44425.0</v>
      </c>
      <c r="F504" s="198"/>
      <c r="G504" s="79">
        <f t="shared" si="2"/>
        <v>61.63333333</v>
      </c>
      <c r="H504" s="90">
        <v>34129.0</v>
      </c>
      <c r="I504" s="79">
        <f t="shared" si="3"/>
        <v>28.18888889</v>
      </c>
      <c r="J504" s="189">
        <f>4.2/5*100</f>
        <v>84</v>
      </c>
      <c r="K504" s="106">
        <v>12.0</v>
      </c>
      <c r="L504" s="82" t="s">
        <v>46</v>
      </c>
      <c r="M504" s="82"/>
      <c r="N504" s="82"/>
      <c r="O504" s="82" t="s">
        <v>328</v>
      </c>
      <c r="P504" s="107"/>
      <c r="Q504" s="82"/>
      <c r="R504" s="76" t="str">
        <f t="shared" si="4"/>
        <v>TBD</v>
      </c>
      <c r="S504" s="90"/>
      <c r="T504" s="79">
        <f t="shared" si="5"/>
        <v>61.63333333</v>
      </c>
      <c r="U504" s="90"/>
      <c r="V504" s="79"/>
    </row>
    <row r="505">
      <c r="A505" s="53" t="s">
        <v>1735</v>
      </c>
      <c r="B505" s="54" t="s">
        <v>13</v>
      </c>
      <c r="C505" s="54"/>
      <c r="D505" s="59" t="str">
        <f t="shared" si="19"/>
        <v>Active</v>
      </c>
      <c r="E505" s="88">
        <v>44425.0</v>
      </c>
      <c r="F505" s="187"/>
      <c r="G505" s="65">
        <f t="shared" si="2"/>
        <v>61.63333333</v>
      </c>
      <c r="H505" s="88">
        <v>33690.0</v>
      </c>
      <c r="I505" s="65">
        <f t="shared" si="3"/>
        <v>29.38888889</v>
      </c>
      <c r="J505" s="225">
        <f>4.7/5*100</f>
        <v>94</v>
      </c>
      <c r="K505" s="121">
        <v>19.5</v>
      </c>
      <c r="L505" s="69" t="s">
        <v>46</v>
      </c>
      <c r="M505" s="69"/>
      <c r="N505" s="69"/>
      <c r="O505" s="69" t="s">
        <v>1219</v>
      </c>
      <c r="P505" s="122" t="s">
        <v>1736</v>
      </c>
      <c r="Q505" s="69"/>
      <c r="R505" s="59" t="str">
        <f t="shared" si="4"/>
        <v>TBD</v>
      </c>
      <c r="S505" s="88"/>
      <c r="T505" s="65">
        <f t="shared" si="5"/>
        <v>61.63333333</v>
      </c>
      <c r="U505" s="88"/>
      <c r="V505" s="65"/>
    </row>
    <row r="506">
      <c r="A506" s="74" t="s">
        <v>1737</v>
      </c>
      <c r="B506" s="75" t="s">
        <v>13</v>
      </c>
      <c r="C506" s="75"/>
      <c r="D506" s="76" t="str">
        <f t="shared" si="19"/>
        <v>Active</v>
      </c>
      <c r="E506" s="90">
        <v>44425.0</v>
      </c>
      <c r="F506" s="198"/>
      <c r="G506" s="79">
        <f t="shared" si="2"/>
        <v>61.63333333</v>
      </c>
      <c r="H506" s="90">
        <v>33970.0</v>
      </c>
      <c r="I506" s="79">
        <f t="shared" si="3"/>
        <v>28.62777778</v>
      </c>
      <c r="J506" s="189">
        <f>9*10</f>
        <v>90</v>
      </c>
      <c r="K506" s="106">
        <v>17.0</v>
      </c>
      <c r="L506" s="82" t="s">
        <v>46</v>
      </c>
      <c r="M506" s="82"/>
      <c r="N506" s="82"/>
      <c r="O506" s="82" t="s">
        <v>1219</v>
      </c>
      <c r="P506" s="107" t="s">
        <v>1736</v>
      </c>
      <c r="Q506" s="82"/>
      <c r="R506" s="76" t="str">
        <f t="shared" si="4"/>
        <v>TBD</v>
      </c>
      <c r="S506" s="90"/>
      <c r="T506" s="79">
        <f t="shared" si="5"/>
        <v>61.63333333</v>
      </c>
      <c r="U506" s="90"/>
      <c r="V506" s="79"/>
    </row>
    <row r="507">
      <c r="A507" s="53" t="s">
        <v>1536</v>
      </c>
      <c r="B507" s="54" t="s">
        <v>13</v>
      </c>
      <c r="C507" s="54"/>
      <c r="D507" s="59" t="str">
        <f t="shared" si="19"/>
        <v>Active</v>
      </c>
      <c r="E507" s="88">
        <v>44425.0</v>
      </c>
      <c r="F507" s="187"/>
      <c r="G507" s="65">
        <f t="shared" si="2"/>
        <v>61.63333333</v>
      </c>
      <c r="H507" s="88">
        <v>41208.0</v>
      </c>
      <c r="I507" s="65">
        <f t="shared" si="3"/>
        <v>8.808333333</v>
      </c>
      <c r="J507" s="225">
        <f>7*10</f>
        <v>70</v>
      </c>
      <c r="K507" s="121">
        <v>80.0</v>
      </c>
      <c r="L507" s="69" t="s">
        <v>1738</v>
      </c>
      <c r="M507" s="69"/>
      <c r="N507" s="69"/>
      <c r="O507" s="69" t="s">
        <v>1219</v>
      </c>
      <c r="P507" s="122"/>
      <c r="Q507" s="69"/>
      <c r="R507" s="59" t="str">
        <f t="shared" si="4"/>
        <v>TBD</v>
      </c>
      <c r="S507" s="88"/>
      <c r="T507" s="65">
        <f t="shared" si="5"/>
        <v>61.63333333</v>
      </c>
      <c r="U507" s="88"/>
      <c r="V507" s="65"/>
    </row>
    <row r="508">
      <c r="A508" s="226" t="s">
        <v>1739</v>
      </c>
      <c r="B508" s="75" t="s">
        <v>129</v>
      </c>
      <c r="C508" s="76"/>
      <c r="D508" s="76" t="str">
        <f t="shared" si="19"/>
        <v>Active</v>
      </c>
      <c r="E508" s="77">
        <v>44418.0</v>
      </c>
      <c r="F508" s="218"/>
      <c r="G508" s="79">
        <f t="shared" si="2"/>
        <v>61.86666667</v>
      </c>
      <c r="H508" s="90">
        <v>43522.0</v>
      </c>
      <c r="I508" s="79">
        <f t="shared" si="3"/>
        <v>2.455555556</v>
      </c>
      <c r="J508" s="216">
        <v>82.0</v>
      </c>
      <c r="K508" s="106">
        <v>10.0</v>
      </c>
      <c r="L508" s="82" t="s">
        <v>55</v>
      </c>
      <c r="M508" s="83"/>
      <c r="N508" s="82" t="s">
        <v>1740</v>
      </c>
      <c r="O508" s="82" t="s">
        <v>1219</v>
      </c>
      <c r="P508" s="107"/>
      <c r="Q508" s="82"/>
      <c r="R508" s="76" t="str">
        <f t="shared" si="4"/>
        <v>Active</v>
      </c>
      <c r="S508" s="90">
        <v>45547.0</v>
      </c>
      <c r="T508" s="79">
        <f t="shared" si="5"/>
        <v>37.06666667</v>
      </c>
      <c r="U508" s="90"/>
      <c r="V508" s="79"/>
    </row>
    <row r="509">
      <c r="A509" s="53" t="s">
        <v>1741</v>
      </c>
      <c r="B509" s="54" t="s">
        <v>129</v>
      </c>
      <c r="C509" s="54" t="s">
        <v>100</v>
      </c>
      <c r="D509" s="59" t="str">
        <f t="shared" si="19"/>
        <v>Active</v>
      </c>
      <c r="E509" s="88">
        <v>44413.0</v>
      </c>
      <c r="F509" s="187"/>
      <c r="G509" s="65">
        <f t="shared" si="2"/>
        <v>62.03333333</v>
      </c>
      <c r="H509" s="88">
        <v>39339.0</v>
      </c>
      <c r="I509" s="65">
        <f t="shared" si="3"/>
        <v>13.89166667</v>
      </c>
      <c r="J509" s="121">
        <v>86.0</v>
      </c>
      <c r="K509" s="121">
        <v>11.5</v>
      </c>
      <c r="L509" s="69" t="s">
        <v>62</v>
      </c>
      <c r="M509" s="69"/>
      <c r="N509" s="69"/>
      <c r="O509" s="69" t="s">
        <v>328</v>
      </c>
      <c r="P509" s="122" t="s">
        <v>1742</v>
      </c>
      <c r="Q509" s="114"/>
      <c r="R509" s="59" t="str">
        <f t="shared" si="4"/>
        <v>Active</v>
      </c>
      <c r="S509" s="88">
        <v>45547.0</v>
      </c>
      <c r="T509" s="65">
        <f t="shared" si="5"/>
        <v>37.23333333</v>
      </c>
      <c r="U509" s="88"/>
      <c r="V509" s="65"/>
    </row>
    <row r="510">
      <c r="A510" s="74" t="s">
        <v>1537</v>
      </c>
      <c r="B510" s="75" t="s">
        <v>35</v>
      </c>
      <c r="C510" s="75" t="s">
        <v>100</v>
      </c>
      <c r="D510" s="76" t="str">
        <f t="shared" si="19"/>
        <v>Active</v>
      </c>
      <c r="E510" s="90">
        <v>44403.0</v>
      </c>
      <c r="F510" s="198"/>
      <c r="G510" s="79">
        <f t="shared" si="2"/>
        <v>62.33333333</v>
      </c>
      <c r="H510" s="90">
        <v>37915.0</v>
      </c>
      <c r="I510" s="79">
        <f t="shared" si="3"/>
        <v>17.76388889</v>
      </c>
      <c r="J510" s="106">
        <v>88.0</v>
      </c>
      <c r="K510" s="106">
        <v>8.0</v>
      </c>
      <c r="L510" s="82" t="s">
        <v>1743</v>
      </c>
      <c r="M510" s="82"/>
      <c r="N510" s="82" t="s">
        <v>73</v>
      </c>
      <c r="O510" s="82" t="s">
        <v>328</v>
      </c>
      <c r="P510" s="82" t="s">
        <v>1744</v>
      </c>
      <c r="Q510" s="82" t="s">
        <v>1745</v>
      </c>
      <c r="R510" s="76" t="str">
        <f t="shared" si="4"/>
        <v>Active</v>
      </c>
      <c r="S510" s="90">
        <v>45547.0</v>
      </c>
      <c r="T510" s="79">
        <f t="shared" si="5"/>
        <v>37.53333333</v>
      </c>
      <c r="U510" s="90">
        <v>46225.0</v>
      </c>
      <c r="V510" s="79">
        <f t="shared" ref="V510:V511" si="39">MONTHDUR(E510,U510)</f>
        <v>59.86666667</v>
      </c>
    </row>
    <row r="511">
      <c r="A511" s="53" t="s">
        <v>1538</v>
      </c>
      <c r="B511" s="54" t="s">
        <v>35</v>
      </c>
      <c r="C511" s="54" t="s">
        <v>100</v>
      </c>
      <c r="D511" s="59" t="str">
        <f t="shared" si="19"/>
        <v>Active</v>
      </c>
      <c r="E511" s="88">
        <v>44399.0</v>
      </c>
      <c r="F511" s="187"/>
      <c r="G511" s="65">
        <f t="shared" si="2"/>
        <v>62.46666667</v>
      </c>
      <c r="H511" s="88">
        <v>37536.0</v>
      </c>
      <c r="I511" s="65">
        <f t="shared" si="3"/>
        <v>18.79166667</v>
      </c>
      <c r="J511" s="121">
        <v>71.0</v>
      </c>
      <c r="K511" s="121">
        <v>10.0</v>
      </c>
      <c r="L511" s="69" t="s">
        <v>105</v>
      </c>
      <c r="M511" s="69"/>
      <c r="N511" s="69" t="s">
        <v>73</v>
      </c>
      <c r="O511" s="69" t="s">
        <v>1219</v>
      </c>
      <c r="P511" s="122"/>
      <c r="Q511" s="69" t="s">
        <v>1745</v>
      </c>
      <c r="R511" s="59" t="str">
        <f t="shared" si="4"/>
        <v>Active</v>
      </c>
      <c r="S511" s="88">
        <v>45547.0</v>
      </c>
      <c r="T511" s="65">
        <f t="shared" si="5"/>
        <v>37.66666667</v>
      </c>
      <c r="U511" s="88">
        <v>46225.0</v>
      </c>
      <c r="V511" s="65">
        <f t="shared" si="39"/>
        <v>60</v>
      </c>
    </row>
    <row r="512">
      <c r="A512" s="74" t="s">
        <v>1746</v>
      </c>
      <c r="B512" s="75" t="s">
        <v>129</v>
      </c>
      <c r="C512" s="75"/>
      <c r="D512" s="76" t="str">
        <f t="shared" si="19"/>
        <v>Active</v>
      </c>
      <c r="E512" s="90">
        <v>44385.0</v>
      </c>
      <c r="F512" s="198"/>
      <c r="G512" s="79">
        <f t="shared" si="2"/>
        <v>62.93333333</v>
      </c>
      <c r="H512" s="90">
        <v>44057.0</v>
      </c>
      <c r="I512" s="79">
        <f t="shared" si="3"/>
        <v>0.9</v>
      </c>
      <c r="J512" s="106">
        <v>82.0</v>
      </c>
      <c r="K512" s="106">
        <v>12.0</v>
      </c>
      <c r="L512" s="82" t="s">
        <v>62</v>
      </c>
      <c r="M512" s="82" t="s">
        <v>1747</v>
      </c>
      <c r="N512" s="82"/>
      <c r="O512" s="82" t="s">
        <v>328</v>
      </c>
      <c r="P512" s="107" t="s">
        <v>1748</v>
      </c>
      <c r="Q512" s="82"/>
      <c r="R512" s="76" t="str">
        <f t="shared" si="4"/>
        <v>Active</v>
      </c>
      <c r="S512" s="90">
        <v>45547.0</v>
      </c>
      <c r="T512" s="79">
        <f t="shared" si="5"/>
        <v>38.13333333</v>
      </c>
      <c r="U512" s="90"/>
      <c r="V512" s="79"/>
    </row>
    <row r="513">
      <c r="A513" s="53" t="s">
        <v>1749</v>
      </c>
      <c r="B513" s="54" t="s">
        <v>35</v>
      </c>
      <c r="C513" s="54" t="s">
        <v>36</v>
      </c>
      <c r="D513" s="59" t="str">
        <f t="shared" si="19"/>
        <v>Active</v>
      </c>
      <c r="E513" s="88">
        <v>44378.0</v>
      </c>
      <c r="F513" s="187"/>
      <c r="G513" s="65">
        <f t="shared" si="2"/>
        <v>63.16666667</v>
      </c>
      <c r="H513" s="88">
        <v>41880.0</v>
      </c>
      <c r="I513" s="65">
        <f t="shared" si="3"/>
        <v>6.838888889</v>
      </c>
      <c r="J513" s="121">
        <v>67.0</v>
      </c>
      <c r="K513" s="121">
        <v>3.5</v>
      </c>
      <c r="L513" s="69" t="s">
        <v>1750</v>
      </c>
      <c r="M513" s="69"/>
      <c r="N513" s="69" t="s">
        <v>1657</v>
      </c>
      <c r="O513" s="69" t="s">
        <v>1168</v>
      </c>
      <c r="P513" s="122" t="s">
        <v>1751</v>
      </c>
      <c r="Q513" s="69"/>
      <c r="R513" s="59" t="str">
        <f t="shared" si="4"/>
        <v>Active</v>
      </c>
      <c r="S513" s="88">
        <v>45547.0</v>
      </c>
      <c r="T513" s="65">
        <f t="shared" si="5"/>
        <v>38.36666667</v>
      </c>
      <c r="U513" s="88">
        <v>45183.0</v>
      </c>
      <c r="V513" s="65">
        <f>MONTHDUR(E513,U513)</f>
        <v>26.43333333</v>
      </c>
    </row>
    <row r="514">
      <c r="A514" s="74" t="s">
        <v>1752</v>
      </c>
      <c r="B514" s="75" t="s">
        <v>35</v>
      </c>
      <c r="C514" s="75" t="s">
        <v>100</v>
      </c>
      <c r="D514" s="76" t="str">
        <f t="shared" si="19"/>
        <v>Active</v>
      </c>
      <c r="E514" s="90">
        <v>44371.0</v>
      </c>
      <c r="F514" s="105"/>
      <c r="G514" s="79">
        <f t="shared" si="2"/>
        <v>63.4</v>
      </c>
      <c r="H514" s="90">
        <v>44141.0</v>
      </c>
      <c r="I514" s="79">
        <f t="shared" si="3"/>
        <v>0.6333333333</v>
      </c>
      <c r="J514" s="106">
        <f>(75+77)/2</f>
        <v>76</v>
      </c>
      <c r="K514" s="106">
        <v>15.5</v>
      </c>
      <c r="L514" s="82" t="s">
        <v>55</v>
      </c>
      <c r="M514" s="82"/>
      <c r="N514" s="82"/>
      <c r="O514" s="82" t="s">
        <v>1168</v>
      </c>
      <c r="P514" s="107" t="s">
        <v>1753</v>
      </c>
      <c r="Q514" s="82"/>
      <c r="R514" s="76" t="str">
        <f t="shared" si="4"/>
        <v>Active</v>
      </c>
      <c r="S514" s="90">
        <v>45547.0</v>
      </c>
      <c r="T514" s="79">
        <f t="shared" si="5"/>
        <v>38.6</v>
      </c>
      <c r="U514" s="90"/>
      <c r="V514" s="79"/>
    </row>
    <row r="515">
      <c r="A515" s="53" t="s">
        <v>1754</v>
      </c>
      <c r="B515" s="54" t="s">
        <v>35</v>
      </c>
      <c r="C515" s="54" t="s">
        <v>36</v>
      </c>
      <c r="D515" s="59" t="str">
        <f t="shared" si="19"/>
        <v>Active</v>
      </c>
      <c r="E515" s="88">
        <v>44364.0</v>
      </c>
      <c r="F515" s="187"/>
      <c r="G515" s="65">
        <f t="shared" si="2"/>
        <v>63.63333333</v>
      </c>
      <c r="H515" s="88">
        <v>44091.0</v>
      </c>
      <c r="I515" s="65">
        <f t="shared" si="3"/>
        <v>0.75</v>
      </c>
      <c r="J515" s="121">
        <v>73.0</v>
      </c>
      <c r="K515" s="121">
        <v>29.5</v>
      </c>
      <c r="L515" s="69" t="s">
        <v>46</v>
      </c>
      <c r="M515" s="69"/>
      <c r="N515" s="69" t="s">
        <v>1755</v>
      </c>
      <c r="O515" s="69" t="s">
        <v>328</v>
      </c>
      <c r="P515" s="122" t="s">
        <v>1756</v>
      </c>
      <c r="Q515" s="69"/>
      <c r="R515" s="59" t="str">
        <f t="shared" si="4"/>
        <v>Active</v>
      </c>
      <c r="S515" s="88">
        <v>45547.0</v>
      </c>
      <c r="T515" s="65">
        <f t="shared" si="5"/>
        <v>38.83333333</v>
      </c>
      <c r="U515" s="88"/>
      <c r="V515" s="65"/>
    </row>
    <row r="516">
      <c r="A516" s="74" t="s">
        <v>1539</v>
      </c>
      <c r="B516" s="75" t="s">
        <v>13</v>
      </c>
      <c r="C516" s="75"/>
      <c r="D516" s="76" t="str">
        <f t="shared" si="19"/>
        <v>Active</v>
      </c>
      <c r="E516" s="90">
        <v>44360.0</v>
      </c>
      <c r="F516" s="198"/>
      <c r="G516" s="79">
        <f t="shared" si="2"/>
        <v>63.76666667</v>
      </c>
      <c r="H516" s="90">
        <v>37571.0</v>
      </c>
      <c r="I516" s="79">
        <f t="shared" si="3"/>
        <v>18.58888889</v>
      </c>
      <c r="J516" s="106">
        <v>77.0</v>
      </c>
      <c r="K516" s="106">
        <v>20.0</v>
      </c>
      <c r="L516" s="82" t="s">
        <v>46</v>
      </c>
      <c r="M516" s="82"/>
      <c r="N516" s="82" t="s">
        <v>1757</v>
      </c>
      <c r="O516" s="82" t="s">
        <v>107</v>
      </c>
      <c r="P516" s="107" t="s">
        <v>1758</v>
      </c>
      <c r="Q516" s="82"/>
      <c r="R516" s="102" t="str">
        <f t="shared" si="4"/>
        <v>Active</v>
      </c>
      <c r="S516" s="112">
        <v>45931.0</v>
      </c>
      <c r="T516" s="79">
        <f t="shared" si="5"/>
        <v>51.6</v>
      </c>
      <c r="U516" s="112"/>
      <c r="V516" s="79"/>
    </row>
    <row r="517">
      <c r="A517" s="53" t="s">
        <v>1541</v>
      </c>
      <c r="B517" s="54" t="s">
        <v>35</v>
      </c>
      <c r="C517" s="54" t="s">
        <v>36</v>
      </c>
      <c r="D517" s="59" t="str">
        <f t="shared" si="19"/>
        <v>Active</v>
      </c>
      <c r="E517" s="88">
        <v>44360.0</v>
      </c>
      <c r="F517" s="187"/>
      <c r="G517" s="65">
        <f t="shared" si="2"/>
        <v>63.76666667</v>
      </c>
      <c r="H517" s="88">
        <v>42993.0</v>
      </c>
      <c r="I517" s="65">
        <f t="shared" si="3"/>
        <v>3.744444444</v>
      </c>
      <c r="J517" s="121">
        <f>(81+84)/2</f>
        <v>82.5</v>
      </c>
      <c r="K517" s="121">
        <v>6.5</v>
      </c>
      <c r="L517" s="69" t="s">
        <v>41</v>
      </c>
      <c r="M517" s="69" t="s">
        <v>1747</v>
      </c>
      <c r="N517" s="69"/>
      <c r="O517" s="69" t="s">
        <v>107</v>
      </c>
      <c r="P517" s="122" t="s">
        <v>1759</v>
      </c>
      <c r="Q517" s="69"/>
      <c r="R517" s="59" t="str">
        <f t="shared" si="4"/>
        <v>Active</v>
      </c>
      <c r="S517" s="88">
        <v>45547.0</v>
      </c>
      <c r="T517" s="65">
        <f t="shared" si="5"/>
        <v>38.96666667</v>
      </c>
      <c r="U517" s="88"/>
      <c r="V517" s="65"/>
    </row>
    <row r="518">
      <c r="A518" s="74" t="s">
        <v>1542</v>
      </c>
      <c r="B518" s="75" t="s">
        <v>13</v>
      </c>
      <c r="C518" s="75"/>
      <c r="D518" s="76" t="str">
        <f t="shared" si="19"/>
        <v>Active</v>
      </c>
      <c r="E518" s="90">
        <v>44360.0</v>
      </c>
      <c r="F518" s="198"/>
      <c r="G518" s="79">
        <f t="shared" si="2"/>
        <v>63.76666667</v>
      </c>
      <c r="H518" s="90">
        <v>35703.0</v>
      </c>
      <c r="I518" s="79">
        <f t="shared" si="3"/>
        <v>23.70277778</v>
      </c>
      <c r="J518" s="106">
        <v>89.0</v>
      </c>
      <c r="K518" s="106">
        <v>16.0</v>
      </c>
      <c r="L518" s="82" t="s">
        <v>46</v>
      </c>
      <c r="M518" s="82"/>
      <c r="N518" s="82" t="s">
        <v>1757</v>
      </c>
      <c r="O518" s="82" t="s">
        <v>107</v>
      </c>
      <c r="P518" s="107" t="s">
        <v>1760</v>
      </c>
      <c r="Q518" s="82"/>
      <c r="R518" s="102" t="str">
        <f t="shared" si="4"/>
        <v>Active</v>
      </c>
      <c r="S518" s="112">
        <v>45931.0</v>
      </c>
      <c r="T518" s="79">
        <f t="shared" si="5"/>
        <v>51.6</v>
      </c>
      <c r="U518" s="112"/>
      <c r="V518" s="79"/>
    </row>
    <row r="519">
      <c r="A519" s="53" t="s">
        <v>1543</v>
      </c>
      <c r="B519" s="54" t="s">
        <v>13</v>
      </c>
      <c r="C519" s="54"/>
      <c r="D519" s="59" t="str">
        <f t="shared" si="19"/>
        <v>Active</v>
      </c>
      <c r="E519" s="88">
        <v>44360.0</v>
      </c>
      <c r="F519" s="187"/>
      <c r="G519" s="65">
        <f t="shared" si="2"/>
        <v>63.76666667</v>
      </c>
      <c r="H519" s="88">
        <v>36068.0</v>
      </c>
      <c r="I519" s="65">
        <f t="shared" si="3"/>
        <v>22.70277778</v>
      </c>
      <c r="J519" s="121">
        <v>86.0</v>
      </c>
      <c r="K519" s="121">
        <v>30.5</v>
      </c>
      <c r="L519" s="69" t="s">
        <v>46</v>
      </c>
      <c r="M519" s="69"/>
      <c r="N519" s="69" t="s">
        <v>1757</v>
      </c>
      <c r="O519" s="69" t="s">
        <v>107</v>
      </c>
      <c r="P519" s="122" t="s">
        <v>1761</v>
      </c>
      <c r="Q519" s="69"/>
      <c r="R519" s="104" t="str">
        <f t="shared" si="4"/>
        <v>Active</v>
      </c>
      <c r="S519" s="98">
        <v>45931.0</v>
      </c>
      <c r="T519" s="65">
        <f t="shared" si="5"/>
        <v>51.6</v>
      </c>
      <c r="U519" s="98"/>
      <c r="V519" s="65"/>
    </row>
    <row r="520">
      <c r="A520" s="74" t="s">
        <v>1544</v>
      </c>
      <c r="B520" s="75" t="s">
        <v>13</v>
      </c>
      <c r="C520" s="75"/>
      <c r="D520" s="76" t="str">
        <f t="shared" si="19"/>
        <v>Active</v>
      </c>
      <c r="E520" s="90">
        <v>44360.0</v>
      </c>
      <c r="F520" s="198"/>
      <c r="G520" s="79">
        <f t="shared" si="2"/>
        <v>63.76666667</v>
      </c>
      <c r="H520" s="90">
        <v>36964.0</v>
      </c>
      <c r="I520" s="79">
        <f t="shared" si="3"/>
        <v>20.24722222</v>
      </c>
      <c r="J520" s="106">
        <v>82.0</v>
      </c>
      <c r="K520" s="106">
        <v>31.0</v>
      </c>
      <c r="L520" s="82" t="s">
        <v>46</v>
      </c>
      <c r="M520" s="82"/>
      <c r="N520" s="82" t="s">
        <v>1757</v>
      </c>
      <c r="O520" s="82" t="s">
        <v>107</v>
      </c>
      <c r="P520" s="107" t="s">
        <v>1762</v>
      </c>
      <c r="Q520" s="82"/>
      <c r="R520" s="102" t="str">
        <f t="shared" si="4"/>
        <v>Active</v>
      </c>
      <c r="S520" s="112">
        <v>45931.0</v>
      </c>
      <c r="T520" s="79">
        <f t="shared" si="5"/>
        <v>51.6</v>
      </c>
      <c r="U520" s="112"/>
      <c r="V520" s="79"/>
    </row>
    <row r="521">
      <c r="A521" s="53" t="s">
        <v>1545</v>
      </c>
      <c r="B521" s="54" t="s">
        <v>35</v>
      </c>
      <c r="C521" s="54" t="s">
        <v>36</v>
      </c>
      <c r="D521" s="59" t="str">
        <f t="shared" si="19"/>
        <v>Active</v>
      </c>
      <c r="E521" s="88">
        <v>44360.0</v>
      </c>
      <c r="F521" s="187"/>
      <c r="G521" s="65">
        <f t="shared" si="2"/>
        <v>63.76666667</v>
      </c>
      <c r="H521" s="88">
        <v>43021.0</v>
      </c>
      <c r="I521" s="65">
        <f t="shared" si="3"/>
        <v>3.666666667</v>
      </c>
      <c r="J521" s="121">
        <f>(80+82)/2</f>
        <v>81</v>
      </c>
      <c r="K521" s="121">
        <v>13.5</v>
      </c>
      <c r="L521" s="69" t="s">
        <v>37</v>
      </c>
      <c r="M521" s="69" t="s">
        <v>1747</v>
      </c>
      <c r="N521" s="69"/>
      <c r="O521" s="69" t="s">
        <v>107</v>
      </c>
      <c r="P521" s="122" t="s">
        <v>1763</v>
      </c>
      <c r="Q521" s="69"/>
      <c r="R521" s="59" t="str">
        <f t="shared" si="4"/>
        <v>Active</v>
      </c>
      <c r="S521" s="88">
        <v>45547.0</v>
      </c>
      <c r="T521" s="65">
        <f t="shared" si="5"/>
        <v>38.96666667</v>
      </c>
      <c r="U521" s="88"/>
      <c r="V521" s="65"/>
    </row>
    <row r="522">
      <c r="A522" s="74" t="s">
        <v>1764</v>
      </c>
      <c r="B522" s="75" t="s">
        <v>35</v>
      </c>
      <c r="C522" s="75" t="s">
        <v>36</v>
      </c>
      <c r="D522" s="76" t="str">
        <f t="shared" si="19"/>
        <v>Active</v>
      </c>
      <c r="E522" s="90">
        <v>44350.0</v>
      </c>
      <c r="F522" s="198"/>
      <c r="G522" s="79">
        <f t="shared" si="2"/>
        <v>64.1</v>
      </c>
      <c r="H522" s="90">
        <v>43083.0</v>
      </c>
      <c r="I522" s="79">
        <f t="shared" si="3"/>
        <v>3.469444444</v>
      </c>
      <c r="J522" s="106">
        <f>average(76,79)</f>
        <v>77.5</v>
      </c>
      <c r="K522" s="106">
        <v>7.0</v>
      </c>
      <c r="L522" s="82" t="s">
        <v>105</v>
      </c>
      <c r="M522" s="82" t="s">
        <v>326</v>
      </c>
      <c r="N522" s="82" t="s">
        <v>1765</v>
      </c>
      <c r="O522" s="82" t="s">
        <v>107</v>
      </c>
      <c r="P522" s="107" t="s">
        <v>1766</v>
      </c>
      <c r="Q522" s="82"/>
      <c r="R522" s="76" t="str">
        <f t="shared" si="4"/>
        <v>Active</v>
      </c>
      <c r="S522" s="90">
        <v>45547.0</v>
      </c>
      <c r="T522" s="79">
        <f t="shared" si="5"/>
        <v>39.3</v>
      </c>
      <c r="U522" s="90"/>
      <c r="V522" s="79"/>
    </row>
    <row r="523">
      <c r="A523" s="53" t="s">
        <v>1767</v>
      </c>
      <c r="B523" s="54" t="s">
        <v>35</v>
      </c>
      <c r="C523" s="54" t="s">
        <v>36</v>
      </c>
      <c r="D523" s="59" t="str">
        <f t="shared" si="19"/>
        <v>Active</v>
      </c>
      <c r="E523" s="88">
        <v>44334.0</v>
      </c>
      <c r="F523" s="187"/>
      <c r="G523" s="65">
        <f t="shared" si="2"/>
        <v>64.6</v>
      </c>
      <c r="H523" s="88">
        <v>43949.0</v>
      </c>
      <c r="I523" s="65">
        <f t="shared" si="3"/>
        <v>1.055555556</v>
      </c>
      <c r="J523" s="121">
        <v>81.0</v>
      </c>
      <c r="K523" s="121">
        <v>90.0</v>
      </c>
      <c r="L523" s="69" t="s">
        <v>55</v>
      </c>
      <c r="M523" s="69"/>
      <c r="N523" s="69"/>
      <c r="O523" s="69" t="s">
        <v>1219</v>
      </c>
      <c r="P523" s="122"/>
      <c r="Q523" s="69"/>
      <c r="R523" s="59" t="str">
        <f t="shared" si="4"/>
        <v>Active</v>
      </c>
      <c r="S523" s="88">
        <v>45547.0</v>
      </c>
      <c r="T523" s="65">
        <f t="shared" si="5"/>
        <v>39.8</v>
      </c>
      <c r="U523" s="88"/>
      <c r="V523" s="65"/>
    </row>
    <row r="524">
      <c r="A524" s="74" t="s">
        <v>1547</v>
      </c>
      <c r="B524" s="75" t="s">
        <v>35</v>
      </c>
      <c r="C524" s="75" t="s">
        <v>100</v>
      </c>
      <c r="D524" s="76" t="str">
        <f t="shared" si="19"/>
        <v>Active</v>
      </c>
      <c r="E524" s="90">
        <v>44329.0</v>
      </c>
      <c r="F524" s="198"/>
      <c r="G524" s="79">
        <f t="shared" si="2"/>
        <v>64.76666667</v>
      </c>
      <c r="H524" s="90">
        <v>38461.0</v>
      </c>
      <c r="I524" s="79">
        <f t="shared" si="3"/>
        <v>16.06666667</v>
      </c>
      <c r="J524" s="106">
        <f>(87+88)/2</f>
        <v>87.5</v>
      </c>
      <c r="K524" s="106">
        <v>12.5</v>
      </c>
      <c r="L524" s="82" t="s">
        <v>57</v>
      </c>
      <c r="M524" s="82"/>
      <c r="N524" s="82" t="s">
        <v>1757</v>
      </c>
      <c r="O524" s="82" t="s">
        <v>328</v>
      </c>
      <c r="P524" s="107" t="s">
        <v>1768</v>
      </c>
      <c r="Q524" s="82" t="s">
        <v>1745</v>
      </c>
      <c r="R524" s="76" t="str">
        <f t="shared" si="4"/>
        <v>Active</v>
      </c>
      <c r="S524" s="90">
        <v>45547.0</v>
      </c>
      <c r="T524" s="79">
        <f t="shared" si="5"/>
        <v>39.96666667</v>
      </c>
      <c r="U524" s="90"/>
      <c r="V524" s="79"/>
    </row>
    <row r="525">
      <c r="A525" s="53" t="s">
        <v>1769</v>
      </c>
      <c r="B525" s="54" t="s">
        <v>35</v>
      </c>
      <c r="C525" s="54" t="s">
        <v>371</v>
      </c>
      <c r="D525" s="59" t="str">
        <f t="shared" si="19"/>
        <v>Active</v>
      </c>
      <c r="E525" s="88">
        <v>44294.0</v>
      </c>
      <c r="F525" s="187"/>
      <c r="G525" s="65">
        <f t="shared" si="2"/>
        <v>65.93333333</v>
      </c>
      <c r="H525" s="88">
        <v>43865.0</v>
      </c>
      <c r="I525" s="65">
        <f t="shared" si="3"/>
        <v>1.177777778</v>
      </c>
      <c r="J525" s="121">
        <f>(74+77)/2</f>
        <v>75.5</v>
      </c>
      <c r="K525" s="121">
        <v>11.5</v>
      </c>
      <c r="L525" s="69" t="s">
        <v>37</v>
      </c>
      <c r="M525" s="69" t="s">
        <v>326</v>
      </c>
      <c r="N525" s="69"/>
      <c r="O525" s="69" t="s">
        <v>107</v>
      </c>
      <c r="P525" s="122" t="s">
        <v>1770</v>
      </c>
      <c r="Q525" s="69"/>
      <c r="R525" s="59" t="str">
        <f t="shared" si="4"/>
        <v>Active</v>
      </c>
      <c r="S525" s="88">
        <v>45547.0</v>
      </c>
      <c r="T525" s="65">
        <f t="shared" si="5"/>
        <v>41.13333333</v>
      </c>
      <c r="U525" s="88"/>
      <c r="V525" s="65"/>
    </row>
    <row r="526">
      <c r="A526" s="74" t="s">
        <v>1771</v>
      </c>
      <c r="B526" s="75" t="s">
        <v>35</v>
      </c>
      <c r="C526" s="75" t="s">
        <v>100</v>
      </c>
      <c r="D526" s="76" t="str">
        <f t="shared" si="19"/>
        <v>Active</v>
      </c>
      <c r="E526" s="90">
        <v>44280.0</v>
      </c>
      <c r="F526" s="198"/>
      <c r="G526" s="79">
        <f t="shared" si="2"/>
        <v>66.36666667</v>
      </c>
      <c r="H526" s="90">
        <v>44280.0</v>
      </c>
      <c r="I526" s="79">
        <f t="shared" si="3"/>
        <v>0</v>
      </c>
      <c r="J526" s="106">
        <f>(77+81)/2</f>
        <v>79</v>
      </c>
      <c r="K526" s="106">
        <v>4.5</v>
      </c>
      <c r="L526" s="82" t="s">
        <v>135</v>
      </c>
      <c r="M526" s="82"/>
      <c r="N526" s="82"/>
      <c r="O526" s="82" t="s">
        <v>328</v>
      </c>
      <c r="P526" s="107" t="s">
        <v>1772</v>
      </c>
      <c r="Q526" s="82"/>
      <c r="R526" s="76" t="str">
        <f t="shared" si="4"/>
        <v>Active</v>
      </c>
      <c r="S526" s="90">
        <v>45547.0</v>
      </c>
      <c r="T526" s="79">
        <f t="shared" si="5"/>
        <v>41.56666667</v>
      </c>
      <c r="U526" s="90"/>
      <c r="V526" s="79"/>
    </row>
    <row r="527">
      <c r="A527" s="53" t="s">
        <v>1773</v>
      </c>
      <c r="B527" s="54" t="s">
        <v>13</v>
      </c>
      <c r="C527" s="54"/>
      <c r="D527" s="59" t="str">
        <f t="shared" si="19"/>
        <v>Active</v>
      </c>
      <c r="E527" s="88">
        <v>44273.0</v>
      </c>
      <c r="F527" s="120"/>
      <c r="G527" s="65">
        <f t="shared" si="2"/>
        <v>66.6</v>
      </c>
      <c r="H527" s="88">
        <v>43987.0</v>
      </c>
      <c r="I527" s="65">
        <f t="shared" si="3"/>
        <v>0.7861111111</v>
      </c>
      <c r="J527" s="121">
        <v>82.0</v>
      </c>
      <c r="K527" s="121">
        <v>29.5</v>
      </c>
      <c r="L527" s="69" t="s">
        <v>37</v>
      </c>
      <c r="M527" s="69"/>
      <c r="N527" s="69"/>
      <c r="O527" s="69" t="s">
        <v>328</v>
      </c>
      <c r="P527" s="122" t="s">
        <v>1774</v>
      </c>
      <c r="Q527" s="69"/>
      <c r="R527" s="59" t="str">
        <f t="shared" si="4"/>
        <v>TBD</v>
      </c>
      <c r="S527" s="88"/>
      <c r="T527" s="65">
        <f t="shared" si="5"/>
        <v>66.6</v>
      </c>
      <c r="U527" s="88"/>
      <c r="V527" s="65"/>
    </row>
    <row r="528">
      <c r="A528" s="74" t="s">
        <v>1775</v>
      </c>
      <c r="B528" s="75" t="s">
        <v>13</v>
      </c>
      <c r="C528" s="75"/>
      <c r="D528" s="76" t="str">
        <f t="shared" si="19"/>
        <v>Active</v>
      </c>
      <c r="E528" s="90">
        <v>44273.0</v>
      </c>
      <c r="F528" s="105"/>
      <c r="G528" s="79">
        <f t="shared" si="2"/>
        <v>66.6</v>
      </c>
      <c r="H528" s="90">
        <v>35607.0</v>
      </c>
      <c r="I528" s="79">
        <f t="shared" si="3"/>
        <v>23.72777778</v>
      </c>
      <c r="J528" s="189">
        <f t="shared" ref="J528:J529" si="40">8.8*10</f>
        <v>88</v>
      </c>
      <c r="K528" s="106">
        <v>15.0</v>
      </c>
      <c r="L528" s="82" t="s">
        <v>46</v>
      </c>
      <c r="M528" s="82"/>
      <c r="N528" s="82"/>
      <c r="O528" s="82" t="s">
        <v>107</v>
      </c>
      <c r="P528" s="107" t="s">
        <v>1776</v>
      </c>
      <c r="Q528" s="82"/>
      <c r="R528" s="76" t="str">
        <f t="shared" si="4"/>
        <v>TBD</v>
      </c>
      <c r="S528" s="90"/>
      <c r="T528" s="79">
        <f t="shared" si="5"/>
        <v>66.6</v>
      </c>
      <c r="U528" s="90"/>
      <c r="V528" s="79"/>
    </row>
    <row r="529">
      <c r="A529" s="53" t="s">
        <v>1777</v>
      </c>
      <c r="B529" s="54" t="s">
        <v>13</v>
      </c>
      <c r="C529" s="54"/>
      <c r="D529" s="59" t="str">
        <f t="shared" si="19"/>
        <v>Active</v>
      </c>
      <c r="E529" s="88">
        <v>44273.0</v>
      </c>
      <c r="F529" s="120"/>
      <c r="G529" s="65">
        <f t="shared" si="2"/>
        <v>66.6</v>
      </c>
      <c r="H529" s="88">
        <v>36341.0</v>
      </c>
      <c r="I529" s="65">
        <f t="shared" si="3"/>
        <v>21.71666667</v>
      </c>
      <c r="J529" s="227">
        <f t="shared" si="40"/>
        <v>88</v>
      </c>
      <c r="K529" s="121">
        <v>17.5</v>
      </c>
      <c r="L529" s="69" t="s">
        <v>81</v>
      </c>
      <c r="M529" s="69"/>
      <c r="N529" s="69"/>
      <c r="O529" s="69" t="s">
        <v>107</v>
      </c>
      <c r="P529" s="122" t="s">
        <v>1778</v>
      </c>
      <c r="Q529" s="69"/>
      <c r="R529" s="59" t="str">
        <f t="shared" si="4"/>
        <v>TBD</v>
      </c>
      <c r="S529" s="88"/>
      <c r="T529" s="65">
        <f t="shared" si="5"/>
        <v>66.6</v>
      </c>
      <c r="U529" s="88"/>
      <c r="V529" s="65"/>
    </row>
    <row r="530">
      <c r="A530" s="74" t="s">
        <v>1779</v>
      </c>
      <c r="B530" s="75" t="s">
        <v>13</v>
      </c>
      <c r="C530" s="75"/>
      <c r="D530" s="76" t="str">
        <f t="shared" si="19"/>
        <v>Active</v>
      </c>
      <c r="E530" s="90">
        <v>44273.0</v>
      </c>
      <c r="F530" s="105"/>
      <c r="G530" s="79">
        <f t="shared" si="2"/>
        <v>66.6</v>
      </c>
      <c r="H530" s="90">
        <v>38454.0</v>
      </c>
      <c r="I530" s="79">
        <f t="shared" si="3"/>
        <v>15.93333333</v>
      </c>
      <c r="J530" s="106">
        <v>81.0</v>
      </c>
      <c r="K530" s="106">
        <v>15.0</v>
      </c>
      <c r="L530" s="82" t="s">
        <v>46</v>
      </c>
      <c r="M530" s="82"/>
      <c r="N530" s="82"/>
      <c r="O530" s="82" t="s">
        <v>107</v>
      </c>
      <c r="P530" s="107" t="s">
        <v>1780</v>
      </c>
      <c r="Q530" s="82"/>
      <c r="R530" s="76" t="str">
        <f t="shared" si="4"/>
        <v>TBD</v>
      </c>
      <c r="S530" s="90"/>
      <c r="T530" s="79">
        <f t="shared" si="5"/>
        <v>66.6</v>
      </c>
      <c r="U530" s="90"/>
      <c r="V530" s="79"/>
    </row>
    <row r="531">
      <c r="A531" s="53" t="s">
        <v>1781</v>
      </c>
      <c r="B531" s="54" t="s">
        <v>13</v>
      </c>
      <c r="C531" s="54"/>
      <c r="D531" s="59" t="str">
        <f t="shared" si="19"/>
        <v>Active</v>
      </c>
      <c r="E531" s="88">
        <v>44273.0</v>
      </c>
      <c r="F531" s="120"/>
      <c r="G531" s="65">
        <f t="shared" si="2"/>
        <v>66.6</v>
      </c>
      <c r="H531" s="88">
        <v>37276.0</v>
      </c>
      <c r="I531" s="65">
        <f t="shared" si="3"/>
        <v>19.16111111</v>
      </c>
      <c r="J531" s="121">
        <v>91.0</v>
      </c>
      <c r="K531" s="121">
        <v>27.0</v>
      </c>
      <c r="L531" s="69" t="s">
        <v>37</v>
      </c>
      <c r="M531" s="69"/>
      <c r="N531" s="69"/>
      <c r="O531" s="69" t="s">
        <v>328</v>
      </c>
      <c r="P531" s="122" t="s">
        <v>1378</v>
      </c>
      <c r="Q531" s="69"/>
      <c r="R531" s="59" t="str">
        <f t="shared" si="4"/>
        <v>TBD</v>
      </c>
      <c r="S531" s="88"/>
      <c r="T531" s="65">
        <f t="shared" si="5"/>
        <v>66.6</v>
      </c>
      <c r="U531" s="88"/>
      <c r="V531" s="65"/>
    </row>
    <row r="532">
      <c r="A532" s="74" t="s">
        <v>1782</v>
      </c>
      <c r="B532" s="75" t="s">
        <v>13</v>
      </c>
      <c r="C532" s="75"/>
      <c r="D532" s="76" t="str">
        <f t="shared" si="19"/>
        <v>Active</v>
      </c>
      <c r="E532" s="90">
        <v>44273.0</v>
      </c>
      <c r="F532" s="105"/>
      <c r="G532" s="79">
        <f t="shared" si="2"/>
        <v>66.6</v>
      </c>
      <c r="H532" s="90">
        <v>41212.0</v>
      </c>
      <c r="I532" s="79">
        <f t="shared" si="3"/>
        <v>8.383333333</v>
      </c>
      <c r="J532" s="106">
        <v>78.0</v>
      </c>
      <c r="K532" s="106">
        <v>10.0</v>
      </c>
      <c r="L532" s="82" t="s">
        <v>55</v>
      </c>
      <c r="M532" s="82"/>
      <c r="N532" s="82"/>
      <c r="O532" s="82" t="s">
        <v>1168</v>
      </c>
      <c r="P532" s="107" t="s">
        <v>1783</v>
      </c>
      <c r="Q532" s="82"/>
      <c r="R532" s="76" t="str">
        <f t="shared" si="4"/>
        <v>TBD</v>
      </c>
      <c r="S532" s="90"/>
      <c r="T532" s="79">
        <f t="shared" si="5"/>
        <v>66.6</v>
      </c>
      <c r="U532" s="90"/>
      <c r="V532" s="79"/>
    </row>
    <row r="533">
      <c r="A533" s="53" t="s">
        <v>1784</v>
      </c>
      <c r="B533" s="54" t="s">
        <v>13</v>
      </c>
      <c r="C533" s="54"/>
      <c r="D533" s="59" t="str">
        <f t="shared" si="19"/>
        <v>Active</v>
      </c>
      <c r="E533" s="88">
        <v>44273.0</v>
      </c>
      <c r="F533" s="120"/>
      <c r="G533" s="65">
        <f t="shared" si="2"/>
        <v>66.6</v>
      </c>
      <c r="H533" s="88">
        <v>32509.0</v>
      </c>
      <c r="I533" s="65">
        <f t="shared" si="3"/>
        <v>32.21388889</v>
      </c>
      <c r="J533" s="227">
        <f>8.9*10</f>
        <v>89</v>
      </c>
      <c r="K533" s="121">
        <v>13.0</v>
      </c>
      <c r="L533" s="69" t="s">
        <v>81</v>
      </c>
      <c r="M533" s="69"/>
      <c r="N533" s="69"/>
      <c r="O533" s="69" t="s">
        <v>328</v>
      </c>
      <c r="P533" s="122" t="s">
        <v>1378</v>
      </c>
      <c r="Q533" s="69"/>
      <c r="R533" s="59" t="str">
        <f t="shared" si="4"/>
        <v>TBD</v>
      </c>
      <c r="S533" s="88"/>
      <c r="T533" s="65">
        <f t="shared" si="5"/>
        <v>66.6</v>
      </c>
      <c r="U533" s="88"/>
      <c r="V533" s="65"/>
    </row>
    <row r="534">
      <c r="A534" s="74" t="s">
        <v>1785</v>
      </c>
      <c r="B534" s="75" t="s">
        <v>13</v>
      </c>
      <c r="C534" s="75"/>
      <c r="D534" s="76" t="str">
        <f t="shared" si="19"/>
        <v>Active</v>
      </c>
      <c r="E534" s="90">
        <v>44273.0</v>
      </c>
      <c r="F534" s="105"/>
      <c r="G534" s="79">
        <f t="shared" si="2"/>
        <v>66.6</v>
      </c>
      <c r="H534" s="90">
        <v>33481.0</v>
      </c>
      <c r="I534" s="79">
        <f t="shared" si="3"/>
        <v>29.55</v>
      </c>
      <c r="J534" s="106">
        <v>80.0</v>
      </c>
      <c r="K534" s="106">
        <v>12.0</v>
      </c>
      <c r="L534" s="82" t="s">
        <v>81</v>
      </c>
      <c r="M534" s="82"/>
      <c r="N534" s="82"/>
      <c r="O534" s="82" t="s">
        <v>328</v>
      </c>
      <c r="P534" s="107" t="s">
        <v>1786</v>
      </c>
      <c r="Q534" s="82"/>
      <c r="R534" s="76" t="str">
        <f t="shared" si="4"/>
        <v>TBD</v>
      </c>
      <c r="S534" s="90"/>
      <c r="T534" s="79">
        <f t="shared" si="5"/>
        <v>66.6</v>
      </c>
      <c r="U534" s="90"/>
      <c r="V534" s="79"/>
    </row>
    <row r="535">
      <c r="A535" s="53" t="s">
        <v>1787</v>
      </c>
      <c r="B535" s="54" t="s">
        <v>13</v>
      </c>
      <c r="C535" s="54"/>
      <c r="D535" s="59" t="str">
        <f t="shared" si="19"/>
        <v>Active</v>
      </c>
      <c r="E535" s="88">
        <v>44273.0</v>
      </c>
      <c r="F535" s="120"/>
      <c r="G535" s="65">
        <f t="shared" si="2"/>
        <v>66.6</v>
      </c>
      <c r="H535" s="88">
        <v>42297.0</v>
      </c>
      <c r="I535" s="65">
        <f t="shared" si="3"/>
        <v>5.411111111</v>
      </c>
      <c r="J535" s="121">
        <v>75.0</v>
      </c>
      <c r="K535" s="121">
        <v>22.0</v>
      </c>
      <c r="L535" s="69" t="s">
        <v>46</v>
      </c>
      <c r="M535" s="69"/>
      <c r="N535" s="69" t="s">
        <v>1788</v>
      </c>
      <c r="O535" s="69" t="s">
        <v>328</v>
      </c>
      <c r="P535" s="122" t="s">
        <v>1789</v>
      </c>
      <c r="Q535" s="69"/>
      <c r="R535" s="59" t="str">
        <f t="shared" si="4"/>
        <v>TBD</v>
      </c>
      <c r="S535" s="88"/>
      <c r="T535" s="65">
        <f t="shared" si="5"/>
        <v>66.6</v>
      </c>
      <c r="U535" s="88"/>
      <c r="V535" s="65"/>
    </row>
    <row r="536">
      <c r="A536" s="74" t="s">
        <v>1790</v>
      </c>
      <c r="B536" s="75" t="s">
        <v>13</v>
      </c>
      <c r="C536" s="75"/>
      <c r="D536" s="76" t="str">
        <f t="shared" si="19"/>
        <v>Active</v>
      </c>
      <c r="E536" s="90">
        <v>44273.0</v>
      </c>
      <c r="F536" s="105"/>
      <c r="G536" s="79">
        <f t="shared" si="2"/>
        <v>66.6</v>
      </c>
      <c r="H536" s="90">
        <v>34737.0</v>
      </c>
      <c r="I536" s="79">
        <f t="shared" si="3"/>
        <v>26.11388889</v>
      </c>
      <c r="J536" s="228">
        <f>7.7*10</f>
        <v>77</v>
      </c>
      <c r="K536" s="106">
        <v>30.0</v>
      </c>
      <c r="L536" s="82" t="s">
        <v>64</v>
      </c>
      <c r="M536" s="82"/>
      <c r="N536" s="82"/>
      <c r="O536" s="82" t="s">
        <v>1219</v>
      </c>
      <c r="P536" s="107"/>
      <c r="Q536" s="82"/>
      <c r="R536" s="76" t="str">
        <f t="shared" si="4"/>
        <v>TBD</v>
      </c>
      <c r="S536" s="90"/>
      <c r="T536" s="79">
        <f t="shared" si="5"/>
        <v>66.6</v>
      </c>
      <c r="U536" s="90"/>
      <c r="V536" s="79"/>
    </row>
    <row r="537">
      <c r="A537" s="53" t="s">
        <v>1791</v>
      </c>
      <c r="B537" s="54" t="s">
        <v>13</v>
      </c>
      <c r="C537" s="54"/>
      <c r="D537" s="59" t="str">
        <f t="shared" si="19"/>
        <v>Active</v>
      </c>
      <c r="E537" s="88">
        <v>44273.0</v>
      </c>
      <c r="F537" s="120"/>
      <c r="G537" s="65">
        <f t="shared" si="2"/>
        <v>66.6</v>
      </c>
      <c r="H537" s="88">
        <v>37633.0</v>
      </c>
      <c r="I537" s="65">
        <f t="shared" si="3"/>
        <v>18.18333333</v>
      </c>
      <c r="J537" s="121">
        <v>84.0</v>
      </c>
      <c r="K537" s="121">
        <v>12.0</v>
      </c>
      <c r="L537" s="69" t="s">
        <v>64</v>
      </c>
      <c r="M537" s="69"/>
      <c r="N537" s="69"/>
      <c r="O537" s="69" t="s">
        <v>1219</v>
      </c>
      <c r="P537" s="122" t="s">
        <v>1378</v>
      </c>
      <c r="Q537" s="69"/>
      <c r="R537" s="59" t="str">
        <f t="shared" si="4"/>
        <v>TBD</v>
      </c>
      <c r="S537" s="88"/>
      <c r="T537" s="65">
        <f t="shared" si="5"/>
        <v>66.6</v>
      </c>
      <c r="U537" s="88"/>
      <c r="V537" s="65"/>
    </row>
    <row r="538">
      <c r="A538" s="74" t="s">
        <v>1792</v>
      </c>
      <c r="B538" s="75" t="s">
        <v>13</v>
      </c>
      <c r="C538" s="75"/>
      <c r="D538" s="76" t="str">
        <f t="shared" si="19"/>
        <v>Active</v>
      </c>
      <c r="E538" s="90">
        <v>44273.0</v>
      </c>
      <c r="F538" s="105"/>
      <c r="G538" s="79">
        <f t="shared" si="2"/>
        <v>66.6</v>
      </c>
      <c r="H538" s="90">
        <v>41338.0</v>
      </c>
      <c r="I538" s="79">
        <f t="shared" si="3"/>
        <v>8.036111111</v>
      </c>
      <c r="J538" s="106">
        <v>64.0</v>
      </c>
      <c r="K538" s="106">
        <v>25.5</v>
      </c>
      <c r="L538" s="82" t="s">
        <v>64</v>
      </c>
      <c r="M538" s="82"/>
      <c r="N538" s="82"/>
      <c r="O538" s="82" t="s">
        <v>1168</v>
      </c>
      <c r="P538" s="107" t="s">
        <v>1793</v>
      </c>
      <c r="Q538" s="82"/>
      <c r="R538" s="76" t="str">
        <f t="shared" si="4"/>
        <v>TBD</v>
      </c>
      <c r="S538" s="90"/>
      <c r="T538" s="79">
        <f t="shared" si="5"/>
        <v>66.6</v>
      </c>
      <c r="U538" s="90"/>
      <c r="V538" s="79"/>
    </row>
    <row r="539">
      <c r="A539" s="53" t="s">
        <v>1794</v>
      </c>
      <c r="B539" s="54" t="s">
        <v>13</v>
      </c>
      <c r="C539" s="54"/>
      <c r="D539" s="59" t="str">
        <f t="shared" si="19"/>
        <v>Active</v>
      </c>
      <c r="E539" s="88">
        <v>44273.0</v>
      </c>
      <c r="F539" s="120"/>
      <c r="G539" s="65">
        <f t="shared" si="2"/>
        <v>66.6</v>
      </c>
      <c r="H539" s="88">
        <v>39698.0</v>
      </c>
      <c r="I539" s="65">
        <f t="shared" si="3"/>
        <v>12.53055556</v>
      </c>
      <c r="J539" s="121">
        <v>84.0</v>
      </c>
      <c r="K539" s="121">
        <v>12.5</v>
      </c>
      <c r="L539" s="69" t="s">
        <v>64</v>
      </c>
      <c r="M539" s="69"/>
      <c r="N539" s="69"/>
      <c r="O539" s="69" t="s">
        <v>1168</v>
      </c>
      <c r="P539" s="122" t="s">
        <v>1795</v>
      </c>
      <c r="Q539" s="69"/>
      <c r="R539" s="59" t="str">
        <f t="shared" si="4"/>
        <v>TBD</v>
      </c>
      <c r="S539" s="88"/>
      <c r="T539" s="65">
        <f t="shared" si="5"/>
        <v>66.6</v>
      </c>
      <c r="U539" s="88"/>
      <c r="V539" s="65"/>
    </row>
    <row r="540">
      <c r="A540" s="74" t="s">
        <v>1796</v>
      </c>
      <c r="B540" s="75" t="s">
        <v>35</v>
      </c>
      <c r="C540" s="75" t="s">
        <v>100</v>
      </c>
      <c r="D540" s="76" t="str">
        <f t="shared" si="19"/>
        <v>Active</v>
      </c>
      <c r="E540" s="90">
        <v>44273.0</v>
      </c>
      <c r="F540" s="198"/>
      <c r="G540" s="79">
        <f t="shared" si="2"/>
        <v>66.6</v>
      </c>
      <c r="H540" s="90">
        <v>44106.0</v>
      </c>
      <c r="I540" s="79">
        <f t="shared" si="3"/>
        <v>0.4611111111</v>
      </c>
      <c r="J540" s="106">
        <f>(78+79)/2</f>
        <v>78.5</v>
      </c>
      <c r="K540" s="106">
        <v>9.0</v>
      </c>
      <c r="L540" s="82" t="s">
        <v>1743</v>
      </c>
      <c r="M540" s="82" t="s">
        <v>326</v>
      </c>
      <c r="N540" s="82" t="s">
        <v>1797</v>
      </c>
      <c r="O540" s="82" t="s">
        <v>328</v>
      </c>
      <c r="P540" s="107" t="s">
        <v>1798</v>
      </c>
      <c r="Q540" s="82"/>
      <c r="R540" s="76" t="str">
        <f t="shared" si="4"/>
        <v>Active</v>
      </c>
      <c r="S540" s="90">
        <v>45547.0</v>
      </c>
      <c r="T540" s="79">
        <f t="shared" si="5"/>
        <v>41.8</v>
      </c>
      <c r="U540" s="90"/>
      <c r="V540" s="79"/>
    </row>
    <row r="541">
      <c r="A541" s="53" t="s">
        <v>1799</v>
      </c>
      <c r="B541" s="54" t="s">
        <v>13</v>
      </c>
      <c r="C541" s="54"/>
      <c r="D541" s="59" t="str">
        <f t="shared" si="19"/>
        <v>Active</v>
      </c>
      <c r="E541" s="88">
        <v>44273.0</v>
      </c>
      <c r="F541" s="120"/>
      <c r="G541" s="65">
        <f t="shared" si="2"/>
        <v>66.6</v>
      </c>
      <c r="H541" s="88">
        <v>40155.0</v>
      </c>
      <c r="I541" s="65">
        <f t="shared" si="3"/>
        <v>11.27777778</v>
      </c>
      <c r="J541" s="121">
        <v>76.0</v>
      </c>
      <c r="K541" s="121">
        <v>11.0</v>
      </c>
      <c r="L541" s="69" t="s">
        <v>37</v>
      </c>
      <c r="M541" s="69"/>
      <c r="N541" s="69"/>
      <c r="O541" s="69" t="s">
        <v>107</v>
      </c>
      <c r="P541" s="122" t="s">
        <v>1800</v>
      </c>
      <c r="Q541" s="229"/>
      <c r="R541" s="59" t="str">
        <f t="shared" si="4"/>
        <v>TBD</v>
      </c>
      <c r="S541" s="88"/>
      <c r="T541" s="65">
        <f t="shared" si="5"/>
        <v>66.6</v>
      </c>
      <c r="U541" s="88"/>
      <c r="V541" s="65"/>
    </row>
    <row r="542">
      <c r="A542" s="74" t="s">
        <v>1801</v>
      </c>
      <c r="B542" s="75" t="s">
        <v>13</v>
      </c>
      <c r="C542" s="75"/>
      <c r="D542" s="76" t="str">
        <f t="shared" si="19"/>
        <v>Active</v>
      </c>
      <c r="E542" s="90">
        <v>44273.0</v>
      </c>
      <c r="F542" s="105"/>
      <c r="G542" s="79">
        <f t="shared" si="2"/>
        <v>66.6</v>
      </c>
      <c r="H542" s="90">
        <v>39966.0</v>
      </c>
      <c r="I542" s="79">
        <f t="shared" si="3"/>
        <v>11.79444444</v>
      </c>
      <c r="J542" s="106">
        <v>86.0</v>
      </c>
      <c r="K542" s="106">
        <v>68.5</v>
      </c>
      <c r="L542" s="82" t="s">
        <v>64</v>
      </c>
      <c r="M542" s="82"/>
      <c r="N542" s="82"/>
      <c r="O542" s="82" t="s">
        <v>328</v>
      </c>
      <c r="P542" s="107" t="s">
        <v>1802</v>
      </c>
      <c r="Q542" s="82"/>
      <c r="R542" s="76" t="str">
        <f t="shared" si="4"/>
        <v>TBD</v>
      </c>
      <c r="S542" s="90"/>
      <c r="T542" s="79">
        <f t="shared" si="5"/>
        <v>66.6</v>
      </c>
      <c r="U542" s="90"/>
      <c r="V542" s="79"/>
    </row>
    <row r="543">
      <c r="A543" s="53" t="s">
        <v>1548</v>
      </c>
      <c r="B543" s="54" t="s">
        <v>35</v>
      </c>
      <c r="C543" s="54" t="s">
        <v>36</v>
      </c>
      <c r="D543" s="59" t="str">
        <f t="shared" si="19"/>
        <v>Active</v>
      </c>
      <c r="E543" s="88">
        <v>44267.0</v>
      </c>
      <c r="F543" s="187"/>
      <c r="G543" s="65">
        <f t="shared" si="2"/>
        <v>66.8</v>
      </c>
      <c r="H543" s="88">
        <v>43337.0</v>
      </c>
      <c r="I543" s="65">
        <f t="shared" si="3"/>
        <v>2.547222222</v>
      </c>
      <c r="J543" s="121">
        <v>76.0</v>
      </c>
      <c r="K543" s="121">
        <v>12.5</v>
      </c>
      <c r="L543" s="69" t="s">
        <v>37</v>
      </c>
      <c r="M543" s="69" t="s">
        <v>1747</v>
      </c>
      <c r="N543" s="69"/>
      <c r="O543" s="69" t="s">
        <v>107</v>
      </c>
      <c r="P543" s="122" t="s">
        <v>1598</v>
      </c>
      <c r="Q543" s="69"/>
      <c r="R543" s="59" t="str">
        <f t="shared" si="4"/>
        <v>Active</v>
      </c>
      <c r="S543" s="88">
        <v>45547.0</v>
      </c>
      <c r="T543" s="65">
        <f t="shared" si="5"/>
        <v>42</v>
      </c>
      <c r="U543" s="88"/>
      <c r="V543" s="65"/>
    </row>
    <row r="544">
      <c r="A544" s="74" t="s">
        <v>1551</v>
      </c>
      <c r="B544" s="75" t="s">
        <v>35</v>
      </c>
      <c r="C544" s="75" t="s">
        <v>36</v>
      </c>
      <c r="D544" s="76" t="str">
        <f t="shared" si="19"/>
        <v>Active</v>
      </c>
      <c r="E544" s="90">
        <v>44267.0</v>
      </c>
      <c r="F544" s="198"/>
      <c r="G544" s="79">
        <f t="shared" si="2"/>
        <v>66.8</v>
      </c>
      <c r="H544" s="90">
        <v>38202.0</v>
      </c>
      <c r="I544" s="79">
        <f t="shared" si="3"/>
        <v>16.60833333</v>
      </c>
      <c r="J544" s="106">
        <f>(87+89)/2</f>
        <v>88</v>
      </c>
      <c r="K544" s="106">
        <v>11.0</v>
      </c>
      <c r="L544" s="82" t="s">
        <v>37</v>
      </c>
      <c r="M544" s="82"/>
      <c r="N544" s="82"/>
      <c r="O544" s="82" t="s">
        <v>107</v>
      </c>
      <c r="P544" s="107" t="s">
        <v>1563</v>
      </c>
      <c r="Q544" s="82"/>
      <c r="R544" s="76" t="str">
        <f t="shared" si="4"/>
        <v>Active</v>
      </c>
      <c r="S544" s="90">
        <v>45547.0</v>
      </c>
      <c r="T544" s="79">
        <f t="shared" si="5"/>
        <v>42</v>
      </c>
      <c r="U544" s="90"/>
      <c r="V544" s="79"/>
    </row>
    <row r="545">
      <c r="A545" s="53" t="s">
        <v>1553</v>
      </c>
      <c r="B545" s="54" t="s">
        <v>35</v>
      </c>
      <c r="C545" s="54" t="s">
        <v>371</v>
      </c>
      <c r="D545" s="59" t="str">
        <f t="shared" si="19"/>
        <v>Active</v>
      </c>
      <c r="E545" s="88">
        <v>44267.0</v>
      </c>
      <c r="F545" s="187"/>
      <c r="G545" s="65">
        <f t="shared" si="2"/>
        <v>66.8</v>
      </c>
      <c r="H545" s="88">
        <v>35520.0</v>
      </c>
      <c r="I545" s="65">
        <f t="shared" si="3"/>
        <v>23.95</v>
      </c>
      <c r="J545" s="121">
        <v>77.0</v>
      </c>
      <c r="K545" s="121">
        <v>7.0</v>
      </c>
      <c r="L545" s="69" t="s">
        <v>37</v>
      </c>
      <c r="M545" s="69"/>
      <c r="N545" s="69"/>
      <c r="O545" s="69" t="s">
        <v>107</v>
      </c>
      <c r="P545" s="122" t="s">
        <v>1803</v>
      </c>
      <c r="Q545" s="69"/>
      <c r="R545" s="59" t="str">
        <f t="shared" si="4"/>
        <v>Active</v>
      </c>
      <c r="S545" s="88">
        <v>45547.0</v>
      </c>
      <c r="T545" s="65">
        <f t="shared" si="5"/>
        <v>42</v>
      </c>
      <c r="U545" s="88"/>
      <c r="V545" s="65"/>
    </row>
    <row r="546">
      <c r="A546" s="74" t="s">
        <v>1804</v>
      </c>
      <c r="B546" s="75" t="s">
        <v>35</v>
      </c>
      <c r="C546" s="75" t="s">
        <v>36</v>
      </c>
      <c r="D546" s="76" t="str">
        <f t="shared" si="19"/>
        <v>Active</v>
      </c>
      <c r="E546" s="90">
        <v>44531.0</v>
      </c>
      <c r="F546" s="198"/>
      <c r="G546" s="79">
        <f t="shared" si="2"/>
        <v>58.16666667</v>
      </c>
      <c r="H546" s="90">
        <v>43550.0</v>
      </c>
      <c r="I546" s="79">
        <f t="shared" si="3"/>
        <v>2.680555556</v>
      </c>
      <c r="J546" s="106">
        <f>(50+51)/2</f>
        <v>50.5</v>
      </c>
      <c r="K546" s="106">
        <v>21.5</v>
      </c>
      <c r="L546" s="82" t="s">
        <v>37</v>
      </c>
      <c r="M546" s="82"/>
      <c r="N546" s="82"/>
      <c r="O546" s="82" t="s">
        <v>328</v>
      </c>
      <c r="P546" s="107" t="s">
        <v>1805</v>
      </c>
      <c r="Q546" s="82"/>
      <c r="R546" s="76" t="str">
        <f t="shared" si="4"/>
        <v>Active</v>
      </c>
      <c r="S546" s="90">
        <v>45547.0</v>
      </c>
      <c r="T546" s="79">
        <f t="shared" si="5"/>
        <v>33.36666667</v>
      </c>
      <c r="U546" s="90"/>
      <c r="V546" s="79"/>
    </row>
    <row r="547">
      <c r="A547" s="53" t="s">
        <v>1556</v>
      </c>
      <c r="B547" s="54" t="s">
        <v>35</v>
      </c>
      <c r="C547" s="54" t="s">
        <v>36</v>
      </c>
      <c r="D547" s="59" t="str">
        <f t="shared" si="19"/>
        <v>Active</v>
      </c>
      <c r="E547" s="88">
        <v>44267.0</v>
      </c>
      <c r="F547" s="187"/>
      <c r="G547" s="65">
        <f t="shared" si="2"/>
        <v>66.8</v>
      </c>
      <c r="H547" s="88">
        <v>37377.0</v>
      </c>
      <c r="I547" s="65">
        <f t="shared" si="3"/>
        <v>18.86388889</v>
      </c>
      <c r="J547" s="121">
        <f>(87+89)/2</f>
        <v>88</v>
      </c>
      <c r="K547" s="121">
        <v>44.5</v>
      </c>
      <c r="L547" s="69" t="s">
        <v>46</v>
      </c>
      <c r="M547" s="69"/>
      <c r="N547" s="69" t="s">
        <v>1757</v>
      </c>
      <c r="O547" s="69" t="s">
        <v>328</v>
      </c>
      <c r="P547" s="122" t="s">
        <v>1378</v>
      </c>
      <c r="Q547" s="69" t="s">
        <v>1745</v>
      </c>
      <c r="R547" s="59" t="str">
        <f t="shared" si="4"/>
        <v>Active</v>
      </c>
      <c r="S547" s="88">
        <v>45547.0</v>
      </c>
      <c r="T547" s="65">
        <f t="shared" si="5"/>
        <v>42</v>
      </c>
      <c r="U547" s="88"/>
      <c r="V547" s="65"/>
    </row>
    <row r="548">
      <c r="A548" s="74" t="s">
        <v>1558</v>
      </c>
      <c r="B548" s="75" t="s">
        <v>35</v>
      </c>
      <c r="C548" s="75" t="s">
        <v>36</v>
      </c>
      <c r="D548" s="76" t="str">
        <f t="shared" si="19"/>
        <v>Active</v>
      </c>
      <c r="E548" s="90">
        <v>44267.0</v>
      </c>
      <c r="F548" s="198"/>
      <c r="G548" s="79">
        <f t="shared" si="2"/>
        <v>66.8</v>
      </c>
      <c r="H548" s="90">
        <v>41926.0</v>
      </c>
      <c r="I548" s="79">
        <f t="shared" si="3"/>
        <v>6.411111111</v>
      </c>
      <c r="J548" s="106">
        <f>(68+79)/2</f>
        <v>73.5</v>
      </c>
      <c r="K548" s="106">
        <v>16.0</v>
      </c>
      <c r="L548" s="82" t="s">
        <v>37</v>
      </c>
      <c r="M548" s="82"/>
      <c r="N548" s="82"/>
      <c r="O548" s="82" t="s">
        <v>107</v>
      </c>
      <c r="P548" s="107" t="s">
        <v>1759</v>
      </c>
      <c r="Q548" s="82"/>
      <c r="R548" s="76" t="str">
        <f t="shared" si="4"/>
        <v>Active</v>
      </c>
      <c r="S548" s="90">
        <v>45547.0</v>
      </c>
      <c r="T548" s="79">
        <f t="shared" si="5"/>
        <v>42</v>
      </c>
      <c r="U548" s="90"/>
      <c r="V548" s="79"/>
    </row>
    <row r="549">
      <c r="A549" s="53" t="s">
        <v>1559</v>
      </c>
      <c r="B549" s="54" t="s">
        <v>35</v>
      </c>
      <c r="C549" s="54" t="s">
        <v>36</v>
      </c>
      <c r="D549" s="59" t="str">
        <f t="shared" si="19"/>
        <v>Active</v>
      </c>
      <c r="E549" s="88">
        <v>44267.0</v>
      </c>
      <c r="F549" s="187"/>
      <c r="G549" s="65">
        <f t="shared" si="2"/>
        <v>66.8</v>
      </c>
      <c r="H549" s="88">
        <v>42129.0</v>
      </c>
      <c r="I549" s="65">
        <f t="shared" si="3"/>
        <v>5.852777778</v>
      </c>
      <c r="J549" s="121">
        <f>(75+76)/2</f>
        <v>75.5</v>
      </c>
      <c r="K549" s="121">
        <v>6.0</v>
      </c>
      <c r="L549" s="69" t="s">
        <v>37</v>
      </c>
      <c r="M549" s="69"/>
      <c r="N549" s="69"/>
      <c r="O549" s="69" t="s">
        <v>107</v>
      </c>
      <c r="P549" s="122" t="s">
        <v>1256</v>
      </c>
      <c r="Q549" s="69"/>
      <c r="R549" s="59" t="str">
        <f t="shared" si="4"/>
        <v>Active</v>
      </c>
      <c r="S549" s="88">
        <v>45547.0</v>
      </c>
      <c r="T549" s="65">
        <f t="shared" si="5"/>
        <v>42</v>
      </c>
      <c r="U549" s="88"/>
      <c r="V549" s="65"/>
    </row>
    <row r="550">
      <c r="A550" s="74" t="s">
        <v>1806</v>
      </c>
      <c r="B550" s="75" t="s">
        <v>35</v>
      </c>
      <c r="C550" s="75" t="s">
        <v>100</v>
      </c>
      <c r="D550" s="76" t="str">
        <f t="shared" si="19"/>
        <v>Active</v>
      </c>
      <c r="E550" s="90">
        <v>44252.0</v>
      </c>
      <c r="F550" s="198"/>
      <c r="G550" s="79">
        <f t="shared" si="2"/>
        <v>67.36666667</v>
      </c>
      <c r="H550" s="90">
        <v>44120.0</v>
      </c>
      <c r="I550" s="79">
        <f t="shared" si="3"/>
        <v>0.3583333333</v>
      </c>
      <c r="J550" s="106">
        <f>(74+81+83)/3</f>
        <v>79.33333333</v>
      </c>
      <c r="K550" s="106">
        <v>8.0</v>
      </c>
      <c r="L550" s="82" t="s">
        <v>55</v>
      </c>
      <c r="M550" s="82" t="s">
        <v>326</v>
      </c>
      <c r="N550" s="82" t="s">
        <v>1807</v>
      </c>
      <c r="O550" s="82" t="s">
        <v>1219</v>
      </c>
      <c r="P550" s="107"/>
      <c r="Q550" s="82"/>
      <c r="R550" s="76" t="str">
        <f t="shared" si="4"/>
        <v>Active</v>
      </c>
      <c r="S550" s="90">
        <v>45547.0</v>
      </c>
      <c r="T550" s="79">
        <f t="shared" si="5"/>
        <v>42.56666667</v>
      </c>
      <c r="U550" s="90"/>
      <c r="V550" s="79"/>
    </row>
    <row r="551">
      <c r="A551" s="53" t="s">
        <v>1560</v>
      </c>
      <c r="B551" s="54" t="s">
        <v>35</v>
      </c>
      <c r="C551" s="54" t="s">
        <v>100</v>
      </c>
      <c r="D551" s="59" t="str">
        <f t="shared" si="19"/>
        <v>Active</v>
      </c>
      <c r="E551" s="88">
        <v>44245.0</v>
      </c>
      <c r="F551" s="187"/>
      <c r="G551" s="65">
        <f t="shared" si="2"/>
        <v>67.6</v>
      </c>
      <c r="H551" s="88">
        <v>43228.0</v>
      </c>
      <c r="I551" s="65">
        <f t="shared" si="3"/>
        <v>2.777777778</v>
      </c>
      <c r="J551" s="121">
        <v>88.0</v>
      </c>
      <c r="K551" s="121">
        <v>42.0</v>
      </c>
      <c r="L551" s="69" t="s">
        <v>46</v>
      </c>
      <c r="M551" s="69"/>
      <c r="N551" s="69" t="s">
        <v>1757</v>
      </c>
      <c r="O551" s="69" t="s">
        <v>107</v>
      </c>
      <c r="P551" s="122" t="s">
        <v>1808</v>
      </c>
      <c r="Q551" s="69"/>
      <c r="R551" s="59" t="str">
        <f t="shared" si="4"/>
        <v>Active</v>
      </c>
      <c r="S551" s="88">
        <v>45547.0</v>
      </c>
      <c r="T551" s="65">
        <f t="shared" si="5"/>
        <v>42.8</v>
      </c>
      <c r="U551" s="88"/>
      <c r="V551" s="65"/>
    </row>
    <row r="552">
      <c r="A552" s="74" t="s">
        <v>1809</v>
      </c>
      <c r="B552" s="75" t="s">
        <v>35</v>
      </c>
      <c r="C552" s="75" t="s">
        <v>100</v>
      </c>
      <c r="D552" s="76" t="str">
        <f t="shared" si="19"/>
        <v>Active</v>
      </c>
      <c r="E552" s="90">
        <v>44245.0</v>
      </c>
      <c r="F552" s="198"/>
      <c r="G552" s="79">
        <f t="shared" si="2"/>
        <v>67.6</v>
      </c>
      <c r="H552" s="90">
        <v>43265.0</v>
      </c>
      <c r="I552" s="79">
        <f t="shared" si="3"/>
        <v>2.677777778</v>
      </c>
      <c r="J552" s="106">
        <f>(81+83)/2</f>
        <v>82</v>
      </c>
      <c r="K552" s="106">
        <v>19.5</v>
      </c>
      <c r="L552" s="82" t="s">
        <v>55</v>
      </c>
      <c r="M552" s="82"/>
      <c r="N552" s="160" t="s">
        <v>1810</v>
      </c>
      <c r="O552" s="82" t="s">
        <v>328</v>
      </c>
      <c r="P552" s="107" t="s">
        <v>1753</v>
      </c>
      <c r="Q552" s="82"/>
      <c r="R552" s="76" t="str">
        <f t="shared" si="4"/>
        <v>Active</v>
      </c>
      <c r="S552" s="90">
        <v>45547.0</v>
      </c>
      <c r="T552" s="79">
        <f t="shared" si="5"/>
        <v>42.8</v>
      </c>
      <c r="U552" s="90">
        <v>45405.0</v>
      </c>
      <c r="V552" s="79">
        <f t="shared" ref="V552:V553" si="41">MONTHDUR(E552,U552)</f>
        <v>38.16666667</v>
      </c>
    </row>
    <row r="553">
      <c r="A553" s="53" t="s">
        <v>1811</v>
      </c>
      <c r="B553" s="54" t="s">
        <v>35</v>
      </c>
      <c r="C553" s="54" t="s">
        <v>100</v>
      </c>
      <c r="D553" s="59" t="str">
        <f t="shared" si="19"/>
        <v>Active</v>
      </c>
      <c r="E553" s="88">
        <v>44182.0</v>
      </c>
      <c r="F553" s="187"/>
      <c r="G553" s="65">
        <f t="shared" si="2"/>
        <v>69.63333333</v>
      </c>
      <c r="H553" s="88">
        <v>43267.0</v>
      </c>
      <c r="I553" s="65">
        <f t="shared" si="3"/>
        <v>2.502777778</v>
      </c>
      <c r="J553" s="121">
        <v>85.0</v>
      </c>
      <c r="K553" s="121">
        <v>14.0</v>
      </c>
      <c r="L553" s="69" t="s">
        <v>81</v>
      </c>
      <c r="M553" s="69"/>
      <c r="N553" s="69" t="s">
        <v>1812</v>
      </c>
      <c r="O553" s="69" t="s">
        <v>1168</v>
      </c>
      <c r="P553" s="122" t="s">
        <v>1519</v>
      </c>
      <c r="Q553" s="69"/>
      <c r="R553" s="59" t="str">
        <f t="shared" si="4"/>
        <v>Active</v>
      </c>
      <c r="S553" s="88">
        <v>45547.0</v>
      </c>
      <c r="T553" s="65">
        <f t="shared" si="5"/>
        <v>44.83333333</v>
      </c>
      <c r="U553" s="88">
        <v>45183.0</v>
      </c>
      <c r="V553" s="65">
        <f t="shared" si="41"/>
        <v>32.9</v>
      </c>
    </row>
    <row r="554">
      <c r="A554" s="74" t="s">
        <v>1561</v>
      </c>
      <c r="B554" s="75" t="s">
        <v>35</v>
      </c>
      <c r="C554" s="75" t="s">
        <v>36</v>
      </c>
      <c r="D554" s="76" t="str">
        <f t="shared" si="19"/>
        <v>Active</v>
      </c>
      <c r="E554" s="90">
        <v>44180.0</v>
      </c>
      <c r="F554" s="198"/>
      <c r="G554" s="79">
        <f t="shared" si="2"/>
        <v>69.7</v>
      </c>
      <c r="H554" s="90">
        <v>42671.0</v>
      </c>
      <c r="I554" s="79">
        <f t="shared" si="3"/>
        <v>4.130555556</v>
      </c>
      <c r="J554" s="106">
        <v>82.0</v>
      </c>
      <c r="K554" s="106">
        <v>25.5</v>
      </c>
      <c r="L554" s="82" t="s">
        <v>46</v>
      </c>
      <c r="M554" s="82" t="s">
        <v>1747</v>
      </c>
      <c r="N554" s="82" t="s">
        <v>1757</v>
      </c>
      <c r="O554" s="82" t="s">
        <v>107</v>
      </c>
      <c r="P554" s="107" t="s">
        <v>1813</v>
      </c>
      <c r="Q554" s="82"/>
      <c r="R554" s="76" t="str">
        <f t="shared" si="4"/>
        <v>Active</v>
      </c>
      <c r="S554" s="90">
        <v>45547.0</v>
      </c>
      <c r="T554" s="79">
        <f t="shared" si="5"/>
        <v>44.9</v>
      </c>
      <c r="U554" s="90"/>
      <c r="V554" s="79"/>
    </row>
    <row r="555">
      <c r="A555" s="53" t="s">
        <v>1814</v>
      </c>
      <c r="B555" s="54" t="s">
        <v>35</v>
      </c>
      <c r="C555" s="54" t="s">
        <v>100</v>
      </c>
      <c r="D555" s="59" t="str">
        <f t="shared" si="19"/>
        <v>Active</v>
      </c>
      <c r="E555" s="88">
        <v>44173.0</v>
      </c>
      <c r="F555" s="187"/>
      <c r="G555" s="65">
        <f t="shared" si="2"/>
        <v>69.93333333</v>
      </c>
      <c r="H555" s="88">
        <v>43705.0</v>
      </c>
      <c r="I555" s="65">
        <f t="shared" si="3"/>
        <v>1.277777778</v>
      </c>
      <c r="J555" s="121">
        <v>82.0</v>
      </c>
      <c r="K555" s="121">
        <v>27.0</v>
      </c>
      <c r="L555" s="69" t="s">
        <v>57</v>
      </c>
      <c r="M555" s="69"/>
      <c r="N555" s="230" t="s">
        <v>1707</v>
      </c>
      <c r="O555" s="69" t="s">
        <v>1168</v>
      </c>
      <c r="P555" s="122" t="s">
        <v>1815</v>
      </c>
      <c r="Q555" s="69"/>
      <c r="R555" s="59" t="str">
        <f t="shared" si="4"/>
        <v>Active</v>
      </c>
      <c r="S555" s="88">
        <v>45547.0</v>
      </c>
      <c r="T555" s="65">
        <f t="shared" si="5"/>
        <v>45.13333333</v>
      </c>
      <c r="U555" s="88">
        <v>45742.0</v>
      </c>
      <c r="V555" s="65">
        <f>MONTHDUR(E555,U555)</f>
        <v>51.6</v>
      </c>
    </row>
    <row r="556">
      <c r="A556" s="74" t="s">
        <v>1816</v>
      </c>
      <c r="B556" s="75" t="s">
        <v>129</v>
      </c>
      <c r="C556" s="75"/>
      <c r="D556" s="76" t="str">
        <f t="shared" si="19"/>
        <v>Active</v>
      </c>
      <c r="E556" s="90">
        <v>44168.0</v>
      </c>
      <c r="F556" s="198"/>
      <c r="G556" s="79">
        <f t="shared" si="2"/>
        <v>70.1</v>
      </c>
      <c r="H556" s="90">
        <v>44134.0</v>
      </c>
      <c r="I556" s="79">
        <f t="shared" si="3"/>
        <v>0.09166666667</v>
      </c>
      <c r="J556" s="189">
        <f>10*10</f>
        <v>100</v>
      </c>
      <c r="K556" s="106">
        <v>14.5</v>
      </c>
      <c r="L556" s="82" t="s">
        <v>62</v>
      </c>
      <c r="M556" s="82"/>
      <c r="N556" s="82"/>
      <c r="O556" s="82" t="s">
        <v>1219</v>
      </c>
      <c r="P556" s="107"/>
      <c r="Q556" s="82"/>
      <c r="R556" s="76" t="str">
        <f t="shared" si="4"/>
        <v>Active</v>
      </c>
      <c r="S556" s="90">
        <v>45547.0</v>
      </c>
      <c r="T556" s="79">
        <f t="shared" si="5"/>
        <v>45.3</v>
      </c>
      <c r="U556" s="90"/>
      <c r="V556" s="79"/>
    </row>
    <row r="557">
      <c r="A557" s="53" t="s">
        <v>1564</v>
      </c>
      <c r="B557" s="54" t="s">
        <v>35</v>
      </c>
      <c r="C557" s="54"/>
      <c r="D557" s="59" t="str">
        <f t="shared" si="19"/>
        <v>Active</v>
      </c>
      <c r="E557" s="88">
        <v>44152.0</v>
      </c>
      <c r="F557" s="187"/>
      <c r="G557" s="65">
        <f t="shared" si="2"/>
        <v>70.63333333</v>
      </c>
      <c r="H557" s="88">
        <v>41218.0</v>
      </c>
      <c r="I557" s="65">
        <f t="shared" si="3"/>
        <v>8.033333333</v>
      </c>
      <c r="J557" s="121">
        <v>87.0</v>
      </c>
      <c r="K557" s="121">
        <v>8.0</v>
      </c>
      <c r="L557" s="69" t="s">
        <v>37</v>
      </c>
      <c r="M557" s="69"/>
      <c r="N557" s="69"/>
      <c r="O557" s="69" t="s">
        <v>107</v>
      </c>
      <c r="P557" s="122" t="s">
        <v>1817</v>
      </c>
      <c r="Q557" s="69"/>
      <c r="R557" s="59" t="str">
        <f t="shared" si="4"/>
        <v>Active</v>
      </c>
      <c r="S557" s="88">
        <v>45547.0</v>
      </c>
      <c r="T557" s="65">
        <f t="shared" si="5"/>
        <v>45.83333333</v>
      </c>
      <c r="U557" s="88"/>
      <c r="V557" s="65"/>
    </row>
    <row r="558">
      <c r="A558" s="74" t="s">
        <v>1818</v>
      </c>
      <c r="B558" s="75" t="s">
        <v>35</v>
      </c>
      <c r="C558" s="75"/>
      <c r="D558" s="76" t="str">
        <f t="shared" si="19"/>
        <v>Active</v>
      </c>
      <c r="E558" s="90">
        <v>44145.0</v>
      </c>
      <c r="F558" s="198"/>
      <c r="G558" s="79">
        <f t="shared" si="2"/>
        <v>70.86666667</v>
      </c>
      <c r="H558" s="90">
        <v>43182.0</v>
      </c>
      <c r="I558" s="79">
        <f t="shared" si="3"/>
        <v>2.630555556</v>
      </c>
      <c r="J558" s="106">
        <v>79.0</v>
      </c>
      <c r="K558" s="106">
        <v>6.0</v>
      </c>
      <c r="L558" s="82" t="s">
        <v>41</v>
      </c>
      <c r="M558" s="82"/>
      <c r="N558" s="82"/>
      <c r="O558" s="82" t="s">
        <v>107</v>
      </c>
      <c r="P558" s="107" t="s">
        <v>1819</v>
      </c>
      <c r="Q558" s="82"/>
      <c r="R558" s="76" t="str">
        <f t="shared" si="4"/>
        <v>Active</v>
      </c>
      <c r="S558" s="90">
        <v>45547.0</v>
      </c>
      <c r="T558" s="79">
        <f t="shared" si="5"/>
        <v>46.06666667</v>
      </c>
      <c r="U558" s="90"/>
      <c r="V558" s="79"/>
    </row>
    <row r="559">
      <c r="A559" s="53" t="s">
        <v>1820</v>
      </c>
      <c r="B559" s="54" t="s">
        <v>35</v>
      </c>
      <c r="C559" s="54"/>
      <c r="D559" s="59" t="str">
        <f t="shared" si="19"/>
        <v>Active</v>
      </c>
      <c r="E559" s="88">
        <v>44145.0</v>
      </c>
      <c r="F559" s="187"/>
      <c r="G559" s="65">
        <f t="shared" si="2"/>
        <v>70.86666667</v>
      </c>
      <c r="H559" s="88">
        <v>40708.0</v>
      </c>
      <c r="I559" s="65">
        <f t="shared" si="3"/>
        <v>9.405555556</v>
      </c>
      <c r="J559" s="121">
        <v>70.0</v>
      </c>
      <c r="K559" s="121">
        <v>14.0</v>
      </c>
      <c r="L559" s="69" t="s">
        <v>57</v>
      </c>
      <c r="M559" s="69"/>
      <c r="N559" s="69" t="s">
        <v>1821</v>
      </c>
      <c r="O559" s="69" t="s">
        <v>107</v>
      </c>
      <c r="P559" s="122" t="s">
        <v>1576</v>
      </c>
      <c r="Q559" s="69" t="s">
        <v>1822</v>
      </c>
      <c r="R559" s="59" t="str">
        <f t="shared" si="4"/>
        <v>Active</v>
      </c>
      <c r="S559" s="88">
        <v>45547.0</v>
      </c>
      <c r="T559" s="65">
        <f t="shared" si="5"/>
        <v>46.06666667</v>
      </c>
      <c r="U559" s="88"/>
      <c r="V559" s="65"/>
    </row>
    <row r="560">
      <c r="A560" s="74" t="s">
        <v>1823</v>
      </c>
      <c r="B560" s="75" t="s">
        <v>129</v>
      </c>
      <c r="C560" s="75"/>
      <c r="D560" s="76" t="str">
        <f t="shared" si="19"/>
        <v>Active</v>
      </c>
      <c r="E560" s="90">
        <v>44145.0</v>
      </c>
      <c r="F560" s="198"/>
      <c r="G560" s="79">
        <f t="shared" si="2"/>
        <v>70.86666667</v>
      </c>
      <c r="H560" s="90">
        <v>39511.0</v>
      </c>
      <c r="I560" s="79">
        <f t="shared" si="3"/>
        <v>12.68333333</v>
      </c>
      <c r="J560" s="106">
        <v>72.0</v>
      </c>
      <c r="K560" s="106">
        <v>6.5</v>
      </c>
      <c r="L560" s="82" t="s">
        <v>37</v>
      </c>
      <c r="M560" s="82"/>
      <c r="N560" s="82"/>
      <c r="O560" s="82" t="s">
        <v>107</v>
      </c>
      <c r="P560" s="107" t="s">
        <v>1824</v>
      </c>
      <c r="Q560" s="82" t="s">
        <v>1822</v>
      </c>
      <c r="R560" s="76" t="str">
        <f t="shared" si="4"/>
        <v>Active</v>
      </c>
      <c r="S560" s="90">
        <v>45547.0</v>
      </c>
      <c r="T560" s="79">
        <f t="shared" si="5"/>
        <v>46.06666667</v>
      </c>
      <c r="U560" s="90"/>
      <c r="V560" s="79"/>
    </row>
    <row r="561">
      <c r="A561" s="53" t="s">
        <v>1825</v>
      </c>
      <c r="B561" s="54" t="s">
        <v>35</v>
      </c>
      <c r="C561" s="54" t="s">
        <v>36</v>
      </c>
      <c r="D561" s="59" t="str">
        <f t="shared" si="19"/>
        <v>Active</v>
      </c>
      <c r="E561" s="88">
        <v>44145.0</v>
      </c>
      <c r="F561" s="187"/>
      <c r="G561" s="65">
        <f t="shared" si="2"/>
        <v>70.86666667</v>
      </c>
      <c r="H561" s="88">
        <v>42664.0</v>
      </c>
      <c r="I561" s="65">
        <f t="shared" si="3"/>
        <v>4.052777778</v>
      </c>
      <c r="J561" s="121">
        <v>87.0</v>
      </c>
      <c r="K561" s="121">
        <v>6.5</v>
      </c>
      <c r="L561" s="69" t="s">
        <v>37</v>
      </c>
      <c r="M561" s="69" t="s">
        <v>1826</v>
      </c>
      <c r="N561" s="69"/>
      <c r="O561" s="69" t="s">
        <v>107</v>
      </c>
      <c r="P561" s="122" t="s">
        <v>1280</v>
      </c>
      <c r="Q561" s="69" t="s">
        <v>1827</v>
      </c>
      <c r="R561" s="59" t="str">
        <f t="shared" si="4"/>
        <v>Active</v>
      </c>
      <c r="S561" s="88">
        <v>45547.0</v>
      </c>
      <c r="T561" s="65">
        <f t="shared" si="5"/>
        <v>46.06666667</v>
      </c>
      <c r="U561" s="88"/>
      <c r="V561" s="65"/>
    </row>
    <row r="562">
      <c r="A562" s="74" t="s">
        <v>1828</v>
      </c>
      <c r="B562" s="75" t="s">
        <v>35</v>
      </c>
      <c r="C562" s="75"/>
      <c r="D562" s="76" t="str">
        <f t="shared" si="19"/>
        <v>Active</v>
      </c>
      <c r="E562" s="90">
        <v>44145.0</v>
      </c>
      <c r="F562" s="198"/>
      <c r="G562" s="79">
        <f t="shared" si="2"/>
        <v>70.86666667</v>
      </c>
      <c r="H562" s="90">
        <v>40841.0</v>
      </c>
      <c r="I562" s="79">
        <f t="shared" si="3"/>
        <v>9.041666667</v>
      </c>
      <c r="J562" s="106">
        <v>84.0</v>
      </c>
      <c r="K562" s="106">
        <v>6.0</v>
      </c>
      <c r="L562" s="82" t="s">
        <v>37</v>
      </c>
      <c r="M562" s="82"/>
      <c r="N562" s="82" t="s">
        <v>1829</v>
      </c>
      <c r="O562" s="82" t="s">
        <v>107</v>
      </c>
      <c r="P562" s="107" t="s">
        <v>1824</v>
      </c>
      <c r="Q562" s="82" t="s">
        <v>1822</v>
      </c>
      <c r="R562" s="76" t="str">
        <f t="shared" si="4"/>
        <v>Active</v>
      </c>
      <c r="S562" s="90">
        <v>45547.0</v>
      </c>
      <c r="T562" s="79">
        <f t="shared" si="5"/>
        <v>46.06666667</v>
      </c>
      <c r="U562" s="90"/>
      <c r="V562" s="79"/>
    </row>
    <row r="563">
      <c r="A563" s="53" t="s">
        <v>1830</v>
      </c>
      <c r="B563" s="54" t="s">
        <v>35</v>
      </c>
      <c r="C563" s="54" t="s">
        <v>36</v>
      </c>
      <c r="D563" s="59" t="str">
        <f t="shared" si="19"/>
        <v>Active</v>
      </c>
      <c r="E563" s="88">
        <v>44145.0</v>
      </c>
      <c r="F563" s="187"/>
      <c r="G563" s="65">
        <f t="shared" si="2"/>
        <v>70.86666667</v>
      </c>
      <c r="H563" s="88">
        <v>41576.0</v>
      </c>
      <c r="I563" s="65">
        <f t="shared" si="3"/>
        <v>7.030555556</v>
      </c>
      <c r="J563" s="121">
        <v>81.0</v>
      </c>
      <c r="K563" s="121">
        <v>6.0</v>
      </c>
      <c r="L563" s="69" t="s">
        <v>37</v>
      </c>
      <c r="M563" s="69" t="s">
        <v>1747</v>
      </c>
      <c r="N563" s="69" t="s">
        <v>1829</v>
      </c>
      <c r="O563" s="69" t="s">
        <v>107</v>
      </c>
      <c r="P563" s="122" t="s">
        <v>1759</v>
      </c>
      <c r="Q563" s="69"/>
      <c r="R563" s="59" t="str">
        <f t="shared" si="4"/>
        <v>Active</v>
      </c>
      <c r="S563" s="88">
        <v>45547.0</v>
      </c>
      <c r="T563" s="65">
        <f t="shared" si="5"/>
        <v>46.06666667</v>
      </c>
      <c r="U563" s="88"/>
      <c r="V563" s="65"/>
    </row>
    <row r="564">
      <c r="A564" s="74" t="s">
        <v>1831</v>
      </c>
      <c r="B564" s="75" t="s">
        <v>35</v>
      </c>
      <c r="C564" s="75" t="s">
        <v>36</v>
      </c>
      <c r="D564" s="76" t="str">
        <f t="shared" si="19"/>
        <v>Active</v>
      </c>
      <c r="E564" s="90">
        <v>44145.0</v>
      </c>
      <c r="F564" s="198"/>
      <c r="G564" s="79">
        <f t="shared" si="2"/>
        <v>70.86666667</v>
      </c>
      <c r="H564" s="90">
        <v>43419.0</v>
      </c>
      <c r="I564" s="79">
        <f t="shared" si="3"/>
        <v>1.986111111</v>
      </c>
      <c r="J564" s="106">
        <v>78.0</v>
      </c>
      <c r="K564" s="106">
        <v>6.0</v>
      </c>
      <c r="L564" s="82" t="s">
        <v>37</v>
      </c>
      <c r="M564" s="82" t="s">
        <v>1826</v>
      </c>
      <c r="N564" s="82" t="s">
        <v>1829</v>
      </c>
      <c r="O564" s="82" t="s">
        <v>107</v>
      </c>
      <c r="P564" s="107" t="s">
        <v>1280</v>
      </c>
      <c r="Q564" s="82" t="s">
        <v>1827</v>
      </c>
      <c r="R564" s="76" t="str">
        <f t="shared" si="4"/>
        <v>Active</v>
      </c>
      <c r="S564" s="90">
        <v>45547.0</v>
      </c>
      <c r="T564" s="79">
        <f t="shared" si="5"/>
        <v>46.06666667</v>
      </c>
      <c r="U564" s="90"/>
      <c r="V564" s="79"/>
    </row>
    <row r="565">
      <c r="A565" s="53" t="s">
        <v>1832</v>
      </c>
      <c r="B565" s="54" t="s">
        <v>35</v>
      </c>
      <c r="C565" s="54"/>
      <c r="D565" s="59" t="str">
        <f t="shared" si="19"/>
        <v>Active</v>
      </c>
      <c r="E565" s="88">
        <v>44145.0</v>
      </c>
      <c r="F565" s="187"/>
      <c r="G565" s="65">
        <f t="shared" si="2"/>
        <v>70.86666667</v>
      </c>
      <c r="H565" s="88">
        <v>42080.0</v>
      </c>
      <c r="I565" s="65">
        <f t="shared" si="3"/>
        <v>5.647222222</v>
      </c>
      <c r="J565" s="121">
        <v>71.0</v>
      </c>
      <c r="K565" s="121">
        <v>7.5</v>
      </c>
      <c r="L565" s="69" t="s">
        <v>37</v>
      </c>
      <c r="M565" s="69" t="s">
        <v>1747</v>
      </c>
      <c r="N565" s="69" t="s">
        <v>1829</v>
      </c>
      <c r="O565" s="69" t="s">
        <v>107</v>
      </c>
      <c r="P565" s="122" t="s">
        <v>1833</v>
      </c>
      <c r="Q565" s="69"/>
      <c r="R565" s="59" t="str">
        <f t="shared" si="4"/>
        <v>Active</v>
      </c>
      <c r="S565" s="88">
        <v>45547.0</v>
      </c>
      <c r="T565" s="65">
        <f t="shared" si="5"/>
        <v>46.06666667</v>
      </c>
      <c r="U565" s="88"/>
      <c r="V565" s="65"/>
    </row>
    <row r="566">
      <c r="A566" s="74" t="s">
        <v>1834</v>
      </c>
      <c r="B566" s="75" t="s">
        <v>129</v>
      </c>
      <c r="C566" s="75"/>
      <c r="D566" s="76" t="str">
        <f t="shared" si="19"/>
        <v>Active</v>
      </c>
      <c r="E566" s="90">
        <v>44145.0</v>
      </c>
      <c r="F566" s="198"/>
      <c r="G566" s="79">
        <f t="shared" si="2"/>
        <v>70.86666667</v>
      </c>
      <c r="H566" s="90">
        <v>38296.0</v>
      </c>
      <c r="I566" s="79">
        <f t="shared" si="3"/>
        <v>16.01388889</v>
      </c>
      <c r="J566" s="106">
        <v>69.0</v>
      </c>
      <c r="K566" s="106">
        <v>1.5</v>
      </c>
      <c r="L566" s="82" t="s">
        <v>96</v>
      </c>
      <c r="M566" s="82"/>
      <c r="N566" s="82"/>
      <c r="O566" s="82" t="s">
        <v>1219</v>
      </c>
      <c r="P566" s="107"/>
      <c r="Q566" s="82" t="s">
        <v>1822</v>
      </c>
      <c r="R566" s="76" t="str">
        <f t="shared" si="4"/>
        <v>Active</v>
      </c>
      <c r="S566" s="90">
        <v>45547.0</v>
      </c>
      <c r="T566" s="79">
        <f t="shared" si="5"/>
        <v>46.06666667</v>
      </c>
      <c r="U566" s="90"/>
      <c r="V566" s="79"/>
    </row>
    <row r="567">
      <c r="A567" s="53" t="s">
        <v>1835</v>
      </c>
      <c r="B567" s="54" t="s">
        <v>129</v>
      </c>
      <c r="C567" s="54"/>
      <c r="D567" s="59" t="str">
        <f t="shared" si="19"/>
        <v>Active</v>
      </c>
      <c r="E567" s="88">
        <v>44145.0</v>
      </c>
      <c r="F567" s="187"/>
      <c r="G567" s="65">
        <f t="shared" si="2"/>
        <v>70.86666667</v>
      </c>
      <c r="H567" s="88">
        <v>40519.0</v>
      </c>
      <c r="I567" s="65">
        <f t="shared" si="3"/>
        <v>9.925</v>
      </c>
      <c r="J567" s="121">
        <v>78.0</v>
      </c>
      <c r="K567" s="121">
        <v>4.5</v>
      </c>
      <c r="L567" s="69" t="s">
        <v>96</v>
      </c>
      <c r="M567" s="69"/>
      <c r="N567" s="69"/>
      <c r="O567" s="69" t="s">
        <v>1219</v>
      </c>
      <c r="P567" s="122"/>
      <c r="Q567" s="69" t="s">
        <v>1822</v>
      </c>
      <c r="R567" s="59" t="str">
        <f t="shared" si="4"/>
        <v>Active</v>
      </c>
      <c r="S567" s="88">
        <v>45547.0</v>
      </c>
      <c r="T567" s="65">
        <f t="shared" si="5"/>
        <v>46.06666667</v>
      </c>
      <c r="U567" s="88"/>
      <c r="V567" s="65"/>
    </row>
    <row r="568">
      <c r="A568" s="74" t="s">
        <v>1836</v>
      </c>
      <c r="B568" s="75" t="s">
        <v>129</v>
      </c>
      <c r="C568" s="75"/>
      <c r="D568" s="76" t="str">
        <f t="shared" si="19"/>
        <v>Active</v>
      </c>
      <c r="E568" s="90">
        <v>44145.0</v>
      </c>
      <c r="F568" s="198"/>
      <c r="G568" s="79">
        <f t="shared" si="2"/>
        <v>70.86666667</v>
      </c>
      <c r="H568" s="90">
        <v>38776.0</v>
      </c>
      <c r="I568" s="79">
        <f t="shared" si="3"/>
        <v>14.7</v>
      </c>
      <c r="J568" s="106">
        <v>77.0</v>
      </c>
      <c r="K568" s="106">
        <v>6.0</v>
      </c>
      <c r="L568" s="82" t="s">
        <v>37</v>
      </c>
      <c r="M568" s="82"/>
      <c r="N568" s="82"/>
      <c r="O568" s="82" t="s">
        <v>107</v>
      </c>
      <c r="P568" s="107" t="s">
        <v>1837</v>
      </c>
      <c r="Q568" s="82" t="s">
        <v>1745</v>
      </c>
      <c r="R568" s="76" t="str">
        <f t="shared" si="4"/>
        <v>Active</v>
      </c>
      <c r="S568" s="90">
        <v>45547.0</v>
      </c>
      <c r="T568" s="79">
        <f t="shared" si="5"/>
        <v>46.06666667</v>
      </c>
      <c r="U568" s="90"/>
      <c r="V568" s="79"/>
    </row>
    <row r="569">
      <c r="A569" s="53" t="s">
        <v>1838</v>
      </c>
      <c r="B569" s="54" t="s">
        <v>35</v>
      </c>
      <c r="C569" s="54"/>
      <c r="D569" s="59" t="str">
        <f t="shared" si="19"/>
        <v>Active</v>
      </c>
      <c r="E569" s="88">
        <v>44145.0</v>
      </c>
      <c r="F569" s="187"/>
      <c r="G569" s="65">
        <f t="shared" si="2"/>
        <v>70.86666667</v>
      </c>
      <c r="H569" s="88">
        <v>39469.0</v>
      </c>
      <c r="I569" s="65">
        <f t="shared" si="3"/>
        <v>12.8</v>
      </c>
      <c r="J569" s="121">
        <v>79.0</v>
      </c>
      <c r="K569" s="121">
        <v>10.5</v>
      </c>
      <c r="L569" s="69" t="s">
        <v>55</v>
      </c>
      <c r="M569" s="69"/>
      <c r="N569" s="69"/>
      <c r="O569" s="69" t="s">
        <v>1168</v>
      </c>
      <c r="P569" s="122" t="s">
        <v>1839</v>
      </c>
      <c r="Q569" s="69" t="s">
        <v>1822</v>
      </c>
      <c r="R569" s="59" t="str">
        <f t="shared" si="4"/>
        <v>Active</v>
      </c>
      <c r="S569" s="88">
        <v>45547.0</v>
      </c>
      <c r="T569" s="65">
        <f t="shared" si="5"/>
        <v>46.06666667</v>
      </c>
      <c r="U569" s="88"/>
      <c r="V569" s="65"/>
    </row>
    <row r="570">
      <c r="A570" s="74" t="s">
        <v>1840</v>
      </c>
      <c r="B570" s="75" t="s">
        <v>35</v>
      </c>
      <c r="C570" s="75"/>
      <c r="D570" s="76" t="str">
        <f t="shared" si="19"/>
        <v>Active</v>
      </c>
      <c r="E570" s="90">
        <v>44145.0</v>
      </c>
      <c r="F570" s="198"/>
      <c r="G570" s="79">
        <f t="shared" si="2"/>
        <v>70.86666667</v>
      </c>
      <c r="H570" s="90">
        <v>39399.0</v>
      </c>
      <c r="I570" s="79">
        <f t="shared" si="3"/>
        <v>12.99166667</v>
      </c>
      <c r="J570" s="106">
        <v>81.0</v>
      </c>
      <c r="K570" s="106">
        <v>10.0</v>
      </c>
      <c r="L570" s="82" t="s">
        <v>37</v>
      </c>
      <c r="M570" s="82"/>
      <c r="N570" s="82"/>
      <c r="O570" s="82" t="s">
        <v>107</v>
      </c>
      <c r="P570" s="107" t="s">
        <v>1280</v>
      </c>
      <c r="Q570" s="82" t="s">
        <v>1822</v>
      </c>
      <c r="R570" s="76" t="str">
        <f t="shared" si="4"/>
        <v>Active</v>
      </c>
      <c r="S570" s="90">
        <v>45547.0</v>
      </c>
      <c r="T570" s="79">
        <f t="shared" si="5"/>
        <v>46.06666667</v>
      </c>
      <c r="U570" s="90"/>
      <c r="V570" s="79"/>
    </row>
    <row r="571">
      <c r="A571" s="53" t="s">
        <v>1841</v>
      </c>
      <c r="B571" s="54" t="s">
        <v>35</v>
      </c>
      <c r="C571" s="54"/>
      <c r="D571" s="59" t="str">
        <f t="shared" si="19"/>
        <v>Active</v>
      </c>
      <c r="E571" s="88">
        <v>44145.0</v>
      </c>
      <c r="F571" s="187"/>
      <c r="G571" s="65">
        <f t="shared" si="2"/>
        <v>70.86666667</v>
      </c>
      <c r="H571" s="88">
        <v>40624.0</v>
      </c>
      <c r="I571" s="65">
        <f t="shared" si="3"/>
        <v>9.633333333</v>
      </c>
      <c r="J571" s="121">
        <v>84.0</v>
      </c>
      <c r="K571" s="121">
        <v>9.0</v>
      </c>
      <c r="L571" s="69" t="s">
        <v>37</v>
      </c>
      <c r="M571" s="69"/>
      <c r="N571" s="69" t="s">
        <v>1829</v>
      </c>
      <c r="O571" s="69" t="s">
        <v>107</v>
      </c>
      <c r="P571" s="122" t="s">
        <v>1842</v>
      </c>
      <c r="Q571" s="69" t="s">
        <v>1822</v>
      </c>
      <c r="R571" s="59" t="str">
        <f t="shared" si="4"/>
        <v>Active</v>
      </c>
      <c r="S571" s="88">
        <v>45547.0</v>
      </c>
      <c r="T571" s="65">
        <f t="shared" si="5"/>
        <v>46.06666667</v>
      </c>
      <c r="U571" s="88"/>
      <c r="V571" s="65"/>
    </row>
    <row r="572">
      <c r="A572" s="74" t="s">
        <v>1843</v>
      </c>
      <c r="B572" s="75" t="s">
        <v>35</v>
      </c>
      <c r="C572" s="75"/>
      <c r="D572" s="76" t="str">
        <f t="shared" si="19"/>
        <v>Active</v>
      </c>
      <c r="E572" s="90">
        <v>44145.0</v>
      </c>
      <c r="F572" s="198"/>
      <c r="G572" s="79">
        <f t="shared" si="2"/>
        <v>70.86666667</v>
      </c>
      <c r="H572" s="90">
        <v>41324.0</v>
      </c>
      <c r="I572" s="79">
        <f t="shared" si="3"/>
        <v>7.725</v>
      </c>
      <c r="J572" s="106">
        <v>76.0</v>
      </c>
      <c r="K572" s="106">
        <v>7.0</v>
      </c>
      <c r="L572" s="82" t="s">
        <v>37</v>
      </c>
      <c r="M572" s="82"/>
      <c r="N572" s="82"/>
      <c r="O572" s="82" t="s">
        <v>107</v>
      </c>
      <c r="P572" s="107" t="s">
        <v>1280</v>
      </c>
      <c r="Q572" s="82" t="s">
        <v>1822</v>
      </c>
      <c r="R572" s="76" t="str">
        <f t="shared" si="4"/>
        <v>Active</v>
      </c>
      <c r="S572" s="90">
        <v>45547.0</v>
      </c>
      <c r="T572" s="79">
        <f t="shared" si="5"/>
        <v>46.06666667</v>
      </c>
      <c r="U572" s="90"/>
      <c r="V572" s="79"/>
    </row>
    <row r="573">
      <c r="A573" s="53" t="s">
        <v>1844</v>
      </c>
      <c r="B573" s="54" t="s">
        <v>129</v>
      </c>
      <c r="C573" s="54"/>
      <c r="D573" s="59" t="str">
        <f t="shared" si="19"/>
        <v>Active</v>
      </c>
      <c r="E573" s="88">
        <v>44145.0</v>
      </c>
      <c r="F573" s="187"/>
      <c r="G573" s="65">
        <f t="shared" si="2"/>
        <v>70.86666667</v>
      </c>
      <c r="H573" s="88">
        <v>40218.0</v>
      </c>
      <c r="I573" s="65">
        <f t="shared" si="3"/>
        <v>10.75277778</v>
      </c>
      <c r="J573" s="121">
        <v>73.0</v>
      </c>
      <c r="K573" s="121">
        <v>8.0</v>
      </c>
      <c r="L573" s="69" t="s">
        <v>105</v>
      </c>
      <c r="M573" s="69"/>
      <c r="N573" s="69"/>
      <c r="O573" s="69" t="s">
        <v>107</v>
      </c>
      <c r="P573" s="122" t="s">
        <v>1845</v>
      </c>
      <c r="Q573" s="69" t="s">
        <v>1822</v>
      </c>
      <c r="R573" s="59" t="str">
        <f t="shared" si="4"/>
        <v>Active</v>
      </c>
      <c r="S573" s="88">
        <v>45547.0</v>
      </c>
      <c r="T573" s="65">
        <f t="shared" si="5"/>
        <v>46.06666667</v>
      </c>
      <c r="U573" s="88"/>
      <c r="V573" s="65"/>
    </row>
    <row r="574">
      <c r="A574" s="74" t="s">
        <v>1846</v>
      </c>
      <c r="B574" s="75" t="s">
        <v>35</v>
      </c>
      <c r="C574" s="75" t="s">
        <v>36</v>
      </c>
      <c r="D574" s="76" t="str">
        <f t="shared" si="19"/>
        <v>Active</v>
      </c>
      <c r="E574" s="90">
        <v>44145.0</v>
      </c>
      <c r="F574" s="198"/>
      <c r="G574" s="79">
        <f t="shared" si="2"/>
        <v>70.86666667</v>
      </c>
      <c r="H574" s="90">
        <v>39735.0</v>
      </c>
      <c r="I574" s="79">
        <f t="shared" si="3"/>
        <v>12.07222222</v>
      </c>
      <c r="J574" s="106">
        <v>89.0</v>
      </c>
      <c r="K574" s="106">
        <v>11.0</v>
      </c>
      <c r="L574" s="82" t="s">
        <v>105</v>
      </c>
      <c r="M574" s="82"/>
      <c r="N574" s="82"/>
      <c r="O574" s="82" t="s">
        <v>107</v>
      </c>
      <c r="P574" s="107" t="s">
        <v>1759</v>
      </c>
      <c r="Q574" s="82" t="s">
        <v>1822</v>
      </c>
      <c r="R574" s="76" t="str">
        <f t="shared" si="4"/>
        <v>Active</v>
      </c>
      <c r="S574" s="90">
        <v>45547.0</v>
      </c>
      <c r="T574" s="79">
        <f t="shared" si="5"/>
        <v>46.06666667</v>
      </c>
      <c r="U574" s="90"/>
      <c r="V574" s="79"/>
    </row>
    <row r="575">
      <c r="A575" s="53" t="s">
        <v>1847</v>
      </c>
      <c r="B575" s="54" t="s">
        <v>35</v>
      </c>
      <c r="C575" s="54" t="s">
        <v>36</v>
      </c>
      <c r="D575" s="59" t="str">
        <f t="shared" si="19"/>
        <v>Active</v>
      </c>
      <c r="E575" s="88">
        <v>44145.0</v>
      </c>
      <c r="F575" s="187"/>
      <c r="G575" s="65">
        <f t="shared" si="2"/>
        <v>70.86666667</v>
      </c>
      <c r="H575" s="88">
        <v>40568.0</v>
      </c>
      <c r="I575" s="65">
        <f t="shared" si="3"/>
        <v>9.791666667</v>
      </c>
      <c r="J575" s="121">
        <v>90.0</v>
      </c>
      <c r="K575" s="121">
        <v>9.0</v>
      </c>
      <c r="L575" s="69" t="s">
        <v>37</v>
      </c>
      <c r="M575" s="69" t="s">
        <v>1747</v>
      </c>
      <c r="N575" s="69" t="s">
        <v>1848</v>
      </c>
      <c r="O575" s="69" t="s">
        <v>107</v>
      </c>
      <c r="P575" s="122" t="s">
        <v>1759</v>
      </c>
      <c r="Q575" s="69" t="s">
        <v>1822</v>
      </c>
      <c r="R575" s="59" t="str">
        <f t="shared" si="4"/>
        <v>Active</v>
      </c>
      <c r="S575" s="88">
        <v>45547.0</v>
      </c>
      <c r="T575" s="65">
        <f t="shared" si="5"/>
        <v>46.06666667</v>
      </c>
      <c r="U575" s="88"/>
      <c r="V575" s="65"/>
    </row>
    <row r="576">
      <c r="A576" s="74" t="s">
        <v>1849</v>
      </c>
      <c r="B576" s="75" t="s">
        <v>35</v>
      </c>
      <c r="C576" s="75" t="s">
        <v>36</v>
      </c>
      <c r="D576" s="76" t="str">
        <f t="shared" si="19"/>
        <v>Active</v>
      </c>
      <c r="E576" s="90">
        <v>44145.0</v>
      </c>
      <c r="F576" s="198"/>
      <c r="G576" s="79">
        <f t="shared" si="2"/>
        <v>70.86666667</v>
      </c>
      <c r="H576" s="90">
        <v>41310.0</v>
      </c>
      <c r="I576" s="79">
        <f t="shared" si="3"/>
        <v>7.763888889</v>
      </c>
      <c r="J576" s="106">
        <v>78.0</v>
      </c>
      <c r="K576" s="106">
        <v>13.0</v>
      </c>
      <c r="L576" s="82" t="s">
        <v>37</v>
      </c>
      <c r="M576" s="82" t="s">
        <v>1747</v>
      </c>
      <c r="N576" s="82" t="s">
        <v>1848</v>
      </c>
      <c r="O576" s="82" t="s">
        <v>107</v>
      </c>
      <c r="P576" s="107" t="s">
        <v>1759</v>
      </c>
      <c r="Q576" s="82" t="s">
        <v>1822</v>
      </c>
      <c r="R576" s="76" t="str">
        <f t="shared" si="4"/>
        <v>Active</v>
      </c>
      <c r="S576" s="90">
        <v>45547.0</v>
      </c>
      <c r="T576" s="79">
        <f t="shared" si="5"/>
        <v>46.06666667</v>
      </c>
      <c r="U576" s="90"/>
      <c r="V576" s="79"/>
    </row>
    <row r="577">
      <c r="A577" s="53" t="s">
        <v>1850</v>
      </c>
      <c r="B577" s="54" t="s">
        <v>129</v>
      </c>
      <c r="C577" s="54"/>
      <c r="D577" s="59" t="str">
        <f t="shared" si="19"/>
        <v>Active</v>
      </c>
      <c r="E577" s="88">
        <v>44145.0</v>
      </c>
      <c r="F577" s="187"/>
      <c r="G577" s="65">
        <f t="shared" si="2"/>
        <v>70.86666667</v>
      </c>
      <c r="H577" s="88">
        <v>40463.0</v>
      </c>
      <c r="I577" s="65">
        <f t="shared" si="3"/>
        <v>10.07777778</v>
      </c>
      <c r="J577" s="121">
        <v>35.0</v>
      </c>
      <c r="K577" s="121">
        <v>1.5</v>
      </c>
      <c r="L577" s="69" t="s">
        <v>96</v>
      </c>
      <c r="M577" s="69"/>
      <c r="N577" s="69"/>
      <c r="O577" s="69" t="s">
        <v>107</v>
      </c>
      <c r="P577" s="122" t="s">
        <v>1759</v>
      </c>
      <c r="Q577" s="69" t="s">
        <v>1822</v>
      </c>
      <c r="R577" s="59" t="str">
        <f t="shared" si="4"/>
        <v>Active</v>
      </c>
      <c r="S577" s="88">
        <v>45547.0</v>
      </c>
      <c r="T577" s="65">
        <f t="shared" si="5"/>
        <v>46.06666667</v>
      </c>
      <c r="U577" s="88"/>
      <c r="V577" s="65"/>
    </row>
    <row r="578">
      <c r="A578" s="74" t="s">
        <v>1851</v>
      </c>
      <c r="B578" s="75" t="s">
        <v>35</v>
      </c>
      <c r="C578" s="75" t="s">
        <v>100</v>
      </c>
      <c r="D578" s="76" t="str">
        <f t="shared" si="19"/>
        <v>Active</v>
      </c>
      <c r="E578" s="90">
        <v>44145.0</v>
      </c>
      <c r="F578" s="74"/>
      <c r="G578" s="79">
        <f t="shared" si="2"/>
        <v>70.86666667</v>
      </c>
      <c r="H578" s="90">
        <v>40610.0</v>
      </c>
      <c r="I578" s="79">
        <f t="shared" si="3"/>
        <v>9.672222222</v>
      </c>
      <c r="J578" s="106">
        <v>79.0</v>
      </c>
      <c r="K578" s="106">
        <v>26.5</v>
      </c>
      <c r="L578" s="82" t="s">
        <v>46</v>
      </c>
      <c r="M578" s="82" t="s">
        <v>1747</v>
      </c>
      <c r="N578" s="82" t="s">
        <v>1797</v>
      </c>
      <c r="O578" s="82" t="s">
        <v>107</v>
      </c>
      <c r="P578" s="107" t="s">
        <v>1852</v>
      </c>
      <c r="Q578" s="82" t="s">
        <v>1822</v>
      </c>
      <c r="R578" s="76" t="str">
        <f t="shared" si="4"/>
        <v>Active</v>
      </c>
      <c r="S578" s="90">
        <v>45547.0</v>
      </c>
      <c r="T578" s="79">
        <f t="shared" si="5"/>
        <v>46.06666667</v>
      </c>
      <c r="U578" s="90"/>
      <c r="V578" s="79"/>
    </row>
    <row r="579">
      <c r="A579" s="53" t="s">
        <v>1853</v>
      </c>
      <c r="B579" s="54" t="s">
        <v>35</v>
      </c>
      <c r="C579" s="54" t="s">
        <v>36</v>
      </c>
      <c r="D579" s="59" t="str">
        <f t="shared" si="19"/>
        <v>Active</v>
      </c>
      <c r="E579" s="88">
        <v>44145.0</v>
      </c>
      <c r="F579" s="187"/>
      <c r="G579" s="65">
        <f t="shared" si="2"/>
        <v>70.86666667</v>
      </c>
      <c r="H579" s="88">
        <v>41961.0</v>
      </c>
      <c r="I579" s="65">
        <f t="shared" si="3"/>
        <v>5.977777778</v>
      </c>
      <c r="J579" s="121">
        <v>86.0</v>
      </c>
      <c r="K579" s="121">
        <v>46.5</v>
      </c>
      <c r="L579" s="69" t="s">
        <v>46</v>
      </c>
      <c r="M579" s="69" t="s">
        <v>1747</v>
      </c>
      <c r="N579" s="69" t="s">
        <v>1829</v>
      </c>
      <c r="O579" s="69" t="s">
        <v>107</v>
      </c>
      <c r="P579" s="122" t="s">
        <v>1819</v>
      </c>
      <c r="Q579" s="69"/>
      <c r="R579" s="59" t="str">
        <f t="shared" si="4"/>
        <v>Active</v>
      </c>
      <c r="S579" s="88">
        <v>45547.0</v>
      </c>
      <c r="T579" s="65">
        <f t="shared" si="5"/>
        <v>46.06666667</v>
      </c>
      <c r="U579" s="88"/>
      <c r="V579" s="65"/>
    </row>
    <row r="580">
      <c r="A580" s="74" t="s">
        <v>1854</v>
      </c>
      <c r="B580" s="75" t="s">
        <v>35</v>
      </c>
      <c r="C580" s="75" t="s">
        <v>100</v>
      </c>
      <c r="D580" s="76" t="str">
        <f t="shared" si="19"/>
        <v>Active</v>
      </c>
      <c r="E580" s="90">
        <v>44145.0</v>
      </c>
      <c r="F580" s="198"/>
      <c r="G580" s="79">
        <f t="shared" si="2"/>
        <v>70.86666667</v>
      </c>
      <c r="H580" s="90">
        <v>40120.0</v>
      </c>
      <c r="I580" s="79">
        <f t="shared" si="3"/>
        <v>11.01944444</v>
      </c>
      <c r="J580" s="106">
        <v>86.0</v>
      </c>
      <c r="K580" s="106">
        <v>40.5</v>
      </c>
      <c r="L580" s="82" t="s">
        <v>46</v>
      </c>
      <c r="M580" s="82" t="s">
        <v>1747</v>
      </c>
      <c r="N580" s="82" t="s">
        <v>1829</v>
      </c>
      <c r="O580" s="82" t="s">
        <v>107</v>
      </c>
      <c r="P580" s="107" t="s">
        <v>1855</v>
      </c>
      <c r="Q580" s="82" t="s">
        <v>1822</v>
      </c>
      <c r="R580" s="76" t="str">
        <f t="shared" si="4"/>
        <v>Active</v>
      </c>
      <c r="S580" s="90">
        <v>45547.0</v>
      </c>
      <c r="T580" s="79">
        <f t="shared" si="5"/>
        <v>46.06666667</v>
      </c>
      <c r="U580" s="90"/>
      <c r="V580" s="79"/>
    </row>
    <row r="581">
      <c r="A581" s="53" t="s">
        <v>1856</v>
      </c>
      <c r="B581" s="54" t="s">
        <v>35</v>
      </c>
      <c r="C581" s="54"/>
      <c r="D581" s="59" t="str">
        <f t="shared" si="19"/>
        <v>Active</v>
      </c>
      <c r="E581" s="88">
        <v>44145.0</v>
      </c>
      <c r="F581" s="187"/>
      <c r="G581" s="65">
        <f t="shared" si="2"/>
        <v>70.86666667</v>
      </c>
      <c r="H581" s="88">
        <v>43147.0</v>
      </c>
      <c r="I581" s="65">
        <f t="shared" si="3"/>
        <v>2.733333333</v>
      </c>
      <c r="J581" s="121">
        <v>70.0</v>
      </c>
      <c r="K581" s="121">
        <v>5.5</v>
      </c>
      <c r="L581" s="69" t="s">
        <v>41</v>
      </c>
      <c r="M581" s="69"/>
      <c r="N581" s="69"/>
      <c r="O581" s="69" t="s">
        <v>1219</v>
      </c>
      <c r="P581" s="122" t="s">
        <v>1857</v>
      </c>
      <c r="Q581" s="69"/>
      <c r="R581" s="59" t="str">
        <f t="shared" si="4"/>
        <v>Active</v>
      </c>
      <c r="S581" s="88">
        <v>45547.0</v>
      </c>
      <c r="T581" s="65">
        <f t="shared" si="5"/>
        <v>46.06666667</v>
      </c>
      <c r="U581" s="88"/>
      <c r="V581" s="65"/>
    </row>
    <row r="582">
      <c r="A582" s="74" t="s">
        <v>1858</v>
      </c>
      <c r="B582" s="75" t="s">
        <v>129</v>
      </c>
      <c r="C582" s="75"/>
      <c r="D582" s="76" t="str">
        <f t="shared" si="19"/>
        <v>Active</v>
      </c>
      <c r="E582" s="90">
        <v>44145.0</v>
      </c>
      <c r="F582" s="198"/>
      <c r="G582" s="79">
        <f t="shared" si="2"/>
        <v>70.86666667</v>
      </c>
      <c r="H582" s="90">
        <v>38791.0</v>
      </c>
      <c r="I582" s="79">
        <f t="shared" si="3"/>
        <v>14.65277778</v>
      </c>
      <c r="J582" s="106">
        <v>65.0</v>
      </c>
      <c r="K582" s="106">
        <v>2.0</v>
      </c>
      <c r="L582" s="82" t="s">
        <v>105</v>
      </c>
      <c r="M582" s="82"/>
      <c r="N582" s="82"/>
      <c r="O582" s="82" t="s">
        <v>1219</v>
      </c>
      <c r="P582" s="107"/>
      <c r="Q582" s="82" t="s">
        <v>1822</v>
      </c>
      <c r="R582" s="76" t="str">
        <f t="shared" si="4"/>
        <v>Active</v>
      </c>
      <c r="S582" s="90">
        <v>45547.0</v>
      </c>
      <c r="T582" s="79">
        <f t="shared" si="5"/>
        <v>46.06666667</v>
      </c>
      <c r="U582" s="90"/>
      <c r="V582" s="79"/>
    </row>
    <row r="583">
      <c r="A583" s="53" t="s">
        <v>1859</v>
      </c>
      <c r="B583" s="54" t="s">
        <v>129</v>
      </c>
      <c r="C583" s="54"/>
      <c r="D583" s="59" t="str">
        <f t="shared" si="19"/>
        <v>Active</v>
      </c>
      <c r="E583" s="88">
        <v>44145.0</v>
      </c>
      <c r="F583" s="187"/>
      <c r="G583" s="65">
        <f t="shared" si="2"/>
        <v>70.86666667</v>
      </c>
      <c r="H583" s="88">
        <v>38754.0</v>
      </c>
      <c r="I583" s="65">
        <f t="shared" si="3"/>
        <v>14.76111111</v>
      </c>
      <c r="J583" s="121">
        <v>65.0</v>
      </c>
      <c r="K583" s="121">
        <v>2.5</v>
      </c>
      <c r="L583" s="69" t="s">
        <v>105</v>
      </c>
      <c r="M583" s="69"/>
      <c r="N583" s="69"/>
      <c r="O583" s="69" t="s">
        <v>1219</v>
      </c>
      <c r="P583" s="122" t="s">
        <v>1860</v>
      </c>
      <c r="Q583" s="69" t="s">
        <v>1822</v>
      </c>
      <c r="R583" s="59" t="str">
        <f t="shared" si="4"/>
        <v>Active</v>
      </c>
      <c r="S583" s="88">
        <v>45547.0</v>
      </c>
      <c r="T583" s="65">
        <f t="shared" si="5"/>
        <v>46.06666667</v>
      </c>
      <c r="U583" s="88"/>
      <c r="V583" s="65"/>
    </row>
    <row r="584">
      <c r="A584" s="74" t="s">
        <v>1861</v>
      </c>
      <c r="B584" s="75" t="s">
        <v>129</v>
      </c>
      <c r="C584" s="75"/>
      <c r="D584" s="76" t="str">
        <f t="shared" si="19"/>
        <v>Active</v>
      </c>
      <c r="E584" s="90">
        <v>44145.0</v>
      </c>
      <c r="F584" s="198"/>
      <c r="G584" s="79">
        <f t="shared" si="2"/>
        <v>70.86666667</v>
      </c>
      <c r="H584" s="90">
        <v>40603.0</v>
      </c>
      <c r="I584" s="79">
        <f t="shared" si="3"/>
        <v>9.691666667</v>
      </c>
      <c r="J584" s="106">
        <v>86.0</v>
      </c>
      <c r="K584" s="106">
        <v>4.5</v>
      </c>
      <c r="L584" s="82" t="s">
        <v>409</v>
      </c>
      <c r="M584" s="82"/>
      <c r="N584" s="82"/>
      <c r="O584" s="82" t="s">
        <v>107</v>
      </c>
      <c r="P584" s="107" t="s">
        <v>1862</v>
      </c>
      <c r="Q584" s="82" t="s">
        <v>1822</v>
      </c>
      <c r="R584" s="76" t="str">
        <f t="shared" si="4"/>
        <v>Active</v>
      </c>
      <c r="S584" s="90">
        <v>45547.0</v>
      </c>
      <c r="T584" s="79">
        <f t="shared" si="5"/>
        <v>46.06666667</v>
      </c>
      <c r="U584" s="90"/>
      <c r="V584" s="79"/>
    </row>
    <row r="585">
      <c r="A585" s="53" t="s">
        <v>1863</v>
      </c>
      <c r="B585" s="54" t="s">
        <v>129</v>
      </c>
      <c r="C585" s="54"/>
      <c r="D585" s="59" t="str">
        <f t="shared" si="19"/>
        <v>Active</v>
      </c>
      <c r="E585" s="88">
        <v>44145.0</v>
      </c>
      <c r="F585" s="187"/>
      <c r="G585" s="65">
        <f t="shared" si="2"/>
        <v>70.86666667</v>
      </c>
      <c r="H585" s="88">
        <v>39099.0</v>
      </c>
      <c r="I585" s="65">
        <f t="shared" si="3"/>
        <v>13.81388889</v>
      </c>
      <c r="J585" s="121">
        <v>77.0</v>
      </c>
      <c r="K585" s="121">
        <v>2.0</v>
      </c>
      <c r="L585" s="69" t="s">
        <v>37</v>
      </c>
      <c r="M585" s="69"/>
      <c r="N585" s="69"/>
      <c r="O585" s="69" t="s">
        <v>1168</v>
      </c>
      <c r="P585" s="122" t="s">
        <v>1864</v>
      </c>
      <c r="Q585" s="69" t="s">
        <v>1822</v>
      </c>
      <c r="R585" s="59" t="str">
        <f t="shared" si="4"/>
        <v>TBD</v>
      </c>
      <c r="S585" s="88"/>
      <c r="T585" s="65">
        <f t="shared" si="5"/>
        <v>70.86666667</v>
      </c>
      <c r="U585" s="88"/>
      <c r="V585" s="65"/>
    </row>
    <row r="586">
      <c r="A586" s="74" t="s">
        <v>1865</v>
      </c>
      <c r="B586" s="75" t="s">
        <v>35</v>
      </c>
      <c r="C586" s="75"/>
      <c r="D586" s="76" t="str">
        <f t="shared" si="19"/>
        <v>Active</v>
      </c>
      <c r="E586" s="90">
        <v>44145.0</v>
      </c>
      <c r="F586" s="198"/>
      <c r="G586" s="79">
        <f t="shared" si="2"/>
        <v>70.86666667</v>
      </c>
      <c r="H586" s="90">
        <v>40204.0</v>
      </c>
      <c r="I586" s="79">
        <f t="shared" si="3"/>
        <v>10.78888889</v>
      </c>
      <c r="J586" s="106">
        <v>96.0</v>
      </c>
      <c r="K586" s="106">
        <v>24.5</v>
      </c>
      <c r="L586" s="82" t="s">
        <v>46</v>
      </c>
      <c r="M586" s="82"/>
      <c r="N586" s="82" t="s">
        <v>1829</v>
      </c>
      <c r="O586" s="82" t="s">
        <v>107</v>
      </c>
      <c r="P586" s="107" t="s">
        <v>1866</v>
      </c>
      <c r="Q586" s="82" t="s">
        <v>1822</v>
      </c>
      <c r="R586" s="76" t="str">
        <f t="shared" si="4"/>
        <v>Active</v>
      </c>
      <c r="S586" s="90">
        <v>45547.0</v>
      </c>
      <c r="T586" s="79">
        <f t="shared" si="5"/>
        <v>46.06666667</v>
      </c>
      <c r="U586" s="90"/>
      <c r="V586" s="79"/>
    </row>
    <row r="587">
      <c r="A587" s="53" t="s">
        <v>1867</v>
      </c>
      <c r="B587" s="54" t="s">
        <v>35</v>
      </c>
      <c r="C587" s="54"/>
      <c r="D587" s="59" t="str">
        <f t="shared" si="19"/>
        <v>Active</v>
      </c>
      <c r="E587" s="88">
        <v>44145.0</v>
      </c>
      <c r="F587" s="187"/>
      <c r="G587" s="65">
        <f t="shared" si="2"/>
        <v>70.86666667</v>
      </c>
      <c r="H587" s="88">
        <v>40974.0</v>
      </c>
      <c r="I587" s="65">
        <f t="shared" si="3"/>
        <v>8.677777778</v>
      </c>
      <c r="J587" s="121">
        <v>93.0</v>
      </c>
      <c r="K587" s="121">
        <v>24.0</v>
      </c>
      <c r="L587" s="69" t="s">
        <v>37</v>
      </c>
      <c r="M587" s="69"/>
      <c r="N587" s="69" t="s">
        <v>1829</v>
      </c>
      <c r="O587" s="69" t="s">
        <v>107</v>
      </c>
      <c r="P587" s="122" t="s">
        <v>1868</v>
      </c>
      <c r="Q587" s="69" t="s">
        <v>1822</v>
      </c>
      <c r="R587" s="59" t="str">
        <f t="shared" si="4"/>
        <v>Active</v>
      </c>
      <c r="S587" s="88">
        <v>45547.0</v>
      </c>
      <c r="T587" s="65">
        <f t="shared" si="5"/>
        <v>46.06666667</v>
      </c>
      <c r="U587" s="88"/>
      <c r="V587" s="65"/>
    </row>
    <row r="588">
      <c r="A588" s="74" t="s">
        <v>1869</v>
      </c>
      <c r="B588" s="75" t="s">
        <v>35</v>
      </c>
      <c r="C588" s="75" t="s">
        <v>36</v>
      </c>
      <c r="D588" s="76" t="str">
        <f t="shared" si="19"/>
        <v>Active</v>
      </c>
      <c r="E588" s="90">
        <v>44145.0</v>
      </c>
      <c r="F588" s="198"/>
      <c r="G588" s="79">
        <f t="shared" si="2"/>
        <v>70.86666667</v>
      </c>
      <c r="H588" s="90">
        <v>42815.0</v>
      </c>
      <c r="I588" s="79">
        <f t="shared" si="3"/>
        <v>3.636111111</v>
      </c>
      <c r="J588" s="106">
        <v>76.0</v>
      </c>
      <c r="K588" s="106">
        <v>18.5</v>
      </c>
      <c r="L588" s="82" t="s">
        <v>46</v>
      </c>
      <c r="M588" s="82"/>
      <c r="N588" s="82" t="s">
        <v>1829</v>
      </c>
      <c r="O588" s="82" t="s">
        <v>107</v>
      </c>
      <c r="P588" s="107" t="s">
        <v>1870</v>
      </c>
      <c r="Q588" s="82"/>
      <c r="R588" s="76" t="str">
        <f t="shared" si="4"/>
        <v>Active</v>
      </c>
      <c r="S588" s="90">
        <v>45547.0</v>
      </c>
      <c r="T588" s="79">
        <f t="shared" si="5"/>
        <v>46.06666667</v>
      </c>
      <c r="U588" s="90"/>
      <c r="V588" s="79"/>
    </row>
    <row r="589">
      <c r="A589" s="53" t="s">
        <v>1871</v>
      </c>
      <c r="B589" s="54" t="s">
        <v>35</v>
      </c>
      <c r="C589" s="54"/>
      <c r="D589" s="59" t="str">
        <f t="shared" si="19"/>
        <v>Active</v>
      </c>
      <c r="E589" s="88">
        <v>44145.0</v>
      </c>
      <c r="F589" s="187"/>
      <c r="G589" s="65">
        <f t="shared" si="2"/>
        <v>70.86666667</v>
      </c>
      <c r="H589" s="88">
        <v>39329.0</v>
      </c>
      <c r="I589" s="65">
        <f t="shared" si="3"/>
        <v>13.18333333</v>
      </c>
      <c r="J589" s="121">
        <v>73.0</v>
      </c>
      <c r="K589" s="121">
        <v>6.0</v>
      </c>
      <c r="L589" s="69" t="s">
        <v>37</v>
      </c>
      <c r="M589" s="69" t="s">
        <v>1747</v>
      </c>
      <c r="N589" s="69"/>
      <c r="O589" s="69" t="s">
        <v>107</v>
      </c>
      <c r="P589" s="122" t="s">
        <v>1280</v>
      </c>
      <c r="Q589" s="69" t="s">
        <v>1822</v>
      </c>
      <c r="R589" s="59" t="str">
        <f t="shared" si="4"/>
        <v>Active</v>
      </c>
      <c r="S589" s="88">
        <v>45547.0</v>
      </c>
      <c r="T589" s="65">
        <f t="shared" si="5"/>
        <v>46.06666667</v>
      </c>
      <c r="U589" s="88"/>
      <c r="V589" s="65"/>
    </row>
    <row r="590">
      <c r="A590" s="74" t="s">
        <v>1872</v>
      </c>
      <c r="B590" s="75" t="s">
        <v>35</v>
      </c>
      <c r="C590" s="75"/>
      <c r="D590" s="76" t="str">
        <f t="shared" si="19"/>
        <v>Active</v>
      </c>
      <c r="E590" s="90">
        <v>44145.0</v>
      </c>
      <c r="F590" s="198"/>
      <c r="G590" s="79">
        <f t="shared" si="2"/>
        <v>70.86666667</v>
      </c>
      <c r="H590" s="90">
        <v>40269.0</v>
      </c>
      <c r="I590" s="79">
        <f t="shared" si="3"/>
        <v>10.60833333</v>
      </c>
      <c r="J590" s="106">
        <v>79.0</v>
      </c>
      <c r="K590" s="106">
        <v>6.0</v>
      </c>
      <c r="L590" s="82" t="s">
        <v>57</v>
      </c>
      <c r="M590" s="82" t="s">
        <v>1747</v>
      </c>
      <c r="N590" s="82"/>
      <c r="O590" s="82" t="s">
        <v>328</v>
      </c>
      <c r="P590" s="107" t="s">
        <v>1873</v>
      </c>
      <c r="Q590" s="82" t="s">
        <v>1822</v>
      </c>
      <c r="R590" s="76" t="str">
        <f t="shared" si="4"/>
        <v>Active</v>
      </c>
      <c r="S590" s="90">
        <v>45547.0</v>
      </c>
      <c r="T590" s="79">
        <f t="shared" si="5"/>
        <v>46.06666667</v>
      </c>
      <c r="U590" s="90"/>
      <c r="V590" s="79"/>
    </row>
    <row r="591">
      <c r="A591" s="53" t="s">
        <v>1874</v>
      </c>
      <c r="B591" s="54" t="s">
        <v>35</v>
      </c>
      <c r="C591" s="54" t="s">
        <v>36</v>
      </c>
      <c r="D591" s="59" t="str">
        <f t="shared" si="19"/>
        <v>Active</v>
      </c>
      <c r="E591" s="88">
        <v>44145.0</v>
      </c>
      <c r="F591" s="187"/>
      <c r="G591" s="65">
        <f t="shared" si="2"/>
        <v>70.86666667</v>
      </c>
      <c r="H591" s="88">
        <v>42528.0</v>
      </c>
      <c r="I591" s="65">
        <f t="shared" si="3"/>
        <v>4.425</v>
      </c>
      <c r="J591" s="121">
        <v>72.0</v>
      </c>
      <c r="K591" s="121">
        <v>8.5</v>
      </c>
      <c r="L591" s="69" t="s">
        <v>41</v>
      </c>
      <c r="M591" s="69" t="s">
        <v>1826</v>
      </c>
      <c r="N591" s="69"/>
      <c r="O591" s="69" t="s">
        <v>328</v>
      </c>
      <c r="P591" s="122" t="s">
        <v>1347</v>
      </c>
      <c r="Q591" s="69" t="s">
        <v>1827</v>
      </c>
      <c r="R591" s="59" t="str">
        <f t="shared" si="4"/>
        <v>Active</v>
      </c>
      <c r="S591" s="88">
        <v>45547.0</v>
      </c>
      <c r="T591" s="65">
        <f t="shared" si="5"/>
        <v>46.06666667</v>
      </c>
      <c r="U591" s="88"/>
      <c r="V591" s="65"/>
    </row>
    <row r="592">
      <c r="A592" s="74" t="s">
        <v>1875</v>
      </c>
      <c r="B592" s="75" t="s">
        <v>35</v>
      </c>
      <c r="C592" s="75"/>
      <c r="D592" s="76" t="str">
        <f t="shared" si="19"/>
        <v>Active</v>
      </c>
      <c r="E592" s="90">
        <v>44145.0</v>
      </c>
      <c r="F592" s="198"/>
      <c r="G592" s="79">
        <f t="shared" si="2"/>
        <v>70.86666667</v>
      </c>
      <c r="H592" s="90">
        <v>42311.0</v>
      </c>
      <c r="I592" s="79">
        <f t="shared" si="3"/>
        <v>5.019444444</v>
      </c>
      <c r="J592" s="106">
        <v>65.0</v>
      </c>
      <c r="K592" s="106">
        <v>15.5</v>
      </c>
      <c r="L592" s="82" t="s">
        <v>55</v>
      </c>
      <c r="M592" s="82"/>
      <c r="N592" s="82" t="s">
        <v>1829</v>
      </c>
      <c r="O592" s="82" t="s">
        <v>328</v>
      </c>
      <c r="P592" s="107" t="s">
        <v>1876</v>
      </c>
      <c r="Q592" s="82"/>
      <c r="R592" s="76" t="str">
        <f t="shared" si="4"/>
        <v>Active</v>
      </c>
      <c r="S592" s="90">
        <v>45547.0</v>
      </c>
      <c r="T592" s="79">
        <f t="shared" si="5"/>
        <v>46.06666667</v>
      </c>
      <c r="U592" s="90"/>
      <c r="V592" s="79"/>
    </row>
    <row r="593">
      <c r="A593" s="53" t="s">
        <v>1877</v>
      </c>
      <c r="B593" s="54" t="s">
        <v>35</v>
      </c>
      <c r="C593" s="54" t="s">
        <v>100</v>
      </c>
      <c r="D593" s="59" t="str">
        <f t="shared" si="19"/>
        <v>Active</v>
      </c>
      <c r="E593" s="88">
        <v>44145.0</v>
      </c>
      <c r="F593" s="187"/>
      <c r="G593" s="65">
        <f t="shared" si="2"/>
        <v>70.86666667</v>
      </c>
      <c r="H593" s="88">
        <v>43777.0</v>
      </c>
      <c r="I593" s="65">
        <f t="shared" si="3"/>
        <v>1.005555556</v>
      </c>
      <c r="J593" s="121">
        <v>74.0</v>
      </c>
      <c r="K593" s="121">
        <v>12.5</v>
      </c>
      <c r="L593" s="69" t="s">
        <v>55</v>
      </c>
      <c r="M593" s="69"/>
      <c r="N593" s="69" t="s">
        <v>1829</v>
      </c>
      <c r="O593" s="69" t="s">
        <v>328</v>
      </c>
      <c r="P593" s="122" t="s">
        <v>1876</v>
      </c>
      <c r="Q593" s="69"/>
      <c r="R593" s="59" t="str">
        <f t="shared" si="4"/>
        <v>Active</v>
      </c>
      <c r="S593" s="88">
        <v>45547.0</v>
      </c>
      <c r="T593" s="65">
        <f t="shared" si="5"/>
        <v>46.06666667</v>
      </c>
      <c r="U593" s="88"/>
      <c r="V593" s="65"/>
    </row>
    <row r="594">
      <c r="A594" s="74" t="s">
        <v>1878</v>
      </c>
      <c r="B594" s="75" t="s">
        <v>35</v>
      </c>
      <c r="C594" s="75"/>
      <c r="D594" s="76" t="str">
        <f t="shared" si="19"/>
        <v>Active</v>
      </c>
      <c r="E594" s="90">
        <v>44145.0</v>
      </c>
      <c r="F594" s="198"/>
      <c r="G594" s="79">
        <f t="shared" si="2"/>
        <v>70.86666667</v>
      </c>
      <c r="H594" s="90">
        <v>43049.0</v>
      </c>
      <c r="I594" s="79">
        <f t="shared" si="3"/>
        <v>3</v>
      </c>
      <c r="J594" s="106">
        <v>61.0</v>
      </c>
      <c r="K594" s="106">
        <v>18.5</v>
      </c>
      <c r="L594" s="82" t="s">
        <v>55</v>
      </c>
      <c r="M594" s="82"/>
      <c r="N594" s="82" t="s">
        <v>1829</v>
      </c>
      <c r="O594" s="82" t="s">
        <v>328</v>
      </c>
      <c r="P594" s="107" t="s">
        <v>1879</v>
      </c>
      <c r="Q594" s="82"/>
      <c r="R594" s="76" t="str">
        <f t="shared" si="4"/>
        <v>Active</v>
      </c>
      <c r="S594" s="90">
        <v>45547.0</v>
      </c>
      <c r="T594" s="79">
        <f t="shared" si="5"/>
        <v>46.06666667</v>
      </c>
      <c r="U594" s="90"/>
      <c r="V594" s="79"/>
    </row>
    <row r="595">
      <c r="A595" s="53" t="s">
        <v>1880</v>
      </c>
      <c r="B595" s="54" t="s">
        <v>35</v>
      </c>
      <c r="C595" s="54"/>
      <c r="D595" s="59" t="str">
        <f t="shared" si="19"/>
        <v>Active</v>
      </c>
      <c r="E595" s="88">
        <v>44145.0</v>
      </c>
      <c r="F595" s="187"/>
      <c r="G595" s="65">
        <f t="shared" si="2"/>
        <v>70.86666667</v>
      </c>
      <c r="H595" s="88">
        <v>41593.0</v>
      </c>
      <c r="I595" s="65">
        <f t="shared" si="3"/>
        <v>6.986111111</v>
      </c>
      <c r="J595" s="121">
        <v>75.0</v>
      </c>
      <c r="K595" s="121">
        <v>13.0</v>
      </c>
      <c r="L595" s="69" t="s">
        <v>55</v>
      </c>
      <c r="M595" s="69"/>
      <c r="N595" s="69" t="s">
        <v>1829</v>
      </c>
      <c r="O595" s="69" t="s">
        <v>1168</v>
      </c>
      <c r="P595" s="122" t="s">
        <v>1793</v>
      </c>
      <c r="Q595" s="69"/>
      <c r="R595" s="59" t="str">
        <f t="shared" si="4"/>
        <v>Active</v>
      </c>
      <c r="S595" s="88">
        <v>45547.0</v>
      </c>
      <c r="T595" s="65">
        <f t="shared" si="5"/>
        <v>46.06666667</v>
      </c>
      <c r="U595" s="88"/>
      <c r="V595" s="65"/>
    </row>
    <row r="596">
      <c r="A596" s="74" t="s">
        <v>1881</v>
      </c>
      <c r="B596" s="75" t="s">
        <v>35</v>
      </c>
      <c r="C596" s="75"/>
      <c r="D596" s="76" t="str">
        <f t="shared" si="19"/>
        <v>Active</v>
      </c>
      <c r="E596" s="90">
        <v>44145.0</v>
      </c>
      <c r="F596" s="198"/>
      <c r="G596" s="79">
        <f t="shared" si="2"/>
        <v>70.86666667</v>
      </c>
      <c r="H596" s="90">
        <v>39183.0</v>
      </c>
      <c r="I596" s="79">
        <f t="shared" si="3"/>
        <v>13.58055556</v>
      </c>
      <c r="J596" s="106">
        <v>89.0</v>
      </c>
      <c r="K596" s="106">
        <v>4.0</v>
      </c>
      <c r="L596" s="82" t="s">
        <v>96</v>
      </c>
      <c r="M596" s="82"/>
      <c r="N596" s="82"/>
      <c r="O596" s="82" t="s">
        <v>1219</v>
      </c>
      <c r="P596" s="107"/>
      <c r="Q596" s="82" t="s">
        <v>1822</v>
      </c>
      <c r="R596" s="76" t="str">
        <f t="shared" si="4"/>
        <v>Active</v>
      </c>
      <c r="S596" s="90">
        <v>45547.0</v>
      </c>
      <c r="T596" s="79">
        <f t="shared" si="5"/>
        <v>46.06666667</v>
      </c>
      <c r="U596" s="90"/>
      <c r="V596" s="79"/>
    </row>
    <row r="597">
      <c r="A597" s="53" t="s">
        <v>1882</v>
      </c>
      <c r="B597" s="54" t="s">
        <v>129</v>
      </c>
      <c r="C597" s="54" t="s">
        <v>100</v>
      </c>
      <c r="D597" s="59" t="str">
        <f t="shared" si="19"/>
        <v>Active</v>
      </c>
      <c r="E597" s="88">
        <v>44145.0</v>
      </c>
      <c r="F597" s="187"/>
      <c r="G597" s="65">
        <f t="shared" si="2"/>
        <v>70.86666667</v>
      </c>
      <c r="H597" s="88">
        <v>41529.0</v>
      </c>
      <c r="I597" s="65">
        <f t="shared" si="3"/>
        <v>7.161111111</v>
      </c>
      <c r="J597" s="121">
        <v>89.0</v>
      </c>
      <c r="K597" s="121">
        <v>6.0</v>
      </c>
      <c r="L597" s="69" t="s">
        <v>96</v>
      </c>
      <c r="M597" s="69"/>
      <c r="N597" s="69"/>
      <c r="O597" s="69" t="s">
        <v>1219</v>
      </c>
      <c r="P597" s="122" t="s">
        <v>1860</v>
      </c>
      <c r="Q597" s="69"/>
      <c r="R597" s="59" t="str">
        <f t="shared" si="4"/>
        <v>Active</v>
      </c>
      <c r="S597" s="88">
        <v>45547.0</v>
      </c>
      <c r="T597" s="65">
        <f t="shared" si="5"/>
        <v>46.06666667</v>
      </c>
      <c r="U597" s="88"/>
      <c r="V597" s="65"/>
    </row>
    <row r="598">
      <c r="A598" s="74" t="s">
        <v>1883</v>
      </c>
      <c r="B598" s="75" t="s">
        <v>35</v>
      </c>
      <c r="C598" s="75"/>
      <c r="D598" s="76" t="str">
        <f t="shared" si="19"/>
        <v>Active</v>
      </c>
      <c r="E598" s="90">
        <v>44145.0</v>
      </c>
      <c r="F598" s="198"/>
      <c r="G598" s="79">
        <f t="shared" si="2"/>
        <v>70.86666667</v>
      </c>
      <c r="H598" s="90">
        <v>39938.0</v>
      </c>
      <c r="I598" s="79">
        <f t="shared" si="3"/>
        <v>11.51388889</v>
      </c>
      <c r="J598" s="106">
        <v>89.0</v>
      </c>
      <c r="K598" s="106">
        <v>8.0</v>
      </c>
      <c r="L598" s="82" t="s">
        <v>81</v>
      </c>
      <c r="M598" s="82"/>
      <c r="N598" s="82" t="s">
        <v>1829</v>
      </c>
      <c r="O598" s="82" t="s">
        <v>1168</v>
      </c>
      <c r="P598" s="107" t="s">
        <v>1884</v>
      </c>
      <c r="Q598" s="82" t="s">
        <v>1822</v>
      </c>
      <c r="R598" s="76" t="str">
        <f t="shared" si="4"/>
        <v>Active</v>
      </c>
      <c r="S598" s="90">
        <v>45547.0</v>
      </c>
      <c r="T598" s="79">
        <f t="shared" si="5"/>
        <v>46.06666667</v>
      </c>
      <c r="U598" s="90"/>
      <c r="V598" s="79"/>
    </row>
    <row r="599">
      <c r="A599" s="53" t="s">
        <v>1885</v>
      </c>
      <c r="B599" s="54" t="s">
        <v>35</v>
      </c>
      <c r="C599" s="54" t="s">
        <v>36</v>
      </c>
      <c r="D599" s="59" t="str">
        <f t="shared" si="19"/>
        <v>Active</v>
      </c>
      <c r="E599" s="88">
        <v>44145.0</v>
      </c>
      <c r="F599" s="187"/>
      <c r="G599" s="65">
        <f t="shared" si="2"/>
        <v>70.86666667</v>
      </c>
      <c r="H599" s="88">
        <v>43756.0</v>
      </c>
      <c r="I599" s="65">
        <f t="shared" si="3"/>
        <v>1.061111111</v>
      </c>
      <c r="J599" s="121">
        <v>76.0</v>
      </c>
      <c r="K599" s="121">
        <v>4.5</v>
      </c>
      <c r="L599" s="69" t="s">
        <v>37</v>
      </c>
      <c r="M599" s="69" t="s">
        <v>1747</v>
      </c>
      <c r="N599" s="69" t="s">
        <v>1829</v>
      </c>
      <c r="O599" s="69" t="s">
        <v>1168</v>
      </c>
      <c r="P599" s="122" t="s">
        <v>1886</v>
      </c>
      <c r="Q599" s="69"/>
      <c r="R599" s="59" t="str">
        <f t="shared" si="4"/>
        <v>Active</v>
      </c>
      <c r="S599" s="88">
        <v>45547.0</v>
      </c>
      <c r="T599" s="65">
        <f t="shared" si="5"/>
        <v>46.06666667</v>
      </c>
      <c r="U599" s="88"/>
      <c r="V599" s="65"/>
    </row>
    <row r="600">
      <c r="A600" s="74" t="s">
        <v>1887</v>
      </c>
      <c r="B600" s="75" t="s">
        <v>35</v>
      </c>
      <c r="C600" s="75" t="s">
        <v>36</v>
      </c>
      <c r="D600" s="76" t="str">
        <f t="shared" si="19"/>
        <v>Active</v>
      </c>
      <c r="E600" s="90">
        <v>44145.0</v>
      </c>
      <c r="F600" s="198"/>
      <c r="G600" s="79">
        <f t="shared" si="2"/>
        <v>70.86666667</v>
      </c>
      <c r="H600" s="90">
        <v>41688.0</v>
      </c>
      <c r="I600" s="79">
        <f t="shared" si="3"/>
        <v>6.727777778</v>
      </c>
      <c r="J600" s="106">
        <v>76.0</v>
      </c>
      <c r="K600" s="106">
        <v>67.5</v>
      </c>
      <c r="L600" s="82" t="s">
        <v>37</v>
      </c>
      <c r="M600" s="82" t="s">
        <v>1747</v>
      </c>
      <c r="N600" s="82" t="s">
        <v>1797</v>
      </c>
      <c r="O600" s="82" t="s">
        <v>1168</v>
      </c>
      <c r="P600" s="107" t="s">
        <v>1888</v>
      </c>
      <c r="Q600" s="82"/>
      <c r="R600" s="76" t="str">
        <f t="shared" si="4"/>
        <v>Active</v>
      </c>
      <c r="S600" s="90">
        <v>45547.0</v>
      </c>
      <c r="T600" s="79">
        <f t="shared" si="5"/>
        <v>46.06666667</v>
      </c>
      <c r="U600" s="90"/>
      <c r="V600" s="79"/>
    </row>
    <row r="601">
      <c r="A601" s="53" t="s">
        <v>1889</v>
      </c>
      <c r="B601" s="54" t="s">
        <v>35</v>
      </c>
      <c r="C601" s="54" t="s">
        <v>36</v>
      </c>
      <c r="D601" s="59" t="str">
        <f t="shared" si="19"/>
        <v>Active</v>
      </c>
      <c r="E601" s="88">
        <v>44145.0</v>
      </c>
      <c r="F601" s="187"/>
      <c r="G601" s="65">
        <f t="shared" si="2"/>
        <v>70.86666667</v>
      </c>
      <c r="H601" s="88">
        <v>42423.0</v>
      </c>
      <c r="I601" s="65">
        <f t="shared" si="3"/>
        <v>4.713888889</v>
      </c>
      <c r="J601" s="121">
        <v>80.0</v>
      </c>
      <c r="K601" s="121">
        <v>12.5</v>
      </c>
      <c r="L601" s="69" t="s">
        <v>105</v>
      </c>
      <c r="M601" s="69" t="s">
        <v>1747</v>
      </c>
      <c r="N601" s="69" t="s">
        <v>1829</v>
      </c>
      <c r="O601" s="69" t="s">
        <v>1168</v>
      </c>
      <c r="P601" s="122" t="s">
        <v>1888</v>
      </c>
      <c r="Q601" s="69"/>
      <c r="R601" s="59" t="str">
        <f t="shared" si="4"/>
        <v>Active</v>
      </c>
      <c r="S601" s="88">
        <v>45547.0</v>
      </c>
      <c r="T601" s="65">
        <f t="shared" si="5"/>
        <v>46.06666667</v>
      </c>
      <c r="U601" s="88"/>
      <c r="V601" s="65"/>
    </row>
    <row r="602">
      <c r="A602" s="74" t="s">
        <v>1890</v>
      </c>
      <c r="B602" s="75" t="s">
        <v>35</v>
      </c>
      <c r="C602" s="75"/>
      <c r="D602" s="76" t="str">
        <f t="shared" si="19"/>
        <v>Active</v>
      </c>
      <c r="E602" s="90">
        <v>44145.0</v>
      </c>
      <c r="F602" s="198"/>
      <c r="G602" s="79">
        <f t="shared" si="2"/>
        <v>70.86666667</v>
      </c>
      <c r="H602" s="90">
        <v>43651.0</v>
      </c>
      <c r="I602" s="79">
        <f t="shared" si="3"/>
        <v>1.347222222</v>
      </c>
      <c r="J602" s="106">
        <v>72.0</v>
      </c>
      <c r="K602" s="106">
        <v>3.0</v>
      </c>
      <c r="L602" s="82" t="s">
        <v>135</v>
      </c>
      <c r="M602" s="82" t="s">
        <v>1747</v>
      </c>
      <c r="N602" s="82"/>
      <c r="O602" s="82" t="s">
        <v>328</v>
      </c>
      <c r="P602" s="107" t="s">
        <v>1527</v>
      </c>
      <c r="Q602" s="82"/>
      <c r="R602" s="76" t="str">
        <f t="shared" si="4"/>
        <v>TBD</v>
      </c>
      <c r="S602" s="90"/>
      <c r="T602" s="79">
        <f t="shared" si="5"/>
        <v>70.86666667</v>
      </c>
      <c r="U602" s="90"/>
      <c r="V602" s="79"/>
    </row>
    <row r="603">
      <c r="A603" s="53" t="s">
        <v>1891</v>
      </c>
      <c r="B603" s="54" t="s">
        <v>129</v>
      </c>
      <c r="C603" s="54" t="s">
        <v>36</v>
      </c>
      <c r="D603" s="59" t="str">
        <f t="shared" si="19"/>
        <v>Active</v>
      </c>
      <c r="E603" s="88">
        <v>44145.0</v>
      </c>
      <c r="F603" s="187"/>
      <c r="G603" s="65">
        <f t="shared" si="2"/>
        <v>70.86666667</v>
      </c>
      <c r="H603" s="88">
        <v>40309.0</v>
      </c>
      <c r="I603" s="65">
        <f t="shared" si="3"/>
        <v>10.49722222</v>
      </c>
      <c r="J603" s="121">
        <v>80.0</v>
      </c>
      <c r="K603" s="121">
        <v>9.0</v>
      </c>
      <c r="L603" s="69" t="s">
        <v>1892</v>
      </c>
      <c r="M603" s="69"/>
      <c r="N603" s="69"/>
      <c r="O603" s="69" t="s">
        <v>328</v>
      </c>
      <c r="P603" s="122" t="s">
        <v>1893</v>
      </c>
      <c r="Q603" s="69" t="s">
        <v>1822</v>
      </c>
      <c r="R603" s="59" t="str">
        <f t="shared" si="4"/>
        <v>Active</v>
      </c>
      <c r="S603" s="88">
        <v>45547.0</v>
      </c>
      <c r="T603" s="65">
        <f t="shared" si="5"/>
        <v>46.06666667</v>
      </c>
      <c r="U603" s="88"/>
      <c r="V603" s="65"/>
    </row>
    <row r="604">
      <c r="A604" s="74" t="s">
        <v>1894</v>
      </c>
      <c r="B604" s="75" t="s">
        <v>129</v>
      </c>
      <c r="C604" s="75"/>
      <c r="D604" s="76" t="str">
        <f t="shared" si="19"/>
        <v>Active</v>
      </c>
      <c r="E604" s="90">
        <v>44145.0</v>
      </c>
      <c r="F604" s="198"/>
      <c r="G604" s="79">
        <f t="shared" si="2"/>
        <v>70.86666667</v>
      </c>
      <c r="H604" s="90">
        <v>40967.0</v>
      </c>
      <c r="I604" s="79">
        <f t="shared" si="3"/>
        <v>8.7</v>
      </c>
      <c r="J604" s="106">
        <v>82.0</v>
      </c>
      <c r="K604" s="106">
        <v>11.5</v>
      </c>
      <c r="L604" s="82" t="s">
        <v>62</v>
      </c>
      <c r="M604" s="82"/>
      <c r="N604" s="82"/>
      <c r="O604" s="82" t="s">
        <v>1219</v>
      </c>
      <c r="P604" s="107" t="s">
        <v>1895</v>
      </c>
      <c r="Q604" s="82" t="s">
        <v>1822</v>
      </c>
      <c r="R604" s="76" t="str">
        <f t="shared" si="4"/>
        <v>Active</v>
      </c>
      <c r="S604" s="90">
        <v>45547.0</v>
      </c>
      <c r="T604" s="79">
        <f t="shared" si="5"/>
        <v>46.06666667</v>
      </c>
      <c r="U604" s="90"/>
      <c r="V604" s="79"/>
    </row>
    <row r="605">
      <c r="A605" s="53" t="s">
        <v>1896</v>
      </c>
      <c r="B605" s="54" t="s">
        <v>35</v>
      </c>
      <c r="C605" s="54"/>
      <c r="D605" s="59" t="str">
        <f t="shared" si="19"/>
        <v>Active</v>
      </c>
      <c r="E605" s="88">
        <v>44145.0</v>
      </c>
      <c r="F605" s="187"/>
      <c r="G605" s="65">
        <f t="shared" si="2"/>
        <v>70.86666667</v>
      </c>
      <c r="H605" s="88">
        <v>42325.0</v>
      </c>
      <c r="I605" s="65">
        <f t="shared" si="3"/>
        <v>4.980555556</v>
      </c>
      <c r="J605" s="121">
        <v>75.0</v>
      </c>
      <c r="K605" s="121">
        <v>14.5</v>
      </c>
      <c r="L605" s="69" t="s">
        <v>37</v>
      </c>
      <c r="M605" s="69" t="s">
        <v>1747</v>
      </c>
      <c r="N605" s="69" t="s">
        <v>1829</v>
      </c>
      <c r="O605" s="69" t="s">
        <v>328</v>
      </c>
      <c r="P605" s="122" t="s">
        <v>1378</v>
      </c>
      <c r="Q605" s="69"/>
      <c r="R605" s="59" t="str">
        <f t="shared" si="4"/>
        <v>Active</v>
      </c>
      <c r="S605" s="88">
        <v>45547.0</v>
      </c>
      <c r="T605" s="65">
        <f t="shared" si="5"/>
        <v>46.06666667</v>
      </c>
      <c r="U605" s="88"/>
      <c r="V605" s="65"/>
    </row>
    <row r="606">
      <c r="A606" s="74" t="s">
        <v>1897</v>
      </c>
      <c r="B606" s="75" t="s">
        <v>35</v>
      </c>
      <c r="C606" s="75" t="s">
        <v>36</v>
      </c>
      <c r="D606" s="76" t="str">
        <f t="shared" si="19"/>
        <v>Active</v>
      </c>
      <c r="E606" s="90">
        <v>44145.0</v>
      </c>
      <c r="F606" s="198"/>
      <c r="G606" s="79">
        <f t="shared" si="2"/>
        <v>70.86666667</v>
      </c>
      <c r="H606" s="90">
        <v>43056.0</v>
      </c>
      <c r="I606" s="79">
        <f t="shared" si="3"/>
        <v>2.980555556</v>
      </c>
      <c r="J606" s="106">
        <v>66.0</v>
      </c>
      <c r="K606" s="106">
        <v>6.0</v>
      </c>
      <c r="L606" s="82" t="s">
        <v>37</v>
      </c>
      <c r="M606" s="82" t="s">
        <v>1826</v>
      </c>
      <c r="N606" s="82" t="s">
        <v>1829</v>
      </c>
      <c r="O606" s="82" t="s">
        <v>328</v>
      </c>
      <c r="P606" s="107" t="s">
        <v>1378</v>
      </c>
      <c r="Q606" s="82" t="s">
        <v>1827</v>
      </c>
      <c r="R606" s="76" t="str">
        <f t="shared" si="4"/>
        <v>Active</v>
      </c>
      <c r="S606" s="90">
        <v>45547.0</v>
      </c>
      <c r="T606" s="79">
        <f t="shared" si="5"/>
        <v>46.06666667</v>
      </c>
      <c r="U606" s="90"/>
      <c r="V606" s="79"/>
    </row>
    <row r="607">
      <c r="A607" s="53" t="s">
        <v>1898</v>
      </c>
      <c r="B607" s="54" t="s">
        <v>35</v>
      </c>
      <c r="C607" s="54" t="s">
        <v>36</v>
      </c>
      <c r="D607" s="59" t="str">
        <f t="shared" si="19"/>
        <v>Active</v>
      </c>
      <c r="E607" s="88">
        <v>44145.0</v>
      </c>
      <c r="F607" s="187"/>
      <c r="G607" s="65">
        <f t="shared" si="2"/>
        <v>70.86666667</v>
      </c>
      <c r="H607" s="88">
        <v>43784.0</v>
      </c>
      <c r="I607" s="65">
        <f t="shared" si="3"/>
        <v>0.9861111111</v>
      </c>
      <c r="J607" s="121">
        <v>81.0</v>
      </c>
      <c r="K607" s="121">
        <v>24.0</v>
      </c>
      <c r="L607" s="69" t="s">
        <v>41</v>
      </c>
      <c r="M607" s="69" t="s">
        <v>326</v>
      </c>
      <c r="N607" s="69"/>
      <c r="O607" s="69" t="s">
        <v>328</v>
      </c>
      <c r="P607" s="122" t="s">
        <v>1347</v>
      </c>
      <c r="Q607" s="69"/>
      <c r="R607" s="59" t="str">
        <f t="shared" si="4"/>
        <v>Active</v>
      </c>
      <c r="S607" s="88">
        <v>45547.0</v>
      </c>
      <c r="T607" s="65">
        <f t="shared" si="5"/>
        <v>46.06666667</v>
      </c>
      <c r="U607" s="88"/>
      <c r="V607" s="65"/>
    </row>
    <row r="608">
      <c r="A608" s="74" t="s">
        <v>1899</v>
      </c>
      <c r="B608" s="75" t="s">
        <v>35</v>
      </c>
      <c r="C608" s="75" t="s">
        <v>371</v>
      </c>
      <c r="D608" s="76" t="str">
        <f t="shared" si="19"/>
        <v>Active</v>
      </c>
      <c r="E608" s="90">
        <v>44145.0</v>
      </c>
      <c r="F608" s="198"/>
      <c r="G608" s="79">
        <f t="shared" si="2"/>
        <v>70.86666667</v>
      </c>
      <c r="H608" s="90">
        <v>41884.0</v>
      </c>
      <c r="I608" s="79">
        <f t="shared" si="3"/>
        <v>6.188888889</v>
      </c>
      <c r="J608" s="106">
        <v>66.0</v>
      </c>
      <c r="K608" s="106">
        <v>40.0</v>
      </c>
      <c r="L608" s="82" t="s">
        <v>64</v>
      </c>
      <c r="M608" s="82"/>
      <c r="N608" s="82" t="s">
        <v>1829</v>
      </c>
      <c r="O608" s="82" t="s">
        <v>328</v>
      </c>
      <c r="P608" s="107" t="s">
        <v>1802</v>
      </c>
      <c r="Q608" s="82"/>
      <c r="R608" s="76" t="str">
        <f t="shared" si="4"/>
        <v>Active</v>
      </c>
      <c r="S608" s="90">
        <v>45547.0</v>
      </c>
      <c r="T608" s="79">
        <f t="shared" si="5"/>
        <v>46.06666667</v>
      </c>
      <c r="U608" s="90"/>
      <c r="V608" s="79"/>
    </row>
    <row r="609">
      <c r="A609" s="53" t="s">
        <v>1900</v>
      </c>
      <c r="B609" s="54" t="s">
        <v>35</v>
      </c>
      <c r="C609" s="54"/>
      <c r="D609" s="59" t="str">
        <f t="shared" si="19"/>
        <v>Active</v>
      </c>
      <c r="E609" s="88">
        <v>44145.0</v>
      </c>
      <c r="F609" s="187"/>
      <c r="G609" s="65">
        <f t="shared" si="2"/>
        <v>70.86666667</v>
      </c>
      <c r="H609" s="88">
        <v>42671.0</v>
      </c>
      <c r="I609" s="65">
        <f t="shared" si="3"/>
        <v>4.033333333</v>
      </c>
      <c r="J609" s="121">
        <v>87.0</v>
      </c>
      <c r="K609" s="121">
        <v>6.0</v>
      </c>
      <c r="L609" s="69" t="s">
        <v>37</v>
      </c>
      <c r="M609" s="69" t="s">
        <v>1747</v>
      </c>
      <c r="N609" s="69" t="s">
        <v>1829</v>
      </c>
      <c r="O609" s="69" t="s">
        <v>107</v>
      </c>
      <c r="P609" s="122" t="s">
        <v>1733</v>
      </c>
      <c r="Q609" s="69"/>
      <c r="R609" s="59" t="str">
        <f t="shared" si="4"/>
        <v>Active</v>
      </c>
      <c r="S609" s="88">
        <v>45547.0</v>
      </c>
      <c r="T609" s="65">
        <f t="shared" si="5"/>
        <v>46.06666667</v>
      </c>
      <c r="U609" s="88"/>
      <c r="V609" s="65"/>
    </row>
    <row r="610">
      <c r="A610" s="74" t="s">
        <v>1901</v>
      </c>
      <c r="B610" s="75" t="s">
        <v>35</v>
      </c>
      <c r="C610" s="75"/>
      <c r="D610" s="76" t="str">
        <f t="shared" si="19"/>
        <v>Active</v>
      </c>
      <c r="E610" s="90">
        <v>44145.0</v>
      </c>
      <c r="F610" s="198"/>
      <c r="G610" s="79">
        <f t="shared" si="2"/>
        <v>70.86666667</v>
      </c>
      <c r="H610" s="90">
        <v>42409.0</v>
      </c>
      <c r="I610" s="79">
        <f t="shared" si="3"/>
        <v>4.752777778</v>
      </c>
      <c r="J610" s="106">
        <v>75.0</v>
      </c>
      <c r="K610" s="106">
        <v>6.0</v>
      </c>
      <c r="L610" s="82" t="s">
        <v>57</v>
      </c>
      <c r="M610" s="82"/>
      <c r="N610" s="82"/>
      <c r="O610" s="82" t="s">
        <v>1219</v>
      </c>
      <c r="P610" s="107" t="s">
        <v>1857</v>
      </c>
      <c r="Q610" s="82"/>
      <c r="R610" s="76" t="str">
        <f t="shared" si="4"/>
        <v>Active</v>
      </c>
      <c r="S610" s="90">
        <v>45547.0</v>
      </c>
      <c r="T610" s="79">
        <f t="shared" si="5"/>
        <v>46.06666667</v>
      </c>
      <c r="U610" s="90"/>
      <c r="V610" s="79"/>
    </row>
    <row r="611">
      <c r="A611" s="53" t="s">
        <v>1902</v>
      </c>
      <c r="B611" s="54" t="s">
        <v>35</v>
      </c>
      <c r="C611" s="54" t="s">
        <v>36</v>
      </c>
      <c r="D611" s="59" t="str">
        <f t="shared" si="19"/>
        <v>Active</v>
      </c>
      <c r="E611" s="88">
        <v>44145.0</v>
      </c>
      <c r="F611" s="187"/>
      <c r="G611" s="65">
        <f t="shared" si="2"/>
        <v>70.86666667</v>
      </c>
      <c r="H611" s="88">
        <v>43260.0</v>
      </c>
      <c r="I611" s="65">
        <f t="shared" si="3"/>
        <v>2.419444444</v>
      </c>
      <c r="J611" s="121">
        <v>81.0</v>
      </c>
      <c r="K611" s="121">
        <v>5.0</v>
      </c>
      <c r="L611" s="69" t="s">
        <v>57</v>
      </c>
      <c r="M611" s="69" t="s">
        <v>1747</v>
      </c>
      <c r="N611" s="69"/>
      <c r="O611" s="69" t="s">
        <v>1219</v>
      </c>
      <c r="P611" s="122" t="s">
        <v>1857</v>
      </c>
      <c r="Q611" s="69"/>
      <c r="R611" s="59" t="str">
        <f t="shared" si="4"/>
        <v>Active</v>
      </c>
      <c r="S611" s="88">
        <v>45547.0</v>
      </c>
      <c r="T611" s="65">
        <f t="shared" si="5"/>
        <v>46.06666667</v>
      </c>
      <c r="U611" s="88"/>
      <c r="V611" s="65"/>
    </row>
    <row r="612">
      <c r="A612" s="74" t="s">
        <v>1903</v>
      </c>
      <c r="B612" s="75" t="s">
        <v>129</v>
      </c>
      <c r="C612" s="75"/>
      <c r="D612" s="76" t="str">
        <f t="shared" si="19"/>
        <v>Active</v>
      </c>
      <c r="E612" s="90">
        <v>44145.0</v>
      </c>
      <c r="F612" s="198"/>
      <c r="G612" s="79">
        <f t="shared" si="2"/>
        <v>70.86666667</v>
      </c>
      <c r="H612" s="90">
        <v>37967.0</v>
      </c>
      <c r="I612" s="79">
        <f t="shared" si="3"/>
        <v>16.91111111</v>
      </c>
      <c r="J612" s="106">
        <v>78.0</v>
      </c>
      <c r="K612" s="106">
        <v>5.0</v>
      </c>
      <c r="L612" s="82" t="s">
        <v>96</v>
      </c>
      <c r="M612" s="82"/>
      <c r="N612" s="82"/>
      <c r="O612" s="82" t="s">
        <v>1219</v>
      </c>
      <c r="P612" s="107"/>
      <c r="Q612" s="82" t="s">
        <v>1822</v>
      </c>
      <c r="R612" s="76" t="str">
        <f t="shared" si="4"/>
        <v>Active</v>
      </c>
      <c r="S612" s="90">
        <v>45547.0</v>
      </c>
      <c r="T612" s="79">
        <f t="shared" si="5"/>
        <v>46.06666667</v>
      </c>
      <c r="U612" s="90"/>
      <c r="V612" s="79"/>
    </row>
    <row r="613">
      <c r="A613" s="53" t="s">
        <v>1904</v>
      </c>
      <c r="B613" s="54" t="s">
        <v>129</v>
      </c>
      <c r="C613" s="54"/>
      <c r="D613" s="59" t="str">
        <f t="shared" si="19"/>
        <v>Active</v>
      </c>
      <c r="E613" s="88">
        <v>44145.0</v>
      </c>
      <c r="F613" s="187"/>
      <c r="G613" s="65">
        <f t="shared" si="2"/>
        <v>70.86666667</v>
      </c>
      <c r="H613" s="88">
        <v>40071.0</v>
      </c>
      <c r="I613" s="65">
        <f t="shared" si="3"/>
        <v>11.15277778</v>
      </c>
      <c r="J613" s="121">
        <v>76.0</v>
      </c>
      <c r="K613" s="121">
        <v>5.0</v>
      </c>
      <c r="L613" s="69" t="s">
        <v>96</v>
      </c>
      <c r="M613" s="69"/>
      <c r="N613" s="69"/>
      <c r="O613" s="69" t="s">
        <v>1219</v>
      </c>
      <c r="P613" s="122" t="s">
        <v>1905</v>
      </c>
      <c r="Q613" s="69" t="s">
        <v>1822</v>
      </c>
      <c r="R613" s="59" t="str">
        <f t="shared" si="4"/>
        <v>Active</v>
      </c>
      <c r="S613" s="88">
        <v>45547.0</v>
      </c>
      <c r="T613" s="65">
        <f t="shared" si="5"/>
        <v>46.06666667</v>
      </c>
      <c r="U613" s="88"/>
      <c r="V613" s="65"/>
    </row>
    <row r="614">
      <c r="A614" s="74" t="s">
        <v>1906</v>
      </c>
      <c r="B614" s="75" t="s">
        <v>35</v>
      </c>
      <c r="C614" s="75" t="s">
        <v>371</v>
      </c>
      <c r="D614" s="76" t="str">
        <f t="shared" si="19"/>
        <v>Active</v>
      </c>
      <c r="E614" s="90">
        <v>44140.0</v>
      </c>
      <c r="F614" s="198"/>
      <c r="G614" s="79">
        <f t="shared" si="2"/>
        <v>71.03333333</v>
      </c>
      <c r="H614" s="90">
        <v>43964.0</v>
      </c>
      <c r="I614" s="79">
        <f t="shared" si="3"/>
        <v>0.4777777778</v>
      </c>
      <c r="J614" s="106">
        <f>(83+85)/2</f>
        <v>84</v>
      </c>
      <c r="K614" s="106">
        <v>119.0</v>
      </c>
      <c r="L614" s="82" t="s">
        <v>37</v>
      </c>
      <c r="M614" s="82"/>
      <c r="N614" s="160" t="s">
        <v>1810</v>
      </c>
      <c r="O614" s="82" t="s">
        <v>328</v>
      </c>
      <c r="Q614" s="82"/>
      <c r="R614" s="76" t="str">
        <f t="shared" si="4"/>
        <v>Active</v>
      </c>
      <c r="S614" s="90">
        <v>45547.0</v>
      </c>
      <c r="T614" s="79">
        <f t="shared" si="5"/>
        <v>46.23333333</v>
      </c>
      <c r="U614" s="90">
        <v>45405.0</v>
      </c>
      <c r="V614" s="79">
        <f>MONTHDUR(E614,U614)</f>
        <v>41.6</v>
      </c>
    </row>
    <row r="615">
      <c r="A615" s="53" t="s">
        <v>1566</v>
      </c>
      <c r="B615" s="54" t="s">
        <v>35</v>
      </c>
      <c r="C615" s="54"/>
      <c r="D615" s="59" t="str">
        <f t="shared" si="19"/>
        <v>Active</v>
      </c>
      <c r="E615" s="88">
        <v>44133.0</v>
      </c>
      <c r="F615" s="187"/>
      <c r="G615" s="65">
        <f t="shared" si="2"/>
        <v>71.23333333</v>
      </c>
      <c r="H615" s="88">
        <v>42451.0</v>
      </c>
      <c r="I615" s="65">
        <f t="shared" si="3"/>
        <v>4.602777778</v>
      </c>
      <c r="J615" s="121">
        <v>84.0</v>
      </c>
      <c r="K615" s="121">
        <v>4.5</v>
      </c>
      <c r="L615" s="69" t="s">
        <v>135</v>
      </c>
      <c r="M615" s="69"/>
      <c r="N615" s="69"/>
      <c r="O615" s="69" t="s">
        <v>328</v>
      </c>
      <c r="P615" s="122" t="s">
        <v>1712</v>
      </c>
      <c r="Q615" s="69"/>
      <c r="R615" s="59" t="str">
        <f t="shared" si="4"/>
        <v>Active</v>
      </c>
      <c r="S615" s="88">
        <v>45547.0</v>
      </c>
      <c r="T615" s="65">
        <f t="shared" si="5"/>
        <v>46.43333333</v>
      </c>
      <c r="U615" s="88"/>
      <c r="V615" s="65"/>
    </row>
    <row r="616">
      <c r="A616" s="74" t="s">
        <v>1568</v>
      </c>
      <c r="B616" s="75" t="s">
        <v>35</v>
      </c>
      <c r="C616" s="75"/>
      <c r="D616" s="76" t="str">
        <f t="shared" si="19"/>
        <v>Active</v>
      </c>
      <c r="E616" s="90">
        <v>44133.0</v>
      </c>
      <c r="F616" s="198"/>
      <c r="G616" s="79">
        <f t="shared" si="2"/>
        <v>71.23333333</v>
      </c>
      <c r="H616" s="90">
        <v>42843.0</v>
      </c>
      <c r="I616" s="79">
        <f t="shared" si="3"/>
        <v>3.530555556</v>
      </c>
      <c r="J616" s="106">
        <v>76.0</v>
      </c>
      <c r="K616" s="106">
        <v>4.0</v>
      </c>
      <c r="L616" s="82" t="s">
        <v>135</v>
      </c>
      <c r="M616" s="82"/>
      <c r="N616" s="82"/>
      <c r="O616" s="82" t="s">
        <v>328</v>
      </c>
      <c r="P616" s="107" t="s">
        <v>1908</v>
      </c>
      <c r="Q616" s="82"/>
      <c r="R616" s="76" t="str">
        <f t="shared" si="4"/>
        <v>Active</v>
      </c>
      <c r="S616" s="90">
        <v>45547.0</v>
      </c>
      <c r="T616" s="79">
        <f t="shared" si="5"/>
        <v>46.43333333</v>
      </c>
      <c r="U616" s="90"/>
      <c r="V616" s="79"/>
    </row>
    <row r="617">
      <c r="A617" s="53" t="s">
        <v>1569</v>
      </c>
      <c r="B617" s="54" t="s">
        <v>35</v>
      </c>
      <c r="C617" s="54"/>
      <c r="D617" s="59" t="str">
        <f t="shared" si="19"/>
        <v>Active</v>
      </c>
      <c r="E617" s="88">
        <v>44133.0</v>
      </c>
      <c r="F617" s="187"/>
      <c r="G617" s="65">
        <f t="shared" si="2"/>
        <v>71.23333333</v>
      </c>
      <c r="H617" s="88">
        <v>42031.0</v>
      </c>
      <c r="I617" s="65">
        <f t="shared" si="3"/>
        <v>5.755555556</v>
      </c>
      <c r="J617" s="121">
        <v>80.0</v>
      </c>
      <c r="K617" s="121">
        <v>11.0</v>
      </c>
      <c r="L617" s="69" t="s">
        <v>135</v>
      </c>
      <c r="M617" s="69"/>
      <c r="N617" s="69"/>
      <c r="O617" s="69" t="s">
        <v>328</v>
      </c>
      <c r="P617" s="122" t="s">
        <v>1909</v>
      </c>
      <c r="Q617" s="69"/>
      <c r="R617" s="59" t="str">
        <f t="shared" si="4"/>
        <v>Active</v>
      </c>
      <c r="S617" s="88">
        <v>45547.0</v>
      </c>
      <c r="T617" s="65">
        <f t="shared" si="5"/>
        <v>46.43333333</v>
      </c>
      <c r="U617" s="88"/>
      <c r="V617" s="65"/>
    </row>
    <row r="618">
      <c r="A618" s="74" t="s">
        <v>1910</v>
      </c>
      <c r="B618" s="75" t="s">
        <v>35</v>
      </c>
      <c r="C618" s="75" t="s">
        <v>36</v>
      </c>
      <c r="D618" s="76" t="str">
        <f t="shared" si="19"/>
        <v>Active</v>
      </c>
      <c r="E618" s="90">
        <v>44126.0</v>
      </c>
      <c r="F618" s="198"/>
      <c r="G618" s="79">
        <f t="shared" si="2"/>
        <v>71.46666667</v>
      </c>
      <c r="H618" s="90">
        <v>42339.0</v>
      </c>
      <c r="I618" s="79">
        <f t="shared" si="3"/>
        <v>4.891666667</v>
      </c>
      <c r="J618" s="106">
        <v>74.0</v>
      </c>
      <c r="K618" s="106">
        <v>7.5</v>
      </c>
      <c r="L618" s="82" t="s">
        <v>37</v>
      </c>
      <c r="M618" s="82" t="s">
        <v>326</v>
      </c>
      <c r="N618" s="82" t="s">
        <v>1911</v>
      </c>
      <c r="O618" s="82" t="s">
        <v>107</v>
      </c>
      <c r="P618" s="107" t="s">
        <v>310</v>
      </c>
      <c r="Q618" s="82"/>
      <c r="R618" s="76" t="str">
        <f t="shared" si="4"/>
        <v>Active</v>
      </c>
      <c r="S618" s="90">
        <v>45547.0</v>
      </c>
      <c r="T618" s="79">
        <f t="shared" si="5"/>
        <v>46.66666667</v>
      </c>
      <c r="U618" s="90"/>
      <c r="V618" s="79"/>
    </row>
    <row r="619">
      <c r="A619" s="53" t="s">
        <v>1571</v>
      </c>
      <c r="B619" s="54" t="s">
        <v>13</v>
      </c>
      <c r="C619" s="54"/>
      <c r="D619" s="59" t="str">
        <f t="shared" si="19"/>
        <v>Active</v>
      </c>
      <c r="E619" s="88">
        <v>44119.0</v>
      </c>
      <c r="F619" s="187"/>
      <c r="G619" s="65">
        <f t="shared" si="2"/>
        <v>71.7</v>
      </c>
      <c r="H619" s="88">
        <v>44119.0</v>
      </c>
      <c r="I619" s="65">
        <f t="shared" si="3"/>
        <v>0</v>
      </c>
      <c r="J619" s="121">
        <v>76.0</v>
      </c>
      <c r="K619" s="121">
        <v>10.5</v>
      </c>
      <c r="L619" s="69" t="s">
        <v>81</v>
      </c>
      <c r="M619" s="69"/>
      <c r="N619" s="69"/>
      <c r="O619" s="69" t="s">
        <v>328</v>
      </c>
      <c r="P619" s="122" t="s">
        <v>1912</v>
      </c>
      <c r="Q619" s="69"/>
      <c r="R619" s="104" t="str">
        <f t="shared" si="4"/>
        <v>Active</v>
      </c>
      <c r="S619" s="98">
        <v>45931.0</v>
      </c>
      <c r="T619" s="65">
        <f t="shared" si="5"/>
        <v>59.53333333</v>
      </c>
      <c r="U619" s="98"/>
      <c r="V619" s="65"/>
    </row>
    <row r="620">
      <c r="A620" s="74" t="s">
        <v>1572</v>
      </c>
      <c r="B620" s="75" t="s">
        <v>129</v>
      </c>
      <c r="C620" s="75"/>
      <c r="D620" s="76" t="str">
        <f t="shared" si="19"/>
        <v>Active</v>
      </c>
      <c r="E620" s="90">
        <v>44112.0</v>
      </c>
      <c r="F620" s="198"/>
      <c r="G620" s="79">
        <f t="shared" si="2"/>
        <v>71.93333333</v>
      </c>
      <c r="H620" s="90">
        <v>40099.0</v>
      </c>
      <c r="I620" s="79">
        <f t="shared" si="3"/>
        <v>10.98611111</v>
      </c>
      <c r="J620" s="106">
        <v>82.0</v>
      </c>
      <c r="K620" s="106">
        <v>9.0</v>
      </c>
      <c r="L620" s="82" t="s">
        <v>41</v>
      </c>
      <c r="M620" s="82"/>
      <c r="N620" s="82"/>
      <c r="O620" s="234" t="s">
        <v>107</v>
      </c>
      <c r="P620" s="107" t="s">
        <v>1913</v>
      </c>
      <c r="Q620" s="82" t="s">
        <v>1822</v>
      </c>
      <c r="R620" s="76" t="str">
        <f t="shared" si="4"/>
        <v>Active</v>
      </c>
      <c r="S620" s="90">
        <v>45547.0</v>
      </c>
      <c r="T620" s="79">
        <f t="shared" si="5"/>
        <v>47.13333333</v>
      </c>
      <c r="U620" s="90"/>
      <c r="V620" s="79"/>
    </row>
    <row r="621">
      <c r="A621" s="53" t="s">
        <v>1575</v>
      </c>
      <c r="B621" s="54" t="s">
        <v>35</v>
      </c>
      <c r="C621" s="54" t="s">
        <v>36</v>
      </c>
      <c r="D621" s="59" t="str">
        <f t="shared" si="19"/>
        <v>Active</v>
      </c>
      <c r="E621" s="88">
        <v>44105.0</v>
      </c>
      <c r="F621" s="187"/>
      <c r="G621" s="65">
        <f t="shared" si="2"/>
        <v>72.16666667</v>
      </c>
      <c r="H621" s="88">
        <v>43910.0</v>
      </c>
      <c r="I621" s="65">
        <f t="shared" si="3"/>
        <v>0.5305555556</v>
      </c>
      <c r="J621" s="121">
        <v>88.0</v>
      </c>
      <c r="K621" s="121">
        <v>13.5</v>
      </c>
      <c r="L621" s="69" t="s">
        <v>37</v>
      </c>
      <c r="M621" s="69" t="s">
        <v>326</v>
      </c>
      <c r="N621" s="69" t="s">
        <v>1657</v>
      </c>
      <c r="O621" s="69" t="s">
        <v>107</v>
      </c>
      <c r="P621" s="122" t="s">
        <v>1766</v>
      </c>
      <c r="Q621" s="69"/>
      <c r="R621" s="59" t="str">
        <f t="shared" si="4"/>
        <v>Active</v>
      </c>
      <c r="S621" s="88">
        <v>45547.0</v>
      </c>
      <c r="T621" s="65">
        <f t="shared" si="5"/>
        <v>47.36666667</v>
      </c>
      <c r="U621" s="88">
        <v>45183.0</v>
      </c>
      <c r="V621" s="65">
        <f>MONTHDUR(E621,U621)</f>
        <v>35.43333333</v>
      </c>
    </row>
    <row r="622">
      <c r="A622" s="74" t="s">
        <v>1577</v>
      </c>
      <c r="B622" s="75" t="s">
        <v>35</v>
      </c>
      <c r="C622" s="75" t="s">
        <v>36</v>
      </c>
      <c r="D622" s="76" t="str">
        <f t="shared" si="19"/>
        <v>Active</v>
      </c>
      <c r="E622" s="90">
        <v>44096.0</v>
      </c>
      <c r="F622" s="198"/>
      <c r="G622" s="79">
        <f t="shared" si="2"/>
        <v>72.46666667</v>
      </c>
      <c r="H622" s="90">
        <v>40078.0</v>
      </c>
      <c r="I622" s="79">
        <f t="shared" si="3"/>
        <v>11</v>
      </c>
      <c r="J622" s="106">
        <v>83.0</v>
      </c>
      <c r="K622" s="106">
        <v>7.0</v>
      </c>
      <c r="L622" s="82" t="s">
        <v>37</v>
      </c>
      <c r="M622" s="82"/>
      <c r="N622" s="82"/>
      <c r="O622" s="82" t="s">
        <v>107</v>
      </c>
      <c r="P622" s="107" t="s">
        <v>1914</v>
      </c>
      <c r="Q622" s="82" t="s">
        <v>1822</v>
      </c>
      <c r="R622" s="76" t="str">
        <f t="shared" si="4"/>
        <v>Active</v>
      </c>
      <c r="S622" s="90">
        <v>45547.0</v>
      </c>
      <c r="T622" s="79">
        <f t="shared" si="5"/>
        <v>47.66666667</v>
      </c>
      <c r="U622" s="90"/>
      <c r="V622" s="79"/>
    </row>
    <row r="623">
      <c r="A623" s="207" t="s">
        <v>1579</v>
      </c>
      <c r="B623" s="54" t="s">
        <v>35</v>
      </c>
      <c r="C623" s="54" t="s">
        <v>100</v>
      </c>
      <c r="D623" s="59" t="str">
        <f t="shared" si="19"/>
        <v>Active</v>
      </c>
      <c r="E623" s="61">
        <v>44071.0</v>
      </c>
      <c r="F623" s="187"/>
      <c r="G623" s="65">
        <f t="shared" si="2"/>
        <v>73.26666667</v>
      </c>
      <c r="H623" s="88">
        <v>44071.0</v>
      </c>
      <c r="I623" s="65">
        <f t="shared" si="3"/>
        <v>0</v>
      </c>
      <c r="J623" s="121">
        <v>86.0</v>
      </c>
      <c r="K623" s="121">
        <v>36.5</v>
      </c>
      <c r="L623" s="69" t="s">
        <v>46</v>
      </c>
      <c r="M623" s="69" t="s">
        <v>1747</v>
      </c>
      <c r="N623" s="91"/>
      <c r="O623" s="69" t="s">
        <v>107</v>
      </c>
      <c r="P623" s="122" t="s">
        <v>1915</v>
      </c>
      <c r="Q623" s="69"/>
      <c r="R623" s="59" t="str">
        <f t="shared" si="4"/>
        <v>Active</v>
      </c>
      <c r="S623" s="88">
        <v>45547.0</v>
      </c>
      <c r="T623" s="65">
        <f t="shared" si="5"/>
        <v>48.46666667</v>
      </c>
      <c r="U623" s="88"/>
      <c r="V623" s="65"/>
    </row>
    <row r="624">
      <c r="A624" s="74" t="s">
        <v>1580</v>
      </c>
      <c r="B624" s="75" t="s">
        <v>35</v>
      </c>
      <c r="C624" s="75" t="s">
        <v>100</v>
      </c>
      <c r="D624" s="76" t="str">
        <f t="shared" si="19"/>
        <v>Active</v>
      </c>
      <c r="E624" s="77">
        <v>44070.0</v>
      </c>
      <c r="F624" s="198"/>
      <c r="G624" s="79">
        <f t="shared" si="2"/>
        <v>73.3</v>
      </c>
      <c r="H624" s="77">
        <v>44070.0</v>
      </c>
      <c r="I624" s="79">
        <f t="shared" si="3"/>
        <v>0</v>
      </c>
      <c r="J624" s="106">
        <f>(79+81)/2</f>
        <v>80</v>
      </c>
      <c r="K624" s="106">
        <v>9.0</v>
      </c>
      <c r="L624" s="82" t="s">
        <v>135</v>
      </c>
      <c r="M624" s="82"/>
      <c r="N624" s="82"/>
      <c r="O624" s="82" t="s">
        <v>107</v>
      </c>
      <c r="P624" s="107" t="s">
        <v>1916</v>
      </c>
      <c r="Q624" s="82"/>
      <c r="R624" s="76" t="str">
        <f t="shared" si="4"/>
        <v>Active</v>
      </c>
      <c r="S624" s="90">
        <v>45547.0</v>
      </c>
      <c r="T624" s="79">
        <f t="shared" si="5"/>
        <v>48.5</v>
      </c>
      <c r="U624" s="90"/>
      <c r="V624" s="79"/>
    </row>
    <row r="625">
      <c r="A625" s="53" t="s">
        <v>1582</v>
      </c>
      <c r="B625" s="54" t="s">
        <v>35</v>
      </c>
      <c r="C625" s="54" t="s">
        <v>36</v>
      </c>
      <c r="D625" s="59" t="str">
        <f t="shared" si="19"/>
        <v>Active</v>
      </c>
      <c r="E625" s="61">
        <v>44063.0</v>
      </c>
      <c r="F625" s="187"/>
      <c r="G625" s="65">
        <f t="shared" si="2"/>
        <v>73.53333333</v>
      </c>
      <c r="H625" s="88">
        <v>44063.0</v>
      </c>
      <c r="I625" s="65">
        <f t="shared" si="3"/>
        <v>0</v>
      </c>
      <c r="J625" s="121">
        <f>(72+73)/2</f>
        <v>72.5</v>
      </c>
      <c r="K625" s="121">
        <v>4.0</v>
      </c>
      <c r="L625" s="69" t="s">
        <v>1750</v>
      </c>
      <c r="M625" s="69"/>
      <c r="N625" s="69"/>
      <c r="O625" s="69" t="s">
        <v>1168</v>
      </c>
      <c r="P625" s="122" t="s">
        <v>1917</v>
      </c>
      <c r="Q625" s="69"/>
      <c r="R625" s="59" t="str">
        <f t="shared" si="4"/>
        <v>Active</v>
      </c>
      <c r="S625" s="88">
        <v>45547.0</v>
      </c>
      <c r="T625" s="65">
        <f t="shared" si="5"/>
        <v>48.73333333</v>
      </c>
      <c r="U625" s="88"/>
      <c r="V625" s="65"/>
    </row>
    <row r="626">
      <c r="A626" s="74" t="s">
        <v>1578</v>
      </c>
      <c r="B626" s="75" t="s">
        <v>35</v>
      </c>
      <c r="C626" s="75" t="s">
        <v>100</v>
      </c>
      <c r="D626" s="76" t="str">
        <f t="shared" si="19"/>
        <v>Active</v>
      </c>
      <c r="E626" s="77">
        <v>44063.0</v>
      </c>
      <c r="F626" s="198"/>
      <c r="G626" s="79">
        <f t="shared" si="2"/>
        <v>73.53333333</v>
      </c>
      <c r="H626" s="90">
        <v>43777.0</v>
      </c>
      <c r="I626" s="79">
        <f t="shared" si="3"/>
        <v>0.7833333333</v>
      </c>
      <c r="J626" s="106">
        <v>76.0</v>
      </c>
      <c r="K626" s="106">
        <v>7.5</v>
      </c>
      <c r="L626" s="82" t="s">
        <v>57</v>
      </c>
      <c r="M626" s="82" t="s">
        <v>1747</v>
      </c>
      <c r="N626" s="82"/>
      <c r="O626" s="82" t="s">
        <v>1219</v>
      </c>
      <c r="P626" s="107" t="s">
        <v>1918</v>
      </c>
      <c r="Q626" s="82"/>
      <c r="R626" s="76" t="str">
        <f t="shared" si="4"/>
        <v>Active</v>
      </c>
      <c r="S626" s="90">
        <v>45547.0</v>
      </c>
      <c r="T626" s="79">
        <f t="shared" si="5"/>
        <v>48.73333333</v>
      </c>
      <c r="U626" s="90"/>
      <c r="V626" s="79"/>
    </row>
    <row r="627">
      <c r="A627" s="53" t="s">
        <v>1584</v>
      </c>
      <c r="B627" s="54" t="s">
        <v>35</v>
      </c>
      <c r="C627" s="54" t="s">
        <v>36</v>
      </c>
      <c r="D627" s="59" t="str">
        <f t="shared" si="19"/>
        <v>Active</v>
      </c>
      <c r="E627" s="61">
        <v>44061.0</v>
      </c>
      <c r="F627" s="187"/>
      <c r="G627" s="65">
        <f t="shared" si="2"/>
        <v>73.6</v>
      </c>
      <c r="H627" s="88">
        <v>44061.0</v>
      </c>
      <c r="I627" s="65">
        <f t="shared" si="3"/>
        <v>0</v>
      </c>
      <c r="J627" s="121">
        <v>92.0</v>
      </c>
      <c r="K627" s="121">
        <v>41.5</v>
      </c>
      <c r="L627" s="69" t="s">
        <v>1743</v>
      </c>
      <c r="M627" s="69" t="s">
        <v>1919</v>
      </c>
      <c r="N627" s="69" t="s">
        <v>1920</v>
      </c>
      <c r="O627" s="69" t="s">
        <v>1219</v>
      </c>
      <c r="P627" s="122"/>
      <c r="Q627" s="69"/>
      <c r="R627" s="59" t="str">
        <f t="shared" si="4"/>
        <v>Active</v>
      </c>
      <c r="S627" s="88">
        <v>45547.0</v>
      </c>
      <c r="T627" s="65">
        <f t="shared" si="5"/>
        <v>48.8</v>
      </c>
      <c r="U627" s="88"/>
      <c r="V627" s="65"/>
    </row>
    <row r="628">
      <c r="A628" s="74" t="s">
        <v>1921</v>
      </c>
      <c r="B628" s="75" t="s">
        <v>35</v>
      </c>
      <c r="C628" s="75" t="s">
        <v>36</v>
      </c>
      <c r="D628" s="76" t="str">
        <f t="shared" si="19"/>
        <v>Active</v>
      </c>
      <c r="E628" s="77">
        <v>44049.0</v>
      </c>
      <c r="F628" s="198"/>
      <c r="G628" s="79">
        <f t="shared" si="2"/>
        <v>74</v>
      </c>
      <c r="H628" s="90">
        <v>43726.0</v>
      </c>
      <c r="I628" s="79">
        <f t="shared" si="3"/>
        <v>0.8833333333</v>
      </c>
      <c r="J628" s="106">
        <v>70.0</v>
      </c>
      <c r="K628" s="106">
        <v>11.5</v>
      </c>
      <c r="L628" s="82" t="s">
        <v>55</v>
      </c>
      <c r="M628" s="82"/>
      <c r="N628" s="82"/>
      <c r="O628" s="82" t="s">
        <v>1168</v>
      </c>
      <c r="P628" s="107" t="s">
        <v>1396</v>
      </c>
      <c r="Q628" s="82"/>
      <c r="R628" s="76" t="str">
        <f t="shared" si="4"/>
        <v>Active</v>
      </c>
      <c r="S628" s="90">
        <v>45547.0</v>
      </c>
      <c r="T628" s="79">
        <f t="shared" si="5"/>
        <v>49.2</v>
      </c>
      <c r="U628" s="90"/>
      <c r="V628" s="79"/>
    </row>
    <row r="629">
      <c r="A629" s="53" t="s">
        <v>1585</v>
      </c>
      <c r="B629" s="54" t="s">
        <v>35</v>
      </c>
      <c r="C629" s="54" t="s">
        <v>371</v>
      </c>
      <c r="D629" s="59" t="str">
        <f t="shared" si="19"/>
        <v>Active</v>
      </c>
      <c r="E629" s="61">
        <v>44040.0</v>
      </c>
      <c r="F629" s="187"/>
      <c r="G629" s="65">
        <f t="shared" si="2"/>
        <v>74.26666667</v>
      </c>
      <c r="H629" s="88">
        <v>44040.0</v>
      </c>
      <c r="I629" s="65">
        <f t="shared" si="3"/>
        <v>0</v>
      </c>
      <c r="J629" s="121">
        <f>(60*4+65+75*2)/7</f>
        <v>65</v>
      </c>
      <c r="K629" s="121">
        <v>6.5</v>
      </c>
      <c r="L629" s="69" t="s">
        <v>41</v>
      </c>
      <c r="M629" s="69" t="s">
        <v>326</v>
      </c>
      <c r="N629" s="69" t="s">
        <v>1922</v>
      </c>
      <c r="O629" s="69" t="s">
        <v>328</v>
      </c>
      <c r="P629" s="122" t="s">
        <v>1923</v>
      </c>
      <c r="Q629" s="69"/>
      <c r="R629" s="59" t="str">
        <f t="shared" si="4"/>
        <v>Active</v>
      </c>
      <c r="S629" s="88">
        <v>45547.0</v>
      </c>
      <c r="T629" s="65">
        <f t="shared" si="5"/>
        <v>49.46666667</v>
      </c>
      <c r="U629" s="88">
        <v>45183.0</v>
      </c>
      <c r="V629" s="65">
        <f>MONTHDUR(E629,U629)</f>
        <v>37.53333333</v>
      </c>
    </row>
    <row r="630">
      <c r="A630" s="74" t="s">
        <v>1587</v>
      </c>
      <c r="B630" s="75" t="s">
        <v>35</v>
      </c>
      <c r="C630" s="76"/>
      <c r="D630" s="76" t="str">
        <f t="shared" si="19"/>
        <v>Active</v>
      </c>
      <c r="E630" s="77">
        <v>44026.0</v>
      </c>
      <c r="F630" s="198"/>
      <c r="G630" s="79">
        <f t="shared" si="2"/>
        <v>74.73333333</v>
      </c>
      <c r="H630" s="90">
        <v>39350.0</v>
      </c>
      <c r="I630" s="79">
        <f t="shared" si="3"/>
        <v>12.80277778</v>
      </c>
      <c r="J630" s="106">
        <v>88.0</v>
      </c>
      <c r="K630" s="106">
        <v>9.0</v>
      </c>
      <c r="L630" s="82" t="s">
        <v>37</v>
      </c>
      <c r="M630" s="83"/>
      <c r="N630" s="83"/>
      <c r="O630" s="82" t="s">
        <v>107</v>
      </c>
      <c r="P630" s="107" t="s">
        <v>1817</v>
      </c>
      <c r="Q630" s="82" t="s">
        <v>1822</v>
      </c>
      <c r="R630" s="76" t="str">
        <f t="shared" si="4"/>
        <v>Active</v>
      </c>
      <c r="S630" s="90">
        <v>45547.0</v>
      </c>
      <c r="T630" s="79">
        <f t="shared" si="5"/>
        <v>49.93333333</v>
      </c>
      <c r="U630" s="90"/>
      <c r="V630" s="79"/>
    </row>
    <row r="631">
      <c r="A631" s="53" t="s">
        <v>1589</v>
      </c>
      <c r="B631" s="54" t="s">
        <v>35</v>
      </c>
      <c r="C631" s="54" t="s">
        <v>36</v>
      </c>
      <c r="D631" s="59" t="str">
        <f t="shared" si="19"/>
        <v>Active</v>
      </c>
      <c r="E631" s="61">
        <v>44021.0</v>
      </c>
      <c r="F631" s="187"/>
      <c r="G631" s="65">
        <f t="shared" si="2"/>
        <v>74.9</v>
      </c>
      <c r="H631" s="88">
        <v>43418.0</v>
      </c>
      <c r="I631" s="65">
        <f t="shared" si="3"/>
        <v>1.652777778</v>
      </c>
      <c r="J631" s="121">
        <v>68.0</v>
      </c>
      <c r="K631" s="121">
        <v>29.5</v>
      </c>
      <c r="L631" s="69" t="s">
        <v>46</v>
      </c>
      <c r="M631" s="69" t="s">
        <v>1747</v>
      </c>
      <c r="N631" s="69" t="s">
        <v>1924</v>
      </c>
      <c r="O631" s="69" t="s">
        <v>107</v>
      </c>
      <c r="P631" s="122" t="s">
        <v>1925</v>
      </c>
      <c r="Q631" s="69"/>
      <c r="R631" s="59" t="str">
        <f t="shared" si="4"/>
        <v>Active</v>
      </c>
      <c r="S631" s="88">
        <v>45547.0</v>
      </c>
      <c r="T631" s="65">
        <f t="shared" si="5"/>
        <v>50.1</v>
      </c>
      <c r="U631" s="88">
        <v>45183.0</v>
      </c>
      <c r="V631" s="65">
        <f>MONTHDUR(E631,U631)</f>
        <v>38.16666667</v>
      </c>
    </row>
    <row r="632">
      <c r="A632" s="74" t="s">
        <v>1590</v>
      </c>
      <c r="B632" s="75" t="s">
        <v>35</v>
      </c>
      <c r="C632" s="75" t="s">
        <v>100</v>
      </c>
      <c r="D632" s="76" t="str">
        <f t="shared" si="19"/>
        <v>Active</v>
      </c>
      <c r="E632" s="77">
        <v>44000.0</v>
      </c>
      <c r="F632" s="198"/>
      <c r="G632" s="79">
        <f t="shared" si="2"/>
        <v>75.6</v>
      </c>
      <c r="H632" s="90">
        <v>44000.0</v>
      </c>
      <c r="I632" s="79">
        <f t="shared" si="3"/>
        <v>0</v>
      </c>
      <c r="J632" s="106">
        <v>90.0</v>
      </c>
      <c r="K632" s="106">
        <v>14.0</v>
      </c>
      <c r="L632" s="82" t="s">
        <v>46</v>
      </c>
      <c r="M632" s="83"/>
      <c r="N632" s="83"/>
      <c r="O632" s="82" t="s">
        <v>328</v>
      </c>
      <c r="P632" s="107" t="s">
        <v>1926</v>
      </c>
      <c r="Q632" s="82"/>
      <c r="R632" s="76" t="str">
        <f t="shared" si="4"/>
        <v>Active</v>
      </c>
      <c r="S632" s="90">
        <v>45547.0</v>
      </c>
      <c r="T632" s="79">
        <f t="shared" si="5"/>
        <v>50.8</v>
      </c>
      <c r="U632" s="90"/>
      <c r="V632" s="79"/>
    </row>
    <row r="633">
      <c r="A633" s="53" t="s">
        <v>1927</v>
      </c>
      <c r="B633" s="54" t="s">
        <v>13</v>
      </c>
      <c r="C633" s="59"/>
      <c r="D633" s="59" t="str">
        <f t="shared" si="19"/>
        <v>Active</v>
      </c>
      <c r="E633" s="61">
        <v>43993.0</v>
      </c>
      <c r="F633" s="187"/>
      <c r="G633" s="65">
        <f t="shared" si="2"/>
        <v>75.83333333</v>
      </c>
      <c r="H633" s="88">
        <v>43214.0</v>
      </c>
      <c r="I633" s="65">
        <f t="shared" si="3"/>
        <v>2.130555556</v>
      </c>
      <c r="J633" s="121">
        <v>78.0</v>
      </c>
      <c r="K633" s="121">
        <v>54.0</v>
      </c>
      <c r="L633" s="69" t="s">
        <v>46</v>
      </c>
      <c r="M633" s="69"/>
      <c r="N633" s="69"/>
      <c r="O633" s="69" t="s">
        <v>328</v>
      </c>
      <c r="P633" s="122" t="s">
        <v>1928</v>
      </c>
      <c r="Q633" s="69"/>
      <c r="R633" s="104" t="str">
        <f t="shared" si="4"/>
        <v>Active</v>
      </c>
      <c r="S633" s="98">
        <v>45931.0</v>
      </c>
      <c r="T633" s="65">
        <f t="shared" si="5"/>
        <v>63.66666667</v>
      </c>
      <c r="U633" s="98"/>
      <c r="V633" s="65"/>
    </row>
    <row r="634">
      <c r="A634" s="74" t="s">
        <v>1929</v>
      </c>
      <c r="B634" s="75" t="s">
        <v>35</v>
      </c>
      <c r="C634" s="75" t="s">
        <v>36</v>
      </c>
      <c r="D634" s="76" t="str">
        <f t="shared" si="19"/>
        <v>Active</v>
      </c>
      <c r="E634" s="77">
        <v>43993.0</v>
      </c>
      <c r="F634" s="198"/>
      <c r="G634" s="79">
        <f t="shared" si="2"/>
        <v>75.83333333</v>
      </c>
      <c r="H634" s="90">
        <v>42591.0</v>
      </c>
      <c r="I634" s="79">
        <f t="shared" si="3"/>
        <v>3.838888889</v>
      </c>
      <c r="J634" s="106">
        <f>ROUND((61+77)/2,)</f>
        <v>69</v>
      </c>
      <c r="K634" s="106">
        <v>30.5</v>
      </c>
      <c r="L634" s="82" t="s">
        <v>41</v>
      </c>
      <c r="M634" s="82" t="s">
        <v>326</v>
      </c>
      <c r="N634" s="82"/>
      <c r="O634" s="82" t="s">
        <v>328</v>
      </c>
      <c r="P634" s="107" t="s">
        <v>1930</v>
      </c>
      <c r="Q634" s="82"/>
      <c r="R634" s="76" t="str">
        <f t="shared" si="4"/>
        <v>Active</v>
      </c>
      <c r="S634" s="90">
        <v>45547.0</v>
      </c>
      <c r="T634" s="79">
        <f t="shared" si="5"/>
        <v>51.03333333</v>
      </c>
      <c r="U634" s="90">
        <v>46276.0</v>
      </c>
      <c r="V634" s="79">
        <f>MONTHDUR(E634,U634)</f>
        <v>75</v>
      </c>
    </row>
    <row r="635">
      <c r="A635" s="53" t="s">
        <v>1591</v>
      </c>
      <c r="B635" s="54" t="s">
        <v>35</v>
      </c>
      <c r="C635" s="54" t="s">
        <v>100</v>
      </c>
      <c r="D635" s="59" t="str">
        <f t="shared" si="19"/>
        <v>Active</v>
      </c>
      <c r="E635" s="133">
        <v>43977.0</v>
      </c>
      <c r="F635" s="187"/>
      <c r="G635" s="65">
        <f t="shared" si="2"/>
        <v>76.33333333</v>
      </c>
      <c r="H635" s="88">
        <v>43977.0</v>
      </c>
      <c r="I635" s="65">
        <f t="shared" si="3"/>
        <v>0</v>
      </c>
      <c r="J635" s="121">
        <f>(70+75)/2</f>
        <v>72.5</v>
      </c>
      <c r="K635" s="121">
        <v>5.0</v>
      </c>
      <c r="L635" s="69" t="s">
        <v>46</v>
      </c>
      <c r="M635" s="69" t="s">
        <v>326</v>
      </c>
      <c r="N635" s="69"/>
      <c r="O635" s="69" t="s">
        <v>1168</v>
      </c>
      <c r="P635" s="122" t="s">
        <v>1396</v>
      </c>
      <c r="Q635" s="69"/>
      <c r="R635" s="59" t="str">
        <f t="shared" si="4"/>
        <v>Active</v>
      </c>
      <c r="S635" s="88">
        <v>45547.0</v>
      </c>
      <c r="T635" s="65">
        <f t="shared" si="5"/>
        <v>51.53333333</v>
      </c>
      <c r="U635" s="88"/>
      <c r="V635" s="65"/>
    </row>
    <row r="636">
      <c r="A636" s="74" t="s">
        <v>1592</v>
      </c>
      <c r="B636" s="75" t="s">
        <v>35</v>
      </c>
      <c r="C636" s="76"/>
      <c r="D636" s="76" t="str">
        <f t="shared" si="19"/>
        <v>Active</v>
      </c>
      <c r="E636" s="77">
        <v>43963.0</v>
      </c>
      <c r="F636" s="198"/>
      <c r="G636" s="79">
        <f t="shared" si="2"/>
        <v>76.8</v>
      </c>
      <c r="H636" s="90">
        <v>38300.0</v>
      </c>
      <c r="I636" s="79">
        <f t="shared" si="3"/>
        <v>15.50833333</v>
      </c>
      <c r="J636" s="106">
        <v>71.0</v>
      </c>
      <c r="K636" s="106">
        <v>8.0</v>
      </c>
      <c r="L636" s="82" t="s">
        <v>37</v>
      </c>
      <c r="M636" s="83"/>
      <c r="N636" s="83"/>
      <c r="O636" s="82" t="s">
        <v>107</v>
      </c>
      <c r="P636" s="107" t="s">
        <v>1817</v>
      </c>
      <c r="Q636" s="82"/>
      <c r="R636" s="76" t="str">
        <f t="shared" si="4"/>
        <v>Active</v>
      </c>
      <c r="S636" s="90">
        <v>45547.0</v>
      </c>
      <c r="T636" s="79">
        <f t="shared" si="5"/>
        <v>52</v>
      </c>
      <c r="U636" s="90"/>
      <c r="V636" s="79"/>
    </row>
    <row r="637">
      <c r="A637" s="53" t="s">
        <v>1931</v>
      </c>
      <c r="B637" s="54" t="s">
        <v>35</v>
      </c>
      <c r="C637" s="54" t="s">
        <v>36</v>
      </c>
      <c r="D637" s="59" t="str">
        <f t="shared" si="19"/>
        <v>Active</v>
      </c>
      <c r="E637" s="61">
        <v>43958.0</v>
      </c>
      <c r="F637" s="187"/>
      <c r="G637" s="65">
        <f t="shared" si="2"/>
        <v>76.96666667</v>
      </c>
      <c r="H637" s="88">
        <v>41621.0</v>
      </c>
      <c r="I637" s="65">
        <f t="shared" si="3"/>
        <v>6.4</v>
      </c>
      <c r="J637" s="208">
        <v>56.0</v>
      </c>
      <c r="K637" s="121">
        <v>65.5</v>
      </c>
      <c r="L637" s="69" t="s">
        <v>37</v>
      </c>
      <c r="M637" s="91"/>
      <c r="N637" s="230" t="s">
        <v>1932</v>
      </c>
      <c r="O637" s="69" t="s">
        <v>107</v>
      </c>
      <c r="P637" s="122" t="s">
        <v>1280</v>
      </c>
      <c r="Q637" s="69"/>
      <c r="R637" s="59" t="str">
        <f t="shared" si="4"/>
        <v>Active</v>
      </c>
      <c r="S637" s="88">
        <v>45547.0</v>
      </c>
      <c r="T637" s="65">
        <f t="shared" si="5"/>
        <v>52.16666667</v>
      </c>
      <c r="U637" s="88">
        <v>45630.0</v>
      </c>
      <c r="V637" s="65">
        <f>MONTHDUR(E637,U637)</f>
        <v>54.9</v>
      </c>
    </row>
    <row r="638">
      <c r="A638" s="74" t="s">
        <v>1933</v>
      </c>
      <c r="B638" s="75" t="s">
        <v>35</v>
      </c>
      <c r="C638" s="75" t="s">
        <v>36</v>
      </c>
      <c r="D638" s="76" t="str">
        <f t="shared" si="19"/>
        <v>Active</v>
      </c>
      <c r="E638" s="77">
        <v>43958.0</v>
      </c>
      <c r="F638" s="198"/>
      <c r="G638" s="79">
        <f t="shared" si="2"/>
        <v>76.96666667</v>
      </c>
      <c r="H638" s="90">
        <v>43809.0</v>
      </c>
      <c r="I638" s="79">
        <f t="shared" si="3"/>
        <v>0.4083333333</v>
      </c>
      <c r="J638" s="216">
        <v>74.0</v>
      </c>
      <c r="K638" s="106">
        <v>46.5</v>
      </c>
      <c r="L638" s="82" t="s">
        <v>37</v>
      </c>
      <c r="M638" s="82"/>
      <c r="N638" s="82"/>
      <c r="O638" s="82" t="s">
        <v>328</v>
      </c>
      <c r="P638" s="107" t="s">
        <v>1934</v>
      </c>
      <c r="Q638" s="82"/>
      <c r="R638" s="76" t="str">
        <f t="shared" si="4"/>
        <v>Active</v>
      </c>
      <c r="S638" s="90">
        <v>45547.0</v>
      </c>
      <c r="T638" s="79">
        <f t="shared" si="5"/>
        <v>52.16666667</v>
      </c>
      <c r="U638" s="90"/>
      <c r="V638" s="79"/>
    </row>
    <row r="639">
      <c r="A639" s="207" t="s">
        <v>1594</v>
      </c>
      <c r="B639" s="54" t="s">
        <v>35</v>
      </c>
      <c r="C639" s="54" t="s">
        <v>371</v>
      </c>
      <c r="D639" s="59" t="str">
        <f t="shared" si="19"/>
        <v>Active</v>
      </c>
      <c r="E639" s="133">
        <v>43949.0</v>
      </c>
      <c r="F639" s="120"/>
      <c r="G639" s="65">
        <f t="shared" si="2"/>
        <v>77.26666667</v>
      </c>
      <c r="H639" s="88">
        <v>43949.0</v>
      </c>
      <c r="I639" s="65">
        <f t="shared" si="3"/>
        <v>0</v>
      </c>
      <c r="J639" s="208">
        <v>81.0</v>
      </c>
      <c r="K639" s="121">
        <v>22.5</v>
      </c>
      <c r="L639" s="91" t="s">
        <v>81</v>
      </c>
      <c r="M639" s="69" t="s">
        <v>326</v>
      </c>
      <c r="N639" s="69"/>
      <c r="O639" s="69" t="s">
        <v>107</v>
      </c>
      <c r="P639" s="122" t="s">
        <v>1759</v>
      </c>
      <c r="Q639" s="69"/>
      <c r="R639" s="59" t="str">
        <f t="shared" si="4"/>
        <v>Active</v>
      </c>
      <c r="S639" s="88">
        <v>45547.0</v>
      </c>
      <c r="T639" s="65">
        <f t="shared" si="5"/>
        <v>52.46666667</v>
      </c>
      <c r="U639" s="88"/>
      <c r="V639" s="65"/>
    </row>
    <row r="640">
      <c r="A640" s="226" t="s">
        <v>1935</v>
      </c>
      <c r="B640" s="75" t="s">
        <v>35</v>
      </c>
      <c r="C640" s="75" t="s">
        <v>36</v>
      </c>
      <c r="D640" s="76" t="str">
        <f t="shared" si="19"/>
        <v>Active</v>
      </c>
      <c r="E640" s="218">
        <v>43922.0</v>
      </c>
      <c r="F640" s="198"/>
      <c r="G640" s="79">
        <f t="shared" si="2"/>
        <v>78.16666667</v>
      </c>
      <c r="H640" s="90">
        <v>43922.0</v>
      </c>
      <c r="I640" s="79">
        <f t="shared" si="3"/>
        <v>0</v>
      </c>
      <c r="J640" s="216">
        <v>60.0</v>
      </c>
      <c r="K640" s="106">
        <v>1.0</v>
      </c>
      <c r="L640" s="82" t="s">
        <v>105</v>
      </c>
      <c r="M640" s="82" t="s">
        <v>1747</v>
      </c>
      <c r="N640" s="82" t="s">
        <v>1936</v>
      </c>
      <c r="O640" s="82" t="s">
        <v>1168</v>
      </c>
      <c r="P640" s="107" t="s">
        <v>1937</v>
      </c>
      <c r="Q640" s="82"/>
      <c r="R640" s="76" t="str">
        <f t="shared" si="4"/>
        <v>Active</v>
      </c>
      <c r="S640" s="90">
        <v>45547.0</v>
      </c>
      <c r="T640" s="79">
        <f t="shared" si="5"/>
        <v>53.36666667</v>
      </c>
      <c r="U640" s="90">
        <v>45266.0</v>
      </c>
      <c r="V640" s="79">
        <f>MONTHDUR(E640,U640)</f>
        <v>44.16666667</v>
      </c>
    </row>
    <row r="641">
      <c r="A641" s="207" t="s">
        <v>1596</v>
      </c>
      <c r="B641" s="54" t="s">
        <v>35</v>
      </c>
      <c r="C641" s="54" t="s">
        <v>36</v>
      </c>
      <c r="D641" s="59" t="str">
        <f t="shared" si="19"/>
        <v>Active</v>
      </c>
      <c r="E641" s="133">
        <v>43914.0</v>
      </c>
      <c r="F641" s="187"/>
      <c r="G641" s="65">
        <f t="shared" si="2"/>
        <v>78.4</v>
      </c>
      <c r="H641" s="88">
        <v>43914.0</v>
      </c>
      <c r="I641" s="65">
        <f t="shared" si="3"/>
        <v>0</v>
      </c>
      <c r="J641" s="208">
        <v>70.0</v>
      </c>
      <c r="K641" s="121">
        <v>6.5</v>
      </c>
      <c r="L641" s="91" t="s">
        <v>105</v>
      </c>
      <c r="M641" s="91"/>
      <c r="N641" s="91"/>
      <c r="O641" s="69" t="s">
        <v>328</v>
      </c>
      <c r="P641" s="122" t="s">
        <v>1491</v>
      </c>
      <c r="Q641" s="69"/>
      <c r="R641" s="59" t="str">
        <f t="shared" si="4"/>
        <v>Active</v>
      </c>
      <c r="S641" s="88">
        <v>45547.0</v>
      </c>
      <c r="T641" s="65">
        <f t="shared" si="5"/>
        <v>53.6</v>
      </c>
      <c r="U641" s="88"/>
      <c r="V641" s="65"/>
    </row>
    <row r="642">
      <c r="A642" s="226" t="s">
        <v>1597</v>
      </c>
      <c r="B642" s="75" t="s">
        <v>35</v>
      </c>
      <c r="C642" s="75" t="s">
        <v>36</v>
      </c>
      <c r="D642" s="76" t="str">
        <f t="shared" si="19"/>
        <v>Active</v>
      </c>
      <c r="E642" s="218">
        <v>43901.0</v>
      </c>
      <c r="F642" s="198"/>
      <c r="G642" s="79">
        <f t="shared" si="2"/>
        <v>78.83333333</v>
      </c>
      <c r="H642" s="90">
        <v>43901.0</v>
      </c>
      <c r="I642" s="79">
        <f t="shared" si="3"/>
        <v>0</v>
      </c>
      <c r="J642" s="216">
        <v>90.0</v>
      </c>
      <c r="K642" s="106">
        <v>11.0</v>
      </c>
      <c r="L642" s="82" t="s">
        <v>57</v>
      </c>
      <c r="M642" s="82" t="s">
        <v>326</v>
      </c>
      <c r="N642" s="82" t="s">
        <v>1657</v>
      </c>
      <c r="O642" s="82" t="s">
        <v>1219</v>
      </c>
      <c r="P642" s="107" t="s">
        <v>1857</v>
      </c>
      <c r="Q642" s="82"/>
      <c r="R642" s="76" t="str">
        <f t="shared" si="4"/>
        <v>Active</v>
      </c>
      <c r="S642" s="90">
        <v>45547.0</v>
      </c>
      <c r="T642" s="79">
        <f t="shared" si="5"/>
        <v>54.03333333</v>
      </c>
      <c r="U642" s="90">
        <v>45183.0</v>
      </c>
      <c r="V642" s="79">
        <f>MONTHDUR(E642,U642)</f>
        <v>42.1</v>
      </c>
    </row>
    <row r="643">
      <c r="A643" s="53" t="s">
        <v>1599</v>
      </c>
      <c r="B643" s="54" t="s">
        <v>35</v>
      </c>
      <c r="C643" s="59"/>
      <c r="D643" s="59" t="str">
        <f t="shared" si="19"/>
        <v>Active</v>
      </c>
      <c r="E643" s="133">
        <v>43893.0</v>
      </c>
      <c r="F643" s="187"/>
      <c r="G643" s="65">
        <f t="shared" si="2"/>
        <v>79.1</v>
      </c>
      <c r="H643" s="88">
        <v>37210.0</v>
      </c>
      <c r="I643" s="65">
        <f t="shared" si="3"/>
        <v>18.3</v>
      </c>
      <c r="J643" s="121">
        <v>79.0</v>
      </c>
      <c r="K643" s="121">
        <v>10.0</v>
      </c>
      <c r="L643" s="69" t="s">
        <v>37</v>
      </c>
      <c r="M643" s="91"/>
      <c r="N643" s="91"/>
      <c r="O643" s="69" t="s">
        <v>107</v>
      </c>
      <c r="P643" s="122" t="s">
        <v>1817</v>
      </c>
      <c r="Q643" s="69"/>
      <c r="R643" s="59" t="str">
        <f t="shared" si="4"/>
        <v>Active</v>
      </c>
      <c r="S643" s="88">
        <v>45547.0</v>
      </c>
      <c r="T643" s="65">
        <f t="shared" si="5"/>
        <v>54.3</v>
      </c>
      <c r="U643" s="88"/>
      <c r="V643" s="65"/>
    </row>
    <row r="644">
      <c r="A644" s="226" t="s">
        <v>1600</v>
      </c>
      <c r="B644" s="75" t="s">
        <v>35</v>
      </c>
      <c r="C644" s="75" t="s">
        <v>100</v>
      </c>
      <c r="D644" s="76" t="str">
        <f t="shared" si="19"/>
        <v>Active</v>
      </c>
      <c r="E644" s="218">
        <v>43886.0</v>
      </c>
      <c r="F644" s="198"/>
      <c r="G644" s="79">
        <f t="shared" si="2"/>
        <v>79.36666667</v>
      </c>
      <c r="H644" s="90">
        <v>43886.0</v>
      </c>
      <c r="I644" s="79">
        <f t="shared" si="3"/>
        <v>0</v>
      </c>
      <c r="J644" s="216">
        <v>60.0</v>
      </c>
      <c r="K644" s="106">
        <v>18.5</v>
      </c>
      <c r="L644" s="82" t="s">
        <v>46</v>
      </c>
      <c r="M644" s="83"/>
      <c r="N644" s="83"/>
      <c r="O644" s="82" t="s">
        <v>328</v>
      </c>
      <c r="P644" s="107" t="s">
        <v>1938</v>
      </c>
      <c r="Q644" s="82"/>
      <c r="R644" s="76" t="str">
        <f t="shared" si="4"/>
        <v>Active</v>
      </c>
      <c r="S644" s="90">
        <v>45547.0</v>
      </c>
      <c r="T644" s="79">
        <f t="shared" si="5"/>
        <v>54.56666667</v>
      </c>
      <c r="U644" s="90"/>
      <c r="V644" s="79"/>
    </row>
    <row r="645">
      <c r="A645" s="207" t="s">
        <v>1602</v>
      </c>
      <c r="B645" s="54" t="s">
        <v>35</v>
      </c>
      <c r="C645" s="54" t="s">
        <v>36</v>
      </c>
      <c r="D645" s="59" t="str">
        <f t="shared" si="19"/>
        <v>Active</v>
      </c>
      <c r="E645" s="133">
        <v>43867.0</v>
      </c>
      <c r="F645" s="187"/>
      <c r="G645" s="65">
        <f t="shared" si="2"/>
        <v>80</v>
      </c>
      <c r="H645" s="88">
        <v>43671.0</v>
      </c>
      <c r="I645" s="65">
        <f t="shared" si="3"/>
        <v>0.5305555556</v>
      </c>
      <c r="J645" s="208">
        <v>68.0</v>
      </c>
      <c r="K645" s="121">
        <v>9.0</v>
      </c>
      <c r="L645" s="69" t="s">
        <v>37</v>
      </c>
      <c r="M645" s="91"/>
      <c r="N645" s="91"/>
      <c r="O645" s="69" t="s">
        <v>107</v>
      </c>
      <c r="P645" s="122" t="s">
        <v>1759</v>
      </c>
      <c r="Q645" s="69"/>
      <c r="R645" s="59" t="str">
        <f t="shared" si="4"/>
        <v>Active</v>
      </c>
      <c r="S645" s="88">
        <v>45547.0</v>
      </c>
      <c r="T645" s="65">
        <f t="shared" si="5"/>
        <v>55.2</v>
      </c>
      <c r="U645" s="88"/>
      <c r="V645" s="65"/>
    </row>
    <row r="646">
      <c r="A646" s="226" t="s">
        <v>1939</v>
      </c>
      <c r="B646" s="75" t="s">
        <v>35</v>
      </c>
      <c r="C646" s="75" t="s">
        <v>100</v>
      </c>
      <c r="D646" s="76" t="str">
        <f t="shared" si="19"/>
        <v>Active</v>
      </c>
      <c r="E646" s="218">
        <v>43819.0</v>
      </c>
      <c r="F646" s="198"/>
      <c r="G646" s="79">
        <f t="shared" si="2"/>
        <v>81.53333333</v>
      </c>
      <c r="H646" s="90">
        <v>43802.0</v>
      </c>
      <c r="I646" s="79">
        <f t="shared" si="3"/>
        <v>0.04722222222</v>
      </c>
      <c r="J646" s="216">
        <v>74.0</v>
      </c>
      <c r="K646" s="106">
        <v>32.0</v>
      </c>
      <c r="L646" s="83" t="s">
        <v>81</v>
      </c>
      <c r="M646" s="83"/>
      <c r="N646" s="82" t="s">
        <v>1940</v>
      </c>
      <c r="O646" s="82" t="s">
        <v>328</v>
      </c>
      <c r="P646" s="107" t="s">
        <v>1873</v>
      </c>
      <c r="Q646" s="82"/>
      <c r="R646" s="76" t="str">
        <f t="shared" si="4"/>
        <v>Active</v>
      </c>
      <c r="S646" s="90">
        <v>45547.0</v>
      </c>
      <c r="T646" s="79">
        <f t="shared" si="5"/>
        <v>56.73333333</v>
      </c>
      <c r="U646" s="90"/>
      <c r="V646" s="79"/>
    </row>
    <row r="647">
      <c r="A647" s="53" t="s">
        <v>1941</v>
      </c>
      <c r="B647" s="54" t="s">
        <v>35</v>
      </c>
      <c r="C647" s="54" t="s">
        <v>100</v>
      </c>
      <c r="D647" s="59" t="str">
        <f t="shared" si="19"/>
        <v>Active</v>
      </c>
      <c r="E647" s="133">
        <v>43819.0</v>
      </c>
      <c r="F647" s="187"/>
      <c r="G647" s="65">
        <f t="shared" si="2"/>
        <v>81.53333333</v>
      </c>
      <c r="H647" s="88">
        <v>43556.0</v>
      </c>
      <c r="I647" s="65">
        <f t="shared" si="3"/>
        <v>0.7194444444</v>
      </c>
      <c r="J647" s="225">
        <f>7.6*10</f>
        <v>76</v>
      </c>
      <c r="K647" s="121">
        <v>4.5</v>
      </c>
      <c r="L647" s="69" t="s">
        <v>81</v>
      </c>
      <c r="M647" s="91"/>
      <c r="N647" s="91"/>
      <c r="O647" s="69" t="s">
        <v>328</v>
      </c>
      <c r="P647" s="122" t="s">
        <v>1378</v>
      </c>
      <c r="Q647" s="69"/>
      <c r="R647" s="59" t="str">
        <f t="shared" si="4"/>
        <v>Active</v>
      </c>
      <c r="S647" s="88">
        <v>45547.0</v>
      </c>
      <c r="T647" s="65">
        <f t="shared" si="5"/>
        <v>56.73333333</v>
      </c>
      <c r="U647" s="88"/>
      <c r="V647" s="65"/>
    </row>
    <row r="648">
      <c r="A648" s="74" t="s">
        <v>1603</v>
      </c>
      <c r="B648" s="75" t="s">
        <v>35</v>
      </c>
      <c r="C648" s="75" t="s">
        <v>100</v>
      </c>
      <c r="D648" s="76" t="str">
        <f t="shared" si="19"/>
        <v>Active</v>
      </c>
      <c r="E648" s="218">
        <v>43818.0</v>
      </c>
      <c r="F648" s="198"/>
      <c r="G648" s="79">
        <f t="shared" si="2"/>
        <v>81.56666667</v>
      </c>
      <c r="H648" s="90">
        <v>42089.0</v>
      </c>
      <c r="I648" s="79">
        <f t="shared" si="3"/>
        <v>4.730555556</v>
      </c>
      <c r="J648" s="216">
        <v>86.0</v>
      </c>
      <c r="K648" s="106">
        <v>35.5</v>
      </c>
      <c r="L648" s="82" t="s">
        <v>46</v>
      </c>
      <c r="M648" s="83"/>
      <c r="N648" s="82" t="s">
        <v>1942</v>
      </c>
      <c r="O648" s="82" t="s">
        <v>107</v>
      </c>
      <c r="P648" s="107" t="s">
        <v>1943</v>
      </c>
      <c r="Q648" s="82"/>
      <c r="R648" s="76" t="str">
        <f t="shared" si="4"/>
        <v>Active</v>
      </c>
      <c r="S648" s="90">
        <v>45547.0</v>
      </c>
      <c r="T648" s="79">
        <f t="shared" si="5"/>
        <v>56.76666667</v>
      </c>
      <c r="U648" s="90"/>
      <c r="V648" s="79"/>
    </row>
    <row r="649">
      <c r="A649" s="207" t="s">
        <v>1944</v>
      </c>
      <c r="B649" s="54" t="s">
        <v>35</v>
      </c>
      <c r="C649" s="54" t="s">
        <v>100</v>
      </c>
      <c r="D649" s="59" t="str">
        <f t="shared" si="19"/>
        <v>Active</v>
      </c>
      <c r="E649" s="133">
        <v>43811.0</v>
      </c>
      <c r="F649" s="187"/>
      <c r="G649" s="65">
        <f t="shared" si="2"/>
        <v>81.8</v>
      </c>
      <c r="H649" s="88">
        <v>43319.0</v>
      </c>
      <c r="I649" s="65">
        <f t="shared" si="3"/>
        <v>1.347222222</v>
      </c>
      <c r="J649" s="208">
        <v>83.0</v>
      </c>
      <c r="K649" s="121">
        <v>6.5</v>
      </c>
      <c r="L649" s="69" t="s">
        <v>64</v>
      </c>
      <c r="M649" s="69" t="s">
        <v>1747</v>
      </c>
      <c r="N649" s="69" t="s">
        <v>1657</v>
      </c>
      <c r="O649" s="69" t="s">
        <v>1219</v>
      </c>
      <c r="P649" s="122"/>
      <c r="Q649" s="69"/>
      <c r="R649" s="59" t="str">
        <f t="shared" si="4"/>
        <v>Active</v>
      </c>
      <c r="S649" s="88">
        <v>45547.0</v>
      </c>
      <c r="T649" s="65">
        <f t="shared" si="5"/>
        <v>57</v>
      </c>
      <c r="U649" s="88">
        <v>45183.0</v>
      </c>
      <c r="V649" s="65">
        <f>MONTHDUR(E649,U649)</f>
        <v>45.06666667</v>
      </c>
    </row>
    <row r="650">
      <c r="A650" s="74" t="s">
        <v>1604</v>
      </c>
      <c r="B650" s="75" t="s">
        <v>35</v>
      </c>
      <c r="C650" s="75"/>
      <c r="D650" s="76" t="str">
        <f t="shared" si="19"/>
        <v>Active</v>
      </c>
      <c r="E650" s="77">
        <v>43802.0</v>
      </c>
      <c r="F650" s="105"/>
      <c r="G650" s="79">
        <f t="shared" si="2"/>
        <v>82.1</v>
      </c>
      <c r="H650" s="90">
        <v>40435.0</v>
      </c>
      <c r="I650" s="79">
        <f t="shared" si="3"/>
        <v>9.219444444</v>
      </c>
      <c r="J650" s="106">
        <v>91.0</v>
      </c>
      <c r="K650" s="106">
        <v>8.0</v>
      </c>
      <c r="L650" s="82" t="s">
        <v>37</v>
      </c>
      <c r="M650" s="82"/>
      <c r="N650" s="82"/>
      <c r="O650" s="82" t="s">
        <v>107</v>
      </c>
      <c r="P650" s="107" t="s">
        <v>1817</v>
      </c>
      <c r="Q650" s="82" t="s">
        <v>1822</v>
      </c>
      <c r="R650" s="76" t="str">
        <f t="shared" si="4"/>
        <v>Active</v>
      </c>
      <c r="S650" s="90">
        <v>45547.0</v>
      </c>
      <c r="T650" s="79">
        <f t="shared" si="5"/>
        <v>57.3</v>
      </c>
      <c r="U650" s="90"/>
      <c r="V650" s="79"/>
    </row>
    <row r="651">
      <c r="A651" s="207" t="s">
        <v>1606</v>
      </c>
      <c r="B651" s="54" t="s">
        <v>35</v>
      </c>
      <c r="C651" s="59"/>
      <c r="D651" s="59" t="str">
        <f t="shared" si="19"/>
        <v>Active</v>
      </c>
      <c r="E651" s="133">
        <v>43783.0</v>
      </c>
      <c r="F651" s="187"/>
      <c r="G651" s="65">
        <f t="shared" si="2"/>
        <v>82.73333333</v>
      </c>
      <c r="H651" s="88">
        <v>43783.0</v>
      </c>
      <c r="I651" s="65">
        <f t="shared" si="3"/>
        <v>0</v>
      </c>
      <c r="J651" s="121">
        <v>84.0</v>
      </c>
      <c r="K651" s="121">
        <v>35.5</v>
      </c>
      <c r="L651" s="91" t="s">
        <v>81</v>
      </c>
      <c r="M651" s="91"/>
      <c r="N651" s="69" t="s">
        <v>1945</v>
      </c>
      <c r="O651" s="69" t="s">
        <v>328</v>
      </c>
      <c r="P651" s="122" t="s">
        <v>1946</v>
      </c>
      <c r="Q651" s="69"/>
      <c r="R651" s="59" t="str">
        <f t="shared" si="4"/>
        <v>Active</v>
      </c>
      <c r="S651" s="88">
        <v>45547.0</v>
      </c>
      <c r="T651" s="65">
        <f t="shared" si="5"/>
        <v>57.93333333</v>
      </c>
      <c r="U651" s="88"/>
      <c r="V651" s="65"/>
    </row>
    <row r="652">
      <c r="A652" s="74" t="s">
        <v>1608</v>
      </c>
      <c r="B652" s="75" t="s">
        <v>35</v>
      </c>
      <c r="C652" s="75" t="s">
        <v>36</v>
      </c>
      <c r="D652" s="76" t="str">
        <f t="shared" si="19"/>
        <v>Active</v>
      </c>
      <c r="E652" s="218">
        <v>43783.0</v>
      </c>
      <c r="F652" s="198"/>
      <c r="G652" s="79">
        <f t="shared" si="2"/>
        <v>82.73333333</v>
      </c>
      <c r="H652" s="90">
        <v>43599.0</v>
      </c>
      <c r="I652" s="79">
        <f t="shared" si="3"/>
        <v>0.5</v>
      </c>
      <c r="J652" s="216">
        <v>72.0</v>
      </c>
      <c r="K652" s="106">
        <v>10.0</v>
      </c>
      <c r="L652" s="82" t="s">
        <v>37</v>
      </c>
      <c r="M652" s="83"/>
      <c r="N652" s="83"/>
      <c r="O652" s="82" t="s">
        <v>107</v>
      </c>
      <c r="P652" s="107" t="s">
        <v>1947</v>
      </c>
      <c r="Q652" s="82"/>
      <c r="R652" s="76" t="str">
        <f t="shared" si="4"/>
        <v>Active</v>
      </c>
      <c r="S652" s="90">
        <v>45547.0</v>
      </c>
      <c r="T652" s="79">
        <f t="shared" si="5"/>
        <v>57.93333333</v>
      </c>
      <c r="U652" s="90"/>
      <c r="V652" s="79"/>
    </row>
    <row r="653">
      <c r="A653" s="207" t="s">
        <v>1609</v>
      </c>
      <c r="B653" s="54" t="s">
        <v>35</v>
      </c>
      <c r="C653" s="54" t="s">
        <v>36</v>
      </c>
      <c r="D653" s="59" t="str">
        <f t="shared" si="19"/>
        <v>Active</v>
      </c>
      <c r="E653" s="133">
        <v>43763.0</v>
      </c>
      <c r="F653" s="187"/>
      <c r="G653" s="65">
        <f t="shared" si="2"/>
        <v>83.36666667</v>
      </c>
      <c r="H653" s="88">
        <v>43763.0</v>
      </c>
      <c r="I653" s="65">
        <f t="shared" si="3"/>
        <v>0</v>
      </c>
      <c r="J653" s="208">
        <v>85.0</v>
      </c>
      <c r="K653" s="121">
        <v>12.0</v>
      </c>
      <c r="L653" s="69" t="s">
        <v>37</v>
      </c>
      <c r="M653" s="91"/>
      <c r="N653" s="91"/>
      <c r="O653" s="69" t="s">
        <v>107</v>
      </c>
      <c r="P653" s="122" t="s">
        <v>1759</v>
      </c>
      <c r="Q653" s="69"/>
      <c r="R653" s="59" t="str">
        <f t="shared" si="4"/>
        <v>Active</v>
      </c>
      <c r="S653" s="88">
        <v>45547.0</v>
      </c>
      <c r="T653" s="65">
        <f t="shared" si="5"/>
        <v>58.56666667</v>
      </c>
      <c r="U653" s="88"/>
      <c r="V653" s="65"/>
    </row>
    <row r="654">
      <c r="A654" s="74" t="s">
        <v>1611</v>
      </c>
      <c r="B654" s="75" t="s">
        <v>35</v>
      </c>
      <c r="C654" s="75" t="s">
        <v>36</v>
      </c>
      <c r="D654" s="76" t="str">
        <f t="shared" si="19"/>
        <v>Active</v>
      </c>
      <c r="E654" s="218">
        <v>43755.0</v>
      </c>
      <c r="F654" s="198"/>
      <c r="G654" s="79">
        <f t="shared" si="2"/>
        <v>83.63333333</v>
      </c>
      <c r="H654" s="90">
        <v>40470.0</v>
      </c>
      <c r="I654" s="79">
        <f t="shared" si="3"/>
        <v>8.994444444</v>
      </c>
      <c r="J654" s="216">
        <v>84.0</v>
      </c>
      <c r="K654" s="106">
        <v>27.5</v>
      </c>
      <c r="L654" s="82" t="s">
        <v>37</v>
      </c>
      <c r="M654" s="82" t="s">
        <v>1747</v>
      </c>
      <c r="N654" s="82" t="s">
        <v>1948</v>
      </c>
      <c r="O654" s="234" t="s">
        <v>107</v>
      </c>
      <c r="P654" s="107" t="s">
        <v>1949</v>
      </c>
      <c r="Q654" s="82" t="s">
        <v>1822</v>
      </c>
      <c r="R654" s="76" t="str">
        <f t="shared" si="4"/>
        <v>Active</v>
      </c>
      <c r="S654" s="90">
        <v>45547.0</v>
      </c>
      <c r="T654" s="79">
        <f t="shared" si="5"/>
        <v>58.83333333</v>
      </c>
      <c r="U654" s="90"/>
      <c r="V654" s="79"/>
    </row>
    <row r="655">
      <c r="A655" s="207" t="s">
        <v>1612</v>
      </c>
      <c r="B655" s="54" t="s">
        <v>35</v>
      </c>
      <c r="C655" s="54" t="s">
        <v>36</v>
      </c>
      <c r="D655" s="59" t="str">
        <f t="shared" si="19"/>
        <v>Active</v>
      </c>
      <c r="E655" s="133">
        <v>43741.0</v>
      </c>
      <c r="F655" s="120"/>
      <c r="G655" s="65">
        <f t="shared" si="2"/>
        <v>84.1</v>
      </c>
      <c r="H655" s="88">
        <v>42685.0</v>
      </c>
      <c r="I655" s="65">
        <f t="shared" si="3"/>
        <v>2.894444444</v>
      </c>
      <c r="J655" s="208">
        <v>88.0</v>
      </c>
      <c r="K655" s="121">
        <v>12.5</v>
      </c>
      <c r="L655" s="91" t="s">
        <v>41</v>
      </c>
      <c r="M655" s="91"/>
      <c r="N655" s="69" t="s">
        <v>1657</v>
      </c>
      <c r="O655" s="69" t="s">
        <v>107</v>
      </c>
      <c r="P655" s="122" t="s">
        <v>1947</v>
      </c>
      <c r="Q655" s="69"/>
      <c r="R655" s="59" t="str">
        <f t="shared" si="4"/>
        <v>Active</v>
      </c>
      <c r="S655" s="88">
        <v>45547.0</v>
      </c>
      <c r="T655" s="65">
        <f t="shared" si="5"/>
        <v>59.3</v>
      </c>
      <c r="U655" s="88">
        <v>45183.0</v>
      </c>
      <c r="V655" s="65">
        <f t="shared" ref="V655:V656" si="42">MONTHDUR(E655,U655)</f>
        <v>47.36666667</v>
      </c>
    </row>
    <row r="656">
      <c r="A656" s="74" t="s">
        <v>1614</v>
      </c>
      <c r="B656" s="75" t="s">
        <v>35</v>
      </c>
      <c r="C656" s="75" t="s">
        <v>100</v>
      </c>
      <c r="D656" s="76" t="str">
        <f t="shared" si="19"/>
        <v>Active</v>
      </c>
      <c r="E656" s="77">
        <v>43718.0</v>
      </c>
      <c r="F656" s="198"/>
      <c r="G656" s="79">
        <f t="shared" si="2"/>
        <v>84.86666667</v>
      </c>
      <c r="H656" s="90">
        <v>43718.0</v>
      </c>
      <c r="I656" s="79">
        <f t="shared" si="3"/>
        <v>0</v>
      </c>
      <c r="J656" s="106">
        <f>ROUND((82+84)/2,)</f>
        <v>83</v>
      </c>
      <c r="K656" s="106">
        <v>10.5</v>
      </c>
      <c r="L656" s="83" t="s">
        <v>105</v>
      </c>
      <c r="M656" s="82" t="s">
        <v>326</v>
      </c>
      <c r="N656" s="82" t="s">
        <v>1657</v>
      </c>
      <c r="O656" s="82" t="s">
        <v>107</v>
      </c>
      <c r="P656" s="107" t="s">
        <v>1759</v>
      </c>
      <c r="Q656" s="82"/>
      <c r="R656" s="76" t="str">
        <f t="shared" si="4"/>
        <v>Active</v>
      </c>
      <c r="S656" s="90">
        <v>45547.0</v>
      </c>
      <c r="T656" s="79">
        <f t="shared" si="5"/>
        <v>60.06666667</v>
      </c>
      <c r="U656" s="90">
        <v>45183.0</v>
      </c>
      <c r="V656" s="79">
        <f t="shared" si="42"/>
        <v>48.13333333</v>
      </c>
    </row>
    <row r="657">
      <c r="A657" s="53" t="s">
        <v>1615</v>
      </c>
      <c r="B657" s="54" t="s">
        <v>35</v>
      </c>
      <c r="C657" s="54" t="s">
        <v>100</v>
      </c>
      <c r="D657" s="59" t="str">
        <f t="shared" si="19"/>
        <v>Active</v>
      </c>
      <c r="E657" s="133">
        <v>43704.0</v>
      </c>
      <c r="F657" s="187"/>
      <c r="G657" s="65">
        <f t="shared" si="2"/>
        <v>85.3</v>
      </c>
      <c r="H657" s="88">
        <v>43361.0</v>
      </c>
      <c r="I657" s="65">
        <f t="shared" si="3"/>
        <v>0.9416666667</v>
      </c>
      <c r="J657" s="208">
        <v>70.0</v>
      </c>
      <c r="K657" s="121">
        <v>59.5</v>
      </c>
      <c r="L657" s="69" t="s">
        <v>46</v>
      </c>
      <c r="M657" s="91"/>
      <c r="N657" s="91"/>
      <c r="O657" s="69" t="s">
        <v>328</v>
      </c>
      <c r="P657" s="122" t="s">
        <v>1950</v>
      </c>
      <c r="Q657" s="69"/>
      <c r="R657" s="59" t="str">
        <f t="shared" si="4"/>
        <v>Active</v>
      </c>
      <c r="S657" s="88">
        <v>45547.0</v>
      </c>
      <c r="T657" s="65">
        <f t="shared" si="5"/>
        <v>60.5</v>
      </c>
      <c r="U657" s="88"/>
      <c r="V657" s="65"/>
    </row>
    <row r="658">
      <c r="A658" s="74" t="s">
        <v>1618</v>
      </c>
      <c r="B658" s="76" t="s">
        <v>13</v>
      </c>
      <c r="C658" s="76"/>
      <c r="D658" s="76" t="str">
        <f t="shared" si="19"/>
        <v>Active</v>
      </c>
      <c r="E658" s="218">
        <v>43696.0</v>
      </c>
      <c r="F658" s="198"/>
      <c r="G658" s="79">
        <f t="shared" si="2"/>
        <v>85.56666667</v>
      </c>
      <c r="H658" s="90">
        <v>43150.0</v>
      </c>
      <c r="I658" s="79">
        <f t="shared" si="3"/>
        <v>1.5</v>
      </c>
      <c r="J658" s="216">
        <v>83.0</v>
      </c>
      <c r="K658" s="106">
        <v>39.5</v>
      </c>
      <c r="L658" s="83" t="s">
        <v>81</v>
      </c>
      <c r="M658" s="83"/>
      <c r="N658" s="83"/>
      <c r="O658" s="82" t="s">
        <v>328</v>
      </c>
      <c r="P658" s="107" t="s">
        <v>1951</v>
      </c>
      <c r="Q658" s="82"/>
      <c r="R658" s="102" t="str">
        <f t="shared" si="4"/>
        <v>Active</v>
      </c>
      <c r="S658" s="112">
        <v>45931.0</v>
      </c>
      <c r="T658" s="79">
        <f t="shared" si="5"/>
        <v>73.4</v>
      </c>
      <c r="U658" s="112"/>
      <c r="V658" s="79"/>
    </row>
    <row r="659">
      <c r="A659" s="53" t="s">
        <v>1620</v>
      </c>
      <c r="B659" s="54" t="s">
        <v>35</v>
      </c>
      <c r="C659" s="54" t="s">
        <v>100</v>
      </c>
      <c r="D659" s="59" t="str">
        <f t="shared" si="19"/>
        <v>Active</v>
      </c>
      <c r="E659" s="133">
        <v>43690.0</v>
      </c>
      <c r="F659" s="187"/>
      <c r="G659" s="65">
        <f t="shared" si="2"/>
        <v>85.76666667</v>
      </c>
      <c r="H659" s="88">
        <v>43326.0</v>
      </c>
      <c r="I659" s="65">
        <f t="shared" si="3"/>
        <v>0.9972222222</v>
      </c>
      <c r="J659" s="208">
        <v>70.0</v>
      </c>
      <c r="K659" s="121">
        <v>24.0</v>
      </c>
      <c r="L659" s="69" t="s">
        <v>46</v>
      </c>
      <c r="M659" s="91"/>
      <c r="N659" s="91"/>
      <c r="O659" s="69" t="s">
        <v>328</v>
      </c>
      <c r="P659" s="122" t="s">
        <v>1952</v>
      </c>
      <c r="Q659" s="69"/>
      <c r="R659" s="59" t="str">
        <f t="shared" si="4"/>
        <v>Active</v>
      </c>
      <c r="S659" s="88">
        <v>45547.0</v>
      </c>
      <c r="T659" s="65">
        <f t="shared" si="5"/>
        <v>60.96666667</v>
      </c>
      <c r="U659" s="88">
        <v>46219.0</v>
      </c>
      <c r="V659" s="65">
        <f>MONTHDUR(E659,U659)</f>
        <v>83.1</v>
      </c>
    </row>
    <row r="660">
      <c r="A660" s="226" t="s">
        <v>1621</v>
      </c>
      <c r="B660" s="75" t="s">
        <v>129</v>
      </c>
      <c r="C660" s="76"/>
      <c r="D660" s="76" t="str">
        <f t="shared" si="19"/>
        <v>Active</v>
      </c>
      <c r="E660" s="218">
        <v>43671.0</v>
      </c>
      <c r="F660" s="198"/>
      <c r="G660" s="79">
        <f t="shared" si="2"/>
        <v>86.36666667</v>
      </c>
      <c r="H660" s="90">
        <v>41600.0</v>
      </c>
      <c r="I660" s="79">
        <f t="shared" si="3"/>
        <v>5.675</v>
      </c>
      <c r="J660" s="189">
        <f>5.9*10</f>
        <v>59</v>
      </c>
      <c r="K660" s="106">
        <v>1.0</v>
      </c>
      <c r="L660" s="83" t="s">
        <v>52</v>
      </c>
      <c r="M660" s="83"/>
      <c r="N660" s="83"/>
      <c r="O660" s="82" t="s">
        <v>107</v>
      </c>
      <c r="P660" s="107" t="s">
        <v>1953</v>
      </c>
      <c r="Q660" s="82"/>
      <c r="R660" s="76" t="str">
        <f t="shared" si="4"/>
        <v>Active</v>
      </c>
      <c r="S660" s="90">
        <v>45547.0</v>
      </c>
      <c r="T660" s="79">
        <f t="shared" si="5"/>
        <v>61.56666667</v>
      </c>
      <c r="U660" s="90"/>
      <c r="V660" s="79"/>
    </row>
    <row r="661">
      <c r="A661" s="207" t="s">
        <v>1622</v>
      </c>
      <c r="B661" s="54" t="s">
        <v>129</v>
      </c>
      <c r="C661" s="59"/>
      <c r="D661" s="59" t="str">
        <f t="shared" si="19"/>
        <v>Active</v>
      </c>
      <c r="E661" s="133">
        <v>43671.0</v>
      </c>
      <c r="F661" s="187"/>
      <c r="G661" s="65">
        <f t="shared" si="2"/>
        <v>86.36666667</v>
      </c>
      <c r="H661" s="88">
        <v>34635.0</v>
      </c>
      <c r="I661" s="65">
        <f t="shared" si="3"/>
        <v>24.74166667</v>
      </c>
      <c r="J661" s="121">
        <v>85.0</v>
      </c>
      <c r="K661" s="121">
        <v>1.0</v>
      </c>
      <c r="L661" s="91" t="s">
        <v>52</v>
      </c>
      <c r="M661" s="91"/>
      <c r="N661" s="91"/>
      <c r="O661" s="69" t="s">
        <v>107</v>
      </c>
      <c r="P661" s="122" t="s">
        <v>1954</v>
      </c>
      <c r="Q661" s="69"/>
      <c r="R661" s="59" t="str">
        <f t="shared" si="4"/>
        <v>Active</v>
      </c>
      <c r="S661" s="88">
        <v>45547.0</v>
      </c>
      <c r="T661" s="65">
        <f t="shared" si="5"/>
        <v>61.56666667</v>
      </c>
      <c r="U661" s="88"/>
      <c r="V661" s="65"/>
    </row>
    <row r="662">
      <c r="A662" s="74" t="s">
        <v>1624</v>
      </c>
      <c r="B662" s="75" t="s">
        <v>35</v>
      </c>
      <c r="C662" s="75" t="s">
        <v>100</v>
      </c>
      <c r="D662" s="76" t="str">
        <f t="shared" si="19"/>
        <v>Active</v>
      </c>
      <c r="E662" s="218">
        <v>43671.0</v>
      </c>
      <c r="F662" s="198"/>
      <c r="G662" s="79">
        <f t="shared" si="2"/>
        <v>86.36666667</v>
      </c>
      <c r="H662" s="90">
        <v>41600.0</v>
      </c>
      <c r="I662" s="79">
        <f t="shared" si="3"/>
        <v>5.675</v>
      </c>
      <c r="J662" s="216">
        <v>86.0</v>
      </c>
      <c r="K662" s="106">
        <v>2.0</v>
      </c>
      <c r="L662" s="83" t="s">
        <v>52</v>
      </c>
      <c r="M662" s="83"/>
      <c r="N662" s="82" t="s">
        <v>1955</v>
      </c>
      <c r="O662" s="82" t="s">
        <v>107</v>
      </c>
      <c r="P662" s="107" t="s">
        <v>1956</v>
      </c>
      <c r="Q662" s="82"/>
      <c r="R662" s="76" t="str">
        <f t="shared" si="4"/>
        <v>Active</v>
      </c>
      <c r="S662" s="90">
        <v>45547.0</v>
      </c>
      <c r="T662" s="79">
        <f t="shared" si="5"/>
        <v>61.56666667</v>
      </c>
      <c r="U662" s="90"/>
      <c r="V662" s="79"/>
    </row>
    <row r="663">
      <c r="A663" s="207" t="s">
        <v>1957</v>
      </c>
      <c r="B663" s="54" t="s">
        <v>35</v>
      </c>
      <c r="C663" s="54" t="s">
        <v>100</v>
      </c>
      <c r="D663" s="59" t="str">
        <f t="shared" si="19"/>
        <v>Active</v>
      </c>
      <c r="E663" s="133">
        <v>43643.0</v>
      </c>
      <c r="F663" s="187"/>
      <c r="G663" s="65">
        <f t="shared" si="2"/>
        <v>87.3</v>
      </c>
      <c r="H663" s="88">
        <v>42794.0</v>
      </c>
      <c r="I663" s="65">
        <f t="shared" si="3"/>
        <v>2.330555556</v>
      </c>
      <c r="J663" s="208">
        <v>81.0</v>
      </c>
      <c r="K663" s="121">
        <v>26.0</v>
      </c>
      <c r="L663" s="69" t="s">
        <v>46</v>
      </c>
      <c r="M663" s="91"/>
      <c r="N663" s="69" t="s">
        <v>1958</v>
      </c>
      <c r="O663" s="69" t="s">
        <v>107</v>
      </c>
      <c r="P663" s="122" t="s">
        <v>1959</v>
      </c>
      <c r="Q663" s="69"/>
      <c r="R663" s="59" t="str">
        <f t="shared" si="4"/>
        <v>Active</v>
      </c>
      <c r="S663" s="88">
        <v>45547.0</v>
      </c>
      <c r="T663" s="65">
        <f t="shared" si="5"/>
        <v>62.5</v>
      </c>
      <c r="U663" s="88"/>
      <c r="V663" s="65"/>
    </row>
    <row r="664">
      <c r="A664" s="226" t="s">
        <v>1625</v>
      </c>
      <c r="B664" s="75" t="s">
        <v>129</v>
      </c>
      <c r="C664" s="75" t="s">
        <v>36</v>
      </c>
      <c r="D664" s="76" t="str">
        <f t="shared" si="19"/>
        <v>Active</v>
      </c>
      <c r="E664" s="218">
        <v>43636.0</v>
      </c>
      <c r="F664" s="198"/>
      <c r="G664" s="79">
        <f t="shared" si="2"/>
        <v>87.53333333</v>
      </c>
      <c r="H664" s="90">
        <v>36766.0</v>
      </c>
      <c r="I664" s="79">
        <f t="shared" si="3"/>
        <v>18.81111111</v>
      </c>
      <c r="J664" s="106">
        <v>79.0</v>
      </c>
      <c r="K664" s="106">
        <v>9.0</v>
      </c>
      <c r="L664" s="82" t="s">
        <v>37</v>
      </c>
      <c r="M664" s="83"/>
      <c r="N664" s="83"/>
      <c r="O664" s="234" t="s">
        <v>107</v>
      </c>
      <c r="P664" s="107" t="s">
        <v>1491</v>
      </c>
      <c r="Q664" s="82"/>
      <c r="R664" s="76" t="str">
        <f t="shared" si="4"/>
        <v>Active</v>
      </c>
      <c r="S664" s="90">
        <v>45547.0</v>
      </c>
      <c r="T664" s="79">
        <f t="shared" si="5"/>
        <v>62.73333333</v>
      </c>
      <c r="U664" s="90"/>
      <c r="V664" s="79"/>
    </row>
    <row r="665">
      <c r="A665" s="207" t="s">
        <v>1626</v>
      </c>
      <c r="B665" s="54" t="s">
        <v>129</v>
      </c>
      <c r="C665" s="59"/>
      <c r="D665" s="59" t="str">
        <f t="shared" si="19"/>
        <v>Active</v>
      </c>
      <c r="E665" s="133">
        <v>43636.0</v>
      </c>
      <c r="F665" s="187"/>
      <c r="G665" s="65">
        <f t="shared" si="2"/>
        <v>87.53333333</v>
      </c>
      <c r="H665" s="88">
        <v>42220.0</v>
      </c>
      <c r="I665" s="65">
        <f t="shared" si="3"/>
        <v>3.877777778</v>
      </c>
      <c r="J665" s="208">
        <v>84.0</v>
      </c>
      <c r="K665" s="121">
        <v>44.0</v>
      </c>
      <c r="L665" s="91" t="s">
        <v>354</v>
      </c>
      <c r="M665" s="91"/>
      <c r="N665" s="91"/>
      <c r="O665" s="69" t="s">
        <v>107</v>
      </c>
      <c r="P665" s="122" t="s">
        <v>1960</v>
      </c>
      <c r="Q665" s="69"/>
      <c r="R665" s="59" t="str">
        <f t="shared" si="4"/>
        <v>Active</v>
      </c>
      <c r="S665" s="88">
        <v>45547.0</v>
      </c>
      <c r="T665" s="65">
        <f t="shared" si="5"/>
        <v>62.73333333</v>
      </c>
      <c r="U665" s="88"/>
      <c r="V665" s="65"/>
    </row>
    <row r="666">
      <c r="A666" s="74" t="s">
        <v>1961</v>
      </c>
      <c r="B666" s="75" t="s">
        <v>35</v>
      </c>
      <c r="C666" s="75" t="s">
        <v>36</v>
      </c>
      <c r="D666" s="76" t="str">
        <f t="shared" si="19"/>
        <v>Active</v>
      </c>
      <c r="E666" s="218">
        <v>43625.0</v>
      </c>
      <c r="F666" s="198"/>
      <c r="G666" s="79">
        <f t="shared" si="2"/>
        <v>87.9</v>
      </c>
      <c r="H666" s="90">
        <v>42720.0</v>
      </c>
      <c r="I666" s="79">
        <f t="shared" si="3"/>
        <v>2.480555556</v>
      </c>
      <c r="J666" s="106">
        <f>ROUND((71+73)/2,)</f>
        <v>72</v>
      </c>
      <c r="K666" s="106">
        <v>18.5</v>
      </c>
      <c r="L666" s="82" t="s">
        <v>135</v>
      </c>
      <c r="M666" s="82"/>
      <c r="N666" s="82" t="s">
        <v>1657</v>
      </c>
      <c r="O666" s="82" t="s">
        <v>1219</v>
      </c>
      <c r="P666" s="107" t="s">
        <v>1857</v>
      </c>
      <c r="Q666" s="82"/>
      <c r="R666" s="76" t="str">
        <f t="shared" si="4"/>
        <v>Active</v>
      </c>
      <c r="S666" s="90">
        <v>45547.0</v>
      </c>
      <c r="T666" s="79">
        <f t="shared" si="5"/>
        <v>63.1</v>
      </c>
      <c r="U666" s="90">
        <v>45183.0</v>
      </c>
      <c r="V666" s="79">
        <f t="shared" ref="V666:V667" si="43">MONTHDUR(E666,U666)</f>
        <v>51.16666667</v>
      </c>
    </row>
    <row r="667">
      <c r="A667" s="207" t="s">
        <v>1962</v>
      </c>
      <c r="B667" s="54" t="s">
        <v>35</v>
      </c>
      <c r="C667" s="54" t="s">
        <v>36</v>
      </c>
      <c r="D667" s="59" t="str">
        <f t="shared" si="19"/>
        <v>Active</v>
      </c>
      <c r="E667" s="133">
        <v>43625.0</v>
      </c>
      <c r="F667" s="120"/>
      <c r="G667" s="65">
        <f t="shared" si="2"/>
        <v>87.9</v>
      </c>
      <c r="H667" s="88">
        <v>42178.0</v>
      </c>
      <c r="I667" s="65">
        <f t="shared" si="3"/>
        <v>3.961111111</v>
      </c>
      <c r="J667" s="121">
        <v>85.0</v>
      </c>
      <c r="K667" s="121">
        <v>16.5</v>
      </c>
      <c r="L667" s="91" t="s">
        <v>41</v>
      </c>
      <c r="M667" s="91"/>
      <c r="N667" s="230" t="s">
        <v>1963</v>
      </c>
      <c r="O667" s="69" t="s">
        <v>107</v>
      </c>
      <c r="P667" s="122" t="s">
        <v>1964</v>
      </c>
      <c r="Q667" s="69"/>
      <c r="R667" s="59" t="str">
        <f t="shared" si="4"/>
        <v>Active</v>
      </c>
      <c r="S667" s="88">
        <v>45547.0</v>
      </c>
      <c r="T667" s="65">
        <f t="shared" si="5"/>
        <v>63.1</v>
      </c>
      <c r="U667" s="88">
        <v>45742.0</v>
      </c>
      <c r="V667" s="65">
        <f t="shared" si="43"/>
        <v>69.56666667</v>
      </c>
    </row>
    <row r="668">
      <c r="A668" s="226" t="s">
        <v>1628</v>
      </c>
      <c r="B668" s="76" t="s">
        <v>13</v>
      </c>
      <c r="C668" s="76"/>
      <c r="D668" s="76" t="str">
        <f t="shared" si="19"/>
        <v>Active</v>
      </c>
      <c r="E668" s="218">
        <v>43625.0</v>
      </c>
      <c r="F668" s="198"/>
      <c r="G668" s="79">
        <f t="shared" si="2"/>
        <v>87.9</v>
      </c>
      <c r="H668" s="90">
        <v>42110.0</v>
      </c>
      <c r="I668" s="79">
        <f t="shared" si="3"/>
        <v>4.147222222</v>
      </c>
      <c r="J668" s="216">
        <v>66.0</v>
      </c>
      <c r="K668" s="106">
        <v>5.5</v>
      </c>
      <c r="L668" s="82" t="s">
        <v>37</v>
      </c>
      <c r="M668" s="83"/>
      <c r="N668" s="83"/>
      <c r="O668" s="82" t="s">
        <v>1168</v>
      </c>
      <c r="P668" s="107" t="s">
        <v>1519</v>
      </c>
      <c r="Q668" s="82"/>
      <c r="R668" s="76" t="str">
        <f t="shared" si="4"/>
        <v>Active</v>
      </c>
      <c r="S668" s="90">
        <v>45931.0</v>
      </c>
      <c r="T668" s="79">
        <f t="shared" si="5"/>
        <v>75.73333333</v>
      </c>
      <c r="U668" s="90"/>
      <c r="V668" s="79"/>
    </row>
    <row r="669">
      <c r="A669" s="207" t="s">
        <v>1965</v>
      </c>
      <c r="B669" s="54" t="s">
        <v>35</v>
      </c>
      <c r="C669" s="54" t="s">
        <v>36</v>
      </c>
      <c r="D669" s="59" t="str">
        <f t="shared" si="19"/>
        <v>Active</v>
      </c>
      <c r="E669" s="133">
        <v>43625.0</v>
      </c>
      <c r="F669" s="120"/>
      <c r="G669" s="65">
        <f t="shared" si="2"/>
        <v>87.9</v>
      </c>
      <c r="H669" s="236">
        <v>42790.0</v>
      </c>
      <c r="I669" s="65">
        <f t="shared" si="3"/>
        <v>2.291666667</v>
      </c>
      <c r="J669" s="237">
        <v>89.0</v>
      </c>
      <c r="K669" s="121">
        <v>25.0</v>
      </c>
      <c r="L669" s="69" t="s">
        <v>57</v>
      </c>
      <c r="M669" s="69" t="s">
        <v>1747</v>
      </c>
      <c r="N669" s="91"/>
      <c r="O669" s="69" t="s">
        <v>1168</v>
      </c>
      <c r="P669" s="122" t="s">
        <v>1519</v>
      </c>
      <c r="Q669" s="69"/>
      <c r="R669" s="59" t="str">
        <f t="shared" si="4"/>
        <v>Active</v>
      </c>
      <c r="S669" s="88">
        <v>45547.0</v>
      </c>
      <c r="T669" s="65">
        <f t="shared" si="5"/>
        <v>63.1</v>
      </c>
      <c r="U669" s="88"/>
      <c r="V669" s="65"/>
    </row>
    <row r="670">
      <c r="A670" s="226" t="s">
        <v>1966</v>
      </c>
      <c r="B670" s="75" t="s">
        <v>35</v>
      </c>
      <c r="C670" s="75" t="s">
        <v>36</v>
      </c>
      <c r="D670" s="76" t="str">
        <f t="shared" si="19"/>
        <v>Active</v>
      </c>
      <c r="E670" s="218">
        <v>43625.0</v>
      </c>
      <c r="F670" s="198"/>
      <c r="G670" s="79">
        <f t="shared" si="2"/>
        <v>87.9</v>
      </c>
      <c r="H670" s="90">
        <v>43249.0</v>
      </c>
      <c r="I670" s="79">
        <f t="shared" si="3"/>
        <v>1.027777778</v>
      </c>
      <c r="J670" s="216">
        <v>84.0</v>
      </c>
      <c r="K670" s="106">
        <v>14.0</v>
      </c>
      <c r="L670" s="82" t="s">
        <v>46</v>
      </c>
      <c r="M670" s="82"/>
      <c r="N670" s="82" t="s">
        <v>1967</v>
      </c>
      <c r="O670" s="82" t="s">
        <v>1168</v>
      </c>
      <c r="P670" s="107" t="s">
        <v>1396</v>
      </c>
      <c r="Q670" s="82"/>
      <c r="R670" s="76" t="str">
        <f t="shared" si="4"/>
        <v>Active</v>
      </c>
      <c r="S670" s="90">
        <v>45547.0</v>
      </c>
      <c r="T670" s="79">
        <f t="shared" si="5"/>
        <v>63.1</v>
      </c>
      <c r="U670" s="90"/>
      <c r="V670" s="79"/>
    </row>
    <row r="671">
      <c r="A671" s="207" t="s">
        <v>1630</v>
      </c>
      <c r="B671" s="59" t="s">
        <v>13</v>
      </c>
      <c r="C671" s="59"/>
      <c r="D671" s="59" t="str">
        <f t="shared" si="19"/>
        <v>Active</v>
      </c>
      <c r="E671" s="133">
        <v>43625.0</v>
      </c>
      <c r="F671" s="187"/>
      <c r="G671" s="65">
        <f t="shared" si="2"/>
        <v>87.9</v>
      </c>
      <c r="H671" s="88">
        <v>37761.0</v>
      </c>
      <c r="I671" s="65">
        <f t="shared" si="3"/>
        <v>16.05277778</v>
      </c>
      <c r="J671" s="208">
        <v>89.0</v>
      </c>
      <c r="K671" s="121">
        <v>18.0</v>
      </c>
      <c r="L671" s="69" t="s">
        <v>81</v>
      </c>
      <c r="M671" s="91"/>
      <c r="N671" s="91"/>
      <c r="O671" s="69" t="s">
        <v>328</v>
      </c>
      <c r="P671" s="122" t="s">
        <v>108</v>
      </c>
      <c r="Q671" s="69"/>
      <c r="R671" s="59" t="str">
        <f t="shared" si="4"/>
        <v>Active</v>
      </c>
      <c r="S671" s="88">
        <v>45931.0</v>
      </c>
      <c r="T671" s="65">
        <f t="shared" si="5"/>
        <v>75.73333333</v>
      </c>
      <c r="U671" s="88"/>
      <c r="V671" s="65"/>
    </row>
    <row r="672">
      <c r="A672" s="226" t="s">
        <v>1969</v>
      </c>
      <c r="B672" s="75" t="s">
        <v>35</v>
      </c>
      <c r="C672" s="75" t="s">
        <v>36</v>
      </c>
      <c r="D672" s="76" t="str">
        <f t="shared" si="19"/>
        <v>Active</v>
      </c>
      <c r="E672" s="218">
        <v>43615.0</v>
      </c>
      <c r="F672" s="198"/>
      <c r="G672" s="79">
        <f t="shared" si="2"/>
        <v>88.2</v>
      </c>
      <c r="H672" s="90">
        <v>42535.0</v>
      </c>
      <c r="I672" s="79">
        <f t="shared" si="3"/>
        <v>2.961111111</v>
      </c>
      <c r="J672" s="216">
        <v>58.0</v>
      </c>
      <c r="K672" s="106">
        <v>608.0</v>
      </c>
      <c r="L672" s="83" t="s">
        <v>105</v>
      </c>
      <c r="M672" s="82" t="s">
        <v>326</v>
      </c>
      <c r="N672" s="82"/>
      <c r="O672" s="82" t="s">
        <v>107</v>
      </c>
      <c r="P672" s="107" t="s">
        <v>1759</v>
      </c>
      <c r="Q672" s="82"/>
      <c r="R672" s="76" t="str">
        <f t="shared" si="4"/>
        <v>Active</v>
      </c>
      <c r="S672" s="90">
        <v>45547.0</v>
      </c>
      <c r="T672" s="79">
        <f t="shared" si="5"/>
        <v>63.4</v>
      </c>
      <c r="U672" s="90"/>
      <c r="V672" s="79"/>
    </row>
    <row r="673">
      <c r="A673" s="207" t="s">
        <v>1971</v>
      </c>
      <c r="B673" s="54" t="s">
        <v>35</v>
      </c>
      <c r="C673" s="54" t="s">
        <v>36</v>
      </c>
      <c r="D673" s="59" t="str">
        <f t="shared" si="19"/>
        <v>Active</v>
      </c>
      <c r="E673" s="133">
        <v>43592.0</v>
      </c>
      <c r="F673" s="187"/>
      <c r="G673" s="65">
        <f t="shared" si="2"/>
        <v>88.96666667</v>
      </c>
      <c r="H673" s="88">
        <v>43140.0</v>
      </c>
      <c r="I673" s="65">
        <f t="shared" si="3"/>
        <v>1.244444444</v>
      </c>
      <c r="J673" s="208">
        <v>77.0</v>
      </c>
      <c r="K673" s="121">
        <v>4.0</v>
      </c>
      <c r="L673" s="69" t="s">
        <v>55</v>
      </c>
      <c r="M673" s="69" t="s">
        <v>326</v>
      </c>
      <c r="N673" s="69" t="s">
        <v>1657</v>
      </c>
      <c r="O673" s="69" t="s">
        <v>1219</v>
      </c>
      <c r="P673" s="122"/>
      <c r="Q673" s="69"/>
      <c r="R673" s="59" t="str">
        <f t="shared" si="4"/>
        <v>Active</v>
      </c>
      <c r="S673" s="88">
        <v>45547.0</v>
      </c>
      <c r="T673" s="65">
        <f t="shared" si="5"/>
        <v>64.16666667</v>
      </c>
      <c r="U673" s="88">
        <v>45183.0</v>
      </c>
      <c r="V673" s="65">
        <f>MONTHDUR(E673,U673)</f>
        <v>52.23333333</v>
      </c>
    </row>
    <row r="674">
      <c r="A674" s="226" t="s">
        <v>1631</v>
      </c>
      <c r="B674" s="75" t="s">
        <v>35</v>
      </c>
      <c r="C674" s="75" t="s">
        <v>36</v>
      </c>
      <c r="D674" s="76" t="str">
        <f t="shared" si="19"/>
        <v>Active</v>
      </c>
      <c r="E674" s="218">
        <v>43587.0</v>
      </c>
      <c r="F674" s="105"/>
      <c r="G674" s="79">
        <f t="shared" si="2"/>
        <v>89.13333333</v>
      </c>
      <c r="H674" s="90">
        <v>43035.0</v>
      </c>
      <c r="I674" s="79">
        <f t="shared" si="3"/>
        <v>1.513888889</v>
      </c>
      <c r="J674" s="216">
        <v>88.0</v>
      </c>
      <c r="K674" s="106">
        <v>10.5</v>
      </c>
      <c r="L674" s="82" t="s">
        <v>37</v>
      </c>
      <c r="M674" s="83"/>
      <c r="N674" s="83"/>
      <c r="O674" s="82" t="s">
        <v>107</v>
      </c>
      <c r="P674" s="107" t="s">
        <v>1972</v>
      </c>
      <c r="Q674" s="82"/>
      <c r="R674" s="76" t="str">
        <f t="shared" si="4"/>
        <v>Active</v>
      </c>
      <c r="S674" s="90">
        <v>45547.0</v>
      </c>
      <c r="T674" s="79">
        <f t="shared" si="5"/>
        <v>64.33333333</v>
      </c>
      <c r="U674" s="90"/>
      <c r="V674" s="79"/>
    </row>
    <row r="675">
      <c r="A675" s="207" t="s">
        <v>1973</v>
      </c>
      <c r="B675" s="54" t="s">
        <v>35</v>
      </c>
      <c r="C675" s="54" t="s">
        <v>100</v>
      </c>
      <c r="D675" s="59" t="str">
        <f t="shared" si="19"/>
        <v>Active</v>
      </c>
      <c r="E675" s="133">
        <v>43573.0</v>
      </c>
      <c r="F675" s="120"/>
      <c r="G675" s="65">
        <f t="shared" si="2"/>
        <v>89.6</v>
      </c>
      <c r="H675" s="88">
        <v>42724.0</v>
      </c>
      <c r="I675" s="65">
        <f t="shared" si="3"/>
        <v>2.327777778</v>
      </c>
      <c r="J675" s="208">
        <v>73.0</v>
      </c>
      <c r="K675" s="121">
        <v>8.0</v>
      </c>
      <c r="L675" s="91" t="s">
        <v>135</v>
      </c>
      <c r="M675" s="91"/>
      <c r="N675" s="69" t="s">
        <v>1974</v>
      </c>
      <c r="O675" s="69" t="s">
        <v>107</v>
      </c>
      <c r="P675" s="122" t="s">
        <v>1975</v>
      </c>
      <c r="Q675" s="69"/>
      <c r="R675" s="59" t="str">
        <f t="shared" si="4"/>
        <v>Active</v>
      </c>
      <c r="S675" s="88">
        <v>45547.0</v>
      </c>
      <c r="T675" s="65">
        <f t="shared" si="5"/>
        <v>64.8</v>
      </c>
      <c r="U675" s="88"/>
      <c r="V675" s="65"/>
    </row>
    <row r="676">
      <c r="A676" s="226" t="s">
        <v>1633</v>
      </c>
      <c r="B676" s="75" t="s">
        <v>35</v>
      </c>
      <c r="C676" s="75" t="s">
        <v>36</v>
      </c>
      <c r="D676" s="76" t="str">
        <f t="shared" si="19"/>
        <v>Active</v>
      </c>
      <c r="E676" s="218">
        <v>43566.0</v>
      </c>
      <c r="F676" s="218"/>
      <c r="G676" s="79">
        <f t="shared" si="2"/>
        <v>89.83333333</v>
      </c>
      <c r="H676" s="90">
        <v>42860.0</v>
      </c>
      <c r="I676" s="79">
        <f t="shared" si="3"/>
        <v>1.933333333</v>
      </c>
      <c r="J676" s="216">
        <f>ROUND((82+84)/2,)</f>
        <v>83</v>
      </c>
      <c r="K676" s="106">
        <v>16.0</v>
      </c>
      <c r="L676" s="82" t="s">
        <v>37</v>
      </c>
      <c r="M676" s="82" t="s">
        <v>1747</v>
      </c>
      <c r="N676" s="83"/>
      <c r="O676" s="82" t="s">
        <v>107</v>
      </c>
      <c r="P676" s="107" t="s">
        <v>1950</v>
      </c>
      <c r="Q676" s="82"/>
      <c r="R676" s="76" t="str">
        <f t="shared" si="4"/>
        <v>Active</v>
      </c>
      <c r="S676" s="90">
        <v>45547.0</v>
      </c>
      <c r="T676" s="79">
        <f t="shared" si="5"/>
        <v>65.03333333</v>
      </c>
      <c r="U676" s="90"/>
      <c r="V676" s="79"/>
    </row>
    <row r="677">
      <c r="A677" s="207" t="s">
        <v>1634</v>
      </c>
      <c r="B677" s="54" t="s">
        <v>35</v>
      </c>
      <c r="C677" s="59"/>
      <c r="D677" s="59" t="str">
        <f t="shared" si="19"/>
        <v>Active</v>
      </c>
      <c r="E677" s="133">
        <v>43559.0</v>
      </c>
      <c r="F677" s="187"/>
      <c r="G677" s="65">
        <f t="shared" si="2"/>
        <v>90.06666667</v>
      </c>
      <c r="H677" s="88">
        <v>40865.0</v>
      </c>
      <c r="I677" s="65">
        <f t="shared" si="3"/>
        <v>7.377777778</v>
      </c>
      <c r="J677" s="208">
        <v>88.0</v>
      </c>
      <c r="K677" s="121">
        <v>116.0</v>
      </c>
      <c r="L677" s="91" t="s">
        <v>41</v>
      </c>
      <c r="M677" s="91"/>
      <c r="N677" s="69" t="s">
        <v>1976</v>
      </c>
      <c r="O677" s="69" t="s">
        <v>1168</v>
      </c>
      <c r="P677" s="122" t="s">
        <v>1396</v>
      </c>
      <c r="Q677" s="69"/>
      <c r="R677" s="59" t="str">
        <f t="shared" si="4"/>
        <v>Active</v>
      </c>
      <c r="S677" s="88">
        <v>45547.0</v>
      </c>
      <c r="T677" s="65">
        <f t="shared" si="5"/>
        <v>65.26666667</v>
      </c>
      <c r="U677" s="88"/>
      <c r="V677" s="65"/>
    </row>
    <row r="678">
      <c r="A678" s="226" t="s">
        <v>1636</v>
      </c>
      <c r="B678" s="75" t="s">
        <v>35</v>
      </c>
      <c r="C678" s="75" t="s">
        <v>36</v>
      </c>
      <c r="D678" s="76" t="str">
        <f t="shared" si="19"/>
        <v>Active</v>
      </c>
      <c r="E678" s="218">
        <v>43538.0</v>
      </c>
      <c r="F678" s="218"/>
      <c r="G678" s="79">
        <f t="shared" si="2"/>
        <v>90.73333333</v>
      </c>
      <c r="H678" s="90">
        <v>42318.0</v>
      </c>
      <c r="I678" s="79">
        <f t="shared" si="3"/>
        <v>3.344444444</v>
      </c>
      <c r="J678" s="106">
        <v>88.0</v>
      </c>
      <c r="K678" s="106">
        <v>26.5</v>
      </c>
      <c r="L678" s="82" t="s">
        <v>37</v>
      </c>
      <c r="M678" s="82" t="s">
        <v>1747</v>
      </c>
      <c r="N678" s="82" t="s">
        <v>1924</v>
      </c>
      <c r="O678" s="82" t="s">
        <v>107</v>
      </c>
      <c r="P678" s="107" t="s">
        <v>1833</v>
      </c>
      <c r="Q678" s="82"/>
      <c r="R678" s="76" t="str">
        <f t="shared" si="4"/>
        <v>Active</v>
      </c>
      <c r="S678" s="90">
        <v>45547.0</v>
      </c>
      <c r="T678" s="79">
        <f t="shared" si="5"/>
        <v>65.93333333</v>
      </c>
      <c r="U678" s="90">
        <v>45183.0</v>
      </c>
      <c r="V678" s="79">
        <f>MONTHDUR(E678,U678)</f>
        <v>54</v>
      </c>
    </row>
    <row r="679">
      <c r="A679" s="207" t="s">
        <v>1977</v>
      </c>
      <c r="B679" s="54" t="s">
        <v>35</v>
      </c>
      <c r="C679" s="54" t="s">
        <v>100</v>
      </c>
      <c r="D679" s="59" t="str">
        <f t="shared" si="19"/>
        <v>Active</v>
      </c>
      <c r="E679" s="133">
        <v>43552.0</v>
      </c>
      <c r="F679" s="120"/>
      <c r="G679" s="65">
        <f t="shared" si="2"/>
        <v>90.26666667</v>
      </c>
      <c r="H679" s="88">
        <v>42423.0</v>
      </c>
      <c r="I679" s="65">
        <f t="shared" si="3"/>
        <v>3.097222222</v>
      </c>
      <c r="J679" s="208">
        <v>64.0</v>
      </c>
      <c r="K679" s="121">
        <v>4.0</v>
      </c>
      <c r="L679" s="91" t="s">
        <v>135</v>
      </c>
      <c r="M679" s="91"/>
      <c r="N679" s="69" t="s">
        <v>1974</v>
      </c>
      <c r="O679" s="69" t="s">
        <v>107</v>
      </c>
      <c r="P679" s="122" t="s">
        <v>1978</v>
      </c>
      <c r="Q679" s="69"/>
      <c r="R679" s="59" t="str">
        <f t="shared" si="4"/>
        <v>Active</v>
      </c>
      <c r="S679" s="88">
        <v>45547.0</v>
      </c>
      <c r="T679" s="65">
        <f t="shared" si="5"/>
        <v>65.46666667</v>
      </c>
      <c r="U679" s="88"/>
      <c r="V679" s="65"/>
    </row>
    <row r="680">
      <c r="A680" s="226" t="s">
        <v>1637</v>
      </c>
      <c r="B680" s="75" t="s">
        <v>35</v>
      </c>
      <c r="C680" s="75" t="s">
        <v>36</v>
      </c>
      <c r="D680" s="76" t="str">
        <f t="shared" si="19"/>
        <v>Active</v>
      </c>
      <c r="E680" s="218">
        <v>43511.0</v>
      </c>
      <c r="F680" s="198"/>
      <c r="G680" s="79">
        <f t="shared" si="2"/>
        <v>91.7</v>
      </c>
      <c r="H680" s="90">
        <v>43511.0</v>
      </c>
      <c r="I680" s="79">
        <f t="shared" si="3"/>
        <v>0</v>
      </c>
      <c r="J680" s="216">
        <v>60.0</v>
      </c>
      <c r="K680" s="106">
        <v>6.5</v>
      </c>
      <c r="L680" s="83" t="s">
        <v>41</v>
      </c>
      <c r="M680" s="83"/>
      <c r="N680" s="83"/>
      <c r="O680" s="82" t="s">
        <v>107</v>
      </c>
      <c r="P680" s="107" t="s">
        <v>1979</v>
      </c>
      <c r="Q680" s="82"/>
      <c r="R680" s="76" t="str">
        <f t="shared" si="4"/>
        <v>Active</v>
      </c>
      <c r="S680" s="90">
        <v>45547.0</v>
      </c>
      <c r="T680" s="79">
        <f t="shared" si="5"/>
        <v>66.9</v>
      </c>
      <c r="U680" s="90"/>
      <c r="V680" s="79"/>
    </row>
    <row r="681">
      <c r="A681" s="53" t="s">
        <v>1980</v>
      </c>
      <c r="B681" s="54" t="s">
        <v>35</v>
      </c>
      <c r="C681" s="54" t="s">
        <v>100</v>
      </c>
      <c r="D681" s="59" t="str">
        <f t="shared" si="19"/>
        <v>Active</v>
      </c>
      <c r="E681" s="133">
        <v>43503.0</v>
      </c>
      <c r="F681" s="120"/>
      <c r="G681" s="65">
        <f t="shared" si="2"/>
        <v>91.96666667</v>
      </c>
      <c r="H681" s="88">
        <v>43074.0</v>
      </c>
      <c r="I681" s="65">
        <f t="shared" si="3"/>
        <v>1.172222222</v>
      </c>
      <c r="J681" s="121">
        <v>89.0</v>
      </c>
      <c r="K681" s="121">
        <v>13.0</v>
      </c>
      <c r="L681" s="69" t="s">
        <v>37</v>
      </c>
      <c r="M681" s="91"/>
      <c r="N681" s="69" t="s">
        <v>1981</v>
      </c>
      <c r="O681" s="69" t="s">
        <v>107</v>
      </c>
      <c r="P681" s="122" t="s">
        <v>1593</v>
      </c>
      <c r="Q681" s="69"/>
      <c r="R681" s="59" t="str">
        <f t="shared" si="4"/>
        <v>Active</v>
      </c>
      <c r="S681" s="88">
        <v>45547.0</v>
      </c>
      <c r="T681" s="65">
        <f t="shared" si="5"/>
        <v>67.16666667</v>
      </c>
      <c r="U681" s="88"/>
      <c r="V681" s="65"/>
    </row>
    <row r="682">
      <c r="A682" s="226" t="s">
        <v>1982</v>
      </c>
      <c r="B682" s="75" t="s">
        <v>35</v>
      </c>
      <c r="C682" s="75" t="s">
        <v>100</v>
      </c>
      <c r="D682" s="76" t="str">
        <f t="shared" si="19"/>
        <v>Active</v>
      </c>
      <c r="E682" s="77">
        <v>43524.0</v>
      </c>
      <c r="F682" s="105"/>
      <c r="G682" s="79">
        <f t="shared" si="2"/>
        <v>91.26666667</v>
      </c>
      <c r="H682" s="90">
        <v>41625.0</v>
      </c>
      <c r="I682" s="79">
        <f t="shared" si="3"/>
        <v>5.197222222</v>
      </c>
      <c r="J682" s="216">
        <v>83.0</v>
      </c>
      <c r="K682" s="106">
        <v>9.5</v>
      </c>
      <c r="L682" s="83" t="s">
        <v>135</v>
      </c>
      <c r="M682" s="83"/>
      <c r="N682" s="82" t="s">
        <v>1981</v>
      </c>
      <c r="O682" s="82" t="s">
        <v>107</v>
      </c>
      <c r="P682" s="107" t="s">
        <v>1256</v>
      </c>
      <c r="Q682" s="82"/>
      <c r="R682" s="76" t="str">
        <f t="shared" si="4"/>
        <v>Active</v>
      </c>
      <c r="S682" s="90">
        <v>45547.0</v>
      </c>
      <c r="T682" s="79">
        <f t="shared" si="5"/>
        <v>66.46666667</v>
      </c>
      <c r="U682" s="90"/>
      <c r="V682" s="79"/>
    </row>
    <row r="683">
      <c r="A683" s="53" t="s">
        <v>1983</v>
      </c>
      <c r="B683" s="54" t="s">
        <v>35</v>
      </c>
      <c r="C683" s="54" t="s">
        <v>36</v>
      </c>
      <c r="D683" s="59" t="str">
        <f t="shared" si="19"/>
        <v>Active</v>
      </c>
      <c r="E683" s="133">
        <v>43468.0</v>
      </c>
      <c r="F683" s="187"/>
      <c r="G683" s="65">
        <f t="shared" si="2"/>
        <v>93.1</v>
      </c>
      <c r="H683" s="88">
        <v>42710.0</v>
      </c>
      <c r="I683" s="65">
        <f t="shared" si="3"/>
        <v>2.075</v>
      </c>
      <c r="J683" s="208">
        <v>69.0</v>
      </c>
      <c r="K683" s="121">
        <v>123.0</v>
      </c>
      <c r="L683" s="91" t="s">
        <v>41</v>
      </c>
      <c r="M683" s="69" t="s">
        <v>326</v>
      </c>
      <c r="N683" s="69" t="s">
        <v>1984</v>
      </c>
      <c r="O683" s="69" t="s">
        <v>328</v>
      </c>
      <c r="P683" s="122" t="s">
        <v>1985</v>
      </c>
      <c r="Q683" s="69"/>
      <c r="R683" s="59" t="str">
        <f t="shared" si="4"/>
        <v>Active</v>
      </c>
      <c r="S683" s="88">
        <v>45547.0</v>
      </c>
      <c r="T683" s="65">
        <f t="shared" si="5"/>
        <v>68.3</v>
      </c>
      <c r="U683" s="88"/>
      <c r="V683" s="65"/>
    </row>
    <row r="684">
      <c r="A684" s="226" t="s">
        <v>1638</v>
      </c>
      <c r="B684" s="75" t="s">
        <v>35</v>
      </c>
      <c r="C684" s="75" t="s">
        <v>36</v>
      </c>
      <c r="D684" s="76" t="str">
        <f t="shared" si="19"/>
        <v>Active</v>
      </c>
      <c r="E684" s="218">
        <v>43454.0</v>
      </c>
      <c r="F684" s="198"/>
      <c r="G684" s="79">
        <f t="shared" si="2"/>
        <v>93.53333333</v>
      </c>
      <c r="H684" s="90">
        <v>42074.0</v>
      </c>
      <c r="I684" s="79">
        <f t="shared" si="3"/>
        <v>3.775</v>
      </c>
      <c r="J684" s="216">
        <v>88.0</v>
      </c>
      <c r="K684" s="106">
        <v>8.5</v>
      </c>
      <c r="L684" s="82" t="s">
        <v>57</v>
      </c>
      <c r="M684" s="83"/>
      <c r="N684" s="83"/>
      <c r="O684" s="82" t="s">
        <v>1219</v>
      </c>
      <c r="P684" s="107" t="s">
        <v>1857</v>
      </c>
      <c r="Q684" s="82"/>
      <c r="R684" s="76" t="str">
        <f t="shared" si="4"/>
        <v>Active</v>
      </c>
      <c r="S684" s="90">
        <v>45547.0</v>
      </c>
      <c r="T684" s="79">
        <f t="shared" si="5"/>
        <v>68.73333333</v>
      </c>
      <c r="U684" s="90"/>
      <c r="V684" s="79"/>
    </row>
    <row r="685">
      <c r="A685" s="53" t="s">
        <v>1639</v>
      </c>
      <c r="B685" s="54" t="s">
        <v>35</v>
      </c>
      <c r="C685" s="54" t="s">
        <v>100</v>
      </c>
      <c r="D685" s="59" t="str">
        <f t="shared" si="19"/>
        <v>Active</v>
      </c>
      <c r="E685" s="133">
        <v>43451.0</v>
      </c>
      <c r="F685" s="187"/>
      <c r="G685" s="65">
        <f t="shared" si="2"/>
        <v>93.63333333</v>
      </c>
      <c r="H685" s="88">
        <v>42955.0</v>
      </c>
      <c r="I685" s="65">
        <f t="shared" si="3"/>
        <v>1.358333333</v>
      </c>
      <c r="J685" s="208">
        <v>88.0</v>
      </c>
      <c r="K685" s="121">
        <v>7.5</v>
      </c>
      <c r="L685" s="69" t="s">
        <v>41</v>
      </c>
      <c r="M685" s="69" t="s">
        <v>326</v>
      </c>
      <c r="N685" s="69" t="s">
        <v>1657</v>
      </c>
      <c r="O685" s="69" t="s">
        <v>107</v>
      </c>
      <c r="P685" s="122" t="s">
        <v>1759</v>
      </c>
      <c r="Q685" s="69"/>
      <c r="R685" s="59" t="str">
        <f t="shared" si="4"/>
        <v>Active</v>
      </c>
      <c r="S685" s="88">
        <v>45547.0</v>
      </c>
      <c r="T685" s="65">
        <f t="shared" si="5"/>
        <v>68.83333333</v>
      </c>
      <c r="U685" s="88">
        <v>45183.0</v>
      </c>
      <c r="V685" s="65">
        <f>MONTHDUR(E685,U685)</f>
        <v>56.9</v>
      </c>
    </row>
    <row r="686">
      <c r="A686" s="226" t="s">
        <v>1641</v>
      </c>
      <c r="B686" s="75" t="s">
        <v>35</v>
      </c>
      <c r="C686" s="75" t="s">
        <v>36</v>
      </c>
      <c r="D686" s="76" t="str">
        <f t="shared" si="19"/>
        <v>Active</v>
      </c>
      <c r="E686" s="218">
        <v>43374.0</v>
      </c>
      <c r="F686" s="218"/>
      <c r="G686" s="79">
        <f t="shared" si="2"/>
        <v>96.16666667</v>
      </c>
      <c r="H686" s="90">
        <v>41779.0</v>
      </c>
      <c r="I686" s="79">
        <f t="shared" si="3"/>
        <v>4.363888889</v>
      </c>
      <c r="J686" s="216">
        <f>ROUND((79+81)/2,)</f>
        <v>80</v>
      </c>
      <c r="K686" s="106">
        <v>11.5</v>
      </c>
      <c r="L686" s="82" t="s">
        <v>37</v>
      </c>
      <c r="M686" s="83"/>
      <c r="N686" s="83"/>
      <c r="O686" s="82" t="s">
        <v>107</v>
      </c>
      <c r="P686" s="107" t="s">
        <v>1986</v>
      </c>
      <c r="Q686" s="82"/>
      <c r="R686" s="76" t="str">
        <f t="shared" si="4"/>
        <v>Active</v>
      </c>
      <c r="S686" s="90">
        <v>45547.0</v>
      </c>
      <c r="T686" s="79">
        <f t="shared" si="5"/>
        <v>71.36666667</v>
      </c>
      <c r="U686" s="90"/>
      <c r="V686" s="79"/>
    </row>
    <row r="687">
      <c r="A687" s="207" t="s">
        <v>1643</v>
      </c>
      <c r="B687" s="54" t="s">
        <v>35</v>
      </c>
      <c r="C687" s="54" t="s">
        <v>36</v>
      </c>
      <c r="D687" s="59" t="str">
        <f t="shared" si="19"/>
        <v>Active</v>
      </c>
      <c r="E687" s="133">
        <v>43344.0</v>
      </c>
      <c r="F687" s="187"/>
      <c r="G687" s="65">
        <f t="shared" si="2"/>
        <v>97.16666667</v>
      </c>
      <c r="H687" s="88">
        <v>41954.0</v>
      </c>
      <c r="I687" s="65">
        <f t="shared" si="3"/>
        <v>3.805555556</v>
      </c>
      <c r="J687" s="208">
        <v>85.0</v>
      </c>
      <c r="K687" s="121">
        <v>52.5</v>
      </c>
      <c r="L687" s="69" t="s">
        <v>37</v>
      </c>
      <c r="M687" s="69" t="s">
        <v>326</v>
      </c>
      <c r="N687" s="69"/>
      <c r="O687" s="69" t="s">
        <v>107</v>
      </c>
      <c r="P687" s="122" t="s">
        <v>1817</v>
      </c>
      <c r="Q687" s="69"/>
      <c r="R687" s="59" t="str">
        <f t="shared" si="4"/>
        <v>Active</v>
      </c>
      <c r="S687" s="88">
        <v>45547.0</v>
      </c>
      <c r="T687" s="65">
        <f t="shared" si="5"/>
        <v>72.36666667</v>
      </c>
      <c r="U687" s="88"/>
      <c r="V687" s="65"/>
    </row>
    <row r="688">
      <c r="A688" s="226" t="s">
        <v>1645</v>
      </c>
      <c r="B688" s="75" t="s">
        <v>35</v>
      </c>
      <c r="C688" s="76"/>
      <c r="D688" s="76" t="str">
        <f t="shared" si="19"/>
        <v>Active</v>
      </c>
      <c r="E688" s="218">
        <v>43344.0</v>
      </c>
      <c r="F688" s="105"/>
      <c r="G688" s="79">
        <f t="shared" si="2"/>
        <v>97.16666667</v>
      </c>
      <c r="H688" s="90">
        <v>42465.0</v>
      </c>
      <c r="I688" s="79">
        <f t="shared" si="3"/>
        <v>2.405555556</v>
      </c>
      <c r="J688" s="216">
        <v>77.0</v>
      </c>
      <c r="K688" s="106">
        <v>10.0</v>
      </c>
      <c r="L688" s="83" t="s">
        <v>37</v>
      </c>
      <c r="M688" s="83"/>
      <c r="N688" s="82" t="s">
        <v>1987</v>
      </c>
      <c r="O688" s="82" t="s">
        <v>107</v>
      </c>
      <c r="P688" s="107" t="s">
        <v>1824</v>
      </c>
      <c r="Q688" s="82"/>
      <c r="R688" s="76" t="str">
        <f t="shared" si="4"/>
        <v>Active</v>
      </c>
      <c r="S688" s="90">
        <v>45547.0</v>
      </c>
      <c r="T688" s="79">
        <f t="shared" si="5"/>
        <v>72.36666667</v>
      </c>
      <c r="U688" s="90"/>
      <c r="V688" s="79"/>
    </row>
    <row r="689">
      <c r="A689" s="53" t="s">
        <v>1646</v>
      </c>
      <c r="B689" s="54" t="s">
        <v>129</v>
      </c>
      <c r="C689" s="54" t="s">
        <v>36</v>
      </c>
      <c r="D689" s="59" t="str">
        <f t="shared" si="19"/>
        <v>Active</v>
      </c>
      <c r="E689" s="133">
        <v>43322.0</v>
      </c>
      <c r="F689" s="120"/>
      <c r="G689" s="65">
        <f t="shared" si="2"/>
        <v>97.86666667</v>
      </c>
      <c r="H689" s="88">
        <v>42503.0</v>
      </c>
      <c r="I689" s="65">
        <f t="shared" si="3"/>
        <v>2.241666667</v>
      </c>
      <c r="J689" s="208">
        <v>87.0</v>
      </c>
      <c r="K689" s="121">
        <v>11.5</v>
      </c>
      <c r="L689" s="69" t="s">
        <v>37</v>
      </c>
      <c r="M689" s="91"/>
      <c r="N689" s="69" t="s">
        <v>1657</v>
      </c>
      <c r="O689" s="69" t="s">
        <v>107</v>
      </c>
      <c r="P689" s="122" t="s">
        <v>1759</v>
      </c>
      <c r="Q689" s="69"/>
      <c r="R689" s="59" t="str">
        <f t="shared" si="4"/>
        <v>Active</v>
      </c>
      <c r="S689" s="88">
        <v>45547.0</v>
      </c>
      <c r="T689" s="65">
        <f t="shared" si="5"/>
        <v>73.06666667</v>
      </c>
      <c r="U689" s="88">
        <v>45183.0</v>
      </c>
      <c r="V689" s="65">
        <f>MONTHDUR(E689,U689)</f>
        <v>61.13333333</v>
      </c>
    </row>
    <row r="690">
      <c r="A690" s="226" t="s">
        <v>1647</v>
      </c>
      <c r="B690" s="75" t="s">
        <v>129</v>
      </c>
      <c r="C690" s="75" t="s">
        <v>36</v>
      </c>
      <c r="D690" s="76" t="str">
        <f t="shared" si="19"/>
        <v>Active</v>
      </c>
      <c r="E690" s="218">
        <v>43313.0</v>
      </c>
      <c r="F690" s="218"/>
      <c r="G690" s="79">
        <f t="shared" si="2"/>
        <v>98.16666667</v>
      </c>
      <c r="H690" s="90">
        <v>40820.0</v>
      </c>
      <c r="I690" s="79">
        <f t="shared" si="3"/>
        <v>6.825</v>
      </c>
      <c r="J690" s="106">
        <v>81.0</v>
      </c>
      <c r="K690" s="106">
        <v>11.0</v>
      </c>
      <c r="L690" s="82" t="s">
        <v>37</v>
      </c>
      <c r="M690" s="83"/>
      <c r="N690" s="83"/>
      <c r="O690" s="234" t="s">
        <v>107</v>
      </c>
      <c r="P690" s="107" t="s">
        <v>1256</v>
      </c>
      <c r="Q690" s="82" t="s">
        <v>1822</v>
      </c>
      <c r="R690" s="76" t="str">
        <f t="shared" si="4"/>
        <v>Active</v>
      </c>
      <c r="S690" s="90">
        <v>45547.0</v>
      </c>
      <c r="T690" s="79">
        <f t="shared" si="5"/>
        <v>73.36666667</v>
      </c>
      <c r="U690" s="90"/>
      <c r="V690" s="79"/>
    </row>
    <row r="691">
      <c r="A691" s="53" t="s">
        <v>1988</v>
      </c>
      <c r="B691" s="54" t="s">
        <v>35</v>
      </c>
      <c r="C691" s="54" t="s">
        <v>36</v>
      </c>
      <c r="D691" s="59" t="str">
        <f t="shared" si="19"/>
        <v>Active</v>
      </c>
      <c r="E691" s="133">
        <v>43313.0</v>
      </c>
      <c r="F691" s="187"/>
      <c r="G691" s="65">
        <f t="shared" si="2"/>
        <v>98.16666667</v>
      </c>
      <c r="H691" s="88">
        <v>40988.0</v>
      </c>
      <c r="I691" s="65">
        <f t="shared" si="3"/>
        <v>6.363888889</v>
      </c>
      <c r="J691" s="208">
        <v>68.0</v>
      </c>
      <c r="K691" s="121">
        <v>3.0</v>
      </c>
      <c r="L691" s="69" t="s">
        <v>57</v>
      </c>
      <c r="M691" s="91"/>
      <c r="N691" s="91"/>
      <c r="O691" s="69" t="s">
        <v>1168</v>
      </c>
      <c r="P691" s="122" t="s">
        <v>1751</v>
      </c>
      <c r="Q691" s="69"/>
      <c r="R691" s="59" t="str">
        <f t="shared" si="4"/>
        <v>Active</v>
      </c>
      <c r="S691" s="88">
        <v>45547.0</v>
      </c>
      <c r="T691" s="65">
        <f t="shared" si="5"/>
        <v>73.36666667</v>
      </c>
      <c r="U691" s="88"/>
      <c r="V691" s="65"/>
    </row>
    <row r="692">
      <c r="A692" s="226" t="s">
        <v>1649</v>
      </c>
      <c r="B692" s="75" t="s">
        <v>129</v>
      </c>
      <c r="C692" s="75" t="s">
        <v>36</v>
      </c>
      <c r="D692" s="76" t="str">
        <f t="shared" si="19"/>
        <v>Active</v>
      </c>
      <c r="E692" s="218">
        <v>43313.0</v>
      </c>
      <c r="F692" s="198"/>
      <c r="G692" s="79">
        <f t="shared" si="2"/>
        <v>98.16666667</v>
      </c>
      <c r="H692" s="90">
        <v>41600.0</v>
      </c>
      <c r="I692" s="79">
        <f t="shared" si="3"/>
        <v>4.691666667</v>
      </c>
      <c r="J692" s="216">
        <v>60.0</v>
      </c>
      <c r="K692" s="106">
        <v>6.5</v>
      </c>
      <c r="L692" s="82" t="s">
        <v>41</v>
      </c>
      <c r="M692" s="83"/>
      <c r="N692" s="82" t="s">
        <v>1989</v>
      </c>
      <c r="O692" s="82" t="s">
        <v>107</v>
      </c>
      <c r="P692" s="107" t="s">
        <v>1990</v>
      </c>
      <c r="Q692" s="82"/>
      <c r="R692" s="76" t="str">
        <f t="shared" si="4"/>
        <v>Active</v>
      </c>
      <c r="S692" s="90">
        <v>45547.0</v>
      </c>
      <c r="T692" s="79">
        <f t="shared" si="5"/>
        <v>73.36666667</v>
      </c>
      <c r="U692" s="90"/>
      <c r="V692" s="79"/>
    </row>
    <row r="693">
      <c r="A693" s="238" t="s">
        <v>1650</v>
      </c>
      <c r="B693" s="54" t="s">
        <v>35</v>
      </c>
      <c r="C693" s="54" t="s">
        <v>36</v>
      </c>
      <c r="D693" s="59" t="str">
        <f t="shared" si="19"/>
        <v>Active</v>
      </c>
      <c r="E693" s="133">
        <v>43282.0</v>
      </c>
      <c r="F693" s="133"/>
      <c r="G693" s="65">
        <f t="shared" si="2"/>
        <v>99.16666667</v>
      </c>
      <c r="H693" s="88">
        <v>39749.0</v>
      </c>
      <c r="I693" s="65">
        <f t="shared" si="3"/>
        <v>9.675</v>
      </c>
      <c r="J693" s="121">
        <v>93.0</v>
      </c>
      <c r="K693" s="121">
        <v>22.5</v>
      </c>
      <c r="L693" s="69" t="s">
        <v>37</v>
      </c>
      <c r="M693" s="69" t="s">
        <v>1747</v>
      </c>
      <c r="N693" s="69" t="s">
        <v>1948</v>
      </c>
      <c r="O693" s="239" t="s">
        <v>107</v>
      </c>
      <c r="P693" s="122" t="s">
        <v>1991</v>
      </c>
      <c r="Q693" s="69" t="s">
        <v>1822</v>
      </c>
      <c r="R693" s="59" t="str">
        <f t="shared" si="4"/>
        <v>Active</v>
      </c>
      <c r="S693" s="88">
        <v>45547.0</v>
      </c>
      <c r="T693" s="65">
        <f t="shared" si="5"/>
        <v>74.36666667</v>
      </c>
      <c r="U693" s="88"/>
      <c r="V693" s="65"/>
    </row>
    <row r="694">
      <c r="A694" s="74" t="s">
        <v>1992</v>
      </c>
      <c r="B694" s="75" t="s">
        <v>35</v>
      </c>
      <c r="C694" s="75" t="s">
        <v>36</v>
      </c>
      <c r="D694" s="76" t="str">
        <f t="shared" si="19"/>
        <v>Active</v>
      </c>
      <c r="E694" s="218">
        <v>43282.0</v>
      </c>
      <c r="F694" s="198"/>
      <c r="G694" s="79">
        <f t="shared" si="2"/>
        <v>99.16666667</v>
      </c>
      <c r="H694" s="90">
        <v>42573.0</v>
      </c>
      <c r="I694" s="79">
        <f t="shared" si="3"/>
        <v>1.941666667</v>
      </c>
      <c r="J694" s="216">
        <v>73.0</v>
      </c>
      <c r="K694" s="106">
        <v>5.5</v>
      </c>
      <c r="L694" s="83" t="s">
        <v>96</v>
      </c>
      <c r="M694" s="82" t="s">
        <v>326</v>
      </c>
      <c r="N694" s="82" t="s">
        <v>1657</v>
      </c>
      <c r="O694" s="82" t="s">
        <v>1219</v>
      </c>
      <c r="P694" s="107"/>
      <c r="Q694" s="82"/>
      <c r="R694" s="76" t="str">
        <f t="shared" si="4"/>
        <v>Active</v>
      </c>
      <c r="S694" s="90">
        <v>45547.0</v>
      </c>
      <c r="T694" s="79">
        <f t="shared" si="5"/>
        <v>74.36666667</v>
      </c>
      <c r="U694" s="90">
        <v>45183.0</v>
      </c>
      <c r="V694" s="79">
        <f>MONTHDUR(E694,U694)</f>
        <v>62.43333333</v>
      </c>
    </row>
    <row r="695">
      <c r="A695" s="207" t="s">
        <v>1652</v>
      </c>
      <c r="B695" s="54" t="s">
        <v>35</v>
      </c>
      <c r="C695" s="54" t="s">
        <v>36</v>
      </c>
      <c r="D695" s="59" t="str">
        <f t="shared" si="19"/>
        <v>Active</v>
      </c>
      <c r="E695" s="133">
        <v>43282.0</v>
      </c>
      <c r="F695" s="133"/>
      <c r="G695" s="65">
        <f t="shared" si="2"/>
        <v>99.16666667</v>
      </c>
      <c r="H695" s="88">
        <v>38796.0</v>
      </c>
      <c r="I695" s="65">
        <f t="shared" si="3"/>
        <v>12.28055556</v>
      </c>
      <c r="J695" s="121">
        <v>94.0</v>
      </c>
      <c r="K695" s="121">
        <v>27.5</v>
      </c>
      <c r="L695" s="69" t="s">
        <v>46</v>
      </c>
      <c r="M695" s="69" t="s">
        <v>1747</v>
      </c>
      <c r="N695" s="69" t="s">
        <v>1757</v>
      </c>
      <c r="O695" s="239" t="s">
        <v>107</v>
      </c>
      <c r="P695" s="122" t="s">
        <v>1993</v>
      </c>
      <c r="Q695" s="69" t="s">
        <v>1822</v>
      </c>
      <c r="R695" s="59" t="str">
        <f t="shared" si="4"/>
        <v>Active</v>
      </c>
      <c r="S695" s="88">
        <v>45547.0</v>
      </c>
      <c r="T695" s="65">
        <f t="shared" si="5"/>
        <v>74.36666667</v>
      </c>
      <c r="U695" s="88"/>
      <c r="V695" s="65"/>
    </row>
    <row r="696">
      <c r="A696" s="74" t="s">
        <v>1653</v>
      </c>
      <c r="B696" s="75" t="s">
        <v>35</v>
      </c>
      <c r="C696" s="75"/>
      <c r="D696" s="76" t="str">
        <f t="shared" si="19"/>
        <v>Active</v>
      </c>
      <c r="E696" s="218">
        <v>43261.0</v>
      </c>
      <c r="F696" s="198"/>
      <c r="G696" s="79">
        <f t="shared" si="2"/>
        <v>99.86666667</v>
      </c>
      <c r="H696" s="90">
        <v>41733.0</v>
      </c>
      <c r="I696" s="79">
        <f t="shared" si="3"/>
        <v>4.183333333</v>
      </c>
      <c r="J696" s="216">
        <v>77.0</v>
      </c>
      <c r="K696" s="106">
        <v>87.0</v>
      </c>
      <c r="L696" s="83" t="s">
        <v>1994</v>
      </c>
      <c r="M696" s="83"/>
      <c r="N696" s="82" t="s">
        <v>1995</v>
      </c>
      <c r="O696" s="82" t="s">
        <v>107</v>
      </c>
      <c r="P696" s="107" t="s">
        <v>1996</v>
      </c>
      <c r="Q696" s="240"/>
      <c r="R696" s="76" t="str">
        <f t="shared" si="4"/>
        <v>Active</v>
      </c>
      <c r="S696" s="90">
        <v>45547.0</v>
      </c>
      <c r="T696" s="79">
        <f t="shared" si="5"/>
        <v>75.06666667</v>
      </c>
      <c r="U696" s="90">
        <v>45183.0</v>
      </c>
      <c r="V696" s="79">
        <f>MONTHDUR(E696,U696)</f>
        <v>63.13333333</v>
      </c>
    </row>
    <row r="697">
      <c r="A697" s="207" t="s">
        <v>1655</v>
      </c>
      <c r="B697" s="54" t="s">
        <v>35</v>
      </c>
      <c r="C697" s="54" t="s">
        <v>36</v>
      </c>
      <c r="D697" s="59" t="str">
        <f t="shared" si="19"/>
        <v>Active</v>
      </c>
      <c r="E697" s="133">
        <v>43252.0</v>
      </c>
      <c r="F697" s="187"/>
      <c r="G697" s="65">
        <f t="shared" si="2"/>
        <v>100.1666667</v>
      </c>
      <c r="H697" s="88">
        <v>40862.0</v>
      </c>
      <c r="I697" s="65">
        <f t="shared" si="3"/>
        <v>6.544444444</v>
      </c>
      <c r="J697" s="208">
        <v>67.0</v>
      </c>
      <c r="K697" s="121">
        <v>16.0</v>
      </c>
      <c r="L697" s="69" t="s">
        <v>135</v>
      </c>
      <c r="M697" s="91"/>
      <c r="N697" s="91"/>
      <c r="O697" s="69" t="s">
        <v>1168</v>
      </c>
      <c r="P697" s="114"/>
      <c r="Q697" s="69"/>
      <c r="R697" s="59" t="str">
        <f t="shared" si="4"/>
        <v>Active</v>
      </c>
      <c r="S697" s="88">
        <v>45547.0</v>
      </c>
      <c r="T697" s="65">
        <f t="shared" si="5"/>
        <v>75.36666667</v>
      </c>
      <c r="U697" s="88"/>
      <c r="V697" s="65"/>
    </row>
    <row r="698">
      <c r="A698" s="74" t="s">
        <v>1658</v>
      </c>
      <c r="B698" s="75" t="s">
        <v>35</v>
      </c>
      <c r="C698" s="75" t="s">
        <v>100</v>
      </c>
      <c r="D698" s="76" t="str">
        <f t="shared" si="19"/>
        <v>Active</v>
      </c>
      <c r="E698" s="218">
        <v>43252.0</v>
      </c>
      <c r="F698" s="198"/>
      <c r="G698" s="79">
        <f t="shared" si="2"/>
        <v>100.1666667</v>
      </c>
      <c r="H698" s="90">
        <v>41900.0</v>
      </c>
      <c r="I698" s="79">
        <f t="shared" si="3"/>
        <v>3.702777778</v>
      </c>
      <c r="J698" s="216">
        <v>77.0</v>
      </c>
      <c r="K698" s="106">
        <v>39.5</v>
      </c>
      <c r="L698" s="82" t="s">
        <v>46</v>
      </c>
      <c r="M698" s="83"/>
      <c r="N698" s="83"/>
      <c r="O698" s="82" t="s">
        <v>107</v>
      </c>
      <c r="P698" s="107" t="s">
        <v>1997</v>
      </c>
      <c r="Q698" s="82"/>
      <c r="R698" s="76" t="str">
        <f t="shared" si="4"/>
        <v>Active</v>
      </c>
      <c r="S698" s="90">
        <v>45547.0</v>
      </c>
      <c r="T698" s="79">
        <f t="shared" si="5"/>
        <v>75.36666667</v>
      </c>
      <c r="U698" s="90"/>
      <c r="V698" s="79"/>
    </row>
    <row r="699">
      <c r="A699" s="207" t="s">
        <v>1659</v>
      </c>
      <c r="B699" s="54" t="s">
        <v>35</v>
      </c>
      <c r="C699" s="54" t="s">
        <v>371</v>
      </c>
      <c r="D699" s="59" t="str">
        <f t="shared" si="19"/>
        <v>Active</v>
      </c>
      <c r="E699" s="133">
        <v>43242.0</v>
      </c>
      <c r="F699" s="187"/>
      <c r="G699" s="65">
        <f t="shared" si="2"/>
        <v>100.4666667</v>
      </c>
      <c r="H699" s="88">
        <v>43238.0</v>
      </c>
      <c r="I699" s="65">
        <f t="shared" si="3"/>
        <v>0.01111111111</v>
      </c>
      <c r="J699" s="208">
        <v>78.0</v>
      </c>
      <c r="K699" s="121">
        <v>36.5</v>
      </c>
      <c r="L699" s="91" t="s">
        <v>41</v>
      </c>
      <c r="M699" s="69" t="s">
        <v>326</v>
      </c>
      <c r="N699" s="69" t="s">
        <v>1924</v>
      </c>
      <c r="O699" s="69" t="s">
        <v>107</v>
      </c>
      <c r="P699" s="122" t="s">
        <v>1998</v>
      </c>
      <c r="Q699" s="69"/>
      <c r="R699" s="59" t="str">
        <f t="shared" si="4"/>
        <v>Active</v>
      </c>
      <c r="S699" s="88">
        <v>45547.0</v>
      </c>
      <c r="T699" s="65">
        <f t="shared" si="5"/>
        <v>75.66666667</v>
      </c>
      <c r="U699" s="88">
        <v>45183.0</v>
      </c>
      <c r="V699" s="65">
        <f t="shared" ref="V699:V701" si="44">MONTHDUR(E699,U699)</f>
        <v>63.73333333</v>
      </c>
    </row>
    <row r="700">
      <c r="A700" s="74" t="s">
        <v>1999</v>
      </c>
      <c r="B700" s="75" t="s">
        <v>35</v>
      </c>
      <c r="C700" s="75" t="s">
        <v>371</v>
      </c>
      <c r="D700" s="76" t="str">
        <f t="shared" si="19"/>
        <v>Active</v>
      </c>
      <c r="E700" s="218">
        <v>43191.0</v>
      </c>
      <c r="F700" s="218"/>
      <c r="G700" s="79">
        <f t="shared" si="2"/>
        <v>102.1666667</v>
      </c>
      <c r="H700" s="90">
        <v>42073.0</v>
      </c>
      <c r="I700" s="79">
        <f t="shared" si="3"/>
        <v>3.058333333</v>
      </c>
      <c r="J700" s="216">
        <f>ROUND((81+85)/2,)</f>
        <v>83</v>
      </c>
      <c r="K700" s="106">
        <v>25.5</v>
      </c>
      <c r="L700" s="83" t="s">
        <v>64</v>
      </c>
      <c r="M700" s="83"/>
      <c r="N700" s="82" t="s">
        <v>2000</v>
      </c>
      <c r="O700" s="82" t="s">
        <v>1219</v>
      </c>
      <c r="P700" s="107"/>
      <c r="Q700" s="82"/>
      <c r="R700" s="76" t="str">
        <f t="shared" si="4"/>
        <v>Active</v>
      </c>
      <c r="S700" s="90">
        <v>45547.0</v>
      </c>
      <c r="T700" s="79">
        <f t="shared" si="5"/>
        <v>77.36666667</v>
      </c>
      <c r="U700" s="90">
        <v>45931.0</v>
      </c>
      <c r="V700" s="79">
        <f t="shared" si="44"/>
        <v>90</v>
      </c>
    </row>
    <row r="701">
      <c r="A701" s="207" t="s">
        <v>2001</v>
      </c>
      <c r="B701" s="54" t="s">
        <v>35</v>
      </c>
      <c r="C701" s="54" t="s">
        <v>36</v>
      </c>
      <c r="D701" s="59" t="str">
        <f t="shared" si="19"/>
        <v>Active</v>
      </c>
      <c r="E701" s="133">
        <v>43191.0</v>
      </c>
      <c r="F701" s="187"/>
      <c r="G701" s="65">
        <f t="shared" si="2"/>
        <v>102.1666667</v>
      </c>
      <c r="H701" s="88">
        <v>42781.0</v>
      </c>
      <c r="I701" s="65">
        <f t="shared" si="3"/>
        <v>1.127777778</v>
      </c>
      <c r="J701" s="121">
        <v>83.0</v>
      </c>
      <c r="K701" s="121">
        <v>20.5</v>
      </c>
      <c r="L701" s="69" t="s">
        <v>37</v>
      </c>
      <c r="M701" s="91"/>
      <c r="N701" s="69" t="s">
        <v>2002</v>
      </c>
      <c r="O701" s="69" t="s">
        <v>328</v>
      </c>
      <c r="P701" s="122" t="s">
        <v>1491</v>
      </c>
      <c r="Q701" s="69"/>
      <c r="R701" s="59" t="str">
        <f t="shared" si="4"/>
        <v>Active</v>
      </c>
      <c r="S701" s="88">
        <v>45547.0</v>
      </c>
      <c r="T701" s="65">
        <f t="shared" si="5"/>
        <v>77.36666667</v>
      </c>
      <c r="U701" s="88">
        <v>46276.0</v>
      </c>
      <c r="V701" s="65">
        <f t="shared" si="44"/>
        <v>101.3333333</v>
      </c>
    </row>
    <row r="702">
      <c r="A702" s="226" t="s">
        <v>1635</v>
      </c>
      <c r="B702" s="75" t="s">
        <v>35</v>
      </c>
      <c r="C702" s="75" t="s">
        <v>1573</v>
      </c>
      <c r="D702" s="76" t="str">
        <f t="shared" si="19"/>
        <v>Active</v>
      </c>
      <c r="E702" s="77">
        <v>43179.0</v>
      </c>
      <c r="F702" s="198"/>
      <c r="G702" s="79">
        <f t="shared" si="2"/>
        <v>102.5333333</v>
      </c>
      <c r="H702" s="90">
        <v>43179.0</v>
      </c>
      <c r="I702" s="79">
        <f t="shared" si="3"/>
        <v>0</v>
      </c>
      <c r="J702" s="216">
        <v>69.0</v>
      </c>
      <c r="K702" s="106">
        <v>33.5</v>
      </c>
      <c r="L702" s="83" t="s">
        <v>41</v>
      </c>
      <c r="M702" s="82" t="s">
        <v>326</v>
      </c>
      <c r="N702" s="82"/>
      <c r="O702" s="82" t="s">
        <v>328</v>
      </c>
      <c r="P702" s="107" t="s">
        <v>2003</v>
      </c>
      <c r="Q702" s="82"/>
      <c r="R702" s="76" t="str">
        <f t="shared" si="4"/>
        <v>Active</v>
      </c>
      <c r="S702" s="90">
        <v>45547.0</v>
      </c>
      <c r="T702" s="79">
        <f t="shared" si="5"/>
        <v>77.73333333</v>
      </c>
      <c r="U702" s="90"/>
      <c r="V702" s="79"/>
    </row>
    <row r="703">
      <c r="A703" s="53" t="s">
        <v>1660</v>
      </c>
      <c r="B703" s="54" t="s">
        <v>35</v>
      </c>
      <c r="C703" s="59"/>
      <c r="D703" s="59" t="str">
        <f t="shared" si="19"/>
        <v>Active</v>
      </c>
      <c r="E703" s="133">
        <v>43160.0</v>
      </c>
      <c r="F703" s="187"/>
      <c r="G703" s="65">
        <f t="shared" si="2"/>
        <v>103.1666667</v>
      </c>
      <c r="H703" s="88">
        <v>43046.0</v>
      </c>
      <c r="I703" s="65">
        <f t="shared" si="3"/>
        <v>0.3166666667</v>
      </c>
      <c r="J703" s="208">
        <v>64.0</v>
      </c>
      <c r="K703" s="121">
        <v>6.0</v>
      </c>
      <c r="L703" s="91" t="s">
        <v>57</v>
      </c>
      <c r="M703" s="69" t="s">
        <v>1747</v>
      </c>
      <c r="N703" s="91"/>
      <c r="O703" s="69" t="s">
        <v>1219</v>
      </c>
      <c r="P703" s="122" t="s">
        <v>1918</v>
      </c>
      <c r="Q703" s="69"/>
      <c r="R703" s="59" t="str">
        <f t="shared" si="4"/>
        <v>Active</v>
      </c>
      <c r="S703" s="88">
        <v>45547.0</v>
      </c>
      <c r="T703" s="65">
        <f t="shared" si="5"/>
        <v>78.36666667</v>
      </c>
      <c r="U703" s="88"/>
      <c r="V703" s="65"/>
    </row>
    <row r="704">
      <c r="A704" s="226" t="s">
        <v>1661</v>
      </c>
      <c r="B704" s="75" t="s">
        <v>129</v>
      </c>
      <c r="C704" s="75" t="s">
        <v>100</v>
      </c>
      <c r="D704" s="76" t="str">
        <f t="shared" si="19"/>
        <v>Active</v>
      </c>
      <c r="E704" s="218">
        <v>43132.0</v>
      </c>
      <c r="F704" s="198"/>
      <c r="G704" s="79">
        <f t="shared" si="2"/>
        <v>104.1666667</v>
      </c>
      <c r="H704" s="90">
        <v>41674.0</v>
      </c>
      <c r="I704" s="79">
        <f t="shared" si="3"/>
        <v>3.991666667</v>
      </c>
      <c r="J704" s="216">
        <v>68.0</v>
      </c>
      <c r="K704" s="106">
        <v>14.0</v>
      </c>
      <c r="L704" s="82" t="s">
        <v>46</v>
      </c>
      <c r="M704" s="83"/>
      <c r="N704" s="82" t="s">
        <v>1657</v>
      </c>
      <c r="O704" s="234" t="s">
        <v>107</v>
      </c>
      <c r="P704" s="107" t="s">
        <v>2004</v>
      </c>
      <c r="Q704" s="82" t="s">
        <v>1822</v>
      </c>
      <c r="R704" s="76" t="str">
        <f t="shared" si="4"/>
        <v>Active</v>
      </c>
      <c r="S704" s="90">
        <v>45547.0</v>
      </c>
      <c r="T704" s="79">
        <f t="shared" si="5"/>
        <v>79.36666667</v>
      </c>
      <c r="U704" s="90">
        <v>45183.0</v>
      </c>
      <c r="V704" s="79">
        <f t="shared" ref="V704:V705" si="45">MONTHDUR(E704,U704)</f>
        <v>67.43333333</v>
      </c>
    </row>
    <row r="705">
      <c r="A705" s="207" t="s">
        <v>1663</v>
      </c>
      <c r="B705" s="54" t="s">
        <v>35</v>
      </c>
      <c r="C705" s="54" t="s">
        <v>100</v>
      </c>
      <c r="D705" s="59" t="str">
        <f t="shared" si="19"/>
        <v>Active</v>
      </c>
      <c r="E705" s="133">
        <v>43132.0</v>
      </c>
      <c r="F705" s="187"/>
      <c r="G705" s="65">
        <f t="shared" si="2"/>
        <v>104.1666667</v>
      </c>
      <c r="H705" s="88">
        <v>42783.0</v>
      </c>
      <c r="I705" s="65">
        <f t="shared" si="3"/>
        <v>0.9555555556</v>
      </c>
      <c r="J705" s="208">
        <v>79.0</v>
      </c>
      <c r="K705" s="121">
        <v>8.0</v>
      </c>
      <c r="L705" s="91" t="s">
        <v>1726</v>
      </c>
      <c r="M705" s="69" t="s">
        <v>1747</v>
      </c>
      <c r="N705" s="69" t="s">
        <v>1657</v>
      </c>
      <c r="O705" s="69" t="s">
        <v>328</v>
      </c>
      <c r="P705" s="122" t="s">
        <v>1946</v>
      </c>
      <c r="Q705" s="69"/>
      <c r="R705" s="59" t="str">
        <f t="shared" si="4"/>
        <v>Active</v>
      </c>
      <c r="S705" s="88">
        <v>45547.0</v>
      </c>
      <c r="T705" s="65">
        <f t="shared" si="5"/>
        <v>79.36666667</v>
      </c>
      <c r="U705" s="88">
        <v>45183.0</v>
      </c>
      <c r="V705" s="65">
        <f t="shared" si="45"/>
        <v>67.43333333</v>
      </c>
    </row>
    <row r="706">
      <c r="A706" s="226" t="s">
        <v>1664</v>
      </c>
      <c r="B706" s="75" t="s">
        <v>35</v>
      </c>
      <c r="C706" s="76"/>
      <c r="D706" s="76" t="str">
        <f t="shared" si="19"/>
        <v>Active</v>
      </c>
      <c r="E706" s="218">
        <v>43101.0</v>
      </c>
      <c r="F706" s="198"/>
      <c r="G706" s="79">
        <f t="shared" si="2"/>
        <v>105.1666667</v>
      </c>
      <c r="H706" s="90">
        <v>43039.0</v>
      </c>
      <c r="I706" s="79">
        <f t="shared" si="3"/>
        <v>0.1694444444</v>
      </c>
      <c r="J706" s="216">
        <v>68.0</v>
      </c>
      <c r="K706" s="106">
        <v>14.0</v>
      </c>
      <c r="L706" s="83" t="s">
        <v>64</v>
      </c>
      <c r="M706" s="83"/>
      <c r="N706" s="83"/>
      <c r="O706" s="82" t="s">
        <v>1219</v>
      </c>
      <c r="P706" s="107"/>
      <c r="Q706" s="82"/>
      <c r="R706" s="76" t="str">
        <f t="shared" si="4"/>
        <v>Active</v>
      </c>
      <c r="S706" s="90">
        <v>45547.0</v>
      </c>
      <c r="T706" s="79">
        <f t="shared" si="5"/>
        <v>80.36666667</v>
      </c>
      <c r="U706" s="90"/>
      <c r="V706" s="79"/>
    </row>
    <row r="707">
      <c r="A707" s="207" t="s">
        <v>1666</v>
      </c>
      <c r="B707" s="54" t="s">
        <v>35</v>
      </c>
      <c r="C707" s="54" t="s">
        <v>36</v>
      </c>
      <c r="D707" s="59" t="str">
        <f t="shared" si="19"/>
        <v>Active</v>
      </c>
      <c r="E707" s="133">
        <v>43070.0</v>
      </c>
      <c r="F707" s="187"/>
      <c r="G707" s="65">
        <f t="shared" si="2"/>
        <v>106.1666667</v>
      </c>
      <c r="H707" s="88">
        <v>42650.0</v>
      </c>
      <c r="I707" s="65">
        <f t="shared" si="3"/>
        <v>1.15</v>
      </c>
      <c r="J707" s="208">
        <v>84.0</v>
      </c>
      <c r="K707" s="121">
        <v>9.0</v>
      </c>
      <c r="L707" s="91" t="s">
        <v>37</v>
      </c>
      <c r="M707" s="69" t="s">
        <v>1747</v>
      </c>
      <c r="N707" s="91"/>
      <c r="O707" s="69" t="s">
        <v>107</v>
      </c>
      <c r="P707" s="122" t="s">
        <v>1759</v>
      </c>
      <c r="Q707" s="69"/>
      <c r="R707" s="59" t="str">
        <f t="shared" si="4"/>
        <v>Active</v>
      </c>
      <c r="S707" s="88">
        <v>45547.0</v>
      </c>
      <c r="T707" s="65">
        <f t="shared" si="5"/>
        <v>81.36666667</v>
      </c>
      <c r="U707" s="88"/>
      <c r="V707" s="65"/>
    </row>
    <row r="708">
      <c r="A708" s="226" t="s">
        <v>2005</v>
      </c>
      <c r="B708" s="75" t="s">
        <v>35</v>
      </c>
      <c r="C708" s="76"/>
      <c r="D708" s="76" t="str">
        <f t="shared" si="19"/>
        <v>Active</v>
      </c>
      <c r="E708" s="218">
        <v>43070.0</v>
      </c>
      <c r="F708" s="198"/>
      <c r="G708" s="79">
        <f t="shared" si="2"/>
        <v>106.1666667</v>
      </c>
      <c r="H708" s="90">
        <v>39406.0</v>
      </c>
      <c r="I708" s="79">
        <f t="shared" si="3"/>
        <v>10.03055556</v>
      </c>
      <c r="J708" s="216">
        <f>(89+91)/2</f>
        <v>90</v>
      </c>
      <c r="K708" s="106">
        <v>17.0</v>
      </c>
      <c r="L708" s="82" t="s">
        <v>37</v>
      </c>
      <c r="M708" s="83"/>
      <c r="N708" s="83"/>
      <c r="O708" s="234" t="s">
        <v>107</v>
      </c>
      <c r="P708" s="107" t="s">
        <v>2006</v>
      </c>
      <c r="Q708" s="82" t="s">
        <v>1822</v>
      </c>
      <c r="R708" s="76" t="str">
        <f t="shared" si="4"/>
        <v>Active</v>
      </c>
      <c r="S708" s="90">
        <v>45547.0</v>
      </c>
      <c r="T708" s="79">
        <f t="shared" si="5"/>
        <v>81.36666667</v>
      </c>
      <c r="U708" s="90"/>
      <c r="V708" s="79"/>
    </row>
    <row r="709">
      <c r="A709" s="207" t="s">
        <v>1667</v>
      </c>
      <c r="B709" s="54" t="s">
        <v>35</v>
      </c>
      <c r="C709" s="54" t="s">
        <v>100</v>
      </c>
      <c r="D709" s="59" t="str">
        <f t="shared" si="19"/>
        <v>Active</v>
      </c>
      <c r="E709" s="133">
        <v>43040.0</v>
      </c>
      <c r="F709" s="187"/>
      <c r="G709" s="65">
        <f t="shared" si="2"/>
        <v>107.1666667</v>
      </c>
      <c r="H709" s="88">
        <v>39870.0</v>
      </c>
      <c r="I709" s="65">
        <f t="shared" si="3"/>
        <v>8.680555556</v>
      </c>
      <c r="J709" s="121">
        <v>81.0</v>
      </c>
      <c r="K709" s="121">
        <v>9.0</v>
      </c>
      <c r="L709" s="69" t="s">
        <v>46</v>
      </c>
      <c r="M709" s="91"/>
      <c r="N709" s="91"/>
      <c r="O709" s="69" t="s">
        <v>328</v>
      </c>
      <c r="P709" s="122" t="s">
        <v>2007</v>
      </c>
      <c r="Q709" s="69"/>
      <c r="R709" s="59" t="str">
        <f t="shared" si="4"/>
        <v>Active</v>
      </c>
      <c r="S709" s="88">
        <v>45547.0</v>
      </c>
      <c r="T709" s="65">
        <f t="shared" si="5"/>
        <v>82.36666667</v>
      </c>
      <c r="U709" s="88"/>
      <c r="V709" s="65"/>
    </row>
    <row r="710">
      <c r="A710" s="226" t="s">
        <v>1669</v>
      </c>
      <c r="B710" s="75" t="s">
        <v>129</v>
      </c>
      <c r="C710" s="76"/>
      <c r="D710" s="76" t="str">
        <f t="shared" si="19"/>
        <v>Active</v>
      </c>
      <c r="E710" s="218">
        <v>43009.0</v>
      </c>
      <c r="F710" s="198"/>
      <c r="G710" s="79">
        <f t="shared" si="2"/>
        <v>108.1666667</v>
      </c>
      <c r="H710" s="90">
        <v>41919.0</v>
      </c>
      <c r="I710" s="79">
        <f t="shared" si="3"/>
        <v>2.983333333</v>
      </c>
      <c r="J710" s="216">
        <v>65.0</v>
      </c>
      <c r="K710" s="106">
        <v>6.5</v>
      </c>
      <c r="L710" s="82" t="s">
        <v>46</v>
      </c>
      <c r="M710" s="83"/>
      <c r="N710" s="83"/>
      <c r="O710" s="82" t="s">
        <v>1168</v>
      </c>
      <c r="P710" s="107" t="s">
        <v>1396</v>
      </c>
      <c r="Q710" s="82"/>
      <c r="R710" s="76" t="str">
        <f t="shared" si="4"/>
        <v>Active</v>
      </c>
      <c r="S710" s="90">
        <v>45547.0</v>
      </c>
      <c r="T710" s="79">
        <f t="shared" si="5"/>
        <v>83.36666667</v>
      </c>
      <c r="U710" s="90"/>
      <c r="V710" s="79"/>
    </row>
    <row r="711">
      <c r="A711" s="207" t="s">
        <v>1671</v>
      </c>
      <c r="B711" s="54" t="s">
        <v>129</v>
      </c>
      <c r="C711" s="59"/>
      <c r="D711" s="59" t="str">
        <f t="shared" si="19"/>
        <v>Active</v>
      </c>
      <c r="E711" s="133">
        <v>43009.0</v>
      </c>
      <c r="F711" s="187"/>
      <c r="G711" s="65">
        <f t="shared" si="2"/>
        <v>108.1666667</v>
      </c>
      <c r="H711" s="88">
        <v>42122.0</v>
      </c>
      <c r="I711" s="65">
        <f t="shared" si="3"/>
        <v>2.425</v>
      </c>
      <c r="J711" s="208">
        <v>72.0</v>
      </c>
      <c r="K711" s="121">
        <v>17.5</v>
      </c>
      <c r="L711" s="69" t="s">
        <v>37</v>
      </c>
      <c r="M711" s="91"/>
      <c r="N711" s="91"/>
      <c r="O711" s="69" t="s">
        <v>107</v>
      </c>
      <c r="P711" s="122" t="s">
        <v>1998</v>
      </c>
      <c r="Q711" s="69"/>
      <c r="R711" s="59" t="str">
        <f t="shared" si="4"/>
        <v>Active</v>
      </c>
      <c r="S711" s="88">
        <v>45547.0</v>
      </c>
      <c r="T711" s="65">
        <f t="shared" si="5"/>
        <v>83.36666667</v>
      </c>
      <c r="U711" s="88"/>
      <c r="V711" s="65"/>
    </row>
    <row r="712">
      <c r="A712" s="226" t="s">
        <v>1672</v>
      </c>
      <c r="B712" s="75" t="s">
        <v>129</v>
      </c>
      <c r="C712" s="75" t="s">
        <v>100</v>
      </c>
      <c r="D712" s="76" t="str">
        <f t="shared" si="19"/>
        <v>Active</v>
      </c>
      <c r="E712" s="218">
        <v>42979.0</v>
      </c>
      <c r="F712" s="198"/>
      <c r="G712" s="79">
        <f t="shared" si="2"/>
        <v>109.1666667</v>
      </c>
      <c r="H712" s="90">
        <v>39742.0</v>
      </c>
      <c r="I712" s="79">
        <f t="shared" si="3"/>
        <v>8.861111111</v>
      </c>
      <c r="J712" s="106">
        <v>89.0</v>
      </c>
      <c r="K712" s="106">
        <v>13.0</v>
      </c>
      <c r="L712" s="83" t="s">
        <v>135</v>
      </c>
      <c r="M712" s="83"/>
      <c r="N712" s="83"/>
      <c r="O712" s="234" t="s">
        <v>107</v>
      </c>
      <c r="P712" s="107" t="s">
        <v>2008</v>
      </c>
      <c r="Q712" s="82" t="s">
        <v>1822</v>
      </c>
      <c r="R712" s="76" t="str">
        <f t="shared" si="4"/>
        <v>Active</v>
      </c>
      <c r="S712" s="90">
        <v>45547.0</v>
      </c>
      <c r="T712" s="79">
        <f t="shared" si="5"/>
        <v>84.36666667</v>
      </c>
      <c r="U712" s="90"/>
      <c r="V712" s="79"/>
    </row>
    <row r="713">
      <c r="A713" s="53" t="s">
        <v>1673</v>
      </c>
      <c r="B713" s="54" t="s">
        <v>35</v>
      </c>
      <c r="C713" s="54" t="s">
        <v>36</v>
      </c>
      <c r="D713" s="59" t="str">
        <f t="shared" si="19"/>
        <v>Active</v>
      </c>
      <c r="E713" s="133">
        <v>42976.0</v>
      </c>
      <c r="F713" s="187"/>
      <c r="G713" s="65">
        <f t="shared" si="2"/>
        <v>109.2333333</v>
      </c>
      <c r="H713" s="88">
        <v>42626.0</v>
      </c>
      <c r="I713" s="65">
        <f t="shared" si="3"/>
        <v>0.9611111111</v>
      </c>
      <c r="J713" s="208">
        <f>ROUND((58+63)/2,)</f>
        <v>61</v>
      </c>
      <c r="K713" s="121">
        <v>12.0</v>
      </c>
      <c r="L713" s="91" t="s">
        <v>135</v>
      </c>
      <c r="M713" s="69" t="s">
        <v>1747</v>
      </c>
      <c r="N713" s="91"/>
      <c r="O713" s="69" t="s">
        <v>328</v>
      </c>
      <c r="P713" s="122" t="s">
        <v>1378</v>
      </c>
      <c r="Q713" s="69"/>
      <c r="R713" s="59" t="str">
        <f t="shared" si="4"/>
        <v>Active</v>
      </c>
      <c r="S713" s="88">
        <v>45547.0</v>
      </c>
      <c r="T713" s="65">
        <f t="shared" si="5"/>
        <v>84.43333333</v>
      </c>
      <c r="U713" s="88"/>
      <c r="V713" s="65"/>
    </row>
    <row r="714">
      <c r="A714" s="226" t="s">
        <v>1675</v>
      </c>
      <c r="B714" s="75" t="s">
        <v>129</v>
      </c>
      <c r="C714" s="75" t="s">
        <v>100</v>
      </c>
      <c r="D714" s="76" t="str">
        <f t="shared" si="19"/>
        <v>Active</v>
      </c>
      <c r="E714" s="218">
        <v>42887.0</v>
      </c>
      <c r="F714" s="198"/>
      <c r="G714" s="79">
        <f t="shared" si="2"/>
        <v>112.1666667</v>
      </c>
      <c r="H714" s="90">
        <v>35975.0</v>
      </c>
      <c r="I714" s="79">
        <f t="shared" si="3"/>
        <v>18.92222222</v>
      </c>
      <c r="J714" s="216">
        <v>77.0</v>
      </c>
      <c r="K714" s="106">
        <v>11.0</v>
      </c>
      <c r="L714" s="83" t="s">
        <v>135</v>
      </c>
      <c r="M714" s="83"/>
      <c r="N714" s="83"/>
      <c r="O714" s="234" t="s">
        <v>1219</v>
      </c>
      <c r="P714" s="107" t="s">
        <v>1378</v>
      </c>
      <c r="Q714" s="82"/>
      <c r="R714" s="76" t="str">
        <f t="shared" si="4"/>
        <v>Active</v>
      </c>
      <c r="S714" s="90">
        <v>45547.0</v>
      </c>
      <c r="T714" s="79">
        <f t="shared" si="5"/>
        <v>87.36666667</v>
      </c>
      <c r="U714" s="90"/>
      <c r="V714" s="79"/>
    </row>
    <row r="715">
      <c r="A715" s="207" t="s">
        <v>1677</v>
      </c>
      <c r="B715" s="54" t="s">
        <v>129</v>
      </c>
      <c r="C715" s="54" t="s">
        <v>36</v>
      </c>
      <c r="D715" s="59" t="str">
        <f t="shared" si="19"/>
        <v>Active</v>
      </c>
      <c r="E715" s="133">
        <v>42887.0</v>
      </c>
      <c r="F715" s="187"/>
      <c r="G715" s="65">
        <f t="shared" si="2"/>
        <v>112.1666667</v>
      </c>
      <c r="H715" s="88">
        <v>39763.0</v>
      </c>
      <c r="I715" s="65">
        <f t="shared" si="3"/>
        <v>8.555555556</v>
      </c>
      <c r="J715" s="208">
        <v>79.0</v>
      </c>
      <c r="K715" s="121">
        <v>15.5</v>
      </c>
      <c r="L715" s="91" t="s">
        <v>135</v>
      </c>
      <c r="M715" s="91"/>
      <c r="N715" s="91"/>
      <c r="O715" s="69" t="s">
        <v>1168</v>
      </c>
      <c r="P715" s="122" t="s">
        <v>2009</v>
      </c>
      <c r="Q715" s="69" t="s">
        <v>1822</v>
      </c>
      <c r="R715" s="59" t="str">
        <f t="shared" si="4"/>
        <v>Active</v>
      </c>
      <c r="S715" s="88">
        <v>45547.0</v>
      </c>
      <c r="T715" s="65">
        <f t="shared" si="5"/>
        <v>87.36666667</v>
      </c>
      <c r="U715" s="88"/>
      <c r="V715" s="65"/>
    </row>
    <row r="716">
      <c r="A716" s="226" t="s">
        <v>1678</v>
      </c>
      <c r="B716" s="75" t="s">
        <v>129</v>
      </c>
      <c r="C716" s="75" t="s">
        <v>100</v>
      </c>
      <c r="D716" s="76" t="str">
        <f t="shared" si="19"/>
        <v>Active</v>
      </c>
      <c r="E716" s="218">
        <v>42887.0</v>
      </c>
      <c r="F716" s="198"/>
      <c r="G716" s="79">
        <f t="shared" si="2"/>
        <v>112.1666667</v>
      </c>
      <c r="H716" s="90">
        <v>36849.0</v>
      </c>
      <c r="I716" s="79">
        <f t="shared" si="3"/>
        <v>16.53333333</v>
      </c>
      <c r="J716" s="216">
        <v>73.0</v>
      </c>
      <c r="K716" s="106">
        <v>16.0</v>
      </c>
      <c r="L716" s="83" t="s">
        <v>135</v>
      </c>
      <c r="M716" s="83"/>
      <c r="N716" s="83"/>
      <c r="O716" s="234" t="s">
        <v>1219</v>
      </c>
      <c r="P716" s="241"/>
      <c r="Q716" s="82"/>
      <c r="R716" s="76" t="str">
        <f t="shared" si="4"/>
        <v>Active</v>
      </c>
      <c r="S716" s="90">
        <v>45547.0</v>
      </c>
      <c r="T716" s="79">
        <f t="shared" si="5"/>
        <v>87.36666667</v>
      </c>
      <c r="U716" s="90"/>
      <c r="V716" s="79"/>
    </row>
    <row r="717">
      <c r="A717" s="207" t="s">
        <v>1679</v>
      </c>
      <c r="B717" s="54" t="s">
        <v>129</v>
      </c>
      <c r="C717" s="54" t="s">
        <v>100</v>
      </c>
      <c r="D717" s="59" t="str">
        <f t="shared" si="19"/>
        <v>Active</v>
      </c>
      <c r="E717" s="133">
        <v>42887.0</v>
      </c>
      <c r="F717" s="187"/>
      <c r="G717" s="65">
        <f t="shared" si="2"/>
        <v>112.1666667</v>
      </c>
      <c r="H717" s="88">
        <v>40477.0</v>
      </c>
      <c r="I717" s="65">
        <f t="shared" si="3"/>
        <v>6.597222222</v>
      </c>
      <c r="J717" s="121">
        <v>80.0</v>
      </c>
      <c r="K717" s="121">
        <v>12.5</v>
      </c>
      <c r="L717" s="91" t="s">
        <v>135</v>
      </c>
      <c r="M717" s="69" t="s">
        <v>1747</v>
      </c>
      <c r="N717" s="91"/>
      <c r="O717" s="239" t="s">
        <v>107</v>
      </c>
      <c r="P717" s="122" t="s">
        <v>2010</v>
      </c>
      <c r="Q717" s="69" t="s">
        <v>1822</v>
      </c>
      <c r="R717" s="59" t="str">
        <f t="shared" si="4"/>
        <v>Active</v>
      </c>
      <c r="S717" s="88">
        <v>45547.0</v>
      </c>
      <c r="T717" s="65">
        <f t="shared" si="5"/>
        <v>87.36666667</v>
      </c>
      <c r="U717" s="88"/>
      <c r="V717" s="65"/>
    </row>
    <row r="718">
      <c r="A718" s="226" t="s">
        <v>1680</v>
      </c>
      <c r="B718" s="75" t="s">
        <v>35</v>
      </c>
      <c r="C718" s="75" t="s">
        <v>100</v>
      </c>
      <c r="D718" s="76" t="str">
        <f t="shared" si="19"/>
        <v>Active</v>
      </c>
      <c r="E718" s="218">
        <v>42887.0</v>
      </c>
      <c r="F718" s="198"/>
      <c r="G718" s="79">
        <f t="shared" si="2"/>
        <v>112.1666667</v>
      </c>
      <c r="H718" s="90">
        <v>37209.0</v>
      </c>
      <c r="I718" s="79">
        <f t="shared" si="3"/>
        <v>15.54722222</v>
      </c>
      <c r="J718" s="216">
        <v>70.0</v>
      </c>
      <c r="K718" s="106">
        <v>4.0</v>
      </c>
      <c r="L718" s="83" t="s">
        <v>2011</v>
      </c>
      <c r="M718" s="83"/>
      <c r="N718" s="82" t="s">
        <v>73</v>
      </c>
      <c r="O718" s="82" t="s">
        <v>1219</v>
      </c>
      <c r="P718" s="107" t="s">
        <v>1378</v>
      </c>
      <c r="Q718" s="82" t="s">
        <v>1745</v>
      </c>
      <c r="R718" s="76" t="str">
        <f t="shared" si="4"/>
        <v>Active</v>
      </c>
      <c r="S718" s="90">
        <v>45547.0</v>
      </c>
      <c r="T718" s="79">
        <f t="shared" si="5"/>
        <v>87.36666667</v>
      </c>
      <c r="U718" s="90">
        <v>46225.0</v>
      </c>
      <c r="V718" s="79">
        <f>MONTHDUR(E718,U718)</f>
        <v>109.7</v>
      </c>
    </row>
    <row r="719">
      <c r="A719" s="207" t="s">
        <v>1681</v>
      </c>
      <c r="B719" s="54" t="s">
        <v>129</v>
      </c>
      <c r="C719" s="59"/>
      <c r="D719" s="59" t="str">
        <f t="shared" si="19"/>
        <v>Active</v>
      </c>
      <c r="E719" s="133">
        <v>42887.0</v>
      </c>
      <c r="F719" s="187"/>
      <c r="G719" s="65">
        <f t="shared" si="2"/>
        <v>112.1666667</v>
      </c>
      <c r="H719" s="88">
        <v>39028.0</v>
      </c>
      <c r="I719" s="65">
        <f t="shared" si="3"/>
        <v>10.56666667</v>
      </c>
      <c r="J719" s="208">
        <v>94.0</v>
      </c>
      <c r="K719" s="121">
        <v>9.0</v>
      </c>
      <c r="L719" s="91" t="s">
        <v>37</v>
      </c>
      <c r="M719" s="69" t="s">
        <v>1747</v>
      </c>
      <c r="N719" s="91"/>
      <c r="O719" s="239" t="s">
        <v>107</v>
      </c>
      <c r="P719" s="122"/>
      <c r="Q719" s="69" t="s">
        <v>1822</v>
      </c>
      <c r="R719" s="59" t="str">
        <f t="shared" si="4"/>
        <v>Active</v>
      </c>
      <c r="S719" s="88">
        <v>45547.0</v>
      </c>
      <c r="T719" s="65">
        <f t="shared" si="5"/>
        <v>87.36666667</v>
      </c>
      <c r="U719" s="88"/>
      <c r="V719" s="65"/>
    </row>
    <row r="720">
      <c r="A720" s="226" t="s">
        <v>1683</v>
      </c>
      <c r="B720" s="75" t="s">
        <v>129</v>
      </c>
      <c r="C720" s="75" t="s">
        <v>36</v>
      </c>
      <c r="D720" s="76" t="str">
        <f t="shared" si="19"/>
        <v>Active</v>
      </c>
      <c r="E720" s="218">
        <v>42887.0</v>
      </c>
      <c r="F720" s="198"/>
      <c r="G720" s="79">
        <f t="shared" si="2"/>
        <v>112.1666667</v>
      </c>
      <c r="H720" s="90">
        <v>39759.0</v>
      </c>
      <c r="I720" s="79">
        <f t="shared" si="3"/>
        <v>8.566666667</v>
      </c>
      <c r="J720" s="216">
        <v>93.0</v>
      </c>
      <c r="K720" s="106">
        <v>10.0</v>
      </c>
      <c r="L720" s="82" t="s">
        <v>37</v>
      </c>
      <c r="M720" s="82" t="s">
        <v>1747</v>
      </c>
      <c r="N720" s="83"/>
      <c r="O720" s="234" t="s">
        <v>107</v>
      </c>
      <c r="P720" s="107" t="s">
        <v>1759</v>
      </c>
      <c r="Q720" s="82" t="s">
        <v>1822</v>
      </c>
      <c r="R720" s="76" t="str">
        <f t="shared" si="4"/>
        <v>Active</v>
      </c>
      <c r="S720" s="90">
        <v>45547.0</v>
      </c>
      <c r="T720" s="79">
        <f t="shared" si="5"/>
        <v>87.36666667</v>
      </c>
      <c r="U720" s="90"/>
      <c r="V720" s="79"/>
    </row>
    <row r="721">
      <c r="A721" s="207" t="s">
        <v>1684</v>
      </c>
      <c r="B721" s="54" t="s">
        <v>129</v>
      </c>
      <c r="C721" s="54" t="s">
        <v>36</v>
      </c>
      <c r="D721" s="59" t="str">
        <f t="shared" si="19"/>
        <v>Active</v>
      </c>
      <c r="E721" s="133">
        <v>42887.0</v>
      </c>
      <c r="F721" s="187"/>
      <c r="G721" s="65">
        <f t="shared" si="2"/>
        <v>112.1666667</v>
      </c>
      <c r="H721" s="88">
        <v>40806.0</v>
      </c>
      <c r="I721" s="65">
        <f t="shared" si="3"/>
        <v>5.697222222</v>
      </c>
      <c r="J721" s="208">
        <v>91.0</v>
      </c>
      <c r="K721" s="121">
        <v>9.5</v>
      </c>
      <c r="L721" s="69" t="s">
        <v>37</v>
      </c>
      <c r="M721" s="69" t="s">
        <v>1747</v>
      </c>
      <c r="N721" s="91"/>
      <c r="O721" s="239" t="s">
        <v>107</v>
      </c>
      <c r="P721" s="122" t="s">
        <v>1759</v>
      </c>
      <c r="Q721" s="69" t="s">
        <v>1822</v>
      </c>
      <c r="R721" s="59" t="str">
        <f t="shared" si="4"/>
        <v>Active</v>
      </c>
      <c r="S721" s="88">
        <v>45547.0</v>
      </c>
      <c r="T721" s="65">
        <f t="shared" si="5"/>
        <v>87.36666667</v>
      </c>
      <c r="U721" s="88"/>
      <c r="V721" s="65"/>
    </row>
    <row r="722">
      <c r="A722" s="226" t="s">
        <v>1685</v>
      </c>
      <c r="B722" s="75" t="s">
        <v>129</v>
      </c>
      <c r="C722" s="75" t="s">
        <v>36</v>
      </c>
      <c r="D722" s="76" t="str">
        <f t="shared" si="19"/>
        <v>Active</v>
      </c>
      <c r="E722" s="218">
        <v>42887.0</v>
      </c>
      <c r="F722" s="198"/>
      <c r="G722" s="79">
        <f t="shared" si="2"/>
        <v>112.1666667</v>
      </c>
      <c r="H722" s="90">
        <v>41352.0</v>
      </c>
      <c r="I722" s="79">
        <f t="shared" si="3"/>
        <v>4.2</v>
      </c>
      <c r="J722" s="216">
        <v>79.0</v>
      </c>
      <c r="K722" s="106">
        <v>7.0</v>
      </c>
      <c r="L722" s="82" t="s">
        <v>37</v>
      </c>
      <c r="M722" s="82" t="s">
        <v>1747</v>
      </c>
      <c r="N722" s="83"/>
      <c r="O722" s="234" t="s">
        <v>107</v>
      </c>
      <c r="P722" s="107" t="s">
        <v>1759</v>
      </c>
      <c r="Q722" s="82" t="s">
        <v>1822</v>
      </c>
      <c r="R722" s="76" t="str">
        <f t="shared" si="4"/>
        <v>Active</v>
      </c>
      <c r="S722" s="90">
        <v>45547.0</v>
      </c>
      <c r="T722" s="79">
        <f t="shared" si="5"/>
        <v>87.36666667</v>
      </c>
      <c r="U722" s="90"/>
      <c r="V722" s="79"/>
    </row>
    <row r="723">
      <c r="A723" s="207" t="s">
        <v>1687</v>
      </c>
      <c r="B723" s="54" t="s">
        <v>35</v>
      </c>
      <c r="C723" s="54" t="s">
        <v>36</v>
      </c>
      <c r="D723" s="59" t="str">
        <f t="shared" si="19"/>
        <v>Active</v>
      </c>
      <c r="E723" s="133">
        <v>42887.0</v>
      </c>
      <c r="F723" s="187"/>
      <c r="G723" s="65">
        <f t="shared" si="2"/>
        <v>112.1666667</v>
      </c>
      <c r="H723" s="88">
        <v>39028.0</v>
      </c>
      <c r="I723" s="65">
        <f t="shared" si="3"/>
        <v>10.56666667</v>
      </c>
      <c r="J723" s="208">
        <v>82.0</v>
      </c>
      <c r="K723" s="121">
        <v>9.0</v>
      </c>
      <c r="L723" s="91" t="s">
        <v>37</v>
      </c>
      <c r="M723" s="69" t="s">
        <v>1747</v>
      </c>
      <c r="N723" s="91"/>
      <c r="O723" s="69" t="s">
        <v>107</v>
      </c>
      <c r="P723" s="122" t="s">
        <v>1759</v>
      </c>
      <c r="Q723" s="69"/>
      <c r="R723" s="59" t="str">
        <f t="shared" si="4"/>
        <v>Active</v>
      </c>
      <c r="S723" s="88">
        <v>45547.0</v>
      </c>
      <c r="T723" s="65">
        <f t="shared" si="5"/>
        <v>87.36666667</v>
      </c>
      <c r="U723" s="88"/>
      <c r="V723" s="65"/>
    </row>
    <row r="724">
      <c r="A724" s="226" t="s">
        <v>1690</v>
      </c>
      <c r="B724" s="75" t="s">
        <v>129</v>
      </c>
      <c r="C724" s="75" t="s">
        <v>36</v>
      </c>
      <c r="D724" s="76" t="str">
        <f t="shared" si="19"/>
        <v>Active</v>
      </c>
      <c r="E724" s="218">
        <v>42887.0</v>
      </c>
      <c r="F724" s="198"/>
      <c r="G724" s="79">
        <f t="shared" si="2"/>
        <v>112.1666667</v>
      </c>
      <c r="H724" s="90">
        <v>42304.0</v>
      </c>
      <c r="I724" s="79">
        <f t="shared" si="3"/>
        <v>1.594444444</v>
      </c>
      <c r="J724" s="216">
        <v>84.0</v>
      </c>
      <c r="K724" s="106">
        <v>8.0</v>
      </c>
      <c r="L724" s="82" t="s">
        <v>37</v>
      </c>
      <c r="M724" s="83"/>
      <c r="N724" s="82" t="s">
        <v>1657</v>
      </c>
      <c r="O724" s="82" t="s">
        <v>328</v>
      </c>
      <c r="P724" s="107" t="s">
        <v>2012</v>
      </c>
      <c r="Q724" s="82"/>
      <c r="R724" s="76" t="str">
        <f t="shared" si="4"/>
        <v>Active</v>
      </c>
      <c r="S724" s="90">
        <v>45547.0</v>
      </c>
      <c r="T724" s="79">
        <f t="shared" si="5"/>
        <v>87.36666667</v>
      </c>
      <c r="U724" s="90">
        <v>45183.0</v>
      </c>
      <c r="V724" s="79">
        <f>MONTHDUR(E724,U724)</f>
        <v>75.43333333</v>
      </c>
    </row>
    <row r="725">
      <c r="A725" s="207" t="s">
        <v>1692</v>
      </c>
      <c r="B725" s="54" t="s">
        <v>35</v>
      </c>
      <c r="C725" s="54" t="s">
        <v>100</v>
      </c>
      <c r="D725" s="59" t="str">
        <f t="shared" si="19"/>
        <v>Active</v>
      </c>
      <c r="E725" s="133">
        <v>42887.0</v>
      </c>
      <c r="F725" s="187"/>
      <c r="G725" s="65">
        <f t="shared" si="2"/>
        <v>112.1666667</v>
      </c>
      <c r="H725" s="88">
        <v>41473.0</v>
      </c>
      <c r="I725" s="65">
        <f t="shared" si="3"/>
        <v>3.869444444</v>
      </c>
      <c r="J725" s="208">
        <v>53.0</v>
      </c>
      <c r="K725" s="121">
        <v>4.0</v>
      </c>
      <c r="L725" s="69" t="s">
        <v>37</v>
      </c>
      <c r="M725" s="69" t="s">
        <v>1747</v>
      </c>
      <c r="N725" s="91"/>
      <c r="O725" s="69" t="s">
        <v>328</v>
      </c>
      <c r="P725" s="122" t="s">
        <v>1491</v>
      </c>
      <c r="Q725" s="69"/>
      <c r="R725" s="59" t="str">
        <f t="shared" si="4"/>
        <v>Active</v>
      </c>
      <c r="S725" s="88">
        <v>45547.0</v>
      </c>
      <c r="T725" s="65">
        <f t="shared" si="5"/>
        <v>87.36666667</v>
      </c>
      <c r="U725" s="88"/>
      <c r="V725" s="65"/>
    </row>
    <row r="726">
      <c r="A726" s="74" t="s">
        <v>1693</v>
      </c>
      <c r="B726" s="75" t="s">
        <v>129</v>
      </c>
      <c r="C726" s="75" t="s">
        <v>100</v>
      </c>
      <c r="D726" s="76" t="str">
        <f t="shared" si="19"/>
        <v>Active</v>
      </c>
      <c r="E726" s="218">
        <v>42887.0</v>
      </c>
      <c r="F726" s="198"/>
      <c r="G726" s="79">
        <f t="shared" si="2"/>
        <v>112.1666667</v>
      </c>
      <c r="H726" s="90">
        <v>39169.0</v>
      </c>
      <c r="I726" s="79">
        <f t="shared" si="3"/>
        <v>10.175</v>
      </c>
      <c r="J726" s="216">
        <v>73.0</v>
      </c>
      <c r="K726" s="106">
        <v>4.5</v>
      </c>
      <c r="L726" s="82" t="s">
        <v>37</v>
      </c>
      <c r="M726" s="83"/>
      <c r="N726" s="83"/>
      <c r="O726" s="234" t="s">
        <v>1219</v>
      </c>
      <c r="P726" s="107" t="s">
        <v>1857</v>
      </c>
      <c r="Q726" s="82" t="s">
        <v>1822</v>
      </c>
      <c r="R726" s="76" t="str">
        <f t="shared" si="4"/>
        <v>Active</v>
      </c>
      <c r="S726" s="90">
        <v>45547.0</v>
      </c>
      <c r="T726" s="79">
        <f t="shared" si="5"/>
        <v>87.36666667</v>
      </c>
      <c r="U726" s="90">
        <v>46151.0</v>
      </c>
      <c r="V726" s="79">
        <f>MONTHDUR(E726,U726)</f>
        <v>107.2666667</v>
      </c>
    </row>
    <row r="727">
      <c r="A727" s="207" t="s">
        <v>1694</v>
      </c>
      <c r="B727" s="54" t="s">
        <v>129</v>
      </c>
      <c r="C727" s="54" t="s">
        <v>100</v>
      </c>
      <c r="D727" s="59" t="str">
        <f t="shared" si="19"/>
        <v>Active</v>
      </c>
      <c r="E727" s="133">
        <v>42887.0</v>
      </c>
      <c r="F727" s="133"/>
      <c r="G727" s="65">
        <f t="shared" si="2"/>
        <v>112.1666667</v>
      </c>
      <c r="H727" s="88">
        <v>41052.0</v>
      </c>
      <c r="I727" s="65">
        <f t="shared" si="3"/>
        <v>5.022222222</v>
      </c>
      <c r="J727" s="121">
        <v>67.0</v>
      </c>
      <c r="K727" s="121">
        <v>2.0</v>
      </c>
      <c r="L727" s="69" t="s">
        <v>55</v>
      </c>
      <c r="M727" s="91"/>
      <c r="N727" s="91"/>
      <c r="O727" s="239" t="s">
        <v>1219</v>
      </c>
      <c r="P727" s="122" t="s">
        <v>1857</v>
      </c>
      <c r="Q727" s="69" t="s">
        <v>1822</v>
      </c>
      <c r="R727" s="59" t="str">
        <f t="shared" si="4"/>
        <v>Active</v>
      </c>
      <c r="S727" s="88">
        <v>45547.0</v>
      </c>
      <c r="T727" s="65">
        <f t="shared" si="5"/>
        <v>87.36666667</v>
      </c>
      <c r="U727" s="88"/>
      <c r="V727" s="65"/>
    </row>
    <row r="728">
      <c r="A728" s="226" t="s">
        <v>1696</v>
      </c>
      <c r="B728" s="75" t="s">
        <v>129</v>
      </c>
      <c r="C728" s="75" t="s">
        <v>36</v>
      </c>
      <c r="D728" s="76" t="str">
        <f t="shared" si="19"/>
        <v>Active</v>
      </c>
      <c r="E728" s="218">
        <v>42887.0</v>
      </c>
      <c r="F728" s="198"/>
      <c r="G728" s="79">
        <f t="shared" si="2"/>
        <v>112.1666667</v>
      </c>
      <c r="H728" s="90">
        <v>38670.0</v>
      </c>
      <c r="I728" s="79">
        <f t="shared" si="3"/>
        <v>11.54722222</v>
      </c>
      <c r="J728" s="216">
        <v>79.0</v>
      </c>
      <c r="K728" s="106">
        <v>9.5</v>
      </c>
      <c r="L728" s="83" t="s">
        <v>41</v>
      </c>
      <c r="M728" s="82" t="s">
        <v>1747</v>
      </c>
      <c r="N728" s="83"/>
      <c r="O728" s="234" t="s">
        <v>328</v>
      </c>
      <c r="P728" s="107" t="s">
        <v>1378</v>
      </c>
      <c r="Q728" s="82" t="s">
        <v>1822</v>
      </c>
      <c r="R728" s="76" t="str">
        <f t="shared" si="4"/>
        <v>Active</v>
      </c>
      <c r="S728" s="90">
        <v>45547.0</v>
      </c>
      <c r="T728" s="79">
        <f t="shared" si="5"/>
        <v>87.36666667</v>
      </c>
      <c r="U728" s="90">
        <v>46151.0</v>
      </c>
      <c r="V728" s="79">
        <f t="shared" ref="V728:V730" si="46">MONTHDUR(E728,U728)</f>
        <v>107.2666667</v>
      </c>
    </row>
    <row r="729">
      <c r="A729" s="207" t="s">
        <v>1698</v>
      </c>
      <c r="B729" s="54" t="s">
        <v>129</v>
      </c>
      <c r="C729" s="59"/>
      <c r="D729" s="59" t="str">
        <f t="shared" si="19"/>
        <v>Active</v>
      </c>
      <c r="E729" s="133">
        <v>42887.0</v>
      </c>
      <c r="F729" s="187"/>
      <c r="G729" s="65">
        <f t="shared" si="2"/>
        <v>112.1666667</v>
      </c>
      <c r="H729" s="88">
        <v>41628.0</v>
      </c>
      <c r="I729" s="65">
        <f t="shared" si="3"/>
        <v>3.447222222</v>
      </c>
      <c r="J729" s="208">
        <v>72.0</v>
      </c>
      <c r="K729" s="121">
        <v>6.0</v>
      </c>
      <c r="L729" s="69" t="s">
        <v>57</v>
      </c>
      <c r="M729" s="91"/>
      <c r="N729" s="91"/>
      <c r="O729" s="69" t="s">
        <v>1168</v>
      </c>
      <c r="P729" s="122" t="s">
        <v>2013</v>
      </c>
      <c r="Q729" s="69"/>
      <c r="R729" s="59" t="str">
        <f t="shared" si="4"/>
        <v>Active</v>
      </c>
      <c r="S729" s="88">
        <v>45547.0</v>
      </c>
      <c r="T729" s="65">
        <f t="shared" si="5"/>
        <v>87.36666667</v>
      </c>
      <c r="U729" s="88">
        <v>46151.0</v>
      </c>
      <c r="V729" s="65">
        <f t="shared" si="46"/>
        <v>107.2666667</v>
      </c>
    </row>
    <row r="730">
      <c r="A730" s="226" t="s">
        <v>1700</v>
      </c>
      <c r="B730" s="75" t="s">
        <v>129</v>
      </c>
      <c r="C730" s="75" t="s">
        <v>36</v>
      </c>
      <c r="D730" s="76" t="str">
        <f t="shared" si="19"/>
        <v>Active</v>
      </c>
      <c r="E730" s="218">
        <v>42887.0</v>
      </c>
      <c r="F730" s="198"/>
      <c r="G730" s="79">
        <f t="shared" si="2"/>
        <v>112.1666667</v>
      </c>
      <c r="H730" s="90">
        <v>38875.0</v>
      </c>
      <c r="I730" s="79">
        <f t="shared" si="3"/>
        <v>10.98333333</v>
      </c>
      <c r="J730" s="216">
        <v>81.0</v>
      </c>
      <c r="K730" s="106">
        <v>8.0</v>
      </c>
      <c r="L730" s="82" t="s">
        <v>37</v>
      </c>
      <c r="M730" s="83"/>
      <c r="N730" s="83"/>
      <c r="O730" s="234" t="s">
        <v>107</v>
      </c>
      <c r="P730" s="107" t="s">
        <v>1873</v>
      </c>
      <c r="Q730" s="82" t="s">
        <v>1822</v>
      </c>
      <c r="R730" s="76" t="str">
        <f t="shared" si="4"/>
        <v>Active</v>
      </c>
      <c r="S730" s="90">
        <v>45547.0</v>
      </c>
      <c r="T730" s="79">
        <f t="shared" si="5"/>
        <v>87.36666667</v>
      </c>
      <c r="U730" s="90">
        <v>46151.0</v>
      </c>
      <c r="V730" s="79">
        <f t="shared" si="46"/>
        <v>107.2666667</v>
      </c>
    </row>
    <row r="731">
      <c r="A731" s="207" t="s">
        <v>1701</v>
      </c>
      <c r="B731" s="54" t="s">
        <v>129</v>
      </c>
      <c r="C731" s="59"/>
      <c r="D731" s="59" t="str">
        <f t="shared" si="19"/>
        <v>Active</v>
      </c>
      <c r="E731" s="133">
        <v>42887.0</v>
      </c>
      <c r="F731" s="120"/>
      <c r="G731" s="65">
        <f t="shared" si="2"/>
        <v>112.1666667</v>
      </c>
      <c r="H731" s="88">
        <v>42066.0</v>
      </c>
      <c r="I731" s="65">
        <f t="shared" si="3"/>
        <v>2.244444444</v>
      </c>
      <c r="J731" s="208">
        <v>71.0</v>
      </c>
      <c r="K731" s="121">
        <v>6.0</v>
      </c>
      <c r="L731" s="91" t="s">
        <v>105</v>
      </c>
      <c r="M731" s="91"/>
      <c r="N731" s="91"/>
      <c r="O731" s="69" t="s">
        <v>1168</v>
      </c>
      <c r="P731" s="122" t="s">
        <v>1793</v>
      </c>
      <c r="Q731" s="69"/>
      <c r="R731" s="59" t="str">
        <f t="shared" si="4"/>
        <v>Active</v>
      </c>
      <c r="S731" s="88">
        <v>45547.0</v>
      </c>
      <c r="T731" s="65">
        <f t="shared" si="5"/>
        <v>87.36666667</v>
      </c>
      <c r="U731" s="88"/>
      <c r="V731" s="65"/>
    </row>
    <row r="732">
      <c r="A732" s="226" t="s">
        <v>1703</v>
      </c>
      <c r="B732" s="75" t="s">
        <v>35</v>
      </c>
      <c r="C732" s="76"/>
      <c r="D732" s="76" t="str">
        <f t="shared" si="19"/>
        <v>Active</v>
      </c>
      <c r="E732" s="218">
        <v>42887.0</v>
      </c>
      <c r="F732" s="198"/>
      <c r="G732" s="79">
        <f t="shared" si="2"/>
        <v>112.1666667</v>
      </c>
      <c r="H732" s="90">
        <v>41940.0</v>
      </c>
      <c r="I732" s="79">
        <f t="shared" si="3"/>
        <v>2.591666667</v>
      </c>
      <c r="J732" s="216">
        <v>81.0</v>
      </c>
      <c r="K732" s="106">
        <v>10.0</v>
      </c>
      <c r="L732" s="82" t="s">
        <v>37</v>
      </c>
      <c r="M732" s="83"/>
      <c r="N732" s="83"/>
      <c r="O732" s="82" t="s">
        <v>107</v>
      </c>
      <c r="P732" s="107" t="s">
        <v>2014</v>
      </c>
      <c r="Q732" s="82"/>
      <c r="R732" s="76" t="str">
        <f t="shared" si="4"/>
        <v>Active</v>
      </c>
      <c r="S732" s="90">
        <v>45547.0</v>
      </c>
      <c r="T732" s="79">
        <f t="shared" si="5"/>
        <v>87.36666667</v>
      </c>
      <c r="U732" s="90"/>
      <c r="V732" s="79"/>
    </row>
    <row r="733">
      <c r="A733" s="207" t="s">
        <v>2015</v>
      </c>
      <c r="B733" s="54" t="s">
        <v>129</v>
      </c>
      <c r="C733" s="54" t="s">
        <v>371</v>
      </c>
      <c r="D733" s="59" t="str">
        <f t="shared" si="19"/>
        <v>Active</v>
      </c>
      <c r="E733" s="133">
        <v>42887.0</v>
      </c>
      <c r="F733" s="187"/>
      <c r="G733" s="65">
        <f t="shared" si="2"/>
        <v>112.1666667</v>
      </c>
      <c r="H733" s="88">
        <v>40679.0</v>
      </c>
      <c r="I733" s="65">
        <f t="shared" si="3"/>
        <v>6.041666667</v>
      </c>
      <c r="J733" s="208">
        <v>84.0</v>
      </c>
      <c r="K733" s="121">
        <v>94.0</v>
      </c>
      <c r="L733" s="69" t="s">
        <v>57</v>
      </c>
      <c r="M733" s="91"/>
      <c r="N733" s="91"/>
      <c r="O733" s="69" t="s">
        <v>328</v>
      </c>
      <c r="P733" s="122" t="s">
        <v>2016</v>
      </c>
      <c r="Q733" s="69"/>
      <c r="R733" s="59" t="str">
        <f t="shared" si="4"/>
        <v>Active</v>
      </c>
      <c r="S733" s="88">
        <v>45547.0</v>
      </c>
      <c r="T733" s="65">
        <f t="shared" si="5"/>
        <v>87.36666667</v>
      </c>
      <c r="U733" s="88"/>
      <c r="V733" s="65"/>
    </row>
    <row r="734">
      <c r="A734" s="226" t="s">
        <v>1704</v>
      </c>
      <c r="B734" s="75" t="s">
        <v>129</v>
      </c>
      <c r="C734" s="75" t="s">
        <v>100</v>
      </c>
      <c r="D734" s="76" t="str">
        <f t="shared" si="19"/>
        <v>Active</v>
      </c>
      <c r="E734" s="218">
        <v>42887.0</v>
      </c>
      <c r="F734" s="198"/>
      <c r="G734" s="79">
        <f t="shared" si="2"/>
        <v>112.1666667</v>
      </c>
      <c r="H734" s="90">
        <v>39030.0</v>
      </c>
      <c r="I734" s="79">
        <f t="shared" si="3"/>
        <v>10.56111111</v>
      </c>
      <c r="J734" s="216">
        <v>84.0</v>
      </c>
      <c r="K734" s="106">
        <v>19.0</v>
      </c>
      <c r="L734" s="82" t="s">
        <v>64</v>
      </c>
      <c r="M734" s="83"/>
      <c r="N734" s="83"/>
      <c r="O734" s="234" t="s">
        <v>1219</v>
      </c>
      <c r="P734" s="107" t="s">
        <v>2017</v>
      </c>
      <c r="Q734" s="82" t="s">
        <v>1822</v>
      </c>
      <c r="R734" s="76" t="str">
        <f t="shared" si="4"/>
        <v>Active</v>
      </c>
      <c r="S734" s="90">
        <v>45547.0</v>
      </c>
      <c r="T734" s="79">
        <f t="shared" si="5"/>
        <v>87.36666667</v>
      </c>
      <c r="U734" s="90"/>
      <c r="V734" s="79"/>
    </row>
    <row r="735">
      <c r="A735" s="207" t="s">
        <v>1705</v>
      </c>
      <c r="B735" s="54" t="s">
        <v>129</v>
      </c>
      <c r="C735" s="54" t="s">
        <v>100</v>
      </c>
      <c r="D735" s="59" t="str">
        <f t="shared" si="19"/>
        <v>Active</v>
      </c>
      <c r="E735" s="133">
        <v>42887.0</v>
      </c>
      <c r="F735" s="187"/>
      <c r="G735" s="65">
        <f t="shared" si="2"/>
        <v>112.1666667</v>
      </c>
      <c r="H735" s="88">
        <v>39693.0</v>
      </c>
      <c r="I735" s="65">
        <f t="shared" si="3"/>
        <v>8.747222222</v>
      </c>
      <c r="J735" s="208">
        <v>82.0</v>
      </c>
      <c r="K735" s="121">
        <v>26.5</v>
      </c>
      <c r="L735" s="69" t="s">
        <v>64</v>
      </c>
      <c r="M735" s="91"/>
      <c r="N735" s="91"/>
      <c r="O735" s="239" t="s">
        <v>1219</v>
      </c>
      <c r="P735" s="122" t="s">
        <v>2017</v>
      </c>
      <c r="Q735" s="69" t="s">
        <v>1822</v>
      </c>
      <c r="R735" s="59" t="str">
        <f t="shared" si="4"/>
        <v>Active</v>
      </c>
      <c r="S735" s="88">
        <v>45547.0</v>
      </c>
      <c r="T735" s="65">
        <f t="shared" si="5"/>
        <v>87.36666667</v>
      </c>
      <c r="U735" s="88"/>
      <c r="V735" s="65"/>
    </row>
    <row r="736">
      <c r="A736" s="74" t="s">
        <v>2018</v>
      </c>
      <c r="B736" s="75" t="s">
        <v>13</v>
      </c>
      <c r="C736" s="76"/>
      <c r="D736" s="76" t="str">
        <f t="shared" si="19"/>
        <v>Leaving Soon</v>
      </c>
      <c r="E736" s="77">
        <v>46107.0</v>
      </c>
      <c r="F736" s="105">
        <v>46310.0</v>
      </c>
      <c r="G736" s="79">
        <f t="shared" si="2"/>
        <v>6.633333333</v>
      </c>
      <c r="H736" s="80">
        <v>46107.0</v>
      </c>
      <c r="I736" s="79">
        <f t="shared" si="3"/>
        <v>0</v>
      </c>
      <c r="J736" s="89">
        <v>80.0</v>
      </c>
      <c r="K736" s="89">
        <v>7.0</v>
      </c>
      <c r="L736" s="82" t="s">
        <v>81</v>
      </c>
      <c r="M736" s="83"/>
      <c r="N736" s="85"/>
      <c r="O736" s="85"/>
      <c r="P736" s="86"/>
      <c r="Q736" s="85"/>
      <c r="R736" s="76" t="str">
        <f t="shared" si="4"/>
        <v>TBD</v>
      </c>
      <c r="S736" s="87"/>
      <c r="T736" s="79">
        <f t="shared" si="5"/>
        <v>6.333333333</v>
      </c>
      <c r="U736" s="87"/>
      <c r="V736" s="79"/>
    </row>
    <row r="737">
      <c r="A737" s="53" t="s">
        <v>2019</v>
      </c>
      <c r="B737" s="54" t="s">
        <v>35</v>
      </c>
      <c r="C737" s="54" t="s">
        <v>36</v>
      </c>
      <c r="D737" s="59" t="str">
        <f t="shared" si="19"/>
        <v>Leaving Soon</v>
      </c>
      <c r="E737" s="61">
        <v>45953.0</v>
      </c>
      <c r="F737" s="120">
        <v>46310.0</v>
      </c>
      <c r="G737" s="65">
        <f t="shared" si="2"/>
        <v>11.73333333</v>
      </c>
      <c r="H737" s="67">
        <v>45343.0</v>
      </c>
      <c r="I737" s="65">
        <f t="shared" si="3"/>
        <v>1.672222222</v>
      </c>
      <c r="J737" s="92">
        <v>79.0</v>
      </c>
      <c r="K737" s="92">
        <v>20.0</v>
      </c>
      <c r="L737" s="69" t="s">
        <v>55</v>
      </c>
      <c r="M737" s="69" t="s">
        <v>38</v>
      </c>
      <c r="N737" s="71"/>
      <c r="O737" s="71"/>
      <c r="P737" s="72"/>
      <c r="Q737" s="71"/>
      <c r="R737" s="59" t="str">
        <f t="shared" si="4"/>
        <v>Leaving Soon</v>
      </c>
      <c r="S737" s="98">
        <f t="shared" ref="S737:S738" si="47">E737</f>
        <v>45953</v>
      </c>
      <c r="T737" s="65">
        <f t="shared" si="5"/>
        <v>0</v>
      </c>
      <c r="U737" s="88"/>
      <c r="V737" s="65"/>
    </row>
    <row r="738">
      <c r="A738" s="74" t="s">
        <v>2020</v>
      </c>
      <c r="B738" s="75" t="s">
        <v>35</v>
      </c>
      <c r="C738" s="75" t="s">
        <v>36</v>
      </c>
      <c r="D738" s="76" t="str">
        <f t="shared" si="19"/>
        <v>Leaving Soon</v>
      </c>
      <c r="E738" s="77">
        <v>45951.0</v>
      </c>
      <c r="F738" s="105">
        <v>46310.0</v>
      </c>
      <c r="G738" s="79">
        <f t="shared" si="2"/>
        <v>11.8</v>
      </c>
      <c r="H738" s="90">
        <v>44887.0</v>
      </c>
      <c r="I738" s="79">
        <f t="shared" si="3"/>
        <v>2.913888889</v>
      </c>
      <c r="J738" s="106">
        <v>73.0</v>
      </c>
      <c r="K738" s="106">
        <v>11.0</v>
      </c>
      <c r="L738" s="82" t="s">
        <v>37</v>
      </c>
      <c r="M738" s="82"/>
      <c r="N738" s="82" t="s">
        <v>2021</v>
      </c>
      <c r="O738" s="82" t="s">
        <v>107</v>
      </c>
      <c r="P738" s="107" t="s">
        <v>1256</v>
      </c>
      <c r="Q738" s="82"/>
      <c r="R738" s="76" t="str">
        <f t="shared" si="4"/>
        <v>Leaving Soon</v>
      </c>
      <c r="S738" s="112">
        <f t="shared" si="47"/>
        <v>45951</v>
      </c>
      <c r="T738" s="79">
        <f t="shared" si="5"/>
        <v>0</v>
      </c>
      <c r="U738" s="90"/>
      <c r="V738" s="79"/>
    </row>
    <row r="739">
      <c r="A739" s="53" t="s">
        <v>2022</v>
      </c>
      <c r="B739" s="54" t="s">
        <v>35</v>
      </c>
      <c r="C739" s="54" t="s">
        <v>36</v>
      </c>
      <c r="D739" s="59" t="str">
        <f t="shared" si="19"/>
        <v>Leaving Soon</v>
      </c>
      <c r="E739" s="88">
        <v>45944.0</v>
      </c>
      <c r="F739" s="120">
        <v>46310.0</v>
      </c>
      <c r="G739" s="65">
        <f t="shared" si="2"/>
        <v>12.03333333</v>
      </c>
      <c r="H739" s="67">
        <v>45538.0</v>
      </c>
      <c r="I739" s="65">
        <f t="shared" si="3"/>
        <v>1.113888889</v>
      </c>
      <c r="J739" s="92">
        <v>68.0</v>
      </c>
      <c r="K739" s="92">
        <v>6.0</v>
      </c>
      <c r="L739" s="69" t="s">
        <v>41</v>
      </c>
      <c r="M739" s="69" t="s">
        <v>38</v>
      </c>
      <c r="N739" s="71"/>
      <c r="O739" s="71"/>
      <c r="P739" s="72"/>
      <c r="Q739" s="71"/>
      <c r="R739" s="59" t="str">
        <f t="shared" si="4"/>
        <v>TBD</v>
      </c>
      <c r="S739" s="73"/>
      <c r="T739" s="65">
        <f t="shared" si="5"/>
        <v>11.73333333</v>
      </c>
      <c r="U739" s="73"/>
      <c r="V739" s="65"/>
    </row>
    <row r="740">
      <c r="A740" s="74" t="s">
        <v>2023</v>
      </c>
      <c r="B740" s="75" t="s">
        <v>35</v>
      </c>
      <c r="C740" s="75" t="s">
        <v>36</v>
      </c>
      <c r="D740" s="76" t="str">
        <f t="shared" si="19"/>
        <v>Leaving Soon</v>
      </c>
      <c r="E740" s="90">
        <v>45771.0</v>
      </c>
      <c r="F740" s="105">
        <v>46310.0</v>
      </c>
      <c r="G740" s="79">
        <f t="shared" si="2"/>
        <v>17.7</v>
      </c>
      <c r="H740" s="80">
        <v>45771.0</v>
      </c>
      <c r="I740" s="79">
        <f t="shared" si="3"/>
        <v>0</v>
      </c>
      <c r="J740" s="89">
        <v>92.0</v>
      </c>
      <c r="K740" s="89">
        <v>26.0</v>
      </c>
      <c r="L740" s="82" t="s">
        <v>46</v>
      </c>
      <c r="M740" s="82" t="s">
        <v>38</v>
      </c>
      <c r="N740" s="84"/>
      <c r="O740" s="84"/>
      <c r="P740" s="118"/>
      <c r="Q740" s="84"/>
      <c r="R740" s="76" t="str">
        <f t="shared" si="4"/>
        <v>Leaving Soon</v>
      </c>
      <c r="S740" s="90">
        <v>46114.0</v>
      </c>
      <c r="T740" s="79">
        <f t="shared" si="5"/>
        <v>11.26666667</v>
      </c>
      <c r="U740" s="90"/>
      <c r="V740" s="79"/>
    </row>
    <row r="741">
      <c r="A741" s="53" t="s">
        <v>2024</v>
      </c>
      <c r="B741" s="54" t="s">
        <v>35</v>
      </c>
      <c r="C741" s="54" t="s">
        <v>36</v>
      </c>
      <c r="D741" s="59" t="str">
        <f t="shared" si="19"/>
        <v>Leaving Soon</v>
      </c>
      <c r="E741" s="88">
        <v>45764.0</v>
      </c>
      <c r="F741" s="120">
        <v>46310.0</v>
      </c>
      <c r="G741" s="65">
        <f t="shared" si="2"/>
        <v>17.93333333</v>
      </c>
      <c r="H741" s="67">
        <v>45518.0</v>
      </c>
      <c r="I741" s="65">
        <f t="shared" si="3"/>
        <v>0.675</v>
      </c>
      <c r="J741" s="92">
        <f>AVERAGE(70,80,80)</f>
        <v>76.66666667</v>
      </c>
      <c r="K741" s="92">
        <v>13.0</v>
      </c>
      <c r="L741" s="69" t="s">
        <v>64</v>
      </c>
      <c r="M741" s="69" t="s">
        <v>38</v>
      </c>
      <c r="N741" s="70"/>
      <c r="O741" s="70"/>
      <c r="P741" s="115"/>
      <c r="Q741" s="70"/>
      <c r="R741" s="104" t="str">
        <f t="shared" si="4"/>
        <v>Leaving Soon</v>
      </c>
      <c r="S741" s="98">
        <v>45931.0</v>
      </c>
      <c r="T741" s="65">
        <f t="shared" si="5"/>
        <v>5.466666667</v>
      </c>
      <c r="U741" s="98"/>
      <c r="V741" s="65"/>
    </row>
    <row r="742">
      <c r="A742" s="74" t="s">
        <v>2025</v>
      </c>
      <c r="B742" s="75" t="s">
        <v>35</v>
      </c>
      <c r="C742" s="75" t="s">
        <v>100</v>
      </c>
      <c r="D742" s="76" t="str">
        <f t="shared" si="19"/>
        <v>Leaving Soon</v>
      </c>
      <c r="E742" s="90">
        <v>45582.0</v>
      </c>
      <c r="F742" s="105">
        <v>46310.0</v>
      </c>
      <c r="G742" s="79">
        <f t="shared" si="2"/>
        <v>23.93333333</v>
      </c>
      <c r="H742" s="90">
        <v>43340.0</v>
      </c>
      <c r="I742" s="79">
        <f t="shared" si="3"/>
        <v>6.136111111</v>
      </c>
      <c r="J742" s="106">
        <f>(77+87)/2</f>
        <v>82</v>
      </c>
      <c r="K742" s="106">
        <v>2.0</v>
      </c>
      <c r="L742" s="82" t="s">
        <v>105</v>
      </c>
      <c r="M742" s="82"/>
      <c r="N742" s="82" t="s">
        <v>2026</v>
      </c>
      <c r="O742" s="82" t="s">
        <v>1219</v>
      </c>
      <c r="P742" s="107" t="s">
        <v>2027</v>
      </c>
      <c r="Q742" s="82"/>
      <c r="R742" s="76" t="str">
        <f t="shared" si="4"/>
        <v>Leaving Soon</v>
      </c>
      <c r="S742" s="90">
        <f>E742</f>
        <v>45582</v>
      </c>
      <c r="T742" s="79">
        <f t="shared" si="5"/>
        <v>0</v>
      </c>
      <c r="U742" s="90"/>
      <c r="V742" s="79"/>
    </row>
    <row r="743">
      <c r="A743" s="53" t="s">
        <v>2028</v>
      </c>
      <c r="B743" s="54" t="s">
        <v>35</v>
      </c>
      <c r="C743" s="54" t="s">
        <v>36</v>
      </c>
      <c r="D743" s="59" t="str">
        <f t="shared" si="19"/>
        <v>Leaving Soon</v>
      </c>
      <c r="E743" s="88">
        <v>44852.0</v>
      </c>
      <c r="F743" s="120">
        <v>46310.0</v>
      </c>
      <c r="G743" s="65">
        <f t="shared" si="2"/>
        <v>47.9</v>
      </c>
      <c r="H743" s="88">
        <v>44852.0</v>
      </c>
      <c r="I743" s="65">
        <f t="shared" si="3"/>
        <v>0</v>
      </c>
      <c r="J743" s="121">
        <v>85.0</v>
      </c>
      <c r="K743" s="121">
        <v>15.0</v>
      </c>
      <c r="L743" s="69" t="s">
        <v>41</v>
      </c>
      <c r="M743" s="69" t="s">
        <v>38</v>
      </c>
      <c r="N743" s="69"/>
      <c r="O743" s="69" t="s">
        <v>107</v>
      </c>
      <c r="P743" s="122" t="s">
        <v>2029</v>
      </c>
      <c r="Q743" s="69"/>
      <c r="R743" s="59" t="str">
        <f t="shared" si="4"/>
        <v>Leaving Soon</v>
      </c>
      <c r="S743" s="88">
        <v>45547.0</v>
      </c>
      <c r="T743" s="65">
        <f t="shared" si="5"/>
        <v>22.8</v>
      </c>
      <c r="U743" s="88"/>
      <c r="V743" s="65"/>
    </row>
    <row r="744">
      <c r="A744" s="74" t="s">
        <v>2030</v>
      </c>
      <c r="B744" s="75" t="s">
        <v>35</v>
      </c>
      <c r="C744" s="75" t="s">
        <v>36</v>
      </c>
      <c r="D744" s="76" t="str">
        <f t="shared" si="19"/>
        <v>Removed</v>
      </c>
      <c r="E744" s="90">
        <v>45938.0</v>
      </c>
      <c r="F744" s="125">
        <v>46295.0</v>
      </c>
      <c r="G744" s="79">
        <f t="shared" si="2"/>
        <v>11.73333333</v>
      </c>
      <c r="H744" s="80">
        <v>45937.0</v>
      </c>
      <c r="I744" s="79">
        <f t="shared" si="3"/>
        <v>0.002777777778</v>
      </c>
      <c r="J744" s="89">
        <v>83.0</v>
      </c>
      <c r="K744" s="89">
        <v>42.0</v>
      </c>
      <c r="L744" s="82" t="s">
        <v>78</v>
      </c>
      <c r="M744" s="83"/>
      <c r="N744" s="85"/>
      <c r="O744" s="85"/>
      <c r="P744" s="86"/>
      <c r="Q744" s="85"/>
      <c r="R744" s="76" t="str">
        <f t="shared" si="4"/>
        <v>Removed</v>
      </c>
      <c r="S744" s="90">
        <v>46133.0</v>
      </c>
      <c r="T744" s="79">
        <f t="shared" si="5"/>
        <v>6.433333333</v>
      </c>
      <c r="U744" s="90"/>
      <c r="V744" s="79"/>
    </row>
    <row r="745">
      <c r="A745" s="53" t="s">
        <v>2031</v>
      </c>
      <c r="B745" s="54" t="s">
        <v>35</v>
      </c>
      <c r="C745" s="54" t="s">
        <v>36</v>
      </c>
      <c r="D745" s="59" t="str">
        <f t="shared" si="19"/>
        <v>Removed</v>
      </c>
      <c r="E745" s="88">
        <v>45937.0</v>
      </c>
      <c r="F745" s="123">
        <v>46295.0</v>
      </c>
      <c r="G745" s="65">
        <f t="shared" si="2"/>
        <v>11.76666667</v>
      </c>
      <c r="H745" s="67">
        <v>45937.0</v>
      </c>
      <c r="I745" s="65">
        <f t="shared" si="3"/>
        <v>0</v>
      </c>
      <c r="J745" s="92">
        <v>79.0</v>
      </c>
      <c r="K745" s="92">
        <v>3.0</v>
      </c>
      <c r="L745" s="69" t="s">
        <v>41</v>
      </c>
      <c r="M745" s="91"/>
      <c r="N745" s="71"/>
      <c r="O745" s="70"/>
      <c r="P745" s="72"/>
      <c r="Q745" s="71"/>
      <c r="R745" s="59" t="str">
        <f t="shared" si="4"/>
        <v>Removed</v>
      </c>
      <c r="S745" s="88">
        <v>46133.0</v>
      </c>
      <c r="T745" s="65">
        <f t="shared" si="5"/>
        <v>6.466666667</v>
      </c>
      <c r="U745" s="88"/>
      <c r="V745" s="65"/>
    </row>
    <row r="746">
      <c r="A746" s="74" t="s">
        <v>2032</v>
      </c>
      <c r="B746" s="75" t="s">
        <v>35</v>
      </c>
      <c r="C746" s="75" t="s">
        <v>36</v>
      </c>
      <c r="D746" s="76" t="str">
        <f t="shared" si="19"/>
        <v>Removed</v>
      </c>
      <c r="E746" s="90">
        <v>45930.0</v>
      </c>
      <c r="F746" s="125">
        <v>46295.0</v>
      </c>
      <c r="G746" s="79">
        <f t="shared" si="2"/>
        <v>12</v>
      </c>
      <c r="H746" s="80">
        <v>42062.0</v>
      </c>
      <c r="I746" s="79">
        <f t="shared" si="3"/>
        <v>10.59166667</v>
      </c>
      <c r="J746" s="89">
        <v>84.0</v>
      </c>
      <c r="K746" s="89">
        <v>7.0</v>
      </c>
      <c r="L746" s="82" t="s">
        <v>41</v>
      </c>
      <c r="M746" s="83"/>
      <c r="N746" s="85"/>
      <c r="O746" s="85"/>
      <c r="P746" s="86"/>
      <c r="Q746" s="85"/>
      <c r="R746" s="76" t="str">
        <f t="shared" si="4"/>
        <v>Removed</v>
      </c>
      <c r="S746" s="90">
        <f>E746</f>
        <v>45930</v>
      </c>
      <c r="T746" s="79">
        <f t="shared" si="5"/>
        <v>0</v>
      </c>
      <c r="U746" s="90"/>
      <c r="V746" s="79"/>
    </row>
    <row r="747">
      <c r="A747" s="53" t="s">
        <v>2033</v>
      </c>
      <c r="B747" s="54" t="s">
        <v>35</v>
      </c>
      <c r="C747" s="54" t="s">
        <v>36</v>
      </c>
      <c r="D747" s="59" t="str">
        <f t="shared" si="19"/>
        <v>Removed</v>
      </c>
      <c r="E747" s="88">
        <v>45923.0</v>
      </c>
      <c r="F747" s="123">
        <v>46295.0</v>
      </c>
      <c r="G747" s="65">
        <f t="shared" si="2"/>
        <v>12.23333333</v>
      </c>
      <c r="H747" s="67">
        <v>45923.0</v>
      </c>
      <c r="I747" s="65">
        <f t="shared" si="3"/>
        <v>0</v>
      </c>
      <c r="J747" s="68">
        <f>average(73,75,85)</f>
        <v>77.66666667</v>
      </c>
      <c r="K747" s="92">
        <v>10.0</v>
      </c>
      <c r="L747" s="69" t="s">
        <v>46</v>
      </c>
      <c r="M747" s="69" t="s">
        <v>38</v>
      </c>
      <c r="N747" s="71"/>
      <c r="O747" s="71"/>
      <c r="P747" s="72"/>
      <c r="Q747" s="71"/>
      <c r="R747" s="59" t="str">
        <f t="shared" si="4"/>
        <v>Removed</v>
      </c>
      <c r="S747" s="88">
        <v>45931.0</v>
      </c>
      <c r="T747" s="65">
        <f t="shared" si="5"/>
        <v>0.2666666667</v>
      </c>
      <c r="U747" s="88"/>
      <c r="V747" s="65"/>
    </row>
    <row r="748">
      <c r="A748" s="74" t="s">
        <v>2034</v>
      </c>
      <c r="B748" s="75" t="s">
        <v>35</v>
      </c>
      <c r="C748" s="75" t="s">
        <v>36</v>
      </c>
      <c r="D748" s="76" t="str">
        <f t="shared" si="19"/>
        <v>Removed</v>
      </c>
      <c r="E748" s="77">
        <v>45839.0</v>
      </c>
      <c r="F748" s="125">
        <v>46295.0</v>
      </c>
      <c r="G748" s="79">
        <f t="shared" si="2"/>
        <v>14.96666667</v>
      </c>
      <c r="H748" s="80">
        <v>44238.0</v>
      </c>
      <c r="I748" s="79">
        <f t="shared" si="3"/>
        <v>4.388888889</v>
      </c>
      <c r="J748" s="89">
        <v>82.0</v>
      </c>
      <c r="K748" s="89">
        <v>6.0</v>
      </c>
      <c r="L748" s="82" t="s">
        <v>41</v>
      </c>
      <c r="M748" s="83"/>
      <c r="N748" s="84"/>
      <c r="O748" s="84"/>
      <c r="P748" s="118"/>
      <c r="Q748" s="84"/>
      <c r="R748" s="76" t="str">
        <f t="shared" si="4"/>
        <v>Removed</v>
      </c>
      <c r="S748" s="90">
        <f>E748</f>
        <v>45839</v>
      </c>
      <c r="T748" s="79">
        <f t="shared" si="5"/>
        <v>0</v>
      </c>
      <c r="U748" s="90"/>
      <c r="V748" s="79"/>
    </row>
    <row r="749">
      <c r="A749" s="53" t="s">
        <v>2035</v>
      </c>
      <c r="B749" s="54" t="s">
        <v>35</v>
      </c>
      <c r="C749" s="54" t="s">
        <v>36</v>
      </c>
      <c r="D749" s="59" t="str">
        <f t="shared" si="19"/>
        <v>Removed</v>
      </c>
      <c r="E749" s="88">
        <v>45743.0</v>
      </c>
      <c r="F749" s="123">
        <v>46295.0</v>
      </c>
      <c r="G749" s="65">
        <f t="shared" si="2"/>
        <v>18.1</v>
      </c>
      <c r="H749" s="67">
        <v>45743.0</v>
      </c>
      <c r="I749" s="65">
        <f t="shared" si="3"/>
        <v>0</v>
      </c>
      <c r="J749" s="92">
        <v>75.0</v>
      </c>
      <c r="K749" s="92">
        <v>9.0</v>
      </c>
      <c r="L749" s="69" t="s">
        <v>41</v>
      </c>
      <c r="M749" s="69"/>
      <c r="N749" s="70"/>
      <c r="O749" s="70"/>
      <c r="P749" s="115"/>
      <c r="Q749" s="70"/>
      <c r="R749" s="59" t="str">
        <f t="shared" si="4"/>
        <v>Removed</v>
      </c>
      <c r="S749" s="88">
        <v>46029.0</v>
      </c>
      <c r="T749" s="65">
        <f t="shared" si="5"/>
        <v>9.333333333</v>
      </c>
      <c r="U749" s="88"/>
      <c r="V749" s="65"/>
    </row>
    <row r="750">
      <c r="A750" s="74" t="s">
        <v>2036</v>
      </c>
      <c r="B750" s="75" t="s">
        <v>35</v>
      </c>
      <c r="C750" s="75" t="s">
        <v>36</v>
      </c>
      <c r="D750" s="76" t="str">
        <f t="shared" si="19"/>
        <v>Removed</v>
      </c>
      <c r="E750" s="90">
        <v>45567.0</v>
      </c>
      <c r="F750" s="125">
        <v>46295.0</v>
      </c>
      <c r="G750" s="79">
        <f t="shared" si="2"/>
        <v>23.93333333</v>
      </c>
      <c r="H750" s="80">
        <v>44600.0</v>
      </c>
      <c r="I750" s="79">
        <f t="shared" si="3"/>
        <v>2.65</v>
      </c>
      <c r="J750" s="89">
        <v>81.0</v>
      </c>
      <c r="K750" s="89">
        <v>9.0</v>
      </c>
      <c r="L750" s="82" t="s">
        <v>2037</v>
      </c>
      <c r="M750" s="82"/>
      <c r="N750" s="85"/>
      <c r="O750" s="84"/>
      <c r="P750" s="118"/>
      <c r="Q750" s="84"/>
      <c r="R750" s="76" t="str">
        <f t="shared" si="4"/>
        <v>TBD</v>
      </c>
      <c r="S750" s="90"/>
      <c r="T750" s="79">
        <f t="shared" si="5"/>
        <v>24.13333333</v>
      </c>
      <c r="U750" s="90"/>
      <c r="V750" s="79"/>
    </row>
    <row r="751">
      <c r="A751" s="53" t="s">
        <v>2038</v>
      </c>
      <c r="B751" s="54" t="s">
        <v>129</v>
      </c>
      <c r="C751" s="54" t="s">
        <v>36</v>
      </c>
      <c r="D751" s="59" t="str">
        <f t="shared" si="19"/>
        <v>Removed</v>
      </c>
      <c r="E751" s="61">
        <v>46091.0</v>
      </c>
      <c r="F751" s="123">
        <v>46280.0</v>
      </c>
      <c r="G751" s="65">
        <f t="shared" si="2"/>
        <v>6.166666667</v>
      </c>
      <c r="H751" s="67">
        <v>44175.0</v>
      </c>
      <c r="I751" s="65">
        <f t="shared" si="3"/>
        <v>5.25</v>
      </c>
      <c r="J751" s="92">
        <v>86.0</v>
      </c>
      <c r="K751" s="92">
        <v>18.0</v>
      </c>
      <c r="L751" s="69" t="s">
        <v>46</v>
      </c>
      <c r="M751" s="91"/>
      <c r="N751" s="71"/>
      <c r="O751" s="71"/>
      <c r="P751" s="72"/>
      <c r="Q751" s="71"/>
      <c r="R751" s="104" t="str">
        <f t="shared" si="4"/>
        <v>Removed</v>
      </c>
      <c r="S751" s="88">
        <f>E751</f>
        <v>46091</v>
      </c>
      <c r="T751" s="97">
        <f t="shared" si="5"/>
        <v>0</v>
      </c>
      <c r="U751" s="88"/>
      <c r="V751" s="97"/>
    </row>
    <row r="752">
      <c r="A752" s="74" t="s">
        <v>2039</v>
      </c>
      <c r="B752" s="75" t="s">
        <v>35</v>
      </c>
      <c r="C752" s="75" t="s">
        <v>36</v>
      </c>
      <c r="D752" s="76" t="str">
        <f t="shared" si="19"/>
        <v>Removed</v>
      </c>
      <c r="E752" s="90">
        <v>45917.0</v>
      </c>
      <c r="F752" s="125">
        <v>46280.0</v>
      </c>
      <c r="G752" s="79">
        <f t="shared" si="2"/>
        <v>11.93333333</v>
      </c>
      <c r="H752" s="80">
        <v>45917.0</v>
      </c>
      <c r="I752" s="79">
        <f t="shared" si="3"/>
        <v>0</v>
      </c>
      <c r="J752" s="89">
        <v>86.0</v>
      </c>
      <c r="K752" s="89">
        <v>15.0</v>
      </c>
      <c r="L752" s="82" t="s">
        <v>37</v>
      </c>
      <c r="M752" s="82" t="s">
        <v>38</v>
      </c>
      <c r="N752" s="85"/>
      <c r="O752" s="85"/>
      <c r="P752" s="86"/>
      <c r="Q752" s="85"/>
      <c r="R752" s="102" t="str">
        <f t="shared" si="4"/>
        <v>Removed</v>
      </c>
      <c r="S752" s="112">
        <v>45931.0</v>
      </c>
      <c r="T752" s="79">
        <f t="shared" si="5"/>
        <v>0.4666666667</v>
      </c>
      <c r="U752" s="112"/>
      <c r="V752" s="79"/>
    </row>
    <row r="753">
      <c r="A753" s="53" t="s">
        <v>2040</v>
      </c>
      <c r="B753" s="54" t="s">
        <v>35</v>
      </c>
      <c r="C753" s="54" t="s">
        <v>36</v>
      </c>
      <c r="D753" s="59" t="str">
        <f t="shared" si="19"/>
        <v>Removed</v>
      </c>
      <c r="E753" s="88">
        <v>45756.0</v>
      </c>
      <c r="F753" s="123">
        <v>46280.0</v>
      </c>
      <c r="G753" s="65">
        <f t="shared" si="2"/>
        <v>17.2</v>
      </c>
      <c r="H753" s="67">
        <v>45756.0</v>
      </c>
      <c r="I753" s="65">
        <f t="shared" si="3"/>
        <v>0</v>
      </c>
      <c r="J753" s="92">
        <v>76.0</v>
      </c>
      <c r="K753" s="92">
        <v>31.0</v>
      </c>
      <c r="L753" s="69" t="s">
        <v>81</v>
      </c>
      <c r="M753" s="69" t="s">
        <v>38</v>
      </c>
      <c r="N753" s="70"/>
      <c r="O753" s="70"/>
      <c r="P753" s="115"/>
      <c r="Q753" s="70"/>
      <c r="R753" s="59" t="str">
        <f t="shared" si="4"/>
        <v>Removed</v>
      </c>
      <c r="S753" s="88">
        <v>45952.0</v>
      </c>
      <c r="T753" s="65">
        <f t="shared" si="5"/>
        <v>6.433333333</v>
      </c>
      <c r="U753" s="88"/>
      <c r="V753" s="65"/>
    </row>
    <row r="754">
      <c r="A754" s="74" t="s">
        <v>2041</v>
      </c>
      <c r="B754" s="75" t="s">
        <v>35</v>
      </c>
      <c r="C754" s="75" t="s">
        <v>36</v>
      </c>
      <c r="D754" s="76" t="str">
        <f t="shared" si="19"/>
        <v>Removed</v>
      </c>
      <c r="E754" s="90">
        <v>45729.0</v>
      </c>
      <c r="F754" s="125">
        <v>46280.0</v>
      </c>
      <c r="G754" s="79">
        <f t="shared" si="2"/>
        <v>18.06666667</v>
      </c>
      <c r="H754" s="80">
        <v>45427.0</v>
      </c>
      <c r="I754" s="79">
        <f t="shared" si="3"/>
        <v>0.8277777778</v>
      </c>
      <c r="J754" s="89">
        <v>88.0</v>
      </c>
      <c r="K754" s="89">
        <v>4.0</v>
      </c>
      <c r="L754" s="82" t="s">
        <v>37</v>
      </c>
      <c r="M754" s="82" t="s">
        <v>38</v>
      </c>
      <c r="N754" s="84"/>
      <c r="O754" s="84"/>
      <c r="P754" s="118"/>
      <c r="Q754" s="84"/>
      <c r="R754" s="76" t="str">
        <f t="shared" si="4"/>
        <v>Removed</v>
      </c>
      <c r="S754" s="90">
        <v>45931.0</v>
      </c>
      <c r="T754" s="79">
        <f t="shared" si="5"/>
        <v>6.6</v>
      </c>
      <c r="U754" s="90"/>
      <c r="V754" s="79"/>
    </row>
    <row r="755">
      <c r="A755" s="53" t="s">
        <v>2042</v>
      </c>
      <c r="B755" s="54" t="s">
        <v>35</v>
      </c>
      <c r="C755" s="54" t="s">
        <v>36</v>
      </c>
      <c r="D755" s="59" t="str">
        <f t="shared" si="19"/>
        <v>Removed</v>
      </c>
      <c r="E755" s="88">
        <v>45555.0</v>
      </c>
      <c r="F755" s="123">
        <v>46280.0</v>
      </c>
      <c r="G755" s="65">
        <f t="shared" si="2"/>
        <v>23.83333333</v>
      </c>
      <c r="H755" s="88">
        <v>45555.0</v>
      </c>
      <c r="I755" s="65">
        <f t="shared" si="3"/>
        <v>0</v>
      </c>
      <c r="J755" s="121">
        <v>86.0</v>
      </c>
      <c r="K755" s="121">
        <v>11.0</v>
      </c>
      <c r="L755" s="69" t="s">
        <v>64</v>
      </c>
      <c r="M755" s="69" t="s">
        <v>38</v>
      </c>
      <c r="N755" s="69" t="s">
        <v>2043</v>
      </c>
      <c r="O755" s="69"/>
      <c r="P755" s="122"/>
      <c r="Q755" s="69"/>
      <c r="R755" s="59" t="str">
        <f t="shared" si="4"/>
        <v>Removed</v>
      </c>
      <c r="S755" s="88">
        <v>45931.0</v>
      </c>
      <c r="T755" s="65">
        <f t="shared" si="5"/>
        <v>12.36666667</v>
      </c>
      <c r="U755" s="88"/>
      <c r="V755" s="65"/>
    </row>
    <row r="756">
      <c r="A756" s="74" t="s">
        <v>2044</v>
      </c>
      <c r="B756" s="75" t="s">
        <v>35</v>
      </c>
      <c r="C756" s="75" t="s">
        <v>36</v>
      </c>
      <c r="D756" s="76" t="str">
        <f t="shared" si="19"/>
        <v>Removed</v>
      </c>
      <c r="E756" s="90">
        <v>45552.0</v>
      </c>
      <c r="F756" s="125">
        <v>46280.0</v>
      </c>
      <c r="G756" s="79">
        <f t="shared" si="2"/>
        <v>23.93333333</v>
      </c>
      <c r="H756" s="90">
        <v>45195.0</v>
      </c>
      <c r="I756" s="79">
        <f t="shared" si="3"/>
        <v>0.975</v>
      </c>
      <c r="J756" s="106">
        <v>77.0</v>
      </c>
      <c r="K756" s="106">
        <v>16.0</v>
      </c>
      <c r="L756" s="82" t="s">
        <v>64</v>
      </c>
      <c r="M756" s="82"/>
      <c r="N756" s="82"/>
      <c r="O756" s="82"/>
      <c r="P756" s="107"/>
      <c r="Q756" s="82"/>
      <c r="R756" s="76" t="str">
        <f t="shared" si="4"/>
        <v>Removed</v>
      </c>
      <c r="S756" s="90">
        <v>45735.0</v>
      </c>
      <c r="T756" s="79">
        <f t="shared" si="5"/>
        <v>6.066666667</v>
      </c>
      <c r="U756" s="90"/>
      <c r="V756" s="79"/>
    </row>
    <row r="757">
      <c r="A757" s="53" t="s">
        <v>2045</v>
      </c>
      <c r="B757" s="54" t="s">
        <v>35</v>
      </c>
      <c r="C757" s="54" t="s">
        <v>36</v>
      </c>
      <c r="D757" s="59" t="str">
        <f t="shared" si="19"/>
        <v>Removed</v>
      </c>
      <c r="E757" s="61">
        <v>45482.0</v>
      </c>
      <c r="F757" s="123">
        <v>46280.0</v>
      </c>
      <c r="G757" s="65">
        <f t="shared" si="2"/>
        <v>26.2</v>
      </c>
      <c r="H757" s="67">
        <v>45204.0</v>
      </c>
      <c r="I757" s="65">
        <f t="shared" si="3"/>
        <v>0.7611111111</v>
      </c>
      <c r="J757" s="92">
        <v>57.0</v>
      </c>
      <c r="K757" s="92">
        <v>15.0</v>
      </c>
      <c r="L757" s="69" t="s">
        <v>62</v>
      </c>
      <c r="M757" s="91"/>
      <c r="N757" s="70"/>
      <c r="O757" s="70" t="s">
        <v>1331</v>
      </c>
      <c r="P757" s="72"/>
      <c r="Q757" s="71"/>
      <c r="R757" s="59" t="str">
        <f t="shared" si="4"/>
        <v>Removed</v>
      </c>
      <c r="S757" s="88">
        <v>45547.0</v>
      </c>
      <c r="T757" s="65">
        <f t="shared" si="5"/>
        <v>2.1</v>
      </c>
      <c r="U757" s="88"/>
      <c r="V757" s="65"/>
    </row>
    <row r="758">
      <c r="A758" s="74" t="s">
        <v>2046</v>
      </c>
      <c r="B758" s="75" t="s">
        <v>35</v>
      </c>
      <c r="C758" s="75" t="s">
        <v>100</v>
      </c>
      <c r="D758" s="76" t="str">
        <f t="shared" si="19"/>
        <v>Removed</v>
      </c>
      <c r="E758" s="77">
        <v>45182.0</v>
      </c>
      <c r="F758" s="125">
        <v>46280.0</v>
      </c>
      <c r="G758" s="79">
        <f t="shared" si="2"/>
        <v>36.06666667</v>
      </c>
      <c r="H758" s="90">
        <v>44061.0</v>
      </c>
      <c r="I758" s="79">
        <f t="shared" si="3"/>
        <v>3.069444444</v>
      </c>
      <c r="J758" s="106">
        <v>86.0</v>
      </c>
      <c r="K758" s="106">
        <v>21.0</v>
      </c>
      <c r="L758" s="82" t="s">
        <v>135</v>
      </c>
      <c r="M758" s="82"/>
      <c r="N758" s="82" t="s">
        <v>2047</v>
      </c>
      <c r="O758" s="82" t="s">
        <v>328</v>
      </c>
      <c r="P758" s="107" t="s">
        <v>2048</v>
      </c>
      <c r="Q758" s="82"/>
      <c r="R758" s="76" t="str">
        <f t="shared" si="4"/>
        <v>Removed</v>
      </c>
      <c r="S758" s="90">
        <v>45547.0</v>
      </c>
      <c r="T758" s="79">
        <f t="shared" si="5"/>
        <v>11.96666667</v>
      </c>
      <c r="U758" s="90">
        <v>45183.0</v>
      </c>
      <c r="V758" s="79">
        <f t="shared" ref="V758:V760" si="48">MONTHDUR(E758,U758)</f>
        <v>0.03333333333</v>
      </c>
    </row>
    <row r="759">
      <c r="A759" s="53" t="s">
        <v>2049</v>
      </c>
      <c r="B759" s="54" t="s">
        <v>35</v>
      </c>
      <c r="C759" s="54" t="s">
        <v>100</v>
      </c>
      <c r="D759" s="59" t="str">
        <f t="shared" si="19"/>
        <v>Removed</v>
      </c>
      <c r="E759" s="88">
        <v>44455.0</v>
      </c>
      <c r="F759" s="123">
        <v>46280.0</v>
      </c>
      <c r="G759" s="65">
        <f t="shared" si="2"/>
        <v>59.96666667</v>
      </c>
      <c r="H759" s="88">
        <v>43781.0</v>
      </c>
      <c r="I759" s="65">
        <f t="shared" si="3"/>
        <v>1.844444444</v>
      </c>
      <c r="J759" s="121">
        <f>(74+80)/2</f>
        <v>77</v>
      </c>
      <c r="K759" s="121">
        <v>2.5</v>
      </c>
      <c r="L759" s="69" t="s">
        <v>96</v>
      </c>
      <c r="M759" s="69"/>
      <c r="N759" s="69" t="s">
        <v>1657</v>
      </c>
      <c r="O759" s="69" t="s">
        <v>1219</v>
      </c>
      <c r="P759" s="122" t="s">
        <v>2050</v>
      </c>
      <c r="Q759" s="69"/>
      <c r="R759" s="59" t="str">
        <f t="shared" si="4"/>
        <v>Removed</v>
      </c>
      <c r="S759" s="88">
        <v>45547.0</v>
      </c>
      <c r="T759" s="65">
        <f t="shared" si="5"/>
        <v>35.86666667</v>
      </c>
      <c r="U759" s="88">
        <v>45183.0</v>
      </c>
      <c r="V759" s="65">
        <f t="shared" si="48"/>
        <v>23.93333333</v>
      </c>
    </row>
    <row r="760">
      <c r="A760" s="226" t="s">
        <v>2051</v>
      </c>
      <c r="B760" s="75" t="s">
        <v>35</v>
      </c>
      <c r="C760" s="75" t="s">
        <v>100</v>
      </c>
      <c r="D760" s="76" t="str">
        <f t="shared" si="19"/>
        <v>Removed</v>
      </c>
      <c r="E760" s="218">
        <v>43713.0</v>
      </c>
      <c r="F760" s="125">
        <v>46280.0</v>
      </c>
      <c r="G760" s="79">
        <f t="shared" si="2"/>
        <v>84.33333333</v>
      </c>
      <c r="H760" s="90">
        <v>42865.0</v>
      </c>
      <c r="I760" s="79">
        <f t="shared" si="3"/>
        <v>2.319444444</v>
      </c>
      <c r="J760" s="216">
        <v>91.0</v>
      </c>
      <c r="K760" s="106">
        <v>13.0</v>
      </c>
      <c r="L760" s="82" t="s">
        <v>57</v>
      </c>
      <c r="M760" s="83"/>
      <c r="N760" s="82" t="s">
        <v>2052</v>
      </c>
      <c r="O760" s="82" t="s">
        <v>328</v>
      </c>
      <c r="P760" s="107" t="s">
        <v>1733</v>
      </c>
      <c r="Q760" s="82"/>
      <c r="R760" s="76" t="str">
        <f t="shared" si="4"/>
        <v>Removed</v>
      </c>
      <c r="S760" s="90">
        <v>45547.0</v>
      </c>
      <c r="T760" s="79">
        <f t="shared" si="5"/>
        <v>60.23333333</v>
      </c>
      <c r="U760" s="90">
        <v>45183.0</v>
      </c>
      <c r="V760" s="79">
        <f t="shared" si="48"/>
        <v>48.3</v>
      </c>
    </row>
    <row r="761">
      <c r="A761" s="53" t="s">
        <v>2053</v>
      </c>
      <c r="B761" s="54" t="s">
        <v>35</v>
      </c>
      <c r="C761" s="54" t="s">
        <v>36</v>
      </c>
      <c r="D761" s="59" t="str">
        <f t="shared" si="19"/>
        <v>Removed</v>
      </c>
      <c r="E761" s="61">
        <v>46115.0</v>
      </c>
      <c r="F761" s="123">
        <v>46271.0</v>
      </c>
      <c r="G761" s="65">
        <f t="shared" si="2"/>
        <v>5.1</v>
      </c>
      <c r="H761" s="67">
        <v>45905.0</v>
      </c>
      <c r="I761" s="65">
        <f t="shared" si="3"/>
        <v>0.5777777778</v>
      </c>
      <c r="J761" s="92">
        <v>82.0</v>
      </c>
      <c r="K761" s="92">
        <v>41.0</v>
      </c>
      <c r="L761" s="69" t="s">
        <v>62</v>
      </c>
      <c r="M761" s="91"/>
      <c r="N761" s="70" t="s">
        <v>39</v>
      </c>
      <c r="O761" s="71"/>
      <c r="P761" s="72"/>
      <c r="Q761" s="71"/>
      <c r="R761" s="104" t="str">
        <f t="shared" si="4"/>
        <v>Removed</v>
      </c>
      <c r="S761" s="88">
        <f t="shared" ref="S761:S763" si="49">E761</f>
        <v>46115</v>
      </c>
      <c r="T761" s="97">
        <f t="shared" si="5"/>
        <v>0</v>
      </c>
      <c r="U761" s="88"/>
      <c r="V761" s="97"/>
    </row>
    <row r="762">
      <c r="A762" s="74" t="s">
        <v>2054</v>
      </c>
      <c r="B762" s="75" t="s">
        <v>129</v>
      </c>
      <c r="C762" s="75" t="s">
        <v>36</v>
      </c>
      <c r="D762" s="76" t="str">
        <f t="shared" si="19"/>
        <v>Removed</v>
      </c>
      <c r="E762" s="77">
        <v>46072.0</v>
      </c>
      <c r="F762" s="125">
        <v>46265.0</v>
      </c>
      <c r="G762" s="79">
        <f t="shared" si="2"/>
        <v>6.366666667</v>
      </c>
      <c r="H762" s="80">
        <v>42612.0</v>
      </c>
      <c r="I762" s="79">
        <f t="shared" si="3"/>
        <v>9.469444444</v>
      </c>
      <c r="J762" s="89">
        <v>92.0</v>
      </c>
      <c r="K762" s="89">
        <v>51.0</v>
      </c>
      <c r="L762" s="82" t="s">
        <v>41</v>
      </c>
      <c r="M762" s="83"/>
      <c r="N762" s="85"/>
      <c r="O762" s="85"/>
      <c r="P762" s="86"/>
      <c r="Q762" s="85"/>
      <c r="R762" s="102" t="str">
        <f t="shared" si="4"/>
        <v>Removed</v>
      </c>
      <c r="S762" s="112">
        <f t="shared" si="49"/>
        <v>46072</v>
      </c>
      <c r="T762" s="103">
        <f t="shared" si="5"/>
        <v>0</v>
      </c>
      <c r="U762" s="112"/>
      <c r="V762" s="103"/>
    </row>
    <row r="763">
      <c r="A763" s="53" t="s">
        <v>2055</v>
      </c>
      <c r="B763" s="54" t="s">
        <v>35</v>
      </c>
      <c r="C763" s="54" t="s">
        <v>36</v>
      </c>
      <c r="D763" s="59" t="str">
        <f t="shared" si="19"/>
        <v>Removed</v>
      </c>
      <c r="E763" s="88">
        <v>45901.0</v>
      </c>
      <c r="F763" s="120">
        <v>46265.0</v>
      </c>
      <c r="G763" s="65">
        <f t="shared" si="2"/>
        <v>11.96666667</v>
      </c>
      <c r="H763" s="67">
        <v>45545.0</v>
      </c>
      <c r="I763" s="65">
        <f t="shared" si="3"/>
        <v>0.975</v>
      </c>
      <c r="J763" s="92">
        <v>79.0</v>
      </c>
      <c r="K763" s="92">
        <v>3.0</v>
      </c>
      <c r="L763" s="69" t="s">
        <v>37</v>
      </c>
      <c r="M763" s="69" t="s">
        <v>38</v>
      </c>
      <c r="N763" s="71"/>
      <c r="O763" s="71"/>
      <c r="P763" s="72"/>
      <c r="Q763" s="71"/>
      <c r="R763" s="59" t="str">
        <f t="shared" si="4"/>
        <v>Removed</v>
      </c>
      <c r="S763" s="88">
        <f t="shared" si="49"/>
        <v>45901</v>
      </c>
      <c r="T763" s="65">
        <f t="shared" si="5"/>
        <v>0</v>
      </c>
      <c r="U763" s="88"/>
      <c r="V763" s="65"/>
    </row>
    <row r="764">
      <c r="A764" s="74" t="s">
        <v>2056</v>
      </c>
      <c r="B764" s="75" t="s">
        <v>35</v>
      </c>
      <c r="C764" s="75" t="s">
        <v>36</v>
      </c>
      <c r="D764" s="76" t="str">
        <f t="shared" si="19"/>
        <v>Removed</v>
      </c>
      <c r="E764" s="90">
        <v>45722.0</v>
      </c>
      <c r="F764" s="125">
        <v>46265.0</v>
      </c>
      <c r="G764" s="79">
        <f t="shared" si="2"/>
        <v>17.8</v>
      </c>
      <c r="H764" s="80">
        <v>45103.0</v>
      </c>
      <c r="I764" s="79">
        <f t="shared" si="3"/>
        <v>1.694444444</v>
      </c>
      <c r="J764" s="89">
        <v>60.0</v>
      </c>
      <c r="K764" s="89">
        <v>8.0</v>
      </c>
      <c r="L764" s="82" t="s">
        <v>230</v>
      </c>
      <c r="M764" s="82"/>
      <c r="N764" s="84"/>
      <c r="O764" s="84"/>
      <c r="P764" s="118"/>
      <c r="Q764" s="84"/>
      <c r="R764" s="76" t="str">
        <f t="shared" si="4"/>
        <v>Removed</v>
      </c>
      <c r="S764" s="90">
        <v>45931.0</v>
      </c>
      <c r="T764" s="79">
        <f t="shared" si="5"/>
        <v>6.833333333</v>
      </c>
      <c r="U764" s="90"/>
      <c r="V764" s="79"/>
    </row>
    <row r="765">
      <c r="A765" s="53" t="s">
        <v>2057</v>
      </c>
      <c r="B765" s="54" t="s">
        <v>35</v>
      </c>
      <c r="C765" s="54" t="s">
        <v>36</v>
      </c>
      <c r="D765" s="59" t="str">
        <f t="shared" si="19"/>
        <v>Removed</v>
      </c>
      <c r="E765" s="88">
        <v>45407.0</v>
      </c>
      <c r="F765" s="120">
        <v>46265.0</v>
      </c>
      <c r="G765" s="65">
        <f t="shared" si="2"/>
        <v>28.16666667</v>
      </c>
      <c r="H765" s="88">
        <v>45407.0</v>
      </c>
      <c r="I765" s="65">
        <f t="shared" si="3"/>
        <v>0</v>
      </c>
      <c r="J765" s="121">
        <v>79.0</v>
      </c>
      <c r="K765" s="121">
        <v>12.0</v>
      </c>
      <c r="L765" s="69" t="s">
        <v>41</v>
      </c>
      <c r="M765" s="69"/>
      <c r="N765" s="69"/>
      <c r="O765" s="69" t="s">
        <v>1331</v>
      </c>
      <c r="P765" s="122"/>
      <c r="Q765" s="69"/>
      <c r="R765" s="59" t="str">
        <f t="shared" si="4"/>
        <v>Removed</v>
      </c>
      <c r="S765" s="88">
        <v>45693.0</v>
      </c>
      <c r="T765" s="65">
        <f t="shared" si="5"/>
        <v>9.333333333</v>
      </c>
      <c r="U765" s="88"/>
      <c r="V765" s="65"/>
    </row>
    <row r="766">
      <c r="A766" s="74" t="s">
        <v>2058</v>
      </c>
      <c r="B766" s="75" t="s">
        <v>35</v>
      </c>
      <c r="C766" s="75" t="s">
        <v>36</v>
      </c>
      <c r="D766" s="76" t="str">
        <f t="shared" si="19"/>
        <v>Removed</v>
      </c>
      <c r="E766" s="77">
        <v>44026.0</v>
      </c>
      <c r="F766" s="105">
        <v>46265.0</v>
      </c>
      <c r="G766" s="79">
        <f t="shared" si="2"/>
        <v>73.53333333</v>
      </c>
      <c r="H766" s="77">
        <v>44026.0</v>
      </c>
      <c r="I766" s="79">
        <f t="shared" si="3"/>
        <v>0</v>
      </c>
      <c r="J766" s="106">
        <f>(72+82)/2</f>
        <v>77</v>
      </c>
      <c r="K766" s="106">
        <v>12.0</v>
      </c>
      <c r="L766" s="82" t="s">
        <v>57</v>
      </c>
      <c r="M766" s="82"/>
      <c r="N766" s="82"/>
      <c r="O766" s="82" t="s">
        <v>328</v>
      </c>
      <c r="P766" s="107" t="s">
        <v>2059</v>
      </c>
      <c r="Q766" s="82"/>
      <c r="R766" s="76" t="str">
        <f t="shared" si="4"/>
        <v>Removed</v>
      </c>
      <c r="S766" s="90">
        <v>45547.0</v>
      </c>
      <c r="T766" s="79">
        <f t="shared" si="5"/>
        <v>49.93333333</v>
      </c>
      <c r="U766" s="90">
        <v>46151.0</v>
      </c>
      <c r="V766" s="79">
        <f>MONTHDUR(E766,U766)</f>
        <v>69.83333333</v>
      </c>
    </row>
    <row r="767">
      <c r="A767" s="53" t="s">
        <v>2060</v>
      </c>
      <c r="B767" s="54" t="s">
        <v>13</v>
      </c>
      <c r="C767" s="54"/>
      <c r="D767" s="59" t="str">
        <f t="shared" si="19"/>
        <v>Removed</v>
      </c>
      <c r="E767" s="61">
        <v>46058.0</v>
      </c>
      <c r="F767" s="123">
        <v>46249.0</v>
      </c>
      <c r="G767" s="65">
        <f t="shared" si="2"/>
        <v>6.333333333</v>
      </c>
      <c r="H767" s="67">
        <v>46058.0</v>
      </c>
      <c r="I767" s="65">
        <f t="shared" si="3"/>
        <v>0</v>
      </c>
      <c r="J767" s="68"/>
      <c r="K767" s="92">
        <v>20.0</v>
      </c>
      <c r="L767" s="69" t="s">
        <v>81</v>
      </c>
      <c r="M767" s="91"/>
      <c r="N767" s="70"/>
      <c r="O767" s="71"/>
      <c r="P767" s="72"/>
      <c r="Q767" s="71"/>
      <c r="R767" s="59" t="str">
        <f t="shared" si="4"/>
        <v>TBD</v>
      </c>
      <c r="S767" s="73"/>
      <c r="T767" s="65">
        <f t="shared" si="5"/>
        <v>8.033333333</v>
      </c>
      <c r="U767" s="73"/>
      <c r="V767" s="65"/>
    </row>
    <row r="768">
      <c r="A768" s="74" t="s">
        <v>2061</v>
      </c>
      <c r="B768" s="75" t="s">
        <v>35</v>
      </c>
      <c r="C768" s="75" t="s">
        <v>36</v>
      </c>
      <c r="D768" s="76" t="str">
        <f t="shared" si="19"/>
        <v>Removed</v>
      </c>
      <c r="E768" s="90">
        <v>45881.0</v>
      </c>
      <c r="F768" s="125">
        <v>46249.0</v>
      </c>
      <c r="G768" s="79">
        <f t="shared" si="2"/>
        <v>12.1</v>
      </c>
      <c r="H768" s="80">
        <v>44803.0</v>
      </c>
      <c r="I768" s="79">
        <f t="shared" si="3"/>
        <v>2.95</v>
      </c>
      <c r="J768" s="89">
        <v>69.0</v>
      </c>
      <c r="K768" s="89">
        <v>9.0</v>
      </c>
      <c r="L768" s="82" t="s">
        <v>37</v>
      </c>
      <c r="M768" s="83"/>
      <c r="N768" s="109" t="s">
        <v>2062</v>
      </c>
      <c r="O768" s="85"/>
      <c r="P768" s="86"/>
      <c r="Q768" s="85"/>
      <c r="R768" s="76" t="str">
        <f t="shared" si="4"/>
        <v>Removed</v>
      </c>
      <c r="S768" s="90">
        <f>E768</f>
        <v>45881</v>
      </c>
      <c r="T768" s="79">
        <f t="shared" si="5"/>
        <v>0</v>
      </c>
      <c r="U768" s="90"/>
      <c r="V768" s="79"/>
    </row>
    <row r="769">
      <c r="A769" s="53" t="s">
        <v>2063</v>
      </c>
      <c r="B769" s="54" t="s">
        <v>35</v>
      </c>
      <c r="C769" s="54" t="s">
        <v>36</v>
      </c>
      <c r="D769" s="59" t="str">
        <f t="shared" si="19"/>
        <v>Removed</v>
      </c>
      <c r="E769" s="88">
        <v>45526.0</v>
      </c>
      <c r="F769" s="123">
        <v>46249.0</v>
      </c>
      <c r="G769" s="65">
        <f t="shared" si="2"/>
        <v>23.76666667</v>
      </c>
      <c r="H769" s="88">
        <v>45148.0</v>
      </c>
      <c r="I769" s="65">
        <f t="shared" si="3"/>
        <v>1.033333333</v>
      </c>
      <c r="J769" s="121">
        <v>64.0</v>
      </c>
      <c r="K769" s="121">
        <v>11.0</v>
      </c>
      <c r="L769" s="69" t="s">
        <v>46</v>
      </c>
      <c r="M769" s="69" t="s">
        <v>38</v>
      </c>
      <c r="N769" s="69"/>
      <c r="O769" s="69"/>
      <c r="P769" s="122"/>
      <c r="Q769" s="69"/>
      <c r="R769" s="59" t="str">
        <f t="shared" si="4"/>
        <v>Removed</v>
      </c>
      <c r="S769" s="88">
        <v>45547.0</v>
      </c>
      <c r="T769" s="65">
        <f t="shared" si="5"/>
        <v>0.6666666667</v>
      </c>
      <c r="U769" s="88"/>
      <c r="V769" s="65"/>
    </row>
    <row r="770">
      <c r="A770" s="74" t="s">
        <v>2064</v>
      </c>
      <c r="B770" s="75" t="s">
        <v>35</v>
      </c>
      <c r="C770" s="75" t="s">
        <v>100</v>
      </c>
      <c r="D770" s="76" t="str">
        <f t="shared" si="19"/>
        <v>Removed</v>
      </c>
      <c r="E770" s="90">
        <v>45155.0</v>
      </c>
      <c r="F770" s="125">
        <v>46249.0</v>
      </c>
      <c r="G770" s="79">
        <f t="shared" si="2"/>
        <v>35.93333333</v>
      </c>
      <c r="H770" s="90">
        <v>42409.0</v>
      </c>
      <c r="I770" s="79">
        <f t="shared" si="3"/>
        <v>7.522222222</v>
      </c>
      <c r="J770" s="106">
        <f>(81+85)/2</f>
        <v>83</v>
      </c>
      <c r="K770" s="106">
        <v>4.0</v>
      </c>
      <c r="L770" s="82" t="s">
        <v>135</v>
      </c>
      <c r="M770" s="82"/>
      <c r="N770" s="82" t="s">
        <v>2065</v>
      </c>
      <c r="O770" s="82" t="s">
        <v>107</v>
      </c>
      <c r="P770" s="107" t="s">
        <v>2066</v>
      </c>
      <c r="Q770" s="82"/>
      <c r="R770" s="76" t="str">
        <f t="shared" si="4"/>
        <v>Removed</v>
      </c>
      <c r="S770" s="90">
        <v>45547.0</v>
      </c>
      <c r="T770" s="79">
        <f t="shared" si="5"/>
        <v>12.83333333</v>
      </c>
      <c r="U770" s="90">
        <v>45183.0</v>
      </c>
      <c r="V770" s="79">
        <f>MONTHDUR(E770,U770)</f>
        <v>0.9</v>
      </c>
    </row>
    <row r="771">
      <c r="A771" s="53" t="s">
        <v>2067</v>
      </c>
      <c r="B771" s="54" t="s">
        <v>13</v>
      </c>
      <c r="C771" s="54"/>
      <c r="D771" s="59" t="str">
        <f t="shared" si="19"/>
        <v>Removed</v>
      </c>
      <c r="E771" s="61">
        <v>45967.0</v>
      </c>
      <c r="F771" s="123">
        <v>46234.0</v>
      </c>
      <c r="G771" s="65">
        <f t="shared" si="2"/>
        <v>8.8</v>
      </c>
      <c r="H771" s="67">
        <f>E771</f>
        <v>45967</v>
      </c>
      <c r="I771" s="65">
        <f t="shared" si="3"/>
        <v>0</v>
      </c>
      <c r="J771" s="68"/>
      <c r="K771" s="92">
        <v>14.0</v>
      </c>
      <c r="L771" s="69" t="s">
        <v>81</v>
      </c>
      <c r="M771" s="91"/>
      <c r="N771" s="71"/>
      <c r="O771" s="71"/>
      <c r="P771" s="72"/>
      <c r="Q771" s="71"/>
      <c r="R771" s="59" t="str">
        <f t="shared" si="4"/>
        <v>TBD</v>
      </c>
      <c r="S771" s="73"/>
      <c r="T771" s="65">
        <f t="shared" si="5"/>
        <v>11</v>
      </c>
      <c r="U771" s="73"/>
      <c r="V771" s="65"/>
    </row>
    <row r="772">
      <c r="A772" s="74" t="s">
        <v>2068</v>
      </c>
      <c r="B772" s="75" t="s">
        <v>35</v>
      </c>
      <c r="C772" s="75" t="s">
        <v>36</v>
      </c>
      <c r="D772" s="76" t="str">
        <f t="shared" si="19"/>
        <v>Removed</v>
      </c>
      <c r="E772" s="90">
        <v>45874.0</v>
      </c>
      <c r="F772" s="125">
        <v>46234.0</v>
      </c>
      <c r="G772" s="79">
        <f t="shared" si="2"/>
        <v>11.83333333</v>
      </c>
      <c r="H772" s="80">
        <v>42822.0</v>
      </c>
      <c r="I772" s="79">
        <f t="shared" si="3"/>
        <v>8.352777778</v>
      </c>
      <c r="J772" s="89">
        <v>59.0</v>
      </c>
      <c r="K772" s="89">
        <v>21.0</v>
      </c>
      <c r="L772" s="82" t="s">
        <v>57</v>
      </c>
      <c r="M772" s="83"/>
      <c r="N772" s="85"/>
      <c r="O772" s="85"/>
      <c r="P772" s="86"/>
      <c r="Q772" s="85"/>
      <c r="R772" s="76" t="str">
        <f t="shared" si="4"/>
        <v>Removed</v>
      </c>
      <c r="S772" s="90">
        <f>E772</f>
        <v>45874</v>
      </c>
      <c r="T772" s="79">
        <f t="shared" si="5"/>
        <v>0</v>
      </c>
      <c r="U772" s="90"/>
      <c r="V772" s="79"/>
    </row>
    <row r="773">
      <c r="A773" s="53" t="s">
        <v>2069</v>
      </c>
      <c r="B773" s="54" t="s">
        <v>35</v>
      </c>
      <c r="C773" s="54" t="s">
        <v>36</v>
      </c>
      <c r="D773" s="59" t="str">
        <f t="shared" si="19"/>
        <v>Removed</v>
      </c>
      <c r="E773" s="61">
        <v>45856.0</v>
      </c>
      <c r="F773" s="123">
        <v>46234.0</v>
      </c>
      <c r="G773" s="65">
        <f t="shared" si="2"/>
        <v>12.4</v>
      </c>
      <c r="H773" s="67">
        <v>45856.0</v>
      </c>
      <c r="I773" s="65">
        <f t="shared" si="3"/>
        <v>0</v>
      </c>
      <c r="J773" s="92">
        <v>81.0</v>
      </c>
      <c r="K773" s="92">
        <v>12.0</v>
      </c>
      <c r="L773" s="69" t="s">
        <v>41</v>
      </c>
      <c r="M773" s="91"/>
      <c r="N773" s="71"/>
      <c r="O773" s="70"/>
      <c r="P773" s="115"/>
      <c r="Q773" s="70"/>
      <c r="R773" s="59" t="str">
        <f t="shared" si="4"/>
        <v>TBD</v>
      </c>
      <c r="S773" s="73"/>
      <c r="T773" s="65">
        <f t="shared" si="5"/>
        <v>14.6</v>
      </c>
      <c r="U773" s="88"/>
      <c r="V773" s="65"/>
    </row>
    <row r="774">
      <c r="A774" s="74" t="s">
        <v>2071</v>
      </c>
      <c r="B774" s="75" t="s">
        <v>35</v>
      </c>
      <c r="C774" s="75" t="s">
        <v>36</v>
      </c>
      <c r="D774" s="76" t="str">
        <f t="shared" si="19"/>
        <v>Removed</v>
      </c>
      <c r="E774" s="90">
        <v>45855.0</v>
      </c>
      <c r="F774" s="125">
        <v>46234.0</v>
      </c>
      <c r="G774" s="79">
        <f t="shared" si="2"/>
        <v>12.43333333</v>
      </c>
      <c r="H774" s="80">
        <v>45125.0</v>
      </c>
      <c r="I774" s="79">
        <f t="shared" si="3"/>
        <v>1.997222222</v>
      </c>
      <c r="J774" s="89">
        <v>81.0</v>
      </c>
      <c r="K774" s="89">
        <v>5.0</v>
      </c>
      <c r="L774" s="82" t="s">
        <v>112</v>
      </c>
      <c r="M774" s="83"/>
      <c r="N774" s="85"/>
      <c r="O774" s="85"/>
      <c r="P774" s="86"/>
      <c r="Q774" s="85"/>
      <c r="R774" s="76" t="str">
        <f t="shared" si="4"/>
        <v>Removed</v>
      </c>
      <c r="S774" s="90">
        <v>45931.0</v>
      </c>
      <c r="T774" s="79">
        <f t="shared" si="5"/>
        <v>2.466666667</v>
      </c>
      <c r="U774" s="90"/>
      <c r="V774" s="79"/>
    </row>
    <row r="775">
      <c r="A775" s="53" t="s">
        <v>2082</v>
      </c>
      <c r="B775" s="54" t="s">
        <v>35</v>
      </c>
      <c r="C775" s="54" t="s">
        <v>36</v>
      </c>
      <c r="D775" s="59" t="str">
        <f t="shared" si="19"/>
        <v>Removed</v>
      </c>
      <c r="E775" s="88">
        <v>45687.0</v>
      </c>
      <c r="F775" s="123">
        <v>46234.0</v>
      </c>
      <c r="G775" s="65">
        <f t="shared" si="2"/>
        <v>18</v>
      </c>
      <c r="H775" s="67">
        <v>45687.0</v>
      </c>
      <c r="I775" s="65">
        <f t="shared" si="3"/>
        <v>0</v>
      </c>
      <c r="J775" s="92">
        <v>75.0</v>
      </c>
      <c r="K775" s="92">
        <v>9.0</v>
      </c>
      <c r="L775" s="69" t="s">
        <v>37</v>
      </c>
      <c r="M775" s="69"/>
      <c r="N775" s="70"/>
      <c r="O775" s="70"/>
      <c r="P775" s="115"/>
      <c r="Q775" s="70"/>
      <c r="R775" s="59" t="str">
        <f t="shared" si="4"/>
        <v>Removed</v>
      </c>
      <c r="S775" s="88">
        <v>45966.0</v>
      </c>
      <c r="T775" s="65">
        <f t="shared" si="5"/>
        <v>9.166666667</v>
      </c>
      <c r="U775" s="88"/>
      <c r="V775" s="65"/>
    </row>
    <row r="776">
      <c r="A776" s="74" t="s">
        <v>2078</v>
      </c>
      <c r="B776" s="75" t="s">
        <v>35</v>
      </c>
      <c r="C776" s="75" t="s">
        <v>100</v>
      </c>
      <c r="D776" s="76" t="str">
        <f t="shared" si="19"/>
        <v>Removed</v>
      </c>
      <c r="E776" s="90">
        <v>45139.0</v>
      </c>
      <c r="F776" s="125">
        <v>46234.0</v>
      </c>
      <c r="G776" s="79">
        <f t="shared" si="2"/>
        <v>35.96666667</v>
      </c>
      <c r="H776" s="90">
        <v>43125.0</v>
      </c>
      <c r="I776" s="79">
        <f t="shared" si="3"/>
        <v>5.516666667</v>
      </c>
      <c r="J776" s="106">
        <f>(88+94)/2</f>
        <v>91</v>
      </c>
      <c r="K776" s="106">
        <v>8.0</v>
      </c>
      <c r="L776" s="82" t="s">
        <v>57</v>
      </c>
      <c r="M776" s="82"/>
      <c r="N776" s="82" t="s">
        <v>2122</v>
      </c>
      <c r="O776" s="82" t="s">
        <v>1168</v>
      </c>
      <c r="P776" s="107" t="s">
        <v>2125</v>
      </c>
      <c r="Q776" s="82"/>
      <c r="R776" s="76" t="str">
        <f t="shared" si="4"/>
        <v>Removed</v>
      </c>
      <c r="S776" s="90">
        <v>45547.0</v>
      </c>
      <c r="T776" s="79">
        <f t="shared" si="5"/>
        <v>13.36666667</v>
      </c>
      <c r="U776" s="90">
        <v>45183.0</v>
      </c>
      <c r="V776" s="79">
        <f>MONTHDUR(E776,U776)</f>
        <v>1.433333333</v>
      </c>
    </row>
    <row r="777">
      <c r="A777" s="53" t="s">
        <v>2142</v>
      </c>
      <c r="B777" s="54" t="s">
        <v>35</v>
      </c>
      <c r="C777" s="54" t="s">
        <v>371</v>
      </c>
      <c r="D777" s="59" t="str">
        <f t="shared" si="19"/>
        <v>Removed</v>
      </c>
      <c r="E777" s="88">
        <v>44971.0</v>
      </c>
      <c r="F777" s="123">
        <v>46234.0</v>
      </c>
      <c r="G777" s="65">
        <f t="shared" si="2"/>
        <v>41.53333333</v>
      </c>
      <c r="H777" s="88">
        <v>43920.0</v>
      </c>
      <c r="I777" s="65">
        <f t="shared" si="3"/>
        <v>2.872222222</v>
      </c>
      <c r="J777" s="121">
        <v>75.0</v>
      </c>
      <c r="K777" s="121">
        <v>39.0</v>
      </c>
      <c r="L777" s="69" t="s">
        <v>46</v>
      </c>
      <c r="M777" s="69"/>
      <c r="N777" s="69"/>
      <c r="O777" s="69" t="s">
        <v>107</v>
      </c>
      <c r="P777" s="122" t="s">
        <v>1491</v>
      </c>
      <c r="Q777" s="69"/>
      <c r="R777" s="59" t="str">
        <f t="shared" si="4"/>
        <v>Removed</v>
      </c>
      <c r="S777" s="88">
        <v>45547.0</v>
      </c>
      <c r="T777" s="65">
        <f t="shared" si="5"/>
        <v>18.93333333</v>
      </c>
      <c r="U777" s="88"/>
      <c r="V777" s="65"/>
    </row>
    <row r="778">
      <c r="A778" s="74" t="s">
        <v>2173</v>
      </c>
      <c r="B778" s="75" t="s">
        <v>35</v>
      </c>
      <c r="C778" s="75" t="s">
        <v>36</v>
      </c>
      <c r="D778" s="76" t="str">
        <f t="shared" si="19"/>
        <v>Removed</v>
      </c>
      <c r="E778" s="77">
        <v>44075.0</v>
      </c>
      <c r="F778" s="125">
        <v>46234.0</v>
      </c>
      <c r="G778" s="79">
        <f t="shared" si="2"/>
        <v>70.96666667</v>
      </c>
      <c r="H778" s="77">
        <v>44075.0</v>
      </c>
      <c r="I778" s="79">
        <f t="shared" si="3"/>
        <v>0</v>
      </c>
      <c r="J778" s="106">
        <v>91.0</v>
      </c>
      <c r="K778" s="106">
        <v>12.5</v>
      </c>
      <c r="L778" s="82" t="s">
        <v>81</v>
      </c>
      <c r="M778" s="82" t="s">
        <v>38</v>
      </c>
      <c r="N778" s="82" t="s">
        <v>2185</v>
      </c>
      <c r="O778" s="82" t="s">
        <v>107</v>
      </c>
      <c r="P778" s="107" t="s">
        <v>2188</v>
      </c>
      <c r="Q778" s="82"/>
      <c r="R778" s="76" t="str">
        <f t="shared" si="4"/>
        <v>Removed</v>
      </c>
      <c r="S778" s="90">
        <v>45547.0</v>
      </c>
      <c r="T778" s="79">
        <f t="shared" si="5"/>
        <v>48.36666667</v>
      </c>
      <c r="U778" s="90"/>
      <c r="V778" s="79"/>
    </row>
    <row r="779">
      <c r="A779" s="53" t="s">
        <v>2198</v>
      </c>
      <c r="B779" s="54" t="s">
        <v>13</v>
      </c>
      <c r="C779" s="59"/>
      <c r="D779" s="59" t="str">
        <f t="shared" si="19"/>
        <v>Removed</v>
      </c>
      <c r="E779" s="61">
        <v>45954.0</v>
      </c>
      <c r="F779" s="120">
        <v>46218.0</v>
      </c>
      <c r="G779" s="65">
        <f t="shared" si="2"/>
        <v>8.7</v>
      </c>
      <c r="H779" s="67">
        <v>45954.0</v>
      </c>
      <c r="I779" s="65">
        <f t="shared" si="3"/>
        <v>0</v>
      </c>
      <c r="J779" s="92">
        <v>77.0</v>
      </c>
      <c r="K779" s="92">
        <v>13.0</v>
      </c>
      <c r="L779" s="69" t="s">
        <v>335</v>
      </c>
      <c r="M779" s="91"/>
      <c r="N779" s="71"/>
      <c r="O779" s="71"/>
      <c r="P779" s="72"/>
      <c r="Q779" s="71"/>
      <c r="R779" s="59" t="str">
        <f t="shared" si="4"/>
        <v>TBD</v>
      </c>
      <c r="S779" s="73"/>
      <c r="T779" s="65">
        <f t="shared" si="5"/>
        <v>11.4</v>
      </c>
      <c r="U779" s="73"/>
      <c r="V779" s="65"/>
    </row>
    <row r="780">
      <c r="A780" s="74" t="s">
        <v>2199</v>
      </c>
      <c r="B780" s="75" t="s">
        <v>35</v>
      </c>
      <c r="C780" s="75" t="s">
        <v>36</v>
      </c>
      <c r="D780" s="76" t="str">
        <f t="shared" si="19"/>
        <v>Removed</v>
      </c>
      <c r="E780" s="90">
        <v>45847.0</v>
      </c>
      <c r="F780" s="125">
        <v>46218.0</v>
      </c>
      <c r="G780" s="79">
        <f t="shared" si="2"/>
        <v>12.2</v>
      </c>
      <c r="H780" s="80">
        <v>45350.0</v>
      </c>
      <c r="I780" s="79">
        <f t="shared" si="3"/>
        <v>1.363888889</v>
      </c>
      <c r="J780" s="89">
        <v>78.0</v>
      </c>
      <c r="K780" s="89">
        <v>3.0</v>
      </c>
      <c r="L780" s="82" t="s">
        <v>155</v>
      </c>
      <c r="M780" s="82"/>
      <c r="N780" s="84"/>
      <c r="O780" s="84"/>
      <c r="P780" s="118"/>
      <c r="Q780" s="84"/>
      <c r="R780" s="76" t="str">
        <f t="shared" si="4"/>
        <v>Removed</v>
      </c>
      <c r="S780" s="90">
        <v>45931.0</v>
      </c>
      <c r="T780" s="79">
        <f t="shared" si="5"/>
        <v>2.733333333</v>
      </c>
      <c r="U780" s="90"/>
      <c r="V780" s="79"/>
    </row>
    <row r="781">
      <c r="A781" s="53" t="s">
        <v>2200</v>
      </c>
      <c r="B781" s="54" t="s">
        <v>35</v>
      </c>
      <c r="C781" s="54" t="s">
        <v>36</v>
      </c>
      <c r="D781" s="59" t="str">
        <f t="shared" si="19"/>
        <v>Removed</v>
      </c>
      <c r="E781" s="164">
        <v>45491.0</v>
      </c>
      <c r="F781" s="120">
        <v>46218.0</v>
      </c>
      <c r="G781" s="65">
        <f t="shared" si="2"/>
        <v>23.9</v>
      </c>
      <c r="H781" s="67">
        <v>45491.0</v>
      </c>
      <c r="I781" s="65">
        <f t="shared" si="3"/>
        <v>0</v>
      </c>
      <c r="J781" s="92">
        <v>82.0</v>
      </c>
      <c r="K781" s="92">
        <v>13.0</v>
      </c>
      <c r="L781" s="69" t="s">
        <v>41</v>
      </c>
      <c r="M781" s="69" t="s">
        <v>38</v>
      </c>
      <c r="N781" s="70" t="s">
        <v>2201</v>
      </c>
      <c r="O781" s="71"/>
      <c r="P781" s="72"/>
      <c r="Q781" s="71"/>
      <c r="R781" s="59" t="str">
        <f t="shared" si="4"/>
        <v>Removed</v>
      </c>
      <c r="S781" s="88">
        <v>45784.0</v>
      </c>
      <c r="T781" s="65">
        <f t="shared" si="5"/>
        <v>9.633333333</v>
      </c>
      <c r="U781" s="88"/>
      <c r="V781" s="65"/>
    </row>
    <row r="782">
      <c r="A782" s="74" t="s">
        <v>2205</v>
      </c>
      <c r="B782" s="75" t="s">
        <v>35</v>
      </c>
      <c r="C782" s="75" t="s">
        <v>36</v>
      </c>
      <c r="D782" s="76" t="str">
        <f t="shared" si="19"/>
        <v>Removed</v>
      </c>
      <c r="E782" s="165">
        <v>45468.0</v>
      </c>
      <c r="F782" s="105">
        <v>46218.0</v>
      </c>
      <c r="G782" s="79">
        <f t="shared" si="2"/>
        <v>24.66666667</v>
      </c>
      <c r="H782" s="80">
        <v>45198.0</v>
      </c>
      <c r="I782" s="79">
        <f t="shared" si="3"/>
        <v>0.7388888889</v>
      </c>
      <c r="J782" s="89">
        <v>75.0</v>
      </c>
      <c r="K782" s="89">
        <v>34.0</v>
      </c>
      <c r="L782" s="82" t="s">
        <v>62</v>
      </c>
      <c r="M782" s="82"/>
      <c r="N782" s="84"/>
      <c r="O782" s="84" t="s">
        <v>1219</v>
      </c>
      <c r="P782" s="86"/>
      <c r="Q782" s="85"/>
      <c r="R782" s="76" t="str">
        <f t="shared" si="4"/>
        <v>Removed</v>
      </c>
      <c r="S782" s="90">
        <v>45547.0</v>
      </c>
      <c r="T782" s="79">
        <f t="shared" si="5"/>
        <v>2.566666667</v>
      </c>
      <c r="U782" s="90"/>
      <c r="V782" s="79"/>
    </row>
    <row r="783">
      <c r="A783" s="53" t="s">
        <v>2206</v>
      </c>
      <c r="B783" s="54" t="s">
        <v>35</v>
      </c>
      <c r="C783" s="54" t="s">
        <v>36</v>
      </c>
      <c r="D783" s="59" t="str">
        <f t="shared" si="19"/>
        <v>Removed</v>
      </c>
      <c r="E783" s="61">
        <v>45393.0</v>
      </c>
      <c r="F783" s="120">
        <v>46218.0</v>
      </c>
      <c r="G783" s="65">
        <f t="shared" si="2"/>
        <v>27.13333333</v>
      </c>
      <c r="H783" s="88">
        <v>43357.0</v>
      </c>
      <c r="I783" s="65">
        <f t="shared" si="3"/>
        <v>5.575</v>
      </c>
      <c r="J783" s="121">
        <v>82.0</v>
      </c>
      <c r="K783" s="121">
        <v>13.0</v>
      </c>
      <c r="L783" s="69" t="s">
        <v>41</v>
      </c>
      <c r="M783" s="91"/>
      <c r="N783" s="69" t="s">
        <v>2208</v>
      </c>
      <c r="O783" s="69" t="s">
        <v>107</v>
      </c>
      <c r="P783" s="122" t="s">
        <v>1256</v>
      </c>
      <c r="Q783" s="91"/>
      <c r="R783" s="59" t="str">
        <f t="shared" si="4"/>
        <v>Removed</v>
      </c>
      <c r="S783" s="88">
        <v>45547.0</v>
      </c>
      <c r="T783" s="65">
        <f t="shared" si="5"/>
        <v>5.033333333</v>
      </c>
      <c r="U783" s="88"/>
      <c r="V783" s="65"/>
    </row>
    <row r="784">
      <c r="A784" s="74" t="s">
        <v>2209</v>
      </c>
      <c r="B784" s="75" t="s">
        <v>35</v>
      </c>
      <c r="C784" s="75" t="s">
        <v>36</v>
      </c>
      <c r="D784" s="76" t="str">
        <f t="shared" si="19"/>
        <v>Removed</v>
      </c>
      <c r="E784" s="90">
        <v>45125.0</v>
      </c>
      <c r="F784" s="105">
        <v>46218.0</v>
      </c>
      <c r="G784" s="79">
        <f t="shared" si="2"/>
        <v>35.9</v>
      </c>
      <c r="H784" s="90">
        <v>45125.0</v>
      </c>
      <c r="I784" s="79">
        <f t="shared" si="3"/>
        <v>0</v>
      </c>
      <c r="J784" s="106">
        <v>70.0</v>
      </c>
      <c r="K784" s="106">
        <v>39.0</v>
      </c>
      <c r="L784" s="82" t="s">
        <v>64</v>
      </c>
      <c r="M784" s="82"/>
      <c r="N784" s="82"/>
      <c r="O784" s="82" t="s">
        <v>1331</v>
      </c>
      <c r="P784" s="107"/>
      <c r="Q784" s="82"/>
      <c r="R784" s="76" t="str">
        <f t="shared" si="4"/>
        <v>Removed</v>
      </c>
      <c r="S784" s="90">
        <v>45547.0</v>
      </c>
      <c r="T784" s="79">
        <f t="shared" si="5"/>
        <v>13.8</v>
      </c>
      <c r="U784" s="90"/>
      <c r="V784" s="79"/>
    </row>
    <row r="785">
      <c r="A785" s="53" t="s">
        <v>2143</v>
      </c>
      <c r="B785" s="54" t="s">
        <v>35</v>
      </c>
      <c r="C785" s="54" t="s">
        <v>36</v>
      </c>
      <c r="D785" s="59" t="str">
        <f t="shared" si="19"/>
        <v>Removed</v>
      </c>
      <c r="E785" s="88">
        <v>44756.0</v>
      </c>
      <c r="F785" s="120">
        <v>46218.0</v>
      </c>
      <c r="G785" s="65">
        <f t="shared" si="2"/>
        <v>48.03333333</v>
      </c>
      <c r="H785" s="88">
        <v>44335.0</v>
      </c>
      <c r="I785" s="65">
        <f t="shared" si="3"/>
        <v>1.152777778</v>
      </c>
      <c r="J785" s="121">
        <v>76.0</v>
      </c>
      <c r="K785" s="121">
        <v>21.5</v>
      </c>
      <c r="L785" s="69" t="s">
        <v>64</v>
      </c>
      <c r="M785" s="69"/>
      <c r="N785" s="69" t="s">
        <v>1657</v>
      </c>
      <c r="O785" s="69" t="s">
        <v>1219</v>
      </c>
      <c r="P785" s="122"/>
      <c r="Q785" s="69"/>
      <c r="R785" s="59" t="str">
        <f t="shared" si="4"/>
        <v>Removed</v>
      </c>
      <c r="S785" s="88">
        <v>45547.0</v>
      </c>
      <c r="T785" s="65">
        <f t="shared" si="5"/>
        <v>25.93333333</v>
      </c>
      <c r="U785" s="88">
        <v>45183.0</v>
      </c>
      <c r="V785" s="65">
        <f t="shared" ref="V785:V787" si="50">MONTHDUR(E785,U785)</f>
        <v>14</v>
      </c>
    </row>
    <row r="786">
      <c r="A786" s="74" t="s">
        <v>2217</v>
      </c>
      <c r="B786" s="75" t="s">
        <v>35</v>
      </c>
      <c r="C786" s="75" t="s">
        <v>100</v>
      </c>
      <c r="D786" s="76" t="str">
        <f t="shared" si="19"/>
        <v>Removed</v>
      </c>
      <c r="E786" s="77">
        <v>43970.0</v>
      </c>
      <c r="F786" s="105">
        <v>46218.0</v>
      </c>
      <c r="G786" s="79">
        <f t="shared" si="2"/>
        <v>73.86666667</v>
      </c>
      <c r="H786" s="90">
        <v>43970.0</v>
      </c>
      <c r="I786" s="79">
        <f t="shared" si="3"/>
        <v>0</v>
      </c>
      <c r="J786" s="106">
        <v>68.0</v>
      </c>
      <c r="K786" s="106">
        <v>23.5</v>
      </c>
      <c r="L786" s="82" t="s">
        <v>62</v>
      </c>
      <c r="M786" s="82" t="s">
        <v>1747</v>
      </c>
      <c r="N786" s="82" t="s">
        <v>1657</v>
      </c>
      <c r="O786" s="82" t="s">
        <v>1168</v>
      </c>
      <c r="P786" s="107" t="s">
        <v>2222</v>
      </c>
      <c r="Q786" s="82"/>
      <c r="R786" s="76" t="str">
        <f t="shared" si="4"/>
        <v>Removed</v>
      </c>
      <c r="S786" s="90">
        <v>45547.0</v>
      </c>
      <c r="T786" s="79">
        <f t="shared" si="5"/>
        <v>51.76666667</v>
      </c>
      <c r="U786" s="90">
        <v>45183.0</v>
      </c>
      <c r="V786" s="79">
        <f t="shared" si="50"/>
        <v>39.83333333</v>
      </c>
    </row>
    <row r="787">
      <c r="A787" s="207" t="s">
        <v>2225</v>
      </c>
      <c r="B787" s="54" t="s">
        <v>35</v>
      </c>
      <c r="C787" s="54" t="s">
        <v>36</v>
      </c>
      <c r="D787" s="59" t="str">
        <f t="shared" si="19"/>
        <v>Removed</v>
      </c>
      <c r="E787" s="133">
        <v>43696.0</v>
      </c>
      <c r="F787" s="120">
        <v>46218.0</v>
      </c>
      <c r="G787" s="65">
        <f t="shared" si="2"/>
        <v>82.86666667</v>
      </c>
      <c r="H787" s="88">
        <v>42499.0</v>
      </c>
      <c r="I787" s="65">
        <f t="shared" si="3"/>
        <v>3.277777778</v>
      </c>
      <c r="J787" s="208">
        <v>81.0</v>
      </c>
      <c r="K787" s="121">
        <v>21.0</v>
      </c>
      <c r="L787" s="69" t="s">
        <v>81</v>
      </c>
      <c r="M787" s="69" t="s">
        <v>326</v>
      </c>
      <c r="N787" s="230" t="s">
        <v>2228</v>
      </c>
      <c r="O787" s="69" t="s">
        <v>1168</v>
      </c>
      <c r="P787" s="122" t="s">
        <v>2230</v>
      </c>
      <c r="Q787" s="69"/>
      <c r="R787" s="59" t="str">
        <f t="shared" si="4"/>
        <v>Removed</v>
      </c>
      <c r="S787" s="88">
        <v>45547.0</v>
      </c>
      <c r="T787" s="65">
        <f t="shared" si="5"/>
        <v>60.76666667</v>
      </c>
      <c r="U787" s="88">
        <v>45994.0</v>
      </c>
      <c r="V787" s="65">
        <f t="shared" si="50"/>
        <v>75.46666667</v>
      </c>
    </row>
    <row r="788">
      <c r="A788" s="74" t="s">
        <v>2235</v>
      </c>
      <c r="B788" s="75" t="s">
        <v>35</v>
      </c>
      <c r="C788" s="75" t="s">
        <v>36</v>
      </c>
      <c r="D788" s="76" t="str">
        <f t="shared" si="19"/>
        <v>Removed</v>
      </c>
      <c r="E788" s="77">
        <v>45841.0</v>
      </c>
      <c r="F788" s="105">
        <v>46203.0</v>
      </c>
      <c r="G788" s="79">
        <f t="shared" si="2"/>
        <v>11.9</v>
      </c>
      <c r="H788" s="80">
        <v>43368.0</v>
      </c>
      <c r="I788" s="79">
        <f t="shared" si="3"/>
        <v>6.772222222</v>
      </c>
      <c r="J788" s="89">
        <v>80.0</v>
      </c>
      <c r="K788" s="89">
        <v>7.0</v>
      </c>
      <c r="L788" s="82" t="s">
        <v>57</v>
      </c>
      <c r="M788" s="83"/>
      <c r="N788" s="84"/>
      <c r="O788" s="84"/>
      <c r="P788" s="118"/>
      <c r="Q788" s="84"/>
      <c r="R788" s="76" t="str">
        <f t="shared" si="4"/>
        <v>Removed</v>
      </c>
      <c r="S788" s="90">
        <f t="shared" ref="S788:S789" si="51">E788</f>
        <v>45841</v>
      </c>
      <c r="T788" s="79">
        <f t="shared" si="5"/>
        <v>0</v>
      </c>
      <c r="U788" s="90"/>
      <c r="V788" s="79"/>
    </row>
    <row r="789">
      <c r="A789" s="207" t="s">
        <v>2242</v>
      </c>
      <c r="B789" s="54" t="s">
        <v>35</v>
      </c>
      <c r="C789" s="54" t="s">
        <v>36</v>
      </c>
      <c r="D789" s="59" t="str">
        <f t="shared" si="19"/>
        <v>Removed</v>
      </c>
      <c r="E789" s="88">
        <v>45839.0</v>
      </c>
      <c r="F789" s="120">
        <v>46203.0</v>
      </c>
      <c r="G789" s="65">
        <f t="shared" si="2"/>
        <v>11.96666667</v>
      </c>
      <c r="H789" s="88">
        <v>42318.0</v>
      </c>
      <c r="I789" s="65">
        <f t="shared" si="3"/>
        <v>9.641666667</v>
      </c>
      <c r="J789" s="208">
        <v>86.0</v>
      </c>
      <c r="K789" s="121">
        <v>13.5</v>
      </c>
      <c r="L789" s="69" t="s">
        <v>41</v>
      </c>
      <c r="M789" s="91"/>
      <c r="N789" s="69" t="s">
        <v>2247</v>
      </c>
      <c r="O789" s="91"/>
      <c r="P789" s="134"/>
      <c r="Q789" s="91"/>
      <c r="R789" s="59" t="str">
        <f t="shared" si="4"/>
        <v>Removed</v>
      </c>
      <c r="S789" s="88">
        <f t="shared" si="51"/>
        <v>45839</v>
      </c>
      <c r="T789" s="65">
        <f t="shared" si="5"/>
        <v>0</v>
      </c>
      <c r="U789" s="88"/>
      <c r="V789" s="65"/>
    </row>
    <row r="790">
      <c r="A790" s="74" t="s">
        <v>2250</v>
      </c>
      <c r="B790" s="75" t="s">
        <v>35</v>
      </c>
      <c r="C790" s="75" t="s">
        <v>36</v>
      </c>
      <c r="D790" s="76" t="str">
        <f t="shared" si="19"/>
        <v>Removed</v>
      </c>
      <c r="E790" s="77">
        <v>45832.0</v>
      </c>
      <c r="F790" s="105">
        <v>46203.0</v>
      </c>
      <c r="G790" s="79">
        <f t="shared" si="2"/>
        <v>12.2</v>
      </c>
      <c r="H790" s="80">
        <v>45036.0</v>
      </c>
      <c r="I790" s="79">
        <f t="shared" si="3"/>
        <v>2.177777778</v>
      </c>
      <c r="J790" s="89">
        <v>80.0</v>
      </c>
      <c r="K790" s="89">
        <v>9.0</v>
      </c>
      <c r="L790" s="82" t="s">
        <v>46</v>
      </c>
      <c r="M790" s="83"/>
      <c r="N790" s="85"/>
      <c r="O790" s="84"/>
      <c r="P790" s="118"/>
      <c r="Q790" s="84"/>
      <c r="R790" s="76" t="str">
        <f t="shared" si="4"/>
        <v>Removed</v>
      </c>
      <c r="S790" s="90">
        <v>45931.0</v>
      </c>
      <c r="T790" s="79">
        <f t="shared" si="5"/>
        <v>3.233333333</v>
      </c>
      <c r="U790" s="90"/>
      <c r="V790" s="79"/>
    </row>
    <row r="791">
      <c r="A791" s="207" t="s">
        <v>2257</v>
      </c>
      <c r="B791" s="54" t="s">
        <v>35</v>
      </c>
      <c r="C791" s="54" t="s">
        <v>36</v>
      </c>
      <c r="D791" s="59" t="str">
        <f t="shared" si="19"/>
        <v>Removed</v>
      </c>
      <c r="E791" s="61">
        <v>45414.0</v>
      </c>
      <c r="F791" s="61">
        <v>46203.0</v>
      </c>
      <c r="G791" s="65">
        <f t="shared" si="2"/>
        <v>25.93333333</v>
      </c>
      <c r="H791" s="88">
        <v>41338.0</v>
      </c>
      <c r="I791" s="65">
        <f t="shared" si="3"/>
        <v>11.15833333</v>
      </c>
      <c r="J791" s="121">
        <v>86.0</v>
      </c>
      <c r="K791" s="121">
        <v>11.5</v>
      </c>
      <c r="L791" s="69" t="s">
        <v>37</v>
      </c>
      <c r="M791" s="69" t="s">
        <v>1747</v>
      </c>
      <c r="N791" s="69" t="s">
        <v>2261</v>
      </c>
      <c r="O791" s="69" t="s">
        <v>107</v>
      </c>
      <c r="P791" s="122" t="s">
        <v>2262</v>
      </c>
      <c r="Q791" s="91"/>
      <c r="R791" s="59" t="str">
        <f t="shared" si="4"/>
        <v>Removed</v>
      </c>
      <c r="S791" s="88">
        <v>45547.0</v>
      </c>
      <c r="T791" s="65">
        <f t="shared" si="5"/>
        <v>4.333333333</v>
      </c>
      <c r="U791" s="88"/>
      <c r="V791" s="65"/>
    </row>
    <row r="792">
      <c r="A792" s="74" t="s">
        <v>2266</v>
      </c>
      <c r="B792" s="75" t="s">
        <v>35</v>
      </c>
      <c r="C792" s="75" t="s">
        <v>100</v>
      </c>
      <c r="D792" s="76" t="str">
        <f t="shared" si="19"/>
        <v>Removed</v>
      </c>
      <c r="E792" s="90">
        <v>44502.0</v>
      </c>
      <c r="F792" s="105">
        <v>46203.0</v>
      </c>
      <c r="G792" s="79">
        <f t="shared" si="2"/>
        <v>55.93333333</v>
      </c>
      <c r="H792" s="90">
        <v>44502.0</v>
      </c>
      <c r="I792" s="79">
        <f t="shared" si="3"/>
        <v>0</v>
      </c>
      <c r="J792" s="106">
        <f>(80+84)/2</f>
        <v>82</v>
      </c>
      <c r="K792" s="106">
        <v>3.5</v>
      </c>
      <c r="L792" s="82" t="s">
        <v>96</v>
      </c>
      <c r="M792" s="82"/>
      <c r="N792" s="82" t="s">
        <v>1657</v>
      </c>
      <c r="O792" s="82" t="s">
        <v>1219</v>
      </c>
      <c r="P792" s="107"/>
      <c r="Q792" s="82"/>
      <c r="R792" s="76" t="str">
        <f t="shared" si="4"/>
        <v>Removed</v>
      </c>
      <c r="S792" s="90">
        <v>45547.0</v>
      </c>
      <c r="T792" s="79">
        <f t="shared" si="5"/>
        <v>34.33333333</v>
      </c>
      <c r="U792" s="90">
        <v>45183.0</v>
      </c>
      <c r="V792" s="79">
        <f t="shared" ref="V792:V794" si="52">MONTHDUR(E792,U792)</f>
        <v>22.4</v>
      </c>
    </row>
    <row r="793">
      <c r="A793" s="207" t="s">
        <v>2276</v>
      </c>
      <c r="B793" s="54" t="s">
        <v>35</v>
      </c>
      <c r="C793" s="54" t="s">
        <v>100</v>
      </c>
      <c r="D793" s="59" t="str">
        <f t="shared" si="19"/>
        <v>Removed</v>
      </c>
      <c r="E793" s="133">
        <v>43691.0</v>
      </c>
      <c r="F793" s="120">
        <v>46203.0</v>
      </c>
      <c r="G793" s="65">
        <f t="shared" si="2"/>
        <v>82.53333333</v>
      </c>
      <c r="H793" s="88">
        <v>43054.0</v>
      </c>
      <c r="I793" s="65">
        <f t="shared" si="3"/>
        <v>1.747222222</v>
      </c>
      <c r="J793" s="208">
        <v>88.0</v>
      </c>
      <c r="K793" s="121">
        <v>10.5</v>
      </c>
      <c r="L793" s="69" t="s">
        <v>81</v>
      </c>
      <c r="M793" s="91"/>
      <c r="N793" s="69" t="s">
        <v>2052</v>
      </c>
      <c r="O793" s="69" t="s">
        <v>1168</v>
      </c>
      <c r="P793" s="122" t="s">
        <v>1815</v>
      </c>
      <c r="Q793" s="69"/>
      <c r="R793" s="59" t="str">
        <f t="shared" si="4"/>
        <v>Removed</v>
      </c>
      <c r="S793" s="88">
        <v>45547.0</v>
      </c>
      <c r="T793" s="65">
        <f t="shared" si="5"/>
        <v>60.93333333</v>
      </c>
      <c r="U793" s="88">
        <v>45183.0</v>
      </c>
      <c r="V793" s="65">
        <f t="shared" si="52"/>
        <v>49</v>
      </c>
    </row>
    <row r="794">
      <c r="A794" s="226" t="s">
        <v>2281</v>
      </c>
      <c r="B794" s="75" t="s">
        <v>129</v>
      </c>
      <c r="C794" s="76"/>
      <c r="D794" s="76" t="str">
        <f t="shared" si="19"/>
        <v>Removed</v>
      </c>
      <c r="E794" s="218">
        <v>42887.0</v>
      </c>
      <c r="F794" s="105">
        <v>46203.0</v>
      </c>
      <c r="G794" s="79">
        <f t="shared" si="2"/>
        <v>108.9666667</v>
      </c>
      <c r="H794" s="90">
        <v>41499.0</v>
      </c>
      <c r="I794" s="79">
        <f t="shared" si="3"/>
        <v>3.8</v>
      </c>
      <c r="J794" s="216">
        <v>65.0</v>
      </c>
      <c r="K794" s="106">
        <v>24.5</v>
      </c>
      <c r="L794" s="82" t="s">
        <v>37</v>
      </c>
      <c r="M794" s="83"/>
      <c r="N794" s="82" t="s">
        <v>1657</v>
      </c>
      <c r="O794" s="82" t="s">
        <v>107</v>
      </c>
      <c r="P794" s="107" t="s">
        <v>2286</v>
      </c>
      <c r="Q794" s="82"/>
      <c r="R794" s="76" t="str">
        <f t="shared" si="4"/>
        <v>Removed</v>
      </c>
      <c r="S794" s="90">
        <v>45547.0</v>
      </c>
      <c r="T794" s="79">
        <f t="shared" si="5"/>
        <v>87.36666667</v>
      </c>
      <c r="U794" s="90">
        <v>45183.0</v>
      </c>
      <c r="V794" s="79">
        <f t="shared" si="52"/>
        <v>75.43333333</v>
      </c>
    </row>
    <row r="795">
      <c r="A795" s="53" t="s">
        <v>2290</v>
      </c>
      <c r="B795" s="54" t="s">
        <v>35</v>
      </c>
      <c r="C795" s="54" t="s">
        <v>36</v>
      </c>
      <c r="D795" s="59" t="str">
        <f t="shared" si="19"/>
        <v>Removed</v>
      </c>
      <c r="E795" s="88">
        <v>45931.0</v>
      </c>
      <c r="F795" s="120">
        <v>46188.0</v>
      </c>
      <c r="G795" s="65">
        <f t="shared" si="2"/>
        <v>8.466666667</v>
      </c>
      <c r="H795" s="67">
        <v>44210.0</v>
      </c>
      <c r="I795" s="65">
        <f t="shared" si="3"/>
        <v>4.713888889</v>
      </c>
      <c r="J795" s="92">
        <v>79.0</v>
      </c>
      <c r="K795" s="92">
        <v>5.0</v>
      </c>
      <c r="L795" s="69" t="s">
        <v>2037</v>
      </c>
      <c r="M795" s="91"/>
      <c r="N795" s="70" t="s">
        <v>265</v>
      </c>
      <c r="O795" s="71"/>
      <c r="P795" s="72"/>
      <c r="Q795" s="71"/>
      <c r="R795" s="59" t="str">
        <f t="shared" si="4"/>
        <v>TBD</v>
      </c>
      <c r="S795" s="73"/>
      <c r="T795" s="65">
        <f t="shared" si="5"/>
        <v>12.16666667</v>
      </c>
      <c r="U795" s="73"/>
      <c r="V795" s="65"/>
    </row>
    <row r="796">
      <c r="A796" s="74" t="s">
        <v>2297</v>
      </c>
      <c r="B796" s="75" t="s">
        <v>35</v>
      </c>
      <c r="C796" s="75" t="s">
        <v>36</v>
      </c>
      <c r="D796" s="76" t="str">
        <f t="shared" si="19"/>
        <v>Removed</v>
      </c>
      <c r="E796" s="77">
        <v>45818.0</v>
      </c>
      <c r="F796" s="105">
        <v>46188.0</v>
      </c>
      <c r="G796" s="79">
        <f t="shared" si="2"/>
        <v>12.16666667</v>
      </c>
      <c r="H796" s="80">
        <v>40792.0</v>
      </c>
      <c r="I796" s="79">
        <f t="shared" si="3"/>
        <v>13.76111111</v>
      </c>
      <c r="J796" s="89">
        <v>76.0</v>
      </c>
      <c r="K796" s="89">
        <v>8.0</v>
      </c>
      <c r="L796" s="82" t="s">
        <v>37</v>
      </c>
      <c r="M796" s="83" t="s">
        <v>38</v>
      </c>
      <c r="N796" s="84"/>
      <c r="O796" s="84"/>
      <c r="P796" s="118"/>
      <c r="Q796" s="84"/>
      <c r="R796" s="76" t="str">
        <f t="shared" si="4"/>
        <v>Removed</v>
      </c>
      <c r="S796" s="90">
        <v>46029.0</v>
      </c>
      <c r="T796" s="79">
        <f t="shared" si="5"/>
        <v>6.9</v>
      </c>
      <c r="U796" s="90"/>
      <c r="V796" s="79"/>
    </row>
    <row r="797">
      <c r="A797" s="53" t="s">
        <v>2301</v>
      </c>
      <c r="B797" s="54" t="s">
        <v>35</v>
      </c>
      <c r="C797" s="54" t="s">
        <v>36</v>
      </c>
      <c r="D797" s="59" t="str">
        <f t="shared" si="19"/>
        <v>Removed</v>
      </c>
      <c r="E797" s="88">
        <v>44698.0</v>
      </c>
      <c r="F797" s="120">
        <v>46188.0</v>
      </c>
      <c r="G797" s="65">
        <f t="shared" si="2"/>
        <v>48.93333333</v>
      </c>
      <c r="H797" s="88">
        <v>44509.0</v>
      </c>
      <c r="I797" s="65">
        <f t="shared" si="3"/>
        <v>0.5222222222</v>
      </c>
      <c r="J797" s="121">
        <f>average(77,81)</f>
        <v>79</v>
      </c>
      <c r="K797" s="121">
        <v>6.0</v>
      </c>
      <c r="L797" s="69" t="s">
        <v>64</v>
      </c>
      <c r="M797" s="69"/>
      <c r="N797" s="69"/>
      <c r="O797" s="69" t="s">
        <v>328</v>
      </c>
      <c r="P797" s="122" t="s">
        <v>1912</v>
      </c>
      <c r="Q797" s="69"/>
      <c r="R797" s="59" t="str">
        <f t="shared" si="4"/>
        <v>Removed</v>
      </c>
      <c r="S797" s="88">
        <v>45547.0</v>
      </c>
      <c r="T797" s="65">
        <f t="shared" si="5"/>
        <v>27.83333333</v>
      </c>
      <c r="U797" s="88"/>
      <c r="V797" s="65"/>
    </row>
    <row r="798">
      <c r="A798" s="74" t="s">
        <v>2107</v>
      </c>
      <c r="B798" s="75" t="s">
        <v>35</v>
      </c>
      <c r="C798" s="75" t="s">
        <v>100</v>
      </c>
      <c r="D798" s="76" t="str">
        <f t="shared" si="19"/>
        <v>Removed</v>
      </c>
      <c r="E798" s="90">
        <v>44728.0</v>
      </c>
      <c r="F798" s="105">
        <v>46188.0</v>
      </c>
      <c r="G798" s="79">
        <f t="shared" si="2"/>
        <v>47.96666667</v>
      </c>
      <c r="H798" s="90">
        <v>44728.0</v>
      </c>
      <c r="I798" s="79">
        <f t="shared" si="3"/>
        <v>0</v>
      </c>
      <c r="J798" s="106">
        <v>86.0</v>
      </c>
      <c r="K798" s="106">
        <v>2.5</v>
      </c>
      <c r="L798" s="82" t="s">
        <v>1750</v>
      </c>
      <c r="M798" s="82"/>
      <c r="N798" s="82" t="s">
        <v>1657</v>
      </c>
      <c r="O798" s="82" t="s">
        <v>1168</v>
      </c>
      <c r="P798" s="107" t="s">
        <v>1396</v>
      </c>
      <c r="Q798" s="82"/>
      <c r="R798" s="76" t="str">
        <f t="shared" si="4"/>
        <v>Removed</v>
      </c>
      <c r="S798" s="90">
        <v>45547.0</v>
      </c>
      <c r="T798" s="79">
        <f t="shared" si="5"/>
        <v>26.86666667</v>
      </c>
      <c r="U798" s="90">
        <v>45183.0</v>
      </c>
      <c r="V798" s="79">
        <f>MONTHDUR(E798,U798)</f>
        <v>14.93333333</v>
      </c>
    </row>
    <row r="799">
      <c r="A799" s="53" t="s">
        <v>2302</v>
      </c>
      <c r="B799" s="54" t="s">
        <v>35</v>
      </c>
      <c r="C799" s="54" t="s">
        <v>100</v>
      </c>
      <c r="D799" s="59" t="str">
        <f t="shared" si="19"/>
        <v>Removed</v>
      </c>
      <c r="E799" s="88">
        <v>44663.0</v>
      </c>
      <c r="F799" s="120">
        <v>46188.0</v>
      </c>
      <c r="G799" s="65">
        <f t="shared" si="2"/>
        <v>50.1</v>
      </c>
      <c r="H799" s="88">
        <v>44449.0</v>
      </c>
      <c r="I799" s="65">
        <f t="shared" si="3"/>
        <v>0.5888888889</v>
      </c>
      <c r="J799" s="121">
        <f>average(74,78)</f>
        <v>76</v>
      </c>
      <c r="K799" s="121">
        <v>11.5</v>
      </c>
      <c r="L799" s="69" t="s">
        <v>46</v>
      </c>
      <c r="M799" s="69"/>
      <c r="N799" s="69"/>
      <c r="O799" s="69" t="s">
        <v>1168</v>
      </c>
      <c r="P799" s="122" t="s">
        <v>2303</v>
      </c>
      <c r="Q799" s="69"/>
      <c r="R799" s="59" t="str">
        <f t="shared" si="4"/>
        <v>Removed</v>
      </c>
      <c r="S799" s="88">
        <v>45547.0</v>
      </c>
      <c r="T799" s="65">
        <f t="shared" si="5"/>
        <v>29</v>
      </c>
      <c r="U799" s="88"/>
      <c r="V799" s="65"/>
    </row>
    <row r="800">
      <c r="A800" s="74" t="s">
        <v>2304</v>
      </c>
      <c r="B800" s="75" t="s">
        <v>35</v>
      </c>
      <c r="C800" s="75" t="s">
        <v>36</v>
      </c>
      <c r="D800" s="76" t="str">
        <f t="shared" si="19"/>
        <v>Removed</v>
      </c>
      <c r="E800" s="90">
        <v>45889.0</v>
      </c>
      <c r="F800" s="105">
        <v>46173.0</v>
      </c>
      <c r="G800" s="79">
        <f t="shared" si="2"/>
        <v>9.333333333</v>
      </c>
      <c r="H800" s="90">
        <v>41074.0</v>
      </c>
      <c r="I800" s="79">
        <f t="shared" si="3"/>
        <v>13.18333333</v>
      </c>
      <c r="J800" s="106">
        <v>90.0</v>
      </c>
      <c r="K800" s="106">
        <v>68.5</v>
      </c>
      <c r="L800" s="82" t="s">
        <v>46</v>
      </c>
      <c r="M800" s="82"/>
      <c r="N800" s="82" t="s">
        <v>2305</v>
      </c>
      <c r="O800" s="82" t="s">
        <v>107</v>
      </c>
      <c r="P800" s="107" t="s">
        <v>2306</v>
      </c>
      <c r="Q800" s="82"/>
      <c r="R800" s="76" t="str">
        <f t="shared" si="4"/>
        <v>Removed</v>
      </c>
      <c r="S800" s="90">
        <f t="shared" ref="S800:S801" si="53">E800</f>
        <v>45889</v>
      </c>
      <c r="T800" s="79">
        <f t="shared" si="5"/>
        <v>0</v>
      </c>
      <c r="U800" s="90"/>
      <c r="V800" s="79"/>
    </row>
    <row r="801">
      <c r="A801" s="53" t="s">
        <v>2307</v>
      </c>
      <c r="B801" s="54" t="s">
        <v>35</v>
      </c>
      <c r="C801" s="54" t="s">
        <v>36</v>
      </c>
      <c r="D801" s="59" t="str">
        <f t="shared" si="19"/>
        <v>Removed</v>
      </c>
      <c r="E801" s="61">
        <v>45811.0</v>
      </c>
      <c r="F801" s="120">
        <v>46173.0</v>
      </c>
      <c r="G801" s="65">
        <f t="shared" si="2"/>
        <v>11.9</v>
      </c>
      <c r="H801" s="67">
        <v>45531.0</v>
      </c>
      <c r="I801" s="65">
        <f t="shared" si="3"/>
        <v>0.7666666667</v>
      </c>
      <c r="J801" s="92">
        <v>82.0</v>
      </c>
      <c r="K801" s="92">
        <v>10.0</v>
      </c>
      <c r="L801" s="69" t="s">
        <v>41</v>
      </c>
      <c r="M801" s="91"/>
      <c r="N801" s="70"/>
      <c r="O801" s="70"/>
      <c r="P801" s="115"/>
      <c r="Q801" s="70"/>
      <c r="R801" s="59" t="str">
        <f t="shared" si="4"/>
        <v>Removed</v>
      </c>
      <c r="S801" s="88">
        <f t="shared" si="53"/>
        <v>45811</v>
      </c>
      <c r="T801" s="65">
        <f t="shared" si="5"/>
        <v>0</v>
      </c>
      <c r="U801" s="88"/>
      <c r="V801" s="65"/>
    </row>
    <row r="802">
      <c r="A802" s="74" t="s">
        <v>2308</v>
      </c>
      <c r="B802" s="75" t="s">
        <v>35</v>
      </c>
      <c r="C802" s="75" t="s">
        <v>36</v>
      </c>
      <c r="D802" s="76" t="str">
        <f t="shared" si="19"/>
        <v>Removed</v>
      </c>
      <c r="E802" s="77">
        <v>45806.0</v>
      </c>
      <c r="F802" s="105">
        <v>46173.0</v>
      </c>
      <c r="G802" s="79">
        <f t="shared" si="2"/>
        <v>12.03333333</v>
      </c>
      <c r="H802" s="80">
        <v>45806.0</v>
      </c>
      <c r="I802" s="79">
        <f t="shared" si="3"/>
        <v>0</v>
      </c>
      <c r="J802" s="89">
        <v>78.0</v>
      </c>
      <c r="K802" s="89">
        <v>9.0</v>
      </c>
      <c r="L802" s="82" t="s">
        <v>64</v>
      </c>
      <c r="M802" s="82" t="s">
        <v>38</v>
      </c>
      <c r="N802" s="85"/>
      <c r="O802" s="84"/>
      <c r="P802" s="118"/>
      <c r="Q802" s="84"/>
      <c r="R802" s="76" t="str">
        <f t="shared" si="4"/>
        <v>Removed</v>
      </c>
      <c r="S802" s="90">
        <v>45994.0</v>
      </c>
      <c r="T802" s="79">
        <f t="shared" si="5"/>
        <v>6.133333333</v>
      </c>
      <c r="U802" s="90"/>
      <c r="V802" s="79"/>
    </row>
    <row r="803">
      <c r="A803" s="53" t="s">
        <v>2309</v>
      </c>
      <c r="B803" s="54" t="s">
        <v>35</v>
      </c>
      <c r="C803" s="54" t="s">
        <v>36</v>
      </c>
      <c r="D803" s="59" t="str">
        <f t="shared" si="19"/>
        <v>Removed</v>
      </c>
      <c r="E803" s="61">
        <v>45806.0</v>
      </c>
      <c r="F803" s="120">
        <v>46173.0</v>
      </c>
      <c r="G803" s="65">
        <f t="shared" si="2"/>
        <v>12.03333333</v>
      </c>
      <c r="H803" s="67">
        <v>45576.0</v>
      </c>
      <c r="I803" s="65">
        <f t="shared" si="3"/>
        <v>0.6333333333</v>
      </c>
      <c r="J803" s="92">
        <v>94.0</v>
      </c>
      <c r="K803" s="92">
        <v>66.0</v>
      </c>
      <c r="L803" s="69" t="s">
        <v>46</v>
      </c>
      <c r="M803" s="69" t="s">
        <v>38</v>
      </c>
      <c r="N803" s="70"/>
      <c r="O803" s="70"/>
      <c r="P803" s="115"/>
      <c r="Q803" s="70"/>
      <c r="R803" s="59" t="str">
        <f t="shared" si="4"/>
        <v>Removed</v>
      </c>
      <c r="S803" s="88">
        <f>E803</f>
        <v>45806</v>
      </c>
      <c r="T803" s="65">
        <f t="shared" si="5"/>
        <v>0</v>
      </c>
      <c r="U803" s="88"/>
      <c r="V803" s="65"/>
    </row>
    <row r="804">
      <c r="A804" s="74" t="s">
        <v>2310</v>
      </c>
      <c r="B804" s="75" t="s">
        <v>35</v>
      </c>
      <c r="C804" s="75"/>
      <c r="D804" s="76" t="str">
        <f t="shared" si="19"/>
        <v>Removed</v>
      </c>
      <c r="E804" s="90">
        <v>45268.0</v>
      </c>
      <c r="F804" s="105">
        <v>46173.0</v>
      </c>
      <c r="G804" s="79">
        <f t="shared" si="2"/>
        <v>29.73333333</v>
      </c>
      <c r="H804" s="90">
        <v>44487.0</v>
      </c>
      <c r="I804" s="79">
        <f t="shared" si="3"/>
        <v>2.138888889</v>
      </c>
      <c r="J804" s="106">
        <v>90.0</v>
      </c>
      <c r="K804" s="106">
        <v>93.0</v>
      </c>
      <c r="L804" s="82" t="s">
        <v>81</v>
      </c>
      <c r="M804" s="82"/>
      <c r="N804" s="82" t="s">
        <v>2311</v>
      </c>
      <c r="O804" s="82"/>
      <c r="P804" s="107"/>
      <c r="Q804" s="82"/>
      <c r="R804" s="102" t="str">
        <f t="shared" si="4"/>
        <v>Removed</v>
      </c>
      <c r="S804" s="112">
        <v>45931.0</v>
      </c>
      <c r="T804" s="79">
        <f t="shared" si="5"/>
        <v>21.76666667</v>
      </c>
      <c r="U804" s="112"/>
      <c r="V804" s="79"/>
    </row>
    <row r="805">
      <c r="A805" s="53" t="s">
        <v>2312</v>
      </c>
      <c r="B805" s="54" t="s">
        <v>35</v>
      </c>
      <c r="C805" s="54" t="s">
        <v>36</v>
      </c>
      <c r="D805" s="59" t="str">
        <f t="shared" si="19"/>
        <v>Removed</v>
      </c>
      <c r="E805" s="61">
        <v>46058.0</v>
      </c>
      <c r="F805" s="257">
        <v>46157.0</v>
      </c>
      <c r="G805" s="65">
        <f t="shared" si="2"/>
        <v>3.333333333</v>
      </c>
      <c r="H805" s="67">
        <v>45961.0</v>
      </c>
      <c r="I805" s="65">
        <f t="shared" si="3"/>
        <v>0.2638888889</v>
      </c>
      <c r="J805" s="92">
        <v>63.0</v>
      </c>
      <c r="K805" s="92">
        <v>4.0</v>
      </c>
      <c r="L805" s="69" t="s">
        <v>55</v>
      </c>
      <c r="M805" s="91"/>
      <c r="N805" s="70" t="s">
        <v>39</v>
      </c>
      <c r="O805" s="71"/>
      <c r="P805" s="72"/>
      <c r="Q805" s="71"/>
      <c r="R805" s="104" t="str">
        <f t="shared" si="4"/>
        <v>Removed</v>
      </c>
      <c r="S805" s="98">
        <f>E805</f>
        <v>46058</v>
      </c>
      <c r="T805" s="97">
        <f t="shared" si="5"/>
        <v>0</v>
      </c>
      <c r="U805" s="98"/>
      <c r="V805" s="97"/>
    </row>
    <row r="806">
      <c r="A806" s="74" t="s">
        <v>2313</v>
      </c>
      <c r="B806" s="75" t="s">
        <v>35</v>
      </c>
      <c r="C806" s="75" t="s">
        <v>36</v>
      </c>
      <c r="D806" s="76" t="str">
        <f t="shared" si="19"/>
        <v>Removed</v>
      </c>
      <c r="E806" s="77">
        <v>45793.0</v>
      </c>
      <c r="F806" s="258">
        <v>46157.0</v>
      </c>
      <c r="G806" s="79">
        <f t="shared" si="2"/>
        <v>11.96666667</v>
      </c>
      <c r="H806" s="90">
        <v>45793.0</v>
      </c>
      <c r="I806" s="79">
        <f t="shared" si="3"/>
        <v>0</v>
      </c>
      <c r="J806" s="106">
        <v>73.0</v>
      </c>
      <c r="K806" s="106">
        <v>10.0</v>
      </c>
      <c r="L806" s="82" t="s">
        <v>41</v>
      </c>
      <c r="M806" s="82"/>
      <c r="N806" s="82"/>
      <c r="O806" s="82"/>
      <c r="P806" s="107"/>
      <c r="Q806" s="82"/>
      <c r="R806" s="76" t="str">
        <f t="shared" si="4"/>
        <v>Removed</v>
      </c>
      <c r="S806" s="90">
        <v>45980.0</v>
      </c>
      <c r="T806" s="79">
        <f t="shared" si="5"/>
        <v>6.1</v>
      </c>
      <c r="U806" s="90"/>
      <c r="V806" s="79"/>
    </row>
    <row r="807">
      <c r="A807" s="176" t="s">
        <v>2314</v>
      </c>
      <c r="B807" s="54" t="s">
        <v>35</v>
      </c>
      <c r="C807" s="54" t="s">
        <v>36</v>
      </c>
      <c r="D807" s="59" t="str">
        <f t="shared" si="19"/>
        <v>Removed</v>
      </c>
      <c r="E807" s="164">
        <v>45435.0</v>
      </c>
      <c r="F807" s="257">
        <v>46157.0</v>
      </c>
      <c r="G807" s="65">
        <f t="shared" si="2"/>
        <v>23.73333333</v>
      </c>
      <c r="H807" s="257">
        <v>45435.0</v>
      </c>
      <c r="I807" s="65">
        <f t="shared" si="3"/>
        <v>0</v>
      </c>
      <c r="J807" s="92">
        <v>80.0</v>
      </c>
      <c r="K807" s="92">
        <v>20.0</v>
      </c>
      <c r="L807" s="69" t="s">
        <v>155</v>
      </c>
      <c r="M807" s="69" t="s">
        <v>38</v>
      </c>
      <c r="N807" s="175"/>
      <c r="O807" s="181"/>
      <c r="P807" s="175"/>
      <c r="Q807" s="175"/>
      <c r="R807" s="59" t="str">
        <f t="shared" si="4"/>
        <v>Removed</v>
      </c>
      <c r="S807" s="88">
        <v>45721.0</v>
      </c>
      <c r="T807" s="65">
        <f t="shared" si="5"/>
        <v>9.4</v>
      </c>
      <c r="U807" s="88"/>
      <c r="V807" s="65"/>
    </row>
    <row r="808">
      <c r="A808" s="74" t="s">
        <v>2315</v>
      </c>
      <c r="B808" s="75" t="s">
        <v>35</v>
      </c>
      <c r="C808" s="75" t="s">
        <v>36</v>
      </c>
      <c r="D808" s="76" t="str">
        <f t="shared" si="19"/>
        <v>Removed</v>
      </c>
      <c r="E808" s="90">
        <v>45316.0</v>
      </c>
      <c r="F808" s="258">
        <v>46157.0</v>
      </c>
      <c r="G808" s="79">
        <f t="shared" si="2"/>
        <v>27.66666667</v>
      </c>
      <c r="H808" s="90">
        <v>45316.0</v>
      </c>
      <c r="I808" s="79">
        <f t="shared" si="3"/>
        <v>0</v>
      </c>
      <c r="J808" s="106">
        <v>68.0</v>
      </c>
      <c r="K808" s="106">
        <v>3.0</v>
      </c>
      <c r="L808" s="82" t="s">
        <v>105</v>
      </c>
      <c r="M808" s="82"/>
      <c r="N808" s="82"/>
      <c r="O808" s="82" t="s">
        <v>1331</v>
      </c>
      <c r="P808" s="107"/>
      <c r="Q808" s="82"/>
      <c r="R808" s="76" t="str">
        <f t="shared" si="4"/>
        <v>Removed</v>
      </c>
      <c r="S808" s="90">
        <v>45602.0</v>
      </c>
      <c r="T808" s="79">
        <f t="shared" si="5"/>
        <v>9.366666667</v>
      </c>
      <c r="U808" s="90"/>
      <c r="V808" s="79"/>
    </row>
    <row r="809">
      <c r="A809" s="53" t="s">
        <v>2316</v>
      </c>
      <c r="B809" s="54" t="s">
        <v>35</v>
      </c>
      <c r="C809" s="54" t="s">
        <v>36</v>
      </c>
      <c r="D809" s="59" t="str">
        <f t="shared" si="19"/>
        <v>Removed</v>
      </c>
      <c r="E809" s="88">
        <v>45069.0</v>
      </c>
      <c r="F809" s="257">
        <v>46157.0</v>
      </c>
      <c r="G809" s="65">
        <f t="shared" si="2"/>
        <v>35.73333333</v>
      </c>
      <c r="H809" s="88">
        <v>45069.0</v>
      </c>
      <c r="I809" s="65">
        <f t="shared" si="3"/>
        <v>0</v>
      </c>
      <c r="J809" s="121">
        <v>80.0</v>
      </c>
      <c r="K809" s="121">
        <v>5.0</v>
      </c>
      <c r="L809" s="69" t="s">
        <v>41</v>
      </c>
      <c r="M809" s="69"/>
      <c r="N809" s="69"/>
      <c r="O809" s="69" t="s">
        <v>1331</v>
      </c>
      <c r="P809" s="122"/>
      <c r="Q809" s="69"/>
      <c r="R809" s="59" t="str">
        <f t="shared" si="4"/>
        <v>Removed</v>
      </c>
      <c r="S809" s="88">
        <v>45547.0</v>
      </c>
      <c r="T809" s="65">
        <f t="shared" si="5"/>
        <v>15.63333333</v>
      </c>
      <c r="U809" s="88"/>
      <c r="V809" s="65"/>
    </row>
    <row r="810">
      <c r="A810" s="74" t="s">
        <v>2317</v>
      </c>
      <c r="B810" s="75" t="s">
        <v>13</v>
      </c>
      <c r="C810" s="76"/>
      <c r="D810" s="76" t="str">
        <f t="shared" si="19"/>
        <v>Removed</v>
      </c>
      <c r="E810" s="90">
        <v>45922.0</v>
      </c>
      <c r="F810" s="105">
        <v>46142.0</v>
      </c>
      <c r="G810" s="79">
        <f t="shared" si="2"/>
        <v>7.266666667</v>
      </c>
      <c r="H810" s="80">
        <v>45922.0</v>
      </c>
      <c r="I810" s="79">
        <f t="shared" si="3"/>
        <v>0</v>
      </c>
      <c r="J810" s="81"/>
      <c r="K810" s="89">
        <v>9.0</v>
      </c>
      <c r="L810" s="82" t="s">
        <v>81</v>
      </c>
      <c r="M810" s="83"/>
      <c r="N810" s="85"/>
      <c r="O810" s="85"/>
      <c r="P810" s="86"/>
      <c r="Q810" s="85"/>
      <c r="R810" s="76" t="str">
        <f t="shared" si="4"/>
        <v>Removed</v>
      </c>
      <c r="S810" s="90">
        <v>46120.0</v>
      </c>
      <c r="T810" s="79">
        <f t="shared" si="5"/>
        <v>6.533333333</v>
      </c>
      <c r="U810" s="90"/>
      <c r="V810" s="79"/>
    </row>
    <row r="811">
      <c r="A811" s="53" t="s">
        <v>2318</v>
      </c>
      <c r="B811" s="54" t="s">
        <v>35</v>
      </c>
      <c r="C811" s="54" t="s">
        <v>36</v>
      </c>
      <c r="D811" s="59" t="str">
        <f t="shared" si="19"/>
        <v>Removed</v>
      </c>
      <c r="E811" s="88">
        <v>45785.0</v>
      </c>
      <c r="F811" s="120">
        <v>46142.0</v>
      </c>
      <c r="G811" s="65">
        <f t="shared" si="2"/>
        <v>11.73333333</v>
      </c>
      <c r="H811" s="67">
        <v>45785.0</v>
      </c>
      <c r="I811" s="65">
        <f t="shared" si="3"/>
        <v>0</v>
      </c>
      <c r="J811" s="92">
        <v>77.0</v>
      </c>
      <c r="K811" s="92">
        <v>9.0</v>
      </c>
      <c r="L811" s="69" t="s">
        <v>41</v>
      </c>
      <c r="M811" s="69" t="s">
        <v>38</v>
      </c>
      <c r="N811" s="70"/>
      <c r="O811" s="70"/>
      <c r="P811" s="115"/>
      <c r="Q811" s="70"/>
      <c r="R811" s="59" t="str">
        <f t="shared" si="4"/>
        <v>Removed</v>
      </c>
      <c r="S811" s="88">
        <v>45980.0</v>
      </c>
      <c r="T811" s="65">
        <f t="shared" si="5"/>
        <v>6.366666667</v>
      </c>
      <c r="U811" s="88"/>
      <c r="V811" s="65"/>
    </row>
    <row r="812">
      <c r="A812" s="74" t="s">
        <v>2319</v>
      </c>
      <c r="B812" s="75" t="s">
        <v>35</v>
      </c>
      <c r="C812" s="75" t="s">
        <v>36</v>
      </c>
      <c r="D812" s="76" t="str">
        <f t="shared" si="19"/>
        <v>Removed</v>
      </c>
      <c r="E812" s="77">
        <v>45784.0</v>
      </c>
      <c r="F812" s="105">
        <v>46142.0</v>
      </c>
      <c r="G812" s="79">
        <f t="shared" si="2"/>
        <v>11.76666667</v>
      </c>
      <c r="H812" s="90">
        <v>42668.0</v>
      </c>
      <c r="I812" s="79">
        <f t="shared" si="3"/>
        <v>8.533333333</v>
      </c>
      <c r="J812" s="106">
        <v>72.0</v>
      </c>
      <c r="K812" s="106">
        <v>20.0</v>
      </c>
      <c r="L812" s="82" t="s">
        <v>52</v>
      </c>
      <c r="M812" s="82"/>
      <c r="N812" s="82"/>
      <c r="O812" s="82"/>
      <c r="P812" s="107"/>
      <c r="Q812" s="82"/>
      <c r="R812" s="76" t="str">
        <f t="shared" si="4"/>
        <v>Removed</v>
      </c>
      <c r="S812" s="90">
        <f t="shared" ref="S812:S813" si="54">E812</f>
        <v>45784</v>
      </c>
      <c r="T812" s="79">
        <f t="shared" si="5"/>
        <v>0</v>
      </c>
      <c r="U812" s="90"/>
      <c r="V812" s="79"/>
    </row>
    <row r="813">
      <c r="A813" s="53" t="s">
        <v>2320</v>
      </c>
      <c r="B813" s="54" t="s">
        <v>35</v>
      </c>
      <c r="C813" s="54" t="s">
        <v>36</v>
      </c>
      <c r="D813" s="59" t="str">
        <f t="shared" si="19"/>
        <v>Removed</v>
      </c>
      <c r="E813" s="88">
        <v>45638.0</v>
      </c>
      <c r="F813" s="120">
        <v>46142.0</v>
      </c>
      <c r="G813" s="65">
        <f t="shared" si="2"/>
        <v>16.6</v>
      </c>
      <c r="H813" s="88">
        <v>45519.0</v>
      </c>
      <c r="I813" s="65">
        <f t="shared" si="3"/>
        <v>0.325</v>
      </c>
      <c r="J813" s="92">
        <v>80.0</v>
      </c>
      <c r="K813" s="92">
        <v>41.0</v>
      </c>
      <c r="L813" s="69" t="s">
        <v>37</v>
      </c>
      <c r="M813" s="69" t="s">
        <v>38</v>
      </c>
      <c r="N813" s="70" t="s">
        <v>2321</v>
      </c>
      <c r="O813" s="70"/>
      <c r="P813" s="115"/>
      <c r="Q813" s="70"/>
      <c r="R813" s="59" t="str">
        <f t="shared" si="4"/>
        <v>Removed</v>
      </c>
      <c r="S813" s="88">
        <f t="shared" si="54"/>
        <v>45638</v>
      </c>
      <c r="T813" s="65">
        <f t="shared" si="5"/>
        <v>0</v>
      </c>
      <c r="U813" s="88"/>
      <c r="V813" s="65"/>
    </row>
    <row r="814">
      <c r="A814" s="74" t="s">
        <v>2322</v>
      </c>
      <c r="B814" s="75" t="s">
        <v>35</v>
      </c>
      <c r="C814" s="75" t="s">
        <v>36</v>
      </c>
      <c r="D814" s="76" t="str">
        <f t="shared" si="19"/>
        <v>Removed</v>
      </c>
      <c r="E814" s="165">
        <v>45603.0</v>
      </c>
      <c r="F814" s="105">
        <v>46142.0</v>
      </c>
      <c r="G814" s="79">
        <f t="shared" si="2"/>
        <v>17.76666667</v>
      </c>
      <c r="H814" s="80">
        <v>45603.0</v>
      </c>
      <c r="I814" s="79">
        <f t="shared" si="3"/>
        <v>0</v>
      </c>
      <c r="J814" s="89">
        <v>65.0</v>
      </c>
      <c r="K814" s="89">
        <v>3.0</v>
      </c>
      <c r="L814" s="82" t="s">
        <v>41</v>
      </c>
      <c r="M814" s="82" t="s">
        <v>38</v>
      </c>
      <c r="N814" s="84"/>
      <c r="O814" s="85"/>
      <c r="P814" s="86"/>
      <c r="Q814" s="85"/>
      <c r="R814" s="76" t="str">
        <f t="shared" si="4"/>
        <v>Removed</v>
      </c>
      <c r="S814" s="90">
        <v>45889.0</v>
      </c>
      <c r="T814" s="79">
        <f t="shared" si="5"/>
        <v>9.433333333</v>
      </c>
      <c r="U814" s="90"/>
      <c r="V814" s="79"/>
    </row>
    <row r="815">
      <c r="A815" s="53" t="s">
        <v>2323</v>
      </c>
      <c r="B815" s="54" t="s">
        <v>35</v>
      </c>
      <c r="C815" s="54" t="s">
        <v>36</v>
      </c>
      <c r="D815" s="59" t="str">
        <f t="shared" si="19"/>
        <v>Removed</v>
      </c>
      <c r="E815" s="88">
        <v>45511.0</v>
      </c>
      <c r="F815" s="120">
        <v>46142.0</v>
      </c>
      <c r="G815" s="65">
        <f t="shared" si="2"/>
        <v>20.76666667</v>
      </c>
      <c r="H815" s="88">
        <v>45511.0</v>
      </c>
      <c r="I815" s="65">
        <f t="shared" si="3"/>
        <v>0</v>
      </c>
      <c r="J815" s="121">
        <v>75.0</v>
      </c>
      <c r="K815" s="121">
        <v>9.0</v>
      </c>
      <c r="L815" s="69" t="s">
        <v>41</v>
      </c>
      <c r="M815" s="69" t="s">
        <v>38</v>
      </c>
      <c r="N815" s="69"/>
      <c r="O815" s="69"/>
      <c r="P815" s="122"/>
      <c r="Q815" s="69"/>
      <c r="R815" s="59" t="str">
        <f t="shared" si="4"/>
        <v>Removed</v>
      </c>
      <c r="S815" s="88">
        <v>45799.0</v>
      </c>
      <c r="T815" s="65">
        <f t="shared" si="5"/>
        <v>9.5</v>
      </c>
      <c r="U815" s="88"/>
      <c r="V815" s="65"/>
    </row>
    <row r="816">
      <c r="A816" s="74" t="s">
        <v>2324</v>
      </c>
      <c r="B816" s="75" t="s">
        <v>129</v>
      </c>
      <c r="C816" s="75" t="s">
        <v>36</v>
      </c>
      <c r="D816" s="76" t="str">
        <f t="shared" si="19"/>
        <v>Removed</v>
      </c>
      <c r="E816" s="90">
        <v>45400.0</v>
      </c>
      <c r="F816" s="105">
        <v>46142.0</v>
      </c>
      <c r="G816" s="79">
        <f t="shared" si="2"/>
        <v>24.4</v>
      </c>
      <c r="H816" s="90">
        <v>45205.0</v>
      </c>
      <c r="I816" s="79">
        <f t="shared" si="3"/>
        <v>0.5333333333</v>
      </c>
      <c r="J816" s="106">
        <v>71.0</v>
      </c>
      <c r="K816" s="106">
        <v>5.0</v>
      </c>
      <c r="L816" s="82" t="s">
        <v>62</v>
      </c>
      <c r="M816" s="82"/>
      <c r="N816" s="82" t="s">
        <v>2325</v>
      </c>
      <c r="O816" s="82" t="s">
        <v>1168</v>
      </c>
      <c r="P816" s="107" t="s">
        <v>1793</v>
      </c>
      <c r="Q816" s="82"/>
      <c r="R816" s="76" t="str">
        <f t="shared" si="4"/>
        <v>Removed</v>
      </c>
      <c r="S816" s="90">
        <v>45547.0</v>
      </c>
      <c r="T816" s="79">
        <f t="shared" si="5"/>
        <v>4.8</v>
      </c>
      <c r="U816" s="90"/>
      <c r="V816" s="79"/>
    </row>
    <row r="817">
      <c r="A817" s="53" t="s">
        <v>2326</v>
      </c>
      <c r="B817" s="54" t="s">
        <v>35</v>
      </c>
      <c r="C817" s="54" t="s">
        <v>100</v>
      </c>
      <c r="D817" s="59" t="str">
        <f t="shared" si="19"/>
        <v>Removed</v>
      </c>
      <c r="E817" s="88">
        <v>44686.0</v>
      </c>
      <c r="F817" s="120">
        <v>46142.0</v>
      </c>
      <c r="G817" s="65">
        <f t="shared" si="2"/>
        <v>47.83333333</v>
      </c>
      <c r="H817" s="88">
        <v>44686.0</v>
      </c>
      <c r="I817" s="65">
        <f t="shared" si="3"/>
        <v>0</v>
      </c>
      <c r="J817" s="121">
        <v>82.0</v>
      </c>
      <c r="K817" s="121">
        <v>6.0</v>
      </c>
      <c r="L817" s="69" t="s">
        <v>46</v>
      </c>
      <c r="M817" s="69"/>
      <c r="N817" s="69"/>
      <c r="O817" s="69" t="s">
        <v>328</v>
      </c>
      <c r="P817" s="122" t="s">
        <v>2327</v>
      </c>
      <c r="Q817" s="69"/>
      <c r="R817" s="59" t="str">
        <f t="shared" si="4"/>
        <v>Removed</v>
      </c>
      <c r="S817" s="88">
        <v>45547.0</v>
      </c>
      <c r="T817" s="65">
        <f t="shared" si="5"/>
        <v>28.23333333</v>
      </c>
      <c r="U817" s="88"/>
      <c r="V817" s="65"/>
    </row>
    <row r="818">
      <c r="A818" s="74" t="s">
        <v>2328</v>
      </c>
      <c r="B818" s="75" t="s">
        <v>35</v>
      </c>
      <c r="C818" s="75" t="s">
        <v>36</v>
      </c>
      <c r="D818" s="76" t="str">
        <f t="shared" si="19"/>
        <v>Removed</v>
      </c>
      <c r="E818" s="77">
        <v>46037.0</v>
      </c>
      <c r="F818" s="77">
        <v>46127.0</v>
      </c>
      <c r="G818" s="79">
        <f t="shared" si="2"/>
        <v>3</v>
      </c>
      <c r="H818" s="80">
        <v>45429.0</v>
      </c>
      <c r="I818" s="79">
        <f t="shared" si="3"/>
        <v>1.661111111</v>
      </c>
      <c r="J818" s="89">
        <v>80.0</v>
      </c>
      <c r="K818" s="89">
        <v>5.0</v>
      </c>
      <c r="L818" s="82" t="s">
        <v>41</v>
      </c>
      <c r="M818" s="83"/>
      <c r="N818" s="84" t="s">
        <v>39</v>
      </c>
      <c r="O818" s="85"/>
      <c r="P818" s="86"/>
      <c r="Q818" s="85"/>
      <c r="R818" s="76" t="str">
        <f t="shared" si="4"/>
        <v>Removed</v>
      </c>
      <c r="S818" s="112">
        <f t="shared" ref="S818:S820" si="55">E818</f>
        <v>46037</v>
      </c>
      <c r="T818" s="79">
        <f t="shared" si="5"/>
        <v>0</v>
      </c>
      <c r="U818" s="90"/>
      <c r="V818" s="79"/>
    </row>
    <row r="819">
      <c r="A819" s="207" t="s">
        <v>2329</v>
      </c>
      <c r="B819" s="54" t="s">
        <v>35</v>
      </c>
      <c r="C819" s="54" t="s">
        <v>36</v>
      </c>
      <c r="D819" s="59" t="str">
        <f t="shared" si="19"/>
        <v>Removed</v>
      </c>
      <c r="E819" s="61">
        <v>45762.0</v>
      </c>
      <c r="F819" s="61">
        <v>46127.0</v>
      </c>
      <c r="G819" s="65">
        <f t="shared" si="2"/>
        <v>12</v>
      </c>
      <c r="H819" s="88">
        <v>41534.0</v>
      </c>
      <c r="I819" s="65">
        <f t="shared" si="3"/>
        <v>11.57777778</v>
      </c>
      <c r="J819" s="121">
        <v>97.0</v>
      </c>
      <c r="K819" s="121">
        <v>31.5</v>
      </c>
      <c r="L819" s="69" t="s">
        <v>55</v>
      </c>
      <c r="M819" s="91"/>
      <c r="N819" s="69" t="s">
        <v>2330</v>
      </c>
      <c r="O819" s="69" t="s">
        <v>107</v>
      </c>
      <c r="P819" s="122" t="s">
        <v>2331</v>
      </c>
      <c r="Q819" s="69"/>
      <c r="R819" s="59" t="str">
        <f t="shared" si="4"/>
        <v>Removed</v>
      </c>
      <c r="S819" s="88">
        <f t="shared" si="55"/>
        <v>45762</v>
      </c>
      <c r="T819" s="65">
        <f t="shared" si="5"/>
        <v>0</v>
      </c>
      <c r="U819" s="88"/>
      <c r="V819" s="65"/>
    </row>
    <row r="820">
      <c r="A820" s="226" t="s">
        <v>2332</v>
      </c>
      <c r="B820" s="75" t="s">
        <v>35</v>
      </c>
      <c r="C820" s="76"/>
      <c r="D820" s="76" t="str">
        <f t="shared" si="19"/>
        <v>Removed</v>
      </c>
      <c r="E820" s="77">
        <v>45594.0</v>
      </c>
      <c r="F820" s="77">
        <v>46127.0</v>
      </c>
      <c r="G820" s="79">
        <f t="shared" si="2"/>
        <v>17.53333333</v>
      </c>
      <c r="H820" s="90">
        <v>43441.0</v>
      </c>
      <c r="I820" s="79">
        <f t="shared" si="3"/>
        <v>5.894444444</v>
      </c>
      <c r="J820" s="106">
        <v>78.0</v>
      </c>
      <c r="K820" s="106">
        <v>15.5</v>
      </c>
      <c r="L820" s="82" t="s">
        <v>46</v>
      </c>
      <c r="M820" s="83"/>
      <c r="N820" s="82" t="s">
        <v>2333</v>
      </c>
      <c r="O820" s="83"/>
      <c r="P820" s="219"/>
      <c r="Q820" s="83"/>
      <c r="R820" s="76" t="str">
        <f t="shared" si="4"/>
        <v>Removed</v>
      </c>
      <c r="S820" s="90">
        <f t="shared" si="55"/>
        <v>45594</v>
      </c>
      <c r="T820" s="79">
        <f t="shared" si="5"/>
        <v>0</v>
      </c>
      <c r="U820" s="90"/>
      <c r="V820" s="79"/>
    </row>
    <row r="821">
      <c r="A821" s="53" t="s">
        <v>2334</v>
      </c>
      <c r="B821" s="54" t="s">
        <v>35</v>
      </c>
      <c r="C821" s="54" t="s">
        <v>36</v>
      </c>
      <c r="D821" s="59" t="str">
        <f t="shared" si="19"/>
        <v>Removed</v>
      </c>
      <c r="E821" s="88">
        <v>45405.0</v>
      </c>
      <c r="F821" s="61">
        <v>46127.0</v>
      </c>
      <c r="G821" s="65">
        <f t="shared" si="2"/>
        <v>23.73333333</v>
      </c>
      <c r="H821" s="88">
        <v>45405.0</v>
      </c>
      <c r="I821" s="65">
        <f t="shared" si="3"/>
        <v>0</v>
      </c>
      <c r="J821" s="121">
        <v>79.0</v>
      </c>
      <c r="K821" s="121">
        <v>44.0</v>
      </c>
      <c r="L821" s="69" t="s">
        <v>46</v>
      </c>
      <c r="M821" s="69"/>
      <c r="N821" s="69"/>
      <c r="O821" s="69" t="s">
        <v>1331</v>
      </c>
      <c r="P821" s="122"/>
      <c r="Q821" s="69"/>
      <c r="R821" s="59" t="str">
        <f t="shared" si="4"/>
        <v>Removed</v>
      </c>
      <c r="S821" s="88">
        <v>45693.0</v>
      </c>
      <c r="T821" s="65">
        <f t="shared" si="5"/>
        <v>9.4</v>
      </c>
      <c r="U821" s="88"/>
      <c r="V821" s="65"/>
    </row>
    <row r="822">
      <c r="A822" s="74" t="s">
        <v>2335</v>
      </c>
      <c r="B822" s="75" t="s">
        <v>13</v>
      </c>
      <c r="C822" s="75"/>
      <c r="D822" s="76" t="str">
        <f t="shared" si="19"/>
        <v>Removed</v>
      </c>
      <c r="E822" s="90">
        <v>45377.0</v>
      </c>
      <c r="F822" s="77">
        <v>46127.0</v>
      </c>
      <c r="G822" s="79">
        <f t="shared" si="2"/>
        <v>24.63333333</v>
      </c>
      <c r="H822" s="90">
        <v>45260.0</v>
      </c>
      <c r="I822" s="79">
        <f t="shared" si="3"/>
        <v>0.3222222222</v>
      </c>
      <c r="J822" s="106">
        <v>83.0</v>
      </c>
      <c r="K822" s="106">
        <v>60.0</v>
      </c>
      <c r="L822" s="82" t="s">
        <v>81</v>
      </c>
      <c r="M822" s="82"/>
      <c r="N822" s="82"/>
      <c r="O822" s="82" t="s">
        <v>1331</v>
      </c>
      <c r="P822" s="107"/>
      <c r="Q822" s="82"/>
      <c r="R822" s="76" t="str">
        <f t="shared" si="4"/>
        <v>Removed</v>
      </c>
      <c r="S822" s="90">
        <v>45931.0</v>
      </c>
      <c r="T822" s="79">
        <f t="shared" si="5"/>
        <v>18.16666667</v>
      </c>
      <c r="U822" s="90"/>
      <c r="V822" s="79"/>
    </row>
    <row r="823">
      <c r="A823" s="53" t="s">
        <v>2336</v>
      </c>
      <c r="B823" s="54" t="s">
        <v>35</v>
      </c>
      <c r="C823" s="54" t="s">
        <v>36</v>
      </c>
      <c r="D823" s="59" t="str">
        <f t="shared" si="19"/>
        <v>Removed</v>
      </c>
      <c r="E823" s="88">
        <v>45925.0</v>
      </c>
      <c r="F823" s="123">
        <v>46112.0</v>
      </c>
      <c r="G823" s="65">
        <f t="shared" si="2"/>
        <v>6.166666667</v>
      </c>
      <c r="H823" s="67">
        <v>45002.0</v>
      </c>
      <c r="I823" s="65">
        <f t="shared" si="3"/>
        <v>2.522222222</v>
      </c>
      <c r="J823" s="92">
        <v>72.0</v>
      </c>
      <c r="K823" s="92">
        <v>2.0</v>
      </c>
      <c r="L823" s="69" t="s">
        <v>41</v>
      </c>
      <c r="M823" s="69" t="s">
        <v>38</v>
      </c>
      <c r="N823" s="71"/>
      <c r="O823" s="71"/>
      <c r="P823" s="72"/>
      <c r="Q823" s="71"/>
      <c r="R823" s="59" t="str">
        <f t="shared" si="4"/>
        <v>Removed</v>
      </c>
      <c r="S823" s="88">
        <f t="shared" ref="S823:S825" si="56">E823</f>
        <v>45925</v>
      </c>
      <c r="T823" s="65">
        <f t="shared" si="5"/>
        <v>0</v>
      </c>
      <c r="U823" s="88"/>
      <c r="V823" s="65"/>
    </row>
    <row r="824">
      <c r="A824" s="74" t="s">
        <v>2337</v>
      </c>
      <c r="B824" s="75" t="s">
        <v>35</v>
      </c>
      <c r="C824" s="75" t="s">
        <v>36</v>
      </c>
      <c r="D824" s="76" t="str">
        <f t="shared" si="19"/>
        <v>Removed</v>
      </c>
      <c r="E824" s="90">
        <v>45572.0</v>
      </c>
      <c r="F824" s="125">
        <v>46112.0</v>
      </c>
      <c r="G824" s="79">
        <f t="shared" si="2"/>
        <v>17.76666667</v>
      </c>
      <c r="H824" s="80">
        <v>44435.0</v>
      </c>
      <c r="I824" s="79">
        <f t="shared" si="3"/>
        <v>3.111111111</v>
      </c>
      <c r="J824" s="89">
        <v>55.0</v>
      </c>
      <c r="K824" s="89">
        <v>2.0</v>
      </c>
      <c r="L824" s="82" t="s">
        <v>478</v>
      </c>
      <c r="M824" s="82"/>
      <c r="N824" s="84"/>
      <c r="O824" s="84"/>
      <c r="P824" s="118"/>
      <c r="Q824" s="84"/>
      <c r="R824" s="76" t="str">
        <f t="shared" si="4"/>
        <v>Removed</v>
      </c>
      <c r="S824" s="90">
        <f t="shared" si="56"/>
        <v>45572</v>
      </c>
      <c r="T824" s="79">
        <f t="shared" si="5"/>
        <v>0</v>
      </c>
      <c r="U824" s="90"/>
      <c r="V824" s="79"/>
    </row>
    <row r="825">
      <c r="A825" s="53" t="s">
        <v>2338</v>
      </c>
      <c r="B825" s="54" t="s">
        <v>35</v>
      </c>
      <c r="C825" s="54" t="s">
        <v>36</v>
      </c>
      <c r="D825" s="59" t="str">
        <f t="shared" si="19"/>
        <v>Removed</v>
      </c>
      <c r="E825" s="61">
        <v>46002.0</v>
      </c>
      <c r="F825" s="123">
        <v>46096.0</v>
      </c>
      <c r="G825" s="65">
        <f t="shared" si="2"/>
        <v>3.133333333</v>
      </c>
      <c r="H825" s="67">
        <v>45912.0</v>
      </c>
      <c r="I825" s="65">
        <f t="shared" si="3"/>
        <v>0.2472222222</v>
      </c>
      <c r="J825" s="92">
        <v>75.0</v>
      </c>
      <c r="K825" s="92">
        <v>6.0</v>
      </c>
      <c r="L825" s="69" t="s">
        <v>41</v>
      </c>
      <c r="M825" s="91"/>
      <c r="N825" s="71"/>
      <c r="O825" s="71"/>
      <c r="P825" s="72"/>
      <c r="Q825" s="71"/>
      <c r="R825" s="59" t="str">
        <f t="shared" si="4"/>
        <v>Removed</v>
      </c>
      <c r="S825" s="98">
        <f t="shared" si="56"/>
        <v>46002</v>
      </c>
      <c r="T825" s="65">
        <f t="shared" si="5"/>
        <v>0</v>
      </c>
      <c r="U825" s="88"/>
      <c r="V825" s="65"/>
    </row>
    <row r="826">
      <c r="A826" s="74" t="s">
        <v>2339</v>
      </c>
      <c r="B826" s="75" t="s">
        <v>13</v>
      </c>
      <c r="C826" s="75"/>
      <c r="D826" s="76" t="str">
        <f t="shared" si="19"/>
        <v>Removed</v>
      </c>
      <c r="E826" s="77">
        <v>45855.0</v>
      </c>
      <c r="F826" s="125">
        <v>46096.0</v>
      </c>
      <c r="G826" s="79">
        <f t="shared" si="2"/>
        <v>7.933333333</v>
      </c>
      <c r="H826" s="80">
        <v>45855.0</v>
      </c>
      <c r="I826" s="79">
        <f t="shared" si="3"/>
        <v>0</v>
      </c>
      <c r="J826" s="81"/>
      <c r="K826" s="89">
        <v>6.0</v>
      </c>
      <c r="L826" s="82" t="s">
        <v>46</v>
      </c>
      <c r="M826" s="83"/>
      <c r="N826" s="85"/>
      <c r="O826" s="84"/>
      <c r="P826" s="118"/>
      <c r="Q826" s="84"/>
      <c r="R826" s="76" t="str">
        <f t="shared" si="4"/>
        <v>Removed</v>
      </c>
      <c r="S826" s="90">
        <v>45945.0</v>
      </c>
      <c r="T826" s="79">
        <f t="shared" si="5"/>
        <v>2.933333333</v>
      </c>
      <c r="U826" s="90"/>
      <c r="V826" s="79"/>
    </row>
    <row r="827">
      <c r="A827" s="53" t="s">
        <v>2340</v>
      </c>
      <c r="B827" s="54" t="s">
        <v>35</v>
      </c>
      <c r="C827" s="54" t="s">
        <v>36</v>
      </c>
      <c r="D827" s="59" t="str">
        <f t="shared" si="19"/>
        <v>Removed</v>
      </c>
      <c r="E827" s="88">
        <v>45736.0</v>
      </c>
      <c r="F827" s="123">
        <v>46096.0</v>
      </c>
      <c r="G827" s="65">
        <f t="shared" si="2"/>
        <v>11.83333333</v>
      </c>
      <c r="H827" s="67">
        <v>45631.0</v>
      </c>
      <c r="I827" s="65">
        <f t="shared" si="3"/>
        <v>0.2916666667</v>
      </c>
      <c r="J827" s="92">
        <v>62.0</v>
      </c>
      <c r="K827" s="92">
        <v>9.0</v>
      </c>
      <c r="L827" s="69" t="s">
        <v>41</v>
      </c>
      <c r="M827" s="69"/>
      <c r="N827" s="70"/>
      <c r="O827" s="70"/>
      <c r="P827" s="115"/>
      <c r="Q827" s="70"/>
      <c r="R827" s="59" t="str">
        <f t="shared" si="4"/>
        <v>Removed</v>
      </c>
      <c r="S827" s="88">
        <f t="shared" ref="S827:S828" si="57">E827</f>
        <v>45736</v>
      </c>
      <c r="T827" s="65">
        <f t="shared" si="5"/>
        <v>0</v>
      </c>
      <c r="U827" s="88"/>
      <c r="V827" s="65"/>
    </row>
    <row r="828">
      <c r="A828" s="226" t="s">
        <v>2087</v>
      </c>
      <c r="B828" s="75" t="s">
        <v>35</v>
      </c>
      <c r="C828" s="75" t="s">
        <v>100</v>
      </c>
      <c r="D828" s="76" t="str">
        <f t="shared" si="19"/>
        <v>Removed</v>
      </c>
      <c r="E828" s="77">
        <v>45727.0</v>
      </c>
      <c r="F828" s="125">
        <v>46096.0</v>
      </c>
      <c r="G828" s="79">
        <f t="shared" si="2"/>
        <v>12.13333333</v>
      </c>
      <c r="H828" s="90">
        <v>42465.0</v>
      </c>
      <c r="I828" s="79">
        <f t="shared" si="3"/>
        <v>8.933333333</v>
      </c>
      <c r="J828" s="216">
        <v>85.0</v>
      </c>
      <c r="K828" s="106">
        <v>18.5</v>
      </c>
      <c r="L828" s="82" t="s">
        <v>41</v>
      </c>
      <c r="M828" s="83"/>
      <c r="N828" s="82" t="s">
        <v>2341</v>
      </c>
      <c r="O828" s="82" t="s">
        <v>1168</v>
      </c>
      <c r="P828" s="107" t="s">
        <v>2342</v>
      </c>
      <c r="Q828" s="82"/>
      <c r="R828" s="76" t="str">
        <f t="shared" si="4"/>
        <v>Removed</v>
      </c>
      <c r="S828" s="90">
        <f t="shared" si="57"/>
        <v>45727</v>
      </c>
      <c r="T828" s="79">
        <f t="shared" si="5"/>
        <v>0</v>
      </c>
      <c r="U828" s="90"/>
      <c r="V828" s="79"/>
    </row>
    <row r="829">
      <c r="A829" s="53" t="s">
        <v>2343</v>
      </c>
      <c r="B829" s="54" t="s">
        <v>35</v>
      </c>
      <c r="C829" s="54" t="s">
        <v>36</v>
      </c>
      <c r="D829" s="59" t="str">
        <f t="shared" si="19"/>
        <v>Removed</v>
      </c>
      <c r="E829" s="61">
        <v>45370.0</v>
      </c>
      <c r="F829" s="123">
        <v>46096.0</v>
      </c>
      <c r="G829" s="65">
        <f t="shared" si="2"/>
        <v>23.86666667</v>
      </c>
      <c r="H829" s="88">
        <v>45370.0</v>
      </c>
      <c r="I829" s="65">
        <f t="shared" si="3"/>
        <v>0</v>
      </c>
      <c r="J829" s="121">
        <v>76.0</v>
      </c>
      <c r="K829" s="121">
        <v>12.0</v>
      </c>
      <c r="L829" s="69" t="s">
        <v>78</v>
      </c>
      <c r="M829" s="69" t="s">
        <v>38</v>
      </c>
      <c r="N829" s="69"/>
      <c r="O829" s="69" t="s">
        <v>1331</v>
      </c>
      <c r="P829" s="122"/>
      <c r="Q829" s="69"/>
      <c r="R829" s="59" t="str">
        <f t="shared" si="4"/>
        <v>Removed</v>
      </c>
      <c r="S829" s="88">
        <v>45665.0</v>
      </c>
      <c r="T829" s="65">
        <f t="shared" si="5"/>
        <v>9.633333333</v>
      </c>
      <c r="U829" s="88"/>
      <c r="V829" s="65"/>
    </row>
    <row r="830">
      <c r="A830" s="74" t="s">
        <v>2344</v>
      </c>
      <c r="B830" s="75" t="s">
        <v>35</v>
      </c>
      <c r="C830" s="75" t="s">
        <v>36</v>
      </c>
      <c r="D830" s="76" t="str">
        <f t="shared" si="19"/>
        <v>Removed</v>
      </c>
      <c r="E830" s="90">
        <v>45309.0</v>
      </c>
      <c r="F830" s="125">
        <v>46096.0</v>
      </c>
      <c r="G830" s="79">
        <f t="shared" si="2"/>
        <v>25.9</v>
      </c>
      <c r="H830" s="90">
        <v>45093.0</v>
      </c>
      <c r="I830" s="79">
        <f t="shared" si="3"/>
        <v>0.5888888889</v>
      </c>
      <c r="J830" s="106">
        <v>82.0</v>
      </c>
      <c r="K830" s="106">
        <v>8.0</v>
      </c>
      <c r="L830" s="82" t="s">
        <v>55</v>
      </c>
      <c r="M830" s="82"/>
      <c r="N830" s="82"/>
      <c r="O830" s="82"/>
      <c r="P830" s="107"/>
      <c r="Q830" s="82"/>
      <c r="R830" s="76" t="str">
        <f t="shared" si="4"/>
        <v>Removed</v>
      </c>
      <c r="S830" s="90">
        <v>45547.0</v>
      </c>
      <c r="T830" s="79">
        <f t="shared" si="5"/>
        <v>7.8</v>
      </c>
      <c r="U830" s="90"/>
      <c r="V830" s="79"/>
    </row>
    <row r="831">
      <c r="A831" s="53" t="s">
        <v>2129</v>
      </c>
      <c r="B831" s="54" t="s">
        <v>35</v>
      </c>
      <c r="C831" s="54" t="s">
        <v>100</v>
      </c>
      <c r="D831" s="59" t="str">
        <f t="shared" si="19"/>
        <v>Removed</v>
      </c>
      <c r="E831" s="88">
        <v>45720.0</v>
      </c>
      <c r="F831" s="120">
        <v>46081.0</v>
      </c>
      <c r="G831" s="65">
        <f t="shared" si="2"/>
        <v>11.8</v>
      </c>
      <c r="H831" s="88">
        <v>43972.0</v>
      </c>
      <c r="I831" s="65">
        <f t="shared" si="3"/>
        <v>4.786111111</v>
      </c>
      <c r="J831" s="121">
        <v>85.0</v>
      </c>
      <c r="K831" s="121">
        <v>1.5</v>
      </c>
      <c r="L831" s="69" t="s">
        <v>81</v>
      </c>
      <c r="M831" s="69"/>
      <c r="N831" s="69" t="s">
        <v>2345</v>
      </c>
      <c r="O831" s="69" t="s">
        <v>1219</v>
      </c>
      <c r="P831" s="122" t="s">
        <v>1857</v>
      </c>
      <c r="Q831" s="69"/>
      <c r="R831" s="59" t="str">
        <f t="shared" si="4"/>
        <v>Removed</v>
      </c>
      <c r="S831" s="88">
        <f>E831</f>
        <v>45720</v>
      </c>
      <c r="T831" s="65">
        <f t="shared" si="5"/>
        <v>0</v>
      </c>
      <c r="U831" s="88"/>
      <c r="V831" s="65"/>
    </row>
    <row r="832">
      <c r="A832" s="74" t="s">
        <v>2346</v>
      </c>
      <c r="B832" s="75" t="s">
        <v>35</v>
      </c>
      <c r="C832" s="75" t="s">
        <v>36</v>
      </c>
      <c r="D832" s="76" t="str">
        <f t="shared" si="19"/>
        <v>Removed</v>
      </c>
      <c r="E832" s="90">
        <v>45540.0</v>
      </c>
      <c r="F832" s="105">
        <v>46081.0</v>
      </c>
      <c r="G832" s="79">
        <f t="shared" si="2"/>
        <v>17.76666667</v>
      </c>
      <c r="H832" s="90">
        <v>45356.0</v>
      </c>
      <c r="I832" s="79">
        <f t="shared" si="3"/>
        <v>0.5</v>
      </c>
      <c r="J832" s="106">
        <v>77.0</v>
      </c>
      <c r="K832" s="106">
        <v>50.0</v>
      </c>
      <c r="L832" s="82" t="s">
        <v>64</v>
      </c>
      <c r="M832" s="82"/>
      <c r="N832" s="82"/>
      <c r="O832" s="82"/>
      <c r="P832" s="107"/>
      <c r="Q832" s="82"/>
      <c r="R832" s="76" t="str">
        <f t="shared" si="4"/>
        <v>Removed</v>
      </c>
      <c r="S832" s="90">
        <v>45547.0</v>
      </c>
      <c r="T832" s="79">
        <f t="shared" si="5"/>
        <v>0.2333333333</v>
      </c>
      <c r="U832" s="90"/>
      <c r="V832" s="79"/>
    </row>
    <row r="833">
      <c r="A833" s="53" t="s">
        <v>2347</v>
      </c>
      <c r="B833" s="54" t="s">
        <v>35</v>
      </c>
      <c r="C833" s="54" t="s">
        <v>36</v>
      </c>
      <c r="D833" s="59" t="str">
        <f t="shared" si="19"/>
        <v>Removed</v>
      </c>
      <c r="E833" s="88">
        <v>44203.0</v>
      </c>
      <c r="F833" s="120">
        <v>46081.0</v>
      </c>
      <c r="G833" s="65">
        <f t="shared" si="2"/>
        <v>61.7</v>
      </c>
      <c r="H833" s="88">
        <v>42871.0</v>
      </c>
      <c r="I833" s="65">
        <f t="shared" si="3"/>
        <v>3.641666667</v>
      </c>
      <c r="J833" s="121">
        <f>(86+89)/2</f>
        <v>87.5</v>
      </c>
      <c r="K833" s="121">
        <v>5.5</v>
      </c>
      <c r="L833" s="69" t="s">
        <v>52</v>
      </c>
      <c r="M833" s="69"/>
      <c r="N833" s="69"/>
      <c r="O833" s="69" t="s">
        <v>328</v>
      </c>
      <c r="P833" s="122" t="s">
        <v>2348</v>
      </c>
      <c r="Q833" s="69"/>
      <c r="R833" s="59" t="str">
        <f t="shared" si="4"/>
        <v>Removed</v>
      </c>
      <c r="S833" s="88">
        <v>45547.0</v>
      </c>
      <c r="T833" s="65">
        <f t="shared" si="5"/>
        <v>44.16666667</v>
      </c>
      <c r="U833" s="88"/>
      <c r="V833" s="65"/>
    </row>
    <row r="834">
      <c r="A834" s="226" t="s">
        <v>2128</v>
      </c>
      <c r="B834" s="75" t="s">
        <v>35</v>
      </c>
      <c r="C834" s="75" t="s">
        <v>36</v>
      </c>
      <c r="D834" s="76" t="str">
        <f t="shared" si="19"/>
        <v>Removed</v>
      </c>
      <c r="E834" s="218">
        <v>43650.0</v>
      </c>
      <c r="F834" s="105">
        <v>46081.0</v>
      </c>
      <c r="G834" s="79">
        <f t="shared" si="2"/>
        <v>79.8</v>
      </c>
      <c r="H834" s="90">
        <v>43018.0</v>
      </c>
      <c r="I834" s="79">
        <f t="shared" si="3"/>
        <v>1.733333333</v>
      </c>
      <c r="J834" s="216">
        <v>81.0</v>
      </c>
      <c r="K834" s="106">
        <v>20.5</v>
      </c>
      <c r="L834" s="82" t="s">
        <v>46</v>
      </c>
      <c r="M834" s="83"/>
      <c r="N834" s="83"/>
      <c r="O834" s="82" t="s">
        <v>107</v>
      </c>
      <c r="P834" s="107" t="s">
        <v>1766</v>
      </c>
      <c r="Q834" s="82"/>
      <c r="R834" s="76" t="str">
        <f t="shared" si="4"/>
        <v>Removed</v>
      </c>
      <c r="S834" s="90">
        <v>45547.0</v>
      </c>
      <c r="T834" s="79">
        <f t="shared" si="5"/>
        <v>62.26666667</v>
      </c>
      <c r="U834" s="90"/>
      <c r="V834" s="79"/>
    </row>
    <row r="835">
      <c r="A835" s="207" t="s">
        <v>2349</v>
      </c>
      <c r="B835" s="54" t="s">
        <v>35</v>
      </c>
      <c r="C835" s="54" t="s">
        <v>36</v>
      </c>
      <c r="D835" s="59" t="str">
        <f t="shared" si="19"/>
        <v>Removed</v>
      </c>
      <c r="E835" s="133">
        <v>45330.0</v>
      </c>
      <c r="F835" s="187">
        <v>46068.0</v>
      </c>
      <c r="G835" s="65">
        <f t="shared" si="2"/>
        <v>24.23333333</v>
      </c>
      <c r="H835" s="88">
        <v>45156.0</v>
      </c>
      <c r="I835" s="65">
        <f t="shared" si="3"/>
        <v>0.4722222222</v>
      </c>
      <c r="J835" s="208">
        <v>65.0</v>
      </c>
      <c r="K835" s="121">
        <v>14.0</v>
      </c>
      <c r="L835" s="69" t="s">
        <v>62</v>
      </c>
      <c r="M835" s="91"/>
      <c r="N835" s="91"/>
      <c r="O835" s="239" t="s">
        <v>1219</v>
      </c>
      <c r="P835" s="122" t="s">
        <v>2350</v>
      </c>
      <c r="Q835" s="69"/>
      <c r="R835" s="59" t="str">
        <f t="shared" si="4"/>
        <v>Removed</v>
      </c>
      <c r="S835" s="88">
        <v>45547.0</v>
      </c>
      <c r="T835" s="65">
        <f t="shared" si="5"/>
        <v>7.133333333</v>
      </c>
      <c r="U835" s="88"/>
      <c r="V835" s="65"/>
    </row>
    <row r="836">
      <c r="A836" s="74" t="s">
        <v>2351</v>
      </c>
      <c r="B836" s="75" t="s">
        <v>35</v>
      </c>
      <c r="C836" s="75" t="s">
        <v>36</v>
      </c>
      <c r="D836" s="76" t="str">
        <f t="shared" si="19"/>
        <v>Removed</v>
      </c>
      <c r="E836" s="77">
        <v>45910.0</v>
      </c>
      <c r="F836" s="105">
        <v>46053.0</v>
      </c>
      <c r="G836" s="79">
        <f t="shared" si="2"/>
        <v>4.666666667</v>
      </c>
      <c r="H836" s="90">
        <v>45198.0</v>
      </c>
      <c r="I836" s="79">
        <f t="shared" si="3"/>
        <v>1.947222222</v>
      </c>
      <c r="J836" s="106">
        <v>79.0</v>
      </c>
      <c r="K836" s="106">
        <v>7.0</v>
      </c>
      <c r="L836" s="82" t="s">
        <v>41</v>
      </c>
      <c r="M836" s="82"/>
      <c r="N836" s="82" t="s">
        <v>2352</v>
      </c>
      <c r="O836" s="82" t="s">
        <v>1219</v>
      </c>
      <c r="P836" s="107"/>
      <c r="Q836" s="82"/>
      <c r="R836" s="76" t="str">
        <f t="shared" si="4"/>
        <v>Removed</v>
      </c>
      <c r="S836" s="90">
        <f>E836</f>
        <v>45910</v>
      </c>
      <c r="T836" s="79">
        <f t="shared" si="5"/>
        <v>0</v>
      </c>
      <c r="U836" s="90"/>
      <c r="V836" s="79"/>
    </row>
    <row r="837">
      <c r="A837" s="53" t="s">
        <v>2353</v>
      </c>
      <c r="B837" s="54" t="s">
        <v>35</v>
      </c>
      <c r="C837" s="54" t="s">
        <v>36</v>
      </c>
      <c r="D837" s="59" t="str">
        <f t="shared" si="19"/>
        <v>Removed</v>
      </c>
      <c r="E837" s="88">
        <v>45688.0</v>
      </c>
      <c r="F837" s="123">
        <v>46053.0</v>
      </c>
      <c r="G837" s="65">
        <f t="shared" si="2"/>
        <v>12</v>
      </c>
      <c r="H837" s="67">
        <v>45688.0</v>
      </c>
      <c r="I837" s="65">
        <f t="shared" si="3"/>
        <v>0</v>
      </c>
      <c r="J837" s="92">
        <v>85.0</v>
      </c>
      <c r="K837" s="92">
        <v>10.0</v>
      </c>
      <c r="L837" s="69" t="s">
        <v>46</v>
      </c>
      <c r="M837" s="69" t="s">
        <v>38</v>
      </c>
      <c r="N837" s="70"/>
      <c r="O837" s="70"/>
      <c r="P837" s="115"/>
      <c r="Q837" s="70"/>
      <c r="R837" s="59" t="str">
        <f t="shared" si="4"/>
        <v>Removed</v>
      </c>
      <c r="S837" s="88">
        <v>45875.0</v>
      </c>
      <c r="T837" s="65">
        <f t="shared" si="5"/>
        <v>6.2</v>
      </c>
      <c r="U837" s="88"/>
      <c r="V837" s="65"/>
    </row>
    <row r="838">
      <c r="A838" s="74" t="s">
        <v>2354</v>
      </c>
      <c r="B838" s="75" t="s">
        <v>35</v>
      </c>
      <c r="C838" s="75" t="s">
        <v>36</v>
      </c>
      <c r="D838" s="76" t="str">
        <f t="shared" si="19"/>
        <v>Removed</v>
      </c>
      <c r="E838" s="90">
        <v>45686.0</v>
      </c>
      <c r="F838" s="125">
        <v>46053.0</v>
      </c>
      <c r="G838" s="79">
        <f t="shared" si="2"/>
        <v>12.03333333</v>
      </c>
      <c r="H838" s="80">
        <v>44175.0</v>
      </c>
      <c r="I838" s="79">
        <f t="shared" si="3"/>
        <v>4.136111111</v>
      </c>
      <c r="J838" s="89">
        <v>78.0</v>
      </c>
      <c r="K838" s="89">
        <v>5.0</v>
      </c>
      <c r="L838" s="82" t="s">
        <v>41</v>
      </c>
      <c r="M838" s="82"/>
      <c r="N838" s="84"/>
      <c r="O838" s="84"/>
      <c r="P838" s="118"/>
      <c r="Q838" s="84"/>
      <c r="R838" s="76" t="str">
        <f t="shared" si="4"/>
        <v>Removed</v>
      </c>
      <c r="S838" s="90">
        <f>E838</f>
        <v>45686</v>
      </c>
      <c r="T838" s="79">
        <f t="shared" si="5"/>
        <v>0</v>
      </c>
      <c r="U838" s="90"/>
      <c r="V838" s="79"/>
    </row>
    <row r="839">
      <c r="A839" s="53" t="s">
        <v>2355</v>
      </c>
      <c r="B839" s="54" t="s">
        <v>35</v>
      </c>
      <c r="C839" s="54" t="s">
        <v>36</v>
      </c>
      <c r="D839" s="59" t="str">
        <f t="shared" si="19"/>
        <v>Removed</v>
      </c>
      <c r="E839" s="88">
        <v>45685.0</v>
      </c>
      <c r="F839" s="123">
        <v>46053.0</v>
      </c>
      <c r="G839" s="65">
        <f t="shared" si="2"/>
        <v>12.06666667</v>
      </c>
      <c r="H839" s="67">
        <v>45685.0</v>
      </c>
      <c r="I839" s="65">
        <f t="shared" si="3"/>
        <v>0</v>
      </c>
      <c r="J839" s="92">
        <v>70.0</v>
      </c>
      <c r="K839" s="92">
        <v>21.0</v>
      </c>
      <c r="L839" s="69" t="s">
        <v>617</v>
      </c>
      <c r="M839" s="69" t="s">
        <v>38</v>
      </c>
      <c r="N839" s="70"/>
      <c r="O839" s="70"/>
      <c r="P839" s="115"/>
      <c r="Q839" s="70"/>
      <c r="R839" s="59" t="str">
        <f t="shared" si="4"/>
        <v>Removed</v>
      </c>
      <c r="S839" s="88">
        <v>45875.0</v>
      </c>
      <c r="T839" s="65">
        <f t="shared" si="5"/>
        <v>6.266666667</v>
      </c>
      <c r="U839" s="88"/>
      <c r="V839" s="65"/>
    </row>
    <row r="840">
      <c r="A840" s="74" t="s">
        <v>2356</v>
      </c>
      <c r="B840" s="75" t="s">
        <v>35</v>
      </c>
      <c r="C840" s="75" t="s">
        <v>36</v>
      </c>
      <c r="D840" s="76" t="str">
        <f t="shared" si="19"/>
        <v>Removed</v>
      </c>
      <c r="E840" s="90">
        <v>45678.0</v>
      </c>
      <c r="F840" s="125">
        <v>46053.0</v>
      </c>
      <c r="G840" s="79">
        <f t="shared" si="2"/>
        <v>12.3</v>
      </c>
      <c r="H840" s="80">
        <v>43958.0</v>
      </c>
      <c r="I840" s="79">
        <f t="shared" si="3"/>
        <v>4.705555556</v>
      </c>
      <c r="J840" s="89">
        <v>84.0</v>
      </c>
      <c r="K840" s="89">
        <v>3.0</v>
      </c>
      <c r="L840" s="82" t="s">
        <v>2357</v>
      </c>
      <c r="M840" s="82" t="s">
        <v>38</v>
      </c>
      <c r="N840" s="84"/>
      <c r="O840" s="84"/>
      <c r="P840" s="118"/>
      <c r="Q840" s="84"/>
      <c r="R840" s="76" t="str">
        <f t="shared" si="4"/>
        <v>Removed</v>
      </c>
      <c r="S840" s="90">
        <v>45875.0</v>
      </c>
      <c r="T840" s="79">
        <f t="shared" si="5"/>
        <v>6.5</v>
      </c>
      <c r="U840" s="90"/>
      <c r="V840" s="79"/>
    </row>
    <row r="841">
      <c r="A841" s="53" t="s">
        <v>2358</v>
      </c>
      <c r="B841" s="54" t="s">
        <v>35</v>
      </c>
      <c r="C841" s="54" t="s">
        <v>36</v>
      </c>
      <c r="D841" s="59" t="str">
        <f t="shared" si="19"/>
        <v>Removed</v>
      </c>
      <c r="E841" s="88">
        <v>44173.0</v>
      </c>
      <c r="F841" s="123">
        <v>46053.0</v>
      </c>
      <c r="G841" s="65">
        <f t="shared" si="2"/>
        <v>61.73333333</v>
      </c>
      <c r="H841" s="88">
        <v>42573.0</v>
      </c>
      <c r="I841" s="65">
        <f t="shared" si="3"/>
        <v>4.377777778</v>
      </c>
      <c r="J841" s="121">
        <v>81.0</v>
      </c>
      <c r="K841" s="121">
        <v>21.5</v>
      </c>
      <c r="L841" s="69" t="s">
        <v>57</v>
      </c>
      <c r="M841" s="69"/>
      <c r="N841" s="69" t="s">
        <v>2359</v>
      </c>
      <c r="O841" s="69" t="s">
        <v>1168</v>
      </c>
      <c r="P841" s="122" t="s">
        <v>2360</v>
      </c>
      <c r="Q841" s="69"/>
      <c r="R841" s="59" t="str">
        <f t="shared" si="4"/>
        <v>TBD</v>
      </c>
      <c r="S841" s="88"/>
      <c r="T841" s="65">
        <f t="shared" si="5"/>
        <v>69.93333333</v>
      </c>
      <c r="U841" s="88"/>
      <c r="V841" s="65"/>
    </row>
    <row r="842">
      <c r="A842" s="74" t="s">
        <v>2361</v>
      </c>
      <c r="B842" s="75" t="s">
        <v>35</v>
      </c>
      <c r="C842" s="75" t="s">
        <v>36</v>
      </c>
      <c r="D842" s="76" t="str">
        <f t="shared" si="19"/>
        <v>Removed</v>
      </c>
      <c r="E842" s="90">
        <v>45945.0</v>
      </c>
      <c r="F842" s="125">
        <v>46037.0</v>
      </c>
      <c r="G842" s="79">
        <f t="shared" si="2"/>
        <v>3</v>
      </c>
      <c r="H842" s="80">
        <v>45212.0</v>
      </c>
      <c r="I842" s="79">
        <f t="shared" si="3"/>
        <v>2.005555556</v>
      </c>
      <c r="J842" s="81">
        <f>average(50,75,80)</f>
        <v>68.33333333</v>
      </c>
      <c r="K842" s="89">
        <v>3.0</v>
      </c>
      <c r="L842" s="82" t="s">
        <v>57</v>
      </c>
      <c r="M842" s="83"/>
      <c r="N842" s="85"/>
      <c r="O842" s="85"/>
      <c r="P842" s="86"/>
      <c r="Q842" s="85"/>
      <c r="R842" s="76" t="str">
        <f t="shared" si="4"/>
        <v>TBD</v>
      </c>
      <c r="S842" s="87"/>
      <c r="T842" s="79">
        <f t="shared" si="5"/>
        <v>11.7</v>
      </c>
      <c r="U842" s="87"/>
      <c r="V842" s="79"/>
    </row>
    <row r="843">
      <c r="A843" s="53" t="s">
        <v>2101</v>
      </c>
      <c r="B843" s="54" t="s">
        <v>35</v>
      </c>
      <c r="C843" s="54" t="s">
        <v>100</v>
      </c>
      <c r="D843" s="59" t="str">
        <f t="shared" si="19"/>
        <v>Removed</v>
      </c>
      <c r="E843" s="88">
        <v>45846.0</v>
      </c>
      <c r="F843" s="123">
        <v>46037.0</v>
      </c>
      <c r="G843" s="65">
        <f t="shared" si="2"/>
        <v>6.233333333</v>
      </c>
      <c r="H843" s="88">
        <v>44406.0</v>
      </c>
      <c r="I843" s="65">
        <f t="shared" si="3"/>
        <v>3.941666667</v>
      </c>
      <c r="J843" s="121">
        <f>(65+74)/2</f>
        <v>69.5</v>
      </c>
      <c r="K843" s="121">
        <v>9.0</v>
      </c>
      <c r="L843" s="69" t="s">
        <v>46</v>
      </c>
      <c r="M843" s="69" t="s">
        <v>326</v>
      </c>
      <c r="N843" s="69" t="s">
        <v>2362</v>
      </c>
      <c r="O843" s="69" t="s">
        <v>107</v>
      </c>
      <c r="P843" s="122" t="s">
        <v>2363</v>
      </c>
      <c r="Q843" s="69"/>
      <c r="R843" s="59" t="str">
        <f t="shared" si="4"/>
        <v>Removed</v>
      </c>
      <c r="S843" s="88">
        <f t="shared" ref="S843:S844" si="58">E843</f>
        <v>45846</v>
      </c>
      <c r="T843" s="65">
        <f t="shared" si="5"/>
        <v>0</v>
      </c>
      <c r="U843" s="88"/>
      <c r="V843" s="65"/>
    </row>
    <row r="844">
      <c r="A844" s="74" t="s">
        <v>2364</v>
      </c>
      <c r="B844" s="75" t="s">
        <v>35</v>
      </c>
      <c r="C844" s="75" t="s">
        <v>100</v>
      </c>
      <c r="D844" s="76" t="str">
        <f t="shared" si="19"/>
        <v>Removed</v>
      </c>
      <c r="E844" s="90">
        <v>45664.0</v>
      </c>
      <c r="F844" s="125">
        <v>46037.0</v>
      </c>
      <c r="G844" s="79">
        <f t="shared" si="2"/>
        <v>12.26666667</v>
      </c>
      <c r="H844" s="90">
        <v>44424.0</v>
      </c>
      <c r="I844" s="79">
        <f t="shared" si="3"/>
        <v>3.391666667</v>
      </c>
      <c r="J844" s="106">
        <v>79.0</v>
      </c>
      <c r="K844" s="106">
        <v>7.5</v>
      </c>
      <c r="L844" s="82" t="s">
        <v>135</v>
      </c>
      <c r="M844" s="82"/>
      <c r="N844" s="82" t="s">
        <v>2365</v>
      </c>
      <c r="O844" s="82" t="s">
        <v>328</v>
      </c>
      <c r="P844" s="107" t="s">
        <v>2366</v>
      </c>
      <c r="Q844" s="82"/>
      <c r="R844" s="76" t="str">
        <f t="shared" si="4"/>
        <v>Removed</v>
      </c>
      <c r="S844" s="90">
        <f t="shared" si="58"/>
        <v>45664</v>
      </c>
      <c r="T844" s="79">
        <f t="shared" si="5"/>
        <v>0</v>
      </c>
      <c r="U844" s="90"/>
      <c r="V844" s="79"/>
    </row>
    <row r="845">
      <c r="A845" s="53" t="s">
        <v>2367</v>
      </c>
      <c r="B845" s="54" t="s">
        <v>35</v>
      </c>
      <c r="C845" s="54" t="s">
        <v>36</v>
      </c>
      <c r="D845" s="59" t="str">
        <f t="shared" si="19"/>
        <v>Removed</v>
      </c>
      <c r="E845" s="164">
        <v>45491.0</v>
      </c>
      <c r="F845" s="123">
        <v>46037.0</v>
      </c>
      <c r="G845" s="65">
        <f t="shared" si="2"/>
        <v>17.9</v>
      </c>
      <c r="H845" s="67">
        <v>45491.0</v>
      </c>
      <c r="I845" s="65">
        <f t="shared" si="3"/>
        <v>0</v>
      </c>
      <c r="J845" s="92">
        <v>71.0</v>
      </c>
      <c r="K845" s="92">
        <v>9.0</v>
      </c>
      <c r="L845" s="69" t="s">
        <v>41</v>
      </c>
      <c r="M845" s="69" t="s">
        <v>38</v>
      </c>
      <c r="N845" s="70"/>
      <c r="O845" s="71"/>
      <c r="P845" s="72"/>
      <c r="Q845" s="71"/>
      <c r="R845" s="59" t="str">
        <f t="shared" si="4"/>
        <v>Removed</v>
      </c>
      <c r="S845" s="88">
        <v>45784.0</v>
      </c>
      <c r="T845" s="65">
        <f t="shared" si="5"/>
        <v>9.633333333</v>
      </c>
      <c r="U845" s="88"/>
      <c r="V845" s="65"/>
    </row>
    <row r="846">
      <c r="A846" s="74" t="s">
        <v>2368</v>
      </c>
      <c r="B846" s="75" t="s">
        <v>35</v>
      </c>
      <c r="C846" s="75" t="s">
        <v>36</v>
      </c>
      <c r="D846" s="76" t="str">
        <f t="shared" si="19"/>
        <v>Removed</v>
      </c>
      <c r="E846" s="77">
        <v>45484.0</v>
      </c>
      <c r="F846" s="125">
        <v>46037.0</v>
      </c>
      <c r="G846" s="79">
        <f t="shared" si="2"/>
        <v>18.13333333</v>
      </c>
      <c r="H846" s="80">
        <v>44728.0</v>
      </c>
      <c r="I846" s="79">
        <f t="shared" si="3"/>
        <v>2.069444444</v>
      </c>
      <c r="J846" s="89">
        <v>89.0</v>
      </c>
      <c r="K846" s="89">
        <v>11.0</v>
      </c>
      <c r="L846" s="82" t="s">
        <v>37</v>
      </c>
      <c r="M846" s="83"/>
      <c r="N846" s="84"/>
      <c r="O846" s="84" t="s">
        <v>328</v>
      </c>
      <c r="P846" s="118" t="s">
        <v>2369</v>
      </c>
      <c r="Q846" s="85"/>
      <c r="R846" s="76" t="str">
        <f t="shared" si="4"/>
        <v>Removed</v>
      </c>
      <c r="S846" s="90">
        <v>45763.0</v>
      </c>
      <c r="T846" s="79">
        <f t="shared" si="5"/>
        <v>9.166666667</v>
      </c>
      <c r="U846" s="90"/>
      <c r="V846" s="79"/>
    </row>
    <row r="847">
      <c r="A847" s="53" t="s">
        <v>2370</v>
      </c>
      <c r="B847" s="54" t="s">
        <v>35</v>
      </c>
      <c r="C847" s="54" t="s">
        <v>36</v>
      </c>
      <c r="D847" s="59" t="str">
        <f t="shared" si="19"/>
        <v>Removed</v>
      </c>
      <c r="E847" s="61">
        <v>45659.0</v>
      </c>
      <c r="F847" s="120">
        <v>46022.0</v>
      </c>
      <c r="G847" s="65">
        <f t="shared" si="2"/>
        <v>11.93333333</v>
      </c>
      <c r="H847" s="88">
        <v>44035.0</v>
      </c>
      <c r="I847" s="65">
        <f t="shared" si="3"/>
        <v>4.441666667</v>
      </c>
      <c r="J847" s="121">
        <v>76.0</v>
      </c>
      <c r="K847" s="121">
        <v>4.0</v>
      </c>
      <c r="L847" s="69" t="s">
        <v>105</v>
      </c>
      <c r="M847" s="69"/>
      <c r="N847" s="69" t="s">
        <v>2371</v>
      </c>
      <c r="O847" s="69" t="s">
        <v>107</v>
      </c>
      <c r="P847" s="122" t="s">
        <v>108</v>
      </c>
      <c r="Q847" s="69"/>
      <c r="R847" s="59" t="str">
        <f t="shared" si="4"/>
        <v>Removed</v>
      </c>
      <c r="S847" s="88">
        <f>E847</f>
        <v>45659</v>
      </c>
      <c r="T847" s="65">
        <f t="shared" si="5"/>
        <v>0</v>
      </c>
      <c r="U847" s="88"/>
      <c r="V847" s="65"/>
    </row>
    <row r="848">
      <c r="A848" s="74" t="s">
        <v>2372</v>
      </c>
      <c r="B848" s="75" t="s">
        <v>35</v>
      </c>
      <c r="C848" s="75" t="s">
        <v>36</v>
      </c>
      <c r="D848" s="76" t="str">
        <f t="shared" si="19"/>
        <v>Removed</v>
      </c>
      <c r="E848" s="90">
        <v>45295.0</v>
      </c>
      <c r="F848" s="105">
        <v>46022.0</v>
      </c>
      <c r="G848" s="79">
        <f t="shared" si="2"/>
        <v>23.86666667</v>
      </c>
      <c r="H848" s="90">
        <v>43622.0</v>
      </c>
      <c r="I848" s="79">
        <f t="shared" si="3"/>
        <v>4.577777778</v>
      </c>
      <c r="J848" s="106">
        <v>79.0</v>
      </c>
      <c r="K848" s="106">
        <v>30.0</v>
      </c>
      <c r="L848" s="82" t="s">
        <v>37</v>
      </c>
      <c r="M848" s="82" t="s">
        <v>38</v>
      </c>
      <c r="N848" s="82"/>
      <c r="O848" s="82"/>
      <c r="P848" s="107"/>
      <c r="Q848" s="82"/>
      <c r="R848" s="76" t="str">
        <f t="shared" si="4"/>
        <v>Removed</v>
      </c>
      <c r="S848" s="90">
        <v>45547.0</v>
      </c>
      <c r="T848" s="79">
        <f t="shared" si="5"/>
        <v>8.266666667</v>
      </c>
      <c r="U848" s="90"/>
      <c r="V848" s="79"/>
    </row>
    <row r="849">
      <c r="A849" s="53" t="s">
        <v>2373</v>
      </c>
      <c r="B849" s="54" t="s">
        <v>35</v>
      </c>
      <c r="C849" s="54" t="s">
        <v>36</v>
      </c>
      <c r="D849" s="59" t="str">
        <f t="shared" si="19"/>
        <v>Removed</v>
      </c>
      <c r="E849" s="88">
        <v>45636.0</v>
      </c>
      <c r="F849" s="123">
        <v>46006.0</v>
      </c>
      <c r="G849" s="65">
        <f t="shared" si="2"/>
        <v>12.16666667</v>
      </c>
      <c r="H849" s="88">
        <v>45028.0</v>
      </c>
      <c r="I849" s="65">
        <f t="shared" si="3"/>
        <v>1.661111111</v>
      </c>
      <c r="J849" s="92">
        <v>80.0</v>
      </c>
      <c r="K849" s="92">
        <v>13.0</v>
      </c>
      <c r="L849" s="69" t="s">
        <v>50</v>
      </c>
      <c r="M849" s="69"/>
      <c r="N849" s="70"/>
      <c r="O849" s="70"/>
      <c r="P849" s="115"/>
      <c r="Q849" s="70"/>
      <c r="R849" s="59" t="str">
        <f t="shared" si="4"/>
        <v>Removed</v>
      </c>
      <c r="S849" s="88">
        <v>45826.0</v>
      </c>
      <c r="T849" s="65">
        <f t="shared" si="5"/>
        <v>6.266666667</v>
      </c>
      <c r="U849" s="88"/>
      <c r="V849" s="65"/>
    </row>
    <row r="850">
      <c r="A850" s="74" t="s">
        <v>2374</v>
      </c>
      <c r="B850" s="75" t="s">
        <v>35</v>
      </c>
      <c r="C850" s="75" t="s">
        <v>36</v>
      </c>
      <c r="D850" s="76" t="str">
        <f t="shared" si="19"/>
        <v>Removed</v>
      </c>
      <c r="E850" s="165">
        <v>45461.0</v>
      </c>
      <c r="F850" s="125">
        <v>46006.0</v>
      </c>
      <c r="G850" s="79">
        <f t="shared" si="2"/>
        <v>17.9</v>
      </c>
      <c r="H850" s="80">
        <v>45461.0</v>
      </c>
      <c r="I850" s="79">
        <f t="shared" si="3"/>
        <v>0</v>
      </c>
      <c r="J850" s="89">
        <v>74.0</v>
      </c>
      <c r="K850" s="89">
        <v>5.0</v>
      </c>
      <c r="L850" s="82" t="s">
        <v>112</v>
      </c>
      <c r="M850" s="82" t="s">
        <v>38</v>
      </c>
      <c r="N850" s="84"/>
      <c r="O850" s="84" t="s">
        <v>107</v>
      </c>
      <c r="P850" s="118" t="s">
        <v>2375</v>
      </c>
      <c r="Q850" s="85"/>
      <c r="R850" s="76" t="str">
        <f t="shared" si="4"/>
        <v>Removed</v>
      </c>
      <c r="S850" s="90">
        <v>45750.0</v>
      </c>
      <c r="T850" s="79">
        <f t="shared" si="5"/>
        <v>9.5</v>
      </c>
      <c r="U850" s="90"/>
      <c r="V850" s="79"/>
    </row>
    <row r="851">
      <c r="A851" s="53" t="s">
        <v>2130</v>
      </c>
      <c r="B851" s="54" t="s">
        <v>35</v>
      </c>
      <c r="C851" s="54" t="s">
        <v>36</v>
      </c>
      <c r="D851" s="59" t="str">
        <f t="shared" si="19"/>
        <v>Removed</v>
      </c>
      <c r="E851" s="88">
        <v>44546.0</v>
      </c>
      <c r="F851" s="123">
        <v>46006.0</v>
      </c>
      <c r="G851" s="65">
        <f t="shared" si="2"/>
        <v>47.96666667</v>
      </c>
      <c r="H851" s="236">
        <v>42117.0</v>
      </c>
      <c r="I851" s="65">
        <f t="shared" si="3"/>
        <v>6.647222222</v>
      </c>
      <c r="J851" s="92">
        <v>82.0</v>
      </c>
      <c r="K851" s="121">
        <v>6.0</v>
      </c>
      <c r="L851" s="69" t="s">
        <v>52</v>
      </c>
      <c r="M851" s="69"/>
      <c r="N851" s="69"/>
      <c r="O851" s="69" t="s">
        <v>107</v>
      </c>
      <c r="P851" s="122" t="s">
        <v>1759</v>
      </c>
      <c r="Q851" s="69"/>
      <c r="R851" s="59" t="str">
        <f t="shared" si="4"/>
        <v>Removed</v>
      </c>
      <c r="S851" s="88">
        <v>45547.0</v>
      </c>
      <c r="T851" s="65">
        <f t="shared" si="5"/>
        <v>32.86666667</v>
      </c>
      <c r="U851" s="88"/>
      <c r="V851" s="65"/>
    </row>
    <row r="852">
      <c r="A852" s="74" t="s">
        <v>2376</v>
      </c>
      <c r="B852" s="75" t="s">
        <v>35</v>
      </c>
      <c r="C852" s="75" t="s">
        <v>36</v>
      </c>
      <c r="D852" s="76" t="str">
        <f t="shared" si="19"/>
        <v>Removed</v>
      </c>
      <c r="E852" s="77">
        <v>45819.0</v>
      </c>
      <c r="F852" s="125">
        <v>45991.0</v>
      </c>
      <c r="G852" s="79">
        <f t="shared" si="2"/>
        <v>5.633333333</v>
      </c>
      <c r="H852" s="80">
        <v>45590.0</v>
      </c>
      <c r="I852" s="79">
        <f t="shared" si="3"/>
        <v>0.6277777778</v>
      </c>
      <c r="J852" s="89">
        <v>80.0</v>
      </c>
      <c r="K852" s="89">
        <v>8.0</v>
      </c>
      <c r="L852" s="82" t="s">
        <v>41</v>
      </c>
      <c r="M852" s="83"/>
      <c r="N852" s="84"/>
      <c r="O852" s="84"/>
      <c r="P852" s="118"/>
      <c r="Q852" s="84"/>
      <c r="R852" s="76" t="str">
        <f t="shared" si="4"/>
        <v>Removed</v>
      </c>
      <c r="S852" s="90">
        <f>E852</f>
        <v>45819</v>
      </c>
      <c r="T852" s="79">
        <f t="shared" si="5"/>
        <v>0</v>
      </c>
      <c r="U852" s="90"/>
      <c r="V852" s="79"/>
    </row>
    <row r="853">
      <c r="A853" s="53" t="s">
        <v>2377</v>
      </c>
      <c r="B853" s="54" t="s">
        <v>35</v>
      </c>
      <c r="C853" s="54" t="s">
        <v>100</v>
      </c>
      <c r="D853" s="59" t="str">
        <f t="shared" si="19"/>
        <v>Removed</v>
      </c>
      <c r="E853" s="164">
        <v>45449.0</v>
      </c>
      <c r="F853" s="123">
        <v>45991.0</v>
      </c>
      <c r="G853" s="65">
        <f t="shared" si="2"/>
        <v>17.8</v>
      </c>
      <c r="H853" s="67">
        <v>43293.0</v>
      </c>
      <c r="I853" s="65">
        <f t="shared" si="3"/>
        <v>5.9</v>
      </c>
      <c r="J853" s="92">
        <v>83.0</v>
      </c>
      <c r="K853" s="92">
        <v>61.0</v>
      </c>
      <c r="L853" s="69" t="s">
        <v>46</v>
      </c>
      <c r="M853" s="91"/>
      <c r="N853" s="70" t="s">
        <v>2378</v>
      </c>
      <c r="O853" s="70" t="s">
        <v>328</v>
      </c>
      <c r="P853" s="115" t="s">
        <v>2379</v>
      </c>
      <c r="Q853" s="71"/>
      <c r="R853" s="59" t="str">
        <f t="shared" si="4"/>
        <v>Removed</v>
      </c>
      <c r="S853" s="88">
        <v>45547.0</v>
      </c>
      <c r="T853" s="65">
        <f t="shared" si="5"/>
        <v>3.2</v>
      </c>
      <c r="U853" s="88"/>
      <c r="V853" s="65"/>
    </row>
    <row r="854">
      <c r="A854" s="74" t="s">
        <v>2380</v>
      </c>
      <c r="B854" s="75" t="s">
        <v>35</v>
      </c>
      <c r="C854" s="75" t="s">
        <v>36</v>
      </c>
      <c r="D854" s="76" t="str">
        <f t="shared" si="19"/>
        <v>Removed</v>
      </c>
      <c r="E854" s="165">
        <v>45449.0</v>
      </c>
      <c r="F854" s="125">
        <v>45991.0</v>
      </c>
      <c r="G854" s="79">
        <f t="shared" si="2"/>
        <v>17.8</v>
      </c>
      <c r="H854" s="80">
        <v>44981.0</v>
      </c>
      <c r="I854" s="79">
        <f t="shared" si="3"/>
        <v>1.283333333</v>
      </c>
      <c r="J854" s="89">
        <v>85.0</v>
      </c>
      <c r="K854" s="89">
        <v>61.0</v>
      </c>
      <c r="L854" s="82" t="s">
        <v>46</v>
      </c>
      <c r="M854" s="82" t="s">
        <v>38</v>
      </c>
      <c r="N854" s="84"/>
      <c r="O854" s="84" t="s">
        <v>328</v>
      </c>
      <c r="P854" s="118" t="s">
        <v>2381</v>
      </c>
      <c r="Q854" s="85"/>
      <c r="R854" s="76" t="str">
        <f t="shared" si="4"/>
        <v>Removed</v>
      </c>
      <c r="S854" s="90">
        <v>45735.0</v>
      </c>
      <c r="T854" s="79">
        <f t="shared" si="5"/>
        <v>9.433333333</v>
      </c>
      <c r="U854" s="90"/>
      <c r="V854" s="79"/>
    </row>
    <row r="855">
      <c r="A855" s="53" t="s">
        <v>2382</v>
      </c>
      <c r="B855" s="54" t="s">
        <v>35</v>
      </c>
      <c r="C855" s="54" t="s">
        <v>36</v>
      </c>
      <c r="D855" s="59" t="str">
        <f t="shared" si="19"/>
        <v>Removed</v>
      </c>
      <c r="E855" s="164">
        <v>45442.0</v>
      </c>
      <c r="F855" s="123">
        <v>45991.0</v>
      </c>
      <c r="G855" s="65">
        <f t="shared" si="2"/>
        <v>18</v>
      </c>
      <c r="H855" s="67">
        <v>45212.0</v>
      </c>
      <c r="I855" s="65">
        <f t="shared" si="3"/>
        <v>0.6305555556</v>
      </c>
      <c r="J855" s="92">
        <v>75.0</v>
      </c>
      <c r="K855" s="92">
        <v>15.0</v>
      </c>
      <c r="L855" s="69" t="s">
        <v>46</v>
      </c>
      <c r="M855" s="69" t="s">
        <v>38</v>
      </c>
      <c r="N855" s="70"/>
      <c r="O855" s="70" t="s">
        <v>107</v>
      </c>
      <c r="P855" s="115" t="s">
        <v>2383</v>
      </c>
      <c r="Q855" s="71"/>
      <c r="R855" s="59" t="str">
        <f t="shared" si="4"/>
        <v>Removed</v>
      </c>
      <c r="S855" s="88">
        <v>45547.0</v>
      </c>
      <c r="T855" s="65">
        <f t="shared" si="5"/>
        <v>3.4</v>
      </c>
      <c r="U855" s="88"/>
      <c r="V855" s="65"/>
    </row>
    <row r="856">
      <c r="A856" s="74" t="s">
        <v>2384</v>
      </c>
      <c r="B856" s="75" t="s">
        <v>35</v>
      </c>
      <c r="C856" s="75" t="s">
        <v>36</v>
      </c>
      <c r="D856" s="76" t="str">
        <f t="shared" si="19"/>
        <v>Removed</v>
      </c>
      <c r="E856" s="90">
        <v>45261.0</v>
      </c>
      <c r="F856" s="125">
        <v>45991.0</v>
      </c>
      <c r="G856" s="79">
        <f t="shared" si="2"/>
        <v>23.96666667</v>
      </c>
      <c r="H856" s="90">
        <v>45261.0</v>
      </c>
      <c r="I856" s="79">
        <f t="shared" si="3"/>
        <v>0</v>
      </c>
      <c r="J856" s="106">
        <v>74.0</v>
      </c>
      <c r="K856" s="106">
        <v>9.0</v>
      </c>
      <c r="L856" s="82" t="s">
        <v>81</v>
      </c>
      <c r="M856" s="82"/>
      <c r="N856" s="82"/>
      <c r="O856" s="82"/>
      <c r="P856" s="107"/>
      <c r="Q856" s="82"/>
      <c r="R856" s="76" t="str">
        <f t="shared" si="4"/>
        <v>Removed</v>
      </c>
      <c r="S856" s="90">
        <v>45547.0</v>
      </c>
      <c r="T856" s="79">
        <f t="shared" si="5"/>
        <v>9.366666667</v>
      </c>
      <c r="U856" s="90"/>
      <c r="V856" s="79"/>
    </row>
    <row r="857">
      <c r="A857" s="53" t="s">
        <v>2385</v>
      </c>
      <c r="B857" s="54" t="s">
        <v>13</v>
      </c>
      <c r="C857" s="54"/>
      <c r="D857" s="59" t="str">
        <f t="shared" si="19"/>
        <v>Removed</v>
      </c>
      <c r="E857" s="88">
        <v>45888.0</v>
      </c>
      <c r="F857" s="120">
        <v>45976.0</v>
      </c>
      <c r="G857" s="65">
        <f t="shared" si="2"/>
        <v>2.866666667</v>
      </c>
      <c r="H857" s="67">
        <v>45792.0</v>
      </c>
      <c r="I857" s="65">
        <f t="shared" si="3"/>
        <v>0.2611111111</v>
      </c>
      <c r="J857" s="92">
        <v>72.5</v>
      </c>
      <c r="K857" s="92">
        <v>12.0</v>
      </c>
      <c r="L857" s="69" t="s">
        <v>155</v>
      </c>
      <c r="M857" s="91"/>
      <c r="N857" s="71"/>
      <c r="O857" s="71"/>
      <c r="P857" s="72"/>
      <c r="Q857" s="71"/>
      <c r="R857" s="104" t="str">
        <f t="shared" si="4"/>
        <v>Removed</v>
      </c>
      <c r="S857" s="98">
        <v>45931.0</v>
      </c>
      <c r="T857" s="65">
        <f t="shared" si="5"/>
        <v>1.4</v>
      </c>
      <c r="U857" s="98"/>
      <c r="V857" s="65"/>
    </row>
    <row r="858">
      <c r="A858" s="74" t="s">
        <v>2386</v>
      </c>
      <c r="B858" s="75" t="s">
        <v>35</v>
      </c>
      <c r="C858" s="75" t="s">
        <v>36</v>
      </c>
      <c r="D858" s="76" t="str">
        <f t="shared" si="19"/>
        <v>Removed</v>
      </c>
      <c r="E858" s="90">
        <v>45616.0</v>
      </c>
      <c r="F858" s="105">
        <v>45976.0</v>
      </c>
      <c r="G858" s="79">
        <f t="shared" si="2"/>
        <v>11.83333333</v>
      </c>
      <c r="H858" s="90">
        <v>45616.0</v>
      </c>
      <c r="I858" s="79">
        <f t="shared" si="3"/>
        <v>0</v>
      </c>
      <c r="J858" s="106">
        <v>73.0</v>
      </c>
      <c r="K858" s="106">
        <v>31.0</v>
      </c>
      <c r="L858" s="82" t="s">
        <v>41</v>
      </c>
      <c r="M858" s="82" t="s">
        <v>38</v>
      </c>
      <c r="N858" s="82"/>
      <c r="O858" s="82"/>
      <c r="P858" s="107"/>
      <c r="Q858" s="82"/>
      <c r="R858" s="76" t="str">
        <f t="shared" si="4"/>
        <v>Removed</v>
      </c>
      <c r="S858" s="90">
        <v>45799.0</v>
      </c>
      <c r="T858" s="79">
        <f t="shared" si="5"/>
        <v>6.066666667</v>
      </c>
      <c r="U858" s="90"/>
      <c r="V858" s="79"/>
    </row>
    <row r="859">
      <c r="A859" s="53" t="s">
        <v>2387</v>
      </c>
      <c r="B859" s="54" t="s">
        <v>35</v>
      </c>
      <c r="C859" s="54" t="s">
        <v>36</v>
      </c>
      <c r="D859" s="59" t="str">
        <f t="shared" si="19"/>
        <v>Removed</v>
      </c>
      <c r="E859" s="88">
        <v>45243.0</v>
      </c>
      <c r="F859" s="120">
        <v>45976.0</v>
      </c>
      <c r="G859" s="65">
        <f t="shared" si="2"/>
        <v>24.06666667</v>
      </c>
      <c r="H859" s="88">
        <v>45243.0</v>
      </c>
      <c r="I859" s="65">
        <f t="shared" si="3"/>
        <v>0</v>
      </c>
      <c r="J859" s="121">
        <v>76.0</v>
      </c>
      <c r="K859" s="121">
        <v>33.0</v>
      </c>
      <c r="L859" s="69" t="s">
        <v>46</v>
      </c>
      <c r="M859" s="69"/>
      <c r="N859" s="69"/>
      <c r="O859" s="69"/>
      <c r="P859" s="122"/>
      <c r="Q859" s="69"/>
      <c r="R859" s="59" t="str">
        <f t="shared" si="4"/>
        <v>Removed</v>
      </c>
      <c r="S859" s="88">
        <v>45547.0</v>
      </c>
      <c r="T859" s="65">
        <f t="shared" si="5"/>
        <v>9.966666667</v>
      </c>
      <c r="U859" s="88"/>
      <c r="V859" s="65"/>
    </row>
    <row r="860">
      <c r="A860" s="74" t="s">
        <v>2388</v>
      </c>
      <c r="B860" s="75" t="s">
        <v>35</v>
      </c>
      <c r="C860" s="75" t="s">
        <v>36</v>
      </c>
      <c r="D860" s="76" t="str">
        <f t="shared" si="19"/>
        <v>Removed</v>
      </c>
      <c r="E860" s="90">
        <v>45236.0</v>
      </c>
      <c r="F860" s="105">
        <v>45976.0</v>
      </c>
      <c r="G860" s="79">
        <f t="shared" si="2"/>
        <v>24.3</v>
      </c>
      <c r="H860" s="90">
        <v>45236.0</v>
      </c>
      <c r="I860" s="79">
        <f t="shared" si="3"/>
        <v>0</v>
      </c>
      <c r="J860" s="106">
        <v>84.0</v>
      </c>
      <c r="K860" s="106">
        <v>11.0</v>
      </c>
      <c r="L860" s="82" t="s">
        <v>64</v>
      </c>
      <c r="M860" s="82"/>
      <c r="N860" s="82"/>
      <c r="O860" s="82"/>
      <c r="P860" s="107"/>
      <c r="Q860" s="82"/>
      <c r="R860" s="76" t="str">
        <f t="shared" si="4"/>
        <v>Removed</v>
      </c>
      <c r="S860" s="90">
        <v>45547.0</v>
      </c>
      <c r="T860" s="79">
        <f t="shared" si="5"/>
        <v>10.2</v>
      </c>
      <c r="U860" s="90"/>
      <c r="V860" s="79"/>
    </row>
    <row r="861">
      <c r="A861" s="207" t="s">
        <v>2389</v>
      </c>
      <c r="B861" s="54" t="s">
        <v>35</v>
      </c>
      <c r="C861" s="54" t="s">
        <v>100</v>
      </c>
      <c r="D861" s="59" t="str">
        <f t="shared" si="19"/>
        <v>Removed</v>
      </c>
      <c r="E861" s="61">
        <v>43839.0</v>
      </c>
      <c r="F861" s="120">
        <v>45976.0</v>
      </c>
      <c r="G861" s="65">
        <f t="shared" si="2"/>
        <v>70.2</v>
      </c>
      <c r="H861" s="88">
        <v>43214.0</v>
      </c>
      <c r="I861" s="65">
        <f t="shared" si="3"/>
        <v>1.708333333</v>
      </c>
      <c r="J861" s="208">
        <v>84.0</v>
      </c>
      <c r="K861" s="121">
        <v>10.0</v>
      </c>
      <c r="L861" s="69" t="s">
        <v>64</v>
      </c>
      <c r="M861" s="69"/>
      <c r="N861" s="69"/>
      <c r="O861" s="69" t="s">
        <v>107</v>
      </c>
      <c r="P861" s="122" t="s">
        <v>2390</v>
      </c>
      <c r="Q861" s="69"/>
      <c r="R861" s="59" t="str">
        <f t="shared" si="4"/>
        <v>Removed</v>
      </c>
      <c r="S861" s="88">
        <v>45547.0</v>
      </c>
      <c r="T861" s="65">
        <f t="shared" si="5"/>
        <v>56.1</v>
      </c>
      <c r="U861" s="88"/>
      <c r="V861" s="65"/>
    </row>
    <row r="862">
      <c r="A862" s="74" t="s">
        <v>2391</v>
      </c>
      <c r="B862" s="75" t="s">
        <v>35</v>
      </c>
      <c r="C862" s="75" t="s">
        <v>36</v>
      </c>
      <c r="D862" s="76" t="str">
        <f t="shared" si="19"/>
        <v>Removed</v>
      </c>
      <c r="E862" s="165">
        <v>45601.0</v>
      </c>
      <c r="F862" s="105">
        <v>45961.0</v>
      </c>
      <c r="G862" s="79">
        <f t="shared" si="2"/>
        <v>11.83333333</v>
      </c>
      <c r="H862" s="80">
        <v>45601.0</v>
      </c>
      <c r="I862" s="79">
        <f t="shared" si="3"/>
        <v>0</v>
      </c>
      <c r="J862" s="89">
        <v>79.0</v>
      </c>
      <c r="K862" s="89">
        <v>8.0</v>
      </c>
      <c r="L862" s="82" t="s">
        <v>81</v>
      </c>
      <c r="M862" s="83"/>
      <c r="N862" s="84"/>
      <c r="O862" s="85"/>
      <c r="P862" s="86"/>
      <c r="Q862" s="85"/>
      <c r="R862" s="76" t="str">
        <f t="shared" si="4"/>
        <v>Removed</v>
      </c>
      <c r="S862" s="90">
        <v>45784.0</v>
      </c>
      <c r="T862" s="79">
        <f t="shared" si="5"/>
        <v>6.066666667</v>
      </c>
      <c r="U862" s="90"/>
      <c r="V862" s="79"/>
    </row>
    <row r="863">
      <c r="A863" s="53" t="s">
        <v>2392</v>
      </c>
      <c r="B863" s="54" t="s">
        <v>35</v>
      </c>
      <c r="C863" s="54" t="s">
        <v>36</v>
      </c>
      <c r="D863" s="59" t="str">
        <f t="shared" si="19"/>
        <v>Removed</v>
      </c>
      <c r="E863" s="88">
        <v>45230.0</v>
      </c>
      <c r="F863" s="120">
        <v>45961.0</v>
      </c>
      <c r="G863" s="65">
        <f t="shared" si="2"/>
        <v>24</v>
      </c>
      <c r="H863" s="88">
        <v>45230.0</v>
      </c>
      <c r="I863" s="65">
        <f t="shared" si="3"/>
        <v>0</v>
      </c>
      <c r="J863" s="121">
        <v>83.0</v>
      </c>
      <c r="K863" s="121">
        <v>4.0</v>
      </c>
      <c r="L863" s="69" t="s">
        <v>135</v>
      </c>
      <c r="M863" s="69"/>
      <c r="N863" s="69"/>
      <c r="O863" s="69" t="s">
        <v>1331</v>
      </c>
      <c r="P863" s="122"/>
      <c r="Q863" s="69"/>
      <c r="R863" s="59" t="str">
        <f t="shared" si="4"/>
        <v>Removed</v>
      </c>
      <c r="S863" s="88">
        <v>45547.0</v>
      </c>
      <c r="T863" s="65">
        <f t="shared" si="5"/>
        <v>10.4</v>
      </c>
      <c r="U863" s="88"/>
      <c r="V863" s="65"/>
    </row>
    <row r="864">
      <c r="A864" s="74" t="s">
        <v>2393</v>
      </c>
      <c r="B864" s="75" t="s">
        <v>35</v>
      </c>
      <c r="C864" s="75" t="s">
        <v>36</v>
      </c>
      <c r="D864" s="76" t="str">
        <f t="shared" si="19"/>
        <v>Removed</v>
      </c>
      <c r="E864" s="90">
        <v>44873.0</v>
      </c>
      <c r="F864" s="105">
        <v>45961.0</v>
      </c>
      <c r="G864" s="79">
        <f t="shared" si="2"/>
        <v>35.73333333</v>
      </c>
      <c r="H864" s="90">
        <v>44823.0</v>
      </c>
      <c r="I864" s="79">
        <f t="shared" si="3"/>
        <v>0.1361111111</v>
      </c>
      <c r="J864" s="259">
        <v>87.0</v>
      </c>
      <c r="K864" s="106">
        <v>10.5</v>
      </c>
      <c r="L864" s="82" t="s">
        <v>135</v>
      </c>
      <c r="M864" s="82" t="s">
        <v>38</v>
      </c>
      <c r="N864" s="82"/>
      <c r="O864" s="82" t="s">
        <v>1168</v>
      </c>
      <c r="P864" s="107" t="s">
        <v>2394</v>
      </c>
      <c r="Q864" s="82"/>
      <c r="R864" s="76" t="str">
        <f t="shared" si="4"/>
        <v>Removed</v>
      </c>
      <c r="S864" s="90">
        <v>45547.0</v>
      </c>
      <c r="T864" s="79">
        <f t="shared" si="5"/>
        <v>22.13333333</v>
      </c>
      <c r="U864" s="90"/>
      <c r="V864" s="79"/>
    </row>
    <row r="865">
      <c r="A865" s="53" t="s">
        <v>2395</v>
      </c>
      <c r="B865" s="54" t="s">
        <v>129</v>
      </c>
      <c r="C865" s="54"/>
      <c r="D865" s="59" t="str">
        <f t="shared" si="19"/>
        <v>Removed</v>
      </c>
      <c r="E865" s="88">
        <v>44145.0</v>
      </c>
      <c r="F865" s="120">
        <v>45953.0</v>
      </c>
      <c r="G865" s="65">
        <f t="shared" si="2"/>
        <v>59.43333333</v>
      </c>
      <c r="H865" s="88">
        <v>43350.0</v>
      </c>
      <c r="I865" s="65">
        <f t="shared" si="3"/>
        <v>2.175</v>
      </c>
      <c r="J865" s="121">
        <v>75.0</v>
      </c>
      <c r="K865" s="121">
        <v>27.5</v>
      </c>
      <c r="L865" s="69" t="s">
        <v>62</v>
      </c>
      <c r="M865" s="69"/>
      <c r="N865" s="69"/>
      <c r="O865" s="69" t="s">
        <v>1219</v>
      </c>
      <c r="P865" s="122"/>
      <c r="Q865" s="69"/>
      <c r="R865" s="59" t="str">
        <f t="shared" si="4"/>
        <v>Removed</v>
      </c>
      <c r="S865" s="88">
        <v>45547.0</v>
      </c>
      <c r="T865" s="65">
        <f t="shared" si="5"/>
        <v>46.06666667</v>
      </c>
      <c r="U865" s="88"/>
      <c r="V865" s="65"/>
    </row>
    <row r="866">
      <c r="A866" s="74" t="s">
        <v>2396</v>
      </c>
      <c r="B866" s="75" t="s">
        <v>35</v>
      </c>
      <c r="C866" s="75" t="s">
        <v>36</v>
      </c>
      <c r="D866" s="76" t="str">
        <f t="shared" si="19"/>
        <v>Removed</v>
      </c>
      <c r="E866" s="77">
        <v>45785.0</v>
      </c>
      <c r="F866" s="105">
        <v>45945.0</v>
      </c>
      <c r="G866" s="79">
        <f t="shared" si="2"/>
        <v>5.233333333</v>
      </c>
      <c r="H866" s="90">
        <v>45583.0</v>
      </c>
      <c r="I866" s="79">
        <f t="shared" si="3"/>
        <v>0.5555555556</v>
      </c>
      <c r="J866" s="106">
        <v>66.0</v>
      </c>
      <c r="K866" s="106">
        <v>12.0</v>
      </c>
      <c r="L866" s="82" t="s">
        <v>41</v>
      </c>
      <c r="M866" s="82"/>
      <c r="N866" s="82"/>
      <c r="O866" s="82"/>
      <c r="P866" s="107"/>
      <c r="Q866" s="82"/>
      <c r="R866" s="76" t="str">
        <f t="shared" si="4"/>
        <v>Removed</v>
      </c>
      <c r="S866" s="90">
        <f>E866</f>
        <v>45785</v>
      </c>
      <c r="T866" s="79">
        <f t="shared" si="5"/>
        <v>0</v>
      </c>
      <c r="U866" s="90"/>
      <c r="V866" s="79"/>
    </row>
    <row r="867">
      <c r="A867" s="53" t="s">
        <v>2397</v>
      </c>
      <c r="B867" s="54" t="s">
        <v>35</v>
      </c>
      <c r="C867" s="54" t="s">
        <v>36</v>
      </c>
      <c r="D867" s="59" t="str">
        <f t="shared" si="19"/>
        <v>Removed</v>
      </c>
      <c r="E867" s="88">
        <v>45531.0</v>
      </c>
      <c r="F867" s="120">
        <v>45945.0</v>
      </c>
      <c r="G867" s="65">
        <f t="shared" si="2"/>
        <v>13.6</v>
      </c>
      <c r="H867" s="88">
        <v>45531.0</v>
      </c>
      <c r="I867" s="65">
        <f t="shared" si="3"/>
        <v>0</v>
      </c>
      <c r="J867" s="121">
        <v>85.0</v>
      </c>
      <c r="K867" s="121">
        <v>27.0</v>
      </c>
      <c r="L867" s="69" t="s">
        <v>78</v>
      </c>
      <c r="M867" s="69" t="s">
        <v>38</v>
      </c>
      <c r="N867" s="69"/>
      <c r="O867" s="69"/>
      <c r="P867" s="122"/>
      <c r="Q867" s="69"/>
      <c r="R867" s="59" t="str">
        <f t="shared" si="4"/>
        <v>TBD</v>
      </c>
      <c r="S867" s="88"/>
      <c r="T867" s="65">
        <f t="shared" si="5"/>
        <v>25.3</v>
      </c>
      <c r="U867" s="88"/>
      <c r="V867" s="65"/>
    </row>
    <row r="868">
      <c r="A868" s="74" t="s">
        <v>2398</v>
      </c>
      <c r="B868" s="75" t="s">
        <v>35</v>
      </c>
      <c r="C868" s="75"/>
      <c r="D868" s="76" t="str">
        <f t="shared" si="19"/>
        <v>Removed</v>
      </c>
      <c r="E868" s="90">
        <v>45198.0</v>
      </c>
      <c r="F868" s="105">
        <v>45945.0</v>
      </c>
      <c r="G868" s="79">
        <f t="shared" si="2"/>
        <v>24.53333333</v>
      </c>
      <c r="H868" s="90">
        <v>45198.0</v>
      </c>
      <c r="I868" s="79">
        <f t="shared" si="3"/>
        <v>0</v>
      </c>
      <c r="J868" s="106">
        <v>89.0</v>
      </c>
      <c r="K868" s="106">
        <v>5.0</v>
      </c>
      <c r="L868" s="82" t="s">
        <v>96</v>
      </c>
      <c r="M868" s="82"/>
      <c r="N868" s="82"/>
      <c r="O868" s="82" t="s">
        <v>1331</v>
      </c>
      <c r="P868" s="107"/>
      <c r="Q868" s="82"/>
      <c r="R868" s="76" t="str">
        <f t="shared" si="4"/>
        <v>Removed</v>
      </c>
      <c r="S868" s="90">
        <v>45547.0</v>
      </c>
      <c r="T868" s="79">
        <f t="shared" si="5"/>
        <v>11.43333333</v>
      </c>
      <c r="U868" s="90"/>
      <c r="V868" s="79"/>
    </row>
    <row r="869">
      <c r="A869" s="53" t="s">
        <v>2399</v>
      </c>
      <c r="B869" s="54" t="s">
        <v>35</v>
      </c>
      <c r="C869" s="54" t="s">
        <v>100</v>
      </c>
      <c r="D869" s="59" t="str">
        <f t="shared" si="19"/>
        <v>Removed</v>
      </c>
      <c r="E869" s="88">
        <v>44714.0</v>
      </c>
      <c r="F869" s="120">
        <v>45930.0</v>
      </c>
      <c r="G869" s="65">
        <f t="shared" si="2"/>
        <v>39.93333333</v>
      </c>
      <c r="H869" s="88">
        <v>44357.0</v>
      </c>
      <c r="I869" s="65">
        <f t="shared" si="3"/>
        <v>0.9777777778</v>
      </c>
      <c r="J869" s="121">
        <f>average(71,72)</f>
        <v>71.5</v>
      </c>
      <c r="K869" s="121">
        <v>29.5</v>
      </c>
      <c r="L869" s="69" t="s">
        <v>105</v>
      </c>
      <c r="M869" s="69"/>
      <c r="N869" s="69"/>
      <c r="O869" s="69" t="s">
        <v>107</v>
      </c>
      <c r="P869" s="122" t="s">
        <v>1913</v>
      </c>
      <c r="Q869" s="69"/>
      <c r="R869" s="59" t="str">
        <f t="shared" si="4"/>
        <v>Removed</v>
      </c>
      <c r="S869" s="88">
        <v>45547.0</v>
      </c>
      <c r="T869" s="65">
        <f t="shared" si="5"/>
        <v>27.33333333</v>
      </c>
      <c r="U869" s="88"/>
      <c r="V869" s="65"/>
    </row>
    <row r="870">
      <c r="A870" s="74" t="s">
        <v>2400</v>
      </c>
      <c r="B870" s="75" t="s">
        <v>35</v>
      </c>
      <c r="C870" s="75" t="s">
        <v>36</v>
      </c>
      <c r="D870" s="76" t="str">
        <f t="shared" si="19"/>
        <v>Removed</v>
      </c>
      <c r="E870" s="90">
        <v>45561.0</v>
      </c>
      <c r="F870" s="125">
        <v>45915.0</v>
      </c>
      <c r="G870" s="79">
        <f t="shared" si="2"/>
        <v>11.63333333</v>
      </c>
      <c r="H870" s="80">
        <v>45561.0</v>
      </c>
      <c r="I870" s="79">
        <f t="shared" si="3"/>
        <v>0</v>
      </c>
      <c r="J870" s="89">
        <v>62.0</v>
      </c>
      <c r="K870" s="89">
        <v>4.0</v>
      </c>
      <c r="L870" s="82" t="s">
        <v>96</v>
      </c>
      <c r="M870" s="82"/>
      <c r="N870" s="84"/>
      <c r="O870" s="84"/>
      <c r="P870" s="118"/>
      <c r="Q870" s="84"/>
      <c r="R870" s="76" t="str">
        <f t="shared" si="4"/>
        <v>Removed</v>
      </c>
      <c r="S870" s="90">
        <v>45750.0</v>
      </c>
      <c r="T870" s="79">
        <f t="shared" si="5"/>
        <v>6.233333333</v>
      </c>
      <c r="U870" s="90"/>
      <c r="V870" s="79"/>
    </row>
    <row r="871">
      <c r="A871" s="53" t="s">
        <v>2401</v>
      </c>
      <c r="B871" s="54" t="s">
        <v>35</v>
      </c>
      <c r="C871" s="54" t="s">
        <v>36</v>
      </c>
      <c r="D871" s="59" t="str">
        <f t="shared" si="19"/>
        <v>Removed</v>
      </c>
      <c r="E871" s="88">
        <v>45561.0</v>
      </c>
      <c r="F871" s="123">
        <v>45915.0</v>
      </c>
      <c r="G871" s="65">
        <f t="shared" si="2"/>
        <v>11.63333333</v>
      </c>
      <c r="H871" s="67">
        <v>45079.0</v>
      </c>
      <c r="I871" s="65">
        <f t="shared" si="3"/>
        <v>1.316666667</v>
      </c>
      <c r="J871" s="92">
        <v>81.0</v>
      </c>
      <c r="K871" s="92">
        <v>5.0</v>
      </c>
      <c r="L871" s="69" t="s">
        <v>41</v>
      </c>
      <c r="M871" s="69"/>
      <c r="N871" s="70"/>
      <c r="O871" s="70"/>
      <c r="P871" s="115"/>
      <c r="Q871" s="70"/>
      <c r="R871" s="59" t="str">
        <f t="shared" si="4"/>
        <v>Removed</v>
      </c>
      <c r="S871" s="88">
        <f>E871</f>
        <v>45561</v>
      </c>
      <c r="T871" s="65">
        <f t="shared" si="5"/>
        <v>0</v>
      </c>
      <c r="U871" s="88"/>
      <c r="V871" s="65"/>
    </row>
    <row r="872">
      <c r="A872" s="74" t="s">
        <v>2402</v>
      </c>
      <c r="B872" s="75" t="s">
        <v>35</v>
      </c>
      <c r="C872" s="75" t="s">
        <v>36</v>
      </c>
      <c r="D872" s="76" t="str">
        <f t="shared" si="19"/>
        <v>Removed</v>
      </c>
      <c r="E872" s="90">
        <v>45554.0</v>
      </c>
      <c r="F872" s="125">
        <v>45915.0</v>
      </c>
      <c r="G872" s="79">
        <f t="shared" si="2"/>
        <v>11.86666667</v>
      </c>
      <c r="H872" s="90">
        <v>45204.0</v>
      </c>
      <c r="I872" s="79">
        <f t="shared" si="3"/>
        <v>0.9555555556</v>
      </c>
      <c r="J872" s="106">
        <v>85.0</v>
      </c>
      <c r="K872" s="106">
        <v>21.0</v>
      </c>
      <c r="L872" s="82" t="s">
        <v>81</v>
      </c>
      <c r="M872" s="82"/>
      <c r="N872" s="82"/>
      <c r="O872" s="82"/>
      <c r="P872" s="107"/>
      <c r="Q872" s="82"/>
      <c r="R872" s="76" t="str">
        <f t="shared" si="4"/>
        <v>Removed</v>
      </c>
      <c r="S872" s="90">
        <v>45750.0</v>
      </c>
      <c r="T872" s="79">
        <f t="shared" si="5"/>
        <v>6.466666667</v>
      </c>
      <c r="U872" s="90"/>
      <c r="V872" s="79"/>
    </row>
    <row r="873">
      <c r="A873" s="53" t="s">
        <v>2403</v>
      </c>
      <c r="B873" s="54" t="s">
        <v>35</v>
      </c>
      <c r="C873" s="54" t="s">
        <v>36</v>
      </c>
      <c r="D873" s="59" t="str">
        <f t="shared" si="19"/>
        <v>Removed</v>
      </c>
      <c r="E873" s="88">
        <v>45750.0</v>
      </c>
      <c r="F873" s="120">
        <v>45900.0</v>
      </c>
      <c r="G873" s="65">
        <f t="shared" si="2"/>
        <v>4.9</v>
      </c>
      <c r="H873" s="67">
        <v>45205.0</v>
      </c>
      <c r="I873" s="65">
        <f t="shared" si="3"/>
        <v>1.491666667</v>
      </c>
      <c r="J873" s="92">
        <v>77.0</v>
      </c>
      <c r="K873" s="92">
        <v>33.0</v>
      </c>
      <c r="L873" s="69" t="s">
        <v>37</v>
      </c>
      <c r="M873" s="69"/>
      <c r="N873" s="70"/>
      <c r="O873" s="70"/>
      <c r="P873" s="115"/>
      <c r="Q873" s="70"/>
      <c r="R873" s="59" t="str">
        <f t="shared" si="4"/>
        <v>Removed</v>
      </c>
      <c r="S873" s="88">
        <f>E873</f>
        <v>45750</v>
      </c>
      <c r="T873" s="65">
        <f t="shared" si="5"/>
        <v>0</v>
      </c>
      <c r="U873" s="88"/>
      <c r="V873" s="65"/>
    </row>
    <row r="874">
      <c r="A874" s="74" t="s">
        <v>2404</v>
      </c>
      <c r="B874" s="75" t="s">
        <v>35</v>
      </c>
      <c r="C874" s="75" t="s">
        <v>36</v>
      </c>
      <c r="D874" s="76" t="str">
        <f t="shared" si="19"/>
        <v>Removed</v>
      </c>
      <c r="E874" s="90">
        <v>45167.0</v>
      </c>
      <c r="F874" s="105">
        <v>45900.0</v>
      </c>
      <c r="G874" s="79">
        <f t="shared" si="2"/>
        <v>24.03333333</v>
      </c>
      <c r="H874" s="90">
        <v>45167.0</v>
      </c>
      <c r="I874" s="79">
        <f t="shared" si="3"/>
        <v>0</v>
      </c>
      <c r="J874" s="106">
        <v>90.0</v>
      </c>
      <c r="K874" s="106">
        <v>20.0</v>
      </c>
      <c r="L874" s="82" t="s">
        <v>46</v>
      </c>
      <c r="M874" s="82"/>
      <c r="N874" s="82"/>
      <c r="O874" s="82" t="s">
        <v>1168</v>
      </c>
      <c r="P874" s="107" t="s">
        <v>2405</v>
      </c>
      <c r="Q874" s="82"/>
      <c r="R874" s="76" t="str">
        <f t="shared" si="4"/>
        <v>Removed</v>
      </c>
      <c r="S874" s="90">
        <v>45547.0</v>
      </c>
      <c r="T874" s="79">
        <f t="shared" si="5"/>
        <v>12.43333333</v>
      </c>
      <c r="U874" s="90"/>
      <c r="V874" s="79"/>
    </row>
    <row r="875">
      <c r="A875" s="53" t="s">
        <v>2406</v>
      </c>
      <c r="B875" s="54" t="s">
        <v>35</v>
      </c>
      <c r="C875" s="54" t="s">
        <v>100</v>
      </c>
      <c r="D875" s="59" t="str">
        <f t="shared" si="19"/>
        <v>Removed</v>
      </c>
      <c r="E875" s="88">
        <v>44691.0</v>
      </c>
      <c r="F875" s="120">
        <v>45900.0</v>
      </c>
      <c r="G875" s="65">
        <f t="shared" si="2"/>
        <v>39.66666667</v>
      </c>
      <c r="H875" s="88">
        <v>41957.0</v>
      </c>
      <c r="I875" s="65">
        <f t="shared" si="3"/>
        <v>7.488888889</v>
      </c>
      <c r="J875" s="121">
        <f>average(78,83)</f>
        <v>80.5</v>
      </c>
      <c r="K875" s="121">
        <v>10.5</v>
      </c>
      <c r="L875" s="69" t="s">
        <v>64</v>
      </c>
      <c r="M875" s="69" t="s">
        <v>38</v>
      </c>
      <c r="N875" s="69"/>
      <c r="O875" s="69" t="s">
        <v>107</v>
      </c>
      <c r="P875" s="122" t="s">
        <v>2407</v>
      </c>
      <c r="Q875" s="69"/>
      <c r="R875" s="59" t="str">
        <f t="shared" si="4"/>
        <v>Removed</v>
      </c>
      <c r="S875" s="88">
        <v>45547.0</v>
      </c>
      <c r="T875" s="65">
        <f t="shared" si="5"/>
        <v>28.06666667</v>
      </c>
      <c r="U875" s="88"/>
      <c r="V875" s="65"/>
    </row>
    <row r="876">
      <c r="A876" s="74" t="s">
        <v>2408</v>
      </c>
      <c r="B876" s="75" t="s">
        <v>35</v>
      </c>
      <c r="C876" s="75" t="s">
        <v>100</v>
      </c>
      <c r="D876" s="76" t="str">
        <f t="shared" si="19"/>
        <v>Removed</v>
      </c>
      <c r="E876" s="90">
        <v>44546.0</v>
      </c>
      <c r="F876" s="105">
        <v>45900.0</v>
      </c>
      <c r="G876" s="79">
        <f t="shared" si="2"/>
        <v>44.46666667</v>
      </c>
      <c r="H876" s="90">
        <v>44141.0</v>
      </c>
      <c r="I876" s="79">
        <f t="shared" si="3"/>
        <v>1.111111111</v>
      </c>
      <c r="J876" s="106">
        <f>(60+70)/2</f>
        <v>65</v>
      </c>
      <c r="K876" s="106">
        <v>5.0</v>
      </c>
      <c r="L876" s="82" t="s">
        <v>105</v>
      </c>
      <c r="M876" s="82"/>
      <c r="N876" s="82"/>
      <c r="O876" s="82" t="s">
        <v>1219</v>
      </c>
      <c r="P876" s="107"/>
      <c r="Q876" s="82"/>
      <c r="R876" s="76" t="str">
        <f t="shared" si="4"/>
        <v>Removed</v>
      </c>
      <c r="S876" s="90">
        <v>45547.0</v>
      </c>
      <c r="T876" s="79">
        <f t="shared" si="5"/>
        <v>32.86666667</v>
      </c>
      <c r="U876" s="90"/>
      <c r="V876" s="79"/>
    </row>
    <row r="877">
      <c r="A877" s="53" t="s">
        <v>2409</v>
      </c>
      <c r="B877" s="54" t="s">
        <v>35</v>
      </c>
      <c r="C877" s="54" t="s">
        <v>36</v>
      </c>
      <c r="D877" s="59" t="str">
        <f t="shared" si="19"/>
        <v>Removed</v>
      </c>
      <c r="E877" s="88">
        <v>45324.0</v>
      </c>
      <c r="F877" s="120">
        <v>45884.0</v>
      </c>
      <c r="G877" s="65">
        <f t="shared" si="2"/>
        <v>18.43333333</v>
      </c>
      <c r="H877" s="88">
        <v>45324.0</v>
      </c>
      <c r="I877" s="65">
        <f t="shared" si="3"/>
        <v>0</v>
      </c>
      <c r="J877" s="121">
        <v>87.0</v>
      </c>
      <c r="K877" s="121">
        <v>49.0</v>
      </c>
      <c r="L877" s="69" t="s">
        <v>46</v>
      </c>
      <c r="M877" s="69"/>
      <c r="N877" s="69"/>
      <c r="O877" s="69" t="s">
        <v>107</v>
      </c>
      <c r="P877" s="122" t="s">
        <v>2410</v>
      </c>
      <c r="Q877" s="69"/>
      <c r="R877" s="59" t="str">
        <f t="shared" si="4"/>
        <v>Removed</v>
      </c>
      <c r="S877" s="88">
        <v>45547.0</v>
      </c>
      <c r="T877" s="65">
        <f t="shared" si="5"/>
        <v>7.333333333</v>
      </c>
      <c r="U877" s="88"/>
      <c r="V877" s="65"/>
    </row>
    <row r="878">
      <c r="A878" s="74" t="s">
        <v>2411</v>
      </c>
      <c r="B878" s="75" t="s">
        <v>35</v>
      </c>
      <c r="C878" s="75" t="s">
        <v>36</v>
      </c>
      <c r="D878" s="76" t="str">
        <f t="shared" si="19"/>
        <v>Removed</v>
      </c>
      <c r="E878" s="90">
        <v>44700.0</v>
      </c>
      <c r="F878" s="105">
        <v>45884.0</v>
      </c>
      <c r="G878" s="79">
        <f t="shared" si="2"/>
        <v>38.86666667</v>
      </c>
      <c r="H878" s="90">
        <v>44522.0</v>
      </c>
      <c r="I878" s="79">
        <f t="shared" si="3"/>
        <v>0.4916666667</v>
      </c>
      <c r="J878" s="106">
        <f>average(73,78)</f>
        <v>75.5</v>
      </c>
      <c r="K878" s="106">
        <v>466.0</v>
      </c>
      <c r="L878" s="82" t="s">
        <v>64</v>
      </c>
      <c r="M878" s="82"/>
      <c r="N878" s="82"/>
      <c r="O878" s="82" t="s">
        <v>1219</v>
      </c>
      <c r="P878" s="107"/>
      <c r="Q878" s="82"/>
      <c r="R878" s="76" t="str">
        <f t="shared" si="4"/>
        <v>Removed</v>
      </c>
      <c r="S878" s="90">
        <v>45547.0</v>
      </c>
      <c r="T878" s="79">
        <f t="shared" si="5"/>
        <v>27.76666667</v>
      </c>
      <c r="U878" s="90"/>
      <c r="V878" s="79"/>
    </row>
    <row r="879">
      <c r="A879" s="53" t="s">
        <v>2412</v>
      </c>
      <c r="B879" s="54" t="s">
        <v>35</v>
      </c>
      <c r="C879" s="54"/>
      <c r="D879" s="59" t="str">
        <f t="shared" si="19"/>
        <v>Removed</v>
      </c>
      <c r="E879" s="88">
        <v>44145.0</v>
      </c>
      <c r="F879" s="120">
        <v>45884.0</v>
      </c>
      <c r="G879" s="65">
        <f t="shared" si="2"/>
        <v>57.16666667</v>
      </c>
      <c r="H879" s="88">
        <v>43511.0</v>
      </c>
      <c r="I879" s="65">
        <f t="shared" si="3"/>
        <v>1.736111111</v>
      </c>
      <c r="J879" s="121">
        <f>(59+65)/2</f>
        <v>62</v>
      </c>
      <c r="K879" s="121">
        <v>12.5</v>
      </c>
      <c r="L879" s="69" t="s">
        <v>46</v>
      </c>
      <c r="M879" s="69" t="s">
        <v>1826</v>
      </c>
      <c r="N879" s="69"/>
      <c r="O879" s="69" t="s">
        <v>328</v>
      </c>
      <c r="P879" s="122" t="s">
        <v>2413</v>
      </c>
      <c r="Q879" s="69" t="s">
        <v>1827</v>
      </c>
      <c r="R879" s="59" t="str">
        <f t="shared" si="4"/>
        <v>Removed</v>
      </c>
      <c r="S879" s="88">
        <v>45547.0</v>
      </c>
      <c r="T879" s="65">
        <f t="shared" si="5"/>
        <v>46.06666667</v>
      </c>
      <c r="U879" s="88"/>
      <c r="V879" s="65"/>
    </row>
    <row r="880">
      <c r="A880" s="74" t="s">
        <v>2414</v>
      </c>
      <c r="B880" s="75" t="s">
        <v>35</v>
      </c>
      <c r="C880" s="75" t="s">
        <v>36</v>
      </c>
      <c r="D880" s="76" t="str">
        <f t="shared" si="19"/>
        <v>Removed</v>
      </c>
      <c r="E880" s="90">
        <v>45679.0</v>
      </c>
      <c r="F880" s="125">
        <v>45869.0</v>
      </c>
      <c r="G880" s="79">
        <f t="shared" si="2"/>
        <v>6.266666667</v>
      </c>
      <c r="H880" s="80">
        <v>45391.0</v>
      </c>
      <c r="I880" s="79">
        <f t="shared" si="3"/>
        <v>0.7861111111</v>
      </c>
      <c r="J880" s="89">
        <v>65.0</v>
      </c>
      <c r="K880" s="89">
        <v>16.0</v>
      </c>
      <c r="L880" s="82" t="s">
        <v>2415</v>
      </c>
      <c r="M880" s="82"/>
      <c r="N880" s="84"/>
      <c r="O880" s="84"/>
      <c r="P880" s="118"/>
      <c r="Q880" s="84"/>
      <c r="R880" s="76" t="str">
        <f t="shared" si="4"/>
        <v>TBD</v>
      </c>
      <c r="S880" s="90"/>
      <c r="T880" s="79">
        <f t="shared" si="5"/>
        <v>20.46666667</v>
      </c>
      <c r="U880" s="90"/>
      <c r="V880" s="79"/>
    </row>
    <row r="881">
      <c r="A881" s="53" t="s">
        <v>2416</v>
      </c>
      <c r="B881" s="54" t="s">
        <v>35</v>
      </c>
      <c r="C881" s="54" t="s">
        <v>36</v>
      </c>
      <c r="D881" s="59" t="str">
        <f t="shared" si="19"/>
        <v>Removed</v>
      </c>
      <c r="E881" s="164">
        <v>45492.0</v>
      </c>
      <c r="F881" s="123">
        <v>45869.0</v>
      </c>
      <c r="G881" s="65">
        <f t="shared" si="2"/>
        <v>12.36666667</v>
      </c>
      <c r="H881" s="67">
        <v>45492.0</v>
      </c>
      <c r="I881" s="65">
        <f t="shared" si="3"/>
        <v>0</v>
      </c>
      <c r="J881" s="92">
        <v>80.0</v>
      </c>
      <c r="K881" s="92">
        <v>16.0</v>
      </c>
      <c r="L881" s="69" t="s">
        <v>41</v>
      </c>
      <c r="M881" s="69"/>
      <c r="N881" s="70"/>
      <c r="O881" s="71"/>
      <c r="P881" s="72"/>
      <c r="Q881" s="71"/>
      <c r="R881" s="59" t="str">
        <f t="shared" si="4"/>
        <v>Removed</v>
      </c>
      <c r="S881" s="88">
        <v>45679.0</v>
      </c>
      <c r="T881" s="65">
        <f t="shared" si="5"/>
        <v>6.1</v>
      </c>
      <c r="U881" s="88"/>
      <c r="V881" s="65"/>
    </row>
    <row r="882">
      <c r="A882" s="74" t="s">
        <v>2417</v>
      </c>
      <c r="B882" s="75" t="s">
        <v>35</v>
      </c>
      <c r="C882" s="75" t="s">
        <v>36</v>
      </c>
      <c r="D882" s="76" t="str">
        <f t="shared" si="19"/>
        <v>Removed</v>
      </c>
      <c r="E882" s="90">
        <v>45309.0</v>
      </c>
      <c r="F882" s="125">
        <v>45869.0</v>
      </c>
      <c r="G882" s="79">
        <f t="shared" si="2"/>
        <v>18.4</v>
      </c>
      <c r="H882" s="90">
        <v>45309.0</v>
      </c>
      <c r="I882" s="79">
        <f t="shared" si="3"/>
        <v>0</v>
      </c>
      <c r="J882" s="106">
        <v>82.0</v>
      </c>
      <c r="K882" s="106">
        <v>4.0</v>
      </c>
      <c r="L882" s="82" t="s">
        <v>41</v>
      </c>
      <c r="M882" s="82"/>
      <c r="N882" s="82"/>
      <c r="O882" s="82" t="s">
        <v>1331</v>
      </c>
      <c r="P882" s="107"/>
      <c r="Q882" s="82"/>
      <c r="R882" s="76" t="str">
        <f t="shared" si="4"/>
        <v>Removed</v>
      </c>
      <c r="S882" s="90">
        <v>45602.0</v>
      </c>
      <c r="T882" s="79">
        <f t="shared" si="5"/>
        <v>9.6</v>
      </c>
      <c r="U882" s="90"/>
      <c r="V882" s="79"/>
    </row>
    <row r="883">
      <c r="A883" s="53" t="s">
        <v>2418</v>
      </c>
      <c r="B883" s="54" t="s">
        <v>35</v>
      </c>
      <c r="C883" s="54" t="s">
        <v>36</v>
      </c>
      <c r="D883" s="59" t="str">
        <f t="shared" si="19"/>
        <v>Removed</v>
      </c>
      <c r="E883" s="88">
        <v>45517.0</v>
      </c>
      <c r="F883" s="123">
        <v>45853.0</v>
      </c>
      <c r="G883" s="65">
        <f t="shared" si="2"/>
        <v>11.06666667</v>
      </c>
      <c r="H883" s="88">
        <v>44099.0</v>
      </c>
      <c r="I883" s="65">
        <f t="shared" si="3"/>
        <v>3.883333333</v>
      </c>
      <c r="J883" s="121">
        <v>76.0</v>
      </c>
      <c r="K883" s="121">
        <v>11.0</v>
      </c>
      <c r="L883" s="69" t="s">
        <v>37</v>
      </c>
      <c r="M883" s="69"/>
      <c r="N883" s="69"/>
      <c r="O883" s="69"/>
      <c r="P883" s="122"/>
      <c r="Q883" s="69"/>
      <c r="R883" s="59" t="str">
        <f t="shared" si="4"/>
        <v>Removed</v>
      </c>
      <c r="S883" s="88">
        <v>45547.0</v>
      </c>
      <c r="T883" s="65">
        <f t="shared" si="5"/>
        <v>0.9666666667</v>
      </c>
      <c r="U883" s="88"/>
      <c r="V883" s="65"/>
    </row>
    <row r="884">
      <c r="A884" s="74" t="s">
        <v>2419</v>
      </c>
      <c r="B884" s="75" t="s">
        <v>35</v>
      </c>
      <c r="C884" s="75" t="s">
        <v>36</v>
      </c>
      <c r="D884" s="76" t="str">
        <f t="shared" si="19"/>
        <v>Removed</v>
      </c>
      <c r="E884" s="77">
        <v>45489.0</v>
      </c>
      <c r="F884" s="125">
        <v>45853.0</v>
      </c>
      <c r="G884" s="79">
        <f t="shared" si="2"/>
        <v>11.96666667</v>
      </c>
      <c r="H884" s="80">
        <v>45489.0</v>
      </c>
      <c r="I884" s="79">
        <f t="shared" si="3"/>
        <v>0</v>
      </c>
      <c r="J884" s="89">
        <v>74.0</v>
      </c>
      <c r="K884" s="89">
        <v>4.0</v>
      </c>
      <c r="L884" s="82" t="s">
        <v>41</v>
      </c>
      <c r="M884" s="83"/>
      <c r="N884" s="84"/>
      <c r="O884" s="84" t="s">
        <v>1219</v>
      </c>
      <c r="P884" s="86"/>
      <c r="Q884" s="85"/>
      <c r="R884" s="76" t="str">
        <f t="shared" si="4"/>
        <v>Removed</v>
      </c>
      <c r="S884" s="90">
        <v>45679.0</v>
      </c>
      <c r="T884" s="79">
        <f t="shared" si="5"/>
        <v>6.2</v>
      </c>
      <c r="U884" s="90"/>
      <c r="V884" s="79"/>
    </row>
    <row r="885">
      <c r="A885" s="53" t="s">
        <v>2420</v>
      </c>
      <c r="B885" s="54" t="s">
        <v>35</v>
      </c>
      <c r="C885" s="54" t="s">
        <v>36</v>
      </c>
      <c r="D885" s="59" t="str">
        <f t="shared" si="19"/>
        <v>Removed</v>
      </c>
      <c r="E885" s="61">
        <v>45489.0</v>
      </c>
      <c r="F885" s="123">
        <v>45853.0</v>
      </c>
      <c r="G885" s="65">
        <f t="shared" si="2"/>
        <v>11.96666667</v>
      </c>
      <c r="H885" s="67">
        <v>45489.0</v>
      </c>
      <c r="I885" s="65">
        <f t="shared" si="3"/>
        <v>0</v>
      </c>
      <c r="J885" s="92">
        <v>84.0</v>
      </c>
      <c r="K885" s="92">
        <v>27.0</v>
      </c>
      <c r="L885" s="69" t="s">
        <v>81</v>
      </c>
      <c r="M885" s="91"/>
      <c r="N885" s="70"/>
      <c r="O885" s="70" t="s">
        <v>1331</v>
      </c>
      <c r="P885" s="72"/>
      <c r="Q885" s="71"/>
      <c r="R885" s="59" t="str">
        <f t="shared" si="4"/>
        <v>Removed</v>
      </c>
      <c r="S885" s="88">
        <v>45679.0</v>
      </c>
      <c r="T885" s="65">
        <f t="shared" si="5"/>
        <v>6.2</v>
      </c>
      <c r="U885" s="88"/>
      <c r="V885" s="65"/>
    </row>
    <row r="886">
      <c r="A886" s="74" t="s">
        <v>2421</v>
      </c>
      <c r="B886" s="75" t="s">
        <v>35</v>
      </c>
      <c r="C886" s="75" t="s">
        <v>36</v>
      </c>
      <c r="D886" s="76" t="str">
        <f t="shared" si="19"/>
        <v>Removed</v>
      </c>
      <c r="E886" s="77">
        <v>45484.0</v>
      </c>
      <c r="F886" s="125">
        <v>45853.0</v>
      </c>
      <c r="G886" s="79">
        <f t="shared" si="2"/>
        <v>12.13333333</v>
      </c>
      <c r="H886" s="80">
        <v>45006.0</v>
      </c>
      <c r="I886" s="79">
        <f t="shared" si="3"/>
        <v>1.305555556</v>
      </c>
      <c r="J886" s="89">
        <v>77.0</v>
      </c>
      <c r="K886" s="89">
        <v>7.0</v>
      </c>
      <c r="L886" s="82" t="s">
        <v>41</v>
      </c>
      <c r="M886" s="82" t="s">
        <v>38</v>
      </c>
      <c r="N886" s="84"/>
      <c r="O886" s="84" t="s">
        <v>328</v>
      </c>
      <c r="P886" s="118" t="s">
        <v>2422</v>
      </c>
      <c r="Q886" s="85"/>
      <c r="R886" s="76" t="str">
        <f t="shared" si="4"/>
        <v>Removed</v>
      </c>
      <c r="S886" s="90">
        <v>45679.0</v>
      </c>
      <c r="T886" s="79">
        <f t="shared" si="5"/>
        <v>6.366666667</v>
      </c>
      <c r="U886" s="90"/>
      <c r="V886" s="79"/>
    </row>
    <row r="887">
      <c r="A887" s="53" t="s">
        <v>2423</v>
      </c>
      <c r="B887" s="54" t="s">
        <v>35</v>
      </c>
      <c r="C887" s="54" t="s">
        <v>36</v>
      </c>
      <c r="D887" s="59" t="str">
        <f t="shared" si="19"/>
        <v>Removed</v>
      </c>
      <c r="E887" s="61">
        <v>45482.0</v>
      </c>
      <c r="F887" s="123">
        <v>45853.0</v>
      </c>
      <c r="G887" s="65">
        <f t="shared" si="2"/>
        <v>12.2</v>
      </c>
      <c r="H887" s="67">
        <v>44847.0</v>
      </c>
      <c r="I887" s="65">
        <f t="shared" si="3"/>
        <v>1.738888889</v>
      </c>
      <c r="J887" s="92">
        <v>84.0</v>
      </c>
      <c r="K887" s="92">
        <v>6.0</v>
      </c>
      <c r="L887" s="69" t="s">
        <v>184</v>
      </c>
      <c r="M887" s="91"/>
      <c r="N887" s="70"/>
      <c r="O887" s="70" t="s">
        <v>1331</v>
      </c>
      <c r="P887" s="72"/>
      <c r="Q887" s="71"/>
      <c r="R887" s="59" t="str">
        <f t="shared" si="4"/>
        <v>Removed</v>
      </c>
      <c r="S887" s="88">
        <v>45679.0</v>
      </c>
      <c r="T887" s="65">
        <f t="shared" si="5"/>
        <v>6.433333333</v>
      </c>
      <c r="U887" s="88"/>
      <c r="V887" s="65"/>
    </row>
    <row r="888">
      <c r="A888" s="74" t="s">
        <v>2424</v>
      </c>
      <c r="B888" s="75" t="s">
        <v>35</v>
      </c>
      <c r="C888" s="75" t="s">
        <v>36</v>
      </c>
      <c r="D888" s="76" t="str">
        <f t="shared" si="19"/>
        <v>Removed</v>
      </c>
      <c r="E888" s="165">
        <v>45456.0</v>
      </c>
      <c r="F888" s="125">
        <v>45853.0</v>
      </c>
      <c r="G888" s="79">
        <f t="shared" si="2"/>
        <v>13.06666667</v>
      </c>
      <c r="H888" s="80">
        <v>44897.0</v>
      </c>
      <c r="I888" s="79">
        <f t="shared" si="3"/>
        <v>1.530555556</v>
      </c>
      <c r="J888" s="89">
        <v>69.0</v>
      </c>
      <c r="K888" s="89">
        <v>10.0</v>
      </c>
      <c r="L888" s="82" t="s">
        <v>112</v>
      </c>
      <c r="M888" s="83"/>
      <c r="N888" s="84"/>
      <c r="O888" s="84" t="s">
        <v>107</v>
      </c>
      <c r="P888" s="118" t="s">
        <v>1256</v>
      </c>
      <c r="Q888" s="85"/>
      <c r="R888" s="76" t="str">
        <f t="shared" si="4"/>
        <v>Removed</v>
      </c>
      <c r="S888" s="90">
        <v>45547.0</v>
      </c>
      <c r="T888" s="79">
        <f t="shared" si="5"/>
        <v>2.966666667</v>
      </c>
      <c r="U888" s="90"/>
      <c r="V888" s="79"/>
    </row>
    <row r="889">
      <c r="A889" s="207" t="s">
        <v>2425</v>
      </c>
      <c r="B889" s="54" t="s">
        <v>35</v>
      </c>
      <c r="C889" s="54" t="s">
        <v>36</v>
      </c>
      <c r="D889" s="59" t="str">
        <f t="shared" si="19"/>
        <v>Removed</v>
      </c>
      <c r="E889" s="61">
        <v>45476.0</v>
      </c>
      <c r="F889" s="120">
        <v>45838.0</v>
      </c>
      <c r="G889" s="65">
        <f t="shared" si="2"/>
        <v>11.9</v>
      </c>
      <c r="H889" s="88">
        <v>43858.0</v>
      </c>
      <c r="I889" s="65">
        <f t="shared" si="3"/>
        <v>4.430555556</v>
      </c>
      <c r="J889" s="208">
        <v>76.0</v>
      </c>
      <c r="K889" s="121">
        <v>7.0</v>
      </c>
      <c r="L889" s="69" t="s">
        <v>37</v>
      </c>
      <c r="M889" s="91"/>
      <c r="N889" s="69" t="s">
        <v>2426</v>
      </c>
      <c r="O889" s="69" t="s">
        <v>328</v>
      </c>
      <c r="P889" s="122" t="s">
        <v>2427</v>
      </c>
      <c r="Q889" s="91"/>
      <c r="R889" s="59" t="str">
        <f t="shared" si="4"/>
        <v>Removed</v>
      </c>
      <c r="S889" s="88">
        <v>45547.0</v>
      </c>
      <c r="T889" s="65">
        <f t="shared" si="5"/>
        <v>2.3</v>
      </c>
      <c r="U889" s="88"/>
      <c r="V889" s="65"/>
    </row>
    <row r="890">
      <c r="A890" s="74" t="s">
        <v>2428</v>
      </c>
      <c r="B890" s="75" t="s">
        <v>35</v>
      </c>
      <c r="C890" s="75" t="s">
        <v>36</v>
      </c>
      <c r="D890" s="76" t="str">
        <f t="shared" si="19"/>
        <v>Removed</v>
      </c>
      <c r="E890" s="165">
        <v>45470.0</v>
      </c>
      <c r="F890" s="105">
        <v>45838.0</v>
      </c>
      <c r="G890" s="79">
        <f t="shared" si="2"/>
        <v>12.1</v>
      </c>
      <c r="H890" s="80">
        <v>45351.0</v>
      </c>
      <c r="I890" s="79">
        <f t="shared" si="3"/>
        <v>0.3277777778</v>
      </c>
      <c r="J890" s="89">
        <f>average(83,85,73)</f>
        <v>80.33333333</v>
      </c>
      <c r="K890" s="89">
        <v>16.0</v>
      </c>
      <c r="L890" s="82" t="s">
        <v>41</v>
      </c>
      <c r="M890" s="82" t="s">
        <v>38</v>
      </c>
      <c r="N890" s="84"/>
      <c r="O890" s="84" t="s">
        <v>1331</v>
      </c>
      <c r="P890" s="86"/>
      <c r="Q890" s="85"/>
      <c r="R890" s="76" t="str">
        <f t="shared" si="4"/>
        <v>Removed</v>
      </c>
      <c r="S890" s="90">
        <v>45665.0</v>
      </c>
      <c r="T890" s="79">
        <f t="shared" si="5"/>
        <v>6.366666667</v>
      </c>
      <c r="U890" s="90"/>
      <c r="V890" s="79"/>
    </row>
    <row r="891">
      <c r="A891" s="53" t="s">
        <v>2429</v>
      </c>
      <c r="B891" s="54" t="s">
        <v>129</v>
      </c>
      <c r="C891" s="54" t="s">
        <v>36</v>
      </c>
      <c r="D891" s="59" t="str">
        <f t="shared" si="19"/>
        <v>Removed</v>
      </c>
      <c r="E891" s="88">
        <v>45469.0</v>
      </c>
      <c r="F891" s="120">
        <v>45838.0</v>
      </c>
      <c r="G891" s="65">
        <f t="shared" si="2"/>
        <v>12.13333333</v>
      </c>
      <c r="H891" s="67">
        <v>41494.0</v>
      </c>
      <c r="I891" s="65">
        <f t="shared" si="3"/>
        <v>10.88333333</v>
      </c>
      <c r="J891" s="92">
        <v>82.0</v>
      </c>
      <c r="K891" s="92">
        <v>5.0</v>
      </c>
      <c r="L891" s="69" t="s">
        <v>294</v>
      </c>
      <c r="M891" s="69"/>
      <c r="N891" s="70"/>
      <c r="O891" s="175" t="s">
        <v>1168</v>
      </c>
      <c r="P891" s="115" t="s">
        <v>1396</v>
      </c>
      <c r="Q891" s="71"/>
      <c r="R891" s="59" t="str">
        <f t="shared" si="4"/>
        <v>Removed</v>
      </c>
      <c r="S891" s="88">
        <v>45547.0</v>
      </c>
      <c r="T891" s="65">
        <f t="shared" si="5"/>
        <v>2.533333333</v>
      </c>
      <c r="U891" s="88"/>
      <c r="V891" s="65"/>
    </row>
    <row r="892">
      <c r="A892" s="74" t="s">
        <v>2157</v>
      </c>
      <c r="B892" s="75" t="s">
        <v>35</v>
      </c>
      <c r="C892" s="260"/>
      <c r="D892" s="76" t="str">
        <f t="shared" si="19"/>
        <v>Removed</v>
      </c>
      <c r="E892" s="90">
        <v>45469.0</v>
      </c>
      <c r="F892" s="105">
        <v>45838.0</v>
      </c>
      <c r="G892" s="79">
        <f t="shared" si="2"/>
        <v>12.13333333</v>
      </c>
      <c r="H892" s="80">
        <v>42999.0</v>
      </c>
      <c r="I892" s="79">
        <f t="shared" si="3"/>
        <v>6.763888889</v>
      </c>
      <c r="J892" s="89">
        <v>88.0</v>
      </c>
      <c r="K892" s="89">
        <v>8.0</v>
      </c>
      <c r="L892" s="82" t="s">
        <v>294</v>
      </c>
      <c r="M892" s="82"/>
      <c r="N892" s="109" t="s">
        <v>2430</v>
      </c>
      <c r="O892" s="261" t="s">
        <v>1168</v>
      </c>
      <c r="P892" s="118" t="s">
        <v>1396</v>
      </c>
      <c r="Q892" s="85"/>
      <c r="R892" s="76" t="str">
        <f t="shared" si="4"/>
        <v>Removed</v>
      </c>
      <c r="S892" s="90">
        <v>45547.0</v>
      </c>
      <c r="T892" s="79">
        <f t="shared" si="5"/>
        <v>2.533333333</v>
      </c>
      <c r="U892" s="90"/>
      <c r="V892" s="79"/>
    </row>
    <row r="893">
      <c r="A893" s="53" t="s">
        <v>2431</v>
      </c>
      <c r="B893" s="54" t="s">
        <v>35</v>
      </c>
      <c r="C893" s="54"/>
      <c r="D893" s="59" t="str">
        <f t="shared" si="19"/>
        <v>Removed</v>
      </c>
      <c r="E893" s="88">
        <v>45110.0</v>
      </c>
      <c r="F893" s="120">
        <v>45838.0</v>
      </c>
      <c r="G893" s="65">
        <f t="shared" si="2"/>
        <v>23.9</v>
      </c>
      <c r="H893" s="88">
        <v>44784.0</v>
      </c>
      <c r="I893" s="65">
        <f t="shared" si="3"/>
        <v>0.8944444444</v>
      </c>
      <c r="J893" s="121">
        <v>81.0</v>
      </c>
      <c r="K893" s="121">
        <v>26.0</v>
      </c>
      <c r="L893" s="69" t="s">
        <v>64</v>
      </c>
      <c r="M893" s="69"/>
      <c r="N893" s="69"/>
      <c r="O893" s="69" t="s">
        <v>328</v>
      </c>
      <c r="P893" s="122" t="s">
        <v>2432</v>
      </c>
      <c r="Q893" s="69"/>
      <c r="R893" s="59" t="str">
        <f t="shared" si="4"/>
        <v>Removed</v>
      </c>
      <c r="S893" s="88">
        <v>45547.0</v>
      </c>
      <c r="T893" s="65">
        <f t="shared" si="5"/>
        <v>14.3</v>
      </c>
      <c r="U893" s="88"/>
      <c r="V893" s="65"/>
    </row>
    <row r="894">
      <c r="A894" s="74" t="s">
        <v>2433</v>
      </c>
      <c r="B894" s="75" t="s">
        <v>13</v>
      </c>
      <c r="C894" s="75"/>
      <c r="D894" s="76" t="str">
        <f t="shared" si="19"/>
        <v>Removed</v>
      </c>
      <c r="E894" s="165">
        <v>45463.0</v>
      </c>
      <c r="F894" s="105">
        <v>45823.0</v>
      </c>
      <c r="G894" s="79">
        <f t="shared" si="2"/>
        <v>11.83333333</v>
      </c>
      <c r="H894" s="80">
        <v>44704.0</v>
      </c>
      <c r="I894" s="79">
        <f t="shared" si="3"/>
        <v>2.075</v>
      </c>
      <c r="J894" s="89">
        <v>81.0</v>
      </c>
      <c r="K894" s="89">
        <v>20.0</v>
      </c>
      <c r="L894" s="82" t="s">
        <v>78</v>
      </c>
      <c r="M894" s="82"/>
      <c r="N894" s="84"/>
      <c r="O894" s="84" t="s">
        <v>1331</v>
      </c>
      <c r="P894" s="86"/>
      <c r="Q894" s="85"/>
      <c r="R894" s="76" t="str">
        <f t="shared" si="4"/>
        <v>TBD</v>
      </c>
      <c r="S894" s="90"/>
      <c r="T894" s="79">
        <f t="shared" si="5"/>
        <v>27.53333333</v>
      </c>
      <c r="U894" s="90"/>
      <c r="V894" s="79"/>
    </row>
    <row r="895">
      <c r="A895" s="53" t="s">
        <v>2434</v>
      </c>
      <c r="B895" s="54" t="s">
        <v>35</v>
      </c>
      <c r="C895" s="54" t="s">
        <v>36</v>
      </c>
      <c r="D895" s="59" t="str">
        <f t="shared" si="19"/>
        <v>Removed</v>
      </c>
      <c r="E895" s="164">
        <v>45462.0</v>
      </c>
      <c r="F895" s="120">
        <v>45823.0</v>
      </c>
      <c r="G895" s="65">
        <f t="shared" si="2"/>
        <v>11.86666667</v>
      </c>
      <c r="H895" s="67">
        <v>45232.0</v>
      </c>
      <c r="I895" s="65">
        <f t="shared" si="3"/>
        <v>0.6305555556</v>
      </c>
      <c r="J895" s="92">
        <v>80.0</v>
      </c>
      <c r="K895" s="92">
        <v>79.0</v>
      </c>
      <c r="L895" s="69" t="s">
        <v>46</v>
      </c>
      <c r="M895" s="69"/>
      <c r="N895" s="70"/>
      <c r="O895" s="70" t="s">
        <v>1168</v>
      </c>
      <c r="P895" s="115" t="s">
        <v>2435</v>
      </c>
      <c r="Q895" s="71"/>
      <c r="R895" s="59" t="str">
        <f t="shared" si="4"/>
        <v>Removed</v>
      </c>
      <c r="S895" s="88">
        <v>45665.0</v>
      </c>
      <c r="T895" s="65">
        <f t="shared" si="5"/>
        <v>6.633333333</v>
      </c>
      <c r="U895" s="88"/>
      <c r="V895" s="65"/>
    </row>
    <row r="896">
      <c r="A896" s="74" t="s">
        <v>2436</v>
      </c>
      <c r="B896" s="75" t="s">
        <v>35</v>
      </c>
      <c r="C896" s="75" t="s">
        <v>36</v>
      </c>
      <c r="D896" s="76" t="str">
        <f t="shared" si="19"/>
        <v>Removed</v>
      </c>
      <c r="E896" s="165">
        <v>45456.0</v>
      </c>
      <c r="F896" s="105">
        <v>45823.0</v>
      </c>
      <c r="G896" s="79">
        <f t="shared" si="2"/>
        <v>12.06666667</v>
      </c>
      <c r="H896" s="80">
        <v>44817.0</v>
      </c>
      <c r="I896" s="79">
        <f t="shared" si="3"/>
        <v>1.75</v>
      </c>
      <c r="J896" s="89">
        <v>67.0</v>
      </c>
      <c r="K896" s="89">
        <v>15.0</v>
      </c>
      <c r="L896" s="82" t="s">
        <v>37</v>
      </c>
      <c r="M896" s="83"/>
      <c r="N896" s="84"/>
      <c r="O896" s="84" t="s">
        <v>107</v>
      </c>
      <c r="P896" s="118" t="s">
        <v>108</v>
      </c>
      <c r="Q896" s="85"/>
      <c r="R896" s="76" t="str">
        <f t="shared" si="4"/>
        <v>Removed</v>
      </c>
      <c r="S896" s="90">
        <v>45547.0</v>
      </c>
      <c r="T896" s="79">
        <f t="shared" si="5"/>
        <v>2.966666667</v>
      </c>
      <c r="U896" s="90"/>
      <c r="V896" s="79"/>
    </row>
    <row r="897">
      <c r="A897" s="53" t="s">
        <v>2437</v>
      </c>
      <c r="B897" s="54" t="s">
        <v>13</v>
      </c>
      <c r="C897" s="54"/>
      <c r="D897" s="59" t="str">
        <f t="shared" si="19"/>
        <v>Removed</v>
      </c>
      <c r="E897" s="164">
        <v>45455.0</v>
      </c>
      <c r="F897" s="120">
        <v>45823.0</v>
      </c>
      <c r="G897" s="65">
        <f t="shared" si="2"/>
        <v>12.1</v>
      </c>
      <c r="H897" s="67">
        <v>44914.0</v>
      </c>
      <c r="I897" s="65">
        <f t="shared" si="3"/>
        <v>1.480555556</v>
      </c>
      <c r="J897" s="92">
        <v>80.0</v>
      </c>
      <c r="K897" s="92">
        <v>6.0</v>
      </c>
      <c r="L897" s="69" t="s">
        <v>46</v>
      </c>
      <c r="M897" s="91"/>
      <c r="N897" s="70"/>
      <c r="O897" s="70" t="s">
        <v>1331</v>
      </c>
      <c r="P897" s="72"/>
      <c r="Q897" s="71"/>
      <c r="R897" s="59" t="str">
        <f t="shared" si="4"/>
        <v>TBD</v>
      </c>
      <c r="S897" s="88"/>
      <c r="T897" s="65">
        <f t="shared" si="5"/>
        <v>27.8</v>
      </c>
      <c r="U897" s="88"/>
      <c r="V897" s="65"/>
    </row>
    <row r="898">
      <c r="A898" s="74" t="s">
        <v>2438</v>
      </c>
      <c r="B898" s="75" t="s">
        <v>35</v>
      </c>
      <c r="C898" s="75" t="s">
        <v>36</v>
      </c>
      <c r="D898" s="76" t="str">
        <f t="shared" si="19"/>
        <v>Removed</v>
      </c>
      <c r="E898" s="165">
        <v>45447.0</v>
      </c>
      <c r="F898" s="105">
        <v>45823.0</v>
      </c>
      <c r="G898" s="79">
        <f t="shared" si="2"/>
        <v>12.36666667</v>
      </c>
      <c r="H898" s="80">
        <v>45447.0</v>
      </c>
      <c r="I898" s="79">
        <f t="shared" si="3"/>
        <v>0</v>
      </c>
      <c r="J898" s="89">
        <v>73.0</v>
      </c>
      <c r="K898" s="89">
        <v>9.0</v>
      </c>
      <c r="L898" s="82" t="s">
        <v>64</v>
      </c>
      <c r="M898" s="83"/>
      <c r="N898" s="84"/>
      <c r="O898" s="84" t="s">
        <v>1331</v>
      </c>
      <c r="P898" s="86"/>
      <c r="Q898" s="85"/>
      <c r="R898" s="76" t="str">
        <f t="shared" si="4"/>
        <v>Removed</v>
      </c>
      <c r="S898" s="90">
        <v>45665.0</v>
      </c>
      <c r="T898" s="79">
        <f t="shared" si="5"/>
        <v>7.133333333</v>
      </c>
      <c r="U898" s="90"/>
      <c r="V898" s="79"/>
    </row>
    <row r="899">
      <c r="A899" s="53" t="s">
        <v>2439</v>
      </c>
      <c r="B899" s="54" t="s">
        <v>35</v>
      </c>
      <c r="C899" s="54" t="s">
        <v>36</v>
      </c>
      <c r="D899" s="59" t="str">
        <f t="shared" si="19"/>
        <v>Removed</v>
      </c>
      <c r="E899" s="88">
        <v>45090.0</v>
      </c>
      <c r="F899" s="120">
        <v>45823.0</v>
      </c>
      <c r="G899" s="65">
        <f t="shared" si="2"/>
        <v>24.06666667</v>
      </c>
      <c r="H899" s="88">
        <v>45090.0</v>
      </c>
      <c r="I899" s="65">
        <f t="shared" si="3"/>
        <v>0</v>
      </c>
      <c r="J899" s="121">
        <v>74.0</v>
      </c>
      <c r="K899" s="121">
        <v>4.0</v>
      </c>
      <c r="L899" s="69" t="s">
        <v>135</v>
      </c>
      <c r="M899" s="69"/>
      <c r="N899" s="69"/>
      <c r="O899" s="69" t="s">
        <v>1219</v>
      </c>
      <c r="P899" s="122" t="s">
        <v>2440</v>
      </c>
      <c r="Q899" s="69"/>
      <c r="R899" s="59" t="str">
        <f t="shared" si="4"/>
        <v>Removed</v>
      </c>
      <c r="S899" s="88">
        <v>45547.0</v>
      </c>
      <c r="T899" s="65">
        <f t="shared" si="5"/>
        <v>14.96666667</v>
      </c>
      <c r="U899" s="88"/>
      <c r="V899" s="65"/>
    </row>
    <row r="900">
      <c r="A900" s="74" t="s">
        <v>2111</v>
      </c>
      <c r="B900" s="75" t="s">
        <v>35</v>
      </c>
      <c r="C900" s="75" t="s">
        <v>36</v>
      </c>
      <c r="D900" s="76" t="str">
        <f t="shared" si="19"/>
        <v>Removed</v>
      </c>
      <c r="E900" s="77">
        <v>45083.0</v>
      </c>
      <c r="F900" s="105">
        <v>45823.0</v>
      </c>
      <c r="G900" s="79">
        <f t="shared" si="2"/>
        <v>24.3</v>
      </c>
      <c r="H900" s="90">
        <v>43536.0</v>
      </c>
      <c r="I900" s="79">
        <f t="shared" si="3"/>
        <v>4.233333333</v>
      </c>
      <c r="J900" s="106">
        <v>82.0</v>
      </c>
      <c r="K900" s="106">
        <v>5.5</v>
      </c>
      <c r="L900" s="82" t="s">
        <v>135</v>
      </c>
      <c r="M900" s="82"/>
      <c r="N900" s="82" t="s">
        <v>2441</v>
      </c>
      <c r="O900" s="82" t="s">
        <v>328</v>
      </c>
      <c r="P900" s="107" t="s">
        <v>2442</v>
      </c>
      <c r="Q900" s="82"/>
      <c r="R900" s="76" t="str">
        <f t="shared" si="4"/>
        <v>Removed</v>
      </c>
      <c r="S900" s="90">
        <v>45547.0</v>
      </c>
      <c r="T900" s="79">
        <f t="shared" si="5"/>
        <v>15.2</v>
      </c>
      <c r="U900" s="90"/>
      <c r="V900" s="79"/>
    </row>
    <row r="901">
      <c r="A901" s="53" t="s">
        <v>2443</v>
      </c>
      <c r="B901" s="54" t="s">
        <v>13</v>
      </c>
      <c r="C901" s="54"/>
      <c r="D901" s="59" t="str">
        <f t="shared" si="19"/>
        <v>Removed</v>
      </c>
      <c r="E901" s="164">
        <v>45447.0</v>
      </c>
      <c r="F901" s="120">
        <v>45808.0</v>
      </c>
      <c r="G901" s="65">
        <f t="shared" si="2"/>
        <v>11.86666667</v>
      </c>
      <c r="H901" s="67">
        <v>44230.0</v>
      </c>
      <c r="I901" s="65">
        <f t="shared" si="3"/>
        <v>3.336111111</v>
      </c>
      <c r="J901" s="92">
        <v>80.0</v>
      </c>
      <c r="K901" s="92">
        <v>4.0</v>
      </c>
      <c r="L901" s="69" t="s">
        <v>41</v>
      </c>
      <c r="M901" s="91"/>
      <c r="N901" s="70"/>
      <c r="O901" s="70" t="s">
        <v>1331</v>
      </c>
      <c r="P901" s="72"/>
      <c r="Q901" s="71"/>
      <c r="R901" s="59" t="str">
        <f t="shared" si="4"/>
        <v>TBD</v>
      </c>
      <c r="S901" s="88"/>
      <c r="T901" s="65">
        <f t="shared" si="5"/>
        <v>28.06666667</v>
      </c>
      <c r="U901" s="88"/>
      <c r="V901" s="65"/>
    </row>
    <row r="902">
      <c r="A902" s="74" t="s">
        <v>2444</v>
      </c>
      <c r="B902" s="75" t="s">
        <v>35</v>
      </c>
      <c r="C902" s="75" t="s">
        <v>36</v>
      </c>
      <c r="D902" s="76" t="str">
        <f t="shared" si="19"/>
        <v>Removed</v>
      </c>
      <c r="E902" s="165">
        <v>45442.0</v>
      </c>
      <c r="F902" s="105">
        <v>45808.0</v>
      </c>
      <c r="G902" s="79">
        <f t="shared" si="2"/>
        <v>12</v>
      </c>
      <c r="H902" s="80">
        <v>45062.0</v>
      </c>
      <c r="I902" s="79">
        <f t="shared" si="3"/>
        <v>1.038888889</v>
      </c>
      <c r="J902" s="89">
        <v>86.0</v>
      </c>
      <c r="K902" s="89">
        <v>12.0</v>
      </c>
      <c r="L902" s="82" t="s">
        <v>96</v>
      </c>
      <c r="M902" s="83"/>
      <c r="N902" s="84"/>
      <c r="O902" s="84" t="s">
        <v>1331</v>
      </c>
      <c r="P902" s="86"/>
      <c r="Q902" s="85"/>
      <c r="R902" s="76" t="str">
        <f t="shared" si="4"/>
        <v>Removed</v>
      </c>
      <c r="S902" s="90">
        <v>45630.0</v>
      </c>
      <c r="T902" s="79">
        <f t="shared" si="5"/>
        <v>6.133333333</v>
      </c>
      <c r="U902" s="90"/>
      <c r="V902" s="79"/>
    </row>
    <row r="903">
      <c r="A903" s="53" t="s">
        <v>2445</v>
      </c>
      <c r="B903" s="54" t="s">
        <v>35</v>
      </c>
      <c r="C903" s="54" t="s">
        <v>36</v>
      </c>
      <c r="D903" s="59" t="str">
        <f t="shared" si="19"/>
        <v>Removed</v>
      </c>
      <c r="E903" s="61">
        <v>45078.0</v>
      </c>
      <c r="F903" s="120">
        <v>45808.0</v>
      </c>
      <c r="G903" s="65">
        <f t="shared" si="2"/>
        <v>23.96666667</v>
      </c>
      <c r="H903" s="88">
        <v>45078.0</v>
      </c>
      <c r="I903" s="65">
        <f t="shared" si="3"/>
        <v>0</v>
      </c>
      <c r="J903" s="121">
        <v>80.0</v>
      </c>
      <c r="K903" s="121">
        <v>4.0</v>
      </c>
      <c r="L903" s="69" t="s">
        <v>37</v>
      </c>
      <c r="M903" s="91"/>
      <c r="N903" s="69"/>
      <c r="O903" s="69" t="s">
        <v>1331</v>
      </c>
      <c r="P903" s="134"/>
      <c r="Q903" s="91"/>
      <c r="R903" s="59" t="str">
        <f t="shared" si="4"/>
        <v>Removed</v>
      </c>
      <c r="S903" s="88">
        <v>45547.0</v>
      </c>
      <c r="T903" s="65">
        <f t="shared" si="5"/>
        <v>15.36666667</v>
      </c>
      <c r="U903" s="88"/>
      <c r="V903" s="65"/>
    </row>
    <row r="904">
      <c r="A904" s="74" t="s">
        <v>2446</v>
      </c>
      <c r="B904" s="75" t="s">
        <v>35</v>
      </c>
      <c r="C904" s="75"/>
      <c r="D904" s="76" t="str">
        <f t="shared" si="19"/>
        <v>Removed</v>
      </c>
      <c r="E904" s="90">
        <v>45042.0</v>
      </c>
      <c r="F904" s="105">
        <v>45808.0</v>
      </c>
      <c r="G904" s="79">
        <f t="shared" si="2"/>
        <v>25.13333333</v>
      </c>
      <c r="H904" s="90">
        <v>45042.0</v>
      </c>
      <c r="I904" s="79">
        <f t="shared" si="3"/>
        <v>0</v>
      </c>
      <c r="J904" s="106">
        <v>83.0</v>
      </c>
      <c r="K904" s="106">
        <v>17.0</v>
      </c>
      <c r="L904" s="82" t="s">
        <v>46</v>
      </c>
      <c r="M904" s="82"/>
      <c r="N904" s="82" t="s">
        <v>2447</v>
      </c>
      <c r="O904" s="82" t="s">
        <v>1331</v>
      </c>
      <c r="P904" s="107"/>
      <c r="Q904" s="82"/>
      <c r="R904" s="76" t="str">
        <f t="shared" si="4"/>
        <v>Removed</v>
      </c>
      <c r="S904" s="90">
        <v>45547.0</v>
      </c>
      <c r="T904" s="79">
        <f t="shared" si="5"/>
        <v>16.53333333</v>
      </c>
      <c r="U904" s="90"/>
      <c r="V904" s="79"/>
    </row>
    <row r="905">
      <c r="A905" s="176" t="s">
        <v>2448</v>
      </c>
      <c r="B905" s="54" t="s">
        <v>35</v>
      </c>
      <c r="C905" s="54" t="s">
        <v>36</v>
      </c>
      <c r="D905" s="59" t="str">
        <f t="shared" si="19"/>
        <v>Removed</v>
      </c>
      <c r="E905" s="164">
        <v>45435.0</v>
      </c>
      <c r="F905" s="120">
        <v>45792.0</v>
      </c>
      <c r="G905" s="65">
        <f t="shared" si="2"/>
        <v>11.73333333</v>
      </c>
      <c r="H905" s="257">
        <v>45435.0</v>
      </c>
      <c r="I905" s="65">
        <f t="shared" si="3"/>
        <v>0</v>
      </c>
      <c r="J905" s="92">
        <v>69.0</v>
      </c>
      <c r="K905" s="92">
        <v>8.0</v>
      </c>
      <c r="L905" s="69" t="s">
        <v>41</v>
      </c>
      <c r="M905" s="69"/>
      <c r="N905" s="175"/>
      <c r="O905" s="181" t="s">
        <v>1331</v>
      </c>
      <c r="P905" s="175"/>
      <c r="Q905" s="175"/>
      <c r="R905" s="59" t="str">
        <f t="shared" si="4"/>
        <v>Removed</v>
      </c>
      <c r="S905" s="88">
        <v>45630.0</v>
      </c>
      <c r="T905" s="65">
        <f t="shared" si="5"/>
        <v>6.366666667</v>
      </c>
      <c r="U905" s="88"/>
      <c r="V905" s="65"/>
    </row>
    <row r="906">
      <c r="A906" s="74" t="s">
        <v>2449</v>
      </c>
      <c r="B906" s="75" t="s">
        <v>35</v>
      </c>
      <c r="C906" s="75" t="s">
        <v>36</v>
      </c>
      <c r="D906" s="76" t="str">
        <f t="shared" si="19"/>
        <v>Removed</v>
      </c>
      <c r="E906" s="165">
        <v>45427.0</v>
      </c>
      <c r="F906" s="105">
        <v>45792.0</v>
      </c>
      <c r="G906" s="79">
        <f t="shared" si="2"/>
        <v>12</v>
      </c>
      <c r="H906" s="80">
        <v>45174.0</v>
      </c>
      <c r="I906" s="79">
        <f t="shared" si="3"/>
        <v>0.6944444444</v>
      </c>
      <c r="J906" s="89">
        <v>85.0</v>
      </c>
      <c r="K906" s="89">
        <v>9.0</v>
      </c>
      <c r="L906" s="82" t="s">
        <v>135</v>
      </c>
      <c r="M906" s="83"/>
      <c r="N906" s="84"/>
      <c r="O906" s="84" t="s">
        <v>1331</v>
      </c>
      <c r="P906" s="86"/>
      <c r="Q906" s="85"/>
      <c r="R906" s="76" t="str">
        <f t="shared" si="4"/>
        <v>Removed</v>
      </c>
      <c r="S906" s="90">
        <v>45547.0</v>
      </c>
      <c r="T906" s="79">
        <f t="shared" si="5"/>
        <v>3.9</v>
      </c>
      <c r="U906" s="90"/>
      <c r="V906" s="79"/>
    </row>
    <row r="907">
      <c r="A907" s="53" t="s">
        <v>2450</v>
      </c>
      <c r="B907" s="54" t="s">
        <v>35</v>
      </c>
      <c r="C907" s="54" t="s">
        <v>36</v>
      </c>
      <c r="D907" s="59" t="str">
        <f t="shared" si="19"/>
        <v>Removed</v>
      </c>
      <c r="E907" s="61">
        <v>45426.0</v>
      </c>
      <c r="F907" s="120">
        <v>45792.0</v>
      </c>
      <c r="G907" s="65">
        <f t="shared" si="2"/>
        <v>12.03333333</v>
      </c>
      <c r="H907" s="88">
        <v>41493.0</v>
      </c>
      <c r="I907" s="65">
        <f t="shared" si="3"/>
        <v>10.76944444</v>
      </c>
      <c r="J907" s="208">
        <v>81.0</v>
      </c>
      <c r="K907" s="121">
        <v>3.0</v>
      </c>
      <c r="L907" s="69" t="s">
        <v>41</v>
      </c>
      <c r="M907" s="91"/>
      <c r="N907" s="69" t="s">
        <v>2451</v>
      </c>
      <c r="O907" s="69" t="s">
        <v>328</v>
      </c>
      <c r="P907" s="122" t="s">
        <v>2012</v>
      </c>
      <c r="Q907" s="91"/>
      <c r="R907" s="59" t="str">
        <f t="shared" si="4"/>
        <v>Removed</v>
      </c>
      <c r="S907" s="88">
        <v>45547.0</v>
      </c>
      <c r="T907" s="65">
        <f t="shared" si="5"/>
        <v>3.933333333</v>
      </c>
      <c r="U907" s="88"/>
      <c r="V907" s="65"/>
    </row>
    <row r="908">
      <c r="A908" s="74" t="s">
        <v>2452</v>
      </c>
      <c r="B908" s="75" t="s">
        <v>35</v>
      </c>
      <c r="C908" s="75" t="s">
        <v>36</v>
      </c>
      <c r="D908" s="76" t="str">
        <f t="shared" si="19"/>
        <v>Removed</v>
      </c>
      <c r="E908" s="90">
        <v>45078.0</v>
      </c>
      <c r="F908" s="105">
        <v>45792.0</v>
      </c>
      <c r="G908" s="79">
        <f t="shared" si="2"/>
        <v>23.46666667</v>
      </c>
      <c r="H908" s="90">
        <v>44439.0</v>
      </c>
      <c r="I908" s="79">
        <f t="shared" si="3"/>
        <v>1.752777778</v>
      </c>
      <c r="J908" s="106">
        <v>77.0</v>
      </c>
      <c r="K908" s="106">
        <v>4.0</v>
      </c>
      <c r="L908" s="82" t="s">
        <v>135</v>
      </c>
      <c r="M908" s="83"/>
      <c r="N908" s="82"/>
      <c r="O908" s="82" t="s">
        <v>328</v>
      </c>
      <c r="P908" s="107" t="s">
        <v>2453</v>
      </c>
      <c r="Q908" s="83"/>
      <c r="R908" s="76" t="str">
        <f t="shared" si="4"/>
        <v>Removed</v>
      </c>
      <c r="S908" s="90">
        <v>45547.0</v>
      </c>
      <c r="T908" s="79">
        <f t="shared" si="5"/>
        <v>15.36666667</v>
      </c>
      <c r="U908" s="90"/>
      <c r="V908" s="79"/>
    </row>
    <row r="909">
      <c r="A909" s="53" t="s">
        <v>2454</v>
      </c>
      <c r="B909" s="54" t="s">
        <v>35</v>
      </c>
      <c r="C909" s="54" t="s">
        <v>36</v>
      </c>
      <c r="D909" s="59" t="str">
        <f t="shared" si="19"/>
        <v>Removed</v>
      </c>
      <c r="E909" s="88">
        <v>44882.0</v>
      </c>
      <c r="F909" s="120">
        <v>45792.0</v>
      </c>
      <c r="G909" s="65">
        <f t="shared" si="2"/>
        <v>29.93333333</v>
      </c>
      <c r="H909" s="88">
        <v>44677.0</v>
      </c>
      <c r="I909" s="65">
        <f t="shared" si="3"/>
        <v>0.5583333333</v>
      </c>
      <c r="J909" s="121">
        <v>72.0</v>
      </c>
      <c r="K909" s="121">
        <v>7.0</v>
      </c>
      <c r="L909" s="69" t="s">
        <v>81</v>
      </c>
      <c r="M909" s="69"/>
      <c r="N909" s="69" t="s">
        <v>2455</v>
      </c>
      <c r="O909" s="69" t="s">
        <v>328</v>
      </c>
      <c r="P909" s="122" t="s">
        <v>2456</v>
      </c>
      <c r="Q909" s="69"/>
      <c r="R909" s="59" t="str">
        <f t="shared" si="4"/>
        <v>Removed</v>
      </c>
      <c r="S909" s="88">
        <v>45547.0</v>
      </c>
      <c r="T909" s="65">
        <f t="shared" si="5"/>
        <v>21.83333333</v>
      </c>
      <c r="U909" s="88"/>
      <c r="V909" s="65"/>
    </row>
    <row r="910">
      <c r="A910" s="74" t="s">
        <v>2457</v>
      </c>
      <c r="B910" s="75" t="s">
        <v>35</v>
      </c>
      <c r="C910" s="75" t="s">
        <v>36</v>
      </c>
      <c r="D910" s="76" t="str">
        <f t="shared" si="19"/>
        <v>Removed</v>
      </c>
      <c r="E910" s="77">
        <v>45419.0</v>
      </c>
      <c r="F910" s="105">
        <v>45777.0</v>
      </c>
      <c r="G910" s="79">
        <f t="shared" si="2"/>
        <v>11.76666667</v>
      </c>
      <c r="H910" s="80">
        <v>45217.0</v>
      </c>
      <c r="I910" s="79">
        <f t="shared" si="3"/>
        <v>0.5527777778</v>
      </c>
      <c r="J910" s="89">
        <v>79.0</v>
      </c>
      <c r="K910" s="89">
        <v>8.0</v>
      </c>
      <c r="L910" s="82" t="s">
        <v>41</v>
      </c>
      <c r="M910" s="82"/>
      <c r="N910" s="84"/>
      <c r="O910" s="84" t="s">
        <v>1331</v>
      </c>
      <c r="P910" s="86"/>
      <c r="Q910" s="85"/>
      <c r="R910" s="76" t="str">
        <f t="shared" si="4"/>
        <v>Removed</v>
      </c>
      <c r="S910" s="90">
        <v>45547.0</v>
      </c>
      <c r="T910" s="79">
        <f t="shared" si="5"/>
        <v>4.166666667</v>
      </c>
      <c r="U910" s="90"/>
      <c r="V910" s="79"/>
    </row>
    <row r="911">
      <c r="A911" s="53" t="s">
        <v>2458</v>
      </c>
      <c r="B911" s="54" t="s">
        <v>35</v>
      </c>
      <c r="C911" s="54" t="s">
        <v>36</v>
      </c>
      <c r="D911" s="59" t="str">
        <f t="shared" si="19"/>
        <v>Removed</v>
      </c>
      <c r="E911" s="88">
        <v>45412.0</v>
      </c>
      <c r="F911" s="120">
        <v>45777.0</v>
      </c>
      <c r="G911" s="65">
        <f t="shared" si="2"/>
        <v>12</v>
      </c>
      <c r="H911" s="88">
        <v>45007.0</v>
      </c>
      <c r="I911" s="65">
        <f t="shared" si="3"/>
        <v>1.105555556</v>
      </c>
      <c r="J911" s="121">
        <v>81.0</v>
      </c>
      <c r="K911" s="121">
        <v>9.0</v>
      </c>
      <c r="L911" s="69" t="s">
        <v>57</v>
      </c>
      <c r="M911" s="69"/>
      <c r="N911" s="69"/>
      <c r="O911" s="69" t="s">
        <v>328</v>
      </c>
      <c r="P911" s="122" t="s">
        <v>2459</v>
      </c>
      <c r="Q911" s="69"/>
      <c r="R911" s="59" t="str">
        <f t="shared" si="4"/>
        <v>Removed</v>
      </c>
      <c r="S911" s="88">
        <v>45547.0</v>
      </c>
      <c r="T911" s="65">
        <f t="shared" si="5"/>
        <v>4.4</v>
      </c>
      <c r="U911" s="88"/>
      <c r="V911" s="65"/>
    </row>
    <row r="912">
      <c r="A912" s="74" t="s">
        <v>2460</v>
      </c>
      <c r="B912" s="75" t="s">
        <v>35</v>
      </c>
      <c r="C912" s="75" t="s">
        <v>36</v>
      </c>
      <c r="D912" s="76" t="str">
        <f t="shared" si="19"/>
        <v>Removed</v>
      </c>
      <c r="E912" s="90">
        <v>45411.0</v>
      </c>
      <c r="F912" s="105">
        <v>45777.0</v>
      </c>
      <c r="G912" s="79">
        <f t="shared" si="2"/>
        <v>12.03333333</v>
      </c>
      <c r="H912" s="90">
        <v>44449.0</v>
      </c>
      <c r="I912" s="79">
        <f t="shared" si="3"/>
        <v>2.636111111</v>
      </c>
      <c r="J912" s="106">
        <v>78.0</v>
      </c>
      <c r="K912" s="106">
        <v>5.0</v>
      </c>
      <c r="L912" s="82" t="s">
        <v>41</v>
      </c>
      <c r="M912" s="82"/>
      <c r="N912" s="82"/>
      <c r="O912" s="82" t="s">
        <v>1331</v>
      </c>
      <c r="P912" s="107"/>
      <c r="Q912" s="82"/>
      <c r="R912" s="76" t="str">
        <f t="shared" si="4"/>
        <v>Removed</v>
      </c>
      <c r="S912" s="90">
        <v>45602.0</v>
      </c>
      <c r="T912" s="79">
        <f t="shared" si="5"/>
        <v>6.233333333</v>
      </c>
      <c r="U912" s="90"/>
      <c r="V912" s="79"/>
    </row>
    <row r="913">
      <c r="A913" s="53" t="s">
        <v>2461</v>
      </c>
      <c r="B913" s="54" t="s">
        <v>35</v>
      </c>
      <c r="C913" s="54" t="s">
        <v>36</v>
      </c>
      <c r="D913" s="59" t="str">
        <f t="shared" si="19"/>
        <v>Removed</v>
      </c>
      <c r="E913" s="88">
        <v>45232.0</v>
      </c>
      <c r="F913" s="120">
        <v>45777.0</v>
      </c>
      <c r="G913" s="65">
        <f t="shared" si="2"/>
        <v>17.93333333</v>
      </c>
      <c r="H913" s="88">
        <v>45232.0</v>
      </c>
      <c r="I913" s="65">
        <f t="shared" si="3"/>
        <v>0</v>
      </c>
      <c r="J913" s="121">
        <v>80.0</v>
      </c>
      <c r="K913" s="121">
        <v>8.0</v>
      </c>
      <c r="L913" s="69" t="s">
        <v>46</v>
      </c>
      <c r="M913" s="69"/>
      <c r="N913" s="69"/>
      <c r="O913" s="69" t="s">
        <v>328</v>
      </c>
      <c r="P913" s="122"/>
      <c r="Q913" s="69"/>
      <c r="R913" s="59" t="str">
        <f t="shared" si="4"/>
        <v>Removed</v>
      </c>
      <c r="S913" s="88">
        <v>45547.0</v>
      </c>
      <c r="T913" s="65">
        <f t="shared" si="5"/>
        <v>10.33333333</v>
      </c>
      <c r="U913" s="88"/>
      <c r="V913" s="65"/>
    </row>
    <row r="914">
      <c r="A914" s="74" t="s">
        <v>2462</v>
      </c>
      <c r="B914" s="75" t="s">
        <v>35</v>
      </c>
      <c r="C914" s="75"/>
      <c r="D914" s="76" t="str">
        <f t="shared" si="19"/>
        <v>Removed</v>
      </c>
      <c r="E914" s="90">
        <v>45043.0</v>
      </c>
      <c r="F914" s="105">
        <v>45777.0</v>
      </c>
      <c r="G914" s="79">
        <f t="shared" si="2"/>
        <v>24.1</v>
      </c>
      <c r="H914" s="90">
        <v>45043.0</v>
      </c>
      <c r="I914" s="79">
        <f t="shared" si="3"/>
        <v>0</v>
      </c>
      <c r="J914" s="106">
        <v>66.0</v>
      </c>
      <c r="K914" s="106">
        <v>11.0</v>
      </c>
      <c r="L914" s="82" t="s">
        <v>76</v>
      </c>
      <c r="M914" s="82"/>
      <c r="N914" s="82"/>
      <c r="O914" s="82" t="s">
        <v>1331</v>
      </c>
      <c r="P914" s="107"/>
      <c r="Q914" s="82"/>
      <c r="R914" s="76" t="str">
        <f t="shared" si="4"/>
        <v>Removed</v>
      </c>
      <c r="S914" s="90">
        <v>45547.0</v>
      </c>
      <c r="T914" s="79">
        <f t="shared" si="5"/>
        <v>16.5</v>
      </c>
      <c r="U914" s="90"/>
      <c r="V914" s="79"/>
    </row>
    <row r="915">
      <c r="A915" s="53" t="s">
        <v>2463</v>
      </c>
      <c r="B915" s="54" t="s">
        <v>129</v>
      </c>
      <c r="C915" s="54"/>
      <c r="D915" s="59" t="str">
        <f t="shared" si="19"/>
        <v>Removed</v>
      </c>
      <c r="E915" s="88">
        <v>45029.0</v>
      </c>
      <c r="F915" s="120">
        <v>45777.0</v>
      </c>
      <c r="G915" s="65">
        <f t="shared" si="2"/>
        <v>24.56666667</v>
      </c>
      <c r="H915" s="88">
        <v>44845.0</v>
      </c>
      <c r="I915" s="65">
        <f t="shared" si="3"/>
        <v>0.5055555556</v>
      </c>
      <c r="J915" s="121">
        <v>71.0</v>
      </c>
      <c r="K915" s="121">
        <v>12.0</v>
      </c>
      <c r="L915" s="69" t="s">
        <v>62</v>
      </c>
      <c r="M915" s="69"/>
      <c r="N915" s="69"/>
      <c r="O915" s="69" t="s">
        <v>1168</v>
      </c>
      <c r="P915" s="122" t="s">
        <v>1793</v>
      </c>
      <c r="Q915" s="69"/>
      <c r="R915" s="59" t="str">
        <f t="shared" si="4"/>
        <v>Removed</v>
      </c>
      <c r="S915" s="88">
        <v>45547.0</v>
      </c>
      <c r="T915" s="65">
        <f t="shared" si="5"/>
        <v>16.96666667</v>
      </c>
      <c r="U915" s="88"/>
      <c r="V915" s="65"/>
    </row>
    <row r="916">
      <c r="A916" s="74" t="s">
        <v>2145</v>
      </c>
      <c r="B916" s="75" t="s">
        <v>35</v>
      </c>
      <c r="C916" s="75" t="s">
        <v>371</v>
      </c>
      <c r="D916" s="76" t="str">
        <f t="shared" si="19"/>
        <v>Removed</v>
      </c>
      <c r="E916" s="90">
        <v>44707.0</v>
      </c>
      <c r="F916" s="105">
        <v>45777.0</v>
      </c>
      <c r="G916" s="79">
        <f t="shared" si="2"/>
        <v>35.13333333</v>
      </c>
      <c r="H916" s="90">
        <v>44707.0</v>
      </c>
      <c r="I916" s="79">
        <f t="shared" si="3"/>
        <v>0</v>
      </c>
      <c r="J916" s="106">
        <v>77.0</v>
      </c>
      <c r="K916" s="106">
        <v>9.0</v>
      </c>
      <c r="L916" s="82" t="s">
        <v>37</v>
      </c>
      <c r="M916" s="82"/>
      <c r="N916" s="82"/>
      <c r="O916" s="82" t="s">
        <v>107</v>
      </c>
      <c r="P916" s="107" t="s">
        <v>1770</v>
      </c>
      <c r="Q916" s="82"/>
      <c r="R916" s="76" t="str">
        <f t="shared" si="4"/>
        <v>Removed</v>
      </c>
      <c r="S916" s="90">
        <v>45547.0</v>
      </c>
      <c r="T916" s="79">
        <f t="shared" si="5"/>
        <v>27.53333333</v>
      </c>
      <c r="U916" s="90"/>
      <c r="V916" s="79"/>
    </row>
    <row r="917">
      <c r="A917" s="53" t="s">
        <v>2464</v>
      </c>
      <c r="B917" s="54" t="s">
        <v>35</v>
      </c>
      <c r="C917" s="54" t="s">
        <v>36</v>
      </c>
      <c r="D917" s="59" t="str">
        <f t="shared" si="19"/>
        <v>Removed</v>
      </c>
      <c r="E917" s="61">
        <v>45399.0</v>
      </c>
      <c r="F917" s="120">
        <v>45762.0</v>
      </c>
      <c r="G917" s="65">
        <f t="shared" si="2"/>
        <v>11.93333333</v>
      </c>
      <c r="H917" s="88">
        <v>44400.0</v>
      </c>
      <c r="I917" s="65">
        <f t="shared" si="3"/>
        <v>2.733333333</v>
      </c>
      <c r="J917" s="121">
        <v>77.0</v>
      </c>
      <c r="K917" s="121">
        <v>10.0</v>
      </c>
      <c r="L917" s="69" t="s">
        <v>81</v>
      </c>
      <c r="M917" s="69"/>
      <c r="N917" s="69"/>
      <c r="O917" s="69" t="s">
        <v>328</v>
      </c>
      <c r="P917" s="122" t="s">
        <v>108</v>
      </c>
      <c r="Q917" s="69"/>
      <c r="R917" s="59" t="str">
        <f t="shared" si="4"/>
        <v>Removed</v>
      </c>
      <c r="S917" s="88">
        <v>45547.0</v>
      </c>
      <c r="T917" s="65">
        <f t="shared" si="5"/>
        <v>4.833333333</v>
      </c>
      <c r="U917" s="88"/>
      <c r="V917" s="65"/>
    </row>
    <row r="918">
      <c r="A918" s="74" t="s">
        <v>2465</v>
      </c>
      <c r="B918" s="75" t="s">
        <v>35</v>
      </c>
      <c r="C918" s="75" t="s">
        <v>36</v>
      </c>
      <c r="D918" s="76" t="str">
        <f t="shared" si="19"/>
        <v>Removed</v>
      </c>
      <c r="E918" s="77">
        <v>45398.0</v>
      </c>
      <c r="F918" s="105">
        <v>45762.0</v>
      </c>
      <c r="G918" s="79">
        <f t="shared" si="2"/>
        <v>11.96666667</v>
      </c>
      <c r="H918" s="90">
        <v>45398.0</v>
      </c>
      <c r="I918" s="79">
        <f t="shared" si="3"/>
        <v>0</v>
      </c>
      <c r="J918" s="106">
        <v>70.0</v>
      </c>
      <c r="K918" s="106">
        <v>10.0</v>
      </c>
      <c r="L918" s="82" t="s">
        <v>135</v>
      </c>
      <c r="M918" s="82" t="s">
        <v>38</v>
      </c>
      <c r="N918" s="82"/>
      <c r="O918" s="82" t="s">
        <v>1331</v>
      </c>
      <c r="P918" s="107"/>
      <c r="Q918" s="82"/>
      <c r="R918" s="76" t="str">
        <f t="shared" si="4"/>
        <v>TBD</v>
      </c>
      <c r="S918" s="90"/>
      <c r="T918" s="79">
        <f t="shared" si="5"/>
        <v>29.66666667</v>
      </c>
      <c r="U918" s="90"/>
      <c r="V918" s="79"/>
    </row>
    <row r="919">
      <c r="A919" s="53" t="s">
        <v>2466</v>
      </c>
      <c r="B919" s="54" t="s">
        <v>35</v>
      </c>
      <c r="C919" s="54" t="s">
        <v>36</v>
      </c>
      <c r="D919" s="59" t="str">
        <f t="shared" si="19"/>
        <v>Removed</v>
      </c>
      <c r="E919" s="88">
        <v>45391.0</v>
      </c>
      <c r="F919" s="120">
        <v>45762.0</v>
      </c>
      <c r="G919" s="65">
        <f t="shared" si="2"/>
        <v>12.2</v>
      </c>
      <c r="H919" s="88">
        <v>45391.0</v>
      </c>
      <c r="I919" s="65">
        <f t="shared" si="3"/>
        <v>0</v>
      </c>
      <c r="J919" s="121">
        <v>84.0</v>
      </c>
      <c r="K919" s="121">
        <v>3.0</v>
      </c>
      <c r="L919" s="69" t="s">
        <v>135</v>
      </c>
      <c r="M919" s="69" t="s">
        <v>38</v>
      </c>
      <c r="N919" s="69"/>
      <c r="O919" s="69" t="s">
        <v>1331</v>
      </c>
      <c r="P919" s="122"/>
      <c r="Q919" s="69"/>
      <c r="R919" s="59" t="str">
        <f t="shared" si="4"/>
        <v>Removed</v>
      </c>
      <c r="S919" s="88">
        <v>45600.0</v>
      </c>
      <c r="T919" s="65">
        <f t="shared" si="5"/>
        <v>6.833333333</v>
      </c>
      <c r="U919" s="88"/>
      <c r="V919" s="65"/>
    </row>
    <row r="920">
      <c r="A920" s="226" t="s">
        <v>2467</v>
      </c>
      <c r="B920" s="75" t="s">
        <v>129</v>
      </c>
      <c r="C920" s="75" t="s">
        <v>36</v>
      </c>
      <c r="D920" s="76" t="str">
        <f t="shared" si="19"/>
        <v>Removed</v>
      </c>
      <c r="E920" s="77">
        <v>45391.0</v>
      </c>
      <c r="F920" s="105">
        <v>45762.0</v>
      </c>
      <c r="G920" s="79">
        <f t="shared" si="2"/>
        <v>12.2</v>
      </c>
      <c r="H920" s="90">
        <v>42439.0</v>
      </c>
      <c r="I920" s="79">
        <f t="shared" si="3"/>
        <v>8.080555556</v>
      </c>
      <c r="J920" s="216">
        <v>71.0</v>
      </c>
      <c r="K920" s="106">
        <v>5.5</v>
      </c>
      <c r="L920" s="82" t="s">
        <v>135</v>
      </c>
      <c r="M920" s="82"/>
      <c r="N920" s="82" t="s">
        <v>2468</v>
      </c>
      <c r="O920" s="82" t="s">
        <v>328</v>
      </c>
      <c r="P920" s="107" t="s">
        <v>2469</v>
      </c>
      <c r="Q920" s="82"/>
      <c r="R920" s="76" t="str">
        <f t="shared" si="4"/>
        <v>Removed</v>
      </c>
      <c r="S920" s="90">
        <v>45547.0</v>
      </c>
      <c r="T920" s="79">
        <f t="shared" si="5"/>
        <v>5.1</v>
      </c>
      <c r="U920" s="90"/>
      <c r="V920" s="79"/>
    </row>
    <row r="921">
      <c r="A921" s="53" t="s">
        <v>2470</v>
      </c>
      <c r="B921" s="54" t="s">
        <v>35</v>
      </c>
      <c r="C921" s="54" t="s">
        <v>36</v>
      </c>
      <c r="D921" s="59" t="str">
        <f t="shared" si="19"/>
        <v>Removed</v>
      </c>
      <c r="E921" s="88">
        <v>45037.0</v>
      </c>
      <c r="F921" s="120">
        <v>45762.0</v>
      </c>
      <c r="G921" s="65">
        <f t="shared" si="2"/>
        <v>23.8</v>
      </c>
      <c r="H921" s="88">
        <v>45037.0</v>
      </c>
      <c r="I921" s="65">
        <f t="shared" si="3"/>
        <v>0</v>
      </c>
      <c r="J921" s="121">
        <v>59.0</v>
      </c>
      <c r="K921" s="121">
        <v>13.0</v>
      </c>
      <c r="L921" s="69" t="s">
        <v>78</v>
      </c>
      <c r="M921" s="69" t="s">
        <v>38</v>
      </c>
      <c r="N921" s="69"/>
      <c r="O921" s="69" t="s">
        <v>1168</v>
      </c>
      <c r="P921" s="122" t="s">
        <v>1396</v>
      </c>
      <c r="Q921" s="69"/>
      <c r="R921" s="59" t="str">
        <f t="shared" si="4"/>
        <v>Removed</v>
      </c>
      <c r="S921" s="88">
        <v>45547.0</v>
      </c>
      <c r="T921" s="65">
        <f t="shared" si="5"/>
        <v>16.7</v>
      </c>
      <c r="U921" s="88"/>
      <c r="V921" s="65"/>
    </row>
    <row r="922">
      <c r="A922" s="74" t="s">
        <v>2471</v>
      </c>
      <c r="B922" s="75" t="s">
        <v>35</v>
      </c>
      <c r="C922" s="75" t="s">
        <v>36</v>
      </c>
      <c r="D922" s="76" t="str">
        <f t="shared" si="19"/>
        <v>Removed</v>
      </c>
      <c r="E922" s="90">
        <v>44845.0</v>
      </c>
      <c r="F922" s="105">
        <v>45762.0</v>
      </c>
      <c r="G922" s="79">
        <f t="shared" si="2"/>
        <v>30.13333333</v>
      </c>
      <c r="H922" s="90">
        <v>44845.0</v>
      </c>
      <c r="I922" s="79">
        <f t="shared" si="3"/>
        <v>0</v>
      </c>
      <c r="J922" s="106">
        <v>82.0</v>
      </c>
      <c r="K922" s="106">
        <v>23.0</v>
      </c>
      <c r="L922" s="82" t="s">
        <v>46</v>
      </c>
      <c r="M922" s="82" t="s">
        <v>38</v>
      </c>
      <c r="N922" s="82" t="s">
        <v>2472</v>
      </c>
      <c r="O922" s="82" t="s">
        <v>1168</v>
      </c>
      <c r="P922" s="107" t="s">
        <v>2473</v>
      </c>
      <c r="Q922" s="82"/>
      <c r="R922" s="76" t="str">
        <f t="shared" si="4"/>
        <v>Removed</v>
      </c>
      <c r="S922" s="90">
        <v>45547.0</v>
      </c>
      <c r="T922" s="79">
        <f t="shared" si="5"/>
        <v>23.03333333</v>
      </c>
      <c r="U922" s="90"/>
      <c r="V922" s="79"/>
    </row>
    <row r="923">
      <c r="A923" s="53" t="s">
        <v>2474</v>
      </c>
      <c r="B923" s="54" t="s">
        <v>35</v>
      </c>
      <c r="C923" s="54" t="s">
        <v>100</v>
      </c>
      <c r="D923" s="59" t="str">
        <f t="shared" si="19"/>
        <v>Removed</v>
      </c>
      <c r="E923" s="88">
        <v>44777.0</v>
      </c>
      <c r="F923" s="120">
        <v>45762.0</v>
      </c>
      <c r="G923" s="65">
        <f t="shared" si="2"/>
        <v>32.36666667</v>
      </c>
      <c r="H923" s="88">
        <v>44777.0</v>
      </c>
      <c r="I923" s="65">
        <f t="shared" si="3"/>
        <v>0</v>
      </c>
      <c r="J923" s="121">
        <v>73.0</v>
      </c>
      <c r="K923" s="121">
        <v>2.0</v>
      </c>
      <c r="L923" s="69" t="s">
        <v>55</v>
      </c>
      <c r="M923" s="69" t="s">
        <v>38</v>
      </c>
      <c r="N923" s="69"/>
      <c r="O923" s="69" t="s">
        <v>1219</v>
      </c>
      <c r="P923" s="122"/>
      <c r="Q923" s="69"/>
      <c r="R923" s="59" t="str">
        <f t="shared" si="4"/>
        <v>Removed</v>
      </c>
      <c r="S923" s="88">
        <v>45547.0</v>
      </c>
      <c r="T923" s="65">
        <f t="shared" si="5"/>
        <v>25.26666667</v>
      </c>
      <c r="U923" s="88"/>
      <c r="V923" s="65"/>
    </row>
    <row r="924">
      <c r="A924" s="74" t="s">
        <v>2475</v>
      </c>
      <c r="B924" s="75" t="s">
        <v>35</v>
      </c>
      <c r="C924" s="75" t="s">
        <v>36</v>
      </c>
      <c r="D924" s="76" t="str">
        <f t="shared" si="19"/>
        <v>Removed</v>
      </c>
      <c r="E924" s="90">
        <v>45386.0</v>
      </c>
      <c r="F924" s="105">
        <v>45747.0</v>
      </c>
      <c r="G924" s="79">
        <f t="shared" si="2"/>
        <v>11.86666667</v>
      </c>
      <c r="H924" s="90">
        <v>44665.0</v>
      </c>
      <c r="I924" s="79">
        <f t="shared" si="3"/>
        <v>1.972222222</v>
      </c>
      <c r="J924" s="106">
        <v>84.0</v>
      </c>
      <c r="K924" s="106">
        <v>3.0</v>
      </c>
      <c r="L924" s="82" t="s">
        <v>105</v>
      </c>
      <c r="M924" s="82"/>
      <c r="N924" s="82"/>
      <c r="O924" s="82" t="s">
        <v>1331</v>
      </c>
      <c r="P924" s="107"/>
      <c r="Q924" s="82"/>
      <c r="R924" s="76" t="str">
        <f t="shared" si="4"/>
        <v>Removed</v>
      </c>
      <c r="S924" s="90">
        <v>45547.0</v>
      </c>
      <c r="T924" s="79">
        <f t="shared" si="5"/>
        <v>5.266666667</v>
      </c>
      <c r="U924" s="90"/>
      <c r="V924" s="79"/>
    </row>
    <row r="925">
      <c r="A925" s="53" t="s">
        <v>2476</v>
      </c>
      <c r="B925" s="54" t="s">
        <v>35</v>
      </c>
      <c r="C925" s="54" t="s">
        <v>36</v>
      </c>
      <c r="D925" s="59" t="str">
        <f t="shared" si="19"/>
        <v>Removed</v>
      </c>
      <c r="E925" s="61">
        <v>45379.0</v>
      </c>
      <c r="F925" s="120">
        <v>45747.0</v>
      </c>
      <c r="G925" s="65">
        <f t="shared" si="2"/>
        <v>12.06666667</v>
      </c>
      <c r="H925" s="88">
        <v>45218.0</v>
      </c>
      <c r="I925" s="65">
        <f t="shared" si="3"/>
        <v>0.4416666667</v>
      </c>
      <c r="J925" s="121">
        <v>77.0</v>
      </c>
      <c r="K925" s="121">
        <v>8.0</v>
      </c>
      <c r="L925" s="69" t="s">
        <v>55</v>
      </c>
      <c r="M925" s="69"/>
      <c r="N925" s="69"/>
      <c r="O925" s="69" t="s">
        <v>1219</v>
      </c>
      <c r="P925" s="122"/>
      <c r="Q925" s="69"/>
      <c r="R925" s="59" t="str">
        <f t="shared" si="4"/>
        <v>Removed</v>
      </c>
      <c r="S925" s="88">
        <v>45547.0</v>
      </c>
      <c r="T925" s="65">
        <f t="shared" si="5"/>
        <v>5.466666667</v>
      </c>
      <c r="U925" s="88"/>
      <c r="V925" s="65"/>
    </row>
    <row r="926">
      <c r="A926" s="74" t="s">
        <v>2477</v>
      </c>
      <c r="B926" s="75" t="s">
        <v>35</v>
      </c>
      <c r="C926" s="75" t="s">
        <v>36</v>
      </c>
      <c r="D926" s="76" t="str">
        <f t="shared" si="19"/>
        <v>Removed</v>
      </c>
      <c r="E926" s="77">
        <v>45379.0</v>
      </c>
      <c r="F926" s="105">
        <v>45747.0</v>
      </c>
      <c r="G926" s="79">
        <f t="shared" si="2"/>
        <v>12.06666667</v>
      </c>
      <c r="H926" s="90">
        <v>45379.0</v>
      </c>
      <c r="I926" s="79">
        <f t="shared" si="3"/>
        <v>0</v>
      </c>
      <c r="J926" s="106">
        <v>67.0</v>
      </c>
      <c r="K926" s="106">
        <v>3.0</v>
      </c>
      <c r="L926" s="82" t="s">
        <v>135</v>
      </c>
      <c r="M926" s="82"/>
      <c r="N926" s="82"/>
      <c r="O926" s="82" t="s">
        <v>328</v>
      </c>
      <c r="P926" s="107" t="s">
        <v>2478</v>
      </c>
      <c r="Q926" s="82"/>
      <c r="R926" s="76" t="str">
        <f t="shared" si="4"/>
        <v>TBD</v>
      </c>
      <c r="S926" s="90"/>
      <c r="T926" s="79">
        <f t="shared" si="5"/>
        <v>30.26666667</v>
      </c>
      <c r="U926" s="90"/>
      <c r="V926" s="79"/>
    </row>
    <row r="927">
      <c r="A927" s="53" t="s">
        <v>2479</v>
      </c>
      <c r="B927" s="54" t="s">
        <v>129</v>
      </c>
      <c r="C927" s="54" t="s">
        <v>36</v>
      </c>
      <c r="D927" s="59" t="str">
        <f t="shared" si="19"/>
        <v>Removed</v>
      </c>
      <c r="E927" s="88">
        <v>45370.0</v>
      </c>
      <c r="F927" s="120">
        <v>45747.0</v>
      </c>
      <c r="G927" s="65">
        <f t="shared" si="2"/>
        <v>12.36666667</v>
      </c>
      <c r="H927" s="88">
        <v>45370.0</v>
      </c>
      <c r="I927" s="65">
        <f t="shared" si="3"/>
        <v>0</v>
      </c>
      <c r="J927" s="121">
        <v>78.0</v>
      </c>
      <c r="K927" s="121">
        <v>14.0</v>
      </c>
      <c r="L927" s="69" t="s">
        <v>62</v>
      </c>
      <c r="M927" s="69"/>
      <c r="N927" s="69" t="s">
        <v>2480</v>
      </c>
      <c r="O927" s="69" t="s">
        <v>1219</v>
      </c>
      <c r="P927" s="122"/>
      <c r="Q927" s="69"/>
      <c r="R927" s="59" t="str">
        <f t="shared" si="4"/>
        <v>TBD</v>
      </c>
      <c r="S927" s="88"/>
      <c r="T927" s="65">
        <f t="shared" si="5"/>
        <v>30.56666667</v>
      </c>
      <c r="U927" s="88"/>
      <c r="V927" s="65"/>
    </row>
    <row r="928">
      <c r="A928" s="74" t="s">
        <v>2481</v>
      </c>
      <c r="B928" s="75" t="s">
        <v>35</v>
      </c>
      <c r="C928" s="75" t="s">
        <v>36</v>
      </c>
      <c r="D928" s="76" t="str">
        <f t="shared" si="19"/>
        <v>Removed</v>
      </c>
      <c r="E928" s="90">
        <v>45202.0</v>
      </c>
      <c r="F928" s="105">
        <v>45747.0</v>
      </c>
      <c r="G928" s="79">
        <f t="shared" si="2"/>
        <v>17.9</v>
      </c>
      <c r="H928" s="90">
        <v>45202.0</v>
      </c>
      <c r="I928" s="79">
        <f t="shared" si="3"/>
        <v>0</v>
      </c>
      <c r="J928" s="106">
        <v>76.0</v>
      </c>
      <c r="K928" s="106">
        <v>26.0</v>
      </c>
      <c r="L928" s="82" t="s">
        <v>46</v>
      </c>
      <c r="M928" s="82" t="s">
        <v>38</v>
      </c>
      <c r="N928" s="82"/>
      <c r="O928" s="82" t="s">
        <v>1331</v>
      </c>
      <c r="P928" s="107"/>
      <c r="Q928" s="82"/>
      <c r="R928" s="76" t="str">
        <f t="shared" si="4"/>
        <v>Removed</v>
      </c>
      <c r="S928" s="90">
        <v>45547.0</v>
      </c>
      <c r="T928" s="79">
        <f t="shared" si="5"/>
        <v>11.3</v>
      </c>
      <c r="U928" s="90"/>
      <c r="V928" s="79"/>
    </row>
    <row r="929">
      <c r="A929" s="53" t="s">
        <v>2482</v>
      </c>
      <c r="B929" s="54" t="s">
        <v>35</v>
      </c>
      <c r="C929" s="54" t="s">
        <v>36</v>
      </c>
      <c r="D929" s="59" t="str">
        <f t="shared" si="19"/>
        <v>Removed</v>
      </c>
      <c r="E929" s="88">
        <v>44946.0</v>
      </c>
      <c r="F929" s="120">
        <v>45747.0</v>
      </c>
      <c r="G929" s="65">
        <f t="shared" si="2"/>
        <v>26.33333333</v>
      </c>
      <c r="H929" s="88">
        <v>44281.0</v>
      </c>
      <c r="I929" s="65">
        <f t="shared" si="3"/>
        <v>1.816666667</v>
      </c>
      <c r="J929" s="121">
        <v>86.0</v>
      </c>
      <c r="K929" s="121">
        <v>21.0</v>
      </c>
      <c r="L929" s="69" t="s">
        <v>46</v>
      </c>
      <c r="M929" s="69"/>
      <c r="N929" s="69"/>
      <c r="O929" s="69" t="s">
        <v>328</v>
      </c>
      <c r="P929" s="122" t="s">
        <v>2483</v>
      </c>
      <c r="Q929" s="69"/>
      <c r="R929" s="59" t="str">
        <f t="shared" si="4"/>
        <v>Removed</v>
      </c>
      <c r="S929" s="88">
        <v>45547.0</v>
      </c>
      <c r="T929" s="65">
        <f t="shared" si="5"/>
        <v>19.73333333</v>
      </c>
      <c r="U929" s="88"/>
      <c r="V929" s="65"/>
    </row>
    <row r="930">
      <c r="A930" s="226" t="s">
        <v>2484</v>
      </c>
      <c r="B930" s="75" t="s">
        <v>35</v>
      </c>
      <c r="C930" s="75" t="s">
        <v>100</v>
      </c>
      <c r="D930" s="76" t="str">
        <f t="shared" si="19"/>
        <v>Removed</v>
      </c>
      <c r="E930" s="77">
        <v>44747.0</v>
      </c>
      <c r="F930" s="105">
        <v>45747.0</v>
      </c>
      <c r="G930" s="79">
        <f t="shared" si="2"/>
        <v>32.83333333</v>
      </c>
      <c r="H930" s="90">
        <v>42075.0</v>
      </c>
      <c r="I930" s="79">
        <f t="shared" si="3"/>
        <v>7.313888889</v>
      </c>
      <c r="J930" s="216">
        <v>85.0</v>
      </c>
      <c r="K930" s="106">
        <v>31.0</v>
      </c>
      <c r="L930" s="82" t="s">
        <v>46</v>
      </c>
      <c r="M930" s="83"/>
      <c r="N930" s="82" t="s">
        <v>2485</v>
      </c>
      <c r="O930" s="82" t="s">
        <v>107</v>
      </c>
      <c r="P930" s="107" t="s">
        <v>2486</v>
      </c>
      <c r="Q930" s="82"/>
      <c r="R930" s="76" t="str">
        <f t="shared" si="4"/>
        <v>Removed</v>
      </c>
      <c r="S930" s="90">
        <v>45547.0</v>
      </c>
      <c r="T930" s="79">
        <f t="shared" si="5"/>
        <v>26.23333333</v>
      </c>
      <c r="U930" s="90"/>
      <c r="V930" s="79"/>
    </row>
    <row r="931">
      <c r="A931" s="53" t="s">
        <v>2487</v>
      </c>
      <c r="B931" s="54" t="s">
        <v>35</v>
      </c>
      <c r="C931" s="54" t="s">
        <v>100</v>
      </c>
      <c r="D931" s="59" t="str">
        <f t="shared" si="19"/>
        <v>Removed</v>
      </c>
      <c r="E931" s="61">
        <v>44747.0</v>
      </c>
      <c r="F931" s="120">
        <v>45747.0</v>
      </c>
      <c r="G931" s="65">
        <f t="shared" si="2"/>
        <v>32.83333333</v>
      </c>
      <c r="H931" s="88">
        <v>42390.0</v>
      </c>
      <c r="I931" s="65">
        <f t="shared" si="3"/>
        <v>6.455555556</v>
      </c>
      <c r="J931" s="208">
        <v>80.0</v>
      </c>
      <c r="K931" s="121">
        <v>18.0</v>
      </c>
      <c r="L931" s="69" t="s">
        <v>41</v>
      </c>
      <c r="M931" s="91"/>
      <c r="N931" s="69" t="s">
        <v>2488</v>
      </c>
      <c r="O931" s="69" t="s">
        <v>107</v>
      </c>
      <c r="P931" s="122" t="s">
        <v>2489</v>
      </c>
      <c r="Q931" s="91"/>
      <c r="R931" s="59" t="str">
        <f t="shared" si="4"/>
        <v>Removed</v>
      </c>
      <c r="S931" s="88">
        <v>45547.0</v>
      </c>
      <c r="T931" s="65">
        <f t="shared" si="5"/>
        <v>26.23333333</v>
      </c>
      <c r="U931" s="88"/>
      <c r="V931" s="65"/>
    </row>
    <row r="932">
      <c r="A932" s="74" t="s">
        <v>2490</v>
      </c>
      <c r="B932" s="75" t="s">
        <v>35</v>
      </c>
      <c r="C932" s="75" t="s">
        <v>100</v>
      </c>
      <c r="D932" s="76" t="str">
        <f t="shared" si="19"/>
        <v>Removed</v>
      </c>
      <c r="E932" s="77">
        <v>44747.0</v>
      </c>
      <c r="F932" s="105">
        <v>45747.0</v>
      </c>
      <c r="G932" s="79">
        <f t="shared" si="2"/>
        <v>32.83333333</v>
      </c>
      <c r="H932" s="90">
        <v>43076.0</v>
      </c>
      <c r="I932" s="79">
        <f t="shared" si="3"/>
        <v>4.577777778</v>
      </c>
      <c r="J932" s="106">
        <v>82.0</v>
      </c>
      <c r="K932" s="106">
        <v>18.5</v>
      </c>
      <c r="L932" s="82" t="s">
        <v>41</v>
      </c>
      <c r="M932" s="82"/>
      <c r="N932" s="82" t="s">
        <v>2491</v>
      </c>
      <c r="O932" s="82" t="s">
        <v>107</v>
      </c>
      <c r="P932" s="107" t="s">
        <v>2492</v>
      </c>
      <c r="Q932" s="83"/>
      <c r="R932" s="76" t="str">
        <f t="shared" si="4"/>
        <v>Removed</v>
      </c>
      <c r="S932" s="90">
        <v>45547.0</v>
      </c>
      <c r="T932" s="79">
        <f t="shared" si="5"/>
        <v>26.23333333</v>
      </c>
      <c r="U932" s="90"/>
      <c r="V932" s="79"/>
    </row>
    <row r="933">
      <c r="A933" s="53" t="s">
        <v>2174</v>
      </c>
      <c r="B933" s="54" t="s">
        <v>35</v>
      </c>
      <c r="C933" s="54" t="s">
        <v>100</v>
      </c>
      <c r="D933" s="59" t="str">
        <f t="shared" si="19"/>
        <v>Removed</v>
      </c>
      <c r="E933" s="88">
        <v>44360.0</v>
      </c>
      <c r="F933" s="120">
        <v>45747.0</v>
      </c>
      <c r="G933" s="65">
        <f t="shared" si="2"/>
        <v>45.56666667</v>
      </c>
      <c r="H933" s="88">
        <v>43846.0</v>
      </c>
      <c r="I933" s="65">
        <f t="shared" si="3"/>
        <v>1.408333333</v>
      </c>
      <c r="J933" s="121">
        <f>(83+89)/2</f>
        <v>86</v>
      </c>
      <c r="K933" s="121">
        <v>45.5</v>
      </c>
      <c r="L933" s="69" t="s">
        <v>46</v>
      </c>
      <c r="M933" s="69" t="s">
        <v>326</v>
      </c>
      <c r="N933" s="69"/>
      <c r="O933" s="69" t="s">
        <v>107</v>
      </c>
      <c r="P933" s="122" t="s">
        <v>2493</v>
      </c>
      <c r="Q933" s="69"/>
      <c r="R933" s="59" t="str">
        <f t="shared" si="4"/>
        <v>Removed</v>
      </c>
      <c r="S933" s="88">
        <v>45547.0</v>
      </c>
      <c r="T933" s="65">
        <f t="shared" si="5"/>
        <v>38.96666667</v>
      </c>
      <c r="U933" s="88"/>
      <c r="V933" s="65"/>
    </row>
    <row r="934">
      <c r="A934" s="74" t="s">
        <v>2494</v>
      </c>
      <c r="B934" s="75" t="s">
        <v>35</v>
      </c>
      <c r="C934" s="75" t="s">
        <v>36</v>
      </c>
      <c r="D934" s="76" t="str">
        <f t="shared" si="19"/>
        <v>Removed</v>
      </c>
      <c r="E934" s="77">
        <v>45365.0</v>
      </c>
      <c r="F934" s="105">
        <v>45731.0</v>
      </c>
      <c r="G934" s="79">
        <f t="shared" si="2"/>
        <v>12.03333333</v>
      </c>
      <c r="H934" s="90">
        <v>44435.0</v>
      </c>
      <c r="I934" s="79">
        <f t="shared" si="3"/>
        <v>2.547222222</v>
      </c>
      <c r="J934" s="106">
        <v>75.0</v>
      </c>
      <c r="K934" s="106">
        <v>12.0</v>
      </c>
      <c r="L934" s="82" t="s">
        <v>105</v>
      </c>
      <c r="M934" s="82"/>
      <c r="N934" s="82"/>
      <c r="O934" s="82" t="s">
        <v>107</v>
      </c>
      <c r="P934" s="107" t="s">
        <v>2495</v>
      </c>
      <c r="Q934" s="82"/>
      <c r="R934" s="76" t="str">
        <f t="shared" si="4"/>
        <v>Removed</v>
      </c>
      <c r="S934" s="90">
        <v>45547.0</v>
      </c>
      <c r="T934" s="79">
        <f t="shared" si="5"/>
        <v>5.933333333</v>
      </c>
      <c r="U934" s="90"/>
      <c r="V934" s="79"/>
    </row>
    <row r="935">
      <c r="A935" s="53" t="s">
        <v>2496</v>
      </c>
      <c r="B935" s="54" t="s">
        <v>35</v>
      </c>
      <c r="C935" s="54" t="s">
        <v>36</v>
      </c>
      <c r="D935" s="59" t="str">
        <f t="shared" si="19"/>
        <v>Removed</v>
      </c>
      <c r="E935" s="61">
        <v>45363.0</v>
      </c>
      <c r="F935" s="120">
        <v>45731.0</v>
      </c>
      <c r="G935" s="65">
        <f t="shared" si="2"/>
        <v>12.1</v>
      </c>
      <c r="H935" s="88">
        <v>44005.0</v>
      </c>
      <c r="I935" s="65">
        <f t="shared" si="3"/>
        <v>3.719444444</v>
      </c>
      <c r="J935" s="121">
        <v>68.0</v>
      </c>
      <c r="K935" s="121">
        <v>9.0</v>
      </c>
      <c r="L935" s="69" t="s">
        <v>57</v>
      </c>
      <c r="M935" s="69"/>
      <c r="N935" s="69"/>
      <c r="O935" s="69" t="s">
        <v>1168</v>
      </c>
      <c r="P935" s="122" t="s">
        <v>1550</v>
      </c>
      <c r="Q935" s="69"/>
      <c r="R935" s="59" t="str">
        <f t="shared" si="4"/>
        <v>Removed</v>
      </c>
      <c r="S935" s="88">
        <v>45547.0</v>
      </c>
      <c r="T935" s="65">
        <f t="shared" si="5"/>
        <v>6</v>
      </c>
      <c r="U935" s="88"/>
      <c r="V935" s="65"/>
    </row>
    <row r="936">
      <c r="A936" s="74" t="s">
        <v>2497</v>
      </c>
      <c r="B936" s="75" t="s">
        <v>35</v>
      </c>
      <c r="C936" s="75" t="s">
        <v>36</v>
      </c>
      <c r="D936" s="76" t="str">
        <f t="shared" si="19"/>
        <v>Removed</v>
      </c>
      <c r="E936" s="90">
        <v>45188.0</v>
      </c>
      <c r="F936" s="105">
        <v>45731.0</v>
      </c>
      <c r="G936" s="79">
        <f t="shared" si="2"/>
        <v>17.86666667</v>
      </c>
      <c r="H936" s="90">
        <v>45188.0</v>
      </c>
      <c r="I936" s="79">
        <f t="shared" si="3"/>
        <v>0</v>
      </c>
      <c r="J936" s="106">
        <v>81.0</v>
      </c>
      <c r="K936" s="106">
        <v>18.0</v>
      </c>
      <c r="L936" s="82" t="s">
        <v>46</v>
      </c>
      <c r="M936" s="82"/>
      <c r="N936" s="82"/>
      <c r="O936" s="82" t="s">
        <v>1331</v>
      </c>
      <c r="P936" s="107"/>
      <c r="Q936" s="82"/>
      <c r="R936" s="76" t="str">
        <f t="shared" si="4"/>
        <v>Removed</v>
      </c>
      <c r="S936" s="90">
        <v>45547.0</v>
      </c>
      <c r="T936" s="79">
        <f t="shared" si="5"/>
        <v>11.76666667</v>
      </c>
      <c r="U936" s="90"/>
      <c r="V936" s="79"/>
    </row>
    <row r="937">
      <c r="A937" s="53" t="s">
        <v>2498</v>
      </c>
      <c r="B937" s="54" t="s">
        <v>35</v>
      </c>
      <c r="C937" s="54" t="s">
        <v>36</v>
      </c>
      <c r="D937" s="59" t="str">
        <f t="shared" si="19"/>
        <v>Removed</v>
      </c>
      <c r="E937" s="88">
        <v>45183.0</v>
      </c>
      <c r="F937" s="120">
        <v>45731.0</v>
      </c>
      <c r="G937" s="65">
        <f t="shared" si="2"/>
        <v>18.03333333</v>
      </c>
      <c r="H937" s="88">
        <v>44532.0</v>
      </c>
      <c r="I937" s="65">
        <f t="shared" si="3"/>
        <v>1.783333333</v>
      </c>
      <c r="J937" s="121">
        <v>78.0</v>
      </c>
      <c r="K937" s="121">
        <v>6.0</v>
      </c>
      <c r="L937" s="69" t="s">
        <v>105</v>
      </c>
      <c r="M937" s="69"/>
      <c r="N937" s="69"/>
      <c r="O937" s="69" t="s">
        <v>328</v>
      </c>
      <c r="P937" s="122" t="s">
        <v>2499</v>
      </c>
      <c r="Q937" s="69"/>
      <c r="R937" s="59" t="str">
        <f t="shared" si="4"/>
        <v>Removed</v>
      </c>
      <c r="S937" s="88">
        <v>45547.0</v>
      </c>
      <c r="T937" s="65">
        <f t="shared" si="5"/>
        <v>11.93333333</v>
      </c>
      <c r="U937" s="88"/>
      <c r="V937" s="65"/>
    </row>
    <row r="938">
      <c r="A938" s="74" t="s">
        <v>2500</v>
      </c>
      <c r="B938" s="75" t="s">
        <v>35</v>
      </c>
      <c r="C938" s="75" t="s">
        <v>100</v>
      </c>
      <c r="D938" s="76" t="str">
        <f t="shared" si="19"/>
        <v>Removed</v>
      </c>
      <c r="E938" s="90">
        <v>44280.0</v>
      </c>
      <c r="F938" s="105">
        <v>45731.0</v>
      </c>
      <c r="G938" s="79">
        <f t="shared" si="2"/>
        <v>47.66666667</v>
      </c>
      <c r="H938" s="90">
        <v>42712.0</v>
      </c>
      <c r="I938" s="79">
        <f t="shared" si="3"/>
        <v>4.297222222</v>
      </c>
      <c r="J938" s="106">
        <v>83.0</v>
      </c>
      <c r="K938" s="106">
        <v>19.0</v>
      </c>
      <c r="L938" s="82" t="s">
        <v>46</v>
      </c>
      <c r="M938" s="82" t="s">
        <v>1747</v>
      </c>
      <c r="N938" s="82"/>
      <c r="O938" s="82" t="s">
        <v>107</v>
      </c>
      <c r="P938" s="107" t="s">
        <v>2501</v>
      </c>
      <c r="Q938" s="82"/>
      <c r="R938" s="76" t="str">
        <f t="shared" si="4"/>
        <v>Removed</v>
      </c>
      <c r="S938" s="90">
        <v>45547.0</v>
      </c>
      <c r="T938" s="79">
        <f t="shared" si="5"/>
        <v>41.56666667</v>
      </c>
      <c r="U938" s="90"/>
      <c r="V938" s="79"/>
    </row>
    <row r="939">
      <c r="A939" s="53" t="s">
        <v>2502</v>
      </c>
      <c r="B939" s="54" t="s">
        <v>35</v>
      </c>
      <c r="C939" s="54" t="s">
        <v>100</v>
      </c>
      <c r="D939" s="59" t="str">
        <f t="shared" si="19"/>
        <v>Removed</v>
      </c>
      <c r="E939" s="88">
        <v>44224.0</v>
      </c>
      <c r="F939" s="120">
        <v>45731.0</v>
      </c>
      <c r="G939" s="65">
        <f t="shared" si="2"/>
        <v>49.56666667</v>
      </c>
      <c r="H939" s="88">
        <v>43872.0</v>
      </c>
      <c r="I939" s="65">
        <f t="shared" si="3"/>
        <v>0.9638888889</v>
      </c>
      <c r="J939" s="121">
        <v>82.0</v>
      </c>
      <c r="K939" s="121">
        <v>38.5</v>
      </c>
      <c r="L939" s="69" t="s">
        <v>46</v>
      </c>
      <c r="M939" s="69"/>
      <c r="N939" s="69"/>
      <c r="O939" s="69" t="s">
        <v>107</v>
      </c>
      <c r="P939" s="122" t="s">
        <v>2489</v>
      </c>
      <c r="Q939" s="69"/>
      <c r="R939" s="59" t="str">
        <f t="shared" si="4"/>
        <v>Removed</v>
      </c>
      <c r="S939" s="88">
        <v>45547.0</v>
      </c>
      <c r="T939" s="65">
        <f t="shared" si="5"/>
        <v>43.46666667</v>
      </c>
      <c r="U939" s="88"/>
      <c r="V939" s="65"/>
    </row>
    <row r="940">
      <c r="A940" s="74" t="s">
        <v>2503</v>
      </c>
      <c r="B940" s="75" t="s">
        <v>35</v>
      </c>
      <c r="C940" s="75" t="s">
        <v>36</v>
      </c>
      <c r="D940" s="76" t="str">
        <f t="shared" si="19"/>
        <v>Removed</v>
      </c>
      <c r="E940" s="77">
        <v>45356.0</v>
      </c>
      <c r="F940" s="105">
        <v>45716.0</v>
      </c>
      <c r="G940" s="79">
        <f t="shared" si="2"/>
        <v>11.76666667</v>
      </c>
      <c r="H940" s="90">
        <v>45069.0</v>
      </c>
      <c r="I940" s="79">
        <f t="shared" si="3"/>
        <v>0.7833333333</v>
      </c>
      <c r="J940" s="106">
        <v>75.0</v>
      </c>
      <c r="K940" s="106">
        <v>10.0</v>
      </c>
      <c r="L940" s="82" t="s">
        <v>37</v>
      </c>
      <c r="M940" s="82"/>
      <c r="N940" s="82"/>
      <c r="O940" s="82" t="s">
        <v>107</v>
      </c>
      <c r="P940" s="107" t="s">
        <v>108</v>
      </c>
      <c r="Q940" s="82"/>
      <c r="R940" s="76" t="str">
        <f t="shared" si="4"/>
        <v>Removed</v>
      </c>
      <c r="S940" s="90">
        <v>45547.0</v>
      </c>
      <c r="T940" s="79">
        <f t="shared" si="5"/>
        <v>6.233333333</v>
      </c>
      <c r="U940" s="90"/>
      <c r="V940" s="79"/>
    </row>
    <row r="941">
      <c r="A941" s="53" t="s">
        <v>2504</v>
      </c>
      <c r="B941" s="54" t="s">
        <v>35</v>
      </c>
      <c r="C941" s="54" t="s">
        <v>36</v>
      </c>
      <c r="D941" s="59" t="str">
        <f t="shared" si="19"/>
        <v>Removed</v>
      </c>
      <c r="E941" s="61">
        <v>45351.0</v>
      </c>
      <c r="F941" s="120">
        <v>45716.0</v>
      </c>
      <c r="G941" s="65">
        <f t="shared" si="2"/>
        <v>11.96666667</v>
      </c>
      <c r="H941" s="88">
        <v>43936.0</v>
      </c>
      <c r="I941" s="65">
        <f t="shared" si="3"/>
        <v>3.872222222</v>
      </c>
      <c r="J941" s="121">
        <v>68.0</v>
      </c>
      <c r="K941" s="121">
        <v>20.0</v>
      </c>
      <c r="L941" s="69" t="s">
        <v>78</v>
      </c>
      <c r="M941" s="69"/>
      <c r="N941" s="69"/>
      <c r="O941" s="69" t="s">
        <v>328</v>
      </c>
      <c r="P941" s="122" t="s">
        <v>2505</v>
      </c>
      <c r="Q941" s="69"/>
      <c r="R941" s="59" t="str">
        <f t="shared" si="4"/>
        <v>Removed</v>
      </c>
      <c r="S941" s="88">
        <v>45547.0</v>
      </c>
      <c r="T941" s="65">
        <f t="shared" si="5"/>
        <v>6.433333333</v>
      </c>
      <c r="U941" s="88"/>
      <c r="V941" s="65"/>
    </row>
    <row r="942">
      <c r="A942" s="74" t="s">
        <v>2123</v>
      </c>
      <c r="B942" s="75" t="s">
        <v>35</v>
      </c>
      <c r="C942" s="75" t="s">
        <v>36</v>
      </c>
      <c r="D942" s="76" t="str">
        <f t="shared" si="19"/>
        <v>Removed</v>
      </c>
      <c r="E942" s="90">
        <v>45349.0</v>
      </c>
      <c r="F942" s="105">
        <v>45716.0</v>
      </c>
      <c r="G942" s="79">
        <f t="shared" si="2"/>
        <v>12.03333333</v>
      </c>
      <c r="H942" s="90">
        <v>43973.0</v>
      </c>
      <c r="I942" s="79">
        <f t="shared" si="3"/>
        <v>3.763888889</v>
      </c>
      <c r="J942" s="106">
        <f>(70+71)/2</f>
        <v>70.5</v>
      </c>
      <c r="K942" s="106">
        <v>8.0</v>
      </c>
      <c r="L942" s="82" t="s">
        <v>46</v>
      </c>
      <c r="M942" s="82" t="s">
        <v>326</v>
      </c>
      <c r="N942" s="82" t="s">
        <v>2506</v>
      </c>
      <c r="O942" s="82" t="s">
        <v>107</v>
      </c>
      <c r="P942" s="107" t="s">
        <v>2507</v>
      </c>
      <c r="Q942" s="82"/>
      <c r="R942" s="76" t="str">
        <f t="shared" si="4"/>
        <v>Removed</v>
      </c>
      <c r="S942" s="90">
        <v>45547.0</v>
      </c>
      <c r="T942" s="79">
        <f t="shared" si="5"/>
        <v>6.5</v>
      </c>
      <c r="U942" s="90"/>
      <c r="V942" s="79"/>
    </row>
    <row r="943">
      <c r="A943" s="53" t="s">
        <v>2508</v>
      </c>
      <c r="B943" s="54" t="s">
        <v>35</v>
      </c>
      <c r="C943" s="54" t="s">
        <v>36</v>
      </c>
      <c r="D943" s="59" t="str">
        <f t="shared" si="19"/>
        <v>Removed</v>
      </c>
      <c r="E943" s="61">
        <v>45174.0</v>
      </c>
      <c r="F943" s="120">
        <v>45716.0</v>
      </c>
      <c r="G943" s="65">
        <f t="shared" si="2"/>
        <v>17.76666667</v>
      </c>
      <c r="H943" s="88">
        <v>43465.0</v>
      </c>
      <c r="I943" s="65">
        <f t="shared" si="3"/>
        <v>4.680555556</v>
      </c>
      <c r="J943" s="121">
        <v>84.0</v>
      </c>
      <c r="K943" s="121">
        <v>3.5</v>
      </c>
      <c r="L943" s="69" t="s">
        <v>57</v>
      </c>
      <c r="M943" s="69"/>
      <c r="N943" s="69" t="s">
        <v>2509</v>
      </c>
      <c r="O943" s="69" t="s">
        <v>1219</v>
      </c>
      <c r="P943" s="122"/>
      <c r="Q943" s="69"/>
      <c r="R943" s="59" t="str">
        <f t="shared" si="4"/>
        <v>Removed</v>
      </c>
      <c r="S943" s="88">
        <v>45547.0</v>
      </c>
      <c r="T943" s="65">
        <f t="shared" si="5"/>
        <v>12.23333333</v>
      </c>
      <c r="U943" s="88"/>
      <c r="V943" s="65"/>
    </row>
    <row r="944">
      <c r="A944" s="74" t="s">
        <v>2510</v>
      </c>
      <c r="B944" s="75" t="s">
        <v>35</v>
      </c>
      <c r="C944" s="75" t="s">
        <v>100</v>
      </c>
      <c r="D944" s="76" t="str">
        <f t="shared" si="19"/>
        <v>Removed</v>
      </c>
      <c r="E944" s="90">
        <v>44224.0</v>
      </c>
      <c r="F944" s="105">
        <v>45716.0</v>
      </c>
      <c r="G944" s="79">
        <f t="shared" si="2"/>
        <v>49</v>
      </c>
      <c r="H944" s="90">
        <v>43697.0</v>
      </c>
      <c r="I944" s="79">
        <f t="shared" si="3"/>
        <v>1.438888889</v>
      </c>
      <c r="J944" s="106">
        <v>77.0</v>
      </c>
      <c r="K944" s="106">
        <v>17.5</v>
      </c>
      <c r="L944" s="82" t="s">
        <v>46</v>
      </c>
      <c r="M944" s="82"/>
      <c r="N944" s="82"/>
      <c r="O944" s="82" t="s">
        <v>107</v>
      </c>
      <c r="P944" s="107" t="s">
        <v>2511</v>
      </c>
      <c r="Q944" s="82"/>
      <c r="R944" s="76" t="str">
        <f t="shared" si="4"/>
        <v>Removed</v>
      </c>
      <c r="S944" s="90">
        <v>45547.0</v>
      </c>
      <c r="T944" s="79">
        <f t="shared" si="5"/>
        <v>43.46666667</v>
      </c>
      <c r="U944" s="90"/>
      <c r="V944" s="79"/>
    </row>
    <row r="945">
      <c r="A945" s="53" t="s">
        <v>2512</v>
      </c>
      <c r="B945" s="54" t="s">
        <v>35</v>
      </c>
      <c r="C945" s="54" t="s">
        <v>100</v>
      </c>
      <c r="D945" s="59" t="str">
        <f t="shared" si="19"/>
        <v>Removed</v>
      </c>
      <c r="E945" s="88">
        <v>44224.0</v>
      </c>
      <c r="F945" s="120">
        <v>45716.0</v>
      </c>
      <c r="G945" s="65">
        <f t="shared" si="2"/>
        <v>49</v>
      </c>
      <c r="H945" s="88">
        <v>43767.0</v>
      </c>
      <c r="I945" s="65">
        <f t="shared" si="3"/>
        <v>1.247222222</v>
      </c>
      <c r="J945" s="121">
        <v>78.0</v>
      </c>
      <c r="K945" s="121">
        <v>22.5</v>
      </c>
      <c r="L945" s="69" t="s">
        <v>46</v>
      </c>
      <c r="M945" s="69"/>
      <c r="N945" s="69"/>
      <c r="O945" s="69" t="s">
        <v>107</v>
      </c>
      <c r="P945" s="122" t="s">
        <v>2511</v>
      </c>
      <c r="Q945" s="69"/>
      <c r="R945" s="59" t="str">
        <f t="shared" si="4"/>
        <v>Removed</v>
      </c>
      <c r="S945" s="88">
        <v>45547.0</v>
      </c>
      <c r="T945" s="65">
        <f t="shared" si="5"/>
        <v>43.46666667</v>
      </c>
      <c r="U945" s="88"/>
      <c r="V945" s="65"/>
    </row>
    <row r="946">
      <c r="A946" s="74" t="s">
        <v>2513</v>
      </c>
      <c r="B946" s="75" t="s">
        <v>35</v>
      </c>
      <c r="C946" s="75"/>
      <c r="D946" s="76" t="str">
        <f t="shared" si="19"/>
        <v>Removed</v>
      </c>
      <c r="E946" s="90">
        <v>44987.0</v>
      </c>
      <c r="F946" s="105">
        <v>45716.0</v>
      </c>
      <c r="G946" s="79">
        <f t="shared" si="2"/>
        <v>23.86666667</v>
      </c>
      <c r="H946" s="90">
        <v>44740.0</v>
      </c>
      <c r="I946" s="79">
        <f t="shared" si="3"/>
        <v>0.6777777778</v>
      </c>
      <c r="J946" s="106">
        <v>81.0</v>
      </c>
      <c r="K946" s="106">
        <v>23.0</v>
      </c>
      <c r="L946" s="82" t="s">
        <v>55</v>
      </c>
      <c r="M946" s="82"/>
      <c r="N946" s="82"/>
      <c r="O946" s="82" t="s">
        <v>1219</v>
      </c>
      <c r="P946" s="107"/>
      <c r="Q946" s="82"/>
      <c r="R946" s="76" t="str">
        <f t="shared" si="4"/>
        <v>Removed</v>
      </c>
      <c r="S946" s="90">
        <v>45547.0</v>
      </c>
      <c r="T946" s="79">
        <f t="shared" si="5"/>
        <v>18.33333333</v>
      </c>
      <c r="U946" s="90"/>
      <c r="V946" s="79"/>
    </row>
    <row r="947">
      <c r="A947" s="207" t="s">
        <v>2514</v>
      </c>
      <c r="B947" s="54" t="s">
        <v>35</v>
      </c>
      <c r="C947" s="54" t="s">
        <v>36</v>
      </c>
      <c r="D947" s="59" t="str">
        <f t="shared" si="19"/>
        <v>Removed</v>
      </c>
      <c r="E947" s="61">
        <v>45350.0</v>
      </c>
      <c r="F947" s="120">
        <v>45703.0</v>
      </c>
      <c r="G947" s="65">
        <f t="shared" si="2"/>
        <v>11.56666667</v>
      </c>
      <c r="H947" s="88">
        <v>43746.0</v>
      </c>
      <c r="I947" s="65">
        <f t="shared" si="3"/>
        <v>4.388888889</v>
      </c>
      <c r="J947" s="208">
        <v>82.0</v>
      </c>
      <c r="K947" s="121">
        <v>18.5</v>
      </c>
      <c r="L947" s="69" t="s">
        <v>46</v>
      </c>
      <c r="M947" s="69"/>
      <c r="N947" s="69" t="s">
        <v>2515</v>
      </c>
      <c r="O947" s="69" t="s">
        <v>328</v>
      </c>
      <c r="P947" s="122" t="s">
        <v>2516</v>
      </c>
      <c r="Q947" s="69"/>
      <c r="R947" s="59" t="str">
        <f t="shared" si="4"/>
        <v>Removed</v>
      </c>
      <c r="S947" s="88">
        <v>45547.0</v>
      </c>
      <c r="T947" s="65">
        <f t="shared" si="5"/>
        <v>6.466666667</v>
      </c>
      <c r="U947" s="88"/>
      <c r="V947" s="65"/>
    </row>
    <row r="948">
      <c r="A948" s="74" t="s">
        <v>2517</v>
      </c>
      <c r="B948" s="75" t="s">
        <v>35</v>
      </c>
      <c r="C948" s="75" t="s">
        <v>36</v>
      </c>
      <c r="D948" s="76" t="str">
        <f t="shared" si="19"/>
        <v>Removed</v>
      </c>
      <c r="E948" s="77">
        <v>45342.0</v>
      </c>
      <c r="F948" s="105">
        <v>45703.0</v>
      </c>
      <c r="G948" s="79">
        <f t="shared" si="2"/>
        <v>11.83333333</v>
      </c>
      <c r="H948" s="90">
        <v>45076.0</v>
      </c>
      <c r="I948" s="79">
        <f t="shared" si="3"/>
        <v>0.7222222222</v>
      </c>
      <c r="J948" s="106">
        <v>79.0</v>
      </c>
      <c r="K948" s="106">
        <v>3.0</v>
      </c>
      <c r="L948" s="82" t="s">
        <v>135</v>
      </c>
      <c r="M948" s="82"/>
      <c r="N948" s="82"/>
      <c r="O948" s="82" t="s">
        <v>1331</v>
      </c>
      <c r="P948" s="107"/>
      <c r="Q948" s="82"/>
      <c r="R948" s="76" t="str">
        <f t="shared" si="4"/>
        <v>Removed</v>
      </c>
      <c r="S948" s="90">
        <v>45547.0</v>
      </c>
      <c r="T948" s="79">
        <f t="shared" si="5"/>
        <v>6.733333333</v>
      </c>
      <c r="U948" s="90"/>
      <c r="V948" s="79"/>
    </row>
    <row r="949">
      <c r="A949" s="53" t="s">
        <v>2518</v>
      </c>
      <c r="B949" s="54" t="s">
        <v>35</v>
      </c>
      <c r="C949" s="54" t="s">
        <v>36</v>
      </c>
      <c r="D949" s="59" t="str">
        <f t="shared" si="19"/>
        <v>Removed</v>
      </c>
      <c r="E949" s="61">
        <v>45342.0</v>
      </c>
      <c r="F949" s="120">
        <v>45703.0</v>
      </c>
      <c r="G949" s="65">
        <f t="shared" si="2"/>
        <v>11.83333333</v>
      </c>
      <c r="H949" s="88">
        <v>44449.0</v>
      </c>
      <c r="I949" s="65">
        <f t="shared" si="3"/>
        <v>2.444444444</v>
      </c>
      <c r="J949" s="121">
        <v>87.0</v>
      </c>
      <c r="K949" s="121">
        <v>41.0</v>
      </c>
      <c r="L949" s="69" t="s">
        <v>46</v>
      </c>
      <c r="M949" s="69"/>
      <c r="N949" s="69"/>
      <c r="O949" s="69" t="s">
        <v>328</v>
      </c>
      <c r="P949" s="122" t="s">
        <v>2519</v>
      </c>
      <c r="Q949" s="69"/>
      <c r="R949" s="59" t="str">
        <f t="shared" si="4"/>
        <v>Removed</v>
      </c>
      <c r="S949" s="88">
        <v>45547.0</v>
      </c>
      <c r="T949" s="65">
        <f t="shared" si="5"/>
        <v>6.733333333</v>
      </c>
      <c r="U949" s="88"/>
      <c r="V949" s="65"/>
    </row>
    <row r="950">
      <c r="A950" s="74" t="s">
        <v>2520</v>
      </c>
      <c r="B950" s="75" t="s">
        <v>35</v>
      </c>
      <c r="C950" s="75" t="s">
        <v>36</v>
      </c>
      <c r="D950" s="76" t="str">
        <f t="shared" si="19"/>
        <v>Removed</v>
      </c>
      <c r="E950" s="90">
        <v>45336.0</v>
      </c>
      <c r="F950" s="105">
        <v>45703.0</v>
      </c>
      <c r="G950" s="79">
        <f t="shared" si="2"/>
        <v>12.03333333</v>
      </c>
      <c r="H950" s="90">
        <v>44873.0</v>
      </c>
      <c r="I950" s="79">
        <f t="shared" si="3"/>
        <v>1.266666667</v>
      </c>
      <c r="J950" s="106">
        <v>75.0</v>
      </c>
      <c r="K950" s="106">
        <v>4.0</v>
      </c>
      <c r="L950" s="82" t="s">
        <v>96</v>
      </c>
      <c r="M950" s="82"/>
      <c r="N950" s="82"/>
      <c r="O950" s="82" t="s">
        <v>1331</v>
      </c>
      <c r="P950" s="107"/>
      <c r="Q950" s="82"/>
      <c r="R950" s="76" t="str">
        <f t="shared" si="4"/>
        <v>Removed</v>
      </c>
      <c r="S950" s="90">
        <v>45547.0</v>
      </c>
      <c r="T950" s="79">
        <f t="shared" si="5"/>
        <v>6.933333333</v>
      </c>
      <c r="U950" s="90"/>
      <c r="V950" s="79"/>
    </row>
    <row r="951">
      <c r="A951" s="207" t="s">
        <v>2521</v>
      </c>
      <c r="B951" s="54" t="s">
        <v>35</v>
      </c>
      <c r="C951" s="54" t="s">
        <v>36</v>
      </c>
      <c r="D951" s="59" t="str">
        <f t="shared" si="19"/>
        <v>Removed</v>
      </c>
      <c r="E951" s="61">
        <v>45336.0</v>
      </c>
      <c r="F951" s="120">
        <v>45703.0</v>
      </c>
      <c r="G951" s="65">
        <f t="shared" si="2"/>
        <v>12.03333333</v>
      </c>
      <c r="H951" s="88">
        <v>43634.0</v>
      </c>
      <c r="I951" s="65">
        <f t="shared" si="3"/>
        <v>4.655555556</v>
      </c>
      <c r="J951" s="208">
        <v>84.0</v>
      </c>
      <c r="K951" s="121">
        <v>13.5</v>
      </c>
      <c r="L951" s="69" t="s">
        <v>57</v>
      </c>
      <c r="M951" s="91"/>
      <c r="N951" s="69" t="s">
        <v>2522</v>
      </c>
      <c r="O951" s="69" t="s">
        <v>328</v>
      </c>
      <c r="P951" s="122" t="s">
        <v>2523</v>
      </c>
      <c r="Q951" s="91"/>
      <c r="R951" s="59" t="str">
        <f t="shared" si="4"/>
        <v>Removed</v>
      </c>
      <c r="S951" s="88">
        <v>45547.0</v>
      </c>
      <c r="T951" s="65">
        <f t="shared" si="5"/>
        <v>6.933333333</v>
      </c>
      <c r="U951" s="88"/>
      <c r="V951" s="65"/>
    </row>
    <row r="952">
      <c r="A952" s="74" t="s">
        <v>2524</v>
      </c>
      <c r="B952" s="75" t="s">
        <v>35</v>
      </c>
      <c r="C952" s="75" t="s">
        <v>36</v>
      </c>
      <c r="D952" s="76" t="str">
        <f t="shared" si="19"/>
        <v>Removed</v>
      </c>
      <c r="E952" s="90">
        <v>44985.0</v>
      </c>
      <c r="F952" s="105">
        <v>45703.0</v>
      </c>
      <c r="G952" s="79">
        <f t="shared" si="2"/>
        <v>23.56666667</v>
      </c>
      <c r="H952" s="90">
        <v>44985.0</v>
      </c>
      <c r="I952" s="79">
        <f t="shared" si="3"/>
        <v>0</v>
      </c>
      <c r="J952" s="106">
        <v>70.0</v>
      </c>
      <c r="K952" s="106">
        <v>8.0</v>
      </c>
      <c r="L952" s="82" t="s">
        <v>96</v>
      </c>
      <c r="M952" s="82"/>
      <c r="N952" s="82"/>
      <c r="O952" s="82" t="s">
        <v>1168</v>
      </c>
      <c r="P952" s="107" t="s">
        <v>1519</v>
      </c>
      <c r="Q952" s="82"/>
      <c r="R952" s="76" t="str">
        <f t="shared" si="4"/>
        <v>Removed</v>
      </c>
      <c r="S952" s="90">
        <v>45547.0</v>
      </c>
      <c r="T952" s="79">
        <f t="shared" si="5"/>
        <v>18.46666667</v>
      </c>
      <c r="U952" s="90"/>
      <c r="V952" s="79"/>
    </row>
    <row r="953">
      <c r="A953" s="53" t="s">
        <v>2525</v>
      </c>
      <c r="B953" s="54" t="s">
        <v>35</v>
      </c>
      <c r="C953" s="54"/>
      <c r="D953" s="59" t="str">
        <f t="shared" si="19"/>
        <v>Removed</v>
      </c>
      <c r="E953" s="88">
        <v>44966.0</v>
      </c>
      <c r="F953" s="120">
        <v>45703.0</v>
      </c>
      <c r="G953" s="65">
        <f t="shared" si="2"/>
        <v>24.2</v>
      </c>
      <c r="H953" s="88">
        <v>44791.0</v>
      </c>
      <c r="I953" s="65">
        <f t="shared" si="3"/>
        <v>0.475</v>
      </c>
      <c r="J953" s="121">
        <v>69.0</v>
      </c>
      <c r="K953" s="121">
        <v>28.0</v>
      </c>
      <c r="L953" s="69" t="s">
        <v>62</v>
      </c>
      <c r="M953" s="69"/>
      <c r="N953" s="69"/>
      <c r="O953" s="69" t="s">
        <v>1219</v>
      </c>
      <c r="P953" s="122" t="s">
        <v>2350</v>
      </c>
      <c r="Q953" s="69"/>
      <c r="R953" s="59" t="str">
        <f t="shared" si="4"/>
        <v>Removed</v>
      </c>
      <c r="S953" s="88">
        <v>45547.0</v>
      </c>
      <c r="T953" s="65">
        <f t="shared" si="5"/>
        <v>19.1</v>
      </c>
      <c r="U953" s="88"/>
      <c r="V953" s="65"/>
    </row>
    <row r="954">
      <c r="A954" s="74" t="s">
        <v>2526</v>
      </c>
      <c r="B954" s="75" t="s">
        <v>129</v>
      </c>
      <c r="C954" s="75"/>
      <c r="D954" s="76" t="str">
        <f t="shared" si="19"/>
        <v>Removed</v>
      </c>
      <c r="E954" s="90">
        <v>44145.0</v>
      </c>
      <c r="F954" s="105">
        <v>45703.0</v>
      </c>
      <c r="G954" s="79">
        <f t="shared" si="2"/>
        <v>51.16666667</v>
      </c>
      <c r="H954" s="90">
        <v>43133.0</v>
      </c>
      <c r="I954" s="79">
        <f t="shared" si="3"/>
        <v>2.772222222</v>
      </c>
      <c r="J954" s="106">
        <v>77.0</v>
      </c>
      <c r="K954" s="106">
        <v>9.0</v>
      </c>
      <c r="L954" s="82" t="s">
        <v>62</v>
      </c>
      <c r="M954" s="82"/>
      <c r="N954" s="82"/>
      <c r="O954" s="82" t="s">
        <v>328</v>
      </c>
      <c r="P954" s="107" t="s">
        <v>1964</v>
      </c>
      <c r="Q954" s="82"/>
      <c r="R954" s="76" t="str">
        <f t="shared" si="4"/>
        <v>Removed</v>
      </c>
      <c r="S954" s="90">
        <v>45547.0</v>
      </c>
      <c r="T954" s="79">
        <f t="shared" si="5"/>
        <v>46.06666667</v>
      </c>
      <c r="U954" s="90"/>
      <c r="V954" s="79"/>
    </row>
    <row r="955">
      <c r="A955" s="53" t="s">
        <v>2527</v>
      </c>
      <c r="B955" s="54" t="s">
        <v>35</v>
      </c>
      <c r="C955" s="54" t="s">
        <v>36</v>
      </c>
      <c r="D955" s="59" t="str">
        <f t="shared" si="19"/>
        <v>Removed</v>
      </c>
      <c r="E955" s="88">
        <v>45328.0</v>
      </c>
      <c r="F955" s="120">
        <v>45688.0</v>
      </c>
      <c r="G955" s="65">
        <f t="shared" si="2"/>
        <v>11.8</v>
      </c>
      <c r="H955" s="88">
        <v>44672.0</v>
      </c>
      <c r="I955" s="65">
        <f t="shared" si="3"/>
        <v>1.791666667</v>
      </c>
      <c r="J955" s="121">
        <v>70.0</v>
      </c>
      <c r="K955" s="121">
        <v>9.0</v>
      </c>
      <c r="L955" s="69" t="s">
        <v>46</v>
      </c>
      <c r="M955" s="69"/>
      <c r="N955" s="69"/>
      <c r="O955" s="69" t="s">
        <v>328</v>
      </c>
      <c r="P955" s="122" t="s">
        <v>1527</v>
      </c>
      <c r="Q955" s="69"/>
      <c r="R955" s="59" t="str">
        <f t="shared" si="4"/>
        <v>Removed</v>
      </c>
      <c r="S955" s="88">
        <v>45547.0</v>
      </c>
      <c r="T955" s="65">
        <f t="shared" si="5"/>
        <v>7.2</v>
      </c>
      <c r="U955" s="88"/>
      <c r="V955" s="65"/>
    </row>
    <row r="956">
      <c r="A956" s="74" t="s">
        <v>2528</v>
      </c>
      <c r="B956" s="75" t="s">
        <v>35</v>
      </c>
      <c r="C956" s="75" t="s">
        <v>36</v>
      </c>
      <c r="D956" s="76" t="str">
        <f t="shared" si="19"/>
        <v>Removed</v>
      </c>
      <c r="E956" s="90">
        <v>45146.0</v>
      </c>
      <c r="F956" s="105">
        <v>45688.0</v>
      </c>
      <c r="G956" s="79">
        <f t="shared" si="2"/>
        <v>17.73333333</v>
      </c>
      <c r="H956" s="90">
        <v>45146.0</v>
      </c>
      <c r="I956" s="79">
        <f t="shared" si="3"/>
        <v>0</v>
      </c>
      <c r="J956" s="106">
        <v>80.0</v>
      </c>
      <c r="K956" s="106">
        <v>7.0</v>
      </c>
      <c r="L956" s="82" t="s">
        <v>37</v>
      </c>
      <c r="M956" s="82"/>
      <c r="N956" s="82"/>
      <c r="O956" s="262" t="s">
        <v>1331</v>
      </c>
      <c r="P956" s="107"/>
      <c r="Q956" s="82"/>
      <c r="R956" s="76" t="str">
        <f t="shared" si="4"/>
        <v>Removed</v>
      </c>
      <c r="S956" s="90">
        <v>45547.0</v>
      </c>
      <c r="T956" s="79">
        <f t="shared" si="5"/>
        <v>13.13333333</v>
      </c>
      <c r="U956" s="90"/>
      <c r="V956" s="79"/>
    </row>
    <row r="957">
      <c r="A957" s="53" t="s">
        <v>2529</v>
      </c>
      <c r="B957" s="54" t="s">
        <v>35</v>
      </c>
      <c r="C957" s="54" t="s">
        <v>36</v>
      </c>
      <c r="D957" s="59" t="str">
        <f t="shared" si="19"/>
        <v>Removed</v>
      </c>
      <c r="E957" s="88">
        <v>45132.0</v>
      </c>
      <c r="F957" s="120">
        <v>45688.0</v>
      </c>
      <c r="G957" s="65">
        <f t="shared" si="2"/>
        <v>18.16666667</v>
      </c>
      <c r="H957" s="88">
        <v>44586.0</v>
      </c>
      <c r="I957" s="65">
        <f t="shared" si="3"/>
        <v>1.5</v>
      </c>
      <c r="J957" s="121">
        <v>70.0</v>
      </c>
      <c r="K957" s="121">
        <v>5.0</v>
      </c>
      <c r="L957" s="69" t="s">
        <v>37</v>
      </c>
      <c r="M957" s="69" t="s">
        <v>38</v>
      </c>
      <c r="N957" s="69"/>
      <c r="O957" s="69" t="s">
        <v>107</v>
      </c>
      <c r="P957" s="122" t="s">
        <v>2495</v>
      </c>
      <c r="Q957" s="69"/>
      <c r="R957" s="59" t="str">
        <f t="shared" si="4"/>
        <v>Removed</v>
      </c>
      <c r="S957" s="88">
        <v>45547.0</v>
      </c>
      <c r="T957" s="65">
        <f t="shared" si="5"/>
        <v>13.56666667</v>
      </c>
      <c r="U957" s="88"/>
      <c r="V957" s="65"/>
    </row>
    <row r="958">
      <c r="A958" s="74" t="s">
        <v>2530</v>
      </c>
      <c r="B958" s="75" t="s">
        <v>35</v>
      </c>
      <c r="C958" s="75" t="s">
        <v>36</v>
      </c>
      <c r="D958" s="76" t="str">
        <f t="shared" si="19"/>
        <v>Removed</v>
      </c>
      <c r="E958" s="90">
        <v>45126.0</v>
      </c>
      <c r="F958" s="105">
        <v>45688.0</v>
      </c>
      <c r="G958" s="79">
        <f t="shared" si="2"/>
        <v>18.36666667</v>
      </c>
      <c r="H958" s="90">
        <v>44257.0</v>
      </c>
      <c r="I958" s="79">
        <f t="shared" si="3"/>
        <v>2.380555556</v>
      </c>
      <c r="J958" s="106">
        <v>70.0</v>
      </c>
      <c r="K958" s="106">
        <v>4.0</v>
      </c>
      <c r="L958" s="82" t="s">
        <v>96</v>
      </c>
      <c r="M958" s="82"/>
      <c r="N958" s="82"/>
      <c r="O958" s="82" t="s">
        <v>1168</v>
      </c>
      <c r="P958" s="107" t="s">
        <v>2531</v>
      </c>
      <c r="Q958" s="82"/>
      <c r="R958" s="76" t="str">
        <f t="shared" si="4"/>
        <v>Removed</v>
      </c>
      <c r="S958" s="90">
        <v>45547.0</v>
      </c>
      <c r="T958" s="79">
        <f t="shared" si="5"/>
        <v>13.76666667</v>
      </c>
      <c r="U958" s="90"/>
      <c r="V958" s="79"/>
    </row>
    <row r="959">
      <c r="A959" s="53" t="s">
        <v>2532</v>
      </c>
      <c r="B959" s="54" t="s">
        <v>35</v>
      </c>
      <c r="C959" s="54" t="s">
        <v>36</v>
      </c>
      <c r="D959" s="59" t="str">
        <f t="shared" si="19"/>
        <v>Removed</v>
      </c>
      <c r="E959" s="88">
        <v>44959.0</v>
      </c>
      <c r="F959" s="120">
        <v>45688.0</v>
      </c>
      <c r="G959" s="65">
        <f t="shared" si="2"/>
        <v>23.93333333</v>
      </c>
      <c r="H959" s="88">
        <v>42388.0</v>
      </c>
      <c r="I959" s="65">
        <f t="shared" si="3"/>
        <v>7.036111111</v>
      </c>
      <c r="J959" s="121">
        <v>84.0</v>
      </c>
      <c r="K959" s="121">
        <v>56.0</v>
      </c>
      <c r="L959" s="69" t="s">
        <v>46</v>
      </c>
      <c r="M959" s="69"/>
      <c r="N959" s="110" t="s">
        <v>2533</v>
      </c>
      <c r="O959" s="69" t="s">
        <v>328</v>
      </c>
      <c r="P959" s="122" t="s">
        <v>2534</v>
      </c>
      <c r="Q959" s="69"/>
      <c r="R959" s="59" t="str">
        <f t="shared" si="4"/>
        <v>Removed</v>
      </c>
      <c r="S959" s="88">
        <v>45547.0</v>
      </c>
      <c r="T959" s="65">
        <f t="shared" si="5"/>
        <v>19.33333333</v>
      </c>
      <c r="U959" s="88"/>
      <c r="V959" s="65"/>
    </row>
    <row r="960">
      <c r="A960" s="74" t="s">
        <v>2535</v>
      </c>
      <c r="B960" s="75" t="s">
        <v>35</v>
      </c>
      <c r="C960" s="75" t="s">
        <v>100</v>
      </c>
      <c r="D960" s="76" t="str">
        <f t="shared" si="19"/>
        <v>Removed</v>
      </c>
      <c r="E960" s="90">
        <v>44581.0</v>
      </c>
      <c r="F960" s="105">
        <v>45688.0</v>
      </c>
      <c r="G960" s="79">
        <f t="shared" si="2"/>
        <v>36.33333333</v>
      </c>
      <c r="H960" s="90">
        <v>44397.0</v>
      </c>
      <c r="I960" s="79">
        <f t="shared" si="3"/>
        <v>0.5</v>
      </c>
      <c r="J960" s="106">
        <f>(85+87)/2</f>
        <v>86</v>
      </c>
      <c r="K960" s="106">
        <v>8.5</v>
      </c>
      <c r="L960" s="82" t="s">
        <v>41</v>
      </c>
      <c r="M960" s="82"/>
      <c r="N960" s="82"/>
      <c r="O960" s="82" t="s">
        <v>328</v>
      </c>
      <c r="P960" s="107" t="s">
        <v>2536</v>
      </c>
      <c r="Q960" s="82"/>
      <c r="R960" s="76" t="str">
        <f t="shared" si="4"/>
        <v>Removed</v>
      </c>
      <c r="S960" s="90">
        <v>45547.0</v>
      </c>
      <c r="T960" s="79">
        <f t="shared" si="5"/>
        <v>31.73333333</v>
      </c>
      <c r="U960" s="90"/>
      <c r="V960" s="79"/>
    </row>
    <row r="961">
      <c r="A961" s="53" t="s">
        <v>2537</v>
      </c>
      <c r="B961" s="54" t="s">
        <v>35</v>
      </c>
      <c r="C961" s="54" t="s">
        <v>36</v>
      </c>
      <c r="D961" s="59" t="str">
        <f t="shared" si="19"/>
        <v>Removed</v>
      </c>
      <c r="E961" s="88">
        <v>45307.0</v>
      </c>
      <c r="F961" s="120">
        <v>45672.0</v>
      </c>
      <c r="G961" s="65">
        <f t="shared" si="2"/>
        <v>11.96666667</v>
      </c>
      <c r="H961" s="88">
        <v>43979.0</v>
      </c>
      <c r="I961" s="65">
        <f t="shared" si="3"/>
        <v>3.633333333</v>
      </c>
      <c r="J961" s="121">
        <v>49.0</v>
      </c>
      <c r="K961" s="121">
        <v>6.0</v>
      </c>
      <c r="L961" s="69" t="s">
        <v>135</v>
      </c>
      <c r="M961" s="69"/>
      <c r="N961" s="69"/>
      <c r="O961" s="69"/>
      <c r="P961" s="122"/>
      <c r="Q961" s="69"/>
      <c r="R961" s="59" t="str">
        <f t="shared" si="4"/>
        <v>Removed</v>
      </c>
      <c r="S961" s="88">
        <v>45547.0</v>
      </c>
      <c r="T961" s="65">
        <f t="shared" si="5"/>
        <v>7.866666667</v>
      </c>
      <c r="U961" s="88"/>
      <c r="V961" s="65"/>
    </row>
    <row r="962">
      <c r="A962" s="74" t="s">
        <v>2538</v>
      </c>
      <c r="B962" s="75" t="s">
        <v>35</v>
      </c>
      <c r="C962" s="75" t="s">
        <v>36</v>
      </c>
      <c r="D962" s="76" t="str">
        <f t="shared" si="19"/>
        <v>Removed</v>
      </c>
      <c r="E962" s="90">
        <v>45300.0</v>
      </c>
      <c r="F962" s="105">
        <v>45672.0</v>
      </c>
      <c r="G962" s="79">
        <f t="shared" si="2"/>
        <v>12.2</v>
      </c>
      <c r="H962" s="90">
        <v>43000.0</v>
      </c>
      <c r="I962" s="79">
        <f t="shared" si="3"/>
        <v>6.297222222</v>
      </c>
      <c r="J962" s="106">
        <v>75.0</v>
      </c>
      <c r="K962" s="106">
        <v>5.0</v>
      </c>
      <c r="L962" s="82" t="s">
        <v>41</v>
      </c>
      <c r="M962" s="82"/>
      <c r="N962" s="82"/>
      <c r="O962" s="82"/>
      <c r="P962" s="107"/>
      <c r="Q962" s="82"/>
      <c r="R962" s="76" t="str">
        <f t="shared" si="4"/>
        <v>Removed</v>
      </c>
      <c r="S962" s="90">
        <v>45547.0</v>
      </c>
      <c r="T962" s="79">
        <f t="shared" si="5"/>
        <v>8.1</v>
      </c>
      <c r="U962" s="90"/>
      <c r="V962" s="79"/>
    </row>
    <row r="963">
      <c r="A963" s="53" t="s">
        <v>2539</v>
      </c>
      <c r="B963" s="54" t="s">
        <v>35</v>
      </c>
      <c r="C963" s="54" t="s">
        <v>36</v>
      </c>
      <c r="D963" s="59" t="str">
        <f t="shared" si="19"/>
        <v>Removed</v>
      </c>
      <c r="E963" s="88">
        <v>45121.0</v>
      </c>
      <c r="F963" s="120">
        <v>45672.0</v>
      </c>
      <c r="G963" s="65">
        <f t="shared" si="2"/>
        <v>18.03333333</v>
      </c>
      <c r="H963" s="88">
        <v>45121.0</v>
      </c>
      <c r="I963" s="65">
        <f t="shared" si="3"/>
        <v>0</v>
      </c>
      <c r="J963" s="121">
        <v>73.0</v>
      </c>
      <c r="K963" s="121">
        <v>6.0</v>
      </c>
      <c r="L963" s="69" t="s">
        <v>105</v>
      </c>
      <c r="M963" s="69"/>
      <c r="N963" s="69"/>
      <c r="O963" s="69" t="s">
        <v>107</v>
      </c>
      <c r="P963" s="122"/>
      <c r="Q963" s="69"/>
      <c r="R963" s="59" t="str">
        <f t="shared" si="4"/>
        <v>Removed</v>
      </c>
      <c r="S963" s="88">
        <v>45547.0</v>
      </c>
      <c r="T963" s="65">
        <f t="shared" si="5"/>
        <v>13.93333333</v>
      </c>
      <c r="U963" s="88"/>
      <c r="V963" s="65"/>
    </row>
    <row r="964">
      <c r="A964" s="74" t="s">
        <v>2540</v>
      </c>
      <c r="B964" s="75" t="s">
        <v>35</v>
      </c>
      <c r="C964" s="75" t="s">
        <v>36</v>
      </c>
      <c r="D964" s="76" t="str">
        <f t="shared" si="19"/>
        <v>Removed</v>
      </c>
      <c r="E964" s="90">
        <v>45118.0</v>
      </c>
      <c r="F964" s="105">
        <v>45672.0</v>
      </c>
      <c r="G964" s="79">
        <f t="shared" si="2"/>
        <v>18.13333333</v>
      </c>
      <c r="H964" s="90">
        <v>44875.0</v>
      </c>
      <c r="I964" s="79">
        <f t="shared" si="3"/>
        <v>0.6694444444</v>
      </c>
      <c r="J964" s="106">
        <v>50.0</v>
      </c>
      <c r="K964" s="106">
        <v>23.0</v>
      </c>
      <c r="L964" s="82" t="s">
        <v>64</v>
      </c>
      <c r="M964" s="83"/>
      <c r="N964" s="82"/>
      <c r="O964" s="82" t="s">
        <v>1331</v>
      </c>
      <c r="P964" s="107"/>
      <c r="Q964" s="82"/>
      <c r="R964" s="76" t="str">
        <f t="shared" si="4"/>
        <v>Removed</v>
      </c>
      <c r="S964" s="90">
        <v>45547.0</v>
      </c>
      <c r="T964" s="79">
        <f t="shared" si="5"/>
        <v>14.03333333</v>
      </c>
      <c r="U964" s="90"/>
      <c r="V964" s="79"/>
    </row>
    <row r="965">
      <c r="A965" s="53" t="s">
        <v>2165</v>
      </c>
      <c r="B965" s="54" t="s">
        <v>35</v>
      </c>
      <c r="C965" s="54" t="s">
        <v>36</v>
      </c>
      <c r="D965" s="59" t="str">
        <f t="shared" si="19"/>
        <v>Removed</v>
      </c>
      <c r="E965" s="88">
        <v>44894.0</v>
      </c>
      <c r="F965" s="120">
        <v>45672.0</v>
      </c>
      <c r="G965" s="65">
        <f t="shared" si="2"/>
        <v>25.53333333</v>
      </c>
      <c r="H965" s="88">
        <v>43361.0</v>
      </c>
      <c r="I965" s="65">
        <f t="shared" si="3"/>
        <v>4.197222222</v>
      </c>
      <c r="J965" s="121">
        <v>80.0</v>
      </c>
      <c r="K965" s="121">
        <v>33.0</v>
      </c>
      <c r="L965" s="69" t="s">
        <v>37</v>
      </c>
      <c r="M965" s="69"/>
      <c r="N965" s="69" t="s">
        <v>2541</v>
      </c>
      <c r="O965" s="69" t="s">
        <v>107</v>
      </c>
      <c r="P965" s="122" t="s">
        <v>2375</v>
      </c>
      <c r="Q965" s="69"/>
      <c r="R965" s="59" t="str">
        <f t="shared" si="4"/>
        <v>Removed</v>
      </c>
      <c r="S965" s="88">
        <v>45547.0</v>
      </c>
      <c r="T965" s="65">
        <f t="shared" si="5"/>
        <v>21.43333333</v>
      </c>
      <c r="U965" s="88"/>
      <c r="V965" s="65"/>
    </row>
    <row r="966">
      <c r="A966" s="74" t="s">
        <v>2135</v>
      </c>
      <c r="B966" s="75" t="s">
        <v>35</v>
      </c>
      <c r="C966" s="75" t="s">
        <v>100</v>
      </c>
      <c r="D966" s="76" t="str">
        <f t="shared" si="19"/>
        <v>Removed</v>
      </c>
      <c r="E966" s="90">
        <v>44756.0</v>
      </c>
      <c r="F966" s="105">
        <v>45672.0</v>
      </c>
      <c r="G966" s="79">
        <f t="shared" si="2"/>
        <v>30.03333333</v>
      </c>
      <c r="H966" s="90">
        <v>44756.0</v>
      </c>
      <c r="I966" s="79">
        <f t="shared" si="3"/>
        <v>0</v>
      </c>
      <c r="J966" s="106">
        <v>81.0</v>
      </c>
      <c r="K966" s="106">
        <v>4.5</v>
      </c>
      <c r="L966" s="82" t="s">
        <v>135</v>
      </c>
      <c r="M966" s="82"/>
      <c r="N966" s="82"/>
      <c r="O966" s="82" t="s">
        <v>328</v>
      </c>
      <c r="P966" s="107" t="s">
        <v>1378</v>
      </c>
      <c r="Q966" s="82"/>
      <c r="R966" s="76" t="str">
        <f t="shared" si="4"/>
        <v>Removed</v>
      </c>
      <c r="S966" s="90">
        <v>45547.0</v>
      </c>
      <c r="T966" s="79">
        <f t="shared" si="5"/>
        <v>25.93333333</v>
      </c>
      <c r="U966" s="90"/>
      <c r="V966" s="79"/>
    </row>
    <row r="967">
      <c r="A967" s="53" t="s">
        <v>2542</v>
      </c>
      <c r="B967" s="54" t="s">
        <v>129</v>
      </c>
      <c r="C967" s="54" t="s">
        <v>36</v>
      </c>
      <c r="D967" s="59" t="str">
        <f t="shared" si="19"/>
        <v>Removed</v>
      </c>
      <c r="E967" s="88">
        <v>45385.0</v>
      </c>
      <c r="F967" s="120">
        <v>45657.0</v>
      </c>
      <c r="G967" s="65">
        <f t="shared" si="2"/>
        <v>8.9</v>
      </c>
      <c r="H967" s="88">
        <v>45062.0</v>
      </c>
      <c r="I967" s="65">
        <f t="shared" si="3"/>
        <v>0.8805555556</v>
      </c>
      <c r="J967" s="121">
        <v>73.0</v>
      </c>
      <c r="K967" s="121">
        <v>7.0</v>
      </c>
      <c r="L967" s="69" t="s">
        <v>55</v>
      </c>
      <c r="M967" s="69"/>
      <c r="N967" s="69"/>
      <c r="O967" s="69" t="s">
        <v>1168</v>
      </c>
      <c r="P967" s="122" t="s">
        <v>1396</v>
      </c>
      <c r="Q967" s="69"/>
      <c r="R967" s="59" t="str">
        <f t="shared" si="4"/>
        <v>Removed</v>
      </c>
      <c r="S967" s="88">
        <v>45547.0</v>
      </c>
      <c r="T967" s="65">
        <f t="shared" si="5"/>
        <v>5.3</v>
      </c>
      <c r="U967" s="88"/>
      <c r="V967" s="65"/>
    </row>
    <row r="968">
      <c r="A968" s="74" t="s">
        <v>2543</v>
      </c>
      <c r="B968" s="75" t="s">
        <v>35</v>
      </c>
      <c r="C968" s="75" t="s">
        <v>36</v>
      </c>
      <c r="D968" s="76" t="str">
        <f t="shared" si="19"/>
        <v>Removed</v>
      </c>
      <c r="E968" s="90">
        <v>45293.0</v>
      </c>
      <c r="F968" s="105">
        <v>45657.0</v>
      </c>
      <c r="G968" s="79">
        <f t="shared" si="2"/>
        <v>11.93333333</v>
      </c>
      <c r="H968" s="90">
        <v>43767.0</v>
      </c>
      <c r="I968" s="79">
        <f t="shared" si="3"/>
        <v>4.175</v>
      </c>
      <c r="J968" s="106">
        <v>66.0</v>
      </c>
      <c r="K968" s="106">
        <v>4.0</v>
      </c>
      <c r="L968" s="82" t="s">
        <v>135</v>
      </c>
      <c r="M968" s="82"/>
      <c r="N968" s="82"/>
      <c r="O968" s="82"/>
      <c r="P968" s="107"/>
      <c r="Q968" s="82"/>
      <c r="R968" s="76" t="str">
        <f t="shared" si="4"/>
        <v>Removed</v>
      </c>
      <c r="S968" s="90">
        <v>45547.0</v>
      </c>
      <c r="T968" s="79">
        <f t="shared" si="5"/>
        <v>8.333333333</v>
      </c>
      <c r="U968" s="90"/>
      <c r="V968" s="79"/>
    </row>
    <row r="969">
      <c r="A969" s="53" t="s">
        <v>2159</v>
      </c>
      <c r="B969" s="54" t="s">
        <v>129</v>
      </c>
      <c r="C969" s="54" t="s">
        <v>36</v>
      </c>
      <c r="D969" s="59" t="str">
        <f t="shared" si="19"/>
        <v>Removed</v>
      </c>
      <c r="E969" s="88">
        <v>45189.0</v>
      </c>
      <c r="F969" s="120">
        <v>45657.0</v>
      </c>
      <c r="G969" s="65">
        <f t="shared" si="2"/>
        <v>15.33333333</v>
      </c>
      <c r="H969" s="88">
        <v>45189.0</v>
      </c>
      <c r="I969" s="65">
        <f t="shared" si="3"/>
        <v>0</v>
      </c>
      <c r="J969" s="121">
        <v>77.0</v>
      </c>
      <c r="K969" s="121">
        <v>1.0</v>
      </c>
      <c r="L969" s="69" t="s">
        <v>105</v>
      </c>
      <c r="M969" s="69"/>
      <c r="N969" s="69"/>
      <c r="O969" s="69" t="s">
        <v>328</v>
      </c>
      <c r="P969" s="122" t="s">
        <v>2544</v>
      </c>
      <c r="Q969" s="69"/>
      <c r="R969" s="59" t="str">
        <f t="shared" si="4"/>
        <v>Removed</v>
      </c>
      <c r="S969" s="88">
        <v>45547.0</v>
      </c>
      <c r="T969" s="65">
        <f t="shared" si="5"/>
        <v>11.73333333</v>
      </c>
      <c r="U969" s="88"/>
      <c r="V969" s="65"/>
    </row>
    <row r="970">
      <c r="A970" s="74" t="s">
        <v>2545</v>
      </c>
      <c r="B970" s="75" t="s">
        <v>35</v>
      </c>
      <c r="C970" s="75" t="s">
        <v>36</v>
      </c>
      <c r="D970" s="76" t="str">
        <f t="shared" si="19"/>
        <v>Removed</v>
      </c>
      <c r="E970" s="90">
        <v>45113.0</v>
      </c>
      <c r="F970" s="105">
        <v>45657.0</v>
      </c>
      <c r="G970" s="79">
        <f t="shared" si="2"/>
        <v>17.8</v>
      </c>
      <c r="H970" s="90">
        <v>44879.0</v>
      </c>
      <c r="I970" s="79">
        <f t="shared" si="3"/>
        <v>0.6444444444</v>
      </c>
      <c r="J970" s="106">
        <v>75.0</v>
      </c>
      <c r="K970" s="106">
        <v>5.0</v>
      </c>
      <c r="L970" s="82" t="s">
        <v>2011</v>
      </c>
      <c r="M970" s="83"/>
      <c r="N970" s="82"/>
      <c r="O970" s="82" t="s">
        <v>1331</v>
      </c>
      <c r="Q970" s="82"/>
      <c r="R970" s="76" t="str">
        <f t="shared" si="4"/>
        <v>Removed</v>
      </c>
      <c r="S970" s="90">
        <v>45547.0</v>
      </c>
      <c r="T970" s="79">
        <f t="shared" si="5"/>
        <v>14.2</v>
      </c>
      <c r="U970" s="90"/>
      <c r="V970" s="79"/>
    </row>
    <row r="971">
      <c r="A971" s="53" t="s">
        <v>2546</v>
      </c>
      <c r="B971" s="54" t="s">
        <v>35</v>
      </c>
      <c r="C971" s="54" t="s">
        <v>36</v>
      </c>
      <c r="D971" s="59" t="str">
        <f t="shared" si="19"/>
        <v>Removed</v>
      </c>
      <c r="E971" s="88">
        <v>45043.0</v>
      </c>
      <c r="F971" s="120">
        <v>45657.0</v>
      </c>
      <c r="G971" s="65">
        <f t="shared" si="2"/>
        <v>20.1</v>
      </c>
      <c r="H971" s="88">
        <v>43251.0</v>
      </c>
      <c r="I971" s="65">
        <f t="shared" si="3"/>
        <v>4.908333333</v>
      </c>
      <c r="J971" s="121">
        <v>72.0</v>
      </c>
      <c r="K971" s="121">
        <v>4.0</v>
      </c>
      <c r="L971" s="69" t="s">
        <v>52</v>
      </c>
      <c r="M971" s="69"/>
      <c r="N971" s="69"/>
      <c r="O971" s="69" t="s">
        <v>328</v>
      </c>
      <c r="P971" s="122" t="s">
        <v>1623</v>
      </c>
      <c r="Q971" s="69"/>
      <c r="R971" s="59" t="str">
        <f t="shared" si="4"/>
        <v>Removed</v>
      </c>
      <c r="S971" s="88">
        <v>45547.0</v>
      </c>
      <c r="T971" s="65">
        <f t="shared" si="5"/>
        <v>16.5</v>
      </c>
      <c r="U971" s="88"/>
      <c r="V971" s="65"/>
    </row>
    <row r="972">
      <c r="A972" s="74" t="s">
        <v>2547</v>
      </c>
      <c r="B972" s="75" t="s">
        <v>35</v>
      </c>
      <c r="C972" s="75" t="s">
        <v>36</v>
      </c>
      <c r="D972" s="76" t="str">
        <f t="shared" si="19"/>
        <v>Removed</v>
      </c>
      <c r="E972" s="90">
        <v>44425.0</v>
      </c>
      <c r="F972" s="105">
        <v>45657.0</v>
      </c>
      <c r="G972" s="79">
        <f t="shared" si="2"/>
        <v>40.43333333</v>
      </c>
      <c r="H972" s="90">
        <v>44425.0</v>
      </c>
      <c r="I972" s="79">
        <f t="shared" si="3"/>
        <v>0</v>
      </c>
      <c r="J972" s="106">
        <v>78.0</v>
      </c>
      <c r="K972" s="106">
        <v>14.5</v>
      </c>
      <c r="L972" s="82" t="s">
        <v>81</v>
      </c>
      <c r="M972" s="82"/>
      <c r="N972" s="82" t="s">
        <v>2548</v>
      </c>
      <c r="O972" s="82" t="s">
        <v>1168</v>
      </c>
      <c r="P972" s="107" t="s">
        <v>2549</v>
      </c>
      <c r="Q972" s="82"/>
      <c r="R972" s="76" t="str">
        <f t="shared" si="4"/>
        <v>Removed</v>
      </c>
      <c r="S972" s="90">
        <v>45547.0</v>
      </c>
      <c r="T972" s="79">
        <f t="shared" si="5"/>
        <v>36.83333333</v>
      </c>
      <c r="U972" s="90"/>
      <c r="V972" s="79"/>
    </row>
    <row r="973">
      <c r="A973" s="53" t="s">
        <v>2550</v>
      </c>
      <c r="B973" s="54" t="s">
        <v>129</v>
      </c>
      <c r="C973" s="54"/>
      <c r="D973" s="59" t="str">
        <f t="shared" si="19"/>
        <v>Removed</v>
      </c>
      <c r="E973" s="61">
        <v>45371.0</v>
      </c>
      <c r="F973" s="120">
        <v>45641.0</v>
      </c>
      <c r="G973" s="65">
        <f t="shared" si="2"/>
        <v>8.833333333</v>
      </c>
      <c r="H973" s="88">
        <v>44722.0</v>
      </c>
      <c r="I973" s="65">
        <f t="shared" si="3"/>
        <v>1.777777778</v>
      </c>
      <c r="J973" s="121">
        <v>79.0</v>
      </c>
      <c r="K973" s="121">
        <v>9.0</v>
      </c>
      <c r="L973" s="69" t="s">
        <v>135</v>
      </c>
      <c r="M973" s="69"/>
      <c r="N973" s="69"/>
      <c r="O973" s="69" t="s">
        <v>107</v>
      </c>
      <c r="P973" s="122" t="s">
        <v>2551</v>
      </c>
      <c r="Q973" s="69"/>
      <c r="R973" s="59" t="str">
        <f t="shared" si="4"/>
        <v>Removed</v>
      </c>
      <c r="S973" s="88">
        <v>45547.0</v>
      </c>
      <c r="T973" s="65">
        <f t="shared" si="5"/>
        <v>5.733333333</v>
      </c>
      <c r="U973" s="88"/>
      <c r="V973" s="65"/>
    </row>
    <row r="974">
      <c r="A974" s="214" t="s">
        <v>2552</v>
      </c>
      <c r="B974" s="75" t="s">
        <v>35</v>
      </c>
      <c r="C974" s="75" t="s">
        <v>36</v>
      </c>
      <c r="D974" s="76" t="str">
        <f t="shared" si="19"/>
        <v>Removed</v>
      </c>
      <c r="E974" s="90">
        <v>45272.0</v>
      </c>
      <c r="F974" s="105">
        <v>45641.0</v>
      </c>
      <c r="G974" s="79">
        <f t="shared" si="2"/>
        <v>12.1</v>
      </c>
      <c r="H974" s="90">
        <v>43412.0</v>
      </c>
      <c r="I974" s="79">
        <f t="shared" si="3"/>
        <v>5.094444444</v>
      </c>
      <c r="J974" s="106">
        <v>66.0</v>
      </c>
      <c r="K974" s="106">
        <v>31.0</v>
      </c>
      <c r="L974" s="82" t="s">
        <v>96</v>
      </c>
      <c r="M974" s="82"/>
      <c r="N974" s="82"/>
      <c r="O974" s="82"/>
      <c r="P974" s="107"/>
      <c r="Q974" s="82"/>
      <c r="R974" s="76" t="str">
        <f t="shared" si="4"/>
        <v>Removed</v>
      </c>
      <c r="S974" s="90">
        <v>45547.0</v>
      </c>
      <c r="T974" s="79">
        <f t="shared" si="5"/>
        <v>9</v>
      </c>
      <c r="U974" s="90"/>
      <c r="V974" s="79"/>
    </row>
    <row r="975">
      <c r="A975" s="53" t="s">
        <v>2553</v>
      </c>
      <c r="B975" s="54" t="s">
        <v>35</v>
      </c>
      <c r="C975" s="54" t="s">
        <v>36</v>
      </c>
      <c r="D975" s="59" t="str">
        <f t="shared" si="19"/>
        <v>Removed</v>
      </c>
      <c r="E975" s="88">
        <v>45083.0</v>
      </c>
      <c r="F975" s="120">
        <v>45641.0</v>
      </c>
      <c r="G975" s="65">
        <f t="shared" si="2"/>
        <v>18.3</v>
      </c>
      <c r="H975" s="88">
        <v>45083.0</v>
      </c>
      <c r="I975" s="65">
        <f t="shared" si="3"/>
        <v>0</v>
      </c>
      <c r="J975" s="121">
        <v>77.0</v>
      </c>
      <c r="K975" s="121">
        <v>5.0</v>
      </c>
      <c r="L975" s="69" t="s">
        <v>135</v>
      </c>
      <c r="M975" s="69"/>
      <c r="N975" s="69"/>
      <c r="O975" s="69" t="s">
        <v>1331</v>
      </c>
      <c r="P975" s="122"/>
      <c r="Q975" s="69"/>
      <c r="R975" s="59" t="str">
        <f t="shared" si="4"/>
        <v>Removed</v>
      </c>
      <c r="S975" s="88">
        <v>45547.0</v>
      </c>
      <c r="T975" s="65">
        <f t="shared" si="5"/>
        <v>15.2</v>
      </c>
      <c r="U975" s="88"/>
      <c r="V975" s="65"/>
    </row>
    <row r="976">
      <c r="A976" s="74" t="s">
        <v>2554</v>
      </c>
      <c r="B976" s="75" t="s">
        <v>35</v>
      </c>
      <c r="C976" s="75" t="s">
        <v>36</v>
      </c>
      <c r="D976" s="76" t="str">
        <f t="shared" si="19"/>
        <v>Removed</v>
      </c>
      <c r="E976" s="90">
        <v>44910.0</v>
      </c>
      <c r="F976" s="105">
        <v>45641.0</v>
      </c>
      <c r="G976" s="79">
        <f t="shared" si="2"/>
        <v>24</v>
      </c>
      <c r="H976" s="90">
        <v>44474.0</v>
      </c>
      <c r="I976" s="79">
        <f t="shared" si="3"/>
        <v>1.194444444</v>
      </c>
      <c r="J976" s="106">
        <v>86.0</v>
      </c>
      <c r="K976" s="106">
        <v>12.0</v>
      </c>
      <c r="L976" s="82" t="s">
        <v>46</v>
      </c>
      <c r="M976" s="82"/>
      <c r="N976" s="82"/>
      <c r="O976" s="82" t="s">
        <v>1219</v>
      </c>
      <c r="P976" s="107"/>
      <c r="Q976" s="82"/>
      <c r="R976" s="76" t="str">
        <f t="shared" si="4"/>
        <v>Removed</v>
      </c>
      <c r="S976" s="90">
        <v>45547.0</v>
      </c>
      <c r="T976" s="79">
        <f t="shared" si="5"/>
        <v>20.9</v>
      </c>
      <c r="U976" s="90"/>
      <c r="V976" s="79"/>
    </row>
    <row r="977">
      <c r="A977" s="53" t="s">
        <v>2555</v>
      </c>
      <c r="B977" s="54" t="s">
        <v>35</v>
      </c>
      <c r="C977" s="54" t="s">
        <v>36</v>
      </c>
      <c r="D977" s="59" t="str">
        <f t="shared" si="19"/>
        <v>Removed</v>
      </c>
      <c r="E977" s="61">
        <v>44028.0</v>
      </c>
      <c r="F977" s="120">
        <v>45641.0</v>
      </c>
      <c r="G977" s="65">
        <f t="shared" si="2"/>
        <v>52.96666667</v>
      </c>
      <c r="H977" s="88">
        <v>43573.0</v>
      </c>
      <c r="I977" s="65">
        <f t="shared" si="3"/>
        <v>1.244444444</v>
      </c>
      <c r="J977" s="121">
        <v>78.0</v>
      </c>
      <c r="K977" s="121">
        <v>13.5</v>
      </c>
      <c r="L977" s="69" t="s">
        <v>135</v>
      </c>
      <c r="M977" s="69"/>
      <c r="N977" s="69"/>
      <c r="O977" s="69" t="s">
        <v>1168</v>
      </c>
      <c r="P977" s="122" t="s">
        <v>2556</v>
      </c>
      <c r="Q977" s="69"/>
      <c r="R977" s="59" t="str">
        <f t="shared" si="4"/>
        <v>Removed</v>
      </c>
      <c r="S977" s="88">
        <v>45547.0</v>
      </c>
      <c r="T977" s="65">
        <f t="shared" si="5"/>
        <v>49.86666667</v>
      </c>
      <c r="U977" s="88"/>
      <c r="V977" s="65"/>
    </row>
    <row r="978">
      <c r="A978" s="226" t="s">
        <v>1640</v>
      </c>
      <c r="B978" s="75" t="s">
        <v>35</v>
      </c>
      <c r="C978" s="75" t="s">
        <v>36</v>
      </c>
      <c r="D978" s="76" t="str">
        <f t="shared" si="19"/>
        <v>Removed</v>
      </c>
      <c r="E978" s="218">
        <v>43375.0</v>
      </c>
      <c r="F978" s="105">
        <v>45641.0</v>
      </c>
      <c r="G978" s="79">
        <f t="shared" si="2"/>
        <v>74.43333333</v>
      </c>
      <c r="H978" s="90">
        <v>43371.0</v>
      </c>
      <c r="I978" s="79">
        <f t="shared" si="3"/>
        <v>0.01111111111</v>
      </c>
      <c r="J978" s="216">
        <v>92.0</v>
      </c>
      <c r="K978" s="106">
        <v>11.0</v>
      </c>
      <c r="L978" s="82" t="s">
        <v>55</v>
      </c>
      <c r="M978" s="82" t="s">
        <v>326</v>
      </c>
      <c r="N978" s="82" t="s">
        <v>1657</v>
      </c>
      <c r="O978" s="82" t="s">
        <v>1219</v>
      </c>
      <c r="P978" s="107"/>
      <c r="Q978" s="82"/>
      <c r="R978" s="76" t="str">
        <f t="shared" si="4"/>
        <v>Removed</v>
      </c>
      <c r="S978" s="90">
        <v>45547.0</v>
      </c>
      <c r="T978" s="79">
        <f t="shared" si="5"/>
        <v>71.33333333</v>
      </c>
      <c r="U978" s="90">
        <v>45183.0</v>
      </c>
      <c r="V978" s="79">
        <f>MONTHDUR(E978,U978)</f>
        <v>59.4</v>
      </c>
    </row>
    <row r="979">
      <c r="A979" s="53" t="s">
        <v>2557</v>
      </c>
      <c r="B979" s="54" t="s">
        <v>35</v>
      </c>
      <c r="C979" s="54" t="s">
        <v>36</v>
      </c>
      <c r="D979" s="59" t="str">
        <f t="shared" si="19"/>
        <v>Removed</v>
      </c>
      <c r="E979" s="88">
        <v>45265.0</v>
      </c>
      <c r="F979" s="120">
        <v>45626.0</v>
      </c>
      <c r="G979" s="65">
        <f t="shared" si="2"/>
        <v>11.83333333</v>
      </c>
      <c r="H979" s="88">
        <v>45265.0</v>
      </c>
      <c r="I979" s="65">
        <f t="shared" si="3"/>
        <v>0</v>
      </c>
      <c r="J979" s="121">
        <v>63.0</v>
      </c>
      <c r="K979" s="121">
        <v>17.0</v>
      </c>
      <c r="L979" s="69" t="s">
        <v>135</v>
      </c>
      <c r="M979" s="69"/>
      <c r="N979" s="69"/>
      <c r="O979" s="69"/>
      <c r="P979" s="122"/>
      <c r="Q979" s="69"/>
      <c r="R979" s="59" t="str">
        <f t="shared" si="4"/>
        <v>Removed</v>
      </c>
      <c r="S979" s="88">
        <v>45547.0</v>
      </c>
      <c r="T979" s="65">
        <f t="shared" si="5"/>
        <v>9.233333333</v>
      </c>
      <c r="U979" s="88"/>
      <c r="V979" s="65"/>
    </row>
    <row r="980">
      <c r="A980" s="74" t="s">
        <v>2558</v>
      </c>
      <c r="B980" s="75" t="s">
        <v>35</v>
      </c>
      <c r="C980" s="75" t="s">
        <v>36</v>
      </c>
      <c r="D980" s="76" t="str">
        <f t="shared" si="19"/>
        <v>Removed</v>
      </c>
      <c r="E980" s="90">
        <v>45261.0</v>
      </c>
      <c r="F980" s="105">
        <v>45626.0</v>
      </c>
      <c r="G980" s="79">
        <f t="shared" si="2"/>
        <v>11.96666667</v>
      </c>
      <c r="H980" s="90">
        <v>43770.0</v>
      </c>
      <c r="I980" s="79">
        <f t="shared" si="3"/>
        <v>4.083333333</v>
      </c>
      <c r="J980" s="106">
        <v>64.0</v>
      </c>
      <c r="K980" s="106">
        <v>5.0</v>
      </c>
      <c r="L980" s="82" t="s">
        <v>57</v>
      </c>
      <c r="M980" s="82"/>
      <c r="N980" s="82"/>
      <c r="O980" s="82"/>
      <c r="P980" s="107"/>
      <c r="Q980" s="82"/>
      <c r="R980" s="76" t="str">
        <f t="shared" si="4"/>
        <v>Removed</v>
      </c>
      <c r="S980" s="90">
        <v>45547.0</v>
      </c>
      <c r="T980" s="79">
        <f t="shared" si="5"/>
        <v>9.366666667</v>
      </c>
      <c r="U980" s="90"/>
      <c r="V980" s="79"/>
    </row>
    <row r="981">
      <c r="A981" s="53" t="s">
        <v>2095</v>
      </c>
      <c r="B981" s="54" t="s">
        <v>35</v>
      </c>
      <c r="C981" s="54" t="s">
        <v>36</v>
      </c>
      <c r="D981" s="59" t="str">
        <f t="shared" si="19"/>
        <v>Removed</v>
      </c>
      <c r="E981" s="61">
        <v>45259.0</v>
      </c>
      <c r="F981" s="120">
        <v>45626.0</v>
      </c>
      <c r="G981" s="65">
        <f t="shared" si="2"/>
        <v>12.03333333</v>
      </c>
      <c r="H981" s="88">
        <v>43697.0</v>
      </c>
      <c r="I981" s="65">
        <f t="shared" si="3"/>
        <v>4.275</v>
      </c>
      <c r="J981" s="121">
        <v>81.0</v>
      </c>
      <c r="K981" s="121">
        <v>13.5</v>
      </c>
      <c r="L981" s="69" t="s">
        <v>37</v>
      </c>
      <c r="M981" s="91"/>
      <c r="N981" s="69" t="s">
        <v>2559</v>
      </c>
      <c r="O981" s="69" t="s">
        <v>107</v>
      </c>
      <c r="P981" s="122" t="s">
        <v>1280</v>
      </c>
      <c r="Q981" s="69" t="s">
        <v>2560</v>
      </c>
      <c r="R981" s="59" t="str">
        <f t="shared" si="4"/>
        <v>Removed</v>
      </c>
      <c r="S981" s="88">
        <v>45547.0</v>
      </c>
      <c r="T981" s="65">
        <f t="shared" si="5"/>
        <v>9.433333333</v>
      </c>
      <c r="U981" s="88"/>
      <c r="V981" s="65"/>
    </row>
    <row r="982">
      <c r="A982" s="74" t="s">
        <v>2561</v>
      </c>
      <c r="B982" s="75" t="s">
        <v>35</v>
      </c>
      <c r="C982" s="75" t="s">
        <v>36</v>
      </c>
      <c r="D982" s="76" t="str">
        <f t="shared" si="19"/>
        <v>Removed</v>
      </c>
      <c r="E982" s="90">
        <v>45258.0</v>
      </c>
      <c r="F982" s="105">
        <v>45626.0</v>
      </c>
      <c r="G982" s="79">
        <f t="shared" si="2"/>
        <v>12.06666667</v>
      </c>
      <c r="H982" s="90">
        <v>44789.0</v>
      </c>
      <c r="I982" s="79">
        <f t="shared" si="3"/>
        <v>1.283333333</v>
      </c>
      <c r="J982" s="106">
        <v>79.0</v>
      </c>
      <c r="K982" s="106">
        <v>5.0</v>
      </c>
      <c r="L982" s="82" t="s">
        <v>105</v>
      </c>
      <c r="M982" s="82" t="s">
        <v>38</v>
      </c>
      <c r="N982" s="82"/>
      <c r="O982" s="82"/>
      <c r="P982" s="107"/>
      <c r="Q982" s="82"/>
      <c r="R982" s="76" t="str">
        <f t="shared" si="4"/>
        <v>Removed</v>
      </c>
      <c r="S982" s="90">
        <v>45547.0</v>
      </c>
      <c r="T982" s="79">
        <f t="shared" si="5"/>
        <v>9.466666667</v>
      </c>
      <c r="U982" s="90"/>
      <c r="V982" s="79"/>
    </row>
    <row r="983">
      <c r="A983" s="53" t="s">
        <v>2562</v>
      </c>
      <c r="B983" s="54" t="s">
        <v>35</v>
      </c>
      <c r="C983" s="54" t="s">
        <v>36</v>
      </c>
      <c r="D983" s="59" t="str">
        <f t="shared" si="19"/>
        <v>Removed</v>
      </c>
      <c r="E983" s="88">
        <v>44901.0</v>
      </c>
      <c r="F983" s="120">
        <v>45626.0</v>
      </c>
      <c r="G983" s="65">
        <f t="shared" si="2"/>
        <v>23.8</v>
      </c>
      <c r="H983" s="88">
        <v>44901.0</v>
      </c>
      <c r="I983" s="65">
        <f t="shared" si="3"/>
        <v>0</v>
      </c>
      <c r="J983" s="121">
        <v>56.0</v>
      </c>
      <c r="K983" s="121">
        <v>5.0</v>
      </c>
      <c r="L983" s="69" t="s">
        <v>41</v>
      </c>
      <c r="M983" s="69"/>
      <c r="N983" s="69"/>
      <c r="O983" s="69" t="s">
        <v>1168</v>
      </c>
      <c r="P983" s="122" t="s">
        <v>1793</v>
      </c>
      <c r="Q983" s="69"/>
      <c r="R983" s="59" t="str">
        <f t="shared" si="4"/>
        <v>Removed</v>
      </c>
      <c r="S983" s="88">
        <v>45547.0</v>
      </c>
      <c r="T983" s="65">
        <f t="shared" si="5"/>
        <v>21.2</v>
      </c>
      <c r="U983" s="88"/>
      <c r="V983" s="65"/>
    </row>
    <row r="984">
      <c r="A984" s="74" t="s">
        <v>2563</v>
      </c>
      <c r="B984" s="75" t="s">
        <v>35</v>
      </c>
      <c r="C984" s="75" t="s">
        <v>36</v>
      </c>
      <c r="D984" s="76" t="str">
        <f t="shared" si="19"/>
        <v>Removed</v>
      </c>
      <c r="E984" s="90">
        <v>44894.0</v>
      </c>
      <c r="F984" s="105">
        <v>45626.0</v>
      </c>
      <c r="G984" s="79">
        <f t="shared" si="2"/>
        <v>24.03333333</v>
      </c>
      <c r="H984" s="90">
        <v>44894.0</v>
      </c>
      <c r="I984" s="79">
        <f t="shared" si="3"/>
        <v>0</v>
      </c>
      <c r="J984" s="106">
        <v>71.0</v>
      </c>
      <c r="K984" s="106">
        <v>10.0</v>
      </c>
      <c r="L984" s="82" t="s">
        <v>46</v>
      </c>
      <c r="M984" s="82"/>
      <c r="N984" s="82"/>
      <c r="O984" s="82" t="s">
        <v>1219</v>
      </c>
      <c r="P984" s="107"/>
      <c r="Q984" s="82"/>
      <c r="R984" s="76" t="str">
        <f t="shared" si="4"/>
        <v>Removed</v>
      </c>
      <c r="S984" s="90">
        <v>45547.0</v>
      </c>
      <c r="T984" s="79">
        <f t="shared" si="5"/>
        <v>21.43333333</v>
      </c>
      <c r="U984" s="90"/>
      <c r="V984" s="79"/>
    </row>
    <row r="985">
      <c r="A985" s="53" t="s">
        <v>2564</v>
      </c>
      <c r="B985" s="54" t="s">
        <v>35</v>
      </c>
      <c r="C985" s="54" t="s">
        <v>36</v>
      </c>
      <c r="D985" s="59" t="str">
        <f t="shared" si="19"/>
        <v>Removed</v>
      </c>
      <c r="E985" s="88">
        <v>44341.0</v>
      </c>
      <c r="F985" s="120">
        <v>45626.0</v>
      </c>
      <c r="G985" s="65">
        <f t="shared" si="2"/>
        <v>42.16666667</v>
      </c>
      <c r="H985" s="88">
        <v>43238.0</v>
      </c>
      <c r="I985" s="65">
        <f t="shared" si="3"/>
        <v>3.019444444</v>
      </c>
      <c r="J985" s="121">
        <v>64.0</v>
      </c>
      <c r="K985" s="121">
        <v>33.0</v>
      </c>
      <c r="L985" s="69" t="s">
        <v>46</v>
      </c>
      <c r="M985" s="69" t="s">
        <v>326</v>
      </c>
      <c r="N985" s="69"/>
      <c r="O985" s="69" t="s">
        <v>107</v>
      </c>
      <c r="P985" s="122" t="s">
        <v>2565</v>
      </c>
      <c r="Q985" s="69"/>
      <c r="R985" s="59" t="str">
        <f t="shared" si="4"/>
        <v>Removed</v>
      </c>
      <c r="S985" s="88">
        <v>45547.0</v>
      </c>
      <c r="T985" s="65">
        <f t="shared" si="5"/>
        <v>39.56666667</v>
      </c>
      <c r="U985" s="88"/>
      <c r="V985" s="65"/>
    </row>
    <row r="986">
      <c r="A986" s="74" t="s">
        <v>2566</v>
      </c>
      <c r="B986" s="75" t="s">
        <v>35</v>
      </c>
      <c r="C986" s="75" t="s">
        <v>36</v>
      </c>
      <c r="D986" s="76" t="str">
        <f t="shared" si="19"/>
        <v>Removed</v>
      </c>
      <c r="E986" s="90">
        <v>45247.0</v>
      </c>
      <c r="F986" s="105">
        <v>45611.0</v>
      </c>
      <c r="G986" s="79">
        <f t="shared" si="2"/>
        <v>11.93333333</v>
      </c>
      <c r="H986" s="90">
        <v>45247.0</v>
      </c>
      <c r="I986" s="79">
        <f t="shared" si="3"/>
        <v>0</v>
      </c>
      <c r="J986" s="106">
        <v>75.0</v>
      </c>
      <c r="K986" s="106">
        <v>23.0</v>
      </c>
      <c r="L986" s="82" t="s">
        <v>46</v>
      </c>
      <c r="M986" s="82"/>
      <c r="N986" s="82"/>
      <c r="O986" s="82" t="s">
        <v>1331</v>
      </c>
      <c r="P986" s="107"/>
      <c r="Q986" s="82"/>
      <c r="R986" s="76" t="str">
        <f t="shared" si="4"/>
        <v>Removed</v>
      </c>
      <c r="S986" s="90">
        <v>45547.0</v>
      </c>
      <c r="T986" s="79">
        <f t="shared" si="5"/>
        <v>9.833333333</v>
      </c>
      <c r="U986" s="90"/>
      <c r="V986" s="79"/>
    </row>
    <row r="987">
      <c r="A987" s="53" t="s">
        <v>2567</v>
      </c>
      <c r="B987" s="54" t="s">
        <v>35</v>
      </c>
      <c r="C987" s="54" t="s">
        <v>36</v>
      </c>
      <c r="D987" s="59" t="str">
        <f t="shared" si="19"/>
        <v>Removed</v>
      </c>
      <c r="E987" s="88">
        <v>45239.0</v>
      </c>
      <c r="F987" s="120">
        <v>45611.0</v>
      </c>
      <c r="G987" s="65">
        <f t="shared" si="2"/>
        <v>12.2</v>
      </c>
      <c r="H987" s="88">
        <v>45239.0</v>
      </c>
      <c r="I987" s="65">
        <f t="shared" si="3"/>
        <v>0</v>
      </c>
      <c r="J987" s="121">
        <v>76.0</v>
      </c>
      <c r="K987" s="121">
        <v>27.0</v>
      </c>
      <c r="L987" s="69" t="s">
        <v>81</v>
      </c>
      <c r="M987" s="69"/>
      <c r="N987" s="69"/>
      <c r="O987" s="69"/>
      <c r="P987" s="122"/>
      <c r="Q987" s="69"/>
      <c r="R987" s="59" t="str">
        <f t="shared" si="4"/>
        <v>Removed</v>
      </c>
      <c r="S987" s="88">
        <v>45547.0</v>
      </c>
      <c r="T987" s="65">
        <f t="shared" si="5"/>
        <v>10.1</v>
      </c>
      <c r="U987" s="88"/>
      <c r="V987" s="65"/>
    </row>
    <row r="988">
      <c r="A988" s="74" t="s">
        <v>2568</v>
      </c>
      <c r="B988" s="75" t="s">
        <v>35</v>
      </c>
      <c r="C988" s="75" t="s">
        <v>36</v>
      </c>
      <c r="D988" s="76" t="str">
        <f t="shared" si="19"/>
        <v>Removed</v>
      </c>
      <c r="E988" s="90">
        <v>45239.0</v>
      </c>
      <c r="F988" s="105">
        <v>45611.0</v>
      </c>
      <c r="G988" s="79">
        <f t="shared" si="2"/>
        <v>12.2</v>
      </c>
      <c r="H988" s="90">
        <v>45239.0</v>
      </c>
      <c r="I988" s="79">
        <f t="shared" si="3"/>
        <v>0</v>
      </c>
      <c r="J988" s="106">
        <v>79.0</v>
      </c>
      <c r="K988" s="106">
        <v>11.0</v>
      </c>
      <c r="L988" s="82" t="s">
        <v>41</v>
      </c>
      <c r="M988" s="82"/>
      <c r="N988" s="82"/>
      <c r="O988" s="82" t="s">
        <v>1331</v>
      </c>
      <c r="P988" s="107"/>
      <c r="Q988" s="82"/>
      <c r="R988" s="76" t="str">
        <f t="shared" si="4"/>
        <v>Removed</v>
      </c>
      <c r="S988" s="90">
        <v>45547.0</v>
      </c>
      <c r="T988" s="79">
        <f t="shared" si="5"/>
        <v>10.1</v>
      </c>
      <c r="U988" s="90"/>
      <c r="V988" s="79"/>
    </row>
    <row r="989">
      <c r="A989" s="53" t="s">
        <v>2569</v>
      </c>
      <c r="B989" s="54" t="s">
        <v>35</v>
      </c>
      <c r="C989" s="54" t="s">
        <v>36</v>
      </c>
      <c r="D989" s="59" t="str">
        <f t="shared" si="19"/>
        <v>Removed</v>
      </c>
      <c r="E989" s="88">
        <v>45216.0</v>
      </c>
      <c r="F989" s="120">
        <v>45611.0</v>
      </c>
      <c r="G989" s="65">
        <f t="shared" si="2"/>
        <v>12.93333333</v>
      </c>
      <c r="H989" s="88">
        <v>44978.0</v>
      </c>
      <c r="I989" s="65">
        <f t="shared" si="3"/>
        <v>0.6555555556</v>
      </c>
      <c r="J989" s="121">
        <v>81.0</v>
      </c>
      <c r="K989" s="121">
        <v>24.0</v>
      </c>
      <c r="L989" s="69" t="s">
        <v>46</v>
      </c>
      <c r="M989" s="69"/>
      <c r="N989" s="69"/>
      <c r="O989" s="69"/>
      <c r="P989" s="122"/>
      <c r="Q989" s="69"/>
      <c r="R989" s="59" t="str">
        <f t="shared" si="4"/>
        <v>Removed</v>
      </c>
      <c r="S989" s="88">
        <v>45547.0</v>
      </c>
      <c r="T989" s="65">
        <f t="shared" si="5"/>
        <v>10.83333333</v>
      </c>
      <c r="U989" s="88"/>
      <c r="V989" s="65"/>
    </row>
    <row r="990">
      <c r="A990" s="74" t="s">
        <v>2570</v>
      </c>
      <c r="B990" s="75" t="s">
        <v>35</v>
      </c>
      <c r="C990" s="75" t="s">
        <v>36</v>
      </c>
      <c r="D990" s="76" t="str">
        <f t="shared" si="19"/>
        <v>Removed</v>
      </c>
      <c r="E990" s="77">
        <v>45020.0</v>
      </c>
      <c r="F990" s="105">
        <v>45611.0</v>
      </c>
      <c r="G990" s="79">
        <f t="shared" si="2"/>
        <v>19.36666667</v>
      </c>
      <c r="H990" s="90">
        <v>41730.0</v>
      </c>
      <c r="I990" s="79">
        <f t="shared" si="3"/>
        <v>9.008333333</v>
      </c>
      <c r="J990" s="106">
        <f>ROUND((53+62)/2,)</f>
        <v>58</v>
      </c>
      <c r="K990" s="106">
        <v>2.0</v>
      </c>
      <c r="L990" s="82" t="s">
        <v>64</v>
      </c>
      <c r="M990" s="82"/>
      <c r="N990" s="82" t="s">
        <v>2571</v>
      </c>
      <c r="O990" s="82" t="s">
        <v>328</v>
      </c>
      <c r="P990" s="107" t="s">
        <v>1491</v>
      </c>
      <c r="Q990" s="82"/>
      <c r="R990" s="76" t="str">
        <f t="shared" si="4"/>
        <v>Removed</v>
      </c>
      <c r="S990" s="90">
        <v>45547.0</v>
      </c>
      <c r="T990" s="79">
        <f t="shared" si="5"/>
        <v>17.26666667</v>
      </c>
      <c r="U990" s="90">
        <v>45630.0</v>
      </c>
      <c r="V990" s="79">
        <f>MONTHDUR(E990,U990)</f>
        <v>20</v>
      </c>
    </row>
    <row r="991">
      <c r="A991" s="53" t="s">
        <v>2572</v>
      </c>
      <c r="B991" s="54" t="s">
        <v>35</v>
      </c>
      <c r="C991" s="54"/>
      <c r="D991" s="59" t="str">
        <f t="shared" si="19"/>
        <v>Removed</v>
      </c>
      <c r="E991" s="88">
        <v>44880.0</v>
      </c>
      <c r="F991" s="120">
        <v>45611.0</v>
      </c>
      <c r="G991" s="65">
        <f t="shared" si="2"/>
        <v>24</v>
      </c>
      <c r="H991" s="88">
        <v>44880.0</v>
      </c>
      <c r="I991" s="65">
        <f t="shared" si="3"/>
        <v>0</v>
      </c>
      <c r="J991" s="121">
        <v>82.0</v>
      </c>
      <c r="K991" s="121">
        <v>3.0</v>
      </c>
      <c r="L991" s="69" t="s">
        <v>135</v>
      </c>
      <c r="M991" s="69"/>
      <c r="N991" s="69"/>
      <c r="O991" s="69" t="s">
        <v>1168</v>
      </c>
      <c r="P991" s="122" t="s">
        <v>1793</v>
      </c>
      <c r="Q991" s="69"/>
      <c r="R991" s="59" t="str">
        <f t="shared" si="4"/>
        <v>Removed</v>
      </c>
      <c r="S991" s="88">
        <v>45547.0</v>
      </c>
      <c r="T991" s="65">
        <f t="shared" si="5"/>
        <v>21.9</v>
      </c>
      <c r="U991" s="88"/>
      <c r="V991" s="65"/>
    </row>
    <row r="992">
      <c r="A992" s="74" t="s">
        <v>2573</v>
      </c>
      <c r="B992" s="75" t="s">
        <v>35</v>
      </c>
      <c r="C992" s="75" t="s">
        <v>100</v>
      </c>
      <c r="D992" s="76" t="str">
        <f t="shared" si="19"/>
        <v>Removed</v>
      </c>
      <c r="E992" s="90">
        <v>44511.0</v>
      </c>
      <c r="F992" s="105">
        <v>45611.0</v>
      </c>
      <c r="G992" s="79">
        <f t="shared" si="2"/>
        <v>36.13333333</v>
      </c>
      <c r="H992" s="90">
        <v>43690.0</v>
      </c>
      <c r="I992" s="79">
        <f t="shared" si="3"/>
        <v>2.244444444</v>
      </c>
      <c r="J992" s="106">
        <v>80.0</v>
      </c>
      <c r="K992" s="106">
        <v>25.5</v>
      </c>
      <c r="L992" s="82" t="s">
        <v>46</v>
      </c>
      <c r="M992" s="82"/>
      <c r="N992" s="82"/>
      <c r="O992" s="82" t="s">
        <v>1168</v>
      </c>
      <c r="P992" s="107" t="s">
        <v>1519</v>
      </c>
      <c r="Q992" s="82"/>
      <c r="R992" s="76" t="str">
        <f t="shared" si="4"/>
        <v>Removed</v>
      </c>
      <c r="S992" s="90">
        <v>45547.0</v>
      </c>
      <c r="T992" s="79">
        <f t="shared" si="5"/>
        <v>34.03333333</v>
      </c>
      <c r="U992" s="90"/>
      <c r="V992" s="79"/>
    </row>
    <row r="993">
      <c r="A993" s="53" t="s">
        <v>2164</v>
      </c>
      <c r="B993" s="54" t="s">
        <v>35</v>
      </c>
      <c r="C993" s="54" t="s">
        <v>36</v>
      </c>
      <c r="D993" s="59" t="str">
        <f t="shared" si="19"/>
        <v>Removed</v>
      </c>
      <c r="E993" s="88">
        <v>45230.0</v>
      </c>
      <c r="F993" s="120">
        <v>45596.0</v>
      </c>
      <c r="G993" s="65">
        <f t="shared" si="2"/>
        <v>12</v>
      </c>
      <c r="H993" s="88">
        <v>45230.0</v>
      </c>
      <c r="I993" s="65">
        <f t="shared" si="3"/>
        <v>0</v>
      </c>
      <c r="J993" s="121">
        <v>74.0</v>
      </c>
      <c r="K993" s="121">
        <v>4.0</v>
      </c>
      <c r="L993" s="69" t="s">
        <v>2574</v>
      </c>
      <c r="M993" s="69"/>
      <c r="N993" s="69"/>
      <c r="O993" s="69" t="s">
        <v>1331</v>
      </c>
      <c r="P993" s="122"/>
      <c r="Q993" s="69"/>
      <c r="R993" s="59" t="str">
        <f t="shared" si="4"/>
        <v>Removed</v>
      </c>
      <c r="S993" s="88">
        <v>45547.0</v>
      </c>
      <c r="T993" s="65">
        <f t="shared" si="5"/>
        <v>10.4</v>
      </c>
      <c r="U993" s="88"/>
      <c r="V993" s="65"/>
    </row>
    <row r="994">
      <c r="A994" s="74" t="s">
        <v>2575</v>
      </c>
      <c r="B994" s="75" t="s">
        <v>35</v>
      </c>
      <c r="C994" s="75" t="s">
        <v>36</v>
      </c>
      <c r="D994" s="76" t="str">
        <f t="shared" si="19"/>
        <v>Removed</v>
      </c>
      <c r="E994" s="90">
        <v>45225.0</v>
      </c>
      <c r="F994" s="105">
        <v>45596.0</v>
      </c>
      <c r="G994" s="79">
        <f t="shared" si="2"/>
        <v>12.13333333</v>
      </c>
      <c r="H994" s="90">
        <v>45195.0</v>
      </c>
      <c r="I994" s="79">
        <f t="shared" si="3"/>
        <v>0.08333333333</v>
      </c>
      <c r="J994" s="106">
        <v>66.0</v>
      </c>
      <c r="K994" s="106">
        <v>18.0</v>
      </c>
      <c r="L994" s="82" t="s">
        <v>135</v>
      </c>
      <c r="M994" s="82"/>
      <c r="N994" s="82"/>
      <c r="O994" s="82" t="s">
        <v>1331</v>
      </c>
      <c r="P994" s="107"/>
      <c r="Q994" s="82"/>
      <c r="R994" s="76" t="str">
        <f t="shared" si="4"/>
        <v>Removed</v>
      </c>
      <c r="S994" s="90">
        <v>45547.0</v>
      </c>
      <c r="T994" s="79">
        <f t="shared" si="5"/>
        <v>10.53333333</v>
      </c>
      <c r="U994" s="90"/>
      <c r="V994" s="79"/>
    </row>
    <row r="995">
      <c r="A995" s="53" t="s">
        <v>2576</v>
      </c>
      <c r="B995" s="54" t="s">
        <v>35</v>
      </c>
      <c r="C995" s="54" t="s">
        <v>371</v>
      </c>
      <c r="D995" s="59" t="str">
        <f t="shared" si="19"/>
        <v>Removed</v>
      </c>
      <c r="E995" s="88">
        <v>44957.0</v>
      </c>
      <c r="F995" s="120">
        <v>45596.0</v>
      </c>
      <c r="G995" s="65">
        <f t="shared" si="2"/>
        <v>21</v>
      </c>
      <c r="H995" s="88">
        <v>44957.0</v>
      </c>
      <c r="I995" s="65">
        <f t="shared" si="3"/>
        <v>0</v>
      </c>
      <c r="J995" s="121">
        <v>78.0</v>
      </c>
      <c r="K995" s="121">
        <v>6.0</v>
      </c>
      <c r="L995" s="69" t="s">
        <v>81</v>
      </c>
      <c r="M995" s="69"/>
      <c r="N995" s="69"/>
      <c r="O995" s="69" t="s">
        <v>1219</v>
      </c>
      <c r="P995" s="122" t="s">
        <v>2577</v>
      </c>
      <c r="Q995" s="69"/>
      <c r="R995" s="59" t="str">
        <f t="shared" si="4"/>
        <v>Removed</v>
      </c>
      <c r="S995" s="88">
        <v>45547.0</v>
      </c>
      <c r="T995" s="65">
        <f t="shared" si="5"/>
        <v>19.4</v>
      </c>
      <c r="U995" s="88"/>
      <c r="V995" s="65"/>
    </row>
    <row r="996">
      <c r="A996" s="74" t="s">
        <v>2578</v>
      </c>
      <c r="B996" s="75" t="s">
        <v>35</v>
      </c>
      <c r="C996" s="75" t="s">
        <v>36</v>
      </c>
      <c r="D996" s="76" t="str">
        <f t="shared" si="19"/>
        <v>Removed</v>
      </c>
      <c r="E996" s="90">
        <v>44861.0</v>
      </c>
      <c r="F996" s="105">
        <v>45596.0</v>
      </c>
      <c r="G996" s="79">
        <f t="shared" si="2"/>
        <v>24.1</v>
      </c>
      <c r="H996" s="90">
        <v>44861.0</v>
      </c>
      <c r="I996" s="79">
        <f t="shared" si="3"/>
        <v>0</v>
      </c>
      <c r="J996" s="106">
        <v>77.0</v>
      </c>
      <c r="K996" s="106">
        <v>4.0</v>
      </c>
      <c r="L996" s="82" t="s">
        <v>135</v>
      </c>
      <c r="M996" s="82"/>
      <c r="N996" s="82" t="s">
        <v>2579</v>
      </c>
      <c r="O996" s="82" t="s">
        <v>1219</v>
      </c>
      <c r="P996" s="107"/>
      <c r="Q996" s="82"/>
      <c r="R996" s="76" t="str">
        <f t="shared" si="4"/>
        <v>Removed</v>
      </c>
      <c r="S996" s="90">
        <v>45547.0</v>
      </c>
      <c r="T996" s="79">
        <f t="shared" si="5"/>
        <v>22.5</v>
      </c>
      <c r="U996" s="90"/>
      <c r="V996" s="79"/>
    </row>
    <row r="997">
      <c r="A997" s="53" t="s">
        <v>2121</v>
      </c>
      <c r="B997" s="54" t="s">
        <v>35</v>
      </c>
      <c r="C997" s="54" t="s">
        <v>36</v>
      </c>
      <c r="D997" s="59" t="str">
        <f t="shared" si="19"/>
        <v>Removed</v>
      </c>
      <c r="E997" s="133">
        <v>43761.0</v>
      </c>
      <c r="F997" s="120">
        <v>45596.0</v>
      </c>
      <c r="G997" s="65">
        <f t="shared" si="2"/>
        <v>60.23333333</v>
      </c>
      <c r="H997" s="88">
        <v>43761.0</v>
      </c>
      <c r="I997" s="65">
        <f t="shared" si="3"/>
        <v>0</v>
      </c>
      <c r="J997" s="121">
        <v>79.0</v>
      </c>
      <c r="K997" s="121">
        <v>5.5</v>
      </c>
      <c r="L997" s="69" t="s">
        <v>55</v>
      </c>
      <c r="M997" s="91"/>
      <c r="N997" s="91"/>
      <c r="O997" s="69" t="s">
        <v>1168</v>
      </c>
      <c r="P997" s="122" t="s">
        <v>2050</v>
      </c>
      <c r="Q997" s="69"/>
      <c r="R997" s="59" t="str">
        <f t="shared" si="4"/>
        <v>Removed</v>
      </c>
      <c r="S997" s="88">
        <v>45547.0</v>
      </c>
      <c r="T997" s="65">
        <f t="shared" si="5"/>
        <v>58.63333333</v>
      </c>
      <c r="U997" s="88"/>
      <c r="V997" s="65"/>
    </row>
    <row r="998">
      <c r="A998" s="74" t="s">
        <v>2580</v>
      </c>
      <c r="B998" s="75" t="s">
        <v>35</v>
      </c>
      <c r="C998" s="75" t="s">
        <v>36</v>
      </c>
      <c r="D998" s="76" t="str">
        <f t="shared" si="19"/>
        <v>Removed</v>
      </c>
      <c r="E998" s="90">
        <v>45218.0</v>
      </c>
      <c r="F998" s="105">
        <v>45580.0</v>
      </c>
      <c r="G998" s="79">
        <f t="shared" si="2"/>
        <v>11.86666667</v>
      </c>
      <c r="H998" s="90">
        <v>45138.0</v>
      </c>
      <c r="I998" s="79">
        <f t="shared" si="3"/>
        <v>0.2194444444</v>
      </c>
      <c r="J998" s="106">
        <v>79.0</v>
      </c>
      <c r="K998" s="106">
        <v>16.0</v>
      </c>
      <c r="L998" s="82" t="s">
        <v>55</v>
      </c>
      <c r="M998" s="82"/>
      <c r="N998" s="82"/>
      <c r="O998" s="82"/>
      <c r="P998" s="107"/>
      <c r="Q998" s="82"/>
      <c r="R998" s="76" t="str">
        <f t="shared" si="4"/>
        <v>Removed</v>
      </c>
      <c r="S998" s="90">
        <v>45547.0</v>
      </c>
      <c r="T998" s="79">
        <f t="shared" si="5"/>
        <v>10.76666667</v>
      </c>
      <c r="U998" s="90"/>
      <c r="V998" s="79"/>
    </row>
    <row r="999">
      <c r="A999" s="53" t="s">
        <v>2581</v>
      </c>
      <c r="B999" s="54" t="s">
        <v>35</v>
      </c>
      <c r="C999" s="54" t="s">
        <v>36</v>
      </c>
      <c r="D999" s="59" t="str">
        <f t="shared" si="19"/>
        <v>Removed</v>
      </c>
      <c r="E999" s="88">
        <v>45211.0</v>
      </c>
      <c r="F999" s="120">
        <v>45580.0</v>
      </c>
      <c r="G999" s="65">
        <f t="shared" si="2"/>
        <v>12.1</v>
      </c>
      <c r="H999" s="88">
        <v>45211.0</v>
      </c>
      <c r="I999" s="65">
        <f t="shared" si="3"/>
        <v>0</v>
      </c>
      <c r="J999" s="121">
        <v>60.0</v>
      </c>
      <c r="K999" s="121">
        <v>13.0</v>
      </c>
      <c r="L999" s="69" t="s">
        <v>37</v>
      </c>
      <c r="M999" s="69"/>
      <c r="N999" s="69"/>
      <c r="O999" s="69"/>
      <c r="P999" s="122"/>
      <c r="Q999" s="69"/>
      <c r="R999" s="59" t="str">
        <f t="shared" si="4"/>
        <v>Removed</v>
      </c>
      <c r="S999" s="88">
        <v>45547.0</v>
      </c>
      <c r="T999" s="65">
        <f t="shared" si="5"/>
        <v>11</v>
      </c>
      <c r="U999" s="88"/>
      <c r="V999" s="65"/>
    </row>
    <row r="1000">
      <c r="A1000" s="74" t="s">
        <v>2582</v>
      </c>
      <c r="B1000" s="75" t="s">
        <v>35</v>
      </c>
      <c r="C1000" s="75" t="s">
        <v>100</v>
      </c>
      <c r="D1000" s="76" t="str">
        <f t="shared" si="19"/>
        <v>Removed</v>
      </c>
      <c r="E1000" s="90">
        <v>44848.0</v>
      </c>
      <c r="F1000" s="105">
        <v>45580.0</v>
      </c>
      <c r="G1000" s="79">
        <f t="shared" si="2"/>
        <v>24.03333333</v>
      </c>
      <c r="H1000" s="90">
        <v>44848.0</v>
      </c>
      <c r="I1000" s="79">
        <f t="shared" si="3"/>
        <v>0</v>
      </c>
      <c r="J1000" s="106">
        <v>71.0</v>
      </c>
      <c r="K1000" s="106">
        <v>6.0</v>
      </c>
      <c r="L1000" s="82" t="s">
        <v>135</v>
      </c>
      <c r="M1000" s="82" t="s">
        <v>38</v>
      </c>
      <c r="N1000" s="82"/>
      <c r="O1000" s="82" t="s">
        <v>107</v>
      </c>
      <c r="P1000" s="107" t="s">
        <v>2583</v>
      </c>
      <c r="Q1000" s="82"/>
      <c r="R1000" s="76" t="str">
        <f t="shared" si="4"/>
        <v>Removed</v>
      </c>
      <c r="S1000" s="90">
        <v>45547.0</v>
      </c>
      <c r="T1000" s="79">
        <f t="shared" si="5"/>
        <v>22.93333333</v>
      </c>
      <c r="U1000" s="90"/>
      <c r="V1000" s="79"/>
    </row>
    <row r="1001">
      <c r="A1001" s="53" t="s">
        <v>2584</v>
      </c>
      <c r="B1001" s="54" t="s">
        <v>13</v>
      </c>
      <c r="C1001" s="54"/>
      <c r="D1001" s="59" t="str">
        <f t="shared" si="19"/>
        <v>Removed</v>
      </c>
      <c r="E1001" s="88">
        <v>44847.0</v>
      </c>
      <c r="F1001" s="120">
        <v>45580.0</v>
      </c>
      <c r="G1001" s="65">
        <f t="shared" si="2"/>
        <v>24.06666667</v>
      </c>
      <c r="H1001" s="88">
        <v>44217.0</v>
      </c>
      <c r="I1001" s="65">
        <f t="shared" si="3"/>
        <v>1.727777778</v>
      </c>
      <c r="J1001" s="208"/>
      <c r="K1001" s="121">
        <v>65.0</v>
      </c>
      <c r="L1001" s="69" t="s">
        <v>81</v>
      </c>
      <c r="M1001" s="69"/>
      <c r="N1001" s="69"/>
      <c r="O1001" s="69" t="s">
        <v>1219</v>
      </c>
      <c r="P1001" s="122"/>
      <c r="Q1001" s="69"/>
      <c r="R1001" s="59" t="str">
        <f t="shared" si="4"/>
        <v>TBD</v>
      </c>
      <c r="S1001" s="88"/>
      <c r="T1001" s="65">
        <f t="shared" si="5"/>
        <v>47.76666667</v>
      </c>
      <c r="U1001" s="88"/>
      <c r="V1001" s="65"/>
    </row>
    <row r="1002">
      <c r="A1002" s="74" t="s">
        <v>2585</v>
      </c>
      <c r="B1002" s="75" t="s">
        <v>35</v>
      </c>
      <c r="C1002" s="75" t="s">
        <v>36</v>
      </c>
      <c r="D1002" s="76" t="str">
        <f t="shared" si="19"/>
        <v>Removed</v>
      </c>
      <c r="E1002" s="90">
        <v>44490.0</v>
      </c>
      <c r="F1002" s="105">
        <v>45580.0</v>
      </c>
      <c r="G1002" s="79">
        <f t="shared" si="2"/>
        <v>35.8</v>
      </c>
      <c r="H1002" s="90">
        <v>44214.0</v>
      </c>
      <c r="I1002" s="79">
        <f t="shared" si="3"/>
        <v>0.7583333333</v>
      </c>
      <c r="J1002" s="106">
        <f>(75+76)/2</f>
        <v>75.5</v>
      </c>
      <c r="K1002" s="106">
        <v>7.5</v>
      </c>
      <c r="L1002" s="82" t="s">
        <v>37</v>
      </c>
      <c r="M1002" s="82" t="s">
        <v>38</v>
      </c>
      <c r="N1002" s="82" t="s">
        <v>2586</v>
      </c>
      <c r="O1002" s="240" t="s">
        <v>328</v>
      </c>
      <c r="P1002" s="107" t="s">
        <v>1719</v>
      </c>
      <c r="Q1002" s="240"/>
      <c r="R1002" s="76" t="str">
        <f t="shared" si="4"/>
        <v>Removed</v>
      </c>
      <c r="S1002" s="90">
        <v>45547.0</v>
      </c>
      <c r="T1002" s="79">
        <f t="shared" si="5"/>
        <v>34.7</v>
      </c>
      <c r="U1002" s="90"/>
      <c r="V1002" s="79"/>
    </row>
    <row r="1003">
      <c r="A1003" s="53" t="s">
        <v>2163</v>
      </c>
      <c r="B1003" s="54" t="s">
        <v>35</v>
      </c>
      <c r="C1003" s="54" t="s">
        <v>36</v>
      </c>
      <c r="D1003" s="59" t="str">
        <f t="shared" si="19"/>
        <v>Removed</v>
      </c>
      <c r="E1003" s="88">
        <v>45202.0</v>
      </c>
      <c r="F1003" s="120">
        <v>45565.0</v>
      </c>
      <c r="G1003" s="65">
        <f t="shared" si="2"/>
        <v>11.9</v>
      </c>
      <c r="H1003" s="88">
        <v>44855.0</v>
      </c>
      <c r="I1003" s="65">
        <f t="shared" si="3"/>
        <v>0.95</v>
      </c>
      <c r="J1003" s="121">
        <v>66.0</v>
      </c>
      <c r="K1003" s="121">
        <v>17.0</v>
      </c>
      <c r="L1003" s="69" t="s">
        <v>46</v>
      </c>
      <c r="M1003" s="69" t="s">
        <v>38</v>
      </c>
      <c r="N1003" s="69"/>
      <c r="O1003" s="69" t="s">
        <v>1331</v>
      </c>
      <c r="P1003" s="122"/>
      <c r="Q1003" s="69" t="s">
        <v>2560</v>
      </c>
      <c r="R1003" s="59" t="str">
        <f t="shared" si="4"/>
        <v>Removed</v>
      </c>
      <c r="S1003" s="88">
        <v>45547.0</v>
      </c>
      <c r="T1003" s="65">
        <f t="shared" si="5"/>
        <v>11.3</v>
      </c>
      <c r="U1003" s="88"/>
      <c r="V1003" s="65"/>
    </row>
    <row r="1004">
      <c r="A1004" s="74" t="s">
        <v>2587</v>
      </c>
      <c r="B1004" s="75" t="s">
        <v>35</v>
      </c>
      <c r="C1004" s="75" t="s">
        <v>36</v>
      </c>
      <c r="D1004" s="76" t="str">
        <f t="shared" si="19"/>
        <v>Removed</v>
      </c>
      <c r="E1004" s="90">
        <v>45195.0</v>
      </c>
      <c r="F1004" s="105">
        <v>45565.0</v>
      </c>
      <c r="G1004" s="79">
        <f t="shared" si="2"/>
        <v>12.13333333</v>
      </c>
      <c r="H1004" s="90">
        <v>41006.0</v>
      </c>
      <c r="I1004" s="79">
        <f t="shared" si="3"/>
        <v>11.46944444</v>
      </c>
      <c r="J1004" s="106">
        <v>80.0</v>
      </c>
      <c r="K1004" s="106">
        <v>66.0</v>
      </c>
      <c r="L1004" s="82" t="s">
        <v>135</v>
      </c>
      <c r="M1004" s="82"/>
      <c r="N1004" s="82"/>
      <c r="O1004" s="82" t="s">
        <v>328</v>
      </c>
      <c r="P1004" s="107" t="s">
        <v>2588</v>
      </c>
      <c r="Q1004" s="82"/>
      <c r="R1004" s="76" t="str">
        <f t="shared" si="4"/>
        <v>Removed</v>
      </c>
      <c r="S1004" s="90">
        <v>45547.0</v>
      </c>
      <c r="T1004" s="79">
        <f t="shared" si="5"/>
        <v>11.53333333</v>
      </c>
      <c r="U1004" s="90"/>
      <c r="V1004" s="79"/>
    </row>
    <row r="1005">
      <c r="A1005" s="53" t="s">
        <v>2589</v>
      </c>
      <c r="B1005" s="54" t="s">
        <v>35</v>
      </c>
      <c r="C1005" s="54"/>
      <c r="D1005" s="59" t="str">
        <f t="shared" si="19"/>
        <v>Removed</v>
      </c>
      <c r="E1005" s="88">
        <v>45020.0</v>
      </c>
      <c r="F1005" s="120">
        <v>45565.0</v>
      </c>
      <c r="G1005" s="65">
        <f t="shared" si="2"/>
        <v>17.86666667</v>
      </c>
      <c r="H1005" s="88">
        <v>44259.0</v>
      </c>
      <c r="I1005" s="65">
        <f t="shared" si="3"/>
        <v>2.083333333</v>
      </c>
      <c r="J1005" s="121">
        <v>82.0</v>
      </c>
      <c r="K1005" s="121">
        <v>29.0</v>
      </c>
      <c r="L1005" s="69" t="s">
        <v>81</v>
      </c>
      <c r="M1005" s="69"/>
      <c r="N1005" s="69"/>
      <c r="O1005" s="69" t="s">
        <v>328</v>
      </c>
      <c r="P1005" s="122" t="s">
        <v>2590</v>
      </c>
      <c r="Q1005" s="69"/>
      <c r="R1005" s="59" t="str">
        <f t="shared" si="4"/>
        <v>Removed</v>
      </c>
      <c r="S1005" s="88">
        <v>45547.0</v>
      </c>
      <c r="T1005" s="65">
        <f t="shared" si="5"/>
        <v>17.26666667</v>
      </c>
      <c r="U1005" s="88"/>
      <c r="V1005" s="65"/>
    </row>
    <row r="1006">
      <c r="A1006" s="74" t="s">
        <v>2591</v>
      </c>
      <c r="B1006" s="75" t="s">
        <v>35</v>
      </c>
      <c r="C1006" s="75" t="s">
        <v>36</v>
      </c>
      <c r="D1006" s="76" t="str">
        <f t="shared" si="19"/>
        <v>Removed</v>
      </c>
      <c r="E1006" s="90">
        <v>44834.0</v>
      </c>
      <c r="F1006" s="105">
        <v>45565.0</v>
      </c>
      <c r="G1006" s="79">
        <f t="shared" si="2"/>
        <v>24</v>
      </c>
      <c r="H1006" s="90">
        <v>44834.0</v>
      </c>
      <c r="I1006" s="79">
        <f t="shared" si="3"/>
        <v>0</v>
      </c>
      <c r="J1006" s="106">
        <v>70.0</v>
      </c>
      <c r="K1006" s="106">
        <v>1.0</v>
      </c>
      <c r="L1006" s="82" t="s">
        <v>105</v>
      </c>
      <c r="M1006" s="82"/>
      <c r="N1006" s="82"/>
      <c r="O1006" s="82" t="s">
        <v>1219</v>
      </c>
      <c r="P1006" s="107"/>
      <c r="Q1006" s="82"/>
      <c r="R1006" s="76" t="str">
        <f t="shared" si="4"/>
        <v>Removed</v>
      </c>
      <c r="S1006" s="90">
        <v>45547.0</v>
      </c>
      <c r="T1006" s="79">
        <f t="shared" si="5"/>
        <v>23.4</v>
      </c>
      <c r="U1006" s="90"/>
      <c r="V1006" s="79"/>
    </row>
    <row r="1007">
      <c r="A1007" s="53" t="s">
        <v>2592</v>
      </c>
      <c r="B1007" s="54" t="s">
        <v>35</v>
      </c>
      <c r="C1007" s="54" t="s">
        <v>36</v>
      </c>
      <c r="D1007" s="59" t="str">
        <f t="shared" si="19"/>
        <v>Removed</v>
      </c>
      <c r="E1007" s="88">
        <v>44833.0</v>
      </c>
      <c r="F1007" s="120">
        <v>45565.0</v>
      </c>
      <c r="G1007" s="65">
        <f t="shared" si="2"/>
        <v>24.03333333</v>
      </c>
      <c r="H1007" s="88">
        <v>44505.0</v>
      </c>
      <c r="I1007" s="65">
        <f t="shared" si="3"/>
        <v>0.9</v>
      </c>
      <c r="J1007" s="121">
        <v>78.0</v>
      </c>
      <c r="K1007" s="121">
        <v>35.5</v>
      </c>
      <c r="L1007" s="69" t="s">
        <v>64</v>
      </c>
      <c r="M1007" s="69"/>
      <c r="N1007" s="69"/>
      <c r="O1007" s="69" t="s">
        <v>1168</v>
      </c>
      <c r="P1007" s="122" t="s">
        <v>2593</v>
      </c>
      <c r="Q1007" s="69"/>
      <c r="R1007" s="59" t="str">
        <f t="shared" si="4"/>
        <v>Removed</v>
      </c>
      <c r="S1007" s="88">
        <v>45547.0</v>
      </c>
      <c r="T1007" s="65">
        <f t="shared" si="5"/>
        <v>23.43333333</v>
      </c>
      <c r="U1007" s="88"/>
      <c r="V1007" s="65"/>
    </row>
    <row r="1008">
      <c r="A1008" s="74" t="s">
        <v>2148</v>
      </c>
      <c r="B1008" s="75" t="s">
        <v>35</v>
      </c>
      <c r="C1008" s="75" t="s">
        <v>371</v>
      </c>
      <c r="D1008" s="76" t="str">
        <f t="shared" si="19"/>
        <v>Removed</v>
      </c>
      <c r="E1008" s="90">
        <v>44833.0</v>
      </c>
      <c r="F1008" s="105">
        <v>45565.0</v>
      </c>
      <c r="G1008" s="79">
        <f t="shared" si="2"/>
        <v>24.03333333</v>
      </c>
      <c r="H1008" s="90">
        <v>44229.0</v>
      </c>
      <c r="I1008" s="79">
        <f t="shared" si="3"/>
        <v>1.658333333</v>
      </c>
      <c r="J1008" s="106">
        <v>85.0</v>
      </c>
      <c r="K1008" s="106">
        <v>71.0</v>
      </c>
      <c r="L1008" s="82" t="s">
        <v>41</v>
      </c>
      <c r="M1008" s="82"/>
      <c r="N1008" s="82" t="s">
        <v>2594</v>
      </c>
      <c r="O1008" s="82" t="s">
        <v>328</v>
      </c>
      <c r="P1008" s="107" t="s">
        <v>2595</v>
      </c>
      <c r="Q1008" s="82"/>
      <c r="R1008" s="76" t="str">
        <f t="shared" si="4"/>
        <v>Removed</v>
      </c>
      <c r="S1008" s="90">
        <v>45547.0</v>
      </c>
      <c r="T1008" s="79">
        <f t="shared" si="5"/>
        <v>23.43333333</v>
      </c>
      <c r="U1008" s="90"/>
      <c r="V1008" s="79"/>
    </row>
    <row r="1009">
      <c r="A1009" s="207" t="s">
        <v>2596</v>
      </c>
      <c r="B1009" s="54" t="s">
        <v>35</v>
      </c>
      <c r="C1009" s="54" t="s">
        <v>36</v>
      </c>
      <c r="D1009" s="59" t="str">
        <f t="shared" si="19"/>
        <v>Removed</v>
      </c>
      <c r="E1009" s="133">
        <v>43650.0</v>
      </c>
      <c r="F1009" s="120">
        <v>45565.0</v>
      </c>
      <c r="G1009" s="65">
        <f t="shared" si="2"/>
        <v>62.86666667</v>
      </c>
      <c r="H1009" s="88">
        <v>43571.0</v>
      </c>
      <c r="I1009" s="65">
        <f t="shared" si="3"/>
        <v>0.2166666667</v>
      </c>
      <c r="J1009" s="208">
        <v>73.0</v>
      </c>
      <c r="K1009" s="121">
        <v>64.0</v>
      </c>
      <c r="L1009" s="69" t="s">
        <v>46</v>
      </c>
      <c r="M1009" s="69" t="s">
        <v>1747</v>
      </c>
      <c r="N1009" s="91"/>
      <c r="O1009" s="69" t="s">
        <v>1168</v>
      </c>
      <c r="P1009" s="122" t="s">
        <v>2597</v>
      </c>
      <c r="Q1009" s="69"/>
      <c r="R1009" s="59" t="str">
        <f t="shared" si="4"/>
        <v>Removed</v>
      </c>
      <c r="S1009" s="88">
        <v>45547.0</v>
      </c>
      <c r="T1009" s="65">
        <f t="shared" si="5"/>
        <v>62.26666667</v>
      </c>
      <c r="U1009" s="88"/>
      <c r="V1009" s="65"/>
    </row>
    <row r="1010">
      <c r="A1010" s="74" t="s">
        <v>2598</v>
      </c>
      <c r="B1010" s="75" t="s">
        <v>35</v>
      </c>
      <c r="C1010" s="75" t="s">
        <v>36</v>
      </c>
      <c r="D1010" s="76" t="str">
        <f t="shared" si="19"/>
        <v>Removed</v>
      </c>
      <c r="E1010" s="90">
        <v>45190.0</v>
      </c>
      <c r="F1010" s="105">
        <v>45550.0</v>
      </c>
      <c r="G1010" s="79">
        <f t="shared" si="2"/>
        <v>11.8</v>
      </c>
      <c r="H1010" s="90">
        <v>45190.0</v>
      </c>
      <c r="I1010" s="79">
        <f t="shared" si="3"/>
        <v>0</v>
      </c>
      <c r="J1010" s="106">
        <v>68.0</v>
      </c>
      <c r="K1010" s="106">
        <v>10.0</v>
      </c>
      <c r="L1010" s="82" t="s">
        <v>37</v>
      </c>
      <c r="M1010" s="82" t="s">
        <v>38</v>
      </c>
      <c r="N1010" s="82"/>
      <c r="O1010" s="82" t="s">
        <v>1331</v>
      </c>
      <c r="P1010" s="107"/>
      <c r="Q1010" s="82"/>
      <c r="R1010" s="76" t="str">
        <f t="shared" si="4"/>
        <v>TBD</v>
      </c>
      <c r="S1010" s="90"/>
      <c r="T1010" s="79">
        <f t="shared" si="5"/>
        <v>36.5</v>
      </c>
      <c r="U1010" s="90"/>
      <c r="V1010" s="79"/>
    </row>
    <row r="1011">
      <c r="A1011" s="53" t="s">
        <v>2599</v>
      </c>
      <c r="B1011" s="54" t="s">
        <v>35</v>
      </c>
      <c r="C1011" s="54" t="s">
        <v>36</v>
      </c>
      <c r="D1011" s="59" t="str">
        <f t="shared" si="19"/>
        <v>Removed</v>
      </c>
      <c r="E1011" s="88">
        <v>45062.0</v>
      </c>
      <c r="F1011" s="120">
        <v>45550.0</v>
      </c>
      <c r="G1011" s="65">
        <f t="shared" si="2"/>
        <v>15.96666667</v>
      </c>
      <c r="H1011" s="88">
        <v>44470.0</v>
      </c>
      <c r="I1011" s="65">
        <f t="shared" si="3"/>
        <v>1.625</v>
      </c>
      <c r="J1011" s="121">
        <v>78.0</v>
      </c>
      <c r="K1011" s="121">
        <v>94.0</v>
      </c>
      <c r="L1011" s="69" t="s">
        <v>62</v>
      </c>
      <c r="M1011" s="69"/>
      <c r="N1011" s="69"/>
      <c r="O1011" s="69" t="s">
        <v>1219</v>
      </c>
      <c r="P1011" s="122"/>
      <c r="Q1011" s="69"/>
      <c r="R1011" s="59" t="str">
        <f t="shared" si="4"/>
        <v>Removed</v>
      </c>
      <c r="S1011" s="88">
        <v>45547.0</v>
      </c>
      <c r="T1011" s="65">
        <f t="shared" si="5"/>
        <v>15.86666667</v>
      </c>
      <c r="U1011" s="88"/>
      <c r="V1011" s="65"/>
    </row>
    <row r="1012">
      <c r="A1012" s="74" t="s">
        <v>2600</v>
      </c>
      <c r="B1012" s="75" t="s">
        <v>35</v>
      </c>
      <c r="C1012" s="75" t="s">
        <v>1573</v>
      </c>
      <c r="D1012" s="76" t="str">
        <f t="shared" si="19"/>
        <v>Removed</v>
      </c>
      <c r="E1012" s="90">
        <v>44826.0</v>
      </c>
      <c r="F1012" s="105">
        <v>45550.0</v>
      </c>
      <c r="G1012" s="79">
        <f t="shared" si="2"/>
        <v>23.76666667</v>
      </c>
      <c r="H1012" s="90">
        <v>44826.0</v>
      </c>
      <c r="I1012" s="79">
        <f t="shared" si="3"/>
        <v>0</v>
      </c>
      <c r="J1012" s="106">
        <v>76.0</v>
      </c>
      <c r="K1012" s="106">
        <v>8.5</v>
      </c>
      <c r="L1012" s="82" t="s">
        <v>37</v>
      </c>
      <c r="M1012" s="82" t="s">
        <v>38</v>
      </c>
      <c r="N1012" s="82"/>
      <c r="O1012" s="82" t="s">
        <v>1168</v>
      </c>
      <c r="P1012" s="107" t="s">
        <v>1396</v>
      </c>
      <c r="Q1012" s="82"/>
      <c r="R1012" s="76" t="str">
        <f t="shared" si="4"/>
        <v>Removed</v>
      </c>
      <c r="S1012" s="90">
        <v>45547.0</v>
      </c>
      <c r="T1012" s="79">
        <f t="shared" si="5"/>
        <v>23.66666667</v>
      </c>
      <c r="U1012" s="90"/>
      <c r="V1012" s="79"/>
    </row>
    <row r="1013">
      <c r="A1013" s="53" t="s">
        <v>2601</v>
      </c>
      <c r="B1013" s="54" t="s">
        <v>35</v>
      </c>
      <c r="C1013" s="54" t="s">
        <v>100</v>
      </c>
      <c r="D1013" s="59" t="str">
        <f t="shared" si="19"/>
        <v>Removed</v>
      </c>
      <c r="E1013" s="88">
        <v>44826.0</v>
      </c>
      <c r="F1013" s="120">
        <v>45550.0</v>
      </c>
      <c r="G1013" s="65">
        <f t="shared" si="2"/>
        <v>23.76666667</v>
      </c>
      <c r="H1013" s="88">
        <v>44826.0</v>
      </c>
      <c r="I1013" s="65">
        <f t="shared" si="3"/>
        <v>0</v>
      </c>
      <c r="J1013" s="121">
        <v>83.0</v>
      </c>
      <c r="K1013" s="121">
        <v>9.0</v>
      </c>
      <c r="L1013" s="69" t="s">
        <v>289</v>
      </c>
      <c r="M1013" s="69"/>
      <c r="N1013" s="69"/>
      <c r="O1013" s="69" t="s">
        <v>1168</v>
      </c>
      <c r="P1013" s="122" t="s">
        <v>1519</v>
      </c>
      <c r="Q1013" s="69"/>
      <c r="R1013" s="59" t="str">
        <f t="shared" si="4"/>
        <v>Removed</v>
      </c>
      <c r="S1013" s="88">
        <v>45547.0</v>
      </c>
      <c r="T1013" s="65">
        <f t="shared" si="5"/>
        <v>23.66666667</v>
      </c>
      <c r="U1013" s="88"/>
      <c r="V1013" s="65"/>
    </row>
    <row r="1014">
      <c r="A1014" s="74" t="s">
        <v>2602</v>
      </c>
      <c r="B1014" s="75" t="s">
        <v>35</v>
      </c>
      <c r="C1014" s="75" t="s">
        <v>100</v>
      </c>
      <c r="D1014" s="76" t="str">
        <f t="shared" si="19"/>
        <v>Removed</v>
      </c>
      <c r="E1014" s="90">
        <v>44818.0</v>
      </c>
      <c r="F1014" s="105">
        <v>45550.0</v>
      </c>
      <c r="G1014" s="79">
        <f t="shared" si="2"/>
        <v>24.03333333</v>
      </c>
      <c r="H1014" s="90">
        <v>44818.0</v>
      </c>
      <c r="I1014" s="79">
        <f t="shared" si="3"/>
        <v>0</v>
      </c>
      <c r="J1014" s="106">
        <v>77.0</v>
      </c>
      <c r="K1014" s="106">
        <v>8.5</v>
      </c>
      <c r="L1014" s="82" t="s">
        <v>55</v>
      </c>
      <c r="M1014" s="82"/>
      <c r="N1014" s="82"/>
      <c r="O1014" s="82" t="s">
        <v>1219</v>
      </c>
      <c r="P1014" s="107"/>
      <c r="Q1014" s="82"/>
      <c r="R1014" s="76" t="str">
        <f t="shared" si="4"/>
        <v>Removed</v>
      </c>
      <c r="S1014" s="90">
        <v>45547.0</v>
      </c>
      <c r="T1014" s="79">
        <f t="shared" si="5"/>
        <v>23.93333333</v>
      </c>
      <c r="U1014" s="90"/>
      <c r="V1014" s="79"/>
    </row>
    <row r="1015">
      <c r="A1015" s="53" t="s">
        <v>2603</v>
      </c>
      <c r="B1015" s="54" t="s">
        <v>13</v>
      </c>
      <c r="C1015" s="54"/>
      <c r="D1015" s="59" t="str">
        <f t="shared" si="19"/>
        <v>Removed</v>
      </c>
      <c r="E1015" s="88">
        <v>44817.0</v>
      </c>
      <c r="F1015" s="120">
        <v>45550.0</v>
      </c>
      <c r="G1015" s="65">
        <f t="shared" si="2"/>
        <v>24.06666667</v>
      </c>
      <c r="H1015" s="88">
        <v>42684.0</v>
      </c>
      <c r="I1015" s="65">
        <f t="shared" si="3"/>
        <v>5.841666667</v>
      </c>
      <c r="J1015" s="121">
        <v>81.0</v>
      </c>
      <c r="K1015" s="121">
        <v>16.0</v>
      </c>
      <c r="L1015" s="69" t="s">
        <v>1726</v>
      </c>
      <c r="M1015" s="69"/>
      <c r="N1015" s="69"/>
      <c r="O1015" s="69" t="s">
        <v>1168</v>
      </c>
      <c r="P1015" s="122" t="s">
        <v>1527</v>
      </c>
      <c r="Q1015" s="69"/>
      <c r="R1015" s="59" t="str">
        <f t="shared" si="4"/>
        <v>TBD</v>
      </c>
      <c r="S1015" s="88"/>
      <c r="T1015" s="65">
        <f t="shared" si="5"/>
        <v>48.76666667</v>
      </c>
      <c r="U1015" s="88"/>
      <c r="V1015" s="65"/>
    </row>
    <row r="1016">
      <c r="A1016" s="74" t="s">
        <v>2604</v>
      </c>
      <c r="B1016" s="75" t="s">
        <v>129</v>
      </c>
      <c r="C1016" s="75" t="s">
        <v>36</v>
      </c>
      <c r="D1016" s="76" t="str">
        <f t="shared" si="19"/>
        <v>Removed</v>
      </c>
      <c r="E1016" s="77">
        <v>45362.0</v>
      </c>
      <c r="F1016" s="105">
        <v>45535.0</v>
      </c>
      <c r="G1016" s="79">
        <f t="shared" si="2"/>
        <v>5.633333333</v>
      </c>
      <c r="H1016" s="90">
        <v>45177.0</v>
      </c>
      <c r="I1016" s="79">
        <f t="shared" si="3"/>
        <v>0.5083333333</v>
      </c>
      <c r="J1016" s="106">
        <v>68.0</v>
      </c>
      <c r="K1016" s="106">
        <v>24.0</v>
      </c>
      <c r="L1016" s="82" t="s">
        <v>62</v>
      </c>
      <c r="M1016" s="82"/>
      <c r="N1016" s="82"/>
      <c r="O1016" s="82"/>
      <c r="P1016" s="107"/>
      <c r="Q1016" s="82"/>
      <c r="R1016" s="76"/>
      <c r="S1016" s="90"/>
      <c r="T1016" s="79"/>
      <c r="U1016" s="90"/>
      <c r="V1016" s="79"/>
    </row>
    <row r="1017">
      <c r="A1017" s="53" t="s">
        <v>2605</v>
      </c>
      <c r="B1017" s="54" t="s">
        <v>35</v>
      </c>
      <c r="C1017" s="54" t="s">
        <v>36</v>
      </c>
      <c r="D1017" s="59" t="str">
        <f t="shared" si="19"/>
        <v>Removed</v>
      </c>
      <c r="E1017" s="88">
        <v>44992.0</v>
      </c>
      <c r="F1017" s="120">
        <v>45535.0</v>
      </c>
      <c r="G1017" s="65">
        <f t="shared" si="2"/>
        <v>17.76666667</v>
      </c>
      <c r="H1017" s="88">
        <v>44358.0</v>
      </c>
      <c r="I1017" s="65">
        <f t="shared" si="3"/>
        <v>1.738888889</v>
      </c>
      <c r="J1017" s="121">
        <v>85.0</v>
      </c>
      <c r="K1017" s="121">
        <v>5.0</v>
      </c>
      <c r="L1017" s="69" t="s">
        <v>52</v>
      </c>
      <c r="M1017" s="69"/>
      <c r="N1017" s="69"/>
      <c r="O1017" s="69" t="s">
        <v>328</v>
      </c>
      <c r="P1017" s="122" t="s">
        <v>1748</v>
      </c>
      <c r="Q1017" s="69"/>
      <c r="R1017" s="59"/>
      <c r="S1017" s="88"/>
      <c r="T1017" s="65"/>
      <c r="U1017" s="88"/>
      <c r="V1017" s="65"/>
    </row>
    <row r="1018">
      <c r="A1018" s="74" t="s">
        <v>2606</v>
      </c>
      <c r="B1018" s="75" t="s">
        <v>35</v>
      </c>
      <c r="C1018" s="75" t="s">
        <v>371</v>
      </c>
      <c r="D1018" s="76" t="str">
        <f t="shared" si="19"/>
        <v>Removed</v>
      </c>
      <c r="E1018" s="90">
        <v>44978.0</v>
      </c>
      <c r="F1018" s="105">
        <v>45535.0</v>
      </c>
      <c r="G1018" s="79">
        <f t="shared" si="2"/>
        <v>18.3</v>
      </c>
      <c r="H1018" s="90">
        <v>44978.0</v>
      </c>
      <c r="I1018" s="79">
        <f t="shared" si="3"/>
        <v>0</v>
      </c>
      <c r="J1018" s="106">
        <v>72.0</v>
      </c>
      <c r="K1018" s="106">
        <v>16.0</v>
      </c>
      <c r="L1018" s="82" t="s">
        <v>37</v>
      </c>
      <c r="M1018" s="82"/>
      <c r="N1018" s="82"/>
      <c r="O1018" s="82" t="s">
        <v>107</v>
      </c>
      <c r="P1018" s="107" t="s">
        <v>2607</v>
      </c>
      <c r="Q1018" s="82"/>
      <c r="R1018" s="76"/>
      <c r="S1018" s="90"/>
      <c r="T1018" s="79"/>
      <c r="U1018" s="90"/>
      <c r="V1018" s="79"/>
    </row>
    <row r="1019">
      <c r="A1019" s="53" t="s">
        <v>1549</v>
      </c>
      <c r="B1019" s="54" t="s">
        <v>35</v>
      </c>
      <c r="C1019" s="54" t="s">
        <v>36</v>
      </c>
      <c r="D1019" s="59" t="str">
        <f t="shared" si="19"/>
        <v>Removed</v>
      </c>
      <c r="E1019" s="88">
        <v>44267.0</v>
      </c>
      <c r="F1019" s="120">
        <v>45524.0</v>
      </c>
      <c r="G1019" s="65">
        <f t="shared" si="2"/>
        <v>41.26666667</v>
      </c>
      <c r="H1019" s="88">
        <v>34313.0</v>
      </c>
      <c r="I1019" s="65">
        <f t="shared" si="3"/>
        <v>27.25555556</v>
      </c>
      <c r="J1019" s="121">
        <v>83.0</v>
      </c>
      <c r="K1019" s="121">
        <v>4.5</v>
      </c>
      <c r="L1019" s="69" t="s">
        <v>37</v>
      </c>
      <c r="M1019" s="69"/>
      <c r="N1019" s="69"/>
      <c r="O1019" s="69" t="s">
        <v>107</v>
      </c>
      <c r="P1019" s="122" t="s">
        <v>1563</v>
      </c>
      <c r="Q1019" s="69"/>
      <c r="R1019" s="59"/>
      <c r="S1019" s="88"/>
      <c r="T1019" s="65"/>
      <c r="U1019" s="88"/>
      <c r="V1019" s="65"/>
    </row>
    <row r="1020">
      <c r="A1020" s="74" t="s">
        <v>1554</v>
      </c>
      <c r="B1020" s="75" t="s">
        <v>35</v>
      </c>
      <c r="C1020" s="75" t="s">
        <v>36</v>
      </c>
      <c r="D1020" s="76" t="str">
        <f t="shared" si="19"/>
        <v>Removed</v>
      </c>
      <c r="E1020" s="90">
        <v>44267.0</v>
      </c>
      <c r="F1020" s="105">
        <v>45524.0</v>
      </c>
      <c r="G1020" s="79">
        <f t="shared" si="2"/>
        <v>41.26666667</v>
      </c>
      <c r="H1020" s="90">
        <v>34607.0</v>
      </c>
      <c r="I1020" s="79">
        <f t="shared" si="3"/>
        <v>26.45</v>
      </c>
      <c r="J1020" s="106">
        <f>(77+83)/2</f>
        <v>80</v>
      </c>
      <c r="K1020" s="106">
        <v>7.0</v>
      </c>
      <c r="L1020" s="82" t="s">
        <v>37</v>
      </c>
      <c r="M1020" s="82"/>
      <c r="N1020" s="82"/>
      <c r="O1020" s="82" t="s">
        <v>107</v>
      </c>
      <c r="P1020" s="107" t="s">
        <v>1563</v>
      </c>
      <c r="Q1020" s="82"/>
      <c r="R1020" s="76"/>
      <c r="S1020" s="90"/>
      <c r="T1020" s="79"/>
      <c r="U1020" s="90"/>
      <c r="V1020" s="79"/>
    </row>
    <row r="1021">
      <c r="A1021" s="53" t="s">
        <v>2161</v>
      </c>
      <c r="B1021" s="54" t="s">
        <v>35</v>
      </c>
      <c r="C1021" s="54" t="s">
        <v>36</v>
      </c>
      <c r="D1021" s="59" t="str">
        <f t="shared" si="19"/>
        <v>Removed</v>
      </c>
      <c r="E1021" s="88">
        <v>45156.0</v>
      </c>
      <c r="F1021" s="120">
        <v>45519.0</v>
      </c>
      <c r="G1021" s="65">
        <f t="shared" si="2"/>
        <v>11.9</v>
      </c>
      <c r="H1021" s="88">
        <v>45156.0</v>
      </c>
      <c r="I1021" s="65">
        <f t="shared" si="3"/>
        <v>0</v>
      </c>
      <c r="J1021" s="121">
        <v>72.0</v>
      </c>
      <c r="K1021" s="121">
        <v>2.0</v>
      </c>
      <c r="L1021" s="69" t="s">
        <v>105</v>
      </c>
      <c r="M1021" s="69"/>
      <c r="N1021" s="69"/>
      <c r="O1021" s="69" t="s">
        <v>107</v>
      </c>
      <c r="P1021" s="122" t="s">
        <v>1256</v>
      </c>
      <c r="Q1021" s="69"/>
      <c r="R1021" s="59"/>
      <c r="S1021" s="88"/>
      <c r="T1021" s="65"/>
      <c r="U1021" s="88"/>
      <c r="V1021" s="65"/>
    </row>
    <row r="1022">
      <c r="A1022" s="74" t="s">
        <v>2608</v>
      </c>
      <c r="B1022" s="75" t="s">
        <v>35</v>
      </c>
      <c r="C1022" s="75" t="s">
        <v>36</v>
      </c>
      <c r="D1022" s="76" t="str">
        <f t="shared" si="19"/>
        <v>Removed</v>
      </c>
      <c r="E1022" s="77">
        <v>45148.0</v>
      </c>
      <c r="F1022" s="105">
        <v>45519.0</v>
      </c>
      <c r="G1022" s="79">
        <f t="shared" si="2"/>
        <v>12.16666667</v>
      </c>
      <c r="H1022" s="90">
        <v>44182.0</v>
      </c>
      <c r="I1022" s="79">
        <f t="shared" si="3"/>
        <v>2.647222222</v>
      </c>
      <c r="J1022" s="106">
        <v>76.0</v>
      </c>
      <c r="K1022" s="106">
        <v>8.0</v>
      </c>
      <c r="L1022" s="82" t="s">
        <v>81</v>
      </c>
      <c r="M1022" s="82"/>
      <c r="N1022" s="82"/>
      <c r="O1022" s="82" t="s">
        <v>1331</v>
      </c>
      <c r="P1022" s="107"/>
      <c r="Q1022" s="82"/>
      <c r="R1022" s="76"/>
      <c r="S1022" s="90"/>
      <c r="T1022" s="79"/>
      <c r="U1022" s="90"/>
      <c r="V1022" s="79"/>
    </row>
    <row r="1023">
      <c r="A1023" s="53" t="s">
        <v>2609</v>
      </c>
      <c r="B1023" s="54" t="s">
        <v>35</v>
      </c>
      <c r="C1023" s="54" t="s">
        <v>36</v>
      </c>
      <c r="D1023" s="59" t="str">
        <f t="shared" si="19"/>
        <v>Removed</v>
      </c>
      <c r="E1023" s="88">
        <v>44973.0</v>
      </c>
      <c r="F1023" s="120">
        <v>45519.0</v>
      </c>
      <c r="G1023" s="65">
        <f t="shared" si="2"/>
        <v>17.96666667</v>
      </c>
      <c r="H1023" s="88">
        <v>44621.0</v>
      </c>
      <c r="I1023" s="65">
        <f t="shared" si="3"/>
        <v>0.9583333333</v>
      </c>
      <c r="J1023" s="121">
        <v>71.0</v>
      </c>
      <c r="K1023" s="121">
        <v>6.0</v>
      </c>
      <c r="L1023" s="69" t="s">
        <v>37</v>
      </c>
      <c r="M1023" s="69"/>
      <c r="N1023" s="69"/>
      <c r="O1023" s="69" t="s">
        <v>107</v>
      </c>
      <c r="P1023" s="122" t="s">
        <v>2551</v>
      </c>
      <c r="Q1023" s="69"/>
      <c r="R1023" s="59"/>
      <c r="S1023" s="88"/>
      <c r="T1023" s="65"/>
      <c r="U1023" s="88"/>
      <c r="V1023" s="65"/>
    </row>
    <row r="1024">
      <c r="A1024" s="74" t="s">
        <v>2610</v>
      </c>
      <c r="B1024" s="75" t="s">
        <v>13</v>
      </c>
      <c r="C1024" s="75"/>
      <c r="D1024" s="76" t="str">
        <f t="shared" si="19"/>
        <v>Removed</v>
      </c>
      <c r="E1024" s="90">
        <v>44784.0</v>
      </c>
      <c r="F1024" s="105">
        <v>45519.0</v>
      </c>
      <c r="G1024" s="79">
        <f t="shared" si="2"/>
        <v>24.13333333</v>
      </c>
      <c r="H1024" s="90">
        <v>42488.0</v>
      </c>
      <c r="I1024" s="79">
        <f t="shared" si="3"/>
        <v>6.286111111</v>
      </c>
      <c r="J1024" s="106">
        <v>78.0</v>
      </c>
      <c r="K1024" s="106">
        <v>8.0</v>
      </c>
      <c r="L1024" s="82" t="s">
        <v>1726</v>
      </c>
      <c r="M1024" s="82"/>
      <c r="N1024" s="82"/>
      <c r="O1024" s="82" t="s">
        <v>1219</v>
      </c>
      <c r="P1024" s="107" t="s">
        <v>1857</v>
      </c>
      <c r="Q1024" s="82"/>
      <c r="R1024" s="75"/>
      <c r="S1024" s="90"/>
      <c r="T1024" s="79"/>
      <c r="U1024" s="90"/>
      <c r="V1024" s="79"/>
    </row>
    <row r="1025">
      <c r="A1025" s="53" t="s">
        <v>2611</v>
      </c>
      <c r="B1025" s="54" t="s">
        <v>35</v>
      </c>
      <c r="C1025" s="54" t="s">
        <v>36</v>
      </c>
      <c r="D1025" s="59" t="str">
        <f t="shared" si="19"/>
        <v>Removed</v>
      </c>
      <c r="E1025" s="88">
        <v>45329.0</v>
      </c>
      <c r="F1025" s="120">
        <v>45504.0</v>
      </c>
      <c r="G1025" s="65">
        <f t="shared" si="2"/>
        <v>5.766666667</v>
      </c>
      <c r="H1025" s="88">
        <v>45195.0</v>
      </c>
      <c r="I1025" s="65">
        <f t="shared" si="3"/>
        <v>0.3638888889</v>
      </c>
      <c r="J1025" s="121">
        <v>80.0</v>
      </c>
      <c r="K1025" s="121">
        <v>18.0</v>
      </c>
      <c r="L1025" s="69" t="s">
        <v>64</v>
      </c>
      <c r="M1025" s="69"/>
      <c r="N1025" s="69"/>
      <c r="O1025" s="69" t="s">
        <v>1219</v>
      </c>
      <c r="P1025" s="122"/>
      <c r="Q1025" s="69"/>
      <c r="R1025" s="59"/>
      <c r="S1025" s="88"/>
      <c r="T1025" s="65"/>
      <c r="U1025" s="88"/>
      <c r="V1025" s="65"/>
    </row>
    <row r="1026">
      <c r="A1026" s="74" t="s">
        <v>2612</v>
      </c>
      <c r="B1026" s="75" t="s">
        <v>35</v>
      </c>
      <c r="C1026" s="75" t="s">
        <v>36</v>
      </c>
      <c r="D1026" s="76" t="str">
        <f t="shared" si="19"/>
        <v>Removed</v>
      </c>
      <c r="E1026" s="90">
        <v>45141.0</v>
      </c>
      <c r="F1026" s="105">
        <v>45504.0</v>
      </c>
      <c r="G1026" s="79">
        <f t="shared" si="2"/>
        <v>11.9</v>
      </c>
      <c r="H1026" s="90">
        <v>43676.0</v>
      </c>
      <c r="I1026" s="79">
        <f t="shared" si="3"/>
        <v>4.008333333</v>
      </c>
      <c r="J1026" s="106">
        <v>82.0</v>
      </c>
      <c r="K1026" s="106">
        <v>2.0</v>
      </c>
      <c r="L1026" s="82" t="s">
        <v>41</v>
      </c>
      <c r="M1026" s="82"/>
      <c r="N1026" s="82"/>
      <c r="O1026" s="82" t="s">
        <v>1219</v>
      </c>
      <c r="P1026" s="107"/>
      <c r="Q1026" s="82"/>
      <c r="R1026" s="76"/>
      <c r="S1026" s="90"/>
      <c r="T1026" s="79"/>
      <c r="U1026" s="90"/>
      <c r="V1026" s="79"/>
    </row>
    <row r="1027">
      <c r="A1027" s="53" t="s">
        <v>2613</v>
      </c>
      <c r="B1027" s="54" t="s">
        <v>35</v>
      </c>
      <c r="C1027" s="54"/>
      <c r="D1027" s="59" t="str">
        <f t="shared" si="19"/>
        <v>Removed</v>
      </c>
      <c r="E1027" s="88">
        <v>45138.0</v>
      </c>
      <c r="F1027" s="120">
        <v>45504.0</v>
      </c>
      <c r="G1027" s="65">
        <f t="shared" si="2"/>
        <v>12</v>
      </c>
      <c r="H1027" s="88">
        <v>45138.0</v>
      </c>
      <c r="I1027" s="65">
        <f t="shared" si="3"/>
        <v>0</v>
      </c>
      <c r="J1027" s="121">
        <v>79.0</v>
      </c>
      <c r="K1027" s="121">
        <v>2.0</v>
      </c>
      <c r="L1027" s="69" t="s">
        <v>135</v>
      </c>
      <c r="M1027" s="69"/>
      <c r="N1027" s="69"/>
      <c r="O1027" s="69" t="s">
        <v>1331</v>
      </c>
      <c r="P1027" s="122"/>
      <c r="Q1027" s="69"/>
      <c r="R1027" s="59"/>
      <c r="S1027" s="88"/>
      <c r="T1027" s="65"/>
      <c r="U1027" s="88"/>
      <c r="V1027" s="65"/>
    </row>
    <row r="1028">
      <c r="A1028" s="74" t="s">
        <v>2614</v>
      </c>
      <c r="B1028" s="75" t="s">
        <v>35</v>
      </c>
      <c r="C1028" s="75" t="s">
        <v>36</v>
      </c>
      <c r="D1028" s="76" t="str">
        <f t="shared" si="19"/>
        <v>Removed</v>
      </c>
      <c r="E1028" s="90">
        <v>45127.0</v>
      </c>
      <c r="F1028" s="105">
        <v>45488.0</v>
      </c>
      <c r="G1028" s="79">
        <f t="shared" si="2"/>
        <v>11.83333333</v>
      </c>
      <c r="H1028" s="90">
        <v>44994.0</v>
      </c>
      <c r="I1028" s="79">
        <f t="shared" si="3"/>
        <v>0.3638888889</v>
      </c>
      <c r="J1028" s="106">
        <v>74.0</v>
      </c>
      <c r="K1028" s="106">
        <v>4.0</v>
      </c>
      <c r="L1028" s="82" t="s">
        <v>41</v>
      </c>
      <c r="M1028" s="82"/>
      <c r="N1028" s="82"/>
      <c r="O1028" s="82" t="s">
        <v>1331</v>
      </c>
      <c r="P1028" s="107"/>
      <c r="Q1028" s="82"/>
      <c r="R1028" s="76"/>
      <c r="S1028" s="90"/>
      <c r="T1028" s="79"/>
      <c r="U1028" s="90"/>
      <c r="V1028" s="79"/>
    </row>
    <row r="1029">
      <c r="A1029" s="53" t="s">
        <v>2615</v>
      </c>
      <c r="B1029" s="54" t="s">
        <v>35</v>
      </c>
      <c r="C1029" s="54" t="s">
        <v>36</v>
      </c>
      <c r="D1029" s="59" t="str">
        <f t="shared" si="19"/>
        <v>Removed</v>
      </c>
      <c r="E1029" s="88">
        <v>45127.0</v>
      </c>
      <c r="F1029" s="120">
        <v>45488.0</v>
      </c>
      <c r="G1029" s="65">
        <f t="shared" si="2"/>
        <v>11.83333333</v>
      </c>
      <c r="H1029" s="88">
        <v>44818.0</v>
      </c>
      <c r="I1029" s="65">
        <f t="shared" si="3"/>
        <v>0.85</v>
      </c>
      <c r="J1029" s="121">
        <v>75.0</v>
      </c>
      <c r="K1029" s="121">
        <v>14.0</v>
      </c>
      <c r="L1029" s="69" t="s">
        <v>64</v>
      </c>
      <c r="M1029" s="69"/>
      <c r="N1029" s="69"/>
      <c r="O1029" s="69" t="s">
        <v>1331</v>
      </c>
      <c r="P1029" s="122"/>
      <c r="Q1029" s="69"/>
      <c r="R1029" s="59"/>
      <c r="S1029" s="88"/>
      <c r="T1029" s="65"/>
      <c r="U1029" s="88"/>
      <c r="V1029" s="65"/>
    </row>
    <row r="1030">
      <c r="A1030" s="74" t="s">
        <v>2616</v>
      </c>
      <c r="B1030" s="75" t="s">
        <v>35</v>
      </c>
      <c r="C1030" s="75" t="s">
        <v>36</v>
      </c>
      <c r="D1030" s="76" t="str">
        <f t="shared" si="19"/>
        <v>Removed</v>
      </c>
      <c r="E1030" s="90">
        <v>45125.0</v>
      </c>
      <c r="F1030" s="105">
        <v>45488.0</v>
      </c>
      <c r="G1030" s="79">
        <f t="shared" si="2"/>
        <v>11.9</v>
      </c>
      <c r="H1030" s="90">
        <v>44456.0</v>
      </c>
      <c r="I1030" s="79">
        <f t="shared" si="3"/>
        <v>1.836111111</v>
      </c>
      <c r="J1030" s="106">
        <v>79.0</v>
      </c>
      <c r="K1030" s="106">
        <v>4.0</v>
      </c>
      <c r="L1030" s="82" t="s">
        <v>135</v>
      </c>
      <c r="M1030" s="82"/>
      <c r="N1030" s="82"/>
      <c r="O1030" s="82" t="s">
        <v>1331</v>
      </c>
      <c r="P1030" s="107"/>
      <c r="Q1030" s="82"/>
      <c r="R1030" s="76"/>
      <c r="S1030" s="90"/>
      <c r="T1030" s="79"/>
      <c r="U1030" s="90"/>
      <c r="V1030" s="79"/>
    </row>
    <row r="1031">
      <c r="A1031" s="53" t="s">
        <v>2617</v>
      </c>
      <c r="B1031" s="54" t="s">
        <v>35</v>
      </c>
      <c r="C1031" s="54" t="s">
        <v>36</v>
      </c>
      <c r="D1031" s="59" t="str">
        <f t="shared" si="19"/>
        <v>Removed</v>
      </c>
      <c r="E1031" s="88">
        <v>45036.0</v>
      </c>
      <c r="F1031" s="120">
        <v>45488.0</v>
      </c>
      <c r="G1031" s="65">
        <f t="shared" si="2"/>
        <v>14.83333333</v>
      </c>
      <c r="H1031" s="88">
        <v>45036.0</v>
      </c>
      <c r="I1031" s="65">
        <f t="shared" si="3"/>
        <v>0</v>
      </c>
      <c r="J1031" s="121">
        <v>78.0</v>
      </c>
      <c r="K1031" s="121">
        <v>7.0</v>
      </c>
      <c r="L1031" s="69" t="s">
        <v>135</v>
      </c>
      <c r="M1031" s="69"/>
      <c r="N1031" s="69"/>
      <c r="O1031" s="69" t="s">
        <v>328</v>
      </c>
      <c r="P1031" s="122" t="s">
        <v>2618</v>
      </c>
      <c r="Q1031" s="69"/>
      <c r="R1031" s="59"/>
      <c r="S1031" s="88"/>
      <c r="T1031" s="65"/>
      <c r="U1031" s="88"/>
      <c r="V1031" s="65"/>
    </row>
    <row r="1032">
      <c r="A1032" s="74" t="s">
        <v>2619</v>
      </c>
      <c r="B1032" s="75" t="s">
        <v>13</v>
      </c>
      <c r="C1032" s="75"/>
      <c r="D1032" s="76" t="str">
        <f t="shared" si="19"/>
        <v>Removed</v>
      </c>
      <c r="E1032" s="263">
        <v>44763.0</v>
      </c>
      <c r="F1032" s="105">
        <v>45488.0</v>
      </c>
      <c r="G1032" s="79">
        <f t="shared" si="2"/>
        <v>23.8</v>
      </c>
      <c r="H1032" s="90">
        <v>41430.0</v>
      </c>
      <c r="I1032" s="79">
        <f t="shared" si="3"/>
        <v>9.127777778</v>
      </c>
      <c r="J1032" s="106">
        <v>82.0</v>
      </c>
      <c r="K1032" s="106">
        <v>10.0</v>
      </c>
      <c r="L1032" s="264" t="s">
        <v>1726</v>
      </c>
      <c r="M1032" s="261"/>
      <c r="N1032" s="261"/>
      <c r="O1032" s="264" t="s">
        <v>1168</v>
      </c>
      <c r="P1032" s="265" t="s">
        <v>1396</v>
      </c>
      <c r="Q1032" s="261"/>
      <c r="R1032" s="75"/>
      <c r="S1032" s="90"/>
      <c r="T1032" s="79"/>
      <c r="U1032" s="90"/>
      <c r="V1032" s="79"/>
    </row>
    <row r="1033">
      <c r="A1033" s="53" t="s">
        <v>2620</v>
      </c>
      <c r="B1033" s="54" t="s">
        <v>35</v>
      </c>
      <c r="C1033" s="54" t="s">
        <v>36</v>
      </c>
      <c r="D1033" s="59" t="str">
        <f t="shared" si="19"/>
        <v>Removed</v>
      </c>
      <c r="E1033" s="88">
        <v>44656.0</v>
      </c>
      <c r="F1033" s="120">
        <v>45478.0</v>
      </c>
      <c r="G1033" s="65">
        <f t="shared" si="2"/>
        <v>27</v>
      </c>
      <c r="H1033" s="88">
        <v>44532.0</v>
      </c>
      <c r="I1033" s="65">
        <f t="shared" si="3"/>
        <v>0.3416666667</v>
      </c>
      <c r="J1033" s="121">
        <v>61.0</v>
      </c>
      <c r="K1033" s="121">
        <v>22.0</v>
      </c>
      <c r="L1033" s="69" t="s">
        <v>62</v>
      </c>
      <c r="M1033" s="69"/>
      <c r="N1033" s="69"/>
      <c r="O1033" s="69" t="s">
        <v>1219</v>
      </c>
      <c r="P1033" s="122"/>
      <c r="Q1033" s="69"/>
      <c r="R1033" s="59"/>
      <c r="S1033" s="88"/>
      <c r="T1033" s="65"/>
      <c r="U1033" s="88"/>
      <c r="V1033" s="65"/>
    </row>
    <row r="1034">
      <c r="A1034" s="74" t="s">
        <v>2621</v>
      </c>
      <c r="B1034" s="75" t="s">
        <v>35</v>
      </c>
      <c r="C1034" s="75" t="s">
        <v>36</v>
      </c>
      <c r="D1034" s="76" t="str">
        <f t="shared" si="19"/>
        <v>Removed</v>
      </c>
      <c r="E1034" s="90">
        <v>45113.0</v>
      </c>
      <c r="F1034" s="105">
        <v>45473.0</v>
      </c>
      <c r="G1034" s="79">
        <f t="shared" si="2"/>
        <v>11.8</v>
      </c>
      <c r="H1034" s="90">
        <v>44490.0</v>
      </c>
      <c r="I1034" s="79">
        <f t="shared" si="3"/>
        <v>1.708333333</v>
      </c>
      <c r="J1034" s="106">
        <v>73.0</v>
      </c>
      <c r="K1034" s="106">
        <v>24.0</v>
      </c>
      <c r="L1034" s="82" t="s">
        <v>46</v>
      </c>
      <c r="M1034" s="90"/>
      <c r="N1034" s="82"/>
      <c r="O1034" s="82" t="s">
        <v>328</v>
      </c>
      <c r="P1034" s="107" t="s">
        <v>2622</v>
      </c>
      <c r="Q1034" s="82"/>
      <c r="R1034" s="76"/>
      <c r="S1034" s="90"/>
      <c r="T1034" s="79"/>
      <c r="U1034" s="90"/>
      <c r="V1034" s="79"/>
    </row>
    <row r="1035">
      <c r="A1035" s="53" t="s">
        <v>2623</v>
      </c>
      <c r="B1035" s="54" t="s">
        <v>35</v>
      </c>
      <c r="C1035" s="54"/>
      <c r="D1035" s="59" t="str">
        <f t="shared" si="19"/>
        <v>Removed</v>
      </c>
      <c r="E1035" s="88">
        <v>45106.0</v>
      </c>
      <c r="F1035" s="120">
        <v>45473.0</v>
      </c>
      <c r="G1035" s="65">
        <f t="shared" si="2"/>
        <v>12.03333333</v>
      </c>
      <c r="H1035" s="88">
        <v>43755.0</v>
      </c>
      <c r="I1035" s="65">
        <f t="shared" si="3"/>
        <v>3.7</v>
      </c>
      <c r="J1035" s="121">
        <v>72.0</v>
      </c>
      <c r="K1035" s="121">
        <v>30.0</v>
      </c>
      <c r="L1035" s="69" t="s">
        <v>64</v>
      </c>
      <c r="M1035" s="69"/>
      <c r="N1035" s="69"/>
      <c r="O1035" s="69" t="s">
        <v>1168</v>
      </c>
      <c r="P1035" s="122" t="s">
        <v>2624</v>
      </c>
      <c r="Q1035" s="69"/>
      <c r="R1035" s="59"/>
      <c r="S1035" s="88"/>
      <c r="T1035" s="65"/>
      <c r="U1035" s="88"/>
      <c r="V1035" s="65"/>
    </row>
    <row r="1036">
      <c r="A1036" s="74" t="s">
        <v>2625</v>
      </c>
      <c r="B1036" s="75" t="s">
        <v>35</v>
      </c>
      <c r="C1036" s="75" t="s">
        <v>36</v>
      </c>
      <c r="D1036" s="76" t="str">
        <f t="shared" si="19"/>
        <v>Removed</v>
      </c>
      <c r="E1036" s="90">
        <v>45104.0</v>
      </c>
      <c r="F1036" s="105">
        <v>45473.0</v>
      </c>
      <c r="G1036" s="79">
        <f t="shared" si="2"/>
        <v>12.1</v>
      </c>
      <c r="H1036" s="90">
        <v>44446.0</v>
      </c>
      <c r="I1036" s="79">
        <f t="shared" si="3"/>
        <v>1.805555556</v>
      </c>
      <c r="J1036" s="106">
        <v>81.0</v>
      </c>
      <c r="K1036" s="106">
        <v>12.0</v>
      </c>
      <c r="L1036" s="82" t="s">
        <v>57</v>
      </c>
      <c r="M1036" s="82" t="s">
        <v>38</v>
      </c>
      <c r="N1036" s="82"/>
      <c r="O1036" s="82" t="s">
        <v>1168</v>
      </c>
      <c r="P1036" s="107" t="s">
        <v>2626</v>
      </c>
      <c r="Q1036" s="82"/>
      <c r="R1036" s="76"/>
      <c r="S1036" s="90"/>
      <c r="T1036" s="79"/>
      <c r="U1036" s="90"/>
      <c r="V1036" s="79"/>
    </row>
    <row r="1037">
      <c r="A1037" s="53" t="s">
        <v>2627</v>
      </c>
      <c r="B1037" s="54" t="s">
        <v>35</v>
      </c>
      <c r="C1037" s="54" t="s">
        <v>36</v>
      </c>
      <c r="D1037" s="59" t="str">
        <f t="shared" si="19"/>
        <v>Removed</v>
      </c>
      <c r="E1037" s="88">
        <v>44929.0</v>
      </c>
      <c r="F1037" s="120">
        <v>45473.0</v>
      </c>
      <c r="G1037" s="65">
        <f t="shared" si="2"/>
        <v>17.9</v>
      </c>
      <c r="H1037" s="88">
        <v>42027.0</v>
      </c>
      <c r="I1037" s="65">
        <f t="shared" si="3"/>
        <v>7.944444444</v>
      </c>
      <c r="J1037" s="121">
        <v>75.0</v>
      </c>
      <c r="K1037" s="121">
        <v>18.0</v>
      </c>
      <c r="L1037" s="69" t="s">
        <v>135</v>
      </c>
      <c r="M1037" s="69"/>
      <c r="N1037" s="69"/>
      <c r="O1037" s="69" t="s">
        <v>328</v>
      </c>
      <c r="P1037" s="122" t="s">
        <v>2628</v>
      </c>
      <c r="Q1037" s="69"/>
      <c r="R1037" s="59"/>
      <c r="S1037" s="88"/>
      <c r="T1037" s="65"/>
      <c r="U1037" s="88"/>
      <c r="V1037" s="65"/>
    </row>
    <row r="1038">
      <c r="A1038" s="74" t="s">
        <v>2629</v>
      </c>
      <c r="B1038" s="75" t="s">
        <v>35</v>
      </c>
      <c r="C1038" s="75"/>
      <c r="D1038" s="76" t="str">
        <f t="shared" si="19"/>
        <v>Removed</v>
      </c>
      <c r="E1038" s="90">
        <v>44735.0</v>
      </c>
      <c r="F1038" s="105">
        <v>45473.0</v>
      </c>
      <c r="G1038" s="79">
        <f t="shared" si="2"/>
        <v>24.23333333</v>
      </c>
      <c r="H1038" s="90">
        <v>44470.0</v>
      </c>
      <c r="I1038" s="79">
        <f t="shared" si="3"/>
        <v>0.7277777778</v>
      </c>
      <c r="J1038" s="106">
        <f>average(73,78)</f>
        <v>75.5</v>
      </c>
      <c r="K1038" s="106">
        <v>94.5</v>
      </c>
      <c r="L1038" s="82" t="s">
        <v>62</v>
      </c>
      <c r="M1038" s="82"/>
      <c r="N1038" s="82"/>
      <c r="O1038" s="82" t="s">
        <v>1219</v>
      </c>
      <c r="P1038" s="107"/>
      <c r="R1038" s="76"/>
      <c r="S1038" s="90"/>
      <c r="T1038" s="79"/>
      <c r="U1038" s="90"/>
      <c r="V1038" s="79"/>
    </row>
    <row r="1039">
      <c r="A1039" s="53" t="s">
        <v>2630</v>
      </c>
      <c r="B1039" s="54" t="s">
        <v>35</v>
      </c>
      <c r="C1039" s="54" t="s">
        <v>36</v>
      </c>
      <c r="D1039" s="59" t="str">
        <f t="shared" si="19"/>
        <v>Removed</v>
      </c>
      <c r="E1039" s="88">
        <v>45104.0</v>
      </c>
      <c r="F1039" s="120">
        <v>45458.0</v>
      </c>
      <c r="G1039" s="65">
        <f t="shared" si="2"/>
        <v>11.6</v>
      </c>
      <c r="H1039" s="88">
        <v>45043.0</v>
      </c>
      <c r="I1039" s="65">
        <f t="shared" si="3"/>
        <v>0.1666666667</v>
      </c>
      <c r="J1039" s="121">
        <v>80.0</v>
      </c>
      <c r="K1039" s="121">
        <v>5.0</v>
      </c>
      <c r="L1039" s="69" t="s">
        <v>57</v>
      </c>
      <c r="M1039" s="69"/>
      <c r="N1039" s="69"/>
      <c r="O1039" s="69" t="s">
        <v>107</v>
      </c>
      <c r="P1039" s="122" t="s">
        <v>2631</v>
      </c>
      <c r="Q1039" s="69" t="s">
        <v>1570</v>
      </c>
      <c r="R1039" s="59"/>
      <c r="S1039" s="88"/>
      <c r="T1039" s="65"/>
      <c r="U1039" s="88"/>
      <c r="V1039" s="65"/>
    </row>
    <row r="1040">
      <c r="A1040" s="74" t="s">
        <v>2632</v>
      </c>
      <c r="B1040" s="75" t="s">
        <v>35</v>
      </c>
      <c r="C1040" s="75"/>
      <c r="D1040" s="76" t="str">
        <f t="shared" si="19"/>
        <v>Removed</v>
      </c>
      <c r="E1040" s="90">
        <v>45099.0</v>
      </c>
      <c r="F1040" s="105">
        <v>45458.0</v>
      </c>
      <c r="G1040" s="79">
        <f t="shared" si="2"/>
        <v>11.76666667</v>
      </c>
      <c r="H1040" s="90">
        <v>45099.0</v>
      </c>
      <c r="I1040" s="79">
        <f t="shared" si="3"/>
        <v>0</v>
      </c>
      <c r="J1040" s="106">
        <v>75.0</v>
      </c>
      <c r="K1040" s="106">
        <v>6.0</v>
      </c>
      <c r="L1040" s="82" t="s">
        <v>135</v>
      </c>
      <c r="M1040" s="82"/>
      <c r="N1040" s="82"/>
      <c r="O1040" s="82" t="s">
        <v>1331</v>
      </c>
      <c r="P1040" s="107"/>
      <c r="Q1040" s="82"/>
      <c r="R1040" s="76"/>
      <c r="S1040" s="90"/>
      <c r="T1040" s="79"/>
      <c r="U1040" s="90"/>
      <c r="V1040" s="79"/>
    </row>
    <row r="1041">
      <c r="A1041" s="53" t="s">
        <v>2633</v>
      </c>
      <c r="B1041" s="54" t="s">
        <v>35</v>
      </c>
      <c r="C1041" s="54" t="s">
        <v>36</v>
      </c>
      <c r="D1041" s="59" t="str">
        <f t="shared" si="19"/>
        <v>Removed</v>
      </c>
      <c r="E1041" s="88">
        <v>45085.0</v>
      </c>
      <c r="F1041" s="120">
        <v>45458.0</v>
      </c>
      <c r="G1041" s="65">
        <f t="shared" si="2"/>
        <v>12.23333333</v>
      </c>
      <c r="H1041" s="88">
        <v>41109.0</v>
      </c>
      <c r="I1041" s="65">
        <f t="shared" si="3"/>
        <v>10.88611111</v>
      </c>
      <c r="J1041" s="121">
        <v>82.0</v>
      </c>
      <c r="K1041" s="121">
        <v>39.0</v>
      </c>
      <c r="L1041" s="69" t="s">
        <v>46</v>
      </c>
      <c r="M1041" s="69"/>
      <c r="N1041" s="69"/>
      <c r="O1041" s="69" t="s">
        <v>328</v>
      </c>
      <c r="P1041" s="122" t="s">
        <v>2634</v>
      </c>
      <c r="Q1041" s="69"/>
      <c r="R1041" s="59"/>
      <c r="S1041" s="88"/>
      <c r="T1041" s="65"/>
      <c r="U1041" s="88"/>
      <c r="V1041" s="65"/>
    </row>
    <row r="1042">
      <c r="A1042" s="74" t="s">
        <v>2635</v>
      </c>
      <c r="B1042" s="75" t="s">
        <v>35</v>
      </c>
      <c r="C1042" s="75" t="s">
        <v>100</v>
      </c>
      <c r="D1042" s="76" t="str">
        <f t="shared" si="19"/>
        <v>Removed</v>
      </c>
      <c r="E1042" s="90">
        <v>44719.0</v>
      </c>
      <c r="F1042" s="105">
        <v>45458.0</v>
      </c>
      <c r="G1042" s="79">
        <f t="shared" si="2"/>
        <v>24.26666667</v>
      </c>
      <c r="H1042" s="90">
        <v>44719.0</v>
      </c>
      <c r="I1042" s="79">
        <f t="shared" si="3"/>
        <v>0</v>
      </c>
      <c r="J1042" s="106">
        <v>83.0</v>
      </c>
      <c r="K1042" s="106">
        <v>1.5</v>
      </c>
      <c r="L1042" s="82" t="s">
        <v>81</v>
      </c>
      <c r="M1042" s="82"/>
      <c r="N1042" s="82"/>
      <c r="O1042" s="82" t="s">
        <v>1168</v>
      </c>
      <c r="P1042" s="107" t="s">
        <v>1222</v>
      </c>
      <c r="Q1042" s="82"/>
      <c r="R1042" s="76"/>
      <c r="S1042" s="90"/>
      <c r="T1042" s="79"/>
      <c r="U1042" s="90"/>
      <c r="V1042" s="79"/>
    </row>
    <row r="1043">
      <c r="A1043" s="53" t="s">
        <v>2636</v>
      </c>
      <c r="B1043" s="54" t="s">
        <v>35</v>
      </c>
      <c r="C1043" s="54"/>
      <c r="D1043" s="59" t="str">
        <f t="shared" si="19"/>
        <v>Removed</v>
      </c>
      <c r="E1043" s="61">
        <v>45076.0</v>
      </c>
      <c r="F1043" s="61">
        <v>45443.0</v>
      </c>
      <c r="G1043" s="65">
        <f t="shared" si="2"/>
        <v>12</v>
      </c>
      <c r="H1043" s="88">
        <v>44357.0</v>
      </c>
      <c r="I1043" s="65">
        <f t="shared" si="3"/>
        <v>1.972222222</v>
      </c>
      <c r="J1043" s="121">
        <v>90.0</v>
      </c>
      <c r="K1043" s="121">
        <v>10.0</v>
      </c>
      <c r="L1043" s="69" t="s">
        <v>41</v>
      </c>
      <c r="M1043" s="91"/>
      <c r="N1043" s="69"/>
      <c r="O1043" s="69" t="s">
        <v>1219</v>
      </c>
      <c r="P1043" s="122" t="s">
        <v>2027</v>
      </c>
      <c r="Q1043" s="91"/>
      <c r="R1043" s="59"/>
      <c r="S1043" s="88"/>
      <c r="T1043" s="65"/>
      <c r="U1043" s="88"/>
      <c r="V1043" s="65"/>
    </row>
    <row r="1044">
      <c r="A1044" s="74" t="s">
        <v>2637</v>
      </c>
      <c r="B1044" s="75" t="s">
        <v>35</v>
      </c>
      <c r="C1044" s="75"/>
      <c r="D1044" s="76" t="str">
        <f t="shared" si="19"/>
        <v>Removed</v>
      </c>
      <c r="E1044" s="90">
        <v>45076.0</v>
      </c>
      <c r="F1044" s="77">
        <v>45443.0</v>
      </c>
      <c r="G1044" s="79">
        <f t="shared" si="2"/>
        <v>12</v>
      </c>
      <c r="H1044" s="90">
        <v>45076.0</v>
      </c>
      <c r="I1044" s="79">
        <f t="shared" si="3"/>
        <v>0</v>
      </c>
      <c r="J1044" s="106">
        <v>58.0</v>
      </c>
      <c r="K1044" s="106">
        <v>28.0</v>
      </c>
      <c r="L1044" s="82" t="s">
        <v>78</v>
      </c>
      <c r="M1044" s="83"/>
      <c r="N1044" s="82"/>
      <c r="O1044" s="82" t="s">
        <v>1331</v>
      </c>
      <c r="P1044" s="107"/>
      <c r="Q1044" s="83"/>
      <c r="R1044" s="76"/>
      <c r="S1044" s="90"/>
      <c r="T1044" s="79"/>
      <c r="U1044" s="90"/>
      <c r="V1044" s="79"/>
    </row>
    <row r="1045">
      <c r="A1045" s="53" t="s">
        <v>2152</v>
      </c>
      <c r="B1045" s="54" t="s">
        <v>35</v>
      </c>
      <c r="C1045" s="54" t="s">
        <v>36</v>
      </c>
      <c r="D1045" s="59" t="str">
        <f t="shared" si="19"/>
        <v>Removed</v>
      </c>
      <c r="E1045" s="88">
        <v>45070.0</v>
      </c>
      <c r="F1045" s="61">
        <v>45443.0</v>
      </c>
      <c r="G1045" s="65">
        <f t="shared" si="2"/>
        <v>12.2</v>
      </c>
      <c r="H1045" s="88">
        <v>45070.0</v>
      </c>
      <c r="I1045" s="65">
        <f t="shared" si="3"/>
        <v>0</v>
      </c>
      <c r="J1045" s="121">
        <v>79.0</v>
      </c>
      <c r="K1045" s="121">
        <v>28.0</v>
      </c>
      <c r="L1045" s="69" t="s">
        <v>55</v>
      </c>
      <c r="M1045" s="69"/>
      <c r="N1045" s="69"/>
      <c r="O1045" s="69" t="s">
        <v>1331</v>
      </c>
      <c r="P1045" s="122"/>
      <c r="Q1045" s="69"/>
      <c r="R1045" s="59"/>
      <c r="S1045" s="88"/>
      <c r="T1045" s="65"/>
      <c r="U1045" s="88"/>
      <c r="V1045" s="65"/>
    </row>
    <row r="1046">
      <c r="A1046" s="74" t="s">
        <v>2638</v>
      </c>
      <c r="B1046" s="75" t="s">
        <v>35</v>
      </c>
      <c r="C1046" s="75" t="s">
        <v>36</v>
      </c>
      <c r="D1046" s="76" t="str">
        <f t="shared" si="19"/>
        <v>Removed</v>
      </c>
      <c r="E1046" s="90">
        <v>44957.0</v>
      </c>
      <c r="F1046" s="77">
        <v>45443.0</v>
      </c>
      <c r="G1046" s="79">
        <f t="shared" si="2"/>
        <v>16</v>
      </c>
      <c r="H1046" s="90">
        <v>44805.0</v>
      </c>
      <c r="I1046" s="79">
        <f t="shared" si="3"/>
        <v>0.4138888889</v>
      </c>
      <c r="J1046" s="106">
        <v>73.0</v>
      </c>
      <c r="K1046" s="106">
        <v>10.0</v>
      </c>
      <c r="L1046" s="82" t="s">
        <v>52</v>
      </c>
      <c r="M1046" s="82"/>
      <c r="N1046" s="82"/>
      <c r="O1046" s="82" t="s">
        <v>328</v>
      </c>
      <c r="P1046" s="82" t="s">
        <v>2639</v>
      </c>
      <c r="Q1046" s="82"/>
      <c r="R1046" s="76"/>
      <c r="S1046" s="90"/>
      <c r="T1046" s="79"/>
      <c r="U1046" s="90"/>
      <c r="V1046" s="79"/>
    </row>
    <row r="1047">
      <c r="A1047" s="53" t="s">
        <v>2640</v>
      </c>
      <c r="B1047" s="54" t="s">
        <v>35</v>
      </c>
      <c r="C1047" s="54" t="s">
        <v>36</v>
      </c>
      <c r="D1047" s="59" t="str">
        <f t="shared" si="19"/>
        <v>Removed</v>
      </c>
      <c r="E1047" s="88">
        <v>44708.0</v>
      </c>
      <c r="F1047" s="61">
        <v>45443.0</v>
      </c>
      <c r="G1047" s="65">
        <f t="shared" si="2"/>
        <v>24.1</v>
      </c>
      <c r="H1047" s="88">
        <v>44708.0</v>
      </c>
      <c r="I1047" s="65">
        <f t="shared" si="3"/>
        <v>0</v>
      </c>
      <c r="J1047" s="121">
        <v>64.0</v>
      </c>
      <c r="K1047" s="121">
        <v>2.5</v>
      </c>
      <c r="L1047" s="69" t="s">
        <v>57</v>
      </c>
      <c r="M1047" s="69"/>
      <c r="N1047" s="69"/>
      <c r="O1047" s="69" t="s">
        <v>1219</v>
      </c>
      <c r="P1047" s="122" t="s">
        <v>2641</v>
      </c>
      <c r="Q1047" s="69"/>
      <c r="R1047" s="59"/>
      <c r="S1047" s="88"/>
      <c r="T1047" s="65"/>
      <c r="U1047" s="88"/>
      <c r="V1047" s="65"/>
    </row>
    <row r="1048">
      <c r="A1048" s="74" t="s">
        <v>2642</v>
      </c>
      <c r="B1048" s="75" t="s">
        <v>35</v>
      </c>
      <c r="C1048" s="75" t="s">
        <v>100</v>
      </c>
      <c r="D1048" s="76" t="str">
        <f t="shared" si="19"/>
        <v>Removed</v>
      </c>
      <c r="E1048" s="90">
        <v>44698.0</v>
      </c>
      <c r="F1048" s="77">
        <v>45443.0</v>
      </c>
      <c r="G1048" s="79">
        <f t="shared" si="2"/>
        <v>24.43333333</v>
      </c>
      <c r="H1048" s="90">
        <v>44697.0</v>
      </c>
      <c r="I1048" s="79">
        <f t="shared" si="3"/>
        <v>0.002777777778</v>
      </c>
      <c r="J1048" s="216"/>
      <c r="K1048" s="106">
        <v>8.0</v>
      </c>
      <c r="L1048" s="82" t="s">
        <v>46</v>
      </c>
      <c r="M1048" s="82"/>
      <c r="N1048" s="82"/>
      <c r="O1048" s="82" t="s">
        <v>328</v>
      </c>
      <c r="P1048" s="266" t="s">
        <v>1421</v>
      </c>
      <c r="Q1048" s="82"/>
      <c r="R1048" s="76"/>
      <c r="S1048" s="90"/>
      <c r="T1048" s="79"/>
      <c r="U1048" s="90"/>
      <c r="V1048" s="79"/>
    </row>
    <row r="1049">
      <c r="A1049" s="53" t="s">
        <v>2643</v>
      </c>
      <c r="B1049" s="54" t="s">
        <v>35</v>
      </c>
      <c r="C1049" s="54"/>
      <c r="D1049" s="59" t="str">
        <f t="shared" si="19"/>
        <v>Removed</v>
      </c>
      <c r="E1049" s="88">
        <v>45064.0</v>
      </c>
      <c r="F1049" s="120">
        <v>45427.0</v>
      </c>
      <c r="G1049" s="65">
        <f t="shared" si="2"/>
        <v>11.9</v>
      </c>
      <c r="H1049" s="88">
        <v>44385.0</v>
      </c>
      <c r="I1049" s="65">
        <f t="shared" si="3"/>
        <v>1.861111111</v>
      </c>
      <c r="J1049" s="121">
        <v>73.0</v>
      </c>
      <c r="K1049" s="121">
        <v>7.0</v>
      </c>
      <c r="L1049" s="69" t="s">
        <v>46</v>
      </c>
      <c r="M1049" s="69"/>
      <c r="N1049" s="69"/>
      <c r="O1049" s="69" t="s">
        <v>107</v>
      </c>
      <c r="P1049" s="122" t="s">
        <v>1491</v>
      </c>
      <c r="Q1049" s="69"/>
      <c r="R1049" s="59"/>
      <c r="S1049" s="88"/>
      <c r="T1049" s="65"/>
      <c r="U1049" s="88"/>
      <c r="V1049" s="65"/>
    </row>
    <row r="1050">
      <c r="A1050" s="74" t="s">
        <v>2644</v>
      </c>
      <c r="B1050" s="75" t="s">
        <v>35</v>
      </c>
      <c r="C1050" s="75" t="s">
        <v>36</v>
      </c>
      <c r="D1050" s="76" t="str">
        <f t="shared" si="19"/>
        <v>Removed</v>
      </c>
      <c r="E1050" s="90">
        <v>45064.0</v>
      </c>
      <c r="F1050" s="105">
        <v>45427.0</v>
      </c>
      <c r="G1050" s="79">
        <f t="shared" si="2"/>
        <v>11.9</v>
      </c>
      <c r="H1050" s="90">
        <v>44575.0</v>
      </c>
      <c r="I1050" s="79">
        <f t="shared" si="3"/>
        <v>1.344444444</v>
      </c>
      <c r="J1050" s="106">
        <v>86.0</v>
      </c>
      <c r="K1050" s="106">
        <v>8.0</v>
      </c>
      <c r="L1050" s="82" t="s">
        <v>41</v>
      </c>
      <c r="M1050" s="82"/>
      <c r="N1050" s="82"/>
      <c r="O1050" s="262" t="s">
        <v>1331</v>
      </c>
      <c r="P1050" s="107"/>
      <c r="Q1050" s="82"/>
      <c r="R1050" s="76"/>
      <c r="S1050" s="90"/>
      <c r="T1050" s="79"/>
      <c r="U1050" s="90"/>
      <c r="V1050" s="79"/>
    </row>
    <row r="1051">
      <c r="A1051" s="53" t="s">
        <v>2645</v>
      </c>
      <c r="B1051" s="54" t="s">
        <v>35</v>
      </c>
      <c r="C1051" s="54" t="s">
        <v>36</v>
      </c>
      <c r="D1051" s="59" t="str">
        <f t="shared" si="19"/>
        <v>Removed</v>
      </c>
      <c r="E1051" s="88">
        <v>45057.0</v>
      </c>
      <c r="F1051" s="120">
        <v>45427.0</v>
      </c>
      <c r="G1051" s="65">
        <f t="shared" si="2"/>
        <v>12.13333333</v>
      </c>
      <c r="H1051" s="88">
        <v>45057.0</v>
      </c>
      <c r="I1051" s="65">
        <f t="shared" si="3"/>
        <v>0</v>
      </c>
      <c r="J1051" s="121">
        <v>85.0</v>
      </c>
      <c r="K1051" s="121">
        <v>22.0</v>
      </c>
      <c r="L1051" s="69" t="s">
        <v>46</v>
      </c>
      <c r="M1051" s="69"/>
      <c r="N1051" s="69"/>
      <c r="O1051" s="69" t="s">
        <v>1331</v>
      </c>
      <c r="P1051" s="122"/>
      <c r="Q1051" s="69"/>
      <c r="R1051" s="59"/>
      <c r="S1051" s="88"/>
      <c r="T1051" s="65"/>
      <c r="U1051" s="88"/>
      <c r="V1051" s="65"/>
    </row>
    <row r="1052">
      <c r="A1052" s="74" t="s">
        <v>2646</v>
      </c>
      <c r="B1052" s="75" t="s">
        <v>35</v>
      </c>
      <c r="C1052" s="75" t="s">
        <v>36</v>
      </c>
      <c r="D1052" s="76" t="str">
        <f t="shared" si="19"/>
        <v>Removed</v>
      </c>
      <c r="E1052" s="90">
        <v>44966.0</v>
      </c>
      <c r="F1052" s="105">
        <v>45427.0</v>
      </c>
      <c r="G1052" s="79">
        <f t="shared" si="2"/>
        <v>15.2</v>
      </c>
      <c r="H1052" s="90">
        <v>44798.0</v>
      </c>
      <c r="I1052" s="79">
        <f t="shared" si="3"/>
        <v>0.4555555556</v>
      </c>
      <c r="J1052" s="106">
        <v>71.0</v>
      </c>
      <c r="K1052" s="106">
        <v>11.0</v>
      </c>
      <c r="L1052" s="82" t="s">
        <v>46</v>
      </c>
      <c r="M1052" s="82"/>
      <c r="N1052" s="82"/>
      <c r="O1052" s="82" t="s">
        <v>328</v>
      </c>
      <c r="P1052" s="107" t="s">
        <v>2647</v>
      </c>
      <c r="Q1052" s="82"/>
      <c r="R1052" s="76"/>
      <c r="S1052" s="90"/>
      <c r="T1052" s="79"/>
      <c r="U1052" s="90"/>
      <c r="V1052" s="79"/>
    </row>
    <row r="1053">
      <c r="A1053" s="53" t="s">
        <v>2648</v>
      </c>
      <c r="B1053" s="54" t="s">
        <v>35</v>
      </c>
      <c r="C1053" s="54"/>
      <c r="D1053" s="59" t="str">
        <f t="shared" si="19"/>
        <v>Removed</v>
      </c>
      <c r="E1053" s="88">
        <v>44882.0</v>
      </c>
      <c r="F1053" s="120">
        <v>45427.0</v>
      </c>
      <c r="G1053" s="65">
        <f t="shared" si="2"/>
        <v>17.93333333</v>
      </c>
      <c r="H1053" s="88">
        <v>44665.0</v>
      </c>
      <c r="I1053" s="65">
        <f t="shared" si="3"/>
        <v>0.5916666667</v>
      </c>
      <c r="J1053" s="121">
        <v>81.0</v>
      </c>
      <c r="K1053" s="121">
        <v>6.0</v>
      </c>
      <c r="L1053" s="69" t="s">
        <v>46</v>
      </c>
      <c r="M1053" s="69"/>
      <c r="N1053" s="69" t="s">
        <v>2649</v>
      </c>
      <c r="O1053" s="69" t="s">
        <v>1168</v>
      </c>
      <c r="P1053" s="122" t="s">
        <v>1519</v>
      </c>
      <c r="Q1053" s="69"/>
      <c r="R1053" s="59"/>
      <c r="S1053" s="88"/>
      <c r="T1053" s="65"/>
      <c r="U1053" s="88"/>
      <c r="V1053" s="65"/>
    </row>
    <row r="1054">
      <c r="A1054" s="74" t="s">
        <v>2650</v>
      </c>
      <c r="B1054" s="75" t="s">
        <v>35</v>
      </c>
      <c r="C1054" s="75" t="s">
        <v>100</v>
      </c>
      <c r="D1054" s="76" t="str">
        <f t="shared" si="19"/>
        <v>Removed</v>
      </c>
      <c r="E1054" s="90">
        <v>44691.0</v>
      </c>
      <c r="F1054" s="105">
        <v>45427.0</v>
      </c>
      <c r="G1054" s="79">
        <f t="shared" si="2"/>
        <v>24.16666667</v>
      </c>
      <c r="H1054" s="90">
        <v>44691.0</v>
      </c>
      <c r="I1054" s="79">
        <f t="shared" si="3"/>
        <v>0</v>
      </c>
      <c r="J1054" s="106">
        <v>71.0</v>
      </c>
      <c r="K1054" s="106">
        <v>11.0</v>
      </c>
      <c r="L1054" s="82" t="s">
        <v>46</v>
      </c>
      <c r="M1054" s="82"/>
      <c r="N1054" s="82"/>
      <c r="O1054" s="82" t="s">
        <v>1168</v>
      </c>
      <c r="P1054" s="107" t="s">
        <v>1396</v>
      </c>
      <c r="Q1054" s="82"/>
      <c r="R1054" s="76"/>
      <c r="S1054" s="90"/>
      <c r="T1054" s="79"/>
      <c r="U1054" s="90"/>
      <c r="V1054" s="79"/>
    </row>
    <row r="1055">
      <c r="A1055" s="53" t="s">
        <v>2651</v>
      </c>
      <c r="B1055" s="54" t="s">
        <v>35</v>
      </c>
      <c r="C1055" s="54" t="s">
        <v>371</v>
      </c>
      <c r="D1055" s="59" t="str">
        <f t="shared" si="19"/>
        <v>Removed</v>
      </c>
      <c r="E1055" s="88">
        <v>44644.0</v>
      </c>
      <c r="F1055" s="120">
        <v>45427.0</v>
      </c>
      <c r="G1055" s="65">
        <f t="shared" si="2"/>
        <v>25.7</v>
      </c>
      <c r="H1055" s="88">
        <v>44644.0</v>
      </c>
      <c r="I1055" s="65">
        <f t="shared" si="3"/>
        <v>0</v>
      </c>
      <c r="J1055" s="121">
        <v>87.0</v>
      </c>
      <c r="K1055" s="121">
        <v>5.5</v>
      </c>
      <c r="L1055" s="69" t="s">
        <v>135</v>
      </c>
      <c r="M1055" s="69"/>
      <c r="N1055" s="69" t="s">
        <v>2652</v>
      </c>
      <c r="O1055" s="69" t="s">
        <v>107</v>
      </c>
      <c r="P1055" s="122" t="s">
        <v>2653</v>
      </c>
      <c r="Q1055" s="69"/>
      <c r="R1055" s="59"/>
      <c r="S1055" s="88"/>
      <c r="T1055" s="65"/>
      <c r="U1055" s="88"/>
      <c r="V1055" s="65"/>
    </row>
    <row r="1056">
      <c r="A1056" s="74" t="s">
        <v>2181</v>
      </c>
      <c r="B1056" s="75" t="s">
        <v>35</v>
      </c>
      <c r="C1056" s="75" t="s">
        <v>36</v>
      </c>
      <c r="D1056" s="76" t="str">
        <f t="shared" si="19"/>
        <v>Removed</v>
      </c>
      <c r="E1056" s="90">
        <v>44329.0</v>
      </c>
      <c r="F1056" s="105">
        <v>45427.0</v>
      </c>
      <c r="G1056" s="79">
        <f t="shared" si="2"/>
        <v>36.06666667</v>
      </c>
      <c r="H1056" s="90">
        <v>43438.0</v>
      </c>
      <c r="I1056" s="79">
        <f t="shared" si="3"/>
        <v>2.441666667</v>
      </c>
      <c r="J1056" s="106">
        <f>(68+70)/2</f>
        <v>69</v>
      </c>
      <c r="K1056" s="106">
        <v>16.0</v>
      </c>
      <c r="L1056" s="82" t="s">
        <v>41</v>
      </c>
      <c r="M1056" s="82"/>
      <c r="N1056" s="82"/>
      <c r="O1056" s="82" t="s">
        <v>107</v>
      </c>
      <c r="P1056" s="107" t="s">
        <v>1824</v>
      </c>
      <c r="Q1056" s="82"/>
      <c r="R1056" s="76"/>
      <c r="S1056" s="90"/>
      <c r="T1056" s="79"/>
      <c r="U1056" s="90"/>
      <c r="V1056" s="79"/>
    </row>
    <row r="1057">
      <c r="A1057" s="53" t="s">
        <v>2654</v>
      </c>
      <c r="B1057" s="54" t="s">
        <v>35</v>
      </c>
      <c r="C1057" s="54" t="s">
        <v>36</v>
      </c>
      <c r="D1057" s="59" t="str">
        <f t="shared" si="19"/>
        <v>Removed</v>
      </c>
      <c r="E1057" s="88">
        <v>45050.0</v>
      </c>
      <c r="F1057" s="120">
        <v>45412.0</v>
      </c>
      <c r="G1057" s="65">
        <f t="shared" si="2"/>
        <v>11.86666667</v>
      </c>
      <c r="H1057" s="88">
        <v>45050.0</v>
      </c>
      <c r="I1057" s="65">
        <f t="shared" si="3"/>
        <v>0</v>
      </c>
      <c r="J1057" s="121">
        <v>66.0</v>
      </c>
      <c r="K1057" s="121">
        <v>4.0</v>
      </c>
      <c r="L1057" s="69" t="s">
        <v>46</v>
      </c>
      <c r="M1057" s="69"/>
      <c r="N1057" s="69"/>
      <c r="O1057" s="69" t="s">
        <v>1168</v>
      </c>
      <c r="P1057" s="122" t="s">
        <v>1519</v>
      </c>
      <c r="Q1057" s="69"/>
      <c r="R1057" s="59"/>
      <c r="S1057" s="88"/>
      <c r="T1057" s="65"/>
      <c r="U1057" s="88"/>
      <c r="V1057" s="65"/>
    </row>
    <row r="1058">
      <c r="A1058" s="74" t="s">
        <v>2655</v>
      </c>
      <c r="B1058" s="75" t="s">
        <v>35</v>
      </c>
      <c r="C1058" s="75" t="s">
        <v>100</v>
      </c>
      <c r="D1058" s="76" t="str">
        <f t="shared" si="19"/>
        <v>Removed</v>
      </c>
      <c r="E1058" s="90">
        <v>45047.0</v>
      </c>
      <c r="F1058" s="105">
        <v>45412.0</v>
      </c>
      <c r="G1058" s="79">
        <f t="shared" si="2"/>
        <v>11.96666667</v>
      </c>
      <c r="H1058" s="90">
        <v>44602.0</v>
      </c>
      <c r="I1058" s="79">
        <f t="shared" si="3"/>
        <v>1.225</v>
      </c>
      <c r="J1058" s="106">
        <f>average(80,85,100)</f>
        <v>88.33333333</v>
      </c>
      <c r="K1058" s="106">
        <v>5.0</v>
      </c>
      <c r="L1058" s="82" t="s">
        <v>64</v>
      </c>
      <c r="M1058" s="82"/>
      <c r="N1058" s="82" t="s">
        <v>2656</v>
      </c>
      <c r="O1058" s="82" t="s">
        <v>328</v>
      </c>
      <c r="P1058" s="107" t="s">
        <v>1803</v>
      </c>
      <c r="Q1058" s="82"/>
      <c r="R1058" s="76"/>
      <c r="S1058" s="90"/>
      <c r="T1058" s="79"/>
      <c r="U1058" s="90"/>
      <c r="V1058" s="79"/>
    </row>
    <row r="1059">
      <c r="A1059" s="53" t="s">
        <v>2657</v>
      </c>
      <c r="B1059" s="54" t="s">
        <v>129</v>
      </c>
      <c r="C1059" s="54"/>
      <c r="D1059" s="59" t="str">
        <f t="shared" si="19"/>
        <v>Removed</v>
      </c>
      <c r="E1059" s="88">
        <v>44693.0</v>
      </c>
      <c r="F1059" s="120">
        <v>45412.0</v>
      </c>
      <c r="G1059" s="65">
        <f t="shared" si="2"/>
        <v>23.6</v>
      </c>
      <c r="H1059" s="88">
        <v>44484.0</v>
      </c>
      <c r="I1059" s="65">
        <f t="shared" si="3"/>
        <v>0.575</v>
      </c>
      <c r="J1059" s="121">
        <v>74.0</v>
      </c>
      <c r="K1059" s="121">
        <v>85.0</v>
      </c>
      <c r="L1059" s="69" t="s">
        <v>62</v>
      </c>
      <c r="M1059" s="69"/>
      <c r="N1059" s="69"/>
      <c r="O1059" s="69" t="s">
        <v>1168</v>
      </c>
      <c r="P1059" s="122" t="s">
        <v>1793</v>
      </c>
      <c r="Q1059" s="69"/>
      <c r="R1059" s="59"/>
      <c r="S1059" s="88"/>
      <c r="T1059" s="65"/>
      <c r="U1059" s="88"/>
      <c r="V1059" s="65"/>
    </row>
    <row r="1060">
      <c r="A1060" s="74" t="s">
        <v>2658</v>
      </c>
      <c r="B1060" s="75" t="s">
        <v>35</v>
      </c>
      <c r="C1060" s="75" t="s">
        <v>100</v>
      </c>
      <c r="D1060" s="76" t="str">
        <f t="shared" si="19"/>
        <v>Removed</v>
      </c>
      <c r="E1060" s="90">
        <v>44684.0</v>
      </c>
      <c r="F1060" s="105">
        <v>45412.0</v>
      </c>
      <c r="G1060" s="79">
        <f t="shared" si="2"/>
        <v>23.9</v>
      </c>
      <c r="H1060" s="90">
        <v>44684.0</v>
      </c>
      <c r="I1060" s="79">
        <f t="shared" si="3"/>
        <v>0</v>
      </c>
      <c r="J1060" s="106">
        <v>66.0</v>
      </c>
      <c r="K1060" s="106">
        <v>4.0</v>
      </c>
      <c r="L1060" s="82" t="s">
        <v>105</v>
      </c>
      <c r="M1060" s="82"/>
      <c r="N1060" s="82"/>
      <c r="O1060" s="82" t="s">
        <v>328</v>
      </c>
      <c r="P1060" s="107" t="s">
        <v>2659</v>
      </c>
      <c r="Q1060" s="82"/>
      <c r="R1060" s="76"/>
      <c r="S1060" s="90"/>
      <c r="T1060" s="79"/>
      <c r="U1060" s="90"/>
      <c r="V1060" s="79"/>
    </row>
    <row r="1061">
      <c r="A1061" s="53" t="s">
        <v>2660</v>
      </c>
      <c r="B1061" s="54" t="s">
        <v>35</v>
      </c>
      <c r="C1061" s="54" t="s">
        <v>36</v>
      </c>
      <c r="D1061" s="59" t="str">
        <f t="shared" si="19"/>
        <v>Removed</v>
      </c>
      <c r="E1061" s="88">
        <v>44677.0</v>
      </c>
      <c r="F1061" s="120">
        <v>45412.0</v>
      </c>
      <c r="G1061" s="65">
        <f t="shared" si="2"/>
        <v>24.13333333</v>
      </c>
      <c r="H1061" s="88">
        <v>41621.0</v>
      </c>
      <c r="I1061" s="65">
        <f t="shared" si="3"/>
        <v>8.369444444</v>
      </c>
      <c r="J1061" s="121">
        <v>35.0</v>
      </c>
      <c r="K1061" s="121">
        <v>54.0</v>
      </c>
      <c r="L1061" s="69" t="s">
        <v>37</v>
      </c>
      <c r="M1061" s="69"/>
      <c r="N1061" s="69"/>
      <c r="O1061" s="69" t="s">
        <v>107</v>
      </c>
      <c r="P1061" s="122" t="s">
        <v>2375</v>
      </c>
      <c r="Q1061" s="69"/>
      <c r="R1061" s="59"/>
      <c r="S1061" s="88"/>
      <c r="T1061" s="65"/>
      <c r="U1061" s="88"/>
      <c r="V1061" s="65"/>
    </row>
    <row r="1062">
      <c r="A1062" s="226" t="s">
        <v>2661</v>
      </c>
      <c r="B1062" s="75" t="s">
        <v>35</v>
      </c>
      <c r="C1062" s="75" t="s">
        <v>36</v>
      </c>
      <c r="D1062" s="76" t="str">
        <f t="shared" si="19"/>
        <v>Removed</v>
      </c>
      <c r="E1062" s="218">
        <v>43902.0</v>
      </c>
      <c r="F1062" s="105">
        <v>45412.0</v>
      </c>
      <c r="G1062" s="79">
        <f t="shared" si="2"/>
        <v>49.6</v>
      </c>
      <c r="H1062" s="90">
        <v>43489.0</v>
      </c>
      <c r="I1062" s="79">
        <f t="shared" si="3"/>
        <v>1.133333333</v>
      </c>
      <c r="J1062" s="216">
        <v>76.0</v>
      </c>
      <c r="K1062" s="106">
        <v>3.0</v>
      </c>
      <c r="L1062" s="82" t="s">
        <v>57</v>
      </c>
      <c r="M1062" s="82"/>
      <c r="N1062" s="82"/>
      <c r="O1062" s="82" t="s">
        <v>1219</v>
      </c>
      <c r="P1062" s="107" t="s">
        <v>2662</v>
      </c>
      <c r="Q1062" s="82"/>
      <c r="R1062" s="76"/>
      <c r="S1062" s="90"/>
      <c r="T1062" s="79"/>
      <c r="U1062" s="90"/>
      <c r="V1062" s="79"/>
    </row>
    <row r="1063">
      <c r="A1063" s="53" t="s">
        <v>2663</v>
      </c>
      <c r="B1063" s="54" t="s">
        <v>35</v>
      </c>
      <c r="C1063" s="54" t="s">
        <v>100</v>
      </c>
      <c r="D1063" s="59" t="str">
        <f t="shared" si="19"/>
        <v>Removed</v>
      </c>
      <c r="E1063" s="88">
        <v>44854.0</v>
      </c>
      <c r="F1063" s="120">
        <v>45397.0</v>
      </c>
      <c r="G1063" s="65">
        <f t="shared" si="2"/>
        <v>17.83333333</v>
      </c>
      <c r="H1063" s="88">
        <v>42696.0</v>
      </c>
      <c r="I1063" s="65">
        <f t="shared" si="3"/>
        <v>5.911111111</v>
      </c>
      <c r="J1063" s="121">
        <v>79.0</v>
      </c>
      <c r="K1063" s="121">
        <v>15.5</v>
      </c>
      <c r="L1063" s="69" t="s">
        <v>135</v>
      </c>
      <c r="M1063" s="69"/>
      <c r="N1063" s="69"/>
      <c r="O1063" s="69" t="s">
        <v>107</v>
      </c>
      <c r="P1063" s="122" t="s">
        <v>2664</v>
      </c>
      <c r="Q1063" s="69"/>
      <c r="R1063" s="59"/>
      <c r="S1063" s="88"/>
      <c r="T1063" s="65"/>
      <c r="U1063" s="88"/>
      <c r="V1063" s="65"/>
    </row>
    <row r="1064">
      <c r="A1064" s="74" t="s">
        <v>2665</v>
      </c>
      <c r="B1064" s="75" t="s">
        <v>35</v>
      </c>
      <c r="C1064" s="75" t="s">
        <v>100</v>
      </c>
      <c r="D1064" s="76" t="str">
        <f t="shared" si="19"/>
        <v>Removed</v>
      </c>
      <c r="E1064" s="90">
        <v>44854.0</v>
      </c>
      <c r="F1064" s="105">
        <v>45397.0</v>
      </c>
      <c r="G1064" s="79">
        <f t="shared" si="2"/>
        <v>17.83333333</v>
      </c>
      <c r="H1064" s="90">
        <v>44124.0</v>
      </c>
      <c r="I1064" s="79">
        <f t="shared" si="3"/>
        <v>2</v>
      </c>
      <c r="J1064" s="106">
        <v>80.0</v>
      </c>
      <c r="K1064" s="106">
        <v>8.5</v>
      </c>
      <c r="L1064" s="82" t="s">
        <v>135</v>
      </c>
      <c r="M1064" s="82"/>
      <c r="N1064" s="82"/>
      <c r="O1064" s="82" t="s">
        <v>107</v>
      </c>
      <c r="P1064" s="107" t="s">
        <v>2666</v>
      </c>
      <c r="Q1064" s="82"/>
      <c r="R1064" s="76"/>
      <c r="S1064" s="90"/>
      <c r="T1064" s="79"/>
      <c r="U1064" s="90"/>
      <c r="V1064" s="79"/>
    </row>
    <row r="1065">
      <c r="A1065" s="53" t="s">
        <v>2667</v>
      </c>
      <c r="B1065" s="54" t="s">
        <v>35</v>
      </c>
      <c r="C1065" s="54" t="s">
        <v>36</v>
      </c>
      <c r="D1065" s="59" t="str">
        <f t="shared" si="19"/>
        <v>Removed</v>
      </c>
      <c r="E1065" s="88">
        <v>44854.0</v>
      </c>
      <c r="F1065" s="120">
        <v>45397.0</v>
      </c>
      <c r="G1065" s="65">
        <f t="shared" si="2"/>
        <v>17.83333333</v>
      </c>
      <c r="H1065" s="88">
        <v>44369.0</v>
      </c>
      <c r="I1065" s="65">
        <f t="shared" si="3"/>
        <v>1.327777778</v>
      </c>
      <c r="J1065" s="121">
        <v>72.0</v>
      </c>
      <c r="K1065" s="121">
        <v>20.0</v>
      </c>
      <c r="L1065" s="69" t="s">
        <v>57</v>
      </c>
      <c r="M1065" s="69" t="s">
        <v>38</v>
      </c>
      <c r="N1065" s="69"/>
      <c r="O1065" s="69" t="s">
        <v>1168</v>
      </c>
      <c r="P1065" s="122" t="s">
        <v>1396</v>
      </c>
      <c r="Q1065" s="69"/>
      <c r="R1065" s="59"/>
      <c r="S1065" s="88"/>
      <c r="T1065" s="65"/>
      <c r="U1065" s="88"/>
      <c r="V1065" s="65"/>
    </row>
    <row r="1066">
      <c r="A1066" s="74" t="s">
        <v>2668</v>
      </c>
      <c r="B1066" s="75" t="s">
        <v>35</v>
      </c>
      <c r="C1066" s="75" t="s">
        <v>100</v>
      </c>
      <c r="D1066" s="76" t="str">
        <f t="shared" si="19"/>
        <v>Removed</v>
      </c>
      <c r="E1066" s="90">
        <v>44854.0</v>
      </c>
      <c r="F1066" s="105">
        <v>45397.0</v>
      </c>
      <c r="G1066" s="79">
        <f t="shared" si="2"/>
        <v>17.83333333</v>
      </c>
      <c r="H1066" s="90">
        <v>42269.0</v>
      </c>
      <c r="I1066" s="79">
        <f t="shared" si="3"/>
        <v>7.077777778</v>
      </c>
      <c r="J1066" s="106">
        <v>83.0</v>
      </c>
      <c r="K1066" s="106">
        <v>9.0</v>
      </c>
      <c r="L1066" s="264" t="s">
        <v>135</v>
      </c>
      <c r="M1066" s="82"/>
      <c r="N1066" s="82"/>
      <c r="O1066" s="82" t="s">
        <v>107</v>
      </c>
      <c r="P1066" s="107" t="s">
        <v>2669</v>
      </c>
      <c r="Q1066" s="82"/>
      <c r="R1066" s="76"/>
      <c r="S1066" s="90"/>
      <c r="T1066" s="79"/>
      <c r="U1066" s="90"/>
      <c r="V1066" s="79"/>
    </row>
    <row r="1067">
      <c r="A1067" s="53" t="s">
        <v>2670</v>
      </c>
      <c r="B1067" s="54" t="s">
        <v>35</v>
      </c>
      <c r="C1067" s="54" t="s">
        <v>100</v>
      </c>
      <c r="D1067" s="59" t="str">
        <f t="shared" si="19"/>
        <v>Removed</v>
      </c>
      <c r="E1067" s="88">
        <v>44677.0</v>
      </c>
      <c r="F1067" s="120">
        <v>45397.0</v>
      </c>
      <c r="G1067" s="65">
        <f t="shared" si="2"/>
        <v>23.63333333</v>
      </c>
      <c r="H1067" s="88">
        <v>44677.0</v>
      </c>
      <c r="I1067" s="65">
        <f t="shared" si="3"/>
        <v>0</v>
      </c>
      <c r="J1067" s="121">
        <v>73.0</v>
      </c>
      <c r="K1067" s="121">
        <v>6.5</v>
      </c>
      <c r="L1067" s="69" t="s">
        <v>37</v>
      </c>
      <c r="M1067" s="69"/>
      <c r="N1067" s="69"/>
      <c r="O1067" s="69" t="s">
        <v>328</v>
      </c>
      <c r="P1067" s="122" t="s">
        <v>2659</v>
      </c>
      <c r="Q1067" s="69"/>
      <c r="R1067" s="59"/>
      <c r="S1067" s="88"/>
      <c r="T1067" s="65"/>
      <c r="U1067" s="88"/>
      <c r="V1067" s="65"/>
    </row>
    <row r="1068">
      <c r="A1068" s="74" t="s">
        <v>2102</v>
      </c>
      <c r="B1068" s="75" t="s">
        <v>35</v>
      </c>
      <c r="C1068" s="75" t="s">
        <v>36</v>
      </c>
      <c r="D1068" s="76" t="str">
        <f t="shared" si="19"/>
        <v>Removed</v>
      </c>
      <c r="E1068" s="90">
        <v>44481.0</v>
      </c>
      <c r="F1068" s="105">
        <v>45397.0</v>
      </c>
      <c r="G1068" s="79">
        <f t="shared" si="2"/>
        <v>30.1</v>
      </c>
      <c r="H1068" s="90">
        <v>44481.0</v>
      </c>
      <c r="I1068" s="79">
        <f t="shared" si="3"/>
        <v>0</v>
      </c>
      <c r="J1068" s="106">
        <f>(75+78)/2</f>
        <v>76.5</v>
      </c>
      <c r="K1068" s="106">
        <v>8.5</v>
      </c>
      <c r="L1068" s="82" t="s">
        <v>37</v>
      </c>
      <c r="M1068" s="82" t="s">
        <v>326</v>
      </c>
      <c r="N1068" s="82"/>
      <c r="O1068" s="82" t="s">
        <v>107</v>
      </c>
      <c r="P1068" s="107" t="s">
        <v>2671</v>
      </c>
      <c r="Q1068" s="82" t="s">
        <v>2672</v>
      </c>
      <c r="R1068" s="76"/>
      <c r="S1068" s="90"/>
      <c r="T1068" s="79"/>
      <c r="U1068" s="90"/>
      <c r="V1068" s="79"/>
    </row>
    <row r="1069">
      <c r="A1069" s="53" t="s">
        <v>2673</v>
      </c>
      <c r="B1069" s="54" t="s">
        <v>35</v>
      </c>
      <c r="C1069" s="54" t="s">
        <v>36</v>
      </c>
      <c r="D1069" s="59" t="str">
        <f t="shared" si="19"/>
        <v>Removed</v>
      </c>
      <c r="E1069" s="88">
        <v>45015.0</v>
      </c>
      <c r="F1069" s="120">
        <v>45382.0</v>
      </c>
      <c r="G1069" s="65">
        <f t="shared" si="2"/>
        <v>12</v>
      </c>
      <c r="H1069" s="88">
        <v>44908.0</v>
      </c>
      <c r="I1069" s="65">
        <f t="shared" si="3"/>
        <v>0.2972222222</v>
      </c>
      <c r="J1069" s="121">
        <v>62.0</v>
      </c>
      <c r="K1069" s="121">
        <v>12.0</v>
      </c>
      <c r="L1069" s="69" t="s">
        <v>46</v>
      </c>
      <c r="M1069" s="69"/>
      <c r="N1069" s="69"/>
      <c r="O1069" s="69" t="s">
        <v>1168</v>
      </c>
      <c r="P1069" s="122" t="s">
        <v>1798</v>
      </c>
      <c r="Q1069" s="69"/>
      <c r="R1069" s="59"/>
      <c r="S1069" s="88"/>
      <c r="T1069" s="65"/>
      <c r="U1069" s="88"/>
      <c r="V1069" s="65"/>
    </row>
    <row r="1070">
      <c r="A1070" s="74" t="s">
        <v>2674</v>
      </c>
      <c r="B1070" s="75" t="s">
        <v>129</v>
      </c>
      <c r="C1070" s="75" t="s">
        <v>36</v>
      </c>
      <c r="D1070" s="76" t="str">
        <f t="shared" si="19"/>
        <v>Removed</v>
      </c>
      <c r="E1070" s="90">
        <v>45013.0</v>
      </c>
      <c r="F1070" s="105">
        <v>45382.0</v>
      </c>
      <c r="G1070" s="79">
        <f t="shared" si="2"/>
        <v>12.06666667</v>
      </c>
      <c r="H1070" s="90">
        <v>45013.0</v>
      </c>
      <c r="I1070" s="79">
        <f t="shared" si="3"/>
        <v>0</v>
      </c>
      <c r="J1070" s="106">
        <v>80.0</v>
      </c>
      <c r="K1070" s="106">
        <v>57.0</v>
      </c>
      <c r="L1070" s="82" t="s">
        <v>62</v>
      </c>
      <c r="M1070" s="82"/>
      <c r="N1070" s="82"/>
      <c r="O1070" s="82" t="s">
        <v>1219</v>
      </c>
      <c r="P1070" s="107"/>
      <c r="Q1070" s="82"/>
      <c r="R1070" s="76"/>
      <c r="S1070" s="90"/>
      <c r="T1070" s="79"/>
      <c r="U1070" s="90"/>
      <c r="V1070" s="79"/>
    </row>
    <row r="1071">
      <c r="A1071" s="53" t="s">
        <v>2675</v>
      </c>
      <c r="B1071" s="54" t="s">
        <v>35</v>
      </c>
      <c r="C1071" s="54" t="s">
        <v>36</v>
      </c>
      <c r="D1071" s="59" t="str">
        <f t="shared" si="19"/>
        <v>Removed</v>
      </c>
      <c r="E1071" s="88">
        <v>44964.0</v>
      </c>
      <c r="F1071" s="120">
        <v>45382.0</v>
      </c>
      <c r="G1071" s="65">
        <f t="shared" si="2"/>
        <v>13.76666667</v>
      </c>
      <c r="H1071" s="88">
        <v>44469.0</v>
      </c>
      <c r="I1071" s="65">
        <f t="shared" si="3"/>
        <v>1.352777778</v>
      </c>
      <c r="J1071" s="121">
        <v>72.0</v>
      </c>
      <c r="K1071" s="121">
        <v>9.0</v>
      </c>
      <c r="L1071" s="69" t="s">
        <v>55</v>
      </c>
      <c r="M1071" s="69"/>
      <c r="N1071" s="69"/>
      <c r="O1071" s="69" t="s">
        <v>1219</v>
      </c>
      <c r="P1071" s="122"/>
      <c r="Q1071" s="69"/>
      <c r="R1071" s="59"/>
      <c r="S1071" s="88"/>
      <c r="T1071" s="65"/>
      <c r="U1071" s="88"/>
      <c r="V1071" s="65"/>
    </row>
    <row r="1072">
      <c r="A1072" s="74" t="s">
        <v>2676</v>
      </c>
      <c r="B1072" s="75" t="s">
        <v>35</v>
      </c>
      <c r="C1072" s="75" t="s">
        <v>36</v>
      </c>
      <c r="D1072" s="76" t="str">
        <f t="shared" si="19"/>
        <v>Removed</v>
      </c>
      <c r="E1072" s="90">
        <v>44705.0</v>
      </c>
      <c r="F1072" s="105">
        <v>45366.0</v>
      </c>
      <c r="G1072" s="79">
        <f t="shared" si="2"/>
        <v>21.7</v>
      </c>
      <c r="H1072" s="90">
        <v>43998.0</v>
      </c>
      <c r="I1072" s="79">
        <f t="shared" si="3"/>
        <v>1.938888889</v>
      </c>
      <c r="J1072" s="106">
        <v>82.0</v>
      </c>
      <c r="K1072" s="106">
        <v>26.5</v>
      </c>
      <c r="L1072" s="82" t="s">
        <v>64</v>
      </c>
      <c r="M1072" s="82" t="s">
        <v>38</v>
      </c>
      <c r="N1072" s="82" t="s">
        <v>2677</v>
      </c>
      <c r="O1072" s="82" t="s">
        <v>328</v>
      </c>
      <c r="P1072" s="107" t="s">
        <v>1378</v>
      </c>
      <c r="Q1072" s="82"/>
      <c r="R1072" s="76"/>
      <c r="S1072" s="90"/>
      <c r="T1072" s="79"/>
      <c r="U1072" s="90"/>
      <c r="V1072" s="79"/>
    </row>
    <row r="1073">
      <c r="A1073" s="53" t="s">
        <v>2678</v>
      </c>
      <c r="B1073" s="54" t="s">
        <v>35</v>
      </c>
      <c r="C1073" s="54" t="s">
        <v>36</v>
      </c>
      <c r="D1073" s="59" t="str">
        <f t="shared" si="19"/>
        <v>Removed</v>
      </c>
      <c r="E1073" s="88">
        <v>44637.0</v>
      </c>
      <c r="F1073" s="120">
        <v>45366.0</v>
      </c>
      <c r="G1073" s="65">
        <f t="shared" si="2"/>
        <v>23.93333333</v>
      </c>
      <c r="H1073" s="88">
        <v>44637.0</v>
      </c>
      <c r="I1073" s="65">
        <f t="shared" si="3"/>
        <v>0</v>
      </c>
      <c r="J1073" s="121">
        <f>average(66,72)</f>
        <v>69</v>
      </c>
      <c r="K1073" s="121">
        <v>3.5</v>
      </c>
      <c r="L1073" s="69" t="s">
        <v>62</v>
      </c>
      <c r="M1073" s="69" t="s">
        <v>38</v>
      </c>
      <c r="N1073" s="69"/>
      <c r="O1073" s="69" t="s">
        <v>1219</v>
      </c>
      <c r="P1073" s="122"/>
      <c r="Q1073" s="69"/>
      <c r="R1073" s="59"/>
      <c r="S1073" s="88"/>
      <c r="T1073" s="65"/>
      <c r="U1073" s="88"/>
      <c r="V1073" s="65"/>
    </row>
    <row r="1074">
      <c r="A1074" s="74" t="s">
        <v>2679</v>
      </c>
      <c r="B1074" s="75" t="s">
        <v>35</v>
      </c>
      <c r="C1074" s="75" t="s">
        <v>36</v>
      </c>
      <c r="D1074" s="76" t="str">
        <f t="shared" si="19"/>
        <v>Removed</v>
      </c>
      <c r="E1074" s="90">
        <v>44985.0</v>
      </c>
      <c r="F1074" s="105">
        <v>45351.0</v>
      </c>
      <c r="G1074" s="79">
        <f t="shared" si="2"/>
        <v>12.03333333</v>
      </c>
      <c r="H1074" s="90">
        <v>44798.0</v>
      </c>
      <c r="I1074" s="79">
        <f t="shared" si="3"/>
        <v>0.5083333333</v>
      </c>
      <c r="J1074" s="106">
        <v>74.0</v>
      </c>
      <c r="K1074" s="106">
        <v>32.0</v>
      </c>
      <c r="L1074" s="82" t="s">
        <v>46</v>
      </c>
      <c r="M1074" s="82"/>
      <c r="N1074" s="82"/>
      <c r="O1074" s="82" t="s">
        <v>107</v>
      </c>
      <c r="P1074" s="107" t="s">
        <v>2383</v>
      </c>
      <c r="Q1074" s="82"/>
      <c r="R1074" s="76"/>
      <c r="S1074" s="90"/>
      <c r="T1074" s="79"/>
      <c r="U1074" s="90"/>
      <c r="V1074" s="79"/>
    </row>
    <row r="1075">
      <c r="A1075" s="53" t="s">
        <v>2680</v>
      </c>
      <c r="B1075" s="54" t="s">
        <v>35</v>
      </c>
      <c r="C1075" s="54"/>
      <c r="D1075" s="59" t="str">
        <f t="shared" si="19"/>
        <v>Removed</v>
      </c>
      <c r="E1075" s="88">
        <v>44609.0</v>
      </c>
      <c r="F1075" s="120">
        <v>45351.0</v>
      </c>
      <c r="G1075" s="65">
        <f t="shared" si="2"/>
        <v>24.4</v>
      </c>
      <c r="H1075" s="88">
        <v>44428.0</v>
      </c>
      <c r="I1075" s="65">
        <f t="shared" si="3"/>
        <v>0.4916666667</v>
      </c>
      <c r="J1075" s="121">
        <v>70.0</v>
      </c>
      <c r="K1075" s="121">
        <v>19.0</v>
      </c>
      <c r="L1075" s="69" t="s">
        <v>62</v>
      </c>
      <c r="M1075" s="69"/>
      <c r="N1075" s="69"/>
      <c r="O1075" s="69" t="s">
        <v>1219</v>
      </c>
      <c r="P1075" s="122" t="s">
        <v>2350</v>
      </c>
      <c r="Q1075" s="69"/>
      <c r="R1075" s="59"/>
      <c r="S1075" s="88"/>
      <c r="T1075" s="65"/>
      <c r="U1075" s="88"/>
      <c r="V1075" s="65"/>
    </row>
    <row r="1076">
      <c r="A1076" s="74" t="s">
        <v>2681</v>
      </c>
      <c r="B1076" s="75" t="s">
        <v>35</v>
      </c>
      <c r="C1076" s="75" t="s">
        <v>100</v>
      </c>
      <c r="D1076" s="76" t="str">
        <f t="shared" si="19"/>
        <v>Removed</v>
      </c>
      <c r="E1076" s="90">
        <v>44798.0</v>
      </c>
      <c r="F1076" s="105">
        <v>45337.0</v>
      </c>
      <c r="G1076" s="79">
        <f t="shared" si="2"/>
        <v>17.66666667</v>
      </c>
      <c r="H1076" s="90">
        <v>44439.0</v>
      </c>
      <c r="I1076" s="79">
        <f t="shared" si="3"/>
        <v>0.9861111111</v>
      </c>
      <c r="J1076" s="106">
        <v>90.0</v>
      </c>
      <c r="K1076" s="106">
        <v>9.5</v>
      </c>
      <c r="L1076" s="82" t="s">
        <v>135</v>
      </c>
      <c r="M1076" s="82"/>
      <c r="N1076" s="82"/>
      <c r="O1076" s="82" t="s">
        <v>1168</v>
      </c>
      <c r="P1076" s="107" t="s">
        <v>2682</v>
      </c>
      <c r="Q1076" s="82"/>
      <c r="R1076" s="76"/>
      <c r="S1076" s="90"/>
      <c r="T1076" s="79"/>
      <c r="U1076" s="90"/>
      <c r="V1076" s="79"/>
    </row>
    <row r="1077">
      <c r="A1077" s="53" t="s">
        <v>2683</v>
      </c>
      <c r="B1077" s="54" t="s">
        <v>13</v>
      </c>
      <c r="C1077" s="54"/>
      <c r="D1077" s="59" t="str">
        <f t="shared" si="19"/>
        <v>Removed</v>
      </c>
      <c r="E1077" s="88">
        <v>44616.0</v>
      </c>
      <c r="F1077" s="120">
        <v>45337.0</v>
      </c>
      <c r="G1077" s="65">
        <f t="shared" si="2"/>
        <v>23.7</v>
      </c>
      <c r="H1077" s="88">
        <v>41725.0</v>
      </c>
      <c r="I1077" s="65">
        <f t="shared" si="3"/>
        <v>7.908333333</v>
      </c>
      <c r="J1077" s="121">
        <v>81.0</v>
      </c>
      <c r="K1077" s="121">
        <v>23.0</v>
      </c>
      <c r="L1077" s="69" t="s">
        <v>81</v>
      </c>
      <c r="M1077" s="69"/>
      <c r="N1077" s="69"/>
      <c r="O1077" s="69" t="s">
        <v>1168</v>
      </c>
      <c r="P1077" s="122" t="s">
        <v>2684</v>
      </c>
      <c r="Q1077" s="69"/>
      <c r="R1077" s="54"/>
      <c r="S1077" s="88"/>
      <c r="T1077" s="65"/>
      <c r="U1077" s="88"/>
      <c r="V1077" s="65"/>
    </row>
    <row r="1078">
      <c r="A1078" s="74" t="s">
        <v>2685</v>
      </c>
      <c r="B1078" s="75" t="s">
        <v>129</v>
      </c>
      <c r="C1078" s="75" t="s">
        <v>36</v>
      </c>
      <c r="D1078" s="76" t="str">
        <f t="shared" si="19"/>
        <v>Removed</v>
      </c>
      <c r="E1078" s="90">
        <v>44644.0</v>
      </c>
      <c r="F1078" s="105">
        <v>45322.0</v>
      </c>
      <c r="G1078" s="79">
        <f t="shared" si="2"/>
        <v>22.2</v>
      </c>
      <c r="H1078" s="90">
        <v>44392.0</v>
      </c>
      <c r="I1078" s="79">
        <f t="shared" si="3"/>
        <v>0.6916666667</v>
      </c>
      <c r="J1078" s="106">
        <f>average(82,86)</f>
        <v>84</v>
      </c>
      <c r="K1078" s="106">
        <v>7.5</v>
      </c>
      <c r="L1078" s="82" t="s">
        <v>55</v>
      </c>
      <c r="M1078" s="82"/>
      <c r="N1078" s="82"/>
      <c r="O1078" s="82" t="s">
        <v>1219</v>
      </c>
      <c r="P1078" s="107" t="s">
        <v>2440</v>
      </c>
      <c r="Q1078" s="82"/>
      <c r="R1078" s="76"/>
      <c r="S1078" s="90"/>
      <c r="T1078" s="79"/>
      <c r="U1078" s="90"/>
      <c r="V1078" s="79"/>
    </row>
    <row r="1079">
      <c r="A1079" s="53" t="s">
        <v>2686</v>
      </c>
      <c r="B1079" s="54" t="s">
        <v>35</v>
      </c>
      <c r="C1079" s="54" t="s">
        <v>100</v>
      </c>
      <c r="D1079" s="59" t="str">
        <f t="shared" si="19"/>
        <v>Removed</v>
      </c>
      <c r="E1079" s="88">
        <v>44581.0</v>
      </c>
      <c r="F1079" s="120">
        <v>45322.0</v>
      </c>
      <c r="G1079" s="65">
        <f t="shared" si="2"/>
        <v>24.33333333</v>
      </c>
      <c r="H1079" s="88">
        <v>44581.0</v>
      </c>
      <c r="I1079" s="65">
        <f t="shared" si="3"/>
        <v>0</v>
      </c>
      <c r="J1079" s="121">
        <f>average(85,84,87)</f>
        <v>85.33333333</v>
      </c>
      <c r="K1079" s="121">
        <v>25.0</v>
      </c>
      <c r="L1079" s="69" t="s">
        <v>41</v>
      </c>
      <c r="M1079" s="69"/>
      <c r="N1079" s="69"/>
      <c r="O1079" s="69" t="s">
        <v>107</v>
      </c>
      <c r="P1079" s="122" t="s">
        <v>2687</v>
      </c>
      <c r="Q1079" s="69"/>
      <c r="R1079" s="59"/>
      <c r="S1079" s="88"/>
      <c r="T1079" s="65"/>
      <c r="U1079" s="88"/>
      <c r="V1079" s="65"/>
    </row>
    <row r="1080">
      <c r="A1080" s="74" t="s">
        <v>2688</v>
      </c>
      <c r="B1080" s="75" t="s">
        <v>35</v>
      </c>
      <c r="C1080" s="75" t="s">
        <v>36</v>
      </c>
      <c r="D1080" s="76" t="str">
        <f t="shared" si="19"/>
        <v>Removed</v>
      </c>
      <c r="E1080" s="90">
        <v>44945.0</v>
      </c>
      <c r="F1080" s="105">
        <v>45306.0</v>
      </c>
      <c r="G1080" s="79">
        <f t="shared" si="2"/>
        <v>11.86666667</v>
      </c>
      <c r="H1080" s="90">
        <v>40118.0</v>
      </c>
      <c r="I1080" s="79">
        <f t="shared" si="3"/>
        <v>13.21666667</v>
      </c>
      <c r="J1080" s="106">
        <v>89.0</v>
      </c>
      <c r="K1080" s="106">
        <v>65.5</v>
      </c>
      <c r="L1080" s="82" t="s">
        <v>46</v>
      </c>
      <c r="M1080" s="82"/>
      <c r="N1080" s="82"/>
      <c r="O1080" s="82" t="s">
        <v>107</v>
      </c>
      <c r="P1080" s="107" t="s">
        <v>2689</v>
      </c>
      <c r="Q1080" s="82"/>
      <c r="R1080" s="76"/>
      <c r="S1080" s="90"/>
      <c r="T1080" s="79"/>
      <c r="U1080" s="90"/>
      <c r="V1080" s="79"/>
    </row>
    <row r="1081">
      <c r="A1081" s="53" t="s">
        <v>2690</v>
      </c>
      <c r="B1081" s="54" t="s">
        <v>35</v>
      </c>
      <c r="C1081" s="54" t="s">
        <v>36</v>
      </c>
      <c r="D1081" s="59" t="str">
        <f t="shared" si="19"/>
        <v>Removed</v>
      </c>
      <c r="E1081" s="88">
        <v>44763.0</v>
      </c>
      <c r="F1081" s="120">
        <v>45306.0</v>
      </c>
      <c r="G1081" s="65">
        <f t="shared" si="2"/>
        <v>17.8</v>
      </c>
      <c r="H1081" s="88">
        <v>44672.0</v>
      </c>
      <c r="I1081" s="65">
        <f t="shared" si="3"/>
        <v>0.25</v>
      </c>
      <c r="J1081" s="121">
        <v>81.0</v>
      </c>
      <c r="K1081" s="121">
        <v>10.5</v>
      </c>
      <c r="L1081" s="69" t="s">
        <v>55</v>
      </c>
      <c r="M1081" s="69"/>
      <c r="N1081" s="69"/>
      <c r="O1081" s="69" t="s">
        <v>1219</v>
      </c>
      <c r="P1081" s="122" t="s">
        <v>2691</v>
      </c>
      <c r="Q1081" s="69"/>
      <c r="R1081" s="59"/>
      <c r="S1081" s="88"/>
      <c r="T1081" s="65"/>
      <c r="U1081" s="88"/>
      <c r="V1081" s="65"/>
    </row>
    <row r="1082">
      <c r="A1082" s="74" t="s">
        <v>2692</v>
      </c>
      <c r="B1082" s="75" t="s">
        <v>35</v>
      </c>
      <c r="C1082" s="75" t="s">
        <v>100</v>
      </c>
      <c r="D1082" s="76" t="str">
        <f t="shared" si="19"/>
        <v>Removed</v>
      </c>
      <c r="E1082" s="90">
        <v>44760.0</v>
      </c>
      <c r="F1082" s="105">
        <v>45306.0</v>
      </c>
      <c r="G1082" s="79">
        <f t="shared" si="2"/>
        <v>17.9</v>
      </c>
      <c r="H1082" s="90">
        <v>44419.0</v>
      </c>
      <c r="I1082" s="79">
        <f t="shared" si="3"/>
        <v>0.9361111111</v>
      </c>
      <c r="J1082" s="106">
        <v>70.0</v>
      </c>
      <c r="K1082" s="106">
        <v>10.0</v>
      </c>
      <c r="L1082" s="82" t="s">
        <v>46</v>
      </c>
      <c r="M1082" s="82"/>
      <c r="N1082" s="82"/>
      <c r="O1082" s="82" t="s">
        <v>1168</v>
      </c>
      <c r="P1082" s="107" t="s">
        <v>1396</v>
      </c>
      <c r="Q1082" s="82"/>
      <c r="R1082" s="76"/>
      <c r="S1082" s="90"/>
      <c r="T1082" s="79"/>
      <c r="U1082" s="90"/>
      <c r="V1082" s="79"/>
    </row>
    <row r="1083">
      <c r="A1083" s="53" t="s">
        <v>2693</v>
      </c>
      <c r="B1083" s="54" t="s">
        <v>35</v>
      </c>
      <c r="C1083" s="54" t="s">
        <v>36</v>
      </c>
      <c r="D1083" s="59" t="str">
        <f t="shared" si="19"/>
        <v>Removed</v>
      </c>
      <c r="E1083" s="88">
        <v>44735.0</v>
      </c>
      <c r="F1083" s="120">
        <v>45291.0</v>
      </c>
      <c r="G1083" s="65">
        <f t="shared" si="2"/>
        <v>18.23333333</v>
      </c>
      <c r="H1083" s="88">
        <v>44420.0</v>
      </c>
      <c r="I1083" s="65">
        <f t="shared" si="3"/>
        <v>0.8638888889</v>
      </c>
      <c r="J1083" s="121">
        <v>71.0</v>
      </c>
      <c r="K1083" s="121">
        <v>48.0</v>
      </c>
      <c r="L1083" s="69" t="s">
        <v>105</v>
      </c>
      <c r="M1083" s="69"/>
      <c r="N1083" s="69"/>
      <c r="O1083" s="267" t="s">
        <v>328</v>
      </c>
      <c r="P1083" s="122" t="s">
        <v>1378</v>
      </c>
      <c r="Q1083" s="69"/>
      <c r="R1083" s="59"/>
      <c r="S1083" s="88"/>
      <c r="T1083" s="65"/>
      <c r="U1083" s="88"/>
      <c r="V1083" s="65"/>
    </row>
    <row r="1084">
      <c r="A1084" s="74" t="s">
        <v>2694</v>
      </c>
      <c r="B1084" s="75" t="s">
        <v>35</v>
      </c>
      <c r="C1084" s="75"/>
      <c r="D1084" s="76" t="str">
        <f t="shared" si="19"/>
        <v>Removed</v>
      </c>
      <c r="E1084" s="90">
        <v>44908.0</v>
      </c>
      <c r="F1084" s="105">
        <v>45275.0</v>
      </c>
      <c r="G1084" s="79">
        <f t="shared" si="2"/>
        <v>12.06666667</v>
      </c>
      <c r="H1084" s="90">
        <v>44908.0</v>
      </c>
      <c r="I1084" s="79">
        <f t="shared" si="3"/>
        <v>0</v>
      </c>
      <c r="J1084" s="106">
        <f>7.6*10</f>
        <v>76</v>
      </c>
      <c r="K1084" s="106">
        <v>10.0</v>
      </c>
      <c r="L1084" s="82" t="s">
        <v>64</v>
      </c>
      <c r="M1084" s="82"/>
      <c r="N1084" s="82"/>
      <c r="O1084" s="268" t="s">
        <v>1168</v>
      </c>
      <c r="P1084" s="107" t="s">
        <v>2695</v>
      </c>
      <c r="Q1084" s="82"/>
      <c r="R1084" s="76"/>
      <c r="S1084" s="90"/>
      <c r="T1084" s="79"/>
      <c r="U1084" s="90"/>
      <c r="V1084" s="79"/>
    </row>
    <row r="1085">
      <c r="A1085" s="269" t="s">
        <v>2696</v>
      </c>
      <c r="B1085" s="54" t="s">
        <v>35</v>
      </c>
      <c r="C1085" s="54" t="s">
        <v>36</v>
      </c>
      <c r="D1085" s="59" t="str">
        <f t="shared" si="19"/>
        <v>Removed</v>
      </c>
      <c r="E1085" s="88">
        <v>44903.0</v>
      </c>
      <c r="F1085" s="120">
        <v>45275.0</v>
      </c>
      <c r="G1085" s="65">
        <f t="shared" si="2"/>
        <v>12.23333333</v>
      </c>
      <c r="H1085" s="88">
        <v>44903.0</v>
      </c>
      <c r="I1085" s="65">
        <f t="shared" si="3"/>
        <v>0</v>
      </c>
      <c r="J1085" s="121">
        <v>92.0</v>
      </c>
      <c r="K1085" s="121">
        <v>31.0</v>
      </c>
      <c r="L1085" s="69" t="s">
        <v>46</v>
      </c>
      <c r="M1085" s="69"/>
      <c r="N1085" s="69"/>
      <c r="O1085" s="69" t="s">
        <v>107</v>
      </c>
      <c r="P1085" s="122"/>
      <c r="Q1085" s="69"/>
      <c r="R1085" s="59"/>
      <c r="S1085" s="88"/>
      <c r="T1085" s="65"/>
      <c r="U1085" s="88"/>
      <c r="V1085" s="65"/>
    </row>
    <row r="1086">
      <c r="A1086" s="74" t="s">
        <v>2697</v>
      </c>
      <c r="B1086" s="75" t="s">
        <v>13</v>
      </c>
      <c r="C1086" s="75"/>
      <c r="D1086" s="76" t="str">
        <f t="shared" si="19"/>
        <v>Removed</v>
      </c>
      <c r="E1086" s="90">
        <v>44810.0</v>
      </c>
      <c r="F1086" s="105">
        <v>45275.0</v>
      </c>
      <c r="G1086" s="79">
        <f t="shared" si="2"/>
        <v>15.3</v>
      </c>
      <c r="H1086" s="90">
        <v>43076.0</v>
      </c>
      <c r="I1086" s="79">
        <f t="shared" si="3"/>
        <v>4.747222222</v>
      </c>
      <c r="J1086" s="106">
        <v>90.0</v>
      </c>
      <c r="K1086" s="106">
        <v>15.0</v>
      </c>
      <c r="L1086" s="82" t="s">
        <v>96</v>
      </c>
      <c r="M1086" s="82"/>
      <c r="N1086" s="82" t="s">
        <v>2698</v>
      </c>
      <c r="O1086" s="82" t="s">
        <v>328</v>
      </c>
      <c r="P1086" s="107" t="s">
        <v>2699</v>
      </c>
      <c r="Q1086" s="82"/>
      <c r="R1086" s="75"/>
      <c r="S1086" s="90"/>
      <c r="T1086" s="79"/>
      <c r="U1086" s="90"/>
      <c r="V1086" s="79"/>
    </row>
    <row r="1087">
      <c r="A1087" s="53" t="s">
        <v>2700</v>
      </c>
      <c r="B1087" s="54" t="s">
        <v>35</v>
      </c>
      <c r="C1087" s="54" t="s">
        <v>100</v>
      </c>
      <c r="D1087" s="59" t="str">
        <f t="shared" si="19"/>
        <v>Removed</v>
      </c>
      <c r="E1087" s="88">
        <v>44532.0</v>
      </c>
      <c r="F1087" s="120">
        <v>45275.0</v>
      </c>
      <c r="G1087" s="65">
        <f t="shared" si="2"/>
        <v>24.43333333</v>
      </c>
      <c r="H1087" s="88">
        <v>44532.0</v>
      </c>
      <c r="I1087" s="65">
        <f t="shared" si="3"/>
        <v>0</v>
      </c>
      <c r="J1087" s="121">
        <v>74.0</v>
      </c>
      <c r="K1087" s="121">
        <v>2.5</v>
      </c>
      <c r="L1087" s="69" t="s">
        <v>1750</v>
      </c>
      <c r="M1087" s="69"/>
      <c r="N1087" s="69"/>
      <c r="O1087" s="69" t="s">
        <v>1168</v>
      </c>
      <c r="P1087" s="122" t="s">
        <v>1396</v>
      </c>
      <c r="Q1087" s="69"/>
      <c r="R1087" s="59"/>
      <c r="S1087" s="88"/>
      <c r="T1087" s="65"/>
      <c r="U1087" s="88"/>
      <c r="V1087" s="65"/>
    </row>
    <row r="1088">
      <c r="A1088" s="74" t="s">
        <v>2701</v>
      </c>
      <c r="B1088" s="75" t="s">
        <v>35</v>
      </c>
      <c r="C1088" s="75" t="s">
        <v>36</v>
      </c>
      <c r="D1088" s="76" t="str">
        <f t="shared" si="19"/>
        <v>Removed</v>
      </c>
      <c r="E1088" s="90">
        <v>44896.0</v>
      </c>
      <c r="F1088" s="105">
        <v>45260.0</v>
      </c>
      <c r="G1088" s="79">
        <f t="shared" si="2"/>
        <v>11.96666667</v>
      </c>
      <c r="H1088" s="90">
        <v>44546.0</v>
      </c>
      <c r="I1088" s="79">
        <f t="shared" si="3"/>
        <v>0.9583333333</v>
      </c>
      <c r="J1088" s="106">
        <v>82.0</v>
      </c>
      <c r="K1088" s="106">
        <v>20.0</v>
      </c>
      <c r="L1088" s="82" t="s">
        <v>46</v>
      </c>
      <c r="M1088" s="82"/>
      <c r="N1088" s="82"/>
      <c r="O1088" s="82" t="s">
        <v>328</v>
      </c>
      <c r="P1088" s="107" t="s">
        <v>2702</v>
      </c>
      <c r="Q1088" s="82"/>
      <c r="R1088" s="76"/>
      <c r="S1088" s="90"/>
      <c r="T1088" s="79"/>
      <c r="U1088" s="90"/>
      <c r="V1088" s="79"/>
    </row>
    <row r="1089">
      <c r="A1089" s="53" t="s">
        <v>2703</v>
      </c>
      <c r="B1089" s="54" t="s">
        <v>35</v>
      </c>
      <c r="C1089" s="54" t="s">
        <v>100</v>
      </c>
      <c r="D1089" s="59" t="str">
        <f t="shared" si="19"/>
        <v>Removed</v>
      </c>
      <c r="E1089" s="88">
        <v>44719.0</v>
      </c>
      <c r="F1089" s="120">
        <v>45260.0</v>
      </c>
      <c r="G1089" s="65">
        <f t="shared" si="2"/>
        <v>17.76666667</v>
      </c>
      <c r="H1089" s="88">
        <v>44126.0</v>
      </c>
      <c r="I1089" s="65">
        <f t="shared" si="3"/>
        <v>1.625</v>
      </c>
      <c r="J1089" s="121">
        <v>83.0</v>
      </c>
      <c r="K1089" s="121">
        <v>3.0</v>
      </c>
      <c r="L1089" s="69" t="s">
        <v>41</v>
      </c>
      <c r="M1089" s="69"/>
      <c r="N1089" s="69"/>
      <c r="O1089" s="69" t="s">
        <v>328</v>
      </c>
      <c r="P1089" s="122" t="s">
        <v>108</v>
      </c>
      <c r="Q1089" s="69"/>
      <c r="R1089" s="59"/>
      <c r="S1089" s="88"/>
      <c r="T1089" s="65"/>
      <c r="U1089" s="88"/>
      <c r="V1089" s="65"/>
    </row>
    <row r="1090">
      <c r="A1090" s="74" t="s">
        <v>2704</v>
      </c>
      <c r="B1090" s="75" t="s">
        <v>35</v>
      </c>
      <c r="C1090" s="75" t="s">
        <v>100</v>
      </c>
      <c r="D1090" s="76" t="str">
        <f t="shared" si="19"/>
        <v>Removed</v>
      </c>
      <c r="E1090" s="90">
        <v>44532.0</v>
      </c>
      <c r="F1090" s="105">
        <v>45260.0</v>
      </c>
      <c r="G1090" s="79">
        <f t="shared" si="2"/>
        <v>23.93333333</v>
      </c>
      <c r="H1090" s="90">
        <v>44440.0</v>
      </c>
      <c r="I1090" s="79">
        <f t="shared" si="3"/>
        <v>0.2527777778</v>
      </c>
      <c r="J1090" s="106">
        <v>75.0</v>
      </c>
      <c r="K1090" s="106">
        <v>3.0</v>
      </c>
      <c r="L1090" s="82" t="s">
        <v>37</v>
      </c>
      <c r="M1090" s="82"/>
      <c r="N1090" s="82"/>
      <c r="O1090" s="82" t="s">
        <v>328</v>
      </c>
      <c r="P1090" s="107" t="s">
        <v>2659</v>
      </c>
      <c r="Q1090" s="82"/>
      <c r="R1090" s="76"/>
      <c r="S1090" s="90"/>
      <c r="T1090" s="79"/>
      <c r="U1090" s="90"/>
      <c r="V1090" s="79"/>
    </row>
    <row r="1091">
      <c r="A1091" s="53" t="s">
        <v>2705</v>
      </c>
      <c r="B1091" s="54" t="s">
        <v>129</v>
      </c>
      <c r="C1091" s="54"/>
      <c r="D1091" s="59" t="str">
        <f t="shared" si="19"/>
        <v>Removed</v>
      </c>
      <c r="E1091" s="88">
        <v>44418.0</v>
      </c>
      <c r="F1091" s="120">
        <v>45260.0</v>
      </c>
      <c r="G1091" s="65">
        <f t="shared" si="2"/>
        <v>27.66666667</v>
      </c>
      <c r="H1091" s="88">
        <v>43719.0</v>
      </c>
      <c r="I1091" s="65">
        <f t="shared" si="3"/>
        <v>1.913888889</v>
      </c>
      <c r="J1091" s="121">
        <v>79.0</v>
      </c>
      <c r="K1091" s="121">
        <v>21.0</v>
      </c>
      <c r="L1091" s="69" t="s">
        <v>55</v>
      </c>
      <c r="M1091" s="69"/>
      <c r="N1091" s="69"/>
      <c r="O1091" s="69" t="s">
        <v>1219</v>
      </c>
      <c r="P1091" s="122"/>
      <c r="Q1091" s="69"/>
      <c r="R1091" s="59"/>
      <c r="S1091" s="88"/>
      <c r="T1091" s="65"/>
      <c r="U1091" s="88"/>
      <c r="V1091" s="65"/>
    </row>
    <row r="1092">
      <c r="A1092" s="74" t="s">
        <v>2706</v>
      </c>
      <c r="B1092" s="75" t="s">
        <v>129</v>
      </c>
      <c r="C1092" s="75"/>
      <c r="D1092" s="76" t="str">
        <f t="shared" si="19"/>
        <v>Removed</v>
      </c>
      <c r="E1092" s="90">
        <v>44145.0</v>
      </c>
      <c r="F1092" s="105">
        <v>45260.0</v>
      </c>
      <c r="G1092" s="79">
        <f t="shared" si="2"/>
        <v>36.66666667</v>
      </c>
      <c r="H1092" s="90">
        <v>40002.0</v>
      </c>
      <c r="I1092" s="79">
        <f t="shared" si="3"/>
        <v>11.33888889</v>
      </c>
      <c r="J1092" s="106">
        <v>83.0</v>
      </c>
      <c r="K1092" s="106">
        <v>24.0</v>
      </c>
      <c r="L1092" s="82" t="s">
        <v>37</v>
      </c>
      <c r="M1092" s="82"/>
      <c r="N1092" s="82" t="s">
        <v>2707</v>
      </c>
      <c r="O1092" s="82" t="s">
        <v>328</v>
      </c>
      <c r="P1092" s="107" t="s">
        <v>1378</v>
      </c>
      <c r="Q1092" s="82" t="s">
        <v>1822</v>
      </c>
      <c r="R1092" s="76"/>
      <c r="S1092" s="90"/>
      <c r="T1092" s="79"/>
      <c r="U1092" s="90"/>
      <c r="V1092" s="79"/>
    </row>
    <row r="1093">
      <c r="A1093" s="53" t="s">
        <v>2708</v>
      </c>
      <c r="B1093" s="54" t="s">
        <v>129</v>
      </c>
      <c r="C1093" s="54"/>
      <c r="D1093" s="59" t="str">
        <f t="shared" si="19"/>
        <v>Removed</v>
      </c>
      <c r="E1093" s="88">
        <v>44145.0</v>
      </c>
      <c r="F1093" s="120">
        <v>45260.0</v>
      </c>
      <c r="G1093" s="65">
        <f t="shared" si="2"/>
        <v>36.66666667</v>
      </c>
      <c r="H1093" s="88">
        <v>39622.0</v>
      </c>
      <c r="I1093" s="65">
        <f t="shared" si="3"/>
        <v>12.38055556</v>
      </c>
      <c r="J1093" s="121">
        <v>83.0</v>
      </c>
      <c r="K1093" s="121">
        <v>7.5</v>
      </c>
      <c r="L1093" s="69" t="s">
        <v>37</v>
      </c>
      <c r="M1093" s="69"/>
      <c r="N1093" s="69" t="s">
        <v>2707</v>
      </c>
      <c r="O1093" s="69" t="s">
        <v>328</v>
      </c>
      <c r="P1093" s="122" t="s">
        <v>2709</v>
      </c>
      <c r="Q1093" s="69" t="s">
        <v>1822</v>
      </c>
      <c r="R1093" s="59"/>
      <c r="S1093" s="88"/>
      <c r="T1093" s="65"/>
      <c r="U1093" s="88"/>
      <c r="V1093" s="65"/>
    </row>
    <row r="1094">
      <c r="A1094" s="74" t="s">
        <v>2710</v>
      </c>
      <c r="B1094" s="75" t="s">
        <v>35</v>
      </c>
      <c r="C1094" s="75"/>
      <c r="D1094" s="76" t="str">
        <f t="shared" si="19"/>
        <v>Removed</v>
      </c>
      <c r="E1094" s="90">
        <v>44145.0</v>
      </c>
      <c r="F1094" s="105">
        <v>45260.0</v>
      </c>
      <c r="G1094" s="79">
        <f t="shared" si="2"/>
        <v>36.66666667</v>
      </c>
      <c r="H1094" s="90">
        <v>40239.0</v>
      </c>
      <c r="I1094" s="79">
        <f t="shared" si="3"/>
        <v>10.68888889</v>
      </c>
      <c r="J1094" s="106">
        <v>88.0</v>
      </c>
      <c r="K1094" s="106">
        <v>7.0</v>
      </c>
      <c r="L1094" s="82" t="s">
        <v>37</v>
      </c>
      <c r="M1094" s="82"/>
      <c r="N1094" s="82" t="s">
        <v>2707</v>
      </c>
      <c r="O1094" s="82" t="s">
        <v>107</v>
      </c>
      <c r="P1094" s="107" t="s">
        <v>1280</v>
      </c>
      <c r="Q1094" s="82" t="s">
        <v>1822</v>
      </c>
      <c r="R1094" s="76"/>
      <c r="S1094" s="90"/>
      <c r="T1094" s="79"/>
      <c r="U1094" s="90"/>
      <c r="V1094" s="79"/>
    </row>
    <row r="1095">
      <c r="A1095" s="53" t="s">
        <v>2711</v>
      </c>
      <c r="B1095" s="54" t="s">
        <v>35</v>
      </c>
      <c r="C1095" s="54" t="s">
        <v>36</v>
      </c>
      <c r="D1095" s="59" t="str">
        <f t="shared" si="19"/>
        <v>Removed</v>
      </c>
      <c r="E1095" s="88">
        <v>44887.0</v>
      </c>
      <c r="F1095" s="120">
        <v>45245.0</v>
      </c>
      <c r="G1095" s="65">
        <f t="shared" si="2"/>
        <v>11.76666667</v>
      </c>
      <c r="H1095" s="88">
        <v>44887.0</v>
      </c>
      <c r="I1095" s="65">
        <f t="shared" si="3"/>
        <v>0</v>
      </c>
      <c r="J1095" s="121">
        <v>56.0</v>
      </c>
      <c r="K1095" s="121">
        <v>13.0</v>
      </c>
      <c r="L1095" s="69" t="s">
        <v>105</v>
      </c>
      <c r="M1095" s="69"/>
      <c r="N1095" s="69"/>
      <c r="O1095" s="69" t="s">
        <v>107</v>
      </c>
      <c r="P1095" s="122" t="s">
        <v>1998</v>
      </c>
      <c r="Q1095" s="69"/>
      <c r="R1095" s="59"/>
      <c r="S1095" s="88"/>
      <c r="T1095" s="65"/>
      <c r="U1095" s="88"/>
      <c r="V1095" s="65"/>
    </row>
    <row r="1096">
      <c r="A1096" s="74" t="s">
        <v>2712</v>
      </c>
      <c r="B1096" s="75" t="s">
        <v>35</v>
      </c>
      <c r="C1096" s="75" t="s">
        <v>36</v>
      </c>
      <c r="D1096" s="76" t="str">
        <f t="shared" si="19"/>
        <v>Removed</v>
      </c>
      <c r="E1096" s="90">
        <v>44882.0</v>
      </c>
      <c r="F1096" s="105">
        <v>45245.0</v>
      </c>
      <c r="G1096" s="79">
        <f t="shared" si="2"/>
        <v>11.93333333</v>
      </c>
      <c r="H1096" s="90">
        <v>44882.0</v>
      </c>
      <c r="I1096" s="79">
        <f t="shared" si="3"/>
        <v>0</v>
      </c>
      <c r="J1096" s="106">
        <v>80.0</v>
      </c>
      <c r="K1096" s="106">
        <v>6.0</v>
      </c>
      <c r="L1096" s="82" t="s">
        <v>57</v>
      </c>
      <c r="M1096" s="82"/>
      <c r="N1096" s="82"/>
      <c r="O1096" s="82" t="s">
        <v>1219</v>
      </c>
      <c r="P1096" s="107"/>
      <c r="Q1096" s="82"/>
      <c r="R1096" s="76"/>
      <c r="S1096" s="90"/>
      <c r="T1096" s="79"/>
      <c r="U1096" s="90"/>
      <c r="V1096" s="79"/>
    </row>
    <row r="1097">
      <c r="A1097" s="53" t="s">
        <v>2713</v>
      </c>
      <c r="B1097" s="54" t="s">
        <v>35</v>
      </c>
      <c r="C1097" s="54" t="s">
        <v>100</v>
      </c>
      <c r="D1097" s="59" t="str">
        <f t="shared" si="19"/>
        <v>Removed</v>
      </c>
      <c r="E1097" s="88">
        <v>44873.0</v>
      </c>
      <c r="F1097" s="120">
        <v>45245.0</v>
      </c>
      <c r="G1097" s="65">
        <f t="shared" si="2"/>
        <v>12.23333333</v>
      </c>
      <c r="H1097" s="88">
        <v>44873.0</v>
      </c>
      <c r="I1097" s="65">
        <f t="shared" si="3"/>
        <v>0</v>
      </c>
      <c r="J1097" s="121">
        <v>81.0</v>
      </c>
      <c r="K1097" s="121">
        <v>42.5</v>
      </c>
      <c r="L1097" s="69" t="s">
        <v>62</v>
      </c>
      <c r="M1097" s="69"/>
      <c r="N1097" s="69"/>
      <c r="O1097" s="69" t="s">
        <v>1219</v>
      </c>
      <c r="P1097" s="122"/>
      <c r="Q1097" s="69"/>
      <c r="R1097" s="59"/>
      <c r="S1097" s="88"/>
      <c r="T1097" s="65"/>
      <c r="U1097" s="88"/>
      <c r="V1097" s="65"/>
    </row>
    <row r="1098">
      <c r="A1098" s="74" t="s">
        <v>2714</v>
      </c>
      <c r="B1098" s="75" t="s">
        <v>35</v>
      </c>
      <c r="C1098" s="75" t="s">
        <v>100</v>
      </c>
      <c r="D1098" s="76" t="str">
        <f t="shared" si="19"/>
        <v>Removed</v>
      </c>
      <c r="E1098" s="90">
        <v>44868.0</v>
      </c>
      <c r="F1098" s="105">
        <v>45245.0</v>
      </c>
      <c r="G1098" s="79">
        <f t="shared" si="2"/>
        <v>12.4</v>
      </c>
      <c r="H1098" s="90">
        <v>44868.0</v>
      </c>
      <c r="I1098" s="79">
        <f t="shared" si="3"/>
        <v>0</v>
      </c>
      <c r="J1098" s="106">
        <v>86.0</v>
      </c>
      <c r="K1098" s="106">
        <v>7.5</v>
      </c>
      <c r="L1098" s="82" t="s">
        <v>57</v>
      </c>
      <c r="M1098" s="82"/>
      <c r="N1098" s="82"/>
      <c r="O1098" s="82" t="s">
        <v>328</v>
      </c>
      <c r="P1098" s="107" t="s">
        <v>2715</v>
      </c>
      <c r="Q1098" s="82"/>
      <c r="R1098" s="76"/>
      <c r="S1098" s="90"/>
      <c r="T1098" s="79"/>
      <c r="U1098" s="90"/>
      <c r="V1098" s="79"/>
    </row>
    <row r="1099">
      <c r="A1099" s="53" t="s">
        <v>2716</v>
      </c>
      <c r="B1099" s="54" t="s">
        <v>13</v>
      </c>
      <c r="C1099" s="54"/>
      <c r="D1099" s="59" t="str">
        <f t="shared" si="19"/>
        <v>Removed</v>
      </c>
      <c r="E1099" s="88">
        <v>44798.0</v>
      </c>
      <c r="F1099" s="120">
        <v>45245.0</v>
      </c>
      <c r="G1099" s="65">
        <f t="shared" si="2"/>
        <v>14.66666667</v>
      </c>
      <c r="H1099" s="88">
        <v>43395.0</v>
      </c>
      <c r="I1099" s="65">
        <f t="shared" si="3"/>
        <v>3.841666667</v>
      </c>
      <c r="J1099" s="121">
        <v>80.0</v>
      </c>
      <c r="K1099" s="121">
        <v>26.5</v>
      </c>
      <c r="L1099" s="69" t="s">
        <v>64</v>
      </c>
      <c r="M1099" s="69"/>
      <c r="N1099" s="69"/>
      <c r="O1099" s="69" t="s">
        <v>107</v>
      </c>
      <c r="P1099" s="122" t="s">
        <v>2717</v>
      </c>
      <c r="Q1099" s="69"/>
      <c r="R1099" s="54"/>
      <c r="S1099" s="88"/>
      <c r="T1099" s="65"/>
      <c r="U1099" s="88"/>
      <c r="V1099" s="65"/>
    </row>
    <row r="1100">
      <c r="A1100" s="74" t="s">
        <v>2718</v>
      </c>
      <c r="B1100" s="75" t="s">
        <v>35</v>
      </c>
      <c r="C1100" s="75" t="s">
        <v>100</v>
      </c>
      <c r="D1100" s="76" t="str">
        <f t="shared" si="19"/>
        <v>Removed</v>
      </c>
      <c r="E1100" s="90">
        <v>44789.0</v>
      </c>
      <c r="F1100" s="105">
        <v>45245.0</v>
      </c>
      <c r="G1100" s="79">
        <f t="shared" si="2"/>
        <v>14.96666667</v>
      </c>
      <c r="H1100" s="90">
        <v>43859.0</v>
      </c>
      <c r="I1100" s="79">
        <f t="shared" si="3"/>
        <v>2.547222222</v>
      </c>
      <c r="J1100" s="106">
        <v>75.0</v>
      </c>
      <c r="K1100" s="106">
        <v>4.0</v>
      </c>
      <c r="L1100" s="82" t="s">
        <v>135</v>
      </c>
      <c r="M1100" s="82"/>
      <c r="N1100" s="82"/>
      <c r="O1100" s="82" t="s">
        <v>328</v>
      </c>
      <c r="P1100" s="107" t="s">
        <v>2719</v>
      </c>
      <c r="Q1100" s="82"/>
      <c r="R1100" s="76"/>
      <c r="S1100" s="90"/>
      <c r="T1100" s="79"/>
      <c r="U1100" s="90"/>
      <c r="V1100" s="79"/>
    </row>
    <row r="1101">
      <c r="A1101" s="53" t="s">
        <v>2720</v>
      </c>
      <c r="B1101" s="54" t="s">
        <v>35</v>
      </c>
      <c r="C1101" s="54" t="s">
        <v>100</v>
      </c>
      <c r="D1101" s="59" t="str">
        <f t="shared" si="19"/>
        <v>Removed</v>
      </c>
      <c r="E1101" s="88">
        <v>44532.0</v>
      </c>
      <c r="F1101" s="120">
        <v>45245.0</v>
      </c>
      <c r="G1101" s="65">
        <f t="shared" si="2"/>
        <v>23.43333333</v>
      </c>
      <c r="H1101" s="88">
        <v>44012.0</v>
      </c>
      <c r="I1101" s="65">
        <f t="shared" si="3"/>
        <v>1.422222222</v>
      </c>
      <c r="J1101" s="121">
        <v>86.0</v>
      </c>
      <c r="K1101" s="121">
        <v>3.0</v>
      </c>
      <c r="L1101" s="69" t="s">
        <v>64</v>
      </c>
      <c r="M1101" s="69"/>
      <c r="N1101" s="69"/>
      <c r="O1101" s="69" t="s">
        <v>1219</v>
      </c>
      <c r="P1101" s="122"/>
      <c r="Q1101" s="69"/>
      <c r="R1101" s="59"/>
      <c r="S1101" s="88"/>
      <c r="T1101" s="65"/>
      <c r="U1101" s="88"/>
      <c r="V1101" s="65"/>
    </row>
    <row r="1102">
      <c r="A1102" s="74" t="s">
        <v>2721</v>
      </c>
      <c r="B1102" s="75" t="s">
        <v>35</v>
      </c>
      <c r="C1102" s="75"/>
      <c r="D1102" s="76" t="str">
        <f t="shared" si="19"/>
        <v>Removed</v>
      </c>
      <c r="E1102" s="90">
        <v>44145.0</v>
      </c>
      <c r="F1102" s="105">
        <v>45244.0</v>
      </c>
      <c r="G1102" s="79">
        <f t="shared" si="2"/>
        <v>36.13333333</v>
      </c>
      <c r="H1102" s="90">
        <v>44026.0</v>
      </c>
      <c r="I1102" s="79">
        <f t="shared" si="3"/>
        <v>0.3222222222</v>
      </c>
      <c r="J1102" s="106">
        <v>71.0</v>
      </c>
      <c r="K1102" s="106">
        <v>3.0</v>
      </c>
      <c r="L1102" s="82" t="s">
        <v>37</v>
      </c>
      <c r="M1102" s="82"/>
      <c r="N1102" s="82"/>
      <c r="O1102" s="82" t="s">
        <v>328</v>
      </c>
      <c r="P1102" s="107" t="s">
        <v>1396</v>
      </c>
      <c r="Q1102" s="82"/>
      <c r="R1102" s="76"/>
      <c r="S1102" s="90"/>
      <c r="T1102" s="79"/>
      <c r="U1102" s="90"/>
      <c r="V1102" s="79"/>
    </row>
    <row r="1103">
      <c r="A1103" s="53" t="s">
        <v>2138</v>
      </c>
      <c r="B1103" s="54" t="s">
        <v>35</v>
      </c>
      <c r="C1103" s="54" t="s">
        <v>36</v>
      </c>
      <c r="D1103" s="59" t="str">
        <f t="shared" si="19"/>
        <v>Removed</v>
      </c>
      <c r="E1103" s="88">
        <v>44861.0</v>
      </c>
      <c r="F1103" s="120">
        <v>45230.0</v>
      </c>
      <c r="G1103" s="65">
        <f t="shared" si="2"/>
        <v>12.1</v>
      </c>
      <c r="H1103" s="88">
        <v>44517.0</v>
      </c>
      <c r="I1103" s="65">
        <f t="shared" si="3"/>
        <v>0.9444444444</v>
      </c>
      <c r="J1103" s="121">
        <v>77.0</v>
      </c>
      <c r="K1103" s="121">
        <v>3.0</v>
      </c>
      <c r="L1103" s="69" t="s">
        <v>37</v>
      </c>
      <c r="M1103" s="69" t="s">
        <v>38</v>
      </c>
      <c r="N1103" s="69"/>
      <c r="O1103" s="69" t="s">
        <v>328</v>
      </c>
      <c r="P1103" s="122" t="s">
        <v>1378</v>
      </c>
      <c r="Q1103" s="69"/>
      <c r="R1103" s="59"/>
      <c r="S1103" s="88"/>
      <c r="T1103" s="65"/>
      <c r="U1103" s="88"/>
      <c r="V1103" s="65"/>
    </row>
    <row r="1104">
      <c r="A1104" s="74" t="s">
        <v>2722</v>
      </c>
      <c r="B1104" s="75" t="s">
        <v>35</v>
      </c>
      <c r="C1104" s="75" t="s">
        <v>36</v>
      </c>
      <c r="D1104" s="76" t="str">
        <f t="shared" si="19"/>
        <v>Removed</v>
      </c>
      <c r="E1104" s="90">
        <v>44861.0</v>
      </c>
      <c r="F1104" s="105">
        <v>45230.0</v>
      </c>
      <c r="G1104" s="79">
        <f t="shared" si="2"/>
        <v>12.1</v>
      </c>
      <c r="H1104" s="90">
        <v>44861.0</v>
      </c>
      <c r="I1104" s="79">
        <f t="shared" si="3"/>
        <v>0</v>
      </c>
      <c r="J1104" s="106">
        <v>81.0</v>
      </c>
      <c r="K1104" s="106">
        <v>9.0</v>
      </c>
      <c r="L1104" s="82" t="s">
        <v>41</v>
      </c>
      <c r="M1104" s="82"/>
      <c r="N1104" s="82"/>
      <c r="O1104" s="82" t="s">
        <v>107</v>
      </c>
      <c r="P1104" s="107" t="s">
        <v>1491</v>
      </c>
      <c r="Q1104" s="82"/>
      <c r="R1104" s="76"/>
      <c r="S1104" s="90"/>
      <c r="T1104" s="79"/>
      <c r="U1104" s="90"/>
      <c r="V1104" s="79"/>
    </row>
    <row r="1105">
      <c r="A1105" s="53" t="s">
        <v>2723</v>
      </c>
      <c r="B1105" s="54" t="s">
        <v>35</v>
      </c>
      <c r="C1105" s="54" t="s">
        <v>36</v>
      </c>
      <c r="D1105" s="59" t="str">
        <f t="shared" si="19"/>
        <v>Removed</v>
      </c>
      <c r="E1105" s="88">
        <v>44504.0</v>
      </c>
      <c r="F1105" s="120">
        <v>45230.0</v>
      </c>
      <c r="G1105" s="65">
        <f t="shared" si="2"/>
        <v>23.86666667</v>
      </c>
      <c r="H1105" s="88">
        <v>44056.0</v>
      </c>
      <c r="I1105" s="65">
        <f t="shared" si="3"/>
        <v>1.225</v>
      </c>
      <c r="J1105" s="121">
        <f>(68+78)/2</f>
        <v>73</v>
      </c>
      <c r="K1105" s="121">
        <v>3.0</v>
      </c>
      <c r="L1105" s="69" t="s">
        <v>105</v>
      </c>
      <c r="M1105" s="69"/>
      <c r="N1105" s="69"/>
      <c r="O1105" s="69" t="s">
        <v>1168</v>
      </c>
      <c r="P1105" s="122" t="s">
        <v>1519</v>
      </c>
      <c r="Q1105" s="69"/>
      <c r="R1105" s="59"/>
      <c r="S1105" s="88"/>
      <c r="T1105" s="65"/>
      <c r="U1105" s="88"/>
      <c r="V1105" s="65"/>
    </row>
    <row r="1106">
      <c r="A1106" s="74" t="s">
        <v>2724</v>
      </c>
      <c r="B1106" s="75" t="s">
        <v>35</v>
      </c>
      <c r="C1106" s="75" t="s">
        <v>36</v>
      </c>
      <c r="D1106" s="76" t="str">
        <f t="shared" si="19"/>
        <v>Removed</v>
      </c>
      <c r="E1106" s="90">
        <v>44343.0</v>
      </c>
      <c r="F1106" s="105">
        <v>45230.0</v>
      </c>
      <c r="G1106" s="79">
        <f t="shared" si="2"/>
        <v>29.1</v>
      </c>
      <c r="H1106" s="90">
        <v>44124.0</v>
      </c>
      <c r="I1106" s="79">
        <f t="shared" si="3"/>
        <v>0.6027777778</v>
      </c>
      <c r="J1106" s="106">
        <v>78.0</v>
      </c>
      <c r="K1106" s="106">
        <v>39.5</v>
      </c>
      <c r="L1106" s="82" t="s">
        <v>46</v>
      </c>
      <c r="M1106" s="82"/>
      <c r="N1106" s="82" t="s">
        <v>2725</v>
      </c>
      <c r="O1106" s="82" t="s">
        <v>328</v>
      </c>
      <c r="P1106" s="107" t="s">
        <v>2726</v>
      </c>
      <c r="Q1106" s="82"/>
      <c r="R1106" s="76"/>
      <c r="S1106" s="90"/>
      <c r="T1106" s="79"/>
      <c r="U1106" s="90"/>
      <c r="V1106" s="79"/>
    </row>
    <row r="1107">
      <c r="A1107" s="53" t="s">
        <v>2727</v>
      </c>
      <c r="B1107" s="54" t="s">
        <v>35</v>
      </c>
      <c r="C1107" s="54" t="s">
        <v>36</v>
      </c>
      <c r="D1107" s="59" t="str">
        <f t="shared" si="19"/>
        <v>Removed</v>
      </c>
      <c r="E1107" s="88">
        <v>44865.0</v>
      </c>
      <c r="F1107" s="120">
        <v>45214.0</v>
      </c>
      <c r="G1107" s="65">
        <f t="shared" si="2"/>
        <v>11.5</v>
      </c>
      <c r="H1107" s="88">
        <v>44865.0</v>
      </c>
      <c r="I1107" s="65">
        <f t="shared" si="3"/>
        <v>0</v>
      </c>
      <c r="J1107" s="121">
        <v>80.0</v>
      </c>
      <c r="K1107" s="121">
        <v>5.0</v>
      </c>
      <c r="L1107" s="69" t="s">
        <v>57</v>
      </c>
      <c r="M1107" s="69"/>
      <c r="N1107" s="69"/>
      <c r="O1107" s="69" t="s">
        <v>328</v>
      </c>
      <c r="P1107" s="122" t="s">
        <v>2012</v>
      </c>
      <c r="Q1107" s="69"/>
      <c r="R1107" s="59"/>
      <c r="S1107" s="88"/>
      <c r="T1107" s="65"/>
      <c r="U1107" s="88"/>
      <c r="V1107" s="65"/>
    </row>
    <row r="1108">
      <c r="A1108" s="74" t="s">
        <v>2728</v>
      </c>
      <c r="B1108" s="75" t="s">
        <v>35</v>
      </c>
      <c r="C1108" s="75" t="s">
        <v>36</v>
      </c>
      <c r="D1108" s="76" t="str">
        <f t="shared" si="19"/>
        <v>Removed</v>
      </c>
      <c r="E1108" s="90">
        <v>44845.0</v>
      </c>
      <c r="F1108" s="105">
        <v>45214.0</v>
      </c>
      <c r="G1108" s="79">
        <f t="shared" si="2"/>
        <v>12.13333333</v>
      </c>
      <c r="H1108" s="90">
        <v>44845.0</v>
      </c>
      <c r="I1108" s="79">
        <f t="shared" si="3"/>
        <v>0</v>
      </c>
      <c r="J1108" s="106">
        <v>71.0</v>
      </c>
      <c r="K1108" s="106">
        <v>8.0</v>
      </c>
      <c r="L1108" s="82" t="s">
        <v>41</v>
      </c>
      <c r="M1108" s="82"/>
      <c r="N1108" s="82"/>
      <c r="O1108" s="82" t="s">
        <v>328</v>
      </c>
      <c r="P1108" s="107" t="s">
        <v>1491</v>
      </c>
      <c r="Q1108" s="82"/>
      <c r="R1108" s="76"/>
      <c r="S1108" s="90"/>
      <c r="T1108" s="79"/>
      <c r="U1108" s="90"/>
      <c r="V1108" s="79"/>
    </row>
    <row r="1109">
      <c r="A1109" s="53" t="s">
        <v>2729</v>
      </c>
      <c r="B1109" s="54" t="s">
        <v>13</v>
      </c>
      <c r="C1109" s="54"/>
      <c r="D1109" s="59" t="str">
        <f t="shared" si="19"/>
        <v>Removed</v>
      </c>
      <c r="E1109" s="88">
        <v>44777.0</v>
      </c>
      <c r="F1109" s="120">
        <v>45214.0</v>
      </c>
      <c r="G1109" s="65">
        <f t="shared" si="2"/>
        <v>14.36666667</v>
      </c>
      <c r="H1109" s="88">
        <v>42649.0</v>
      </c>
      <c r="I1109" s="65">
        <f t="shared" si="3"/>
        <v>5.827777778</v>
      </c>
      <c r="J1109" s="121">
        <v>88.0</v>
      </c>
      <c r="K1109" s="121">
        <v>25.0</v>
      </c>
      <c r="L1109" s="69" t="s">
        <v>96</v>
      </c>
      <c r="M1109" s="69"/>
      <c r="N1109" s="69"/>
      <c r="O1109" s="69" t="s">
        <v>328</v>
      </c>
      <c r="P1109" s="122" t="s">
        <v>2730</v>
      </c>
      <c r="Q1109" s="69"/>
      <c r="R1109" s="54"/>
      <c r="S1109" s="88"/>
      <c r="T1109" s="65"/>
      <c r="U1109" s="88"/>
      <c r="V1109" s="65"/>
    </row>
    <row r="1110">
      <c r="A1110" s="74" t="s">
        <v>2731</v>
      </c>
      <c r="B1110" s="75" t="s">
        <v>13</v>
      </c>
      <c r="C1110" s="75"/>
      <c r="D1110" s="76" t="str">
        <f t="shared" si="19"/>
        <v>Removed</v>
      </c>
      <c r="E1110" s="90">
        <v>44756.0</v>
      </c>
      <c r="F1110" s="105">
        <v>45214.0</v>
      </c>
      <c r="G1110" s="79">
        <f t="shared" si="2"/>
        <v>15.03333333</v>
      </c>
      <c r="H1110" s="90">
        <v>43292.0</v>
      </c>
      <c r="I1110" s="79">
        <f t="shared" si="3"/>
        <v>4.008333333</v>
      </c>
      <c r="J1110" s="106">
        <v>74.0</v>
      </c>
      <c r="K1110" s="106">
        <v>6.0</v>
      </c>
      <c r="L1110" s="82" t="s">
        <v>57</v>
      </c>
      <c r="M1110" s="82"/>
      <c r="N1110" s="82"/>
      <c r="O1110" s="82" t="s">
        <v>1168</v>
      </c>
      <c r="P1110" s="107" t="s">
        <v>1396</v>
      </c>
      <c r="Q1110" s="82"/>
      <c r="R1110" s="75"/>
      <c r="S1110" s="90"/>
      <c r="T1110" s="79"/>
      <c r="U1110" s="90"/>
      <c r="V1110" s="79"/>
    </row>
    <row r="1111">
      <c r="A1111" s="53" t="s">
        <v>2732</v>
      </c>
      <c r="B1111" s="54" t="s">
        <v>35</v>
      </c>
      <c r="C1111" s="54" t="s">
        <v>36</v>
      </c>
      <c r="D1111" s="59" t="str">
        <f t="shared" si="19"/>
        <v>Removed</v>
      </c>
      <c r="E1111" s="88">
        <v>44686.0</v>
      </c>
      <c r="F1111" s="120">
        <v>45214.0</v>
      </c>
      <c r="G1111" s="65">
        <f t="shared" si="2"/>
        <v>17.33333333</v>
      </c>
      <c r="H1111" s="88">
        <v>44686.0</v>
      </c>
      <c r="I1111" s="65">
        <f t="shared" si="3"/>
        <v>0</v>
      </c>
      <c r="J1111" s="121">
        <v>72.0</v>
      </c>
      <c r="K1111" s="121">
        <v>5.0</v>
      </c>
      <c r="L1111" s="69" t="s">
        <v>105</v>
      </c>
      <c r="M1111" s="69"/>
      <c r="N1111" s="69"/>
      <c r="O1111" s="69" t="s">
        <v>107</v>
      </c>
      <c r="P1111" s="122" t="s">
        <v>108</v>
      </c>
      <c r="Q1111" s="69"/>
      <c r="R1111" s="59"/>
      <c r="S1111" s="88"/>
      <c r="T1111" s="65"/>
      <c r="U1111" s="88"/>
      <c r="V1111" s="65"/>
    </row>
    <row r="1112">
      <c r="A1112" s="74" t="s">
        <v>2733</v>
      </c>
      <c r="B1112" s="75" t="s">
        <v>35</v>
      </c>
      <c r="C1112" s="75" t="s">
        <v>100</v>
      </c>
      <c r="D1112" s="76" t="str">
        <f t="shared" si="19"/>
        <v>Removed</v>
      </c>
      <c r="E1112" s="90">
        <v>44670.0</v>
      </c>
      <c r="F1112" s="105">
        <v>45214.0</v>
      </c>
      <c r="G1112" s="79">
        <f t="shared" si="2"/>
        <v>17.86666667</v>
      </c>
      <c r="H1112" s="90">
        <v>44308.0</v>
      </c>
      <c r="I1112" s="79">
        <f t="shared" si="3"/>
        <v>0.9916666667</v>
      </c>
      <c r="J1112" s="106">
        <v>72.0</v>
      </c>
      <c r="K1112" s="106">
        <v>2.0</v>
      </c>
      <c r="L1112" s="82" t="s">
        <v>41</v>
      </c>
      <c r="M1112" s="82"/>
      <c r="N1112" s="82"/>
      <c r="O1112" s="82" t="s">
        <v>1168</v>
      </c>
      <c r="P1112" s="107" t="s">
        <v>2734</v>
      </c>
      <c r="Q1112" s="82"/>
      <c r="R1112" s="76"/>
      <c r="S1112" s="90"/>
      <c r="T1112" s="79"/>
      <c r="U1112" s="90"/>
      <c r="V1112" s="79"/>
    </row>
    <row r="1113">
      <c r="A1113" s="53" t="s">
        <v>2735</v>
      </c>
      <c r="B1113" s="54" t="s">
        <v>35</v>
      </c>
      <c r="C1113" s="54" t="s">
        <v>36</v>
      </c>
      <c r="D1113" s="59" t="str">
        <f t="shared" si="19"/>
        <v>Removed</v>
      </c>
      <c r="E1113" s="88">
        <v>44833.0</v>
      </c>
      <c r="F1113" s="120">
        <v>45199.0</v>
      </c>
      <c r="G1113" s="65">
        <f t="shared" si="2"/>
        <v>12.03333333</v>
      </c>
      <c r="H1113" s="88">
        <v>44833.0</v>
      </c>
      <c r="I1113" s="65">
        <f t="shared" si="3"/>
        <v>0</v>
      </c>
      <c r="J1113" s="121">
        <v>80.0</v>
      </c>
      <c r="K1113" s="121">
        <v>9.5</v>
      </c>
      <c r="L1113" s="69" t="s">
        <v>81</v>
      </c>
      <c r="M1113" s="69"/>
      <c r="N1113" s="69"/>
      <c r="O1113" s="69" t="s">
        <v>328</v>
      </c>
      <c r="P1113" s="122" t="s">
        <v>1719</v>
      </c>
      <c r="Q1113" s="69"/>
      <c r="R1113" s="59"/>
      <c r="S1113" s="88"/>
      <c r="T1113" s="65"/>
      <c r="U1113" s="88"/>
      <c r="V1113" s="65"/>
    </row>
    <row r="1114">
      <c r="A1114" s="74" t="s">
        <v>2736</v>
      </c>
      <c r="B1114" s="75" t="s">
        <v>35</v>
      </c>
      <c r="C1114" s="75" t="s">
        <v>36</v>
      </c>
      <c r="D1114" s="76" t="str">
        <f t="shared" si="19"/>
        <v>Removed</v>
      </c>
      <c r="E1114" s="90">
        <v>44831.0</v>
      </c>
      <c r="F1114" s="105">
        <v>45199.0</v>
      </c>
      <c r="G1114" s="79">
        <f t="shared" si="2"/>
        <v>12.1</v>
      </c>
      <c r="H1114" s="90">
        <v>44831.0</v>
      </c>
      <c r="I1114" s="79">
        <f t="shared" si="3"/>
        <v>0</v>
      </c>
      <c r="J1114" s="106">
        <v>76.0</v>
      </c>
      <c r="K1114" s="106">
        <v>8.5</v>
      </c>
      <c r="L1114" s="82" t="s">
        <v>41</v>
      </c>
      <c r="M1114" s="82"/>
      <c r="N1114" s="82"/>
      <c r="O1114" s="82" t="s">
        <v>328</v>
      </c>
      <c r="P1114" s="107" t="s">
        <v>2715</v>
      </c>
      <c r="Q1114" s="82"/>
      <c r="R1114" s="76"/>
      <c r="S1114" s="90"/>
      <c r="T1114" s="79"/>
      <c r="U1114" s="90"/>
      <c r="V1114" s="79"/>
    </row>
    <row r="1115">
      <c r="A1115" s="176" t="s">
        <v>2737</v>
      </c>
      <c r="B1115" s="177" t="s">
        <v>35</v>
      </c>
      <c r="C1115" s="54" t="s">
        <v>36</v>
      </c>
      <c r="D1115" s="177" t="str">
        <f t="shared" si="19"/>
        <v>Removed</v>
      </c>
      <c r="E1115" s="202">
        <v>44826.0</v>
      </c>
      <c r="F1115" s="120">
        <v>45199.0</v>
      </c>
      <c r="G1115" s="65">
        <f t="shared" si="2"/>
        <v>12.26666667</v>
      </c>
      <c r="H1115" s="202">
        <v>44826.0</v>
      </c>
      <c r="I1115" s="65">
        <f t="shared" si="3"/>
        <v>0</v>
      </c>
      <c r="J1115" s="270">
        <v>83.0</v>
      </c>
      <c r="K1115" s="121">
        <v>5.0</v>
      </c>
      <c r="L1115" s="181" t="s">
        <v>135</v>
      </c>
      <c r="M1115" s="175"/>
      <c r="N1115" s="175"/>
      <c r="O1115" s="181" t="s">
        <v>328</v>
      </c>
      <c r="P1115" s="181" t="s">
        <v>2738</v>
      </c>
      <c r="Q1115" s="175"/>
      <c r="R1115" s="59"/>
      <c r="S1115" s="88"/>
      <c r="T1115" s="65"/>
      <c r="U1115" s="88"/>
      <c r="V1115" s="65"/>
    </row>
    <row r="1116">
      <c r="A1116" s="74" t="s">
        <v>2739</v>
      </c>
      <c r="B1116" s="75" t="s">
        <v>13</v>
      </c>
      <c r="C1116" s="75"/>
      <c r="D1116" s="76" t="str">
        <f t="shared" si="19"/>
        <v>Removed</v>
      </c>
      <c r="E1116" s="90">
        <v>44747.0</v>
      </c>
      <c r="F1116" s="105">
        <v>45199.0</v>
      </c>
      <c r="G1116" s="79">
        <f t="shared" si="2"/>
        <v>14.83333333</v>
      </c>
      <c r="H1116" s="90">
        <v>44747.0</v>
      </c>
      <c r="I1116" s="79">
        <f t="shared" si="3"/>
        <v>0</v>
      </c>
      <c r="J1116" s="106">
        <v>80.0</v>
      </c>
      <c r="K1116" s="106">
        <v>64.5</v>
      </c>
      <c r="L1116" s="82" t="s">
        <v>81</v>
      </c>
      <c r="M1116" s="82"/>
      <c r="N1116" s="82"/>
      <c r="O1116" s="82" t="s">
        <v>328</v>
      </c>
      <c r="P1116" s="107"/>
      <c r="Q1116" s="82"/>
      <c r="R1116" s="75"/>
      <c r="S1116" s="90"/>
      <c r="T1116" s="79"/>
      <c r="U1116" s="90"/>
      <c r="V1116" s="79"/>
    </row>
    <row r="1117">
      <c r="A1117" s="53" t="s">
        <v>2740</v>
      </c>
      <c r="B1117" s="54" t="s">
        <v>35</v>
      </c>
      <c r="C1117" s="54" t="s">
        <v>36</v>
      </c>
      <c r="D1117" s="59" t="str">
        <f t="shared" si="19"/>
        <v>Removed</v>
      </c>
      <c r="E1117" s="88">
        <v>44651.0</v>
      </c>
      <c r="F1117" s="120">
        <v>45199.0</v>
      </c>
      <c r="G1117" s="65">
        <f t="shared" si="2"/>
        <v>18</v>
      </c>
      <c r="H1117" s="88">
        <v>44651.0</v>
      </c>
      <c r="I1117" s="65">
        <f t="shared" si="3"/>
        <v>0</v>
      </c>
      <c r="J1117" s="121">
        <f>average(78,81)</f>
        <v>79.5</v>
      </c>
      <c r="K1117" s="121">
        <v>21.0</v>
      </c>
      <c r="L1117" s="69" t="s">
        <v>46</v>
      </c>
      <c r="M1117" s="69"/>
      <c r="N1117" s="69" t="s">
        <v>2741</v>
      </c>
      <c r="O1117" s="69" t="s">
        <v>107</v>
      </c>
      <c r="P1117" s="122" t="s">
        <v>2375</v>
      </c>
      <c r="Q1117" s="69"/>
      <c r="R1117" s="59"/>
      <c r="S1117" s="88"/>
      <c r="T1117" s="65"/>
      <c r="U1117" s="88"/>
      <c r="V1117" s="65"/>
    </row>
    <row r="1118">
      <c r="A1118" s="74" t="s">
        <v>2742</v>
      </c>
      <c r="B1118" s="75" t="s">
        <v>35</v>
      </c>
      <c r="C1118" s="75" t="s">
        <v>36</v>
      </c>
      <c r="D1118" s="76" t="str">
        <f t="shared" si="19"/>
        <v>Removed</v>
      </c>
      <c r="E1118" s="90">
        <v>44371.0</v>
      </c>
      <c r="F1118" s="105">
        <v>45199.0</v>
      </c>
      <c r="G1118" s="79">
        <f t="shared" si="2"/>
        <v>27.2</v>
      </c>
      <c r="H1118" s="90">
        <v>44144.0</v>
      </c>
      <c r="I1118" s="79">
        <f t="shared" si="3"/>
        <v>0.625</v>
      </c>
      <c r="J1118" s="106">
        <f>(75+96)/2</f>
        <v>85.5</v>
      </c>
      <c r="K1118" s="106">
        <v>5.5</v>
      </c>
      <c r="L1118" s="82" t="s">
        <v>37</v>
      </c>
      <c r="M1118" s="82"/>
      <c r="N1118" s="82" t="s">
        <v>2743</v>
      </c>
      <c r="O1118" s="82" t="s">
        <v>107</v>
      </c>
      <c r="P1118" s="107" t="s">
        <v>1803</v>
      </c>
      <c r="Q1118" s="82"/>
      <c r="R1118" s="76"/>
      <c r="S1118" s="90"/>
      <c r="T1118" s="79"/>
      <c r="U1118" s="90"/>
      <c r="V1118" s="79"/>
    </row>
    <row r="1119">
      <c r="A1119" s="53" t="s">
        <v>2099</v>
      </c>
      <c r="B1119" s="54" t="s">
        <v>35</v>
      </c>
      <c r="C1119" s="54" t="s">
        <v>36</v>
      </c>
      <c r="D1119" s="59" t="str">
        <f t="shared" si="19"/>
        <v>Removed</v>
      </c>
      <c r="E1119" s="88">
        <v>44287.0</v>
      </c>
      <c r="F1119" s="120">
        <v>45199.0</v>
      </c>
      <c r="G1119" s="65">
        <f t="shared" si="2"/>
        <v>29.96666667</v>
      </c>
      <c r="H1119" s="88">
        <v>44287.0</v>
      </c>
      <c r="I1119" s="65">
        <f t="shared" si="3"/>
        <v>0</v>
      </c>
      <c r="J1119" s="121">
        <v>78.0</v>
      </c>
      <c r="K1119" s="121">
        <v>15.0</v>
      </c>
      <c r="L1119" s="69" t="s">
        <v>46</v>
      </c>
      <c r="M1119" s="69" t="s">
        <v>326</v>
      </c>
      <c r="N1119" s="69" t="s">
        <v>2744</v>
      </c>
      <c r="O1119" s="69" t="s">
        <v>107</v>
      </c>
      <c r="P1119" s="122" t="s">
        <v>1947</v>
      </c>
      <c r="Q1119" s="69"/>
      <c r="R1119" s="59"/>
      <c r="S1119" s="88"/>
      <c r="T1119" s="65"/>
      <c r="U1119" s="88"/>
      <c r="V1119" s="65"/>
    </row>
    <row r="1120">
      <c r="A1120" s="74" t="s">
        <v>2745</v>
      </c>
      <c r="B1120" s="75" t="s">
        <v>35</v>
      </c>
      <c r="C1120" s="75" t="s">
        <v>36</v>
      </c>
      <c r="D1120" s="76" t="str">
        <f t="shared" si="19"/>
        <v>Removed</v>
      </c>
      <c r="E1120" s="90">
        <v>45001.0</v>
      </c>
      <c r="F1120" s="105">
        <v>45184.0</v>
      </c>
      <c r="G1120" s="79">
        <f t="shared" si="2"/>
        <v>5.966666667</v>
      </c>
      <c r="H1120" s="90">
        <v>42664.0</v>
      </c>
      <c r="I1120" s="79">
        <f t="shared" si="3"/>
        <v>6.402777778</v>
      </c>
      <c r="J1120" s="106">
        <v>87.0</v>
      </c>
      <c r="K1120" s="106">
        <v>23.0</v>
      </c>
      <c r="L1120" s="82" t="s">
        <v>81</v>
      </c>
      <c r="M1120" s="82"/>
      <c r="N1120" s="82"/>
      <c r="O1120" s="82" t="s">
        <v>1168</v>
      </c>
      <c r="P1120" s="107" t="s">
        <v>2746</v>
      </c>
      <c r="Q1120" s="82"/>
      <c r="R1120" s="76"/>
      <c r="S1120" s="90"/>
      <c r="T1120" s="79"/>
      <c r="U1120" s="90"/>
      <c r="V1120" s="79"/>
    </row>
    <row r="1121">
      <c r="A1121" s="53" t="s">
        <v>2747</v>
      </c>
      <c r="B1121" s="54" t="s">
        <v>35</v>
      </c>
      <c r="C1121" s="54" t="s">
        <v>100</v>
      </c>
      <c r="D1121" s="59" t="str">
        <f t="shared" si="19"/>
        <v>Removed</v>
      </c>
      <c r="E1121" s="88">
        <v>44819.0</v>
      </c>
      <c r="F1121" s="120">
        <v>45184.0</v>
      </c>
      <c r="G1121" s="65">
        <f t="shared" si="2"/>
        <v>12</v>
      </c>
      <c r="H1121" s="88">
        <v>42747.0</v>
      </c>
      <c r="I1121" s="65">
        <f t="shared" si="3"/>
        <v>5.675</v>
      </c>
      <c r="J1121" s="121">
        <v>80.0</v>
      </c>
      <c r="K1121" s="121">
        <v>39.0</v>
      </c>
      <c r="L1121" s="69" t="s">
        <v>37</v>
      </c>
      <c r="M1121" s="69"/>
      <c r="N1121" s="69"/>
      <c r="O1121" s="69" t="s">
        <v>107</v>
      </c>
      <c r="P1121" s="122" t="s">
        <v>2748</v>
      </c>
      <c r="Q1121" s="69"/>
      <c r="R1121" s="59"/>
      <c r="S1121" s="88"/>
      <c r="T1121" s="65"/>
      <c r="U1121" s="88"/>
      <c r="V1121" s="65"/>
    </row>
    <row r="1122">
      <c r="A1122" s="74" t="s">
        <v>2749</v>
      </c>
      <c r="B1122" s="75" t="s">
        <v>35</v>
      </c>
      <c r="C1122" s="75" t="s">
        <v>100</v>
      </c>
      <c r="D1122" s="76" t="str">
        <f t="shared" si="19"/>
        <v>Removed</v>
      </c>
      <c r="E1122" s="90">
        <v>44819.0</v>
      </c>
      <c r="F1122" s="105">
        <v>45184.0</v>
      </c>
      <c r="G1122" s="79">
        <f t="shared" si="2"/>
        <v>12</v>
      </c>
      <c r="H1122" s="90">
        <v>44405.0</v>
      </c>
      <c r="I1122" s="79">
        <f t="shared" si="3"/>
        <v>1.130555556</v>
      </c>
      <c r="J1122" s="106">
        <v>87.0</v>
      </c>
      <c r="K1122" s="106">
        <v>19.5</v>
      </c>
      <c r="L1122" s="82" t="s">
        <v>46</v>
      </c>
      <c r="M1122" s="82"/>
      <c r="N1122" s="82"/>
      <c r="O1122" s="82" t="s">
        <v>328</v>
      </c>
      <c r="P1122" s="107" t="s">
        <v>2750</v>
      </c>
      <c r="Q1122" s="82"/>
      <c r="R1122" s="76"/>
      <c r="S1122" s="90"/>
      <c r="T1122" s="79"/>
      <c r="U1122" s="90"/>
      <c r="V1122" s="79"/>
    </row>
    <row r="1123">
      <c r="A1123" s="53" t="s">
        <v>2751</v>
      </c>
      <c r="B1123" s="54" t="s">
        <v>35</v>
      </c>
      <c r="C1123" s="54" t="s">
        <v>36</v>
      </c>
      <c r="D1123" s="59" t="str">
        <f t="shared" si="19"/>
        <v>Removed</v>
      </c>
      <c r="E1123" s="88">
        <v>44819.0</v>
      </c>
      <c r="F1123" s="120">
        <v>45184.0</v>
      </c>
      <c r="G1123" s="65">
        <f t="shared" si="2"/>
        <v>12</v>
      </c>
      <c r="H1123" s="88">
        <v>44819.0</v>
      </c>
      <c r="I1123" s="65">
        <f t="shared" si="3"/>
        <v>0</v>
      </c>
      <c r="J1123" s="121">
        <v>79.0</v>
      </c>
      <c r="K1123" s="121">
        <v>6.0</v>
      </c>
      <c r="L1123" s="69" t="s">
        <v>37</v>
      </c>
      <c r="M1123" s="69"/>
      <c r="N1123" s="69" t="s">
        <v>2752</v>
      </c>
      <c r="O1123" s="69" t="s">
        <v>328</v>
      </c>
      <c r="P1123" s="122" t="s">
        <v>2753</v>
      </c>
      <c r="Q1123" s="69" t="s">
        <v>1570</v>
      </c>
      <c r="R1123" s="59"/>
      <c r="S1123" s="88"/>
      <c r="T1123" s="65"/>
      <c r="U1123" s="88"/>
      <c r="V1123" s="65"/>
    </row>
    <row r="1124">
      <c r="A1124" s="74" t="s">
        <v>2754</v>
      </c>
      <c r="B1124" s="75" t="s">
        <v>13</v>
      </c>
      <c r="C1124" s="75"/>
      <c r="D1124" s="76" t="str">
        <f t="shared" si="19"/>
        <v>Removed</v>
      </c>
      <c r="E1124" s="90">
        <v>44818.0</v>
      </c>
      <c r="F1124" s="105">
        <v>45184.0</v>
      </c>
      <c r="G1124" s="79">
        <f t="shared" si="2"/>
        <v>12.03333333</v>
      </c>
      <c r="H1124" s="90">
        <v>43476.0</v>
      </c>
      <c r="I1124" s="79">
        <f t="shared" si="3"/>
        <v>3.675</v>
      </c>
      <c r="J1124" s="106">
        <v>73.0</v>
      </c>
      <c r="K1124" s="106">
        <v>100.0</v>
      </c>
      <c r="L1124" s="82" t="s">
        <v>64</v>
      </c>
      <c r="M1124" s="82"/>
      <c r="N1124" s="82"/>
      <c r="O1124" s="82" t="s">
        <v>1168</v>
      </c>
      <c r="P1124" s="107" t="s">
        <v>2556</v>
      </c>
      <c r="Q1124" s="82"/>
      <c r="R1124" s="75"/>
      <c r="S1124" s="90"/>
      <c r="T1124" s="79"/>
      <c r="U1124" s="90"/>
      <c r="V1124" s="79"/>
    </row>
    <row r="1125">
      <c r="A1125" s="53" t="s">
        <v>2755</v>
      </c>
      <c r="B1125" s="54" t="s">
        <v>35</v>
      </c>
      <c r="C1125" s="54" t="s">
        <v>100</v>
      </c>
      <c r="D1125" s="59" t="str">
        <f t="shared" si="19"/>
        <v>Removed</v>
      </c>
      <c r="E1125" s="88">
        <v>44817.0</v>
      </c>
      <c r="F1125" s="120">
        <v>45184.0</v>
      </c>
      <c r="G1125" s="65">
        <f t="shared" si="2"/>
        <v>12.06666667</v>
      </c>
      <c r="H1125" s="88">
        <v>44757.0</v>
      </c>
      <c r="I1125" s="65">
        <f t="shared" si="3"/>
        <v>0.1611111111</v>
      </c>
      <c r="J1125" s="121">
        <v>60.0</v>
      </c>
      <c r="K1125" s="121">
        <v>3.0</v>
      </c>
      <c r="L1125" s="69" t="s">
        <v>41</v>
      </c>
      <c r="M1125" s="69"/>
      <c r="N1125" s="69"/>
      <c r="O1125" s="69" t="s">
        <v>1168</v>
      </c>
      <c r="P1125" s="122" t="s">
        <v>1396</v>
      </c>
      <c r="Q1125" s="69"/>
      <c r="R1125" s="59"/>
      <c r="S1125" s="88"/>
      <c r="T1125" s="65"/>
      <c r="U1125" s="88"/>
      <c r="V1125" s="65"/>
    </row>
    <row r="1126">
      <c r="A1126" s="74" t="s">
        <v>2756</v>
      </c>
      <c r="B1126" s="75" t="s">
        <v>35</v>
      </c>
      <c r="C1126" s="75"/>
      <c r="D1126" s="76" t="str">
        <f t="shared" si="19"/>
        <v>Removed</v>
      </c>
      <c r="E1126" s="90">
        <v>44810.0</v>
      </c>
      <c r="F1126" s="105">
        <v>45184.0</v>
      </c>
      <c r="G1126" s="79">
        <f t="shared" si="2"/>
        <v>12.3</v>
      </c>
      <c r="H1126" s="90">
        <v>44810.0</v>
      </c>
      <c r="I1126" s="79">
        <f t="shared" si="3"/>
        <v>0</v>
      </c>
      <c r="J1126" s="106">
        <v>78.0</v>
      </c>
      <c r="K1126" s="106">
        <v>466.0</v>
      </c>
      <c r="L1126" s="82" t="s">
        <v>64</v>
      </c>
      <c r="M1126" s="82"/>
      <c r="N1126" s="82"/>
      <c r="O1126" s="82" t="s">
        <v>1219</v>
      </c>
      <c r="P1126" s="107"/>
      <c r="Q1126" s="82"/>
      <c r="R1126" s="76"/>
      <c r="S1126" s="90"/>
      <c r="T1126" s="79"/>
      <c r="U1126" s="90"/>
      <c r="V1126" s="79"/>
    </row>
    <row r="1127">
      <c r="A1127" s="53" t="s">
        <v>2757</v>
      </c>
      <c r="B1127" s="54" t="s">
        <v>35</v>
      </c>
      <c r="C1127" s="54" t="s">
        <v>100</v>
      </c>
      <c r="D1127" s="59" t="str">
        <f t="shared" si="19"/>
        <v>Removed</v>
      </c>
      <c r="E1127" s="88">
        <v>44642.0</v>
      </c>
      <c r="F1127" s="120">
        <v>45184.0</v>
      </c>
      <c r="G1127" s="65">
        <f t="shared" si="2"/>
        <v>17.76666667</v>
      </c>
      <c r="H1127" s="88">
        <v>44000.0</v>
      </c>
      <c r="I1127" s="65">
        <f t="shared" si="3"/>
        <v>1.761111111</v>
      </c>
      <c r="J1127" s="121">
        <v>82.0</v>
      </c>
      <c r="K1127" s="121">
        <v>13.5</v>
      </c>
      <c r="L1127" s="69" t="s">
        <v>46</v>
      </c>
      <c r="M1127" s="69"/>
      <c r="N1127" s="69"/>
      <c r="O1127" s="69" t="s">
        <v>107</v>
      </c>
      <c r="P1127" s="122" t="s">
        <v>2659</v>
      </c>
      <c r="Q1127" s="69"/>
      <c r="R1127" s="59"/>
      <c r="S1127" s="88"/>
      <c r="T1127" s="65"/>
      <c r="U1127" s="88"/>
      <c r="V1127" s="65"/>
    </row>
    <row r="1128">
      <c r="A1128" s="74" t="s">
        <v>2110</v>
      </c>
      <c r="B1128" s="75" t="s">
        <v>35</v>
      </c>
      <c r="C1128" s="75" t="s">
        <v>100</v>
      </c>
      <c r="D1128" s="76" t="str">
        <f t="shared" si="19"/>
        <v>Removed</v>
      </c>
      <c r="E1128" s="90">
        <v>44456.0</v>
      </c>
      <c r="F1128" s="105">
        <v>45184.0</v>
      </c>
      <c r="G1128" s="79">
        <f t="shared" si="2"/>
        <v>23.93333333</v>
      </c>
      <c r="H1128" s="90">
        <v>44456.0</v>
      </c>
      <c r="I1128" s="79">
        <f t="shared" si="3"/>
        <v>0</v>
      </c>
      <c r="J1128" s="106">
        <f>(65+73)/2</f>
        <v>69</v>
      </c>
      <c r="K1128" s="106">
        <v>13.5</v>
      </c>
      <c r="L1128" s="82" t="s">
        <v>105</v>
      </c>
      <c r="M1128" s="82"/>
      <c r="N1128" s="82"/>
      <c r="O1128" s="82" t="s">
        <v>107</v>
      </c>
      <c r="P1128" s="107" t="s">
        <v>1491</v>
      </c>
      <c r="Q1128" s="82"/>
      <c r="R1128" s="76"/>
      <c r="S1128" s="90"/>
      <c r="T1128" s="79"/>
      <c r="U1128" s="90"/>
      <c r="V1128" s="79"/>
    </row>
    <row r="1129">
      <c r="A1129" s="53" t="s">
        <v>2758</v>
      </c>
      <c r="B1129" s="54" t="s">
        <v>2759</v>
      </c>
      <c r="C1129" s="59"/>
      <c r="D1129" s="59" t="s">
        <v>2760</v>
      </c>
      <c r="E1129" s="133">
        <v>45139.0</v>
      </c>
      <c r="F1129" s="61">
        <v>45169.0</v>
      </c>
      <c r="G1129" s="65">
        <f t="shared" si="2"/>
        <v>0.9666666667</v>
      </c>
      <c r="H1129" s="88">
        <v>44231.0</v>
      </c>
      <c r="I1129" s="65">
        <f t="shared" si="3"/>
        <v>2.491666667</v>
      </c>
      <c r="J1129" s="121">
        <v>71.0</v>
      </c>
      <c r="K1129" s="121">
        <v>10.0</v>
      </c>
      <c r="L1129" s="69" t="s">
        <v>41</v>
      </c>
      <c r="M1129" s="69"/>
      <c r="N1129" s="69" t="s">
        <v>2761</v>
      </c>
      <c r="O1129" s="69"/>
      <c r="P1129" s="122"/>
      <c r="Q1129" s="69"/>
      <c r="R1129" s="59"/>
      <c r="S1129" s="88"/>
      <c r="T1129" s="65"/>
      <c r="U1129" s="88"/>
      <c r="V1129" s="65"/>
    </row>
    <row r="1130">
      <c r="A1130" s="74" t="s">
        <v>2762</v>
      </c>
      <c r="B1130" s="75" t="s">
        <v>2759</v>
      </c>
      <c r="C1130" s="76"/>
      <c r="D1130" s="76" t="s">
        <v>2760</v>
      </c>
      <c r="E1130" s="218">
        <v>45139.0</v>
      </c>
      <c r="F1130" s="77">
        <v>45169.0</v>
      </c>
      <c r="G1130" s="79">
        <f t="shared" si="2"/>
        <v>0.9666666667</v>
      </c>
      <c r="H1130" s="90">
        <v>44085.0</v>
      </c>
      <c r="I1130" s="79">
        <f t="shared" si="3"/>
        <v>2.888888889</v>
      </c>
      <c r="J1130" s="106">
        <v>77.0</v>
      </c>
      <c r="K1130" s="106">
        <v>2.0</v>
      </c>
      <c r="L1130" s="82" t="s">
        <v>55</v>
      </c>
      <c r="M1130" s="82" t="s">
        <v>72</v>
      </c>
      <c r="N1130" s="82" t="s">
        <v>2761</v>
      </c>
      <c r="O1130" s="82"/>
      <c r="P1130" s="107"/>
      <c r="Q1130" s="82"/>
      <c r="R1130" s="76"/>
      <c r="S1130" s="90"/>
      <c r="T1130" s="79"/>
      <c r="U1130" s="90"/>
      <c r="V1130" s="79"/>
    </row>
    <row r="1131">
      <c r="A1131" s="53" t="s">
        <v>2763</v>
      </c>
      <c r="B1131" s="54" t="s">
        <v>35</v>
      </c>
      <c r="C1131" s="54" t="s">
        <v>36</v>
      </c>
      <c r="D1131" s="59" t="str">
        <f t="shared" ref="D1131:D1136" si="59">IF(E1131&gt;TODAY(),"Coming Soon",IF(F1131="","Active",IF(F1131&gt;TODAY(),"Leaving Soon","Removed")))</f>
        <v>Removed</v>
      </c>
      <c r="E1131" s="88">
        <v>44803.0</v>
      </c>
      <c r="F1131" s="120">
        <v>45169.0</v>
      </c>
      <c r="G1131" s="65">
        <f t="shared" si="2"/>
        <v>12</v>
      </c>
      <c r="H1131" s="88">
        <v>44803.0</v>
      </c>
      <c r="I1131" s="65">
        <f t="shared" si="3"/>
        <v>0</v>
      </c>
      <c r="J1131" s="121">
        <v>60.0</v>
      </c>
      <c r="K1131" s="121">
        <v>10.0</v>
      </c>
      <c r="L1131" s="69" t="s">
        <v>1726</v>
      </c>
      <c r="M1131" s="69"/>
      <c r="N1131" s="69"/>
      <c r="O1131" s="69" t="s">
        <v>328</v>
      </c>
      <c r="P1131" s="122" t="s">
        <v>2764</v>
      </c>
      <c r="Q1131" s="69" t="s">
        <v>2765</v>
      </c>
      <c r="R1131" s="59"/>
      <c r="S1131" s="88"/>
      <c r="T1131" s="65"/>
      <c r="U1131" s="88"/>
      <c r="V1131" s="65"/>
    </row>
    <row r="1132">
      <c r="A1132" s="74" t="s">
        <v>2766</v>
      </c>
      <c r="B1132" s="75" t="s">
        <v>35</v>
      </c>
      <c r="C1132" s="75" t="s">
        <v>36</v>
      </c>
      <c r="D1132" s="76" t="str">
        <f t="shared" si="59"/>
        <v>Removed</v>
      </c>
      <c r="E1132" s="90">
        <v>44803.0</v>
      </c>
      <c r="F1132" s="105">
        <v>45169.0</v>
      </c>
      <c r="G1132" s="79">
        <f t="shared" si="2"/>
        <v>12</v>
      </c>
      <c r="H1132" s="90">
        <v>44803.0</v>
      </c>
      <c r="I1132" s="79">
        <f t="shared" si="3"/>
        <v>0</v>
      </c>
      <c r="J1132" s="106">
        <v>91.0</v>
      </c>
      <c r="K1132" s="106">
        <v>5.0</v>
      </c>
      <c r="L1132" s="82" t="s">
        <v>135</v>
      </c>
      <c r="M1132" s="82" t="s">
        <v>38</v>
      </c>
      <c r="N1132" s="82"/>
      <c r="O1132" s="82" t="s">
        <v>107</v>
      </c>
      <c r="P1132" s="107" t="s">
        <v>2767</v>
      </c>
      <c r="Q1132" s="82"/>
      <c r="R1132" s="76"/>
      <c r="S1132" s="90"/>
      <c r="T1132" s="79"/>
      <c r="U1132" s="90"/>
      <c r="V1132" s="79"/>
    </row>
    <row r="1133">
      <c r="A1133" s="53" t="s">
        <v>2768</v>
      </c>
      <c r="B1133" s="54" t="s">
        <v>35</v>
      </c>
      <c r="C1133" s="54"/>
      <c r="D1133" s="59" t="str">
        <f t="shared" si="59"/>
        <v>Removed</v>
      </c>
      <c r="E1133" s="88">
        <v>44803.0</v>
      </c>
      <c r="F1133" s="120">
        <v>45169.0</v>
      </c>
      <c r="G1133" s="65">
        <f t="shared" si="2"/>
        <v>12</v>
      </c>
      <c r="H1133" s="88">
        <v>44803.0</v>
      </c>
      <c r="I1133" s="65">
        <f t="shared" si="3"/>
        <v>0</v>
      </c>
      <c r="J1133" s="121">
        <v>81.0</v>
      </c>
      <c r="K1133" s="121">
        <v>6.0</v>
      </c>
      <c r="L1133" s="69" t="s">
        <v>57</v>
      </c>
      <c r="M1133" s="69"/>
      <c r="N1133" s="69"/>
      <c r="O1133" s="69" t="s">
        <v>1168</v>
      </c>
      <c r="P1133" s="122" t="s">
        <v>2769</v>
      </c>
      <c r="Q1133" s="69"/>
      <c r="R1133" s="59"/>
      <c r="S1133" s="88"/>
      <c r="T1133" s="65"/>
      <c r="U1133" s="88"/>
      <c r="V1133" s="65"/>
    </row>
    <row r="1134">
      <c r="A1134" s="74" t="s">
        <v>2770</v>
      </c>
      <c r="B1134" s="75" t="s">
        <v>35</v>
      </c>
      <c r="C1134" s="75" t="s">
        <v>36</v>
      </c>
      <c r="D1134" s="76" t="str">
        <f t="shared" si="59"/>
        <v>Removed</v>
      </c>
      <c r="E1134" s="90">
        <v>44448.0</v>
      </c>
      <c r="F1134" s="105">
        <v>45169.0</v>
      </c>
      <c r="G1134" s="79">
        <f t="shared" si="2"/>
        <v>23.7</v>
      </c>
      <c r="H1134" s="90">
        <v>42343.0</v>
      </c>
      <c r="I1134" s="79">
        <f t="shared" si="3"/>
        <v>5.761111111</v>
      </c>
      <c r="J1134" s="106">
        <v>89.0</v>
      </c>
      <c r="K1134" s="106">
        <v>15.5</v>
      </c>
      <c r="L1134" s="82" t="s">
        <v>37</v>
      </c>
      <c r="M1134" s="82"/>
      <c r="N1134" s="82"/>
      <c r="O1134" s="82" t="s">
        <v>1168</v>
      </c>
      <c r="P1134" s="107" t="s">
        <v>2405</v>
      </c>
      <c r="Q1134" s="82"/>
      <c r="R1134" s="76"/>
      <c r="S1134" s="90"/>
      <c r="T1134" s="79"/>
      <c r="U1134" s="90"/>
      <c r="V1134" s="79"/>
    </row>
    <row r="1135">
      <c r="A1135" s="53" t="s">
        <v>2771</v>
      </c>
      <c r="B1135" s="54" t="s">
        <v>35</v>
      </c>
      <c r="C1135" s="54" t="s">
        <v>36</v>
      </c>
      <c r="D1135" s="59" t="str">
        <f t="shared" si="59"/>
        <v>Removed</v>
      </c>
      <c r="E1135" s="88">
        <v>44441.0</v>
      </c>
      <c r="F1135" s="120">
        <v>45169.0</v>
      </c>
      <c r="G1135" s="65">
        <f t="shared" si="2"/>
        <v>23.93333333</v>
      </c>
      <c r="H1135" s="88">
        <v>44070.0</v>
      </c>
      <c r="I1135" s="65">
        <f t="shared" si="3"/>
        <v>1.013888889</v>
      </c>
      <c r="J1135" s="121">
        <v>69.0</v>
      </c>
      <c r="K1135" s="121">
        <v>4.0</v>
      </c>
      <c r="L1135" s="69" t="s">
        <v>64</v>
      </c>
      <c r="M1135" s="69"/>
      <c r="N1135" s="69"/>
      <c r="O1135" s="69" t="s">
        <v>107</v>
      </c>
      <c r="P1135" s="122" t="s">
        <v>1563</v>
      </c>
      <c r="Q1135" s="69"/>
      <c r="R1135" s="59"/>
      <c r="S1135" s="88"/>
      <c r="T1135" s="65"/>
      <c r="U1135" s="88"/>
      <c r="V1135" s="65"/>
    </row>
    <row r="1136">
      <c r="A1136" s="226" t="s">
        <v>2112</v>
      </c>
      <c r="B1136" s="75" t="s">
        <v>129</v>
      </c>
      <c r="C1136" s="75" t="s">
        <v>36</v>
      </c>
      <c r="D1136" s="76" t="str">
        <f t="shared" si="59"/>
        <v>Removed</v>
      </c>
      <c r="E1136" s="218">
        <v>43594.0</v>
      </c>
      <c r="F1136" s="105">
        <v>45169.0</v>
      </c>
      <c r="G1136" s="79">
        <f t="shared" si="2"/>
        <v>51.7</v>
      </c>
      <c r="H1136" s="90">
        <v>42432.0</v>
      </c>
      <c r="I1136" s="79">
        <f t="shared" si="3"/>
        <v>3.183333333</v>
      </c>
      <c r="J1136" s="216">
        <v>75.0</v>
      </c>
      <c r="K1136" s="106">
        <v>72.0</v>
      </c>
      <c r="L1136" s="83" t="s">
        <v>1994</v>
      </c>
      <c r="M1136" s="83"/>
      <c r="N1136" s="83"/>
      <c r="O1136" s="82" t="s">
        <v>328</v>
      </c>
      <c r="P1136" s="107" t="s">
        <v>1756</v>
      </c>
      <c r="Q1136" s="82"/>
      <c r="R1136" s="76"/>
      <c r="S1136" s="90"/>
      <c r="T1136" s="79"/>
      <c r="U1136" s="90"/>
      <c r="V1136" s="79"/>
    </row>
    <row r="1137">
      <c r="A1137" s="53" t="s">
        <v>2772</v>
      </c>
      <c r="B1137" s="54" t="s">
        <v>2759</v>
      </c>
      <c r="C1137" s="59"/>
      <c r="D1137" s="59" t="s">
        <v>2760</v>
      </c>
      <c r="E1137" s="133">
        <v>45123.0</v>
      </c>
      <c r="F1137" s="61">
        <v>45153.0</v>
      </c>
      <c r="G1137" s="65">
        <f t="shared" si="2"/>
        <v>0.9666666667</v>
      </c>
      <c r="H1137" s="88">
        <v>44225.0</v>
      </c>
      <c r="I1137" s="65">
        <f t="shared" si="3"/>
        <v>2.463888889</v>
      </c>
      <c r="J1137" s="121">
        <v>80.0</v>
      </c>
      <c r="K1137" s="121">
        <v>1.5</v>
      </c>
      <c r="L1137" s="69" t="s">
        <v>135</v>
      </c>
      <c r="M1137" s="69"/>
      <c r="N1137" s="69"/>
      <c r="O1137" s="69"/>
      <c r="P1137" s="122"/>
      <c r="Q1137" s="69"/>
      <c r="R1137" s="59"/>
      <c r="S1137" s="88"/>
      <c r="T1137" s="65"/>
      <c r="U1137" s="88"/>
      <c r="V1137" s="65"/>
    </row>
    <row r="1138">
      <c r="A1138" s="74" t="s">
        <v>2773</v>
      </c>
      <c r="B1138" s="75" t="s">
        <v>13</v>
      </c>
      <c r="C1138" s="75"/>
      <c r="D1138" s="76" t="str">
        <f t="shared" ref="D1138:D1141" si="60">IF(E1138&gt;TODAY(),"Coming Soon",IF(F1138="","Active",IF(F1138&gt;TODAY(),"Leaving Soon","Removed")))</f>
        <v>Removed</v>
      </c>
      <c r="E1138" s="90">
        <v>44796.0</v>
      </c>
      <c r="F1138" s="105">
        <v>45153.0</v>
      </c>
      <c r="G1138" s="79">
        <f t="shared" si="2"/>
        <v>11.73333333</v>
      </c>
      <c r="H1138" s="90">
        <v>43777.0</v>
      </c>
      <c r="I1138" s="79">
        <f t="shared" si="3"/>
        <v>2.791666667</v>
      </c>
      <c r="J1138" s="106">
        <v>86.0</v>
      </c>
      <c r="K1138" s="106">
        <v>40.5</v>
      </c>
      <c r="L1138" s="82" t="s">
        <v>41</v>
      </c>
      <c r="M1138" s="82"/>
      <c r="N1138" s="82"/>
      <c r="O1138" s="82" t="s">
        <v>107</v>
      </c>
      <c r="P1138" s="107" t="s">
        <v>2774</v>
      </c>
      <c r="Q1138" s="82"/>
      <c r="R1138" s="75"/>
      <c r="S1138" s="90"/>
      <c r="T1138" s="79"/>
      <c r="U1138" s="90"/>
      <c r="V1138" s="79"/>
    </row>
    <row r="1139">
      <c r="A1139" s="53" t="s">
        <v>2775</v>
      </c>
      <c r="B1139" s="54" t="s">
        <v>35</v>
      </c>
      <c r="C1139" s="54" t="s">
        <v>36</v>
      </c>
      <c r="D1139" s="59" t="str">
        <f t="shared" si="60"/>
        <v>Removed</v>
      </c>
      <c r="E1139" s="88">
        <v>44796.0</v>
      </c>
      <c r="F1139" s="120">
        <v>45153.0</v>
      </c>
      <c r="G1139" s="65">
        <f t="shared" si="2"/>
        <v>11.73333333</v>
      </c>
      <c r="H1139" s="88">
        <v>44796.0</v>
      </c>
      <c r="I1139" s="65">
        <f t="shared" si="3"/>
        <v>0</v>
      </c>
      <c r="J1139" s="121">
        <v>75.0</v>
      </c>
      <c r="K1139" s="121">
        <v>5.0</v>
      </c>
      <c r="L1139" s="69" t="s">
        <v>105</v>
      </c>
      <c r="M1139" s="69"/>
      <c r="N1139" s="69"/>
      <c r="O1139" s="69" t="s">
        <v>107</v>
      </c>
      <c r="P1139" s="122" t="s">
        <v>2776</v>
      </c>
      <c r="Q1139" s="69"/>
      <c r="R1139" s="59"/>
      <c r="S1139" s="88"/>
      <c r="T1139" s="65"/>
      <c r="U1139" s="88"/>
      <c r="V1139" s="65"/>
    </row>
    <row r="1140">
      <c r="A1140" s="74" t="s">
        <v>2777</v>
      </c>
      <c r="B1140" s="75" t="s">
        <v>13</v>
      </c>
      <c r="C1140" s="75"/>
      <c r="D1140" s="76" t="str">
        <f t="shared" si="60"/>
        <v>Removed</v>
      </c>
      <c r="E1140" s="90">
        <v>44609.0</v>
      </c>
      <c r="F1140" s="105">
        <v>45153.0</v>
      </c>
      <c r="G1140" s="79">
        <f t="shared" si="2"/>
        <v>17.93333333</v>
      </c>
      <c r="H1140" s="90">
        <v>44609.0</v>
      </c>
      <c r="I1140" s="79">
        <f t="shared" si="3"/>
        <v>0</v>
      </c>
      <c r="J1140" s="106">
        <v>88.0</v>
      </c>
      <c r="K1140" s="106">
        <v>28.5</v>
      </c>
      <c r="L1140" s="82" t="s">
        <v>81</v>
      </c>
      <c r="M1140" s="82"/>
      <c r="N1140" s="82"/>
      <c r="O1140" s="82" t="s">
        <v>328</v>
      </c>
      <c r="P1140" s="107" t="s">
        <v>2778</v>
      </c>
      <c r="Q1140" s="82"/>
      <c r="R1140" s="75"/>
      <c r="S1140" s="90"/>
      <c r="T1140" s="79"/>
      <c r="U1140" s="90"/>
      <c r="V1140" s="79"/>
    </row>
    <row r="1141">
      <c r="A1141" s="53" t="s">
        <v>2779</v>
      </c>
      <c r="B1141" s="54" t="s">
        <v>35</v>
      </c>
      <c r="C1141" s="54" t="s">
        <v>100</v>
      </c>
      <c r="D1141" s="59" t="str">
        <f t="shared" si="60"/>
        <v>Removed</v>
      </c>
      <c r="E1141" s="88">
        <v>44602.0</v>
      </c>
      <c r="F1141" s="120">
        <v>45153.0</v>
      </c>
      <c r="G1141" s="65">
        <f t="shared" si="2"/>
        <v>18.16666667</v>
      </c>
      <c r="H1141" s="88">
        <v>43439.0</v>
      </c>
      <c r="I1141" s="65">
        <f t="shared" si="3"/>
        <v>3.180555556</v>
      </c>
      <c r="J1141" s="121">
        <v>67.0</v>
      </c>
      <c r="K1141" s="121">
        <v>30.5</v>
      </c>
      <c r="L1141" s="69" t="s">
        <v>46</v>
      </c>
      <c r="M1141" s="69"/>
      <c r="N1141" s="69"/>
      <c r="O1141" s="69" t="s">
        <v>328</v>
      </c>
      <c r="P1141" s="122" t="s">
        <v>2780</v>
      </c>
      <c r="Q1141" s="69"/>
      <c r="R1141" s="59"/>
      <c r="S1141" s="88"/>
      <c r="T1141" s="65"/>
      <c r="U1141" s="88"/>
      <c r="V1141" s="65"/>
    </row>
    <row r="1142">
      <c r="A1142" s="74" t="s">
        <v>2781</v>
      </c>
      <c r="B1142" s="75" t="s">
        <v>2759</v>
      </c>
      <c r="C1142" s="76"/>
      <c r="D1142" s="76" t="s">
        <v>2760</v>
      </c>
      <c r="E1142" s="218">
        <v>45108.0</v>
      </c>
      <c r="F1142" s="77">
        <v>45138.0</v>
      </c>
      <c r="G1142" s="79">
        <f t="shared" si="2"/>
        <v>0.9666666667</v>
      </c>
      <c r="H1142" s="90">
        <v>43599.0</v>
      </c>
      <c r="I1142" s="79">
        <f t="shared" si="3"/>
        <v>4.130555556</v>
      </c>
      <c r="J1142" s="106">
        <v>84.0</v>
      </c>
      <c r="K1142" s="106">
        <v>18.0</v>
      </c>
      <c r="L1142" s="82" t="s">
        <v>41</v>
      </c>
      <c r="M1142" s="82" t="s">
        <v>72</v>
      </c>
      <c r="N1142" s="82"/>
      <c r="O1142" s="82"/>
      <c r="P1142" s="107"/>
      <c r="Q1142" s="82"/>
      <c r="R1142" s="76"/>
      <c r="S1142" s="90"/>
      <c r="T1142" s="79"/>
      <c r="U1142" s="90"/>
      <c r="V1142" s="79"/>
    </row>
    <row r="1143">
      <c r="A1143" s="53" t="s">
        <v>2782</v>
      </c>
      <c r="B1143" s="54" t="s">
        <v>13</v>
      </c>
      <c r="C1143" s="54"/>
      <c r="D1143" s="59" t="str">
        <f t="shared" ref="D1143:D1146" si="61">IF(E1143&gt;TODAY(),"Coming Soon",IF(F1143="","Active",IF(F1143&gt;TODAY(),"Leaving Soon","Removed")))</f>
        <v>Removed</v>
      </c>
      <c r="E1143" s="88">
        <v>44784.0</v>
      </c>
      <c r="F1143" s="120">
        <v>45138.0</v>
      </c>
      <c r="G1143" s="65">
        <f t="shared" si="2"/>
        <v>11.63333333</v>
      </c>
      <c r="H1143" s="88">
        <v>44581.0</v>
      </c>
      <c r="I1143" s="65">
        <f t="shared" si="3"/>
        <v>0.5583333333</v>
      </c>
      <c r="J1143" s="121">
        <v>80.0</v>
      </c>
      <c r="K1143" s="121">
        <v>39.0</v>
      </c>
      <c r="L1143" s="69" t="s">
        <v>46</v>
      </c>
      <c r="M1143" s="69"/>
      <c r="N1143" s="69"/>
      <c r="O1143" s="69" t="s">
        <v>328</v>
      </c>
      <c r="P1143" s="122" t="s">
        <v>2659</v>
      </c>
      <c r="Q1143" s="69"/>
      <c r="R1143" s="54"/>
      <c r="S1143" s="88"/>
      <c r="T1143" s="65"/>
      <c r="U1143" s="88"/>
      <c r="V1143" s="65"/>
    </row>
    <row r="1144">
      <c r="A1144" s="74" t="s">
        <v>2783</v>
      </c>
      <c r="B1144" s="75" t="s">
        <v>35</v>
      </c>
      <c r="C1144" s="75" t="s">
        <v>100</v>
      </c>
      <c r="D1144" s="76" t="str">
        <f t="shared" si="61"/>
        <v>Removed</v>
      </c>
      <c r="E1144" s="90">
        <v>44782.0</v>
      </c>
      <c r="F1144" s="105">
        <v>45138.0</v>
      </c>
      <c r="G1144" s="79">
        <f t="shared" si="2"/>
        <v>11.7</v>
      </c>
      <c r="H1144" s="90">
        <v>44782.0</v>
      </c>
      <c r="I1144" s="79">
        <f t="shared" si="3"/>
        <v>0</v>
      </c>
      <c r="J1144" s="106">
        <v>84.0</v>
      </c>
      <c r="K1144" s="106">
        <v>27.0</v>
      </c>
      <c r="L1144" s="82" t="s">
        <v>64</v>
      </c>
      <c r="M1144" s="82"/>
      <c r="N1144" s="82"/>
      <c r="O1144" s="82" t="s">
        <v>328</v>
      </c>
      <c r="P1144" s="107" t="s">
        <v>2784</v>
      </c>
      <c r="Q1144" s="82"/>
      <c r="R1144" s="76"/>
      <c r="S1144" s="90"/>
      <c r="T1144" s="79"/>
      <c r="U1144" s="90"/>
      <c r="V1144" s="79"/>
    </row>
    <row r="1145">
      <c r="A1145" s="53" t="s">
        <v>2785</v>
      </c>
      <c r="B1145" s="54" t="s">
        <v>35</v>
      </c>
      <c r="C1145" s="54" t="s">
        <v>100</v>
      </c>
      <c r="D1145" s="59" t="str">
        <f t="shared" si="61"/>
        <v>Removed</v>
      </c>
      <c r="E1145" s="88">
        <v>44595.0</v>
      </c>
      <c r="F1145" s="120">
        <v>45138.0</v>
      </c>
      <c r="G1145" s="65">
        <f t="shared" si="2"/>
        <v>17.9</v>
      </c>
      <c r="H1145" s="88">
        <v>44057.0</v>
      </c>
      <c r="I1145" s="65">
        <f t="shared" si="3"/>
        <v>1.469444444</v>
      </c>
      <c r="J1145" s="121">
        <v>80.0</v>
      </c>
      <c r="K1145" s="121">
        <v>12.0</v>
      </c>
      <c r="L1145" s="69" t="s">
        <v>46</v>
      </c>
      <c r="M1145" s="69"/>
      <c r="N1145" s="69"/>
      <c r="O1145" s="69" t="s">
        <v>1168</v>
      </c>
      <c r="P1145" s="122" t="s">
        <v>2786</v>
      </c>
      <c r="Q1145" s="69"/>
      <c r="R1145" s="59"/>
      <c r="S1145" s="88"/>
      <c r="T1145" s="65"/>
      <c r="U1145" s="88"/>
      <c r="V1145" s="65"/>
    </row>
    <row r="1146">
      <c r="A1146" s="74" t="s">
        <v>2787</v>
      </c>
      <c r="B1146" s="75" t="s">
        <v>35</v>
      </c>
      <c r="C1146" s="75" t="s">
        <v>36</v>
      </c>
      <c r="D1146" s="76" t="str">
        <f t="shared" si="61"/>
        <v>Removed</v>
      </c>
      <c r="E1146" s="90">
        <v>44469.0</v>
      </c>
      <c r="F1146" s="105">
        <v>45138.0</v>
      </c>
      <c r="G1146" s="79">
        <f t="shared" si="2"/>
        <v>22</v>
      </c>
      <c r="H1146" s="90">
        <v>44078.0</v>
      </c>
      <c r="I1146" s="79">
        <f t="shared" si="3"/>
        <v>1.072222222</v>
      </c>
      <c r="J1146" s="106">
        <f>(66+68)/2</f>
        <v>67</v>
      </c>
      <c r="K1146" s="106">
        <v>11.5</v>
      </c>
      <c r="L1146" s="82" t="s">
        <v>46</v>
      </c>
      <c r="M1146" s="82"/>
      <c r="N1146" s="82"/>
      <c r="O1146" s="82" t="s">
        <v>328</v>
      </c>
      <c r="P1146" s="107" t="s">
        <v>1934</v>
      </c>
      <c r="Q1146" s="82"/>
      <c r="R1146" s="76"/>
      <c r="S1146" s="90"/>
      <c r="T1146" s="79"/>
      <c r="U1146" s="90"/>
      <c r="V1146" s="79"/>
    </row>
    <row r="1147">
      <c r="A1147" s="53" t="s">
        <v>2788</v>
      </c>
      <c r="B1147" s="54" t="s">
        <v>2759</v>
      </c>
      <c r="C1147" s="59"/>
      <c r="D1147" s="59" t="s">
        <v>2760</v>
      </c>
      <c r="E1147" s="133">
        <v>45093.0</v>
      </c>
      <c r="F1147" s="61">
        <v>45122.0</v>
      </c>
      <c r="G1147" s="65">
        <f t="shared" si="2"/>
        <v>0.9666666667</v>
      </c>
      <c r="H1147" s="88">
        <v>44427.0</v>
      </c>
      <c r="I1147" s="65">
        <f t="shared" si="3"/>
        <v>1.825</v>
      </c>
      <c r="J1147" s="121">
        <v>70.0</v>
      </c>
      <c r="K1147" s="121">
        <v>6.0</v>
      </c>
      <c r="L1147" s="69" t="s">
        <v>41</v>
      </c>
      <c r="M1147" s="69"/>
      <c r="N1147" s="69"/>
      <c r="O1147" s="69"/>
      <c r="P1147" s="122"/>
      <c r="Q1147" s="69"/>
      <c r="R1147" s="59"/>
      <c r="S1147" s="88"/>
      <c r="T1147" s="65"/>
      <c r="U1147" s="88"/>
      <c r="V1147" s="65"/>
    </row>
    <row r="1148">
      <c r="A1148" s="74" t="s">
        <v>2789</v>
      </c>
      <c r="B1148" s="75" t="s">
        <v>35</v>
      </c>
      <c r="C1148" s="75" t="s">
        <v>100</v>
      </c>
      <c r="D1148" s="76" t="str">
        <f t="shared" ref="D1148:D1150" si="62">IF(E1148&gt;TODAY(),"Coming Soon",IF(F1148="","Active",IF(F1148&gt;TODAY(),"Leaving Soon","Removed")))</f>
        <v>Removed</v>
      </c>
      <c r="E1148" s="90">
        <v>44756.0</v>
      </c>
      <c r="F1148" s="105">
        <v>45122.0</v>
      </c>
      <c r="G1148" s="79">
        <f t="shared" si="2"/>
        <v>12.03333333</v>
      </c>
      <c r="H1148" s="90">
        <v>44421.0</v>
      </c>
      <c r="I1148" s="79">
        <f t="shared" si="3"/>
        <v>0.9194444444</v>
      </c>
      <c r="J1148" s="106">
        <v>40.0</v>
      </c>
      <c r="K1148" s="106">
        <v>2.0</v>
      </c>
      <c r="L1148" s="82" t="s">
        <v>105</v>
      </c>
      <c r="M1148" s="82"/>
      <c r="N1148" s="82"/>
      <c r="O1148" s="82" t="s">
        <v>1219</v>
      </c>
      <c r="P1148" s="107"/>
      <c r="Q1148" s="82"/>
      <c r="R1148" s="76"/>
      <c r="S1148" s="90"/>
      <c r="T1148" s="79"/>
      <c r="U1148" s="90"/>
      <c r="V1148" s="79"/>
    </row>
    <row r="1149">
      <c r="A1149" s="53" t="s">
        <v>2790</v>
      </c>
      <c r="B1149" s="54" t="s">
        <v>35</v>
      </c>
      <c r="C1149" s="54" t="s">
        <v>100</v>
      </c>
      <c r="D1149" s="59" t="str">
        <f t="shared" si="62"/>
        <v>Removed</v>
      </c>
      <c r="E1149" s="88">
        <v>44574.0</v>
      </c>
      <c r="F1149" s="120">
        <v>45122.0</v>
      </c>
      <c r="G1149" s="65">
        <f t="shared" si="2"/>
        <v>18.06666667</v>
      </c>
      <c r="H1149" s="88">
        <v>44089.0</v>
      </c>
      <c r="I1149" s="65">
        <f t="shared" si="3"/>
        <v>1.327777778</v>
      </c>
      <c r="J1149" s="121">
        <f>(87+91)/2</f>
        <v>89</v>
      </c>
      <c r="K1149" s="121">
        <v>28.0</v>
      </c>
      <c r="L1149" s="69" t="s">
        <v>57</v>
      </c>
      <c r="M1149" s="69"/>
      <c r="N1149" s="69"/>
      <c r="O1149" s="69" t="s">
        <v>328</v>
      </c>
      <c r="P1149" s="122" t="s">
        <v>1758</v>
      </c>
      <c r="Q1149" s="69"/>
      <c r="R1149" s="59"/>
      <c r="S1149" s="88"/>
      <c r="T1149" s="65"/>
      <c r="U1149" s="88"/>
      <c r="V1149" s="65"/>
    </row>
    <row r="1150">
      <c r="A1150" s="74" t="s">
        <v>2791</v>
      </c>
      <c r="B1150" s="75" t="s">
        <v>35</v>
      </c>
      <c r="C1150" s="75" t="s">
        <v>100</v>
      </c>
      <c r="D1150" s="76" t="str">
        <f t="shared" si="62"/>
        <v>Removed</v>
      </c>
      <c r="E1150" s="90">
        <v>44518.0</v>
      </c>
      <c r="F1150" s="105">
        <v>45122.0</v>
      </c>
      <c r="G1150" s="79">
        <f t="shared" si="2"/>
        <v>19.9</v>
      </c>
      <c r="H1150" s="90">
        <v>44518.0</v>
      </c>
      <c r="I1150" s="79">
        <f t="shared" si="3"/>
        <v>0</v>
      </c>
      <c r="J1150" s="106">
        <f>(78+81)/2</f>
        <v>79.5</v>
      </c>
      <c r="K1150" s="106">
        <v>2.0</v>
      </c>
      <c r="L1150" s="82" t="s">
        <v>135</v>
      </c>
      <c r="M1150" s="82"/>
      <c r="N1150" s="82"/>
      <c r="O1150" s="82" t="s">
        <v>1219</v>
      </c>
      <c r="P1150" s="107"/>
      <c r="Q1150" s="82"/>
      <c r="R1150" s="76"/>
      <c r="S1150" s="90"/>
      <c r="T1150" s="79"/>
      <c r="U1150" s="90"/>
      <c r="V1150" s="79"/>
    </row>
    <row r="1151">
      <c r="A1151" s="53" t="s">
        <v>2792</v>
      </c>
      <c r="B1151" s="54" t="s">
        <v>2759</v>
      </c>
      <c r="C1151" s="59"/>
      <c r="D1151" s="59" t="s">
        <v>2760</v>
      </c>
      <c r="E1151" s="133">
        <v>45078.0</v>
      </c>
      <c r="F1151" s="61">
        <v>45107.0</v>
      </c>
      <c r="G1151" s="65">
        <f t="shared" si="2"/>
        <v>0.9666666667</v>
      </c>
      <c r="H1151" s="88">
        <v>44999.0</v>
      </c>
      <c r="I1151" s="65">
        <f t="shared" si="3"/>
        <v>0.2138888889</v>
      </c>
      <c r="J1151" s="121">
        <v>76.0</v>
      </c>
      <c r="K1151" s="121">
        <v>1.5</v>
      </c>
      <c r="L1151" s="69" t="s">
        <v>41</v>
      </c>
      <c r="M1151" s="69"/>
      <c r="N1151" s="69" t="s">
        <v>2761</v>
      </c>
      <c r="O1151" s="69"/>
      <c r="P1151" s="122"/>
      <c r="Q1151" s="69"/>
      <c r="R1151" s="59"/>
      <c r="S1151" s="88"/>
      <c r="T1151" s="65"/>
      <c r="U1151" s="88"/>
      <c r="V1151" s="65"/>
    </row>
    <row r="1152">
      <c r="A1152" s="74" t="s">
        <v>2793</v>
      </c>
      <c r="B1152" s="75" t="s">
        <v>35</v>
      </c>
      <c r="C1152" s="75" t="s">
        <v>36</v>
      </c>
      <c r="D1152" s="76" t="str">
        <f t="shared" ref="D1152:D1156" si="63">IF(E1152&gt;TODAY(),"Coming Soon",IF(F1152="","Active",IF(F1152&gt;TODAY(),"Leaving Soon","Removed")))</f>
        <v>Removed</v>
      </c>
      <c r="E1152" s="90">
        <v>44749.0</v>
      </c>
      <c r="F1152" s="105">
        <v>45107.0</v>
      </c>
      <c r="G1152" s="79">
        <f t="shared" si="2"/>
        <v>11.76666667</v>
      </c>
      <c r="H1152" s="90">
        <v>43817.0</v>
      </c>
      <c r="I1152" s="79">
        <f t="shared" si="3"/>
        <v>2.552777778</v>
      </c>
      <c r="J1152" s="106">
        <v>75.0</v>
      </c>
      <c r="K1152" s="106">
        <v>44.0</v>
      </c>
      <c r="L1152" s="82" t="s">
        <v>2794</v>
      </c>
      <c r="M1152" s="82"/>
      <c r="N1152" s="82"/>
      <c r="O1152" s="82" t="s">
        <v>328</v>
      </c>
      <c r="P1152" s="107" t="s">
        <v>2795</v>
      </c>
      <c r="Q1152" s="82"/>
      <c r="R1152" s="76"/>
      <c r="S1152" s="90"/>
      <c r="T1152" s="79"/>
      <c r="U1152" s="90"/>
      <c r="V1152" s="79"/>
    </row>
    <row r="1153">
      <c r="A1153" s="53" t="s">
        <v>2796</v>
      </c>
      <c r="B1153" s="54" t="s">
        <v>35</v>
      </c>
      <c r="C1153" s="54" t="s">
        <v>100</v>
      </c>
      <c r="D1153" s="59" t="str">
        <f t="shared" si="63"/>
        <v>Removed</v>
      </c>
      <c r="E1153" s="88">
        <v>44749.0</v>
      </c>
      <c r="F1153" s="120">
        <v>45107.0</v>
      </c>
      <c r="G1153" s="65">
        <f t="shared" si="2"/>
        <v>11.76666667</v>
      </c>
      <c r="H1153" s="88">
        <v>44749.0</v>
      </c>
      <c r="I1153" s="65">
        <f t="shared" si="3"/>
        <v>0</v>
      </c>
      <c r="J1153" s="121">
        <v>60.0</v>
      </c>
      <c r="K1153" s="121">
        <v>10.5</v>
      </c>
      <c r="L1153" s="69" t="s">
        <v>62</v>
      </c>
      <c r="M1153" s="69"/>
      <c r="N1153" s="69"/>
      <c r="O1153" s="69" t="s">
        <v>1219</v>
      </c>
      <c r="P1153" s="122"/>
      <c r="Q1153" s="69"/>
      <c r="R1153" s="59"/>
      <c r="S1153" s="88"/>
      <c r="T1153" s="65"/>
      <c r="U1153" s="88"/>
      <c r="V1153" s="65"/>
    </row>
    <row r="1154">
      <c r="A1154" s="74" t="s">
        <v>2797</v>
      </c>
      <c r="B1154" s="75" t="s">
        <v>35</v>
      </c>
      <c r="C1154" s="75" t="s">
        <v>36</v>
      </c>
      <c r="D1154" s="76" t="str">
        <f t="shared" si="63"/>
        <v>Removed</v>
      </c>
      <c r="E1154" s="90">
        <v>44728.0</v>
      </c>
      <c r="F1154" s="105">
        <v>45107.0</v>
      </c>
      <c r="G1154" s="79">
        <f t="shared" si="2"/>
        <v>12.46666667</v>
      </c>
      <c r="H1154" s="90">
        <v>44190.0</v>
      </c>
      <c r="I1154" s="79">
        <f t="shared" si="3"/>
        <v>1.475</v>
      </c>
      <c r="J1154" s="106">
        <v>87.0</v>
      </c>
      <c r="K1154" s="106">
        <v>20.5</v>
      </c>
      <c r="L1154" s="82" t="s">
        <v>46</v>
      </c>
      <c r="M1154" s="82"/>
      <c r="N1154" s="82"/>
      <c r="O1154" s="82" t="s">
        <v>107</v>
      </c>
      <c r="P1154" s="107" t="s">
        <v>1280</v>
      </c>
      <c r="Q1154" s="82" t="s">
        <v>2798</v>
      </c>
      <c r="R1154" s="76"/>
      <c r="S1154" s="90"/>
      <c r="T1154" s="79"/>
      <c r="U1154" s="90"/>
      <c r="V1154" s="79"/>
    </row>
    <row r="1155">
      <c r="A1155" s="53" t="s">
        <v>2799</v>
      </c>
      <c r="B1155" s="54" t="s">
        <v>35</v>
      </c>
      <c r="C1155" s="54" t="s">
        <v>36</v>
      </c>
      <c r="D1155" s="59" t="str">
        <f t="shared" si="63"/>
        <v>Removed</v>
      </c>
      <c r="E1155" s="88">
        <v>44565.0</v>
      </c>
      <c r="F1155" s="120">
        <v>45107.0</v>
      </c>
      <c r="G1155" s="65">
        <f t="shared" si="2"/>
        <v>17.86666667</v>
      </c>
      <c r="H1155" s="88">
        <v>44224.0</v>
      </c>
      <c r="I1155" s="65">
        <f t="shared" si="3"/>
        <v>0.9333333333</v>
      </c>
      <c r="J1155" s="121">
        <f>(77+79)/2</f>
        <v>78</v>
      </c>
      <c r="K1155" s="121">
        <v>5.0</v>
      </c>
      <c r="L1155" s="69" t="s">
        <v>41</v>
      </c>
      <c r="M1155" s="69"/>
      <c r="N1155" s="69"/>
      <c r="O1155" s="69" t="s">
        <v>328</v>
      </c>
      <c r="P1155" s="122" t="s">
        <v>2499</v>
      </c>
      <c r="Q1155" s="69"/>
      <c r="R1155" s="59"/>
      <c r="S1155" s="88"/>
      <c r="T1155" s="65"/>
      <c r="U1155" s="88"/>
      <c r="V1155" s="65"/>
    </row>
    <row r="1156">
      <c r="A1156" s="74" t="s">
        <v>2800</v>
      </c>
      <c r="B1156" s="75" t="s">
        <v>35</v>
      </c>
      <c r="C1156" s="75" t="s">
        <v>100</v>
      </c>
      <c r="D1156" s="76" t="str">
        <f t="shared" si="63"/>
        <v>Removed</v>
      </c>
      <c r="E1156" s="90">
        <v>44273.0</v>
      </c>
      <c r="F1156" s="105">
        <v>45107.0</v>
      </c>
      <c r="G1156" s="79">
        <f t="shared" si="2"/>
        <v>27.4</v>
      </c>
      <c r="H1156" s="90">
        <v>44166.0</v>
      </c>
      <c r="I1156" s="79">
        <f t="shared" si="3"/>
        <v>0.2972222222</v>
      </c>
      <c r="J1156" s="106">
        <f>(63+68)/2</f>
        <v>65.5</v>
      </c>
      <c r="K1156" s="106">
        <v>8.0</v>
      </c>
      <c r="L1156" s="82" t="s">
        <v>46</v>
      </c>
      <c r="M1156" s="82"/>
      <c r="N1156" s="82"/>
      <c r="O1156" s="82" t="s">
        <v>107</v>
      </c>
      <c r="P1156" s="107" t="s">
        <v>2801</v>
      </c>
      <c r="Q1156" s="82"/>
      <c r="R1156" s="76"/>
      <c r="S1156" s="90"/>
      <c r="T1156" s="79"/>
      <c r="U1156" s="90"/>
      <c r="V1156" s="79"/>
    </row>
    <row r="1157">
      <c r="A1157" s="53" t="s">
        <v>2802</v>
      </c>
      <c r="B1157" s="54" t="s">
        <v>2759</v>
      </c>
      <c r="C1157" s="59"/>
      <c r="D1157" s="59" t="s">
        <v>2760</v>
      </c>
      <c r="E1157" s="133">
        <v>45062.0</v>
      </c>
      <c r="F1157" s="61">
        <v>45092.0</v>
      </c>
      <c r="G1157" s="65">
        <f t="shared" si="2"/>
        <v>0.9666666667</v>
      </c>
      <c r="H1157" s="88">
        <v>44440.0</v>
      </c>
      <c r="I1157" s="65">
        <f t="shared" si="3"/>
        <v>1.708333333</v>
      </c>
      <c r="J1157" s="121">
        <v>79.0</v>
      </c>
      <c r="K1157" s="121">
        <v>2.5</v>
      </c>
      <c r="L1157" s="69" t="s">
        <v>96</v>
      </c>
      <c r="M1157" s="69"/>
      <c r="N1157" s="69"/>
      <c r="O1157" s="69"/>
      <c r="P1157" s="122"/>
      <c r="Q1157" s="69"/>
      <c r="R1157" s="59"/>
      <c r="S1157" s="88"/>
      <c r="T1157" s="65"/>
      <c r="U1157" s="88"/>
      <c r="V1157" s="65"/>
    </row>
    <row r="1158">
      <c r="A1158" s="74" t="s">
        <v>2803</v>
      </c>
      <c r="B1158" s="75" t="s">
        <v>35</v>
      </c>
      <c r="C1158" s="75" t="s">
        <v>36</v>
      </c>
      <c r="D1158" s="76" t="str">
        <f t="shared" ref="D1158:D1162" si="64">IF(E1158&gt;TODAY(),"Coming Soon",IF(F1158="","Active",IF(F1158&gt;TODAY(),"Leaving Soon","Removed")))</f>
        <v>Removed</v>
      </c>
      <c r="E1158" s="90">
        <v>44931.0</v>
      </c>
      <c r="F1158" s="105">
        <v>45092.0</v>
      </c>
      <c r="G1158" s="79">
        <f t="shared" si="2"/>
        <v>5.333333333</v>
      </c>
      <c r="H1158" s="90">
        <v>44061.0</v>
      </c>
      <c r="I1158" s="79">
        <f t="shared" si="3"/>
        <v>2.380555556</v>
      </c>
      <c r="J1158" s="106">
        <v>76.0</v>
      </c>
      <c r="K1158" s="106">
        <v>10.0</v>
      </c>
      <c r="L1158" s="82" t="s">
        <v>46</v>
      </c>
      <c r="M1158" s="82"/>
      <c r="N1158" s="82" t="s">
        <v>2804</v>
      </c>
      <c r="O1158" s="82" t="s">
        <v>107</v>
      </c>
      <c r="P1158" s="107" t="s">
        <v>108</v>
      </c>
      <c r="Q1158" s="82"/>
      <c r="R1158" s="76"/>
      <c r="S1158" s="90"/>
      <c r="T1158" s="79"/>
      <c r="U1158" s="90"/>
      <c r="V1158" s="79"/>
    </row>
    <row r="1159">
      <c r="A1159" s="53" t="s">
        <v>2805</v>
      </c>
      <c r="B1159" s="54" t="s">
        <v>13</v>
      </c>
      <c r="C1159" s="54"/>
      <c r="D1159" s="59" t="str">
        <f t="shared" si="64"/>
        <v>Removed</v>
      </c>
      <c r="E1159" s="88">
        <v>44733.0</v>
      </c>
      <c r="F1159" s="120">
        <v>45092.0</v>
      </c>
      <c r="G1159" s="65">
        <f t="shared" si="2"/>
        <v>11.8</v>
      </c>
      <c r="H1159" s="88">
        <v>43608.0</v>
      </c>
      <c r="I1159" s="65">
        <f t="shared" si="3"/>
        <v>3.077777778</v>
      </c>
      <c r="J1159" s="121">
        <v>85.0</v>
      </c>
      <c r="K1159" s="121">
        <v>48.0</v>
      </c>
      <c r="L1159" s="69" t="s">
        <v>81</v>
      </c>
      <c r="M1159" s="69"/>
      <c r="N1159" s="69"/>
      <c r="O1159" s="69" t="s">
        <v>328</v>
      </c>
      <c r="P1159" s="271" t="s">
        <v>1378</v>
      </c>
      <c r="Q1159" s="69"/>
      <c r="R1159" s="54"/>
      <c r="S1159" s="88"/>
      <c r="T1159" s="65"/>
      <c r="U1159" s="88"/>
      <c r="V1159" s="65"/>
    </row>
    <row r="1160">
      <c r="A1160" s="74" t="s">
        <v>2806</v>
      </c>
      <c r="B1160" s="75" t="s">
        <v>35</v>
      </c>
      <c r="C1160" s="75" t="s">
        <v>100</v>
      </c>
      <c r="D1160" s="76" t="str">
        <f t="shared" si="64"/>
        <v>Removed</v>
      </c>
      <c r="E1160" s="90">
        <v>44719.0</v>
      </c>
      <c r="F1160" s="105">
        <v>45092.0</v>
      </c>
      <c r="G1160" s="79">
        <f t="shared" si="2"/>
        <v>12.26666667</v>
      </c>
      <c r="H1160" s="90">
        <v>44533.0</v>
      </c>
      <c r="I1160" s="79">
        <f t="shared" si="3"/>
        <v>0.5111111111</v>
      </c>
      <c r="J1160" s="106">
        <v>78.0</v>
      </c>
      <c r="K1160" s="106">
        <v>14.5</v>
      </c>
      <c r="L1160" s="82" t="s">
        <v>105</v>
      </c>
      <c r="M1160" s="82"/>
      <c r="N1160" s="82"/>
      <c r="O1160" s="82" t="s">
        <v>328</v>
      </c>
      <c r="P1160" s="107" t="s">
        <v>1798</v>
      </c>
      <c r="Q1160" s="82"/>
      <c r="R1160" s="76"/>
      <c r="S1160" s="90"/>
      <c r="T1160" s="79"/>
      <c r="U1160" s="90"/>
      <c r="V1160" s="79"/>
    </row>
    <row r="1161">
      <c r="A1161" s="53" t="s">
        <v>2807</v>
      </c>
      <c r="B1161" s="54" t="s">
        <v>35</v>
      </c>
      <c r="C1161" s="54" t="s">
        <v>36</v>
      </c>
      <c r="D1161" s="59" t="str">
        <f t="shared" si="64"/>
        <v>Removed</v>
      </c>
      <c r="E1161" s="88">
        <v>44537.0</v>
      </c>
      <c r="F1161" s="120">
        <v>45092.0</v>
      </c>
      <c r="G1161" s="65">
        <f t="shared" si="2"/>
        <v>18.26666667</v>
      </c>
      <c r="H1161" s="88">
        <v>44098.0</v>
      </c>
      <c r="I1161" s="65">
        <f t="shared" si="3"/>
        <v>1.202777778</v>
      </c>
      <c r="J1161" s="121">
        <v>68.0</v>
      </c>
      <c r="K1161" s="121">
        <v>9.5</v>
      </c>
      <c r="L1161" s="69" t="s">
        <v>37</v>
      </c>
      <c r="M1161" s="69" t="s">
        <v>38</v>
      </c>
      <c r="N1161" s="69"/>
      <c r="O1161" s="69" t="s">
        <v>107</v>
      </c>
      <c r="P1161" s="122" t="s">
        <v>2808</v>
      </c>
      <c r="Q1161" s="69"/>
      <c r="R1161" s="59"/>
      <c r="S1161" s="88"/>
      <c r="T1161" s="65"/>
      <c r="U1161" s="88"/>
      <c r="V1161" s="65"/>
    </row>
    <row r="1162">
      <c r="A1162" s="74" t="s">
        <v>2809</v>
      </c>
      <c r="B1162" s="75" t="s">
        <v>35</v>
      </c>
      <c r="C1162" s="75" t="s">
        <v>100</v>
      </c>
      <c r="D1162" s="76" t="str">
        <f t="shared" si="64"/>
        <v>Removed</v>
      </c>
      <c r="E1162" s="218">
        <v>43625.0</v>
      </c>
      <c r="F1162" s="105">
        <v>45092.0</v>
      </c>
      <c r="G1162" s="79">
        <f t="shared" si="2"/>
        <v>48.2</v>
      </c>
      <c r="H1162" s="90">
        <v>43089.0</v>
      </c>
      <c r="I1162" s="79">
        <f t="shared" si="3"/>
        <v>1.469444444</v>
      </c>
      <c r="J1162" s="216">
        <v>78.0</v>
      </c>
      <c r="K1162" s="106">
        <v>13.5</v>
      </c>
      <c r="L1162" s="83" t="s">
        <v>96</v>
      </c>
      <c r="M1162" s="83"/>
      <c r="N1162" s="83"/>
      <c r="O1162" s="82" t="s">
        <v>1219</v>
      </c>
      <c r="P1162" s="107" t="s">
        <v>1857</v>
      </c>
      <c r="Q1162" s="82"/>
      <c r="R1162" s="76"/>
      <c r="S1162" s="90"/>
      <c r="T1162" s="79"/>
      <c r="U1162" s="90"/>
      <c r="V1162" s="79"/>
    </row>
    <row r="1163">
      <c r="A1163" s="53" t="s">
        <v>2810</v>
      </c>
      <c r="B1163" s="54" t="s">
        <v>2759</v>
      </c>
      <c r="C1163" s="59"/>
      <c r="D1163" s="59" t="s">
        <v>2760</v>
      </c>
      <c r="E1163" s="133">
        <v>45047.0</v>
      </c>
      <c r="F1163" s="61">
        <v>45077.0</v>
      </c>
      <c r="G1163" s="65">
        <f t="shared" si="2"/>
        <v>0.9666666667</v>
      </c>
      <c r="H1163" s="88">
        <v>35562.0</v>
      </c>
      <c r="I1163" s="65">
        <f t="shared" si="3"/>
        <v>25.96944444</v>
      </c>
      <c r="J1163" s="121">
        <v>80.0</v>
      </c>
      <c r="K1163" s="121">
        <v>5.0</v>
      </c>
      <c r="L1163" s="69" t="s">
        <v>55</v>
      </c>
      <c r="M1163" s="69"/>
      <c r="N1163" s="69"/>
      <c r="O1163" s="69"/>
      <c r="P1163" s="122"/>
      <c r="Q1163" s="69"/>
      <c r="R1163" s="59"/>
      <c r="S1163" s="88"/>
      <c r="T1163" s="65"/>
      <c r="U1163" s="88"/>
      <c r="V1163" s="65"/>
    </row>
    <row r="1164">
      <c r="A1164" s="74" t="s">
        <v>2811</v>
      </c>
      <c r="B1164" s="75" t="s">
        <v>35</v>
      </c>
      <c r="C1164" s="75" t="s">
        <v>100</v>
      </c>
      <c r="D1164" s="76" t="str">
        <f t="shared" ref="D1164:D1168" si="65">IF(E1164&gt;TODAY(),"Coming Soon",IF(F1164="","Active",IF(F1164&gt;TODAY(),"Leaving Soon","Removed")))</f>
        <v>Removed</v>
      </c>
      <c r="E1164" s="90">
        <v>44705.0</v>
      </c>
      <c r="F1164" s="105">
        <v>45077.0</v>
      </c>
      <c r="G1164" s="79">
        <f t="shared" si="2"/>
        <v>12.2</v>
      </c>
      <c r="H1164" s="90">
        <v>44705.0</v>
      </c>
      <c r="I1164" s="79">
        <f t="shared" si="3"/>
        <v>0</v>
      </c>
      <c r="J1164" s="106">
        <v>81.0</v>
      </c>
      <c r="K1164" s="106">
        <v>8.0</v>
      </c>
      <c r="L1164" s="82" t="s">
        <v>81</v>
      </c>
      <c r="M1164" s="82"/>
      <c r="N1164" s="82"/>
      <c r="O1164" s="82" t="s">
        <v>1168</v>
      </c>
      <c r="P1164" s="107" t="s">
        <v>1396</v>
      </c>
      <c r="Q1164" s="82"/>
      <c r="R1164" s="76"/>
      <c r="S1164" s="90"/>
      <c r="T1164" s="79"/>
      <c r="U1164" s="90"/>
      <c r="V1164" s="79"/>
    </row>
    <row r="1165">
      <c r="A1165" s="53" t="s">
        <v>2812</v>
      </c>
      <c r="B1165" s="54" t="s">
        <v>35</v>
      </c>
      <c r="C1165" s="54" t="s">
        <v>100</v>
      </c>
      <c r="D1165" s="59" t="str">
        <f t="shared" si="65"/>
        <v>Removed</v>
      </c>
      <c r="E1165" s="88">
        <v>44532.0</v>
      </c>
      <c r="F1165" s="120">
        <v>45077.0</v>
      </c>
      <c r="G1165" s="65">
        <f t="shared" si="2"/>
        <v>17.93333333</v>
      </c>
      <c r="H1165" s="88">
        <v>44418.0</v>
      </c>
      <c r="I1165" s="65">
        <f t="shared" si="3"/>
        <v>0.3111111111</v>
      </c>
      <c r="J1165" s="121">
        <f>(69+72)/2</f>
        <v>70.5</v>
      </c>
      <c r="K1165" s="121">
        <v>17.0</v>
      </c>
      <c r="L1165" s="69" t="s">
        <v>64</v>
      </c>
      <c r="M1165" s="69"/>
      <c r="N1165" s="69" t="s">
        <v>2813</v>
      </c>
      <c r="O1165" s="69" t="s">
        <v>1219</v>
      </c>
      <c r="P1165" s="122"/>
      <c r="Q1165" s="69"/>
      <c r="R1165" s="59"/>
      <c r="S1165" s="88"/>
      <c r="T1165" s="65"/>
      <c r="U1165" s="88"/>
      <c r="V1165" s="65"/>
    </row>
    <row r="1166">
      <c r="A1166" s="74" t="s">
        <v>2814</v>
      </c>
      <c r="B1166" s="75" t="s">
        <v>35</v>
      </c>
      <c r="C1166" s="75" t="s">
        <v>36</v>
      </c>
      <c r="D1166" s="76" t="str">
        <f t="shared" si="65"/>
        <v>Removed</v>
      </c>
      <c r="E1166" s="90">
        <v>44530.0</v>
      </c>
      <c r="F1166" s="105">
        <v>45077.0</v>
      </c>
      <c r="G1166" s="79">
        <f t="shared" si="2"/>
        <v>18</v>
      </c>
      <c r="H1166" s="90">
        <v>44275.0</v>
      </c>
      <c r="I1166" s="79">
        <f t="shared" si="3"/>
        <v>0.6944444444</v>
      </c>
      <c r="J1166" s="106">
        <v>76.0</v>
      </c>
      <c r="K1166" s="106">
        <v>28.5</v>
      </c>
      <c r="L1166" s="82" t="s">
        <v>81</v>
      </c>
      <c r="M1166" s="82"/>
      <c r="N1166" s="82"/>
      <c r="O1166" s="82" t="s">
        <v>328</v>
      </c>
      <c r="P1166" s="107" t="s">
        <v>1798</v>
      </c>
      <c r="Q1166" s="82" t="s">
        <v>2815</v>
      </c>
      <c r="R1166" s="76"/>
      <c r="S1166" s="90"/>
      <c r="T1166" s="79"/>
      <c r="U1166" s="90"/>
      <c r="V1166" s="79"/>
    </row>
    <row r="1167">
      <c r="A1167" s="53" t="s">
        <v>2816</v>
      </c>
      <c r="B1167" s="54" t="s">
        <v>35</v>
      </c>
      <c r="C1167" s="54"/>
      <c r="D1167" s="59" t="str">
        <f t="shared" si="65"/>
        <v>Removed</v>
      </c>
      <c r="E1167" s="88">
        <v>44322.0</v>
      </c>
      <c r="F1167" s="120">
        <v>45077.0</v>
      </c>
      <c r="G1167" s="65">
        <f t="shared" si="2"/>
        <v>24.8</v>
      </c>
      <c r="H1167" s="88">
        <v>44110.0</v>
      </c>
      <c r="I1167" s="65">
        <f t="shared" si="3"/>
        <v>0.5833333333</v>
      </c>
      <c r="J1167" s="121">
        <v>77.0</v>
      </c>
      <c r="K1167" s="121">
        <v>81.0</v>
      </c>
      <c r="L1167" s="69" t="s">
        <v>62</v>
      </c>
      <c r="M1167" s="69" t="s">
        <v>326</v>
      </c>
      <c r="N1167" s="69"/>
      <c r="O1167" s="69" t="s">
        <v>1219</v>
      </c>
      <c r="P1167" s="122"/>
      <c r="Q1167" s="69"/>
      <c r="R1167" s="59"/>
      <c r="S1167" s="88"/>
      <c r="T1167" s="65"/>
      <c r="U1167" s="88"/>
      <c r="V1167" s="65"/>
    </row>
    <row r="1168">
      <c r="A1168" s="226" t="s">
        <v>2817</v>
      </c>
      <c r="B1168" s="76" t="s">
        <v>13</v>
      </c>
      <c r="C1168" s="76"/>
      <c r="D1168" s="76" t="str">
        <f t="shared" si="65"/>
        <v>Removed</v>
      </c>
      <c r="E1168" s="218">
        <v>43803.0</v>
      </c>
      <c r="F1168" s="105">
        <v>45077.0</v>
      </c>
      <c r="G1168" s="79">
        <f t="shared" si="2"/>
        <v>41.86666667</v>
      </c>
      <c r="H1168" s="90">
        <v>41499.0</v>
      </c>
      <c r="I1168" s="79">
        <f t="shared" si="3"/>
        <v>6.308333333</v>
      </c>
      <c r="J1168" s="216">
        <v>87.0</v>
      </c>
      <c r="K1168" s="106">
        <v>225.0</v>
      </c>
      <c r="L1168" s="83" t="s">
        <v>81</v>
      </c>
      <c r="M1168" s="83"/>
      <c r="N1168" s="83"/>
      <c r="O1168" s="82" t="s">
        <v>328</v>
      </c>
      <c r="P1168" s="107" t="s">
        <v>2818</v>
      </c>
      <c r="Q1168" s="82"/>
      <c r="R1168" s="75"/>
      <c r="S1168" s="90"/>
      <c r="T1168" s="79"/>
      <c r="U1168" s="90"/>
      <c r="V1168" s="79"/>
    </row>
    <row r="1169">
      <c r="A1169" s="53" t="s">
        <v>2819</v>
      </c>
      <c r="B1169" s="54" t="s">
        <v>2759</v>
      </c>
      <c r="C1169" s="59"/>
      <c r="D1169" s="59" t="s">
        <v>2760</v>
      </c>
      <c r="E1169" s="133">
        <v>45032.0</v>
      </c>
      <c r="F1169" s="61">
        <v>45061.0</v>
      </c>
      <c r="G1169" s="65">
        <f t="shared" si="2"/>
        <v>0.9666666667</v>
      </c>
      <c r="H1169" s="88">
        <v>44722.0</v>
      </c>
      <c r="I1169" s="65">
        <f t="shared" si="3"/>
        <v>0.85</v>
      </c>
      <c r="J1169" s="121">
        <v>57.0</v>
      </c>
      <c r="K1169" s="121">
        <v>6.0</v>
      </c>
      <c r="L1169" s="69" t="s">
        <v>96</v>
      </c>
      <c r="M1169" s="69"/>
      <c r="N1169" s="69"/>
      <c r="O1169" s="69"/>
      <c r="P1169" s="122"/>
      <c r="Q1169" s="69"/>
      <c r="R1169" s="59"/>
      <c r="S1169" s="88"/>
      <c r="T1169" s="65"/>
      <c r="U1169" s="88"/>
      <c r="V1169" s="65"/>
    </row>
    <row r="1170">
      <c r="A1170" s="74" t="s">
        <v>2820</v>
      </c>
      <c r="B1170" s="75" t="s">
        <v>13</v>
      </c>
      <c r="C1170" s="75"/>
      <c r="D1170" s="76" t="str">
        <f t="shared" ref="D1170:D1175" si="66">IF(E1170&gt;TODAY(),"Coming Soon",IF(F1170="","Active",IF(F1170&gt;TODAY(),"Leaving Soon","Removed")))</f>
        <v>Removed</v>
      </c>
      <c r="E1170" s="90">
        <v>44698.0</v>
      </c>
      <c r="F1170" s="105">
        <v>45061.0</v>
      </c>
      <c r="G1170" s="79">
        <f t="shared" si="2"/>
        <v>11.93333333</v>
      </c>
      <c r="H1170" s="90">
        <v>42179.0</v>
      </c>
      <c r="I1170" s="79">
        <f t="shared" si="3"/>
        <v>6.897222222</v>
      </c>
      <c r="J1170" s="106">
        <v>86.0</v>
      </c>
      <c r="K1170" s="106">
        <v>2.0</v>
      </c>
      <c r="L1170" s="82" t="s">
        <v>135</v>
      </c>
      <c r="M1170" s="82"/>
      <c r="N1170" s="82"/>
      <c r="O1170" s="82" t="s">
        <v>107</v>
      </c>
      <c r="P1170" s="107" t="s">
        <v>2821</v>
      </c>
      <c r="Q1170" s="82"/>
      <c r="R1170" s="75"/>
      <c r="S1170" s="90"/>
      <c r="T1170" s="79"/>
      <c r="U1170" s="90"/>
      <c r="V1170" s="79"/>
    </row>
    <row r="1171">
      <c r="A1171" s="53" t="s">
        <v>2822</v>
      </c>
      <c r="B1171" s="54" t="s">
        <v>35</v>
      </c>
      <c r="C1171" s="54" t="s">
        <v>100</v>
      </c>
      <c r="D1171" s="59" t="str">
        <f t="shared" si="66"/>
        <v>Removed</v>
      </c>
      <c r="E1171" s="88">
        <v>44698.0</v>
      </c>
      <c r="F1171" s="120">
        <v>45061.0</v>
      </c>
      <c r="G1171" s="65">
        <f t="shared" si="2"/>
        <v>11.93333333</v>
      </c>
      <c r="H1171" s="88">
        <v>44352.0</v>
      </c>
      <c r="I1171" s="65">
        <f t="shared" si="3"/>
        <v>0.95</v>
      </c>
      <c r="J1171" s="121">
        <v>84.0</v>
      </c>
      <c r="K1171" s="121">
        <v>2.5</v>
      </c>
      <c r="L1171" s="69" t="s">
        <v>135</v>
      </c>
      <c r="M1171" s="69"/>
      <c r="N1171" s="69"/>
      <c r="O1171" s="69" t="s">
        <v>328</v>
      </c>
      <c r="P1171" s="122" t="s">
        <v>1421</v>
      </c>
      <c r="Q1171" s="69"/>
      <c r="R1171" s="59"/>
      <c r="S1171" s="88"/>
      <c r="T1171" s="65"/>
      <c r="U1171" s="88"/>
      <c r="V1171" s="65"/>
    </row>
    <row r="1172">
      <c r="A1172" s="74" t="s">
        <v>2823</v>
      </c>
      <c r="B1172" s="75" t="s">
        <v>35</v>
      </c>
      <c r="C1172" s="75" t="s">
        <v>100</v>
      </c>
      <c r="D1172" s="76" t="str">
        <f t="shared" si="66"/>
        <v>Removed</v>
      </c>
      <c r="E1172" s="90">
        <v>44691.0</v>
      </c>
      <c r="F1172" s="105">
        <v>45061.0</v>
      </c>
      <c r="G1172" s="79">
        <f t="shared" si="2"/>
        <v>12.16666667</v>
      </c>
      <c r="H1172" s="90">
        <v>41116.0</v>
      </c>
      <c r="I1172" s="79">
        <f t="shared" si="3"/>
        <v>9.788888889</v>
      </c>
      <c r="J1172" s="106">
        <v>83.0</v>
      </c>
      <c r="K1172" s="106">
        <v>33.5</v>
      </c>
      <c r="L1172" s="82" t="s">
        <v>37</v>
      </c>
      <c r="M1172" s="82"/>
      <c r="N1172" s="82"/>
      <c r="O1172" s="82" t="s">
        <v>107</v>
      </c>
      <c r="P1172" s="107" t="s">
        <v>1943</v>
      </c>
      <c r="Q1172" s="82"/>
      <c r="R1172" s="76"/>
      <c r="S1172" s="90"/>
      <c r="T1172" s="79"/>
      <c r="U1172" s="90"/>
      <c r="V1172" s="79"/>
    </row>
    <row r="1173">
      <c r="A1173" s="53" t="s">
        <v>2824</v>
      </c>
      <c r="B1173" s="54" t="s">
        <v>35</v>
      </c>
      <c r="C1173" s="54" t="s">
        <v>36</v>
      </c>
      <c r="D1173" s="59" t="str">
        <f t="shared" si="66"/>
        <v>Removed</v>
      </c>
      <c r="E1173" s="88">
        <v>44531.0</v>
      </c>
      <c r="F1173" s="120">
        <v>45061.0</v>
      </c>
      <c r="G1173" s="65">
        <f t="shared" si="2"/>
        <v>17.46666667</v>
      </c>
      <c r="H1173" s="88">
        <v>44329.0</v>
      </c>
      <c r="I1173" s="65">
        <f t="shared" si="3"/>
        <v>0.55</v>
      </c>
      <c r="J1173" s="121">
        <v>72.0</v>
      </c>
      <c r="K1173" s="121">
        <v>11.5</v>
      </c>
      <c r="L1173" s="69" t="s">
        <v>64</v>
      </c>
      <c r="M1173" s="69"/>
      <c r="N1173" s="69"/>
      <c r="O1173" s="69" t="s">
        <v>1168</v>
      </c>
      <c r="P1173" s="122" t="s">
        <v>1396</v>
      </c>
      <c r="Q1173" s="69"/>
      <c r="R1173" s="59"/>
      <c r="S1173" s="88"/>
      <c r="T1173" s="65"/>
      <c r="U1173" s="88"/>
      <c r="V1173" s="65"/>
    </row>
    <row r="1174">
      <c r="A1174" s="226" t="s">
        <v>2825</v>
      </c>
      <c r="B1174" s="75" t="s">
        <v>35</v>
      </c>
      <c r="C1174" s="75" t="s">
        <v>36</v>
      </c>
      <c r="D1174" s="76" t="str">
        <f t="shared" si="66"/>
        <v>Removed</v>
      </c>
      <c r="E1174" s="77">
        <v>44518.0</v>
      </c>
      <c r="F1174" s="105">
        <v>45061.0</v>
      </c>
      <c r="G1174" s="79">
        <f t="shared" si="2"/>
        <v>17.9</v>
      </c>
      <c r="H1174" s="90">
        <v>43636.0</v>
      </c>
      <c r="I1174" s="79">
        <f t="shared" si="3"/>
        <v>2.411111111</v>
      </c>
      <c r="J1174" s="216">
        <v>80.0</v>
      </c>
      <c r="K1174" s="106">
        <v>4.0</v>
      </c>
      <c r="L1174" s="83" t="s">
        <v>105</v>
      </c>
      <c r="M1174" s="82" t="s">
        <v>1747</v>
      </c>
      <c r="N1174" s="82" t="s">
        <v>2826</v>
      </c>
      <c r="O1174" s="82" t="s">
        <v>107</v>
      </c>
      <c r="P1174" s="107" t="s">
        <v>1733</v>
      </c>
      <c r="Q1174" s="82"/>
      <c r="R1174" s="76"/>
      <c r="S1174" s="90"/>
      <c r="T1174" s="79"/>
      <c r="U1174" s="90"/>
      <c r="V1174" s="79"/>
    </row>
    <row r="1175">
      <c r="A1175" s="207" t="s">
        <v>2827</v>
      </c>
      <c r="B1175" s="59" t="s">
        <v>13</v>
      </c>
      <c r="C1175" s="59"/>
      <c r="D1175" s="59" t="str">
        <f t="shared" si="66"/>
        <v>Removed</v>
      </c>
      <c r="E1175" s="133">
        <v>43784.0</v>
      </c>
      <c r="F1175" s="120">
        <v>45061.0</v>
      </c>
      <c r="G1175" s="65">
        <f t="shared" si="2"/>
        <v>42</v>
      </c>
      <c r="H1175" s="88">
        <v>42527.0</v>
      </c>
      <c r="I1175" s="65">
        <f t="shared" si="3"/>
        <v>3.441666667</v>
      </c>
      <c r="J1175" s="208">
        <v>83.0</v>
      </c>
      <c r="K1175" s="121">
        <v>42.5</v>
      </c>
      <c r="L1175" s="91" t="s">
        <v>81</v>
      </c>
      <c r="M1175" s="91"/>
      <c r="N1175" s="91"/>
      <c r="O1175" s="69" t="s">
        <v>328</v>
      </c>
      <c r="P1175" s="122" t="s">
        <v>2828</v>
      </c>
      <c r="Q1175" s="69"/>
      <c r="R1175" s="54"/>
      <c r="S1175" s="88"/>
      <c r="T1175" s="65"/>
      <c r="U1175" s="88"/>
      <c r="V1175" s="65"/>
    </row>
    <row r="1176">
      <c r="A1176" s="74" t="s">
        <v>2829</v>
      </c>
      <c r="B1176" s="75" t="s">
        <v>2759</v>
      </c>
      <c r="C1176" s="76"/>
      <c r="D1176" s="76" t="s">
        <v>2760</v>
      </c>
      <c r="E1176" s="218">
        <v>45017.0</v>
      </c>
      <c r="F1176" s="77">
        <v>45046.0</v>
      </c>
      <c r="G1176" s="79">
        <f t="shared" si="2"/>
        <v>0.9666666667</v>
      </c>
      <c r="H1176" s="90">
        <v>43972.0</v>
      </c>
      <c r="I1176" s="79">
        <f t="shared" si="3"/>
        <v>2.861111111</v>
      </c>
      <c r="J1176" s="106">
        <v>72.0</v>
      </c>
      <c r="K1176" s="106">
        <v>5.75</v>
      </c>
      <c r="L1176" s="82" t="s">
        <v>64</v>
      </c>
      <c r="M1176" s="82" t="s">
        <v>72</v>
      </c>
      <c r="N1176" s="82"/>
      <c r="O1176" s="82"/>
      <c r="P1176" s="107"/>
      <c r="Q1176" s="82"/>
      <c r="R1176" s="76"/>
      <c r="S1176" s="90"/>
      <c r="T1176" s="79"/>
      <c r="U1176" s="90"/>
      <c r="V1176" s="79"/>
    </row>
    <row r="1177">
      <c r="A1177" s="53" t="s">
        <v>2830</v>
      </c>
      <c r="B1177" s="54" t="s">
        <v>35</v>
      </c>
      <c r="C1177" s="54" t="s">
        <v>100</v>
      </c>
      <c r="D1177" s="59" t="str">
        <f t="shared" ref="D1177:D1182" si="67">IF(E1177&gt;TODAY(),"Coming Soon",IF(F1177="","Active",IF(F1177&gt;TODAY(),"Leaving Soon","Removed")))</f>
        <v>Removed</v>
      </c>
      <c r="E1177" s="88">
        <v>44679.0</v>
      </c>
      <c r="F1177" s="120">
        <v>45046.0</v>
      </c>
      <c r="G1177" s="65">
        <f t="shared" si="2"/>
        <v>12.06666667</v>
      </c>
      <c r="H1177" s="88">
        <v>44147.0</v>
      </c>
      <c r="I1177" s="65">
        <f t="shared" si="3"/>
        <v>1.461111111</v>
      </c>
      <c r="J1177" s="121">
        <f>average(75,79)</f>
        <v>77</v>
      </c>
      <c r="K1177" s="121">
        <v>7.5</v>
      </c>
      <c r="L1177" s="69" t="s">
        <v>135</v>
      </c>
      <c r="M1177" s="69"/>
      <c r="N1177" s="69"/>
      <c r="O1177" s="69" t="s">
        <v>1168</v>
      </c>
      <c r="P1177" s="122" t="s">
        <v>2831</v>
      </c>
      <c r="Q1177" s="69"/>
      <c r="R1177" s="59"/>
      <c r="S1177" s="88"/>
      <c r="T1177" s="65"/>
      <c r="U1177" s="88"/>
      <c r="V1177" s="65"/>
    </row>
    <row r="1178">
      <c r="A1178" s="74" t="s">
        <v>2832</v>
      </c>
      <c r="B1178" s="75" t="s">
        <v>35</v>
      </c>
      <c r="C1178" s="75" t="s">
        <v>36</v>
      </c>
      <c r="D1178" s="76" t="str">
        <f t="shared" si="67"/>
        <v>Removed</v>
      </c>
      <c r="E1178" s="90">
        <v>44679.0</v>
      </c>
      <c r="F1178" s="105">
        <v>45046.0</v>
      </c>
      <c r="G1178" s="79">
        <f t="shared" si="2"/>
        <v>12.06666667</v>
      </c>
      <c r="H1178" s="90">
        <v>44517.0</v>
      </c>
      <c r="I1178" s="79">
        <f t="shared" si="3"/>
        <v>0.4472222222</v>
      </c>
      <c r="J1178" s="106">
        <v>84.0</v>
      </c>
      <c r="K1178" s="106">
        <v>2.0</v>
      </c>
      <c r="L1178" s="82" t="s">
        <v>46</v>
      </c>
      <c r="M1178" s="82"/>
      <c r="N1178" s="82"/>
      <c r="O1178" s="82" t="s">
        <v>107</v>
      </c>
      <c r="P1178" s="107" t="s">
        <v>1803</v>
      </c>
      <c r="Q1178" s="82"/>
      <c r="R1178" s="76"/>
      <c r="S1178" s="90"/>
      <c r="T1178" s="79"/>
      <c r="U1178" s="90"/>
      <c r="V1178" s="79"/>
    </row>
    <row r="1179">
      <c r="A1179" s="53" t="s">
        <v>2833</v>
      </c>
      <c r="B1179" s="54" t="s">
        <v>35</v>
      </c>
      <c r="C1179" s="54" t="s">
        <v>36</v>
      </c>
      <c r="D1179" s="59" t="str">
        <f t="shared" si="67"/>
        <v>Removed</v>
      </c>
      <c r="E1179" s="88">
        <v>44320.0</v>
      </c>
      <c r="F1179" s="120">
        <v>45046.0</v>
      </c>
      <c r="G1179" s="65">
        <f t="shared" si="2"/>
        <v>23.86666667</v>
      </c>
      <c r="H1179" s="88">
        <v>43658.0</v>
      </c>
      <c r="I1179" s="65">
        <f t="shared" si="3"/>
        <v>1.811111111</v>
      </c>
      <c r="J1179" s="121">
        <v>85.0</v>
      </c>
      <c r="K1179" s="121">
        <v>56.0</v>
      </c>
      <c r="L1179" s="69" t="s">
        <v>46</v>
      </c>
      <c r="M1179" s="69"/>
      <c r="N1179" s="69"/>
      <c r="O1179" s="69" t="s">
        <v>1168</v>
      </c>
      <c r="P1179" s="122" t="s">
        <v>2834</v>
      </c>
      <c r="Q1179" s="69"/>
      <c r="R1179" s="59"/>
      <c r="S1179" s="88"/>
      <c r="T1179" s="65"/>
      <c r="U1179" s="88"/>
      <c r="V1179" s="65"/>
    </row>
    <row r="1180">
      <c r="A1180" s="74" t="s">
        <v>2835</v>
      </c>
      <c r="B1180" s="75" t="s">
        <v>35</v>
      </c>
      <c r="C1180" s="75" t="s">
        <v>36</v>
      </c>
      <c r="D1180" s="76" t="str">
        <f t="shared" si="67"/>
        <v>Removed</v>
      </c>
      <c r="E1180" s="90">
        <v>44315.0</v>
      </c>
      <c r="F1180" s="105">
        <v>45046.0</v>
      </c>
      <c r="G1180" s="79">
        <f t="shared" si="2"/>
        <v>24.03333333</v>
      </c>
      <c r="H1180" s="90">
        <v>44040.0</v>
      </c>
      <c r="I1180" s="79">
        <f t="shared" si="3"/>
        <v>0.7527777778</v>
      </c>
      <c r="J1180" s="106">
        <f>(68+71)/2</f>
        <v>69.5</v>
      </c>
      <c r="K1180" s="106">
        <v>7.5</v>
      </c>
      <c r="L1180" s="82" t="s">
        <v>105</v>
      </c>
      <c r="M1180" s="82"/>
      <c r="N1180" s="82"/>
      <c r="O1180" s="82" t="s">
        <v>328</v>
      </c>
      <c r="P1180" s="107" t="s">
        <v>2836</v>
      </c>
      <c r="Q1180" s="82"/>
      <c r="R1180" s="76"/>
      <c r="S1180" s="90"/>
      <c r="T1180" s="79"/>
      <c r="U1180" s="90"/>
      <c r="V1180" s="79"/>
    </row>
    <row r="1181">
      <c r="A1181" s="53" t="s">
        <v>2837</v>
      </c>
      <c r="B1181" s="54" t="s">
        <v>129</v>
      </c>
      <c r="C1181" s="54"/>
      <c r="D1181" s="59" t="str">
        <f t="shared" si="67"/>
        <v>Removed</v>
      </c>
      <c r="E1181" s="88">
        <v>44298.0</v>
      </c>
      <c r="F1181" s="120">
        <v>45046.0</v>
      </c>
      <c r="G1181" s="65">
        <f t="shared" si="2"/>
        <v>24.6</v>
      </c>
      <c r="H1181" s="88">
        <v>44120.0</v>
      </c>
      <c r="I1181" s="65">
        <f t="shared" si="3"/>
        <v>0.4888888889</v>
      </c>
      <c r="J1181" s="121">
        <v>81.0</v>
      </c>
      <c r="K1181" s="121">
        <v>9.0</v>
      </c>
      <c r="L1181" s="69" t="s">
        <v>62</v>
      </c>
      <c r="M1181" s="69"/>
      <c r="N1181" s="69"/>
      <c r="O1181" s="69" t="s">
        <v>1168</v>
      </c>
      <c r="P1181" s="122" t="s">
        <v>1793</v>
      </c>
      <c r="Q1181" s="69"/>
      <c r="R1181" s="59"/>
      <c r="S1181" s="88"/>
      <c r="T1181" s="65"/>
      <c r="U1181" s="88"/>
      <c r="V1181" s="65"/>
    </row>
    <row r="1182">
      <c r="A1182" s="74" t="s">
        <v>2103</v>
      </c>
      <c r="B1182" s="75" t="s">
        <v>35</v>
      </c>
      <c r="C1182" s="75"/>
      <c r="D1182" s="76" t="str">
        <f t="shared" si="67"/>
        <v>Removed</v>
      </c>
      <c r="E1182" s="90">
        <v>44145.0</v>
      </c>
      <c r="F1182" s="105">
        <v>45046.0</v>
      </c>
      <c r="G1182" s="79">
        <f t="shared" si="2"/>
        <v>29.66666667</v>
      </c>
      <c r="H1182" s="90">
        <v>44145.0</v>
      </c>
      <c r="I1182" s="79">
        <f t="shared" si="3"/>
        <v>0</v>
      </c>
      <c r="J1182" s="106">
        <f>(80+88)/2</f>
        <v>84</v>
      </c>
      <c r="K1182" s="106">
        <v>2.5</v>
      </c>
      <c r="L1182" s="82" t="s">
        <v>96</v>
      </c>
      <c r="M1182" s="82" t="s">
        <v>326</v>
      </c>
      <c r="N1182" s="82"/>
      <c r="O1182" s="82" t="s">
        <v>1219</v>
      </c>
      <c r="P1182" s="107"/>
      <c r="Q1182" s="82"/>
      <c r="R1182" s="76"/>
      <c r="S1182" s="90"/>
      <c r="T1182" s="79"/>
      <c r="U1182" s="90"/>
      <c r="V1182" s="79"/>
    </row>
    <row r="1183">
      <c r="A1183" s="53" t="s">
        <v>2838</v>
      </c>
      <c r="B1183" s="54" t="s">
        <v>2759</v>
      </c>
      <c r="C1183" s="59"/>
      <c r="D1183" s="59" t="s">
        <v>2760</v>
      </c>
      <c r="E1183" s="133">
        <v>45001.0</v>
      </c>
      <c r="F1183" s="61">
        <v>45031.0</v>
      </c>
      <c r="G1183" s="65">
        <f t="shared" si="2"/>
        <v>0.9666666667</v>
      </c>
      <c r="H1183" s="88">
        <v>44994.0</v>
      </c>
      <c r="I1183" s="65">
        <f t="shared" si="3"/>
        <v>0.01944444444</v>
      </c>
      <c r="J1183" s="121">
        <v>75.0</v>
      </c>
      <c r="K1183" s="121">
        <v>5.0</v>
      </c>
      <c r="L1183" s="69" t="s">
        <v>112</v>
      </c>
      <c r="M1183" s="69"/>
      <c r="N1183" s="69" t="s">
        <v>2761</v>
      </c>
      <c r="O1183" s="69"/>
      <c r="P1183" s="122"/>
      <c r="Q1183" s="69"/>
      <c r="R1183" s="59"/>
      <c r="S1183" s="88"/>
      <c r="T1183" s="65"/>
      <c r="U1183" s="88"/>
      <c r="V1183" s="65"/>
    </row>
    <row r="1184">
      <c r="A1184" s="74" t="s">
        <v>2839</v>
      </c>
      <c r="B1184" s="75" t="s">
        <v>35</v>
      </c>
      <c r="C1184" s="75" t="s">
        <v>100</v>
      </c>
      <c r="D1184" s="76" t="str">
        <f t="shared" ref="D1184:D1188" si="68">IF(E1184&gt;TODAY(),"Coming Soon",IF(F1184="","Active",IF(F1184&gt;TODAY(),"Leaving Soon","Removed")))</f>
        <v>Removed</v>
      </c>
      <c r="E1184" s="90">
        <v>44663.0</v>
      </c>
      <c r="F1184" s="105">
        <v>45031.0</v>
      </c>
      <c r="G1184" s="79">
        <f t="shared" si="2"/>
        <v>12.1</v>
      </c>
      <c r="H1184" s="90">
        <v>44449.0</v>
      </c>
      <c r="I1184" s="79">
        <f t="shared" si="3"/>
        <v>0.5888888889</v>
      </c>
      <c r="J1184" s="106">
        <v>79.0</v>
      </c>
      <c r="K1184" s="106">
        <v>10.0</v>
      </c>
      <c r="L1184" s="82" t="s">
        <v>135</v>
      </c>
      <c r="M1184" s="82"/>
      <c r="N1184" s="82"/>
      <c r="O1184" s="82" t="s">
        <v>107</v>
      </c>
      <c r="P1184" s="107" t="s">
        <v>2840</v>
      </c>
      <c r="Q1184" s="82" t="s">
        <v>2841</v>
      </c>
      <c r="R1184" s="76"/>
      <c r="S1184" s="90"/>
      <c r="T1184" s="79"/>
      <c r="U1184" s="90"/>
      <c r="V1184" s="79"/>
    </row>
    <row r="1185">
      <c r="A1185" s="53" t="s">
        <v>2842</v>
      </c>
      <c r="B1185" s="54" t="s">
        <v>13</v>
      </c>
      <c r="C1185" s="54"/>
      <c r="D1185" s="59" t="str">
        <f t="shared" si="68"/>
        <v>Removed</v>
      </c>
      <c r="E1185" s="88">
        <v>44663.0</v>
      </c>
      <c r="F1185" s="120">
        <v>45031.0</v>
      </c>
      <c r="G1185" s="65">
        <f t="shared" si="2"/>
        <v>12.1</v>
      </c>
      <c r="H1185" s="88">
        <v>43909.0</v>
      </c>
      <c r="I1185" s="65">
        <f t="shared" si="3"/>
        <v>2.063888889</v>
      </c>
      <c r="J1185" s="121">
        <v>86.0</v>
      </c>
      <c r="K1185" s="121">
        <v>59.5</v>
      </c>
      <c r="L1185" s="69" t="s">
        <v>81</v>
      </c>
      <c r="M1185" s="69"/>
      <c r="N1185" s="69"/>
      <c r="O1185" s="69" t="s">
        <v>1168</v>
      </c>
      <c r="P1185" s="122" t="s">
        <v>2843</v>
      </c>
      <c r="Q1185" s="69"/>
      <c r="R1185" s="54"/>
      <c r="S1185" s="88"/>
      <c r="T1185" s="65"/>
      <c r="U1185" s="88"/>
      <c r="V1185" s="65"/>
    </row>
    <row r="1186">
      <c r="A1186" s="74" t="s">
        <v>2844</v>
      </c>
      <c r="B1186" s="75" t="s">
        <v>35</v>
      </c>
      <c r="C1186" s="75" t="s">
        <v>100</v>
      </c>
      <c r="D1186" s="76" t="str">
        <f t="shared" si="68"/>
        <v>Removed</v>
      </c>
      <c r="E1186" s="90">
        <v>44637.0</v>
      </c>
      <c r="F1186" s="105">
        <v>45031.0</v>
      </c>
      <c r="G1186" s="79">
        <f t="shared" si="2"/>
        <v>12.93333333</v>
      </c>
      <c r="H1186" s="90">
        <v>44070.0</v>
      </c>
      <c r="I1186" s="79">
        <f t="shared" si="3"/>
        <v>1.555555556</v>
      </c>
      <c r="J1186" s="106">
        <f>average(72,77)</f>
        <v>74.5</v>
      </c>
      <c r="K1186" s="106">
        <v>31.0</v>
      </c>
      <c r="L1186" s="82" t="s">
        <v>46</v>
      </c>
      <c r="M1186" s="82"/>
      <c r="N1186" s="82"/>
      <c r="O1186" s="82" t="s">
        <v>107</v>
      </c>
      <c r="P1186" s="107" t="s">
        <v>2845</v>
      </c>
      <c r="Q1186" s="82"/>
      <c r="R1186" s="76"/>
      <c r="S1186" s="90"/>
      <c r="T1186" s="79"/>
      <c r="U1186" s="90"/>
      <c r="V1186" s="79"/>
    </row>
    <row r="1187">
      <c r="A1187" s="53" t="s">
        <v>2846</v>
      </c>
      <c r="B1187" s="54" t="s">
        <v>35</v>
      </c>
      <c r="C1187" s="54" t="s">
        <v>100</v>
      </c>
      <c r="D1187" s="59" t="str">
        <f t="shared" si="68"/>
        <v>Removed</v>
      </c>
      <c r="E1187" s="88">
        <v>44495.0</v>
      </c>
      <c r="F1187" s="120">
        <v>45031.0</v>
      </c>
      <c r="G1187" s="65">
        <f t="shared" si="2"/>
        <v>17.63333333</v>
      </c>
      <c r="H1187" s="88">
        <v>44495.0</v>
      </c>
      <c r="I1187" s="65">
        <f t="shared" si="3"/>
        <v>0</v>
      </c>
      <c r="J1187" s="121">
        <f>(72+79)/2</f>
        <v>75.5</v>
      </c>
      <c r="K1187" s="121">
        <v>23.0</v>
      </c>
      <c r="L1187" s="69" t="s">
        <v>46</v>
      </c>
      <c r="M1187" s="69" t="s">
        <v>326</v>
      </c>
      <c r="N1187" s="69"/>
      <c r="O1187" s="69" t="s">
        <v>1219</v>
      </c>
      <c r="P1187" s="122"/>
      <c r="Q1187" s="69"/>
      <c r="R1187" s="59"/>
      <c r="S1187" s="88"/>
      <c r="T1187" s="65"/>
      <c r="U1187" s="88"/>
      <c r="V1187" s="65"/>
    </row>
    <row r="1188">
      <c r="A1188" s="74" t="s">
        <v>2847</v>
      </c>
      <c r="B1188" s="75" t="s">
        <v>35</v>
      </c>
      <c r="C1188" s="75" t="s">
        <v>36</v>
      </c>
      <c r="D1188" s="76" t="str">
        <f t="shared" si="68"/>
        <v>Removed</v>
      </c>
      <c r="E1188" s="90">
        <v>44483.0</v>
      </c>
      <c r="F1188" s="105">
        <v>45031.0</v>
      </c>
      <c r="G1188" s="79">
        <f t="shared" si="2"/>
        <v>18.03333333</v>
      </c>
      <c r="H1188" s="90">
        <v>44483.0</v>
      </c>
      <c r="I1188" s="79">
        <f t="shared" si="3"/>
        <v>0</v>
      </c>
      <c r="J1188" s="106">
        <f>(79+82)/2</f>
        <v>80.5</v>
      </c>
      <c r="K1188" s="106">
        <v>21.5</v>
      </c>
      <c r="L1188" s="82" t="s">
        <v>105</v>
      </c>
      <c r="M1188" s="82" t="s">
        <v>1919</v>
      </c>
      <c r="N1188" s="82"/>
      <c r="O1188" s="82" t="s">
        <v>328</v>
      </c>
      <c r="P1188" s="107" t="s">
        <v>108</v>
      </c>
      <c r="Q1188" s="82" t="s">
        <v>2848</v>
      </c>
      <c r="R1188" s="76"/>
      <c r="S1188" s="90"/>
      <c r="T1188" s="79"/>
      <c r="U1188" s="90"/>
      <c r="V1188" s="79"/>
    </row>
    <row r="1189">
      <c r="A1189" s="53" t="s">
        <v>2849</v>
      </c>
      <c r="B1189" s="54" t="s">
        <v>2759</v>
      </c>
      <c r="C1189" s="59"/>
      <c r="D1189" s="59" t="s">
        <v>2760</v>
      </c>
      <c r="E1189" s="133">
        <v>44986.0</v>
      </c>
      <c r="F1189" s="61">
        <v>45016.0</v>
      </c>
      <c r="G1189" s="65">
        <f t="shared" si="2"/>
        <v>0.9666666667</v>
      </c>
      <c r="H1189" s="88">
        <v>42850.0</v>
      </c>
      <c r="I1189" s="65">
        <f t="shared" si="3"/>
        <v>5.85</v>
      </c>
      <c r="J1189" s="121">
        <v>70.0</v>
      </c>
      <c r="K1189" s="121">
        <v>5.5</v>
      </c>
      <c r="L1189" s="69" t="s">
        <v>135</v>
      </c>
      <c r="M1189" s="69"/>
      <c r="N1189" s="69"/>
      <c r="O1189" s="69"/>
      <c r="P1189" s="122"/>
      <c r="Q1189" s="69"/>
      <c r="R1189" s="59"/>
      <c r="S1189" s="88"/>
      <c r="T1189" s="65"/>
      <c r="U1189" s="88"/>
      <c r="V1189" s="65"/>
    </row>
    <row r="1190">
      <c r="A1190" s="74" t="s">
        <v>2850</v>
      </c>
      <c r="B1190" s="75" t="s">
        <v>2759</v>
      </c>
      <c r="C1190" s="76"/>
      <c r="D1190" s="76" t="s">
        <v>2760</v>
      </c>
      <c r="E1190" s="218">
        <v>44986.0</v>
      </c>
      <c r="F1190" s="77">
        <v>45016.0</v>
      </c>
      <c r="G1190" s="79">
        <f t="shared" si="2"/>
        <v>0.9666666667</v>
      </c>
      <c r="H1190" s="90">
        <v>42986.0</v>
      </c>
      <c r="I1190" s="79">
        <f t="shared" si="3"/>
        <v>5.480555556</v>
      </c>
      <c r="J1190" s="106">
        <v>64.0</v>
      </c>
      <c r="K1190" s="106">
        <v>30.5</v>
      </c>
      <c r="L1190" s="82" t="s">
        <v>81</v>
      </c>
      <c r="M1190" s="82"/>
      <c r="N1190" s="82" t="s">
        <v>2761</v>
      </c>
      <c r="O1190" s="82"/>
      <c r="P1190" s="107"/>
      <c r="Q1190" s="82"/>
      <c r="R1190" s="76"/>
      <c r="S1190" s="90"/>
      <c r="T1190" s="79"/>
      <c r="U1190" s="90"/>
      <c r="V1190" s="79"/>
    </row>
    <row r="1191">
      <c r="A1191" s="53" t="s">
        <v>2851</v>
      </c>
      <c r="B1191" s="54" t="s">
        <v>35</v>
      </c>
      <c r="C1191" s="54" t="s">
        <v>100</v>
      </c>
      <c r="D1191" s="59" t="str">
        <f t="shared" ref="D1191:D1197" si="69">IF(E1191&gt;TODAY(),"Coming Soon",IF(F1191="","Active",IF(F1191&gt;TODAY(),"Leaving Soon","Removed")))</f>
        <v>Removed</v>
      </c>
      <c r="E1191" s="88">
        <v>44658.0</v>
      </c>
      <c r="F1191" s="120">
        <v>45016.0</v>
      </c>
      <c r="G1191" s="65">
        <f t="shared" si="2"/>
        <v>11.76666667</v>
      </c>
      <c r="H1191" s="88">
        <v>44658.0</v>
      </c>
      <c r="I1191" s="65">
        <f t="shared" si="3"/>
        <v>0</v>
      </c>
      <c r="J1191" s="121">
        <v>67.0</v>
      </c>
      <c r="K1191" s="121">
        <v>7.0</v>
      </c>
      <c r="L1191" s="69" t="s">
        <v>135</v>
      </c>
      <c r="M1191" s="69"/>
      <c r="N1191" s="69"/>
      <c r="O1191" s="69" t="s">
        <v>328</v>
      </c>
      <c r="P1191" s="122" t="s">
        <v>2852</v>
      </c>
      <c r="Q1191" s="69"/>
      <c r="R1191" s="59"/>
      <c r="S1191" s="88"/>
      <c r="T1191" s="65"/>
      <c r="U1191" s="88"/>
      <c r="V1191" s="65"/>
    </row>
    <row r="1192">
      <c r="A1192" s="74" t="s">
        <v>2127</v>
      </c>
      <c r="B1192" s="75" t="s">
        <v>129</v>
      </c>
      <c r="C1192" s="75" t="s">
        <v>100</v>
      </c>
      <c r="D1192" s="76" t="str">
        <f t="shared" si="69"/>
        <v>Removed</v>
      </c>
      <c r="E1192" s="90">
        <v>44656.0</v>
      </c>
      <c r="F1192" s="105">
        <v>45016.0</v>
      </c>
      <c r="G1192" s="79">
        <f t="shared" si="2"/>
        <v>11.83333333</v>
      </c>
      <c r="H1192" s="90">
        <v>44656.0</v>
      </c>
      <c r="I1192" s="79">
        <f t="shared" si="3"/>
        <v>0</v>
      </c>
      <c r="J1192" s="106">
        <v>80.0</v>
      </c>
      <c r="K1192" s="106">
        <v>214.0</v>
      </c>
      <c r="L1192" s="82" t="s">
        <v>62</v>
      </c>
      <c r="M1192" s="82"/>
      <c r="N1192" s="82"/>
      <c r="O1192" s="82" t="s">
        <v>1219</v>
      </c>
      <c r="P1192" s="107"/>
      <c r="Q1192" s="82"/>
      <c r="R1192" s="76"/>
      <c r="S1192" s="90"/>
      <c r="T1192" s="79"/>
      <c r="U1192" s="90"/>
      <c r="V1192" s="79"/>
    </row>
    <row r="1193">
      <c r="A1193" s="53" t="s">
        <v>2853</v>
      </c>
      <c r="B1193" s="54" t="s">
        <v>35</v>
      </c>
      <c r="C1193" s="54" t="s">
        <v>100</v>
      </c>
      <c r="D1193" s="59" t="str">
        <f t="shared" si="69"/>
        <v>Removed</v>
      </c>
      <c r="E1193" s="88">
        <v>44644.0</v>
      </c>
      <c r="F1193" s="120">
        <v>45016.0</v>
      </c>
      <c r="G1193" s="65">
        <f t="shared" si="2"/>
        <v>12.2</v>
      </c>
      <c r="H1193" s="88">
        <v>44644.0</v>
      </c>
      <c r="I1193" s="65">
        <f t="shared" si="3"/>
        <v>0</v>
      </c>
      <c r="J1193" s="121">
        <v>74.0</v>
      </c>
      <c r="K1193" s="121">
        <v>1.0</v>
      </c>
      <c r="L1193" s="69" t="s">
        <v>135</v>
      </c>
      <c r="M1193" s="69"/>
      <c r="N1193" s="69"/>
      <c r="O1193" s="69" t="s">
        <v>1219</v>
      </c>
      <c r="P1193" s="122"/>
      <c r="Q1193" s="69"/>
      <c r="R1193" s="59"/>
      <c r="S1193" s="88"/>
      <c r="T1193" s="65"/>
      <c r="U1193" s="88"/>
      <c r="V1193" s="65"/>
    </row>
    <row r="1194">
      <c r="A1194" s="74" t="s">
        <v>2854</v>
      </c>
      <c r="B1194" s="75" t="s">
        <v>35</v>
      </c>
      <c r="C1194" s="75" t="s">
        <v>100</v>
      </c>
      <c r="D1194" s="76" t="str">
        <f t="shared" si="69"/>
        <v>Removed</v>
      </c>
      <c r="E1194" s="90">
        <v>44642.0</v>
      </c>
      <c r="F1194" s="105">
        <v>45016.0</v>
      </c>
      <c r="G1194" s="79">
        <f t="shared" si="2"/>
        <v>12.26666667</v>
      </c>
      <c r="H1194" s="90">
        <v>44642.0</v>
      </c>
      <c r="I1194" s="79">
        <f t="shared" si="3"/>
        <v>0</v>
      </c>
      <c r="J1194" s="106">
        <f>average(50,70)</f>
        <v>60</v>
      </c>
      <c r="K1194" s="106">
        <v>7.5</v>
      </c>
      <c r="L1194" s="82" t="s">
        <v>135</v>
      </c>
      <c r="M1194" s="82"/>
      <c r="N1194" s="82"/>
      <c r="O1194" s="82" t="s">
        <v>1168</v>
      </c>
      <c r="P1194" s="107" t="s">
        <v>1937</v>
      </c>
      <c r="Q1194" s="82"/>
      <c r="R1194" s="76"/>
      <c r="S1194" s="90"/>
      <c r="T1194" s="79"/>
      <c r="U1194" s="90"/>
      <c r="V1194" s="79"/>
    </row>
    <row r="1195">
      <c r="A1195" s="207" t="s">
        <v>2086</v>
      </c>
      <c r="B1195" s="54" t="s">
        <v>35</v>
      </c>
      <c r="C1195" s="54" t="s">
        <v>36</v>
      </c>
      <c r="D1195" s="59" t="str">
        <f t="shared" si="69"/>
        <v>Removed</v>
      </c>
      <c r="E1195" s="133">
        <v>43916.0</v>
      </c>
      <c r="F1195" s="120">
        <v>45016.0</v>
      </c>
      <c r="G1195" s="65">
        <f t="shared" si="2"/>
        <v>36.13333333</v>
      </c>
      <c r="H1195" s="88">
        <v>43550.0</v>
      </c>
      <c r="I1195" s="65">
        <f t="shared" si="3"/>
        <v>1</v>
      </c>
      <c r="J1195" s="208">
        <v>53.0</v>
      </c>
      <c r="K1195" s="121">
        <v>2.0</v>
      </c>
      <c r="L1195" s="91" t="s">
        <v>52</v>
      </c>
      <c r="M1195" s="69" t="s">
        <v>1747</v>
      </c>
      <c r="N1195" s="91"/>
      <c r="O1195" s="69" t="s">
        <v>328</v>
      </c>
      <c r="P1195" s="122" t="s">
        <v>1378</v>
      </c>
      <c r="Q1195" s="69"/>
      <c r="R1195" s="59"/>
      <c r="S1195" s="88"/>
      <c r="T1195" s="65"/>
      <c r="U1195" s="88"/>
      <c r="V1195" s="65"/>
    </row>
    <row r="1196">
      <c r="A1196" s="226" t="s">
        <v>2855</v>
      </c>
      <c r="B1196" s="75" t="s">
        <v>35</v>
      </c>
      <c r="C1196" s="75" t="s">
        <v>36</v>
      </c>
      <c r="D1196" s="76" t="str">
        <f t="shared" si="69"/>
        <v>Removed</v>
      </c>
      <c r="E1196" s="218">
        <v>43191.0</v>
      </c>
      <c r="F1196" s="105">
        <v>45016.0</v>
      </c>
      <c r="G1196" s="79">
        <f t="shared" si="2"/>
        <v>59.96666667</v>
      </c>
      <c r="H1196" s="90">
        <v>42640.0</v>
      </c>
      <c r="I1196" s="79">
        <f t="shared" si="3"/>
        <v>1.511111111</v>
      </c>
      <c r="J1196" s="216">
        <v>69.0</v>
      </c>
      <c r="K1196" s="106">
        <v>3.5</v>
      </c>
      <c r="L1196" s="83" t="s">
        <v>57</v>
      </c>
      <c r="M1196" s="83"/>
      <c r="N1196" s="83"/>
      <c r="O1196" s="82" t="s">
        <v>1219</v>
      </c>
      <c r="P1196" s="107" t="s">
        <v>1793</v>
      </c>
      <c r="Q1196" s="82"/>
      <c r="R1196" s="76"/>
      <c r="S1196" s="90"/>
      <c r="T1196" s="79"/>
      <c r="U1196" s="90"/>
      <c r="V1196" s="79"/>
    </row>
    <row r="1197">
      <c r="A1197" s="207" t="s">
        <v>2856</v>
      </c>
      <c r="B1197" s="54" t="s">
        <v>129</v>
      </c>
      <c r="C1197" s="54" t="s">
        <v>100</v>
      </c>
      <c r="D1197" s="59" t="str">
        <f t="shared" si="69"/>
        <v>Removed</v>
      </c>
      <c r="E1197" s="133">
        <v>42887.0</v>
      </c>
      <c r="F1197" s="120">
        <v>45016.0</v>
      </c>
      <c r="G1197" s="65">
        <f t="shared" si="2"/>
        <v>69.96666667</v>
      </c>
      <c r="H1197" s="88">
        <v>41163.0</v>
      </c>
      <c r="I1197" s="65">
        <f t="shared" si="3"/>
        <v>4.722222222</v>
      </c>
      <c r="J1197" s="208">
        <v>66.0</v>
      </c>
      <c r="K1197" s="121">
        <v>3.5</v>
      </c>
      <c r="L1197" s="91" t="s">
        <v>135</v>
      </c>
      <c r="M1197" s="91"/>
      <c r="N1197" s="91"/>
      <c r="O1197" s="239" t="s">
        <v>328</v>
      </c>
      <c r="P1197" s="122" t="s">
        <v>2857</v>
      </c>
      <c r="Q1197" s="69"/>
      <c r="R1197" s="59"/>
      <c r="S1197" s="88"/>
      <c r="T1197" s="65"/>
      <c r="U1197" s="88"/>
      <c r="V1197" s="65"/>
    </row>
    <row r="1198">
      <c r="A1198" s="74" t="s">
        <v>2858</v>
      </c>
      <c r="B1198" s="75" t="s">
        <v>2759</v>
      </c>
      <c r="C1198" s="76"/>
      <c r="D1198" s="76" t="s">
        <v>2760</v>
      </c>
      <c r="E1198" s="218">
        <v>44973.0</v>
      </c>
      <c r="F1198" s="77">
        <v>45000.0</v>
      </c>
      <c r="G1198" s="79">
        <f t="shared" si="2"/>
        <v>0.9666666667</v>
      </c>
      <c r="H1198" s="90">
        <v>44406.0</v>
      </c>
      <c r="I1198" s="79">
        <f t="shared" si="3"/>
        <v>1.547222222</v>
      </c>
      <c r="J1198" s="106">
        <v>65.0</v>
      </c>
      <c r="K1198" s="106">
        <v>1.0</v>
      </c>
      <c r="L1198" s="82" t="s">
        <v>62</v>
      </c>
      <c r="M1198" s="82"/>
      <c r="N1198" s="82"/>
      <c r="O1198" s="82"/>
      <c r="P1198" s="107"/>
      <c r="Q1198" s="82"/>
      <c r="R1198" s="76"/>
      <c r="S1198" s="90"/>
      <c r="T1198" s="79"/>
      <c r="U1198" s="90"/>
      <c r="V1198" s="79"/>
    </row>
    <row r="1199">
      <c r="A1199" s="53" t="s">
        <v>2859</v>
      </c>
      <c r="B1199" s="54" t="s">
        <v>35</v>
      </c>
      <c r="C1199" s="54" t="s">
        <v>100</v>
      </c>
      <c r="D1199" s="59" t="str">
        <f t="shared" ref="D1199:D1205" si="70">IF(E1199&gt;TODAY(),"Coming Soon",IF(F1199="","Active",IF(F1199&gt;TODAY(),"Leaving Soon","Removed")))</f>
        <v>Removed</v>
      </c>
      <c r="E1199" s="88">
        <v>44642.0</v>
      </c>
      <c r="F1199" s="120">
        <v>45000.0</v>
      </c>
      <c r="G1199" s="65">
        <f t="shared" si="2"/>
        <v>11.76666667</v>
      </c>
      <c r="H1199" s="88">
        <v>42818.0</v>
      </c>
      <c r="I1199" s="65">
        <f t="shared" si="3"/>
        <v>4.994444444</v>
      </c>
      <c r="J1199" s="121">
        <v>86.0</v>
      </c>
      <c r="K1199" s="121">
        <v>33.5</v>
      </c>
      <c r="L1199" s="69" t="s">
        <v>135</v>
      </c>
      <c r="M1199" s="69"/>
      <c r="N1199" s="69"/>
      <c r="O1199" s="69" t="s">
        <v>107</v>
      </c>
      <c r="P1199" s="122" t="s">
        <v>2860</v>
      </c>
      <c r="Q1199" s="69"/>
      <c r="R1199" s="59"/>
      <c r="S1199" s="88"/>
      <c r="T1199" s="65"/>
      <c r="U1199" s="88"/>
      <c r="V1199" s="65"/>
    </row>
    <row r="1200">
      <c r="A1200" s="74" t="s">
        <v>2861</v>
      </c>
      <c r="B1200" s="75" t="s">
        <v>35</v>
      </c>
      <c r="C1200" s="75" t="s">
        <v>100</v>
      </c>
      <c r="D1200" s="76" t="str">
        <f t="shared" si="70"/>
        <v>Removed</v>
      </c>
      <c r="E1200" s="90">
        <v>44636.0</v>
      </c>
      <c r="F1200" s="105">
        <v>45000.0</v>
      </c>
      <c r="G1200" s="79">
        <f t="shared" si="2"/>
        <v>11.96666667</v>
      </c>
      <c r="H1200" s="90">
        <v>44098.0</v>
      </c>
      <c r="I1200" s="79">
        <f t="shared" si="3"/>
        <v>1.477777778</v>
      </c>
      <c r="J1200" s="106">
        <v>81.0</v>
      </c>
      <c r="K1200" s="106">
        <v>12.0</v>
      </c>
      <c r="L1200" s="82" t="s">
        <v>135</v>
      </c>
      <c r="M1200" s="82"/>
      <c r="N1200" s="82"/>
      <c r="O1200" s="82" t="s">
        <v>107</v>
      </c>
      <c r="P1200" s="107" t="s">
        <v>2862</v>
      </c>
      <c r="Q1200" s="82"/>
      <c r="R1200" s="76"/>
      <c r="S1200" s="90"/>
      <c r="T1200" s="79"/>
      <c r="U1200" s="90"/>
      <c r="V1200" s="79"/>
    </row>
    <row r="1201">
      <c r="A1201" s="53" t="s">
        <v>2863</v>
      </c>
      <c r="B1201" s="54" t="s">
        <v>35</v>
      </c>
      <c r="C1201" s="54" t="s">
        <v>100</v>
      </c>
      <c r="D1201" s="59" t="str">
        <f t="shared" si="70"/>
        <v>Removed</v>
      </c>
      <c r="E1201" s="88">
        <v>44630.0</v>
      </c>
      <c r="F1201" s="120">
        <v>45000.0</v>
      </c>
      <c r="G1201" s="65">
        <f t="shared" si="2"/>
        <v>12.16666667</v>
      </c>
      <c r="H1201" s="88">
        <v>41327.0</v>
      </c>
      <c r="I1201" s="65">
        <f t="shared" si="3"/>
        <v>9.05</v>
      </c>
      <c r="J1201" s="121">
        <f>average(86,87)</f>
        <v>86.5</v>
      </c>
      <c r="K1201" s="121">
        <v>10.0</v>
      </c>
      <c r="L1201" s="69" t="s">
        <v>135</v>
      </c>
      <c r="M1201" s="69"/>
      <c r="N1201" s="69"/>
      <c r="O1201" s="69" t="s">
        <v>328</v>
      </c>
      <c r="P1201" s="122" t="s">
        <v>2864</v>
      </c>
      <c r="Q1201" s="69"/>
      <c r="R1201" s="59"/>
      <c r="S1201" s="88"/>
      <c r="T1201" s="65"/>
      <c r="U1201" s="88"/>
      <c r="V1201" s="65"/>
    </row>
    <row r="1202">
      <c r="A1202" s="74" t="s">
        <v>2183</v>
      </c>
      <c r="B1202" s="75" t="s">
        <v>35</v>
      </c>
      <c r="C1202" s="75" t="s">
        <v>36</v>
      </c>
      <c r="D1202" s="76" t="str">
        <f t="shared" si="70"/>
        <v>Removed</v>
      </c>
      <c r="E1202" s="90">
        <v>44630.0</v>
      </c>
      <c r="F1202" s="105">
        <v>45000.0</v>
      </c>
      <c r="G1202" s="79">
        <f t="shared" si="2"/>
        <v>12.16666667</v>
      </c>
      <c r="H1202" s="90">
        <v>44495.0</v>
      </c>
      <c r="I1202" s="79">
        <f t="shared" si="3"/>
        <v>0.3722222222</v>
      </c>
      <c r="J1202" s="106">
        <f>average(78,84)</f>
        <v>81</v>
      </c>
      <c r="K1202" s="106">
        <v>17.0</v>
      </c>
      <c r="L1202" s="82" t="s">
        <v>41</v>
      </c>
      <c r="M1202" s="82"/>
      <c r="N1202" s="82"/>
      <c r="O1202" s="82" t="s">
        <v>328</v>
      </c>
      <c r="P1202" s="107" t="s">
        <v>2865</v>
      </c>
      <c r="Q1202" s="272"/>
      <c r="R1202" s="76"/>
      <c r="S1202" s="90"/>
      <c r="T1202" s="79"/>
      <c r="U1202" s="90"/>
      <c r="V1202" s="79"/>
    </row>
    <row r="1203">
      <c r="A1203" s="53" t="s">
        <v>2866</v>
      </c>
      <c r="B1203" s="54" t="s">
        <v>35</v>
      </c>
      <c r="C1203" s="54" t="s">
        <v>100</v>
      </c>
      <c r="D1203" s="59" t="str">
        <f t="shared" si="70"/>
        <v>Removed</v>
      </c>
      <c r="E1203" s="88">
        <v>44630.0</v>
      </c>
      <c r="F1203" s="120">
        <v>45000.0</v>
      </c>
      <c r="G1203" s="65">
        <f t="shared" si="2"/>
        <v>12.16666667</v>
      </c>
      <c r="H1203" s="88">
        <v>44425.0</v>
      </c>
      <c r="I1203" s="65">
        <f t="shared" si="3"/>
        <v>0.5638888889</v>
      </c>
      <c r="J1203" s="121">
        <v>83.0</v>
      </c>
      <c r="K1203" s="121">
        <v>21.5</v>
      </c>
      <c r="L1203" s="69" t="s">
        <v>41</v>
      </c>
      <c r="M1203" s="69"/>
      <c r="N1203" s="69"/>
      <c r="O1203" s="69" t="s">
        <v>107</v>
      </c>
      <c r="P1203" s="122" t="s">
        <v>2867</v>
      </c>
      <c r="Q1203" s="69"/>
      <c r="R1203" s="59"/>
      <c r="S1203" s="88"/>
      <c r="T1203" s="65"/>
      <c r="U1203" s="88"/>
      <c r="V1203" s="65"/>
    </row>
    <row r="1204">
      <c r="A1204" s="74" t="s">
        <v>2868</v>
      </c>
      <c r="B1204" s="75" t="s">
        <v>129</v>
      </c>
      <c r="C1204" s="75"/>
      <c r="D1204" s="76" t="str">
        <f t="shared" si="70"/>
        <v>Removed</v>
      </c>
      <c r="E1204" s="90">
        <v>44418.0</v>
      </c>
      <c r="F1204" s="105">
        <v>45000.0</v>
      </c>
      <c r="G1204" s="79">
        <f t="shared" si="2"/>
        <v>19.16666667</v>
      </c>
      <c r="H1204" s="90">
        <v>44022.0</v>
      </c>
      <c r="I1204" s="79">
        <f t="shared" si="3"/>
        <v>1.083333333</v>
      </c>
      <c r="J1204" s="106">
        <v>91.0</v>
      </c>
      <c r="K1204" s="106">
        <v>31.5</v>
      </c>
      <c r="L1204" s="82" t="s">
        <v>55</v>
      </c>
      <c r="M1204" s="82"/>
      <c r="N1204" s="82"/>
      <c r="O1204" s="82" t="s">
        <v>1219</v>
      </c>
      <c r="P1204" s="107"/>
      <c r="Q1204" s="82"/>
      <c r="R1204" s="76"/>
      <c r="S1204" s="90"/>
      <c r="T1204" s="79"/>
      <c r="U1204" s="90"/>
      <c r="V1204" s="79"/>
    </row>
    <row r="1205">
      <c r="A1205" s="207" t="s">
        <v>2869</v>
      </c>
      <c r="B1205" s="54" t="s">
        <v>35</v>
      </c>
      <c r="C1205" s="54" t="s">
        <v>36</v>
      </c>
      <c r="D1205" s="59" t="str">
        <f t="shared" si="70"/>
        <v>Removed</v>
      </c>
      <c r="E1205" s="133">
        <v>43650.0</v>
      </c>
      <c r="F1205" s="120">
        <v>45000.0</v>
      </c>
      <c r="G1205" s="65">
        <f t="shared" si="2"/>
        <v>44.36666667</v>
      </c>
      <c r="H1205" s="88">
        <v>42262.0</v>
      </c>
      <c r="I1205" s="65">
        <f t="shared" si="3"/>
        <v>3.802777778</v>
      </c>
      <c r="J1205" s="208">
        <v>92.0</v>
      </c>
      <c r="K1205" s="121">
        <v>6.5</v>
      </c>
      <c r="L1205" s="69" t="s">
        <v>46</v>
      </c>
      <c r="M1205" s="69"/>
      <c r="N1205" s="69"/>
      <c r="O1205" s="69" t="s">
        <v>1168</v>
      </c>
      <c r="P1205" s="122" t="s">
        <v>2870</v>
      </c>
      <c r="Q1205" s="69"/>
      <c r="R1205" s="59"/>
      <c r="S1205" s="88"/>
      <c r="T1205" s="65"/>
      <c r="U1205" s="88"/>
      <c r="V1205" s="65"/>
    </row>
    <row r="1206">
      <c r="A1206" s="74" t="s">
        <v>2871</v>
      </c>
      <c r="B1206" s="75" t="s">
        <v>2759</v>
      </c>
      <c r="C1206" s="76"/>
      <c r="D1206" s="76" t="s">
        <v>2760</v>
      </c>
      <c r="E1206" s="218">
        <v>44958.0</v>
      </c>
      <c r="F1206" s="77">
        <v>44985.0</v>
      </c>
      <c r="G1206" s="79">
        <f t="shared" si="2"/>
        <v>0.9</v>
      </c>
      <c r="H1206" s="90">
        <v>43208.0</v>
      </c>
      <c r="I1206" s="79">
        <f t="shared" si="3"/>
        <v>4.786111111</v>
      </c>
      <c r="J1206" s="106">
        <v>78.0</v>
      </c>
      <c r="K1206" s="106">
        <v>12.0</v>
      </c>
      <c r="L1206" s="82" t="s">
        <v>81</v>
      </c>
      <c r="M1206" s="82"/>
      <c r="N1206" s="82"/>
      <c r="O1206" s="82"/>
      <c r="P1206" s="107"/>
      <c r="Q1206" s="82"/>
      <c r="R1206" s="76"/>
      <c r="S1206" s="90"/>
      <c r="T1206" s="79"/>
      <c r="U1206" s="90"/>
      <c r="V1206" s="79"/>
    </row>
    <row r="1207">
      <c r="A1207" s="53" t="s">
        <v>2872</v>
      </c>
      <c r="B1207" s="54" t="s">
        <v>35</v>
      </c>
      <c r="C1207" s="54"/>
      <c r="D1207" s="59" t="str">
        <f t="shared" ref="D1207:D1212" si="71">IF(E1207&gt;TODAY(),"Coming Soon",IF(F1207="","Active",IF(F1207&gt;TODAY(),"Leaving Soon","Removed")))</f>
        <v>Removed</v>
      </c>
      <c r="E1207" s="88">
        <v>44623.0</v>
      </c>
      <c r="F1207" s="120">
        <v>44985.0</v>
      </c>
      <c r="G1207" s="65">
        <f t="shared" si="2"/>
        <v>11.83333333</v>
      </c>
      <c r="H1207" s="88">
        <v>41599.0</v>
      </c>
      <c r="I1207" s="65">
        <f t="shared" si="3"/>
        <v>8.283333333</v>
      </c>
      <c r="J1207" s="121">
        <f>average(66,69)</f>
        <v>67.5</v>
      </c>
      <c r="K1207" s="121">
        <v>33.5</v>
      </c>
      <c r="L1207" s="69" t="s">
        <v>46</v>
      </c>
      <c r="M1207" s="69"/>
      <c r="N1207" s="69"/>
      <c r="O1207" s="69" t="s">
        <v>328</v>
      </c>
      <c r="P1207" s="122" t="s">
        <v>1926</v>
      </c>
      <c r="Q1207" s="69"/>
      <c r="R1207" s="59"/>
      <c r="S1207" s="88"/>
      <c r="T1207" s="65"/>
      <c r="U1207" s="88"/>
      <c r="V1207" s="65"/>
    </row>
    <row r="1208">
      <c r="A1208" s="74" t="s">
        <v>2873</v>
      </c>
      <c r="B1208" s="75" t="s">
        <v>35</v>
      </c>
      <c r="C1208" s="75" t="s">
        <v>100</v>
      </c>
      <c r="D1208" s="76" t="str">
        <f t="shared" si="71"/>
        <v>Removed</v>
      </c>
      <c r="E1208" s="90">
        <v>44621.0</v>
      </c>
      <c r="F1208" s="105">
        <v>44985.0</v>
      </c>
      <c r="G1208" s="79">
        <f t="shared" si="2"/>
        <v>11.9</v>
      </c>
      <c r="H1208" s="90">
        <v>44621.0</v>
      </c>
      <c r="I1208" s="79">
        <f t="shared" si="3"/>
        <v>0</v>
      </c>
      <c r="J1208" s="106">
        <f>average(73,80)</f>
        <v>76.5</v>
      </c>
      <c r="K1208" s="106">
        <v>5.0</v>
      </c>
      <c r="L1208" s="82" t="s">
        <v>135</v>
      </c>
      <c r="M1208" s="82"/>
      <c r="N1208" s="82"/>
      <c r="O1208" s="82" t="s">
        <v>1219</v>
      </c>
      <c r="P1208" s="107"/>
      <c r="Q1208" s="82"/>
      <c r="R1208" s="76"/>
      <c r="S1208" s="90"/>
      <c r="T1208" s="79"/>
      <c r="U1208" s="90"/>
      <c r="V1208" s="79"/>
    </row>
    <row r="1209">
      <c r="A1209" s="53" t="s">
        <v>2874</v>
      </c>
      <c r="B1209" s="54" t="s">
        <v>35</v>
      </c>
      <c r="C1209" s="54" t="s">
        <v>36</v>
      </c>
      <c r="D1209" s="59" t="str">
        <f t="shared" si="71"/>
        <v>Removed</v>
      </c>
      <c r="E1209" s="88">
        <v>44490.0</v>
      </c>
      <c r="F1209" s="120">
        <v>44985.0</v>
      </c>
      <c r="G1209" s="65">
        <f t="shared" si="2"/>
        <v>16.23333333</v>
      </c>
      <c r="H1209" s="88">
        <v>43126.0</v>
      </c>
      <c r="I1209" s="65">
        <f t="shared" si="3"/>
        <v>3.736111111</v>
      </c>
      <c r="J1209" s="121">
        <f>(85+86)/2</f>
        <v>85.5</v>
      </c>
      <c r="K1209" s="121">
        <v>12.0</v>
      </c>
      <c r="L1209" s="69" t="s">
        <v>52</v>
      </c>
      <c r="M1209" s="69"/>
      <c r="N1209" s="69" t="s">
        <v>2875</v>
      </c>
      <c r="O1209" s="69" t="s">
        <v>328</v>
      </c>
      <c r="P1209" s="122" t="s">
        <v>2876</v>
      </c>
      <c r="Q1209" s="69"/>
      <c r="R1209" s="59"/>
      <c r="S1209" s="88"/>
      <c r="T1209" s="65"/>
      <c r="U1209" s="88"/>
      <c r="V1209" s="65"/>
    </row>
    <row r="1210">
      <c r="A1210" s="74" t="s">
        <v>2877</v>
      </c>
      <c r="B1210" s="75" t="s">
        <v>35</v>
      </c>
      <c r="C1210" s="75" t="s">
        <v>100</v>
      </c>
      <c r="D1210" s="76" t="str">
        <f t="shared" si="71"/>
        <v>Removed</v>
      </c>
      <c r="E1210" s="90">
        <v>44446.0</v>
      </c>
      <c r="F1210" s="105">
        <v>44985.0</v>
      </c>
      <c r="G1210" s="79">
        <f t="shared" si="2"/>
        <v>17.7</v>
      </c>
      <c r="H1210" s="90">
        <v>44120.0</v>
      </c>
      <c r="I1210" s="79">
        <f t="shared" si="3"/>
        <v>0.8916666667</v>
      </c>
      <c r="J1210" s="106">
        <v>83.0</v>
      </c>
      <c r="K1210" s="106">
        <v>17.0</v>
      </c>
      <c r="L1210" s="82" t="s">
        <v>46</v>
      </c>
      <c r="M1210" s="82"/>
      <c r="N1210" s="82"/>
      <c r="O1210" s="82" t="s">
        <v>328</v>
      </c>
      <c r="P1210" s="107" t="s">
        <v>2878</v>
      </c>
      <c r="Q1210" s="82"/>
      <c r="R1210" s="76"/>
      <c r="S1210" s="90"/>
      <c r="T1210" s="79"/>
      <c r="U1210" s="90"/>
      <c r="V1210" s="79"/>
    </row>
    <row r="1211">
      <c r="A1211" s="53" t="s">
        <v>2879</v>
      </c>
      <c r="B1211" s="54" t="s">
        <v>35</v>
      </c>
      <c r="C1211" s="54"/>
      <c r="D1211" s="59" t="str">
        <f t="shared" si="71"/>
        <v>Removed</v>
      </c>
      <c r="E1211" s="88">
        <v>44257.0</v>
      </c>
      <c r="F1211" s="120">
        <v>44985.0</v>
      </c>
      <c r="G1211" s="65">
        <f t="shared" si="2"/>
        <v>23.86666667</v>
      </c>
      <c r="H1211" s="88">
        <v>44071.0</v>
      </c>
      <c r="I1211" s="65">
        <f t="shared" si="3"/>
        <v>0.5111111111</v>
      </c>
      <c r="J1211" s="121">
        <f>(63+69)/2</f>
        <v>66</v>
      </c>
      <c r="K1211" s="121">
        <v>21.5</v>
      </c>
      <c r="L1211" s="69" t="s">
        <v>62</v>
      </c>
      <c r="M1211" s="69" t="s">
        <v>326</v>
      </c>
      <c r="N1211" s="69"/>
      <c r="O1211" s="69" t="s">
        <v>1219</v>
      </c>
      <c r="P1211" s="122" t="s">
        <v>2350</v>
      </c>
      <c r="Q1211" s="69"/>
      <c r="R1211" s="59"/>
      <c r="S1211" s="88"/>
      <c r="T1211" s="65"/>
      <c r="U1211" s="88"/>
      <c r="V1211" s="65"/>
    </row>
    <row r="1212">
      <c r="A1212" s="226" t="s">
        <v>2880</v>
      </c>
      <c r="B1212" s="75" t="s">
        <v>35</v>
      </c>
      <c r="C1212" s="76"/>
      <c r="D1212" s="76" t="str">
        <f t="shared" si="71"/>
        <v>Removed</v>
      </c>
      <c r="E1212" s="218">
        <v>43524.0</v>
      </c>
      <c r="F1212" s="105">
        <v>44985.0</v>
      </c>
      <c r="G1212" s="79">
        <f t="shared" si="2"/>
        <v>48</v>
      </c>
      <c r="H1212" s="90">
        <v>41919.0</v>
      </c>
      <c r="I1212" s="79">
        <f t="shared" si="3"/>
        <v>4.391666667</v>
      </c>
      <c r="J1212" s="216">
        <v>78.0</v>
      </c>
      <c r="K1212" s="106">
        <v>18.5</v>
      </c>
      <c r="L1212" s="83" t="s">
        <v>41</v>
      </c>
      <c r="M1212" s="82" t="s">
        <v>1747</v>
      </c>
      <c r="N1212" s="83"/>
      <c r="O1212" s="82" t="s">
        <v>107</v>
      </c>
      <c r="P1212" s="107" t="s">
        <v>1280</v>
      </c>
      <c r="Q1212" s="82"/>
      <c r="R1212" s="76"/>
      <c r="S1212" s="90"/>
      <c r="T1212" s="79"/>
      <c r="U1212" s="90"/>
      <c r="V1212" s="79"/>
    </row>
    <row r="1213">
      <c r="A1213" s="53" t="s">
        <v>2881</v>
      </c>
      <c r="B1213" s="54" t="s">
        <v>2759</v>
      </c>
      <c r="C1213" s="59"/>
      <c r="D1213" s="59" t="s">
        <v>2760</v>
      </c>
      <c r="E1213" s="133">
        <v>44942.0</v>
      </c>
      <c r="F1213" s="61">
        <v>44972.0</v>
      </c>
      <c r="G1213" s="65">
        <f t="shared" si="2"/>
        <v>0.9666666667</v>
      </c>
      <c r="H1213" s="88">
        <v>43545.0</v>
      </c>
      <c r="I1213" s="65">
        <f t="shared" si="3"/>
        <v>3.819444444</v>
      </c>
      <c r="J1213" s="121">
        <v>74.0</v>
      </c>
      <c r="K1213" s="121">
        <v>95.5</v>
      </c>
      <c r="L1213" s="69" t="s">
        <v>64</v>
      </c>
      <c r="M1213" s="69" t="s">
        <v>72</v>
      </c>
      <c r="N1213" s="69"/>
      <c r="O1213" s="69"/>
      <c r="P1213" s="122"/>
      <c r="Q1213" s="69"/>
      <c r="R1213" s="59"/>
      <c r="S1213" s="88"/>
      <c r="T1213" s="65"/>
      <c r="U1213" s="88"/>
      <c r="V1213" s="65"/>
    </row>
    <row r="1214">
      <c r="A1214" s="74" t="s">
        <v>2882</v>
      </c>
      <c r="B1214" s="75" t="s">
        <v>35</v>
      </c>
      <c r="C1214" s="75" t="s">
        <v>36</v>
      </c>
      <c r="D1214" s="76" t="str">
        <f t="shared" ref="D1214:D1218" si="72">IF(E1214&gt;TODAY(),"Coming Soon",IF(F1214="","Active",IF(F1214&gt;TODAY(),"Leaving Soon","Removed")))</f>
        <v>Removed</v>
      </c>
      <c r="E1214" s="90">
        <v>44604.0</v>
      </c>
      <c r="F1214" s="105">
        <v>44972.0</v>
      </c>
      <c r="G1214" s="79">
        <f t="shared" si="2"/>
        <v>12.1</v>
      </c>
      <c r="H1214" s="90">
        <v>44604.0</v>
      </c>
      <c r="I1214" s="79">
        <f t="shared" si="3"/>
        <v>0</v>
      </c>
      <c r="J1214" s="106">
        <f>average(84,85)</f>
        <v>84.5</v>
      </c>
      <c r="K1214" s="106">
        <v>7.0</v>
      </c>
      <c r="L1214" s="82" t="s">
        <v>41</v>
      </c>
      <c r="M1214" s="82"/>
      <c r="N1214" s="82"/>
      <c r="O1214" s="82" t="s">
        <v>107</v>
      </c>
      <c r="P1214" s="107" t="s">
        <v>2883</v>
      </c>
      <c r="Q1214" s="82"/>
      <c r="R1214" s="76"/>
      <c r="S1214" s="90"/>
      <c r="T1214" s="79"/>
      <c r="U1214" s="90"/>
      <c r="V1214" s="79"/>
    </row>
    <row r="1215">
      <c r="A1215" s="53" t="s">
        <v>2884</v>
      </c>
      <c r="B1215" s="54" t="s">
        <v>129</v>
      </c>
      <c r="C1215" s="54" t="s">
        <v>36</v>
      </c>
      <c r="D1215" s="59" t="str">
        <f t="shared" si="72"/>
        <v>Removed</v>
      </c>
      <c r="E1215" s="88">
        <v>44602.0</v>
      </c>
      <c r="F1215" s="120">
        <v>44972.0</v>
      </c>
      <c r="G1215" s="65">
        <f t="shared" si="2"/>
        <v>12.16666667</v>
      </c>
      <c r="H1215" s="88">
        <v>44602.0</v>
      </c>
      <c r="I1215" s="65">
        <f t="shared" si="3"/>
        <v>0</v>
      </c>
      <c r="J1215" s="121">
        <v>43.0</v>
      </c>
      <c r="K1215" s="121">
        <v>3.0</v>
      </c>
      <c r="L1215" s="69" t="s">
        <v>37</v>
      </c>
      <c r="M1215" s="69"/>
      <c r="N1215" s="69" t="s">
        <v>2885</v>
      </c>
      <c r="O1215" s="69" t="s">
        <v>107</v>
      </c>
      <c r="P1215" s="122" t="s">
        <v>2029</v>
      </c>
      <c r="Q1215" s="69"/>
      <c r="R1215" s="59"/>
      <c r="S1215" s="88"/>
      <c r="T1215" s="65"/>
      <c r="U1215" s="88"/>
      <c r="V1215" s="65"/>
    </row>
    <row r="1216">
      <c r="A1216" s="74" t="s">
        <v>2886</v>
      </c>
      <c r="B1216" s="75" t="s">
        <v>35</v>
      </c>
      <c r="C1216" s="75" t="s">
        <v>36</v>
      </c>
      <c r="D1216" s="76" t="str">
        <f t="shared" si="72"/>
        <v>Removed</v>
      </c>
      <c r="E1216" s="90">
        <v>44602.0</v>
      </c>
      <c r="F1216" s="105">
        <v>44972.0</v>
      </c>
      <c r="G1216" s="79">
        <f t="shared" si="2"/>
        <v>12.16666667</v>
      </c>
      <c r="H1216" s="90">
        <v>43880.0</v>
      </c>
      <c r="I1216" s="79">
        <f t="shared" si="3"/>
        <v>1.975</v>
      </c>
      <c r="J1216" s="106">
        <v>80.0</v>
      </c>
      <c r="K1216" s="106">
        <v>21.5</v>
      </c>
      <c r="L1216" s="82" t="s">
        <v>57</v>
      </c>
      <c r="M1216" s="82"/>
      <c r="N1216" s="82"/>
      <c r="O1216" s="82" t="s">
        <v>328</v>
      </c>
      <c r="P1216" s="107" t="s">
        <v>1491</v>
      </c>
      <c r="Q1216" s="82"/>
      <c r="R1216" s="76"/>
      <c r="S1216" s="90"/>
      <c r="T1216" s="79"/>
      <c r="U1216" s="90"/>
      <c r="V1216" s="79"/>
    </row>
    <row r="1217">
      <c r="A1217" s="53" t="s">
        <v>2887</v>
      </c>
      <c r="B1217" s="54" t="s">
        <v>35</v>
      </c>
      <c r="C1217" s="54" t="s">
        <v>100</v>
      </c>
      <c r="D1217" s="59" t="str">
        <f t="shared" si="72"/>
        <v>Removed</v>
      </c>
      <c r="E1217" s="88">
        <v>44602.0</v>
      </c>
      <c r="F1217" s="120">
        <v>44972.0</v>
      </c>
      <c r="G1217" s="65">
        <f t="shared" si="2"/>
        <v>12.16666667</v>
      </c>
      <c r="H1217" s="88">
        <v>44351.0</v>
      </c>
      <c r="I1217" s="65">
        <f t="shared" si="3"/>
        <v>0.6833333333</v>
      </c>
      <c r="J1217" s="121">
        <f>average(70,55,55)</f>
        <v>60</v>
      </c>
      <c r="K1217" s="121">
        <v>6.0</v>
      </c>
      <c r="L1217" s="69" t="s">
        <v>46</v>
      </c>
      <c r="M1217" s="69"/>
      <c r="N1217" s="69"/>
      <c r="O1217" s="69" t="s">
        <v>1168</v>
      </c>
      <c r="P1217" s="122" t="s">
        <v>1396</v>
      </c>
      <c r="Q1217" s="69"/>
      <c r="R1217" s="59"/>
      <c r="S1217" s="88"/>
      <c r="T1217" s="65"/>
      <c r="U1217" s="88"/>
      <c r="V1217" s="65"/>
    </row>
    <row r="1218">
      <c r="A1218" s="74" t="s">
        <v>2888</v>
      </c>
      <c r="B1218" s="75" t="s">
        <v>35</v>
      </c>
      <c r="C1218" s="75" t="s">
        <v>36</v>
      </c>
      <c r="D1218" s="76" t="str">
        <f t="shared" si="72"/>
        <v>Removed</v>
      </c>
      <c r="E1218" s="90">
        <v>44427.0</v>
      </c>
      <c r="F1218" s="105">
        <v>44972.0</v>
      </c>
      <c r="G1218" s="79">
        <f t="shared" si="2"/>
        <v>17.86666667</v>
      </c>
      <c r="H1218" s="90">
        <v>44427.0</v>
      </c>
      <c r="I1218" s="79">
        <f t="shared" si="3"/>
        <v>0</v>
      </c>
      <c r="J1218" s="106">
        <f>(58+69)/2</f>
        <v>63.5</v>
      </c>
      <c r="K1218" s="106">
        <v>4.5</v>
      </c>
      <c r="L1218" s="82" t="s">
        <v>41</v>
      </c>
      <c r="M1218" s="82" t="s">
        <v>1919</v>
      </c>
      <c r="N1218" s="82"/>
      <c r="O1218" s="82" t="s">
        <v>328</v>
      </c>
      <c r="P1218" s="107" t="s">
        <v>1378</v>
      </c>
      <c r="Q1218" s="82"/>
      <c r="R1218" s="76"/>
      <c r="S1218" s="90"/>
      <c r="T1218" s="79"/>
      <c r="U1218" s="90"/>
      <c r="V1218" s="79"/>
    </row>
    <row r="1219">
      <c r="A1219" s="53" t="s">
        <v>2889</v>
      </c>
      <c r="B1219" s="54" t="s">
        <v>2759</v>
      </c>
      <c r="C1219" s="59"/>
      <c r="D1219" s="59" t="s">
        <v>2760</v>
      </c>
      <c r="E1219" s="133">
        <v>44927.0</v>
      </c>
      <c r="F1219" s="61">
        <v>44957.0</v>
      </c>
      <c r="G1219" s="65">
        <f t="shared" si="2"/>
        <v>0.9666666667</v>
      </c>
      <c r="H1219" s="88">
        <v>43783.0</v>
      </c>
      <c r="I1219" s="65">
        <f t="shared" si="3"/>
        <v>3.130555556</v>
      </c>
      <c r="J1219" s="121">
        <v>74.0</v>
      </c>
      <c r="K1219" s="121">
        <v>4.0</v>
      </c>
      <c r="L1219" s="69" t="s">
        <v>96</v>
      </c>
      <c r="M1219" s="69"/>
      <c r="N1219" s="69"/>
      <c r="O1219" s="69"/>
      <c r="P1219" s="122"/>
      <c r="Q1219" s="69"/>
      <c r="R1219" s="59"/>
      <c r="S1219" s="88"/>
      <c r="T1219" s="65"/>
      <c r="U1219" s="88"/>
      <c r="V1219" s="65"/>
    </row>
    <row r="1220">
      <c r="A1220" s="74" t="s">
        <v>2890</v>
      </c>
      <c r="B1220" s="75" t="s">
        <v>35</v>
      </c>
      <c r="C1220" s="75" t="s">
        <v>100</v>
      </c>
      <c r="D1220" s="76" t="str">
        <f t="shared" ref="D1220:D1222" si="73">IF(E1220&gt;TODAY(),"Coming Soon",IF(F1220="","Active",IF(F1220&gt;TODAY(),"Leaving Soon","Removed")))</f>
        <v>Removed</v>
      </c>
      <c r="E1220" s="90">
        <v>44595.0</v>
      </c>
      <c r="F1220" s="105">
        <v>44957.0</v>
      </c>
      <c r="G1220" s="79">
        <f t="shared" si="2"/>
        <v>11.9</v>
      </c>
      <c r="H1220" s="90">
        <v>43700.0</v>
      </c>
      <c r="I1220" s="79">
        <f t="shared" si="3"/>
        <v>2.444444444</v>
      </c>
      <c r="J1220" s="106">
        <f>average(80,84)</f>
        <v>82</v>
      </c>
      <c r="K1220" s="106">
        <v>4.0</v>
      </c>
      <c r="L1220" s="82" t="s">
        <v>135</v>
      </c>
      <c r="M1220" s="82"/>
      <c r="N1220" s="82"/>
      <c r="O1220" s="82" t="s">
        <v>107</v>
      </c>
      <c r="P1220" s="107" t="s">
        <v>2891</v>
      </c>
      <c r="Q1220" s="82"/>
      <c r="R1220" s="76"/>
      <c r="S1220" s="90"/>
      <c r="T1220" s="79"/>
      <c r="U1220" s="90"/>
      <c r="V1220" s="79"/>
    </row>
    <row r="1221">
      <c r="A1221" s="53" t="s">
        <v>2892</v>
      </c>
      <c r="B1221" s="54" t="s">
        <v>35</v>
      </c>
      <c r="C1221" s="54"/>
      <c r="D1221" s="59" t="str">
        <f t="shared" si="73"/>
        <v>Removed</v>
      </c>
      <c r="E1221" s="88">
        <v>44588.0</v>
      </c>
      <c r="F1221" s="120">
        <v>44957.0</v>
      </c>
      <c r="G1221" s="65">
        <f t="shared" si="2"/>
        <v>12.1</v>
      </c>
      <c r="H1221" s="88">
        <v>44581.0</v>
      </c>
      <c r="I1221" s="65">
        <f t="shared" si="3"/>
        <v>0.01944444444</v>
      </c>
      <c r="J1221" s="121">
        <v>80.0</v>
      </c>
      <c r="K1221" s="121">
        <v>2.5</v>
      </c>
      <c r="L1221" s="69" t="s">
        <v>2794</v>
      </c>
      <c r="M1221" s="69"/>
      <c r="N1221" s="69"/>
      <c r="O1221" s="69" t="s">
        <v>328</v>
      </c>
      <c r="P1221" s="122" t="s">
        <v>2893</v>
      </c>
      <c r="Q1221" s="69"/>
      <c r="R1221" s="59"/>
      <c r="S1221" s="88"/>
      <c r="T1221" s="65"/>
      <c r="U1221" s="88"/>
      <c r="V1221" s="65"/>
    </row>
    <row r="1222">
      <c r="A1222" s="74" t="s">
        <v>2894</v>
      </c>
      <c r="B1222" s="75" t="s">
        <v>35</v>
      </c>
      <c r="C1222" s="75" t="s">
        <v>36</v>
      </c>
      <c r="D1222" s="76" t="str">
        <f t="shared" si="73"/>
        <v>Removed</v>
      </c>
      <c r="E1222" s="218">
        <v>43669.0</v>
      </c>
      <c r="F1222" s="105">
        <v>44957.0</v>
      </c>
      <c r="G1222" s="79">
        <f t="shared" si="2"/>
        <v>42.23333333</v>
      </c>
      <c r="H1222" s="90">
        <v>42605.0</v>
      </c>
      <c r="I1222" s="79">
        <f t="shared" si="3"/>
        <v>2.916666667</v>
      </c>
      <c r="J1222" s="216">
        <v>75.0</v>
      </c>
      <c r="K1222" s="106">
        <v>13.0</v>
      </c>
      <c r="L1222" s="83" t="s">
        <v>105</v>
      </c>
      <c r="M1222" s="83"/>
      <c r="N1222" s="82" t="s">
        <v>1967</v>
      </c>
      <c r="O1222" s="82" t="s">
        <v>1168</v>
      </c>
      <c r="P1222" s="107" t="s">
        <v>2895</v>
      </c>
      <c r="Q1222" s="83"/>
      <c r="R1222" s="76"/>
      <c r="S1222" s="90"/>
      <c r="T1222" s="79"/>
      <c r="U1222" s="90"/>
      <c r="V1222" s="79"/>
    </row>
    <row r="1223">
      <c r="A1223" s="53" t="s">
        <v>2896</v>
      </c>
      <c r="B1223" s="54" t="s">
        <v>2759</v>
      </c>
      <c r="C1223" s="59"/>
      <c r="D1223" s="59" t="s">
        <v>2760</v>
      </c>
      <c r="E1223" s="133">
        <v>44911.0</v>
      </c>
      <c r="F1223" s="61">
        <v>44941.0</v>
      </c>
      <c r="G1223" s="65">
        <f t="shared" si="2"/>
        <v>0.9666666667</v>
      </c>
      <c r="H1223" s="88">
        <v>43238.0</v>
      </c>
      <c r="I1223" s="65">
        <f t="shared" si="3"/>
        <v>4.577777778</v>
      </c>
      <c r="J1223" s="121">
        <v>73.0</v>
      </c>
      <c r="K1223" s="121">
        <v>3.0</v>
      </c>
      <c r="L1223" s="69" t="s">
        <v>41</v>
      </c>
      <c r="M1223" s="69"/>
      <c r="N1223" s="69"/>
      <c r="O1223" s="69"/>
      <c r="P1223" s="122"/>
      <c r="Q1223" s="69"/>
      <c r="R1223" s="59"/>
      <c r="S1223" s="88"/>
      <c r="T1223" s="65"/>
      <c r="U1223" s="88"/>
      <c r="V1223" s="65"/>
    </row>
    <row r="1224">
      <c r="A1224" s="74" t="s">
        <v>2897</v>
      </c>
      <c r="B1224" s="75" t="s">
        <v>35</v>
      </c>
      <c r="C1224" s="75" t="s">
        <v>100</v>
      </c>
      <c r="D1224" s="76" t="str">
        <f t="shared" ref="D1224:D1228" si="74">IF(E1224&gt;TODAY(),"Coming Soon",IF(F1224="","Active",IF(F1224&gt;TODAY(),"Leaving Soon","Removed")))</f>
        <v>Removed</v>
      </c>
      <c r="E1224" s="90">
        <v>44581.0</v>
      </c>
      <c r="F1224" s="105">
        <v>44941.0</v>
      </c>
      <c r="G1224" s="79">
        <f t="shared" si="2"/>
        <v>11.83333333</v>
      </c>
      <c r="H1224" s="90">
        <v>44581.0</v>
      </c>
      <c r="I1224" s="79">
        <f t="shared" si="3"/>
        <v>0</v>
      </c>
      <c r="J1224" s="106">
        <f>average(66,70)</f>
        <v>68</v>
      </c>
      <c r="K1224" s="106">
        <v>1.5</v>
      </c>
      <c r="L1224" s="82" t="s">
        <v>135</v>
      </c>
      <c r="M1224" s="82"/>
      <c r="N1224" s="82"/>
      <c r="O1224" s="82" t="s">
        <v>1219</v>
      </c>
      <c r="P1224" s="107" t="s">
        <v>1421</v>
      </c>
      <c r="Q1224" s="82"/>
      <c r="R1224" s="76"/>
      <c r="S1224" s="90"/>
      <c r="T1224" s="79"/>
      <c r="U1224" s="90"/>
      <c r="V1224" s="79"/>
    </row>
    <row r="1225">
      <c r="A1225" s="53" t="s">
        <v>2898</v>
      </c>
      <c r="B1225" s="54" t="s">
        <v>35</v>
      </c>
      <c r="C1225" s="54" t="s">
        <v>100</v>
      </c>
      <c r="D1225" s="59" t="str">
        <f t="shared" si="74"/>
        <v>Removed</v>
      </c>
      <c r="E1225" s="88">
        <v>44581.0</v>
      </c>
      <c r="F1225" s="120">
        <v>44941.0</v>
      </c>
      <c r="G1225" s="65">
        <f t="shared" si="2"/>
        <v>11.83333333</v>
      </c>
      <c r="H1225" s="88">
        <v>44581.0</v>
      </c>
      <c r="I1225" s="65">
        <f t="shared" si="3"/>
        <v>0</v>
      </c>
      <c r="J1225" s="121">
        <f>(72+75)/2</f>
        <v>73.5</v>
      </c>
      <c r="K1225" s="121">
        <v>1.0</v>
      </c>
      <c r="L1225" s="69" t="s">
        <v>62</v>
      </c>
      <c r="M1225" s="69"/>
      <c r="N1225" s="69"/>
      <c r="O1225" s="69" t="s">
        <v>1219</v>
      </c>
      <c r="P1225" s="122"/>
      <c r="Q1225" s="69"/>
      <c r="R1225" s="59"/>
      <c r="S1225" s="88"/>
      <c r="T1225" s="65"/>
      <c r="U1225" s="88"/>
      <c r="V1225" s="65"/>
    </row>
    <row r="1226">
      <c r="A1226" s="74" t="s">
        <v>2899</v>
      </c>
      <c r="B1226" s="75" t="s">
        <v>35</v>
      </c>
      <c r="C1226" s="75" t="s">
        <v>100</v>
      </c>
      <c r="D1226" s="76" t="str">
        <f t="shared" si="74"/>
        <v>Removed</v>
      </c>
      <c r="E1226" s="90">
        <v>44579.0</v>
      </c>
      <c r="F1226" s="105">
        <v>44941.0</v>
      </c>
      <c r="G1226" s="79">
        <f t="shared" si="2"/>
        <v>11.9</v>
      </c>
      <c r="H1226" s="90">
        <v>40507.0</v>
      </c>
      <c r="I1226" s="79">
        <f t="shared" si="3"/>
        <v>11.14722222</v>
      </c>
      <c r="J1226" s="106">
        <v>82.0</v>
      </c>
      <c r="K1226" s="106">
        <v>25.0</v>
      </c>
      <c r="L1226" s="82" t="s">
        <v>37</v>
      </c>
      <c r="M1226" s="82"/>
      <c r="N1226" s="82"/>
      <c r="O1226" s="82" t="s">
        <v>107</v>
      </c>
      <c r="P1226" s="107" t="s">
        <v>2900</v>
      </c>
      <c r="Q1226" s="82"/>
      <c r="R1226" s="76"/>
      <c r="S1226" s="90"/>
      <c r="T1226" s="79"/>
      <c r="U1226" s="90"/>
      <c r="V1226" s="79"/>
    </row>
    <row r="1227">
      <c r="A1227" s="53" t="s">
        <v>2901</v>
      </c>
      <c r="B1227" s="54" t="s">
        <v>35</v>
      </c>
      <c r="C1227" s="54" t="s">
        <v>36</v>
      </c>
      <c r="D1227" s="59" t="str">
        <f t="shared" si="74"/>
        <v>Removed</v>
      </c>
      <c r="E1227" s="88">
        <v>44579.0</v>
      </c>
      <c r="F1227" s="120">
        <v>44941.0</v>
      </c>
      <c r="G1227" s="65">
        <f t="shared" si="2"/>
        <v>11.9</v>
      </c>
      <c r="H1227" s="88">
        <v>44579.0</v>
      </c>
      <c r="I1227" s="65">
        <f t="shared" si="3"/>
        <v>0</v>
      </c>
      <c r="J1227" s="121">
        <f>average(78,79)</f>
        <v>78.5</v>
      </c>
      <c r="K1227" s="121">
        <v>13.5</v>
      </c>
      <c r="L1227" s="69" t="s">
        <v>46</v>
      </c>
      <c r="M1227" s="69"/>
      <c r="N1227" s="69"/>
      <c r="O1227" s="69" t="s">
        <v>328</v>
      </c>
      <c r="P1227" s="122" t="s">
        <v>2902</v>
      </c>
      <c r="Q1227" s="69"/>
      <c r="R1227" s="59"/>
      <c r="S1227" s="88"/>
      <c r="T1227" s="65"/>
      <c r="U1227" s="88"/>
      <c r="V1227" s="65"/>
    </row>
    <row r="1228">
      <c r="A1228" s="74" t="s">
        <v>2903</v>
      </c>
      <c r="B1228" s="75" t="s">
        <v>35</v>
      </c>
      <c r="C1228" s="75" t="s">
        <v>36</v>
      </c>
      <c r="D1228" s="76" t="str">
        <f t="shared" si="74"/>
        <v>Removed</v>
      </c>
      <c r="E1228" s="90">
        <v>44574.0</v>
      </c>
      <c r="F1228" s="105">
        <v>44941.0</v>
      </c>
      <c r="G1228" s="79">
        <f t="shared" si="2"/>
        <v>12.06666667</v>
      </c>
      <c r="H1228" s="90">
        <v>44574.0</v>
      </c>
      <c r="I1228" s="79">
        <f t="shared" si="3"/>
        <v>0</v>
      </c>
      <c r="J1228" s="106">
        <v>55.0</v>
      </c>
      <c r="K1228" s="106">
        <v>5.5</v>
      </c>
      <c r="L1228" s="82" t="s">
        <v>37</v>
      </c>
      <c r="M1228" s="82"/>
      <c r="N1228" s="82"/>
      <c r="O1228" s="82" t="s">
        <v>328</v>
      </c>
      <c r="P1228" s="107" t="s">
        <v>2659</v>
      </c>
      <c r="Q1228" s="82"/>
      <c r="R1228" s="76"/>
      <c r="S1228" s="90"/>
      <c r="T1228" s="79"/>
      <c r="U1228" s="90"/>
      <c r="V1228" s="79"/>
    </row>
    <row r="1229">
      <c r="A1229" s="53" t="s">
        <v>2904</v>
      </c>
      <c r="B1229" s="54" t="s">
        <v>2759</v>
      </c>
      <c r="C1229" s="59"/>
      <c r="D1229" s="59" t="s">
        <v>2760</v>
      </c>
      <c r="E1229" s="133">
        <v>44896.0</v>
      </c>
      <c r="F1229" s="61">
        <v>44926.0</v>
      </c>
      <c r="G1229" s="65">
        <f t="shared" si="2"/>
        <v>0.9666666667</v>
      </c>
      <c r="H1229" s="88">
        <v>43979.0</v>
      </c>
      <c r="I1229" s="65">
        <f t="shared" si="3"/>
        <v>2.508333333</v>
      </c>
      <c r="J1229" s="121">
        <v>76.0</v>
      </c>
      <c r="K1229" s="121">
        <v>5.0</v>
      </c>
      <c r="L1229" s="69" t="s">
        <v>37</v>
      </c>
      <c r="M1229" s="69"/>
      <c r="N1229" s="69"/>
      <c r="O1229" s="69"/>
      <c r="P1229" s="122"/>
      <c r="Q1229" s="69"/>
      <c r="R1229" s="59"/>
      <c r="S1229" s="88"/>
      <c r="T1229" s="65"/>
      <c r="U1229" s="88"/>
      <c r="V1229" s="65"/>
    </row>
    <row r="1230">
      <c r="A1230" s="74" t="s">
        <v>2117</v>
      </c>
      <c r="B1230" s="75" t="s">
        <v>35</v>
      </c>
      <c r="C1230" s="75" t="s">
        <v>36</v>
      </c>
      <c r="D1230" s="76" t="str">
        <f t="shared" ref="D1230:D1238" si="75">IF(E1230&gt;TODAY(),"Coming Soon",IF(F1230="","Active",IF(F1230&gt;TODAY(),"Leaving Soon","Removed")))</f>
        <v>Removed</v>
      </c>
      <c r="E1230" s="90">
        <v>44567.0</v>
      </c>
      <c r="F1230" s="105">
        <v>44926.0</v>
      </c>
      <c r="G1230" s="79">
        <f t="shared" si="2"/>
        <v>11.8</v>
      </c>
      <c r="H1230" s="90">
        <v>43972.0</v>
      </c>
      <c r="I1230" s="79">
        <f t="shared" si="3"/>
        <v>1.625</v>
      </c>
      <c r="J1230" s="106">
        <v>72.0</v>
      </c>
      <c r="K1230" s="106">
        <v>7.5</v>
      </c>
      <c r="L1230" s="82" t="s">
        <v>105</v>
      </c>
      <c r="M1230" s="82"/>
      <c r="N1230" s="82"/>
      <c r="O1230" s="82" t="s">
        <v>1168</v>
      </c>
      <c r="P1230" s="107" t="s">
        <v>2905</v>
      </c>
      <c r="Q1230" s="82"/>
      <c r="R1230" s="76"/>
      <c r="S1230" s="90"/>
      <c r="T1230" s="79"/>
      <c r="U1230" s="90"/>
      <c r="V1230" s="79"/>
    </row>
    <row r="1231">
      <c r="A1231" s="207" t="s">
        <v>2906</v>
      </c>
      <c r="B1231" s="54" t="s">
        <v>35</v>
      </c>
      <c r="C1231" s="54" t="s">
        <v>36</v>
      </c>
      <c r="D1231" s="59" t="str">
        <f t="shared" si="75"/>
        <v>Removed</v>
      </c>
      <c r="E1231" s="61">
        <v>44567.0</v>
      </c>
      <c r="F1231" s="120">
        <v>44926.0</v>
      </c>
      <c r="G1231" s="65">
        <f t="shared" si="2"/>
        <v>11.8</v>
      </c>
      <c r="H1231" s="88">
        <v>43614.0</v>
      </c>
      <c r="I1231" s="65">
        <f t="shared" si="3"/>
        <v>2.602777778</v>
      </c>
      <c r="J1231" s="208">
        <v>85.0</v>
      </c>
      <c r="K1231" s="121">
        <v>15.0</v>
      </c>
      <c r="L1231" s="91" t="s">
        <v>135</v>
      </c>
      <c r="M1231" s="91"/>
      <c r="N1231" s="69" t="s">
        <v>2907</v>
      </c>
      <c r="O1231" s="69" t="s">
        <v>1168</v>
      </c>
      <c r="P1231" s="122" t="s">
        <v>2908</v>
      </c>
      <c r="Q1231" s="69"/>
      <c r="R1231" s="59"/>
      <c r="S1231" s="88"/>
      <c r="T1231" s="65"/>
      <c r="U1231" s="88"/>
      <c r="V1231" s="65"/>
    </row>
    <row r="1232">
      <c r="A1232" s="74" t="s">
        <v>2909</v>
      </c>
      <c r="B1232" s="75" t="s">
        <v>35</v>
      </c>
      <c r="C1232" s="75" t="s">
        <v>36</v>
      </c>
      <c r="D1232" s="76" t="str">
        <f t="shared" si="75"/>
        <v>Removed</v>
      </c>
      <c r="E1232" s="90">
        <v>44565.0</v>
      </c>
      <c r="F1232" s="105">
        <v>44926.0</v>
      </c>
      <c r="G1232" s="79">
        <f t="shared" si="2"/>
        <v>11.86666667</v>
      </c>
      <c r="H1232" s="90">
        <v>43083.0</v>
      </c>
      <c r="I1232" s="79">
        <f t="shared" si="3"/>
        <v>4.055555556</v>
      </c>
      <c r="J1232" s="106">
        <f>(80+84)/2</f>
        <v>82</v>
      </c>
      <c r="K1232" s="106">
        <v>2.0</v>
      </c>
      <c r="L1232" s="82" t="s">
        <v>96</v>
      </c>
      <c r="M1232" s="82"/>
      <c r="N1232" s="82"/>
      <c r="O1232" s="82" t="s">
        <v>1219</v>
      </c>
      <c r="P1232" s="107"/>
      <c r="Q1232" s="82"/>
      <c r="R1232" s="76"/>
      <c r="S1232" s="90"/>
      <c r="T1232" s="79"/>
      <c r="U1232" s="90"/>
      <c r="V1232" s="79"/>
    </row>
    <row r="1233">
      <c r="A1233" s="53" t="s">
        <v>2910</v>
      </c>
      <c r="B1233" s="54" t="s">
        <v>35</v>
      </c>
      <c r="C1233" s="54" t="s">
        <v>100</v>
      </c>
      <c r="D1233" s="59" t="str">
        <f t="shared" si="75"/>
        <v>Removed</v>
      </c>
      <c r="E1233" s="88">
        <v>44565.0</v>
      </c>
      <c r="F1233" s="120">
        <v>44926.0</v>
      </c>
      <c r="G1233" s="65">
        <f t="shared" si="2"/>
        <v>11.86666667</v>
      </c>
      <c r="H1233" s="88">
        <v>43859.0</v>
      </c>
      <c r="I1233" s="65">
        <f t="shared" si="3"/>
        <v>1.930555556</v>
      </c>
      <c r="J1233" s="121">
        <v>81.0</v>
      </c>
      <c r="K1233" s="121">
        <v>4.0</v>
      </c>
      <c r="L1233" s="69" t="s">
        <v>57</v>
      </c>
      <c r="M1233" s="69"/>
      <c r="N1233" s="69"/>
      <c r="O1233" s="69" t="s">
        <v>1168</v>
      </c>
      <c r="P1233" s="122" t="s">
        <v>1519</v>
      </c>
      <c r="Q1233" s="69"/>
      <c r="R1233" s="59"/>
      <c r="S1233" s="88"/>
      <c r="T1233" s="65"/>
      <c r="U1233" s="88"/>
      <c r="V1233" s="65"/>
    </row>
    <row r="1234">
      <c r="A1234" s="74" t="s">
        <v>2179</v>
      </c>
      <c r="B1234" s="75" t="s">
        <v>35</v>
      </c>
      <c r="C1234" s="75" t="s">
        <v>36</v>
      </c>
      <c r="D1234" s="76" t="str">
        <f t="shared" si="75"/>
        <v>Removed</v>
      </c>
      <c r="E1234" s="90">
        <v>44469.0</v>
      </c>
      <c r="F1234" s="105">
        <v>44926.0</v>
      </c>
      <c r="G1234" s="79">
        <f t="shared" si="2"/>
        <v>15</v>
      </c>
      <c r="H1234" s="90">
        <v>44372.0</v>
      </c>
      <c r="I1234" s="79">
        <f t="shared" si="3"/>
        <v>0.2638888889</v>
      </c>
      <c r="J1234" s="106">
        <f>(77+79)/2</f>
        <v>78</v>
      </c>
      <c r="K1234" s="106">
        <v>25.0</v>
      </c>
      <c r="L1234" s="82" t="s">
        <v>46</v>
      </c>
      <c r="M1234" s="82"/>
      <c r="N1234" s="82"/>
      <c r="O1234" s="82" t="s">
        <v>328</v>
      </c>
      <c r="P1234" s="107" t="s">
        <v>2911</v>
      </c>
      <c r="Q1234" s="82"/>
      <c r="R1234" s="76"/>
      <c r="S1234" s="90"/>
      <c r="T1234" s="79"/>
      <c r="U1234" s="90"/>
      <c r="V1234" s="79"/>
    </row>
    <row r="1235">
      <c r="A1235" s="53" t="s">
        <v>2912</v>
      </c>
      <c r="B1235" s="54" t="s">
        <v>35</v>
      </c>
      <c r="C1235" s="54" t="s">
        <v>36</v>
      </c>
      <c r="D1235" s="59" t="str">
        <f t="shared" si="75"/>
        <v>Removed</v>
      </c>
      <c r="E1235" s="88">
        <v>44378.0</v>
      </c>
      <c r="F1235" s="120">
        <v>44926.0</v>
      </c>
      <c r="G1235" s="65">
        <f t="shared" si="2"/>
        <v>17.96666667</v>
      </c>
      <c r="H1235" s="88">
        <v>43749.0</v>
      </c>
      <c r="I1235" s="65">
        <f t="shared" si="3"/>
        <v>1.722222222</v>
      </c>
      <c r="J1235" s="121">
        <f>(67+70)/2</f>
        <v>68.5</v>
      </c>
      <c r="K1235" s="121">
        <v>20.5</v>
      </c>
      <c r="L1235" s="69" t="s">
        <v>81</v>
      </c>
      <c r="M1235" s="69"/>
      <c r="N1235" s="69"/>
      <c r="O1235" s="69" t="s">
        <v>107</v>
      </c>
      <c r="P1235" s="122" t="s">
        <v>1491</v>
      </c>
      <c r="Q1235" s="69"/>
      <c r="R1235" s="59"/>
      <c r="S1235" s="88"/>
      <c r="T1235" s="65"/>
      <c r="U1235" s="88"/>
      <c r="V1235" s="65"/>
    </row>
    <row r="1236">
      <c r="A1236" s="74" t="s">
        <v>2913</v>
      </c>
      <c r="B1236" s="75" t="s">
        <v>13</v>
      </c>
      <c r="C1236" s="75"/>
      <c r="D1236" s="76" t="str">
        <f t="shared" si="75"/>
        <v>Removed</v>
      </c>
      <c r="E1236" s="90">
        <v>44371.0</v>
      </c>
      <c r="F1236" s="105">
        <v>44926.0</v>
      </c>
      <c r="G1236" s="79">
        <f t="shared" si="2"/>
        <v>18.2</v>
      </c>
      <c r="H1236" s="90">
        <v>44075.0</v>
      </c>
      <c r="I1236" s="79">
        <f t="shared" si="3"/>
        <v>0.8138888889</v>
      </c>
      <c r="J1236" s="106">
        <v>75.0</v>
      </c>
      <c r="K1236" s="106">
        <v>23.0</v>
      </c>
      <c r="L1236" s="82" t="s">
        <v>1726</v>
      </c>
      <c r="M1236" s="82"/>
      <c r="N1236" s="82"/>
      <c r="O1236" s="82" t="s">
        <v>107</v>
      </c>
      <c r="P1236" s="107" t="s">
        <v>1762</v>
      </c>
      <c r="Q1236" s="82"/>
      <c r="R1236" s="75"/>
      <c r="S1236" s="90"/>
      <c r="T1236" s="79"/>
      <c r="U1236" s="90"/>
      <c r="V1236" s="79"/>
    </row>
    <row r="1237">
      <c r="A1237" s="53" t="s">
        <v>2914</v>
      </c>
      <c r="B1237" s="54" t="s">
        <v>35</v>
      </c>
      <c r="C1237" s="54" t="s">
        <v>100</v>
      </c>
      <c r="D1237" s="59" t="str">
        <f t="shared" si="75"/>
        <v>Removed</v>
      </c>
      <c r="E1237" s="88">
        <v>44273.0</v>
      </c>
      <c r="F1237" s="120">
        <v>44926.0</v>
      </c>
      <c r="G1237" s="65">
        <f t="shared" si="2"/>
        <v>21.4</v>
      </c>
      <c r="H1237" s="88">
        <v>43553.0</v>
      </c>
      <c r="I1237" s="65">
        <f t="shared" si="3"/>
        <v>1.969444444</v>
      </c>
      <c r="J1237" s="121">
        <v>78.0</v>
      </c>
      <c r="K1237" s="121">
        <v>27.0</v>
      </c>
      <c r="L1237" s="69" t="s">
        <v>64</v>
      </c>
      <c r="M1237" s="69"/>
      <c r="N1237" s="69" t="s">
        <v>2915</v>
      </c>
      <c r="O1237" s="69" t="s">
        <v>328</v>
      </c>
      <c r="P1237" s="122" t="s">
        <v>2916</v>
      </c>
      <c r="Q1237" s="69"/>
      <c r="R1237" s="59"/>
      <c r="S1237" s="88"/>
      <c r="T1237" s="65"/>
      <c r="U1237" s="88"/>
      <c r="V1237" s="65"/>
    </row>
    <row r="1238">
      <c r="A1238" s="226" t="s">
        <v>2105</v>
      </c>
      <c r="B1238" s="75" t="s">
        <v>35</v>
      </c>
      <c r="C1238" s="75" t="s">
        <v>36</v>
      </c>
      <c r="D1238" s="76" t="str">
        <f t="shared" si="75"/>
        <v>Removed</v>
      </c>
      <c r="E1238" s="218">
        <v>43761.0</v>
      </c>
      <c r="F1238" s="105">
        <v>44926.0</v>
      </c>
      <c r="G1238" s="79">
        <f t="shared" si="2"/>
        <v>38.23333333</v>
      </c>
      <c r="H1238" s="90">
        <v>43761.0</v>
      </c>
      <c r="I1238" s="79">
        <f t="shared" si="3"/>
        <v>0</v>
      </c>
      <c r="J1238" s="216">
        <v>70.0</v>
      </c>
      <c r="K1238" s="106">
        <v>3.0</v>
      </c>
      <c r="L1238" s="83" t="s">
        <v>105</v>
      </c>
      <c r="M1238" s="83"/>
      <c r="N1238" s="83"/>
      <c r="O1238" s="82" t="s">
        <v>328</v>
      </c>
      <c r="P1238" s="107" t="s">
        <v>1793</v>
      </c>
      <c r="Q1238" s="82"/>
      <c r="R1238" s="76"/>
      <c r="S1238" s="90"/>
      <c r="T1238" s="79"/>
      <c r="U1238" s="90"/>
      <c r="V1238" s="79"/>
    </row>
    <row r="1239">
      <c r="A1239" s="53" t="s">
        <v>2917</v>
      </c>
      <c r="B1239" s="54" t="s">
        <v>2759</v>
      </c>
      <c r="C1239" s="59"/>
      <c r="D1239" s="59" t="s">
        <v>2760</v>
      </c>
      <c r="E1239" s="133">
        <v>44881.0</v>
      </c>
      <c r="F1239" s="61">
        <v>44910.0</v>
      </c>
      <c r="G1239" s="65">
        <f t="shared" si="2"/>
        <v>0.9666666667</v>
      </c>
      <c r="H1239" s="88">
        <v>44180.0</v>
      </c>
      <c r="I1239" s="65">
        <f t="shared" si="3"/>
        <v>1.919444444</v>
      </c>
      <c r="J1239" s="121">
        <v>70.0</v>
      </c>
      <c r="K1239" s="121">
        <v>4.0</v>
      </c>
      <c r="L1239" s="69" t="s">
        <v>41</v>
      </c>
      <c r="M1239" s="69"/>
      <c r="N1239" s="69"/>
      <c r="O1239" s="69"/>
      <c r="P1239" s="122"/>
      <c r="Q1239" s="69"/>
      <c r="R1239" s="59"/>
      <c r="S1239" s="88"/>
      <c r="T1239" s="65"/>
      <c r="U1239" s="88"/>
      <c r="V1239" s="65"/>
    </row>
    <row r="1240">
      <c r="A1240" s="74" t="s">
        <v>2918</v>
      </c>
      <c r="B1240" s="75" t="s">
        <v>35</v>
      </c>
      <c r="C1240" s="75" t="s">
        <v>100</v>
      </c>
      <c r="D1240" s="76" t="str">
        <f t="shared" ref="D1240:D1248" si="76">IF(E1240&gt;TODAY(),"Coming Soon",IF(F1240="","Active",IF(F1240&gt;TODAY(),"Leaving Soon","Removed")))</f>
        <v>Removed</v>
      </c>
      <c r="E1240" s="90">
        <v>44546.0</v>
      </c>
      <c r="F1240" s="105">
        <v>44910.0</v>
      </c>
      <c r="G1240" s="79">
        <f t="shared" si="2"/>
        <v>11.96666667</v>
      </c>
      <c r="H1240" s="90">
        <v>44440.0</v>
      </c>
      <c r="I1240" s="79">
        <f t="shared" si="3"/>
        <v>0.2916666667</v>
      </c>
      <c r="J1240" s="106">
        <f>(72+73)/2</f>
        <v>72.5</v>
      </c>
      <c r="K1240" s="106">
        <v>6.5</v>
      </c>
      <c r="L1240" s="82" t="s">
        <v>135</v>
      </c>
      <c r="M1240" s="82"/>
      <c r="N1240" s="82"/>
      <c r="O1240" s="82" t="s">
        <v>107</v>
      </c>
      <c r="P1240" s="107" t="s">
        <v>2919</v>
      </c>
      <c r="Q1240" s="82"/>
      <c r="R1240" s="76"/>
      <c r="S1240" s="90"/>
      <c r="T1240" s="79"/>
      <c r="U1240" s="90"/>
      <c r="V1240" s="79"/>
    </row>
    <row r="1241">
      <c r="A1241" s="53" t="s">
        <v>2920</v>
      </c>
      <c r="B1241" s="54" t="s">
        <v>35</v>
      </c>
      <c r="C1241" s="54" t="s">
        <v>100</v>
      </c>
      <c r="D1241" s="59" t="str">
        <f t="shared" si="76"/>
        <v>Removed</v>
      </c>
      <c r="E1241" s="88">
        <v>44546.0</v>
      </c>
      <c r="F1241" s="120">
        <v>44910.0</v>
      </c>
      <c r="G1241" s="65">
        <f t="shared" si="2"/>
        <v>11.96666667</v>
      </c>
      <c r="H1241" s="88">
        <v>43770.0</v>
      </c>
      <c r="I1241" s="65">
        <f t="shared" si="3"/>
        <v>2.125</v>
      </c>
      <c r="J1241" s="121">
        <v>51.0</v>
      </c>
      <c r="K1241" s="121">
        <v>1.0</v>
      </c>
      <c r="L1241" s="69" t="s">
        <v>55</v>
      </c>
      <c r="M1241" s="69"/>
      <c r="N1241" s="69"/>
      <c r="O1241" s="69" t="s">
        <v>1219</v>
      </c>
      <c r="P1241" s="122" t="s">
        <v>1860</v>
      </c>
      <c r="Q1241" s="69" t="s">
        <v>2921</v>
      </c>
      <c r="R1241" s="59"/>
      <c r="S1241" s="88"/>
      <c r="T1241" s="65"/>
      <c r="U1241" s="88"/>
      <c r="V1241" s="65"/>
    </row>
    <row r="1242">
      <c r="A1242" s="74" t="s">
        <v>2922</v>
      </c>
      <c r="B1242" s="75" t="s">
        <v>35</v>
      </c>
      <c r="C1242" s="75" t="s">
        <v>36</v>
      </c>
      <c r="D1242" s="76" t="str">
        <f t="shared" si="76"/>
        <v>Removed</v>
      </c>
      <c r="E1242" s="90">
        <v>44546.0</v>
      </c>
      <c r="F1242" s="105">
        <v>44910.0</v>
      </c>
      <c r="G1242" s="79">
        <f t="shared" si="2"/>
        <v>11.96666667</v>
      </c>
      <c r="H1242" s="90">
        <v>43903.0</v>
      </c>
      <c r="I1242" s="79">
        <f t="shared" si="3"/>
        <v>1.758333333</v>
      </c>
      <c r="J1242" s="106">
        <v>73.0</v>
      </c>
      <c r="K1242" s="106">
        <v>5.5</v>
      </c>
      <c r="L1242" s="82" t="s">
        <v>57</v>
      </c>
      <c r="M1242" s="82"/>
      <c r="N1242" s="82"/>
      <c r="O1242" s="82" t="s">
        <v>1168</v>
      </c>
      <c r="P1242" s="107" t="s">
        <v>2405</v>
      </c>
      <c r="Q1242" s="82" t="s">
        <v>2923</v>
      </c>
      <c r="R1242" s="76"/>
      <c r="S1242" s="90"/>
      <c r="T1242" s="79"/>
      <c r="U1242" s="90"/>
      <c r="V1242" s="79"/>
    </row>
    <row r="1243">
      <c r="A1243" s="53" t="s">
        <v>2924</v>
      </c>
      <c r="B1243" s="54" t="s">
        <v>35</v>
      </c>
      <c r="C1243" s="54" t="s">
        <v>100</v>
      </c>
      <c r="D1243" s="59" t="str">
        <f t="shared" si="76"/>
        <v>Removed</v>
      </c>
      <c r="E1243" s="88">
        <v>44546.0</v>
      </c>
      <c r="F1243" s="120">
        <v>44910.0</v>
      </c>
      <c r="G1243" s="65">
        <f t="shared" si="2"/>
        <v>11.96666667</v>
      </c>
      <c r="H1243" s="88">
        <v>44127.0</v>
      </c>
      <c r="I1243" s="65">
        <f t="shared" si="3"/>
        <v>1.147222222</v>
      </c>
      <c r="J1243" s="121">
        <v>71.0</v>
      </c>
      <c r="K1243" s="121">
        <v>9.0</v>
      </c>
      <c r="L1243" s="69" t="s">
        <v>81</v>
      </c>
      <c r="M1243" s="69"/>
      <c r="N1243" s="69"/>
      <c r="O1243" s="69" t="s">
        <v>1168</v>
      </c>
      <c r="P1243" s="122" t="s">
        <v>1396</v>
      </c>
      <c r="Q1243" s="69"/>
      <c r="R1243" s="59"/>
      <c r="S1243" s="88"/>
      <c r="T1243" s="65"/>
      <c r="U1243" s="88"/>
      <c r="V1243" s="65"/>
    </row>
    <row r="1244">
      <c r="A1244" s="74" t="s">
        <v>2925</v>
      </c>
      <c r="B1244" s="75" t="s">
        <v>35</v>
      </c>
      <c r="C1244" s="75" t="s">
        <v>100</v>
      </c>
      <c r="D1244" s="76" t="str">
        <f t="shared" si="76"/>
        <v>Removed</v>
      </c>
      <c r="E1244" s="90">
        <v>44539.0</v>
      </c>
      <c r="F1244" s="105">
        <v>44910.0</v>
      </c>
      <c r="G1244" s="79">
        <f t="shared" si="2"/>
        <v>12.2</v>
      </c>
      <c r="H1244" s="90">
        <v>43916.0</v>
      </c>
      <c r="I1244" s="79">
        <f t="shared" si="3"/>
        <v>1.702777778</v>
      </c>
      <c r="J1244" s="106">
        <v>76.0</v>
      </c>
      <c r="K1244" s="106">
        <v>16.0</v>
      </c>
      <c r="L1244" s="82" t="s">
        <v>1750</v>
      </c>
      <c r="M1244" s="82"/>
      <c r="N1244" s="82"/>
      <c r="O1244" s="82" t="s">
        <v>328</v>
      </c>
      <c r="P1244" s="107" t="s">
        <v>2926</v>
      </c>
      <c r="Q1244" s="82"/>
      <c r="R1244" s="76"/>
      <c r="S1244" s="90"/>
      <c r="T1244" s="79"/>
      <c r="U1244" s="90"/>
      <c r="V1244" s="79"/>
    </row>
    <row r="1245">
      <c r="A1245" s="53" t="s">
        <v>2927</v>
      </c>
      <c r="B1245" s="54" t="s">
        <v>35</v>
      </c>
      <c r="C1245" s="54" t="s">
        <v>36</v>
      </c>
      <c r="D1245" s="59" t="str">
        <f t="shared" si="76"/>
        <v>Removed</v>
      </c>
      <c r="E1245" s="88">
        <v>44448.0</v>
      </c>
      <c r="F1245" s="120">
        <v>44910.0</v>
      </c>
      <c r="G1245" s="65">
        <f t="shared" si="2"/>
        <v>15.2</v>
      </c>
      <c r="H1245" s="88">
        <v>43356.0</v>
      </c>
      <c r="I1245" s="65">
        <f t="shared" si="3"/>
        <v>2.988888889</v>
      </c>
      <c r="J1245" s="121">
        <v>71.0</v>
      </c>
      <c r="K1245" s="121">
        <v>5.5</v>
      </c>
      <c r="L1245" s="69" t="s">
        <v>135</v>
      </c>
      <c r="M1245" s="69"/>
      <c r="N1245" s="69" t="s">
        <v>2928</v>
      </c>
      <c r="O1245" s="69" t="s">
        <v>328</v>
      </c>
      <c r="P1245" s="122" t="s">
        <v>2929</v>
      </c>
      <c r="Q1245" s="69"/>
      <c r="R1245" s="59"/>
      <c r="S1245" s="88"/>
      <c r="T1245" s="65"/>
      <c r="U1245" s="88"/>
      <c r="V1245" s="65"/>
    </row>
    <row r="1246">
      <c r="A1246" s="74" t="s">
        <v>2930</v>
      </c>
      <c r="B1246" s="75" t="s">
        <v>35</v>
      </c>
      <c r="C1246" s="75" t="s">
        <v>100</v>
      </c>
      <c r="D1246" s="76" t="str">
        <f t="shared" si="76"/>
        <v>Removed</v>
      </c>
      <c r="E1246" s="90">
        <v>44182.0</v>
      </c>
      <c r="F1246" s="105">
        <v>44910.0</v>
      </c>
      <c r="G1246" s="79">
        <f t="shared" si="2"/>
        <v>23.93333333</v>
      </c>
      <c r="H1246" s="90">
        <v>43474.0</v>
      </c>
      <c r="I1246" s="79">
        <f t="shared" si="3"/>
        <v>1.938888889</v>
      </c>
      <c r="J1246" s="106">
        <f>(60*2+70*2+80)/5</f>
        <v>68</v>
      </c>
      <c r="K1246" s="106">
        <v>3.0</v>
      </c>
      <c r="L1246" s="82" t="s">
        <v>46</v>
      </c>
      <c r="M1246" s="82"/>
      <c r="N1246" s="82"/>
      <c r="O1246" s="82" t="s">
        <v>328</v>
      </c>
      <c r="P1246" s="107" t="s">
        <v>2931</v>
      </c>
      <c r="Q1246" s="82"/>
      <c r="R1246" s="76"/>
      <c r="S1246" s="90"/>
      <c r="T1246" s="79"/>
      <c r="U1246" s="90"/>
      <c r="V1246" s="79"/>
    </row>
    <row r="1247">
      <c r="A1247" s="53" t="s">
        <v>2085</v>
      </c>
      <c r="B1247" s="54" t="s">
        <v>35</v>
      </c>
      <c r="C1247" s="54" t="s">
        <v>100</v>
      </c>
      <c r="D1247" s="59" t="str">
        <f t="shared" si="76"/>
        <v>Removed</v>
      </c>
      <c r="E1247" s="61">
        <v>44169.0</v>
      </c>
      <c r="F1247" s="120">
        <v>44910.0</v>
      </c>
      <c r="G1247" s="65">
        <f t="shared" si="2"/>
        <v>24.36666667</v>
      </c>
      <c r="H1247" s="61">
        <v>42945.0</v>
      </c>
      <c r="I1247" s="65">
        <f t="shared" si="3"/>
        <v>3.347222222</v>
      </c>
      <c r="J1247" s="121">
        <v>91.0</v>
      </c>
      <c r="K1247" s="121">
        <v>56.0</v>
      </c>
      <c r="L1247" s="69" t="s">
        <v>46</v>
      </c>
      <c r="M1247" s="69"/>
      <c r="N1247" s="69"/>
      <c r="O1247" s="69" t="s">
        <v>328</v>
      </c>
      <c r="P1247" s="122" t="s">
        <v>2932</v>
      </c>
      <c r="Q1247" s="69"/>
      <c r="R1247" s="59"/>
      <c r="S1247" s="88"/>
      <c r="T1247" s="65"/>
      <c r="U1247" s="88"/>
      <c r="V1247" s="65"/>
    </row>
    <row r="1248">
      <c r="A1248" s="74" t="s">
        <v>2933</v>
      </c>
      <c r="B1248" s="75" t="s">
        <v>129</v>
      </c>
      <c r="C1248" s="75"/>
      <c r="D1248" s="76" t="str">
        <f t="shared" si="76"/>
        <v>Removed</v>
      </c>
      <c r="E1248" s="90">
        <v>44145.0</v>
      </c>
      <c r="F1248" s="105">
        <v>44910.0</v>
      </c>
      <c r="G1248" s="79">
        <f t="shared" si="2"/>
        <v>25.16666667</v>
      </c>
      <c r="H1248" s="90">
        <v>42199.0</v>
      </c>
      <c r="I1248" s="79">
        <f t="shared" si="3"/>
        <v>5.322222222</v>
      </c>
      <c r="J1248" s="106">
        <v>60.0</v>
      </c>
      <c r="K1248" s="106">
        <v>40.0</v>
      </c>
      <c r="L1248" s="82" t="s">
        <v>62</v>
      </c>
      <c r="M1248" s="82"/>
      <c r="N1248" s="82"/>
      <c r="O1248" s="82" t="s">
        <v>1219</v>
      </c>
      <c r="P1248" s="107"/>
      <c r="Q1248" s="82"/>
      <c r="R1248" s="76"/>
      <c r="S1248" s="90"/>
      <c r="T1248" s="79"/>
      <c r="U1248" s="90"/>
      <c r="V1248" s="79"/>
    </row>
    <row r="1249">
      <c r="A1249" s="53" t="s">
        <v>2934</v>
      </c>
      <c r="B1249" s="54" t="s">
        <v>2759</v>
      </c>
      <c r="C1249" s="59"/>
      <c r="D1249" s="59" t="s">
        <v>2760</v>
      </c>
      <c r="E1249" s="133">
        <v>44866.0</v>
      </c>
      <c r="F1249" s="61">
        <v>44895.0</v>
      </c>
      <c r="G1249" s="65">
        <f t="shared" si="2"/>
        <v>0.9666666667</v>
      </c>
      <c r="H1249" s="88">
        <v>44004.0</v>
      </c>
      <c r="I1249" s="65">
        <f t="shared" si="3"/>
        <v>2.358333333</v>
      </c>
      <c r="J1249" s="121">
        <v>66.0</v>
      </c>
      <c r="K1249" s="121">
        <v>17.0</v>
      </c>
      <c r="L1249" s="69" t="s">
        <v>81</v>
      </c>
      <c r="M1249" s="69"/>
      <c r="N1249" s="69"/>
      <c r="O1249" s="69"/>
      <c r="P1249" s="122"/>
      <c r="Q1249" s="69"/>
      <c r="R1249" s="59"/>
      <c r="S1249" s="88"/>
      <c r="T1249" s="65"/>
      <c r="U1249" s="88"/>
      <c r="V1249" s="65"/>
    </row>
    <row r="1250">
      <c r="A1250" s="74" t="s">
        <v>2935</v>
      </c>
      <c r="B1250" s="75" t="s">
        <v>35</v>
      </c>
      <c r="C1250" s="75" t="s">
        <v>100</v>
      </c>
      <c r="D1250" s="76" t="str">
        <f t="shared" ref="D1250:D1256" si="77">IF(E1250&gt;TODAY(),"Coming Soon",IF(F1250="","Active",IF(F1250&gt;TODAY(),"Leaving Soon","Removed")))</f>
        <v>Removed</v>
      </c>
      <c r="E1250" s="90">
        <v>44537.0</v>
      </c>
      <c r="F1250" s="105">
        <v>44895.0</v>
      </c>
      <c r="G1250" s="79">
        <f t="shared" si="2"/>
        <v>11.76666667</v>
      </c>
      <c r="H1250" s="90">
        <v>44537.0</v>
      </c>
      <c r="I1250" s="79">
        <f t="shared" si="3"/>
        <v>0</v>
      </c>
      <c r="J1250" s="106">
        <f>(60+80)/2</f>
        <v>70</v>
      </c>
      <c r="K1250" s="106">
        <v>2.0</v>
      </c>
      <c r="L1250" s="82" t="s">
        <v>64</v>
      </c>
      <c r="M1250" s="82"/>
      <c r="N1250" s="82"/>
      <c r="O1250" s="82" t="s">
        <v>328</v>
      </c>
      <c r="P1250" s="107" t="s">
        <v>2936</v>
      </c>
      <c r="Q1250" s="82"/>
      <c r="R1250" s="76"/>
      <c r="S1250" s="90"/>
      <c r="T1250" s="79"/>
      <c r="U1250" s="90"/>
      <c r="V1250" s="79"/>
    </row>
    <row r="1251">
      <c r="A1251" s="53" t="s">
        <v>2937</v>
      </c>
      <c r="B1251" s="54" t="s">
        <v>35</v>
      </c>
      <c r="C1251" s="54" t="s">
        <v>100</v>
      </c>
      <c r="D1251" s="59" t="str">
        <f t="shared" si="77"/>
        <v>Removed</v>
      </c>
      <c r="E1251" s="88">
        <v>44532.0</v>
      </c>
      <c r="F1251" s="120">
        <v>44895.0</v>
      </c>
      <c r="G1251" s="65">
        <f t="shared" si="2"/>
        <v>11.93333333</v>
      </c>
      <c r="H1251" s="88">
        <v>44532.0</v>
      </c>
      <c r="I1251" s="65">
        <f t="shared" si="3"/>
        <v>0</v>
      </c>
      <c r="J1251" s="121">
        <v>84.0</v>
      </c>
      <c r="K1251" s="121">
        <v>9.0</v>
      </c>
      <c r="L1251" s="69" t="s">
        <v>37</v>
      </c>
      <c r="M1251" s="69"/>
      <c r="N1251" s="69"/>
      <c r="O1251" s="69" t="s">
        <v>328</v>
      </c>
      <c r="P1251" s="122" t="s">
        <v>1491</v>
      </c>
      <c r="Q1251" s="69"/>
      <c r="R1251" s="59"/>
      <c r="S1251" s="88"/>
      <c r="T1251" s="65"/>
      <c r="U1251" s="88"/>
      <c r="V1251" s="65"/>
    </row>
    <row r="1252">
      <c r="A1252" s="74" t="s">
        <v>2938</v>
      </c>
      <c r="B1252" s="75" t="s">
        <v>35</v>
      </c>
      <c r="C1252" s="75"/>
      <c r="D1252" s="76" t="str">
        <f t="shared" si="77"/>
        <v>Removed</v>
      </c>
      <c r="E1252" s="90">
        <v>44532.0</v>
      </c>
      <c r="F1252" s="105">
        <v>44895.0</v>
      </c>
      <c r="G1252" s="79">
        <f t="shared" si="2"/>
        <v>11.93333333</v>
      </c>
      <c r="H1252" s="90">
        <v>40892.0</v>
      </c>
      <c r="I1252" s="79">
        <f t="shared" si="3"/>
        <v>9.963888889</v>
      </c>
      <c r="J1252" s="106">
        <f>(75+82)/2</f>
        <v>78.5</v>
      </c>
      <c r="K1252" s="106">
        <v>28.0</v>
      </c>
      <c r="L1252" s="82" t="s">
        <v>46</v>
      </c>
      <c r="M1252" s="82"/>
      <c r="N1252" s="82"/>
      <c r="O1252" s="82" t="s">
        <v>328</v>
      </c>
      <c r="P1252" s="107" t="s">
        <v>2939</v>
      </c>
      <c r="Q1252" s="82"/>
      <c r="R1252" s="76"/>
      <c r="S1252" s="90"/>
      <c r="T1252" s="79"/>
      <c r="U1252" s="90"/>
      <c r="V1252" s="79"/>
    </row>
    <row r="1253">
      <c r="A1253" s="53" t="s">
        <v>2940</v>
      </c>
      <c r="B1253" s="54" t="s">
        <v>35</v>
      </c>
      <c r="C1253" s="54" t="s">
        <v>36</v>
      </c>
      <c r="D1253" s="59" t="str">
        <f t="shared" si="77"/>
        <v>Removed</v>
      </c>
      <c r="E1253" s="88">
        <v>44532.0</v>
      </c>
      <c r="F1253" s="120">
        <v>44895.0</v>
      </c>
      <c r="G1253" s="65">
        <f t="shared" si="2"/>
        <v>11.93333333</v>
      </c>
      <c r="H1253" s="88">
        <v>44392.0</v>
      </c>
      <c r="I1253" s="65">
        <f t="shared" si="3"/>
        <v>0.3805555556</v>
      </c>
      <c r="J1253" s="121">
        <v>74.0</v>
      </c>
      <c r="K1253" s="121">
        <v>19.5</v>
      </c>
      <c r="L1253" s="69" t="s">
        <v>81</v>
      </c>
      <c r="M1253" s="69"/>
      <c r="N1253" s="69"/>
      <c r="O1253" s="69" t="s">
        <v>107</v>
      </c>
      <c r="P1253" s="122" t="s">
        <v>2659</v>
      </c>
      <c r="Q1253" s="69"/>
      <c r="R1253" s="59"/>
      <c r="S1253" s="88"/>
      <c r="T1253" s="65"/>
      <c r="U1253" s="88"/>
      <c r="V1253" s="65"/>
    </row>
    <row r="1254">
      <c r="A1254" s="74" t="s">
        <v>2941</v>
      </c>
      <c r="B1254" s="75" t="s">
        <v>35</v>
      </c>
      <c r="C1254" s="75" t="s">
        <v>36</v>
      </c>
      <c r="D1254" s="76" t="str">
        <f t="shared" si="77"/>
        <v>Removed</v>
      </c>
      <c r="E1254" s="90">
        <v>44531.0</v>
      </c>
      <c r="F1254" s="105">
        <v>44895.0</v>
      </c>
      <c r="G1254" s="79">
        <f t="shared" si="2"/>
        <v>11.96666667</v>
      </c>
      <c r="H1254" s="90">
        <v>44336.0</v>
      </c>
      <c r="I1254" s="79">
        <f t="shared" si="3"/>
        <v>0.5305555556</v>
      </c>
      <c r="J1254" s="106">
        <v>75.0</v>
      </c>
      <c r="K1254" s="106">
        <v>2.5</v>
      </c>
      <c r="L1254" s="82" t="s">
        <v>46</v>
      </c>
      <c r="M1254" s="82"/>
      <c r="N1254" s="82"/>
      <c r="O1254" s="82" t="s">
        <v>107</v>
      </c>
      <c r="P1254" s="107" t="s">
        <v>2942</v>
      </c>
      <c r="Q1254" s="82"/>
      <c r="R1254" s="76"/>
      <c r="S1254" s="90"/>
      <c r="T1254" s="79"/>
      <c r="U1254" s="90"/>
      <c r="V1254" s="79"/>
    </row>
    <row r="1255">
      <c r="A1255" s="53" t="s">
        <v>2943</v>
      </c>
      <c r="B1255" s="54" t="s">
        <v>35</v>
      </c>
      <c r="C1255" s="54" t="s">
        <v>36</v>
      </c>
      <c r="D1255" s="59" t="str">
        <f t="shared" si="77"/>
        <v>Removed</v>
      </c>
      <c r="E1255" s="88">
        <v>44523.0</v>
      </c>
      <c r="F1255" s="120">
        <v>44895.0</v>
      </c>
      <c r="G1255" s="65">
        <f t="shared" si="2"/>
        <v>12.23333333</v>
      </c>
      <c r="H1255" s="88">
        <v>43851.0</v>
      </c>
      <c r="I1255" s="65">
        <f t="shared" si="3"/>
        <v>1.838888889</v>
      </c>
      <c r="J1255" s="121">
        <f>(40*2+60)/3</f>
        <v>46.66666667</v>
      </c>
      <c r="K1255" s="121">
        <v>1.0</v>
      </c>
      <c r="L1255" s="69" t="s">
        <v>105</v>
      </c>
      <c r="M1255" s="69"/>
      <c r="N1255" s="69"/>
      <c r="O1255" s="69" t="s">
        <v>328</v>
      </c>
      <c r="P1255" s="122" t="s">
        <v>1378</v>
      </c>
      <c r="Q1255" s="69"/>
      <c r="R1255" s="59"/>
      <c r="S1255" s="88"/>
      <c r="T1255" s="65"/>
      <c r="U1255" s="88"/>
      <c r="V1255" s="65"/>
    </row>
    <row r="1256">
      <c r="A1256" s="74" t="s">
        <v>2944</v>
      </c>
      <c r="B1256" s="75" t="s">
        <v>35</v>
      </c>
      <c r="C1256" s="75" t="s">
        <v>100</v>
      </c>
      <c r="D1256" s="76" t="str">
        <f t="shared" si="77"/>
        <v>Removed</v>
      </c>
      <c r="E1256" s="90">
        <v>44518.0</v>
      </c>
      <c r="F1256" s="105">
        <v>44895.0</v>
      </c>
      <c r="G1256" s="79">
        <f t="shared" si="2"/>
        <v>12.4</v>
      </c>
      <c r="H1256" s="90">
        <v>44518.0</v>
      </c>
      <c r="I1256" s="79">
        <f t="shared" si="3"/>
        <v>0</v>
      </c>
      <c r="J1256" s="106">
        <f>(56+60+70*2+73+90)/6</f>
        <v>69.83333333</v>
      </c>
      <c r="K1256" s="106">
        <v>4.0</v>
      </c>
      <c r="L1256" s="82" t="s">
        <v>46</v>
      </c>
      <c r="M1256" s="82"/>
      <c r="N1256" s="82"/>
      <c r="O1256" s="82" t="s">
        <v>328</v>
      </c>
      <c r="P1256" s="107" t="s">
        <v>2945</v>
      </c>
      <c r="Q1256" s="82"/>
      <c r="R1256" s="76"/>
      <c r="S1256" s="90"/>
      <c r="T1256" s="79"/>
      <c r="U1256" s="90"/>
      <c r="V1256" s="79"/>
    </row>
    <row r="1257">
      <c r="A1257" s="53" t="s">
        <v>2946</v>
      </c>
      <c r="B1257" s="54" t="s">
        <v>2759</v>
      </c>
      <c r="C1257" s="59"/>
      <c r="D1257" s="59" t="s">
        <v>2760</v>
      </c>
      <c r="E1257" s="133">
        <v>44850.0</v>
      </c>
      <c r="F1257" s="61">
        <v>44880.0</v>
      </c>
      <c r="G1257" s="65">
        <f t="shared" si="2"/>
        <v>0.9666666667</v>
      </c>
      <c r="H1257" s="88">
        <v>43160.0</v>
      </c>
      <c r="I1257" s="65">
        <f t="shared" si="3"/>
        <v>4.625</v>
      </c>
      <c r="J1257" s="121">
        <v>77.0</v>
      </c>
      <c r="K1257" s="121">
        <v>15.5</v>
      </c>
      <c r="L1257" s="69" t="s">
        <v>81</v>
      </c>
      <c r="M1257" s="69"/>
      <c r="N1257" s="69" t="s">
        <v>2761</v>
      </c>
      <c r="O1257" s="69"/>
      <c r="P1257" s="122"/>
      <c r="Q1257" s="69"/>
      <c r="R1257" s="59"/>
      <c r="S1257" s="88"/>
      <c r="T1257" s="65"/>
      <c r="U1257" s="88"/>
      <c r="V1257" s="65"/>
    </row>
    <row r="1258">
      <c r="A1258" s="74" t="s">
        <v>2947</v>
      </c>
      <c r="B1258" s="75" t="s">
        <v>35</v>
      </c>
      <c r="C1258" s="75" t="s">
        <v>100</v>
      </c>
      <c r="D1258" s="76" t="str">
        <f t="shared" ref="D1258:D1264" si="78">IF(E1258&gt;TODAY(),"Coming Soon",IF(F1258="","Active",IF(F1258&gt;TODAY(),"Leaving Soon","Removed")))</f>
        <v>Removed</v>
      </c>
      <c r="E1258" s="90">
        <v>44518.0</v>
      </c>
      <c r="F1258" s="105">
        <v>44880.0</v>
      </c>
      <c r="G1258" s="79">
        <f t="shared" si="2"/>
        <v>11.9</v>
      </c>
      <c r="H1258" s="90">
        <v>44043.0</v>
      </c>
      <c r="I1258" s="79">
        <f t="shared" si="3"/>
        <v>1.3</v>
      </c>
      <c r="J1258" s="106">
        <v>77.0</v>
      </c>
      <c r="K1258" s="106">
        <v>32.5</v>
      </c>
      <c r="L1258" s="82" t="s">
        <v>46</v>
      </c>
      <c r="M1258" s="82"/>
      <c r="N1258" s="82"/>
      <c r="O1258" s="82" t="s">
        <v>1168</v>
      </c>
      <c r="P1258" s="107" t="s">
        <v>2405</v>
      </c>
      <c r="Q1258" s="82"/>
      <c r="R1258" s="76"/>
      <c r="S1258" s="90"/>
      <c r="T1258" s="79"/>
      <c r="U1258" s="90"/>
      <c r="V1258" s="79"/>
    </row>
    <row r="1259">
      <c r="A1259" s="53" t="s">
        <v>2948</v>
      </c>
      <c r="B1259" s="54" t="s">
        <v>35</v>
      </c>
      <c r="C1259" s="54" t="s">
        <v>36</v>
      </c>
      <c r="D1259" s="59" t="str">
        <f t="shared" si="78"/>
        <v>Removed</v>
      </c>
      <c r="E1259" s="88">
        <v>44517.0</v>
      </c>
      <c r="F1259" s="120">
        <v>44880.0</v>
      </c>
      <c r="G1259" s="65">
        <f t="shared" si="2"/>
        <v>11.93333333</v>
      </c>
      <c r="H1259" s="88">
        <v>44517.0</v>
      </c>
      <c r="I1259" s="65">
        <f t="shared" si="3"/>
        <v>0</v>
      </c>
      <c r="J1259" s="121">
        <f>(60+75+80)/3</f>
        <v>71.66666667</v>
      </c>
      <c r="K1259" s="121">
        <v>18.0</v>
      </c>
      <c r="L1259" s="69" t="s">
        <v>64</v>
      </c>
      <c r="M1259" s="69"/>
      <c r="N1259" s="69"/>
      <c r="O1259" s="69" t="s">
        <v>107</v>
      </c>
      <c r="P1259" s="122" t="s">
        <v>2949</v>
      </c>
      <c r="Q1259" s="69" t="s">
        <v>2950</v>
      </c>
      <c r="R1259" s="59"/>
      <c r="S1259" s="88"/>
      <c r="T1259" s="65"/>
      <c r="U1259" s="88"/>
      <c r="V1259" s="65"/>
    </row>
    <row r="1260">
      <c r="A1260" s="74" t="s">
        <v>2951</v>
      </c>
      <c r="B1260" s="75" t="s">
        <v>35</v>
      </c>
      <c r="C1260" s="75" t="s">
        <v>100</v>
      </c>
      <c r="D1260" s="76" t="str">
        <f t="shared" si="78"/>
        <v>Removed</v>
      </c>
      <c r="E1260" s="90">
        <v>44511.0</v>
      </c>
      <c r="F1260" s="105">
        <v>44880.0</v>
      </c>
      <c r="G1260" s="79">
        <f t="shared" si="2"/>
        <v>12.13333333</v>
      </c>
      <c r="H1260" s="90">
        <v>43916.0</v>
      </c>
      <c r="I1260" s="79">
        <f t="shared" si="3"/>
        <v>1.625</v>
      </c>
      <c r="J1260" s="106">
        <v>82.0</v>
      </c>
      <c r="K1260" s="106">
        <v>7.5</v>
      </c>
      <c r="L1260" s="82" t="s">
        <v>105</v>
      </c>
      <c r="M1260" s="82"/>
      <c r="N1260" s="82"/>
      <c r="O1260" s="82" t="s">
        <v>1168</v>
      </c>
      <c r="P1260" s="107" t="s">
        <v>2952</v>
      </c>
      <c r="Q1260" s="82"/>
      <c r="R1260" s="76"/>
      <c r="S1260" s="90"/>
      <c r="T1260" s="79"/>
      <c r="U1260" s="90"/>
      <c r="V1260" s="79"/>
    </row>
    <row r="1261">
      <c r="A1261" s="53" t="s">
        <v>2175</v>
      </c>
      <c r="B1261" s="54" t="s">
        <v>35</v>
      </c>
      <c r="C1261" s="54" t="s">
        <v>100</v>
      </c>
      <c r="D1261" s="59" t="str">
        <f t="shared" si="78"/>
        <v>Removed</v>
      </c>
      <c r="E1261" s="88">
        <v>44420.0</v>
      </c>
      <c r="F1261" s="120">
        <v>44880.0</v>
      </c>
      <c r="G1261" s="65">
        <f t="shared" si="2"/>
        <v>15.1</v>
      </c>
      <c r="H1261" s="88">
        <v>44097.0</v>
      </c>
      <c r="I1261" s="65">
        <f t="shared" si="3"/>
        <v>0.8861111111</v>
      </c>
      <c r="J1261" s="121">
        <v>80.0</v>
      </c>
      <c r="K1261" s="121">
        <v>16.5</v>
      </c>
      <c r="L1261" s="69" t="s">
        <v>55</v>
      </c>
      <c r="M1261" s="69" t="s">
        <v>326</v>
      </c>
      <c r="N1261" s="69"/>
      <c r="O1261" s="69" t="s">
        <v>1219</v>
      </c>
      <c r="P1261" s="122"/>
      <c r="Q1261" s="69"/>
      <c r="R1261" s="59"/>
      <c r="S1261" s="88"/>
      <c r="T1261" s="65"/>
      <c r="U1261" s="88"/>
      <c r="V1261" s="65"/>
    </row>
    <row r="1262">
      <c r="A1262" s="74" t="s">
        <v>2953</v>
      </c>
      <c r="B1262" s="75" t="s">
        <v>35</v>
      </c>
      <c r="C1262" s="75"/>
      <c r="D1262" s="76" t="str">
        <f t="shared" si="78"/>
        <v>Removed</v>
      </c>
      <c r="E1262" s="90">
        <v>44126.0</v>
      </c>
      <c r="F1262" s="105">
        <v>44880.0</v>
      </c>
      <c r="G1262" s="79">
        <f t="shared" si="2"/>
        <v>24.76666667</v>
      </c>
      <c r="H1262" s="90">
        <v>43560.0</v>
      </c>
      <c r="I1262" s="79">
        <f t="shared" si="3"/>
        <v>1.547222222</v>
      </c>
      <c r="J1262" s="106">
        <v>82.0</v>
      </c>
      <c r="K1262" s="106">
        <v>13.0</v>
      </c>
      <c r="L1262" s="82" t="s">
        <v>41</v>
      </c>
      <c r="M1262" s="82"/>
      <c r="N1262" s="82"/>
      <c r="O1262" s="82" t="s">
        <v>328</v>
      </c>
      <c r="P1262" s="107" t="s">
        <v>2734</v>
      </c>
      <c r="Q1262" s="82"/>
      <c r="R1262" s="76"/>
      <c r="S1262" s="90"/>
      <c r="T1262" s="79"/>
      <c r="U1262" s="90"/>
      <c r="V1262" s="79"/>
    </row>
    <row r="1263">
      <c r="A1263" s="207" t="s">
        <v>2160</v>
      </c>
      <c r="B1263" s="54" t="s">
        <v>35</v>
      </c>
      <c r="C1263" s="54" t="s">
        <v>36</v>
      </c>
      <c r="D1263" s="59" t="str">
        <f t="shared" si="78"/>
        <v>Removed</v>
      </c>
      <c r="E1263" s="133">
        <v>43776.0</v>
      </c>
      <c r="F1263" s="120">
        <v>44880.0</v>
      </c>
      <c r="G1263" s="65">
        <f t="shared" si="2"/>
        <v>36.26666667</v>
      </c>
      <c r="H1263" s="88">
        <v>43123.0</v>
      </c>
      <c r="I1263" s="65">
        <f t="shared" si="3"/>
        <v>1.788888889</v>
      </c>
      <c r="J1263" s="208">
        <v>81.0</v>
      </c>
      <c r="K1263" s="121">
        <v>27.0</v>
      </c>
      <c r="L1263" s="91" t="s">
        <v>135</v>
      </c>
      <c r="M1263" s="69" t="s">
        <v>326</v>
      </c>
      <c r="N1263" s="69"/>
      <c r="O1263" s="69" t="s">
        <v>1168</v>
      </c>
      <c r="P1263" s="122" t="s">
        <v>1798</v>
      </c>
      <c r="Q1263" s="69"/>
      <c r="R1263" s="59"/>
      <c r="S1263" s="88"/>
      <c r="T1263" s="65"/>
      <c r="U1263" s="88"/>
      <c r="V1263" s="65"/>
    </row>
    <row r="1264">
      <c r="A1264" s="74" t="s">
        <v>2954</v>
      </c>
      <c r="B1264" s="75" t="s">
        <v>35</v>
      </c>
      <c r="C1264" s="75" t="s">
        <v>100</v>
      </c>
      <c r="D1264" s="76" t="str">
        <f t="shared" si="78"/>
        <v>Removed</v>
      </c>
      <c r="E1264" s="90">
        <v>44509.0</v>
      </c>
      <c r="F1264" s="105">
        <v>44873.0</v>
      </c>
      <c r="G1264" s="79">
        <f t="shared" si="2"/>
        <v>11.96666667</v>
      </c>
      <c r="H1264" s="90">
        <v>44509.0</v>
      </c>
      <c r="I1264" s="79">
        <f t="shared" si="3"/>
        <v>0</v>
      </c>
      <c r="J1264" s="106">
        <v>86.0</v>
      </c>
      <c r="K1264" s="106">
        <v>85.0</v>
      </c>
      <c r="L1264" s="82" t="s">
        <v>62</v>
      </c>
      <c r="M1264" s="82"/>
      <c r="N1264" s="82"/>
      <c r="O1264" s="82" t="s">
        <v>1219</v>
      </c>
      <c r="P1264" s="107"/>
      <c r="Q1264" s="82"/>
      <c r="R1264" s="76"/>
      <c r="S1264" s="90"/>
      <c r="T1264" s="79"/>
      <c r="U1264" s="90"/>
      <c r="V1264" s="79"/>
    </row>
    <row r="1265">
      <c r="A1265" s="53" t="s">
        <v>2955</v>
      </c>
      <c r="B1265" s="54" t="s">
        <v>2759</v>
      </c>
      <c r="C1265" s="59"/>
      <c r="D1265" s="59" t="s">
        <v>2760</v>
      </c>
      <c r="E1265" s="133">
        <v>44835.0</v>
      </c>
      <c r="F1265" s="61">
        <v>44865.0</v>
      </c>
      <c r="G1265" s="65">
        <f t="shared" si="2"/>
        <v>0.9666666667</v>
      </c>
      <c r="H1265" s="88">
        <v>43705.0</v>
      </c>
      <c r="I1265" s="65">
        <f t="shared" si="3"/>
        <v>3.091666667</v>
      </c>
      <c r="J1265" s="121">
        <v>71.0</v>
      </c>
      <c r="K1265" s="121">
        <v>14.0</v>
      </c>
      <c r="L1265" s="69" t="s">
        <v>41</v>
      </c>
      <c r="M1265" s="69"/>
      <c r="N1265" s="69"/>
      <c r="O1265" s="69"/>
      <c r="P1265" s="122"/>
      <c r="Q1265" s="69"/>
      <c r="R1265" s="59"/>
      <c r="S1265" s="88"/>
      <c r="T1265" s="65"/>
      <c r="U1265" s="88"/>
      <c r="V1265" s="65"/>
    </row>
    <row r="1266">
      <c r="A1266" s="74" t="s">
        <v>2956</v>
      </c>
      <c r="B1266" s="75" t="s">
        <v>35</v>
      </c>
      <c r="C1266" s="75"/>
      <c r="D1266" s="76" t="str">
        <f t="shared" ref="D1266:D1273" si="79">IF(E1266&gt;TODAY(),"Coming Soon",IF(F1266="","Active",IF(F1266&gt;TODAY(),"Leaving Soon","Removed")))</f>
        <v>Removed</v>
      </c>
      <c r="E1266" s="90">
        <v>44497.0</v>
      </c>
      <c r="F1266" s="105">
        <v>44865.0</v>
      </c>
      <c r="G1266" s="79">
        <f t="shared" si="2"/>
        <v>12.06666667</v>
      </c>
      <c r="H1266" s="90">
        <v>40961.0</v>
      </c>
      <c r="I1266" s="79">
        <f t="shared" si="3"/>
        <v>9.683333333</v>
      </c>
      <c r="J1266" s="106">
        <v>75.0</v>
      </c>
      <c r="K1266" s="106">
        <v>3.5</v>
      </c>
      <c r="L1266" s="82" t="s">
        <v>37</v>
      </c>
      <c r="M1266" s="82"/>
      <c r="N1266" s="82"/>
      <c r="O1266" s="82" t="s">
        <v>328</v>
      </c>
      <c r="P1266" s="107" t="s">
        <v>2957</v>
      </c>
      <c r="Q1266" s="82"/>
      <c r="R1266" s="76"/>
      <c r="S1266" s="90"/>
      <c r="T1266" s="79"/>
      <c r="U1266" s="90"/>
      <c r="V1266" s="79"/>
    </row>
    <row r="1267">
      <c r="A1267" s="53" t="s">
        <v>2958</v>
      </c>
      <c r="B1267" s="54" t="s">
        <v>35</v>
      </c>
      <c r="C1267" s="54" t="s">
        <v>36</v>
      </c>
      <c r="D1267" s="59" t="str">
        <f t="shared" si="79"/>
        <v>Removed</v>
      </c>
      <c r="E1267" s="88">
        <v>44497.0</v>
      </c>
      <c r="F1267" s="120">
        <v>44865.0</v>
      </c>
      <c r="G1267" s="65">
        <f t="shared" si="2"/>
        <v>12.06666667</v>
      </c>
      <c r="H1267" s="88">
        <v>44497.0</v>
      </c>
      <c r="I1267" s="65">
        <f t="shared" si="3"/>
        <v>0</v>
      </c>
      <c r="J1267" s="121">
        <f>(70+80)/2</f>
        <v>75</v>
      </c>
      <c r="K1267" s="208"/>
      <c r="L1267" s="69" t="s">
        <v>62</v>
      </c>
      <c r="M1267" s="69" t="s">
        <v>326</v>
      </c>
      <c r="N1267" s="69"/>
      <c r="O1267" s="69" t="s">
        <v>1219</v>
      </c>
      <c r="P1267" s="122"/>
      <c r="Q1267" s="69"/>
      <c r="R1267" s="59"/>
      <c r="S1267" s="88"/>
      <c r="T1267" s="65"/>
      <c r="U1267" s="88"/>
      <c r="V1267" s="65"/>
    </row>
    <row r="1268">
      <c r="A1268" s="74" t="s">
        <v>2959</v>
      </c>
      <c r="B1268" s="75" t="s">
        <v>35</v>
      </c>
      <c r="C1268" s="75" t="s">
        <v>36</v>
      </c>
      <c r="D1268" s="76" t="str">
        <f t="shared" si="79"/>
        <v>Removed</v>
      </c>
      <c r="E1268" s="90">
        <v>44497.0</v>
      </c>
      <c r="F1268" s="105">
        <v>44865.0</v>
      </c>
      <c r="G1268" s="79">
        <f t="shared" si="2"/>
        <v>12.06666667</v>
      </c>
      <c r="H1268" s="90">
        <v>44321.0</v>
      </c>
      <c r="I1268" s="79">
        <f t="shared" si="3"/>
        <v>0.4805555556</v>
      </c>
      <c r="J1268" s="106">
        <f>(70+85)/2</f>
        <v>77.5</v>
      </c>
      <c r="K1268" s="106">
        <v>20.0</v>
      </c>
      <c r="L1268" s="82" t="s">
        <v>105</v>
      </c>
      <c r="M1268" s="82"/>
      <c r="N1268" s="82"/>
      <c r="O1268" s="273" t="s">
        <v>328</v>
      </c>
      <c r="P1268" s="107" t="s">
        <v>108</v>
      </c>
      <c r="Q1268" s="273"/>
      <c r="R1268" s="76"/>
      <c r="S1268" s="90"/>
      <c r="T1268" s="79"/>
      <c r="U1268" s="90"/>
      <c r="V1268" s="79"/>
    </row>
    <row r="1269">
      <c r="A1269" s="53" t="s">
        <v>2960</v>
      </c>
      <c r="B1269" s="54" t="s">
        <v>35</v>
      </c>
      <c r="C1269" s="54" t="s">
        <v>100</v>
      </c>
      <c r="D1269" s="59" t="str">
        <f t="shared" si="79"/>
        <v>Removed</v>
      </c>
      <c r="E1269" s="88">
        <v>44497.0</v>
      </c>
      <c r="F1269" s="120">
        <v>44865.0</v>
      </c>
      <c r="G1269" s="65">
        <f t="shared" si="2"/>
        <v>12.06666667</v>
      </c>
      <c r="H1269" s="88">
        <v>44405.0</v>
      </c>
      <c r="I1269" s="65">
        <f t="shared" si="3"/>
        <v>0.25</v>
      </c>
      <c r="J1269" s="121">
        <f>(85+86)/2</f>
        <v>85.5</v>
      </c>
      <c r="K1269" s="121">
        <v>5.0</v>
      </c>
      <c r="L1269" s="69" t="s">
        <v>46</v>
      </c>
      <c r="M1269" s="69" t="s">
        <v>326</v>
      </c>
      <c r="N1269" s="69"/>
      <c r="O1269" s="69" t="s">
        <v>328</v>
      </c>
      <c r="P1269" s="122" t="s">
        <v>2961</v>
      </c>
      <c r="Q1269" s="69" t="s">
        <v>2962</v>
      </c>
      <c r="R1269" s="59"/>
      <c r="S1269" s="88"/>
      <c r="T1269" s="65"/>
      <c r="U1269" s="88"/>
      <c r="V1269" s="65"/>
    </row>
    <row r="1270">
      <c r="A1270" s="74" t="s">
        <v>2963</v>
      </c>
      <c r="B1270" s="75" t="s">
        <v>35</v>
      </c>
      <c r="C1270" s="75" t="s">
        <v>36</v>
      </c>
      <c r="D1270" s="76" t="str">
        <f t="shared" si="79"/>
        <v>Removed</v>
      </c>
      <c r="E1270" s="90">
        <v>44406.0</v>
      </c>
      <c r="F1270" s="105">
        <v>44865.0</v>
      </c>
      <c r="G1270" s="79">
        <f t="shared" si="2"/>
        <v>15.03333333</v>
      </c>
      <c r="H1270" s="90">
        <v>44166.0</v>
      </c>
      <c r="I1270" s="79">
        <f t="shared" si="3"/>
        <v>0.6611111111</v>
      </c>
      <c r="J1270" s="106">
        <v>75.0</v>
      </c>
      <c r="K1270" s="106">
        <v>11.0</v>
      </c>
      <c r="L1270" s="82" t="s">
        <v>1743</v>
      </c>
      <c r="M1270" s="82"/>
      <c r="N1270" s="82"/>
      <c r="O1270" s="82" t="s">
        <v>328</v>
      </c>
      <c r="P1270" s="107" t="s">
        <v>1876</v>
      </c>
      <c r="Q1270" s="82"/>
      <c r="R1270" s="76"/>
      <c r="S1270" s="90"/>
      <c r="T1270" s="79"/>
      <c r="U1270" s="90"/>
      <c r="V1270" s="79"/>
    </row>
    <row r="1271">
      <c r="A1271" s="53" t="s">
        <v>2964</v>
      </c>
      <c r="B1271" s="54" t="s">
        <v>35</v>
      </c>
      <c r="C1271" s="54" t="s">
        <v>36</v>
      </c>
      <c r="D1271" s="59" t="str">
        <f t="shared" si="79"/>
        <v>Removed</v>
      </c>
      <c r="E1271" s="88">
        <v>44355.0</v>
      </c>
      <c r="F1271" s="120">
        <v>44865.0</v>
      </c>
      <c r="G1271" s="65">
        <f t="shared" si="2"/>
        <v>16.73333333</v>
      </c>
      <c r="H1271" s="88">
        <v>44355.0</v>
      </c>
      <c r="I1271" s="65">
        <f t="shared" si="3"/>
        <v>0</v>
      </c>
      <c r="J1271" s="121">
        <v>73.0</v>
      </c>
      <c r="K1271" s="121">
        <v>4.5</v>
      </c>
      <c r="L1271" s="69" t="s">
        <v>46</v>
      </c>
      <c r="M1271" s="69" t="s">
        <v>326</v>
      </c>
      <c r="N1271" s="69" t="s">
        <v>2965</v>
      </c>
      <c r="O1271" s="69" t="s">
        <v>107</v>
      </c>
      <c r="P1271" s="122" t="s">
        <v>2966</v>
      </c>
      <c r="Q1271" s="69"/>
      <c r="R1271" s="59"/>
      <c r="S1271" s="88"/>
      <c r="T1271" s="65"/>
      <c r="U1271" s="88"/>
      <c r="V1271" s="65"/>
    </row>
    <row r="1272">
      <c r="A1272" s="74" t="s">
        <v>2967</v>
      </c>
      <c r="B1272" s="75" t="s">
        <v>35</v>
      </c>
      <c r="C1272" s="75" t="s">
        <v>36</v>
      </c>
      <c r="D1272" s="76" t="str">
        <f t="shared" si="79"/>
        <v>Removed</v>
      </c>
      <c r="E1272" s="90">
        <v>44314.0</v>
      </c>
      <c r="F1272" s="105">
        <v>44865.0</v>
      </c>
      <c r="G1272" s="79">
        <f t="shared" si="2"/>
        <v>18.06666667</v>
      </c>
      <c r="H1272" s="90">
        <v>44117.0</v>
      </c>
      <c r="I1272" s="79">
        <f t="shared" si="3"/>
        <v>0.5416666667</v>
      </c>
      <c r="J1272" s="106">
        <f>(60+70+70+75)/4</f>
        <v>68.75</v>
      </c>
      <c r="K1272" s="106">
        <v>5.5</v>
      </c>
      <c r="L1272" s="82" t="s">
        <v>37</v>
      </c>
      <c r="M1272" s="82" t="s">
        <v>326</v>
      </c>
      <c r="N1272" s="82"/>
      <c r="O1272" s="82" t="s">
        <v>107</v>
      </c>
      <c r="P1272" s="107" t="s">
        <v>2029</v>
      </c>
      <c r="Q1272" s="82"/>
      <c r="R1272" s="76"/>
      <c r="S1272" s="90"/>
      <c r="T1272" s="79"/>
      <c r="U1272" s="90"/>
      <c r="V1272" s="79"/>
    </row>
    <row r="1273">
      <c r="A1273" s="207" t="s">
        <v>2968</v>
      </c>
      <c r="B1273" s="54" t="s">
        <v>129</v>
      </c>
      <c r="C1273" s="54" t="s">
        <v>36</v>
      </c>
      <c r="D1273" s="59" t="str">
        <f t="shared" si="79"/>
        <v>Removed</v>
      </c>
      <c r="E1273" s="133">
        <v>43405.0</v>
      </c>
      <c r="F1273" s="120">
        <v>44865.0</v>
      </c>
      <c r="G1273" s="65">
        <f t="shared" si="2"/>
        <v>47.96666667</v>
      </c>
      <c r="H1273" s="88">
        <v>42780.0</v>
      </c>
      <c r="I1273" s="65">
        <f t="shared" si="3"/>
        <v>1.713888889</v>
      </c>
      <c r="J1273" s="208">
        <v>81.0</v>
      </c>
      <c r="K1273" s="121">
        <v>10.0</v>
      </c>
      <c r="L1273" s="69" t="s">
        <v>37</v>
      </c>
      <c r="M1273" s="91"/>
      <c r="N1273" s="91"/>
      <c r="O1273" s="69" t="s">
        <v>107</v>
      </c>
      <c r="P1273" s="122" t="s">
        <v>1770</v>
      </c>
      <c r="Q1273" s="69"/>
      <c r="R1273" s="59"/>
      <c r="S1273" s="88"/>
      <c r="T1273" s="65"/>
      <c r="U1273" s="88"/>
      <c r="V1273" s="65"/>
    </row>
    <row r="1274">
      <c r="A1274" s="74" t="s">
        <v>2969</v>
      </c>
      <c r="B1274" s="75" t="s">
        <v>2759</v>
      </c>
      <c r="C1274" s="76"/>
      <c r="D1274" s="76" t="s">
        <v>2760</v>
      </c>
      <c r="E1274" s="218">
        <v>44820.0</v>
      </c>
      <c r="F1274" s="77">
        <v>44849.0</v>
      </c>
      <c r="G1274" s="79">
        <f t="shared" si="2"/>
        <v>0.9666666667</v>
      </c>
      <c r="H1274" s="90">
        <v>44120.0</v>
      </c>
      <c r="I1274" s="79">
        <f t="shared" si="3"/>
        <v>1.916666667</v>
      </c>
      <c r="J1274" s="106">
        <v>74.0</v>
      </c>
      <c r="K1274" s="106">
        <v>3.0</v>
      </c>
      <c r="L1274" s="82" t="s">
        <v>41</v>
      </c>
      <c r="M1274" s="82"/>
      <c r="N1274" s="82"/>
      <c r="O1274" s="82"/>
      <c r="P1274" s="107"/>
      <c r="Q1274" s="82"/>
      <c r="R1274" s="76"/>
      <c r="S1274" s="90"/>
      <c r="T1274" s="79"/>
      <c r="U1274" s="90"/>
      <c r="V1274" s="79"/>
    </row>
    <row r="1275">
      <c r="A1275" s="53" t="s">
        <v>2970</v>
      </c>
      <c r="B1275" s="54" t="s">
        <v>35</v>
      </c>
      <c r="C1275" s="54" t="s">
        <v>100</v>
      </c>
      <c r="D1275" s="59" t="str">
        <f t="shared" ref="D1275:D1282" si="80">IF(E1275&gt;TODAY(),"Coming Soon",IF(F1275="","Active",IF(F1275&gt;TODAY(),"Leaving Soon","Removed")))</f>
        <v>Removed</v>
      </c>
      <c r="E1275" s="88">
        <v>44490.0</v>
      </c>
      <c r="F1275" s="120">
        <v>44849.0</v>
      </c>
      <c r="G1275" s="65">
        <f t="shared" si="2"/>
        <v>11.8</v>
      </c>
      <c r="H1275" s="88">
        <v>44490.0</v>
      </c>
      <c r="I1275" s="65">
        <f t="shared" si="3"/>
        <v>0</v>
      </c>
      <c r="J1275" s="121">
        <f>(75+76)/2</f>
        <v>75.5</v>
      </c>
      <c r="K1275" s="121">
        <v>7.0</v>
      </c>
      <c r="L1275" s="69" t="s">
        <v>135</v>
      </c>
      <c r="M1275" s="69" t="s">
        <v>326</v>
      </c>
      <c r="N1275" s="69"/>
      <c r="O1275" s="69" t="s">
        <v>1168</v>
      </c>
      <c r="P1275" s="122" t="s">
        <v>2405</v>
      </c>
      <c r="Q1275" s="69"/>
      <c r="R1275" s="59"/>
      <c r="S1275" s="88"/>
      <c r="T1275" s="65"/>
      <c r="U1275" s="88"/>
      <c r="V1275" s="65"/>
    </row>
    <row r="1276">
      <c r="A1276" s="74" t="s">
        <v>2971</v>
      </c>
      <c r="B1276" s="75" t="s">
        <v>35</v>
      </c>
      <c r="C1276" s="75" t="s">
        <v>36</v>
      </c>
      <c r="D1276" s="76" t="str">
        <f t="shared" si="80"/>
        <v>Removed</v>
      </c>
      <c r="E1276" s="90">
        <v>44488.0</v>
      </c>
      <c r="F1276" s="105">
        <v>44849.0</v>
      </c>
      <c r="G1276" s="79">
        <f t="shared" si="2"/>
        <v>11.86666667</v>
      </c>
      <c r="H1276" s="90">
        <v>44488.0</v>
      </c>
      <c r="I1276" s="79">
        <f t="shared" si="3"/>
        <v>0</v>
      </c>
      <c r="J1276" s="106">
        <f>(67+74)/2</f>
        <v>70.5</v>
      </c>
      <c r="K1276" s="106">
        <v>4.0</v>
      </c>
      <c r="L1276" s="82" t="s">
        <v>37</v>
      </c>
      <c r="M1276" s="82"/>
      <c r="N1276" s="82"/>
      <c r="O1276" s="82" t="s">
        <v>328</v>
      </c>
      <c r="P1276" s="107" t="s">
        <v>2659</v>
      </c>
      <c r="Q1276" s="82"/>
      <c r="R1276" s="76"/>
      <c r="S1276" s="90"/>
      <c r="T1276" s="79"/>
      <c r="U1276" s="90"/>
      <c r="V1276" s="79"/>
    </row>
    <row r="1277">
      <c r="A1277" s="53" t="s">
        <v>2972</v>
      </c>
      <c r="B1277" s="54" t="s">
        <v>35</v>
      </c>
      <c r="C1277" s="54" t="s">
        <v>100</v>
      </c>
      <c r="D1277" s="59" t="str">
        <f t="shared" si="80"/>
        <v>Removed</v>
      </c>
      <c r="E1277" s="88">
        <v>44484.0</v>
      </c>
      <c r="F1277" s="120">
        <v>44849.0</v>
      </c>
      <c r="G1277" s="65">
        <f t="shared" si="2"/>
        <v>12</v>
      </c>
      <c r="H1277" s="88">
        <v>44484.0</v>
      </c>
      <c r="I1277" s="65">
        <f t="shared" si="3"/>
        <v>0</v>
      </c>
      <c r="J1277" s="121">
        <v>61.0</v>
      </c>
      <c r="K1277" s="121">
        <v>19.5</v>
      </c>
      <c r="L1277" s="69" t="s">
        <v>46</v>
      </c>
      <c r="M1277" s="69"/>
      <c r="N1277" s="69"/>
      <c r="O1277" s="69" t="s">
        <v>328</v>
      </c>
      <c r="P1277" s="122" t="s">
        <v>2973</v>
      </c>
      <c r="Q1277" s="69"/>
      <c r="R1277" s="59"/>
      <c r="S1277" s="88"/>
      <c r="T1277" s="65"/>
      <c r="U1277" s="88"/>
      <c r="V1277" s="65"/>
    </row>
    <row r="1278">
      <c r="A1278" s="74" t="s">
        <v>2974</v>
      </c>
      <c r="B1278" s="75" t="s">
        <v>35</v>
      </c>
      <c r="C1278" s="75" t="s">
        <v>100</v>
      </c>
      <c r="D1278" s="76" t="str">
        <f t="shared" si="80"/>
        <v>Removed</v>
      </c>
      <c r="E1278" s="90">
        <v>44483.0</v>
      </c>
      <c r="F1278" s="105">
        <v>44849.0</v>
      </c>
      <c r="G1278" s="79">
        <f t="shared" si="2"/>
        <v>12.03333333</v>
      </c>
      <c r="H1278" s="90">
        <v>44119.0</v>
      </c>
      <c r="I1278" s="79">
        <f t="shared" si="3"/>
        <v>0.9972222222</v>
      </c>
      <c r="J1278" s="106">
        <v>74.0</v>
      </c>
      <c r="K1278" s="106">
        <v>7.5</v>
      </c>
      <c r="L1278" s="82" t="s">
        <v>81</v>
      </c>
      <c r="M1278" s="82"/>
      <c r="N1278" s="82"/>
      <c r="O1278" s="82" t="s">
        <v>1168</v>
      </c>
      <c r="P1278" s="107" t="s">
        <v>1396</v>
      </c>
      <c r="Q1278" s="82"/>
      <c r="R1278" s="76"/>
      <c r="S1278" s="90"/>
      <c r="T1278" s="79"/>
      <c r="U1278" s="90"/>
      <c r="V1278" s="79"/>
    </row>
    <row r="1279">
      <c r="A1279" s="53" t="s">
        <v>2975</v>
      </c>
      <c r="B1279" s="54" t="s">
        <v>35</v>
      </c>
      <c r="C1279" s="54" t="s">
        <v>100</v>
      </c>
      <c r="D1279" s="59" t="str">
        <f t="shared" si="80"/>
        <v>Removed</v>
      </c>
      <c r="E1279" s="88">
        <v>44462.0</v>
      </c>
      <c r="F1279" s="120">
        <v>44849.0</v>
      </c>
      <c r="G1279" s="65">
        <f t="shared" si="2"/>
        <v>12.73333333</v>
      </c>
      <c r="H1279" s="88">
        <v>44462.0</v>
      </c>
      <c r="I1279" s="65">
        <f t="shared" si="3"/>
        <v>0</v>
      </c>
      <c r="J1279" s="121">
        <f>(70+77)/2</f>
        <v>73.5</v>
      </c>
      <c r="K1279" s="121">
        <v>7.0</v>
      </c>
      <c r="L1279" s="69" t="s">
        <v>135</v>
      </c>
      <c r="M1279" s="69"/>
      <c r="N1279" s="69"/>
      <c r="O1279" s="69" t="s">
        <v>1168</v>
      </c>
      <c r="P1279" s="122" t="s">
        <v>2976</v>
      </c>
      <c r="Q1279" s="69"/>
      <c r="R1279" s="59"/>
      <c r="S1279" s="88"/>
      <c r="T1279" s="65"/>
      <c r="U1279" s="88"/>
      <c r="V1279" s="65"/>
    </row>
    <row r="1280">
      <c r="A1280" s="74" t="s">
        <v>2977</v>
      </c>
      <c r="B1280" s="75" t="s">
        <v>35</v>
      </c>
      <c r="C1280" s="75" t="s">
        <v>100</v>
      </c>
      <c r="D1280" s="76" t="str">
        <f t="shared" si="80"/>
        <v>Removed</v>
      </c>
      <c r="E1280" s="90">
        <v>44392.0</v>
      </c>
      <c r="F1280" s="105">
        <v>44849.0</v>
      </c>
      <c r="G1280" s="79">
        <f t="shared" si="2"/>
        <v>15</v>
      </c>
      <c r="H1280" s="90">
        <v>43889.0</v>
      </c>
      <c r="I1280" s="79">
        <f t="shared" si="3"/>
        <v>1.380555556</v>
      </c>
      <c r="J1280" s="106">
        <v>76.0</v>
      </c>
      <c r="K1280" s="106">
        <v>5.5</v>
      </c>
      <c r="L1280" s="82" t="s">
        <v>105</v>
      </c>
      <c r="M1280" s="82"/>
      <c r="N1280" s="82"/>
      <c r="O1280" s="82" t="s">
        <v>107</v>
      </c>
      <c r="P1280" s="107" t="s">
        <v>2978</v>
      </c>
      <c r="Q1280" s="82"/>
      <c r="R1280" s="76"/>
      <c r="S1280" s="90"/>
      <c r="T1280" s="79"/>
      <c r="U1280" s="90"/>
      <c r="V1280" s="79"/>
    </row>
    <row r="1281">
      <c r="A1281" s="207" t="s">
        <v>2979</v>
      </c>
      <c r="B1281" s="54" t="s">
        <v>129</v>
      </c>
      <c r="C1281" s="54"/>
      <c r="D1281" s="59" t="str">
        <f t="shared" si="80"/>
        <v>Removed</v>
      </c>
      <c r="E1281" s="61">
        <v>44418.0</v>
      </c>
      <c r="F1281" s="61">
        <v>44837.0</v>
      </c>
      <c r="G1281" s="65">
        <f t="shared" si="2"/>
        <v>13.76666667</v>
      </c>
      <c r="H1281" s="88">
        <v>42892.0</v>
      </c>
      <c r="I1281" s="65">
        <f t="shared" si="3"/>
        <v>4.177777778</v>
      </c>
      <c r="J1281" s="208">
        <v>86.0</v>
      </c>
      <c r="K1281" s="121">
        <v>31.0</v>
      </c>
      <c r="L1281" s="69" t="s">
        <v>55</v>
      </c>
      <c r="M1281" s="69" t="s">
        <v>1826</v>
      </c>
      <c r="N1281" s="69" t="s">
        <v>2980</v>
      </c>
      <c r="O1281" s="69" t="s">
        <v>1219</v>
      </c>
      <c r="P1281" s="122"/>
      <c r="Q1281" s="69" t="s">
        <v>1827</v>
      </c>
      <c r="R1281" s="59"/>
      <c r="S1281" s="88"/>
      <c r="T1281" s="65"/>
      <c r="U1281" s="88"/>
      <c r="V1281" s="65"/>
    </row>
    <row r="1282">
      <c r="A1282" s="226" t="s">
        <v>2981</v>
      </c>
      <c r="B1282" s="75" t="s">
        <v>129</v>
      </c>
      <c r="C1282" s="76"/>
      <c r="D1282" s="76" t="str">
        <f t="shared" si="80"/>
        <v>Removed</v>
      </c>
      <c r="E1282" s="77">
        <v>44418.0</v>
      </c>
      <c r="F1282" s="77">
        <v>44837.0</v>
      </c>
      <c r="G1282" s="79">
        <f t="shared" si="2"/>
        <v>13.76666667</v>
      </c>
      <c r="H1282" s="90">
        <v>42345.0</v>
      </c>
      <c r="I1282" s="79">
        <f t="shared" si="3"/>
        <v>5.675</v>
      </c>
      <c r="J1282" s="106">
        <v>86.0</v>
      </c>
      <c r="K1282" s="106">
        <v>27.5</v>
      </c>
      <c r="L1282" s="82" t="s">
        <v>55</v>
      </c>
      <c r="M1282" s="83"/>
      <c r="N1282" s="82" t="s">
        <v>2982</v>
      </c>
      <c r="O1282" s="82" t="s">
        <v>1219</v>
      </c>
      <c r="P1282" s="107"/>
      <c r="Q1282" s="82"/>
      <c r="R1282" s="76"/>
      <c r="S1282" s="90"/>
      <c r="T1282" s="79"/>
      <c r="U1282" s="90"/>
      <c r="V1282" s="79"/>
    </row>
    <row r="1283">
      <c r="A1283" s="53" t="s">
        <v>2983</v>
      </c>
      <c r="B1283" s="54" t="s">
        <v>2984</v>
      </c>
      <c r="C1283" s="59"/>
      <c r="D1283" s="59" t="s">
        <v>2985</v>
      </c>
      <c r="E1283" s="133">
        <v>44819.0</v>
      </c>
      <c r="F1283" s="61">
        <v>44834.0</v>
      </c>
      <c r="G1283" s="65">
        <f t="shared" si="2"/>
        <v>0.5</v>
      </c>
      <c r="H1283" s="88">
        <v>40652.0</v>
      </c>
      <c r="I1283" s="65">
        <f t="shared" si="3"/>
        <v>11.40555556</v>
      </c>
      <c r="J1283" s="121">
        <v>95.0</v>
      </c>
      <c r="K1283" s="121">
        <v>9.0</v>
      </c>
      <c r="L1283" s="69" t="s">
        <v>96</v>
      </c>
      <c r="M1283" s="69"/>
      <c r="N1283" s="69" t="s">
        <v>2761</v>
      </c>
      <c r="O1283" s="69"/>
      <c r="P1283" s="122"/>
      <c r="Q1283" s="69"/>
      <c r="R1283" s="59"/>
      <c r="S1283" s="88"/>
      <c r="T1283" s="65"/>
      <c r="U1283" s="88"/>
      <c r="V1283" s="65"/>
    </row>
    <row r="1284">
      <c r="A1284" s="74" t="s">
        <v>2986</v>
      </c>
      <c r="B1284" s="75" t="s">
        <v>2759</v>
      </c>
      <c r="C1284" s="76"/>
      <c r="D1284" s="76" t="s">
        <v>2760</v>
      </c>
      <c r="E1284" s="218">
        <v>44805.0</v>
      </c>
      <c r="F1284" s="77">
        <v>44834.0</v>
      </c>
      <c r="G1284" s="79">
        <f t="shared" si="2"/>
        <v>0.9666666667</v>
      </c>
      <c r="H1284" s="90">
        <v>44355.0</v>
      </c>
      <c r="I1284" s="79">
        <f t="shared" si="3"/>
        <v>1.230555556</v>
      </c>
      <c r="J1284" s="106">
        <v>73.0</v>
      </c>
      <c r="K1284" s="106">
        <v>5.0</v>
      </c>
      <c r="L1284" s="82" t="s">
        <v>41</v>
      </c>
      <c r="M1284" s="82"/>
      <c r="N1284" s="82"/>
      <c r="O1284" s="82"/>
      <c r="P1284" s="107"/>
      <c r="Q1284" s="82"/>
      <c r="R1284" s="76"/>
      <c r="S1284" s="90"/>
      <c r="T1284" s="79"/>
      <c r="U1284" s="90"/>
      <c r="V1284" s="79"/>
    </row>
    <row r="1285">
      <c r="A1285" s="53" t="s">
        <v>2987</v>
      </c>
      <c r="B1285" s="54" t="s">
        <v>35</v>
      </c>
      <c r="C1285" s="54" t="s">
        <v>100</v>
      </c>
      <c r="D1285" s="59" t="str">
        <f t="shared" ref="D1285:D1294" si="81">IF(E1285&gt;TODAY(),"Coming Soon",IF(F1285="","Active",IF(F1285&gt;TODAY(),"Leaving Soon","Removed")))</f>
        <v>Removed</v>
      </c>
      <c r="E1285" s="88">
        <v>44476.0</v>
      </c>
      <c r="F1285" s="120">
        <v>44834.0</v>
      </c>
      <c r="G1285" s="65">
        <f t="shared" si="2"/>
        <v>11.76666667</v>
      </c>
      <c r="H1285" s="88">
        <v>43930.0</v>
      </c>
      <c r="I1285" s="65">
        <f t="shared" si="3"/>
        <v>1.494444444</v>
      </c>
      <c r="J1285" s="121">
        <v>78.0</v>
      </c>
      <c r="K1285" s="121">
        <v>3.0</v>
      </c>
      <c r="L1285" s="69" t="s">
        <v>135</v>
      </c>
      <c r="M1285" s="69"/>
      <c r="N1285" s="69"/>
      <c r="O1285" s="69" t="s">
        <v>107</v>
      </c>
      <c r="P1285" s="122" t="s">
        <v>2689</v>
      </c>
      <c r="Q1285" s="69"/>
      <c r="R1285" s="59"/>
      <c r="S1285" s="88"/>
      <c r="T1285" s="65"/>
      <c r="U1285" s="88"/>
      <c r="V1285" s="65"/>
    </row>
    <row r="1286">
      <c r="A1286" s="74" t="s">
        <v>2988</v>
      </c>
      <c r="B1286" s="75" t="s">
        <v>35</v>
      </c>
      <c r="C1286" s="75" t="s">
        <v>100</v>
      </c>
      <c r="D1286" s="76" t="str">
        <f t="shared" si="81"/>
        <v>Removed</v>
      </c>
      <c r="E1286" s="90">
        <v>44476.0</v>
      </c>
      <c r="F1286" s="105">
        <v>44834.0</v>
      </c>
      <c r="G1286" s="79">
        <f t="shared" si="2"/>
        <v>11.76666667</v>
      </c>
      <c r="H1286" s="90">
        <v>43375.0</v>
      </c>
      <c r="I1286" s="79">
        <f t="shared" si="3"/>
        <v>3.013888889</v>
      </c>
      <c r="J1286" s="106">
        <f>(78+81)/2</f>
        <v>79.5</v>
      </c>
      <c r="K1286" s="106">
        <v>6.0</v>
      </c>
      <c r="L1286" s="82" t="s">
        <v>135</v>
      </c>
      <c r="M1286" s="82" t="s">
        <v>326</v>
      </c>
      <c r="N1286" s="82"/>
      <c r="O1286" s="82" t="s">
        <v>107</v>
      </c>
      <c r="P1286" s="107" t="s">
        <v>2989</v>
      </c>
      <c r="Q1286" s="82"/>
      <c r="R1286" s="76"/>
      <c r="S1286" s="90"/>
      <c r="T1286" s="79"/>
      <c r="U1286" s="90"/>
      <c r="V1286" s="79"/>
    </row>
    <row r="1287">
      <c r="A1287" s="53" t="s">
        <v>2990</v>
      </c>
      <c r="B1287" s="54" t="s">
        <v>35</v>
      </c>
      <c r="C1287" s="54" t="s">
        <v>36</v>
      </c>
      <c r="D1287" s="59" t="str">
        <f t="shared" si="81"/>
        <v>Removed</v>
      </c>
      <c r="E1287" s="88">
        <v>44469.0</v>
      </c>
      <c r="F1287" s="120">
        <v>44834.0</v>
      </c>
      <c r="G1287" s="65">
        <f t="shared" si="2"/>
        <v>12</v>
      </c>
      <c r="H1287" s="88">
        <v>43725.0</v>
      </c>
      <c r="I1287" s="65">
        <f t="shared" si="3"/>
        <v>2.036111111</v>
      </c>
      <c r="J1287" s="121">
        <v>86.0</v>
      </c>
      <c r="K1287" s="121">
        <v>23.5</v>
      </c>
      <c r="L1287" s="69" t="s">
        <v>135</v>
      </c>
      <c r="M1287" s="69"/>
      <c r="N1287" s="69"/>
      <c r="O1287" s="69" t="s">
        <v>107</v>
      </c>
      <c r="P1287" s="122" t="s">
        <v>2495</v>
      </c>
      <c r="Q1287" s="69"/>
      <c r="R1287" s="59"/>
      <c r="S1287" s="88"/>
      <c r="T1287" s="65"/>
      <c r="U1287" s="88"/>
      <c r="V1287" s="65"/>
    </row>
    <row r="1288">
      <c r="A1288" s="74" t="s">
        <v>2991</v>
      </c>
      <c r="B1288" s="75" t="s">
        <v>35</v>
      </c>
      <c r="C1288" s="75" t="s">
        <v>100</v>
      </c>
      <c r="D1288" s="76" t="str">
        <f t="shared" si="81"/>
        <v>Removed</v>
      </c>
      <c r="E1288" s="90">
        <v>44469.0</v>
      </c>
      <c r="F1288" s="105">
        <v>44834.0</v>
      </c>
      <c r="G1288" s="79">
        <f t="shared" si="2"/>
        <v>12</v>
      </c>
      <c r="H1288" s="90">
        <v>44469.0</v>
      </c>
      <c r="I1288" s="79">
        <f t="shared" si="3"/>
        <v>0</v>
      </c>
      <c r="J1288" s="106">
        <v>68.0</v>
      </c>
      <c r="K1288" s="106">
        <v>30.0</v>
      </c>
      <c r="L1288" s="82" t="s">
        <v>46</v>
      </c>
      <c r="M1288" s="82"/>
      <c r="N1288" s="82"/>
      <c r="O1288" s="82" t="s">
        <v>328</v>
      </c>
      <c r="P1288" s="107" t="s">
        <v>2992</v>
      </c>
      <c r="Q1288" s="82" t="s">
        <v>2993</v>
      </c>
      <c r="R1288" s="76"/>
      <c r="S1288" s="90"/>
      <c r="T1288" s="79"/>
      <c r="U1288" s="90"/>
      <c r="V1288" s="79"/>
    </row>
    <row r="1289">
      <c r="A1289" s="53" t="s">
        <v>2994</v>
      </c>
      <c r="B1289" s="54" t="s">
        <v>35</v>
      </c>
      <c r="C1289" s="54"/>
      <c r="D1289" s="59" t="str">
        <f t="shared" si="81"/>
        <v>Removed</v>
      </c>
      <c r="E1289" s="88">
        <v>44469.0</v>
      </c>
      <c r="F1289" s="120">
        <v>44834.0</v>
      </c>
      <c r="G1289" s="65">
        <f t="shared" si="2"/>
        <v>12</v>
      </c>
      <c r="H1289" s="88">
        <v>44469.0</v>
      </c>
      <c r="I1289" s="65">
        <f t="shared" si="3"/>
        <v>0</v>
      </c>
      <c r="J1289" s="121">
        <v>80.0</v>
      </c>
      <c r="K1289" s="121">
        <v>8.0</v>
      </c>
      <c r="L1289" s="69" t="s">
        <v>41</v>
      </c>
      <c r="M1289" s="69"/>
      <c r="N1289" s="69"/>
      <c r="O1289" s="69" t="s">
        <v>328</v>
      </c>
      <c r="P1289" s="122" t="s">
        <v>1491</v>
      </c>
      <c r="Q1289" s="69"/>
      <c r="R1289" s="59"/>
      <c r="S1289" s="88"/>
      <c r="T1289" s="65"/>
      <c r="U1289" s="88"/>
      <c r="V1289" s="65"/>
    </row>
    <row r="1290">
      <c r="A1290" s="74" t="s">
        <v>2995</v>
      </c>
      <c r="B1290" s="75" t="s">
        <v>35</v>
      </c>
      <c r="C1290" s="75" t="s">
        <v>100</v>
      </c>
      <c r="D1290" s="76" t="str">
        <f t="shared" si="81"/>
        <v>Removed</v>
      </c>
      <c r="E1290" s="90">
        <v>44467.0</v>
      </c>
      <c r="F1290" s="105">
        <v>44834.0</v>
      </c>
      <c r="G1290" s="79">
        <f t="shared" si="2"/>
        <v>12.06666667</v>
      </c>
      <c r="H1290" s="90">
        <v>44280.0</v>
      </c>
      <c r="I1290" s="79">
        <f t="shared" si="3"/>
        <v>0.5083333333</v>
      </c>
      <c r="J1290" s="106">
        <v>80.0</v>
      </c>
      <c r="K1290" s="106">
        <v>8.0</v>
      </c>
      <c r="L1290" s="82" t="s">
        <v>105</v>
      </c>
      <c r="M1290" s="82"/>
      <c r="N1290" s="82"/>
      <c r="O1290" s="82" t="s">
        <v>1168</v>
      </c>
      <c r="P1290" s="107" t="s">
        <v>1396</v>
      </c>
      <c r="Q1290" s="82"/>
      <c r="R1290" s="76"/>
      <c r="S1290" s="90"/>
      <c r="T1290" s="79"/>
      <c r="U1290" s="90"/>
      <c r="V1290" s="79"/>
    </row>
    <row r="1291">
      <c r="A1291" s="53" t="s">
        <v>2996</v>
      </c>
      <c r="B1291" s="54" t="s">
        <v>35</v>
      </c>
      <c r="C1291" s="54"/>
      <c r="D1291" s="59" t="str">
        <f t="shared" si="81"/>
        <v>Removed</v>
      </c>
      <c r="E1291" s="88">
        <v>44467.0</v>
      </c>
      <c r="F1291" s="120">
        <v>44834.0</v>
      </c>
      <c r="G1291" s="65">
        <f t="shared" si="2"/>
        <v>12.06666667</v>
      </c>
      <c r="H1291" s="88">
        <v>44467.0</v>
      </c>
      <c r="I1291" s="65">
        <f t="shared" si="3"/>
        <v>0</v>
      </c>
      <c r="J1291" s="121">
        <v>78.0</v>
      </c>
      <c r="K1291" s="121">
        <v>60.0</v>
      </c>
      <c r="L1291" s="69" t="s">
        <v>37</v>
      </c>
      <c r="M1291" s="69"/>
      <c r="N1291" s="69"/>
      <c r="O1291" s="69" t="s">
        <v>328</v>
      </c>
      <c r="P1291" s="122" t="s">
        <v>1378</v>
      </c>
      <c r="Q1291" s="69" t="s">
        <v>2997</v>
      </c>
      <c r="R1291" s="59"/>
      <c r="S1291" s="88"/>
      <c r="T1291" s="65"/>
      <c r="U1291" s="88"/>
      <c r="V1291" s="65"/>
    </row>
    <row r="1292">
      <c r="A1292" s="74" t="s">
        <v>2998</v>
      </c>
      <c r="B1292" s="75" t="s">
        <v>35</v>
      </c>
      <c r="C1292" s="75" t="s">
        <v>36</v>
      </c>
      <c r="D1292" s="76" t="str">
        <f t="shared" si="81"/>
        <v>Removed</v>
      </c>
      <c r="E1292" s="90">
        <v>44462.0</v>
      </c>
      <c r="F1292" s="105">
        <v>44834.0</v>
      </c>
      <c r="G1292" s="79">
        <f t="shared" si="2"/>
        <v>12.23333333</v>
      </c>
      <c r="H1292" s="90">
        <v>43495.0</v>
      </c>
      <c r="I1292" s="79">
        <f t="shared" si="3"/>
        <v>2.647222222</v>
      </c>
      <c r="J1292" s="106">
        <f>(82+83)/2</f>
        <v>82.5</v>
      </c>
      <c r="K1292" s="106">
        <v>20.0</v>
      </c>
      <c r="L1292" s="82" t="s">
        <v>135</v>
      </c>
      <c r="M1292" s="82"/>
      <c r="N1292" s="82"/>
      <c r="O1292" s="82" t="s">
        <v>1168</v>
      </c>
      <c r="P1292" s="107" t="s">
        <v>2999</v>
      </c>
      <c r="Q1292" s="82"/>
      <c r="R1292" s="76"/>
      <c r="S1292" s="90"/>
      <c r="T1292" s="79"/>
      <c r="U1292" s="90"/>
      <c r="V1292" s="79"/>
    </row>
    <row r="1293">
      <c r="A1293" s="53" t="s">
        <v>3000</v>
      </c>
      <c r="B1293" s="54" t="s">
        <v>35</v>
      </c>
      <c r="C1293" s="54" t="s">
        <v>100</v>
      </c>
      <c r="D1293" s="59" t="str">
        <f t="shared" si="81"/>
        <v>Removed</v>
      </c>
      <c r="E1293" s="88">
        <v>44376.0</v>
      </c>
      <c r="F1293" s="120">
        <v>44834.0</v>
      </c>
      <c r="G1293" s="65">
        <f t="shared" si="2"/>
        <v>15.03333333</v>
      </c>
      <c r="H1293" s="88">
        <v>44098.0</v>
      </c>
      <c r="I1293" s="65">
        <f t="shared" si="3"/>
        <v>0.7638888889</v>
      </c>
      <c r="J1293" s="121">
        <f>(73+78)/2</f>
        <v>75.5</v>
      </c>
      <c r="K1293" s="121">
        <v>8.0</v>
      </c>
      <c r="L1293" s="69" t="s">
        <v>105</v>
      </c>
      <c r="M1293" s="69"/>
      <c r="N1293" s="69"/>
      <c r="O1293" s="69" t="s">
        <v>328</v>
      </c>
      <c r="P1293" s="122" t="s">
        <v>3001</v>
      </c>
      <c r="Q1293" s="69"/>
      <c r="R1293" s="59"/>
      <c r="S1293" s="88"/>
      <c r="T1293" s="65"/>
      <c r="U1293" s="88"/>
      <c r="V1293" s="65"/>
    </row>
    <row r="1294">
      <c r="A1294" s="74" t="s">
        <v>3002</v>
      </c>
      <c r="B1294" s="75" t="s">
        <v>35</v>
      </c>
      <c r="C1294" s="75" t="s">
        <v>36</v>
      </c>
      <c r="D1294" s="76" t="str">
        <f t="shared" si="81"/>
        <v>Removed</v>
      </c>
      <c r="E1294" s="77">
        <v>44168.0</v>
      </c>
      <c r="F1294" s="105">
        <v>44834.0</v>
      </c>
      <c r="G1294" s="79">
        <f t="shared" si="2"/>
        <v>21.9</v>
      </c>
      <c r="H1294" s="90">
        <v>42948.0</v>
      </c>
      <c r="I1294" s="79">
        <f t="shared" si="3"/>
        <v>3.338888889</v>
      </c>
      <c r="J1294" s="106">
        <v>80.0</v>
      </c>
      <c r="K1294" s="106">
        <v>15.0</v>
      </c>
      <c r="L1294" s="82" t="s">
        <v>37</v>
      </c>
      <c r="M1294" s="82"/>
      <c r="N1294" s="82"/>
      <c r="O1294" s="82" t="s">
        <v>1168</v>
      </c>
      <c r="P1294" s="107" t="s">
        <v>1396</v>
      </c>
      <c r="Q1294" s="82"/>
      <c r="R1294" s="76"/>
      <c r="S1294" s="90"/>
      <c r="T1294" s="79"/>
      <c r="U1294" s="90"/>
      <c r="V1294" s="79"/>
    </row>
    <row r="1295">
      <c r="A1295" s="53" t="s">
        <v>2149</v>
      </c>
      <c r="B1295" s="54" t="s">
        <v>2759</v>
      </c>
      <c r="C1295" s="59"/>
      <c r="D1295" s="59" t="s">
        <v>2760</v>
      </c>
      <c r="E1295" s="133">
        <v>44789.0</v>
      </c>
      <c r="F1295" s="61">
        <v>44820.0</v>
      </c>
      <c r="G1295" s="65">
        <f t="shared" si="2"/>
        <v>1</v>
      </c>
      <c r="H1295" s="88">
        <v>44335.0</v>
      </c>
      <c r="I1295" s="65">
        <f t="shared" si="3"/>
        <v>1.241666667</v>
      </c>
      <c r="J1295" s="121">
        <v>80.0</v>
      </c>
      <c r="K1295" s="121">
        <v>8.0</v>
      </c>
      <c r="L1295" s="69" t="s">
        <v>105</v>
      </c>
      <c r="M1295" s="69"/>
      <c r="N1295" s="69"/>
      <c r="O1295" s="69"/>
      <c r="P1295" s="122"/>
      <c r="Q1295" s="69"/>
      <c r="R1295" s="59"/>
      <c r="S1295" s="88"/>
      <c r="T1295" s="65"/>
      <c r="U1295" s="88"/>
      <c r="V1295" s="65"/>
    </row>
    <row r="1296">
      <c r="A1296" s="74" t="s">
        <v>3003</v>
      </c>
      <c r="B1296" s="75" t="s">
        <v>2984</v>
      </c>
      <c r="C1296" s="76"/>
      <c r="D1296" s="76" t="s">
        <v>2985</v>
      </c>
      <c r="E1296" s="218">
        <v>44805.0</v>
      </c>
      <c r="F1296" s="77">
        <v>44819.0</v>
      </c>
      <c r="G1296" s="79">
        <f t="shared" si="2"/>
        <v>0.4666666667</v>
      </c>
      <c r="H1296" s="90">
        <v>39022.0</v>
      </c>
      <c r="I1296" s="79">
        <f t="shared" si="3"/>
        <v>15.83333333</v>
      </c>
      <c r="J1296" s="106">
        <v>71.0</v>
      </c>
      <c r="K1296" s="106">
        <v>19.0</v>
      </c>
      <c r="L1296" s="82" t="s">
        <v>64</v>
      </c>
      <c r="M1296" s="82"/>
      <c r="N1296" s="82" t="s">
        <v>2761</v>
      </c>
      <c r="O1296" s="82"/>
      <c r="P1296" s="107"/>
      <c r="Q1296" s="82"/>
      <c r="R1296" s="76"/>
      <c r="S1296" s="90"/>
      <c r="T1296" s="79"/>
      <c r="U1296" s="90"/>
      <c r="V1296" s="79"/>
    </row>
    <row r="1297">
      <c r="A1297" s="53" t="s">
        <v>3004</v>
      </c>
      <c r="B1297" s="54" t="s">
        <v>35</v>
      </c>
      <c r="C1297" s="54" t="s">
        <v>100</v>
      </c>
      <c r="D1297" s="59" t="str">
        <f t="shared" ref="D1297:D1306" si="82">IF(E1297&gt;TODAY(),"Coming Soon",IF(F1297="","Active",IF(F1297&gt;TODAY(),"Leaving Soon","Removed")))</f>
        <v>Removed</v>
      </c>
      <c r="E1297" s="88">
        <v>44469.0</v>
      </c>
      <c r="F1297" s="120">
        <v>44819.0</v>
      </c>
      <c r="G1297" s="65">
        <f t="shared" si="2"/>
        <v>11.5</v>
      </c>
      <c r="H1297" s="88">
        <v>44352.0</v>
      </c>
      <c r="I1297" s="65">
        <f t="shared" si="3"/>
        <v>0.3194444444</v>
      </c>
      <c r="J1297" s="121">
        <v>71.0</v>
      </c>
      <c r="K1297" s="121">
        <v>2.0</v>
      </c>
      <c r="L1297" s="69" t="s">
        <v>37</v>
      </c>
      <c r="M1297" s="69"/>
      <c r="N1297" s="69"/>
      <c r="O1297" s="69" t="s">
        <v>328</v>
      </c>
      <c r="P1297" s="122" t="s">
        <v>1491</v>
      </c>
      <c r="Q1297" s="69"/>
      <c r="R1297" s="59"/>
      <c r="S1297" s="88"/>
      <c r="T1297" s="65"/>
      <c r="U1297" s="88"/>
      <c r="V1297" s="65"/>
    </row>
    <row r="1298">
      <c r="A1298" s="74" t="s">
        <v>3005</v>
      </c>
      <c r="B1298" s="75" t="s">
        <v>35</v>
      </c>
      <c r="C1298" s="75" t="s">
        <v>100</v>
      </c>
      <c r="D1298" s="76" t="str">
        <f t="shared" si="82"/>
        <v>Removed</v>
      </c>
      <c r="E1298" s="90">
        <v>44462.0</v>
      </c>
      <c r="F1298" s="105">
        <v>44819.0</v>
      </c>
      <c r="G1298" s="79">
        <f t="shared" si="2"/>
        <v>11.73333333</v>
      </c>
      <c r="H1298" s="90">
        <v>43917.0</v>
      </c>
      <c r="I1298" s="79">
        <f t="shared" si="3"/>
        <v>1.488888889</v>
      </c>
      <c r="J1298" s="106">
        <f>(74+80)/2</f>
        <v>77</v>
      </c>
      <c r="K1298" s="106">
        <v>4.5</v>
      </c>
      <c r="L1298" s="82" t="s">
        <v>57</v>
      </c>
      <c r="M1298" s="82"/>
      <c r="N1298" s="82"/>
      <c r="O1298" s="82" t="s">
        <v>1219</v>
      </c>
      <c r="P1298" s="107" t="s">
        <v>2662</v>
      </c>
      <c r="Q1298" s="82"/>
      <c r="R1298" s="76"/>
      <c r="S1298" s="90"/>
      <c r="T1298" s="79"/>
      <c r="U1298" s="90"/>
      <c r="V1298" s="79"/>
    </row>
    <row r="1299">
      <c r="A1299" s="53" t="s">
        <v>3006</v>
      </c>
      <c r="B1299" s="54" t="s">
        <v>35</v>
      </c>
      <c r="C1299" s="54" t="s">
        <v>100</v>
      </c>
      <c r="D1299" s="59" t="str">
        <f t="shared" si="82"/>
        <v>Removed</v>
      </c>
      <c r="E1299" s="88">
        <v>44455.0</v>
      </c>
      <c r="F1299" s="120">
        <v>44819.0</v>
      </c>
      <c r="G1299" s="65">
        <f t="shared" si="2"/>
        <v>11.96666667</v>
      </c>
      <c r="H1299" s="88">
        <v>44455.0</v>
      </c>
      <c r="I1299" s="65">
        <f t="shared" si="3"/>
        <v>0</v>
      </c>
      <c r="J1299" s="121">
        <f>(68+69)/2</f>
        <v>68.5</v>
      </c>
      <c r="K1299" s="121">
        <v>5.0</v>
      </c>
      <c r="L1299" s="69" t="s">
        <v>41</v>
      </c>
      <c r="M1299" s="69"/>
      <c r="N1299" s="69"/>
      <c r="O1299" s="69" t="s">
        <v>328</v>
      </c>
      <c r="P1299" s="122" t="s">
        <v>2595</v>
      </c>
      <c r="Q1299" s="69"/>
      <c r="R1299" s="59"/>
      <c r="S1299" s="88"/>
      <c r="T1299" s="65"/>
      <c r="U1299" s="88"/>
      <c r="V1299" s="65"/>
    </row>
    <row r="1300">
      <c r="A1300" s="74" t="s">
        <v>3007</v>
      </c>
      <c r="B1300" s="75" t="s">
        <v>35</v>
      </c>
      <c r="C1300" s="75" t="s">
        <v>100</v>
      </c>
      <c r="D1300" s="76" t="str">
        <f t="shared" si="82"/>
        <v>Removed</v>
      </c>
      <c r="E1300" s="90">
        <v>44455.0</v>
      </c>
      <c r="F1300" s="105">
        <v>44819.0</v>
      </c>
      <c r="G1300" s="79">
        <f t="shared" si="2"/>
        <v>11.96666667</v>
      </c>
      <c r="H1300" s="90">
        <v>44455.0</v>
      </c>
      <c r="I1300" s="79">
        <f t="shared" si="3"/>
        <v>0</v>
      </c>
      <c r="J1300" s="106">
        <f>(61+63)/2</f>
        <v>62</v>
      </c>
      <c r="K1300" s="106">
        <v>5.5</v>
      </c>
      <c r="L1300" s="82" t="s">
        <v>1892</v>
      </c>
      <c r="M1300" s="82"/>
      <c r="N1300" s="82"/>
      <c r="O1300" s="82" t="s">
        <v>328</v>
      </c>
      <c r="P1300" s="107" t="s">
        <v>3008</v>
      </c>
      <c r="Q1300" s="82"/>
      <c r="R1300" s="76"/>
      <c r="S1300" s="90"/>
      <c r="T1300" s="79"/>
      <c r="U1300" s="90"/>
      <c r="V1300" s="79"/>
    </row>
    <row r="1301">
      <c r="A1301" s="53" t="s">
        <v>3009</v>
      </c>
      <c r="B1301" s="54" t="s">
        <v>35</v>
      </c>
      <c r="C1301" s="54" t="s">
        <v>100</v>
      </c>
      <c r="D1301" s="59" t="str">
        <f t="shared" si="82"/>
        <v>Removed</v>
      </c>
      <c r="E1301" s="88">
        <v>44454.0</v>
      </c>
      <c r="F1301" s="120">
        <v>44819.0</v>
      </c>
      <c r="G1301" s="65">
        <f t="shared" si="2"/>
        <v>12</v>
      </c>
      <c r="H1301" s="88">
        <v>44454.0</v>
      </c>
      <c r="I1301" s="65">
        <f t="shared" si="3"/>
        <v>0</v>
      </c>
      <c r="J1301" s="121">
        <v>85.0</v>
      </c>
      <c r="K1301" s="121">
        <v>6.0</v>
      </c>
      <c r="L1301" s="69" t="s">
        <v>57</v>
      </c>
      <c r="M1301" s="69"/>
      <c r="N1301" s="69"/>
      <c r="O1301" s="69" t="s">
        <v>1168</v>
      </c>
      <c r="P1301" s="122" t="s">
        <v>1396</v>
      </c>
      <c r="Q1301" s="69"/>
      <c r="R1301" s="59"/>
      <c r="S1301" s="88"/>
      <c r="T1301" s="65"/>
      <c r="U1301" s="88"/>
      <c r="V1301" s="65"/>
    </row>
    <row r="1302">
      <c r="A1302" s="74" t="s">
        <v>3010</v>
      </c>
      <c r="B1302" s="75" t="s">
        <v>35</v>
      </c>
      <c r="C1302" s="75" t="s">
        <v>100</v>
      </c>
      <c r="D1302" s="76" t="str">
        <f t="shared" si="82"/>
        <v>Removed</v>
      </c>
      <c r="E1302" s="90">
        <v>44448.0</v>
      </c>
      <c r="F1302" s="105">
        <v>44819.0</v>
      </c>
      <c r="G1302" s="79">
        <f t="shared" si="2"/>
        <v>12.2</v>
      </c>
      <c r="H1302" s="90">
        <v>44448.0</v>
      </c>
      <c r="I1302" s="79">
        <f t="shared" si="3"/>
        <v>0</v>
      </c>
      <c r="J1302" s="106">
        <f>(80+82)/2</f>
        <v>81</v>
      </c>
      <c r="K1302" s="106">
        <v>4.5</v>
      </c>
      <c r="L1302" s="82" t="s">
        <v>57</v>
      </c>
      <c r="M1302" s="82"/>
      <c r="N1302" s="82"/>
      <c r="O1302" s="82" t="s">
        <v>1168</v>
      </c>
      <c r="P1302" s="107" t="s">
        <v>3011</v>
      </c>
      <c r="Q1302" s="82"/>
      <c r="R1302" s="76"/>
      <c r="S1302" s="90"/>
      <c r="T1302" s="79"/>
      <c r="U1302" s="90"/>
      <c r="V1302" s="79"/>
    </row>
    <row r="1303">
      <c r="A1303" s="53" t="s">
        <v>2115</v>
      </c>
      <c r="B1303" s="54" t="s">
        <v>35</v>
      </c>
      <c r="C1303" s="54" t="s">
        <v>36</v>
      </c>
      <c r="D1303" s="59" t="str">
        <f t="shared" si="82"/>
        <v>Removed</v>
      </c>
      <c r="E1303" s="88">
        <v>44441.0</v>
      </c>
      <c r="F1303" s="120">
        <v>44819.0</v>
      </c>
      <c r="G1303" s="65">
        <f t="shared" si="2"/>
        <v>12.43333333</v>
      </c>
      <c r="H1303" s="88">
        <v>44078.0</v>
      </c>
      <c r="I1303" s="65">
        <f t="shared" si="3"/>
        <v>0.9944444444</v>
      </c>
      <c r="J1303" s="225">
        <f>7*10</f>
        <v>70</v>
      </c>
      <c r="K1303" s="121">
        <v>27.0</v>
      </c>
      <c r="L1303" s="69" t="s">
        <v>41</v>
      </c>
      <c r="M1303" s="69"/>
      <c r="N1303" s="69"/>
      <c r="O1303" s="69" t="s">
        <v>328</v>
      </c>
      <c r="P1303" s="122" t="s">
        <v>3012</v>
      </c>
      <c r="Q1303" s="69"/>
      <c r="R1303" s="59"/>
      <c r="S1303" s="88"/>
      <c r="T1303" s="65"/>
      <c r="U1303" s="88"/>
      <c r="V1303" s="65"/>
    </row>
    <row r="1304">
      <c r="A1304" s="74" t="s">
        <v>3013</v>
      </c>
      <c r="B1304" s="75" t="s">
        <v>35</v>
      </c>
      <c r="C1304" s="75"/>
      <c r="D1304" s="76" t="str">
        <f t="shared" si="82"/>
        <v>Removed</v>
      </c>
      <c r="E1304" s="90">
        <v>44441.0</v>
      </c>
      <c r="F1304" s="105">
        <v>44819.0</v>
      </c>
      <c r="G1304" s="79">
        <f t="shared" si="2"/>
        <v>12.43333333</v>
      </c>
      <c r="H1304" s="90">
        <v>40246.0</v>
      </c>
      <c r="I1304" s="79">
        <f t="shared" si="3"/>
        <v>11.48055556</v>
      </c>
      <c r="J1304" s="106">
        <f>(65+82)/2</f>
        <v>73.5</v>
      </c>
      <c r="K1304" s="106">
        <v>48.5</v>
      </c>
      <c r="L1304" s="82" t="s">
        <v>46</v>
      </c>
      <c r="M1304" s="82"/>
      <c r="N1304" s="82"/>
      <c r="O1304" s="82" t="s">
        <v>328</v>
      </c>
      <c r="P1304" s="107" t="s">
        <v>3014</v>
      </c>
      <c r="Q1304" s="82"/>
      <c r="R1304" s="76"/>
      <c r="S1304" s="90"/>
      <c r="T1304" s="79"/>
      <c r="U1304" s="90"/>
      <c r="V1304" s="79"/>
    </row>
    <row r="1305">
      <c r="A1305" s="53" t="s">
        <v>3015</v>
      </c>
      <c r="B1305" s="54" t="s">
        <v>35</v>
      </c>
      <c r="C1305" s="54" t="s">
        <v>100</v>
      </c>
      <c r="D1305" s="59" t="str">
        <f t="shared" si="82"/>
        <v>Removed</v>
      </c>
      <c r="E1305" s="88">
        <v>44378.0</v>
      </c>
      <c r="F1305" s="120">
        <v>44819.0</v>
      </c>
      <c r="G1305" s="65">
        <f t="shared" si="2"/>
        <v>14.46666667</v>
      </c>
      <c r="H1305" s="88">
        <v>43790.0</v>
      </c>
      <c r="I1305" s="65">
        <f t="shared" si="3"/>
        <v>1.611111111</v>
      </c>
      <c r="J1305" s="121">
        <v>86.0</v>
      </c>
      <c r="K1305" s="121">
        <v>25.5</v>
      </c>
      <c r="L1305" s="69" t="s">
        <v>46</v>
      </c>
      <c r="M1305" s="69"/>
      <c r="N1305" s="69"/>
      <c r="O1305" s="69" t="s">
        <v>1219</v>
      </c>
      <c r="P1305" s="122" t="s">
        <v>1857</v>
      </c>
      <c r="Q1305" s="69"/>
      <c r="R1305" s="59"/>
      <c r="S1305" s="88"/>
      <c r="T1305" s="65"/>
      <c r="U1305" s="88"/>
      <c r="V1305" s="65"/>
    </row>
    <row r="1306">
      <c r="A1306" s="226" t="s">
        <v>3016</v>
      </c>
      <c r="B1306" s="75" t="s">
        <v>35</v>
      </c>
      <c r="C1306" s="75" t="s">
        <v>36</v>
      </c>
      <c r="D1306" s="76" t="str">
        <f t="shared" si="82"/>
        <v>Removed</v>
      </c>
      <c r="E1306" s="218">
        <v>43853.0</v>
      </c>
      <c r="F1306" s="105">
        <v>44819.0</v>
      </c>
      <c r="G1306" s="79">
        <f t="shared" si="2"/>
        <v>31.73333333</v>
      </c>
      <c r="H1306" s="90">
        <v>43599.0</v>
      </c>
      <c r="I1306" s="79">
        <f t="shared" si="3"/>
        <v>0.6916666667</v>
      </c>
      <c r="J1306" s="216">
        <v>83.0</v>
      </c>
      <c r="K1306" s="106">
        <v>10.5</v>
      </c>
      <c r="L1306" s="83" t="s">
        <v>41</v>
      </c>
      <c r="M1306" s="82" t="s">
        <v>326</v>
      </c>
      <c r="N1306" s="82"/>
      <c r="O1306" s="82" t="s">
        <v>107</v>
      </c>
      <c r="P1306" s="107" t="s">
        <v>2375</v>
      </c>
      <c r="Q1306" s="82"/>
      <c r="R1306" s="76"/>
      <c r="S1306" s="90"/>
      <c r="T1306" s="79"/>
      <c r="U1306" s="90"/>
      <c r="V1306" s="79"/>
    </row>
    <row r="1307">
      <c r="A1307" s="53" t="s">
        <v>3017</v>
      </c>
      <c r="B1307" s="54" t="s">
        <v>2984</v>
      </c>
      <c r="C1307" s="59"/>
      <c r="D1307" s="59" t="s">
        <v>2985</v>
      </c>
      <c r="E1307" s="133">
        <v>44788.0</v>
      </c>
      <c r="F1307" s="61">
        <v>44804.0</v>
      </c>
      <c r="G1307" s="65">
        <f t="shared" si="2"/>
        <v>0.5</v>
      </c>
      <c r="H1307" s="88">
        <v>41388.0</v>
      </c>
      <c r="I1307" s="65">
        <f t="shared" si="3"/>
        <v>9.308333333</v>
      </c>
      <c r="J1307" s="121">
        <v>84.0</v>
      </c>
      <c r="K1307" s="121">
        <v>8.0</v>
      </c>
      <c r="L1307" s="69" t="s">
        <v>3018</v>
      </c>
      <c r="M1307" s="69"/>
      <c r="N1307" s="69" t="s">
        <v>2761</v>
      </c>
      <c r="O1307" s="69"/>
      <c r="P1307" s="122"/>
      <c r="Q1307" s="69"/>
      <c r="R1307" s="59"/>
      <c r="S1307" s="88"/>
      <c r="T1307" s="65"/>
      <c r="U1307" s="88"/>
      <c r="V1307" s="65"/>
    </row>
    <row r="1308">
      <c r="A1308" s="74" t="s">
        <v>3019</v>
      </c>
      <c r="B1308" s="75" t="s">
        <v>2759</v>
      </c>
      <c r="C1308" s="76"/>
      <c r="D1308" s="76" t="s">
        <v>2760</v>
      </c>
      <c r="E1308" s="218">
        <v>44774.0</v>
      </c>
      <c r="F1308" s="77">
        <v>44804.0</v>
      </c>
      <c r="G1308" s="79">
        <f t="shared" si="2"/>
        <v>0.9666666667</v>
      </c>
      <c r="H1308" s="90">
        <v>44462.0</v>
      </c>
      <c r="I1308" s="79">
        <f t="shared" si="3"/>
        <v>0.8555555556</v>
      </c>
      <c r="J1308" s="106">
        <v>75.0</v>
      </c>
      <c r="K1308" s="106">
        <v>3.0</v>
      </c>
      <c r="L1308" s="82" t="s">
        <v>64</v>
      </c>
      <c r="M1308" s="82"/>
      <c r="N1308" s="82" t="s">
        <v>2761</v>
      </c>
      <c r="O1308" s="82"/>
      <c r="P1308" s="107"/>
      <c r="Q1308" s="82"/>
      <c r="R1308" s="76"/>
      <c r="S1308" s="90"/>
      <c r="T1308" s="79"/>
      <c r="U1308" s="90"/>
      <c r="V1308" s="79"/>
    </row>
    <row r="1309">
      <c r="A1309" s="53" t="s">
        <v>3020</v>
      </c>
      <c r="B1309" s="54" t="s">
        <v>129</v>
      </c>
      <c r="C1309" s="54" t="s">
        <v>36</v>
      </c>
      <c r="D1309" s="59" t="str">
        <f t="shared" ref="D1309:D1314" si="83">IF(E1309&gt;TODAY(),"Coming Soon",IF(F1309="","Active",IF(F1309&gt;TODAY(),"Leaving Soon","Removed")))</f>
        <v>Removed</v>
      </c>
      <c r="E1309" s="88">
        <v>44679.0</v>
      </c>
      <c r="F1309" s="120">
        <v>44804.0</v>
      </c>
      <c r="G1309" s="65">
        <f t="shared" si="2"/>
        <v>4.066666667</v>
      </c>
      <c r="H1309" s="88">
        <v>44449.0</v>
      </c>
      <c r="I1309" s="65">
        <f t="shared" si="3"/>
        <v>0.6333333333</v>
      </c>
      <c r="J1309" s="121">
        <v>76.0</v>
      </c>
      <c r="K1309" s="121">
        <v>125.0</v>
      </c>
      <c r="L1309" s="69" t="s">
        <v>62</v>
      </c>
      <c r="M1309" s="69"/>
      <c r="N1309" s="69"/>
      <c r="O1309" s="69" t="s">
        <v>1219</v>
      </c>
      <c r="P1309" s="122"/>
      <c r="Q1309" s="69"/>
      <c r="R1309" s="59"/>
      <c r="S1309" s="88"/>
      <c r="T1309" s="65"/>
      <c r="U1309" s="88"/>
      <c r="V1309" s="65"/>
    </row>
    <row r="1310">
      <c r="A1310" s="74" t="s">
        <v>3021</v>
      </c>
      <c r="B1310" s="75" t="s">
        <v>35</v>
      </c>
      <c r="C1310" s="75" t="s">
        <v>100</v>
      </c>
      <c r="D1310" s="76" t="str">
        <f t="shared" si="83"/>
        <v>Removed</v>
      </c>
      <c r="E1310" s="90">
        <v>44441.0</v>
      </c>
      <c r="F1310" s="105">
        <v>44804.0</v>
      </c>
      <c r="G1310" s="79">
        <f t="shared" si="2"/>
        <v>11.93333333</v>
      </c>
      <c r="H1310" s="90">
        <v>43965.0</v>
      </c>
      <c r="I1310" s="79">
        <f t="shared" si="3"/>
        <v>1.3</v>
      </c>
      <c r="J1310" s="106">
        <v>77.0</v>
      </c>
      <c r="K1310" s="106">
        <v>4.0</v>
      </c>
      <c r="L1310" s="82" t="s">
        <v>1738</v>
      </c>
      <c r="M1310" s="82"/>
      <c r="N1310" s="82"/>
      <c r="O1310" s="82" t="s">
        <v>1168</v>
      </c>
      <c r="P1310" s="107" t="s">
        <v>3022</v>
      </c>
      <c r="Q1310" s="82" t="s">
        <v>1822</v>
      </c>
      <c r="R1310" s="76"/>
      <c r="S1310" s="90"/>
      <c r="T1310" s="79"/>
      <c r="U1310" s="90"/>
      <c r="V1310" s="79"/>
    </row>
    <row r="1311">
      <c r="A1311" s="53" t="s">
        <v>3023</v>
      </c>
      <c r="B1311" s="54" t="s">
        <v>35</v>
      </c>
      <c r="C1311" s="54" t="s">
        <v>36</v>
      </c>
      <c r="D1311" s="59" t="str">
        <f t="shared" si="83"/>
        <v>Removed</v>
      </c>
      <c r="E1311" s="88">
        <v>44434.0</v>
      </c>
      <c r="F1311" s="120">
        <v>44804.0</v>
      </c>
      <c r="G1311" s="65">
        <f t="shared" si="2"/>
        <v>12.13333333</v>
      </c>
      <c r="H1311" s="88">
        <v>44434.0</v>
      </c>
      <c r="I1311" s="65">
        <f t="shared" si="3"/>
        <v>0</v>
      </c>
      <c r="J1311" s="121">
        <v>79.0</v>
      </c>
      <c r="K1311" s="121">
        <v>5.5</v>
      </c>
      <c r="L1311" s="69" t="s">
        <v>135</v>
      </c>
      <c r="M1311" s="69"/>
      <c r="N1311" s="69" t="s">
        <v>3024</v>
      </c>
      <c r="O1311" s="69" t="s">
        <v>1219</v>
      </c>
      <c r="P1311" s="122"/>
      <c r="Q1311" s="69"/>
      <c r="R1311" s="59"/>
      <c r="S1311" s="88"/>
      <c r="T1311" s="65"/>
      <c r="U1311" s="88"/>
      <c r="V1311" s="65"/>
    </row>
    <row r="1312">
      <c r="A1312" s="74" t="s">
        <v>3025</v>
      </c>
      <c r="B1312" s="75" t="s">
        <v>35</v>
      </c>
      <c r="C1312" s="75" t="s">
        <v>36</v>
      </c>
      <c r="D1312" s="76" t="str">
        <f t="shared" si="83"/>
        <v>Removed</v>
      </c>
      <c r="E1312" s="90">
        <v>44427.0</v>
      </c>
      <c r="F1312" s="105">
        <v>44804.0</v>
      </c>
      <c r="G1312" s="79">
        <f t="shared" si="2"/>
        <v>12.36666667</v>
      </c>
      <c r="H1312" s="90">
        <v>44427.0</v>
      </c>
      <c r="I1312" s="79">
        <f t="shared" si="3"/>
        <v>0</v>
      </c>
      <c r="J1312" s="106">
        <f>(71+74+77)/3</f>
        <v>74</v>
      </c>
      <c r="K1312" s="106">
        <v>4.5</v>
      </c>
      <c r="L1312" s="82" t="s">
        <v>135</v>
      </c>
      <c r="M1312" s="82" t="s">
        <v>326</v>
      </c>
      <c r="N1312" s="82"/>
      <c r="O1312" s="82" t="s">
        <v>107</v>
      </c>
      <c r="P1312" s="107" t="s">
        <v>3026</v>
      </c>
      <c r="Q1312" s="82" t="s">
        <v>3027</v>
      </c>
      <c r="R1312" s="76"/>
      <c r="S1312" s="90"/>
      <c r="T1312" s="79"/>
      <c r="U1312" s="90"/>
      <c r="V1312" s="79"/>
    </row>
    <row r="1313">
      <c r="A1313" s="207" t="s">
        <v>3028</v>
      </c>
      <c r="B1313" s="54" t="s">
        <v>35</v>
      </c>
      <c r="C1313" s="54" t="s">
        <v>100</v>
      </c>
      <c r="D1313" s="59" t="str">
        <f t="shared" si="83"/>
        <v>Removed</v>
      </c>
      <c r="E1313" s="133">
        <v>43886.0</v>
      </c>
      <c r="F1313" s="120">
        <v>44804.0</v>
      </c>
      <c r="G1313" s="65">
        <f t="shared" si="2"/>
        <v>30.16666667</v>
      </c>
      <c r="H1313" s="88">
        <v>43220.0</v>
      </c>
      <c r="I1313" s="65">
        <f t="shared" si="3"/>
        <v>1.819444444</v>
      </c>
      <c r="J1313" s="208">
        <v>83.0</v>
      </c>
      <c r="K1313" s="121">
        <v>30.5</v>
      </c>
      <c r="L1313" s="91" t="s">
        <v>64</v>
      </c>
      <c r="M1313" s="69" t="s">
        <v>1747</v>
      </c>
      <c r="N1313" s="91"/>
      <c r="O1313" s="69" t="s">
        <v>1168</v>
      </c>
      <c r="P1313" s="122" t="s">
        <v>3029</v>
      </c>
      <c r="Q1313" s="69"/>
      <c r="R1313" s="59"/>
      <c r="S1313" s="88"/>
      <c r="T1313" s="65"/>
      <c r="U1313" s="88"/>
      <c r="V1313" s="65"/>
    </row>
    <row r="1314">
      <c r="A1314" s="226" t="s">
        <v>3030</v>
      </c>
      <c r="B1314" s="75" t="s">
        <v>35</v>
      </c>
      <c r="C1314" s="75" t="s">
        <v>100</v>
      </c>
      <c r="D1314" s="76" t="str">
        <f t="shared" si="83"/>
        <v>Removed</v>
      </c>
      <c r="E1314" s="218">
        <v>43545.0</v>
      </c>
      <c r="F1314" s="105">
        <v>44804.0</v>
      </c>
      <c r="G1314" s="79">
        <f t="shared" si="2"/>
        <v>41.3</v>
      </c>
      <c r="H1314" s="90">
        <v>42850.0</v>
      </c>
      <c r="I1314" s="79">
        <f t="shared" si="3"/>
        <v>1.905555556</v>
      </c>
      <c r="J1314" s="216">
        <v>92.0</v>
      </c>
      <c r="K1314" s="106">
        <v>2.0</v>
      </c>
      <c r="L1314" s="82" t="s">
        <v>135</v>
      </c>
      <c r="M1314" s="83"/>
      <c r="N1314" s="83"/>
      <c r="O1314" s="82" t="s">
        <v>328</v>
      </c>
      <c r="P1314" s="107" t="s">
        <v>3031</v>
      </c>
      <c r="Q1314" s="82"/>
      <c r="R1314" s="76"/>
      <c r="S1314" s="90"/>
      <c r="T1314" s="79"/>
      <c r="U1314" s="90"/>
      <c r="V1314" s="79"/>
    </row>
    <row r="1315">
      <c r="A1315" s="53" t="s">
        <v>3032</v>
      </c>
      <c r="B1315" s="54" t="s">
        <v>2984</v>
      </c>
      <c r="C1315" s="59"/>
      <c r="D1315" s="59" t="s">
        <v>2985</v>
      </c>
      <c r="E1315" s="133">
        <v>44774.0</v>
      </c>
      <c r="F1315" s="61">
        <v>44788.0</v>
      </c>
      <c r="G1315" s="65">
        <f t="shared" si="2"/>
        <v>0.4666666667</v>
      </c>
      <c r="H1315" s="88">
        <v>39735.0</v>
      </c>
      <c r="I1315" s="65">
        <f t="shared" si="3"/>
        <v>13.79722222</v>
      </c>
      <c r="J1315" s="121">
        <v>82.0</v>
      </c>
      <c r="K1315" s="121">
        <v>20.0</v>
      </c>
      <c r="L1315" s="69" t="s">
        <v>41</v>
      </c>
      <c r="M1315" s="69"/>
      <c r="N1315" s="69" t="s">
        <v>2761</v>
      </c>
      <c r="O1315" s="69"/>
      <c r="P1315" s="122"/>
      <c r="Q1315" s="69"/>
      <c r="R1315" s="59"/>
      <c r="S1315" s="88"/>
      <c r="T1315" s="65"/>
      <c r="U1315" s="88"/>
      <c r="V1315" s="65"/>
    </row>
    <row r="1316">
      <c r="A1316" s="74" t="s">
        <v>3033</v>
      </c>
      <c r="B1316" s="75" t="s">
        <v>2759</v>
      </c>
      <c r="C1316" s="76"/>
      <c r="D1316" s="76" t="s">
        <v>2760</v>
      </c>
      <c r="E1316" s="218">
        <v>44758.0</v>
      </c>
      <c r="F1316" s="77">
        <v>44788.0</v>
      </c>
      <c r="G1316" s="79">
        <f t="shared" si="2"/>
        <v>0.9666666667</v>
      </c>
      <c r="H1316" s="90">
        <v>44049.0</v>
      </c>
      <c r="I1316" s="79">
        <f t="shared" si="3"/>
        <v>1.944444444</v>
      </c>
      <c r="J1316" s="106">
        <v>72.0</v>
      </c>
      <c r="K1316" s="106">
        <v>10.0</v>
      </c>
      <c r="L1316" s="82" t="s">
        <v>96</v>
      </c>
      <c r="M1316" s="82" t="s">
        <v>72</v>
      </c>
      <c r="N1316" s="82" t="s">
        <v>2761</v>
      </c>
      <c r="O1316" s="82"/>
      <c r="P1316" s="107"/>
      <c r="Q1316" s="82"/>
      <c r="R1316" s="76"/>
      <c r="S1316" s="90"/>
      <c r="T1316" s="79"/>
      <c r="U1316" s="90"/>
      <c r="V1316" s="79"/>
    </row>
    <row r="1317">
      <c r="A1317" s="53" t="s">
        <v>3034</v>
      </c>
      <c r="B1317" s="54" t="s">
        <v>35</v>
      </c>
      <c r="C1317" s="54" t="s">
        <v>100</v>
      </c>
      <c r="D1317" s="59" t="str">
        <f t="shared" ref="D1317:D1321" si="84">IF(E1317&gt;TODAY(),"Coming Soon",IF(F1317="","Active",IF(F1317&gt;TODAY(),"Leaving Soon","Removed")))</f>
        <v>Removed</v>
      </c>
      <c r="E1317" s="88">
        <v>44427.0</v>
      </c>
      <c r="F1317" s="61">
        <v>44788.0</v>
      </c>
      <c r="G1317" s="65">
        <f t="shared" si="2"/>
        <v>11.86666667</v>
      </c>
      <c r="H1317" s="88">
        <v>44063.0</v>
      </c>
      <c r="I1317" s="65">
        <f t="shared" si="3"/>
        <v>0.9972222222</v>
      </c>
      <c r="J1317" s="121">
        <f>(70+80+90)/3</f>
        <v>80</v>
      </c>
      <c r="K1317" s="121">
        <v>18.0</v>
      </c>
      <c r="L1317" s="69" t="s">
        <v>64</v>
      </c>
      <c r="M1317" s="69" t="s">
        <v>326</v>
      </c>
      <c r="N1317" s="69"/>
      <c r="O1317" s="69" t="s">
        <v>1219</v>
      </c>
      <c r="P1317" s="122"/>
      <c r="Q1317" s="69"/>
      <c r="R1317" s="59"/>
      <c r="S1317" s="88"/>
      <c r="T1317" s="65"/>
      <c r="U1317" s="88"/>
      <c r="V1317" s="65"/>
    </row>
    <row r="1318">
      <c r="A1318" s="74" t="s">
        <v>3035</v>
      </c>
      <c r="B1318" s="75" t="s">
        <v>35</v>
      </c>
      <c r="C1318" s="75" t="s">
        <v>100</v>
      </c>
      <c r="D1318" s="76" t="str">
        <f t="shared" si="84"/>
        <v>Removed</v>
      </c>
      <c r="E1318" s="77">
        <v>44419.0</v>
      </c>
      <c r="F1318" s="77">
        <v>44788.0</v>
      </c>
      <c r="G1318" s="79">
        <f t="shared" si="2"/>
        <v>12.13333333</v>
      </c>
      <c r="H1318" s="90">
        <v>44419.0</v>
      </c>
      <c r="I1318" s="79">
        <f t="shared" si="3"/>
        <v>0</v>
      </c>
      <c r="J1318" s="216">
        <f>(70+73)/2</f>
        <v>71.5</v>
      </c>
      <c r="K1318" s="106">
        <v>5.0</v>
      </c>
      <c r="L1318" s="82" t="s">
        <v>105</v>
      </c>
      <c r="M1318" s="83"/>
      <c r="N1318" s="82"/>
      <c r="O1318" s="82" t="s">
        <v>328</v>
      </c>
      <c r="P1318" s="107" t="s">
        <v>3036</v>
      </c>
      <c r="Q1318" s="82"/>
      <c r="R1318" s="76"/>
      <c r="S1318" s="90"/>
      <c r="T1318" s="79"/>
      <c r="U1318" s="90"/>
      <c r="V1318" s="79"/>
    </row>
    <row r="1319">
      <c r="A1319" s="53" t="s">
        <v>2178</v>
      </c>
      <c r="B1319" s="54" t="s">
        <v>35</v>
      </c>
      <c r="C1319" s="54" t="s">
        <v>36</v>
      </c>
      <c r="D1319" s="59" t="str">
        <f t="shared" si="84"/>
        <v>Removed</v>
      </c>
      <c r="E1319" s="61">
        <v>44419.0</v>
      </c>
      <c r="F1319" s="61">
        <v>44788.0</v>
      </c>
      <c r="G1319" s="65">
        <f t="shared" si="2"/>
        <v>12.13333333</v>
      </c>
      <c r="H1319" s="88">
        <v>43966.0</v>
      </c>
      <c r="I1319" s="65">
        <f t="shared" si="3"/>
        <v>1.238888889</v>
      </c>
      <c r="J1319" s="227">
        <f>(9+10)/2*10</f>
        <v>95</v>
      </c>
      <c r="K1319" s="121">
        <v>96.5</v>
      </c>
      <c r="L1319" s="69" t="s">
        <v>46</v>
      </c>
      <c r="M1319" s="91"/>
      <c r="N1319" s="69"/>
      <c r="O1319" s="69" t="s">
        <v>107</v>
      </c>
      <c r="P1319" s="122" t="s">
        <v>2375</v>
      </c>
      <c r="Q1319" s="69"/>
      <c r="R1319" s="59"/>
      <c r="S1319" s="88"/>
      <c r="T1319" s="65"/>
      <c r="U1319" s="88"/>
      <c r="V1319" s="65"/>
    </row>
    <row r="1320">
      <c r="A1320" s="74" t="s">
        <v>3037</v>
      </c>
      <c r="B1320" s="75" t="s">
        <v>35</v>
      </c>
      <c r="C1320" s="75" t="s">
        <v>100</v>
      </c>
      <c r="D1320" s="76" t="str">
        <f t="shared" si="84"/>
        <v>Removed</v>
      </c>
      <c r="E1320" s="90">
        <v>44413.0</v>
      </c>
      <c r="F1320" s="77">
        <v>44788.0</v>
      </c>
      <c r="G1320" s="79">
        <f t="shared" si="2"/>
        <v>12.33333333</v>
      </c>
      <c r="H1320" s="90">
        <v>44249.0</v>
      </c>
      <c r="I1320" s="79">
        <f t="shared" si="3"/>
        <v>0.4527777778</v>
      </c>
      <c r="J1320" s="106">
        <f>(78+90)/2</f>
        <v>84</v>
      </c>
      <c r="K1320" s="106">
        <v>25.0</v>
      </c>
      <c r="L1320" s="82" t="s">
        <v>41</v>
      </c>
      <c r="M1320" s="82"/>
      <c r="N1320" s="82"/>
      <c r="O1320" s="82" t="s">
        <v>328</v>
      </c>
      <c r="P1320" s="107" t="s">
        <v>2715</v>
      </c>
      <c r="Q1320" s="82"/>
      <c r="R1320" s="76"/>
      <c r="S1320" s="90"/>
      <c r="T1320" s="79"/>
      <c r="U1320" s="90"/>
      <c r="V1320" s="79"/>
    </row>
    <row r="1321">
      <c r="A1321" s="53" t="s">
        <v>3038</v>
      </c>
      <c r="B1321" s="54" t="s">
        <v>35</v>
      </c>
      <c r="C1321" s="54" t="s">
        <v>36</v>
      </c>
      <c r="D1321" s="59" t="str">
        <f t="shared" si="84"/>
        <v>Removed</v>
      </c>
      <c r="E1321" s="88">
        <v>44413.0</v>
      </c>
      <c r="F1321" s="61">
        <v>44788.0</v>
      </c>
      <c r="G1321" s="65">
        <f t="shared" si="2"/>
        <v>12.33333333</v>
      </c>
      <c r="H1321" s="88">
        <v>44413.0</v>
      </c>
      <c r="I1321" s="65">
        <f t="shared" si="3"/>
        <v>0</v>
      </c>
      <c r="J1321" s="225">
        <v>62.0</v>
      </c>
      <c r="K1321" s="208"/>
      <c r="L1321" s="69" t="s">
        <v>64</v>
      </c>
      <c r="M1321" s="69"/>
      <c r="N1321" s="69"/>
      <c r="O1321" s="69" t="s">
        <v>328</v>
      </c>
      <c r="P1321" s="122" t="s">
        <v>3039</v>
      </c>
      <c r="Q1321" s="69"/>
      <c r="R1321" s="59"/>
      <c r="S1321" s="88"/>
      <c r="T1321" s="65"/>
      <c r="U1321" s="88"/>
      <c r="V1321" s="65"/>
    </row>
    <row r="1322">
      <c r="A1322" s="74" t="s">
        <v>3040</v>
      </c>
      <c r="B1322" s="75" t="s">
        <v>2984</v>
      </c>
      <c r="C1322" s="76"/>
      <c r="D1322" s="76" t="s">
        <v>2985</v>
      </c>
      <c r="E1322" s="218">
        <v>44758.0</v>
      </c>
      <c r="F1322" s="77">
        <v>44773.0</v>
      </c>
      <c r="G1322" s="79">
        <f t="shared" si="2"/>
        <v>0.4666666667</v>
      </c>
      <c r="H1322" s="90">
        <v>40113.0</v>
      </c>
      <c r="I1322" s="79">
        <f t="shared" si="3"/>
        <v>12.71944444</v>
      </c>
      <c r="J1322" s="106">
        <v>83.0</v>
      </c>
      <c r="K1322" s="106">
        <v>14.0</v>
      </c>
      <c r="L1322" s="82" t="s">
        <v>46</v>
      </c>
      <c r="M1322" s="82"/>
      <c r="N1322" s="82" t="s">
        <v>2761</v>
      </c>
      <c r="O1322" s="82"/>
      <c r="P1322" s="107"/>
      <c r="Q1322" s="82"/>
      <c r="R1322" s="76"/>
      <c r="S1322" s="90"/>
      <c r="T1322" s="79"/>
      <c r="U1322" s="90"/>
      <c r="V1322" s="79"/>
    </row>
    <row r="1323">
      <c r="A1323" s="53" t="s">
        <v>3041</v>
      </c>
      <c r="B1323" s="54" t="s">
        <v>2759</v>
      </c>
      <c r="C1323" s="59"/>
      <c r="D1323" s="59" t="s">
        <v>2760</v>
      </c>
      <c r="E1323" s="133">
        <v>44743.0</v>
      </c>
      <c r="F1323" s="61">
        <v>44773.0</v>
      </c>
      <c r="G1323" s="65">
        <f t="shared" si="2"/>
        <v>0.9666666667</v>
      </c>
      <c r="H1323" s="88">
        <v>44482.0</v>
      </c>
      <c r="I1323" s="65">
        <f t="shared" si="3"/>
        <v>0.7166666667</v>
      </c>
      <c r="J1323" s="121">
        <v>76.0</v>
      </c>
      <c r="K1323" s="121">
        <v>2.0</v>
      </c>
      <c r="L1323" s="69" t="s">
        <v>135</v>
      </c>
      <c r="M1323" s="69"/>
      <c r="N1323" s="69" t="s">
        <v>2761</v>
      </c>
      <c r="O1323" s="69"/>
      <c r="P1323" s="122"/>
      <c r="Q1323" s="69"/>
      <c r="R1323" s="59"/>
      <c r="S1323" s="88"/>
      <c r="T1323" s="65"/>
      <c r="U1323" s="88"/>
      <c r="V1323" s="65"/>
    </row>
    <row r="1324">
      <c r="A1324" s="74" t="s">
        <v>3042</v>
      </c>
      <c r="B1324" s="75" t="s">
        <v>35</v>
      </c>
      <c r="C1324" s="75" t="s">
        <v>36</v>
      </c>
      <c r="D1324" s="76" t="str">
        <f t="shared" ref="D1324:D1328" si="85">IF(E1324&gt;TODAY(),"Coming Soon",IF(F1324="","Active",IF(F1324&gt;TODAY(),"Leaving Soon","Removed")))</f>
        <v>Removed</v>
      </c>
      <c r="E1324" s="90">
        <v>44413.0</v>
      </c>
      <c r="F1324" s="105">
        <v>44773.0</v>
      </c>
      <c r="G1324" s="79">
        <f t="shared" si="2"/>
        <v>11.83333333</v>
      </c>
      <c r="H1324" s="90">
        <v>44413.0</v>
      </c>
      <c r="I1324" s="79">
        <f t="shared" si="3"/>
        <v>0</v>
      </c>
      <c r="J1324" s="106">
        <v>77.0</v>
      </c>
      <c r="K1324" s="106">
        <v>8.0</v>
      </c>
      <c r="L1324" s="82" t="s">
        <v>62</v>
      </c>
      <c r="M1324" s="82"/>
      <c r="N1324" s="82"/>
      <c r="O1324" s="82" t="s">
        <v>1219</v>
      </c>
      <c r="P1324" s="107" t="s">
        <v>1857</v>
      </c>
      <c r="Q1324" s="82"/>
      <c r="R1324" s="76"/>
      <c r="S1324" s="90"/>
      <c r="T1324" s="79"/>
      <c r="U1324" s="90"/>
      <c r="V1324" s="79"/>
    </row>
    <row r="1325">
      <c r="A1325" s="53" t="s">
        <v>3043</v>
      </c>
      <c r="B1325" s="54" t="s">
        <v>35</v>
      </c>
      <c r="C1325" s="54" t="s">
        <v>100</v>
      </c>
      <c r="D1325" s="59" t="str">
        <f t="shared" si="85"/>
        <v>Removed</v>
      </c>
      <c r="E1325" s="88">
        <v>44413.0</v>
      </c>
      <c r="F1325" s="120">
        <v>44773.0</v>
      </c>
      <c r="G1325" s="65">
        <f t="shared" si="2"/>
        <v>11.83333333</v>
      </c>
      <c r="H1325" s="88">
        <v>43441.0</v>
      </c>
      <c r="I1325" s="65">
        <f t="shared" si="3"/>
        <v>2.661111111</v>
      </c>
      <c r="J1325" s="121">
        <f>(73+81)/2</f>
        <v>77</v>
      </c>
      <c r="K1325" s="121">
        <v>4.5</v>
      </c>
      <c r="L1325" s="69" t="s">
        <v>105</v>
      </c>
      <c r="M1325" s="69"/>
      <c r="N1325" s="69"/>
      <c r="O1325" s="69" t="s">
        <v>1219</v>
      </c>
      <c r="P1325" s="122" t="s">
        <v>3044</v>
      </c>
      <c r="Q1325" s="69"/>
      <c r="R1325" s="59"/>
      <c r="S1325" s="88"/>
      <c r="T1325" s="65"/>
      <c r="U1325" s="88"/>
      <c r="V1325" s="65"/>
    </row>
    <row r="1326">
      <c r="A1326" s="74" t="s">
        <v>3045</v>
      </c>
      <c r="B1326" s="75" t="s">
        <v>35</v>
      </c>
      <c r="C1326" s="75" t="s">
        <v>100</v>
      </c>
      <c r="D1326" s="76" t="str">
        <f t="shared" si="85"/>
        <v>Removed</v>
      </c>
      <c r="E1326" s="90">
        <v>44413.0</v>
      </c>
      <c r="F1326" s="105">
        <v>44773.0</v>
      </c>
      <c r="G1326" s="79">
        <f t="shared" si="2"/>
        <v>11.83333333</v>
      </c>
      <c r="H1326" s="90">
        <v>43277.0</v>
      </c>
      <c r="I1326" s="79">
        <f t="shared" si="3"/>
        <v>3.108333333</v>
      </c>
      <c r="J1326" s="106">
        <v>81.0</v>
      </c>
      <c r="K1326" s="106">
        <v>5.0</v>
      </c>
      <c r="L1326" s="82" t="s">
        <v>96</v>
      </c>
      <c r="M1326" s="82"/>
      <c r="N1326" s="82"/>
      <c r="O1326" s="82" t="s">
        <v>1168</v>
      </c>
      <c r="P1326" s="107"/>
      <c r="Q1326" s="82"/>
      <c r="R1326" s="76"/>
      <c r="S1326" s="90"/>
      <c r="T1326" s="79"/>
      <c r="U1326" s="90"/>
      <c r="V1326" s="79"/>
    </row>
    <row r="1327">
      <c r="A1327" s="53" t="s">
        <v>3046</v>
      </c>
      <c r="B1327" s="54" t="s">
        <v>35</v>
      </c>
      <c r="C1327" s="54" t="s">
        <v>100</v>
      </c>
      <c r="D1327" s="59" t="str">
        <f t="shared" si="85"/>
        <v>Removed</v>
      </c>
      <c r="E1327" s="88">
        <v>44406.0</v>
      </c>
      <c r="F1327" s="120">
        <v>44773.0</v>
      </c>
      <c r="G1327" s="65">
        <f t="shared" si="2"/>
        <v>12.03333333</v>
      </c>
      <c r="H1327" s="88">
        <v>43430.0</v>
      </c>
      <c r="I1327" s="65">
        <f t="shared" si="3"/>
        <v>2.675</v>
      </c>
      <c r="J1327" s="121">
        <v>77.0</v>
      </c>
      <c r="K1327" s="121">
        <v>3.0</v>
      </c>
      <c r="L1327" s="69" t="s">
        <v>57</v>
      </c>
      <c r="M1327" s="69"/>
      <c r="N1327" s="69"/>
      <c r="O1327" s="69" t="s">
        <v>1219</v>
      </c>
      <c r="P1327" s="122"/>
      <c r="Q1327" s="69"/>
      <c r="R1327" s="59"/>
      <c r="S1327" s="88"/>
      <c r="T1327" s="65"/>
      <c r="U1327" s="88"/>
      <c r="V1327" s="65"/>
    </row>
    <row r="1328">
      <c r="A1328" s="74" t="s">
        <v>3047</v>
      </c>
      <c r="B1328" s="75" t="s">
        <v>35</v>
      </c>
      <c r="C1328" s="75" t="s">
        <v>100</v>
      </c>
      <c r="D1328" s="76" t="str">
        <f t="shared" si="85"/>
        <v>Removed</v>
      </c>
      <c r="E1328" s="90">
        <v>44399.0</v>
      </c>
      <c r="F1328" s="105">
        <v>44773.0</v>
      </c>
      <c r="G1328" s="79">
        <f t="shared" si="2"/>
        <v>12.26666667</v>
      </c>
      <c r="H1328" s="90">
        <v>44119.0</v>
      </c>
      <c r="I1328" s="79">
        <f t="shared" si="3"/>
        <v>0.7694444444</v>
      </c>
      <c r="J1328" s="106">
        <v>70.0</v>
      </c>
      <c r="K1328" s="106">
        <v>5.0</v>
      </c>
      <c r="L1328" s="82" t="s">
        <v>41</v>
      </c>
      <c r="M1328" s="82"/>
      <c r="N1328" s="82"/>
      <c r="O1328" s="82" t="s">
        <v>1168</v>
      </c>
      <c r="P1328" s="107" t="s">
        <v>1396</v>
      </c>
      <c r="Q1328" s="82"/>
      <c r="R1328" s="76"/>
      <c r="S1328" s="90"/>
      <c r="T1328" s="79"/>
      <c r="U1328" s="90"/>
      <c r="V1328" s="79"/>
    </row>
    <row r="1329">
      <c r="A1329" s="53" t="s">
        <v>3048</v>
      </c>
      <c r="B1329" s="54" t="s">
        <v>2984</v>
      </c>
      <c r="C1329" s="59"/>
      <c r="D1329" s="59" t="s">
        <v>2985</v>
      </c>
      <c r="E1329" s="133">
        <v>44743.0</v>
      </c>
      <c r="F1329" s="61">
        <v>44757.0</v>
      </c>
      <c r="G1329" s="65">
        <f t="shared" si="2"/>
        <v>0.4666666667</v>
      </c>
      <c r="H1329" s="88">
        <v>39393.0</v>
      </c>
      <c r="I1329" s="65">
        <f t="shared" si="3"/>
        <v>14.65</v>
      </c>
      <c r="J1329" s="121">
        <v>70.0</v>
      </c>
      <c r="K1329" s="121">
        <v>17.0</v>
      </c>
      <c r="L1329" s="69" t="s">
        <v>64</v>
      </c>
      <c r="M1329" s="69"/>
      <c r="N1329" s="69" t="s">
        <v>2761</v>
      </c>
      <c r="O1329" s="69"/>
      <c r="P1329" s="122"/>
      <c r="Q1329" s="69"/>
      <c r="R1329" s="59"/>
      <c r="S1329" s="88"/>
      <c r="T1329" s="65"/>
      <c r="U1329" s="88"/>
      <c r="V1329" s="65"/>
    </row>
    <row r="1330">
      <c r="A1330" s="74" t="s">
        <v>3049</v>
      </c>
      <c r="B1330" s="75" t="s">
        <v>2759</v>
      </c>
      <c r="C1330" s="76"/>
      <c r="D1330" s="76" t="s">
        <v>2760</v>
      </c>
      <c r="E1330" s="218">
        <v>44728.0</v>
      </c>
      <c r="F1330" s="77">
        <v>44757.0</v>
      </c>
      <c r="G1330" s="79">
        <f t="shared" si="2"/>
        <v>0.9666666667</v>
      </c>
      <c r="H1330" s="90">
        <v>42695.0</v>
      </c>
      <c r="I1330" s="79">
        <f t="shared" si="3"/>
        <v>5.569444444</v>
      </c>
      <c r="J1330" s="106">
        <v>77.0</v>
      </c>
      <c r="K1330" s="106">
        <v>10.0</v>
      </c>
      <c r="L1330" s="82" t="s">
        <v>64</v>
      </c>
      <c r="M1330" s="82"/>
      <c r="N1330" s="82"/>
      <c r="O1330" s="82"/>
      <c r="P1330" s="107"/>
      <c r="Q1330" s="82"/>
      <c r="R1330" s="76"/>
      <c r="S1330" s="90"/>
      <c r="T1330" s="79"/>
      <c r="U1330" s="90"/>
      <c r="V1330" s="79"/>
    </row>
    <row r="1331">
      <c r="A1331" s="53" t="s">
        <v>3050</v>
      </c>
      <c r="B1331" s="54" t="s">
        <v>35</v>
      </c>
      <c r="C1331" s="54" t="s">
        <v>100</v>
      </c>
      <c r="D1331" s="59" t="str">
        <f t="shared" ref="D1331:D1335" si="86">IF(E1331&gt;TODAY(),"Coming Soon",IF(F1331="","Active",IF(F1331&gt;TODAY(),"Leaving Soon","Removed")))</f>
        <v>Removed</v>
      </c>
      <c r="E1331" s="88">
        <v>44406.0</v>
      </c>
      <c r="F1331" s="120">
        <v>44757.0</v>
      </c>
      <c r="G1331" s="65">
        <f t="shared" si="2"/>
        <v>11.53333333</v>
      </c>
      <c r="H1331" s="88">
        <v>43397.0</v>
      </c>
      <c r="I1331" s="65">
        <f t="shared" si="3"/>
        <v>2.763888889</v>
      </c>
      <c r="J1331" s="121">
        <v>82.0</v>
      </c>
      <c r="K1331" s="121">
        <v>2.0</v>
      </c>
      <c r="L1331" s="69" t="s">
        <v>52</v>
      </c>
      <c r="M1331" s="69"/>
      <c r="N1331" s="69"/>
      <c r="O1331" s="69" t="s">
        <v>328</v>
      </c>
      <c r="P1331" s="122" t="s">
        <v>1527</v>
      </c>
      <c r="Q1331" s="69"/>
      <c r="R1331" s="59"/>
      <c r="S1331" s="88"/>
      <c r="T1331" s="65"/>
      <c r="U1331" s="88"/>
      <c r="V1331" s="65"/>
    </row>
    <row r="1332">
      <c r="A1332" s="74" t="s">
        <v>3051</v>
      </c>
      <c r="B1332" s="75" t="s">
        <v>35</v>
      </c>
      <c r="C1332" s="75" t="s">
        <v>36</v>
      </c>
      <c r="D1332" s="76" t="str">
        <f t="shared" si="86"/>
        <v>Removed</v>
      </c>
      <c r="E1332" s="90">
        <v>44399.0</v>
      </c>
      <c r="F1332" s="105">
        <v>44757.0</v>
      </c>
      <c r="G1332" s="79">
        <f t="shared" si="2"/>
        <v>11.76666667</v>
      </c>
      <c r="H1332" s="90">
        <v>43713.0</v>
      </c>
      <c r="I1332" s="79">
        <f t="shared" si="3"/>
        <v>1.880555556</v>
      </c>
      <c r="J1332" s="106">
        <v>78.0</v>
      </c>
      <c r="K1332" s="106">
        <v>7.0</v>
      </c>
      <c r="L1332" s="82" t="s">
        <v>105</v>
      </c>
      <c r="M1332" s="82"/>
      <c r="N1332" s="82"/>
      <c r="O1332" s="82" t="s">
        <v>1168</v>
      </c>
      <c r="P1332" s="107" t="s">
        <v>3052</v>
      </c>
      <c r="Q1332" s="82"/>
      <c r="R1332" s="76"/>
      <c r="S1332" s="90"/>
      <c r="T1332" s="79"/>
      <c r="U1332" s="90"/>
      <c r="V1332" s="79"/>
    </row>
    <row r="1333">
      <c r="A1333" s="53" t="s">
        <v>3053</v>
      </c>
      <c r="B1333" s="54" t="s">
        <v>35</v>
      </c>
      <c r="C1333" s="54" t="s">
        <v>100</v>
      </c>
      <c r="D1333" s="59" t="str">
        <f t="shared" si="86"/>
        <v>Removed</v>
      </c>
      <c r="E1333" s="88">
        <v>44397.0</v>
      </c>
      <c r="F1333" s="120">
        <v>44757.0</v>
      </c>
      <c r="G1333" s="65">
        <f t="shared" si="2"/>
        <v>11.83333333</v>
      </c>
      <c r="H1333" s="88">
        <v>44397.0</v>
      </c>
      <c r="I1333" s="65">
        <f t="shared" si="3"/>
        <v>0</v>
      </c>
      <c r="J1333" s="121">
        <f>(73+77)/2</f>
        <v>75</v>
      </c>
      <c r="K1333" s="121">
        <v>21.0</v>
      </c>
      <c r="L1333" s="69" t="s">
        <v>46</v>
      </c>
      <c r="M1333" s="69"/>
      <c r="N1333" s="69"/>
      <c r="O1333" s="69" t="s">
        <v>328</v>
      </c>
      <c r="P1333" s="122" t="s">
        <v>1798</v>
      </c>
      <c r="Q1333" s="69"/>
      <c r="R1333" s="59"/>
      <c r="S1333" s="88"/>
      <c r="T1333" s="65"/>
      <c r="U1333" s="88"/>
      <c r="V1333" s="65"/>
    </row>
    <row r="1334">
      <c r="A1334" s="226" t="s">
        <v>2079</v>
      </c>
      <c r="B1334" s="75" t="s">
        <v>35</v>
      </c>
      <c r="C1334" s="75" t="s">
        <v>36</v>
      </c>
      <c r="D1334" s="76" t="str">
        <f t="shared" si="86"/>
        <v>Removed</v>
      </c>
      <c r="E1334" s="218">
        <v>43846.0</v>
      </c>
      <c r="F1334" s="105">
        <v>44757.0</v>
      </c>
      <c r="G1334" s="79">
        <f t="shared" si="2"/>
        <v>29.96666667</v>
      </c>
      <c r="H1334" s="90">
        <v>43711.0</v>
      </c>
      <c r="I1334" s="79">
        <f t="shared" si="3"/>
        <v>0.3694444444</v>
      </c>
      <c r="J1334" s="216">
        <v>77.0</v>
      </c>
      <c r="K1334" s="106">
        <v>13.5</v>
      </c>
      <c r="L1334" s="82" t="s">
        <v>46</v>
      </c>
      <c r="M1334" s="83"/>
      <c r="N1334" s="83"/>
      <c r="O1334" s="82" t="s">
        <v>328</v>
      </c>
      <c r="P1334" s="107" t="s">
        <v>2012</v>
      </c>
      <c r="Q1334" s="82"/>
      <c r="R1334" s="76"/>
      <c r="S1334" s="90"/>
      <c r="T1334" s="79"/>
      <c r="U1334" s="90"/>
      <c r="V1334" s="79"/>
    </row>
    <row r="1335">
      <c r="A1335" s="53" t="s">
        <v>3054</v>
      </c>
      <c r="B1335" s="54" t="s">
        <v>35</v>
      </c>
      <c r="C1335" s="54"/>
      <c r="D1335" s="59" t="str">
        <f t="shared" si="86"/>
        <v>Removed</v>
      </c>
      <c r="E1335" s="88">
        <v>44145.0</v>
      </c>
      <c r="F1335" s="120">
        <v>44743.0</v>
      </c>
      <c r="G1335" s="65">
        <f t="shared" si="2"/>
        <v>19.7</v>
      </c>
      <c r="H1335" s="88">
        <v>43735.0</v>
      </c>
      <c r="I1335" s="65">
        <f t="shared" si="3"/>
        <v>1.119444444</v>
      </c>
      <c r="J1335" s="121">
        <v>79.0</v>
      </c>
      <c r="K1335" s="121">
        <v>23.5</v>
      </c>
      <c r="L1335" s="69" t="s">
        <v>62</v>
      </c>
      <c r="M1335" s="69"/>
      <c r="N1335" s="69"/>
      <c r="O1335" s="69" t="s">
        <v>1219</v>
      </c>
      <c r="P1335" s="122"/>
      <c r="Q1335" s="69"/>
      <c r="R1335" s="59"/>
      <c r="S1335" s="88"/>
      <c r="T1335" s="65"/>
      <c r="U1335" s="88"/>
      <c r="V1335" s="65"/>
    </row>
    <row r="1336">
      <c r="A1336" s="74" t="s">
        <v>3055</v>
      </c>
      <c r="B1336" s="75" t="s">
        <v>2984</v>
      </c>
      <c r="C1336" s="76"/>
      <c r="D1336" s="76" t="s">
        <v>2985</v>
      </c>
      <c r="E1336" s="218">
        <v>44728.0</v>
      </c>
      <c r="F1336" s="77">
        <v>44742.0</v>
      </c>
      <c r="G1336" s="79">
        <f t="shared" si="2"/>
        <v>0.4666666667</v>
      </c>
      <c r="H1336" s="90">
        <v>41499.0</v>
      </c>
      <c r="I1336" s="79">
        <f t="shared" si="3"/>
        <v>8.841666667</v>
      </c>
      <c r="J1336" s="106">
        <v>71.0</v>
      </c>
      <c r="K1336" s="106">
        <v>6.0</v>
      </c>
      <c r="L1336" s="82" t="s">
        <v>3056</v>
      </c>
      <c r="M1336" s="82"/>
      <c r="N1336" s="82" t="s">
        <v>2761</v>
      </c>
      <c r="O1336" s="82"/>
      <c r="P1336" s="107"/>
      <c r="Q1336" s="82"/>
      <c r="R1336" s="76"/>
      <c r="S1336" s="90"/>
      <c r="T1336" s="79"/>
      <c r="U1336" s="90"/>
      <c r="V1336" s="79"/>
    </row>
    <row r="1337">
      <c r="A1337" s="53" t="s">
        <v>3057</v>
      </c>
      <c r="B1337" s="54" t="s">
        <v>2759</v>
      </c>
      <c r="C1337" s="59"/>
      <c r="D1337" s="59" t="s">
        <v>2760</v>
      </c>
      <c r="E1337" s="133">
        <v>44713.0</v>
      </c>
      <c r="F1337" s="61">
        <v>44742.0</v>
      </c>
      <c r="G1337" s="65">
        <f t="shared" si="2"/>
        <v>0.9666666667</v>
      </c>
      <c r="H1337" s="88">
        <v>42941.0</v>
      </c>
      <c r="I1337" s="65">
        <f t="shared" si="3"/>
        <v>4.85</v>
      </c>
      <c r="J1337" s="121">
        <v>70.0</v>
      </c>
      <c r="K1337" s="121">
        <v>27.0</v>
      </c>
      <c r="L1337" s="69" t="s">
        <v>64</v>
      </c>
      <c r="M1337" s="69"/>
      <c r="N1337" s="69"/>
      <c r="O1337" s="69"/>
      <c r="P1337" s="122"/>
      <c r="Q1337" s="69"/>
      <c r="R1337" s="59"/>
      <c r="S1337" s="88"/>
      <c r="T1337" s="65"/>
      <c r="U1337" s="88"/>
      <c r="V1337" s="65"/>
    </row>
    <row r="1338">
      <c r="A1338" s="74" t="s">
        <v>3058</v>
      </c>
      <c r="B1338" s="75" t="s">
        <v>35</v>
      </c>
      <c r="C1338" s="75" t="s">
        <v>100</v>
      </c>
      <c r="D1338" s="76" t="str">
        <f t="shared" ref="D1338:D1340" si="87">IF(E1338&gt;TODAY(),"Coming Soon",IF(F1338="","Active",IF(F1338&gt;TODAY(),"Leaving Soon","Removed")))</f>
        <v>Removed</v>
      </c>
      <c r="E1338" s="90">
        <v>44399.0</v>
      </c>
      <c r="F1338" s="105">
        <v>44742.0</v>
      </c>
      <c r="G1338" s="79">
        <f t="shared" si="2"/>
        <v>11.26666667</v>
      </c>
      <c r="H1338" s="90">
        <v>44399.0</v>
      </c>
      <c r="I1338" s="79">
        <f t="shared" si="3"/>
        <v>0</v>
      </c>
      <c r="J1338" s="106">
        <f>(64+70)/2</f>
        <v>67</v>
      </c>
      <c r="K1338" s="106">
        <v>6.0</v>
      </c>
      <c r="L1338" s="82" t="s">
        <v>135</v>
      </c>
      <c r="M1338" s="82"/>
      <c r="N1338" s="82"/>
      <c r="O1338" s="274" t="s">
        <v>328</v>
      </c>
      <c r="P1338" s="107" t="s">
        <v>3059</v>
      </c>
      <c r="Q1338" s="274" t="s">
        <v>3060</v>
      </c>
      <c r="R1338" s="76"/>
      <c r="S1338" s="90"/>
      <c r="T1338" s="79"/>
      <c r="U1338" s="90"/>
      <c r="V1338" s="79"/>
    </row>
    <row r="1339">
      <c r="A1339" s="53" t="s">
        <v>3061</v>
      </c>
      <c r="B1339" s="54" t="s">
        <v>129</v>
      </c>
      <c r="C1339" s="54" t="s">
        <v>36</v>
      </c>
      <c r="D1339" s="59" t="str">
        <f t="shared" si="87"/>
        <v>Removed</v>
      </c>
      <c r="E1339" s="88">
        <v>44238.0</v>
      </c>
      <c r="F1339" s="120">
        <v>44742.0</v>
      </c>
      <c r="G1339" s="65">
        <f t="shared" si="2"/>
        <v>16.63333333</v>
      </c>
      <c r="H1339" s="88">
        <v>43263.0</v>
      </c>
      <c r="I1339" s="65">
        <f t="shared" si="3"/>
        <v>2.663888889</v>
      </c>
      <c r="J1339" s="121">
        <v>76.0</v>
      </c>
      <c r="K1339" s="121">
        <v>24.5</v>
      </c>
      <c r="L1339" s="69" t="s">
        <v>64</v>
      </c>
      <c r="M1339" s="69"/>
      <c r="N1339" s="69"/>
      <c r="O1339" s="69" t="s">
        <v>328</v>
      </c>
      <c r="P1339" s="122" t="s">
        <v>1912</v>
      </c>
      <c r="Q1339" s="69"/>
      <c r="R1339" s="59"/>
      <c r="S1339" s="88"/>
      <c r="T1339" s="65"/>
      <c r="U1339" s="88"/>
      <c r="V1339" s="65"/>
    </row>
    <row r="1340">
      <c r="A1340" s="74" t="s">
        <v>3062</v>
      </c>
      <c r="B1340" s="75" t="s">
        <v>35</v>
      </c>
      <c r="C1340" s="75" t="s">
        <v>36</v>
      </c>
      <c r="D1340" s="76" t="str">
        <f t="shared" si="87"/>
        <v>Removed</v>
      </c>
      <c r="E1340" s="90">
        <v>44182.0</v>
      </c>
      <c r="F1340" s="105">
        <v>44742.0</v>
      </c>
      <c r="G1340" s="79">
        <f t="shared" si="2"/>
        <v>18.43333333</v>
      </c>
      <c r="H1340" s="90">
        <v>43944.0</v>
      </c>
      <c r="I1340" s="79">
        <f t="shared" si="3"/>
        <v>0.65</v>
      </c>
      <c r="J1340" s="106">
        <f>(81+82)/2</f>
        <v>81.5</v>
      </c>
      <c r="K1340" s="106">
        <v>61.5</v>
      </c>
      <c r="L1340" s="82" t="s">
        <v>55</v>
      </c>
      <c r="M1340" s="82" t="s">
        <v>303</v>
      </c>
      <c r="N1340" s="82"/>
      <c r="O1340" s="82" t="s">
        <v>1219</v>
      </c>
      <c r="P1340" s="107"/>
      <c r="Q1340" s="82" t="s">
        <v>3063</v>
      </c>
      <c r="R1340" s="76"/>
      <c r="S1340" s="90"/>
      <c r="T1340" s="79"/>
      <c r="U1340" s="90"/>
      <c r="V1340" s="79"/>
    </row>
    <row r="1341">
      <c r="A1341" s="53" t="s">
        <v>3064</v>
      </c>
      <c r="B1341" s="54" t="s">
        <v>2984</v>
      </c>
      <c r="C1341" s="59"/>
      <c r="D1341" s="59" t="s">
        <v>2985</v>
      </c>
      <c r="E1341" s="133">
        <v>44713.0</v>
      </c>
      <c r="F1341" s="61">
        <v>44727.0</v>
      </c>
      <c r="G1341" s="65">
        <f t="shared" si="2"/>
        <v>0.4666666667</v>
      </c>
      <c r="H1341" s="88">
        <v>40471.0</v>
      </c>
      <c r="I1341" s="65">
        <f t="shared" si="3"/>
        <v>11.61388889</v>
      </c>
      <c r="J1341" s="121">
        <v>88.0</v>
      </c>
      <c r="K1341" s="121">
        <v>9.0</v>
      </c>
      <c r="L1341" s="69" t="s">
        <v>57</v>
      </c>
      <c r="M1341" s="69"/>
      <c r="N1341" s="69" t="s">
        <v>2761</v>
      </c>
      <c r="O1341" s="69"/>
      <c r="P1341" s="122"/>
      <c r="Q1341" s="69"/>
      <c r="R1341" s="59"/>
      <c r="S1341" s="88"/>
      <c r="T1341" s="65"/>
      <c r="U1341" s="88"/>
      <c r="V1341" s="65"/>
    </row>
    <row r="1342">
      <c r="A1342" s="74" t="s">
        <v>3065</v>
      </c>
      <c r="B1342" s="75" t="s">
        <v>2759</v>
      </c>
      <c r="C1342" s="76"/>
      <c r="D1342" s="76" t="s">
        <v>2760</v>
      </c>
      <c r="E1342" s="218">
        <v>44697.0</v>
      </c>
      <c r="F1342" s="77">
        <v>44727.0</v>
      </c>
      <c r="G1342" s="79">
        <f t="shared" si="2"/>
        <v>0.9666666667</v>
      </c>
      <c r="H1342" s="90">
        <v>42538.0</v>
      </c>
      <c r="I1342" s="79">
        <f t="shared" si="3"/>
        <v>5.913888889</v>
      </c>
      <c r="J1342" s="106">
        <v>72.0</v>
      </c>
      <c r="K1342" s="106">
        <v>8.0</v>
      </c>
      <c r="L1342" s="82" t="s">
        <v>135</v>
      </c>
      <c r="M1342" s="82"/>
      <c r="N1342" s="82"/>
      <c r="O1342" s="82"/>
      <c r="P1342" s="107"/>
      <c r="Q1342" s="82"/>
      <c r="R1342" s="76"/>
      <c r="S1342" s="90"/>
      <c r="T1342" s="79"/>
      <c r="U1342" s="90"/>
      <c r="V1342" s="79"/>
    </row>
    <row r="1343">
      <c r="A1343" s="53" t="s">
        <v>3066</v>
      </c>
      <c r="B1343" s="54" t="s">
        <v>35</v>
      </c>
      <c r="C1343" s="54" t="s">
        <v>36</v>
      </c>
      <c r="D1343" s="59" t="str">
        <f t="shared" ref="D1343:D1352" si="88">IF(E1343&gt;TODAY(),"Coming Soon",IF(F1343="","Active",IF(F1343&gt;TODAY(),"Leaving Soon","Removed")))</f>
        <v>Removed</v>
      </c>
      <c r="E1343" s="88">
        <v>44370.0</v>
      </c>
      <c r="F1343" s="120">
        <v>44727.0</v>
      </c>
      <c r="G1343" s="65">
        <f t="shared" si="2"/>
        <v>11.73333333</v>
      </c>
      <c r="H1343" s="88">
        <v>44166.0</v>
      </c>
      <c r="I1343" s="65">
        <f t="shared" si="3"/>
        <v>0.5611111111</v>
      </c>
      <c r="J1343" s="121">
        <v>68.0</v>
      </c>
      <c r="K1343" s="121">
        <v>10.5</v>
      </c>
      <c r="L1343" s="69" t="s">
        <v>105</v>
      </c>
      <c r="M1343" s="69" t="s">
        <v>326</v>
      </c>
      <c r="N1343" s="69"/>
      <c r="O1343" s="69" t="s">
        <v>1168</v>
      </c>
      <c r="P1343" s="122" t="s">
        <v>1396</v>
      </c>
      <c r="Q1343" s="69"/>
      <c r="R1343" s="59"/>
      <c r="S1343" s="88"/>
      <c r="T1343" s="65"/>
      <c r="U1343" s="88"/>
      <c r="V1343" s="65"/>
    </row>
    <row r="1344">
      <c r="A1344" s="74" t="s">
        <v>3067</v>
      </c>
      <c r="B1344" s="75" t="s">
        <v>35</v>
      </c>
      <c r="C1344" s="75" t="s">
        <v>36</v>
      </c>
      <c r="D1344" s="76" t="str">
        <f t="shared" si="88"/>
        <v>Removed</v>
      </c>
      <c r="E1344" s="90">
        <v>44369.0</v>
      </c>
      <c r="F1344" s="105">
        <v>44727.0</v>
      </c>
      <c r="G1344" s="79">
        <f t="shared" si="2"/>
        <v>11.76666667</v>
      </c>
      <c r="H1344" s="90">
        <v>44369.0</v>
      </c>
      <c r="I1344" s="79">
        <f t="shared" si="3"/>
        <v>0</v>
      </c>
      <c r="J1344" s="106">
        <f>(54+57)/2</f>
        <v>55.5</v>
      </c>
      <c r="K1344" s="106">
        <v>10.5</v>
      </c>
      <c r="L1344" s="82" t="s">
        <v>46</v>
      </c>
      <c r="M1344" s="82" t="s">
        <v>326</v>
      </c>
      <c r="N1344" s="82"/>
      <c r="O1344" s="82" t="s">
        <v>107</v>
      </c>
      <c r="P1344" s="107" t="s">
        <v>1732</v>
      </c>
      <c r="Q1344" s="82"/>
      <c r="R1344" s="76"/>
      <c r="S1344" s="90"/>
      <c r="T1344" s="79"/>
      <c r="U1344" s="90"/>
      <c r="V1344" s="79"/>
    </row>
    <row r="1345">
      <c r="A1345" s="53" t="s">
        <v>3068</v>
      </c>
      <c r="B1345" s="54" t="s">
        <v>35</v>
      </c>
      <c r="C1345" s="54" t="s">
        <v>36</v>
      </c>
      <c r="D1345" s="59" t="str">
        <f t="shared" si="88"/>
        <v>Removed</v>
      </c>
      <c r="E1345" s="88">
        <v>44175.0</v>
      </c>
      <c r="F1345" s="120">
        <v>44727.0</v>
      </c>
      <c r="G1345" s="65">
        <f t="shared" si="2"/>
        <v>18.16666667</v>
      </c>
      <c r="H1345" s="88">
        <v>43718.0</v>
      </c>
      <c r="I1345" s="65">
        <f t="shared" si="3"/>
        <v>1.25</v>
      </c>
      <c r="J1345" s="121">
        <v>78.0</v>
      </c>
      <c r="K1345" s="121">
        <v>22.0</v>
      </c>
      <c r="L1345" s="69" t="s">
        <v>46</v>
      </c>
      <c r="M1345" s="69"/>
      <c r="N1345" s="69"/>
      <c r="O1345" s="69" t="s">
        <v>107</v>
      </c>
      <c r="P1345" s="122" t="s">
        <v>3069</v>
      </c>
      <c r="Q1345" s="69"/>
      <c r="R1345" s="59"/>
      <c r="S1345" s="88"/>
      <c r="T1345" s="65"/>
      <c r="U1345" s="88"/>
      <c r="V1345" s="65"/>
    </row>
    <row r="1346">
      <c r="A1346" s="74" t="s">
        <v>3070</v>
      </c>
      <c r="B1346" s="75" t="s">
        <v>13</v>
      </c>
      <c r="C1346" s="75"/>
      <c r="D1346" s="76" t="str">
        <f t="shared" si="88"/>
        <v>Removed</v>
      </c>
      <c r="E1346" s="90">
        <v>44273.0</v>
      </c>
      <c r="F1346" s="105">
        <v>44725.0</v>
      </c>
      <c r="G1346" s="79">
        <f t="shared" si="2"/>
        <v>14.83333333</v>
      </c>
      <c r="H1346" s="90">
        <v>40662.0</v>
      </c>
      <c r="I1346" s="79">
        <f t="shared" si="3"/>
        <v>9.886111111</v>
      </c>
      <c r="J1346" s="106">
        <v>80.0</v>
      </c>
      <c r="K1346" s="106">
        <v>4.0</v>
      </c>
      <c r="L1346" s="82" t="s">
        <v>57</v>
      </c>
      <c r="M1346" s="82"/>
      <c r="N1346" s="82"/>
      <c r="O1346" s="82" t="s">
        <v>328</v>
      </c>
      <c r="P1346" s="107" t="s">
        <v>2659</v>
      </c>
      <c r="Q1346" s="82"/>
      <c r="R1346" s="75"/>
      <c r="S1346" s="90"/>
      <c r="T1346" s="79"/>
      <c r="U1346" s="90"/>
      <c r="V1346" s="79"/>
    </row>
    <row r="1347">
      <c r="A1347" s="53" t="s">
        <v>3071</v>
      </c>
      <c r="B1347" s="54" t="s">
        <v>13</v>
      </c>
      <c r="C1347" s="54"/>
      <c r="D1347" s="59" t="str">
        <f t="shared" si="88"/>
        <v>Removed</v>
      </c>
      <c r="E1347" s="88">
        <v>44273.0</v>
      </c>
      <c r="F1347" s="120">
        <v>44725.0</v>
      </c>
      <c r="G1347" s="65">
        <f t="shared" si="2"/>
        <v>14.83333333</v>
      </c>
      <c r="H1347" s="88">
        <v>42906.0</v>
      </c>
      <c r="I1347" s="65">
        <f t="shared" si="3"/>
        <v>3.744444444</v>
      </c>
      <c r="J1347" s="121">
        <v>80.0</v>
      </c>
      <c r="K1347" s="121">
        <v>4.5</v>
      </c>
      <c r="L1347" s="69" t="s">
        <v>37</v>
      </c>
      <c r="M1347" s="69"/>
      <c r="N1347" s="69"/>
      <c r="O1347" s="69" t="s">
        <v>328</v>
      </c>
      <c r="P1347" s="122" t="s">
        <v>2659</v>
      </c>
      <c r="Q1347" s="69"/>
      <c r="R1347" s="54"/>
      <c r="S1347" s="88"/>
      <c r="T1347" s="65"/>
      <c r="U1347" s="88"/>
      <c r="V1347" s="65"/>
    </row>
    <row r="1348">
      <c r="A1348" s="74" t="s">
        <v>3072</v>
      </c>
      <c r="B1348" s="75" t="s">
        <v>13</v>
      </c>
      <c r="C1348" s="75"/>
      <c r="D1348" s="76" t="str">
        <f t="shared" si="88"/>
        <v>Removed</v>
      </c>
      <c r="E1348" s="90">
        <v>44273.0</v>
      </c>
      <c r="F1348" s="105">
        <v>44725.0</v>
      </c>
      <c r="G1348" s="79">
        <f t="shared" si="2"/>
        <v>14.83333333</v>
      </c>
      <c r="H1348" s="90">
        <v>42747.0</v>
      </c>
      <c r="I1348" s="79">
        <f t="shared" si="3"/>
        <v>4.183333333</v>
      </c>
      <c r="J1348" s="106">
        <v>66.0</v>
      </c>
      <c r="K1348" s="106">
        <v>13.0</v>
      </c>
      <c r="L1348" s="82" t="s">
        <v>41</v>
      </c>
      <c r="M1348" s="82"/>
      <c r="N1348" s="82"/>
      <c r="O1348" s="82" t="s">
        <v>328</v>
      </c>
      <c r="P1348" s="107" t="s">
        <v>3073</v>
      </c>
      <c r="Q1348" s="82"/>
      <c r="R1348" s="75"/>
      <c r="S1348" s="90"/>
      <c r="T1348" s="79"/>
      <c r="U1348" s="90"/>
      <c r="V1348" s="79"/>
    </row>
    <row r="1349">
      <c r="A1349" s="53" t="s">
        <v>3074</v>
      </c>
      <c r="B1349" s="54" t="s">
        <v>13</v>
      </c>
      <c r="C1349" s="54"/>
      <c r="D1349" s="59" t="str">
        <f t="shared" si="88"/>
        <v>Removed</v>
      </c>
      <c r="E1349" s="88">
        <v>44273.0</v>
      </c>
      <c r="F1349" s="120">
        <v>44725.0</v>
      </c>
      <c r="G1349" s="65">
        <f t="shared" si="2"/>
        <v>14.83333333</v>
      </c>
      <c r="H1349" s="88">
        <v>40737.0</v>
      </c>
      <c r="I1349" s="65">
        <f t="shared" si="3"/>
        <v>9.680555556</v>
      </c>
      <c r="J1349" s="121">
        <v>79.0</v>
      </c>
      <c r="K1349" s="121">
        <v>17.0</v>
      </c>
      <c r="L1349" s="69" t="s">
        <v>46</v>
      </c>
      <c r="M1349" s="69"/>
      <c r="N1349" s="69"/>
      <c r="O1349" s="69" t="s">
        <v>3075</v>
      </c>
      <c r="P1349" s="122"/>
      <c r="Q1349" s="69"/>
      <c r="R1349" s="54"/>
      <c r="S1349" s="88"/>
      <c r="T1349" s="65"/>
      <c r="U1349" s="88"/>
      <c r="V1349" s="65"/>
    </row>
    <row r="1350">
      <c r="A1350" s="74" t="s">
        <v>3076</v>
      </c>
      <c r="B1350" s="75" t="s">
        <v>13</v>
      </c>
      <c r="C1350" s="75"/>
      <c r="D1350" s="76" t="str">
        <f t="shared" si="88"/>
        <v>Removed</v>
      </c>
      <c r="E1350" s="90">
        <v>44273.0</v>
      </c>
      <c r="F1350" s="105">
        <v>44725.0</v>
      </c>
      <c r="G1350" s="79">
        <f t="shared" si="2"/>
        <v>14.83333333</v>
      </c>
      <c r="H1350" s="90">
        <v>42459.0</v>
      </c>
      <c r="I1350" s="79">
        <f t="shared" si="3"/>
        <v>4.966666667</v>
      </c>
      <c r="J1350" s="106">
        <v>74.0</v>
      </c>
      <c r="K1350" s="106">
        <v>5.5</v>
      </c>
      <c r="L1350" s="82" t="s">
        <v>135</v>
      </c>
      <c r="M1350" s="82"/>
      <c r="N1350" s="82"/>
      <c r="O1350" s="82" t="s">
        <v>1219</v>
      </c>
      <c r="P1350" s="107" t="s">
        <v>3077</v>
      </c>
      <c r="Q1350" s="82"/>
      <c r="R1350" s="75"/>
      <c r="S1350" s="90"/>
      <c r="T1350" s="79"/>
      <c r="U1350" s="90"/>
      <c r="V1350" s="79"/>
    </row>
    <row r="1351">
      <c r="A1351" s="53" t="s">
        <v>3078</v>
      </c>
      <c r="B1351" s="54" t="s">
        <v>13</v>
      </c>
      <c r="C1351" s="54"/>
      <c r="D1351" s="59" t="str">
        <f t="shared" si="88"/>
        <v>Removed</v>
      </c>
      <c r="E1351" s="88">
        <v>44273.0</v>
      </c>
      <c r="F1351" s="120">
        <v>44725.0</v>
      </c>
      <c r="G1351" s="65">
        <f t="shared" si="2"/>
        <v>14.83333333</v>
      </c>
      <c r="H1351" s="88">
        <v>42992.0</v>
      </c>
      <c r="I1351" s="65">
        <f t="shared" si="3"/>
        <v>3.511111111</v>
      </c>
      <c r="J1351" s="208">
        <f>(70+85)/2</f>
        <v>77.5</v>
      </c>
      <c r="K1351" s="121">
        <v>2.5</v>
      </c>
      <c r="L1351" s="69" t="s">
        <v>135</v>
      </c>
      <c r="M1351" s="69"/>
      <c r="N1351" s="69"/>
      <c r="O1351" s="69" t="s">
        <v>1168</v>
      </c>
      <c r="P1351" s="122" t="s">
        <v>3079</v>
      </c>
      <c r="Q1351" s="69"/>
      <c r="R1351" s="54"/>
      <c r="S1351" s="88"/>
      <c r="T1351" s="65"/>
      <c r="U1351" s="88"/>
      <c r="V1351" s="65"/>
    </row>
    <row r="1352">
      <c r="A1352" s="74" t="s">
        <v>3080</v>
      </c>
      <c r="B1352" s="75" t="s">
        <v>13</v>
      </c>
      <c r="C1352" s="75"/>
      <c r="D1352" s="76" t="str">
        <f t="shared" si="88"/>
        <v>Removed</v>
      </c>
      <c r="E1352" s="90">
        <v>44273.0</v>
      </c>
      <c r="F1352" s="105">
        <v>44725.0</v>
      </c>
      <c r="G1352" s="79">
        <f t="shared" si="2"/>
        <v>14.83333333</v>
      </c>
      <c r="H1352" s="90">
        <v>41241.0</v>
      </c>
      <c r="I1352" s="79">
        <f t="shared" si="3"/>
        <v>8.305555556</v>
      </c>
      <c r="J1352" s="106">
        <v>80.0</v>
      </c>
      <c r="K1352" s="106">
        <v>6.0</v>
      </c>
      <c r="L1352" s="82" t="s">
        <v>57</v>
      </c>
      <c r="M1352" s="82"/>
      <c r="N1352" s="82"/>
      <c r="O1352" s="82" t="s">
        <v>328</v>
      </c>
      <c r="P1352" s="107" t="s">
        <v>3081</v>
      </c>
      <c r="Q1352" s="82"/>
      <c r="R1352" s="75"/>
      <c r="S1352" s="90"/>
      <c r="T1352" s="79"/>
      <c r="U1352" s="90"/>
      <c r="V1352" s="79"/>
    </row>
    <row r="1353">
      <c r="A1353" s="53" t="s">
        <v>3082</v>
      </c>
      <c r="B1353" s="54" t="s">
        <v>2984</v>
      </c>
      <c r="C1353" s="59"/>
      <c r="D1353" s="59" t="s">
        <v>2985</v>
      </c>
      <c r="E1353" s="133">
        <v>44697.0</v>
      </c>
      <c r="F1353" s="61">
        <v>44712.0</v>
      </c>
      <c r="G1353" s="65">
        <f t="shared" si="2"/>
        <v>0.4666666667</v>
      </c>
      <c r="H1353" s="88">
        <v>40106.0</v>
      </c>
      <c r="I1353" s="65">
        <f t="shared" si="3"/>
        <v>12.57222222</v>
      </c>
      <c r="J1353" s="121">
        <v>60.0</v>
      </c>
      <c r="K1353" s="121">
        <v>6.0</v>
      </c>
      <c r="L1353" s="69" t="s">
        <v>289</v>
      </c>
      <c r="M1353" s="69"/>
      <c r="N1353" s="69" t="s">
        <v>2761</v>
      </c>
      <c r="O1353" s="69"/>
      <c r="P1353" s="122"/>
      <c r="Q1353" s="69"/>
      <c r="R1353" s="59"/>
      <c r="S1353" s="88"/>
      <c r="T1353" s="65"/>
      <c r="U1353" s="88"/>
      <c r="V1353" s="65"/>
    </row>
    <row r="1354">
      <c r="A1354" s="74" t="s">
        <v>3083</v>
      </c>
      <c r="B1354" s="75" t="s">
        <v>2759</v>
      </c>
      <c r="C1354" s="76"/>
      <c r="D1354" s="76" t="s">
        <v>2760</v>
      </c>
      <c r="E1354" s="218">
        <v>44682.0</v>
      </c>
      <c r="F1354" s="77">
        <v>44712.0</v>
      </c>
      <c r="G1354" s="79">
        <f t="shared" si="2"/>
        <v>0.9666666667</v>
      </c>
      <c r="H1354" s="90">
        <v>43249.0</v>
      </c>
      <c r="I1354" s="79">
        <f t="shared" si="3"/>
        <v>3.922222222</v>
      </c>
      <c r="J1354" s="106">
        <v>82.0</v>
      </c>
      <c r="K1354" s="106">
        <v>6.0</v>
      </c>
      <c r="L1354" s="82" t="s">
        <v>57</v>
      </c>
      <c r="M1354" s="82"/>
      <c r="N1354" s="82"/>
      <c r="O1354" s="82"/>
      <c r="P1354" s="107"/>
      <c r="Q1354" s="82"/>
      <c r="R1354" s="76"/>
      <c r="S1354" s="90"/>
      <c r="T1354" s="79"/>
      <c r="U1354" s="90"/>
      <c r="V1354" s="79"/>
    </row>
    <row r="1355">
      <c r="A1355" s="53" t="s">
        <v>3084</v>
      </c>
      <c r="B1355" s="54" t="s">
        <v>35</v>
      </c>
      <c r="C1355" s="54" t="s">
        <v>100</v>
      </c>
      <c r="D1355" s="59" t="str">
        <f t="shared" ref="D1355:D1359" si="89">IF(E1355&gt;TODAY(),"Coming Soon",IF(F1355="","Active",IF(F1355&gt;TODAY(),"Leaving Soon","Removed")))</f>
        <v>Removed</v>
      </c>
      <c r="E1355" s="88">
        <v>44392.0</v>
      </c>
      <c r="F1355" s="120">
        <v>44712.0</v>
      </c>
      <c r="G1355" s="65">
        <f t="shared" si="2"/>
        <v>10.5</v>
      </c>
      <c r="H1355" s="88">
        <v>43424.0</v>
      </c>
      <c r="I1355" s="65">
        <f t="shared" si="3"/>
        <v>2.652777778</v>
      </c>
      <c r="J1355" s="121">
        <f>(73+77)/2</f>
        <v>75</v>
      </c>
      <c r="K1355" s="121">
        <v>159.0</v>
      </c>
      <c r="L1355" s="69" t="s">
        <v>64</v>
      </c>
      <c r="M1355" s="69"/>
      <c r="N1355" s="69"/>
      <c r="O1355" s="69" t="s">
        <v>1219</v>
      </c>
      <c r="P1355" s="122"/>
      <c r="Q1355" s="69"/>
      <c r="R1355" s="59"/>
      <c r="S1355" s="88"/>
      <c r="T1355" s="65"/>
      <c r="U1355" s="88"/>
      <c r="V1355" s="65"/>
    </row>
    <row r="1356">
      <c r="A1356" s="74" t="s">
        <v>3085</v>
      </c>
      <c r="B1356" s="75" t="s">
        <v>13</v>
      </c>
      <c r="C1356" s="75"/>
      <c r="D1356" s="76" t="str">
        <f t="shared" si="89"/>
        <v>Removed</v>
      </c>
      <c r="E1356" s="90">
        <v>44343.0</v>
      </c>
      <c r="F1356" s="105">
        <v>44712.0</v>
      </c>
      <c r="G1356" s="79">
        <f t="shared" si="2"/>
        <v>12.1</v>
      </c>
      <c r="H1356" s="90">
        <v>43613.0</v>
      </c>
      <c r="I1356" s="79">
        <f t="shared" si="3"/>
        <v>1.997222222</v>
      </c>
      <c r="J1356" s="106">
        <f>(72+78)/2</f>
        <v>75</v>
      </c>
      <c r="K1356" s="106">
        <v>21.5</v>
      </c>
      <c r="L1356" s="82" t="s">
        <v>46</v>
      </c>
      <c r="M1356" s="82"/>
      <c r="N1356" s="82"/>
      <c r="O1356" s="82" t="s">
        <v>107</v>
      </c>
      <c r="P1356" s="107" t="s">
        <v>1762</v>
      </c>
      <c r="Q1356" s="82"/>
      <c r="R1356" s="75"/>
      <c r="S1356" s="90"/>
      <c r="T1356" s="79"/>
      <c r="U1356" s="90"/>
      <c r="V1356" s="79"/>
    </row>
    <row r="1357">
      <c r="A1357" s="53" t="s">
        <v>2083</v>
      </c>
      <c r="B1357" s="54" t="s">
        <v>35</v>
      </c>
      <c r="C1357" s="54"/>
      <c r="D1357" s="59" t="str">
        <f t="shared" si="89"/>
        <v>Removed</v>
      </c>
      <c r="E1357" s="88">
        <v>44337.0</v>
      </c>
      <c r="F1357" s="120">
        <v>44712.0</v>
      </c>
      <c r="G1357" s="65">
        <f t="shared" si="2"/>
        <v>12.3</v>
      </c>
      <c r="H1357" s="88">
        <v>44337.0</v>
      </c>
      <c r="I1357" s="65">
        <f t="shared" si="3"/>
        <v>0</v>
      </c>
      <c r="J1357" s="121">
        <f>(80+82+83)/3</f>
        <v>81.66666667</v>
      </c>
      <c r="K1357" s="121">
        <v>33.5</v>
      </c>
      <c r="L1357" s="69" t="s">
        <v>62</v>
      </c>
      <c r="M1357" s="69" t="s">
        <v>326</v>
      </c>
      <c r="N1357" s="69"/>
      <c r="O1357" s="69" t="s">
        <v>1168</v>
      </c>
      <c r="P1357" s="122" t="s">
        <v>1396</v>
      </c>
      <c r="Q1357" s="69"/>
      <c r="R1357" s="59"/>
      <c r="S1357" s="88"/>
      <c r="T1357" s="65"/>
      <c r="U1357" s="88"/>
      <c r="V1357" s="65"/>
    </row>
    <row r="1358">
      <c r="A1358" s="74" t="s">
        <v>3086</v>
      </c>
      <c r="B1358" s="75" t="s">
        <v>35</v>
      </c>
      <c r="C1358" s="75" t="s">
        <v>100</v>
      </c>
      <c r="D1358" s="76" t="str">
        <f t="shared" si="89"/>
        <v>Removed</v>
      </c>
      <c r="E1358" s="77">
        <v>44168.0</v>
      </c>
      <c r="F1358" s="105">
        <v>44712.0</v>
      </c>
      <c r="G1358" s="79">
        <f t="shared" si="2"/>
        <v>17.9</v>
      </c>
      <c r="H1358" s="90">
        <v>43896.0</v>
      </c>
      <c r="I1358" s="79">
        <f t="shared" si="3"/>
        <v>0.7416666667</v>
      </c>
      <c r="J1358" s="106">
        <v>75.0</v>
      </c>
      <c r="K1358" s="106">
        <v>5.5</v>
      </c>
      <c r="L1358" s="82" t="s">
        <v>46</v>
      </c>
      <c r="M1358" s="82" t="s">
        <v>326</v>
      </c>
      <c r="N1358" s="82"/>
      <c r="O1358" s="82" t="s">
        <v>328</v>
      </c>
      <c r="P1358" s="107" t="s">
        <v>3087</v>
      </c>
      <c r="Q1358" s="82"/>
      <c r="R1358" s="76"/>
      <c r="S1358" s="90"/>
      <c r="T1358" s="79"/>
      <c r="U1358" s="90"/>
      <c r="V1358" s="79"/>
    </row>
    <row r="1359">
      <c r="A1359" s="53" t="s">
        <v>3088</v>
      </c>
      <c r="B1359" s="54" t="s">
        <v>129</v>
      </c>
      <c r="C1359" s="54"/>
      <c r="D1359" s="59" t="str">
        <f t="shared" si="89"/>
        <v>Removed</v>
      </c>
      <c r="E1359" s="88">
        <v>44145.0</v>
      </c>
      <c r="F1359" s="120">
        <v>44712.0</v>
      </c>
      <c r="G1359" s="65">
        <f t="shared" si="2"/>
        <v>18.66666667</v>
      </c>
      <c r="H1359" s="88">
        <v>43721.0</v>
      </c>
      <c r="I1359" s="65">
        <f t="shared" si="3"/>
        <v>1.158333333</v>
      </c>
      <c r="J1359" s="121">
        <v>85.0</v>
      </c>
      <c r="K1359" s="121">
        <v>44.5</v>
      </c>
      <c r="L1359" s="69" t="s">
        <v>62</v>
      </c>
      <c r="M1359" s="69"/>
      <c r="N1359" s="69"/>
      <c r="O1359" s="69" t="s">
        <v>1168</v>
      </c>
      <c r="P1359" s="122" t="s">
        <v>1793</v>
      </c>
      <c r="Q1359" s="69"/>
      <c r="R1359" s="59"/>
      <c r="S1359" s="88"/>
      <c r="T1359" s="65"/>
      <c r="U1359" s="88"/>
      <c r="V1359" s="65"/>
    </row>
    <row r="1360">
      <c r="A1360" s="74" t="s">
        <v>1656</v>
      </c>
      <c r="B1360" s="75" t="s">
        <v>2984</v>
      </c>
      <c r="C1360" s="76"/>
      <c r="D1360" s="76" t="s">
        <v>2985</v>
      </c>
      <c r="E1360" s="218">
        <v>44682.0</v>
      </c>
      <c r="F1360" s="77">
        <v>44696.0</v>
      </c>
      <c r="G1360" s="79">
        <f t="shared" si="2"/>
        <v>0.4666666667</v>
      </c>
      <c r="H1360" s="90">
        <v>41613.0</v>
      </c>
      <c r="I1360" s="79">
        <f t="shared" si="3"/>
        <v>8.405555556</v>
      </c>
      <c r="J1360" s="106">
        <v>69.0</v>
      </c>
      <c r="K1360" s="106">
        <v>5.0</v>
      </c>
      <c r="L1360" s="82" t="s">
        <v>55</v>
      </c>
      <c r="M1360" s="82"/>
      <c r="N1360" s="82" t="s">
        <v>2761</v>
      </c>
      <c r="O1360" s="82"/>
      <c r="P1360" s="107"/>
      <c r="Q1360" s="82"/>
      <c r="R1360" s="76"/>
      <c r="S1360" s="90"/>
      <c r="T1360" s="79"/>
      <c r="U1360" s="90"/>
      <c r="V1360" s="79"/>
    </row>
    <row r="1361">
      <c r="A1361" s="53" t="s">
        <v>3089</v>
      </c>
      <c r="B1361" s="54" t="s">
        <v>2759</v>
      </c>
      <c r="C1361" s="59"/>
      <c r="D1361" s="59" t="s">
        <v>2760</v>
      </c>
      <c r="E1361" s="133">
        <v>44667.0</v>
      </c>
      <c r="F1361" s="61">
        <v>44696.0</v>
      </c>
      <c r="G1361" s="65">
        <f t="shared" si="2"/>
        <v>0.9666666667</v>
      </c>
      <c r="H1361" s="88">
        <v>42124.0</v>
      </c>
      <c r="I1361" s="65">
        <f t="shared" si="3"/>
        <v>6.961111111</v>
      </c>
      <c r="J1361" s="121">
        <v>82.0</v>
      </c>
      <c r="K1361" s="121">
        <v>4.0</v>
      </c>
      <c r="L1361" s="69" t="s">
        <v>96</v>
      </c>
      <c r="M1361" s="69"/>
      <c r="N1361" s="69"/>
      <c r="O1361" s="69"/>
      <c r="P1361" s="122"/>
      <c r="Q1361" s="69"/>
      <c r="R1361" s="59"/>
      <c r="S1361" s="88"/>
      <c r="T1361" s="65"/>
      <c r="U1361" s="88"/>
      <c r="V1361" s="65"/>
    </row>
    <row r="1362">
      <c r="A1362" s="74" t="s">
        <v>3090</v>
      </c>
      <c r="B1362" s="75" t="s">
        <v>35</v>
      </c>
      <c r="C1362" s="75" t="s">
        <v>36</v>
      </c>
      <c r="D1362" s="76" t="str">
        <f t="shared" ref="D1362:D1365" si="90">IF(E1362&gt;TODAY(),"Coming Soon",IF(F1362="","Active",IF(F1362&gt;TODAY(),"Leaving Soon","Removed")))</f>
        <v>Removed</v>
      </c>
      <c r="E1362" s="90">
        <v>44336.0</v>
      </c>
      <c r="F1362" s="105">
        <v>44696.0</v>
      </c>
      <c r="G1362" s="79">
        <f t="shared" si="2"/>
        <v>11.83333333</v>
      </c>
      <c r="H1362" s="90">
        <v>44012.0</v>
      </c>
      <c r="I1362" s="79">
        <f t="shared" si="3"/>
        <v>0.8888888889</v>
      </c>
      <c r="J1362" s="106">
        <v>90.0</v>
      </c>
      <c r="K1362" s="216"/>
      <c r="L1362" s="82" t="s">
        <v>62</v>
      </c>
      <c r="M1362" s="82"/>
      <c r="N1362" s="82"/>
      <c r="O1362" s="82" t="s">
        <v>1219</v>
      </c>
      <c r="P1362" s="107"/>
      <c r="Q1362" s="82"/>
      <c r="R1362" s="76"/>
      <c r="S1362" s="90"/>
      <c r="T1362" s="79"/>
      <c r="U1362" s="90"/>
      <c r="V1362" s="79"/>
    </row>
    <row r="1363">
      <c r="A1363" s="53" t="s">
        <v>3091</v>
      </c>
      <c r="B1363" s="54" t="s">
        <v>35</v>
      </c>
      <c r="C1363" s="54" t="s">
        <v>100</v>
      </c>
      <c r="D1363" s="59" t="str">
        <f t="shared" si="90"/>
        <v>Removed</v>
      </c>
      <c r="E1363" s="88">
        <v>44336.0</v>
      </c>
      <c r="F1363" s="120">
        <v>44696.0</v>
      </c>
      <c r="G1363" s="65">
        <f t="shared" si="2"/>
        <v>11.83333333</v>
      </c>
      <c r="H1363" s="88">
        <v>44336.0</v>
      </c>
      <c r="I1363" s="65">
        <f t="shared" si="3"/>
        <v>0</v>
      </c>
      <c r="J1363" s="121">
        <v>76.0</v>
      </c>
      <c r="K1363" s="121">
        <v>11.5</v>
      </c>
      <c r="L1363" s="69" t="s">
        <v>41</v>
      </c>
      <c r="M1363" s="69" t="s">
        <v>326</v>
      </c>
      <c r="N1363" s="69"/>
      <c r="O1363" s="69" t="s">
        <v>1168</v>
      </c>
      <c r="P1363" s="122" t="s">
        <v>3092</v>
      </c>
      <c r="Q1363" s="69"/>
      <c r="R1363" s="59"/>
      <c r="S1363" s="88"/>
      <c r="T1363" s="65"/>
      <c r="U1363" s="88"/>
      <c r="V1363" s="65"/>
    </row>
    <row r="1364">
      <c r="A1364" s="74" t="s">
        <v>3093</v>
      </c>
      <c r="B1364" s="75" t="s">
        <v>35</v>
      </c>
      <c r="C1364" s="75"/>
      <c r="D1364" s="76" t="str">
        <f t="shared" si="90"/>
        <v>Removed</v>
      </c>
      <c r="E1364" s="90">
        <v>44329.0</v>
      </c>
      <c r="F1364" s="105">
        <v>44696.0</v>
      </c>
      <c r="G1364" s="79">
        <f t="shared" si="2"/>
        <v>12.06666667</v>
      </c>
      <c r="H1364" s="90">
        <v>41634.0</v>
      </c>
      <c r="I1364" s="79">
        <f t="shared" si="3"/>
        <v>7.380555556</v>
      </c>
      <c r="J1364" s="106">
        <f>(83+85)/2</f>
        <v>84</v>
      </c>
      <c r="K1364" s="106">
        <v>78.5</v>
      </c>
      <c r="L1364" s="82" t="s">
        <v>46</v>
      </c>
      <c r="M1364" s="82"/>
      <c r="N1364" s="82"/>
      <c r="O1364" s="82" t="s">
        <v>328</v>
      </c>
      <c r="P1364" s="107" t="s">
        <v>3094</v>
      </c>
      <c r="Q1364" s="82"/>
      <c r="R1364" s="76"/>
      <c r="S1364" s="90"/>
      <c r="T1364" s="79"/>
      <c r="U1364" s="90"/>
      <c r="V1364" s="79"/>
    </row>
    <row r="1365">
      <c r="A1365" s="53" t="s">
        <v>3095</v>
      </c>
      <c r="B1365" s="54" t="s">
        <v>129</v>
      </c>
      <c r="C1365" s="54" t="s">
        <v>36</v>
      </c>
      <c r="D1365" s="59" t="str">
        <f t="shared" si="90"/>
        <v>Removed</v>
      </c>
      <c r="E1365" s="88">
        <v>44511.0</v>
      </c>
      <c r="F1365" s="120">
        <v>44691.0</v>
      </c>
      <c r="G1365" s="65">
        <f t="shared" si="2"/>
        <v>5.966666667</v>
      </c>
      <c r="H1365" s="88">
        <v>44511.0</v>
      </c>
      <c r="I1365" s="65">
        <f t="shared" si="3"/>
        <v>0</v>
      </c>
      <c r="J1365" s="121">
        <f>(49+56)/2</f>
        <v>52.5</v>
      </c>
      <c r="K1365" s="121">
        <v>31.0</v>
      </c>
      <c r="L1365" s="69" t="s">
        <v>55</v>
      </c>
      <c r="M1365" s="69"/>
      <c r="N1365" s="69"/>
      <c r="O1365" s="69" t="s">
        <v>107</v>
      </c>
      <c r="P1365" s="122" t="s">
        <v>1915</v>
      </c>
      <c r="Q1365" s="69"/>
      <c r="R1365" s="59"/>
      <c r="S1365" s="88"/>
      <c r="T1365" s="65"/>
      <c r="U1365" s="88"/>
      <c r="V1365" s="65"/>
    </row>
    <row r="1366">
      <c r="A1366" s="74" t="s">
        <v>3096</v>
      </c>
      <c r="B1366" s="75" t="s">
        <v>2984</v>
      </c>
      <c r="C1366" s="76"/>
      <c r="D1366" s="76" t="s">
        <v>2985</v>
      </c>
      <c r="E1366" s="218">
        <v>44667.0</v>
      </c>
      <c r="F1366" s="77">
        <v>44681.0</v>
      </c>
      <c r="G1366" s="79">
        <f t="shared" si="2"/>
        <v>0.4666666667</v>
      </c>
      <c r="H1366" s="90">
        <v>40673.0</v>
      </c>
      <c r="I1366" s="79">
        <f t="shared" si="3"/>
        <v>10.93333333</v>
      </c>
      <c r="J1366" s="106">
        <v>63.0</v>
      </c>
      <c r="K1366" s="106">
        <v>15.0</v>
      </c>
      <c r="L1366" s="82" t="s">
        <v>55</v>
      </c>
      <c r="M1366" s="82"/>
      <c r="N1366" s="82" t="s">
        <v>2761</v>
      </c>
      <c r="O1366" s="82"/>
      <c r="P1366" s="107"/>
      <c r="Q1366" s="82"/>
      <c r="R1366" s="76"/>
      <c r="S1366" s="90"/>
      <c r="T1366" s="79"/>
      <c r="U1366" s="90"/>
      <c r="V1366" s="79"/>
    </row>
    <row r="1367">
      <c r="A1367" s="53" t="s">
        <v>3097</v>
      </c>
      <c r="B1367" s="54" t="s">
        <v>2759</v>
      </c>
      <c r="C1367" s="59"/>
      <c r="D1367" s="59" t="s">
        <v>2760</v>
      </c>
      <c r="E1367" s="133">
        <v>44652.0</v>
      </c>
      <c r="F1367" s="61">
        <v>44681.0</v>
      </c>
      <c r="G1367" s="65">
        <f t="shared" si="2"/>
        <v>0.9666666667</v>
      </c>
      <c r="H1367" s="88">
        <v>44397.0</v>
      </c>
      <c r="I1367" s="65">
        <f t="shared" si="3"/>
        <v>0.6972222222</v>
      </c>
      <c r="J1367" s="121">
        <v>69.0</v>
      </c>
      <c r="K1367" s="121">
        <v>4.0</v>
      </c>
      <c r="L1367" s="69" t="s">
        <v>135</v>
      </c>
      <c r="M1367" s="69"/>
      <c r="N1367" s="69" t="s">
        <v>2761</v>
      </c>
      <c r="O1367" s="69"/>
      <c r="P1367" s="122"/>
      <c r="Q1367" s="69"/>
      <c r="R1367" s="59"/>
      <c r="S1367" s="88"/>
      <c r="T1367" s="65"/>
      <c r="U1367" s="88"/>
      <c r="V1367" s="65"/>
    </row>
    <row r="1368">
      <c r="A1368" s="74" t="s">
        <v>3098</v>
      </c>
      <c r="B1368" s="75" t="s">
        <v>35</v>
      </c>
      <c r="C1368" s="75" t="s">
        <v>100</v>
      </c>
      <c r="D1368" s="76" t="str">
        <f t="shared" ref="D1368:D1371" si="91">IF(E1368&gt;TODAY(),"Coming Soon",IF(F1368="","Active",IF(F1368&gt;TODAY(),"Leaving Soon","Removed")))</f>
        <v>Removed</v>
      </c>
      <c r="E1368" s="90">
        <v>44322.0</v>
      </c>
      <c r="F1368" s="105">
        <v>44681.0</v>
      </c>
      <c r="G1368" s="79">
        <f t="shared" si="2"/>
        <v>11.8</v>
      </c>
      <c r="H1368" s="90">
        <v>42850.0</v>
      </c>
      <c r="I1368" s="79">
        <f t="shared" si="3"/>
        <v>4.030555556</v>
      </c>
      <c r="J1368" s="106">
        <f>(75+77)/2</f>
        <v>76</v>
      </c>
      <c r="K1368" s="106">
        <v>7.5</v>
      </c>
      <c r="L1368" s="82" t="s">
        <v>135</v>
      </c>
      <c r="M1368" s="82"/>
      <c r="N1368" s="82"/>
      <c r="O1368" s="82" t="s">
        <v>107</v>
      </c>
      <c r="P1368" s="107" t="s">
        <v>3099</v>
      </c>
      <c r="Q1368" s="82"/>
      <c r="R1368" s="76"/>
      <c r="S1368" s="90"/>
      <c r="T1368" s="79"/>
      <c r="U1368" s="90"/>
      <c r="V1368" s="79"/>
    </row>
    <row r="1369">
      <c r="A1369" s="53" t="s">
        <v>3100</v>
      </c>
      <c r="B1369" s="54" t="s">
        <v>35</v>
      </c>
      <c r="C1369" s="54" t="s">
        <v>36</v>
      </c>
      <c r="D1369" s="59" t="str">
        <f t="shared" si="91"/>
        <v>Removed</v>
      </c>
      <c r="E1369" s="88">
        <v>44126.0</v>
      </c>
      <c r="F1369" s="120">
        <v>44681.0</v>
      </c>
      <c r="G1369" s="65">
        <f t="shared" si="2"/>
        <v>18.26666667</v>
      </c>
      <c r="H1369" s="88">
        <v>43613.0</v>
      </c>
      <c r="I1369" s="65">
        <f t="shared" si="3"/>
        <v>1.4</v>
      </c>
      <c r="J1369" s="121">
        <v>73.0</v>
      </c>
      <c r="K1369" s="121">
        <v>20.0</v>
      </c>
      <c r="L1369" s="69" t="s">
        <v>62</v>
      </c>
      <c r="M1369" s="69"/>
      <c r="N1369" s="69"/>
      <c r="O1369" s="69" t="s">
        <v>1219</v>
      </c>
      <c r="P1369" s="122"/>
      <c r="Q1369" s="69"/>
      <c r="R1369" s="59"/>
      <c r="S1369" s="88"/>
      <c r="T1369" s="65"/>
      <c r="U1369" s="88"/>
      <c r="V1369" s="65"/>
    </row>
    <row r="1370">
      <c r="A1370" s="226" t="s">
        <v>2097</v>
      </c>
      <c r="B1370" s="75" t="s">
        <v>35</v>
      </c>
      <c r="C1370" s="75" t="s">
        <v>100</v>
      </c>
      <c r="D1370" s="76" t="str">
        <f t="shared" si="91"/>
        <v>Removed</v>
      </c>
      <c r="E1370" s="218">
        <v>43951.0</v>
      </c>
      <c r="F1370" s="105">
        <v>44681.0</v>
      </c>
      <c r="G1370" s="79">
        <f t="shared" si="2"/>
        <v>24</v>
      </c>
      <c r="H1370" s="90">
        <v>43951.0</v>
      </c>
      <c r="I1370" s="79">
        <f t="shared" si="3"/>
        <v>0</v>
      </c>
      <c r="J1370" s="216">
        <v>81.0</v>
      </c>
      <c r="K1370" s="106">
        <v>3.0</v>
      </c>
      <c r="L1370" s="83" t="s">
        <v>1750</v>
      </c>
      <c r="M1370" s="83"/>
      <c r="N1370" s="83"/>
      <c r="O1370" s="82" t="s">
        <v>328</v>
      </c>
      <c r="P1370" s="107" t="s">
        <v>3101</v>
      </c>
      <c r="Q1370" s="82"/>
      <c r="R1370" s="76"/>
      <c r="S1370" s="90"/>
      <c r="T1370" s="79"/>
      <c r="U1370" s="90"/>
      <c r="V1370" s="79"/>
    </row>
    <row r="1371">
      <c r="A1371" s="53" t="s">
        <v>3102</v>
      </c>
      <c r="B1371" s="54" t="s">
        <v>35</v>
      </c>
      <c r="C1371" s="54" t="s">
        <v>36</v>
      </c>
      <c r="D1371" s="59" t="str">
        <f t="shared" si="91"/>
        <v>Removed</v>
      </c>
      <c r="E1371" s="61">
        <v>44042.0</v>
      </c>
      <c r="F1371" s="120">
        <v>44669.0</v>
      </c>
      <c r="G1371" s="65">
        <f t="shared" si="2"/>
        <v>20.6</v>
      </c>
      <c r="H1371" s="88">
        <v>43644.0</v>
      </c>
      <c r="I1371" s="65">
        <f t="shared" si="3"/>
        <v>1.088888889</v>
      </c>
      <c r="J1371" s="121">
        <f>(87+89)/2</f>
        <v>88</v>
      </c>
      <c r="K1371" s="121">
        <v>15.0</v>
      </c>
      <c r="L1371" s="69" t="s">
        <v>55</v>
      </c>
      <c r="M1371" s="69"/>
      <c r="N1371" s="69" t="s">
        <v>3103</v>
      </c>
      <c r="O1371" s="69" t="s">
        <v>1219</v>
      </c>
      <c r="P1371" s="122"/>
      <c r="Q1371" s="69"/>
      <c r="R1371" s="59"/>
      <c r="S1371" s="88"/>
      <c r="T1371" s="65"/>
      <c r="U1371" s="88"/>
      <c r="V1371" s="65"/>
    </row>
    <row r="1372">
      <c r="A1372" s="74" t="s">
        <v>3104</v>
      </c>
      <c r="B1372" s="75" t="s">
        <v>2984</v>
      </c>
      <c r="C1372" s="76"/>
      <c r="D1372" s="76" t="s">
        <v>2985</v>
      </c>
      <c r="E1372" s="218">
        <v>44652.0</v>
      </c>
      <c r="F1372" s="77">
        <v>44666.0</v>
      </c>
      <c r="G1372" s="79">
        <f t="shared" si="2"/>
        <v>0.4666666667</v>
      </c>
      <c r="H1372" s="90">
        <v>41704.0</v>
      </c>
      <c r="I1372" s="79">
        <f t="shared" si="3"/>
        <v>8.069444444</v>
      </c>
      <c r="J1372" s="106">
        <v>72.0</v>
      </c>
      <c r="K1372" s="106">
        <v>6.0</v>
      </c>
      <c r="L1372" s="82" t="s">
        <v>64</v>
      </c>
      <c r="M1372" s="82"/>
      <c r="N1372" s="82" t="s">
        <v>2761</v>
      </c>
      <c r="O1372" s="82"/>
      <c r="P1372" s="107"/>
      <c r="Q1372" s="82"/>
      <c r="R1372" s="76"/>
      <c r="S1372" s="90"/>
      <c r="T1372" s="79"/>
      <c r="U1372" s="90"/>
      <c r="V1372" s="79"/>
    </row>
    <row r="1373">
      <c r="A1373" s="53" t="s">
        <v>3105</v>
      </c>
      <c r="B1373" s="54" t="s">
        <v>2759</v>
      </c>
      <c r="C1373" s="59"/>
      <c r="D1373" s="59" t="s">
        <v>2760</v>
      </c>
      <c r="E1373" s="133">
        <v>44636.0</v>
      </c>
      <c r="F1373" s="61">
        <v>44666.0</v>
      </c>
      <c r="G1373" s="65">
        <f t="shared" si="2"/>
        <v>0.9666666667</v>
      </c>
      <c r="H1373" s="88">
        <v>44113.0</v>
      </c>
      <c r="I1373" s="65">
        <f t="shared" si="3"/>
        <v>1.436111111</v>
      </c>
      <c r="J1373" s="121">
        <v>61.0</v>
      </c>
      <c r="K1373" s="121">
        <v>5.0</v>
      </c>
      <c r="L1373" s="69" t="s">
        <v>62</v>
      </c>
      <c r="M1373" s="69"/>
      <c r="N1373" s="69"/>
      <c r="O1373" s="69"/>
      <c r="P1373" s="122"/>
      <c r="Q1373" s="69"/>
      <c r="R1373" s="59"/>
      <c r="S1373" s="88"/>
      <c r="T1373" s="65"/>
      <c r="U1373" s="88"/>
      <c r="V1373" s="65"/>
    </row>
    <row r="1374">
      <c r="A1374" s="74" t="s">
        <v>3106</v>
      </c>
      <c r="B1374" s="75" t="s">
        <v>129</v>
      </c>
      <c r="C1374" s="75" t="s">
        <v>36</v>
      </c>
      <c r="D1374" s="76" t="str">
        <f t="shared" ref="D1374:D1377" si="92">IF(E1374&gt;TODAY(),"Coming Soon",IF(F1374="","Active",IF(F1374&gt;TODAY(),"Leaving Soon","Removed")))</f>
        <v>Removed</v>
      </c>
      <c r="E1374" s="90">
        <v>44306.0</v>
      </c>
      <c r="F1374" s="105">
        <v>44666.0</v>
      </c>
      <c r="G1374" s="79">
        <f t="shared" si="2"/>
        <v>11.83333333</v>
      </c>
      <c r="H1374" s="90">
        <v>44306.0</v>
      </c>
      <c r="I1374" s="79">
        <f t="shared" si="3"/>
        <v>0</v>
      </c>
      <c r="J1374" s="106">
        <v>80.0</v>
      </c>
      <c r="K1374" s="106">
        <v>80.0</v>
      </c>
      <c r="L1374" s="82" t="s">
        <v>62</v>
      </c>
      <c r="M1374" s="82" t="s">
        <v>326</v>
      </c>
      <c r="N1374" s="82"/>
      <c r="O1374" s="82" t="s">
        <v>1219</v>
      </c>
      <c r="P1374" s="107"/>
      <c r="Q1374" s="82"/>
      <c r="R1374" s="76"/>
      <c r="S1374" s="90"/>
      <c r="T1374" s="79"/>
      <c r="U1374" s="90"/>
      <c r="V1374" s="79"/>
    </row>
    <row r="1375">
      <c r="A1375" s="53" t="s">
        <v>3107</v>
      </c>
      <c r="B1375" s="54" t="s">
        <v>13</v>
      </c>
      <c r="C1375" s="54"/>
      <c r="D1375" s="59" t="str">
        <f t="shared" si="92"/>
        <v>Removed</v>
      </c>
      <c r="E1375" s="88">
        <v>44301.0</v>
      </c>
      <c r="F1375" s="120">
        <v>44666.0</v>
      </c>
      <c r="G1375" s="65">
        <f t="shared" si="2"/>
        <v>12</v>
      </c>
      <c r="H1375" s="88">
        <v>43566.0</v>
      </c>
      <c r="I1375" s="65">
        <f t="shared" si="3"/>
        <v>2.011111111</v>
      </c>
      <c r="J1375" s="121">
        <v>68.0</v>
      </c>
      <c r="K1375" s="121">
        <v>10.0</v>
      </c>
      <c r="L1375" s="69" t="s">
        <v>46</v>
      </c>
      <c r="M1375" s="69"/>
      <c r="N1375" s="69"/>
      <c r="O1375" s="69" t="s">
        <v>328</v>
      </c>
      <c r="P1375" s="122" t="s">
        <v>2659</v>
      </c>
      <c r="Q1375" s="69"/>
      <c r="R1375" s="54"/>
      <c r="S1375" s="88"/>
      <c r="T1375" s="65"/>
      <c r="U1375" s="88"/>
      <c r="V1375" s="65"/>
    </row>
    <row r="1376">
      <c r="A1376" s="74" t="s">
        <v>3108</v>
      </c>
      <c r="B1376" s="75" t="s">
        <v>35</v>
      </c>
      <c r="C1376" s="75" t="s">
        <v>100</v>
      </c>
      <c r="D1376" s="76" t="str">
        <f t="shared" si="92"/>
        <v>Removed</v>
      </c>
      <c r="E1376" s="90">
        <v>44301.0</v>
      </c>
      <c r="F1376" s="105">
        <v>44666.0</v>
      </c>
      <c r="G1376" s="79">
        <f t="shared" si="2"/>
        <v>12</v>
      </c>
      <c r="H1376" s="90">
        <v>44301.0</v>
      </c>
      <c r="I1376" s="79">
        <f t="shared" si="3"/>
        <v>0</v>
      </c>
      <c r="J1376" s="106">
        <v>78.0</v>
      </c>
      <c r="K1376" s="106">
        <v>2.5</v>
      </c>
      <c r="L1376" s="82" t="s">
        <v>135</v>
      </c>
      <c r="M1376" s="82"/>
      <c r="N1376" s="82"/>
      <c r="O1376" s="82" t="s">
        <v>1168</v>
      </c>
      <c r="P1376" s="107" t="s">
        <v>1396</v>
      </c>
      <c r="Q1376" s="82"/>
      <c r="R1376" s="76"/>
      <c r="S1376" s="90"/>
      <c r="T1376" s="79"/>
      <c r="U1376" s="90"/>
      <c r="V1376" s="79"/>
    </row>
    <row r="1377">
      <c r="A1377" s="53" t="s">
        <v>3109</v>
      </c>
      <c r="B1377" s="54" t="s">
        <v>13</v>
      </c>
      <c r="C1377" s="54"/>
      <c r="D1377" s="59" t="str">
        <f t="shared" si="92"/>
        <v>Removed</v>
      </c>
      <c r="E1377" s="88">
        <v>44096.0</v>
      </c>
      <c r="F1377" s="120">
        <v>44662.0</v>
      </c>
      <c r="G1377" s="65">
        <f t="shared" si="2"/>
        <v>18.63333333</v>
      </c>
      <c r="H1377" s="88">
        <v>42984.0</v>
      </c>
      <c r="I1377" s="65">
        <f t="shared" si="3"/>
        <v>3.044444444</v>
      </c>
      <c r="J1377" s="121">
        <v>87.0</v>
      </c>
      <c r="K1377" s="121">
        <v>12.0</v>
      </c>
      <c r="L1377" s="69" t="s">
        <v>37</v>
      </c>
      <c r="M1377" s="69" t="s">
        <v>326</v>
      </c>
      <c r="N1377" s="69" t="s">
        <v>3110</v>
      </c>
      <c r="O1377" s="69" t="s">
        <v>328</v>
      </c>
      <c r="P1377" s="122" t="s">
        <v>1914</v>
      </c>
      <c r="Q1377" s="69"/>
      <c r="R1377" s="54"/>
      <c r="S1377" s="88"/>
      <c r="T1377" s="65"/>
      <c r="U1377" s="88"/>
      <c r="V1377" s="65"/>
    </row>
    <row r="1378">
      <c r="A1378" s="74" t="s">
        <v>3111</v>
      </c>
      <c r="B1378" s="75" t="s">
        <v>2984</v>
      </c>
      <c r="C1378" s="76"/>
      <c r="D1378" s="76" t="s">
        <v>2985</v>
      </c>
      <c r="E1378" s="218">
        <v>44636.0</v>
      </c>
      <c r="F1378" s="77">
        <v>44651.0</v>
      </c>
      <c r="G1378" s="79">
        <f t="shared" si="2"/>
        <v>0.4666666667</v>
      </c>
      <c r="H1378" s="90">
        <v>38636.0</v>
      </c>
      <c r="I1378" s="79">
        <f t="shared" si="3"/>
        <v>16.43055556</v>
      </c>
      <c r="J1378" s="106">
        <v>54.0</v>
      </c>
      <c r="K1378" s="106">
        <v>5.0</v>
      </c>
      <c r="L1378" s="82" t="s">
        <v>57</v>
      </c>
      <c r="M1378" s="82"/>
      <c r="N1378" s="82" t="s">
        <v>2761</v>
      </c>
      <c r="O1378" s="82"/>
      <c r="P1378" s="107"/>
      <c r="Q1378" s="82"/>
      <c r="R1378" s="76"/>
      <c r="S1378" s="90"/>
      <c r="T1378" s="79"/>
      <c r="U1378" s="90"/>
      <c r="V1378" s="79"/>
    </row>
    <row r="1379">
      <c r="A1379" s="53" t="s">
        <v>3112</v>
      </c>
      <c r="B1379" s="54" t="s">
        <v>2759</v>
      </c>
      <c r="C1379" s="59"/>
      <c r="D1379" s="59" t="s">
        <v>2760</v>
      </c>
      <c r="E1379" s="133">
        <v>44621.0</v>
      </c>
      <c r="F1379" s="61">
        <v>44651.0</v>
      </c>
      <c r="G1379" s="65">
        <f t="shared" si="2"/>
        <v>0.9666666667</v>
      </c>
      <c r="H1379" s="88">
        <v>42483.0</v>
      </c>
      <c r="I1379" s="65">
        <f t="shared" si="3"/>
        <v>5.855555556</v>
      </c>
      <c r="J1379" s="121">
        <v>79.0</v>
      </c>
      <c r="K1379" s="121">
        <v>8.0</v>
      </c>
      <c r="L1379" s="69" t="s">
        <v>112</v>
      </c>
      <c r="M1379" s="69"/>
      <c r="N1379" s="69"/>
      <c r="O1379" s="69"/>
      <c r="P1379" s="122"/>
      <c r="Q1379" s="69"/>
      <c r="R1379" s="59"/>
      <c r="S1379" s="88"/>
      <c r="T1379" s="65"/>
      <c r="U1379" s="88"/>
      <c r="V1379" s="65"/>
    </row>
    <row r="1380">
      <c r="A1380" s="74" t="s">
        <v>3113</v>
      </c>
      <c r="B1380" s="75" t="s">
        <v>35</v>
      </c>
      <c r="C1380" s="75" t="s">
        <v>100</v>
      </c>
      <c r="D1380" s="76" t="str">
        <f t="shared" ref="D1380:D1385" si="93">IF(E1380&gt;TODAY(),"Coming Soon",IF(F1380="","Active",IF(F1380&gt;TODAY(),"Leaving Soon","Removed")))</f>
        <v>Removed</v>
      </c>
      <c r="E1380" s="90">
        <v>44285.0</v>
      </c>
      <c r="F1380" s="105">
        <v>44651.0</v>
      </c>
      <c r="G1380" s="79">
        <f t="shared" si="2"/>
        <v>12</v>
      </c>
      <c r="H1380" s="90">
        <v>44285.0</v>
      </c>
      <c r="I1380" s="79">
        <f t="shared" si="3"/>
        <v>0</v>
      </c>
      <c r="J1380" s="106">
        <v>73.0</v>
      </c>
      <c r="K1380" s="106">
        <v>7.0</v>
      </c>
      <c r="L1380" s="82" t="s">
        <v>57</v>
      </c>
      <c r="M1380" s="82"/>
      <c r="N1380" s="82"/>
      <c r="O1380" s="82" t="s">
        <v>328</v>
      </c>
      <c r="P1380" s="107" t="s">
        <v>3114</v>
      </c>
      <c r="Q1380" s="82"/>
      <c r="R1380" s="76"/>
      <c r="S1380" s="90"/>
      <c r="T1380" s="79"/>
      <c r="U1380" s="90"/>
      <c r="V1380" s="79"/>
    </row>
    <row r="1381">
      <c r="A1381" s="53" t="s">
        <v>3115</v>
      </c>
      <c r="B1381" s="54" t="s">
        <v>35</v>
      </c>
      <c r="C1381" s="54" t="s">
        <v>36</v>
      </c>
      <c r="D1381" s="59" t="str">
        <f t="shared" si="93"/>
        <v>Removed</v>
      </c>
      <c r="E1381" s="88">
        <v>44145.0</v>
      </c>
      <c r="F1381" s="120">
        <v>44651.0</v>
      </c>
      <c r="G1381" s="65">
        <f t="shared" si="2"/>
        <v>16.66666667</v>
      </c>
      <c r="H1381" s="88">
        <v>43676.0</v>
      </c>
      <c r="I1381" s="65">
        <f t="shared" si="3"/>
        <v>1.277777778</v>
      </c>
      <c r="J1381" s="121">
        <v>79.0</v>
      </c>
      <c r="K1381" s="121">
        <v>53.5</v>
      </c>
      <c r="L1381" s="69" t="s">
        <v>62</v>
      </c>
      <c r="M1381" s="69"/>
      <c r="N1381" s="69"/>
      <c r="O1381" s="69" t="s">
        <v>1219</v>
      </c>
      <c r="P1381" s="122" t="s">
        <v>2350</v>
      </c>
      <c r="Q1381" s="69"/>
      <c r="R1381" s="59"/>
      <c r="S1381" s="88"/>
      <c r="T1381" s="65"/>
      <c r="U1381" s="88"/>
      <c r="V1381" s="65"/>
    </row>
    <row r="1382">
      <c r="A1382" s="226" t="s">
        <v>3116</v>
      </c>
      <c r="B1382" s="75" t="s">
        <v>35</v>
      </c>
      <c r="C1382" s="75" t="s">
        <v>36</v>
      </c>
      <c r="D1382" s="76" t="str">
        <f t="shared" si="93"/>
        <v>Removed</v>
      </c>
      <c r="E1382" s="218">
        <v>43454.0</v>
      </c>
      <c r="F1382" s="105">
        <v>44651.0</v>
      </c>
      <c r="G1382" s="79">
        <f t="shared" si="2"/>
        <v>39.33333333</v>
      </c>
      <c r="H1382" s="90">
        <v>42656.0</v>
      </c>
      <c r="I1382" s="79">
        <f t="shared" si="3"/>
        <v>2.186111111</v>
      </c>
      <c r="J1382" s="216">
        <v>78.0</v>
      </c>
      <c r="K1382" s="106">
        <v>7.5</v>
      </c>
      <c r="L1382" s="82" t="s">
        <v>37</v>
      </c>
      <c r="M1382" s="82" t="s">
        <v>1826</v>
      </c>
      <c r="N1382" s="83"/>
      <c r="O1382" s="82" t="s">
        <v>107</v>
      </c>
      <c r="P1382" s="107" t="s">
        <v>3117</v>
      </c>
      <c r="Q1382" s="82" t="s">
        <v>1827</v>
      </c>
      <c r="R1382" s="76"/>
      <c r="S1382" s="90"/>
      <c r="T1382" s="79"/>
      <c r="U1382" s="90"/>
      <c r="V1382" s="79"/>
    </row>
    <row r="1383">
      <c r="A1383" s="53" t="s">
        <v>3118</v>
      </c>
      <c r="B1383" s="54" t="s">
        <v>13</v>
      </c>
      <c r="C1383" s="54"/>
      <c r="D1383" s="59" t="str">
        <f t="shared" si="93"/>
        <v>Removed</v>
      </c>
      <c r="E1383" s="88">
        <v>44273.0</v>
      </c>
      <c r="F1383" s="120">
        <v>44648.0</v>
      </c>
      <c r="G1383" s="65">
        <f t="shared" si="2"/>
        <v>12.33333333</v>
      </c>
      <c r="H1383" s="88">
        <v>42647.0</v>
      </c>
      <c r="I1383" s="65">
        <f t="shared" si="3"/>
        <v>4.455555556</v>
      </c>
      <c r="J1383" s="121">
        <v>71.0</v>
      </c>
      <c r="K1383" s="121">
        <v>6.5</v>
      </c>
      <c r="L1383" s="69" t="s">
        <v>105</v>
      </c>
      <c r="M1383" s="69"/>
      <c r="N1383" s="69"/>
      <c r="O1383" s="69" t="s">
        <v>107</v>
      </c>
      <c r="P1383" s="122" t="s">
        <v>1491</v>
      </c>
      <c r="Q1383" s="69"/>
      <c r="R1383" s="54"/>
      <c r="S1383" s="88"/>
      <c r="T1383" s="65"/>
      <c r="U1383" s="88"/>
      <c r="V1383" s="65"/>
    </row>
    <row r="1384">
      <c r="A1384" s="74" t="s">
        <v>3119</v>
      </c>
      <c r="B1384" s="75" t="s">
        <v>13</v>
      </c>
      <c r="C1384" s="75"/>
      <c r="D1384" s="76" t="str">
        <f t="shared" si="93"/>
        <v>Removed</v>
      </c>
      <c r="E1384" s="90">
        <v>44273.0</v>
      </c>
      <c r="F1384" s="105">
        <v>44648.0</v>
      </c>
      <c r="G1384" s="79">
        <f t="shared" si="2"/>
        <v>12.33333333</v>
      </c>
      <c r="H1384" s="90">
        <v>43124.0</v>
      </c>
      <c r="I1384" s="79">
        <f t="shared" si="3"/>
        <v>3.15</v>
      </c>
      <c r="J1384" s="216">
        <f>(60+70)/2</f>
        <v>65</v>
      </c>
      <c r="K1384" s="106">
        <v>12.0</v>
      </c>
      <c r="L1384" s="82" t="s">
        <v>46</v>
      </c>
      <c r="M1384" s="82"/>
      <c r="N1384" s="82"/>
      <c r="O1384" s="268" t="s">
        <v>1168</v>
      </c>
      <c r="P1384" s="107" t="s">
        <v>3120</v>
      </c>
      <c r="Q1384" s="268"/>
      <c r="R1384" s="75"/>
      <c r="S1384" s="90"/>
      <c r="T1384" s="79"/>
      <c r="U1384" s="90"/>
      <c r="V1384" s="79"/>
    </row>
    <row r="1385">
      <c r="A1385" s="53" t="s">
        <v>3121</v>
      </c>
      <c r="B1385" s="54" t="s">
        <v>13</v>
      </c>
      <c r="C1385" s="54"/>
      <c r="D1385" s="59" t="str">
        <f t="shared" si="93"/>
        <v>Removed</v>
      </c>
      <c r="E1385" s="88">
        <v>44273.0</v>
      </c>
      <c r="F1385" s="120">
        <v>44648.0</v>
      </c>
      <c r="G1385" s="65">
        <f t="shared" si="2"/>
        <v>12.33333333</v>
      </c>
      <c r="H1385" s="88">
        <v>42836.0</v>
      </c>
      <c r="I1385" s="65">
        <f t="shared" si="3"/>
        <v>3.936111111</v>
      </c>
      <c r="J1385" s="121">
        <v>83.0</v>
      </c>
      <c r="K1385" s="121">
        <v>6.0</v>
      </c>
      <c r="L1385" s="69" t="s">
        <v>135</v>
      </c>
      <c r="M1385" s="69"/>
      <c r="N1385" s="69"/>
      <c r="O1385" s="69" t="s">
        <v>328</v>
      </c>
      <c r="P1385" s="122" t="s">
        <v>3122</v>
      </c>
      <c r="Q1385" s="69"/>
      <c r="R1385" s="54"/>
      <c r="S1385" s="88"/>
      <c r="T1385" s="65"/>
      <c r="U1385" s="88"/>
      <c r="V1385" s="65"/>
    </row>
    <row r="1386">
      <c r="A1386" s="74" t="s">
        <v>3123</v>
      </c>
      <c r="B1386" s="75" t="s">
        <v>2984</v>
      </c>
      <c r="C1386" s="76"/>
      <c r="D1386" s="76" t="s">
        <v>2985</v>
      </c>
      <c r="E1386" s="218">
        <v>44621.0</v>
      </c>
      <c r="F1386" s="77">
        <v>44635.0</v>
      </c>
      <c r="G1386" s="79">
        <f t="shared" si="2"/>
        <v>0.4666666667</v>
      </c>
      <c r="H1386" s="90">
        <v>39570.0</v>
      </c>
      <c r="I1386" s="79">
        <f t="shared" si="3"/>
        <v>13.83055556</v>
      </c>
      <c r="J1386" s="106">
        <v>72.0</v>
      </c>
      <c r="K1386" s="106">
        <v>38.0</v>
      </c>
      <c r="L1386" s="82" t="s">
        <v>46</v>
      </c>
      <c r="M1386" s="82"/>
      <c r="N1386" s="82" t="s">
        <v>2761</v>
      </c>
      <c r="O1386" s="82"/>
      <c r="P1386" s="107"/>
      <c r="Q1386" s="82"/>
      <c r="R1386" s="76"/>
      <c r="S1386" s="90"/>
      <c r="T1386" s="79"/>
      <c r="U1386" s="90"/>
      <c r="V1386" s="79"/>
    </row>
    <row r="1387">
      <c r="A1387" s="53" t="s">
        <v>3124</v>
      </c>
      <c r="B1387" s="54" t="s">
        <v>2759</v>
      </c>
      <c r="C1387" s="59"/>
      <c r="D1387" s="59" t="s">
        <v>2760</v>
      </c>
      <c r="E1387" s="133">
        <v>44608.0</v>
      </c>
      <c r="F1387" s="61">
        <v>44635.0</v>
      </c>
      <c r="G1387" s="65">
        <f t="shared" si="2"/>
        <v>0.9666666667</v>
      </c>
      <c r="H1387" s="88">
        <v>44005.0</v>
      </c>
      <c r="I1387" s="65">
        <f t="shared" si="3"/>
        <v>1.647222222</v>
      </c>
      <c r="J1387" s="121">
        <v>70.0</v>
      </c>
      <c r="K1387" s="121">
        <v>3.0</v>
      </c>
      <c r="L1387" s="69" t="s">
        <v>135</v>
      </c>
      <c r="M1387" s="69" t="s">
        <v>72</v>
      </c>
      <c r="N1387" s="69" t="s">
        <v>2761</v>
      </c>
      <c r="O1387" s="69"/>
      <c r="P1387" s="122"/>
      <c r="Q1387" s="69"/>
      <c r="R1387" s="59"/>
      <c r="S1387" s="88"/>
      <c r="T1387" s="65"/>
      <c r="U1387" s="88"/>
      <c r="V1387" s="65"/>
    </row>
    <row r="1388">
      <c r="A1388" s="74" t="s">
        <v>3125</v>
      </c>
      <c r="B1388" s="75" t="s">
        <v>35</v>
      </c>
      <c r="C1388" s="75" t="s">
        <v>100</v>
      </c>
      <c r="D1388" s="76" t="str">
        <f t="shared" ref="D1388:D1392" si="94">IF(E1388&gt;TODAY(),"Coming Soon",IF(F1388="","Active",IF(F1388&gt;TODAY(),"Leaving Soon","Removed")))</f>
        <v>Removed</v>
      </c>
      <c r="E1388" s="90">
        <v>44210.0</v>
      </c>
      <c r="F1388" s="105">
        <v>44635.0</v>
      </c>
      <c r="G1388" s="79">
        <f t="shared" si="2"/>
        <v>14.03333333</v>
      </c>
      <c r="H1388" s="90">
        <v>43995.0</v>
      </c>
      <c r="I1388" s="79">
        <f t="shared" si="3"/>
        <v>0.5861111111</v>
      </c>
      <c r="J1388" s="106">
        <f>(65+68)/2</f>
        <v>66.5</v>
      </c>
      <c r="K1388" s="106">
        <v>15.5</v>
      </c>
      <c r="L1388" s="82" t="s">
        <v>46</v>
      </c>
      <c r="M1388" s="82"/>
      <c r="N1388" s="82"/>
      <c r="O1388" s="82" t="s">
        <v>328</v>
      </c>
      <c r="P1388" s="107" t="s">
        <v>2659</v>
      </c>
      <c r="Q1388" s="82"/>
      <c r="R1388" s="76"/>
      <c r="S1388" s="90"/>
      <c r="T1388" s="79"/>
      <c r="U1388" s="90"/>
      <c r="V1388" s="79"/>
    </row>
    <row r="1389">
      <c r="A1389" s="53" t="s">
        <v>3126</v>
      </c>
      <c r="B1389" s="54" t="s">
        <v>35</v>
      </c>
      <c r="C1389" s="54" t="s">
        <v>36</v>
      </c>
      <c r="D1389" s="59" t="str">
        <f t="shared" si="94"/>
        <v>Removed</v>
      </c>
      <c r="E1389" s="61">
        <v>44168.0</v>
      </c>
      <c r="F1389" s="120">
        <v>44635.0</v>
      </c>
      <c r="G1389" s="65">
        <f t="shared" si="2"/>
        <v>15.4</v>
      </c>
      <c r="H1389" s="88">
        <v>44168.0</v>
      </c>
      <c r="I1389" s="65">
        <f t="shared" si="3"/>
        <v>0</v>
      </c>
      <c r="J1389" s="121">
        <v>81.0</v>
      </c>
      <c r="K1389" s="121">
        <v>7.5</v>
      </c>
      <c r="L1389" s="69" t="s">
        <v>96</v>
      </c>
      <c r="M1389" s="69"/>
      <c r="N1389" s="69"/>
      <c r="O1389" s="69" t="s">
        <v>1219</v>
      </c>
      <c r="P1389" s="122" t="s">
        <v>1918</v>
      </c>
      <c r="Q1389" s="69"/>
      <c r="R1389" s="59"/>
      <c r="S1389" s="88"/>
      <c r="T1389" s="65"/>
      <c r="U1389" s="88"/>
      <c r="V1389" s="65"/>
    </row>
    <row r="1390">
      <c r="A1390" s="74" t="s">
        <v>3127</v>
      </c>
      <c r="B1390" s="75" t="s">
        <v>35</v>
      </c>
      <c r="C1390" s="75" t="s">
        <v>100</v>
      </c>
      <c r="D1390" s="76" t="str">
        <f t="shared" si="94"/>
        <v>Removed</v>
      </c>
      <c r="E1390" s="218">
        <v>43923.0</v>
      </c>
      <c r="F1390" s="105">
        <v>44635.0</v>
      </c>
      <c r="G1390" s="79">
        <f t="shared" si="2"/>
        <v>23.43333333</v>
      </c>
      <c r="H1390" s="90">
        <v>42789.0</v>
      </c>
      <c r="I1390" s="79">
        <f t="shared" si="3"/>
        <v>3.108333333</v>
      </c>
      <c r="J1390" s="216">
        <v>90.0</v>
      </c>
      <c r="K1390" s="106">
        <v>20.5</v>
      </c>
      <c r="L1390" s="82" t="s">
        <v>46</v>
      </c>
      <c r="M1390" s="83"/>
      <c r="N1390" s="82" t="s">
        <v>3128</v>
      </c>
      <c r="O1390" s="82" t="s">
        <v>107</v>
      </c>
      <c r="P1390" s="107" t="s">
        <v>1842</v>
      </c>
      <c r="Q1390" s="82"/>
      <c r="R1390" s="76"/>
      <c r="S1390" s="90"/>
      <c r="T1390" s="79"/>
      <c r="U1390" s="90"/>
      <c r="V1390" s="79"/>
    </row>
    <row r="1391">
      <c r="A1391" s="207" t="s">
        <v>3129</v>
      </c>
      <c r="B1391" s="54" t="s">
        <v>35</v>
      </c>
      <c r="C1391" s="54" t="s">
        <v>36</v>
      </c>
      <c r="D1391" s="59" t="str">
        <f t="shared" si="94"/>
        <v>Removed</v>
      </c>
      <c r="E1391" s="133">
        <v>43909.0</v>
      </c>
      <c r="F1391" s="120">
        <v>44635.0</v>
      </c>
      <c r="G1391" s="65">
        <f t="shared" si="2"/>
        <v>23.86666667</v>
      </c>
      <c r="H1391" s="88">
        <v>43732.0</v>
      </c>
      <c r="I1391" s="65">
        <f t="shared" si="3"/>
        <v>0.4861111111</v>
      </c>
      <c r="J1391" s="208">
        <v>78.0</v>
      </c>
      <c r="K1391" s="121">
        <v>21.5</v>
      </c>
      <c r="L1391" s="69" t="s">
        <v>46</v>
      </c>
      <c r="M1391" s="91"/>
      <c r="N1391" s="91"/>
      <c r="O1391" s="69" t="s">
        <v>107</v>
      </c>
      <c r="P1391" s="122" t="s">
        <v>1998</v>
      </c>
      <c r="Q1391" s="69"/>
      <c r="R1391" s="59"/>
      <c r="S1391" s="88"/>
      <c r="T1391" s="65"/>
      <c r="U1391" s="88"/>
      <c r="V1391" s="65"/>
    </row>
    <row r="1392">
      <c r="A1392" s="74" t="s">
        <v>3130</v>
      </c>
      <c r="B1392" s="75" t="s">
        <v>35</v>
      </c>
      <c r="C1392" s="75"/>
      <c r="D1392" s="76" t="str">
        <f t="shared" si="94"/>
        <v>Removed</v>
      </c>
      <c r="E1392" s="90">
        <v>44145.0</v>
      </c>
      <c r="F1392" s="105">
        <v>44621.0</v>
      </c>
      <c r="G1392" s="79">
        <f t="shared" si="2"/>
        <v>15.7</v>
      </c>
      <c r="H1392" s="90">
        <v>41709.0</v>
      </c>
      <c r="I1392" s="79">
        <f t="shared" si="3"/>
        <v>6.663888889</v>
      </c>
      <c r="J1392" s="106">
        <v>83.0</v>
      </c>
      <c r="K1392" s="106">
        <v>12.0</v>
      </c>
      <c r="L1392" s="82" t="s">
        <v>37</v>
      </c>
      <c r="M1392" s="82" t="s">
        <v>1826</v>
      </c>
      <c r="N1392" s="82" t="s">
        <v>1829</v>
      </c>
      <c r="O1392" s="82" t="s">
        <v>107</v>
      </c>
      <c r="P1392" s="107" t="s">
        <v>2375</v>
      </c>
      <c r="Q1392" s="82" t="s">
        <v>1827</v>
      </c>
      <c r="R1392" s="76"/>
      <c r="S1392" s="90"/>
      <c r="T1392" s="79"/>
      <c r="U1392" s="90"/>
      <c r="V1392" s="79"/>
    </row>
    <row r="1393">
      <c r="A1393" s="53" t="s">
        <v>3131</v>
      </c>
      <c r="B1393" s="54" t="s">
        <v>2984</v>
      </c>
      <c r="C1393" s="59"/>
      <c r="D1393" s="59" t="s">
        <v>2985</v>
      </c>
      <c r="E1393" s="133">
        <v>44608.0</v>
      </c>
      <c r="F1393" s="61">
        <v>44620.0</v>
      </c>
      <c r="G1393" s="65">
        <f t="shared" si="2"/>
        <v>0.4</v>
      </c>
      <c r="H1393" s="88">
        <v>40666.0</v>
      </c>
      <c r="I1393" s="65">
        <f t="shared" si="3"/>
        <v>10.78611111</v>
      </c>
      <c r="J1393" s="121">
        <v>68.0</v>
      </c>
      <c r="K1393" s="121">
        <v>7.0</v>
      </c>
      <c r="L1393" s="69" t="s">
        <v>81</v>
      </c>
      <c r="M1393" s="69"/>
      <c r="N1393" s="69" t="s">
        <v>2761</v>
      </c>
      <c r="O1393" s="69"/>
      <c r="P1393" s="122"/>
      <c r="Q1393" s="69"/>
      <c r="R1393" s="59"/>
      <c r="S1393" s="88"/>
      <c r="T1393" s="65"/>
      <c r="U1393" s="88"/>
      <c r="V1393" s="65"/>
    </row>
    <row r="1394">
      <c r="A1394" s="74" t="s">
        <v>3132</v>
      </c>
      <c r="B1394" s="75" t="s">
        <v>2759</v>
      </c>
      <c r="C1394" s="76"/>
      <c r="D1394" s="76" t="s">
        <v>2760</v>
      </c>
      <c r="E1394" s="218">
        <v>44593.0</v>
      </c>
      <c r="F1394" s="77">
        <v>44620.0</v>
      </c>
      <c r="G1394" s="79">
        <f t="shared" si="2"/>
        <v>0.9</v>
      </c>
      <c r="H1394" s="90">
        <v>41753.0</v>
      </c>
      <c r="I1394" s="79">
        <f t="shared" si="3"/>
        <v>7.769444444</v>
      </c>
      <c r="J1394" s="106">
        <v>73.0</v>
      </c>
      <c r="K1394" s="106">
        <v>13.0</v>
      </c>
      <c r="L1394" s="82" t="s">
        <v>135</v>
      </c>
      <c r="M1394" s="82"/>
      <c r="N1394" s="82"/>
      <c r="O1394" s="82"/>
      <c r="P1394" s="107"/>
      <c r="Q1394" s="82"/>
      <c r="R1394" s="76"/>
      <c r="S1394" s="90"/>
      <c r="T1394" s="79"/>
      <c r="U1394" s="90"/>
      <c r="V1394" s="79"/>
    </row>
    <row r="1395">
      <c r="A1395" s="53" t="s">
        <v>3133</v>
      </c>
      <c r="B1395" s="54" t="s">
        <v>129</v>
      </c>
      <c r="C1395" s="54" t="s">
        <v>100</v>
      </c>
      <c r="D1395" s="59" t="str">
        <f t="shared" ref="D1395:D1398" si="95">IF(E1395&gt;TODAY(),"Coming Soon",IF(F1395="","Active",IF(F1395&gt;TODAY(),"Leaving Soon","Removed")))</f>
        <v>Removed</v>
      </c>
      <c r="E1395" s="88">
        <v>44250.0</v>
      </c>
      <c r="F1395" s="120">
        <v>44620.0</v>
      </c>
      <c r="G1395" s="65">
        <f t="shared" si="2"/>
        <v>12.16666667</v>
      </c>
      <c r="H1395" s="88">
        <v>43749.0</v>
      </c>
      <c r="I1395" s="65">
        <f t="shared" si="3"/>
        <v>1.366666667</v>
      </c>
      <c r="J1395" s="121">
        <v>83.0</v>
      </c>
      <c r="K1395" s="121">
        <v>9.0</v>
      </c>
      <c r="L1395" s="69" t="s">
        <v>57</v>
      </c>
      <c r="M1395" s="69"/>
      <c r="N1395" s="69"/>
      <c r="O1395" s="69" t="s">
        <v>1168</v>
      </c>
      <c r="P1395" s="122" t="s">
        <v>1396</v>
      </c>
      <c r="Q1395" s="69"/>
      <c r="R1395" s="59"/>
      <c r="S1395" s="88"/>
      <c r="T1395" s="65"/>
      <c r="U1395" s="88"/>
      <c r="V1395" s="65"/>
    </row>
    <row r="1396">
      <c r="A1396" s="74" t="s">
        <v>3134</v>
      </c>
      <c r="B1396" s="75" t="s">
        <v>35</v>
      </c>
      <c r="C1396" s="75" t="s">
        <v>100</v>
      </c>
      <c r="D1396" s="76" t="str">
        <f t="shared" si="95"/>
        <v>Removed</v>
      </c>
      <c r="E1396" s="77">
        <v>44077.0</v>
      </c>
      <c r="F1396" s="105">
        <v>44620.0</v>
      </c>
      <c r="G1396" s="79">
        <f t="shared" si="2"/>
        <v>17.83333333</v>
      </c>
      <c r="H1396" s="77">
        <v>43522.0</v>
      </c>
      <c r="I1396" s="79">
        <f t="shared" si="3"/>
        <v>1.519444444</v>
      </c>
      <c r="J1396" s="106">
        <v>77.0</v>
      </c>
      <c r="K1396" s="106">
        <v>5.0</v>
      </c>
      <c r="L1396" s="82" t="s">
        <v>105</v>
      </c>
      <c r="M1396" s="82"/>
      <c r="N1396" s="82"/>
      <c r="O1396" s="82" t="s">
        <v>328</v>
      </c>
      <c r="P1396" s="107" t="s">
        <v>2659</v>
      </c>
      <c r="Q1396" s="82"/>
      <c r="R1396" s="76"/>
      <c r="S1396" s="90"/>
      <c r="T1396" s="79"/>
      <c r="U1396" s="90"/>
      <c r="V1396" s="79"/>
    </row>
    <row r="1397">
      <c r="A1397" s="207" t="s">
        <v>3135</v>
      </c>
      <c r="B1397" s="54" t="s">
        <v>129</v>
      </c>
      <c r="C1397" s="59"/>
      <c r="D1397" s="59" t="str">
        <f t="shared" si="95"/>
        <v>Removed</v>
      </c>
      <c r="E1397" s="133">
        <v>43886.0</v>
      </c>
      <c r="F1397" s="120">
        <v>44620.0</v>
      </c>
      <c r="G1397" s="65">
        <f t="shared" si="2"/>
        <v>24.1</v>
      </c>
      <c r="H1397" s="88">
        <v>43490.0</v>
      </c>
      <c r="I1397" s="65">
        <f t="shared" si="3"/>
        <v>1.083333333</v>
      </c>
      <c r="J1397" s="208">
        <v>80.0</v>
      </c>
      <c r="K1397" s="121">
        <v>29.0</v>
      </c>
      <c r="L1397" s="69" t="s">
        <v>46</v>
      </c>
      <c r="M1397" s="91"/>
      <c r="N1397" s="91"/>
      <c r="O1397" s="69" t="s">
        <v>1168</v>
      </c>
      <c r="P1397" s="122" t="s">
        <v>2394</v>
      </c>
      <c r="Q1397" s="91"/>
      <c r="R1397" s="59"/>
      <c r="S1397" s="88"/>
      <c r="T1397" s="65"/>
      <c r="U1397" s="88"/>
      <c r="V1397" s="65"/>
    </row>
    <row r="1398">
      <c r="A1398" s="226" t="s">
        <v>3136</v>
      </c>
      <c r="B1398" s="75" t="s">
        <v>129</v>
      </c>
      <c r="C1398" s="75" t="s">
        <v>36</v>
      </c>
      <c r="D1398" s="76" t="str">
        <f t="shared" si="95"/>
        <v>Removed</v>
      </c>
      <c r="E1398" s="218">
        <v>43625.0</v>
      </c>
      <c r="F1398" s="105">
        <v>44620.0</v>
      </c>
      <c r="G1398" s="79">
        <f t="shared" si="2"/>
        <v>32.63333333</v>
      </c>
      <c r="H1398" s="90">
        <v>41942.0</v>
      </c>
      <c r="I1398" s="79">
        <f t="shared" si="3"/>
        <v>4.608333333</v>
      </c>
      <c r="J1398" s="216">
        <v>77.0</v>
      </c>
      <c r="K1398" s="106">
        <v>9.0</v>
      </c>
      <c r="L1398" s="82" t="s">
        <v>57</v>
      </c>
      <c r="M1398" s="83"/>
      <c r="N1398" s="83"/>
      <c r="O1398" s="82" t="s">
        <v>328</v>
      </c>
      <c r="P1398" s="107" t="s">
        <v>1491</v>
      </c>
      <c r="Q1398" s="82"/>
      <c r="R1398" s="76"/>
      <c r="S1398" s="90"/>
      <c r="T1398" s="79"/>
      <c r="U1398" s="90"/>
      <c r="V1398" s="79"/>
    </row>
    <row r="1399">
      <c r="A1399" s="53" t="s">
        <v>3137</v>
      </c>
      <c r="B1399" s="54" t="s">
        <v>2984</v>
      </c>
      <c r="C1399" s="59"/>
      <c r="D1399" s="59" t="s">
        <v>2985</v>
      </c>
      <c r="E1399" s="133">
        <v>44593.0</v>
      </c>
      <c r="F1399" s="61">
        <v>44607.0</v>
      </c>
      <c r="G1399" s="65">
        <f t="shared" si="2"/>
        <v>0.4666666667</v>
      </c>
      <c r="H1399" s="88">
        <v>40260.0</v>
      </c>
      <c r="I1399" s="65">
        <f t="shared" si="3"/>
        <v>11.85555556</v>
      </c>
      <c r="J1399" s="121">
        <v>63.0</v>
      </c>
      <c r="K1399" s="121">
        <v>5.0</v>
      </c>
      <c r="L1399" s="69" t="s">
        <v>41</v>
      </c>
      <c r="M1399" s="69"/>
      <c r="N1399" s="69" t="s">
        <v>2761</v>
      </c>
      <c r="O1399" s="69"/>
      <c r="P1399" s="122"/>
      <c r="Q1399" s="69"/>
      <c r="R1399" s="59"/>
      <c r="S1399" s="88"/>
      <c r="T1399" s="65"/>
      <c r="U1399" s="88"/>
      <c r="V1399" s="65"/>
    </row>
    <row r="1400">
      <c r="A1400" s="74" t="s">
        <v>3138</v>
      </c>
      <c r="B1400" s="75" t="s">
        <v>2759</v>
      </c>
      <c r="C1400" s="76"/>
      <c r="D1400" s="76" t="s">
        <v>2760</v>
      </c>
      <c r="E1400" s="218">
        <v>44577.0</v>
      </c>
      <c r="F1400" s="77">
        <v>44607.0</v>
      </c>
      <c r="G1400" s="79">
        <f t="shared" si="2"/>
        <v>0.9666666667</v>
      </c>
      <c r="H1400" s="90">
        <v>43319.0</v>
      </c>
      <c r="I1400" s="79">
        <f t="shared" si="3"/>
        <v>3.441666667</v>
      </c>
      <c r="J1400" s="106">
        <v>72.0</v>
      </c>
      <c r="K1400" s="106">
        <v>18.0</v>
      </c>
      <c r="L1400" s="82" t="s">
        <v>78</v>
      </c>
      <c r="M1400" s="82"/>
      <c r="N1400" s="82"/>
      <c r="O1400" s="82"/>
      <c r="P1400" s="107"/>
      <c r="Q1400" s="82"/>
      <c r="R1400" s="76"/>
      <c r="S1400" s="90"/>
      <c r="T1400" s="79"/>
      <c r="U1400" s="90"/>
      <c r="V1400" s="79"/>
    </row>
    <row r="1401">
      <c r="A1401" s="53" t="s">
        <v>3139</v>
      </c>
      <c r="B1401" s="54" t="s">
        <v>35</v>
      </c>
      <c r="C1401" s="54"/>
      <c r="D1401" s="59" t="str">
        <f t="shared" ref="D1401:D1407" si="96">IF(E1401&gt;TODAY(),"Coming Soon",IF(F1401="","Active",IF(F1401&gt;TODAY(),"Leaving Soon","Removed")))</f>
        <v>Removed</v>
      </c>
      <c r="E1401" s="88">
        <v>44238.0</v>
      </c>
      <c r="F1401" s="120">
        <v>44607.0</v>
      </c>
      <c r="G1401" s="65">
        <f t="shared" si="2"/>
        <v>12.13333333</v>
      </c>
      <c r="H1401" s="88">
        <v>42927.0</v>
      </c>
      <c r="I1401" s="65">
        <f t="shared" si="3"/>
        <v>3.583333333</v>
      </c>
      <c r="J1401" s="121">
        <f>(80+83)/2</f>
        <v>81.5</v>
      </c>
      <c r="K1401" s="121">
        <v>40.5</v>
      </c>
      <c r="L1401" s="69" t="s">
        <v>46</v>
      </c>
      <c r="M1401" s="69"/>
      <c r="N1401" s="69"/>
      <c r="O1401" s="69" t="s">
        <v>328</v>
      </c>
      <c r="P1401" s="122" t="s">
        <v>3140</v>
      </c>
      <c r="Q1401" s="69"/>
      <c r="R1401" s="59"/>
      <c r="S1401" s="88"/>
      <c r="T1401" s="65"/>
      <c r="U1401" s="88"/>
      <c r="V1401" s="65"/>
    </row>
    <row r="1402">
      <c r="A1402" s="74" t="s">
        <v>2098</v>
      </c>
      <c r="B1402" s="75" t="s">
        <v>35</v>
      </c>
      <c r="C1402" s="75" t="s">
        <v>100</v>
      </c>
      <c r="D1402" s="76" t="str">
        <f t="shared" si="96"/>
        <v>Removed</v>
      </c>
      <c r="E1402" s="90">
        <v>44231.0</v>
      </c>
      <c r="F1402" s="105">
        <v>44607.0</v>
      </c>
      <c r="G1402" s="79">
        <f t="shared" si="2"/>
        <v>12.36666667</v>
      </c>
      <c r="H1402" s="90">
        <v>43503.0</v>
      </c>
      <c r="I1402" s="79">
        <f t="shared" si="3"/>
        <v>1.991666667</v>
      </c>
      <c r="J1402" s="106">
        <v>75.0</v>
      </c>
      <c r="K1402" s="106">
        <v>9.5</v>
      </c>
      <c r="L1402" s="82" t="s">
        <v>81</v>
      </c>
      <c r="M1402" s="82"/>
      <c r="N1402" s="82"/>
      <c r="O1402" s="82" t="s">
        <v>328</v>
      </c>
      <c r="P1402" s="107" t="s">
        <v>3141</v>
      </c>
      <c r="Q1402" s="82"/>
      <c r="R1402" s="76"/>
      <c r="S1402" s="90"/>
      <c r="T1402" s="79"/>
      <c r="U1402" s="90"/>
      <c r="V1402" s="79"/>
    </row>
    <row r="1403">
      <c r="A1403" s="53" t="s">
        <v>3142</v>
      </c>
      <c r="B1403" s="54" t="s">
        <v>35</v>
      </c>
      <c r="C1403" s="54" t="s">
        <v>36</v>
      </c>
      <c r="D1403" s="59" t="str">
        <f t="shared" si="96"/>
        <v>Removed</v>
      </c>
      <c r="E1403" s="88">
        <v>44231.0</v>
      </c>
      <c r="F1403" s="120">
        <v>44607.0</v>
      </c>
      <c r="G1403" s="65">
        <f t="shared" si="2"/>
        <v>12.36666667</v>
      </c>
      <c r="H1403" s="88">
        <v>44145.0</v>
      </c>
      <c r="I1403" s="65">
        <f t="shared" si="3"/>
        <v>0.2333333333</v>
      </c>
      <c r="J1403" s="121">
        <f>(62+67)/2</f>
        <v>64.5</v>
      </c>
      <c r="K1403" s="121">
        <v>10.0</v>
      </c>
      <c r="L1403" s="69" t="s">
        <v>41</v>
      </c>
      <c r="M1403" s="69" t="s">
        <v>326</v>
      </c>
      <c r="N1403" s="69"/>
      <c r="O1403" s="69" t="s">
        <v>328</v>
      </c>
      <c r="P1403" s="122" t="s">
        <v>1493</v>
      </c>
      <c r="Q1403" s="69"/>
      <c r="R1403" s="59"/>
      <c r="S1403" s="88"/>
      <c r="T1403" s="65"/>
      <c r="U1403" s="88"/>
      <c r="V1403" s="65"/>
    </row>
    <row r="1404">
      <c r="A1404" s="74" t="s">
        <v>3143</v>
      </c>
      <c r="B1404" s="75" t="s">
        <v>35</v>
      </c>
      <c r="C1404" s="75" t="s">
        <v>100</v>
      </c>
      <c r="D1404" s="76" t="str">
        <f t="shared" si="96"/>
        <v>Removed</v>
      </c>
      <c r="E1404" s="90">
        <v>44224.0</v>
      </c>
      <c r="F1404" s="105">
        <v>44607.0</v>
      </c>
      <c r="G1404" s="79">
        <f t="shared" si="2"/>
        <v>12.56666667</v>
      </c>
      <c r="H1404" s="90">
        <v>44224.0</v>
      </c>
      <c r="I1404" s="79">
        <f t="shared" si="3"/>
        <v>0</v>
      </c>
      <c r="J1404" s="106">
        <f>(71+76)/2</f>
        <v>73.5</v>
      </c>
      <c r="K1404" s="106">
        <v>7.5</v>
      </c>
      <c r="L1404" s="82" t="s">
        <v>135</v>
      </c>
      <c r="M1404" s="82" t="s">
        <v>38</v>
      </c>
      <c r="N1404" s="82"/>
      <c r="O1404" s="82" t="s">
        <v>107</v>
      </c>
      <c r="P1404" s="107" t="s">
        <v>1280</v>
      </c>
      <c r="Q1404" s="82"/>
      <c r="R1404" s="76"/>
      <c r="S1404" s="90"/>
      <c r="T1404" s="79"/>
      <c r="U1404" s="90"/>
      <c r="V1404" s="79"/>
    </row>
    <row r="1405">
      <c r="A1405" s="53" t="s">
        <v>3144</v>
      </c>
      <c r="B1405" s="54" t="s">
        <v>35</v>
      </c>
      <c r="C1405" s="54" t="s">
        <v>36</v>
      </c>
      <c r="D1405" s="59" t="str">
        <f t="shared" si="96"/>
        <v>Removed</v>
      </c>
      <c r="E1405" s="88">
        <v>44182.0</v>
      </c>
      <c r="F1405" s="120">
        <v>44607.0</v>
      </c>
      <c r="G1405" s="65">
        <f t="shared" si="2"/>
        <v>13.93333333</v>
      </c>
      <c r="H1405" s="88">
        <v>43734.0</v>
      </c>
      <c r="I1405" s="65">
        <f t="shared" si="3"/>
        <v>1.225</v>
      </c>
      <c r="J1405" s="121">
        <v>75.0</v>
      </c>
      <c r="K1405" s="121">
        <v>25.0</v>
      </c>
      <c r="L1405" s="69" t="s">
        <v>46</v>
      </c>
      <c r="M1405" s="69"/>
      <c r="N1405" s="69"/>
      <c r="O1405" s="69" t="s">
        <v>107</v>
      </c>
      <c r="P1405" s="122" t="s">
        <v>2523</v>
      </c>
      <c r="Q1405" s="69"/>
      <c r="R1405" s="59"/>
      <c r="S1405" s="88"/>
      <c r="T1405" s="65"/>
      <c r="U1405" s="88"/>
      <c r="V1405" s="65"/>
    </row>
    <row r="1406">
      <c r="A1406" s="74" t="s">
        <v>3145</v>
      </c>
      <c r="B1406" s="75" t="s">
        <v>35</v>
      </c>
      <c r="C1406" s="75" t="s">
        <v>36</v>
      </c>
      <c r="D1406" s="76" t="str">
        <f t="shared" si="96"/>
        <v>Removed</v>
      </c>
      <c r="E1406" s="90">
        <v>44168.0</v>
      </c>
      <c r="F1406" s="105">
        <v>44607.0</v>
      </c>
      <c r="G1406" s="79">
        <f t="shared" si="2"/>
        <v>14.4</v>
      </c>
      <c r="H1406" s="90">
        <v>43704.0</v>
      </c>
      <c r="I1406" s="79">
        <f t="shared" si="3"/>
        <v>1.266666667</v>
      </c>
      <c r="J1406" s="106">
        <v>84.0</v>
      </c>
      <c r="K1406" s="106">
        <v>11.5</v>
      </c>
      <c r="L1406" s="82" t="s">
        <v>37</v>
      </c>
      <c r="M1406" s="82"/>
      <c r="N1406" s="82"/>
      <c r="O1406" s="82" t="s">
        <v>107</v>
      </c>
      <c r="P1406" s="107" t="s">
        <v>1280</v>
      </c>
      <c r="Q1406" s="82"/>
      <c r="R1406" s="76"/>
      <c r="S1406" s="90"/>
      <c r="T1406" s="79"/>
      <c r="U1406" s="90"/>
      <c r="V1406" s="79"/>
    </row>
    <row r="1407">
      <c r="A1407" s="53" t="s">
        <v>3146</v>
      </c>
      <c r="B1407" s="54" t="s">
        <v>13</v>
      </c>
      <c r="C1407" s="54"/>
      <c r="D1407" s="59" t="str">
        <f t="shared" si="96"/>
        <v>Removed</v>
      </c>
      <c r="E1407" s="88">
        <v>44273.0</v>
      </c>
      <c r="F1407" s="120">
        <v>44602.0</v>
      </c>
      <c r="G1407" s="65">
        <f t="shared" si="2"/>
        <v>10.73333333</v>
      </c>
      <c r="H1407" s="88">
        <v>42556.0</v>
      </c>
      <c r="I1407" s="65">
        <f t="shared" si="3"/>
        <v>4.702777778</v>
      </c>
      <c r="J1407" s="121">
        <v>76.0</v>
      </c>
      <c r="K1407" s="121">
        <v>5.5</v>
      </c>
      <c r="L1407" s="69" t="s">
        <v>37</v>
      </c>
      <c r="M1407" s="69"/>
      <c r="N1407" s="69"/>
      <c r="O1407" s="69" t="s">
        <v>107</v>
      </c>
      <c r="P1407" s="122" t="s">
        <v>3147</v>
      </c>
      <c r="Q1407" s="69"/>
      <c r="R1407" s="54"/>
      <c r="S1407" s="88"/>
      <c r="T1407" s="65"/>
      <c r="U1407" s="88"/>
      <c r="V1407" s="65"/>
    </row>
    <row r="1408">
      <c r="A1408" s="74" t="s">
        <v>3148</v>
      </c>
      <c r="B1408" s="75" t="s">
        <v>2984</v>
      </c>
      <c r="C1408" s="76"/>
      <c r="D1408" s="76" t="s">
        <v>2985</v>
      </c>
      <c r="E1408" s="218">
        <v>44577.0</v>
      </c>
      <c r="F1408" s="77">
        <v>44592.0</v>
      </c>
      <c r="G1408" s="79">
        <f t="shared" si="2"/>
        <v>0.4666666667</v>
      </c>
      <c r="H1408" s="90">
        <v>39881.0</v>
      </c>
      <c r="I1408" s="79">
        <f t="shared" si="3"/>
        <v>12.85277778</v>
      </c>
      <c r="J1408" s="106">
        <v>70.0</v>
      </c>
      <c r="K1408" s="106">
        <v>5.0</v>
      </c>
      <c r="L1408" s="82" t="s">
        <v>37</v>
      </c>
      <c r="M1408" s="82"/>
      <c r="N1408" s="82" t="s">
        <v>2761</v>
      </c>
      <c r="O1408" s="82"/>
      <c r="P1408" s="107"/>
      <c r="Q1408" s="82"/>
      <c r="R1408" s="76"/>
      <c r="S1408" s="90"/>
      <c r="T1408" s="79"/>
      <c r="U1408" s="90"/>
      <c r="V1408" s="79"/>
    </row>
    <row r="1409">
      <c r="A1409" s="53" t="s">
        <v>3149</v>
      </c>
      <c r="B1409" s="54" t="s">
        <v>2759</v>
      </c>
      <c r="C1409" s="59"/>
      <c r="D1409" s="59" t="s">
        <v>2760</v>
      </c>
      <c r="E1409" s="133">
        <v>44562.0</v>
      </c>
      <c r="F1409" s="61">
        <v>44592.0</v>
      </c>
      <c r="G1409" s="65">
        <f t="shared" si="2"/>
        <v>0.9666666667</v>
      </c>
      <c r="H1409" s="88">
        <v>42894.0</v>
      </c>
      <c r="I1409" s="65">
        <f t="shared" si="3"/>
        <v>4.563888889</v>
      </c>
      <c r="J1409" s="121">
        <v>71.0</v>
      </c>
      <c r="K1409" s="121">
        <v>4.0</v>
      </c>
      <c r="L1409" s="69" t="s">
        <v>37</v>
      </c>
      <c r="M1409" s="69"/>
      <c r="N1409" s="69"/>
      <c r="O1409" s="69"/>
      <c r="P1409" s="122"/>
      <c r="Q1409" s="69"/>
      <c r="R1409" s="59"/>
      <c r="S1409" s="88"/>
      <c r="T1409" s="65"/>
      <c r="U1409" s="88"/>
      <c r="V1409" s="65"/>
    </row>
    <row r="1410">
      <c r="A1410" s="74" t="s">
        <v>3150</v>
      </c>
      <c r="B1410" s="75" t="s">
        <v>13</v>
      </c>
      <c r="C1410" s="75"/>
      <c r="D1410" s="76" t="str">
        <f t="shared" ref="D1410:D1418" si="97">IF(E1410&gt;TODAY(),"Coming Soon",IF(F1410="","Active",IF(F1410&gt;TODAY(),"Leaving Soon","Removed")))</f>
        <v>Removed</v>
      </c>
      <c r="E1410" s="90">
        <v>44224.0</v>
      </c>
      <c r="F1410" s="105">
        <v>44592.0</v>
      </c>
      <c r="G1410" s="79">
        <f t="shared" si="2"/>
        <v>12.06666667</v>
      </c>
      <c r="H1410" s="90">
        <v>42283.0</v>
      </c>
      <c r="I1410" s="79">
        <f t="shared" si="3"/>
        <v>5.311111111</v>
      </c>
      <c r="J1410" s="106">
        <v>83.0</v>
      </c>
      <c r="K1410" s="106">
        <v>15.5</v>
      </c>
      <c r="L1410" s="82" t="s">
        <v>64</v>
      </c>
      <c r="M1410" s="82"/>
      <c r="N1410" s="82"/>
      <c r="O1410" s="82" t="s">
        <v>107</v>
      </c>
      <c r="P1410" s="107" t="s">
        <v>3151</v>
      </c>
      <c r="Q1410" s="82"/>
      <c r="R1410" s="75"/>
      <c r="S1410" s="90"/>
      <c r="T1410" s="79"/>
      <c r="U1410" s="90"/>
      <c r="V1410" s="79"/>
    </row>
    <row r="1411">
      <c r="A1411" s="53" t="s">
        <v>3152</v>
      </c>
      <c r="B1411" s="54" t="s">
        <v>35</v>
      </c>
      <c r="C1411" s="54" t="s">
        <v>36</v>
      </c>
      <c r="D1411" s="59" t="str">
        <f t="shared" si="97"/>
        <v>Removed</v>
      </c>
      <c r="E1411" s="88">
        <v>44222.0</v>
      </c>
      <c r="F1411" s="120">
        <v>44592.0</v>
      </c>
      <c r="G1411" s="65">
        <f t="shared" si="2"/>
        <v>12.13333333</v>
      </c>
      <c r="H1411" s="88">
        <v>44222.0</v>
      </c>
      <c r="I1411" s="65">
        <f t="shared" si="3"/>
        <v>0</v>
      </c>
      <c r="J1411" s="121">
        <f>(82+83)/2</f>
        <v>82.5</v>
      </c>
      <c r="K1411" s="121">
        <v>7.5</v>
      </c>
      <c r="L1411" s="69" t="s">
        <v>57</v>
      </c>
      <c r="M1411" s="69"/>
      <c r="N1411" s="69"/>
      <c r="O1411" s="69" t="s">
        <v>1168</v>
      </c>
      <c r="P1411" s="122" t="s">
        <v>1519</v>
      </c>
      <c r="Q1411" s="69"/>
      <c r="R1411" s="59"/>
      <c r="S1411" s="88"/>
      <c r="T1411" s="65"/>
      <c r="U1411" s="88"/>
      <c r="V1411" s="65"/>
    </row>
    <row r="1412">
      <c r="A1412" s="74" t="s">
        <v>3153</v>
      </c>
      <c r="B1412" s="75" t="s">
        <v>35</v>
      </c>
      <c r="C1412" s="75" t="s">
        <v>100</v>
      </c>
      <c r="D1412" s="76" t="str">
        <f t="shared" si="97"/>
        <v>Removed</v>
      </c>
      <c r="E1412" s="77">
        <v>44049.0</v>
      </c>
      <c r="F1412" s="105">
        <v>44592.0</v>
      </c>
      <c r="G1412" s="79">
        <f t="shared" si="2"/>
        <v>17.8</v>
      </c>
      <c r="H1412" s="90">
        <v>43766.0</v>
      </c>
      <c r="I1412" s="79">
        <f t="shared" si="3"/>
        <v>0.7722222222</v>
      </c>
      <c r="J1412" s="106">
        <v>74.0</v>
      </c>
      <c r="K1412" s="106">
        <v>5.0</v>
      </c>
      <c r="L1412" s="82" t="s">
        <v>37</v>
      </c>
      <c r="M1412" s="82"/>
      <c r="N1412" s="82"/>
      <c r="O1412" s="82" t="s">
        <v>328</v>
      </c>
      <c r="P1412" s="107" t="s">
        <v>1491</v>
      </c>
      <c r="Q1412" s="82"/>
      <c r="R1412" s="76"/>
      <c r="S1412" s="90"/>
      <c r="T1412" s="79"/>
      <c r="U1412" s="90"/>
      <c r="V1412" s="79"/>
    </row>
    <row r="1413">
      <c r="A1413" s="53" t="s">
        <v>3154</v>
      </c>
      <c r="B1413" s="54" t="s">
        <v>35</v>
      </c>
      <c r="C1413" s="54" t="s">
        <v>100</v>
      </c>
      <c r="D1413" s="59" t="str">
        <f t="shared" si="97"/>
        <v>Removed</v>
      </c>
      <c r="E1413" s="61">
        <v>44041.0</v>
      </c>
      <c r="F1413" s="120">
        <v>44592.0</v>
      </c>
      <c r="G1413" s="65">
        <f t="shared" si="2"/>
        <v>18.03333333</v>
      </c>
      <c r="H1413" s="88">
        <v>43018.0</v>
      </c>
      <c r="I1413" s="65">
        <f t="shared" si="3"/>
        <v>2.802777778</v>
      </c>
      <c r="J1413" s="121">
        <v>73.0</v>
      </c>
      <c r="K1413" s="121">
        <v>12.0</v>
      </c>
      <c r="L1413" s="69" t="s">
        <v>81</v>
      </c>
      <c r="M1413" s="69"/>
      <c r="N1413" s="69"/>
      <c r="O1413" s="69" t="s">
        <v>328</v>
      </c>
      <c r="P1413" s="122" t="s">
        <v>3155</v>
      </c>
      <c r="Q1413" s="69"/>
      <c r="R1413" s="59"/>
      <c r="S1413" s="88"/>
      <c r="T1413" s="65"/>
      <c r="U1413" s="88"/>
      <c r="V1413" s="65"/>
    </row>
    <row r="1414">
      <c r="A1414" s="74" t="s">
        <v>3156</v>
      </c>
      <c r="B1414" s="75" t="s">
        <v>13</v>
      </c>
      <c r="C1414" s="75"/>
      <c r="D1414" s="76" t="str">
        <f t="shared" si="97"/>
        <v>Removed</v>
      </c>
      <c r="E1414" s="90">
        <v>44273.0</v>
      </c>
      <c r="F1414" s="105">
        <v>44578.0</v>
      </c>
      <c r="G1414" s="79">
        <f t="shared" si="2"/>
        <v>9.966666667</v>
      </c>
      <c r="H1414" s="90">
        <v>43124.0</v>
      </c>
      <c r="I1414" s="79">
        <f t="shared" si="3"/>
        <v>3.15</v>
      </c>
      <c r="J1414" s="106">
        <v>67.0</v>
      </c>
      <c r="K1414" s="106">
        <v>43.5</v>
      </c>
      <c r="L1414" s="82" t="s">
        <v>46</v>
      </c>
      <c r="M1414" s="82"/>
      <c r="N1414" s="82"/>
      <c r="O1414" s="82"/>
      <c r="P1414" s="107"/>
      <c r="Q1414" s="82"/>
      <c r="R1414" s="75"/>
      <c r="S1414" s="90"/>
      <c r="T1414" s="79"/>
      <c r="U1414" s="90"/>
      <c r="V1414" s="79"/>
    </row>
    <row r="1415">
      <c r="A1415" s="53" t="s">
        <v>3157</v>
      </c>
      <c r="B1415" s="54" t="s">
        <v>13</v>
      </c>
      <c r="C1415" s="54"/>
      <c r="D1415" s="59" t="str">
        <f t="shared" si="97"/>
        <v>Removed</v>
      </c>
      <c r="E1415" s="88">
        <v>44273.0</v>
      </c>
      <c r="F1415" s="120">
        <v>44578.0</v>
      </c>
      <c r="G1415" s="65">
        <f t="shared" si="2"/>
        <v>9.966666667</v>
      </c>
      <c r="H1415" s="88">
        <v>41957.0</v>
      </c>
      <c r="I1415" s="65">
        <f t="shared" si="3"/>
        <v>6.344444444</v>
      </c>
      <c r="J1415" s="121">
        <v>83.0</v>
      </c>
      <c r="K1415" s="121">
        <v>10.5</v>
      </c>
      <c r="L1415" s="69" t="s">
        <v>64</v>
      </c>
      <c r="M1415" s="69"/>
      <c r="N1415" s="69"/>
      <c r="O1415" s="69" t="s">
        <v>107</v>
      </c>
      <c r="P1415" s="122" t="s">
        <v>2407</v>
      </c>
      <c r="Q1415" s="69"/>
      <c r="R1415" s="54"/>
      <c r="S1415" s="88"/>
      <c r="T1415" s="65"/>
      <c r="U1415" s="88"/>
      <c r="V1415" s="65"/>
    </row>
    <row r="1416">
      <c r="A1416" s="74" t="s">
        <v>3158</v>
      </c>
      <c r="B1416" s="75" t="s">
        <v>13</v>
      </c>
      <c r="C1416" s="75"/>
      <c r="D1416" s="76" t="str">
        <f t="shared" si="97"/>
        <v>Removed</v>
      </c>
      <c r="E1416" s="90">
        <v>44273.0</v>
      </c>
      <c r="F1416" s="105">
        <v>44578.0</v>
      </c>
      <c r="G1416" s="79">
        <f t="shared" si="2"/>
        <v>9.966666667</v>
      </c>
      <c r="H1416" s="90">
        <v>41172.0</v>
      </c>
      <c r="I1416" s="79">
        <f t="shared" si="3"/>
        <v>8.494444444</v>
      </c>
      <c r="J1416" s="106">
        <v>88.0</v>
      </c>
      <c r="K1416" s="106">
        <v>20.5</v>
      </c>
      <c r="L1416" s="82" t="s">
        <v>46</v>
      </c>
      <c r="M1416" s="82"/>
      <c r="N1416" s="82"/>
      <c r="O1416" s="82"/>
      <c r="P1416" s="107"/>
      <c r="Q1416" s="82"/>
      <c r="R1416" s="75"/>
      <c r="S1416" s="90"/>
      <c r="T1416" s="79"/>
      <c r="U1416" s="90"/>
      <c r="V1416" s="79"/>
    </row>
    <row r="1417">
      <c r="A1417" s="53" t="s">
        <v>3159</v>
      </c>
      <c r="B1417" s="54" t="s">
        <v>13</v>
      </c>
      <c r="C1417" s="54"/>
      <c r="D1417" s="59" t="str">
        <f t="shared" si="97"/>
        <v>Removed</v>
      </c>
      <c r="E1417" s="88">
        <v>44273.0</v>
      </c>
      <c r="F1417" s="120">
        <v>44578.0</v>
      </c>
      <c r="G1417" s="65">
        <f t="shared" si="2"/>
        <v>9.966666667</v>
      </c>
      <c r="H1417" s="88">
        <v>40884.0</v>
      </c>
      <c r="I1417" s="65">
        <f t="shared" si="3"/>
        <v>9.280555556</v>
      </c>
      <c r="J1417" s="121">
        <v>84.0</v>
      </c>
      <c r="K1417" s="121">
        <v>9.0</v>
      </c>
      <c r="L1417" s="69" t="s">
        <v>57</v>
      </c>
      <c r="M1417" s="69"/>
      <c r="N1417" s="69"/>
      <c r="O1417" s="69"/>
      <c r="P1417" s="122"/>
      <c r="Q1417" s="69"/>
      <c r="R1417" s="54"/>
      <c r="S1417" s="88"/>
      <c r="T1417" s="65"/>
      <c r="U1417" s="88"/>
      <c r="V1417" s="65"/>
    </row>
    <row r="1418">
      <c r="A1418" s="74" t="s">
        <v>3160</v>
      </c>
      <c r="B1418" s="75" t="s">
        <v>13</v>
      </c>
      <c r="C1418" s="75"/>
      <c r="D1418" s="76" t="str">
        <f t="shared" si="97"/>
        <v>Removed</v>
      </c>
      <c r="E1418" s="90">
        <v>44273.0</v>
      </c>
      <c r="F1418" s="105">
        <v>44578.0</v>
      </c>
      <c r="G1418" s="79">
        <f t="shared" si="2"/>
        <v>9.966666667</v>
      </c>
      <c r="H1418" s="90">
        <v>43070.0</v>
      </c>
      <c r="I1418" s="79">
        <f t="shared" si="3"/>
        <v>3.297222222</v>
      </c>
      <c r="J1418" s="106">
        <v>80.0</v>
      </c>
      <c r="K1418" s="106">
        <v>4.5</v>
      </c>
      <c r="L1418" s="82" t="s">
        <v>46</v>
      </c>
      <c r="M1418" s="82"/>
      <c r="N1418" s="82"/>
      <c r="O1418" s="82"/>
      <c r="P1418" s="107"/>
      <c r="Q1418" s="82"/>
      <c r="R1418" s="75"/>
      <c r="S1418" s="90"/>
      <c r="T1418" s="79"/>
      <c r="U1418" s="90"/>
      <c r="V1418" s="79"/>
    </row>
    <row r="1419">
      <c r="A1419" s="53" t="s">
        <v>3161</v>
      </c>
      <c r="B1419" s="54" t="s">
        <v>2984</v>
      </c>
      <c r="C1419" s="59"/>
      <c r="D1419" s="59" t="s">
        <v>2985</v>
      </c>
      <c r="E1419" s="133">
        <v>44562.0</v>
      </c>
      <c r="F1419" s="61">
        <v>44576.0</v>
      </c>
      <c r="G1419" s="65">
        <f t="shared" si="2"/>
        <v>0.4666666667</v>
      </c>
      <c r="H1419" s="88">
        <v>41720.0</v>
      </c>
      <c r="I1419" s="65">
        <f t="shared" si="3"/>
        <v>7.775</v>
      </c>
      <c r="J1419" s="121">
        <v>84.0</v>
      </c>
      <c r="K1419" s="121">
        <v>3.0</v>
      </c>
      <c r="L1419" s="69" t="s">
        <v>37</v>
      </c>
      <c r="M1419" s="69"/>
      <c r="N1419" s="69" t="s">
        <v>2761</v>
      </c>
      <c r="O1419" s="69"/>
      <c r="P1419" s="122"/>
      <c r="Q1419" s="69"/>
      <c r="R1419" s="59"/>
      <c r="S1419" s="88"/>
      <c r="T1419" s="65"/>
      <c r="U1419" s="88"/>
      <c r="V1419" s="65"/>
    </row>
    <row r="1420">
      <c r="A1420" s="74" t="s">
        <v>3162</v>
      </c>
      <c r="B1420" s="75" t="s">
        <v>2759</v>
      </c>
      <c r="C1420" s="76"/>
      <c r="D1420" s="76" t="s">
        <v>2760</v>
      </c>
      <c r="E1420" s="218">
        <v>44546.0</v>
      </c>
      <c r="F1420" s="77">
        <v>44576.0</v>
      </c>
      <c r="G1420" s="79">
        <f t="shared" si="2"/>
        <v>0.9666666667</v>
      </c>
      <c r="H1420" s="90">
        <v>42068.0</v>
      </c>
      <c r="I1420" s="79">
        <f t="shared" si="3"/>
        <v>6.780555556</v>
      </c>
      <c r="J1420" s="106">
        <v>75.0</v>
      </c>
      <c r="K1420" s="106">
        <v>27.0</v>
      </c>
      <c r="L1420" s="82" t="s">
        <v>81</v>
      </c>
      <c r="M1420" s="82"/>
      <c r="N1420" s="82"/>
      <c r="O1420" s="82"/>
      <c r="P1420" s="107"/>
      <c r="Q1420" s="82"/>
      <c r="R1420" s="76"/>
      <c r="S1420" s="90"/>
      <c r="T1420" s="79"/>
      <c r="U1420" s="90"/>
      <c r="V1420" s="79"/>
    </row>
    <row r="1421">
      <c r="A1421" s="53" t="s">
        <v>3163</v>
      </c>
      <c r="B1421" s="54" t="s">
        <v>13</v>
      </c>
      <c r="C1421" s="54"/>
      <c r="D1421" s="59" t="str">
        <f t="shared" ref="D1421:D1426" si="98">IF(E1421&gt;TODAY(),"Coming Soon",IF(F1421="","Active",IF(F1421&gt;TODAY(),"Leaving Soon","Removed")))</f>
        <v>Removed</v>
      </c>
      <c r="E1421" s="88">
        <v>44231.0</v>
      </c>
      <c r="F1421" s="120">
        <v>44576.0</v>
      </c>
      <c r="G1421" s="65">
        <f t="shared" si="2"/>
        <v>11.36666667</v>
      </c>
      <c r="H1421" s="88">
        <v>43172.0</v>
      </c>
      <c r="I1421" s="65">
        <f t="shared" si="3"/>
        <v>2.891666667</v>
      </c>
      <c r="J1421" s="121">
        <v>75.0</v>
      </c>
      <c r="K1421" s="121">
        <v>10.5</v>
      </c>
      <c r="L1421" s="69" t="s">
        <v>46</v>
      </c>
      <c r="M1421" s="69"/>
      <c r="N1421" s="69"/>
      <c r="O1421" s="69"/>
      <c r="P1421" s="122"/>
      <c r="Q1421" s="69"/>
      <c r="R1421" s="54"/>
      <c r="S1421" s="88"/>
      <c r="T1421" s="65"/>
      <c r="U1421" s="88"/>
      <c r="V1421" s="65"/>
    </row>
    <row r="1422">
      <c r="A1422" s="74" t="s">
        <v>3164</v>
      </c>
      <c r="B1422" s="75" t="s">
        <v>35</v>
      </c>
      <c r="C1422" s="75" t="s">
        <v>100</v>
      </c>
      <c r="D1422" s="76" t="str">
        <f t="shared" si="98"/>
        <v>Removed</v>
      </c>
      <c r="E1422" s="90">
        <v>44217.0</v>
      </c>
      <c r="F1422" s="105">
        <v>44576.0</v>
      </c>
      <c r="G1422" s="79">
        <f t="shared" si="2"/>
        <v>11.8</v>
      </c>
      <c r="H1422" s="90">
        <v>43998.0</v>
      </c>
      <c r="I1422" s="79">
        <f t="shared" si="3"/>
        <v>0.5972222222</v>
      </c>
      <c r="J1422" s="106">
        <f>(85+86)/2</f>
        <v>85.5</v>
      </c>
      <c r="K1422" s="106">
        <v>26.5</v>
      </c>
      <c r="L1422" s="82" t="s">
        <v>81</v>
      </c>
      <c r="M1422" s="82" t="s">
        <v>326</v>
      </c>
      <c r="N1422" s="82"/>
      <c r="O1422" s="82"/>
      <c r="P1422" s="107"/>
      <c r="Q1422" s="82"/>
      <c r="R1422" s="76"/>
      <c r="S1422" s="90"/>
      <c r="T1422" s="79"/>
      <c r="U1422" s="90"/>
      <c r="V1422" s="79"/>
    </row>
    <row r="1423">
      <c r="A1423" s="53" t="s">
        <v>3165</v>
      </c>
      <c r="B1423" s="54" t="s">
        <v>13</v>
      </c>
      <c r="C1423" s="54"/>
      <c r="D1423" s="59" t="str">
        <f t="shared" si="98"/>
        <v>Removed</v>
      </c>
      <c r="E1423" s="88">
        <v>44210.0</v>
      </c>
      <c r="F1423" s="120">
        <v>44576.0</v>
      </c>
      <c r="G1423" s="65">
        <f t="shared" si="2"/>
        <v>12.03333333</v>
      </c>
      <c r="H1423" s="88">
        <v>43482.0</v>
      </c>
      <c r="I1423" s="65">
        <f t="shared" si="3"/>
        <v>1.991666667</v>
      </c>
      <c r="J1423" s="121">
        <v>64.0</v>
      </c>
      <c r="K1423" s="121">
        <v>56.0</v>
      </c>
      <c r="L1423" s="69" t="s">
        <v>46</v>
      </c>
      <c r="M1423" s="69"/>
      <c r="N1423" s="69"/>
      <c r="O1423" s="69"/>
      <c r="P1423" s="122"/>
      <c r="Q1423" s="69"/>
      <c r="R1423" s="54"/>
      <c r="S1423" s="88"/>
      <c r="T1423" s="65"/>
      <c r="U1423" s="88"/>
      <c r="V1423" s="65"/>
    </row>
    <row r="1424">
      <c r="A1424" s="74" t="s">
        <v>3166</v>
      </c>
      <c r="B1424" s="75" t="s">
        <v>35</v>
      </c>
      <c r="C1424" s="75" t="s">
        <v>36</v>
      </c>
      <c r="D1424" s="76" t="str">
        <f t="shared" si="98"/>
        <v>Removed</v>
      </c>
      <c r="E1424" s="77">
        <v>44028.0</v>
      </c>
      <c r="F1424" s="105">
        <v>44576.0</v>
      </c>
      <c r="G1424" s="79">
        <f t="shared" si="2"/>
        <v>17.96666667</v>
      </c>
      <c r="H1424" s="90">
        <v>40267.0</v>
      </c>
      <c r="I1424" s="79">
        <f t="shared" si="3"/>
        <v>10.29444444</v>
      </c>
      <c r="J1424" s="106">
        <v>59.0</v>
      </c>
      <c r="K1424" s="106">
        <v>120.0</v>
      </c>
      <c r="L1424" s="82" t="s">
        <v>46</v>
      </c>
      <c r="M1424" s="82"/>
      <c r="N1424" s="82" t="s">
        <v>1757</v>
      </c>
      <c r="O1424" s="82"/>
      <c r="P1424" s="107"/>
      <c r="Q1424" s="82"/>
      <c r="R1424" s="76"/>
      <c r="S1424" s="90"/>
      <c r="T1424" s="79"/>
      <c r="U1424" s="90"/>
      <c r="V1424" s="79"/>
    </row>
    <row r="1425">
      <c r="A1425" s="207" t="s">
        <v>3167</v>
      </c>
      <c r="B1425" s="54" t="s">
        <v>35</v>
      </c>
      <c r="C1425" s="59"/>
      <c r="D1425" s="59" t="str">
        <f t="shared" si="98"/>
        <v>Removed</v>
      </c>
      <c r="E1425" s="133">
        <v>43678.0</v>
      </c>
      <c r="F1425" s="120">
        <v>44576.0</v>
      </c>
      <c r="G1425" s="65">
        <f t="shared" si="2"/>
        <v>29.46666667</v>
      </c>
      <c r="H1425" s="88">
        <v>43336.0</v>
      </c>
      <c r="I1425" s="65">
        <f t="shared" si="3"/>
        <v>0.9361111111</v>
      </c>
      <c r="J1425" s="208">
        <v>60.0</v>
      </c>
      <c r="K1425" s="121">
        <v>1.0</v>
      </c>
      <c r="L1425" s="91" t="s">
        <v>3168</v>
      </c>
      <c r="M1425" s="91"/>
      <c r="N1425" s="91"/>
      <c r="O1425" s="91"/>
      <c r="P1425" s="134"/>
      <c r="Q1425" s="91"/>
      <c r="R1425" s="59"/>
      <c r="S1425" s="88"/>
      <c r="T1425" s="65"/>
      <c r="U1425" s="88"/>
      <c r="V1425" s="65"/>
    </row>
    <row r="1426">
      <c r="A1426" s="74" t="s">
        <v>3169</v>
      </c>
      <c r="B1426" s="75" t="s">
        <v>129</v>
      </c>
      <c r="C1426" s="75" t="s">
        <v>36</v>
      </c>
      <c r="D1426" s="76" t="str">
        <f t="shared" si="98"/>
        <v>Removed</v>
      </c>
      <c r="E1426" s="218">
        <v>43416.0</v>
      </c>
      <c r="F1426" s="105">
        <v>44571.0</v>
      </c>
      <c r="G1426" s="79">
        <f t="shared" si="2"/>
        <v>37.93333333</v>
      </c>
      <c r="H1426" s="90">
        <v>42817.0</v>
      </c>
      <c r="I1426" s="79">
        <f t="shared" si="3"/>
        <v>1.636111111</v>
      </c>
      <c r="J1426" s="216">
        <v>85.0</v>
      </c>
      <c r="K1426" s="106">
        <v>142.0</v>
      </c>
      <c r="L1426" s="82" t="s">
        <v>37</v>
      </c>
      <c r="M1426" s="83"/>
      <c r="N1426" s="82" t="s">
        <v>3170</v>
      </c>
      <c r="O1426" s="83"/>
      <c r="P1426" s="219"/>
      <c r="Q1426" s="82"/>
      <c r="R1426" s="76"/>
      <c r="S1426" s="90"/>
      <c r="T1426" s="79"/>
      <c r="U1426" s="90"/>
      <c r="V1426" s="79"/>
    </row>
    <row r="1427">
      <c r="A1427" s="53" t="s">
        <v>3171</v>
      </c>
      <c r="B1427" s="54" t="s">
        <v>2984</v>
      </c>
      <c r="C1427" s="59"/>
      <c r="D1427" s="59" t="s">
        <v>2985</v>
      </c>
      <c r="E1427" s="133">
        <v>44546.0</v>
      </c>
      <c r="F1427" s="61">
        <v>44561.0</v>
      </c>
      <c r="G1427" s="65">
        <f t="shared" si="2"/>
        <v>0.4666666667</v>
      </c>
      <c r="H1427" s="88">
        <v>41038.0</v>
      </c>
      <c r="I1427" s="65">
        <f t="shared" si="3"/>
        <v>9.602777778</v>
      </c>
      <c r="J1427" s="121">
        <v>78.0</v>
      </c>
      <c r="K1427" s="121">
        <v>5.0</v>
      </c>
      <c r="L1427" s="69" t="s">
        <v>135</v>
      </c>
      <c r="M1427" s="69"/>
      <c r="N1427" s="69" t="s">
        <v>2761</v>
      </c>
      <c r="O1427" s="69"/>
      <c r="P1427" s="122"/>
      <c r="Q1427" s="69"/>
      <c r="R1427" s="59"/>
      <c r="S1427" s="88"/>
      <c r="T1427" s="65"/>
      <c r="U1427" s="88"/>
      <c r="V1427" s="65"/>
    </row>
    <row r="1428">
      <c r="A1428" s="74" t="s">
        <v>3172</v>
      </c>
      <c r="B1428" s="75" t="s">
        <v>2759</v>
      </c>
      <c r="C1428" s="76"/>
      <c r="D1428" s="76" t="s">
        <v>2760</v>
      </c>
      <c r="E1428" s="218">
        <v>44531.0</v>
      </c>
      <c r="F1428" s="77">
        <v>44561.0</v>
      </c>
      <c r="G1428" s="79">
        <f t="shared" si="2"/>
        <v>0.9666666667</v>
      </c>
      <c r="H1428" s="90">
        <v>42969.0</v>
      </c>
      <c r="I1428" s="79">
        <f t="shared" si="3"/>
        <v>4.275</v>
      </c>
      <c r="J1428" s="106">
        <v>78.0</v>
      </c>
      <c r="K1428" s="106">
        <v>17.0</v>
      </c>
      <c r="L1428" s="82" t="s">
        <v>81</v>
      </c>
      <c r="M1428" s="82"/>
      <c r="N1428" s="82"/>
      <c r="O1428" s="82"/>
      <c r="P1428" s="107"/>
      <c r="Q1428" s="82"/>
      <c r="R1428" s="76"/>
      <c r="S1428" s="90"/>
      <c r="T1428" s="79"/>
      <c r="U1428" s="90"/>
      <c r="V1428" s="79"/>
    </row>
    <row r="1429">
      <c r="A1429" s="53" t="s">
        <v>3173</v>
      </c>
      <c r="B1429" s="54" t="s">
        <v>129</v>
      </c>
      <c r="C1429" s="54" t="s">
        <v>36</v>
      </c>
      <c r="D1429" s="59" t="str">
        <f t="shared" ref="D1429:D1430" si="99">IF(E1429&gt;TODAY(),"Coming Soon",IF(F1429="","Active",IF(F1429&gt;TODAY(),"Leaving Soon","Removed")))</f>
        <v>Removed</v>
      </c>
      <c r="E1429" s="88">
        <v>44203.0</v>
      </c>
      <c r="F1429" s="120">
        <v>44561.0</v>
      </c>
      <c r="G1429" s="65">
        <f t="shared" si="2"/>
        <v>11.76666667</v>
      </c>
      <c r="H1429" s="88">
        <v>44089.0</v>
      </c>
      <c r="I1429" s="65">
        <f t="shared" si="3"/>
        <v>0.3111111111</v>
      </c>
      <c r="J1429" s="121">
        <v>73.0</v>
      </c>
      <c r="K1429" s="121">
        <v>15.0</v>
      </c>
      <c r="L1429" s="91" t="s">
        <v>3174</v>
      </c>
      <c r="M1429" s="91"/>
      <c r="N1429" s="91"/>
      <c r="O1429" s="91"/>
      <c r="P1429" s="134"/>
      <c r="Q1429" s="91"/>
      <c r="R1429" s="59"/>
      <c r="S1429" s="88"/>
      <c r="T1429" s="65"/>
      <c r="U1429" s="88"/>
      <c r="V1429" s="65"/>
    </row>
    <row r="1430">
      <c r="A1430" s="74" t="s">
        <v>3175</v>
      </c>
      <c r="B1430" s="75" t="s">
        <v>129</v>
      </c>
      <c r="C1430" s="75" t="s">
        <v>100</v>
      </c>
      <c r="D1430" s="76" t="str">
        <f t="shared" si="99"/>
        <v>Removed</v>
      </c>
      <c r="E1430" s="90">
        <v>44203.0</v>
      </c>
      <c r="F1430" s="105">
        <v>44561.0</v>
      </c>
      <c r="G1430" s="79">
        <f t="shared" si="2"/>
        <v>11.76666667</v>
      </c>
      <c r="H1430" s="90">
        <v>42717.0</v>
      </c>
      <c r="I1430" s="79">
        <f t="shared" si="3"/>
        <v>4.066666667</v>
      </c>
      <c r="J1430" s="106">
        <v>75.0</v>
      </c>
      <c r="K1430" s="106">
        <v>2.0</v>
      </c>
      <c r="L1430" s="82" t="s">
        <v>135</v>
      </c>
      <c r="M1430" s="82"/>
      <c r="N1430" s="82"/>
      <c r="O1430" s="82"/>
      <c r="P1430" s="107"/>
      <c r="Q1430" s="82"/>
      <c r="R1430" s="76"/>
      <c r="S1430" s="90"/>
      <c r="T1430" s="79"/>
      <c r="U1430" s="90"/>
      <c r="V1430" s="79"/>
    </row>
    <row r="1431">
      <c r="A1431" s="53" t="s">
        <v>3176</v>
      </c>
      <c r="B1431" s="54" t="s">
        <v>2984</v>
      </c>
      <c r="C1431" s="59"/>
      <c r="D1431" s="59" t="s">
        <v>2985</v>
      </c>
      <c r="E1431" s="133">
        <v>44531.0</v>
      </c>
      <c r="F1431" s="61">
        <v>44545.0</v>
      </c>
      <c r="G1431" s="65">
        <f t="shared" si="2"/>
        <v>0.4666666667</v>
      </c>
      <c r="H1431" s="88">
        <v>40737.0</v>
      </c>
      <c r="I1431" s="65">
        <f t="shared" si="3"/>
        <v>10.38333333</v>
      </c>
      <c r="J1431" s="121">
        <v>82.0</v>
      </c>
      <c r="K1431" s="121">
        <v>8.0</v>
      </c>
      <c r="L1431" s="69" t="s">
        <v>41</v>
      </c>
      <c r="M1431" s="69"/>
      <c r="N1431" s="69" t="s">
        <v>2761</v>
      </c>
      <c r="O1431" s="69"/>
      <c r="P1431" s="122"/>
      <c r="Q1431" s="69"/>
      <c r="R1431" s="59"/>
      <c r="S1431" s="88"/>
      <c r="T1431" s="65"/>
      <c r="U1431" s="88"/>
      <c r="V1431" s="65"/>
    </row>
    <row r="1432">
      <c r="A1432" s="74" t="s">
        <v>3177</v>
      </c>
      <c r="B1432" s="75" t="s">
        <v>2759</v>
      </c>
      <c r="C1432" s="76"/>
      <c r="D1432" s="76" t="s">
        <v>2760</v>
      </c>
      <c r="E1432" s="218">
        <v>44516.0</v>
      </c>
      <c r="F1432" s="77">
        <v>44545.0</v>
      </c>
      <c r="G1432" s="79">
        <f t="shared" si="2"/>
        <v>0.9666666667</v>
      </c>
      <c r="H1432" s="90">
        <v>43445.0</v>
      </c>
      <c r="I1432" s="79">
        <f t="shared" si="3"/>
        <v>2.930555556</v>
      </c>
      <c r="J1432" s="106">
        <v>84.0</v>
      </c>
      <c r="K1432" s="106">
        <v>21.0</v>
      </c>
      <c r="L1432" s="82" t="s">
        <v>81</v>
      </c>
      <c r="M1432" s="82"/>
      <c r="N1432" s="82" t="s">
        <v>2761</v>
      </c>
      <c r="O1432" s="82"/>
      <c r="P1432" s="107"/>
      <c r="Q1432" s="82"/>
      <c r="R1432" s="76"/>
      <c r="S1432" s="90"/>
      <c r="T1432" s="79"/>
      <c r="U1432" s="90"/>
      <c r="V1432" s="79"/>
    </row>
    <row r="1433">
      <c r="A1433" s="53" t="s">
        <v>3178</v>
      </c>
      <c r="B1433" s="54" t="s">
        <v>35</v>
      </c>
      <c r="C1433" s="54" t="s">
        <v>100</v>
      </c>
      <c r="D1433" s="59" t="str">
        <f t="shared" ref="D1433:D1439" si="100">IF(E1433&gt;TODAY(),"Coming Soon",IF(F1433="","Active",IF(F1433&gt;TODAY(),"Leaving Soon","Removed")))</f>
        <v>Removed</v>
      </c>
      <c r="E1433" s="88">
        <v>44182.0</v>
      </c>
      <c r="F1433" s="120">
        <v>44545.0</v>
      </c>
      <c r="G1433" s="65">
        <f t="shared" si="2"/>
        <v>11.93333333</v>
      </c>
      <c r="H1433" s="88">
        <v>43116.0</v>
      </c>
      <c r="I1433" s="65">
        <f t="shared" si="3"/>
        <v>2.919444444</v>
      </c>
      <c r="J1433" s="121">
        <v>74.0</v>
      </c>
      <c r="K1433" s="121">
        <v>5.5</v>
      </c>
      <c r="L1433" s="69" t="s">
        <v>64</v>
      </c>
      <c r="M1433" s="69" t="s">
        <v>1747</v>
      </c>
      <c r="N1433" s="69" t="s">
        <v>1829</v>
      </c>
      <c r="O1433" s="69"/>
      <c r="P1433" s="122"/>
      <c r="Q1433" s="69"/>
      <c r="R1433" s="59"/>
      <c r="S1433" s="88"/>
      <c r="T1433" s="65"/>
      <c r="U1433" s="88"/>
      <c r="V1433" s="65"/>
    </row>
    <row r="1434">
      <c r="A1434" s="74" t="s">
        <v>3179</v>
      </c>
      <c r="B1434" s="75" t="s">
        <v>35</v>
      </c>
      <c r="C1434" s="75"/>
      <c r="D1434" s="76" t="str">
        <f t="shared" si="100"/>
        <v>Removed</v>
      </c>
      <c r="E1434" s="90">
        <v>44182.0</v>
      </c>
      <c r="F1434" s="105">
        <v>44545.0</v>
      </c>
      <c r="G1434" s="79">
        <f t="shared" si="2"/>
        <v>11.93333333</v>
      </c>
      <c r="H1434" s="90">
        <v>43706.0</v>
      </c>
      <c r="I1434" s="79">
        <f t="shared" si="3"/>
        <v>1.3</v>
      </c>
      <c r="J1434" s="106">
        <v>85.0</v>
      </c>
      <c r="K1434" s="106">
        <v>8.5</v>
      </c>
      <c r="L1434" s="82" t="s">
        <v>96</v>
      </c>
      <c r="M1434" s="82"/>
      <c r="N1434" s="82"/>
      <c r="O1434" s="82"/>
      <c r="P1434" s="107"/>
      <c r="Q1434" s="82"/>
      <c r="R1434" s="76"/>
      <c r="S1434" s="90"/>
      <c r="T1434" s="79"/>
      <c r="U1434" s="90"/>
      <c r="V1434" s="79"/>
    </row>
    <row r="1435">
      <c r="A1435" s="53" t="s">
        <v>3180</v>
      </c>
      <c r="B1435" s="54" t="s">
        <v>35</v>
      </c>
      <c r="C1435" s="54" t="s">
        <v>100</v>
      </c>
      <c r="D1435" s="59" t="str">
        <f t="shared" si="100"/>
        <v>Removed</v>
      </c>
      <c r="E1435" s="88">
        <v>44175.0</v>
      </c>
      <c r="F1435" s="120">
        <v>44545.0</v>
      </c>
      <c r="G1435" s="65">
        <f t="shared" si="2"/>
        <v>12.16666667</v>
      </c>
      <c r="H1435" s="88">
        <v>43746.0</v>
      </c>
      <c r="I1435" s="65">
        <f t="shared" si="3"/>
        <v>1.172222222</v>
      </c>
      <c r="J1435" s="121">
        <f>(81+84)/2</f>
        <v>82.5</v>
      </c>
      <c r="K1435" s="121">
        <v>13.0</v>
      </c>
      <c r="L1435" s="69" t="s">
        <v>57</v>
      </c>
      <c r="M1435" s="69"/>
      <c r="N1435" s="69"/>
      <c r="O1435" s="69"/>
      <c r="P1435" s="122"/>
      <c r="Q1435" s="69"/>
      <c r="R1435" s="59"/>
      <c r="S1435" s="88"/>
      <c r="T1435" s="65"/>
      <c r="U1435" s="88"/>
      <c r="V1435" s="65"/>
    </row>
    <row r="1436">
      <c r="A1436" s="74" t="s">
        <v>2171</v>
      </c>
      <c r="B1436" s="75" t="s">
        <v>35</v>
      </c>
      <c r="C1436" s="75"/>
      <c r="D1436" s="76" t="str">
        <f t="shared" si="100"/>
        <v>Removed</v>
      </c>
      <c r="E1436" s="90">
        <v>44174.0</v>
      </c>
      <c r="F1436" s="105">
        <v>44545.0</v>
      </c>
      <c r="G1436" s="79">
        <f t="shared" si="2"/>
        <v>12.2</v>
      </c>
      <c r="H1436" s="90">
        <v>44174.0</v>
      </c>
      <c r="I1436" s="79">
        <f t="shared" si="3"/>
        <v>0</v>
      </c>
      <c r="J1436" s="106">
        <f>(58+73)/2</f>
        <v>65.5</v>
      </c>
      <c r="K1436" s="106">
        <v>4.5</v>
      </c>
      <c r="L1436" s="82" t="s">
        <v>41</v>
      </c>
      <c r="M1436" s="82"/>
      <c r="N1436" s="82"/>
      <c r="O1436" s="82"/>
      <c r="P1436" s="107"/>
      <c r="Q1436" s="82"/>
      <c r="R1436" s="76"/>
      <c r="S1436" s="90"/>
      <c r="T1436" s="79"/>
      <c r="U1436" s="90"/>
      <c r="V1436" s="79"/>
    </row>
    <row r="1437">
      <c r="A1437" s="53" t="s">
        <v>3181</v>
      </c>
      <c r="B1437" s="54" t="s">
        <v>35</v>
      </c>
      <c r="C1437" s="59"/>
      <c r="D1437" s="59" t="str">
        <f t="shared" si="100"/>
        <v>Removed</v>
      </c>
      <c r="E1437" s="61">
        <v>44049.0</v>
      </c>
      <c r="F1437" s="120">
        <v>44545.0</v>
      </c>
      <c r="G1437" s="65">
        <f t="shared" si="2"/>
        <v>16.3</v>
      </c>
      <c r="H1437" s="88">
        <v>43707.0</v>
      </c>
      <c r="I1437" s="65">
        <f t="shared" si="3"/>
        <v>0.9333333333</v>
      </c>
      <c r="J1437" s="121">
        <v>69.0</v>
      </c>
      <c r="K1437" s="121">
        <v>4.0</v>
      </c>
      <c r="L1437" s="69" t="s">
        <v>135</v>
      </c>
      <c r="M1437" s="69"/>
      <c r="N1437" s="69"/>
      <c r="O1437" s="69"/>
      <c r="P1437" s="122"/>
      <c r="Q1437" s="69"/>
      <c r="R1437" s="59"/>
      <c r="S1437" s="88"/>
      <c r="T1437" s="65"/>
      <c r="U1437" s="88"/>
      <c r="V1437" s="65"/>
    </row>
    <row r="1438">
      <c r="A1438" s="226" t="s">
        <v>2104</v>
      </c>
      <c r="B1438" s="75" t="s">
        <v>35</v>
      </c>
      <c r="C1438" s="75" t="s">
        <v>100</v>
      </c>
      <c r="D1438" s="76" t="str">
        <f t="shared" si="100"/>
        <v>Removed</v>
      </c>
      <c r="E1438" s="218">
        <v>43625.0</v>
      </c>
      <c r="F1438" s="105">
        <v>44545.0</v>
      </c>
      <c r="G1438" s="79">
        <f t="shared" si="2"/>
        <v>30.2</v>
      </c>
      <c r="H1438" s="90">
        <v>43333.0</v>
      </c>
      <c r="I1438" s="79">
        <f t="shared" si="3"/>
        <v>0.8</v>
      </c>
      <c r="J1438" s="216">
        <v>85.0</v>
      </c>
      <c r="K1438" s="106">
        <v>8.5</v>
      </c>
      <c r="L1438" s="82" t="s">
        <v>57</v>
      </c>
      <c r="M1438" s="83"/>
      <c r="N1438" s="83"/>
      <c r="O1438" s="83"/>
      <c r="P1438" s="219"/>
      <c r="Q1438" s="83"/>
      <c r="R1438" s="76"/>
      <c r="S1438" s="90"/>
      <c r="T1438" s="79"/>
      <c r="U1438" s="90"/>
      <c r="V1438" s="79"/>
    </row>
    <row r="1439">
      <c r="A1439" s="207" t="s">
        <v>3182</v>
      </c>
      <c r="B1439" s="54" t="s">
        <v>13</v>
      </c>
      <c r="C1439" s="59"/>
      <c r="D1439" s="59" t="str">
        <f t="shared" si="100"/>
        <v>Removed</v>
      </c>
      <c r="E1439" s="133">
        <v>43622.0</v>
      </c>
      <c r="F1439" s="120">
        <v>44540.0</v>
      </c>
      <c r="G1439" s="65">
        <f t="shared" si="2"/>
        <v>30.13333333</v>
      </c>
      <c r="H1439" s="88">
        <v>42425.0</v>
      </c>
      <c r="I1439" s="65">
        <f t="shared" si="3"/>
        <v>3.280555556</v>
      </c>
      <c r="J1439" s="208">
        <v>83.0</v>
      </c>
      <c r="K1439" s="121">
        <v>2.5</v>
      </c>
      <c r="L1439" s="69" t="s">
        <v>37</v>
      </c>
      <c r="M1439" s="69" t="s">
        <v>1747</v>
      </c>
      <c r="N1439" s="91"/>
      <c r="O1439" s="91"/>
      <c r="P1439" s="134"/>
      <c r="Q1439" s="91"/>
      <c r="R1439" s="54"/>
      <c r="S1439" s="88"/>
      <c r="T1439" s="65"/>
      <c r="U1439" s="88"/>
      <c r="V1439" s="65"/>
    </row>
    <row r="1440">
      <c r="A1440" s="74" t="s">
        <v>3183</v>
      </c>
      <c r="B1440" s="75" t="s">
        <v>2984</v>
      </c>
      <c r="C1440" s="76"/>
      <c r="D1440" s="76" t="s">
        <v>2985</v>
      </c>
      <c r="E1440" s="218">
        <v>44516.0</v>
      </c>
      <c r="F1440" s="77">
        <v>44530.0</v>
      </c>
      <c r="G1440" s="79">
        <f t="shared" si="2"/>
        <v>0.4666666667</v>
      </c>
      <c r="H1440" s="90">
        <v>41079.0</v>
      </c>
      <c r="I1440" s="79">
        <f t="shared" si="3"/>
        <v>9.408333333</v>
      </c>
      <c r="J1440" s="106">
        <v>71.0</v>
      </c>
      <c r="K1440" s="106">
        <v>8.0</v>
      </c>
      <c r="L1440" s="82" t="s">
        <v>41</v>
      </c>
      <c r="M1440" s="82"/>
      <c r="N1440" s="82" t="s">
        <v>2761</v>
      </c>
      <c r="O1440" s="82"/>
      <c r="P1440" s="107"/>
      <c r="Q1440" s="82"/>
      <c r="R1440" s="76"/>
      <c r="S1440" s="90"/>
      <c r="T1440" s="79"/>
      <c r="U1440" s="90"/>
      <c r="V1440" s="79"/>
    </row>
    <row r="1441">
      <c r="A1441" s="53" t="s">
        <v>3184</v>
      </c>
      <c r="B1441" s="54" t="s">
        <v>2759</v>
      </c>
      <c r="C1441" s="59"/>
      <c r="D1441" s="59" t="s">
        <v>2760</v>
      </c>
      <c r="E1441" s="133">
        <v>44501.0</v>
      </c>
      <c r="F1441" s="61">
        <v>44530.0</v>
      </c>
      <c r="G1441" s="65">
        <f t="shared" si="2"/>
        <v>0.9666666667</v>
      </c>
      <c r="H1441" s="88">
        <v>43949.0</v>
      </c>
      <c r="I1441" s="65">
        <f t="shared" si="3"/>
        <v>1.508333333</v>
      </c>
      <c r="J1441" s="121">
        <v>78.0</v>
      </c>
      <c r="K1441" s="121">
        <v>5.0</v>
      </c>
      <c r="L1441" s="69" t="s">
        <v>64</v>
      </c>
      <c r="M1441" s="69"/>
      <c r="N1441" s="69"/>
      <c r="O1441" s="69"/>
      <c r="P1441" s="122"/>
      <c r="Q1441" s="69"/>
      <c r="R1441" s="59"/>
      <c r="S1441" s="88"/>
      <c r="T1441" s="65"/>
      <c r="U1441" s="88"/>
      <c r="V1441" s="65"/>
    </row>
    <row r="1442">
      <c r="A1442" s="74" t="s">
        <v>3185</v>
      </c>
      <c r="B1442" s="75" t="s">
        <v>35</v>
      </c>
      <c r="C1442" s="75" t="s">
        <v>36</v>
      </c>
      <c r="D1442" s="76" t="str">
        <f t="shared" ref="D1442:D1450" si="101">IF(E1442&gt;TODAY(),"Coming Soon",IF(F1442="","Active",IF(F1442&gt;TODAY(),"Leaving Soon","Removed")))</f>
        <v>Removed</v>
      </c>
      <c r="E1442" s="90">
        <v>44259.0</v>
      </c>
      <c r="F1442" s="105">
        <v>44530.0</v>
      </c>
      <c r="G1442" s="79">
        <f t="shared" si="2"/>
        <v>8.866666667</v>
      </c>
      <c r="H1442" s="90">
        <v>44159.0</v>
      </c>
      <c r="I1442" s="79">
        <f t="shared" si="3"/>
        <v>0.2777777778</v>
      </c>
      <c r="J1442" s="106">
        <f>(78+85)/2</f>
        <v>81.5</v>
      </c>
      <c r="K1442" s="106">
        <v>117.0</v>
      </c>
      <c r="L1442" s="82" t="s">
        <v>64</v>
      </c>
      <c r="M1442" s="82" t="s">
        <v>326</v>
      </c>
      <c r="N1442" s="82"/>
      <c r="O1442" s="82"/>
      <c r="P1442" s="107"/>
      <c r="Q1442" s="82"/>
      <c r="R1442" s="76"/>
      <c r="S1442" s="90"/>
      <c r="T1442" s="79"/>
      <c r="U1442" s="90"/>
      <c r="V1442" s="79"/>
    </row>
    <row r="1443">
      <c r="A1443" s="53" t="s">
        <v>2131</v>
      </c>
      <c r="B1443" s="54" t="s">
        <v>35</v>
      </c>
      <c r="C1443" s="54" t="s">
        <v>100</v>
      </c>
      <c r="D1443" s="59" t="str">
        <f t="shared" si="101"/>
        <v>Removed</v>
      </c>
      <c r="E1443" s="88">
        <v>44176.0</v>
      </c>
      <c r="F1443" s="120">
        <v>44530.0</v>
      </c>
      <c r="G1443" s="65">
        <f t="shared" si="2"/>
        <v>11.63333333</v>
      </c>
      <c r="H1443" s="88">
        <v>44176.0</v>
      </c>
      <c r="I1443" s="65">
        <f t="shared" si="3"/>
        <v>0</v>
      </c>
      <c r="J1443" s="121">
        <f>(60+73)/2</f>
        <v>66.5</v>
      </c>
      <c r="K1443" s="121">
        <v>2.5</v>
      </c>
      <c r="L1443" s="69" t="s">
        <v>96</v>
      </c>
      <c r="M1443" s="69" t="s">
        <v>326</v>
      </c>
      <c r="N1443" s="69"/>
      <c r="O1443" s="69"/>
      <c r="P1443" s="122"/>
      <c r="Q1443" s="69"/>
      <c r="R1443" s="59"/>
      <c r="S1443" s="88"/>
      <c r="T1443" s="65"/>
      <c r="U1443" s="88"/>
      <c r="V1443" s="65"/>
    </row>
    <row r="1444">
      <c r="A1444" s="74" t="s">
        <v>3186</v>
      </c>
      <c r="B1444" s="75" t="s">
        <v>35</v>
      </c>
      <c r="C1444" s="75" t="s">
        <v>100</v>
      </c>
      <c r="D1444" s="76" t="str">
        <f t="shared" si="101"/>
        <v>Removed</v>
      </c>
      <c r="E1444" s="90">
        <v>44173.0</v>
      </c>
      <c r="F1444" s="105">
        <v>44530.0</v>
      </c>
      <c r="G1444" s="79">
        <f t="shared" si="2"/>
        <v>11.73333333</v>
      </c>
      <c r="H1444" s="90">
        <v>44173.0</v>
      </c>
      <c r="I1444" s="79">
        <f t="shared" si="3"/>
        <v>0</v>
      </c>
      <c r="J1444" s="106">
        <f>(77+77+82)/3</f>
        <v>78.66666667</v>
      </c>
      <c r="K1444" s="106">
        <v>6.0</v>
      </c>
      <c r="L1444" s="82" t="s">
        <v>46</v>
      </c>
      <c r="M1444" s="82" t="s">
        <v>326</v>
      </c>
      <c r="N1444" s="82"/>
      <c r="O1444" s="82"/>
      <c r="P1444" s="107"/>
      <c r="Q1444" s="82"/>
      <c r="R1444" s="76"/>
      <c r="S1444" s="90"/>
      <c r="T1444" s="79"/>
      <c r="U1444" s="90"/>
      <c r="V1444" s="79"/>
    </row>
    <row r="1445">
      <c r="A1445" s="53" t="s">
        <v>2106</v>
      </c>
      <c r="B1445" s="54" t="s">
        <v>35</v>
      </c>
      <c r="C1445" s="54" t="s">
        <v>100</v>
      </c>
      <c r="D1445" s="59" t="str">
        <f t="shared" si="101"/>
        <v>Removed</v>
      </c>
      <c r="E1445" s="88">
        <v>44168.0</v>
      </c>
      <c r="F1445" s="120">
        <v>44530.0</v>
      </c>
      <c r="G1445" s="65">
        <f t="shared" si="2"/>
        <v>11.9</v>
      </c>
      <c r="H1445" s="88">
        <v>44168.0</v>
      </c>
      <c r="I1445" s="65">
        <f t="shared" si="3"/>
        <v>0</v>
      </c>
      <c r="J1445" s="121">
        <f>(72+78)/2</f>
        <v>75</v>
      </c>
      <c r="K1445" s="121">
        <v>10.0</v>
      </c>
      <c r="L1445" s="69" t="s">
        <v>46</v>
      </c>
      <c r="M1445" s="69" t="s">
        <v>326</v>
      </c>
      <c r="N1445" s="69"/>
      <c r="O1445" s="69"/>
      <c r="P1445" s="122"/>
      <c r="Q1445" s="69"/>
      <c r="R1445" s="59"/>
      <c r="S1445" s="88"/>
      <c r="T1445" s="65"/>
      <c r="U1445" s="88"/>
      <c r="V1445" s="65"/>
    </row>
    <row r="1446">
      <c r="A1446" s="74" t="s">
        <v>3187</v>
      </c>
      <c r="B1446" s="75" t="s">
        <v>13</v>
      </c>
      <c r="C1446" s="75"/>
      <c r="D1446" s="76" t="str">
        <f t="shared" si="101"/>
        <v>Removed</v>
      </c>
      <c r="E1446" s="77">
        <v>44168.0</v>
      </c>
      <c r="F1446" s="105">
        <v>44530.0</v>
      </c>
      <c r="G1446" s="79">
        <f t="shared" si="2"/>
        <v>11.9</v>
      </c>
      <c r="H1446" s="90">
        <v>42542.0</v>
      </c>
      <c r="I1446" s="79">
        <f t="shared" si="3"/>
        <v>4.45</v>
      </c>
      <c r="J1446" s="106">
        <v>77.0</v>
      </c>
      <c r="K1446" s="106">
        <v>11.0</v>
      </c>
      <c r="L1446" s="82" t="s">
        <v>135</v>
      </c>
      <c r="M1446" s="82"/>
      <c r="N1446" s="82"/>
      <c r="O1446" s="82"/>
      <c r="P1446" s="107"/>
      <c r="Q1446" s="82"/>
      <c r="R1446" s="75"/>
      <c r="S1446" s="90"/>
      <c r="T1446" s="79"/>
      <c r="U1446" s="90"/>
      <c r="V1446" s="79"/>
    </row>
    <row r="1447">
      <c r="A1447" s="53" t="s">
        <v>3188</v>
      </c>
      <c r="B1447" s="54" t="s">
        <v>35</v>
      </c>
      <c r="C1447" s="54"/>
      <c r="D1447" s="59" t="str">
        <f t="shared" si="101"/>
        <v>Removed</v>
      </c>
      <c r="E1447" s="88">
        <v>44145.0</v>
      </c>
      <c r="F1447" s="120">
        <v>44530.0</v>
      </c>
      <c r="G1447" s="65">
        <f t="shared" si="2"/>
        <v>12.66666667</v>
      </c>
      <c r="H1447" s="88">
        <v>43371.0</v>
      </c>
      <c r="I1447" s="65">
        <f t="shared" si="3"/>
        <v>2.116666667</v>
      </c>
      <c r="J1447" s="121">
        <v>83.0</v>
      </c>
      <c r="K1447" s="121">
        <v>48.5</v>
      </c>
      <c r="L1447" s="69" t="s">
        <v>62</v>
      </c>
      <c r="M1447" s="69"/>
      <c r="N1447" s="69"/>
      <c r="O1447" s="69"/>
      <c r="P1447" s="122"/>
      <c r="Q1447" s="69"/>
      <c r="R1447" s="59"/>
      <c r="S1447" s="88"/>
      <c r="T1447" s="65"/>
      <c r="U1447" s="88"/>
      <c r="V1447" s="65"/>
    </row>
    <row r="1448">
      <c r="A1448" s="226" t="s">
        <v>2108</v>
      </c>
      <c r="B1448" s="75" t="s">
        <v>35</v>
      </c>
      <c r="C1448" s="75" t="s">
        <v>100</v>
      </c>
      <c r="D1448" s="76" t="str">
        <f t="shared" si="101"/>
        <v>Removed</v>
      </c>
      <c r="E1448" s="218">
        <v>43394.0</v>
      </c>
      <c r="F1448" s="105">
        <v>44530.0</v>
      </c>
      <c r="G1448" s="79">
        <f t="shared" si="2"/>
        <v>37.3</v>
      </c>
      <c r="H1448" s="90">
        <v>43077.0</v>
      </c>
      <c r="I1448" s="79">
        <f t="shared" si="3"/>
        <v>0.8694444444</v>
      </c>
      <c r="J1448" s="216">
        <v>42.0</v>
      </c>
      <c r="K1448" s="106">
        <v>9.0</v>
      </c>
      <c r="L1448" s="82" t="s">
        <v>41</v>
      </c>
      <c r="M1448" s="83"/>
      <c r="N1448" s="83"/>
      <c r="O1448" s="83"/>
      <c r="P1448" s="219"/>
      <c r="Q1448" s="83"/>
      <c r="R1448" s="76"/>
      <c r="S1448" s="90"/>
      <c r="T1448" s="79"/>
      <c r="U1448" s="90"/>
      <c r="V1448" s="79"/>
    </row>
    <row r="1449">
      <c r="A1449" s="53" t="s">
        <v>3189</v>
      </c>
      <c r="B1449" s="54" t="s">
        <v>13</v>
      </c>
      <c r="C1449" s="59"/>
      <c r="D1449" s="59" t="str">
        <f t="shared" si="101"/>
        <v>Removed</v>
      </c>
      <c r="E1449" s="133">
        <v>43391.0</v>
      </c>
      <c r="F1449" s="61">
        <v>44522.0</v>
      </c>
      <c r="G1449" s="65">
        <f t="shared" si="2"/>
        <v>37.13333333</v>
      </c>
      <c r="H1449" s="88">
        <v>43391.0</v>
      </c>
      <c r="I1449" s="65">
        <f t="shared" si="3"/>
        <v>0</v>
      </c>
      <c r="J1449" s="121">
        <v>63.0</v>
      </c>
      <c r="K1449" s="121">
        <v>4.5</v>
      </c>
      <c r="L1449" s="69" t="s">
        <v>46</v>
      </c>
      <c r="M1449" s="91"/>
      <c r="N1449" s="91"/>
      <c r="O1449" s="91"/>
      <c r="P1449" s="134"/>
      <c r="Q1449" s="91"/>
      <c r="R1449" s="54"/>
      <c r="S1449" s="88"/>
      <c r="T1449" s="65"/>
      <c r="U1449" s="88"/>
      <c r="V1449" s="65"/>
    </row>
    <row r="1450">
      <c r="A1450" s="74" t="s">
        <v>3190</v>
      </c>
      <c r="B1450" s="75" t="s">
        <v>13</v>
      </c>
      <c r="C1450" s="75" t="s">
        <v>36</v>
      </c>
      <c r="D1450" s="76" t="str">
        <f t="shared" si="101"/>
        <v>Removed</v>
      </c>
      <c r="E1450" s="218">
        <v>43160.0</v>
      </c>
      <c r="F1450" s="105">
        <v>44522.0</v>
      </c>
      <c r="G1450" s="79">
        <f t="shared" si="2"/>
        <v>44.7</v>
      </c>
      <c r="H1450" s="90">
        <v>42384.0</v>
      </c>
      <c r="I1450" s="79">
        <f t="shared" si="3"/>
        <v>2.127777778</v>
      </c>
      <c r="J1450" s="216">
        <v>78.0</v>
      </c>
      <c r="K1450" s="106">
        <v>4.5</v>
      </c>
      <c r="L1450" s="82" t="s">
        <v>135</v>
      </c>
      <c r="M1450" s="82"/>
      <c r="N1450" s="82"/>
      <c r="O1450" s="82"/>
      <c r="P1450" s="107"/>
      <c r="Q1450" s="82"/>
      <c r="R1450" s="75"/>
      <c r="S1450" s="90"/>
      <c r="T1450" s="79"/>
      <c r="U1450" s="90"/>
      <c r="V1450" s="79"/>
    </row>
    <row r="1451">
      <c r="A1451" s="53" t="s">
        <v>3191</v>
      </c>
      <c r="B1451" s="54" t="s">
        <v>2984</v>
      </c>
      <c r="C1451" s="59"/>
      <c r="D1451" s="59" t="s">
        <v>2985</v>
      </c>
      <c r="E1451" s="133">
        <v>44501.0</v>
      </c>
      <c r="F1451" s="61">
        <v>44515.0</v>
      </c>
      <c r="G1451" s="65">
        <f t="shared" si="2"/>
        <v>0.4666666667</v>
      </c>
      <c r="H1451" s="88">
        <v>43026.0</v>
      </c>
      <c r="I1451" s="65">
        <f t="shared" si="3"/>
        <v>4.036111111</v>
      </c>
      <c r="J1451" s="121">
        <v>72.0</v>
      </c>
      <c r="K1451" s="121">
        <v>4.0</v>
      </c>
      <c r="L1451" s="69" t="s">
        <v>41</v>
      </c>
      <c r="M1451" s="69"/>
      <c r="N1451" s="69" t="s">
        <v>2761</v>
      </c>
      <c r="O1451" s="69"/>
      <c r="P1451" s="122"/>
      <c r="Q1451" s="69"/>
      <c r="R1451" s="59"/>
      <c r="S1451" s="88"/>
      <c r="T1451" s="65"/>
      <c r="U1451" s="88"/>
      <c r="V1451" s="65"/>
    </row>
    <row r="1452">
      <c r="A1452" s="74" t="s">
        <v>3192</v>
      </c>
      <c r="B1452" s="75" t="s">
        <v>2759</v>
      </c>
      <c r="C1452" s="76"/>
      <c r="D1452" s="76" t="s">
        <v>2760</v>
      </c>
      <c r="E1452" s="218">
        <v>44485.0</v>
      </c>
      <c r="F1452" s="77">
        <v>44515.0</v>
      </c>
      <c r="G1452" s="79">
        <f t="shared" si="2"/>
        <v>0.9666666667</v>
      </c>
      <c r="H1452" s="90">
        <v>42950.0</v>
      </c>
      <c r="I1452" s="79">
        <f t="shared" si="3"/>
        <v>4.202777778</v>
      </c>
      <c r="J1452" s="106">
        <v>69.0</v>
      </c>
      <c r="K1452" s="106">
        <v>10.0</v>
      </c>
      <c r="L1452" s="82" t="s">
        <v>105</v>
      </c>
      <c r="M1452" s="82"/>
      <c r="N1452" s="82" t="s">
        <v>2761</v>
      </c>
      <c r="O1452" s="82"/>
      <c r="P1452" s="107"/>
      <c r="Q1452" s="82"/>
      <c r="R1452" s="76"/>
      <c r="S1452" s="90"/>
      <c r="T1452" s="79"/>
      <c r="U1452" s="90"/>
      <c r="V1452" s="79"/>
    </row>
    <row r="1453">
      <c r="A1453" s="53" t="s">
        <v>3193</v>
      </c>
      <c r="B1453" s="54" t="s">
        <v>35</v>
      </c>
      <c r="C1453" s="54" t="s">
        <v>100</v>
      </c>
      <c r="D1453" s="59" t="str">
        <f t="shared" ref="D1453:D1458" si="102">IF(E1453&gt;TODAY(),"Coming Soon",IF(F1453="","Active",IF(F1453&gt;TODAY(),"Leaving Soon","Removed")))</f>
        <v>Removed</v>
      </c>
      <c r="E1453" s="61">
        <v>44154.0</v>
      </c>
      <c r="F1453" s="120">
        <v>44515.0</v>
      </c>
      <c r="G1453" s="65">
        <f t="shared" si="2"/>
        <v>11.86666667</v>
      </c>
      <c r="H1453" s="88">
        <v>43713.0</v>
      </c>
      <c r="I1453" s="65">
        <f t="shared" si="3"/>
        <v>1.205555556</v>
      </c>
      <c r="J1453" s="121">
        <v>80.0</v>
      </c>
      <c r="K1453" s="121">
        <v>7.0</v>
      </c>
      <c r="L1453" s="69" t="s">
        <v>1750</v>
      </c>
      <c r="M1453" s="69"/>
      <c r="N1453" s="69"/>
      <c r="O1453" s="69"/>
      <c r="P1453" s="122"/>
      <c r="Q1453" s="69"/>
      <c r="R1453" s="59"/>
      <c r="S1453" s="88"/>
      <c r="T1453" s="65"/>
      <c r="U1453" s="88"/>
      <c r="V1453" s="65"/>
    </row>
    <row r="1454">
      <c r="A1454" s="74" t="s">
        <v>3194</v>
      </c>
      <c r="B1454" s="75" t="s">
        <v>35</v>
      </c>
      <c r="C1454" s="75" t="s">
        <v>100</v>
      </c>
      <c r="D1454" s="76" t="str">
        <f t="shared" si="102"/>
        <v>Removed</v>
      </c>
      <c r="E1454" s="77">
        <v>44154.0</v>
      </c>
      <c r="F1454" s="105">
        <v>44515.0</v>
      </c>
      <c r="G1454" s="79">
        <f t="shared" si="2"/>
        <v>11.86666667</v>
      </c>
      <c r="H1454" s="90">
        <v>44082.0</v>
      </c>
      <c r="I1454" s="79">
        <f t="shared" si="3"/>
        <v>0.1972222222</v>
      </c>
      <c r="J1454" s="106">
        <v>79.0</v>
      </c>
      <c r="K1454" s="106">
        <v>8.5</v>
      </c>
      <c r="L1454" s="82" t="s">
        <v>46</v>
      </c>
      <c r="M1454" s="82"/>
      <c r="N1454" s="82"/>
      <c r="O1454" s="82"/>
      <c r="P1454" s="107"/>
      <c r="Q1454" s="82"/>
      <c r="R1454" s="76"/>
      <c r="S1454" s="90"/>
      <c r="T1454" s="79"/>
      <c r="U1454" s="90"/>
      <c r="V1454" s="79"/>
    </row>
    <row r="1455">
      <c r="A1455" s="53" t="s">
        <v>3195</v>
      </c>
      <c r="B1455" s="54" t="s">
        <v>35</v>
      </c>
      <c r="C1455" s="54"/>
      <c r="D1455" s="59" t="str">
        <f t="shared" si="102"/>
        <v>Removed</v>
      </c>
      <c r="E1455" s="88">
        <v>44147.0</v>
      </c>
      <c r="F1455" s="120">
        <v>44515.0</v>
      </c>
      <c r="G1455" s="65">
        <f t="shared" si="2"/>
        <v>12.1</v>
      </c>
      <c r="H1455" s="88">
        <v>43711.0</v>
      </c>
      <c r="I1455" s="65">
        <f t="shared" si="3"/>
        <v>1.191666667</v>
      </c>
      <c r="J1455" s="121">
        <f>(73+82)/2</f>
        <v>77.5</v>
      </c>
      <c r="K1455" s="121">
        <v>41.5</v>
      </c>
      <c r="L1455" s="69" t="s">
        <v>46</v>
      </c>
      <c r="M1455" s="69"/>
      <c r="N1455" s="69"/>
      <c r="O1455" s="69"/>
      <c r="P1455" s="122"/>
      <c r="Q1455" s="69"/>
      <c r="R1455" s="59"/>
      <c r="S1455" s="88"/>
      <c r="T1455" s="65"/>
      <c r="U1455" s="88"/>
      <c r="V1455" s="65"/>
    </row>
    <row r="1456">
      <c r="A1456" s="74" t="s">
        <v>3196</v>
      </c>
      <c r="B1456" s="75" t="s">
        <v>129</v>
      </c>
      <c r="C1456" s="75" t="s">
        <v>36</v>
      </c>
      <c r="D1456" s="76" t="str">
        <f t="shared" si="102"/>
        <v>Removed</v>
      </c>
      <c r="E1456" s="90">
        <v>44145.0</v>
      </c>
      <c r="F1456" s="105">
        <v>44515.0</v>
      </c>
      <c r="G1456" s="79">
        <f t="shared" si="2"/>
        <v>12.16666667</v>
      </c>
      <c r="H1456" s="90">
        <v>42691.0</v>
      </c>
      <c r="I1456" s="79">
        <f t="shared" si="3"/>
        <v>3.980555556</v>
      </c>
      <c r="J1456" s="106">
        <v>85.0</v>
      </c>
      <c r="K1456" s="106">
        <v>25.0</v>
      </c>
      <c r="L1456" s="82" t="s">
        <v>64</v>
      </c>
      <c r="M1456" s="82" t="s">
        <v>326</v>
      </c>
      <c r="N1456" s="82"/>
      <c r="O1456" s="82"/>
      <c r="P1456" s="107"/>
      <c r="Q1456" s="82"/>
      <c r="R1456" s="76"/>
      <c r="S1456" s="90"/>
      <c r="T1456" s="79"/>
      <c r="U1456" s="90"/>
      <c r="V1456" s="79"/>
    </row>
    <row r="1457">
      <c r="A1457" s="53" t="s">
        <v>3197</v>
      </c>
      <c r="B1457" s="54" t="s">
        <v>35</v>
      </c>
      <c r="C1457" s="54" t="s">
        <v>36</v>
      </c>
      <c r="D1457" s="59" t="str">
        <f t="shared" si="102"/>
        <v>Removed</v>
      </c>
      <c r="E1457" s="61">
        <v>44007.0</v>
      </c>
      <c r="F1457" s="120">
        <v>44515.0</v>
      </c>
      <c r="G1457" s="65">
        <f t="shared" si="2"/>
        <v>16.66666667</v>
      </c>
      <c r="H1457" s="88">
        <v>43658.0</v>
      </c>
      <c r="I1457" s="65">
        <f t="shared" si="3"/>
        <v>0.9527777778</v>
      </c>
      <c r="J1457" s="121">
        <v>82.0</v>
      </c>
      <c r="K1457" s="121">
        <v>12.0</v>
      </c>
      <c r="L1457" s="69" t="s">
        <v>37</v>
      </c>
      <c r="M1457" s="69"/>
      <c r="N1457" s="69"/>
      <c r="O1457" s="69"/>
      <c r="P1457" s="122"/>
      <c r="Q1457" s="69"/>
      <c r="R1457" s="59"/>
      <c r="S1457" s="88"/>
      <c r="T1457" s="65"/>
      <c r="U1457" s="88"/>
      <c r="V1457" s="65"/>
    </row>
    <row r="1458">
      <c r="A1458" s="226" t="s">
        <v>2166</v>
      </c>
      <c r="B1458" s="75" t="s">
        <v>35</v>
      </c>
      <c r="C1458" s="75" t="s">
        <v>36</v>
      </c>
      <c r="D1458" s="76" t="str">
        <f t="shared" si="102"/>
        <v>Removed</v>
      </c>
      <c r="E1458" s="218">
        <v>43433.0</v>
      </c>
      <c r="F1458" s="105">
        <v>44515.0</v>
      </c>
      <c r="G1458" s="79">
        <f t="shared" si="2"/>
        <v>35.53333333</v>
      </c>
      <c r="H1458" s="90">
        <v>43363.0</v>
      </c>
      <c r="I1458" s="79">
        <f t="shared" si="3"/>
        <v>0.1916666667</v>
      </c>
      <c r="J1458" s="216">
        <v>82.0</v>
      </c>
      <c r="K1458" s="106">
        <v>2.5</v>
      </c>
      <c r="L1458" s="82" t="s">
        <v>96</v>
      </c>
      <c r="M1458" s="82" t="s">
        <v>1747</v>
      </c>
      <c r="N1458" s="83"/>
      <c r="O1458" s="83"/>
      <c r="P1458" s="219"/>
      <c r="Q1458" s="83"/>
      <c r="R1458" s="76"/>
      <c r="S1458" s="90"/>
      <c r="T1458" s="79"/>
      <c r="U1458" s="90"/>
      <c r="V1458" s="79"/>
    </row>
    <row r="1459">
      <c r="A1459" s="53" t="s">
        <v>3198</v>
      </c>
      <c r="B1459" s="54" t="s">
        <v>2984</v>
      </c>
      <c r="C1459" s="59"/>
      <c r="D1459" s="59" t="s">
        <v>2985</v>
      </c>
      <c r="E1459" s="133">
        <v>44485.0</v>
      </c>
      <c r="F1459" s="61">
        <v>44500.0</v>
      </c>
      <c r="G1459" s="65">
        <f t="shared" si="2"/>
        <v>0.4666666667</v>
      </c>
      <c r="H1459" s="88">
        <v>37327.0</v>
      </c>
      <c r="I1459" s="65">
        <f t="shared" si="3"/>
        <v>19.59444444</v>
      </c>
      <c r="J1459" s="121">
        <v>85.0</v>
      </c>
      <c r="K1459" s="121">
        <v>11.5</v>
      </c>
      <c r="L1459" s="69" t="s">
        <v>112</v>
      </c>
      <c r="M1459" s="69"/>
      <c r="N1459" s="69" t="s">
        <v>2761</v>
      </c>
      <c r="O1459" s="69"/>
      <c r="P1459" s="122"/>
      <c r="Q1459" s="69"/>
      <c r="R1459" s="59"/>
      <c r="S1459" s="88"/>
      <c r="T1459" s="65"/>
      <c r="U1459" s="88"/>
      <c r="V1459" s="65"/>
    </row>
    <row r="1460">
      <c r="A1460" s="74" t="s">
        <v>3199</v>
      </c>
      <c r="B1460" s="75" t="s">
        <v>2759</v>
      </c>
      <c r="C1460" s="76"/>
      <c r="D1460" s="76" t="s">
        <v>2760</v>
      </c>
      <c r="E1460" s="218">
        <v>44470.0</v>
      </c>
      <c r="F1460" s="77">
        <v>44500.0</v>
      </c>
      <c r="G1460" s="79">
        <f t="shared" si="2"/>
        <v>0.9666666667</v>
      </c>
      <c r="H1460" s="90">
        <v>42552.0</v>
      </c>
      <c r="I1460" s="79">
        <f t="shared" si="3"/>
        <v>5.25</v>
      </c>
      <c r="J1460" s="106">
        <v>74.0</v>
      </c>
      <c r="K1460" s="106">
        <v>4.0</v>
      </c>
      <c r="L1460" s="82" t="s">
        <v>41</v>
      </c>
      <c r="M1460" s="82"/>
      <c r="N1460" s="82" t="s">
        <v>2761</v>
      </c>
      <c r="O1460" s="82"/>
      <c r="P1460" s="107"/>
      <c r="Q1460" s="82"/>
      <c r="R1460" s="76"/>
      <c r="S1460" s="90"/>
      <c r="T1460" s="79"/>
      <c r="U1460" s="90"/>
      <c r="V1460" s="79"/>
    </row>
    <row r="1461">
      <c r="A1461" s="53" t="s">
        <v>3200</v>
      </c>
      <c r="B1461" s="54" t="s">
        <v>13</v>
      </c>
      <c r="C1461" s="54"/>
      <c r="D1461" s="59" t="str">
        <f t="shared" ref="D1461:D1472" si="103">IF(E1461&gt;TODAY(),"Coming Soon",IF(F1461="","Active",IF(F1461&gt;TODAY(),"Leaving Soon","Removed")))</f>
        <v>Removed</v>
      </c>
      <c r="E1461" s="88">
        <v>44140.0</v>
      </c>
      <c r="F1461" s="120">
        <v>44500.0</v>
      </c>
      <c r="G1461" s="65">
        <f t="shared" si="2"/>
        <v>11.83333333</v>
      </c>
      <c r="H1461" s="88">
        <v>43902.0</v>
      </c>
      <c r="I1461" s="65">
        <f t="shared" si="3"/>
        <v>0.6472222222</v>
      </c>
      <c r="J1461" s="121">
        <v>45.0</v>
      </c>
      <c r="K1461" s="121">
        <v>5.0</v>
      </c>
      <c r="L1461" s="69" t="s">
        <v>37</v>
      </c>
      <c r="M1461" s="69"/>
      <c r="N1461" s="69"/>
      <c r="O1461" s="69"/>
      <c r="P1461" s="122"/>
      <c r="Q1461" s="69"/>
      <c r="R1461" s="54"/>
      <c r="S1461" s="88"/>
      <c r="T1461" s="65"/>
      <c r="U1461" s="88"/>
      <c r="V1461" s="65"/>
    </row>
    <row r="1462">
      <c r="A1462" s="74" t="s">
        <v>3201</v>
      </c>
      <c r="B1462" s="75" t="s">
        <v>35</v>
      </c>
      <c r="C1462" s="75" t="s">
        <v>100</v>
      </c>
      <c r="D1462" s="76" t="str">
        <f t="shared" si="103"/>
        <v>Removed</v>
      </c>
      <c r="E1462" s="90">
        <v>44140.0</v>
      </c>
      <c r="F1462" s="105">
        <v>44500.0</v>
      </c>
      <c r="G1462" s="79">
        <f t="shared" si="2"/>
        <v>11.83333333</v>
      </c>
      <c r="H1462" s="90">
        <v>43509.0</v>
      </c>
      <c r="I1462" s="79">
        <f t="shared" si="3"/>
        <v>1.727777778</v>
      </c>
      <c r="J1462" s="106">
        <v>78.0</v>
      </c>
      <c r="K1462" s="106">
        <v>11.5</v>
      </c>
      <c r="L1462" s="82" t="s">
        <v>135</v>
      </c>
      <c r="M1462" s="82"/>
      <c r="N1462" s="82"/>
      <c r="O1462" s="82"/>
      <c r="P1462" s="107"/>
      <c r="Q1462" s="82"/>
      <c r="R1462" s="76"/>
      <c r="S1462" s="90"/>
      <c r="T1462" s="79"/>
      <c r="U1462" s="90"/>
      <c r="V1462" s="79"/>
    </row>
    <row r="1463">
      <c r="A1463" s="53" t="s">
        <v>1565</v>
      </c>
      <c r="B1463" s="54" t="s">
        <v>35</v>
      </c>
      <c r="C1463" s="54"/>
      <c r="D1463" s="59" t="str">
        <f t="shared" si="103"/>
        <v>Removed</v>
      </c>
      <c r="E1463" s="88">
        <v>44140.0</v>
      </c>
      <c r="F1463" s="120">
        <v>44500.0</v>
      </c>
      <c r="G1463" s="65">
        <f t="shared" si="2"/>
        <v>11.83333333</v>
      </c>
      <c r="H1463" s="88">
        <v>43704.0</v>
      </c>
      <c r="I1463" s="65">
        <f t="shared" si="3"/>
        <v>1.188888889</v>
      </c>
      <c r="J1463" s="121">
        <v>79.0</v>
      </c>
      <c r="K1463" s="121">
        <v>7.5</v>
      </c>
      <c r="L1463" s="69" t="s">
        <v>46</v>
      </c>
      <c r="M1463" s="69"/>
      <c r="N1463" s="69"/>
      <c r="O1463" s="69"/>
      <c r="P1463" s="122"/>
      <c r="Q1463" s="69"/>
      <c r="R1463" s="59"/>
      <c r="S1463" s="88"/>
      <c r="T1463" s="65"/>
      <c r="U1463" s="88"/>
      <c r="V1463" s="65"/>
    </row>
    <row r="1464">
      <c r="A1464" s="74" t="s">
        <v>2091</v>
      </c>
      <c r="B1464" s="75" t="s">
        <v>35</v>
      </c>
      <c r="C1464" s="75" t="s">
        <v>36</v>
      </c>
      <c r="D1464" s="76" t="str">
        <f t="shared" si="103"/>
        <v>Removed</v>
      </c>
      <c r="E1464" s="90">
        <v>44133.0</v>
      </c>
      <c r="F1464" s="105">
        <v>44500.0</v>
      </c>
      <c r="G1464" s="79">
        <f t="shared" si="2"/>
        <v>12.03333333</v>
      </c>
      <c r="H1464" s="90">
        <v>41869.0</v>
      </c>
      <c r="I1464" s="79">
        <f t="shared" si="3"/>
        <v>6.197222222</v>
      </c>
      <c r="J1464" s="106">
        <v>78.0</v>
      </c>
      <c r="K1464" s="106">
        <v>2.0</v>
      </c>
      <c r="L1464" s="82" t="s">
        <v>81</v>
      </c>
      <c r="M1464" s="82"/>
      <c r="N1464" s="82"/>
      <c r="O1464" s="82"/>
      <c r="P1464" s="107"/>
      <c r="Q1464" s="82"/>
      <c r="R1464" s="76"/>
      <c r="S1464" s="90"/>
      <c r="T1464" s="79"/>
      <c r="U1464" s="90"/>
      <c r="V1464" s="79"/>
    </row>
    <row r="1465">
      <c r="A1465" s="53" t="s">
        <v>2093</v>
      </c>
      <c r="B1465" s="54" t="s">
        <v>35</v>
      </c>
      <c r="C1465" s="54" t="s">
        <v>36</v>
      </c>
      <c r="D1465" s="59" t="str">
        <f t="shared" si="103"/>
        <v>Removed</v>
      </c>
      <c r="E1465" s="88">
        <v>44133.0</v>
      </c>
      <c r="F1465" s="120">
        <v>44500.0</v>
      </c>
      <c r="G1465" s="65">
        <f t="shared" si="2"/>
        <v>12.03333333</v>
      </c>
      <c r="H1465" s="88">
        <v>41953.0</v>
      </c>
      <c r="I1465" s="65">
        <f t="shared" si="3"/>
        <v>5.969444444</v>
      </c>
      <c r="J1465" s="121">
        <v>62.0</v>
      </c>
      <c r="K1465" s="121">
        <v>2.5</v>
      </c>
      <c r="L1465" s="69" t="s">
        <v>81</v>
      </c>
      <c r="M1465" s="69"/>
      <c r="N1465" s="69"/>
      <c r="O1465" s="69"/>
      <c r="P1465" s="122"/>
      <c r="Q1465" s="69"/>
      <c r="R1465" s="59"/>
      <c r="S1465" s="88"/>
      <c r="T1465" s="65"/>
      <c r="U1465" s="88"/>
      <c r="V1465" s="65"/>
    </row>
    <row r="1466">
      <c r="A1466" s="74" t="s">
        <v>2094</v>
      </c>
      <c r="B1466" s="75" t="s">
        <v>35</v>
      </c>
      <c r="C1466" s="75" t="s">
        <v>36</v>
      </c>
      <c r="D1466" s="76" t="str">
        <f t="shared" si="103"/>
        <v>Removed</v>
      </c>
      <c r="E1466" s="90">
        <v>44133.0</v>
      </c>
      <c r="F1466" s="105">
        <v>44500.0</v>
      </c>
      <c r="G1466" s="79">
        <f t="shared" si="2"/>
        <v>12.03333333</v>
      </c>
      <c r="H1466" s="90">
        <v>42065.0</v>
      </c>
      <c r="I1466" s="79">
        <f t="shared" si="3"/>
        <v>5.658333333</v>
      </c>
      <c r="J1466" s="106">
        <v>68.0</v>
      </c>
      <c r="K1466" s="106">
        <v>2.0</v>
      </c>
      <c r="L1466" s="82" t="s">
        <v>135</v>
      </c>
      <c r="M1466" s="82"/>
      <c r="N1466" s="82"/>
      <c r="O1466" s="82"/>
      <c r="P1466" s="107"/>
      <c r="Q1466" s="82"/>
      <c r="R1466" s="76"/>
      <c r="S1466" s="90"/>
      <c r="T1466" s="79"/>
      <c r="U1466" s="90"/>
      <c r="V1466" s="79"/>
    </row>
    <row r="1467">
      <c r="A1467" s="53" t="s">
        <v>2096</v>
      </c>
      <c r="B1467" s="54" t="s">
        <v>35</v>
      </c>
      <c r="C1467" s="54" t="s">
        <v>36</v>
      </c>
      <c r="D1467" s="59" t="str">
        <f t="shared" si="103"/>
        <v>Removed</v>
      </c>
      <c r="E1467" s="88">
        <v>44133.0</v>
      </c>
      <c r="F1467" s="120">
        <v>44500.0</v>
      </c>
      <c r="G1467" s="65">
        <f t="shared" si="2"/>
        <v>12.03333333</v>
      </c>
      <c r="H1467" s="88">
        <v>42208.0</v>
      </c>
      <c r="I1467" s="65">
        <f t="shared" si="3"/>
        <v>5.266666667</v>
      </c>
      <c r="J1467" s="121">
        <v>51.0</v>
      </c>
      <c r="K1467" s="121">
        <v>2.0</v>
      </c>
      <c r="L1467" s="69" t="s">
        <v>135</v>
      </c>
      <c r="M1467" s="69"/>
      <c r="N1467" s="69"/>
      <c r="O1467" s="69"/>
      <c r="P1467" s="122"/>
      <c r="Q1467" s="69"/>
      <c r="R1467" s="59"/>
      <c r="S1467" s="88"/>
      <c r="T1467" s="65"/>
      <c r="U1467" s="88"/>
      <c r="V1467" s="65"/>
    </row>
    <row r="1468">
      <c r="A1468" s="74" t="s">
        <v>3202</v>
      </c>
      <c r="B1468" s="75" t="s">
        <v>35</v>
      </c>
      <c r="C1468" s="75" t="s">
        <v>36</v>
      </c>
      <c r="D1468" s="76" t="str">
        <f t="shared" si="103"/>
        <v>Removed</v>
      </c>
      <c r="E1468" s="90">
        <v>44133.0</v>
      </c>
      <c r="F1468" s="105">
        <v>44500.0</v>
      </c>
      <c r="G1468" s="79">
        <f t="shared" si="2"/>
        <v>12.03333333</v>
      </c>
      <c r="H1468" s="90">
        <v>43488.0</v>
      </c>
      <c r="I1468" s="79">
        <f t="shared" si="3"/>
        <v>1.766666667</v>
      </c>
      <c r="J1468" s="106">
        <f>(77+81)/2</f>
        <v>79</v>
      </c>
      <c r="K1468" s="106">
        <v>8.0</v>
      </c>
      <c r="L1468" s="82" t="s">
        <v>57</v>
      </c>
      <c r="M1468" s="82" t="s">
        <v>1747</v>
      </c>
      <c r="N1468" s="82"/>
      <c r="O1468" s="82"/>
      <c r="P1468" s="107"/>
      <c r="Q1468" s="82"/>
      <c r="R1468" s="76"/>
      <c r="S1468" s="90"/>
      <c r="T1468" s="79"/>
      <c r="U1468" s="90"/>
      <c r="V1468" s="79"/>
    </row>
    <row r="1469">
      <c r="A1469" s="53" t="s">
        <v>3203</v>
      </c>
      <c r="B1469" s="54" t="s">
        <v>35</v>
      </c>
      <c r="C1469" s="54"/>
      <c r="D1469" s="59" t="str">
        <f t="shared" si="103"/>
        <v>Removed</v>
      </c>
      <c r="E1469" s="88">
        <v>44131.0</v>
      </c>
      <c r="F1469" s="120">
        <v>44500.0</v>
      </c>
      <c r="G1469" s="65">
        <f t="shared" si="2"/>
        <v>12.1</v>
      </c>
      <c r="H1469" s="88">
        <v>44131.0</v>
      </c>
      <c r="I1469" s="65">
        <f t="shared" si="3"/>
        <v>0</v>
      </c>
      <c r="J1469" s="121">
        <v>73.0</v>
      </c>
      <c r="K1469" s="121">
        <v>6.0</v>
      </c>
      <c r="L1469" s="69" t="s">
        <v>96</v>
      </c>
      <c r="M1469" s="69"/>
      <c r="N1469" s="69"/>
      <c r="O1469" s="69"/>
      <c r="P1469" s="122"/>
      <c r="Q1469" s="69"/>
      <c r="R1469" s="59"/>
      <c r="S1469" s="88"/>
      <c r="T1469" s="65"/>
      <c r="U1469" s="88"/>
      <c r="V1469" s="65"/>
    </row>
    <row r="1470">
      <c r="A1470" s="74" t="s">
        <v>3204</v>
      </c>
      <c r="B1470" s="75" t="s">
        <v>13</v>
      </c>
      <c r="C1470" s="75"/>
      <c r="D1470" s="76" t="str">
        <f t="shared" si="103"/>
        <v>Removed</v>
      </c>
      <c r="E1470" s="90">
        <v>44273.0</v>
      </c>
      <c r="F1470" s="105">
        <v>44492.0</v>
      </c>
      <c r="G1470" s="79">
        <f t="shared" si="2"/>
        <v>7.166666667</v>
      </c>
      <c r="H1470" s="90">
        <v>42992.0</v>
      </c>
      <c r="I1470" s="79">
        <f t="shared" si="3"/>
        <v>3.511111111</v>
      </c>
      <c r="J1470" s="189">
        <v>83.0</v>
      </c>
      <c r="K1470" s="106">
        <v>7.5</v>
      </c>
      <c r="L1470" s="82" t="s">
        <v>135</v>
      </c>
      <c r="M1470" s="82"/>
      <c r="N1470" s="82"/>
      <c r="O1470" s="82"/>
      <c r="P1470" s="107"/>
      <c r="Q1470" s="82"/>
      <c r="R1470" s="75"/>
      <c r="S1470" s="90"/>
      <c r="T1470" s="79"/>
      <c r="U1470" s="90"/>
      <c r="V1470" s="79"/>
    </row>
    <row r="1471">
      <c r="A1471" s="53" t="s">
        <v>3205</v>
      </c>
      <c r="B1471" s="54" t="s">
        <v>13</v>
      </c>
      <c r="C1471" s="54"/>
      <c r="D1471" s="59" t="str">
        <f t="shared" si="103"/>
        <v>Removed</v>
      </c>
      <c r="E1471" s="88">
        <v>44273.0</v>
      </c>
      <c r="F1471" s="120">
        <v>44492.0</v>
      </c>
      <c r="G1471" s="65">
        <f t="shared" si="2"/>
        <v>7.166666667</v>
      </c>
      <c r="H1471" s="88">
        <v>43242.0</v>
      </c>
      <c r="I1471" s="65">
        <f t="shared" si="3"/>
        <v>2.822222222</v>
      </c>
      <c r="J1471" s="121">
        <v>73.0</v>
      </c>
      <c r="K1471" s="121">
        <v>4.0</v>
      </c>
      <c r="L1471" s="69" t="s">
        <v>57</v>
      </c>
      <c r="M1471" s="69"/>
      <c r="N1471" s="69"/>
      <c r="O1471" s="69"/>
      <c r="P1471" s="122"/>
      <c r="Q1471" s="69" t="s">
        <v>2841</v>
      </c>
      <c r="R1471" s="54"/>
      <c r="S1471" s="88"/>
      <c r="T1471" s="65"/>
      <c r="U1471" s="88"/>
      <c r="V1471" s="65"/>
    </row>
    <row r="1472">
      <c r="A1472" s="226" t="s">
        <v>3206</v>
      </c>
      <c r="B1472" s="75" t="s">
        <v>13</v>
      </c>
      <c r="C1472" s="76"/>
      <c r="D1472" s="76" t="str">
        <f t="shared" si="103"/>
        <v>Removed</v>
      </c>
      <c r="E1472" s="218">
        <v>43374.0</v>
      </c>
      <c r="F1472" s="77">
        <v>44492.0</v>
      </c>
      <c r="G1472" s="79">
        <f t="shared" si="2"/>
        <v>36.73333333</v>
      </c>
      <c r="H1472" s="90">
        <v>42724.0</v>
      </c>
      <c r="I1472" s="79">
        <f t="shared" si="3"/>
        <v>1.780555556</v>
      </c>
      <c r="J1472" s="106">
        <v>76.0</v>
      </c>
      <c r="K1472" s="106">
        <v>6.0</v>
      </c>
      <c r="L1472" s="83" t="s">
        <v>57</v>
      </c>
      <c r="M1472" s="83"/>
      <c r="N1472" s="83"/>
      <c r="O1472" s="83"/>
      <c r="P1472" s="219"/>
      <c r="Q1472" s="83"/>
      <c r="R1472" s="75"/>
      <c r="S1472" s="90"/>
      <c r="T1472" s="79"/>
      <c r="U1472" s="90"/>
      <c r="V1472" s="79"/>
    </row>
    <row r="1473">
      <c r="A1473" s="53" t="s">
        <v>3207</v>
      </c>
      <c r="B1473" s="54" t="s">
        <v>2984</v>
      </c>
      <c r="C1473" s="59"/>
      <c r="D1473" s="59" t="s">
        <v>2985</v>
      </c>
      <c r="E1473" s="133">
        <v>44470.0</v>
      </c>
      <c r="F1473" s="61">
        <v>44484.0</v>
      </c>
      <c r="G1473" s="65">
        <f t="shared" si="2"/>
        <v>0.4666666667</v>
      </c>
      <c r="H1473" s="88">
        <v>41409.0</v>
      </c>
      <c r="I1473" s="65">
        <f t="shared" si="3"/>
        <v>8.377777778</v>
      </c>
      <c r="J1473" s="121">
        <v>74.0</v>
      </c>
      <c r="K1473" s="121">
        <v>10.0</v>
      </c>
      <c r="L1473" s="69" t="s">
        <v>105</v>
      </c>
      <c r="M1473" s="69"/>
      <c r="N1473" s="69" t="s">
        <v>2761</v>
      </c>
      <c r="O1473" s="69"/>
      <c r="P1473" s="122"/>
      <c r="Q1473" s="69"/>
      <c r="R1473" s="59"/>
      <c r="S1473" s="88"/>
      <c r="T1473" s="65"/>
      <c r="U1473" s="88"/>
      <c r="V1473" s="65"/>
    </row>
    <row r="1474">
      <c r="A1474" s="74" t="s">
        <v>3208</v>
      </c>
      <c r="B1474" s="75" t="s">
        <v>2759</v>
      </c>
      <c r="C1474" s="76"/>
      <c r="D1474" s="76" t="s">
        <v>2760</v>
      </c>
      <c r="E1474" s="218">
        <v>44455.0</v>
      </c>
      <c r="F1474" s="77">
        <v>44484.0</v>
      </c>
      <c r="G1474" s="79">
        <f t="shared" si="2"/>
        <v>0.9666666667</v>
      </c>
      <c r="H1474" s="90">
        <v>42878.0</v>
      </c>
      <c r="I1474" s="79">
        <f t="shared" si="3"/>
        <v>4.313888889</v>
      </c>
      <c r="J1474" s="106">
        <v>70.0</v>
      </c>
      <c r="K1474" s="106">
        <v>6.0</v>
      </c>
      <c r="L1474" s="82" t="s">
        <v>135</v>
      </c>
      <c r="M1474" s="82"/>
      <c r="N1474" s="82"/>
      <c r="O1474" s="82"/>
      <c r="P1474" s="107"/>
      <c r="Q1474" s="82"/>
      <c r="R1474" s="76"/>
      <c r="S1474" s="90"/>
      <c r="T1474" s="79"/>
      <c r="U1474" s="90"/>
      <c r="V1474" s="79"/>
    </row>
    <row r="1475">
      <c r="A1475" s="53" t="s">
        <v>3209</v>
      </c>
      <c r="B1475" s="54" t="s">
        <v>35</v>
      </c>
      <c r="C1475" s="54" t="s">
        <v>100</v>
      </c>
      <c r="D1475" s="59" t="str">
        <f t="shared" ref="D1475:D1480" si="104">IF(E1475&gt;TODAY(),"Coming Soon",IF(F1475="","Active",IF(F1475&gt;TODAY(),"Leaving Soon","Removed")))</f>
        <v>Removed</v>
      </c>
      <c r="E1475" s="88">
        <v>44127.0</v>
      </c>
      <c r="F1475" s="120">
        <v>44484.0</v>
      </c>
      <c r="G1475" s="65">
        <f t="shared" si="2"/>
        <v>11.73333333</v>
      </c>
      <c r="H1475" s="88">
        <v>44126.0</v>
      </c>
      <c r="I1475" s="65">
        <f t="shared" si="3"/>
        <v>0.002777777778</v>
      </c>
      <c r="J1475" s="121">
        <v>75.0</v>
      </c>
      <c r="K1475" s="121">
        <v>7.0</v>
      </c>
      <c r="L1475" s="69" t="s">
        <v>57</v>
      </c>
      <c r="M1475" s="69" t="s">
        <v>326</v>
      </c>
      <c r="N1475" s="69"/>
      <c r="O1475" s="69"/>
      <c r="P1475" s="122"/>
      <c r="Q1475" s="69"/>
      <c r="R1475" s="59"/>
      <c r="S1475" s="88"/>
      <c r="T1475" s="65"/>
      <c r="U1475" s="88"/>
      <c r="V1475" s="65"/>
    </row>
    <row r="1476">
      <c r="A1476" s="74" t="s">
        <v>3210</v>
      </c>
      <c r="B1476" s="75" t="s">
        <v>13</v>
      </c>
      <c r="C1476" s="75"/>
      <c r="D1476" s="76" t="str">
        <f t="shared" si="104"/>
        <v>Removed</v>
      </c>
      <c r="E1476" s="90">
        <v>44119.0</v>
      </c>
      <c r="F1476" s="105">
        <v>44484.0</v>
      </c>
      <c r="G1476" s="79">
        <f t="shared" si="2"/>
        <v>12</v>
      </c>
      <c r="H1476" s="90">
        <v>43706.0</v>
      </c>
      <c r="I1476" s="79">
        <f t="shared" si="3"/>
        <v>1.127777778</v>
      </c>
      <c r="J1476" s="106">
        <v>76.0</v>
      </c>
      <c r="K1476" s="106">
        <v>3.5</v>
      </c>
      <c r="L1476" s="82" t="s">
        <v>57</v>
      </c>
      <c r="M1476" s="82"/>
      <c r="N1476" s="82"/>
      <c r="O1476" s="82"/>
      <c r="P1476" s="107"/>
      <c r="Q1476" s="82"/>
      <c r="R1476" s="75"/>
      <c r="S1476" s="90"/>
      <c r="T1476" s="79"/>
      <c r="U1476" s="90"/>
      <c r="V1476" s="79"/>
    </row>
    <row r="1477">
      <c r="A1477" s="53" t="s">
        <v>3211</v>
      </c>
      <c r="B1477" s="54" t="s">
        <v>35</v>
      </c>
      <c r="C1477" s="54" t="s">
        <v>36</v>
      </c>
      <c r="D1477" s="59" t="str">
        <f t="shared" si="104"/>
        <v>Removed</v>
      </c>
      <c r="E1477" s="88">
        <v>44119.0</v>
      </c>
      <c r="F1477" s="120">
        <v>44484.0</v>
      </c>
      <c r="G1477" s="65">
        <f t="shared" si="2"/>
        <v>12</v>
      </c>
      <c r="H1477" s="88">
        <v>43572.0</v>
      </c>
      <c r="I1477" s="65">
        <f t="shared" si="3"/>
        <v>1.494444444</v>
      </c>
      <c r="J1477" s="121">
        <v>83.0</v>
      </c>
      <c r="K1477" s="121">
        <v>4.5</v>
      </c>
      <c r="L1477" s="69" t="s">
        <v>57</v>
      </c>
      <c r="M1477" s="69"/>
      <c r="N1477" s="69"/>
      <c r="O1477" s="69"/>
      <c r="P1477" s="122"/>
      <c r="Q1477" s="69"/>
      <c r="R1477" s="59"/>
      <c r="S1477" s="88"/>
      <c r="T1477" s="65"/>
      <c r="U1477" s="88"/>
      <c r="V1477" s="65"/>
    </row>
    <row r="1478">
      <c r="A1478" s="74" t="s">
        <v>3212</v>
      </c>
      <c r="B1478" s="75" t="s">
        <v>35</v>
      </c>
      <c r="C1478" s="75"/>
      <c r="D1478" s="76" t="str">
        <f t="shared" si="104"/>
        <v>Removed</v>
      </c>
      <c r="E1478" s="90">
        <v>44119.0</v>
      </c>
      <c r="F1478" s="105">
        <v>44484.0</v>
      </c>
      <c r="G1478" s="79">
        <f t="shared" si="2"/>
        <v>12</v>
      </c>
      <c r="H1478" s="90">
        <v>43476.0</v>
      </c>
      <c r="I1478" s="79">
        <f t="shared" si="3"/>
        <v>1.761111111</v>
      </c>
      <c r="J1478" s="106">
        <v>80.0</v>
      </c>
      <c r="K1478" s="106">
        <v>46.0</v>
      </c>
      <c r="L1478" s="82" t="s">
        <v>46</v>
      </c>
      <c r="M1478" s="82"/>
      <c r="N1478" s="82"/>
      <c r="O1478" s="82"/>
      <c r="P1478" s="107"/>
      <c r="Q1478" s="82"/>
      <c r="R1478" s="76"/>
      <c r="S1478" s="90"/>
      <c r="T1478" s="79"/>
      <c r="U1478" s="90"/>
      <c r="V1478" s="79"/>
    </row>
    <row r="1479">
      <c r="A1479" s="53" t="s">
        <v>3213</v>
      </c>
      <c r="B1479" s="54" t="s">
        <v>13</v>
      </c>
      <c r="C1479" s="54"/>
      <c r="D1479" s="59" t="str">
        <f t="shared" si="104"/>
        <v>Removed</v>
      </c>
      <c r="E1479" s="88">
        <v>44119.0</v>
      </c>
      <c r="F1479" s="120">
        <v>44484.0</v>
      </c>
      <c r="G1479" s="65">
        <f t="shared" si="2"/>
        <v>12</v>
      </c>
      <c r="H1479" s="88">
        <v>43214.0</v>
      </c>
      <c r="I1479" s="65">
        <f t="shared" si="3"/>
        <v>2.475</v>
      </c>
      <c r="J1479" s="121">
        <v>76.0</v>
      </c>
      <c r="K1479" s="121">
        <v>7.0</v>
      </c>
      <c r="L1479" s="69" t="s">
        <v>46</v>
      </c>
      <c r="M1479" s="69"/>
      <c r="N1479" s="69"/>
      <c r="O1479" s="69"/>
      <c r="P1479" s="122"/>
      <c r="Q1479" s="69"/>
      <c r="R1479" s="54"/>
      <c r="S1479" s="88"/>
      <c r="T1479" s="65"/>
      <c r="U1479" s="88"/>
      <c r="V1479" s="65"/>
    </row>
    <row r="1480">
      <c r="A1480" s="74" t="s">
        <v>2149</v>
      </c>
      <c r="B1480" s="75" t="s">
        <v>35</v>
      </c>
      <c r="C1480" s="75" t="s">
        <v>100</v>
      </c>
      <c r="D1480" s="76" t="str">
        <f t="shared" si="104"/>
        <v>Removed</v>
      </c>
      <c r="E1480" s="218">
        <v>43867.0</v>
      </c>
      <c r="F1480" s="105">
        <v>44484.0</v>
      </c>
      <c r="G1480" s="79">
        <f t="shared" si="2"/>
        <v>20.3</v>
      </c>
      <c r="H1480" s="90">
        <v>43867.0</v>
      </c>
      <c r="I1480" s="79">
        <f t="shared" si="3"/>
        <v>0</v>
      </c>
      <c r="J1480" s="106">
        <f>(75+76)/2</f>
        <v>75.5</v>
      </c>
      <c r="K1480" s="106">
        <v>2.0</v>
      </c>
      <c r="L1480" s="83" t="s">
        <v>57</v>
      </c>
      <c r="M1480" s="83"/>
      <c r="N1480" s="83"/>
      <c r="O1480" s="83"/>
      <c r="P1480" s="219"/>
      <c r="Q1480" s="83"/>
      <c r="R1480" s="76"/>
      <c r="S1480" s="90"/>
      <c r="T1480" s="79"/>
      <c r="U1480" s="90"/>
      <c r="V1480" s="79"/>
    </row>
    <row r="1481">
      <c r="A1481" s="53" t="s">
        <v>3214</v>
      </c>
      <c r="B1481" s="54" t="s">
        <v>2984</v>
      </c>
      <c r="C1481" s="59"/>
      <c r="D1481" s="59" t="s">
        <v>2985</v>
      </c>
      <c r="E1481" s="133">
        <v>44455.0</v>
      </c>
      <c r="F1481" s="61">
        <v>44469.0</v>
      </c>
      <c r="G1481" s="65">
        <f t="shared" si="2"/>
        <v>0.4666666667</v>
      </c>
      <c r="H1481" s="88">
        <v>34864.0</v>
      </c>
      <c r="I1481" s="65">
        <f t="shared" si="3"/>
        <v>26.25555556</v>
      </c>
      <c r="J1481" s="121">
        <v>80.0</v>
      </c>
      <c r="K1481" s="121">
        <v>1.0</v>
      </c>
      <c r="L1481" s="69" t="s">
        <v>52</v>
      </c>
      <c r="M1481" s="69"/>
      <c r="N1481" s="69" t="s">
        <v>2761</v>
      </c>
      <c r="O1481" s="69"/>
      <c r="P1481" s="122"/>
      <c r="Q1481" s="69"/>
      <c r="R1481" s="59"/>
      <c r="S1481" s="88"/>
      <c r="T1481" s="65"/>
      <c r="U1481" s="88"/>
      <c r="V1481" s="65"/>
    </row>
    <row r="1482">
      <c r="A1482" s="74" t="s">
        <v>3215</v>
      </c>
      <c r="B1482" s="75" t="s">
        <v>2759</v>
      </c>
      <c r="C1482" s="76"/>
      <c r="D1482" s="76" t="s">
        <v>2760</v>
      </c>
      <c r="E1482" s="218">
        <v>44440.0</v>
      </c>
      <c r="F1482" s="77">
        <v>44469.0</v>
      </c>
      <c r="G1482" s="79">
        <f t="shared" si="2"/>
        <v>0.9666666667</v>
      </c>
      <c r="H1482" s="90">
        <v>43616.0</v>
      </c>
      <c r="I1482" s="79">
        <f t="shared" si="3"/>
        <v>2.252777778</v>
      </c>
      <c r="J1482" s="106">
        <v>64.0</v>
      </c>
      <c r="K1482" s="106">
        <v>13.0</v>
      </c>
      <c r="L1482" s="82" t="s">
        <v>105</v>
      </c>
      <c r="M1482" s="82"/>
      <c r="N1482" s="82"/>
      <c r="O1482" s="82"/>
      <c r="P1482" s="107"/>
      <c r="Q1482" s="82"/>
      <c r="R1482" s="76"/>
      <c r="S1482" s="90"/>
      <c r="T1482" s="79"/>
      <c r="U1482" s="90"/>
      <c r="V1482" s="79"/>
    </row>
    <row r="1483">
      <c r="A1483" s="53" t="s">
        <v>3216</v>
      </c>
      <c r="B1483" s="54" t="s">
        <v>35</v>
      </c>
      <c r="C1483" s="54" t="s">
        <v>100</v>
      </c>
      <c r="D1483" s="59" t="str">
        <f t="shared" ref="D1483:D1486" si="105">IF(E1483&gt;TODAY(),"Coming Soon",IF(F1483="","Active",IF(F1483&gt;TODAY(),"Leaving Soon","Removed")))</f>
        <v>Removed</v>
      </c>
      <c r="E1483" s="88">
        <v>44112.0</v>
      </c>
      <c r="F1483" s="120">
        <v>44469.0</v>
      </c>
      <c r="G1483" s="65">
        <f t="shared" si="2"/>
        <v>11.73333333</v>
      </c>
      <c r="H1483" s="88">
        <v>44112.0</v>
      </c>
      <c r="I1483" s="65">
        <f t="shared" si="3"/>
        <v>0</v>
      </c>
      <c r="J1483" s="121">
        <v>74.0</v>
      </c>
      <c r="K1483" s="121">
        <v>19.0</v>
      </c>
      <c r="L1483" s="69" t="s">
        <v>46</v>
      </c>
      <c r="M1483" s="69"/>
      <c r="N1483" s="69"/>
      <c r="O1483" s="69"/>
      <c r="P1483" s="122"/>
      <c r="Q1483" s="69"/>
      <c r="R1483" s="59"/>
      <c r="S1483" s="88"/>
      <c r="T1483" s="65"/>
      <c r="U1483" s="88"/>
      <c r="V1483" s="65"/>
    </row>
    <row r="1484">
      <c r="A1484" s="74" t="s">
        <v>3217</v>
      </c>
      <c r="B1484" s="75" t="s">
        <v>13</v>
      </c>
      <c r="C1484" s="75"/>
      <c r="D1484" s="76" t="str">
        <f t="shared" si="105"/>
        <v>Removed</v>
      </c>
      <c r="E1484" s="90">
        <v>44098.0</v>
      </c>
      <c r="F1484" s="105">
        <v>44469.0</v>
      </c>
      <c r="G1484" s="79">
        <f t="shared" si="2"/>
        <v>12.2</v>
      </c>
      <c r="H1484" s="90">
        <v>42495.0</v>
      </c>
      <c r="I1484" s="79">
        <f t="shared" si="3"/>
        <v>4.386111111</v>
      </c>
      <c r="J1484" s="106">
        <v>77.0</v>
      </c>
      <c r="K1484" s="106">
        <v>5.5</v>
      </c>
      <c r="L1484" s="82" t="s">
        <v>135</v>
      </c>
      <c r="M1484" s="82"/>
      <c r="N1484" s="82"/>
      <c r="O1484" s="82"/>
      <c r="P1484" s="107"/>
      <c r="Q1484" s="82"/>
      <c r="R1484" s="75"/>
      <c r="S1484" s="90"/>
      <c r="T1484" s="79"/>
      <c r="U1484" s="90"/>
      <c r="V1484" s="79"/>
    </row>
    <row r="1485">
      <c r="A1485" s="53" t="s">
        <v>3218</v>
      </c>
      <c r="B1485" s="54" t="s">
        <v>35</v>
      </c>
      <c r="C1485" s="54" t="s">
        <v>36</v>
      </c>
      <c r="D1485" s="59" t="str">
        <f t="shared" si="105"/>
        <v>Removed</v>
      </c>
      <c r="E1485" s="88">
        <v>44098.0</v>
      </c>
      <c r="F1485" s="120">
        <v>44469.0</v>
      </c>
      <c r="G1485" s="65">
        <f t="shared" si="2"/>
        <v>12.2</v>
      </c>
      <c r="H1485" s="88">
        <v>42787.0</v>
      </c>
      <c r="I1485" s="65">
        <f t="shared" si="3"/>
        <v>3.591666667</v>
      </c>
      <c r="J1485" s="121">
        <f>(75+88)/2</f>
        <v>81.5</v>
      </c>
      <c r="K1485" s="121">
        <v>8.5</v>
      </c>
      <c r="L1485" s="69" t="s">
        <v>57</v>
      </c>
      <c r="M1485" s="69"/>
      <c r="N1485" s="69"/>
      <c r="O1485" s="69"/>
      <c r="P1485" s="122"/>
      <c r="Q1485" s="69"/>
      <c r="R1485" s="59"/>
      <c r="S1485" s="88"/>
      <c r="T1485" s="65"/>
      <c r="U1485" s="88"/>
      <c r="V1485" s="65"/>
    </row>
    <row r="1486">
      <c r="A1486" s="74" t="s">
        <v>2077</v>
      </c>
      <c r="B1486" s="75" t="s">
        <v>35</v>
      </c>
      <c r="C1486" s="75" t="s">
        <v>36</v>
      </c>
      <c r="D1486" s="76" t="str">
        <f t="shared" si="105"/>
        <v>Removed</v>
      </c>
      <c r="E1486" s="77">
        <v>44071.0</v>
      </c>
      <c r="F1486" s="105">
        <v>44469.0</v>
      </c>
      <c r="G1486" s="79">
        <f t="shared" si="2"/>
        <v>13.06666667</v>
      </c>
      <c r="H1486" s="77">
        <v>44071.0</v>
      </c>
      <c r="I1486" s="79">
        <f t="shared" si="3"/>
        <v>0</v>
      </c>
      <c r="J1486" s="106">
        <v>78.0</v>
      </c>
      <c r="K1486" s="106">
        <v>10.0</v>
      </c>
      <c r="L1486" s="82" t="s">
        <v>41</v>
      </c>
      <c r="M1486" s="82"/>
      <c r="N1486" s="82"/>
      <c r="O1486" s="82"/>
      <c r="P1486" s="107"/>
      <c r="Q1486" s="82"/>
      <c r="R1486" s="76"/>
      <c r="S1486" s="90"/>
      <c r="T1486" s="79"/>
      <c r="U1486" s="90"/>
      <c r="V1486" s="79"/>
    </row>
    <row r="1487">
      <c r="A1487" s="53" t="s">
        <v>3219</v>
      </c>
      <c r="B1487" s="54" t="s">
        <v>2984</v>
      </c>
      <c r="C1487" s="59"/>
      <c r="D1487" s="59" t="s">
        <v>2985</v>
      </c>
      <c r="E1487" s="133">
        <v>44440.0</v>
      </c>
      <c r="F1487" s="61">
        <v>44454.0</v>
      </c>
      <c r="G1487" s="65">
        <f t="shared" si="2"/>
        <v>0.4666666667</v>
      </c>
      <c r="H1487" s="88">
        <v>41527.0</v>
      </c>
      <c r="I1487" s="65">
        <f t="shared" si="3"/>
        <v>7.975</v>
      </c>
      <c r="J1487" s="121">
        <v>72.0</v>
      </c>
      <c r="K1487" s="121">
        <v>11.0</v>
      </c>
      <c r="L1487" s="69" t="s">
        <v>105</v>
      </c>
      <c r="M1487" s="69"/>
      <c r="N1487" s="69" t="s">
        <v>2761</v>
      </c>
      <c r="O1487" s="69"/>
      <c r="P1487" s="122"/>
      <c r="Q1487" s="69"/>
      <c r="R1487" s="59"/>
      <c r="S1487" s="88"/>
      <c r="T1487" s="65"/>
      <c r="U1487" s="88"/>
      <c r="V1487" s="65"/>
    </row>
    <row r="1488">
      <c r="A1488" s="74" t="s">
        <v>3220</v>
      </c>
      <c r="B1488" s="75" t="s">
        <v>2759</v>
      </c>
      <c r="C1488" s="76"/>
      <c r="D1488" s="76" t="s">
        <v>2760</v>
      </c>
      <c r="E1488" s="218">
        <v>44424.0</v>
      </c>
      <c r="F1488" s="77">
        <v>44454.0</v>
      </c>
      <c r="G1488" s="79">
        <f t="shared" si="2"/>
        <v>0.9666666667</v>
      </c>
      <c r="H1488" s="90">
        <v>42836.0</v>
      </c>
      <c r="I1488" s="79">
        <f t="shared" si="3"/>
        <v>4.347222222</v>
      </c>
      <c r="J1488" s="106">
        <v>68.0</v>
      </c>
      <c r="K1488" s="106">
        <v>12.0</v>
      </c>
      <c r="L1488" s="82" t="s">
        <v>57</v>
      </c>
      <c r="M1488" s="82"/>
      <c r="N1488" s="82"/>
      <c r="O1488" s="82"/>
      <c r="P1488" s="107"/>
      <c r="Q1488" s="82"/>
      <c r="R1488" s="76"/>
      <c r="S1488" s="90"/>
      <c r="T1488" s="79"/>
      <c r="U1488" s="90"/>
      <c r="V1488" s="79"/>
    </row>
    <row r="1489">
      <c r="A1489" s="53" t="s">
        <v>1574</v>
      </c>
      <c r="B1489" s="54" t="s">
        <v>35</v>
      </c>
      <c r="C1489" s="54" t="s">
        <v>36</v>
      </c>
      <c r="D1489" s="59" t="str">
        <f t="shared" ref="D1489:D1501" si="106">IF(E1489&gt;TODAY(),"Coming Soon",IF(F1489="","Active",IF(F1489&gt;TODAY(),"Leaving Soon","Removed")))</f>
        <v>Removed</v>
      </c>
      <c r="E1489" s="88">
        <v>44112.0</v>
      </c>
      <c r="F1489" s="120">
        <v>44454.0</v>
      </c>
      <c r="G1489" s="65">
        <f t="shared" si="2"/>
        <v>11.23333333</v>
      </c>
      <c r="H1489" s="88">
        <v>43021.0</v>
      </c>
      <c r="I1489" s="65">
        <f t="shared" si="3"/>
        <v>2.986111111</v>
      </c>
      <c r="J1489" s="121">
        <f>(82+86)/2</f>
        <v>84</v>
      </c>
      <c r="K1489" s="121">
        <v>29.5</v>
      </c>
      <c r="L1489" s="69" t="s">
        <v>55</v>
      </c>
      <c r="M1489" s="69"/>
      <c r="N1489" s="69"/>
      <c r="O1489" s="69"/>
      <c r="P1489" s="122"/>
      <c r="Q1489" s="69"/>
      <c r="R1489" s="59"/>
      <c r="S1489" s="88"/>
      <c r="T1489" s="65"/>
      <c r="U1489" s="88"/>
      <c r="V1489" s="65"/>
    </row>
    <row r="1490">
      <c r="A1490" s="74" t="s">
        <v>3221</v>
      </c>
      <c r="B1490" s="75" t="s">
        <v>13</v>
      </c>
      <c r="C1490" s="75"/>
      <c r="D1490" s="76" t="str">
        <f t="shared" si="106"/>
        <v>Removed</v>
      </c>
      <c r="E1490" s="90">
        <v>44091.0</v>
      </c>
      <c r="F1490" s="105">
        <v>44454.0</v>
      </c>
      <c r="G1490" s="79">
        <f t="shared" si="2"/>
        <v>11.93333333</v>
      </c>
      <c r="H1490" s="90">
        <v>41450.0</v>
      </c>
      <c r="I1490" s="79">
        <f t="shared" si="3"/>
        <v>7.227777778</v>
      </c>
      <c r="J1490" s="106">
        <v>80.0</v>
      </c>
      <c r="K1490" s="106">
        <v>15.0</v>
      </c>
      <c r="L1490" s="82" t="s">
        <v>1726</v>
      </c>
      <c r="M1490" s="82"/>
      <c r="N1490" s="82"/>
      <c r="O1490" s="82"/>
      <c r="P1490" s="107"/>
      <c r="Q1490" s="82"/>
      <c r="R1490" s="75"/>
      <c r="S1490" s="90"/>
      <c r="T1490" s="79"/>
      <c r="U1490" s="90"/>
      <c r="V1490" s="79"/>
    </row>
    <row r="1491">
      <c r="A1491" s="53" t="s">
        <v>3222</v>
      </c>
      <c r="B1491" s="54" t="s">
        <v>13</v>
      </c>
      <c r="C1491" s="59"/>
      <c r="D1491" s="59" t="str">
        <f t="shared" si="106"/>
        <v>Removed</v>
      </c>
      <c r="E1491" s="88">
        <v>44084.0</v>
      </c>
      <c r="F1491" s="120">
        <v>44454.0</v>
      </c>
      <c r="G1491" s="65">
        <f t="shared" si="2"/>
        <v>12.16666667</v>
      </c>
      <c r="H1491" s="88">
        <v>43767.0</v>
      </c>
      <c r="I1491" s="65">
        <f t="shared" si="3"/>
        <v>0.8638888889</v>
      </c>
      <c r="J1491" s="121">
        <v>84.0</v>
      </c>
      <c r="K1491" s="121">
        <v>35.5</v>
      </c>
      <c r="L1491" s="69" t="s">
        <v>46</v>
      </c>
      <c r="M1491" s="69"/>
      <c r="N1491" s="69"/>
      <c r="O1491" s="69"/>
      <c r="P1491" s="122"/>
      <c r="Q1491" s="69"/>
      <c r="R1491" s="54"/>
      <c r="S1491" s="88"/>
      <c r="T1491" s="65"/>
      <c r="U1491" s="88"/>
      <c r="V1491" s="65"/>
    </row>
    <row r="1492">
      <c r="A1492" s="74" t="s">
        <v>3223</v>
      </c>
      <c r="B1492" s="75" t="s">
        <v>129</v>
      </c>
      <c r="C1492" s="75" t="s">
        <v>100</v>
      </c>
      <c r="D1492" s="76" t="str">
        <f t="shared" si="106"/>
        <v>Removed</v>
      </c>
      <c r="E1492" s="77">
        <v>44084.0</v>
      </c>
      <c r="F1492" s="105">
        <v>44454.0</v>
      </c>
      <c r="G1492" s="79">
        <f t="shared" si="2"/>
        <v>12.16666667</v>
      </c>
      <c r="H1492" s="77">
        <v>44084.0</v>
      </c>
      <c r="I1492" s="79">
        <f t="shared" si="3"/>
        <v>0</v>
      </c>
      <c r="J1492" s="106">
        <v>77.0</v>
      </c>
      <c r="K1492" s="106">
        <v>1.0</v>
      </c>
      <c r="L1492" s="82" t="s">
        <v>55</v>
      </c>
      <c r="M1492" s="82"/>
      <c r="N1492" s="82"/>
      <c r="O1492" s="82"/>
      <c r="P1492" s="107"/>
      <c r="Q1492" s="82"/>
      <c r="R1492" s="76"/>
      <c r="S1492" s="90"/>
      <c r="T1492" s="79"/>
      <c r="U1492" s="90"/>
      <c r="V1492" s="79"/>
    </row>
    <row r="1493">
      <c r="A1493" s="53" t="s">
        <v>3224</v>
      </c>
      <c r="B1493" s="54" t="s">
        <v>35</v>
      </c>
      <c r="C1493" s="54" t="s">
        <v>100</v>
      </c>
      <c r="D1493" s="59" t="str">
        <f t="shared" si="106"/>
        <v>Removed</v>
      </c>
      <c r="E1493" s="61">
        <v>44084.0</v>
      </c>
      <c r="F1493" s="120">
        <v>44454.0</v>
      </c>
      <c r="G1493" s="65">
        <f t="shared" si="2"/>
        <v>12.16666667</v>
      </c>
      <c r="H1493" s="88">
        <v>43865.0</v>
      </c>
      <c r="I1493" s="65">
        <f t="shared" si="3"/>
        <v>0.6</v>
      </c>
      <c r="J1493" s="121">
        <f>(58+67)/2</f>
        <v>62.5</v>
      </c>
      <c r="K1493" s="121">
        <v>19.0</v>
      </c>
      <c r="L1493" s="69" t="s">
        <v>81</v>
      </c>
      <c r="M1493" s="69"/>
      <c r="N1493" s="69"/>
      <c r="O1493" s="69"/>
      <c r="P1493" s="122"/>
      <c r="Q1493" s="69"/>
      <c r="R1493" s="59"/>
      <c r="S1493" s="88"/>
      <c r="T1493" s="65"/>
      <c r="U1493" s="88"/>
      <c r="V1493" s="65"/>
    </row>
    <row r="1494">
      <c r="A1494" s="74" t="s">
        <v>3225</v>
      </c>
      <c r="B1494" s="75" t="s">
        <v>129</v>
      </c>
      <c r="C1494" s="75" t="s">
        <v>36</v>
      </c>
      <c r="D1494" s="76" t="str">
        <f t="shared" si="106"/>
        <v>Removed</v>
      </c>
      <c r="E1494" s="77">
        <v>44000.0</v>
      </c>
      <c r="F1494" s="105">
        <v>44454.0</v>
      </c>
      <c r="G1494" s="79">
        <f t="shared" si="2"/>
        <v>14.9</v>
      </c>
      <c r="H1494" s="90">
        <v>43396.0</v>
      </c>
      <c r="I1494" s="79">
        <f t="shared" si="3"/>
        <v>1.652777778</v>
      </c>
      <c r="J1494" s="106">
        <v>85.0</v>
      </c>
      <c r="K1494" s="106">
        <v>26.0</v>
      </c>
      <c r="L1494" s="82" t="s">
        <v>1738</v>
      </c>
      <c r="M1494" s="82"/>
      <c r="N1494" s="82"/>
      <c r="O1494" s="82"/>
      <c r="P1494" s="107"/>
      <c r="Q1494" s="82"/>
      <c r="R1494" s="76"/>
      <c r="S1494" s="90"/>
      <c r="T1494" s="79"/>
      <c r="U1494" s="90"/>
      <c r="V1494" s="79"/>
    </row>
    <row r="1495">
      <c r="A1495" s="53" t="s">
        <v>3226</v>
      </c>
      <c r="B1495" s="54" t="s">
        <v>129</v>
      </c>
      <c r="C1495" s="54" t="s">
        <v>36</v>
      </c>
      <c r="D1495" s="59" t="str">
        <f t="shared" si="106"/>
        <v>Removed</v>
      </c>
      <c r="E1495" s="88">
        <v>44329.0</v>
      </c>
      <c r="F1495" s="120">
        <v>44452.0</v>
      </c>
      <c r="G1495" s="65">
        <f t="shared" si="2"/>
        <v>4</v>
      </c>
      <c r="H1495" s="88">
        <v>43431.0</v>
      </c>
      <c r="I1495" s="65">
        <f t="shared" si="3"/>
        <v>2.461111111</v>
      </c>
      <c r="J1495" s="121">
        <v>85.0</v>
      </c>
      <c r="K1495" s="121">
        <v>8.0</v>
      </c>
      <c r="L1495" s="69" t="s">
        <v>41</v>
      </c>
      <c r="M1495" s="91"/>
      <c r="N1495" s="91"/>
      <c r="O1495" s="91"/>
      <c r="P1495" s="134"/>
      <c r="Q1495" s="91"/>
      <c r="R1495" s="59"/>
      <c r="S1495" s="88"/>
      <c r="T1495" s="65"/>
      <c r="U1495" s="88"/>
      <c r="V1495" s="65"/>
    </row>
    <row r="1496">
      <c r="A1496" s="74" t="s">
        <v>3227</v>
      </c>
      <c r="B1496" s="75" t="s">
        <v>13</v>
      </c>
      <c r="C1496" s="75"/>
      <c r="D1496" s="76" t="str">
        <f t="shared" si="106"/>
        <v>Removed</v>
      </c>
      <c r="E1496" s="90">
        <v>44273.0</v>
      </c>
      <c r="F1496" s="105">
        <v>44448.0</v>
      </c>
      <c r="G1496" s="79">
        <f t="shared" si="2"/>
        <v>5.7</v>
      </c>
      <c r="H1496" s="90">
        <v>43056.0</v>
      </c>
      <c r="I1496" s="79">
        <f t="shared" si="3"/>
        <v>3.336111111</v>
      </c>
      <c r="J1496" s="106">
        <v>76.0</v>
      </c>
      <c r="K1496" s="106">
        <v>9.5</v>
      </c>
      <c r="L1496" s="82" t="s">
        <v>37</v>
      </c>
      <c r="M1496" s="82"/>
      <c r="N1496" s="82"/>
      <c r="O1496" s="82"/>
      <c r="P1496" s="107"/>
      <c r="Q1496" s="82"/>
      <c r="R1496" s="75"/>
      <c r="S1496" s="90"/>
      <c r="T1496" s="79"/>
      <c r="U1496" s="90"/>
      <c r="V1496" s="79"/>
    </row>
    <row r="1497">
      <c r="A1497" s="53" t="s">
        <v>3228</v>
      </c>
      <c r="B1497" s="54" t="s">
        <v>13</v>
      </c>
      <c r="C1497" s="54"/>
      <c r="D1497" s="59" t="str">
        <f t="shared" si="106"/>
        <v>Removed</v>
      </c>
      <c r="E1497" s="88">
        <v>44273.0</v>
      </c>
      <c r="F1497" s="120">
        <v>44448.0</v>
      </c>
      <c r="G1497" s="65">
        <f t="shared" si="2"/>
        <v>5.7</v>
      </c>
      <c r="H1497" s="88">
        <v>38657.0</v>
      </c>
      <c r="I1497" s="65">
        <f t="shared" si="3"/>
        <v>15.38055556</v>
      </c>
      <c r="J1497" s="121">
        <v>78.0</v>
      </c>
      <c r="K1497" s="121">
        <v>7.5</v>
      </c>
      <c r="L1497" s="69" t="s">
        <v>37</v>
      </c>
      <c r="M1497" s="69"/>
      <c r="N1497" s="69"/>
      <c r="O1497" s="69"/>
      <c r="P1497" s="122"/>
      <c r="Q1497" s="69"/>
      <c r="R1497" s="54"/>
      <c r="S1497" s="88"/>
      <c r="T1497" s="65"/>
      <c r="U1497" s="88"/>
      <c r="V1497" s="65"/>
    </row>
    <row r="1498">
      <c r="A1498" s="74" t="s">
        <v>3229</v>
      </c>
      <c r="B1498" s="75" t="s">
        <v>13</v>
      </c>
      <c r="C1498" s="75"/>
      <c r="D1498" s="76" t="str">
        <f t="shared" si="106"/>
        <v>Removed</v>
      </c>
      <c r="E1498" s="90">
        <v>44273.0</v>
      </c>
      <c r="F1498" s="105">
        <v>44448.0</v>
      </c>
      <c r="G1498" s="79">
        <f t="shared" si="2"/>
        <v>5.7</v>
      </c>
      <c r="H1498" s="90">
        <v>38411.0</v>
      </c>
      <c r="I1498" s="79">
        <f t="shared" si="3"/>
        <v>16.05555556</v>
      </c>
      <c r="J1498" s="106">
        <v>78.0</v>
      </c>
      <c r="K1498" s="106">
        <v>9.0</v>
      </c>
      <c r="L1498" s="82" t="s">
        <v>37</v>
      </c>
      <c r="M1498" s="82"/>
      <c r="N1498" s="82"/>
      <c r="O1498" s="82"/>
      <c r="P1498" s="107"/>
      <c r="Q1498" s="82"/>
      <c r="R1498" s="75"/>
      <c r="S1498" s="90"/>
      <c r="T1498" s="79"/>
      <c r="U1498" s="90"/>
      <c r="V1498" s="79"/>
    </row>
    <row r="1499">
      <c r="A1499" s="207" t="s">
        <v>3172</v>
      </c>
      <c r="B1499" s="59" t="s">
        <v>13</v>
      </c>
      <c r="C1499" s="54" t="s">
        <v>36</v>
      </c>
      <c r="D1499" s="59" t="str">
        <f t="shared" si="106"/>
        <v>Removed</v>
      </c>
      <c r="E1499" s="133">
        <v>43795.0</v>
      </c>
      <c r="F1499" s="120">
        <v>44448.0</v>
      </c>
      <c r="G1499" s="65">
        <f t="shared" si="2"/>
        <v>21.43333333</v>
      </c>
      <c r="H1499" s="88">
        <v>42968.0</v>
      </c>
      <c r="I1499" s="65">
        <f t="shared" si="3"/>
        <v>2.263888889</v>
      </c>
      <c r="J1499" s="121">
        <v>75.0</v>
      </c>
      <c r="K1499" s="121">
        <v>33.0</v>
      </c>
      <c r="L1499" s="69" t="s">
        <v>81</v>
      </c>
      <c r="M1499" s="91"/>
      <c r="N1499" s="91"/>
      <c r="O1499" s="91"/>
      <c r="P1499" s="134"/>
      <c r="Q1499" s="91"/>
      <c r="R1499" s="54"/>
      <c r="S1499" s="88"/>
      <c r="T1499" s="65"/>
      <c r="U1499" s="88"/>
      <c r="V1499" s="65"/>
    </row>
    <row r="1500">
      <c r="A1500" s="226" t="s">
        <v>2172</v>
      </c>
      <c r="B1500" s="75" t="s">
        <v>13</v>
      </c>
      <c r="C1500" s="75" t="s">
        <v>36</v>
      </c>
      <c r="D1500" s="76" t="str">
        <f t="shared" si="106"/>
        <v>Removed</v>
      </c>
      <c r="E1500" s="218">
        <v>43790.0</v>
      </c>
      <c r="F1500" s="105">
        <v>44448.0</v>
      </c>
      <c r="G1500" s="79">
        <f t="shared" si="2"/>
        <v>21.6</v>
      </c>
      <c r="H1500" s="90">
        <v>43613.0</v>
      </c>
      <c r="I1500" s="79">
        <f t="shared" si="3"/>
        <v>0.4805555556</v>
      </c>
      <c r="J1500" s="216">
        <v>66.0</v>
      </c>
      <c r="K1500" s="106">
        <v>19.0</v>
      </c>
      <c r="L1500" s="83" t="s">
        <v>41</v>
      </c>
      <c r="M1500" s="83"/>
      <c r="N1500" s="83"/>
      <c r="O1500" s="83"/>
      <c r="P1500" s="219"/>
      <c r="Q1500" s="83"/>
      <c r="R1500" s="75"/>
      <c r="S1500" s="90"/>
      <c r="T1500" s="79"/>
      <c r="U1500" s="90"/>
      <c r="V1500" s="79"/>
    </row>
    <row r="1501">
      <c r="A1501" s="53" t="s">
        <v>3220</v>
      </c>
      <c r="B1501" s="54" t="s">
        <v>13</v>
      </c>
      <c r="C1501" s="59"/>
      <c r="D1501" s="59" t="str">
        <f t="shared" si="106"/>
        <v>Removed</v>
      </c>
      <c r="E1501" s="133">
        <v>43748.0</v>
      </c>
      <c r="F1501" s="120">
        <v>44448.0</v>
      </c>
      <c r="G1501" s="65">
        <f t="shared" si="2"/>
        <v>22.96666667</v>
      </c>
      <c r="H1501" s="88">
        <v>42836.0</v>
      </c>
      <c r="I1501" s="65">
        <f t="shared" si="3"/>
        <v>2.497222222</v>
      </c>
      <c r="J1501" s="121">
        <v>75.0</v>
      </c>
      <c r="K1501" s="121">
        <v>15.0</v>
      </c>
      <c r="L1501" s="69" t="s">
        <v>57</v>
      </c>
      <c r="M1501" s="91"/>
      <c r="N1501" s="91"/>
      <c r="O1501" s="91"/>
      <c r="P1501" s="134"/>
      <c r="Q1501" s="91"/>
      <c r="R1501" s="54"/>
      <c r="S1501" s="88"/>
      <c r="T1501" s="65"/>
      <c r="U1501" s="88"/>
      <c r="V1501" s="65"/>
    </row>
    <row r="1502">
      <c r="A1502" s="74" t="s">
        <v>3232</v>
      </c>
      <c r="B1502" s="75" t="s">
        <v>2984</v>
      </c>
      <c r="C1502" s="76"/>
      <c r="D1502" s="76" t="s">
        <v>2985</v>
      </c>
      <c r="E1502" s="218">
        <v>44424.0</v>
      </c>
      <c r="F1502" s="77">
        <v>44439.0</v>
      </c>
      <c r="G1502" s="79">
        <f t="shared" si="2"/>
        <v>0.4666666667</v>
      </c>
      <c r="H1502" s="90">
        <v>42130.0</v>
      </c>
      <c r="I1502" s="79">
        <f t="shared" si="3"/>
        <v>6.277777778</v>
      </c>
      <c r="J1502" s="106">
        <v>84.0</v>
      </c>
      <c r="K1502" s="106">
        <v>1.0</v>
      </c>
      <c r="L1502" s="82" t="s">
        <v>52</v>
      </c>
      <c r="M1502" s="82"/>
      <c r="N1502" s="82" t="s">
        <v>2761</v>
      </c>
      <c r="O1502" s="82"/>
      <c r="P1502" s="107"/>
      <c r="Q1502" s="82"/>
      <c r="R1502" s="76"/>
      <c r="S1502" s="90"/>
      <c r="T1502" s="79"/>
      <c r="U1502" s="90"/>
      <c r="V1502" s="79"/>
    </row>
    <row r="1503">
      <c r="A1503" s="53" t="s">
        <v>3233</v>
      </c>
      <c r="B1503" s="54" t="s">
        <v>2759</v>
      </c>
      <c r="C1503" s="59"/>
      <c r="D1503" s="59" t="s">
        <v>2760</v>
      </c>
      <c r="E1503" s="133">
        <v>44409.0</v>
      </c>
      <c r="F1503" s="61">
        <v>44439.0</v>
      </c>
      <c r="G1503" s="65">
        <f t="shared" si="2"/>
        <v>0.9666666667</v>
      </c>
      <c r="H1503" s="88">
        <v>43431.0</v>
      </c>
      <c r="I1503" s="65">
        <f t="shared" si="3"/>
        <v>2.677777778</v>
      </c>
      <c r="J1503" s="121">
        <v>72.0</v>
      </c>
      <c r="K1503" s="121">
        <v>14.0</v>
      </c>
      <c r="L1503" s="69" t="s">
        <v>41</v>
      </c>
      <c r="M1503" s="69"/>
      <c r="N1503" s="69" t="s">
        <v>2761</v>
      </c>
      <c r="O1503" s="69"/>
      <c r="P1503" s="122"/>
      <c r="Q1503" s="69"/>
      <c r="R1503" s="59"/>
      <c r="S1503" s="88"/>
      <c r="T1503" s="65"/>
      <c r="U1503" s="88"/>
      <c r="V1503" s="65"/>
    </row>
    <row r="1504">
      <c r="A1504" s="74" t="s">
        <v>3234</v>
      </c>
      <c r="B1504" s="75" t="s">
        <v>129</v>
      </c>
      <c r="C1504" s="75" t="s">
        <v>36</v>
      </c>
      <c r="D1504" s="76" t="str">
        <f t="shared" ref="D1504:D1517" si="107">IF(E1504&gt;TODAY(),"Coming Soon",IF(F1504="","Active",IF(F1504&gt;TODAY(),"Leaving Soon","Removed")))</f>
        <v>Removed</v>
      </c>
      <c r="E1504" s="90">
        <v>44259.0</v>
      </c>
      <c r="F1504" s="105">
        <v>44439.0</v>
      </c>
      <c r="G1504" s="79">
        <f t="shared" si="2"/>
        <v>5.866666667</v>
      </c>
      <c r="H1504" s="90">
        <v>44078.0</v>
      </c>
      <c r="I1504" s="79">
        <f t="shared" si="3"/>
        <v>0.5</v>
      </c>
      <c r="J1504" s="106">
        <f>(67+80)/2</f>
        <v>73.5</v>
      </c>
      <c r="K1504" s="106">
        <v>50.5</v>
      </c>
      <c r="L1504" s="82" t="s">
        <v>62</v>
      </c>
      <c r="M1504" s="82"/>
      <c r="N1504" s="82"/>
      <c r="O1504" s="82"/>
      <c r="P1504" s="107"/>
      <c r="Q1504" s="82"/>
      <c r="R1504" s="76"/>
      <c r="S1504" s="90"/>
      <c r="T1504" s="79"/>
      <c r="U1504" s="90"/>
      <c r="V1504" s="79"/>
    </row>
    <row r="1505">
      <c r="A1505" s="53" t="s">
        <v>2969</v>
      </c>
      <c r="B1505" s="54" t="s">
        <v>35</v>
      </c>
      <c r="C1505" s="54" t="s">
        <v>100</v>
      </c>
      <c r="D1505" s="59" t="str">
        <f t="shared" si="107"/>
        <v>Removed</v>
      </c>
      <c r="E1505" s="61">
        <v>44070.0</v>
      </c>
      <c r="F1505" s="120">
        <v>44439.0</v>
      </c>
      <c r="G1505" s="65">
        <f t="shared" si="2"/>
        <v>12.1</v>
      </c>
      <c r="H1505" s="88">
        <v>44056.0</v>
      </c>
      <c r="I1505" s="65">
        <f t="shared" si="3"/>
        <v>0.03888888889</v>
      </c>
      <c r="J1505" s="121">
        <v>76.0</v>
      </c>
      <c r="K1505" s="121">
        <v>3.0</v>
      </c>
      <c r="L1505" s="69" t="s">
        <v>37</v>
      </c>
      <c r="M1505" s="69"/>
      <c r="N1505" s="69"/>
      <c r="O1505" s="69"/>
      <c r="P1505" s="122"/>
      <c r="Q1505" s="69"/>
      <c r="R1505" s="59"/>
      <c r="S1505" s="88"/>
      <c r="T1505" s="65"/>
      <c r="U1505" s="88"/>
      <c r="V1505" s="65"/>
    </row>
    <row r="1506">
      <c r="A1506" s="226" t="s">
        <v>3235</v>
      </c>
      <c r="B1506" s="75" t="s">
        <v>35</v>
      </c>
      <c r="C1506" s="75" t="s">
        <v>100</v>
      </c>
      <c r="D1506" s="76" t="str">
        <f t="shared" si="107"/>
        <v>Removed</v>
      </c>
      <c r="E1506" s="218">
        <v>43928.0</v>
      </c>
      <c r="F1506" s="105">
        <v>44439.0</v>
      </c>
      <c r="G1506" s="79">
        <f t="shared" si="2"/>
        <v>16.76666667</v>
      </c>
      <c r="H1506" s="90">
        <v>43650.0</v>
      </c>
      <c r="I1506" s="79">
        <f t="shared" si="3"/>
        <v>0.7583333333</v>
      </c>
      <c r="J1506" s="216">
        <v>62.0</v>
      </c>
      <c r="K1506" s="106">
        <v>8.5</v>
      </c>
      <c r="L1506" s="82" t="s">
        <v>41</v>
      </c>
      <c r="M1506" s="83"/>
      <c r="N1506" s="83"/>
      <c r="O1506" s="83"/>
      <c r="P1506" s="219"/>
      <c r="Q1506" s="83"/>
      <c r="R1506" s="76"/>
      <c r="S1506" s="90"/>
      <c r="T1506" s="79"/>
      <c r="U1506" s="90"/>
      <c r="V1506" s="79"/>
    </row>
    <row r="1507">
      <c r="A1507" s="207" t="s">
        <v>2076</v>
      </c>
      <c r="B1507" s="54" t="s">
        <v>35</v>
      </c>
      <c r="C1507" s="54" t="s">
        <v>36</v>
      </c>
      <c r="D1507" s="59" t="str">
        <f t="shared" si="107"/>
        <v>Removed</v>
      </c>
      <c r="E1507" s="133">
        <v>43707.0</v>
      </c>
      <c r="F1507" s="120">
        <v>44439.0</v>
      </c>
      <c r="G1507" s="65">
        <f t="shared" si="2"/>
        <v>24</v>
      </c>
      <c r="H1507" s="88">
        <v>43707.0</v>
      </c>
      <c r="I1507" s="65">
        <f t="shared" si="3"/>
        <v>0</v>
      </c>
      <c r="J1507" s="208">
        <v>66.0</v>
      </c>
      <c r="K1507" s="121">
        <v>5.0</v>
      </c>
      <c r="L1507" s="91" t="s">
        <v>135</v>
      </c>
      <c r="M1507" s="91"/>
      <c r="N1507" s="91"/>
      <c r="O1507" s="91"/>
      <c r="P1507" s="134"/>
      <c r="Q1507" s="91"/>
      <c r="R1507" s="59"/>
      <c r="S1507" s="88"/>
      <c r="T1507" s="65"/>
      <c r="U1507" s="88"/>
      <c r="V1507" s="65"/>
    </row>
    <row r="1508">
      <c r="A1508" s="74" t="s">
        <v>3236</v>
      </c>
      <c r="B1508" s="75" t="s">
        <v>13</v>
      </c>
      <c r="C1508" s="75"/>
      <c r="D1508" s="76" t="str">
        <f t="shared" si="107"/>
        <v>Removed</v>
      </c>
      <c r="E1508" s="90">
        <v>44273.0</v>
      </c>
      <c r="F1508" s="105">
        <v>44428.0</v>
      </c>
      <c r="G1508" s="79">
        <f t="shared" si="2"/>
        <v>5.066666667</v>
      </c>
      <c r="H1508" s="90">
        <v>42941.0</v>
      </c>
      <c r="I1508" s="79">
        <f t="shared" si="3"/>
        <v>3.647222222</v>
      </c>
      <c r="J1508" s="106">
        <v>82.0</v>
      </c>
      <c r="K1508" s="106">
        <v>11.0</v>
      </c>
      <c r="L1508" s="82" t="s">
        <v>46</v>
      </c>
      <c r="M1508" s="82"/>
      <c r="N1508" s="82"/>
      <c r="O1508" s="82"/>
      <c r="P1508" s="107"/>
      <c r="Q1508" s="82" t="s">
        <v>2841</v>
      </c>
      <c r="R1508" s="75"/>
      <c r="S1508" s="90"/>
      <c r="T1508" s="79"/>
      <c r="U1508" s="90"/>
      <c r="V1508" s="79"/>
    </row>
    <row r="1509">
      <c r="A1509" s="53" t="s">
        <v>3237</v>
      </c>
      <c r="B1509" s="54" t="s">
        <v>13</v>
      </c>
      <c r="C1509" s="54"/>
      <c r="D1509" s="59" t="str">
        <f t="shared" si="107"/>
        <v>Removed</v>
      </c>
      <c r="E1509" s="88">
        <v>44273.0</v>
      </c>
      <c r="F1509" s="120">
        <v>44428.0</v>
      </c>
      <c r="G1509" s="65">
        <f t="shared" si="2"/>
        <v>5.066666667</v>
      </c>
      <c r="H1509" s="88">
        <v>40953.0</v>
      </c>
      <c r="I1509" s="65">
        <f t="shared" si="3"/>
        <v>9.094444444</v>
      </c>
      <c r="J1509" s="121">
        <v>68.0</v>
      </c>
      <c r="K1509" s="121">
        <v>1.5</v>
      </c>
      <c r="L1509" s="69" t="s">
        <v>135</v>
      </c>
      <c r="M1509" s="69"/>
      <c r="N1509" s="69"/>
      <c r="O1509" s="69"/>
      <c r="P1509" s="122"/>
      <c r="Q1509" s="69"/>
      <c r="R1509" s="54"/>
      <c r="S1509" s="88"/>
      <c r="T1509" s="65"/>
      <c r="U1509" s="88"/>
      <c r="V1509" s="65"/>
    </row>
    <row r="1510">
      <c r="A1510" s="74" t="s">
        <v>3238</v>
      </c>
      <c r="B1510" s="75" t="s">
        <v>13</v>
      </c>
      <c r="C1510" s="75"/>
      <c r="D1510" s="76" t="str">
        <f t="shared" si="107"/>
        <v>Removed</v>
      </c>
      <c r="E1510" s="90">
        <v>44273.0</v>
      </c>
      <c r="F1510" s="105">
        <v>44428.0</v>
      </c>
      <c r="G1510" s="79">
        <f t="shared" si="2"/>
        <v>5.066666667</v>
      </c>
      <c r="H1510" s="90">
        <v>43298.0</v>
      </c>
      <c r="I1510" s="79">
        <f t="shared" si="3"/>
        <v>2.669444444</v>
      </c>
      <c r="J1510" s="106">
        <v>75.0</v>
      </c>
      <c r="K1510" s="106">
        <v>15.0</v>
      </c>
      <c r="L1510" s="82" t="s">
        <v>57</v>
      </c>
      <c r="M1510" s="82"/>
      <c r="N1510" s="82"/>
      <c r="O1510" s="82"/>
      <c r="P1510" s="107"/>
      <c r="Q1510" s="82"/>
      <c r="R1510" s="75"/>
      <c r="S1510" s="90"/>
      <c r="T1510" s="79"/>
      <c r="U1510" s="90"/>
      <c r="V1510" s="79"/>
    </row>
    <row r="1511">
      <c r="A1511" s="53" t="s">
        <v>3239</v>
      </c>
      <c r="B1511" s="54" t="s">
        <v>13</v>
      </c>
      <c r="C1511" s="54"/>
      <c r="D1511" s="59" t="str">
        <f t="shared" si="107"/>
        <v>Removed</v>
      </c>
      <c r="E1511" s="88">
        <v>44273.0</v>
      </c>
      <c r="F1511" s="120">
        <v>44428.0</v>
      </c>
      <c r="G1511" s="65">
        <f t="shared" si="2"/>
        <v>5.066666667</v>
      </c>
      <c r="H1511" s="88">
        <v>42906.0</v>
      </c>
      <c r="I1511" s="65">
        <f t="shared" si="3"/>
        <v>3.744444444</v>
      </c>
      <c r="J1511" s="121">
        <v>84.0</v>
      </c>
      <c r="K1511" s="121">
        <v>1.5</v>
      </c>
      <c r="L1511" s="69" t="s">
        <v>3240</v>
      </c>
      <c r="M1511" s="69"/>
      <c r="N1511" s="69"/>
      <c r="O1511" s="69"/>
      <c r="P1511" s="122"/>
      <c r="Q1511" s="69"/>
      <c r="R1511" s="54"/>
      <c r="S1511" s="88"/>
      <c r="T1511" s="65"/>
      <c r="U1511" s="88"/>
      <c r="V1511" s="65"/>
    </row>
    <row r="1512">
      <c r="A1512" s="74" t="s">
        <v>3241</v>
      </c>
      <c r="B1512" s="75" t="s">
        <v>13</v>
      </c>
      <c r="C1512" s="75"/>
      <c r="D1512" s="76" t="str">
        <f t="shared" si="107"/>
        <v>Removed</v>
      </c>
      <c r="E1512" s="90">
        <v>44273.0</v>
      </c>
      <c r="F1512" s="105">
        <v>44428.0</v>
      </c>
      <c r="G1512" s="79">
        <f t="shared" si="2"/>
        <v>5.066666667</v>
      </c>
      <c r="H1512" s="90">
        <v>42906.0</v>
      </c>
      <c r="I1512" s="79">
        <f t="shared" si="3"/>
        <v>3.744444444</v>
      </c>
      <c r="J1512" s="106">
        <v>81.0</v>
      </c>
      <c r="K1512" s="106">
        <v>8.0</v>
      </c>
      <c r="L1512" s="82" t="s">
        <v>3240</v>
      </c>
      <c r="M1512" s="82"/>
      <c r="N1512" s="82"/>
      <c r="O1512" s="82"/>
      <c r="P1512" s="107"/>
      <c r="Q1512" s="82"/>
      <c r="R1512" s="75"/>
      <c r="S1512" s="90"/>
      <c r="T1512" s="79"/>
      <c r="U1512" s="90"/>
      <c r="V1512" s="79"/>
    </row>
    <row r="1513">
      <c r="A1513" s="53" t="s">
        <v>3242</v>
      </c>
      <c r="B1513" s="54" t="s">
        <v>13</v>
      </c>
      <c r="C1513" s="54"/>
      <c r="D1513" s="59" t="str">
        <f t="shared" si="107"/>
        <v>Removed</v>
      </c>
      <c r="E1513" s="88">
        <v>44273.0</v>
      </c>
      <c r="F1513" s="120">
        <v>44428.0</v>
      </c>
      <c r="G1513" s="65">
        <f t="shared" si="2"/>
        <v>5.066666667</v>
      </c>
      <c r="H1513" s="88">
        <v>42249.0</v>
      </c>
      <c r="I1513" s="65">
        <f t="shared" si="3"/>
        <v>5.544444444</v>
      </c>
      <c r="J1513" s="121">
        <v>72.0</v>
      </c>
      <c r="K1513" s="121">
        <v>5.5</v>
      </c>
      <c r="L1513" s="69" t="s">
        <v>81</v>
      </c>
      <c r="M1513" s="69"/>
      <c r="N1513" s="69"/>
      <c r="O1513" s="69"/>
      <c r="P1513" s="122"/>
      <c r="Q1513" s="69"/>
      <c r="R1513" s="54"/>
      <c r="S1513" s="88"/>
      <c r="T1513" s="65"/>
      <c r="U1513" s="88"/>
      <c r="V1513" s="65"/>
    </row>
    <row r="1514">
      <c r="A1514" s="74" t="s">
        <v>3243</v>
      </c>
      <c r="B1514" s="75" t="s">
        <v>13</v>
      </c>
      <c r="C1514" s="75"/>
      <c r="D1514" s="76" t="str">
        <f t="shared" si="107"/>
        <v>Removed</v>
      </c>
      <c r="E1514" s="90">
        <v>44273.0</v>
      </c>
      <c r="F1514" s="105">
        <v>44428.0</v>
      </c>
      <c r="G1514" s="79">
        <f t="shared" si="2"/>
        <v>5.066666667</v>
      </c>
      <c r="H1514" s="90">
        <v>42048.0</v>
      </c>
      <c r="I1514" s="79">
        <f t="shared" si="3"/>
        <v>6.097222222</v>
      </c>
      <c r="J1514" s="106">
        <v>71.0</v>
      </c>
      <c r="K1514" s="106">
        <v>19.0</v>
      </c>
      <c r="L1514" s="82" t="s">
        <v>81</v>
      </c>
      <c r="M1514" s="82"/>
      <c r="N1514" s="82"/>
      <c r="O1514" s="82"/>
      <c r="P1514" s="107"/>
      <c r="Q1514" s="82"/>
      <c r="R1514" s="75"/>
      <c r="S1514" s="90"/>
      <c r="T1514" s="79"/>
      <c r="U1514" s="90"/>
      <c r="V1514" s="79"/>
    </row>
    <row r="1515">
      <c r="A1515" s="53" t="s">
        <v>3244</v>
      </c>
      <c r="B1515" s="54" t="s">
        <v>35</v>
      </c>
      <c r="C1515" s="54"/>
      <c r="D1515" s="59" t="str">
        <f t="shared" si="107"/>
        <v>Removed</v>
      </c>
      <c r="E1515" s="88">
        <v>44145.0</v>
      </c>
      <c r="F1515" s="120">
        <v>44428.0</v>
      </c>
      <c r="G1515" s="65">
        <f t="shared" si="2"/>
        <v>9.333333333</v>
      </c>
      <c r="H1515" s="88">
        <v>43319.0</v>
      </c>
      <c r="I1515" s="65">
        <f t="shared" si="3"/>
        <v>2.258333333</v>
      </c>
      <c r="J1515" s="121">
        <v>81.0</v>
      </c>
      <c r="K1515" s="121">
        <v>12.5</v>
      </c>
      <c r="L1515" s="69" t="s">
        <v>62</v>
      </c>
      <c r="M1515" s="69"/>
      <c r="N1515" s="69"/>
      <c r="O1515" s="69"/>
      <c r="P1515" s="122"/>
      <c r="Q1515" s="69"/>
      <c r="R1515" s="59"/>
      <c r="S1515" s="88"/>
      <c r="T1515" s="65"/>
      <c r="U1515" s="88"/>
      <c r="V1515" s="65"/>
    </row>
    <row r="1516">
      <c r="A1516" s="74" t="s">
        <v>3083</v>
      </c>
      <c r="B1516" s="75" t="s">
        <v>13</v>
      </c>
      <c r="C1516" s="76"/>
      <c r="D1516" s="76" t="str">
        <f t="shared" si="107"/>
        <v>Removed</v>
      </c>
      <c r="E1516" s="218">
        <v>43692.0</v>
      </c>
      <c r="F1516" s="105">
        <v>44428.0</v>
      </c>
      <c r="G1516" s="79">
        <f t="shared" si="2"/>
        <v>24.16666667</v>
      </c>
      <c r="H1516" s="90">
        <v>43249.0</v>
      </c>
      <c r="I1516" s="79">
        <f t="shared" si="3"/>
        <v>1.211111111</v>
      </c>
      <c r="J1516" s="216">
        <v>83.0</v>
      </c>
      <c r="K1516" s="106">
        <v>5.5</v>
      </c>
      <c r="L1516" s="82" t="s">
        <v>57</v>
      </c>
      <c r="M1516" s="83"/>
      <c r="N1516" s="82" t="s">
        <v>3245</v>
      </c>
      <c r="O1516" s="82"/>
      <c r="P1516" s="107"/>
      <c r="Q1516" s="82"/>
      <c r="R1516" s="75"/>
      <c r="S1516" s="90"/>
      <c r="T1516" s="79"/>
      <c r="U1516" s="90"/>
      <c r="V1516" s="79"/>
    </row>
    <row r="1517">
      <c r="A1517" s="207" t="s">
        <v>3246</v>
      </c>
      <c r="B1517" s="54" t="s">
        <v>13</v>
      </c>
      <c r="C1517" s="59"/>
      <c r="D1517" s="59" t="str">
        <f t="shared" si="107"/>
        <v>Removed</v>
      </c>
      <c r="E1517" s="133">
        <v>43552.0</v>
      </c>
      <c r="F1517" s="61">
        <v>44428.0</v>
      </c>
      <c r="G1517" s="65">
        <f t="shared" si="2"/>
        <v>28.73333333</v>
      </c>
      <c r="H1517" s="88">
        <v>43256.0</v>
      </c>
      <c r="I1517" s="65">
        <f t="shared" si="3"/>
        <v>0.8138888889</v>
      </c>
      <c r="J1517" s="208">
        <f>ROUND((70+72)/2,)</f>
        <v>71</v>
      </c>
      <c r="K1517" s="121">
        <v>16.5</v>
      </c>
      <c r="L1517" s="69" t="s">
        <v>46</v>
      </c>
      <c r="M1517" s="91"/>
      <c r="N1517" s="91"/>
      <c r="O1517" s="91"/>
      <c r="P1517" s="134"/>
      <c r="Q1517" s="91"/>
      <c r="R1517" s="54"/>
      <c r="S1517" s="88"/>
      <c r="T1517" s="65"/>
      <c r="U1517" s="88"/>
      <c r="V1517" s="65"/>
    </row>
    <row r="1518">
      <c r="A1518" s="74" t="s">
        <v>3247</v>
      </c>
      <c r="B1518" s="75" t="s">
        <v>2984</v>
      </c>
      <c r="C1518" s="76"/>
      <c r="D1518" s="76" t="s">
        <v>2985</v>
      </c>
      <c r="E1518" s="218">
        <v>44409.0</v>
      </c>
      <c r="F1518" s="77">
        <v>44423.0</v>
      </c>
      <c r="G1518" s="79">
        <f t="shared" si="2"/>
        <v>0.4666666667</v>
      </c>
      <c r="H1518" s="90">
        <v>41513.0</v>
      </c>
      <c r="I1518" s="79">
        <f t="shared" si="3"/>
        <v>7.927777778</v>
      </c>
      <c r="J1518" s="106">
        <v>63.0</v>
      </c>
      <c r="K1518" s="106">
        <v>12.0</v>
      </c>
      <c r="L1518" s="82" t="s">
        <v>105</v>
      </c>
      <c r="M1518" s="82"/>
      <c r="N1518" s="82" t="s">
        <v>2761</v>
      </c>
      <c r="O1518" s="82"/>
      <c r="P1518" s="107"/>
      <c r="Q1518" s="82"/>
      <c r="R1518" s="76"/>
      <c r="S1518" s="90"/>
      <c r="T1518" s="79"/>
      <c r="U1518" s="90"/>
      <c r="V1518" s="79"/>
    </row>
    <row r="1519">
      <c r="A1519" s="53" t="s">
        <v>3248</v>
      </c>
      <c r="B1519" s="54" t="s">
        <v>2759</v>
      </c>
      <c r="C1519" s="59"/>
      <c r="D1519" s="59" t="s">
        <v>2760</v>
      </c>
      <c r="E1519" s="133">
        <v>44393.0</v>
      </c>
      <c r="F1519" s="61">
        <v>44423.0</v>
      </c>
      <c r="G1519" s="65">
        <f t="shared" si="2"/>
        <v>0.9666666667</v>
      </c>
      <c r="H1519" s="88">
        <v>44033.0</v>
      </c>
      <c r="I1519" s="65">
        <f t="shared" si="3"/>
        <v>0.9861111111</v>
      </c>
      <c r="J1519" s="121">
        <v>63.0</v>
      </c>
      <c r="K1519" s="121">
        <v>7.5</v>
      </c>
      <c r="L1519" s="69" t="s">
        <v>81</v>
      </c>
      <c r="M1519" s="69"/>
      <c r="N1519" s="69"/>
      <c r="O1519" s="69"/>
      <c r="P1519" s="122"/>
      <c r="Q1519" s="69"/>
      <c r="R1519" s="59"/>
      <c r="S1519" s="88"/>
      <c r="T1519" s="65"/>
      <c r="U1519" s="88"/>
      <c r="V1519" s="65"/>
    </row>
    <row r="1520">
      <c r="A1520" s="74" t="s">
        <v>2084</v>
      </c>
      <c r="B1520" s="75" t="s">
        <v>35</v>
      </c>
      <c r="C1520" s="75" t="s">
        <v>100</v>
      </c>
      <c r="D1520" s="76" t="str">
        <f t="shared" ref="D1520:D1525" si="108">IF(E1520&gt;TODAY(),"Coming Soon",IF(F1520="","Active",IF(F1520&gt;TODAY(),"Leaving Soon","Removed")))</f>
        <v>Removed</v>
      </c>
      <c r="E1520" s="77">
        <v>44063.0</v>
      </c>
      <c r="F1520" s="105">
        <v>44423.0</v>
      </c>
      <c r="G1520" s="79">
        <f t="shared" si="2"/>
        <v>11.83333333</v>
      </c>
      <c r="H1520" s="90">
        <v>41884.0</v>
      </c>
      <c r="I1520" s="79">
        <f t="shared" si="3"/>
        <v>5.966666667</v>
      </c>
      <c r="J1520" s="106">
        <v>75.0</v>
      </c>
      <c r="K1520" s="106">
        <v>35.5</v>
      </c>
      <c r="L1520" s="82" t="s">
        <v>64</v>
      </c>
      <c r="M1520" s="82" t="s">
        <v>1747</v>
      </c>
      <c r="N1520" s="82"/>
      <c r="O1520" s="82"/>
      <c r="P1520" s="107"/>
      <c r="Q1520" s="82"/>
      <c r="R1520" s="76"/>
      <c r="S1520" s="90"/>
      <c r="T1520" s="79"/>
      <c r="U1520" s="90"/>
      <c r="V1520" s="79"/>
    </row>
    <row r="1521">
      <c r="A1521" s="53" t="s">
        <v>3249</v>
      </c>
      <c r="B1521" s="54" t="s">
        <v>13</v>
      </c>
      <c r="C1521" s="59"/>
      <c r="D1521" s="59" t="str">
        <f t="shared" si="108"/>
        <v>Removed</v>
      </c>
      <c r="E1521" s="61">
        <v>44063.0</v>
      </c>
      <c r="F1521" s="120">
        <v>44423.0</v>
      </c>
      <c r="G1521" s="65">
        <f t="shared" si="2"/>
        <v>11.83333333</v>
      </c>
      <c r="H1521" s="88">
        <v>43144.0</v>
      </c>
      <c r="I1521" s="65">
        <f t="shared" si="3"/>
        <v>2.519444444</v>
      </c>
      <c r="J1521" s="121">
        <v>70.0</v>
      </c>
      <c r="K1521" s="121">
        <v>9.0</v>
      </c>
      <c r="L1521" s="69" t="s">
        <v>41</v>
      </c>
      <c r="M1521" s="69"/>
      <c r="N1521" s="69"/>
      <c r="O1521" s="69"/>
      <c r="P1521" s="122"/>
      <c r="Q1521" s="69"/>
      <c r="R1521" s="54"/>
      <c r="S1521" s="88"/>
      <c r="T1521" s="65"/>
      <c r="U1521" s="88"/>
      <c r="V1521" s="65"/>
    </row>
    <row r="1522">
      <c r="A1522" s="74" t="s">
        <v>3250</v>
      </c>
      <c r="B1522" s="75" t="s">
        <v>35</v>
      </c>
      <c r="C1522" s="76"/>
      <c r="D1522" s="76" t="str">
        <f t="shared" si="108"/>
        <v>Removed</v>
      </c>
      <c r="E1522" s="77">
        <v>44056.0</v>
      </c>
      <c r="F1522" s="105">
        <v>44423.0</v>
      </c>
      <c r="G1522" s="79">
        <f t="shared" si="2"/>
        <v>12.06666667</v>
      </c>
      <c r="H1522" s="90">
        <v>35461.0</v>
      </c>
      <c r="I1522" s="79">
        <f t="shared" si="3"/>
        <v>23.53611111</v>
      </c>
      <c r="J1522" s="106">
        <v>92.0</v>
      </c>
      <c r="K1522" s="106">
        <v>37.5</v>
      </c>
      <c r="L1522" s="82" t="s">
        <v>46</v>
      </c>
      <c r="M1522" s="82"/>
      <c r="N1522" s="82"/>
      <c r="O1522" s="82"/>
      <c r="P1522" s="107"/>
      <c r="Q1522" s="82"/>
      <c r="R1522" s="76"/>
      <c r="S1522" s="90"/>
      <c r="T1522" s="79"/>
      <c r="U1522" s="90"/>
      <c r="V1522" s="79"/>
    </row>
    <row r="1523">
      <c r="A1523" s="53" t="s">
        <v>3251</v>
      </c>
      <c r="B1523" s="54" t="s">
        <v>35</v>
      </c>
      <c r="C1523" s="54" t="s">
        <v>36</v>
      </c>
      <c r="D1523" s="59" t="str">
        <f t="shared" si="108"/>
        <v>Removed</v>
      </c>
      <c r="E1523" s="61">
        <v>44049.0</v>
      </c>
      <c r="F1523" s="120">
        <v>44423.0</v>
      </c>
      <c r="G1523" s="65">
        <f t="shared" si="2"/>
        <v>12.3</v>
      </c>
      <c r="H1523" s="88">
        <v>43804.0</v>
      </c>
      <c r="I1523" s="65">
        <f t="shared" si="3"/>
        <v>0.6694444444</v>
      </c>
      <c r="J1523" s="121">
        <v>77.0</v>
      </c>
      <c r="K1523" s="121">
        <v>14.0</v>
      </c>
      <c r="L1523" s="69" t="s">
        <v>46</v>
      </c>
      <c r="M1523" s="69"/>
      <c r="N1523" s="69"/>
      <c r="O1523" s="69"/>
      <c r="P1523" s="122"/>
      <c r="Q1523" s="69"/>
      <c r="R1523" s="59"/>
      <c r="S1523" s="88"/>
      <c r="T1523" s="65"/>
      <c r="U1523" s="88"/>
      <c r="V1523" s="65"/>
    </row>
    <row r="1524">
      <c r="A1524" s="226" t="s">
        <v>3253</v>
      </c>
      <c r="B1524" s="75" t="s">
        <v>35</v>
      </c>
      <c r="C1524" s="75" t="s">
        <v>36</v>
      </c>
      <c r="D1524" s="76" t="str">
        <f t="shared" si="108"/>
        <v>Removed</v>
      </c>
      <c r="E1524" s="218">
        <v>43895.0</v>
      </c>
      <c r="F1524" s="105">
        <v>44423.0</v>
      </c>
      <c r="G1524" s="79">
        <f t="shared" si="2"/>
        <v>17.33333333</v>
      </c>
      <c r="H1524" s="90">
        <v>43305.0</v>
      </c>
      <c r="I1524" s="79">
        <f t="shared" si="3"/>
        <v>1.613888889</v>
      </c>
      <c r="J1524" s="106">
        <v>76.0</v>
      </c>
      <c r="K1524" s="106">
        <v>13.0</v>
      </c>
      <c r="L1524" s="83" t="s">
        <v>64</v>
      </c>
      <c r="M1524" s="83"/>
      <c r="N1524" s="83"/>
      <c r="O1524" s="83"/>
      <c r="P1524" s="219"/>
      <c r="Q1524" s="83"/>
      <c r="R1524" s="76"/>
      <c r="S1524" s="90"/>
      <c r="T1524" s="79"/>
      <c r="U1524" s="90"/>
      <c r="V1524" s="79"/>
    </row>
    <row r="1525">
      <c r="A1525" s="207" t="s">
        <v>3254</v>
      </c>
      <c r="B1525" s="59" t="s">
        <v>13</v>
      </c>
      <c r="C1525" s="59"/>
      <c r="D1525" s="59" t="str">
        <f t="shared" si="108"/>
        <v>Removed</v>
      </c>
      <c r="E1525" s="133">
        <v>43699.0</v>
      </c>
      <c r="F1525" s="120">
        <v>44423.0</v>
      </c>
      <c r="G1525" s="65">
        <f t="shared" si="2"/>
        <v>23.76666667</v>
      </c>
      <c r="H1525" s="88">
        <v>43524.0</v>
      </c>
      <c r="I1525" s="65">
        <f t="shared" si="3"/>
        <v>0.4833333333</v>
      </c>
      <c r="J1525" s="208">
        <v>83.0</v>
      </c>
      <c r="K1525" s="121">
        <v>2.5</v>
      </c>
      <c r="L1525" s="91" t="s">
        <v>105</v>
      </c>
      <c r="M1525" s="91"/>
      <c r="N1525" s="91"/>
      <c r="O1525" s="91"/>
      <c r="P1525" s="134"/>
      <c r="Q1525" s="91"/>
      <c r="R1525" s="54"/>
      <c r="S1525" s="88"/>
      <c r="T1525" s="65"/>
      <c r="U1525" s="88"/>
      <c r="V1525" s="65"/>
    </row>
    <row r="1526">
      <c r="A1526" s="74" t="s">
        <v>3255</v>
      </c>
      <c r="B1526" s="75" t="s">
        <v>2984</v>
      </c>
      <c r="C1526" s="76"/>
      <c r="D1526" s="76" t="s">
        <v>2985</v>
      </c>
      <c r="E1526" s="218">
        <v>44393.0</v>
      </c>
      <c r="F1526" s="77">
        <v>44408.0</v>
      </c>
      <c r="G1526" s="79">
        <f t="shared" si="2"/>
        <v>0.4666666667</v>
      </c>
      <c r="H1526" s="90">
        <v>41226.0</v>
      </c>
      <c r="I1526" s="79">
        <f t="shared" si="3"/>
        <v>8.675</v>
      </c>
      <c r="J1526" s="106">
        <v>62.0</v>
      </c>
      <c r="K1526" s="106">
        <v>27.0</v>
      </c>
      <c r="L1526" s="82" t="s">
        <v>354</v>
      </c>
      <c r="M1526" s="82"/>
      <c r="N1526" s="82" t="s">
        <v>2761</v>
      </c>
      <c r="O1526" s="82"/>
      <c r="P1526" s="107"/>
      <c r="Q1526" s="82"/>
      <c r="R1526" s="76"/>
      <c r="S1526" s="90"/>
      <c r="T1526" s="79"/>
      <c r="U1526" s="90"/>
      <c r="V1526" s="79"/>
    </row>
    <row r="1527">
      <c r="A1527" s="53" t="s">
        <v>3256</v>
      </c>
      <c r="B1527" s="54" t="s">
        <v>2759</v>
      </c>
      <c r="C1527" s="59"/>
      <c r="D1527" s="59" t="s">
        <v>2760</v>
      </c>
      <c r="E1527" s="133">
        <v>44378.0</v>
      </c>
      <c r="F1527" s="61">
        <v>44408.0</v>
      </c>
      <c r="G1527" s="65">
        <f t="shared" si="2"/>
        <v>0.9666666667</v>
      </c>
      <c r="H1527" s="88">
        <v>43629.0</v>
      </c>
      <c r="I1527" s="65">
        <f t="shared" si="3"/>
        <v>2.05</v>
      </c>
      <c r="J1527" s="121">
        <v>69.0</v>
      </c>
      <c r="K1527" s="121">
        <v>5.0</v>
      </c>
      <c r="L1527" s="69" t="s">
        <v>41</v>
      </c>
      <c r="M1527" s="69"/>
      <c r="N1527" s="69" t="s">
        <v>2761</v>
      </c>
      <c r="O1527" s="69"/>
      <c r="P1527" s="122"/>
      <c r="Q1527" s="69"/>
      <c r="R1527" s="59"/>
      <c r="S1527" s="88"/>
      <c r="T1527" s="65"/>
      <c r="U1527" s="88"/>
      <c r="V1527" s="65"/>
    </row>
    <row r="1528">
      <c r="A1528" s="74" t="s">
        <v>2113</v>
      </c>
      <c r="B1528" s="75" t="s">
        <v>35</v>
      </c>
      <c r="C1528" s="76"/>
      <c r="D1528" s="76" t="str">
        <f t="shared" ref="D1528:D1530" si="109">IF(E1528&gt;TODAY(),"Coming Soon",IF(F1528="","Active",IF(F1528&gt;TODAY(),"Leaving Soon","Removed")))</f>
        <v>Removed</v>
      </c>
      <c r="E1528" s="77">
        <v>44049.0</v>
      </c>
      <c r="F1528" s="105">
        <v>44408.0</v>
      </c>
      <c r="G1528" s="79">
        <f t="shared" si="2"/>
        <v>11.8</v>
      </c>
      <c r="H1528" s="90">
        <v>43614.0</v>
      </c>
      <c r="I1528" s="79">
        <f t="shared" si="3"/>
        <v>1.186111111</v>
      </c>
      <c r="J1528" s="106">
        <v>45.0</v>
      </c>
      <c r="K1528" s="106">
        <v>8.0</v>
      </c>
      <c r="L1528" s="82" t="s">
        <v>46</v>
      </c>
      <c r="M1528" s="82"/>
      <c r="N1528" s="82"/>
      <c r="O1528" s="82"/>
      <c r="P1528" s="107"/>
      <c r="Q1528" s="82"/>
      <c r="R1528" s="76"/>
      <c r="S1528" s="90"/>
      <c r="T1528" s="79"/>
      <c r="U1528" s="90"/>
      <c r="V1528" s="79"/>
    </row>
    <row r="1529">
      <c r="A1529" s="53" t="s">
        <v>2170</v>
      </c>
      <c r="B1529" s="54" t="s">
        <v>35</v>
      </c>
      <c r="C1529" s="54" t="s">
        <v>100</v>
      </c>
      <c r="D1529" s="59" t="str">
        <f t="shared" si="109"/>
        <v>Removed</v>
      </c>
      <c r="E1529" s="61">
        <v>44049.0</v>
      </c>
      <c r="F1529" s="120">
        <v>44408.0</v>
      </c>
      <c r="G1529" s="65">
        <f t="shared" si="2"/>
        <v>11.8</v>
      </c>
      <c r="H1529" s="88">
        <v>43697.0</v>
      </c>
      <c r="I1529" s="65">
        <f t="shared" si="3"/>
        <v>0.9611111111</v>
      </c>
      <c r="J1529" s="121">
        <v>80.0</v>
      </c>
      <c r="K1529" s="121">
        <v>4.5</v>
      </c>
      <c r="L1529" s="69" t="s">
        <v>46</v>
      </c>
      <c r="M1529" s="69"/>
      <c r="N1529" s="69"/>
      <c r="O1529" s="69"/>
      <c r="P1529" s="122"/>
      <c r="Q1529" s="69"/>
      <c r="R1529" s="59"/>
      <c r="S1529" s="88"/>
      <c r="T1529" s="65"/>
      <c r="U1529" s="88"/>
      <c r="V1529" s="65"/>
    </row>
    <row r="1530">
      <c r="A1530" s="74" t="s">
        <v>3257</v>
      </c>
      <c r="B1530" s="75" t="s">
        <v>35</v>
      </c>
      <c r="C1530" s="75" t="s">
        <v>100</v>
      </c>
      <c r="D1530" s="76" t="str">
        <f t="shared" si="109"/>
        <v>Removed</v>
      </c>
      <c r="E1530" s="77">
        <v>44042.0</v>
      </c>
      <c r="F1530" s="105">
        <v>44408.0</v>
      </c>
      <c r="G1530" s="79">
        <f t="shared" si="2"/>
        <v>12</v>
      </c>
      <c r="H1530" s="90">
        <v>43790.0</v>
      </c>
      <c r="I1530" s="79">
        <f t="shared" si="3"/>
        <v>0.6916666667</v>
      </c>
      <c r="J1530" s="106">
        <v>79.0</v>
      </c>
      <c r="K1530" s="106">
        <v>5.0</v>
      </c>
      <c r="L1530" s="82" t="s">
        <v>41</v>
      </c>
      <c r="M1530" s="82" t="s">
        <v>326</v>
      </c>
      <c r="N1530" s="82"/>
      <c r="O1530" s="82"/>
      <c r="P1530" s="107"/>
      <c r="Q1530" s="82"/>
      <c r="R1530" s="76"/>
      <c r="S1530" s="90"/>
      <c r="T1530" s="79"/>
      <c r="U1530" s="90"/>
      <c r="V1530" s="79"/>
    </row>
    <row r="1531">
      <c r="A1531" s="53" t="s">
        <v>71</v>
      </c>
      <c r="B1531" s="54" t="s">
        <v>2984</v>
      </c>
      <c r="C1531" s="59"/>
      <c r="D1531" s="59" t="s">
        <v>2985</v>
      </c>
      <c r="E1531" s="133">
        <v>44378.0</v>
      </c>
      <c r="F1531" s="61">
        <v>44392.0</v>
      </c>
      <c r="G1531" s="65">
        <f t="shared" si="2"/>
        <v>0.4666666667</v>
      </c>
      <c r="H1531" s="88">
        <v>38673.0</v>
      </c>
      <c r="I1531" s="65">
        <f t="shared" si="3"/>
        <v>15.62222222</v>
      </c>
      <c r="J1531" s="121">
        <v>82.0</v>
      </c>
      <c r="K1531" s="121">
        <v>10.0</v>
      </c>
      <c r="L1531" s="69" t="s">
        <v>41</v>
      </c>
      <c r="M1531" s="69" t="s">
        <v>72</v>
      </c>
      <c r="N1531" s="69" t="s">
        <v>2761</v>
      </c>
      <c r="O1531" s="69"/>
      <c r="P1531" s="122"/>
      <c r="Q1531" s="69"/>
      <c r="R1531" s="59"/>
      <c r="S1531" s="88"/>
      <c r="T1531" s="65"/>
      <c r="U1531" s="88"/>
      <c r="V1531" s="65"/>
    </row>
    <row r="1532">
      <c r="A1532" s="74" t="s">
        <v>3258</v>
      </c>
      <c r="B1532" s="75" t="s">
        <v>2759</v>
      </c>
      <c r="C1532" s="76"/>
      <c r="D1532" s="76" t="s">
        <v>2760</v>
      </c>
      <c r="E1532" s="218">
        <v>44363.0</v>
      </c>
      <c r="F1532" s="77">
        <v>44392.0</v>
      </c>
      <c r="G1532" s="79">
        <f t="shared" si="2"/>
        <v>0.9666666667</v>
      </c>
      <c r="H1532" s="90">
        <v>42978.0</v>
      </c>
      <c r="I1532" s="79">
        <f t="shared" si="3"/>
        <v>3.794444444</v>
      </c>
      <c r="J1532" s="106">
        <v>76.0</v>
      </c>
      <c r="K1532" s="106">
        <v>21.5</v>
      </c>
      <c r="L1532" s="82" t="s">
        <v>46</v>
      </c>
      <c r="M1532" s="82"/>
      <c r="N1532" s="82"/>
      <c r="O1532" s="82"/>
      <c r="P1532" s="107"/>
      <c r="Q1532" s="82"/>
      <c r="R1532" s="76"/>
      <c r="S1532" s="90"/>
      <c r="T1532" s="79"/>
      <c r="U1532" s="90"/>
      <c r="V1532" s="79"/>
    </row>
    <row r="1533">
      <c r="A1533" s="53" t="s">
        <v>3259</v>
      </c>
      <c r="B1533" s="54" t="s">
        <v>13</v>
      </c>
      <c r="C1533" s="59"/>
      <c r="D1533" s="59" t="str">
        <f t="shared" ref="D1533:D1537" si="110">IF(E1533&gt;TODAY(),"Coming Soon",IF(F1533="","Active",IF(F1533&gt;TODAY(),"Leaving Soon","Removed")))</f>
        <v>Removed</v>
      </c>
      <c r="E1533" s="61">
        <v>44021.0</v>
      </c>
      <c r="F1533" s="120">
        <v>44392.0</v>
      </c>
      <c r="G1533" s="65">
        <f t="shared" si="2"/>
        <v>12.2</v>
      </c>
      <c r="H1533" s="88">
        <v>42874.0</v>
      </c>
      <c r="I1533" s="65">
        <f t="shared" si="3"/>
        <v>3.138888889</v>
      </c>
      <c r="J1533" s="121">
        <v>80.0</v>
      </c>
      <c r="K1533" s="121">
        <v>13.0</v>
      </c>
      <c r="L1533" s="69" t="s">
        <v>81</v>
      </c>
      <c r="M1533" s="69"/>
      <c r="N1533" s="69"/>
      <c r="O1533" s="69"/>
      <c r="P1533" s="122"/>
      <c r="Q1533" s="69"/>
      <c r="R1533" s="54"/>
      <c r="S1533" s="88"/>
      <c r="T1533" s="65"/>
      <c r="U1533" s="88"/>
      <c r="V1533" s="65"/>
    </row>
    <row r="1534">
      <c r="A1534" s="226" t="s">
        <v>3260</v>
      </c>
      <c r="B1534" s="76" t="s">
        <v>13</v>
      </c>
      <c r="C1534" s="76"/>
      <c r="D1534" s="76" t="str">
        <f t="shared" si="110"/>
        <v>Removed</v>
      </c>
      <c r="E1534" s="218">
        <v>43678.0</v>
      </c>
      <c r="F1534" s="105">
        <v>44392.0</v>
      </c>
      <c r="G1534" s="79">
        <f t="shared" si="2"/>
        <v>23.46666667</v>
      </c>
      <c r="H1534" s="90">
        <v>42292.0</v>
      </c>
      <c r="I1534" s="79">
        <f t="shared" si="3"/>
        <v>3.794444444</v>
      </c>
      <c r="J1534" s="106">
        <v>81.0</v>
      </c>
      <c r="K1534" s="106">
        <v>7.5</v>
      </c>
      <c r="L1534" s="82" t="s">
        <v>57</v>
      </c>
      <c r="M1534" s="82"/>
      <c r="N1534" s="82"/>
      <c r="O1534" s="82"/>
      <c r="P1534" s="107"/>
      <c r="Q1534" s="82"/>
      <c r="R1534" s="75"/>
      <c r="S1534" s="90"/>
      <c r="T1534" s="79"/>
      <c r="U1534" s="90"/>
      <c r="V1534" s="79"/>
    </row>
    <row r="1535">
      <c r="A1535" s="207" t="s">
        <v>3261</v>
      </c>
      <c r="B1535" s="54" t="s">
        <v>35</v>
      </c>
      <c r="C1535" s="59"/>
      <c r="D1535" s="59" t="str">
        <f t="shared" si="110"/>
        <v>Removed</v>
      </c>
      <c r="E1535" s="133">
        <v>43626.0</v>
      </c>
      <c r="F1535" s="120">
        <v>44392.0</v>
      </c>
      <c r="G1535" s="65">
        <f t="shared" si="2"/>
        <v>25.16666667</v>
      </c>
      <c r="H1535" s="88">
        <v>42139.0</v>
      </c>
      <c r="I1535" s="65">
        <f t="shared" si="3"/>
        <v>4.069444444</v>
      </c>
      <c r="J1535" s="208">
        <v>86.0</v>
      </c>
      <c r="K1535" s="121">
        <v>31.5</v>
      </c>
      <c r="L1535" s="69" t="s">
        <v>37</v>
      </c>
      <c r="M1535" s="69" t="s">
        <v>326</v>
      </c>
      <c r="N1535" s="69"/>
      <c r="O1535" s="69"/>
      <c r="P1535" s="122"/>
      <c r="Q1535" s="69"/>
      <c r="R1535" s="59"/>
      <c r="S1535" s="88"/>
      <c r="T1535" s="65"/>
      <c r="U1535" s="88"/>
      <c r="V1535" s="65"/>
    </row>
    <row r="1536">
      <c r="A1536" s="74" t="s">
        <v>3262</v>
      </c>
      <c r="B1536" s="75" t="s">
        <v>129</v>
      </c>
      <c r="C1536" s="75"/>
      <c r="D1536" s="76" t="str">
        <f t="shared" si="110"/>
        <v>Removed</v>
      </c>
      <c r="E1536" s="90">
        <v>44145.0</v>
      </c>
      <c r="F1536" s="105">
        <v>44391.0</v>
      </c>
      <c r="G1536" s="79">
        <f t="shared" si="2"/>
        <v>8.133333333</v>
      </c>
      <c r="H1536" s="90">
        <v>41807.0</v>
      </c>
      <c r="I1536" s="79">
        <f t="shared" si="3"/>
        <v>6.397222222</v>
      </c>
      <c r="J1536" s="106">
        <v>70.0</v>
      </c>
      <c r="K1536" s="106">
        <v>11.0</v>
      </c>
      <c r="L1536" s="82" t="s">
        <v>62</v>
      </c>
      <c r="M1536" s="82"/>
      <c r="N1536" s="82"/>
      <c r="O1536" s="82"/>
      <c r="P1536" s="107"/>
      <c r="Q1536" s="82"/>
      <c r="R1536" s="76"/>
      <c r="S1536" s="90"/>
      <c r="T1536" s="79"/>
      <c r="U1536" s="90"/>
      <c r="V1536" s="79"/>
    </row>
    <row r="1537">
      <c r="A1537" s="53" t="s">
        <v>3264</v>
      </c>
      <c r="B1537" s="54" t="s">
        <v>129</v>
      </c>
      <c r="C1537" s="54"/>
      <c r="D1537" s="59" t="str">
        <f t="shared" si="110"/>
        <v>Removed</v>
      </c>
      <c r="E1537" s="88">
        <v>44145.0</v>
      </c>
      <c r="F1537" s="120">
        <v>44391.0</v>
      </c>
      <c r="G1537" s="65">
        <f t="shared" si="2"/>
        <v>8.133333333</v>
      </c>
      <c r="H1537" s="88">
        <v>42444.0</v>
      </c>
      <c r="I1537" s="65">
        <f t="shared" si="3"/>
        <v>4.652777778</v>
      </c>
      <c r="J1537" s="121">
        <v>76.0</v>
      </c>
      <c r="K1537" s="121">
        <v>6.0</v>
      </c>
      <c r="L1537" s="69" t="s">
        <v>62</v>
      </c>
      <c r="M1537" s="69"/>
      <c r="N1537" s="69"/>
      <c r="O1537" s="69"/>
      <c r="P1537" s="122"/>
      <c r="Q1537" s="69"/>
      <c r="R1537" s="59"/>
      <c r="S1537" s="88"/>
      <c r="T1537" s="65"/>
      <c r="U1537" s="88"/>
      <c r="V1537" s="65"/>
    </row>
    <row r="1538">
      <c r="A1538" s="74" t="s">
        <v>3265</v>
      </c>
      <c r="B1538" s="75" t="s">
        <v>2984</v>
      </c>
      <c r="C1538" s="76"/>
      <c r="D1538" s="76" t="s">
        <v>2985</v>
      </c>
      <c r="E1538" s="218">
        <v>44363.0</v>
      </c>
      <c r="F1538" s="77">
        <v>44377.0</v>
      </c>
      <c r="G1538" s="79">
        <f t="shared" si="2"/>
        <v>0.4666666667</v>
      </c>
      <c r="H1538" s="90">
        <v>41380.0</v>
      </c>
      <c r="I1538" s="79">
        <f t="shared" si="3"/>
        <v>8.166666667</v>
      </c>
      <c r="J1538" s="106">
        <v>83.0</v>
      </c>
      <c r="K1538" s="106">
        <v>5.0</v>
      </c>
      <c r="L1538" s="82" t="s">
        <v>52</v>
      </c>
      <c r="M1538" s="82"/>
      <c r="N1538" s="82" t="s">
        <v>2761</v>
      </c>
      <c r="O1538" s="82"/>
      <c r="P1538" s="107"/>
      <c r="Q1538" s="82"/>
      <c r="R1538" s="76"/>
      <c r="S1538" s="90"/>
      <c r="T1538" s="79"/>
      <c r="U1538" s="90"/>
      <c r="V1538" s="79"/>
    </row>
    <row r="1539">
      <c r="A1539" s="53" t="s">
        <v>3266</v>
      </c>
      <c r="B1539" s="54" t="s">
        <v>2759</v>
      </c>
      <c r="C1539" s="59"/>
      <c r="D1539" s="59" t="s">
        <v>2760</v>
      </c>
      <c r="E1539" s="133">
        <v>44348.0</v>
      </c>
      <c r="F1539" s="61">
        <v>44377.0</v>
      </c>
      <c r="G1539" s="65">
        <f t="shared" si="2"/>
        <v>0.9666666667</v>
      </c>
      <c r="H1539" s="88">
        <v>42781.0</v>
      </c>
      <c r="I1539" s="65">
        <f t="shared" si="3"/>
        <v>4.294444444</v>
      </c>
      <c r="J1539" s="121">
        <v>76.0</v>
      </c>
      <c r="K1539" s="121">
        <v>4.0</v>
      </c>
      <c r="L1539" s="69" t="s">
        <v>57</v>
      </c>
      <c r="M1539" s="69"/>
      <c r="N1539" s="69"/>
      <c r="O1539" s="69"/>
      <c r="P1539" s="122"/>
      <c r="Q1539" s="69"/>
      <c r="R1539" s="59"/>
      <c r="S1539" s="88"/>
      <c r="T1539" s="65"/>
      <c r="U1539" s="88"/>
      <c r="V1539" s="65"/>
    </row>
    <row r="1540">
      <c r="A1540" s="74" t="s">
        <v>3267</v>
      </c>
      <c r="B1540" s="75" t="s">
        <v>13</v>
      </c>
      <c r="C1540" s="76"/>
      <c r="D1540" s="76" t="str">
        <f t="shared" ref="D1540:D1546" si="111">IF(E1540&gt;TODAY(),"Coming Soon",IF(F1540="","Active",IF(F1540&gt;TODAY(),"Leaving Soon","Removed")))</f>
        <v>Removed</v>
      </c>
      <c r="E1540" s="77">
        <v>44013.0</v>
      </c>
      <c r="F1540" s="105">
        <v>44377.0</v>
      </c>
      <c r="G1540" s="79">
        <f t="shared" si="2"/>
        <v>11.96666667</v>
      </c>
      <c r="H1540" s="90">
        <v>43910.0</v>
      </c>
      <c r="I1540" s="79">
        <f t="shared" si="3"/>
        <v>0.2805555556</v>
      </c>
      <c r="J1540" s="189">
        <f>8.7*10</f>
        <v>87</v>
      </c>
      <c r="K1540" s="106">
        <v>34.0</v>
      </c>
      <c r="L1540" s="82" t="s">
        <v>62</v>
      </c>
      <c r="M1540" s="82"/>
      <c r="N1540" s="82"/>
      <c r="O1540" s="82"/>
      <c r="P1540" s="107"/>
      <c r="Q1540" s="82"/>
      <c r="R1540" s="75"/>
      <c r="S1540" s="90"/>
      <c r="T1540" s="79"/>
      <c r="U1540" s="90"/>
      <c r="V1540" s="79"/>
    </row>
    <row r="1541">
      <c r="A1541" s="53" t="s">
        <v>3269</v>
      </c>
      <c r="B1541" s="54" t="s">
        <v>129</v>
      </c>
      <c r="C1541" s="59"/>
      <c r="D1541" s="59" t="str">
        <f t="shared" si="111"/>
        <v>Removed</v>
      </c>
      <c r="E1541" s="61">
        <v>44013.0</v>
      </c>
      <c r="F1541" s="120">
        <v>44377.0</v>
      </c>
      <c r="G1541" s="65">
        <f t="shared" si="2"/>
        <v>11.96666667</v>
      </c>
      <c r="H1541" s="88">
        <v>43392.0</v>
      </c>
      <c r="I1541" s="65">
        <f t="shared" si="3"/>
        <v>1.7</v>
      </c>
      <c r="J1541" s="121">
        <v>84.0</v>
      </c>
      <c r="K1541" s="121">
        <v>7.0</v>
      </c>
      <c r="L1541" s="69" t="s">
        <v>52</v>
      </c>
      <c r="M1541" s="69"/>
      <c r="N1541" s="69"/>
      <c r="O1541" s="69"/>
      <c r="P1541" s="122"/>
      <c r="Q1541" s="69"/>
      <c r="R1541" s="59"/>
      <c r="S1541" s="88"/>
      <c r="T1541" s="65"/>
      <c r="U1541" s="88"/>
      <c r="V1541" s="65"/>
    </row>
    <row r="1542">
      <c r="A1542" s="226" t="s">
        <v>3270</v>
      </c>
      <c r="B1542" s="76" t="s">
        <v>13</v>
      </c>
      <c r="C1542" s="76"/>
      <c r="D1542" s="76" t="str">
        <f t="shared" si="111"/>
        <v>Removed</v>
      </c>
      <c r="E1542" s="218">
        <v>43930.0</v>
      </c>
      <c r="F1542" s="105">
        <v>44377.0</v>
      </c>
      <c r="G1542" s="79">
        <f t="shared" si="2"/>
        <v>14.7</v>
      </c>
      <c r="H1542" s="90">
        <v>43748.0</v>
      </c>
      <c r="I1542" s="79">
        <f t="shared" si="3"/>
        <v>0.4972222222</v>
      </c>
      <c r="J1542" s="216">
        <v>60.0</v>
      </c>
      <c r="K1542" s="106">
        <v>33.5</v>
      </c>
      <c r="L1542" s="82" t="s">
        <v>46</v>
      </c>
      <c r="M1542" s="82"/>
      <c r="N1542" s="82"/>
      <c r="O1542" s="82"/>
      <c r="P1542" s="107"/>
      <c r="Q1542" s="82"/>
      <c r="R1542" s="75"/>
      <c r="S1542" s="90"/>
      <c r="T1542" s="79"/>
      <c r="U1542" s="90"/>
      <c r="V1542" s="79"/>
    </row>
    <row r="1543">
      <c r="A1543" s="207" t="s">
        <v>3271</v>
      </c>
      <c r="B1543" s="54" t="s">
        <v>35</v>
      </c>
      <c r="C1543" s="54" t="s">
        <v>36</v>
      </c>
      <c r="D1543" s="59" t="str">
        <f t="shared" si="111"/>
        <v>Removed</v>
      </c>
      <c r="E1543" s="133">
        <v>43625.0</v>
      </c>
      <c r="F1543" s="120">
        <v>44377.0</v>
      </c>
      <c r="G1543" s="65">
        <f t="shared" si="2"/>
        <v>24.7</v>
      </c>
      <c r="H1543" s="88">
        <v>43011.0</v>
      </c>
      <c r="I1543" s="65">
        <f t="shared" si="3"/>
        <v>1.683333333</v>
      </c>
      <c r="J1543" s="208">
        <v>84.0</v>
      </c>
      <c r="K1543" s="121">
        <v>28.5</v>
      </c>
      <c r="L1543" s="69" t="s">
        <v>46</v>
      </c>
      <c r="M1543" s="69" t="s">
        <v>1747</v>
      </c>
      <c r="N1543" s="91"/>
      <c r="O1543" s="91"/>
      <c r="P1543" s="134"/>
      <c r="Q1543" s="91"/>
      <c r="R1543" s="59"/>
      <c r="S1543" s="88"/>
      <c r="T1543" s="65"/>
      <c r="U1543" s="88"/>
      <c r="V1543" s="65"/>
    </row>
    <row r="1544">
      <c r="A1544" s="226" t="s">
        <v>3272</v>
      </c>
      <c r="B1544" s="75" t="s">
        <v>35</v>
      </c>
      <c r="C1544" s="75" t="s">
        <v>36</v>
      </c>
      <c r="D1544" s="76" t="str">
        <f t="shared" si="111"/>
        <v>Removed</v>
      </c>
      <c r="E1544" s="218">
        <v>43625.0</v>
      </c>
      <c r="F1544" s="105">
        <v>44377.0</v>
      </c>
      <c r="G1544" s="79">
        <f t="shared" si="2"/>
        <v>24.7</v>
      </c>
      <c r="H1544" s="90">
        <v>43342.0</v>
      </c>
      <c r="I1544" s="79">
        <f t="shared" si="3"/>
        <v>0.775</v>
      </c>
      <c r="J1544" s="216">
        <v>83.0</v>
      </c>
      <c r="K1544" s="106">
        <v>11.0</v>
      </c>
      <c r="L1544" s="82" t="s">
        <v>57</v>
      </c>
      <c r="M1544" s="83"/>
      <c r="N1544" s="83"/>
      <c r="O1544" s="83"/>
      <c r="P1544" s="219"/>
      <c r="Q1544" s="83"/>
      <c r="R1544" s="76"/>
      <c r="S1544" s="90"/>
      <c r="T1544" s="79"/>
      <c r="U1544" s="90"/>
      <c r="V1544" s="79"/>
    </row>
    <row r="1545">
      <c r="A1545" s="207" t="s">
        <v>3273</v>
      </c>
      <c r="B1545" s="54" t="s">
        <v>129</v>
      </c>
      <c r="C1545" s="54" t="s">
        <v>36</v>
      </c>
      <c r="D1545" s="59" t="str">
        <f t="shared" si="111"/>
        <v>Removed</v>
      </c>
      <c r="E1545" s="133">
        <v>43573.0</v>
      </c>
      <c r="F1545" s="120">
        <v>44377.0</v>
      </c>
      <c r="G1545" s="65">
        <f t="shared" si="2"/>
        <v>26.4</v>
      </c>
      <c r="H1545" s="88">
        <v>43126.0</v>
      </c>
      <c r="I1545" s="65">
        <f t="shared" si="3"/>
        <v>1.227777778</v>
      </c>
      <c r="J1545" s="208">
        <v>90.0</v>
      </c>
      <c r="K1545" s="121">
        <v>49.0</v>
      </c>
      <c r="L1545" s="69" t="s">
        <v>46</v>
      </c>
      <c r="M1545" s="91"/>
      <c r="N1545" s="91"/>
      <c r="O1545" s="91"/>
      <c r="P1545" s="134"/>
      <c r="Q1545" s="91"/>
      <c r="R1545" s="59"/>
      <c r="S1545" s="88"/>
      <c r="T1545" s="65"/>
      <c r="U1545" s="88"/>
      <c r="V1545" s="65"/>
    </row>
    <row r="1546">
      <c r="A1546" s="226" t="s">
        <v>3274</v>
      </c>
      <c r="B1546" s="75" t="s">
        <v>35</v>
      </c>
      <c r="C1546" s="75" t="s">
        <v>36</v>
      </c>
      <c r="D1546" s="76" t="str">
        <f t="shared" si="111"/>
        <v>Removed</v>
      </c>
      <c r="E1546" s="218">
        <v>43556.0</v>
      </c>
      <c r="F1546" s="105">
        <v>44377.0</v>
      </c>
      <c r="G1546" s="79">
        <f t="shared" si="2"/>
        <v>26.96666667</v>
      </c>
      <c r="H1546" s="90">
        <v>42997.0</v>
      </c>
      <c r="I1546" s="79">
        <f t="shared" si="3"/>
        <v>1.533333333</v>
      </c>
      <c r="J1546" s="216">
        <v>77.0</v>
      </c>
      <c r="K1546" s="106">
        <v>3.5</v>
      </c>
      <c r="L1546" s="83" t="s">
        <v>52</v>
      </c>
      <c r="M1546" s="83"/>
      <c r="N1546" s="83"/>
      <c r="O1546" s="83"/>
      <c r="P1546" s="219"/>
      <c r="Q1546" s="83"/>
      <c r="R1546" s="76"/>
      <c r="S1546" s="90"/>
      <c r="T1546" s="79"/>
      <c r="U1546" s="90"/>
      <c r="V1546" s="79"/>
    </row>
    <row r="1547">
      <c r="A1547" s="53" t="s">
        <v>3275</v>
      </c>
      <c r="B1547" s="54" t="s">
        <v>2984</v>
      </c>
      <c r="C1547" s="59"/>
      <c r="D1547" s="59" t="s">
        <v>2985</v>
      </c>
      <c r="E1547" s="133">
        <v>44348.0</v>
      </c>
      <c r="F1547" s="61">
        <v>44362.0</v>
      </c>
      <c r="G1547" s="65">
        <f t="shared" si="2"/>
        <v>0.4666666667</v>
      </c>
      <c r="H1547" s="88">
        <v>39056.0</v>
      </c>
      <c r="I1547" s="65">
        <f t="shared" si="3"/>
        <v>14.48888889</v>
      </c>
      <c r="J1547" s="121">
        <v>72.0</v>
      </c>
      <c r="K1547" s="121">
        <v>1.0</v>
      </c>
      <c r="L1547" s="69" t="s">
        <v>52</v>
      </c>
      <c r="M1547" s="69"/>
      <c r="N1547" s="69" t="s">
        <v>2761</v>
      </c>
      <c r="O1547" s="69"/>
      <c r="P1547" s="122"/>
      <c r="Q1547" s="69"/>
      <c r="R1547" s="59"/>
      <c r="S1547" s="88"/>
      <c r="T1547" s="65"/>
      <c r="U1547" s="88"/>
      <c r="V1547" s="65"/>
    </row>
    <row r="1548">
      <c r="A1548" s="74" t="s">
        <v>3276</v>
      </c>
      <c r="B1548" s="75" t="s">
        <v>2759</v>
      </c>
      <c r="C1548" s="76"/>
      <c r="D1548" s="76" t="s">
        <v>2760</v>
      </c>
      <c r="E1548" s="218">
        <v>44332.0</v>
      </c>
      <c r="F1548" s="77">
        <v>44362.0</v>
      </c>
      <c r="G1548" s="79">
        <f t="shared" si="2"/>
        <v>0.9666666667</v>
      </c>
      <c r="H1548" s="90">
        <v>42773.0</v>
      </c>
      <c r="I1548" s="79">
        <f t="shared" si="3"/>
        <v>4.275</v>
      </c>
      <c r="J1548" s="106">
        <v>75.0</v>
      </c>
      <c r="K1548" s="106">
        <v>26.0</v>
      </c>
      <c r="L1548" s="82" t="s">
        <v>81</v>
      </c>
      <c r="M1548" s="82"/>
      <c r="N1548" s="82"/>
      <c r="O1548" s="82"/>
      <c r="P1548" s="107"/>
      <c r="Q1548" s="82"/>
      <c r="R1548" s="76"/>
      <c r="S1548" s="90"/>
      <c r="T1548" s="79"/>
      <c r="U1548" s="90"/>
      <c r="V1548" s="79"/>
    </row>
    <row r="1549">
      <c r="A1549" s="53" t="s">
        <v>2136</v>
      </c>
      <c r="B1549" s="54" t="s">
        <v>35</v>
      </c>
      <c r="C1549" s="54" t="s">
        <v>36</v>
      </c>
      <c r="D1549" s="59" t="str">
        <f t="shared" ref="D1549:D1553" si="112">IF(E1549&gt;TODAY(),"Coming Soon",IF(F1549="","Active",IF(F1549&gt;TODAY(),"Leaving Soon","Removed")))</f>
        <v>Removed</v>
      </c>
      <c r="E1549" s="61">
        <v>44007.0</v>
      </c>
      <c r="F1549" s="120">
        <v>44362.0</v>
      </c>
      <c r="G1549" s="65">
        <f t="shared" si="2"/>
        <v>11.66666667</v>
      </c>
      <c r="H1549" s="88">
        <v>43606.0</v>
      </c>
      <c r="I1549" s="65">
        <f t="shared" si="3"/>
        <v>1.094444444</v>
      </c>
      <c r="J1549" s="121">
        <v>79.0</v>
      </c>
      <c r="K1549" s="121">
        <v>6.0</v>
      </c>
      <c r="L1549" s="69" t="s">
        <v>41</v>
      </c>
      <c r="M1549" s="69"/>
      <c r="N1549" s="69"/>
      <c r="O1549" s="69"/>
      <c r="P1549" s="122"/>
      <c r="Q1549" s="69"/>
      <c r="R1549" s="59"/>
      <c r="S1549" s="88"/>
      <c r="T1549" s="65"/>
      <c r="U1549" s="88"/>
      <c r="V1549" s="65"/>
    </row>
    <row r="1550">
      <c r="A1550" s="74" t="s">
        <v>3277</v>
      </c>
      <c r="B1550" s="75" t="s">
        <v>35</v>
      </c>
      <c r="C1550" s="75" t="s">
        <v>36</v>
      </c>
      <c r="D1550" s="76" t="str">
        <f t="shared" si="112"/>
        <v>Removed</v>
      </c>
      <c r="E1550" s="77">
        <v>44000.0</v>
      </c>
      <c r="F1550" s="105">
        <v>44362.0</v>
      </c>
      <c r="G1550" s="79">
        <f t="shared" si="2"/>
        <v>11.9</v>
      </c>
      <c r="H1550" s="90">
        <v>44000.0</v>
      </c>
      <c r="I1550" s="79">
        <f t="shared" si="3"/>
        <v>0</v>
      </c>
      <c r="J1550" s="106">
        <v>71.0</v>
      </c>
      <c r="K1550" s="106">
        <v>11.5</v>
      </c>
      <c r="L1550" s="82" t="s">
        <v>37</v>
      </c>
      <c r="M1550" s="82"/>
      <c r="N1550" s="82"/>
      <c r="O1550" s="82"/>
      <c r="P1550" s="107"/>
      <c r="Q1550" s="82"/>
      <c r="R1550" s="76"/>
      <c r="S1550" s="90"/>
      <c r="T1550" s="79"/>
      <c r="U1550" s="90"/>
      <c r="V1550" s="79"/>
    </row>
    <row r="1551">
      <c r="A1551" s="207" t="s">
        <v>3278</v>
      </c>
      <c r="B1551" s="54" t="s">
        <v>129</v>
      </c>
      <c r="C1551" s="59"/>
      <c r="D1551" s="59" t="str">
        <f t="shared" si="112"/>
        <v>Removed</v>
      </c>
      <c r="E1551" s="133">
        <v>43909.0</v>
      </c>
      <c r="F1551" s="120">
        <v>44362.0</v>
      </c>
      <c r="G1551" s="65">
        <f t="shared" si="2"/>
        <v>14.86666667</v>
      </c>
      <c r="H1551" s="88">
        <v>43480.0</v>
      </c>
      <c r="I1551" s="65">
        <f t="shared" si="3"/>
        <v>1.177777778</v>
      </c>
      <c r="J1551" s="208">
        <v>79.0</v>
      </c>
      <c r="K1551" s="121">
        <v>10.5</v>
      </c>
      <c r="L1551" s="91" t="s">
        <v>3279</v>
      </c>
      <c r="M1551" s="91"/>
      <c r="N1551" s="91"/>
      <c r="O1551" s="91"/>
      <c r="P1551" s="134"/>
      <c r="Q1551" s="91"/>
      <c r="R1551" s="59"/>
      <c r="S1551" s="88"/>
      <c r="T1551" s="65"/>
      <c r="U1551" s="88"/>
      <c r="V1551" s="65"/>
    </row>
    <row r="1552">
      <c r="A1552" s="226" t="s">
        <v>3280</v>
      </c>
      <c r="B1552" s="75" t="s">
        <v>35</v>
      </c>
      <c r="C1552" s="75" t="s">
        <v>36</v>
      </c>
      <c r="D1552" s="76" t="str">
        <f t="shared" si="112"/>
        <v>Removed</v>
      </c>
      <c r="E1552" s="218">
        <v>43663.0</v>
      </c>
      <c r="F1552" s="105">
        <v>44362.0</v>
      </c>
      <c r="G1552" s="79">
        <f t="shared" si="2"/>
        <v>22.93333333</v>
      </c>
      <c r="H1552" s="90">
        <v>43663.0</v>
      </c>
      <c r="I1552" s="79">
        <f t="shared" si="3"/>
        <v>0</v>
      </c>
      <c r="J1552" s="216">
        <v>68.0</v>
      </c>
      <c r="K1552" s="106">
        <v>4.0</v>
      </c>
      <c r="L1552" s="83" t="s">
        <v>135</v>
      </c>
      <c r="M1552" s="83"/>
      <c r="N1552" s="83"/>
      <c r="O1552" s="83"/>
      <c r="P1552" s="219"/>
      <c r="Q1552" s="83"/>
      <c r="R1552" s="76"/>
      <c r="S1552" s="90"/>
      <c r="T1552" s="79"/>
      <c r="U1552" s="90"/>
      <c r="V1552" s="79"/>
    </row>
    <row r="1553">
      <c r="A1553" s="207" t="s">
        <v>3281</v>
      </c>
      <c r="B1553" s="54" t="s">
        <v>35</v>
      </c>
      <c r="C1553" s="54" t="s">
        <v>36</v>
      </c>
      <c r="D1553" s="59" t="str">
        <f t="shared" si="112"/>
        <v>Removed</v>
      </c>
      <c r="E1553" s="133">
        <v>43625.0</v>
      </c>
      <c r="F1553" s="120">
        <v>44362.0</v>
      </c>
      <c r="G1553" s="65">
        <f t="shared" si="2"/>
        <v>24.2</v>
      </c>
      <c r="H1553" s="88">
        <v>43235.0</v>
      </c>
      <c r="I1553" s="65">
        <f t="shared" si="3"/>
        <v>1.066666667</v>
      </c>
      <c r="J1553" s="208">
        <v>79.0</v>
      </c>
      <c r="K1553" s="121">
        <v>6.0</v>
      </c>
      <c r="L1553" s="69" t="s">
        <v>46</v>
      </c>
      <c r="M1553" s="91"/>
      <c r="N1553" s="91"/>
      <c r="O1553" s="91"/>
      <c r="P1553" s="134"/>
      <c r="Q1553" s="91"/>
      <c r="R1553" s="59"/>
      <c r="S1553" s="88"/>
      <c r="T1553" s="65"/>
      <c r="U1553" s="88"/>
      <c r="V1553" s="65"/>
    </row>
    <row r="1554">
      <c r="A1554" s="74" t="s">
        <v>3282</v>
      </c>
      <c r="B1554" s="75" t="s">
        <v>2984</v>
      </c>
      <c r="C1554" s="76"/>
      <c r="D1554" s="76" t="s">
        <v>2985</v>
      </c>
      <c r="E1554" s="218">
        <v>44332.0</v>
      </c>
      <c r="F1554" s="77">
        <v>44347.0</v>
      </c>
      <c r="G1554" s="79">
        <f t="shared" si="2"/>
        <v>0.4666666667</v>
      </c>
      <c r="H1554" s="90">
        <v>40777.0</v>
      </c>
      <c r="I1554" s="79">
        <f t="shared" si="3"/>
        <v>9.733333333</v>
      </c>
      <c r="J1554" s="106">
        <v>80.0</v>
      </c>
      <c r="K1554" s="106">
        <v>20.0</v>
      </c>
      <c r="L1554" s="82" t="s">
        <v>81</v>
      </c>
      <c r="M1554" s="82"/>
      <c r="N1554" s="82" t="s">
        <v>2761</v>
      </c>
      <c r="O1554" s="82"/>
      <c r="P1554" s="107"/>
      <c r="Q1554" s="82"/>
      <c r="R1554" s="76"/>
      <c r="S1554" s="90"/>
      <c r="T1554" s="79"/>
      <c r="U1554" s="90"/>
      <c r="V1554" s="79"/>
    </row>
    <row r="1555">
      <c r="A1555" s="53" t="s">
        <v>3283</v>
      </c>
      <c r="B1555" s="54" t="s">
        <v>129</v>
      </c>
      <c r="C1555" s="59"/>
      <c r="D1555" s="59" t="str">
        <f t="shared" ref="D1555:D1559" si="113">IF(E1555&gt;TODAY(),"Coming Soon",IF(F1555="","Active",IF(F1555&gt;TODAY(),"Leaving Soon","Removed")))</f>
        <v>Removed</v>
      </c>
      <c r="E1555" s="61">
        <v>43993.0</v>
      </c>
      <c r="F1555" s="120">
        <v>44347.0</v>
      </c>
      <c r="G1555" s="65">
        <f t="shared" si="2"/>
        <v>11.63333333</v>
      </c>
      <c r="H1555" s="88">
        <v>42803.0</v>
      </c>
      <c r="I1555" s="65">
        <f t="shared" si="3"/>
        <v>3.255555556</v>
      </c>
      <c r="J1555" s="121">
        <v>88.0</v>
      </c>
      <c r="K1555" s="121">
        <v>115.0</v>
      </c>
      <c r="L1555" s="69" t="s">
        <v>46</v>
      </c>
      <c r="M1555" s="69"/>
      <c r="N1555" s="69"/>
      <c r="O1555" s="69"/>
      <c r="P1555" s="122"/>
      <c r="Q1555" s="69"/>
      <c r="R1555" s="59"/>
      <c r="S1555" s="88"/>
      <c r="T1555" s="65"/>
      <c r="U1555" s="88"/>
      <c r="V1555" s="65"/>
    </row>
    <row r="1556">
      <c r="A1556" s="74" t="s">
        <v>3285</v>
      </c>
      <c r="B1556" s="75" t="s">
        <v>129</v>
      </c>
      <c r="C1556" s="76"/>
      <c r="D1556" s="76" t="str">
        <f t="shared" si="113"/>
        <v>Removed</v>
      </c>
      <c r="E1556" s="77">
        <v>43993.0</v>
      </c>
      <c r="F1556" s="105">
        <v>44347.0</v>
      </c>
      <c r="G1556" s="79">
        <f t="shared" si="2"/>
        <v>11.63333333</v>
      </c>
      <c r="H1556" s="90">
        <v>42759.0</v>
      </c>
      <c r="I1556" s="79">
        <f t="shared" si="3"/>
        <v>3.380555556</v>
      </c>
      <c r="J1556" s="106">
        <v>82.0</v>
      </c>
      <c r="K1556" s="106">
        <v>17.0</v>
      </c>
      <c r="L1556" s="82" t="s">
        <v>46</v>
      </c>
      <c r="M1556" s="82"/>
      <c r="N1556" s="82"/>
      <c r="O1556" s="82"/>
      <c r="P1556" s="107"/>
      <c r="Q1556" s="82"/>
      <c r="R1556" s="76"/>
      <c r="S1556" s="90"/>
      <c r="T1556" s="79"/>
      <c r="U1556" s="90"/>
      <c r="V1556" s="79"/>
    </row>
    <row r="1557">
      <c r="A1557" s="207" t="s">
        <v>3286</v>
      </c>
      <c r="B1557" s="59" t="s">
        <v>13</v>
      </c>
      <c r="C1557" s="59"/>
      <c r="D1557" s="59" t="str">
        <f t="shared" si="113"/>
        <v>Removed</v>
      </c>
      <c r="E1557" s="133">
        <v>43625.0</v>
      </c>
      <c r="F1557" s="120">
        <v>44347.0</v>
      </c>
      <c r="G1557" s="65">
        <f t="shared" si="2"/>
        <v>23.7</v>
      </c>
      <c r="H1557" s="88">
        <v>42292.0</v>
      </c>
      <c r="I1557" s="65">
        <f t="shared" si="3"/>
        <v>3.65</v>
      </c>
      <c r="J1557" s="208">
        <v>83.0</v>
      </c>
      <c r="K1557" s="121">
        <v>6.5</v>
      </c>
      <c r="L1557" s="69" t="s">
        <v>37</v>
      </c>
      <c r="M1557" s="69"/>
      <c r="N1557" s="69"/>
      <c r="O1557" s="69"/>
      <c r="P1557" s="122"/>
      <c r="Q1557" s="69"/>
      <c r="R1557" s="54"/>
      <c r="S1557" s="88"/>
      <c r="T1557" s="65"/>
      <c r="U1557" s="88"/>
      <c r="V1557" s="65"/>
    </row>
    <row r="1558">
      <c r="A1558" s="226" t="s">
        <v>3287</v>
      </c>
      <c r="B1558" s="75" t="s">
        <v>35</v>
      </c>
      <c r="C1558" s="75" t="s">
        <v>36</v>
      </c>
      <c r="D1558" s="76" t="str">
        <f t="shared" si="113"/>
        <v>Removed</v>
      </c>
      <c r="E1558" s="218">
        <v>43614.0</v>
      </c>
      <c r="F1558" s="105">
        <v>44347.0</v>
      </c>
      <c r="G1558" s="79">
        <f t="shared" si="2"/>
        <v>24.03333333</v>
      </c>
      <c r="H1558" s="90">
        <v>43614.0</v>
      </c>
      <c r="I1558" s="79">
        <f t="shared" si="3"/>
        <v>0</v>
      </c>
      <c r="J1558" s="216">
        <v>75.0</v>
      </c>
      <c r="K1558" s="106">
        <v>8.0</v>
      </c>
      <c r="L1558" s="82" t="s">
        <v>37</v>
      </c>
      <c r="M1558" s="83"/>
      <c r="N1558" s="83"/>
      <c r="O1558" s="83"/>
      <c r="P1558" s="219"/>
      <c r="Q1558" s="83"/>
      <c r="R1558" s="76"/>
      <c r="S1558" s="90"/>
      <c r="T1558" s="79"/>
      <c r="U1558" s="90"/>
      <c r="V1558" s="79"/>
    </row>
    <row r="1559">
      <c r="A1559" s="207" t="s">
        <v>3288</v>
      </c>
      <c r="B1559" s="54" t="s">
        <v>35</v>
      </c>
      <c r="C1559" s="54" t="s">
        <v>36</v>
      </c>
      <c r="D1559" s="59" t="str">
        <f t="shared" si="113"/>
        <v>Removed</v>
      </c>
      <c r="E1559" s="133">
        <v>43594.0</v>
      </c>
      <c r="F1559" s="120">
        <v>44347.0</v>
      </c>
      <c r="G1559" s="65">
        <f t="shared" si="2"/>
        <v>24.7</v>
      </c>
      <c r="H1559" s="88">
        <v>43174.0</v>
      </c>
      <c r="I1559" s="65">
        <f t="shared" si="3"/>
        <v>1.15</v>
      </c>
      <c r="J1559" s="208">
        <v>76.0</v>
      </c>
      <c r="K1559" s="121">
        <v>18.5</v>
      </c>
      <c r="L1559" s="69" t="s">
        <v>64</v>
      </c>
      <c r="M1559" s="91"/>
      <c r="N1559" s="91"/>
      <c r="O1559" s="91"/>
      <c r="P1559" s="134"/>
      <c r="Q1559" s="91"/>
      <c r="R1559" s="59"/>
      <c r="S1559" s="88"/>
      <c r="T1559" s="65"/>
      <c r="U1559" s="88"/>
      <c r="V1559" s="65"/>
    </row>
    <row r="1560">
      <c r="A1560" s="74" t="s">
        <v>2194</v>
      </c>
      <c r="B1560" s="75" t="s">
        <v>2759</v>
      </c>
      <c r="C1560" s="76"/>
      <c r="D1560" s="76" t="s">
        <v>2760</v>
      </c>
      <c r="E1560" s="218">
        <v>44317.0</v>
      </c>
      <c r="F1560" s="77">
        <v>44346.0</v>
      </c>
      <c r="G1560" s="79">
        <f t="shared" si="2"/>
        <v>0.9666666667</v>
      </c>
      <c r="H1560" s="90">
        <v>42430.0</v>
      </c>
      <c r="I1560" s="79">
        <f t="shared" si="3"/>
        <v>5.166666667</v>
      </c>
      <c r="J1560" s="106">
        <v>74.0</v>
      </c>
      <c r="K1560" s="106">
        <v>2.0</v>
      </c>
      <c r="L1560" s="82" t="s">
        <v>81</v>
      </c>
      <c r="M1560" s="82"/>
      <c r="N1560" s="82"/>
      <c r="O1560" s="82"/>
      <c r="P1560" s="107"/>
      <c r="Q1560" s="82"/>
      <c r="R1560" s="76"/>
      <c r="S1560" s="90"/>
      <c r="T1560" s="79"/>
      <c r="U1560" s="90"/>
      <c r="V1560" s="79"/>
    </row>
    <row r="1561">
      <c r="A1561" s="53" t="s">
        <v>3290</v>
      </c>
      <c r="B1561" s="54" t="s">
        <v>129</v>
      </c>
      <c r="C1561" s="54" t="s">
        <v>36</v>
      </c>
      <c r="D1561" s="59" t="str">
        <f t="shared" ref="D1561:D1562" si="114">IF(E1561&gt;TODAY(),"Coming Soon",IF(F1561="","Active",IF(F1561&gt;TODAY(),"Leaving Soon","Removed")))</f>
        <v>Removed</v>
      </c>
      <c r="E1561" s="88">
        <v>44175.0</v>
      </c>
      <c r="F1561" s="120">
        <v>44346.0</v>
      </c>
      <c r="G1561" s="65">
        <f t="shared" si="2"/>
        <v>5.666666667</v>
      </c>
      <c r="H1561" s="88">
        <v>41992.0</v>
      </c>
      <c r="I1561" s="65">
        <f t="shared" si="3"/>
        <v>5.975</v>
      </c>
      <c r="J1561" s="121">
        <v>63.0</v>
      </c>
      <c r="K1561" s="121">
        <v>40.5</v>
      </c>
      <c r="L1561" s="69" t="s">
        <v>55</v>
      </c>
      <c r="M1561" s="69"/>
      <c r="N1561" s="69"/>
      <c r="O1561" s="69"/>
      <c r="P1561" s="122"/>
      <c r="Q1561" s="69"/>
      <c r="R1561" s="59"/>
      <c r="S1561" s="88"/>
      <c r="T1561" s="65"/>
      <c r="U1561" s="88"/>
      <c r="V1561" s="65"/>
    </row>
    <row r="1562">
      <c r="A1562" s="74" t="s">
        <v>3268</v>
      </c>
      <c r="B1562" s="75" t="s">
        <v>13</v>
      </c>
      <c r="C1562" s="75"/>
      <c r="D1562" s="76" t="str">
        <f t="shared" si="114"/>
        <v>Removed</v>
      </c>
      <c r="E1562" s="90">
        <v>44273.0</v>
      </c>
      <c r="F1562" s="105">
        <v>44336.0</v>
      </c>
      <c r="G1562" s="79">
        <f t="shared" si="2"/>
        <v>2.066666667</v>
      </c>
      <c r="H1562" s="90">
        <v>42747.0</v>
      </c>
      <c r="I1562" s="79">
        <f t="shared" si="3"/>
        <v>4.183333333</v>
      </c>
      <c r="J1562" s="106">
        <v>83.0</v>
      </c>
      <c r="K1562" s="106">
        <v>3.0</v>
      </c>
      <c r="L1562" s="82" t="s">
        <v>135</v>
      </c>
      <c r="M1562" s="82"/>
      <c r="N1562" s="82"/>
      <c r="O1562" s="82"/>
      <c r="P1562" s="107"/>
      <c r="Q1562" s="82"/>
      <c r="R1562" s="75"/>
      <c r="S1562" s="90"/>
      <c r="T1562" s="79"/>
      <c r="U1562" s="90"/>
      <c r="V1562" s="79"/>
    </row>
    <row r="1563">
      <c r="A1563" s="53" t="s">
        <v>3293</v>
      </c>
      <c r="B1563" s="54" t="s">
        <v>2984</v>
      </c>
      <c r="C1563" s="59"/>
      <c r="D1563" s="59" t="s">
        <v>2985</v>
      </c>
      <c r="E1563" s="133">
        <v>44317.0</v>
      </c>
      <c r="F1563" s="61">
        <v>44331.0</v>
      </c>
      <c r="G1563" s="65">
        <f t="shared" si="2"/>
        <v>0.4666666667</v>
      </c>
      <c r="H1563" s="88">
        <v>39741.0</v>
      </c>
      <c r="I1563" s="65">
        <f t="shared" si="3"/>
        <v>12.53055556</v>
      </c>
      <c r="J1563" s="121">
        <v>79.0</v>
      </c>
      <c r="K1563" s="121">
        <v>10.0</v>
      </c>
      <c r="L1563" s="69" t="s">
        <v>41</v>
      </c>
      <c r="M1563" s="69"/>
      <c r="N1563" s="69" t="s">
        <v>2761</v>
      </c>
      <c r="O1563" s="69"/>
      <c r="P1563" s="122"/>
      <c r="Q1563" s="69"/>
      <c r="R1563" s="59"/>
      <c r="S1563" s="88"/>
      <c r="T1563" s="65"/>
      <c r="U1563" s="88"/>
      <c r="V1563" s="65"/>
    </row>
    <row r="1564">
      <c r="A1564" s="74" t="s">
        <v>3296</v>
      </c>
      <c r="B1564" s="75" t="s">
        <v>2759</v>
      </c>
      <c r="C1564" s="76"/>
      <c r="D1564" s="76" t="s">
        <v>2760</v>
      </c>
      <c r="E1564" s="218">
        <v>44302.0</v>
      </c>
      <c r="F1564" s="77">
        <v>44331.0</v>
      </c>
      <c r="G1564" s="79">
        <f t="shared" si="2"/>
        <v>0.9666666667</v>
      </c>
      <c r="H1564" s="90">
        <v>43532.0</v>
      </c>
      <c r="I1564" s="79">
        <f t="shared" si="3"/>
        <v>2.105555556</v>
      </c>
      <c r="J1564" s="106">
        <v>55.0</v>
      </c>
      <c r="K1564" s="106">
        <v>8.0</v>
      </c>
      <c r="L1564" s="82" t="s">
        <v>55</v>
      </c>
      <c r="M1564" s="82"/>
      <c r="N1564" s="82" t="s">
        <v>2761</v>
      </c>
      <c r="O1564" s="82"/>
      <c r="P1564" s="107"/>
      <c r="Q1564" s="82"/>
      <c r="R1564" s="76"/>
      <c r="S1564" s="90"/>
      <c r="T1564" s="79"/>
      <c r="U1564" s="90"/>
      <c r="V1564" s="79"/>
    </row>
    <row r="1565">
      <c r="A1565" s="53" t="s">
        <v>3297</v>
      </c>
      <c r="B1565" s="54" t="s">
        <v>13</v>
      </c>
      <c r="C1565" s="59"/>
      <c r="D1565" s="59" t="str">
        <f t="shared" ref="D1565:D1576" si="115">IF(E1565&gt;TODAY(),"Coming Soon",IF(F1565="","Active",IF(F1565&gt;TODAY(),"Leaving Soon","Removed")))</f>
        <v>Removed</v>
      </c>
      <c r="E1565" s="61">
        <v>43993.0</v>
      </c>
      <c r="F1565" s="120">
        <v>44331.0</v>
      </c>
      <c r="G1565" s="65">
        <f t="shared" si="2"/>
        <v>11.13333333</v>
      </c>
      <c r="H1565" s="88">
        <v>43489.0</v>
      </c>
      <c r="I1565" s="65">
        <f t="shared" si="3"/>
        <v>1.380555556</v>
      </c>
      <c r="J1565" s="121">
        <v>77.0</v>
      </c>
      <c r="K1565" s="121">
        <v>120.0</v>
      </c>
      <c r="L1565" s="69" t="s">
        <v>1726</v>
      </c>
      <c r="M1565" s="69"/>
      <c r="N1565" s="69"/>
      <c r="O1565" s="69"/>
      <c r="P1565" s="122"/>
      <c r="Q1565" s="69"/>
      <c r="R1565" s="54"/>
      <c r="S1565" s="88"/>
      <c r="T1565" s="65"/>
      <c r="U1565" s="88"/>
      <c r="V1565" s="65"/>
    </row>
    <row r="1566">
      <c r="A1566" s="74" t="s">
        <v>3300</v>
      </c>
      <c r="B1566" s="75" t="s">
        <v>35</v>
      </c>
      <c r="C1566" s="75" t="s">
        <v>36</v>
      </c>
      <c r="D1566" s="76" t="str">
        <f t="shared" si="115"/>
        <v>Removed</v>
      </c>
      <c r="E1566" s="77">
        <v>43993.0</v>
      </c>
      <c r="F1566" s="105">
        <v>44331.0</v>
      </c>
      <c r="G1566" s="79">
        <f t="shared" si="2"/>
        <v>11.13333333</v>
      </c>
      <c r="H1566" s="90">
        <v>41939.0</v>
      </c>
      <c r="I1566" s="79">
        <f t="shared" si="3"/>
        <v>5.622222222</v>
      </c>
      <c r="J1566" s="106">
        <f>(78+79)/2</f>
        <v>78.5</v>
      </c>
      <c r="K1566" s="106">
        <v>7.0</v>
      </c>
      <c r="L1566" s="82" t="s">
        <v>46</v>
      </c>
      <c r="M1566" s="82"/>
      <c r="N1566" s="82"/>
      <c r="O1566" s="82"/>
      <c r="P1566" s="107"/>
      <c r="Q1566" s="82"/>
      <c r="R1566" s="76"/>
      <c r="S1566" s="90"/>
      <c r="T1566" s="79"/>
      <c r="U1566" s="90"/>
      <c r="V1566" s="79"/>
    </row>
    <row r="1567">
      <c r="A1567" s="53" t="s">
        <v>3303</v>
      </c>
      <c r="B1567" s="54" t="s">
        <v>13</v>
      </c>
      <c r="C1567" s="59"/>
      <c r="D1567" s="59" t="str">
        <f t="shared" si="115"/>
        <v>Removed</v>
      </c>
      <c r="E1567" s="61">
        <v>43977.0</v>
      </c>
      <c r="F1567" s="120">
        <v>44331.0</v>
      </c>
      <c r="G1567" s="65">
        <f t="shared" si="2"/>
        <v>11.63333333</v>
      </c>
      <c r="H1567" s="88">
        <v>43929.0</v>
      </c>
      <c r="I1567" s="65">
        <f t="shared" si="3"/>
        <v>0.1333333333</v>
      </c>
      <c r="J1567" s="121">
        <v>84.0</v>
      </c>
      <c r="K1567" s="121">
        <v>5.0</v>
      </c>
      <c r="L1567" s="69" t="s">
        <v>46</v>
      </c>
      <c r="M1567" s="69"/>
      <c r="N1567" s="69"/>
      <c r="O1567" s="69"/>
      <c r="P1567" s="122"/>
      <c r="Q1567" s="69"/>
      <c r="R1567" s="54"/>
      <c r="S1567" s="88"/>
      <c r="T1567" s="65"/>
      <c r="U1567" s="88"/>
      <c r="V1567" s="65"/>
    </row>
    <row r="1568">
      <c r="A1568" s="74" t="s">
        <v>3304</v>
      </c>
      <c r="B1568" s="75" t="s">
        <v>35</v>
      </c>
      <c r="C1568" s="76"/>
      <c r="D1568" s="76" t="str">
        <f t="shared" si="115"/>
        <v>Removed</v>
      </c>
      <c r="E1568" s="77">
        <v>43972.0</v>
      </c>
      <c r="F1568" s="105">
        <v>44331.0</v>
      </c>
      <c r="G1568" s="79">
        <f t="shared" si="2"/>
        <v>11.8</v>
      </c>
      <c r="H1568" s="90">
        <v>40312.0</v>
      </c>
      <c r="I1568" s="79">
        <f t="shared" si="3"/>
        <v>10.01944444</v>
      </c>
      <c r="J1568" s="216">
        <v>83.0</v>
      </c>
      <c r="K1568" s="106">
        <v>11.0</v>
      </c>
      <c r="L1568" s="82" t="s">
        <v>37</v>
      </c>
      <c r="M1568" s="82" t="s">
        <v>1747</v>
      </c>
      <c r="N1568" s="83"/>
      <c r="O1568" s="82"/>
      <c r="P1568" s="107"/>
      <c r="Q1568" s="82" t="s">
        <v>3305</v>
      </c>
      <c r="R1568" s="76"/>
      <c r="S1568" s="90"/>
      <c r="T1568" s="79"/>
      <c r="U1568" s="90"/>
      <c r="V1568" s="79"/>
    </row>
    <row r="1569">
      <c r="A1569" s="53" t="s">
        <v>2089</v>
      </c>
      <c r="B1569" s="54" t="s">
        <v>35</v>
      </c>
      <c r="C1569" s="59"/>
      <c r="D1569" s="59" t="str">
        <f t="shared" si="115"/>
        <v>Removed</v>
      </c>
      <c r="E1569" s="61">
        <v>43965.0</v>
      </c>
      <c r="F1569" s="120">
        <v>44331.0</v>
      </c>
      <c r="G1569" s="65">
        <f t="shared" si="2"/>
        <v>12.03333333</v>
      </c>
      <c r="H1569" s="88">
        <v>36714.0</v>
      </c>
      <c r="I1569" s="65">
        <f t="shared" si="3"/>
        <v>19.85277778</v>
      </c>
      <c r="J1569" s="208">
        <v>85.0</v>
      </c>
      <c r="K1569" s="121">
        <v>40.0</v>
      </c>
      <c r="L1569" s="69" t="s">
        <v>46</v>
      </c>
      <c r="M1569" s="91"/>
      <c r="N1569" s="91"/>
      <c r="O1569" s="91"/>
      <c r="P1569" s="134"/>
      <c r="Q1569" s="69"/>
      <c r="R1569" s="59"/>
      <c r="S1569" s="88"/>
      <c r="T1569" s="65"/>
      <c r="U1569" s="88"/>
      <c r="V1569" s="65"/>
    </row>
    <row r="1570">
      <c r="A1570" s="226" t="s">
        <v>3306</v>
      </c>
      <c r="B1570" s="76" t="s">
        <v>13</v>
      </c>
      <c r="C1570" s="76"/>
      <c r="D1570" s="76" t="str">
        <f t="shared" si="115"/>
        <v>Removed</v>
      </c>
      <c r="E1570" s="218">
        <v>43625.0</v>
      </c>
      <c r="F1570" s="105">
        <v>44331.0</v>
      </c>
      <c r="G1570" s="79">
        <f t="shared" si="2"/>
        <v>23.2</v>
      </c>
      <c r="H1570" s="90">
        <v>41205.0</v>
      </c>
      <c r="I1570" s="79">
        <f t="shared" si="3"/>
        <v>6.627777778</v>
      </c>
      <c r="J1570" s="216">
        <v>85.0</v>
      </c>
      <c r="K1570" s="106">
        <v>5.0</v>
      </c>
      <c r="L1570" s="83" t="s">
        <v>105</v>
      </c>
      <c r="M1570" s="83"/>
      <c r="N1570" s="83"/>
      <c r="O1570" s="83"/>
      <c r="P1570" s="219"/>
      <c r="Q1570" s="83"/>
      <c r="R1570" s="75"/>
      <c r="S1570" s="90"/>
      <c r="T1570" s="79"/>
      <c r="U1570" s="90"/>
      <c r="V1570" s="79"/>
    </row>
    <row r="1571">
      <c r="A1571" s="53" t="s">
        <v>3307</v>
      </c>
      <c r="B1571" s="54" t="s">
        <v>35</v>
      </c>
      <c r="C1571" s="54"/>
      <c r="D1571" s="59" t="str">
        <f t="shared" si="115"/>
        <v>Removed</v>
      </c>
      <c r="E1571" s="88">
        <v>44145.0</v>
      </c>
      <c r="F1571" s="120">
        <v>44322.0</v>
      </c>
      <c r="G1571" s="65">
        <f t="shared" si="2"/>
        <v>5.866666667</v>
      </c>
      <c r="H1571" s="88">
        <v>41905.0</v>
      </c>
      <c r="I1571" s="65">
        <f t="shared" si="3"/>
        <v>6.130555556</v>
      </c>
      <c r="J1571" s="121">
        <v>82.0</v>
      </c>
      <c r="K1571" s="121">
        <v>128.0</v>
      </c>
      <c r="L1571" s="69" t="s">
        <v>62</v>
      </c>
      <c r="M1571" s="69"/>
      <c r="N1571" s="69"/>
      <c r="O1571" s="69"/>
      <c r="P1571" s="122"/>
      <c r="Q1571" s="69"/>
      <c r="R1571" s="59"/>
      <c r="S1571" s="88"/>
      <c r="T1571" s="65"/>
      <c r="U1571" s="88"/>
      <c r="V1571" s="65"/>
    </row>
    <row r="1572">
      <c r="A1572" s="74" t="s">
        <v>3308</v>
      </c>
      <c r="B1572" s="75" t="s">
        <v>35</v>
      </c>
      <c r="C1572" s="75"/>
      <c r="D1572" s="76" t="str">
        <f t="shared" si="115"/>
        <v>Removed</v>
      </c>
      <c r="E1572" s="90">
        <v>44145.0</v>
      </c>
      <c r="F1572" s="105">
        <v>44322.0</v>
      </c>
      <c r="G1572" s="79">
        <f t="shared" si="2"/>
        <v>5.866666667</v>
      </c>
      <c r="H1572" s="90">
        <v>42269.0</v>
      </c>
      <c r="I1572" s="79">
        <f t="shared" si="3"/>
        <v>5.133333333</v>
      </c>
      <c r="J1572" s="106">
        <v>84.0</v>
      </c>
      <c r="K1572" s="106">
        <v>108.0</v>
      </c>
      <c r="L1572" s="82" t="s">
        <v>62</v>
      </c>
      <c r="M1572" s="82"/>
      <c r="N1572" s="82"/>
      <c r="O1572" s="82"/>
      <c r="P1572" s="107"/>
      <c r="Q1572" s="82"/>
      <c r="R1572" s="76"/>
      <c r="S1572" s="90"/>
      <c r="T1572" s="79"/>
      <c r="U1572" s="90"/>
      <c r="V1572" s="79"/>
    </row>
    <row r="1573">
      <c r="A1573" s="53" t="s">
        <v>3309</v>
      </c>
      <c r="B1573" s="54" t="s">
        <v>35</v>
      </c>
      <c r="C1573" s="54"/>
      <c r="D1573" s="59" t="str">
        <f t="shared" si="115"/>
        <v>Removed</v>
      </c>
      <c r="E1573" s="88">
        <v>44145.0</v>
      </c>
      <c r="F1573" s="120">
        <v>44322.0</v>
      </c>
      <c r="G1573" s="65">
        <f t="shared" si="2"/>
        <v>5.866666667</v>
      </c>
      <c r="H1573" s="88">
        <v>42640.0</v>
      </c>
      <c r="I1573" s="65">
        <f t="shared" si="3"/>
        <v>4.119444444</v>
      </c>
      <c r="J1573" s="121">
        <v>84.0</v>
      </c>
      <c r="K1573" s="121">
        <v>52.0</v>
      </c>
      <c r="L1573" s="69" t="s">
        <v>62</v>
      </c>
      <c r="M1573" s="69"/>
      <c r="N1573" s="69"/>
      <c r="O1573" s="69"/>
      <c r="P1573" s="122"/>
      <c r="Q1573" s="69"/>
      <c r="R1573" s="59"/>
      <c r="S1573" s="88"/>
      <c r="T1573" s="65"/>
      <c r="U1573" s="88"/>
      <c r="V1573" s="65"/>
    </row>
    <row r="1574">
      <c r="A1574" s="74" t="s">
        <v>3310</v>
      </c>
      <c r="B1574" s="75" t="s">
        <v>35</v>
      </c>
      <c r="C1574" s="75"/>
      <c r="D1574" s="76" t="str">
        <f t="shared" si="115"/>
        <v>Removed</v>
      </c>
      <c r="E1574" s="90">
        <v>44145.0</v>
      </c>
      <c r="F1574" s="105">
        <v>44322.0</v>
      </c>
      <c r="G1574" s="79">
        <f t="shared" si="2"/>
        <v>5.866666667</v>
      </c>
      <c r="H1574" s="90">
        <v>43007.0</v>
      </c>
      <c r="I1574" s="79">
        <f t="shared" si="3"/>
        <v>3.113888889</v>
      </c>
      <c r="J1574" s="106">
        <v>83.0</v>
      </c>
      <c r="K1574" s="106">
        <v>36.5</v>
      </c>
      <c r="L1574" s="82" t="s">
        <v>62</v>
      </c>
      <c r="M1574" s="82"/>
      <c r="N1574" s="82"/>
      <c r="O1574" s="82"/>
      <c r="P1574" s="107"/>
      <c r="Q1574" s="82"/>
      <c r="R1574" s="76"/>
      <c r="S1574" s="90"/>
      <c r="T1574" s="79"/>
      <c r="U1574" s="90"/>
      <c r="V1574" s="79"/>
    </row>
    <row r="1575">
      <c r="A1575" s="53" t="s">
        <v>3311</v>
      </c>
      <c r="B1575" s="54" t="s">
        <v>129</v>
      </c>
      <c r="C1575" s="54"/>
      <c r="D1575" s="59" t="str">
        <f t="shared" si="115"/>
        <v>Removed</v>
      </c>
      <c r="E1575" s="88">
        <v>44145.0</v>
      </c>
      <c r="F1575" s="120">
        <v>44322.0</v>
      </c>
      <c r="G1575" s="65">
        <f t="shared" si="2"/>
        <v>5.866666667</v>
      </c>
      <c r="H1575" s="88">
        <v>41940.0</v>
      </c>
      <c r="I1575" s="65">
        <f t="shared" si="3"/>
        <v>6.033333333</v>
      </c>
      <c r="J1575" s="121">
        <v>53.0</v>
      </c>
      <c r="K1575" s="121">
        <v>39.0</v>
      </c>
      <c r="L1575" s="69" t="s">
        <v>62</v>
      </c>
      <c r="M1575" s="69"/>
      <c r="N1575" s="69"/>
      <c r="O1575" s="69"/>
      <c r="P1575" s="122"/>
      <c r="Q1575" s="69"/>
      <c r="R1575" s="59"/>
      <c r="S1575" s="88"/>
      <c r="T1575" s="65"/>
      <c r="U1575" s="88"/>
      <c r="V1575" s="65"/>
    </row>
    <row r="1576">
      <c r="A1576" s="74" t="s">
        <v>3312</v>
      </c>
      <c r="B1576" s="75" t="s">
        <v>129</v>
      </c>
      <c r="C1576" s="75"/>
      <c r="D1576" s="76" t="str">
        <f t="shared" si="115"/>
        <v>Removed</v>
      </c>
      <c r="E1576" s="90">
        <v>44145.0</v>
      </c>
      <c r="F1576" s="105">
        <v>44322.0</v>
      </c>
      <c r="G1576" s="79">
        <f t="shared" si="2"/>
        <v>5.866666667</v>
      </c>
      <c r="H1576" s="90">
        <v>42993.0</v>
      </c>
      <c r="I1576" s="79">
        <f t="shared" si="3"/>
        <v>3.152777778</v>
      </c>
      <c r="J1576" s="106">
        <v>72.0</v>
      </c>
      <c r="K1576" s="106">
        <v>158.0</v>
      </c>
      <c r="L1576" s="82" t="s">
        <v>62</v>
      </c>
      <c r="M1576" s="82"/>
      <c r="N1576" s="82"/>
      <c r="O1576" s="82"/>
      <c r="P1576" s="107"/>
      <c r="Q1576" s="82"/>
      <c r="R1576" s="76"/>
      <c r="S1576" s="90"/>
      <c r="T1576" s="79"/>
      <c r="U1576" s="90"/>
      <c r="V1576" s="79"/>
    </row>
    <row r="1577">
      <c r="A1577" s="53" t="s">
        <v>3313</v>
      </c>
      <c r="B1577" s="54" t="s">
        <v>2984</v>
      </c>
      <c r="C1577" s="59"/>
      <c r="D1577" s="59" t="s">
        <v>2985</v>
      </c>
      <c r="E1577" s="133">
        <v>44302.0</v>
      </c>
      <c r="F1577" s="61">
        <v>44316.0</v>
      </c>
      <c r="G1577" s="65">
        <f t="shared" si="2"/>
        <v>0.4666666667</v>
      </c>
      <c r="H1577" s="88">
        <v>40590.0</v>
      </c>
      <c r="I1577" s="65">
        <f t="shared" si="3"/>
        <v>10.16666667</v>
      </c>
      <c r="J1577" s="121">
        <v>83.0</v>
      </c>
      <c r="K1577" s="121">
        <v>3.0</v>
      </c>
      <c r="L1577" s="69" t="s">
        <v>105</v>
      </c>
      <c r="M1577" s="69"/>
      <c r="N1577" s="69" t="s">
        <v>2761</v>
      </c>
      <c r="O1577" s="69"/>
      <c r="P1577" s="122"/>
      <c r="Q1577" s="69"/>
      <c r="R1577" s="59"/>
      <c r="S1577" s="88"/>
      <c r="T1577" s="65"/>
      <c r="U1577" s="88"/>
      <c r="V1577" s="65"/>
    </row>
    <row r="1578">
      <c r="A1578" s="74" t="s">
        <v>3314</v>
      </c>
      <c r="B1578" s="75" t="s">
        <v>2759</v>
      </c>
      <c r="C1578" s="76"/>
      <c r="D1578" s="76" t="s">
        <v>2760</v>
      </c>
      <c r="E1578" s="218">
        <v>44287.0</v>
      </c>
      <c r="F1578" s="77">
        <v>44316.0</v>
      </c>
      <c r="G1578" s="79">
        <f t="shared" si="2"/>
        <v>0.9666666667</v>
      </c>
      <c r="H1578" s="90">
        <v>42402.0</v>
      </c>
      <c r="I1578" s="79">
        <f t="shared" si="3"/>
        <v>5.163888889</v>
      </c>
      <c r="J1578" s="106">
        <v>72.0</v>
      </c>
      <c r="K1578" s="106">
        <v>15.0</v>
      </c>
      <c r="L1578" s="82" t="s">
        <v>41</v>
      </c>
      <c r="M1578" s="82"/>
      <c r="N1578" s="82"/>
      <c r="O1578" s="82"/>
      <c r="P1578" s="107"/>
      <c r="Q1578" s="82"/>
      <c r="R1578" s="76"/>
      <c r="S1578" s="90"/>
      <c r="T1578" s="79"/>
      <c r="U1578" s="90"/>
      <c r="V1578" s="79"/>
    </row>
    <row r="1579">
      <c r="A1579" s="53" t="s">
        <v>3315</v>
      </c>
      <c r="B1579" s="54" t="s">
        <v>129</v>
      </c>
      <c r="C1579" s="54" t="s">
        <v>36</v>
      </c>
      <c r="D1579" s="59" t="str">
        <f t="shared" ref="D1579:D1592" si="116">IF(E1579&gt;TODAY(),"Coming Soon",IF(F1579="","Active",IF(F1579&gt;TODAY(),"Leaving Soon","Removed")))</f>
        <v>Removed</v>
      </c>
      <c r="E1579" s="61">
        <v>43970.0</v>
      </c>
      <c r="F1579" s="120">
        <v>44316.0</v>
      </c>
      <c r="G1579" s="65">
        <f t="shared" si="2"/>
        <v>11.36666667</v>
      </c>
      <c r="H1579" s="88">
        <v>43783.0</v>
      </c>
      <c r="I1579" s="65">
        <f t="shared" si="3"/>
        <v>0.5138888889</v>
      </c>
      <c r="J1579" s="121">
        <v>86.0</v>
      </c>
      <c r="K1579" s="121">
        <v>0.5</v>
      </c>
      <c r="L1579" s="91" t="s">
        <v>135</v>
      </c>
      <c r="M1579" s="91"/>
      <c r="N1579" s="91"/>
      <c r="O1579" s="91"/>
      <c r="P1579" s="134"/>
      <c r="Q1579" s="91"/>
      <c r="R1579" s="59"/>
      <c r="S1579" s="88"/>
      <c r="T1579" s="65"/>
      <c r="U1579" s="88"/>
      <c r="V1579" s="65"/>
    </row>
    <row r="1580">
      <c r="A1580" s="74" t="s">
        <v>3316</v>
      </c>
      <c r="B1580" s="75" t="s">
        <v>13</v>
      </c>
      <c r="C1580" s="76"/>
      <c r="D1580" s="76" t="str">
        <f t="shared" si="116"/>
        <v>Removed</v>
      </c>
      <c r="E1580" s="77">
        <v>43965.0</v>
      </c>
      <c r="F1580" s="105">
        <v>44316.0</v>
      </c>
      <c r="G1580" s="79">
        <f t="shared" si="2"/>
        <v>11.53333333</v>
      </c>
      <c r="H1580" s="90">
        <v>41900.0</v>
      </c>
      <c r="I1580" s="79">
        <f t="shared" si="3"/>
        <v>5.655555556</v>
      </c>
      <c r="J1580" s="216">
        <v>82.0</v>
      </c>
      <c r="K1580" s="106">
        <v>14.0</v>
      </c>
      <c r="L1580" s="83" t="s">
        <v>81</v>
      </c>
      <c r="M1580" s="83"/>
      <c r="N1580" s="83"/>
      <c r="O1580" s="83"/>
      <c r="P1580" s="219"/>
      <c r="Q1580" s="83"/>
      <c r="R1580" s="75"/>
      <c r="S1580" s="90"/>
      <c r="T1580" s="79"/>
      <c r="U1580" s="90"/>
      <c r="V1580" s="79"/>
    </row>
    <row r="1581">
      <c r="A1581" s="207" t="s">
        <v>2118</v>
      </c>
      <c r="B1581" s="54" t="s">
        <v>35</v>
      </c>
      <c r="C1581" s="54" t="s">
        <v>36</v>
      </c>
      <c r="D1581" s="59" t="str">
        <f t="shared" si="116"/>
        <v>Removed</v>
      </c>
      <c r="E1581" s="133">
        <v>43951.0</v>
      </c>
      <c r="F1581" s="120">
        <v>44316.0</v>
      </c>
      <c r="G1581" s="65">
        <f t="shared" si="2"/>
        <v>12</v>
      </c>
      <c r="H1581" s="88">
        <v>43573.0</v>
      </c>
      <c r="I1581" s="65">
        <f t="shared" si="3"/>
        <v>1.033333333</v>
      </c>
      <c r="J1581" s="121">
        <v>82.0</v>
      </c>
      <c r="K1581" s="121">
        <v>66.0</v>
      </c>
      <c r="L1581" s="69" t="s">
        <v>57</v>
      </c>
      <c r="M1581" s="69"/>
      <c r="N1581" s="69"/>
      <c r="O1581" s="69"/>
      <c r="P1581" s="122"/>
      <c r="Q1581" s="69"/>
      <c r="R1581" s="59"/>
      <c r="S1581" s="88"/>
      <c r="T1581" s="65"/>
      <c r="U1581" s="88"/>
      <c r="V1581" s="65"/>
    </row>
    <row r="1582">
      <c r="A1582" s="226" t="s">
        <v>3184</v>
      </c>
      <c r="B1582" s="75" t="s">
        <v>35</v>
      </c>
      <c r="C1582" s="75" t="s">
        <v>36</v>
      </c>
      <c r="D1582" s="76" t="str">
        <f t="shared" si="116"/>
        <v>Removed</v>
      </c>
      <c r="E1582" s="218">
        <v>43949.0</v>
      </c>
      <c r="F1582" s="105">
        <v>44316.0</v>
      </c>
      <c r="G1582" s="79">
        <f t="shared" si="2"/>
        <v>12.06666667</v>
      </c>
      <c r="H1582" s="90">
        <v>43941.0</v>
      </c>
      <c r="I1582" s="79">
        <f t="shared" si="3"/>
        <v>0.02222222222</v>
      </c>
      <c r="J1582" s="216">
        <v>78.0</v>
      </c>
      <c r="K1582" s="106">
        <v>4.0</v>
      </c>
      <c r="L1582" s="82" t="s">
        <v>105</v>
      </c>
      <c r="M1582" s="82" t="s">
        <v>1747</v>
      </c>
      <c r="N1582" s="83"/>
      <c r="O1582" s="83"/>
      <c r="P1582" s="219"/>
      <c r="Q1582" s="83"/>
      <c r="R1582" s="76"/>
      <c r="S1582" s="90"/>
      <c r="T1582" s="79"/>
      <c r="U1582" s="90"/>
      <c r="V1582" s="79"/>
    </row>
    <row r="1583">
      <c r="A1583" s="207" t="s">
        <v>3317</v>
      </c>
      <c r="B1583" s="59" t="s">
        <v>13</v>
      </c>
      <c r="C1583" s="59"/>
      <c r="D1583" s="59" t="str">
        <f t="shared" si="116"/>
        <v>Removed</v>
      </c>
      <c r="E1583" s="133">
        <v>43625.0</v>
      </c>
      <c r="F1583" s="120">
        <v>44316.0</v>
      </c>
      <c r="G1583" s="65">
        <f t="shared" si="2"/>
        <v>22.7</v>
      </c>
      <c r="H1583" s="88">
        <v>42653.0</v>
      </c>
      <c r="I1583" s="65">
        <f t="shared" si="3"/>
        <v>2.663888889</v>
      </c>
      <c r="J1583" s="121">
        <v>86.0</v>
      </c>
      <c r="K1583" s="121">
        <v>7.5</v>
      </c>
      <c r="L1583" s="69" t="s">
        <v>2794</v>
      </c>
      <c r="M1583" s="69"/>
      <c r="N1583" s="69"/>
      <c r="O1583" s="69"/>
      <c r="P1583" s="122"/>
      <c r="Q1583" s="69"/>
      <c r="R1583" s="54"/>
      <c r="S1583" s="88"/>
      <c r="T1583" s="65"/>
      <c r="U1583" s="88"/>
      <c r="V1583" s="65"/>
    </row>
    <row r="1584">
      <c r="A1584" s="226" t="s">
        <v>3318</v>
      </c>
      <c r="B1584" s="75" t="s">
        <v>35</v>
      </c>
      <c r="C1584" s="75" t="s">
        <v>36</v>
      </c>
      <c r="D1584" s="76" t="str">
        <f t="shared" si="116"/>
        <v>Removed</v>
      </c>
      <c r="E1584" s="218">
        <v>43595.0</v>
      </c>
      <c r="F1584" s="105">
        <v>44316.0</v>
      </c>
      <c r="G1584" s="79">
        <f t="shared" si="2"/>
        <v>23.66666667</v>
      </c>
      <c r="H1584" s="90">
        <v>43158.0</v>
      </c>
      <c r="I1584" s="79">
        <f t="shared" si="3"/>
        <v>1.202777778</v>
      </c>
      <c r="J1584" s="216">
        <v>87.0</v>
      </c>
      <c r="K1584" s="106">
        <v>10.0</v>
      </c>
      <c r="L1584" s="82" t="s">
        <v>46</v>
      </c>
      <c r="M1584" s="83"/>
      <c r="N1584" s="83"/>
      <c r="O1584" s="83"/>
      <c r="P1584" s="219"/>
      <c r="Q1584" s="83"/>
      <c r="R1584" s="76"/>
      <c r="S1584" s="90"/>
      <c r="T1584" s="79"/>
      <c r="U1584" s="90"/>
      <c r="V1584" s="79"/>
    </row>
    <row r="1585">
      <c r="A1585" s="207" t="s">
        <v>3319</v>
      </c>
      <c r="B1585" s="54" t="s">
        <v>35</v>
      </c>
      <c r="C1585" s="59"/>
      <c r="D1585" s="59" t="str">
        <f t="shared" si="116"/>
        <v>Removed</v>
      </c>
      <c r="E1585" s="133">
        <v>43291.0</v>
      </c>
      <c r="F1585" s="61">
        <v>44316.0</v>
      </c>
      <c r="G1585" s="65">
        <f t="shared" si="2"/>
        <v>33.66666667</v>
      </c>
      <c r="H1585" s="88">
        <v>43027.0</v>
      </c>
      <c r="I1585" s="65">
        <f t="shared" si="3"/>
        <v>0.725</v>
      </c>
      <c r="J1585" s="208">
        <f>ROUND((74+75)/2,)</f>
        <v>75</v>
      </c>
      <c r="K1585" s="121">
        <v>17.0</v>
      </c>
      <c r="L1585" s="91" t="s">
        <v>81</v>
      </c>
      <c r="M1585" s="91"/>
      <c r="N1585" s="91"/>
      <c r="O1585" s="91"/>
      <c r="P1585" s="134"/>
      <c r="Q1585" s="91"/>
      <c r="R1585" s="59"/>
      <c r="S1585" s="88"/>
      <c r="T1585" s="65"/>
      <c r="U1585" s="88"/>
      <c r="V1585" s="65"/>
    </row>
    <row r="1586">
      <c r="A1586" s="74" t="s">
        <v>3320</v>
      </c>
      <c r="B1586" s="75" t="s">
        <v>129</v>
      </c>
      <c r="C1586" s="75"/>
      <c r="D1586" s="76" t="str">
        <f t="shared" si="116"/>
        <v>Removed</v>
      </c>
      <c r="E1586" s="90">
        <v>44145.0</v>
      </c>
      <c r="F1586" s="105">
        <v>44302.0</v>
      </c>
      <c r="G1586" s="79">
        <f t="shared" si="2"/>
        <v>5.2</v>
      </c>
      <c r="H1586" s="90">
        <v>41877.0</v>
      </c>
      <c r="I1586" s="79">
        <f t="shared" si="3"/>
        <v>6.205555556</v>
      </c>
      <c r="J1586" s="106">
        <v>80.0</v>
      </c>
      <c r="K1586" s="106">
        <v>41.0</v>
      </c>
      <c r="L1586" s="82" t="s">
        <v>62</v>
      </c>
      <c r="M1586" s="82"/>
      <c r="N1586" s="82"/>
      <c r="O1586" s="82"/>
      <c r="P1586" s="107"/>
      <c r="Q1586" s="82"/>
      <c r="R1586" s="76"/>
      <c r="S1586" s="90"/>
      <c r="T1586" s="79"/>
      <c r="U1586" s="90"/>
      <c r="V1586" s="79"/>
    </row>
    <row r="1587">
      <c r="A1587" s="53" t="s">
        <v>3321</v>
      </c>
      <c r="B1587" s="54" t="s">
        <v>129</v>
      </c>
      <c r="C1587" s="54"/>
      <c r="D1587" s="59" t="str">
        <f t="shared" si="116"/>
        <v>Removed</v>
      </c>
      <c r="E1587" s="88">
        <v>44145.0</v>
      </c>
      <c r="F1587" s="120">
        <v>44302.0</v>
      </c>
      <c r="G1587" s="65">
        <f t="shared" si="2"/>
        <v>5.2</v>
      </c>
      <c r="H1587" s="88">
        <v>42241.0</v>
      </c>
      <c r="I1587" s="65">
        <f t="shared" si="3"/>
        <v>5.208333333</v>
      </c>
      <c r="J1587" s="121">
        <v>84.0</v>
      </c>
      <c r="K1587" s="121">
        <v>43.0</v>
      </c>
      <c r="L1587" s="69" t="s">
        <v>62</v>
      </c>
      <c r="M1587" s="69"/>
      <c r="N1587" s="69"/>
      <c r="O1587" s="69"/>
      <c r="P1587" s="122"/>
      <c r="Q1587" s="69"/>
      <c r="R1587" s="59"/>
      <c r="S1587" s="88"/>
      <c r="T1587" s="65"/>
      <c r="U1587" s="88"/>
      <c r="V1587" s="65"/>
    </row>
    <row r="1588">
      <c r="A1588" s="74" t="s">
        <v>3322</v>
      </c>
      <c r="B1588" s="75" t="s">
        <v>129</v>
      </c>
      <c r="C1588" s="75"/>
      <c r="D1588" s="76" t="str">
        <f t="shared" si="116"/>
        <v>Removed</v>
      </c>
      <c r="E1588" s="90">
        <v>44145.0</v>
      </c>
      <c r="F1588" s="105">
        <v>44302.0</v>
      </c>
      <c r="G1588" s="79">
        <f t="shared" si="2"/>
        <v>5.2</v>
      </c>
      <c r="H1588" s="90">
        <v>42605.0</v>
      </c>
      <c r="I1588" s="79">
        <f t="shared" si="3"/>
        <v>4.213888889</v>
      </c>
      <c r="J1588" s="106">
        <v>83.0</v>
      </c>
      <c r="K1588" s="106">
        <v>40.5</v>
      </c>
      <c r="L1588" s="82" t="s">
        <v>62</v>
      </c>
      <c r="M1588" s="82"/>
      <c r="N1588" s="82"/>
      <c r="O1588" s="82"/>
      <c r="P1588" s="107"/>
      <c r="Q1588" s="82"/>
      <c r="R1588" s="76"/>
      <c r="S1588" s="90"/>
      <c r="T1588" s="79"/>
      <c r="U1588" s="90"/>
      <c r="V1588" s="79"/>
    </row>
    <row r="1589">
      <c r="A1589" s="53" t="s">
        <v>3323</v>
      </c>
      <c r="B1589" s="54" t="s">
        <v>129</v>
      </c>
      <c r="C1589" s="54"/>
      <c r="D1589" s="59" t="str">
        <f t="shared" si="116"/>
        <v>Removed</v>
      </c>
      <c r="E1589" s="88">
        <v>44145.0</v>
      </c>
      <c r="F1589" s="120">
        <v>44302.0</v>
      </c>
      <c r="G1589" s="65">
        <f t="shared" si="2"/>
        <v>5.2</v>
      </c>
      <c r="H1589" s="88">
        <v>42972.0</v>
      </c>
      <c r="I1589" s="65">
        <f t="shared" si="3"/>
        <v>3.208333333</v>
      </c>
      <c r="J1589" s="121">
        <v>82.0</v>
      </c>
      <c r="K1589" s="121">
        <v>15.5</v>
      </c>
      <c r="L1589" s="69" t="s">
        <v>62</v>
      </c>
      <c r="M1589" s="69"/>
      <c r="N1589" s="69"/>
      <c r="O1589" s="69"/>
      <c r="P1589" s="122"/>
      <c r="Q1589" s="69"/>
      <c r="R1589" s="59"/>
      <c r="S1589" s="88"/>
      <c r="T1589" s="65"/>
      <c r="U1589" s="88"/>
      <c r="V1589" s="65"/>
    </row>
    <row r="1590">
      <c r="A1590" s="74" t="s">
        <v>3324</v>
      </c>
      <c r="B1590" s="75" t="s">
        <v>129</v>
      </c>
      <c r="C1590" s="75"/>
      <c r="D1590" s="76" t="str">
        <f t="shared" si="116"/>
        <v>Removed</v>
      </c>
      <c r="E1590" s="90">
        <v>44145.0</v>
      </c>
      <c r="F1590" s="105">
        <v>44302.0</v>
      </c>
      <c r="G1590" s="79">
        <f t="shared" si="2"/>
        <v>5.2</v>
      </c>
      <c r="H1590" s="90">
        <v>41513.0</v>
      </c>
      <c r="I1590" s="79">
        <f t="shared" si="3"/>
        <v>7.202777778</v>
      </c>
      <c r="J1590" s="106">
        <v>73.0</v>
      </c>
      <c r="K1590" s="106">
        <v>45.0</v>
      </c>
      <c r="L1590" s="82" t="s">
        <v>62</v>
      </c>
      <c r="M1590" s="82"/>
      <c r="N1590" s="82"/>
      <c r="O1590" s="82"/>
      <c r="P1590" s="107"/>
      <c r="Q1590" s="82"/>
      <c r="R1590" s="76"/>
      <c r="S1590" s="90"/>
      <c r="T1590" s="79"/>
      <c r="U1590" s="90"/>
      <c r="V1590" s="79"/>
    </row>
    <row r="1591">
      <c r="A1591" s="53" t="s">
        <v>3325</v>
      </c>
      <c r="B1591" s="54" t="s">
        <v>129</v>
      </c>
      <c r="C1591" s="54"/>
      <c r="D1591" s="59" t="str">
        <f t="shared" si="116"/>
        <v>Removed</v>
      </c>
      <c r="E1591" s="88">
        <v>44145.0</v>
      </c>
      <c r="F1591" s="120">
        <v>44302.0</v>
      </c>
      <c r="G1591" s="65">
        <f t="shared" si="2"/>
        <v>5.2</v>
      </c>
      <c r="H1591" s="88">
        <v>42993.0</v>
      </c>
      <c r="I1591" s="65">
        <f t="shared" si="3"/>
        <v>3.152777778</v>
      </c>
      <c r="J1591" s="121">
        <v>77.0</v>
      </c>
      <c r="K1591" s="121">
        <v>40.0</v>
      </c>
      <c r="L1591" s="69" t="s">
        <v>62</v>
      </c>
      <c r="M1591" s="69"/>
      <c r="N1591" s="69"/>
      <c r="O1591" s="69"/>
      <c r="P1591" s="122"/>
      <c r="Q1591" s="69"/>
      <c r="R1591" s="59"/>
      <c r="S1591" s="88"/>
      <c r="T1591" s="65"/>
      <c r="U1591" s="88"/>
      <c r="V1591" s="65"/>
    </row>
    <row r="1592">
      <c r="A1592" s="74" t="s">
        <v>3326</v>
      </c>
      <c r="B1592" s="75" t="s">
        <v>129</v>
      </c>
      <c r="C1592" s="75"/>
      <c r="D1592" s="76" t="str">
        <f t="shared" si="116"/>
        <v>Removed</v>
      </c>
      <c r="E1592" s="90">
        <v>44145.0</v>
      </c>
      <c r="F1592" s="105">
        <v>44302.0</v>
      </c>
      <c r="G1592" s="79">
        <f t="shared" si="2"/>
        <v>5.2</v>
      </c>
      <c r="H1592" s="90">
        <v>43357.0</v>
      </c>
      <c r="I1592" s="79">
        <f t="shared" si="3"/>
        <v>2.155555556</v>
      </c>
      <c r="J1592" s="106">
        <v>82.0</v>
      </c>
      <c r="K1592" s="106">
        <v>39.5</v>
      </c>
      <c r="L1592" s="82" t="s">
        <v>62</v>
      </c>
      <c r="M1592" s="82"/>
      <c r="N1592" s="82"/>
      <c r="O1592" s="82"/>
      <c r="P1592" s="107"/>
      <c r="Q1592" s="82"/>
      <c r="R1592" s="76"/>
      <c r="S1592" s="90"/>
      <c r="T1592" s="79"/>
      <c r="U1592" s="90"/>
      <c r="V1592" s="79"/>
    </row>
    <row r="1593">
      <c r="A1593" s="53" t="s">
        <v>3327</v>
      </c>
      <c r="B1593" s="54" t="s">
        <v>2984</v>
      </c>
      <c r="C1593" s="59"/>
      <c r="D1593" s="59" t="s">
        <v>2985</v>
      </c>
      <c r="E1593" s="133">
        <v>44287.0</v>
      </c>
      <c r="F1593" s="61">
        <v>44301.0</v>
      </c>
      <c r="G1593" s="65">
        <f t="shared" si="2"/>
        <v>0.4666666667</v>
      </c>
      <c r="H1593" s="88">
        <v>40259.0</v>
      </c>
      <c r="I1593" s="65">
        <f t="shared" si="3"/>
        <v>11.025</v>
      </c>
      <c r="J1593" s="121">
        <v>58.0</v>
      </c>
      <c r="K1593" s="121">
        <v>8.0</v>
      </c>
      <c r="L1593" s="69" t="s">
        <v>105</v>
      </c>
      <c r="M1593" s="69"/>
      <c r="N1593" s="69" t="s">
        <v>2761</v>
      </c>
      <c r="O1593" s="69"/>
      <c r="P1593" s="122"/>
      <c r="Q1593" s="69"/>
      <c r="R1593" s="59"/>
      <c r="S1593" s="88"/>
      <c r="T1593" s="65"/>
      <c r="U1593" s="88"/>
      <c r="V1593" s="65"/>
    </row>
    <row r="1594">
      <c r="A1594" s="74" t="s">
        <v>3328</v>
      </c>
      <c r="B1594" s="75" t="s">
        <v>2759</v>
      </c>
      <c r="C1594" s="76"/>
      <c r="D1594" s="76" t="s">
        <v>2760</v>
      </c>
      <c r="E1594" s="218">
        <v>44271.0</v>
      </c>
      <c r="F1594" s="77">
        <v>44301.0</v>
      </c>
      <c r="G1594" s="79">
        <f t="shared" si="2"/>
        <v>0.9666666667</v>
      </c>
      <c r="H1594" s="90">
        <v>41975.0</v>
      </c>
      <c r="I1594" s="79">
        <f t="shared" si="3"/>
        <v>6.288888889</v>
      </c>
      <c r="J1594" s="106">
        <v>70.0</v>
      </c>
      <c r="K1594" s="106">
        <v>3.0</v>
      </c>
      <c r="L1594" s="82" t="s">
        <v>105</v>
      </c>
      <c r="M1594" s="82"/>
      <c r="N1594" s="82" t="s">
        <v>2761</v>
      </c>
      <c r="O1594" s="82"/>
      <c r="P1594" s="107"/>
      <c r="Q1594" s="82"/>
      <c r="R1594" s="76"/>
      <c r="S1594" s="90"/>
      <c r="T1594" s="79"/>
      <c r="U1594" s="90"/>
      <c r="V1594" s="79"/>
    </row>
    <row r="1595">
      <c r="A1595" s="207" t="s">
        <v>3329</v>
      </c>
      <c r="B1595" s="54" t="s">
        <v>35</v>
      </c>
      <c r="C1595" s="54" t="s">
        <v>36</v>
      </c>
      <c r="D1595" s="59" t="str">
        <f t="shared" ref="D1595:D1597" si="117">IF(E1595&gt;TODAY(),"Coming Soon",IF(F1595="","Active",IF(F1595&gt;TODAY(),"Leaving Soon","Removed")))</f>
        <v>Removed</v>
      </c>
      <c r="E1595" s="133">
        <v>43944.0</v>
      </c>
      <c r="F1595" s="120">
        <v>44301.0</v>
      </c>
      <c r="G1595" s="65">
        <f t="shared" si="2"/>
        <v>11.73333333</v>
      </c>
      <c r="H1595" s="88">
        <v>43748.0</v>
      </c>
      <c r="I1595" s="65">
        <f t="shared" si="3"/>
        <v>0.5361111111</v>
      </c>
      <c r="J1595" s="208">
        <v>75.0</v>
      </c>
      <c r="K1595" s="121">
        <v>5.0</v>
      </c>
      <c r="L1595" s="91" t="s">
        <v>41</v>
      </c>
      <c r="M1595" s="91"/>
      <c r="N1595" s="91"/>
      <c r="O1595" s="91"/>
      <c r="P1595" s="134"/>
      <c r="Q1595" s="91"/>
      <c r="R1595" s="59"/>
      <c r="S1595" s="88"/>
      <c r="T1595" s="65"/>
      <c r="U1595" s="88"/>
      <c r="V1595" s="65"/>
    </row>
    <row r="1596">
      <c r="A1596" s="226" t="s">
        <v>3330</v>
      </c>
      <c r="B1596" s="75" t="s">
        <v>35</v>
      </c>
      <c r="C1596" s="75" t="s">
        <v>36</v>
      </c>
      <c r="D1596" s="76" t="str">
        <f t="shared" si="117"/>
        <v>Removed</v>
      </c>
      <c r="E1596" s="218">
        <v>43942.0</v>
      </c>
      <c r="F1596" s="105">
        <v>44301.0</v>
      </c>
      <c r="G1596" s="79">
        <f t="shared" si="2"/>
        <v>11.8</v>
      </c>
      <c r="H1596" s="90">
        <v>43615.0</v>
      </c>
      <c r="I1596" s="79">
        <f t="shared" si="3"/>
        <v>0.8916666667</v>
      </c>
      <c r="J1596" s="216">
        <v>79.0</v>
      </c>
      <c r="K1596" s="106">
        <v>3.0</v>
      </c>
      <c r="L1596" s="82" t="s">
        <v>57</v>
      </c>
      <c r="M1596" s="83"/>
      <c r="N1596" s="83"/>
      <c r="O1596" s="83"/>
      <c r="P1596" s="219"/>
      <c r="Q1596" s="83"/>
      <c r="R1596" s="76"/>
      <c r="S1596" s="90"/>
      <c r="T1596" s="79"/>
      <c r="U1596" s="90"/>
      <c r="V1596" s="79"/>
    </row>
    <row r="1597">
      <c r="A1597" s="207" t="s">
        <v>2090</v>
      </c>
      <c r="B1597" s="54" t="s">
        <v>35</v>
      </c>
      <c r="C1597" s="59"/>
      <c r="D1597" s="59" t="str">
        <f t="shared" si="117"/>
        <v>Removed</v>
      </c>
      <c r="E1597" s="133">
        <v>43587.0</v>
      </c>
      <c r="F1597" s="120">
        <v>44301.0</v>
      </c>
      <c r="G1597" s="65">
        <f t="shared" si="2"/>
        <v>23.43333333</v>
      </c>
      <c r="H1597" s="88">
        <v>43497.0</v>
      </c>
      <c r="I1597" s="65">
        <f t="shared" si="3"/>
        <v>0.2527777778</v>
      </c>
      <c r="J1597" s="208">
        <v>81.0</v>
      </c>
      <c r="K1597" s="121">
        <v>20.5</v>
      </c>
      <c r="L1597" s="69" t="s">
        <v>81</v>
      </c>
      <c r="M1597" s="69"/>
      <c r="N1597" s="69"/>
      <c r="O1597" s="69"/>
      <c r="P1597" s="122"/>
      <c r="Q1597" s="69"/>
      <c r="R1597" s="59"/>
      <c r="S1597" s="88"/>
      <c r="T1597" s="65"/>
      <c r="U1597" s="88"/>
      <c r="V1597" s="65"/>
    </row>
    <row r="1598">
      <c r="A1598" s="74" t="s">
        <v>3331</v>
      </c>
      <c r="B1598" s="75" t="s">
        <v>2984</v>
      </c>
      <c r="C1598" s="76"/>
      <c r="D1598" s="76" t="s">
        <v>2985</v>
      </c>
      <c r="E1598" s="218">
        <v>44271.0</v>
      </c>
      <c r="F1598" s="77">
        <v>44286.0</v>
      </c>
      <c r="G1598" s="79">
        <f t="shared" si="2"/>
        <v>0.4666666667</v>
      </c>
      <c r="H1598" s="90">
        <v>40830.0</v>
      </c>
      <c r="I1598" s="79">
        <f t="shared" si="3"/>
        <v>9.422222222</v>
      </c>
      <c r="J1598" s="106">
        <v>66.0</v>
      </c>
      <c r="K1598" s="106">
        <v>25.0</v>
      </c>
      <c r="L1598" s="82" t="s">
        <v>81</v>
      </c>
      <c r="M1598" s="82"/>
      <c r="N1598" s="82" t="s">
        <v>2761</v>
      </c>
      <c r="O1598" s="82"/>
      <c r="P1598" s="107"/>
      <c r="Q1598" s="82"/>
      <c r="R1598" s="76"/>
      <c r="S1598" s="90"/>
      <c r="T1598" s="79"/>
      <c r="U1598" s="90"/>
      <c r="V1598" s="79"/>
    </row>
    <row r="1599">
      <c r="A1599" s="53" t="s">
        <v>3332</v>
      </c>
      <c r="B1599" s="54" t="s">
        <v>2759</v>
      </c>
      <c r="C1599" s="59"/>
      <c r="D1599" s="59" t="s">
        <v>2760</v>
      </c>
      <c r="E1599" s="133">
        <v>44256.0</v>
      </c>
      <c r="F1599" s="61">
        <v>44286.0</v>
      </c>
      <c r="G1599" s="65">
        <f t="shared" si="2"/>
        <v>0.9666666667</v>
      </c>
      <c r="H1599" s="88">
        <v>43977.0</v>
      </c>
      <c r="I1599" s="65">
        <f t="shared" si="3"/>
        <v>0.7638888889</v>
      </c>
      <c r="J1599" s="121">
        <v>65.0</v>
      </c>
      <c r="K1599" s="121">
        <v>25.5</v>
      </c>
      <c r="L1599" s="69" t="s">
        <v>37</v>
      </c>
      <c r="M1599" s="69"/>
      <c r="N1599" s="69"/>
      <c r="O1599" s="69"/>
      <c r="P1599" s="122"/>
      <c r="Q1599" s="69"/>
      <c r="R1599" s="59"/>
      <c r="S1599" s="88"/>
      <c r="T1599" s="65"/>
      <c r="U1599" s="88"/>
      <c r="V1599" s="65"/>
    </row>
    <row r="1600">
      <c r="A1600" s="74" t="s">
        <v>2109</v>
      </c>
      <c r="B1600" s="75" t="s">
        <v>35</v>
      </c>
      <c r="C1600" s="75" t="s">
        <v>36</v>
      </c>
      <c r="D1600" s="76" t="str">
        <f t="shared" ref="D1600:D1616" si="118">IF(E1600&gt;TODAY(),"Coming Soon",IF(F1600="","Active",IF(F1600&gt;TODAY(),"Leaving Soon","Removed")))</f>
        <v>Removed</v>
      </c>
      <c r="E1600" s="218">
        <v>43951.0</v>
      </c>
      <c r="F1600" s="105">
        <v>44286.0</v>
      </c>
      <c r="G1600" s="79">
        <f t="shared" si="2"/>
        <v>11</v>
      </c>
      <c r="H1600" s="90">
        <v>43861.0</v>
      </c>
      <c r="I1600" s="79">
        <f t="shared" si="3"/>
        <v>0.25</v>
      </c>
      <c r="J1600" s="106">
        <v>73.0</v>
      </c>
      <c r="K1600" s="106">
        <v>2.0</v>
      </c>
      <c r="L1600" s="83" t="s">
        <v>105</v>
      </c>
      <c r="M1600" s="83"/>
      <c r="N1600" s="83"/>
      <c r="O1600" s="83"/>
      <c r="P1600" s="219"/>
      <c r="Q1600" s="83"/>
      <c r="R1600" s="76"/>
      <c r="S1600" s="90"/>
      <c r="T1600" s="79"/>
      <c r="U1600" s="90"/>
      <c r="V1600" s="79"/>
    </row>
    <row r="1601">
      <c r="A1601" s="207" t="s">
        <v>3333</v>
      </c>
      <c r="B1601" s="59" t="s">
        <v>13</v>
      </c>
      <c r="C1601" s="59"/>
      <c r="D1601" s="59" t="str">
        <f t="shared" si="118"/>
        <v>Removed</v>
      </c>
      <c r="E1601" s="133">
        <v>43938.0</v>
      </c>
      <c r="F1601" s="120">
        <v>44286.0</v>
      </c>
      <c r="G1601" s="65">
        <f t="shared" si="2"/>
        <v>11.43333333</v>
      </c>
      <c r="H1601" s="88">
        <v>40102.0</v>
      </c>
      <c r="I1601" s="65">
        <f t="shared" si="3"/>
        <v>10.50277778</v>
      </c>
      <c r="J1601" s="121">
        <v>85.0</v>
      </c>
      <c r="K1601" s="121">
        <v>5.0</v>
      </c>
      <c r="L1601" s="69" t="s">
        <v>135</v>
      </c>
      <c r="M1601" s="69"/>
      <c r="N1601" s="69"/>
      <c r="O1601" s="69"/>
      <c r="P1601" s="122"/>
      <c r="Q1601" s="69" t="s">
        <v>2841</v>
      </c>
      <c r="R1601" s="54"/>
      <c r="S1601" s="88"/>
      <c r="T1601" s="65"/>
      <c r="U1601" s="88"/>
      <c r="V1601" s="65"/>
    </row>
    <row r="1602">
      <c r="A1602" s="74" t="s">
        <v>3263</v>
      </c>
      <c r="B1602" s="75" t="s">
        <v>13</v>
      </c>
      <c r="C1602" s="75"/>
      <c r="D1602" s="76" t="str">
        <f t="shared" si="118"/>
        <v>Removed</v>
      </c>
      <c r="E1602" s="90">
        <v>44273.0</v>
      </c>
      <c r="F1602" s="105">
        <v>44284.0</v>
      </c>
      <c r="G1602" s="79">
        <f t="shared" si="2"/>
        <v>0.3666666667</v>
      </c>
      <c r="H1602" s="90">
        <v>42038.0</v>
      </c>
      <c r="I1602" s="79">
        <f t="shared" si="3"/>
        <v>6.125</v>
      </c>
      <c r="J1602" s="106">
        <v>78.0</v>
      </c>
      <c r="K1602" s="106">
        <v>8.0</v>
      </c>
      <c r="L1602" s="82" t="s">
        <v>57</v>
      </c>
      <c r="M1602" s="82"/>
      <c r="N1602" s="82"/>
      <c r="O1602" s="82"/>
      <c r="P1602" s="107"/>
      <c r="Q1602" s="82"/>
      <c r="R1602" s="75"/>
      <c r="S1602" s="90"/>
      <c r="T1602" s="79"/>
      <c r="U1602" s="90"/>
      <c r="V1602" s="79"/>
    </row>
    <row r="1603">
      <c r="A1603" s="53" t="s">
        <v>2133</v>
      </c>
      <c r="B1603" s="54" t="s">
        <v>13</v>
      </c>
      <c r="C1603" s="54"/>
      <c r="D1603" s="59" t="str">
        <f t="shared" si="118"/>
        <v>Removed</v>
      </c>
      <c r="E1603" s="88">
        <v>44273.0</v>
      </c>
      <c r="F1603" s="120">
        <v>44284.0</v>
      </c>
      <c r="G1603" s="65">
        <f t="shared" si="2"/>
        <v>0.3666666667</v>
      </c>
      <c r="H1603" s="88">
        <v>43438.0</v>
      </c>
      <c r="I1603" s="65">
        <f t="shared" si="3"/>
        <v>2.288888889</v>
      </c>
      <c r="J1603" s="121">
        <v>78.0</v>
      </c>
      <c r="K1603" s="121">
        <v>13.0</v>
      </c>
      <c r="L1603" s="69" t="s">
        <v>81</v>
      </c>
      <c r="M1603" s="69"/>
      <c r="N1603" s="69" t="s">
        <v>3334</v>
      </c>
      <c r="O1603" s="69"/>
      <c r="P1603" s="122"/>
      <c r="Q1603" s="69"/>
      <c r="R1603" s="54"/>
      <c r="S1603" s="88"/>
      <c r="T1603" s="65"/>
      <c r="U1603" s="88"/>
      <c r="V1603" s="65"/>
    </row>
    <row r="1604">
      <c r="A1604" s="74" t="s">
        <v>3284</v>
      </c>
      <c r="B1604" s="75" t="s">
        <v>13</v>
      </c>
      <c r="C1604" s="75"/>
      <c r="D1604" s="76" t="str">
        <f t="shared" si="118"/>
        <v>Removed</v>
      </c>
      <c r="E1604" s="90">
        <v>44273.0</v>
      </c>
      <c r="F1604" s="105">
        <v>44284.0</v>
      </c>
      <c r="G1604" s="79">
        <f t="shared" si="2"/>
        <v>0.3666666667</v>
      </c>
      <c r="H1604" s="90">
        <v>43249.0</v>
      </c>
      <c r="I1604" s="79">
        <f t="shared" si="3"/>
        <v>2.802777778</v>
      </c>
      <c r="J1604" s="106">
        <v>78.0</v>
      </c>
      <c r="K1604" s="106">
        <v>8.0</v>
      </c>
      <c r="L1604" s="82" t="s">
        <v>57</v>
      </c>
      <c r="M1604" s="82"/>
      <c r="N1604" s="82"/>
      <c r="O1604" s="82"/>
      <c r="P1604" s="107"/>
      <c r="Q1604" s="82"/>
      <c r="R1604" s="75"/>
      <c r="S1604" s="90"/>
      <c r="T1604" s="79"/>
      <c r="U1604" s="90"/>
      <c r="V1604" s="79"/>
    </row>
    <row r="1605">
      <c r="A1605" s="53" t="s">
        <v>3291</v>
      </c>
      <c r="B1605" s="54" t="s">
        <v>13</v>
      </c>
      <c r="C1605" s="54"/>
      <c r="D1605" s="59" t="str">
        <f t="shared" si="118"/>
        <v>Removed</v>
      </c>
      <c r="E1605" s="88">
        <v>44273.0</v>
      </c>
      <c r="F1605" s="120">
        <v>44284.0</v>
      </c>
      <c r="G1605" s="65">
        <f t="shared" si="2"/>
        <v>0.3666666667</v>
      </c>
      <c r="H1605" s="88">
        <v>36280.0</v>
      </c>
      <c r="I1605" s="65">
        <f t="shared" si="3"/>
        <v>21.88333333</v>
      </c>
      <c r="J1605" s="121">
        <v>63.0</v>
      </c>
      <c r="K1605" s="121">
        <v>6.0</v>
      </c>
      <c r="L1605" s="69" t="s">
        <v>55</v>
      </c>
      <c r="M1605" s="69"/>
      <c r="N1605" s="69"/>
      <c r="O1605" s="69"/>
      <c r="P1605" s="122"/>
      <c r="Q1605" s="69" t="s">
        <v>2841</v>
      </c>
      <c r="R1605" s="54"/>
      <c r="S1605" s="88"/>
      <c r="T1605" s="65"/>
      <c r="U1605" s="88"/>
      <c r="V1605" s="65"/>
    </row>
    <row r="1606">
      <c r="A1606" s="74" t="s">
        <v>3292</v>
      </c>
      <c r="B1606" s="75" t="s">
        <v>13</v>
      </c>
      <c r="C1606" s="75"/>
      <c r="D1606" s="76" t="str">
        <f t="shared" si="118"/>
        <v>Removed</v>
      </c>
      <c r="E1606" s="90">
        <v>44273.0</v>
      </c>
      <c r="F1606" s="105">
        <v>44284.0</v>
      </c>
      <c r="G1606" s="79">
        <f t="shared" si="2"/>
        <v>0.3666666667</v>
      </c>
      <c r="H1606" s="90">
        <v>37206.0</v>
      </c>
      <c r="I1606" s="79">
        <f t="shared" si="3"/>
        <v>19.35277778</v>
      </c>
      <c r="J1606" s="216">
        <f>(80+82+85)/3</f>
        <v>82.33333333</v>
      </c>
      <c r="K1606" s="106">
        <v>34.0</v>
      </c>
      <c r="L1606" s="82" t="s">
        <v>81</v>
      </c>
      <c r="M1606" s="82"/>
      <c r="N1606" s="82"/>
      <c r="O1606" s="82"/>
      <c r="P1606" s="107"/>
      <c r="Q1606" s="82" t="s">
        <v>2841</v>
      </c>
      <c r="R1606" s="75"/>
      <c r="S1606" s="90"/>
      <c r="T1606" s="79"/>
      <c r="U1606" s="90"/>
      <c r="V1606" s="79"/>
    </row>
    <row r="1607">
      <c r="A1607" s="53" t="s">
        <v>3294</v>
      </c>
      <c r="B1607" s="54" t="s">
        <v>13</v>
      </c>
      <c r="C1607" s="54"/>
      <c r="D1607" s="59" t="str">
        <f t="shared" si="118"/>
        <v>Removed</v>
      </c>
      <c r="E1607" s="88">
        <v>44273.0</v>
      </c>
      <c r="F1607" s="120">
        <v>44284.0</v>
      </c>
      <c r="G1607" s="65">
        <f t="shared" si="2"/>
        <v>0.3666666667</v>
      </c>
      <c r="H1607" s="88">
        <v>35850.0</v>
      </c>
      <c r="I1607" s="65">
        <f t="shared" si="3"/>
        <v>23.06666667</v>
      </c>
      <c r="J1607" s="227">
        <f>8.3*10</f>
        <v>83</v>
      </c>
      <c r="K1607" s="121">
        <v>8.5</v>
      </c>
      <c r="L1607" s="69" t="s">
        <v>37</v>
      </c>
      <c r="M1607" s="69"/>
      <c r="N1607" s="69"/>
      <c r="O1607" s="69"/>
      <c r="P1607" s="122"/>
      <c r="Q1607" s="69" t="s">
        <v>2841</v>
      </c>
      <c r="R1607" s="54"/>
      <c r="S1607" s="88"/>
      <c r="T1607" s="65"/>
      <c r="U1607" s="88"/>
      <c r="V1607" s="65"/>
    </row>
    <row r="1608">
      <c r="A1608" s="74" t="s">
        <v>3295</v>
      </c>
      <c r="B1608" s="75" t="s">
        <v>13</v>
      </c>
      <c r="C1608" s="75"/>
      <c r="D1608" s="76" t="str">
        <f t="shared" si="118"/>
        <v>Removed</v>
      </c>
      <c r="E1608" s="90">
        <v>44273.0</v>
      </c>
      <c r="F1608" s="105">
        <v>44284.0</v>
      </c>
      <c r="G1608" s="79">
        <f t="shared" si="2"/>
        <v>0.3666666667</v>
      </c>
      <c r="H1608" s="90">
        <v>35854.0</v>
      </c>
      <c r="I1608" s="79">
        <f t="shared" si="3"/>
        <v>23.05555556</v>
      </c>
      <c r="J1608" s="189">
        <f>8.7*10</f>
        <v>87</v>
      </c>
      <c r="K1608" s="106">
        <v>17.0</v>
      </c>
      <c r="L1608" s="82" t="s">
        <v>81</v>
      </c>
      <c r="M1608" s="82"/>
      <c r="N1608" s="82"/>
      <c r="O1608" s="82"/>
      <c r="P1608" s="107"/>
      <c r="Q1608" s="82" t="s">
        <v>2841</v>
      </c>
      <c r="R1608" s="75"/>
      <c r="S1608" s="90"/>
      <c r="T1608" s="79"/>
      <c r="U1608" s="90"/>
      <c r="V1608" s="79"/>
    </row>
    <row r="1609">
      <c r="A1609" s="53" t="s">
        <v>3298</v>
      </c>
      <c r="B1609" s="54" t="s">
        <v>13</v>
      </c>
      <c r="C1609" s="54"/>
      <c r="D1609" s="59" t="str">
        <f t="shared" si="118"/>
        <v>Removed</v>
      </c>
      <c r="E1609" s="88">
        <v>44273.0</v>
      </c>
      <c r="F1609" s="120">
        <v>44284.0</v>
      </c>
      <c r="G1609" s="65">
        <f t="shared" si="2"/>
        <v>0.3666666667</v>
      </c>
      <c r="H1609" s="88">
        <v>36132.0</v>
      </c>
      <c r="I1609" s="65">
        <f t="shared" si="3"/>
        <v>22.29166667</v>
      </c>
      <c r="J1609" s="227">
        <f>7.6*10</f>
        <v>76</v>
      </c>
      <c r="K1609" s="121">
        <v>9.0</v>
      </c>
      <c r="L1609" s="69" t="s">
        <v>37</v>
      </c>
      <c r="M1609" s="69"/>
      <c r="N1609" s="69"/>
      <c r="O1609" s="69"/>
      <c r="P1609" s="122"/>
      <c r="Q1609" s="69" t="s">
        <v>2841</v>
      </c>
      <c r="R1609" s="54"/>
      <c r="S1609" s="88"/>
      <c r="T1609" s="65"/>
      <c r="U1609" s="88"/>
      <c r="V1609" s="65"/>
    </row>
    <row r="1610">
      <c r="A1610" s="74" t="s">
        <v>3299</v>
      </c>
      <c r="B1610" s="75" t="s">
        <v>13</v>
      </c>
      <c r="C1610" s="75"/>
      <c r="D1610" s="76" t="str">
        <f t="shared" si="118"/>
        <v>Removed</v>
      </c>
      <c r="E1610" s="90">
        <v>44273.0</v>
      </c>
      <c r="F1610" s="105">
        <v>44284.0</v>
      </c>
      <c r="G1610" s="79">
        <f t="shared" si="2"/>
        <v>0.3666666667</v>
      </c>
      <c r="H1610" s="90">
        <v>35402.0</v>
      </c>
      <c r="I1610" s="79">
        <f t="shared" si="3"/>
        <v>24.29166667</v>
      </c>
      <c r="J1610" s="228">
        <f>7.8*10</f>
        <v>78</v>
      </c>
      <c r="K1610" s="106">
        <v>5.0</v>
      </c>
      <c r="L1610" s="82" t="s">
        <v>37</v>
      </c>
      <c r="M1610" s="82"/>
      <c r="N1610" s="82"/>
      <c r="O1610" s="82"/>
      <c r="P1610" s="107"/>
      <c r="Q1610" s="82" t="s">
        <v>2841</v>
      </c>
      <c r="R1610" s="75"/>
      <c r="S1610" s="90"/>
      <c r="T1610" s="79"/>
      <c r="U1610" s="90"/>
      <c r="V1610" s="79"/>
    </row>
    <row r="1611">
      <c r="A1611" s="53" t="s">
        <v>3301</v>
      </c>
      <c r="B1611" s="54" t="s">
        <v>13</v>
      </c>
      <c r="C1611" s="54"/>
      <c r="D1611" s="59" t="str">
        <f t="shared" si="118"/>
        <v>Removed</v>
      </c>
      <c r="E1611" s="88">
        <v>44273.0</v>
      </c>
      <c r="F1611" s="120">
        <v>44284.0</v>
      </c>
      <c r="G1611" s="65">
        <f t="shared" si="2"/>
        <v>0.3666666667</v>
      </c>
      <c r="H1611" s="88">
        <v>36942.0</v>
      </c>
      <c r="I1611" s="65">
        <f t="shared" si="3"/>
        <v>20.07777778</v>
      </c>
      <c r="J1611" s="121">
        <v>71.0</v>
      </c>
      <c r="K1611" s="121">
        <v>4.5</v>
      </c>
      <c r="L1611" s="69" t="s">
        <v>1743</v>
      </c>
      <c r="M1611" s="69"/>
      <c r="N1611" s="69"/>
      <c r="O1611" s="69"/>
      <c r="P1611" s="122"/>
      <c r="Q1611" s="69" t="s">
        <v>2841</v>
      </c>
      <c r="R1611" s="54"/>
      <c r="S1611" s="88"/>
      <c r="T1611" s="65"/>
      <c r="U1611" s="88"/>
      <c r="V1611" s="65"/>
    </row>
    <row r="1612">
      <c r="A1612" s="74" t="s">
        <v>3302</v>
      </c>
      <c r="B1612" s="75" t="s">
        <v>13</v>
      </c>
      <c r="C1612" s="75"/>
      <c r="D1612" s="76" t="str">
        <f t="shared" si="118"/>
        <v>Removed</v>
      </c>
      <c r="E1612" s="90">
        <v>44273.0</v>
      </c>
      <c r="F1612" s="105">
        <v>44284.0</v>
      </c>
      <c r="G1612" s="79">
        <f t="shared" si="2"/>
        <v>0.3666666667</v>
      </c>
      <c r="H1612" s="90">
        <v>36219.0</v>
      </c>
      <c r="I1612" s="79">
        <f t="shared" si="3"/>
        <v>22.05555556</v>
      </c>
      <c r="J1612" s="228">
        <f>8.3*10</f>
        <v>83</v>
      </c>
      <c r="K1612" s="106">
        <v>20.0</v>
      </c>
      <c r="L1612" s="82" t="s">
        <v>37</v>
      </c>
      <c r="M1612" s="82"/>
      <c r="N1612" s="82"/>
      <c r="O1612" s="82"/>
      <c r="P1612" s="107"/>
      <c r="Q1612" s="82" t="s">
        <v>2841</v>
      </c>
      <c r="R1612" s="75"/>
      <c r="S1612" s="90"/>
      <c r="T1612" s="79"/>
      <c r="U1612" s="90"/>
      <c r="V1612" s="79"/>
    </row>
    <row r="1613">
      <c r="A1613" s="53" t="s">
        <v>3289</v>
      </c>
      <c r="B1613" s="54" t="s">
        <v>13</v>
      </c>
      <c r="C1613" s="54"/>
      <c r="D1613" s="59" t="str">
        <f t="shared" si="118"/>
        <v>Removed</v>
      </c>
      <c r="E1613" s="88">
        <v>44273.0</v>
      </c>
      <c r="F1613" s="120">
        <v>44284.0</v>
      </c>
      <c r="G1613" s="65">
        <f t="shared" si="2"/>
        <v>0.3666666667</v>
      </c>
      <c r="H1613" s="88">
        <v>34745.0</v>
      </c>
      <c r="I1613" s="65">
        <f t="shared" si="3"/>
        <v>26.09166667</v>
      </c>
      <c r="J1613" s="227">
        <f>7.5*10</f>
        <v>75</v>
      </c>
      <c r="K1613" s="121">
        <v>9.0</v>
      </c>
      <c r="L1613" s="69" t="s">
        <v>37</v>
      </c>
      <c r="M1613" s="69"/>
      <c r="N1613" s="69"/>
      <c r="O1613" s="69"/>
      <c r="P1613" s="122"/>
      <c r="Q1613" s="69" t="s">
        <v>2841</v>
      </c>
      <c r="R1613" s="54"/>
      <c r="S1613" s="88"/>
      <c r="T1613" s="65"/>
      <c r="U1613" s="88"/>
      <c r="V1613" s="65"/>
    </row>
    <row r="1614">
      <c r="A1614" s="226" t="s">
        <v>3337</v>
      </c>
      <c r="B1614" s="76" t="s">
        <v>13</v>
      </c>
      <c r="C1614" s="76"/>
      <c r="D1614" s="76" t="str">
        <f t="shared" si="118"/>
        <v>Removed</v>
      </c>
      <c r="E1614" s="218">
        <v>43625.0</v>
      </c>
      <c r="F1614" s="105">
        <v>44284.0</v>
      </c>
      <c r="G1614" s="79">
        <f t="shared" si="2"/>
        <v>21.66666667</v>
      </c>
      <c r="H1614" s="90">
        <v>43158.0</v>
      </c>
      <c r="I1614" s="79">
        <f t="shared" si="3"/>
        <v>1.283333333</v>
      </c>
      <c r="J1614" s="106">
        <v>90.0</v>
      </c>
      <c r="K1614" s="106">
        <v>5.0</v>
      </c>
      <c r="L1614" s="83" t="s">
        <v>81</v>
      </c>
      <c r="M1614" s="83"/>
      <c r="N1614" s="83"/>
      <c r="O1614" s="83"/>
      <c r="P1614" s="219"/>
      <c r="Q1614" s="83"/>
      <c r="R1614" s="75"/>
      <c r="S1614" s="90"/>
      <c r="T1614" s="79"/>
      <c r="U1614" s="90"/>
      <c r="V1614" s="79"/>
    </row>
    <row r="1615">
      <c r="A1615" s="207" t="s">
        <v>2154</v>
      </c>
      <c r="B1615" s="54" t="s">
        <v>13</v>
      </c>
      <c r="C1615" s="59"/>
      <c r="D1615" s="59" t="str">
        <f t="shared" si="118"/>
        <v>Removed</v>
      </c>
      <c r="E1615" s="133">
        <v>43344.0</v>
      </c>
      <c r="F1615" s="61">
        <v>44284.0</v>
      </c>
      <c r="G1615" s="65">
        <f t="shared" si="2"/>
        <v>30.93333333</v>
      </c>
      <c r="H1615" s="88">
        <v>42822.0</v>
      </c>
      <c r="I1615" s="65">
        <f t="shared" si="3"/>
        <v>1.425</v>
      </c>
      <c r="J1615" s="208">
        <v>74.0</v>
      </c>
      <c r="K1615" s="121">
        <v>5.0</v>
      </c>
      <c r="L1615" s="69" t="s">
        <v>57</v>
      </c>
      <c r="M1615" s="91"/>
      <c r="N1615" s="91"/>
      <c r="O1615" s="91"/>
      <c r="P1615" s="134"/>
      <c r="Q1615" s="91"/>
      <c r="R1615" s="54"/>
      <c r="S1615" s="88"/>
      <c r="T1615" s="65"/>
      <c r="U1615" s="88"/>
      <c r="V1615" s="65"/>
    </row>
    <row r="1616">
      <c r="A1616" s="226" t="s">
        <v>3089</v>
      </c>
      <c r="B1616" s="75" t="s">
        <v>13</v>
      </c>
      <c r="C1616" s="76"/>
      <c r="D1616" s="76" t="str">
        <f t="shared" si="118"/>
        <v>Removed</v>
      </c>
      <c r="E1616" s="218">
        <v>42979.0</v>
      </c>
      <c r="F1616" s="105">
        <v>44284.0</v>
      </c>
      <c r="G1616" s="79">
        <f t="shared" si="2"/>
        <v>42.93333333</v>
      </c>
      <c r="H1616" s="90">
        <v>42612.0</v>
      </c>
      <c r="I1616" s="79">
        <f t="shared" si="3"/>
        <v>1.002777778</v>
      </c>
      <c r="J1616" s="106">
        <v>79.0</v>
      </c>
      <c r="K1616" s="106">
        <v>4.5</v>
      </c>
      <c r="L1616" s="83" t="s">
        <v>57</v>
      </c>
      <c r="M1616" s="83"/>
      <c r="N1616" s="83"/>
      <c r="O1616" s="83"/>
      <c r="P1616" s="219"/>
      <c r="Q1616" s="83"/>
      <c r="R1616" s="75"/>
      <c r="S1616" s="90"/>
      <c r="T1616" s="79"/>
      <c r="U1616" s="90"/>
      <c r="V1616" s="79"/>
    </row>
    <row r="1617">
      <c r="A1617" s="53" t="s">
        <v>3339</v>
      </c>
      <c r="B1617" s="54" t="s">
        <v>2984</v>
      </c>
      <c r="C1617" s="59"/>
      <c r="D1617" s="59" t="s">
        <v>2985</v>
      </c>
      <c r="E1617" s="133">
        <v>44256.0</v>
      </c>
      <c r="F1617" s="61">
        <v>44270.0</v>
      </c>
      <c r="G1617" s="65">
        <f t="shared" si="2"/>
        <v>0.4666666667</v>
      </c>
      <c r="H1617" s="88">
        <v>38041.0</v>
      </c>
      <c r="I1617" s="65">
        <f t="shared" si="3"/>
        <v>17.01944444</v>
      </c>
      <c r="J1617" s="121">
        <v>80.0</v>
      </c>
      <c r="K1617" s="121">
        <v>0.5</v>
      </c>
      <c r="L1617" s="69" t="s">
        <v>37</v>
      </c>
      <c r="M1617" s="69"/>
      <c r="N1617" s="69" t="s">
        <v>2761</v>
      </c>
      <c r="O1617" s="69"/>
      <c r="P1617" s="122"/>
      <c r="Q1617" s="69"/>
      <c r="R1617" s="59"/>
      <c r="S1617" s="88"/>
      <c r="T1617" s="65"/>
      <c r="U1617" s="88"/>
      <c r="V1617" s="65"/>
    </row>
    <row r="1618">
      <c r="A1618" s="74" t="s">
        <v>3340</v>
      </c>
      <c r="B1618" s="75" t="s">
        <v>2759</v>
      </c>
      <c r="C1618" s="76"/>
      <c r="D1618" s="76" t="s">
        <v>2760</v>
      </c>
      <c r="E1618" s="218">
        <v>44243.0</v>
      </c>
      <c r="F1618" s="77">
        <v>44270.0</v>
      </c>
      <c r="G1618" s="79">
        <f t="shared" si="2"/>
        <v>0.9666666667</v>
      </c>
      <c r="H1618" s="90">
        <v>43137.0</v>
      </c>
      <c r="I1618" s="79">
        <f t="shared" si="3"/>
        <v>3.027777778</v>
      </c>
      <c r="J1618" s="106">
        <v>81.0</v>
      </c>
      <c r="K1618" s="106">
        <v>7.0</v>
      </c>
      <c r="L1618" s="82" t="s">
        <v>41</v>
      </c>
      <c r="M1618" s="82"/>
      <c r="N1618" s="82"/>
      <c r="O1618" s="82"/>
      <c r="P1618" s="107"/>
      <c r="Q1618" s="82"/>
      <c r="R1618" s="76"/>
      <c r="S1618" s="90"/>
      <c r="T1618" s="79"/>
      <c r="U1618" s="90"/>
      <c r="V1618" s="79"/>
    </row>
    <row r="1619">
      <c r="A1619" s="207" t="s">
        <v>2074</v>
      </c>
      <c r="B1619" s="54" t="s">
        <v>35</v>
      </c>
      <c r="C1619" s="59"/>
      <c r="D1619" s="59" t="str">
        <f t="shared" ref="D1619:D1621" si="119">IF(E1619&gt;TODAY(),"Coming Soon",IF(F1619="","Active",IF(F1619&gt;TODAY(),"Leaving Soon","Removed")))</f>
        <v>Removed</v>
      </c>
      <c r="E1619" s="133">
        <v>43930.0</v>
      </c>
      <c r="F1619" s="120">
        <v>44270.0</v>
      </c>
      <c r="G1619" s="65">
        <f t="shared" si="2"/>
        <v>11.2</v>
      </c>
      <c r="H1619" s="88">
        <v>43508.0</v>
      </c>
      <c r="I1619" s="65">
        <f t="shared" si="3"/>
        <v>1.158333333</v>
      </c>
      <c r="J1619" s="208">
        <v>80.0</v>
      </c>
      <c r="K1619" s="121">
        <v>7.0</v>
      </c>
      <c r="L1619" s="69" t="s">
        <v>46</v>
      </c>
      <c r="M1619" s="91"/>
      <c r="N1619" s="91"/>
      <c r="O1619" s="91"/>
      <c r="P1619" s="134"/>
      <c r="Q1619" s="91"/>
      <c r="R1619" s="59"/>
      <c r="S1619" s="88"/>
      <c r="T1619" s="65"/>
      <c r="U1619" s="88"/>
      <c r="V1619" s="65"/>
    </row>
    <row r="1620">
      <c r="A1620" s="226" t="s">
        <v>3341</v>
      </c>
      <c r="B1620" s="76" t="s">
        <v>13</v>
      </c>
      <c r="C1620" s="76"/>
      <c r="D1620" s="76" t="str">
        <f t="shared" si="119"/>
        <v>Removed</v>
      </c>
      <c r="E1620" s="218">
        <v>43916.0</v>
      </c>
      <c r="F1620" s="105">
        <v>44270.0</v>
      </c>
      <c r="G1620" s="79">
        <f t="shared" si="2"/>
        <v>11.63333333</v>
      </c>
      <c r="H1620" s="90">
        <v>43587.0</v>
      </c>
      <c r="I1620" s="79">
        <f t="shared" si="3"/>
        <v>0.9</v>
      </c>
      <c r="J1620" s="216">
        <v>74.0</v>
      </c>
      <c r="K1620" s="106">
        <v>7.5</v>
      </c>
      <c r="L1620" s="82" t="s">
        <v>135</v>
      </c>
      <c r="M1620" s="82"/>
      <c r="N1620" s="82"/>
      <c r="O1620" s="82"/>
      <c r="P1620" s="107"/>
      <c r="Q1620" s="82"/>
      <c r="R1620" s="75"/>
      <c r="S1620" s="90"/>
      <c r="T1620" s="79"/>
      <c r="U1620" s="90"/>
      <c r="V1620" s="79"/>
    </row>
    <row r="1621">
      <c r="A1621" s="207" t="s">
        <v>3342</v>
      </c>
      <c r="B1621" s="54" t="s">
        <v>129</v>
      </c>
      <c r="C1621" s="54" t="s">
        <v>36</v>
      </c>
      <c r="D1621" s="59" t="str">
        <f t="shared" si="119"/>
        <v>Removed</v>
      </c>
      <c r="E1621" s="133">
        <v>43818.0</v>
      </c>
      <c r="F1621" s="120">
        <v>44270.0</v>
      </c>
      <c r="G1621" s="65">
        <f t="shared" si="2"/>
        <v>14.86666667</v>
      </c>
      <c r="H1621" s="88">
        <v>42143.0</v>
      </c>
      <c r="I1621" s="65">
        <f t="shared" si="3"/>
        <v>4.583333333</v>
      </c>
      <c r="J1621" s="208">
        <v>91.0</v>
      </c>
      <c r="K1621" s="121">
        <v>51.0</v>
      </c>
      <c r="L1621" s="69" t="s">
        <v>46</v>
      </c>
      <c r="M1621" s="91"/>
      <c r="N1621" s="91"/>
      <c r="O1621" s="91"/>
      <c r="P1621" s="134"/>
      <c r="Q1621" s="91"/>
      <c r="R1621" s="59"/>
      <c r="S1621" s="88"/>
      <c r="T1621" s="65"/>
      <c r="U1621" s="88"/>
      <c r="V1621" s="65"/>
    </row>
    <row r="1622">
      <c r="A1622" s="74" t="s">
        <v>3343</v>
      </c>
      <c r="B1622" s="75" t="s">
        <v>2984</v>
      </c>
      <c r="C1622" s="76"/>
      <c r="D1622" s="76" t="s">
        <v>2985</v>
      </c>
      <c r="E1622" s="218">
        <v>44243.0</v>
      </c>
      <c r="F1622" s="77">
        <v>44255.0</v>
      </c>
      <c r="G1622" s="79">
        <f t="shared" si="2"/>
        <v>0.4</v>
      </c>
      <c r="H1622" s="90">
        <v>40309.0</v>
      </c>
      <c r="I1622" s="79">
        <f t="shared" si="3"/>
        <v>10.76388889</v>
      </c>
      <c r="J1622" s="106">
        <v>68.0</v>
      </c>
      <c r="K1622" s="106">
        <v>8.0</v>
      </c>
      <c r="L1622" s="82" t="s">
        <v>37</v>
      </c>
      <c r="M1622" s="82"/>
      <c r="N1622" s="82" t="s">
        <v>2761</v>
      </c>
      <c r="O1622" s="82"/>
      <c r="P1622" s="107"/>
      <c r="Q1622" s="82"/>
      <c r="R1622" s="76"/>
      <c r="S1622" s="90"/>
      <c r="T1622" s="79"/>
      <c r="U1622" s="90"/>
      <c r="V1622" s="79"/>
    </row>
    <row r="1623">
      <c r="A1623" s="53" t="s">
        <v>3344</v>
      </c>
      <c r="B1623" s="54" t="s">
        <v>2759</v>
      </c>
      <c r="C1623" s="59"/>
      <c r="D1623" s="59" t="s">
        <v>2760</v>
      </c>
      <c r="E1623" s="133">
        <v>44228.0</v>
      </c>
      <c r="F1623" s="61">
        <v>44255.0</v>
      </c>
      <c r="G1623" s="65">
        <f t="shared" si="2"/>
        <v>0.9</v>
      </c>
      <c r="H1623" s="88">
        <v>43718.0</v>
      </c>
      <c r="I1623" s="65">
        <f t="shared" si="3"/>
        <v>1.391666667</v>
      </c>
      <c r="J1623" s="121">
        <v>84.0</v>
      </c>
      <c r="K1623" s="121">
        <v>11.0</v>
      </c>
      <c r="L1623" s="69" t="s">
        <v>37</v>
      </c>
      <c r="M1623" s="69" t="s">
        <v>72</v>
      </c>
      <c r="N1623" s="69" t="s">
        <v>2761</v>
      </c>
      <c r="O1623" s="69"/>
      <c r="P1623" s="122"/>
      <c r="Q1623" s="69"/>
      <c r="R1623" s="59"/>
      <c r="S1623" s="88"/>
      <c r="T1623" s="65"/>
      <c r="U1623" s="88"/>
      <c r="V1623" s="65"/>
    </row>
    <row r="1624">
      <c r="A1624" s="74" t="s">
        <v>3345</v>
      </c>
      <c r="B1624" s="75" t="s">
        <v>2759</v>
      </c>
      <c r="C1624" s="76"/>
      <c r="D1624" s="76" t="s">
        <v>2760</v>
      </c>
      <c r="E1624" s="218">
        <v>44228.0</v>
      </c>
      <c r="F1624" s="77">
        <v>44255.0</v>
      </c>
      <c r="G1624" s="79">
        <f t="shared" si="2"/>
        <v>0.9</v>
      </c>
      <c r="H1624" s="90">
        <v>42023.0</v>
      </c>
      <c r="I1624" s="79">
        <f t="shared" si="3"/>
        <v>6.033333333</v>
      </c>
      <c r="J1624" s="106">
        <v>93.0</v>
      </c>
      <c r="K1624" s="106">
        <v>11.5</v>
      </c>
      <c r="L1624" s="82" t="s">
        <v>112</v>
      </c>
      <c r="M1624" s="82"/>
      <c r="N1624" s="82"/>
      <c r="O1624" s="82"/>
      <c r="P1624" s="107"/>
      <c r="Q1624" s="82"/>
      <c r="R1624" s="76"/>
      <c r="S1624" s="90"/>
      <c r="T1624" s="79"/>
      <c r="U1624" s="90"/>
      <c r="V1624" s="79"/>
    </row>
    <row r="1625">
      <c r="A1625" s="53" t="s">
        <v>3347</v>
      </c>
      <c r="B1625" s="54" t="s">
        <v>129</v>
      </c>
      <c r="C1625" s="54" t="s">
        <v>36</v>
      </c>
      <c r="D1625" s="59" t="str">
        <f t="shared" ref="D1625:D1628" si="120">IF(E1625&gt;TODAY(),"Coming Soon",IF(F1625="","Active",IF(F1625&gt;TODAY(),"Leaving Soon","Removed")))</f>
        <v>Removed</v>
      </c>
      <c r="E1625" s="61">
        <v>44077.0</v>
      </c>
      <c r="F1625" s="120">
        <v>44255.0</v>
      </c>
      <c r="G1625" s="65">
        <f t="shared" si="2"/>
        <v>5.833333333</v>
      </c>
      <c r="H1625" s="88">
        <v>43025.0</v>
      </c>
      <c r="I1625" s="65">
        <f t="shared" si="3"/>
        <v>2.877777778</v>
      </c>
      <c r="J1625" s="121">
        <v>84.0</v>
      </c>
      <c r="K1625" s="121">
        <v>16.0</v>
      </c>
      <c r="L1625" s="69" t="s">
        <v>289</v>
      </c>
      <c r="M1625" s="69"/>
      <c r="N1625" s="69"/>
      <c r="O1625" s="69"/>
      <c r="P1625" s="122"/>
      <c r="Q1625" s="69"/>
      <c r="R1625" s="59"/>
      <c r="S1625" s="88"/>
      <c r="T1625" s="65"/>
      <c r="U1625" s="88"/>
      <c r="V1625" s="65"/>
    </row>
    <row r="1626">
      <c r="A1626" s="226" t="s">
        <v>3348</v>
      </c>
      <c r="B1626" s="76" t="s">
        <v>13</v>
      </c>
      <c r="C1626" s="76"/>
      <c r="D1626" s="76" t="str">
        <f t="shared" si="120"/>
        <v>Removed</v>
      </c>
      <c r="E1626" s="218">
        <v>43894.0</v>
      </c>
      <c r="F1626" s="105">
        <v>44255.0</v>
      </c>
      <c r="G1626" s="79">
        <f t="shared" si="2"/>
        <v>11.8</v>
      </c>
      <c r="H1626" s="90">
        <v>42618.0</v>
      </c>
      <c r="I1626" s="79">
        <f t="shared" si="3"/>
        <v>3.497222222</v>
      </c>
      <c r="J1626" s="216">
        <v>70.0</v>
      </c>
      <c r="K1626" s="106">
        <v>4.0</v>
      </c>
      <c r="L1626" s="83" t="s">
        <v>1750</v>
      </c>
      <c r="M1626" s="83"/>
      <c r="N1626" s="83"/>
      <c r="O1626" s="83"/>
      <c r="P1626" s="219"/>
      <c r="Q1626" s="83"/>
      <c r="R1626" s="75"/>
      <c r="S1626" s="90"/>
      <c r="T1626" s="79"/>
      <c r="U1626" s="90"/>
      <c r="V1626" s="79"/>
    </row>
    <row r="1627">
      <c r="A1627" s="207" t="s">
        <v>3350</v>
      </c>
      <c r="B1627" s="54" t="s">
        <v>35</v>
      </c>
      <c r="C1627" s="54" t="s">
        <v>36</v>
      </c>
      <c r="D1627" s="59" t="str">
        <f t="shared" si="120"/>
        <v>Removed</v>
      </c>
      <c r="E1627" s="133">
        <v>43625.0</v>
      </c>
      <c r="F1627" s="120">
        <v>44255.0</v>
      </c>
      <c r="G1627" s="65">
        <f t="shared" si="2"/>
        <v>20.63333333</v>
      </c>
      <c r="H1627" s="88">
        <v>42433.0</v>
      </c>
      <c r="I1627" s="65">
        <f t="shared" si="3"/>
        <v>3.263888889</v>
      </c>
      <c r="J1627" s="208">
        <v>77.0</v>
      </c>
      <c r="K1627" s="121">
        <v>4.0</v>
      </c>
      <c r="L1627" s="91" t="s">
        <v>57</v>
      </c>
      <c r="M1627" s="91"/>
      <c r="N1627" s="91"/>
      <c r="O1627" s="91"/>
      <c r="P1627" s="134"/>
      <c r="Q1627" s="91"/>
      <c r="R1627" s="59"/>
      <c r="S1627" s="88"/>
      <c r="T1627" s="65"/>
      <c r="U1627" s="88"/>
      <c r="V1627" s="65"/>
    </row>
    <row r="1628">
      <c r="A1628" s="74" t="s">
        <v>3338</v>
      </c>
      <c r="B1628" s="75" t="s">
        <v>129</v>
      </c>
      <c r="C1628" s="75"/>
      <c r="D1628" s="76" t="str">
        <f t="shared" si="120"/>
        <v>Removed</v>
      </c>
      <c r="E1628" s="90">
        <v>44145.0</v>
      </c>
      <c r="F1628" s="105">
        <v>44246.0</v>
      </c>
      <c r="G1628" s="79">
        <f t="shared" si="2"/>
        <v>3.3</v>
      </c>
      <c r="H1628" s="90">
        <v>40715.0</v>
      </c>
      <c r="I1628" s="79">
        <f t="shared" si="3"/>
        <v>9.386111111</v>
      </c>
      <c r="J1628" s="106">
        <v>76.0</v>
      </c>
      <c r="K1628" s="106">
        <v>8.5</v>
      </c>
      <c r="L1628" s="82" t="s">
        <v>37</v>
      </c>
      <c r="M1628" s="82"/>
      <c r="N1628" s="82"/>
      <c r="O1628" s="82"/>
      <c r="P1628" s="107"/>
      <c r="Q1628" s="82"/>
      <c r="R1628" s="76"/>
      <c r="S1628" s="90"/>
      <c r="T1628" s="79"/>
      <c r="U1628" s="90"/>
      <c r="V1628" s="79"/>
    </row>
    <row r="1629">
      <c r="A1629" s="53" t="s">
        <v>3351</v>
      </c>
      <c r="B1629" s="54" t="s">
        <v>2984</v>
      </c>
      <c r="C1629" s="59"/>
      <c r="D1629" s="59" t="s">
        <v>2985</v>
      </c>
      <c r="E1629" s="133">
        <v>44228.0</v>
      </c>
      <c r="F1629" s="61">
        <v>44243.0</v>
      </c>
      <c r="G1629" s="65">
        <f t="shared" si="2"/>
        <v>0.5</v>
      </c>
      <c r="H1629" s="88">
        <v>37677.0</v>
      </c>
      <c r="I1629" s="65">
        <f t="shared" si="3"/>
        <v>17.93333333</v>
      </c>
      <c r="J1629" s="121">
        <v>73.0</v>
      </c>
      <c r="K1629" s="121">
        <v>11.0</v>
      </c>
      <c r="L1629" s="69" t="s">
        <v>41</v>
      </c>
      <c r="M1629" s="69" t="s">
        <v>72</v>
      </c>
      <c r="N1629" s="69" t="s">
        <v>2761</v>
      </c>
      <c r="O1629" s="69"/>
      <c r="P1629" s="122"/>
      <c r="Q1629" s="69"/>
      <c r="R1629" s="59"/>
      <c r="S1629" s="88"/>
      <c r="T1629" s="65"/>
      <c r="U1629" s="88"/>
      <c r="V1629" s="65"/>
    </row>
    <row r="1630">
      <c r="A1630" s="74" t="s">
        <v>3352</v>
      </c>
      <c r="B1630" s="75" t="s">
        <v>2759</v>
      </c>
      <c r="C1630" s="76"/>
      <c r="D1630" s="76" t="s">
        <v>2760</v>
      </c>
      <c r="E1630" s="218">
        <v>44212.0</v>
      </c>
      <c r="F1630" s="77">
        <v>44242.0</v>
      </c>
      <c r="G1630" s="79">
        <f t="shared" si="2"/>
        <v>0.9666666667</v>
      </c>
      <c r="H1630" s="90">
        <v>38937.0</v>
      </c>
      <c r="I1630" s="79">
        <f t="shared" si="3"/>
        <v>14.43888889</v>
      </c>
      <c r="J1630" s="106">
        <v>85.0</v>
      </c>
      <c r="K1630" s="106">
        <v>19.0</v>
      </c>
      <c r="L1630" s="82" t="s">
        <v>41</v>
      </c>
      <c r="M1630" s="82"/>
      <c r="N1630" s="82"/>
      <c r="O1630" s="82"/>
      <c r="P1630" s="107"/>
      <c r="Q1630" s="82"/>
      <c r="R1630" s="76"/>
      <c r="S1630" s="90"/>
      <c r="T1630" s="79"/>
      <c r="U1630" s="90"/>
      <c r="V1630" s="79"/>
    </row>
    <row r="1631">
      <c r="A1631" s="207" t="s">
        <v>3353</v>
      </c>
      <c r="B1631" s="54" t="s">
        <v>129</v>
      </c>
      <c r="C1631" s="59"/>
      <c r="D1631" s="59" t="str">
        <f t="shared" ref="D1631:D1633" si="121">IF(E1631&gt;TODAY(),"Coming Soon",IF(F1631="","Active",IF(F1631&gt;TODAY(),"Leaving Soon","Removed")))</f>
        <v>Removed</v>
      </c>
      <c r="E1631" s="133">
        <v>43881.0</v>
      </c>
      <c r="F1631" s="120">
        <v>44242.0</v>
      </c>
      <c r="G1631" s="65">
        <f t="shared" si="2"/>
        <v>11.83333333</v>
      </c>
      <c r="H1631" s="88">
        <v>39602.0</v>
      </c>
      <c r="I1631" s="65">
        <f t="shared" si="3"/>
        <v>11.71388889</v>
      </c>
      <c r="J1631" s="208">
        <v>81.0</v>
      </c>
      <c r="K1631" s="121">
        <v>14.0</v>
      </c>
      <c r="L1631" s="91" t="s">
        <v>105</v>
      </c>
      <c r="M1631" s="91"/>
      <c r="N1631" s="91"/>
      <c r="O1631" s="91"/>
      <c r="P1631" s="134"/>
      <c r="Q1631" s="69" t="s">
        <v>1822</v>
      </c>
      <c r="R1631" s="59"/>
      <c r="S1631" s="88"/>
      <c r="T1631" s="65"/>
      <c r="U1631" s="88"/>
      <c r="V1631" s="65"/>
    </row>
    <row r="1632">
      <c r="A1632" s="74" t="s">
        <v>3354</v>
      </c>
      <c r="B1632" s="76" t="s">
        <v>13</v>
      </c>
      <c r="C1632" s="76"/>
      <c r="D1632" s="76" t="str">
        <f t="shared" si="121"/>
        <v>Removed</v>
      </c>
      <c r="E1632" s="218">
        <v>43881.0</v>
      </c>
      <c r="F1632" s="105">
        <v>44242.0</v>
      </c>
      <c r="G1632" s="79">
        <f t="shared" si="2"/>
        <v>11.83333333</v>
      </c>
      <c r="H1632" s="90">
        <v>43881.0</v>
      </c>
      <c r="I1632" s="79">
        <f t="shared" si="3"/>
        <v>0</v>
      </c>
      <c r="J1632" s="106">
        <v>80.0</v>
      </c>
      <c r="K1632" s="106">
        <v>2.5</v>
      </c>
      <c r="L1632" s="82" t="s">
        <v>46</v>
      </c>
      <c r="M1632" s="83"/>
      <c r="N1632" s="83"/>
      <c r="O1632" s="83"/>
      <c r="P1632" s="219"/>
      <c r="Q1632" s="83"/>
      <c r="R1632" s="75"/>
      <c r="S1632" s="90"/>
      <c r="T1632" s="79"/>
      <c r="U1632" s="90"/>
      <c r="V1632" s="79"/>
    </row>
    <row r="1633">
      <c r="A1633" s="207" t="s">
        <v>3355</v>
      </c>
      <c r="B1633" s="54" t="s">
        <v>129</v>
      </c>
      <c r="C1633" s="59"/>
      <c r="D1633" s="59" t="str">
        <f t="shared" si="121"/>
        <v>Removed</v>
      </c>
      <c r="E1633" s="133">
        <v>43510.0</v>
      </c>
      <c r="F1633" s="120">
        <v>44242.0</v>
      </c>
      <c r="G1633" s="65">
        <f t="shared" si="2"/>
        <v>24.03333333</v>
      </c>
      <c r="H1633" s="88">
        <v>39713.0</v>
      </c>
      <c r="I1633" s="65">
        <f t="shared" si="3"/>
        <v>10.39444444</v>
      </c>
      <c r="J1633" s="208">
        <v>72.0</v>
      </c>
      <c r="K1633" s="121">
        <v>8.0</v>
      </c>
      <c r="L1633" s="69" t="s">
        <v>57</v>
      </c>
      <c r="M1633" s="91"/>
      <c r="N1633" s="91"/>
      <c r="O1633" s="91"/>
      <c r="P1633" s="134"/>
      <c r="Q1633" s="69" t="s">
        <v>2841</v>
      </c>
      <c r="R1633" s="59"/>
      <c r="S1633" s="88"/>
      <c r="T1633" s="65"/>
      <c r="U1633" s="88"/>
      <c r="V1633" s="65"/>
    </row>
    <row r="1634">
      <c r="A1634" s="74" t="s">
        <v>3356</v>
      </c>
      <c r="B1634" s="75" t="s">
        <v>2984</v>
      </c>
      <c r="C1634" s="76"/>
      <c r="D1634" s="76" t="s">
        <v>2985</v>
      </c>
      <c r="E1634" s="218">
        <v>44212.0</v>
      </c>
      <c r="F1634" s="77">
        <v>44227.0</v>
      </c>
      <c r="G1634" s="79">
        <f t="shared" si="2"/>
        <v>0.4666666667</v>
      </c>
      <c r="H1634" s="90">
        <v>38061.0</v>
      </c>
      <c r="I1634" s="79">
        <f t="shared" si="3"/>
        <v>16.83611111</v>
      </c>
      <c r="J1634" s="106">
        <v>74.0</v>
      </c>
      <c r="K1634" s="106">
        <v>10.0</v>
      </c>
      <c r="L1634" s="82" t="s">
        <v>41</v>
      </c>
      <c r="M1634" s="82" t="s">
        <v>72</v>
      </c>
      <c r="N1634" s="82" t="s">
        <v>2761</v>
      </c>
      <c r="O1634" s="82"/>
      <c r="P1634" s="107"/>
      <c r="Q1634" s="82"/>
      <c r="R1634" s="76"/>
      <c r="S1634" s="90"/>
      <c r="T1634" s="79"/>
      <c r="U1634" s="90"/>
      <c r="V1634" s="79"/>
    </row>
    <row r="1635">
      <c r="A1635" s="53" t="s">
        <v>3357</v>
      </c>
      <c r="B1635" s="54" t="s">
        <v>2759</v>
      </c>
      <c r="C1635" s="59"/>
      <c r="D1635" s="59" t="s">
        <v>2760</v>
      </c>
      <c r="E1635" s="133">
        <v>44197.0</v>
      </c>
      <c r="F1635" s="61">
        <v>44227.0</v>
      </c>
      <c r="G1635" s="65">
        <f t="shared" si="2"/>
        <v>0.9666666667</v>
      </c>
      <c r="H1635" s="88">
        <v>42853.0</v>
      </c>
      <c r="I1635" s="65">
        <f t="shared" si="3"/>
        <v>3.675</v>
      </c>
      <c r="J1635" s="121">
        <v>81.0</v>
      </c>
      <c r="K1635" s="121">
        <v>4.0</v>
      </c>
      <c r="L1635" s="69" t="s">
        <v>41</v>
      </c>
      <c r="M1635" s="69"/>
      <c r="N1635" s="69"/>
      <c r="O1635" s="69"/>
      <c r="P1635" s="122"/>
      <c r="Q1635" s="69"/>
      <c r="R1635" s="59"/>
      <c r="S1635" s="88"/>
      <c r="T1635" s="65"/>
      <c r="U1635" s="88"/>
      <c r="V1635" s="65"/>
    </row>
    <row r="1636">
      <c r="A1636" s="226" t="s">
        <v>3358</v>
      </c>
      <c r="B1636" s="76" t="s">
        <v>13</v>
      </c>
      <c r="C1636" s="76"/>
      <c r="D1636" s="76" t="str">
        <f t="shared" ref="D1636:D1641" si="122">IF(E1636&gt;TODAY(),"Coming Soon",IF(F1636="","Active",IF(F1636&gt;TODAY(),"Leaving Soon","Removed")))</f>
        <v>Removed</v>
      </c>
      <c r="E1636" s="218">
        <v>43881.0</v>
      </c>
      <c r="F1636" s="105">
        <v>44225.0</v>
      </c>
      <c r="G1636" s="79">
        <f t="shared" si="2"/>
        <v>11.3</v>
      </c>
      <c r="H1636" s="90">
        <v>43391.0</v>
      </c>
      <c r="I1636" s="79">
        <f t="shared" si="3"/>
        <v>1.338888889</v>
      </c>
      <c r="J1636" s="216">
        <v>84.0</v>
      </c>
      <c r="K1636" s="106">
        <v>2.0</v>
      </c>
      <c r="L1636" s="83" t="s">
        <v>64</v>
      </c>
      <c r="M1636" s="83"/>
      <c r="N1636" s="83"/>
      <c r="O1636" s="83"/>
      <c r="P1636" s="219"/>
      <c r="Q1636" s="83"/>
      <c r="R1636" s="75"/>
      <c r="S1636" s="90"/>
      <c r="T1636" s="79"/>
      <c r="U1636" s="90"/>
      <c r="V1636" s="79"/>
    </row>
    <row r="1637">
      <c r="A1637" s="207" t="s">
        <v>3359</v>
      </c>
      <c r="B1637" s="54" t="s">
        <v>129</v>
      </c>
      <c r="C1637" s="54" t="s">
        <v>36</v>
      </c>
      <c r="D1637" s="59" t="str">
        <f t="shared" si="122"/>
        <v>Removed</v>
      </c>
      <c r="E1637" s="133">
        <v>43874.0</v>
      </c>
      <c r="F1637" s="120">
        <v>44225.0</v>
      </c>
      <c r="G1637" s="65">
        <f t="shared" si="2"/>
        <v>11.53333333</v>
      </c>
      <c r="H1637" s="88">
        <v>42808.0</v>
      </c>
      <c r="I1637" s="65">
        <f t="shared" si="3"/>
        <v>2.913888889</v>
      </c>
      <c r="J1637" s="208">
        <v>80.0</v>
      </c>
      <c r="K1637" s="121">
        <v>6.0</v>
      </c>
      <c r="L1637" s="69" t="s">
        <v>57</v>
      </c>
      <c r="M1637" s="91"/>
      <c r="N1637" s="91"/>
      <c r="O1637" s="91"/>
      <c r="P1637" s="134"/>
      <c r="Q1637" s="91"/>
      <c r="R1637" s="59"/>
      <c r="S1637" s="88"/>
      <c r="T1637" s="65"/>
      <c r="U1637" s="88"/>
      <c r="V1637" s="65"/>
    </row>
    <row r="1638">
      <c r="A1638" s="74" t="s">
        <v>3360</v>
      </c>
      <c r="B1638" s="76" t="s">
        <v>13</v>
      </c>
      <c r="C1638" s="76"/>
      <c r="D1638" s="76" t="str">
        <f t="shared" si="122"/>
        <v>Removed</v>
      </c>
      <c r="E1638" s="218">
        <v>43874.0</v>
      </c>
      <c r="F1638" s="105">
        <v>44225.0</v>
      </c>
      <c r="G1638" s="79">
        <f t="shared" si="2"/>
        <v>11.53333333</v>
      </c>
      <c r="H1638" s="90">
        <v>43326.0</v>
      </c>
      <c r="I1638" s="79">
        <f t="shared" si="3"/>
        <v>1.497222222</v>
      </c>
      <c r="J1638" s="216">
        <v>71.0</v>
      </c>
      <c r="K1638" s="106">
        <v>10.0</v>
      </c>
      <c r="L1638" s="82" t="s">
        <v>46</v>
      </c>
      <c r="M1638" s="83"/>
      <c r="N1638" s="83"/>
      <c r="O1638" s="83"/>
      <c r="P1638" s="219"/>
      <c r="Q1638" s="83"/>
      <c r="R1638" s="75"/>
      <c r="S1638" s="90"/>
      <c r="T1638" s="79"/>
      <c r="U1638" s="90"/>
      <c r="V1638" s="79"/>
    </row>
    <row r="1639">
      <c r="A1639" s="207" t="s">
        <v>3361</v>
      </c>
      <c r="B1639" s="54" t="s">
        <v>35</v>
      </c>
      <c r="C1639" s="59"/>
      <c r="D1639" s="59" t="str">
        <f t="shared" si="122"/>
        <v>Removed</v>
      </c>
      <c r="E1639" s="133">
        <v>43867.0</v>
      </c>
      <c r="F1639" s="120">
        <v>44225.0</v>
      </c>
      <c r="G1639" s="65">
        <f t="shared" si="2"/>
        <v>11.76666667</v>
      </c>
      <c r="H1639" s="88">
        <v>42703.0</v>
      </c>
      <c r="I1639" s="65">
        <f t="shared" si="3"/>
        <v>3.186111111</v>
      </c>
      <c r="J1639" s="208">
        <v>83.0</v>
      </c>
      <c r="K1639" s="121">
        <v>28.0</v>
      </c>
      <c r="L1639" s="69" t="s">
        <v>46</v>
      </c>
      <c r="M1639" s="91"/>
      <c r="N1639" s="91"/>
      <c r="O1639" s="91"/>
      <c r="P1639" s="134"/>
      <c r="Q1639" s="91"/>
      <c r="R1639" s="59"/>
      <c r="S1639" s="88"/>
      <c r="T1639" s="65"/>
      <c r="U1639" s="88"/>
      <c r="V1639" s="65"/>
    </row>
    <row r="1640">
      <c r="A1640" s="226" t="s">
        <v>3362</v>
      </c>
      <c r="B1640" s="75" t="s">
        <v>35</v>
      </c>
      <c r="C1640" s="75" t="s">
        <v>36</v>
      </c>
      <c r="D1640" s="76" t="str">
        <f t="shared" si="122"/>
        <v>Removed</v>
      </c>
      <c r="E1640" s="218">
        <v>43860.0</v>
      </c>
      <c r="F1640" s="105">
        <v>44225.0</v>
      </c>
      <c r="G1640" s="79">
        <f t="shared" si="2"/>
        <v>11.96666667</v>
      </c>
      <c r="H1640" s="90">
        <v>43361.0</v>
      </c>
      <c r="I1640" s="79">
        <f t="shared" si="3"/>
        <v>1.366666667</v>
      </c>
      <c r="J1640" s="106">
        <v>70.0</v>
      </c>
      <c r="K1640" s="106">
        <v>19.0</v>
      </c>
      <c r="L1640" s="83" t="s">
        <v>3363</v>
      </c>
      <c r="M1640" s="83"/>
      <c r="N1640" s="83"/>
      <c r="O1640" s="83"/>
      <c r="P1640" s="219"/>
      <c r="Q1640" s="83"/>
      <c r="R1640" s="76"/>
      <c r="S1640" s="90"/>
      <c r="T1640" s="79"/>
      <c r="U1640" s="90"/>
      <c r="V1640" s="79"/>
    </row>
    <row r="1641">
      <c r="A1641" s="207" t="s">
        <v>2151</v>
      </c>
      <c r="B1641" s="54" t="s">
        <v>35</v>
      </c>
      <c r="C1641" s="54" t="s">
        <v>36</v>
      </c>
      <c r="D1641" s="59" t="str">
        <f t="shared" si="122"/>
        <v>Removed</v>
      </c>
      <c r="E1641" s="133">
        <v>43860.0</v>
      </c>
      <c r="F1641" s="120">
        <v>44225.0</v>
      </c>
      <c r="G1641" s="65">
        <f t="shared" si="2"/>
        <v>11.96666667</v>
      </c>
      <c r="H1641" s="88">
        <v>43755.0</v>
      </c>
      <c r="I1641" s="65">
        <f t="shared" si="3"/>
        <v>0.2861111111</v>
      </c>
      <c r="J1641" s="208">
        <v>68.0</v>
      </c>
      <c r="K1641" s="121">
        <v>4.0</v>
      </c>
      <c r="L1641" s="69" t="s">
        <v>105</v>
      </c>
      <c r="M1641" s="91"/>
      <c r="N1641" s="91"/>
      <c r="O1641" s="91"/>
      <c r="P1641" s="134"/>
      <c r="Q1641" s="91"/>
      <c r="R1641" s="59"/>
      <c r="S1641" s="88"/>
      <c r="T1641" s="65"/>
      <c r="U1641" s="88"/>
      <c r="V1641" s="65"/>
    </row>
    <row r="1642">
      <c r="A1642" s="74" t="s">
        <v>3364</v>
      </c>
      <c r="B1642" s="75" t="s">
        <v>2759</v>
      </c>
      <c r="C1642" s="76"/>
      <c r="D1642" s="76" t="s">
        <v>2760</v>
      </c>
      <c r="E1642" s="218">
        <v>44181.0</v>
      </c>
      <c r="F1642" s="77">
        <v>44212.0</v>
      </c>
      <c r="G1642" s="79">
        <f t="shared" si="2"/>
        <v>1</v>
      </c>
      <c r="H1642" s="90">
        <v>43139.0</v>
      </c>
      <c r="I1642" s="79">
        <f t="shared" si="3"/>
        <v>2.855555556</v>
      </c>
      <c r="J1642" s="106">
        <v>80.0</v>
      </c>
      <c r="K1642" s="106">
        <v>2.0</v>
      </c>
      <c r="L1642" s="82" t="s">
        <v>105</v>
      </c>
      <c r="M1642" s="82"/>
      <c r="N1642" s="82"/>
      <c r="O1642" s="82"/>
      <c r="P1642" s="107"/>
      <c r="Q1642" s="82"/>
      <c r="R1642" s="76"/>
      <c r="S1642" s="90"/>
      <c r="T1642" s="79"/>
      <c r="U1642" s="90"/>
      <c r="V1642" s="79"/>
    </row>
    <row r="1643">
      <c r="A1643" s="53" t="s">
        <v>3365</v>
      </c>
      <c r="B1643" s="54" t="s">
        <v>2984</v>
      </c>
      <c r="C1643" s="59"/>
      <c r="D1643" s="59" t="s">
        <v>2985</v>
      </c>
      <c r="E1643" s="133">
        <v>44197.0</v>
      </c>
      <c r="F1643" s="61">
        <v>44211.0</v>
      </c>
      <c r="G1643" s="65">
        <f t="shared" si="2"/>
        <v>0.4666666667</v>
      </c>
      <c r="H1643" s="88">
        <v>40869.0</v>
      </c>
      <c r="I1643" s="65">
        <f t="shared" si="3"/>
        <v>9.108333333</v>
      </c>
      <c r="J1643" s="121">
        <v>79.0</v>
      </c>
      <c r="K1643" s="121">
        <v>2.5</v>
      </c>
      <c r="L1643" s="69" t="s">
        <v>52</v>
      </c>
      <c r="M1643" s="69"/>
      <c r="N1643" s="69" t="s">
        <v>2761</v>
      </c>
      <c r="O1643" s="69"/>
      <c r="P1643" s="122"/>
      <c r="Q1643" s="69"/>
      <c r="R1643" s="59"/>
      <c r="S1643" s="88"/>
      <c r="T1643" s="65"/>
      <c r="U1643" s="88"/>
      <c r="V1643" s="65"/>
    </row>
    <row r="1644">
      <c r="A1644" s="226" t="s">
        <v>3366</v>
      </c>
      <c r="B1644" s="75" t="s">
        <v>129</v>
      </c>
      <c r="C1644" s="76"/>
      <c r="D1644" s="76" t="str">
        <f t="shared" ref="D1644:D1646" si="123">IF(E1644&gt;TODAY(),"Coming Soon",IF(F1644="","Active",IF(F1644&gt;TODAY(),"Leaving Soon","Removed")))</f>
        <v>Removed</v>
      </c>
      <c r="E1644" s="77">
        <v>43846.0</v>
      </c>
      <c r="F1644" s="105">
        <v>44211.0</v>
      </c>
      <c r="G1644" s="79">
        <f t="shared" si="2"/>
        <v>11.96666667</v>
      </c>
      <c r="H1644" s="90">
        <v>42081.0</v>
      </c>
      <c r="I1644" s="79">
        <f t="shared" si="3"/>
        <v>4.827777778</v>
      </c>
      <c r="J1644" s="216">
        <v>81.0</v>
      </c>
      <c r="K1644" s="106">
        <v>3.5</v>
      </c>
      <c r="L1644" s="83" t="s">
        <v>52</v>
      </c>
      <c r="M1644" s="83"/>
      <c r="N1644" s="83"/>
      <c r="O1644" s="83"/>
      <c r="P1644" s="219"/>
      <c r="Q1644" s="83"/>
      <c r="R1644" s="76"/>
      <c r="S1644" s="90"/>
      <c r="T1644" s="79"/>
      <c r="U1644" s="90"/>
      <c r="V1644" s="79"/>
    </row>
    <row r="1645">
      <c r="A1645" s="207" t="s">
        <v>3367</v>
      </c>
      <c r="B1645" s="54" t="s">
        <v>129</v>
      </c>
      <c r="C1645" s="59"/>
      <c r="D1645" s="59" t="str">
        <f t="shared" si="123"/>
        <v>Removed</v>
      </c>
      <c r="E1645" s="61">
        <v>43839.0</v>
      </c>
      <c r="F1645" s="120">
        <v>44211.0</v>
      </c>
      <c r="G1645" s="65">
        <f t="shared" si="2"/>
        <v>12.2</v>
      </c>
      <c r="H1645" s="88">
        <v>43139.0</v>
      </c>
      <c r="I1645" s="65">
        <f t="shared" si="3"/>
        <v>1.919444444</v>
      </c>
      <c r="J1645" s="208">
        <v>72.0</v>
      </c>
      <c r="K1645" s="121">
        <v>27.0</v>
      </c>
      <c r="L1645" s="69" t="s">
        <v>37</v>
      </c>
      <c r="M1645" s="91"/>
      <c r="N1645" s="91"/>
      <c r="O1645" s="91"/>
      <c r="P1645" s="134"/>
      <c r="Q1645" s="91"/>
      <c r="R1645" s="59"/>
      <c r="S1645" s="88"/>
      <c r="T1645" s="65"/>
      <c r="U1645" s="88"/>
      <c r="V1645" s="65"/>
    </row>
    <row r="1646">
      <c r="A1646" s="226" t="s">
        <v>3368</v>
      </c>
      <c r="B1646" s="76" t="s">
        <v>13</v>
      </c>
      <c r="C1646" s="76"/>
      <c r="D1646" s="76" t="str">
        <f t="shared" si="123"/>
        <v>Removed</v>
      </c>
      <c r="E1646" s="218">
        <v>43837.0</v>
      </c>
      <c r="F1646" s="105">
        <v>44211.0</v>
      </c>
      <c r="G1646" s="79">
        <f t="shared" si="2"/>
        <v>12.26666667</v>
      </c>
      <c r="H1646" s="90">
        <v>41166.0</v>
      </c>
      <c r="I1646" s="79">
        <f t="shared" si="3"/>
        <v>7.313888889</v>
      </c>
      <c r="J1646" s="216">
        <v>84.0</v>
      </c>
      <c r="K1646" s="106">
        <v>11.5</v>
      </c>
      <c r="L1646" s="82" t="s">
        <v>46</v>
      </c>
      <c r="M1646" s="83"/>
      <c r="N1646" s="83"/>
      <c r="O1646" s="83"/>
      <c r="P1646" s="219"/>
      <c r="Q1646" s="83"/>
      <c r="R1646" s="75"/>
      <c r="S1646" s="90"/>
      <c r="T1646" s="79"/>
      <c r="U1646" s="90"/>
      <c r="V1646" s="79"/>
    </row>
    <row r="1647">
      <c r="A1647" s="53" t="s">
        <v>1496</v>
      </c>
      <c r="B1647" s="54" t="s">
        <v>2984</v>
      </c>
      <c r="C1647" s="59"/>
      <c r="D1647" s="59" t="s">
        <v>2985</v>
      </c>
      <c r="E1647" s="133">
        <v>44181.0</v>
      </c>
      <c r="F1647" s="61">
        <v>44196.0</v>
      </c>
      <c r="G1647" s="65">
        <f t="shared" si="2"/>
        <v>0.4666666667</v>
      </c>
      <c r="H1647" s="88">
        <v>40582.0</v>
      </c>
      <c r="I1647" s="65">
        <f t="shared" si="3"/>
        <v>9.855555556</v>
      </c>
      <c r="J1647" s="121">
        <v>80.0</v>
      </c>
      <c r="K1647" s="121">
        <v>4.0</v>
      </c>
      <c r="L1647" s="69" t="s">
        <v>96</v>
      </c>
      <c r="M1647" s="69"/>
      <c r="N1647" s="69" t="s">
        <v>2761</v>
      </c>
      <c r="O1647" s="69"/>
      <c r="P1647" s="122"/>
      <c r="Q1647" s="69"/>
      <c r="R1647" s="59"/>
      <c r="S1647" s="88"/>
      <c r="T1647" s="65"/>
      <c r="U1647" s="88"/>
      <c r="V1647" s="65"/>
    </row>
    <row r="1648">
      <c r="A1648" s="74" t="s">
        <v>3369</v>
      </c>
      <c r="B1648" s="75" t="s">
        <v>2759</v>
      </c>
      <c r="C1648" s="76"/>
      <c r="D1648" s="76" t="s">
        <v>2760</v>
      </c>
      <c r="E1648" s="218">
        <v>44166.0</v>
      </c>
      <c r="F1648" s="77">
        <v>44196.0</v>
      </c>
      <c r="G1648" s="79">
        <f t="shared" si="2"/>
        <v>0.9666666667</v>
      </c>
      <c r="H1648" s="90">
        <v>43172.0</v>
      </c>
      <c r="I1648" s="79">
        <f t="shared" si="3"/>
        <v>2.716666667</v>
      </c>
      <c r="J1648" s="106">
        <v>71.0</v>
      </c>
      <c r="K1648" s="106">
        <v>10.0</v>
      </c>
      <c r="L1648" s="82" t="s">
        <v>135</v>
      </c>
      <c r="M1648" s="82"/>
      <c r="N1648" s="82"/>
      <c r="O1648" s="82"/>
      <c r="P1648" s="107"/>
      <c r="Q1648" s="82"/>
      <c r="R1648" s="76"/>
      <c r="S1648" s="90"/>
      <c r="T1648" s="79"/>
      <c r="U1648" s="90"/>
      <c r="V1648" s="79"/>
    </row>
    <row r="1649">
      <c r="A1649" s="207" t="s">
        <v>3370</v>
      </c>
      <c r="B1649" s="59" t="s">
        <v>13</v>
      </c>
      <c r="C1649" s="59"/>
      <c r="D1649" s="59" t="str">
        <f t="shared" ref="D1649:D1651" si="124">IF(E1649&gt;TODAY(),"Coming Soon",IF(F1649="","Active",IF(F1649&gt;TODAY(),"Leaving Soon","Removed")))</f>
        <v>Removed</v>
      </c>
      <c r="E1649" s="133">
        <v>43931.0</v>
      </c>
      <c r="F1649" s="120">
        <v>44195.0</v>
      </c>
      <c r="G1649" s="65">
        <f t="shared" si="2"/>
        <v>8.666666667</v>
      </c>
      <c r="H1649" s="88">
        <v>43787.0</v>
      </c>
      <c r="I1649" s="65">
        <f t="shared" si="3"/>
        <v>0.3944444444</v>
      </c>
      <c r="J1649" s="208">
        <v>84.0</v>
      </c>
      <c r="K1649" s="121">
        <v>580.0</v>
      </c>
      <c r="L1649" s="69" t="s">
        <v>62</v>
      </c>
      <c r="M1649" s="91"/>
      <c r="N1649" s="91"/>
      <c r="O1649" s="91"/>
      <c r="P1649" s="134"/>
      <c r="Q1649" s="91"/>
      <c r="R1649" s="54"/>
      <c r="S1649" s="88"/>
      <c r="T1649" s="65"/>
      <c r="U1649" s="88"/>
      <c r="V1649" s="65"/>
    </row>
    <row r="1650">
      <c r="A1650" s="226" t="s">
        <v>3371</v>
      </c>
      <c r="B1650" s="75" t="s">
        <v>35</v>
      </c>
      <c r="C1650" s="75" t="s">
        <v>36</v>
      </c>
      <c r="D1650" s="76" t="str">
        <f t="shared" si="124"/>
        <v>Removed</v>
      </c>
      <c r="E1650" s="218">
        <v>43468.0</v>
      </c>
      <c r="F1650" s="105">
        <v>44195.0</v>
      </c>
      <c r="G1650" s="79">
        <f t="shared" si="2"/>
        <v>23.9</v>
      </c>
      <c r="H1650" s="90">
        <v>42667.0</v>
      </c>
      <c r="I1650" s="79">
        <f t="shared" si="3"/>
        <v>2.191666667</v>
      </c>
      <c r="J1650" s="216">
        <v>65.0</v>
      </c>
      <c r="K1650" s="106">
        <v>37.0</v>
      </c>
      <c r="L1650" s="83" t="s">
        <v>64</v>
      </c>
      <c r="M1650" s="83"/>
      <c r="N1650" s="83"/>
      <c r="O1650" s="83"/>
      <c r="P1650" s="219"/>
      <c r="Q1650" s="83"/>
      <c r="R1650" s="76"/>
      <c r="S1650" s="90"/>
      <c r="T1650" s="79"/>
      <c r="U1650" s="90"/>
      <c r="V1650" s="79"/>
    </row>
    <row r="1651">
      <c r="A1651" s="207" t="s">
        <v>3372</v>
      </c>
      <c r="B1651" s="54" t="s">
        <v>129</v>
      </c>
      <c r="C1651" s="54" t="s">
        <v>36</v>
      </c>
      <c r="D1651" s="59" t="str">
        <f t="shared" si="124"/>
        <v>Removed</v>
      </c>
      <c r="E1651" s="133">
        <v>43441.0</v>
      </c>
      <c r="F1651" s="120">
        <v>44195.0</v>
      </c>
      <c r="G1651" s="65">
        <f t="shared" si="2"/>
        <v>24.76666667</v>
      </c>
      <c r="H1651" s="88">
        <v>42108.0</v>
      </c>
      <c r="I1651" s="65">
        <f t="shared" si="3"/>
        <v>3.647222222</v>
      </c>
      <c r="J1651" s="208">
        <v>86.0</v>
      </c>
      <c r="K1651" s="121">
        <v>5.5</v>
      </c>
      <c r="L1651" s="91" t="s">
        <v>52</v>
      </c>
      <c r="M1651" s="91"/>
      <c r="N1651" s="91"/>
      <c r="O1651" s="91"/>
      <c r="P1651" s="134"/>
      <c r="Q1651" s="91"/>
      <c r="R1651" s="59"/>
      <c r="S1651" s="88"/>
      <c r="T1651" s="65"/>
      <c r="U1651" s="88"/>
      <c r="V1651" s="65"/>
    </row>
    <row r="1652">
      <c r="A1652" s="74" t="s">
        <v>3373</v>
      </c>
      <c r="B1652" s="75" t="s">
        <v>2984</v>
      </c>
      <c r="C1652" s="76"/>
      <c r="D1652" s="76" t="s">
        <v>2985</v>
      </c>
      <c r="E1652" s="218">
        <v>44166.0</v>
      </c>
      <c r="F1652" s="77">
        <v>44180.0</v>
      </c>
      <c r="G1652" s="79">
        <f t="shared" si="2"/>
        <v>0.4666666667</v>
      </c>
      <c r="H1652" s="90">
        <v>42024.0</v>
      </c>
      <c r="I1652" s="79">
        <f t="shared" si="3"/>
        <v>5.863888889</v>
      </c>
      <c r="J1652" s="106">
        <v>66.0</v>
      </c>
      <c r="K1652" s="106">
        <v>4.5</v>
      </c>
      <c r="L1652" s="82" t="s">
        <v>41</v>
      </c>
      <c r="M1652" s="82"/>
      <c r="N1652" s="82" t="s">
        <v>2761</v>
      </c>
      <c r="O1652" s="82"/>
      <c r="P1652" s="107"/>
      <c r="Q1652" s="82"/>
      <c r="R1652" s="76"/>
      <c r="S1652" s="90"/>
      <c r="T1652" s="79"/>
      <c r="U1652" s="90"/>
      <c r="V1652" s="79"/>
    </row>
    <row r="1653">
      <c r="A1653" s="53" t="s">
        <v>3374</v>
      </c>
      <c r="B1653" s="54" t="s">
        <v>2759</v>
      </c>
      <c r="C1653" s="59"/>
      <c r="D1653" s="59" t="s">
        <v>2760</v>
      </c>
      <c r="E1653" s="133">
        <v>44151.0</v>
      </c>
      <c r="F1653" s="61">
        <v>44180.0</v>
      </c>
      <c r="G1653" s="65">
        <f t="shared" si="2"/>
        <v>0.9666666667</v>
      </c>
      <c r="H1653" s="88">
        <v>44050.0</v>
      </c>
      <c r="I1653" s="65">
        <f t="shared" si="3"/>
        <v>0.275</v>
      </c>
      <c r="J1653" s="121">
        <v>65.0</v>
      </c>
      <c r="K1653" s="208"/>
      <c r="L1653" s="69" t="s">
        <v>37</v>
      </c>
      <c r="M1653" s="69"/>
      <c r="N1653" s="69"/>
      <c r="O1653" s="69"/>
      <c r="P1653" s="122"/>
      <c r="Q1653" s="69"/>
      <c r="R1653" s="59"/>
      <c r="S1653" s="88"/>
      <c r="T1653" s="65"/>
      <c r="U1653" s="88"/>
      <c r="V1653" s="65"/>
    </row>
    <row r="1654">
      <c r="A1654" s="226" t="s">
        <v>3375</v>
      </c>
      <c r="B1654" s="76" t="s">
        <v>13</v>
      </c>
      <c r="C1654" s="76"/>
      <c r="D1654" s="76" t="str">
        <f t="shared" ref="D1654:D1669" si="125">IF(E1654&gt;TODAY(),"Coming Soon",IF(F1654="","Active",IF(F1654&gt;TODAY(),"Leaving Soon","Removed")))</f>
        <v>Removed</v>
      </c>
      <c r="E1654" s="218">
        <v>43818.0</v>
      </c>
      <c r="F1654" s="105">
        <v>44180.0</v>
      </c>
      <c r="G1654" s="79">
        <f t="shared" si="2"/>
        <v>11.86666667</v>
      </c>
      <c r="H1654" s="90">
        <v>42185.0</v>
      </c>
      <c r="I1654" s="79">
        <f t="shared" si="3"/>
        <v>4.469444444</v>
      </c>
      <c r="J1654" s="216">
        <v>85.0</v>
      </c>
      <c r="K1654" s="106">
        <v>38.0</v>
      </c>
      <c r="L1654" s="82" t="s">
        <v>96</v>
      </c>
      <c r="M1654" s="82"/>
      <c r="N1654" s="82"/>
      <c r="O1654" s="82"/>
      <c r="P1654" s="107"/>
      <c r="Q1654" s="82"/>
      <c r="R1654" s="75"/>
      <c r="S1654" s="90"/>
      <c r="T1654" s="79"/>
      <c r="U1654" s="90"/>
      <c r="V1654" s="79"/>
    </row>
    <row r="1655">
      <c r="A1655" s="207" t="s">
        <v>3376</v>
      </c>
      <c r="B1655" s="54" t="s">
        <v>129</v>
      </c>
      <c r="C1655" s="54" t="s">
        <v>36</v>
      </c>
      <c r="D1655" s="59" t="str">
        <f t="shared" si="125"/>
        <v>Removed</v>
      </c>
      <c r="E1655" s="133">
        <v>43816.0</v>
      </c>
      <c r="F1655" s="120">
        <v>44180.0</v>
      </c>
      <c r="G1655" s="65">
        <f t="shared" si="2"/>
        <v>11.93333333</v>
      </c>
      <c r="H1655" s="88">
        <v>43728.0</v>
      </c>
      <c r="I1655" s="65">
        <f t="shared" si="3"/>
        <v>0.2416666667</v>
      </c>
      <c r="J1655" s="208">
        <v>81.0</v>
      </c>
      <c r="K1655" s="121">
        <v>3.0</v>
      </c>
      <c r="L1655" s="91" t="s">
        <v>105</v>
      </c>
      <c r="M1655" s="69" t="s">
        <v>1747</v>
      </c>
      <c r="N1655" s="91"/>
      <c r="O1655" s="91"/>
      <c r="P1655" s="134"/>
      <c r="Q1655" s="91"/>
      <c r="R1655" s="59"/>
      <c r="S1655" s="88"/>
      <c r="T1655" s="65"/>
      <c r="U1655" s="88"/>
      <c r="V1655" s="65"/>
    </row>
    <row r="1656">
      <c r="A1656" s="226" t="s">
        <v>3377</v>
      </c>
      <c r="B1656" s="75" t="s">
        <v>35</v>
      </c>
      <c r="C1656" s="75" t="s">
        <v>36</v>
      </c>
      <c r="D1656" s="76" t="str">
        <f t="shared" si="125"/>
        <v>Removed</v>
      </c>
      <c r="E1656" s="218">
        <v>43811.0</v>
      </c>
      <c r="F1656" s="105">
        <v>44180.0</v>
      </c>
      <c r="G1656" s="79">
        <f t="shared" si="2"/>
        <v>12.1</v>
      </c>
      <c r="H1656" s="90">
        <v>43608.0</v>
      </c>
      <c r="I1656" s="79">
        <f t="shared" si="3"/>
        <v>0.5527777778</v>
      </c>
      <c r="J1656" s="216">
        <v>67.0</v>
      </c>
      <c r="K1656" s="106">
        <v>19.0</v>
      </c>
      <c r="L1656" s="82" t="s">
        <v>46</v>
      </c>
      <c r="M1656" s="83"/>
      <c r="N1656" s="83"/>
      <c r="O1656" s="83"/>
      <c r="P1656" s="219"/>
      <c r="Q1656" s="83"/>
      <c r="R1656" s="76"/>
      <c r="S1656" s="90"/>
      <c r="T1656" s="79"/>
      <c r="U1656" s="90"/>
      <c r="V1656" s="79"/>
    </row>
    <row r="1657">
      <c r="A1657" s="207" t="s">
        <v>2168</v>
      </c>
      <c r="B1657" s="54" t="s">
        <v>35</v>
      </c>
      <c r="C1657" s="59"/>
      <c r="D1657" s="59" t="str">
        <f t="shared" si="125"/>
        <v>Removed</v>
      </c>
      <c r="E1657" s="133">
        <v>43809.0</v>
      </c>
      <c r="F1657" s="120">
        <v>44180.0</v>
      </c>
      <c r="G1657" s="65">
        <f t="shared" si="2"/>
        <v>12.16666667</v>
      </c>
      <c r="H1657" s="88">
        <v>39624.0</v>
      </c>
      <c r="I1657" s="65">
        <f t="shared" si="3"/>
        <v>11.45833333</v>
      </c>
      <c r="J1657" s="121">
        <v>70.0</v>
      </c>
      <c r="K1657" s="121">
        <v>0.5</v>
      </c>
      <c r="L1657" s="69" t="s">
        <v>81</v>
      </c>
      <c r="M1657" s="91"/>
      <c r="N1657" s="91"/>
      <c r="O1657" s="91"/>
      <c r="P1657" s="134"/>
      <c r="Q1657" s="69" t="s">
        <v>1822</v>
      </c>
      <c r="R1657" s="59"/>
      <c r="S1657" s="88"/>
      <c r="T1657" s="65"/>
      <c r="U1657" s="88"/>
      <c r="V1657" s="65"/>
    </row>
    <row r="1658">
      <c r="A1658" s="226" t="s">
        <v>3378</v>
      </c>
      <c r="B1658" s="75" t="s">
        <v>129</v>
      </c>
      <c r="C1658" s="76"/>
      <c r="D1658" s="76" t="str">
        <f t="shared" si="125"/>
        <v>Removed</v>
      </c>
      <c r="E1658" s="218">
        <v>43804.0</v>
      </c>
      <c r="F1658" s="105">
        <v>44180.0</v>
      </c>
      <c r="G1658" s="79">
        <f t="shared" si="2"/>
        <v>12.33333333</v>
      </c>
      <c r="H1658" s="90">
        <v>43343.0</v>
      </c>
      <c r="I1658" s="79">
        <f t="shared" si="3"/>
        <v>1.263888889</v>
      </c>
      <c r="J1658" s="216">
        <v>60.0</v>
      </c>
      <c r="K1658" s="106">
        <v>7.0</v>
      </c>
      <c r="L1658" s="83" t="s">
        <v>52</v>
      </c>
      <c r="M1658" s="83"/>
      <c r="N1658" s="83"/>
      <c r="O1658" s="83"/>
      <c r="P1658" s="219"/>
      <c r="Q1658" s="83"/>
      <c r="R1658" s="76"/>
      <c r="S1658" s="90"/>
      <c r="T1658" s="79"/>
      <c r="U1658" s="90"/>
      <c r="V1658" s="79"/>
    </row>
    <row r="1659">
      <c r="A1659" s="207" t="s">
        <v>3379</v>
      </c>
      <c r="B1659" s="54" t="s">
        <v>35</v>
      </c>
      <c r="C1659" s="54" t="s">
        <v>36</v>
      </c>
      <c r="D1659" s="59" t="str">
        <f t="shared" si="125"/>
        <v>Removed</v>
      </c>
      <c r="E1659" s="133">
        <v>43783.0</v>
      </c>
      <c r="F1659" s="120">
        <v>44180.0</v>
      </c>
      <c r="G1659" s="65">
        <f t="shared" si="2"/>
        <v>13.03333333</v>
      </c>
      <c r="H1659" s="88">
        <v>43683.0</v>
      </c>
      <c r="I1659" s="65">
        <f t="shared" si="3"/>
        <v>0.2722222222</v>
      </c>
      <c r="J1659" s="208">
        <v>85.0</v>
      </c>
      <c r="K1659" s="121">
        <v>48.0</v>
      </c>
      <c r="L1659" s="91" t="s">
        <v>81</v>
      </c>
      <c r="M1659" s="91"/>
      <c r="N1659" s="91"/>
      <c r="O1659" s="91"/>
      <c r="P1659" s="134"/>
      <c r="Q1659" s="91"/>
      <c r="R1659" s="59"/>
      <c r="S1659" s="88"/>
      <c r="T1659" s="65"/>
      <c r="U1659" s="88"/>
      <c r="V1659" s="65"/>
    </row>
    <row r="1660">
      <c r="A1660" s="226" t="s">
        <v>3380</v>
      </c>
      <c r="B1660" s="75" t="s">
        <v>35</v>
      </c>
      <c r="C1660" s="75" t="s">
        <v>36</v>
      </c>
      <c r="D1660" s="76" t="str">
        <f t="shared" si="125"/>
        <v>Removed</v>
      </c>
      <c r="E1660" s="218">
        <v>43625.0</v>
      </c>
      <c r="F1660" s="105">
        <v>44180.0</v>
      </c>
      <c r="G1660" s="79">
        <f t="shared" si="2"/>
        <v>18.2</v>
      </c>
      <c r="H1660" s="90">
        <v>42598.0</v>
      </c>
      <c r="I1660" s="79">
        <f t="shared" si="3"/>
        <v>2.813888889</v>
      </c>
      <c r="J1660" s="216">
        <v>80.0</v>
      </c>
      <c r="K1660" s="106">
        <v>5.0</v>
      </c>
      <c r="L1660" s="83" t="s">
        <v>96</v>
      </c>
      <c r="M1660" s="83"/>
      <c r="N1660" s="83"/>
      <c r="O1660" s="83"/>
      <c r="P1660" s="219"/>
      <c r="Q1660" s="83"/>
      <c r="R1660" s="76"/>
      <c r="S1660" s="90"/>
      <c r="T1660" s="79"/>
      <c r="U1660" s="90"/>
      <c r="V1660" s="79"/>
    </row>
    <row r="1661">
      <c r="A1661" s="53" t="s">
        <v>3381</v>
      </c>
      <c r="B1661" s="54" t="s">
        <v>35</v>
      </c>
      <c r="C1661" s="54" t="s">
        <v>36</v>
      </c>
      <c r="D1661" s="59" t="str">
        <f t="shared" si="125"/>
        <v>Removed</v>
      </c>
      <c r="E1661" s="133">
        <v>43447.0</v>
      </c>
      <c r="F1661" s="120">
        <v>44180.0</v>
      </c>
      <c r="G1661" s="65">
        <f t="shared" si="2"/>
        <v>24.06666667</v>
      </c>
      <c r="H1661" s="88">
        <v>43039.0</v>
      </c>
      <c r="I1661" s="65">
        <f t="shared" si="3"/>
        <v>1.119444444</v>
      </c>
      <c r="J1661" s="208">
        <v>72.0</v>
      </c>
      <c r="K1661" s="121">
        <v>16.5</v>
      </c>
      <c r="L1661" s="69" t="s">
        <v>55</v>
      </c>
      <c r="M1661" s="91"/>
      <c r="N1661" s="91"/>
      <c r="O1661" s="91"/>
      <c r="P1661" s="134"/>
      <c r="Q1661" s="91"/>
      <c r="R1661" s="59"/>
      <c r="S1661" s="88"/>
      <c r="T1661" s="65"/>
      <c r="U1661" s="88"/>
      <c r="V1661" s="65"/>
    </row>
    <row r="1662">
      <c r="A1662" s="226" t="s">
        <v>3382</v>
      </c>
      <c r="B1662" s="75" t="s">
        <v>13</v>
      </c>
      <c r="C1662" s="76"/>
      <c r="D1662" s="76" t="str">
        <f t="shared" si="125"/>
        <v>Removed</v>
      </c>
      <c r="E1662" s="218">
        <v>42979.0</v>
      </c>
      <c r="F1662" s="105">
        <v>44180.0</v>
      </c>
      <c r="G1662" s="79">
        <f t="shared" si="2"/>
        <v>39.46666667</v>
      </c>
      <c r="H1662" s="90">
        <v>41877.0</v>
      </c>
      <c r="I1662" s="79">
        <f t="shared" si="3"/>
        <v>3.013888889</v>
      </c>
      <c r="J1662" s="216">
        <v>88.0</v>
      </c>
      <c r="K1662" s="106">
        <v>10.0</v>
      </c>
      <c r="L1662" s="83" t="s">
        <v>135</v>
      </c>
      <c r="M1662" s="82" t="s">
        <v>1747</v>
      </c>
      <c r="N1662" s="83"/>
      <c r="O1662" s="83"/>
      <c r="P1662" s="219"/>
      <c r="Q1662" s="83"/>
      <c r="R1662" s="75"/>
      <c r="S1662" s="90"/>
      <c r="T1662" s="79"/>
      <c r="U1662" s="90"/>
      <c r="V1662" s="79"/>
    </row>
    <row r="1663">
      <c r="A1663" s="207" t="s">
        <v>3383</v>
      </c>
      <c r="B1663" s="54" t="s">
        <v>129</v>
      </c>
      <c r="C1663" s="59"/>
      <c r="D1663" s="59" t="str">
        <f t="shared" si="125"/>
        <v>Removed</v>
      </c>
      <c r="E1663" s="133">
        <v>43811.0</v>
      </c>
      <c r="F1663" s="120">
        <v>44176.0</v>
      </c>
      <c r="G1663" s="65">
        <f t="shared" si="2"/>
        <v>11.96666667</v>
      </c>
      <c r="H1663" s="88">
        <v>43718.0</v>
      </c>
      <c r="I1663" s="65">
        <f t="shared" si="3"/>
        <v>0.2555555556</v>
      </c>
      <c r="J1663" s="208">
        <v>82.0</v>
      </c>
      <c r="K1663" s="121">
        <v>5.5</v>
      </c>
      <c r="L1663" s="91" t="s">
        <v>3174</v>
      </c>
      <c r="M1663" s="91"/>
      <c r="N1663" s="91"/>
      <c r="O1663" s="91"/>
      <c r="P1663" s="134"/>
      <c r="Q1663" s="91"/>
      <c r="R1663" s="59"/>
      <c r="S1663" s="88"/>
      <c r="T1663" s="65"/>
      <c r="U1663" s="88"/>
      <c r="V1663" s="65"/>
    </row>
    <row r="1664">
      <c r="A1664" s="74" t="s">
        <v>3384</v>
      </c>
      <c r="B1664" s="75" t="s">
        <v>35</v>
      </c>
      <c r="C1664" s="75" t="s">
        <v>36</v>
      </c>
      <c r="D1664" s="76" t="str">
        <f t="shared" si="125"/>
        <v>Removed</v>
      </c>
      <c r="E1664" s="218">
        <v>43805.0</v>
      </c>
      <c r="F1664" s="105">
        <v>44166.0</v>
      </c>
      <c r="G1664" s="79">
        <f t="shared" si="2"/>
        <v>11.83333333</v>
      </c>
      <c r="H1664" s="90">
        <v>43487.0</v>
      </c>
      <c r="I1664" s="79">
        <f t="shared" si="3"/>
        <v>0.8722222222</v>
      </c>
      <c r="J1664" s="106">
        <f>(60+79)/2</f>
        <v>69.5</v>
      </c>
      <c r="K1664" s="106">
        <v>7.0</v>
      </c>
      <c r="L1664" s="83" t="s">
        <v>3385</v>
      </c>
      <c r="M1664" s="83"/>
      <c r="N1664" s="83"/>
      <c r="O1664" s="83"/>
      <c r="P1664" s="219"/>
      <c r="Q1664" s="83"/>
      <c r="R1664" s="76"/>
      <c r="S1664" s="90"/>
      <c r="T1664" s="79"/>
      <c r="U1664" s="90"/>
      <c r="V1664" s="79"/>
    </row>
    <row r="1665">
      <c r="A1665" s="207" t="s">
        <v>3386</v>
      </c>
      <c r="B1665" s="54" t="s">
        <v>35</v>
      </c>
      <c r="C1665" s="54" t="s">
        <v>36</v>
      </c>
      <c r="D1665" s="59" t="str">
        <f t="shared" si="125"/>
        <v>Removed</v>
      </c>
      <c r="E1665" s="133">
        <v>43805.0</v>
      </c>
      <c r="F1665" s="120">
        <v>44166.0</v>
      </c>
      <c r="G1665" s="65">
        <f t="shared" si="2"/>
        <v>11.83333333</v>
      </c>
      <c r="H1665" s="88">
        <v>43370.0</v>
      </c>
      <c r="I1665" s="65">
        <f t="shared" si="3"/>
        <v>1.191666667</v>
      </c>
      <c r="J1665" s="208">
        <v>82.0</v>
      </c>
      <c r="K1665" s="121">
        <v>9.0</v>
      </c>
      <c r="L1665" s="69" t="s">
        <v>135</v>
      </c>
      <c r="M1665" s="69"/>
      <c r="N1665" s="69"/>
      <c r="O1665" s="69"/>
      <c r="P1665" s="122"/>
      <c r="Q1665" s="69"/>
      <c r="R1665" s="59"/>
      <c r="S1665" s="88"/>
      <c r="T1665" s="65"/>
      <c r="U1665" s="88"/>
      <c r="V1665" s="65"/>
    </row>
    <row r="1666">
      <c r="A1666" s="226" t="s">
        <v>3387</v>
      </c>
      <c r="B1666" s="76" t="s">
        <v>13</v>
      </c>
      <c r="C1666" s="76"/>
      <c r="D1666" s="76" t="str">
        <f t="shared" si="125"/>
        <v>Removed</v>
      </c>
      <c r="E1666" s="218">
        <v>43804.0</v>
      </c>
      <c r="F1666" s="105">
        <v>44166.0</v>
      </c>
      <c r="G1666" s="79">
        <f t="shared" si="2"/>
        <v>11.86666667</v>
      </c>
      <c r="H1666" s="90">
        <v>42429.0</v>
      </c>
      <c r="I1666" s="79">
        <f t="shared" si="3"/>
        <v>3.766666667</v>
      </c>
      <c r="J1666" s="216">
        <v>81.0</v>
      </c>
      <c r="K1666" s="106">
        <v>115.0</v>
      </c>
      <c r="L1666" s="82" t="s">
        <v>81</v>
      </c>
      <c r="M1666" s="82"/>
      <c r="N1666" s="82"/>
      <c r="O1666" s="82"/>
      <c r="P1666" s="107"/>
      <c r="Q1666" s="82"/>
      <c r="R1666" s="75"/>
      <c r="S1666" s="90"/>
      <c r="T1666" s="79"/>
      <c r="U1666" s="90"/>
      <c r="V1666" s="79"/>
    </row>
    <row r="1667">
      <c r="A1667" s="207" t="s">
        <v>3388</v>
      </c>
      <c r="B1667" s="59" t="s">
        <v>13</v>
      </c>
      <c r="C1667" s="59"/>
      <c r="D1667" s="59" t="str">
        <f t="shared" si="125"/>
        <v>Removed</v>
      </c>
      <c r="E1667" s="133">
        <v>43625.0</v>
      </c>
      <c r="F1667" s="120">
        <v>44166.0</v>
      </c>
      <c r="G1667" s="65">
        <f t="shared" si="2"/>
        <v>17.73333333</v>
      </c>
      <c r="H1667" s="88">
        <v>40755.0</v>
      </c>
      <c r="I1667" s="65">
        <f t="shared" si="3"/>
        <v>7.858333333</v>
      </c>
      <c r="J1667" s="208">
        <v>68.0</v>
      </c>
      <c r="K1667" s="121">
        <v>1.5</v>
      </c>
      <c r="L1667" s="69" t="s">
        <v>135</v>
      </c>
      <c r="M1667" s="91"/>
      <c r="N1667" s="91"/>
      <c r="O1667" s="91"/>
      <c r="P1667" s="134"/>
      <c r="Q1667" s="91"/>
      <c r="R1667" s="54"/>
      <c r="S1667" s="88"/>
      <c r="T1667" s="65"/>
      <c r="U1667" s="88"/>
      <c r="V1667" s="65"/>
    </row>
    <row r="1668">
      <c r="A1668" s="226" t="s">
        <v>3389</v>
      </c>
      <c r="B1668" s="75" t="s">
        <v>129</v>
      </c>
      <c r="C1668" s="75" t="s">
        <v>36</v>
      </c>
      <c r="D1668" s="76" t="str">
        <f t="shared" si="125"/>
        <v>Removed</v>
      </c>
      <c r="E1668" s="218">
        <v>43468.0</v>
      </c>
      <c r="F1668" s="105">
        <v>44166.0</v>
      </c>
      <c r="G1668" s="79">
        <f t="shared" si="2"/>
        <v>22.93333333</v>
      </c>
      <c r="H1668" s="90">
        <v>42976.0</v>
      </c>
      <c r="I1668" s="79">
        <f t="shared" si="3"/>
        <v>1.344444444</v>
      </c>
      <c r="J1668" s="216">
        <v>62.0</v>
      </c>
      <c r="K1668" s="106">
        <v>5.5</v>
      </c>
      <c r="L1668" s="82" t="s">
        <v>46</v>
      </c>
      <c r="M1668" s="82"/>
      <c r="N1668" s="82"/>
      <c r="O1668" s="82"/>
      <c r="P1668" s="107"/>
      <c r="Q1668" s="82"/>
      <c r="R1668" s="76"/>
      <c r="S1668" s="90"/>
      <c r="T1668" s="79"/>
      <c r="U1668" s="90"/>
      <c r="V1668" s="79"/>
    </row>
    <row r="1669">
      <c r="A1669" s="53" t="s">
        <v>3390</v>
      </c>
      <c r="B1669" s="54" t="s">
        <v>129</v>
      </c>
      <c r="C1669" s="54" t="s">
        <v>36</v>
      </c>
      <c r="D1669" s="59" t="str">
        <f t="shared" si="125"/>
        <v>Removed</v>
      </c>
      <c r="E1669" s="133">
        <v>42917.0</v>
      </c>
      <c r="F1669" s="120">
        <v>44166.0</v>
      </c>
      <c r="G1669" s="65">
        <f t="shared" si="2"/>
        <v>41</v>
      </c>
      <c r="H1669" s="88">
        <v>42521.0</v>
      </c>
      <c r="I1669" s="65">
        <f t="shared" si="3"/>
        <v>1.086111111</v>
      </c>
      <c r="J1669" s="208">
        <v>67.0</v>
      </c>
      <c r="K1669" s="121">
        <v>21.0</v>
      </c>
      <c r="L1669" s="91" t="s">
        <v>135</v>
      </c>
      <c r="M1669" s="69" t="s">
        <v>1747</v>
      </c>
      <c r="N1669" s="91"/>
      <c r="O1669" s="91"/>
      <c r="P1669" s="134"/>
      <c r="Q1669" s="91"/>
      <c r="R1669" s="59"/>
      <c r="S1669" s="88"/>
      <c r="T1669" s="65"/>
      <c r="U1669" s="88"/>
      <c r="V1669" s="65"/>
    </row>
    <row r="1670">
      <c r="A1670" s="74" t="s">
        <v>3391</v>
      </c>
      <c r="B1670" s="75" t="s">
        <v>2984</v>
      </c>
      <c r="C1670" s="76"/>
      <c r="D1670" s="76" t="s">
        <v>2985</v>
      </c>
      <c r="E1670" s="218">
        <v>44151.0</v>
      </c>
      <c r="F1670" s="77">
        <v>44165.0</v>
      </c>
      <c r="G1670" s="79">
        <f t="shared" si="2"/>
        <v>0.4666666667</v>
      </c>
      <c r="H1670" s="90">
        <v>39602.0</v>
      </c>
      <c r="I1670" s="79">
        <f t="shared" si="3"/>
        <v>12.45277778</v>
      </c>
      <c r="J1670" s="106">
        <v>78.0</v>
      </c>
      <c r="K1670" s="106">
        <v>7.0</v>
      </c>
      <c r="L1670" s="82" t="s">
        <v>41</v>
      </c>
      <c r="M1670" s="82"/>
      <c r="N1670" s="82" t="s">
        <v>2761</v>
      </c>
      <c r="O1670" s="82"/>
      <c r="P1670" s="107"/>
      <c r="Q1670" s="82"/>
      <c r="R1670" s="76"/>
      <c r="S1670" s="90"/>
      <c r="T1670" s="79"/>
      <c r="U1670" s="90"/>
      <c r="V1670" s="79"/>
    </row>
    <row r="1671">
      <c r="A1671" s="53" t="s">
        <v>3392</v>
      </c>
      <c r="B1671" s="54" t="s">
        <v>2759</v>
      </c>
      <c r="C1671" s="59"/>
      <c r="D1671" s="59" t="s">
        <v>2760</v>
      </c>
      <c r="E1671" s="133">
        <v>44136.0</v>
      </c>
      <c r="F1671" s="61">
        <v>44165.0</v>
      </c>
      <c r="G1671" s="65">
        <f t="shared" si="2"/>
        <v>0.9666666667</v>
      </c>
      <c r="H1671" s="88">
        <v>43256.0</v>
      </c>
      <c r="I1671" s="65">
        <f t="shared" si="3"/>
        <v>2.405555556</v>
      </c>
      <c r="J1671" s="121">
        <v>74.0</v>
      </c>
      <c r="K1671" s="121">
        <v>10.0</v>
      </c>
      <c r="L1671" s="69" t="s">
        <v>41</v>
      </c>
      <c r="M1671" s="69"/>
      <c r="N1671" s="69"/>
      <c r="O1671" s="69"/>
      <c r="P1671" s="122"/>
      <c r="Q1671" s="69"/>
      <c r="R1671" s="59"/>
      <c r="S1671" s="88"/>
      <c r="T1671" s="65"/>
      <c r="U1671" s="88"/>
      <c r="V1671" s="65"/>
    </row>
    <row r="1672">
      <c r="A1672" s="226" t="s">
        <v>3233</v>
      </c>
      <c r="B1672" s="75" t="s">
        <v>35</v>
      </c>
      <c r="C1672" s="75" t="s">
        <v>36</v>
      </c>
      <c r="D1672" s="76" t="str">
        <f t="shared" ref="D1672:D1675" si="126">IF(E1672&gt;TODAY(),"Coming Soon",IF(F1672="","Active",IF(F1672&gt;TODAY(),"Leaving Soon","Removed")))</f>
        <v>Removed</v>
      </c>
      <c r="E1672" s="218">
        <v>43790.0</v>
      </c>
      <c r="F1672" s="105">
        <v>44151.0</v>
      </c>
      <c r="G1672" s="79">
        <f t="shared" si="2"/>
        <v>11.83333333</v>
      </c>
      <c r="H1672" s="90">
        <v>43431.0</v>
      </c>
      <c r="I1672" s="79">
        <f t="shared" si="3"/>
        <v>0.9833333333</v>
      </c>
      <c r="J1672" s="216">
        <v>69.0</v>
      </c>
      <c r="K1672" s="106">
        <v>14.0</v>
      </c>
      <c r="L1672" s="82" t="s">
        <v>46</v>
      </c>
      <c r="M1672" s="83"/>
      <c r="N1672" s="83"/>
      <c r="O1672" s="83"/>
      <c r="P1672" s="219"/>
      <c r="Q1672" s="83"/>
      <c r="R1672" s="76"/>
      <c r="S1672" s="90"/>
      <c r="T1672" s="79"/>
      <c r="U1672" s="90"/>
      <c r="V1672" s="79"/>
    </row>
    <row r="1673">
      <c r="A1673" s="207" t="s">
        <v>3393</v>
      </c>
      <c r="B1673" s="54" t="s">
        <v>35</v>
      </c>
      <c r="C1673" s="54" t="s">
        <v>36</v>
      </c>
      <c r="D1673" s="59" t="str">
        <f t="shared" si="126"/>
        <v>Removed</v>
      </c>
      <c r="E1673" s="133">
        <v>43790.0</v>
      </c>
      <c r="F1673" s="120">
        <v>44151.0</v>
      </c>
      <c r="G1673" s="65">
        <f t="shared" si="2"/>
        <v>11.83333333</v>
      </c>
      <c r="H1673" s="88">
        <v>43788.0</v>
      </c>
      <c r="I1673" s="65">
        <f t="shared" si="3"/>
        <v>0.005555555556</v>
      </c>
      <c r="J1673" s="208">
        <v>40.0</v>
      </c>
      <c r="K1673" s="121">
        <v>1.0</v>
      </c>
      <c r="L1673" s="91" t="s">
        <v>105</v>
      </c>
      <c r="M1673" s="91"/>
      <c r="N1673" s="91"/>
      <c r="O1673" s="91"/>
      <c r="P1673" s="134"/>
      <c r="Q1673" s="91"/>
      <c r="R1673" s="59"/>
      <c r="S1673" s="88"/>
      <c r="T1673" s="65"/>
      <c r="U1673" s="88"/>
      <c r="V1673" s="65"/>
    </row>
    <row r="1674">
      <c r="A1674" s="74" t="s">
        <v>3394</v>
      </c>
      <c r="B1674" s="75" t="s">
        <v>35</v>
      </c>
      <c r="C1674" s="75" t="s">
        <v>36</v>
      </c>
      <c r="D1674" s="76" t="str">
        <f t="shared" si="126"/>
        <v>Removed</v>
      </c>
      <c r="E1674" s="218">
        <v>43784.0</v>
      </c>
      <c r="F1674" s="105">
        <v>44151.0</v>
      </c>
      <c r="G1674" s="79">
        <f t="shared" si="2"/>
        <v>12.03333333</v>
      </c>
      <c r="H1674" s="90">
        <v>43005.0</v>
      </c>
      <c r="I1674" s="79">
        <f t="shared" si="3"/>
        <v>2.133333333</v>
      </c>
      <c r="J1674" s="106">
        <v>69.0</v>
      </c>
      <c r="K1674" s="106">
        <v>0.5</v>
      </c>
      <c r="L1674" s="83" t="s">
        <v>64</v>
      </c>
      <c r="M1674" s="83"/>
      <c r="N1674" s="83"/>
      <c r="O1674" s="83"/>
      <c r="P1674" s="219"/>
      <c r="Q1674" s="83"/>
      <c r="R1674" s="76"/>
      <c r="S1674" s="90"/>
      <c r="T1674" s="79"/>
      <c r="U1674" s="90"/>
      <c r="V1674" s="79"/>
    </row>
    <row r="1675">
      <c r="A1675" s="207" t="s">
        <v>3395</v>
      </c>
      <c r="B1675" s="54" t="s">
        <v>35</v>
      </c>
      <c r="C1675" s="54" t="s">
        <v>36</v>
      </c>
      <c r="D1675" s="59" t="str">
        <f t="shared" si="126"/>
        <v>Removed</v>
      </c>
      <c r="E1675" s="61">
        <v>43783.0</v>
      </c>
      <c r="F1675" s="120">
        <v>44151.0</v>
      </c>
      <c r="G1675" s="65">
        <f t="shared" si="2"/>
        <v>12.06666667</v>
      </c>
      <c r="H1675" s="88">
        <v>41984.0</v>
      </c>
      <c r="I1675" s="65">
        <f t="shared" si="3"/>
        <v>4.925</v>
      </c>
      <c r="J1675" s="208">
        <v>72.0</v>
      </c>
      <c r="K1675" s="121">
        <v>16.0</v>
      </c>
      <c r="L1675" s="69" t="s">
        <v>96</v>
      </c>
      <c r="M1675" s="91"/>
      <c r="N1675" s="91"/>
      <c r="O1675" s="91"/>
      <c r="P1675" s="134"/>
      <c r="Q1675" s="91"/>
      <c r="R1675" s="59"/>
      <c r="S1675" s="88"/>
      <c r="T1675" s="65"/>
      <c r="U1675" s="88"/>
      <c r="V1675" s="65"/>
    </row>
    <row r="1676">
      <c r="A1676" s="74" t="s">
        <v>3396</v>
      </c>
      <c r="B1676" s="75" t="s">
        <v>2984</v>
      </c>
      <c r="C1676" s="76"/>
      <c r="D1676" s="76" t="s">
        <v>2985</v>
      </c>
      <c r="E1676" s="218">
        <v>44136.0</v>
      </c>
      <c r="F1676" s="77">
        <v>44150.0</v>
      </c>
      <c r="G1676" s="79">
        <f t="shared" si="2"/>
        <v>0.4666666667</v>
      </c>
      <c r="H1676" s="90">
        <v>38139.0</v>
      </c>
      <c r="I1676" s="79">
        <f t="shared" si="3"/>
        <v>16.41666667</v>
      </c>
      <c r="J1676" s="106">
        <v>78.0</v>
      </c>
      <c r="K1676" s="106">
        <v>10.0</v>
      </c>
      <c r="L1676" s="82" t="s">
        <v>37</v>
      </c>
      <c r="M1676" s="82" t="s">
        <v>72</v>
      </c>
      <c r="N1676" s="82" t="s">
        <v>2761</v>
      </c>
      <c r="O1676" s="82"/>
      <c r="P1676" s="107"/>
      <c r="Q1676" s="82"/>
      <c r="R1676" s="76"/>
      <c r="S1676" s="90"/>
      <c r="T1676" s="79"/>
      <c r="U1676" s="90"/>
      <c r="V1676" s="79"/>
    </row>
    <row r="1677">
      <c r="A1677" s="53" t="s">
        <v>3397</v>
      </c>
      <c r="B1677" s="54" t="s">
        <v>2759</v>
      </c>
      <c r="C1677" s="59"/>
      <c r="D1677" s="59" t="s">
        <v>2760</v>
      </c>
      <c r="E1677" s="133">
        <v>44120.0</v>
      </c>
      <c r="F1677" s="61">
        <v>44150.0</v>
      </c>
      <c r="G1677" s="65">
        <f t="shared" si="2"/>
        <v>0.9666666667</v>
      </c>
      <c r="H1677" s="88">
        <v>44040.0</v>
      </c>
      <c r="I1677" s="65">
        <f t="shared" si="3"/>
        <v>0.2166666667</v>
      </c>
      <c r="J1677" s="121">
        <v>69.0</v>
      </c>
      <c r="K1677" s="121">
        <v>7.0</v>
      </c>
      <c r="L1677" s="69" t="s">
        <v>76</v>
      </c>
      <c r="M1677" s="69" t="s">
        <v>72</v>
      </c>
      <c r="N1677" s="69"/>
      <c r="O1677" s="69"/>
      <c r="P1677" s="122"/>
      <c r="Q1677" s="69"/>
      <c r="R1677" s="59"/>
      <c r="S1677" s="88"/>
      <c r="T1677" s="65"/>
      <c r="U1677" s="88"/>
      <c r="V1677" s="65"/>
    </row>
    <row r="1678">
      <c r="A1678" s="74" t="s">
        <v>1512</v>
      </c>
      <c r="B1678" s="75" t="s">
        <v>2984</v>
      </c>
      <c r="C1678" s="76"/>
      <c r="D1678" s="76" t="s">
        <v>2985</v>
      </c>
      <c r="E1678" s="218">
        <v>44120.0</v>
      </c>
      <c r="F1678" s="77">
        <v>44135.0</v>
      </c>
      <c r="G1678" s="79">
        <f t="shared" si="2"/>
        <v>0.4666666667</v>
      </c>
      <c r="H1678" s="90">
        <v>40470.0</v>
      </c>
      <c r="I1678" s="79">
        <f t="shared" si="3"/>
        <v>9.991666667</v>
      </c>
      <c r="J1678" s="106">
        <v>80.0</v>
      </c>
      <c r="K1678" s="106">
        <v>6.0</v>
      </c>
      <c r="L1678" s="82" t="s">
        <v>46</v>
      </c>
      <c r="M1678" s="82"/>
      <c r="N1678" s="82" t="s">
        <v>2761</v>
      </c>
      <c r="O1678" s="82"/>
      <c r="P1678" s="107"/>
      <c r="Q1678" s="82"/>
      <c r="R1678" s="76"/>
      <c r="S1678" s="90"/>
      <c r="T1678" s="79"/>
      <c r="U1678" s="90"/>
      <c r="V1678" s="79"/>
    </row>
    <row r="1679">
      <c r="A1679" s="53" t="s">
        <v>3398</v>
      </c>
      <c r="B1679" s="54" t="s">
        <v>2759</v>
      </c>
      <c r="C1679" s="59"/>
      <c r="D1679" s="59" t="s">
        <v>2760</v>
      </c>
      <c r="E1679" s="133">
        <v>44105.0</v>
      </c>
      <c r="F1679" s="61">
        <v>44135.0</v>
      </c>
      <c r="G1679" s="65">
        <f t="shared" si="2"/>
        <v>0.9666666667</v>
      </c>
      <c r="H1679" s="88">
        <v>43031.0</v>
      </c>
      <c r="I1679" s="65">
        <f t="shared" si="3"/>
        <v>2.938888889</v>
      </c>
      <c r="J1679" s="121">
        <v>82.0</v>
      </c>
      <c r="K1679" s="121">
        <v>5.5</v>
      </c>
      <c r="L1679" s="69" t="s">
        <v>96</v>
      </c>
      <c r="M1679" s="69"/>
      <c r="N1679" s="69"/>
      <c r="O1679" s="69"/>
      <c r="P1679" s="122"/>
      <c r="Q1679" s="69"/>
      <c r="R1679" s="59"/>
      <c r="S1679" s="88"/>
      <c r="T1679" s="65"/>
      <c r="U1679" s="88"/>
      <c r="V1679" s="65"/>
    </row>
    <row r="1680">
      <c r="A1680" s="226" t="s">
        <v>3399</v>
      </c>
      <c r="B1680" s="75" t="s">
        <v>35</v>
      </c>
      <c r="C1680" s="75" t="s">
        <v>36</v>
      </c>
      <c r="D1680" s="76" t="str">
        <f t="shared" ref="D1680:D1685" si="127">IF(E1680&gt;TODAY(),"Coming Soon",IF(F1680="","Active",IF(F1680&gt;TODAY(),"Leaving Soon","Removed")))</f>
        <v>Removed</v>
      </c>
      <c r="E1680" s="218">
        <v>43774.0</v>
      </c>
      <c r="F1680" s="105">
        <v>44135.0</v>
      </c>
      <c r="G1680" s="79">
        <f t="shared" si="2"/>
        <v>11.83333333</v>
      </c>
      <c r="H1680" s="90">
        <v>43340.0</v>
      </c>
      <c r="I1680" s="79">
        <f t="shared" si="3"/>
        <v>1.186111111</v>
      </c>
      <c r="J1680" s="216">
        <v>60.0</v>
      </c>
      <c r="K1680" s="106">
        <v>10.0</v>
      </c>
      <c r="L1680" s="83" t="s">
        <v>1738</v>
      </c>
      <c r="M1680" s="83"/>
      <c r="N1680" s="83"/>
      <c r="O1680" s="83"/>
      <c r="P1680" s="219"/>
      <c r="Q1680" s="83"/>
      <c r="R1680" s="76"/>
      <c r="S1680" s="90"/>
      <c r="T1680" s="79"/>
      <c r="U1680" s="90"/>
      <c r="V1680" s="79"/>
    </row>
    <row r="1681">
      <c r="A1681" s="207" t="s">
        <v>3400</v>
      </c>
      <c r="B1681" s="54" t="s">
        <v>129</v>
      </c>
      <c r="C1681" s="59"/>
      <c r="D1681" s="59" t="str">
        <f t="shared" si="127"/>
        <v>Removed</v>
      </c>
      <c r="E1681" s="133">
        <v>43769.0</v>
      </c>
      <c r="F1681" s="120">
        <v>44135.0</v>
      </c>
      <c r="G1681" s="65">
        <f t="shared" si="2"/>
        <v>12</v>
      </c>
      <c r="H1681" s="88">
        <v>40624.0</v>
      </c>
      <c r="I1681" s="65">
        <f t="shared" si="3"/>
        <v>8.605555556</v>
      </c>
      <c r="J1681" s="208">
        <v>75.0</v>
      </c>
      <c r="K1681" s="121">
        <v>9.0</v>
      </c>
      <c r="L1681" s="69" t="s">
        <v>57</v>
      </c>
      <c r="M1681" s="91"/>
      <c r="N1681" s="91"/>
      <c r="O1681" s="91"/>
      <c r="P1681" s="134"/>
      <c r="Q1681" s="91"/>
      <c r="R1681" s="59"/>
      <c r="S1681" s="88"/>
      <c r="T1681" s="65"/>
      <c r="U1681" s="88"/>
      <c r="V1681" s="65"/>
    </row>
    <row r="1682">
      <c r="A1682" s="226" t="s">
        <v>3401</v>
      </c>
      <c r="B1682" s="75" t="s">
        <v>129</v>
      </c>
      <c r="C1682" s="75" t="s">
        <v>36</v>
      </c>
      <c r="D1682" s="76" t="str">
        <f t="shared" si="127"/>
        <v>Removed</v>
      </c>
      <c r="E1682" s="218">
        <v>43767.0</v>
      </c>
      <c r="F1682" s="105">
        <v>44135.0</v>
      </c>
      <c r="G1682" s="79">
        <f t="shared" si="2"/>
        <v>12.03333333</v>
      </c>
      <c r="H1682" s="90">
        <v>43767.0</v>
      </c>
      <c r="I1682" s="79">
        <f t="shared" si="3"/>
        <v>0</v>
      </c>
      <c r="J1682" s="216">
        <v>73.0</v>
      </c>
      <c r="K1682" s="106">
        <v>5.5</v>
      </c>
      <c r="L1682" s="82" t="s">
        <v>135</v>
      </c>
      <c r="M1682" s="82"/>
      <c r="N1682" s="82"/>
      <c r="O1682" s="82"/>
      <c r="P1682" s="107"/>
      <c r="Q1682" s="82"/>
      <c r="R1682" s="76"/>
      <c r="S1682" s="90"/>
      <c r="T1682" s="79"/>
      <c r="U1682" s="90"/>
      <c r="V1682" s="79"/>
    </row>
    <row r="1683">
      <c r="A1683" s="207" t="s">
        <v>3402</v>
      </c>
      <c r="B1683" s="59" t="s">
        <v>13</v>
      </c>
      <c r="C1683" s="59"/>
      <c r="D1683" s="59" t="str">
        <f t="shared" si="127"/>
        <v>Removed</v>
      </c>
      <c r="E1683" s="133">
        <v>43735.0</v>
      </c>
      <c r="F1683" s="120">
        <v>44135.0</v>
      </c>
      <c r="G1683" s="65">
        <f t="shared" si="2"/>
        <v>13.1</v>
      </c>
      <c r="H1683" s="88">
        <v>43122.0</v>
      </c>
      <c r="I1683" s="65">
        <f t="shared" si="3"/>
        <v>1.680555556</v>
      </c>
      <c r="J1683" s="208">
        <v>80.0</v>
      </c>
      <c r="K1683" s="121">
        <v>4.0</v>
      </c>
      <c r="L1683" s="91" t="s">
        <v>135</v>
      </c>
      <c r="M1683" s="91"/>
      <c r="N1683" s="91"/>
      <c r="O1683" s="91"/>
      <c r="P1683" s="134"/>
      <c r="Q1683" s="91"/>
      <c r="R1683" s="54"/>
      <c r="S1683" s="88"/>
      <c r="T1683" s="65"/>
      <c r="U1683" s="88"/>
      <c r="V1683" s="65"/>
    </row>
    <row r="1684">
      <c r="A1684" s="226" t="s">
        <v>2162</v>
      </c>
      <c r="B1684" s="75" t="s">
        <v>13</v>
      </c>
      <c r="C1684" s="75" t="s">
        <v>36</v>
      </c>
      <c r="D1684" s="76" t="str">
        <f t="shared" si="127"/>
        <v>Removed</v>
      </c>
      <c r="E1684" s="218">
        <v>43594.0</v>
      </c>
      <c r="F1684" s="105">
        <v>44135.0</v>
      </c>
      <c r="G1684" s="79">
        <f t="shared" si="2"/>
        <v>17.7</v>
      </c>
      <c r="H1684" s="90">
        <v>42948.0</v>
      </c>
      <c r="I1684" s="79">
        <f t="shared" si="3"/>
        <v>1.772222222</v>
      </c>
      <c r="J1684" s="216">
        <v>79.0</v>
      </c>
      <c r="K1684" s="106">
        <v>2.5</v>
      </c>
      <c r="L1684" s="82" t="s">
        <v>135</v>
      </c>
      <c r="M1684" s="82"/>
      <c r="N1684" s="82"/>
      <c r="O1684" s="82"/>
      <c r="P1684" s="107" t="s">
        <v>2821</v>
      </c>
      <c r="Q1684" s="82"/>
      <c r="R1684" s="75"/>
      <c r="S1684" s="90"/>
      <c r="T1684" s="79"/>
      <c r="U1684" s="90"/>
      <c r="V1684" s="79"/>
    </row>
    <row r="1685">
      <c r="A1685" s="207" t="s">
        <v>3403</v>
      </c>
      <c r="B1685" s="54" t="s">
        <v>129</v>
      </c>
      <c r="C1685" s="54" t="s">
        <v>36</v>
      </c>
      <c r="D1685" s="59" t="str">
        <f t="shared" si="127"/>
        <v>Removed</v>
      </c>
      <c r="E1685" s="133">
        <v>43405.0</v>
      </c>
      <c r="F1685" s="120">
        <v>44135.0</v>
      </c>
      <c r="G1685" s="65">
        <f t="shared" si="2"/>
        <v>23.96666667</v>
      </c>
      <c r="H1685" s="88">
        <v>42860.0</v>
      </c>
      <c r="I1685" s="65">
        <f t="shared" si="3"/>
        <v>1.488888889</v>
      </c>
      <c r="J1685" s="208">
        <v>66.0</v>
      </c>
      <c r="K1685" s="121">
        <v>2.5</v>
      </c>
      <c r="L1685" s="91" t="s">
        <v>1994</v>
      </c>
      <c r="M1685" s="91"/>
      <c r="N1685" s="91"/>
      <c r="O1685" s="91"/>
      <c r="P1685" s="134"/>
      <c r="Q1685" s="91"/>
      <c r="R1685" s="59"/>
      <c r="S1685" s="88"/>
      <c r="T1685" s="65"/>
      <c r="U1685" s="88"/>
      <c r="V1685" s="65"/>
    </row>
    <row r="1686">
      <c r="A1686" s="74" t="s">
        <v>3404</v>
      </c>
      <c r="B1686" s="75" t="s">
        <v>2984</v>
      </c>
      <c r="C1686" s="76"/>
      <c r="D1686" s="76" t="s">
        <v>2985</v>
      </c>
      <c r="E1686" s="218">
        <v>44105.0</v>
      </c>
      <c r="F1686" s="77">
        <v>44119.0</v>
      </c>
      <c r="G1686" s="79">
        <f t="shared" si="2"/>
        <v>0.4666666667</v>
      </c>
      <c r="H1686" s="90">
        <v>37935.0</v>
      </c>
      <c r="I1686" s="79">
        <f t="shared" si="3"/>
        <v>16.89166667</v>
      </c>
      <c r="J1686" s="106">
        <v>78.0</v>
      </c>
      <c r="K1686" s="106">
        <v>12.0</v>
      </c>
      <c r="L1686" s="82" t="s">
        <v>41</v>
      </c>
      <c r="M1686" s="82" t="s">
        <v>72</v>
      </c>
      <c r="N1686" s="82" t="s">
        <v>2761</v>
      </c>
      <c r="O1686" s="82"/>
      <c r="P1686" s="107"/>
      <c r="Q1686" s="82"/>
      <c r="R1686" s="76"/>
      <c r="S1686" s="90"/>
      <c r="T1686" s="79"/>
      <c r="U1686" s="90"/>
      <c r="V1686" s="79"/>
    </row>
    <row r="1687">
      <c r="A1687" s="53" t="s">
        <v>3405</v>
      </c>
      <c r="B1687" s="54" t="s">
        <v>2759</v>
      </c>
      <c r="C1687" s="59"/>
      <c r="D1687" s="59" t="s">
        <v>2760</v>
      </c>
      <c r="E1687" s="133">
        <v>44090.0</v>
      </c>
      <c r="F1687" s="61">
        <v>44119.0</v>
      </c>
      <c r="G1687" s="65">
        <f t="shared" si="2"/>
        <v>0.9666666667</v>
      </c>
      <c r="H1687" s="88">
        <v>42055.0</v>
      </c>
      <c r="I1687" s="65">
        <f t="shared" si="3"/>
        <v>5.572222222</v>
      </c>
      <c r="J1687" s="121">
        <v>80.0</v>
      </c>
      <c r="K1687" s="121">
        <v>20.0</v>
      </c>
      <c r="L1687" s="69" t="s">
        <v>135</v>
      </c>
      <c r="M1687" s="69"/>
      <c r="N1687" s="69"/>
      <c r="O1687" s="69"/>
      <c r="P1687" s="122"/>
      <c r="Q1687" s="69"/>
      <c r="R1687" s="59"/>
      <c r="S1687" s="88"/>
      <c r="T1687" s="65"/>
      <c r="U1687" s="88"/>
      <c r="V1687" s="65"/>
    </row>
    <row r="1688">
      <c r="A1688" s="226" t="s">
        <v>3406</v>
      </c>
      <c r="B1688" s="76" t="s">
        <v>13</v>
      </c>
      <c r="C1688" s="76"/>
      <c r="D1688" s="76" t="str">
        <f t="shared" ref="D1688:D1695" si="128">IF(E1688&gt;TODAY(),"Coming Soon",IF(F1688="","Active",IF(F1688&gt;TODAY(),"Leaving Soon","Removed")))</f>
        <v>Removed</v>
      </c>
      <c r="E1688" s="218">
        <v>43762.0</v>
      </c>
      <c r="F1688" s="105">
        <v>44119.0</v>
      </c>
      <c r="G1688" s="79">
        <f t="shared" si="2"/>
        <v>11.7</v>
      </c>
      <c r="H1688" s="90">
        <v>43327.0</v>
      </c>
      <c r="I1688" s="79">
        <f t="shared" si="3"/>
        <v>1.191666667</v>
      </c>
      <c r="J1688" s="216">
        <v>69.0</v>
      </c>
      <c r="K1688" s="106">
        <v>9.5</v>
      </c>
      <c r="L1688" s="83" t="s">
        <v>135</v>
      </c>
      <c r="M1688" s="83"/>
      <c r="N1688" s="83"/>
      <c r="O1688" s="83"/>
      <c r="P1688" s="219"/>
      <c r="Q1688" s="83"/>
      <c r="R1688" s="75"/>
      <c r="S1688" s="90"/>
      <c r="T1688" s="79"/>
      <c r="U1688" s="90"/>
      <c r="V1688" s="79"/>
    </row>
    <row r="1689">
      <c r="A1689" s="207" t="s">
        <v>3407</v>
      </c>
      <c r="B1689" s="54" t="s">
        <v>35</v>
      </c>
      <c r="C1689" s="54" t="s">
        <v>36</v>
      </c>
      <c r="D1689" s="59" t="str">
        <f t="shared" si="128"/>
        <v>Removed</v>
      </c>
      <c r="E1689" s="133">
        <v>43760.0</v>
      </c>
      <c r="F1689" s="120">
        <v>44119.0</v>
      </c>
      <c r="G1689" s="65">
        <f t="shared" si="2"/>
        <v>11.76666667</v>
      </c>
      <c r="H1689" s="88">
        <v>43193.0</v>
      </c>
      <c r="I1689" s="65">
        <f t="shared" si="3"/>
        <v>1.552777778</v>
      </c>
      <c r="J1689" s="208">
        <v>74.0</v>
      </c>
      <c r="K1689" s="121">
        <v>1.5</v>
      </c>
      <c r="L1689" s="69" t="s">
        <v>41</v>
      </c>
      <c r="M1689" s="69"/>
      <c r="N1689" s="69"/>
      <c r="O1689" s="69"/>
      <c r="P1689" s="122"/>
      <c r="Q1689" s="69"/>
      <c r="R1689" s="59"/>
      <c r="S1689" s="88"/>
      <c r="T1689" s="65"/>
      <c r="U1689" s="88"/>
      <c r="V1689" s="65"/>
    </row>
    <row r="1690">
      <c r="A1690" s="226" t="s">
        <v>3408</v>
      </c>
      <c r="B1690" s="75" t="s">
        <v>35</v>
      </c>
      <c r="C1690" s="75" t="s">
        <v>36</v>
      </c>
      <c r="D1690" s="76" t="str">
        <f t="shared" si="128"/>
        <v>Removed</v>
      </c>
      <c r="E1690" s="218">
        <v>43755.0</v>
      </c>
      <c r="F1690" s="105">
        <v>44119.0</v>
      </c>
      <c r="G1690" s="79">
        <f t="shared" si="2"/>
        <v>11.93333333</v>
      </c>
      <c r="H1690" s="90">
        <v>43755.0</v>
      </c>
      <c r="I1690" s="79">
        <f t="shared" si="3"/>
        <v>0</v>
      </c>
      <c r="J1690" s="216">
        <v>69.0</v>
      </c>
      <c r="K1690" s="106">
        <v>4.5</v>
      </c>
      <c r="L1690" s="83" t="s">
        <v>96</v>
      </c>
      <c r="M1690" s="83"/>
      <c r="N1690" s="83"/>
      <c r="O1690" s="83"/>
      <c r="P1690" s="219"/>
      <c r="Q1690" s="83"/>
      <c r="R1690" s="76"/>
      <c r="S1690" s="90"/>
      <c r="T1690" s="79"/>
      <c r="U1690" s="90"/>
      <c r="V1690" s="79"/>
    </row>
    <row r="1691">
      <c r="A1691" s="53" t="s">
        <v>3409</v>
      </c>
      <c r="B1691" s="54" t="s">
        <v>35</v>
      </c>
      <c r="C1691" s="54" t="s">
        <v>36</v>
      </c>
      <c r="D1691" s="59" t="str">
        <f t="shared" si="128"/>
        <v>Removed</v>
      </c>
      <c r="E1691" s="88">
        <v>43410.0</v>
      </c>
      <c r="F1691" s="120">
        <v>44119.0</v>
      </c>
      <c r="G1691" s="65">
        <f t="shared" si="2"/>
        <v>23.3</v>
      </c>
      <c r="H1691" s="88">
        <v>43410.0</v>
      </c>
      <c r="I1691" s="65">
        <f t="shared" si="3"/>
        <v>0</v>
      </c>
      <c r="J1691" s="121">
        <v>71.0</v>
      </c>
      <c r="K1691" s="121">
        <v>14.0</v>
      </c>
      <c r="L1691" s="69" t="s">
        <v>55</v>
      </c>
      <c r="M1691" s="69"/>
      <c r="N1691" s="69"/>
      <c r="O1691" s="69"/>
      <c r="P1691" s="122"/>
      <c r="Q1691" s="69"/>
      <c r="R1691" s="59"/>
      <c r="S1691" s="88"/>
      <c r="T1691" s="65"/>
      <c r="U1691" s="88"/>
      <c r="V1691" s="65"/>
    </row>
    <row r="1692">
      <c r="A1692" s="226" t="s">
        <v>3410</v>
      </c>
      <c r="B1692" s="75" t="s">
        <v>35</v>
      </c>
      <c r="C1692" s="75" t="s">
        <v>36</v>
      </c>
      <c r="D1692" s="76" t="str">
        <f t="shared" si="128"/>
        <v>Removed</v>
      </c>
      <c r="E1692" s="218">
        <v>43374.0</v>
      </c>
      <c r="F1692" s="105">
        <v>44119.0</v>
      </c>
      <c r="G1692" s="79">
        <f t="shared" si="2"/>
        <v>24.46666667</v>
      </c>
      <c r="H1692" s="90">
        <v>41877.0</v>
      </c>
      <c r="I1692" s="79">
        <f t="shared" si="3"/>
        <v>4.097222222</v>
      </c>
      <c r="J1692" s="216">
        <v>84.0</v>
      </c>
      <c r="K1692" s="106">
        <v>9.0</v>
      </c>
      <c r="L1692" s="82" t="s">
        <v>37</v>
      </c>
      <c r="M1692" s="82" t="s">
        <v>1747</v>
      </c>
      <c r="N1692" s="83"/>
      <c r="O1692" s="83"/>
      <c r="P1692" s="219"/>
      <c r="Q1692" s="83"/>
      <c r="R1692" s="76"/>
      <c r="S1692" s="90"/>
      <c r="T1692" s="79"/>
      <c r="U1692" s="90"/>
      <c r="V1692" s="79"/>
    </row>
    <row r="1693">
      <c r="A1693" s="207" t="s">
        <v>3411</v>
      </c>
      <c r="B1693" s="59" t="s">
        <v>13</v>
      </c>
      <c r="C1693" s="59"/>
      <c r="D1693" s="59" t="str">
        <f t="shared" si="128"/>
        <v>Removed</v>
      </c>
      <c r="E1693" s="61">
        <v>42887.0</v>
      </c>
      <c r="F1693" s="120">
        <v>44119.0</v>
      </c>
      <c r="G1693" s="65">
        <f t="shared" si="2"/>
        <v>40.46666667</v>
      </c>
      <c r="H1693" s="88">
        <v>41506.0</v>
      </c>
      <c r="I1693" s="65">
        <f t="shared" si="3"/>
        <v>3.780555556</v>
      </c>
      <c r="J1693" s="208">
        <v>73.0</v>
      </c>
      <c r="K1693" s="121">
        <v>14.5</v>
      </c>
      <c r="L1693" s="69" t="s">
        <v>37</v>
      </c>
      <c r="M1693" s="91"/>
      <c r="N1693" s="91"/>
      <c r="O1693" s="91"/>
      <c r="P1693" s="134"/>
      <c r="Q1693" s="91"/>
      <c r="R1693" s="54"/>
      <c r="S1693" s="88"/>
      <c r="T1693" s="65"/>
      <c r="U1693" s="88"/>
      <c r="V1693" s="65"/>
    </row>
    <row r="1694">
      <c r="A1694" s="74" t="s">
        <v>3336</v>
      </c>
      <c r="B1694" s="75" t="s">
        <v>129</v>
      </c>
      <c r="C1694" s="75"/>
      <c r="D1694" s="76" t="str">
        <f t="shared" si="128"/>
        <v>Removed</v>
      </c>
      <c r="E1694" s="90">
        <v>42822.0</v>
      </c>
      <c r="F1694" s="105">
        <v>44117.0</v>
      </c>
      <c r="G1694" s="79">
        <f t="shared" si="2"/>
        <v>42.5</v>
      </c>
      <c r="H1694" s="90">
        <v>42626.0</v>
      </c>
      <c r="I1694" s="79">
        <f t="shared" si="3"/>
        <v>0.5416666667</v>
      </c>
      <c r="J1694" s="106">
        <v>77.0</v>
      </c>
      <c r="K1694" s="106">
        <v>42.0</v>
      </c>
      <c r="L1694" s="82" t="s">
        <v>62</v>
      </c>
      <c r="M1694" s="82"/>
      <c r="N1694" s="82"/>
      <c r="O1694" s="82" t="s">
        <v>1168</v>
      </c>
      <c r="P1694" s="107" t="s">
        <v>1793</v>
      </c>
      <c r="Q1694" s="82"/>
      <c r="R1694" s="76"/>
      <c r="S1694" s="90"/>
      <c r="T1694" s="79"/>
      <c r="U1694" s="90"/>
      <c r="V1694" s="79"/>
    </row>
    <row r="1695">
      <c r="A1695" s="53" t="s">
        <v>3335</v>
      </c>
      <c r="B1695" s="54" t="s">
        <v>129</v>
      </c>
      <c r="C1695" s="54"/>
      <c r="D1695" s="59" t="str">
        <f t="shared" si="128"/>
        <v>Removed</v>
      </c>
      <c r="E1695" s="88">
        <v>42515.0</v>
      </c>
      <c r="F1695" s="120">
        <v>44123.0</v>
      </c>
      <c r="G1695" s="65">
        <f t="shared" si="2"/>
        <v>52.8</v>
      </c>
      <c r="H1695" s="88">
        <v>42276.0</v>
      </c>
      <c r="I1695" s="65">
        <f t="shared" si="3"/>
        <v>0.6555555556</v>
      </c>
      <c r="J1695" s="121">
        <v>60.0</v>
      </c>
      <c r="K1695" s="225">
        <v>55.0</v>
      </c>
      <c r="L1695" s="69" t="s">
        <v>62</v>
      </c>
      <c r="M1695" s="69"/>
      <c r="N1695" s="69"/>
      <c r="O1695" s="69" t="s">
        <v>1219</v>
      </c>
      <c r="P1695" s="122"/>
      <c r="Q1695" s="69"/>
      <c r="R1695" s="59"/>
      <c r="S1695" s="88"/>
      <c r="T1695" s="65"/>
      <c r="U1695" s="88"/>
      <c r="V1695" s="65"/>
    </row>
    <row r="1696">
      <c r="A1696" s="74" t="s">
        <v>3412</v>
      </c>
      <c r="B1696" s="75" t="s">
        <v>2984</v>
      </c>
      <c r="C1696" s="76"/>
      <c r="D1696" s="76" t="s">
        <v>2985</v>
      </c>
      <c r="E1696" s="218">
        <v>44090.0</v>
      </c>
      <c r="F1696" s="77">
        <v>44104.0</v>
      </c>
      <c r="G1696" s="79">
        <f t="shared" si="2"/>
        <v>0.4666666667</v>
      </c>
      <c r="H1696" s="90">
        <v>37957.0</v>
      </c>
      <c r="I1696" s="79">
        <f t="shared" si="3"/>
        <v>16.78888889</v>
      </c>
      <c r="J1696" s="106">
        <v>82.0</v>
      </c>
      <c r="K1696" s="106">
        <v>8.0</v>
      </c>
      <c r="L1696" s="82" t="s">
        <v>37</v>
      </c>
      <c r="M1696" s="82" t="s">
        <v>72</v>
      </c>
      <c r="N1696" s="82" t="s">
        <v>2761</v>
      </c>
      <c r="O1696" s="82"/>
      <c r="P1696" s="107"/>
      <c r="Q1696" s="82"/>
      <c r="R1696" s="76"/>
      <c r="S1696" s="90"/>
      <c r="T1696" s="79"/>
      <c r="U1696" s="90"/>
      <c r="V1696" s="79"/>
    </row>
    <row r="1697">
      <c r="A1697" s="53" t="s">
        <v>311</v>
      </c>
      <c r="B1697" s="54" t="s">
        <v>2759</v>
      </c>
      <c r="C1697" s="59"/>
      <c r="D1697" s="59" t="s">
        <v>2760</v>
      </c>
      <c r="E1697" s="133">
        <v>44075.0</v>
      </c>
      <c r="F1697" s="61">
        <v>44104.0</v>
      </c>
      <c r="G1697" s="65">
        <f t="shared" si="2"/>
        <v>0.9666666667</v>
      </c>
      <c r="H1697" s="88">
        <v>42437.0</v>
      </c>
      <c r="I1697" s="65">
        <f t="shared" si="3"/>
        <v>4.480555556</v>
      </c>
      <c r="J1697" s="121">
        <v>80.0</v>
      </c>
      <c r="K1697" s="121">
        <v>24.0</v>
      </c>
      <c r="L1697" s="69" t="s">
        <v>37</v>
      </c>
      <c r="M1697" s="69"/>
      <c r="N1697" s="69" t="s">
        <v>2761</v>
      </c>
      <c r="O1697" s="69"/>
      <c r="P1697" s="122"/>
      <c r="Q1697" s="69"/>
      <c r="R1697" s="59"/>
      <c r="S1697" s="88"/>
      <c r="T1697" s="65"/>
      <c r="U1697" s="88"/>
      <c r="V1697" s="65"/>
    </row>
    <row r="1698">
      <c r="A1698" s="226" t="s">
        <v>3413</v>
      </c>
      <c r="B1698" s="75" t="s">
        <v>129</v>
      </c>
      <c r="C1698" s="76"/>
      <c r="D1698" s="76" t="str">
        <f t="shared" ref="D1698:D1701" si="129">IF(E1698&gt;TODAY(),"Coming Soon",IF(F1698="","Active",IF(F1698&gt;TODAY(),"Leaving Soon","Removed")))</f>
        <v>Removed</v>
      </c>
      <c r="E1698" s="218">
        <v>43739.0</v>
      </c>
      <c r="F1698" s="105">
        <v>44104.0</v>
      </c>
      <c r="G1698" s="79">
        <f t="shared" si="2"/>
        <v>11.96666667</v>
      </c>
      <c r="H1698" s="90">
        <v>37635.0</v>
      </c>
      <c r="I1698" s="79">
        <f t="shared" si="3"/>
        <v>16.71388889</v>
      </c>
      <c r="J1698" s="216">
        <v>90.0</v>
      </c>
      <c r="K1698" s="106">
        <v>4.0</v>
      </c>
      <c r="L1698" s="82" t="s">
        <v>37</v>
      </c>
      <c r="M1698" s="83"/>
      <c r="N1698" s="83"/>
      <c r="O1698" s="83"/>
      <c r="P1698" s="219"/>
      <c r="Q1698" s="274" t="s">
        <v>1745</v>
      </c>
      <c r="R1698" s="76"/>
      <c r="S1698" s="90"/>
      <c r="T1698" s="79"/>
      <c r="U1698" s="90"/>
      <c r="V1698" s="79"/>
    </row>
    <row r="1699">
      <c r="A1699" s="207" t="s">
        <v>3414</v>
      </c>
      <c r="B1699" s="54" t="s">
        <v>35</v>
      </c>
      <c r="C1699" s="59"/>
      <c r="D1699" s="59" t="str">
        <f t="shared" si="129"/>
        <v>Removed</v>
      </c>
      <c r="E1699" s="133">
        <v>43734.0</v>
      </c>
      <c r="F1699" s="120">
        <v>44104.0</v>
      </c>
      <c r="G1699" s="65">
        <f t="shared" si="2"/>
        <v>12.13333333</v>
      </c>
      <c r="H1699" s="88">
        <v>43332.0</v>
      </c>
      <c r="I1699" s="65">
        <f t="shared" si="3"/>
        <v>1.1</v>
      </c>
      <c r="J1699" s="208">
        <v>65.0</v>
      </c>
      <c r="K1699" s="121">
        <v>5.5</v>
      </c>
      <c r="L1699" s="91" t="s">
        <v>1726</v>
      </c>
      <c r="M1699" s="91"/>
      <c r="N1699" s="91"/>
      <c r="O1699" s="91"/>
      <c r="P1699" s="134"/>
      <c r="Q1699" s="91"/>
      <c r="R1699" s="59"/>
      <c r="S1699" s="88"/>
      <c r="T1699" s="65"/>
      <c r="U1699" s="88"/>
      <c r="V1699" s="65"/>
    </row>
    <row r="1700">
      <c r="A1700" s="226" t="s">
        <v>3415</v>
      </c>
      <c r="B1700" s="75" t="s">
        <v>129</v>
      </c>
      <c r="C1700" s="76"/>
      <c r="D1700" s="76" t="str">
        <f t="shared" si="129"/>
        <v>Removed</v>
      </c>
      <c r="E1700" s="218">
        <v>43374.0</v>
      </c>
      <c r="F1700" s="105">
        <v>44104.0</v>
      </c>
      <c r="G1700" s="79">
        <f t="shared" si="2"/>
        <v>23.96666667</v>
      </c>
      <c r="H1700" s="90">
        <v>42110.0</v>
      </c>
      <c r="I1700" s="79">
        <f t="shared" si="3"/>
        <v>3.458333333</v>
      </c>
      <c r="J1700" s="216">
        <v>80.0</v>
      </c>
      <c r="K1700" s="106">
        <v>2.5</v>
      </c>
      <c r="L1700" s="83" t="s">
        <v>41</v>
      </c>
      <c r="M1700" s="83"/>
      <c r="N1700" s="83"/>
      <c r="O1700" s="83"/>
      <c r="P1700" s="219"/>
      <c r="Q1700" s="83"/>
      <c r="R1700" s="76"/>
      <c r="S1700" s="90"/>
      <c r="T1700" s="79"/>
      <c r="U1700" s="90"/>
      <c r="V1700" s="79"/>
    </row>
    <row r="1701">
      <c r="A1701" s="207" t="s">
        <v>3416</v>
      </c>
      <c r="B1701" s="54" t="s">
        <v>129</v>
      </c>
      <c r="C1701" s="59"/>
      <c r="D1701" s="59" t="str">
        <f t="shared" si="129"/>
        <v>Removed</v>
      </c>
      <c r="E1701" s="133">
        <v>43292.0</v>
      </c>
      <c r="F1701" s="120">
        <v>44096.0</v>
      </c>
      <c r="G1701" s="65">
        <f t="shared" si="2"/>
        <v>26.36666667</v>
      </c>
      <c r="H1701" s="88">
        <v>42192.0</v>
      </c>
      <c r="I1701" s="65">
        <f t="shared" si="3"/>
        <v>3.011111111</v>
      </c>
      <c r="J1701" s="208">
        <v>87.0</v>
      </c>
      <c r="K1701" s="121">
        <v>4.0</v>
      </c>
      <c r="L1701" s="69" t="s">
        <v>55</v>
      </c>
      <c r="M1701" s="91"/>
      <c r="N1701" s="91"/>
      <c r="O1701" s="91"/>
      <c r="P1701" s="134"/>
      <c r="Q1701" s="91"/>
      <c r="R1701" s="59"/>
      <c r="S1701" s="88"/>
      <c r="T1701" s="65"/>
      <c r="U1701" s="88"/>
      <c r="V1701" s="65"/>
    </row>
    <row r="1702">
      <c r="A1702" s="74" t="s">
        <v>3417</v>
      </c>
      <c r="B1702" s="75" t="s">
        <v>2984</v>
      </c>
      <c r="C1702" s="76"/>
      <c r="D1702" s="76" t="s">
        <v>2985</v>
      </c>
      <c r="E1702" s="218">
        <v>44075.0</v>
      </c>
      <c r="F1702" s="77">
        <v>44089.0</v>
      </c>
      <c r="G1702" s="79">
        <f t="shared" si="2"/>
        <v>0.4666666667</v>
      </c>
      <c r="H1702" s="90">
        <v>40596.0</v>
      </c>
      <c r="I1702" s="79">
        <f t="shared" si="3"/>
        <v>9.525</v>
      </c>
      <c r="J1702" s="106">
        <v>75.0</v>
      </c>
      <c r="K1702" s="106">
        <v>11.0</v>
      </c>
      <c r="L1702" s="82" t="s">
        <v>41</v>
      </c>
      <c r="M1702" s="82"/>
      <c r="N1702" s="82" t="s">
        <v>2761</v>
      </c>
      <c r="O1702" s="82"/>
      <c r="P1702" s="107"/>
      <c r="Q1702" s="82"/>
      <c r="R1702" s="76"/>
      <c r="S1702" s="90"/>
      <c r="T1702" s="79"/>
      <c r="U1702" s="90"/>
      <c r="V1702" s="79"/>
    </row>
    <row r="1703">
      <c r="A1703" s="53" t="s">
        <v>3418</v>
      </c>
      <c r="B1703" s="54" t="s">
        <v>2759</v>
      </c>
      <c r="C1703" s="59"/>
      <c r="D1703" s="59" t="s">
        <v>2760</v>
      </c>
      <c r="E1703" s="133">
        <v>44059.0</v>
      </c>
      <c r="F1703" s="61">
        <v>44089.0</v>
      </c>
      <c r="G1703" s="65">
        <f t="shared" si="2"/>
        <v>0.9666666667</v>
      </c>
      <c r="H1703" s="88">
        <v>43438.0</v>
      </c>
      <c r="I1703" s="65">
        <f t="shared" si="3"/>
        <v>1.7</v>
      </c>
      <c r="J1703" s="121">
        <v>67.0</v>
      </c>
      <c r="K1703" s="121">
        <v>2.0</v>
      </c>
      <c r="L1703" s="69" t="s">
        <v>52</v>
      </c>
      <c r="M1703" s="69"/>
      <c r="N1703" s="69" t="s">
        <v>2761</v>
      </c>
      <c r="O1703" s="69"/>
      <c r="P1703" s="122"/>
      <c r="Q1703" s="69"/>
      <c r="R1703" s="59"/>
      <c r="S1703" s="88"/>
      <c r="T1703" s="65"/>
      <c r="U1703" s="88"/>
      <c r="V1703" s="65"/>
    </row>
    <row r="1704">
      <c r="A1704" s="226" t="s">
        <v>3419</v>
      </c>
      <c r="B1704" s="75" t="s">
        <v>129</v>
      </c>
      <c r="C1704" s="76"/>
      <c r="D1704" s="76" t="str">
        <f t="shared" ref="D1704:D1707" si="130">IF(E1704&gt;TODAY(),"Coming Soon",IF(F1704="","Active",IF(F1704&gt;TODAY(),"Leaving Soon","Removed")))</f>
        <v>Removed</v>
      </c>
      <c r="E1704" s="218">
        <v>43895.0</v>
      </c>
      <c r="F1704" s="105">
        <v>44089.0</v>
      </c>
      <c r="G1704" s="79">
        <f t="shared" si="2"/>
        <v>6.333333333</v>
      </c>
      <c r="H1704" s="90">
        <v>43714.0</v>
      </c>
      <c r="I1704" s="79">
        <f t="shared" si="3"/>
        <v>0.4972222222</v>
      </c>
      <c r="J1704" s="216">
        <v>80.0</v>
      </c>
      <c r="K1704" s="106">
        <v>53.0</v>
      </c>
      <c r="L1704" s="82" t="s">
        <v>62</v>
      </c>
      <c r="M1704" s="82"/>
      <c r="N1704" s="82"/>
      <c r="O1704" s="82"/>
      <c r="P1704" s="107"/>
      <c r="Q1704" s="82"/>
      <c r="R1704" s="76"/>
      <c r="S1704" s="90"/>
      <c r="T1704" s="79"/>
      <c r="U1704" s="90"/>
      <c r="V1704" s="79"/>
    </row>
    <row r="1705">
      <c r="A1705" s="207" t="s">
        <v>3420</v>
      </c>
      <c r="B1705" s="54" t="s">
        <v>129</v>
      </c>
      <c r="C1705" s="59"/>
      <c r="D1705" s="59" t="str">
        <f t="shared" si="130"/>
        <v>Removed</v>
      </c>
      <c r="E1705" s="133">
        <v>43727.0</v>
      </c>
      <c r="F1705" s="120">
        <v>44089.0</v>
      </c>
      <c r="G1705" s="65">
        <f t="shared" si="2"/>
        <v>11.86666667</v>
      </c>
      <c r="H1705" s="88">
        <v>43508.0</v>
      </c>
      <c r="I1705" s="65">
        <f t="shared" si="3"/>
        <v>0.6027777778</v>
      </c>
      <c r="J1705" s="208">
        <v>61.0</v>
      </c>
      <c r="K1705" s="121">
        <v>12.5</v>
      </c>
      <c r="L1705" s="91" t="s">
        <v>52</v>
      </c>
      <c r="M1705" s="91"/>
      <c r="N1705" s="91"/>
      <c r="O1705" s="91"/>
      <c r="P1705" s="134"/>
      <c r="Q1705" s="91"/>
      <c r="R1705" s="59"/>
      <c r="S1705" s="88"/>
      <c r="T1705" s="65"/>
      <c r="U1705" s="88"/>
      <c r="V1705" s="65"/>
    </row>
    <row r="1706">
      <c r="A1706" s="74" t="s">
        <v>3421</v>
      </c>
      <c r="B1706" s="75" t="s">
        <v>35</v>
      </c>
      <c r="C1706" s="76"/>
      <c r="D1706" s="76" t="str">
        <f t="shared" si="130"/>
        <v>Removed</v>
      </c>
      <c r="E1706" s="218">
        <v>43720.0</v>
      </c>
      <c r="F1706" s="105">
        <v>44089.0</v>
      </c>
      <c r="G1706" s="79">
        <f t="shared" si="2"/>
        <v>12.1</v>
      </c>
      <c r="H1706" s="90">
        <v>43157.0</v>
      </c>
      <c r="I1706" s="79">
        <f t="shared" si="3"/>
        <v>1.544444444</v>
      </c>
      <c r="J1706" s="216">
        <v>60.0</v>
      </c>
      <c r="K1706" s="106">
        <v>8.0</v>
      </c>
      <c r="L1706" s="82" t="s">
        <v>105</v>
      </c>
      <c r="M1706" s="83"/>
      <c r="N1706" s="83"/>
      <c r="O1706" s="83"/>
      <c r="P1706" s="219"/>
      <c r="Q1706" s="83"/>
      <c r="R1706" s="76"/>
      <c r="S1706" s="90"/>
      <c r="T1706" s="79"/>
      <c r="U1706" s="90"/>
      <c r="V1706" s="79"/>
    </row>
    <row r="1707">
      <c r="A1707" s="53" t="s">
        <v>3422</v>
      </c>
      <c r="B1707" s="54" t="s">
        <v>129</v>
      </c>
      <c r="C1707" s="59"/>
      <c r="D1707" s="59" t="str">
        <f t="shared" si="130"/>
        <v>Removed</v>
      </c>
      <c r="E1707" s="133">
        <v>43958.0</v>
      </c>
      <c r="F1707" s="120">
        <v>44081.0</v>
      </c>
      <c r="G1707" s="65">
        <f t="shared" si="2"/>
        <v>4</v>
      </c>
      <c r="H1707" s="88">
        <v>43399.0</v>
      </c>
      <c r="I1707" s="65">
        <f t="shared" si="3"/>
        <v>1.530555556</v>
      </c>
      <c r="J1707" s="208">
        <v>97.0</v>
      </c>
      <c r="K1707" s="121">
        <v>47.5</v>
      </c>
      <c r="L1707" s="69" t="s">
        <v>41</v>
      </c>
      <c r="M1707" s="91"/>
      <c r="N1707" s="91"/>
      <c r="O1707" s="91"/>
      <c r="P1707" s="134"/>
      <c r="Q1707" s="91"/>
      <c r="R1707" s="59"/>
      <c r="S1707" s="88"/>
      <c r="T1707" s="65"/>
      <c r="U1707" s="88"/>
      <c r="V1707" s="65"/>
    </row>
    <row r="1708">
      <c r="A1708" s="74" t="s">
        <v>3423</v>
      </c>
      <c r="B1708" s="75" t="s">
        <v>2984</v>
      </c>
      <c r="C1708" s="76"/>
      <c r="D1708" s="76" t="s">
        <v>2985</v>
      </c>
      <c r="E1708" s="218">
        <v>44059.0</v>
      </c>
      <c r="F1708" s="77">
        <v>44074.0</v>
      </c>
      <c r="G1708" s="79">
        <f t="shared" si="2"/>
        <v>0.4666666667</v>
      </c>
      <c r="H1708" s="90">
        <v>37726.0</v>
      </c>
      <c r="I1708" s="79">
        <f t="shared" si="3"/>
        <v>17.33611111</v>
      </c>
      <c r="J1708" s="106">
        <v>78.0</v>
      </c>
      <c r="K1708" s="106">
        <v>4.5</v>
      </c>
      <c r="L1708" s="82" t="s">
        <v>37</v>
      </c>
      <c r="M1708" s="82" t="s">
        <v>72</v>
      </c>
      <c r="N1708" s="82" t="s">
        <v>2761</v>
      </c>
      <c r="O1708" s="82"/>
      <c r="P1708" s="107"/>
      <c r="Q1708" s="82"/>
      <c r="R1708" s="76"/>
      <c r="S1708" s="90"/>
      <c r="T1708" s="79"/>
      <c r="U1708" s="90"/>
      <c r="V1708" s="79"/>
    </row>
    <row r="1709">
      <c r="A1709" s="53" t="s">
        <v>3424</v>
      </c>
      <c r="B1709" s="54" t="s">
        <v>2759</v>
      </c>
      <c r="C1709" s="59"/>
      <c r="D1709" s="59" t="s">
        <v>2760</v>
      </c>
      <c r="E1709" s="133">
        <v>44044.0</v>
      </c>
      <c r="F1709" s="61">
        <v>44074.0</v>
      </c>
      <c r="G1709" s="65">
        <f t="shared" si="2"/>
        <v>0.9666666667</v>
      </c>
      <c r="H1709" s="88">
        <v>42874.0</v>
      </c>
      <c r="I1709" s="65">
        <f t="shared" si="3"/>
        <v>3.2</v>
      </c>
      <c r="J1709" s="121">
        <v>79.0</v>
      </c>
      <c r="K1709" s="121">
        <v>20.0</v>
      </c>
      <c r="L1709" s="69" t="s">
        <v>41</v>
      </c>
      <c r="M1709" s="69"/>
      <c r="N1709" s="69" t="s">
        <v>2761</v>
      </c>
      <c r="O1709" s="69"/>
      <c r="P1709" s="122"/>
      <c r="Q1709" s="69"/>
      <c r="R1709" s="59"/>
      <c r="S1709" s="88"/>
      <c r="T1709" s="65"/>
      <c r="U1709" s="88"/>
      <c r="V1709" s="65"/>
    </row>
    <row r="1710">
      <c r="A1710" s="74" t="s">
        <v>3425</v>
      </c>
      <c r="B1710" s="75" t="s">
        <v>129</v>
      </c>
      <c r="C1710" s="76"/>
      <c r="D1710" s="76" t="str">
        <f t="shared" ref="D1710:D1713" si="131">IF(E1710&gt;TODAY(),"Coming Soon",IF(F1710="","Active",IF(F1710&gt;TODAY(),"Leaving Soon","Removed")))</f>
        <v>Removed</v>
      </c>
      <c r="E1710" s="218">
        <v>43888.0</v>
      </c>
      <c r="F1710" s="105">
        <v>44074.0</v>
      </c>
      <c r="G1710" s="79">
        <f t="shared" si="2"/>
        <v>6.1</v>
      </c>
      <c r="H1710" s="90">
        <v>42660.0</v>
      </c>
      <c r="I1710" s="79">
        <f t="shared" si="3"/>
        <v>3.361111111</v>
      </c>
      <c r="J1710" s="106">
        <v>80.0</v>
      </c>
      <c r="K1710" s="106">
        <v>2.5</v>
      </c>
      <c r="L1710" s="82" t="s">
        <v>289</v>
      </c>
      <c r="M1710" s="83"/>
      <c r="N1710" s="83"/>
      <c r="O1710" s="83"/>
      <c r="P1710" s="219"/>
      <c r="Q1710" s="83"/>
      <c r="R1710" s="76"/>
      <c r="S1710" s="90"/>
      <c r="T1710" s="79"/>
      <c r="U1710" s="90"/>
      <c r="V1710" s="79"/>
    </row>
    <row r="1711">
      <c r="A1711" s="207" t="s">
        <v>3426</v>
      </c>
      <c r="B1711" s="54" t="s">
        <v>35</v>
      </c>
      <c r="C1711" s="59"/>
      <c r="D1711" s="59" t="str">
        <f t="shared" si="131"/>
        <v>Removed</v>
      </c>
      <c r="E1711" s="133">
        <v>43714.0</v>
      </c>
      <c r="F1711" s="120">
        <v>44074.0</v>
      </c>
      <c r="G1711" s="65">
        <f t="shared" si="2"/>
        <v>11.8</v>
      </c>
      <c r="H1711" s="88">
        <v>43714.0</v>
      </c>
      <c r="I1711" s="65">
        <f t="shared" si="3"/>
        <v>0</v>
      </c>
      <c r="J1711" s="208">
        <v>78.0</v>
      </c>
      <c r="K1711" s="121">
        <v>4.0</v>
      </c>
      <c r="L1711" s="69" t="s">
        <v>41</v>
      </c>
      <c r="M1711" s="91"/>
      <c r="N1711" s="91"/>
      <c r="O1711" s="91"/>
      <c r="P1711" s="134"/>
      <c r="Q1711" s="91"/>
      <c r="R1711" s="59"/>
      <c r="S1711" s="88"/>
      <c r="T1711" s="65"/>
      <c r="U1711" s="88"/>
      <c r="V1711" s="65"/>
    </row>
    <row r="1712">
      <c r="A1712" s="226" t="s">
        <v>3427</v>
      </c>
      <c r="B1712" s="75" t="s">
        <v>129</v>
      </c>
      <c r="C1712" s="76"/>
      <c r="D1712" s="76" t="str">
        <f t="shared" si="131"/>
        <v>Removed</v>
      </c>
      <c r="E1712" s="218">
        <v>43713.0</v>
      </c>
      <c r="F1712" s="105">
        <v>44074.0</v>
      </c>
      <c r="G1712" s="79">
        <f t="shared" si="2"/>
        <v>11.83333333</v>
      </c>
      <c r="H1712" s="90">
        <v>40855.0</v>
      </c>
      <c r="I1712" s="79">
        <f t="shared" si="3"/>
        <v>7.825</v>
      </c>
      <c r="J1712" s="216">
        <v>90.0</v>
      </c>
      <c r="K1712" s="106">
        <v>53.5</v>
      </c>
      <c r="L1712" s="83" t="s">
        <v>41</v>
      </c>
      <c r="M1712" s="83"/>
      <c r="N1712" s="83"/>
      <c r="O1712" s="83"/>
      <c r="P1712" s="219"/>
      <c r="Q1712" s="83"/>
      <c r="R1712" s="76"/>
      <c r="S1712" s="90"/>
      <c r="T1712" s="79"/>
      <c r="U1712" s="90"/>
      <c r="V1712" s="79"/>
    </row>
    <row r="1713">
      <c r="A1713" s="53" t="s">
        <v>3428</v>
      </c>
      <c r="B1713" s="54" t="s">
        <v>129</v>
      </c>
      <c r="C1713" s="59"/>
      <c r="D1713" s="59" t="str">
        <f t="shared" si="131"/>
        <v>Removed</v>
      </c>
      <c r="E1713" s="133">
        <v>43344.0</v>
      </c>
      <c r="F1713" s="120">
        <v>44074.0</v>
      </c>
      <c r="G1713" s="65">
        <f t="shared" si="2"/>
        <v>23.96666667</v>
      </c>
      <c r="H1713" s="88">
        <v>41205.0</v>
      </c>
      <c r="I1713" s="65">
        <f t="shared" si="3"/>
        <v>5.855555556</v>
      </c>
      <c r="J1713" s="208">
        <v>80.0</v>
      </c>
      <c r="K1713" s="121">
        <v>7.0</v>
      </c>
      <c r="L1713" s="91" t="s">
        <v>57</v>
      </c>
      <c r="M1713" s="91"/>
      <c r="N1713" s="91"/>
      <c r="O1713" s="91"/>
      <c r="P1713" s="134"/>
      <c r="Q1713" s="91"/>
      <c r="R1713" s="59"/>
      <c r="S1713" s="88"/>
      <c r="T1713" s="65"/>
      <c r="U1713" s="88"/>
      <c r="V1713" s="65"/>
    </row>
    <row r="1714">
      <c r="A1714" s="74" t="s">
        <v>3429</v>
      </c>
      <c r="B1714" s="75" t="s">
        <v>2984</v>
      </c>
      <c r="C1714" s="76"/>
      <c r="D1714" s="76" t="s">
        <v>2985</v>
      </c>
      <c r="E1714" s="218">
        <v>44044.0</v>
      </c>
      <c r="F1714" s="77">
        <v>44058.0</v>
      </c>
      <c r="G1714" s="79">
        <f t="shared" si="2"/>
        <v>0.4666666667</v>
      </c>
      <c r="H1714" s="90">
        <v>38034.0</v>
      </c>
      <c r="I1714" s="79">
        <f t="shared" si="3"/>
        <v>16.45555556</v>
      </c>
      <c r="J1714" s="106">
        <v>84.0</v>
      </c>
      <c r="K1714" s="106">
        <v>10.0</v>
      </c>
      <c r="L1714" s="82" t="s">
        <v>55</v>
      </c>
      <c r="M1714" s="82" t="s">
        <v>72</v>
      </c>
      <c r="N1714" s="82" t="s">
        <v>2761</v>
      </c>
      <c r="O1714" s="82"/>
      <c r="P1714" s="107"/>
      <c r="Q1714" s="82"/>
      <c r="R1714" s="76"/>
      <c r="S1714" s="90"/>
      <c r="T1714" s="79"/>
      <c r="U1714" s="90"/>
      <c r="V1714" s="79"/>
    </row>
    <row r="1715">
      <c r="A1715" s="53" t="s">
        <v>3430</v>
      </c>
      <c r="B1715" s="54" t="s">
        <v>2759</v>
      </c>
      <c r="C1715" s="59"/>
      <c r="D1715" s="59" t="s">
        <v>2760</v>
      </c>
      <c r="E1715" s="133">
        <v>44028.0</v>
      </c>
      <c r="F1715" s="61">
        <v>44058.0</v>
      </c>
      <c r="G1715" s="65">
        <f t="shared" si="2"/>
        <v>0.9666666667</v>
      </c>
      <c r="H1715" s="88">
        <v>44022.0</v>
      </c>
      <c r="I1715" s="65">
        <f t="shared" si="3"/>
        <v>0.01666666667</v>
      </c>
      <c r="J1715" s="121">
        <v>68.0</v>
      </c>
      <c r="K1715" s="121">
        <v>3.0</v>
      </c>
      <c r="L1715" s="69" t="s">
        <v>62</v>
      </c>
      <c r="M1715" s="69"/>
      <c r="N1715" s="69"/>
      <c r="O1715" s="69"/>
      <c r="P1715" s="122"/>
      <c r="Q1715" s="69"/>
      <c r="R1715" s="59"/>
      <c r="S1715" s="88"/>
      <c r="T1715" s="65"/>
      <c r="U1715" s="88"/>
      <c r="V1715" s="65"/>
    </row>
    <row r="1716">
      <c r="A1716" s="226" t="s">
        <v>3431</v>
      </c>
      <c r="B1716" s="75" t="s">
        <v>129</v>
      </c>
      <c r="C1716" s="76"/>
      <c r="D1716" s="76" t="str">
        <f t="shared" ref="D1716:D1719" si="132">IF(E1716&gt;TODAY(),"Coming Soon",IF(F1716="","Active",IF(F1716&gt;TODAY(),"Leaving Soon","Removed")))</f>
        <v>Removed</v>
      </c>
      <c r="E1716" s="218">
        <v>43696.0</v>
      </c>
      <c r="F1716" s="105">
        <v>44057.0</v>
      </c>
      <c r="G1716" s="79">
        <f t="shared" si="2"/>
        <v>11.83333333</v>
      </c>
      <c r="H1716" s="90">
        <v>43532.0</v>
      </c>
      <c r="I1716" s="79">
        <f t="shared" si="3"/>
        <v>0.4472222222</v>
      </c>
      <c r="J1716" s="216">
        <v>87.0</v>
      </c>
      <c r="K1716" s="106">
        <v>11.0</v>
      </c>
      <c r="L1716" s="83" t="s">
        <v>105</v>
      </c>
      <c r="M1716" s="83"/>
      <c r="N1716" s="83"/>
      <c r="O1716" s="83"/>
      <c r="P1716" s="219"/>
      <c r="Q1716" s="83"/>
      <c r="R1716" s="76"/>
      <c r="S1716" s="90"/>
      <c r="T1716" s="79"/>
      <c r="U1716" s="90"/>
      <c r="V1716" s="79"/>
    </row>
    <row r="1717">
      <c r="A1717" s="207" t="s">
        <v>3432</v>
      </c>
      <c r="B1717" s="59" t="s">
        <v>13</v>
      </c>
      <c r="C1717" s="59"/>
      <c r="D1717" s="59" t="str">
        <f t="shared" si="132"/>
        <v>Removed</v>
      </c>
      <c r="E1717" s="133">
        <v>43685.0</v>
      </c>
      <c r="F1717" s="120">
        <v>44057.0</v>
      </c>
      <c r="G1717" s="65">
        <f t="shared" si="2"/>
        <v>12.2</v>
      </c>
      <c r="H1717" s="88">
        <v>43382.0</v>
      </c>
      <c r="I1717" s="65">
        <f t="shared" si="3"/>
        <v>0.8305555556</v>
      </c>
      <c r="J1717" s="208">
        <v>73.0</v>
      </c>
      <c r="K1717" s="121">
        <v>21.0</v>
      </c>
      <c r="L1717" s="91" t="s">
        <v>81</v>
      </c>
      <c r="M1717" s="91"/>
      <c r="N1717" s="91"/>
      <c r="O1717" s="91"/>
      <c r="P1717" s="134"/>
      <c r="Q1717" s="91"/>
      <c r="R1717" s="54"/>
      <c r="S1717" s="88"/>
      <c r="T1717" s="65"/>
      <c r="U1717" s="88"/>
      <c r="V1717" s="65"/>
    </row>
    <row r="1718">
      <c r="A1718" s="226" t="s">
        <v>3433</v>
      </c>
      <c r="B1718" s="76" t="s">
        <v>13</v>
      </c>
      <c r="C1718" s="76"/>
      <c r="D1718" s="76" t="str">
        <f t="shared" si="132"/>
        <v>Removed</v>
      </c>
      <c r="E1718" s="218">
        <v>43685.0</v>
      </c>
      <c r="F1718" s="105">
        <v>44057.0</v>
      </c>
      <c r="G1718" s="79">
        <f t="shared" si="2"/>
        <v>12.2</v>
      </c>
      <c r="H1718" s="90">
        <v>43159.0</v>
      </c>
      <c r="I1718" s="79">
        <f t="shared" si="3"/>
        <v>1.444444444</v>
      </c>
      <c r="J1718" s="216">
        <v>74.0</v>
      </c>
      <c r="K1718" s="106">
        <v>17.5</v>
      </c>
      <c r="L1718" s="83" t="s">
        <v>135</v>
      </c>
      <c r="M1718" s="83"/>
      <c r="N1718" s="83"/>
      <c r="O1718" s="83"/>
      <c r="P1718" s="219"/>
      <c r="Q1718" s="83"/>
      <c r="R1718" s="75"/>
      <c r="S1718" s="90"/>
      <c r="T1718" s="79"/>
      <c r="U1718" s="90"/>
      <c r="V1718" s="79"/>
    </row>
    <row r="1719">
      <c r="A1719" s="207" t="s">
        <v>3434</v>
      </c>
      <c r="B1719" s="54" t="s">
        <v>35</v>
      </c>
      <c r="C1719" s="59"/>
      <c r="D1719" s="59" t="str">
        <f t="shared" si="132"/>
        <v>Removed</v>
      </c>
      <c r="E1719" s="133">
        <v>43538.0</v>
      </c>
      <c r="F1719" s="120">
        <v>44044.0</v>
      </c>
      <c r="G1719" s="65">
        <f t="shared" si="2"/>
        <v>16.56666667</v>
      </c>
      <c r="H1719" s="88">
        <v>43336.0</v>
      </c>
      <c r="I1719" s="65">
        <f t="shared" si="3"/>
        <v>0.5555555556</v>
      </c>
      <c r="J1719" s="208">
        <v>84.0</v>
      </c>
      <c r="K1719" s="121">
        <v>25.5</v>
      </c>
      <c r="L1719" s="69" t="s">
        <v>55</v>
      </c>
      <c r="M1719" s="91"/>
      <c r="N1719" s="91"/>
      <c r="O1719" s="91"/>
      <c r="P1719" s="134"/>
      <c r="Q1719" s="91"/>
      <c r="R1719" s="59"/>
      <c r="S1719" s="88"/>
      <c r="T1719" s="65"/>
      <c r="U1719" s="88"/>
      <c r="V1719" s="65"/>
    </row>
    <row r="1720">
      <c r="A1720" s="74" t="s">
        <v>3435</v>
      </c>
      <c r="B1720" s="75" t="s">
        <v>2984</v>
      </c>
      <c r="C1720" s="76"/>
      <c r="D1720" s="76" t="s">
        <v>2985</v>
      </c>
      <c r="E1720" s="218">
        <v>44028.0</v>
      </c>
      <c r="F1720" s="77">
        <v>44043.0</v>
      </c>
      <c r="G1720" s="79">
        <f t="shared" si="2"/>
        <v>0.4666666667</v>
      </c>
      <c r="H1720" s="90">
        <v>41982.0</v>
      </c>
      <c r="I1720" s="79">
        <f t="shared" si="3"/>
        <v>5.602777778</v>
      </c>
      <c r="J1720" s="106">
        <v>73.0</v>
      </c>
      <c r="K1720" s="106">
        <v>5.0</v>
      </c>
      <c r="L1720" s="82" t="s">
        <v>57</v>
      </c>
      <c r="M1720" s="82"/>
      <c r="N1720" s="82" t="s">
        <v>2761</v>
      </c>
      <c r="O1720" s="82"/>
      <c r="P1720" s="107"/>
      <c r="Q1720" s="82"/>
      <c r="R1720" s="76"/>
      <c r="S1720" s="90"/>
      <c r="T1720" s="79"/>
      <c r="U1720" s="90"/>
      <c r="V1720" s="79"/>
    </row>
    <row r="1721">
      <c r="A1721" s="53" t="s">
        <v>3436</v>
      </c>
      <c r="B1721" s="54" t="s">
        <v>2759</v>
      </c>
      <c r="C1721" s="59"/>
      <c r="D1721" s="59" t="s">
        <v>2760</v>
      </c>
      <c r="E1721" s="133">
        <v>44013.0</v>
      </c>
      <c r="F1721" s="61">
        <v>44043.0</v>
      </c>
      <c r="G1721" s="65">
        <f t="shared" si="2"/>
        <v>0.9666666667</v>
      </c>
      <c r="H1721" s="88">
        <v>43718.0</v>
      </c>
      <c r="I1721" s="65">
        <f t="shared" si="3"/>
        <v>0.8083333333</v>
      </c>
      <c r="J1721" s="121">
        <v>78.0</v>
      </c>
      <c r="K1721" s="121">
        <v>21.0</v>
      </c>
      <c r="L1721" s="69" t="s">
        <v>55</v>
      </c>
      <c r="M1721" s="69"/>
      <c r="N1721" s="69"/>
      <c r="O1721" s="69"/>
      <c r="P1721" s="122"/>
      <c r="Q1721" s="69"/>
      <c r="R1721" s="59"/>
      <c r="S1721" s="88"/>
      <c r="T1721" s="65"/>
      <c r="U1721" s="88"/>
      <c r="V1721" s="65"/>
    </row>
    <row r="1722">
      <c r="A1722" s="226" t="s">
        <v>3437</v>
      </c>
      <c r="B1722" s="75" t="s">
        <v>129</v>
      </c>
      <c r="C1722" s="76"/>
      <c r="D1722" s="76" t="str">
        <f t="shared" ref="D1722:D1724" si="133">IF(E1722&gt;TODAY(),"Coming Soon",IF(F1722="","Active",IF(F1722&gt;TODAY(),"Leaving Soon","Removed")))</f>
        <v>Removed</v>
      </c>
      <c r="E1722" s="218">
        <v>43678.0</v>
      </c>
      <c r="F1722" s="105">
        <v>44043.0</v>
      </c>
      <c r="G1722" s="79">
        <f t="shared" si="2"/>
        <v>11.96666667</v>
      </c>
      <c r="H1722" s="90">
        <v>43085.0</v>
      </c>
      <c r="I1722" s="79">
        <f t="shared" si="3"/>
        <v>1.625</v>
      </c>
      <c r="J1722" s="216">
        <v>79.0</v>
      </c>
      <c r="K1722" s="106">
        <v>23.0</v>
      </c>
      <c r="L1722" s="82" t="s">
        <v>62</v>
      </c>
      <c r="M1722" s="83"/>
      <c r="N1722" s="83"/>
      <c r="O1722" s="83"/>
      <c r="P1722" s="219"/>
      <c r="Q1722" s="83"/>
      <c r="R1722" s="76"/>
      <c r="S1722" s="90"/>
      <c r="T1722" s="79"/>
      <c r="U1722" s="90"/>
      <c r="V1722" s="79"/>
    </row>
    <row r="1723">
      <c r="A1723" s="207" t="s">
        <v>3438</v>
      </c>
      <c r="B1723" s="54" t="s">
        <v>35</v>
      </c>
      <c r="C1723" s="59"/>
      <c r="D1723" s="59" t="str">
        <f t="shared" si="133"/>
        <v>Removed</v>
      </c>
      <c r="E1723" s="133">
        <v>43664.0</v>
      </c>
      <c r="F1723" s="120">
        <v>44043.0</v>
      </c>
      <c r="G1723" s="65">
        <f t="shared" si="2"/>
        <v>12.4</v>
      </c>
      <c r="H1723" s="88">
        <v>43305.0</v>
      </c>
      <c r="I1723" s="65">
        <f t="shared" si="3"/>
        <v>0.9833333333</v>
      </c>
      <c r="J1723" s="208">
        <v>88.0</v>
      </c>
      <c r="K1723" s="121">
        <v>9.0</v>
      </c>
      <c r="L1723" s="91" t="s">
        <v>81</v>
      </c>
      <c r="M1723" s="91"/>
      <c r="N1723" s="91"/>
      <c r="O1723" s="91"/>
      <c r="P1723" s="134"/>
      <c r="Q1723" s="91"/>
      <c r="R1723" s="59"/>
      <c r="S1723" s="88"/>
      <c r="T1723" s="65"/>
      <c r="U1723" s="88"/>
      <c r="V1723" s="65"/>
    </row>
    <row r="1724">
      <c r="A1724" s="226" t="s">
        <v>3439</v>
      </c>
      <c r="B1724" s="75" t="s">
        <v>35</v>
      </c>
      <c r="C1724" s="76"/>
      <c r="D1724" s="76" t="str">
        <f t="shared" si="133"/>
        <v>Removed</v>
      </c>
      <c r="E1724" s="218">
        <v>43132.0</v>
      </c>
      <c r="F1724" s="105">
        <v>44043.0</v>
      </c>
      <c r="G1724" s="79">
        <f t="shared" si="2"/>
        <v>29.96666667</v>
      </c>
      <c r="H1724" s="90">
        <v>42881.0</v>
      </c>
      <c r="I1724" s="79">
        <f t="shared" si="3"/>
        <v>0.6805555556</v>
      </c>
      <c r="J1724" s="216">
        <v>82.0</v>
      </c>
      <c r="K1724" s="106">
        <v>5.5</v>
      </c>
      <c r="L1724" s="82" t="s">
        <v>57</v>
      </c>
      <c r="M1724" s="83"/>
      <c r="N1724" s="83"/>
      <c r="O1724" s="83"/>
      <c r="P1724" s="219"/>
      <c r="Q1724" s="83"/>
      <c r="R1724" s="76"/>
      <c r="S1724" s="90"/>
      <c r="T1724" s="79"/>
      <c r="U1724" s="90"/>
      <c r="V1724" s="79"/>
    </row>
    <row r="1725">
      <c r="A1725" s="53" t="s">
        <v>3032</v>
      </c>
      <c r="B1725" s="54" t="s">
        <v>2984</v>
      </c>
      <c r="C1725" s="59"/>
      <c r="D1725" s="59" t="s">
        <v>2985</v>
      </c>
      <c r="E1725" s="133">
        <v>44013.0</v>
      </c>
      <c r="F1725" s="61">
        <v>44027.0</v>
      </c>
      <c r="G1725" s="65">
        <f t="shared" si="2"/>
        <v>0.4666666667</v>
      </c>
      <c r="H1725" s="88">
        <v>39735.0</v>
      </c>
      <c r="I1725" s="65">
        <f t="shared" si="3"/>
        <v>11.71388889</v>
      </c>
      <c r="J1725" s="121">
        <v>82.0</v>
      </c>
      <c r="K1725" s="121">
        <v>20.0</v>
      </c>
      <c r="L1725" s="69" t="s">
        <v>41</v>
      </c>
      <c r="M1725" s="69"/>
      <c r="N1725" s="69" t="s">
        <v>2761</v>
      </c>
      <c r="O1725" s="69"/>
      <c r="P1725" s="122"/>
      <c r="Q1725" s="69"/>
      <c r="R1725" s="59"/>
      <c r="S1725" s="88"/>
      <c r="T1725" s="65"/>
      <c r="U1725" s="88"/>
      <c r="V1725" s="65"/>
    </row>
    <row r="1726">
      <c r="A1726" s="74" t="s">
        <v>2718</v>
      </c>
      <c r="B1726" s="75" t="s">
        <v>2759</v>
      </c>
      <c r="C1726" s="76"/>
      <c r="D1726" s="76" t="s">
        <v>2760</v>
      </c>
      <c r="E1726" s="218">
        <v>43998.0</v>
      </c>
      <c r="F1726" s="77">
        <v>44027.0</v>
      </c>
      <c r="G1726" s="79">
        <f t="shared" si="2"/>
        <v>0.9666666667</v>
      </c>
      <c r="H1726" s="90">
        <v>43859.0</v>
      </c>
      <c r="I1726" s="79">
        <f t="shared" si="3"/>
        <v>0.3805555556</v>
      </c>
      <c r="J1726" s="106">
        <v>78.0</v>
      </c>
      <c r="K1726" s="106">
        <v>5.0</v>
      </c>
      <c r="L1726" s="82" t="s">
        <v>64</v>
      </c>
      <c r="M1726" s="82"/>
      <c r="N1726" s="82"/>
      <c r="O1726" s="82"/>
      <c r="P1726" s="107"/>
      <c r="Q1726" s="82"/>
      <c r="R1726" s="76"/>
      <c r="S1726" s="90"/>
      <c r="T1726" s="79"/>
      <c r="U1726" s="90"/>
      <c r="V1726" s="79"/>
    </row>
    <row r="1727">
      <c r="A1727" s="207" t="s">
        <v>3440</v>
      </c>
      <c r="B1727" s="54" t="s">
        <v>129</v>
      </c>
      <c r="C1727" s="59"/>
      <c r="D1727" s="59" t="str">
        <f t="shared" ref="D1727:D1731" si="134">IF(E1727&gt;TODAY(),"Coming Soon",IF(F1727="","Active",IF(F1727&gt;TODAY(),"Leaving Soon","Removed")))</f>
        <v>Removed</v>
      </c>
      <c r="E1727" s="133">
        <v>43664.0</v>
      </c>
      <c r="F1727" s="120">
        <v>44027.0</v>
      </c>
      <c r="G1727" s="65">
        <f t="shared" si="2"/>
        <v>11.9</v>
      </c>
      <c r="H1727" s="88">
        <v>42248.0</v>
      </c>
      <c r="I1727" s="65">
        <f t="shared" si="3"/>
        <v>3.880555556</v>
      </c>
      <c r="J1727" s="208">
        <v>95.0</v>
      </c>
      <c r="K1727" s="121">
        <v>46.0</v>
      </c>
      <c r="L1727" s="69" t="s">
        <v>37</v>
      </c>
      <c r="M1727" s="91"/>
      <c r="N1727" s="91"/>
      <c r="O1727" s="91"/>
      <c r="P1727" s="134"/>
      <c r="Q1727" s="91"/>
      <c r="R1727" s="59"/>
      <c r="S1727" s="88"/>
      <c r="T1727" s="65"/>
      <c r="U1727" s="88"/>
      <c r="V1727" s="65"/>
    </row>
    <row r="1728">
      <c r="A1728" s="226" t="s">
        <v>3441</v>
      </c>
      <c r="B1728" s="75" t="s">
        <v>35</v>
      </c>
      <c r="C1728" s="76"/>
      <c r="D1728" s="76" t="str">
        <f t="shared" si="134"/>
        <v>Removed</v>
      </c>
      <c r="E1728" s="218">
        <v>43657.0</v>
      </c>
      <c r="F1728" s="105">
        <v>44027.0</v>
      </c>
      <c r="G1728" s="79">
        <f t="shared" si="2"/>
        <v>12.13333333</v>
      </c>
      <c r="H1728" s="90">
        <v>43657.0</v>
      </c>
      <c r="I1728" s="79">
        <f t="shared" si="3"/>
        <v>0</v>
      </c>
      <c r="J1728" s="216">
        <v>82.0</v>
      </c>
      <c r="K1728" s="106">
        <v>2.0</v>
      </c>
      <c r="L1728" s="83" t="s">
        <v>105</v>
      </c>
      <c r="M1728" s="83"/>
      <c r="N1728" s="83"/>
      <c r="O1728" s="83"/>
      <c r="P1728" s="219"/>
      <c r="Q1728" s="83"/>
      <c r="R1728" s="76"/>
      <c r="S1728" s="90"/>
      <c r="T1728" s="79"/>
      <c r="U1728" s="90"/>
      <c r="V1728" s="79"/>
    </row>
    <row r="1729">
      <c r="A1729" s="207" t="s">
        <v>3442</v>
      </c>
      <c r="B1729" s="54" t="s">
        <v>35</v>
      </c>
      <c r="C1729" s="59"/>
      <c r="D1729" s="59" t="str">
        <f t="shared" si="134"/>
        <v>Removed</v>
      </c>
      <c r="E1729" s="133">
        <v>43657.0</v>
      </c>
      <c r="F1729" s="120">
        <v>44027.0</v>
      </c>
      <c r="G1729" s="65">
        <f t="shared" si="2"/>
        <v>12.13333333</v>
      </c>
      <c r="H1729" s="88">
        <v>42710.0</v>
      </c>
      <c r="I1729" s="65">
        <f t="shared" si="3"/>
        <v>2.597222222</v>
      </c>
      <c r="J1729" s="208">
        <v>72.0</v>
      </c>
      <c r="K1729" s="121">
        <v>10.5</v>
      </c>
      <c r="L1729" s="91" t="s">
        <v>41</v>
      </c>
      <c r="M1729" s="91"/>
      <c r="N1729" s="91"/>
      <c r="O1729" s="91"/>
      <c r="P1729" s="134"/>
      <c r="Q1729" s="91"/>
      <c r="R1729" s="59"/>
      <c r="S1729" s="88"/>
      <c r="T1729" s="65"/>
      <c r="U1729" s="88"/>
      <c r="V1729" s="65"/>
    </row>
    <row r="1730">
      <c r="A1730" s="226" t="s">
        <v>3443</v>
      </c>
      <c r="B1730" s="75" t="s">
        <v>35</v>
      </c>
      <c r="C1730" s="76"/>
      <c r="D1730" s="76" t="str">
        <f t="shared" si="134"/>
        <v>Removed</v>
      </c>
      <c r="E1730" s="218">
        <v>43657.0</v>
      </c>
      <c r="F1730" s="105">
        <v>44027.0</v>
      </c>
      <c r="G1730" s="79">
        <f t="shared" si="2"/>
        <v>12.13333333</v>
      </c>
      <c r="H1730" s="90">
        <v>43368.0</v>
      </c>
      <c r="I1730" s="79">
        <f t="shared" si="3"/>
        <v>0.7944444444</v>
      </c>
      <c r="J1730" s="106">
        <f>ROUND((73+74)/2,)</f>
        <v>74</v>
      </c>
      <c r="K1730" s="106">
        <v>6.0</v>
      </c>
      <c r="L1730" s="82" t="s">
        <v>57</v>
      </c>
      <c r="M1730" s="82"/>
      <c r="N1730" s="82"/>
      <c r="O1730" s="82"/>
      <c r="P1730" s="107"/>
      <c r="Q1730" s="82"/>
      <c r="R1730" s="76"/>
      <c r="S1730" s="90"/>
      <c r="T1730" s="79"/>
      <c r="U1730" s="90"/>
      <c r="V1730" s="79"/>
    </row>
    <row r="1731">
      <c r="A1731" s="207" t="s">
        <v>3444</v>
      </c>
      <c r="B1731" s="59" t="s">
        <v>13</v>
      </c>
      <c r="C1731" s="59"/>
      <c r="D1731" s="59" t="str">
        <f t="shared" si="134"/>
        <v>Removed</v>
      </c>
      <c r="E1731" s="133">
        <v>43657.0</v>
      </c>
      <c r="F1731" s="120">
        <v>44027.0</v>
      </c>
      <c r="G1731" s="65">
        <f t="shared" si="2"/>
        <v>12.13333333</v>
      </c>
      <c r="H1731" s="88">
        <v>43320.0</v>
      </c>
      <c r="I1731" s="65">
        <f t="shared" si="3"/>
        <v>0.925</v>
      </c>
      <c r="J1731" s="208">
        <v>87.0</v>
      </c>
      <c r="K1731" s="121">
        <v>9.0</v>
      </c>
      <c r="L1731" s="69" t="s">
        <v>46</v>
      </c>
      <c r="M1731" s="69"/>
      <c r="N1731" s="69"/>
      <c r="O1731" s="69"/>
      <c r="P1731" s="122"/>
      <c r="Q1731" s="69"/>
      <c r="R1731" s="54"/>
      <c r="S1731" s="88"/>
      <c r="T1731" s="65"/>
      <c r="U1731" s="88"/>
      <c r="V1731" s="65"/>
    </row>
    <row r="1732">
      <c r="A1732" s="74" t="s">
        <v>3445</v>
      </c>
      <c r="B1732" s="75" t="s">
        <v>2984</v>
      </c>
      <c r="C1732" s="76"/>
      <c r="D1732" s="76" t="s">
        <v>2985</v>
      </c>
      <c r="E1732" s="218">
        <v>43998.0</v>
      </c>
      <c r="F1732" s="77">
        <v>44012.0</v>
      </c>
      <c r="G1732" s="79">
        <f t="shared" si="2"/>
        <v>0.4666666667</v>
      </c>
      <c r="H1732" s="90">
        <v>41222.0</v>
      </c>
      <c r="I1732" s="79">
        <f t="shared" si="3"/>
        <v>7.602777778</v>
      </c>
      <c r="J1732" s="106">
        <v>82.0</v>
      </c>
      <c r="K1732" s="106">
        <v>3.0</v>
      </c>
      <c r="L1732" s="82" t="s">
        <v>37</v>
      </c>
      <c r="M1732" s="82"/>
      <c r="N1732" s="82" t="s">
        <v>2761</v>
      </c>
      <c r="O1732" s="82"/>
      <c r="P1732" s="107"/>
      <c r="Q1732" s="82"/>
      <c r="R1732" s="76"/>
      <c r="S1732" s="90"/>
      <c r="T1732" s="79"/>
      <c r="U1732" s="90"/>
      <c r="V1732" s="79"/>
    </row>
    <row r="1733">
      <c r="A1733" s="53" t="s">
        <v>3446</v>
      </c>
      <c r="B1733" s="54" t="s">
        <v>2759</v>
      </c>
      <c r="C1733" s="59"/>
      <c r="D1733" s="59" t="s">
        <v>2760</v>
      </c>
      <c r="E1733" s="133">
        <v>43983.0</v>
      </c>
      <c r="F1733" s="61">
        <v>44012.0</v>
      </c>
      <c r="G1733" s="65">
        <f t="shared" si="2"/>
        <v>0.9666666667</v>
      </c>
      <c r="H1733" s="88">
        <v>41935.0</v>
      </c>
      <c r="I1733" s="65">
        <f t="shared" si="3"/>
        <v>5.605555556</v>
      </c>
      <c r="J1733" s="121">
        <v>82.0</v>
      </c>
      <c r="K1733" s="121">
        <v>5.0</v>
      </c>
      <c r="L1733" s="69" t="s">
        <v>41</v>
      </c>
      <c r="M1733" s="69"/>
      <c r="N1733" s="69"/>
      <c r="O1733" s="69"/>
      <c r="P1733" s="122"/>
      <c r="Q1733" s="69"/>
      <c r="R1733" s="59"/>
      <c r="S1733" s="88"/>
      <c r="T1733" s="65"/>
      <c r="U1733" s="88"/>
      <c r="V1733" s="65"/>
    </row>
    <row r="1734">
      <c r="A1734" s="226" t="s">
        <v>3447</v>
      </c>
      <c r="B1734" s="76" t="s">
        <v>13</v>
      </c>
      <c r="C1734" s="76"/>
      <c r="D1734" s="76" t="str">
        <f t="shared" ref="D1734:D1741" si="135">IF(E1734&gt;TODAY(),"Coming Soon",IF(F1734="","Active",IF(F1734&gt;TODAY(),"Leaving Soon","Removed")))</f>
        <v>Removed</v>
      </c>
      <c r="E1734" s="218">
        <v>43625.0</v>
      </c>
      <c r="F1734" s="105">
        <v>44012.0</v>
      </c>
      <c r="G1734" s="79">
        <f t="shared" si="2"/>
        <v>12.7</v>
      </c>
      <c r="H1734" s="90">
        <v>42481.0</v>
      </c>
      <c r="I1734" s="79">
        <f t="shared" si="3"/>
        <v>3.133333333</v>
      </c>
      <c r="J1734" s="216">
        <v>77.0</v>
      </c>
      <c r="K1734" s="106">
        <v>19.5</v>
      </c>
      <c r="L1734" s="82" t="s">
        <v>81</v>
      </c>
      <c r="M1734" s="83"/>
      <c r="N1734" s="83"/>
      <c r="O1734" s="83"/>
      <c r="P1734" s="219"/>
      <c r="Q1734" s="83"/>
      <c r="R1734" s="75"/>
      <c r="S1734" s="90"/>
      <c r="T1734" s="79"/>
      <c r="U1734" s="90"/>
      <c r="V1734" s="79"/>
    </row>
    <row r="1735">
      <c r="A1735" s="53" t="s">
        <v>3448</v>
      </c>
      <c r="B1735" s="54" t="s">
        <v>35</v>
      </c>
      <c r="C1735" s="59"/>
      <c r="D1735" s="59" t="str">
        <f t="shared" si="135"/>
        <v>Removed</v>
      </c>
      <c r="E1735" s="133">
        <v>43625.0</v>
      </c>
      <c r="F1735" s="120">
        <v>44012.0</v>
      </c>
      <c r="G1735" s="65">
        <f t="shared" si="2"/>
        <v>12.7</v>
      </c>
      <c r="H1735" s="88">
        <v>36237.0</v>
      </c>
      <c r="I1735" s="65">
        <f t="shared" si="3"/>
        <v>20.225</v>
      </c>
      <c r="J1735" s="121">
        <v>61.0</v>
      </c>
      <c r="K1735" s="121">
        <v>1.0</v>
      </c>
      <c r="L1735" s="91" t="s">
        <v>37</v>
      </c>
      <c r="M1735" s="91"/>
      <c r="N1735" s="91"/>
      <c r="O1735" s="91"/>
      <c r="P1735" s="134"/>
      <c r="Q1735" s="69" t="s">
        <v>2841</v>
      </c>
      <c r="R1735" s="59"/>
      <c r="S1735" s="88"/>
      <c r="T1735" s="65"/>
      <c r="U1735" s="88"/>
      <c r="V1735" s="65"/>
    </row>
    <row r="1736">
      <c r="A1736" s="226" t="s">
        <v>3449</v>
      </c>
      <c r="B1736" s="75" t="s">
        <v>35</v>
      </c>
      <c r="C1736" s="76"/>
      <c r="D1736" s="76" t="str">
        <f t="shared" si="135"/>
        <v>Removed</v>
      </c>
      <c r="E1736" s="218">
        <v>43625.0</v>
      </c>
      <c r="F1736" s="105">
        <v>44012.0</v>
      </c>
      <c r="G1736" s="79">
        <f t="shared" si="2"/>
        <v>12.7</v>
      </c>
      <c r="H1736" s="90">
        <v>43511.0</v>
      </c>
      <c r="I1736" s="79">
        <f t="shared" si="3"/>
        <v>0.3166666667</v>
      </c>
      <c r="J1736" s="216">
        <v>82.0</v>
      </c>
      <c r="K1736" s="106">
        <v>14.0</v>
      </c>
      <c r="L1736" s="82" t="s">
        <v>37</v>
      </c>
      <c r="M1736" s="83"/>
      <c r="N1736" s="83"/>
      <c r="O1736" s="83"/>
      <c r="P1736" s="219"/>
      <c r="Q1736" s="83"/>
      <c r="R1736" s="76"/>
      <c r="S1736" s="90"/>
      <c r="T1736" s="79"/>
      <c r="U1736" s="90"/>
      <c r="V1736" s="79"/>
    </row>
    <row r="1737">
      <c r="A1737" s="207" t="s">
        <v>3450</v>
      </c>
      <c r="B1737" s="54" t="s">
        <v>35</v>
      </c>
      <c r="C1737" s="59"/>
      <c r="D1737" s="59" t="str">
        <f t="shared" si="135"/>
        <v>Removed</v>
      </c>
      <c r="E1737" s="133">
        <v>43625.0</v>
      </c>
      <c r="F1737" s="120">
        <v>44012.0</v>
      </c>
      <c r="G1737" s="65">
        <f t="shared" si="2"/>
        <v>12.7</v>
      </c>
      <c r="H1737" s="88">
        <v>42488.0</v>
      </c>
      <c r="I1737" s="65">
        <f t="shared" si="3"/>
        <v>3.113888889</v>
      </c>
      <c r="J1737" s="208">
        <v>72.0</v>
      </c>
      <c r="K1737" s="121">
        <v>5.0</v>
      </c>
      <c r="L1737" s="69" t="s">
        <v>37</v>
      </c>
      <c r="M1737" s="91"/>
      <c r="N1737" s="91"/>
      <c r="O1737" s="91"/>
      <c r="P1737" s="134"/>
      <c r="Q1737" s="91"/>
      <c r="R1737" s="59"/>
      <c r="S1737" s="88"/>
      <c r="T1737" s="65"/>
      <c r="U1737" s="88"/>
      <c r="V1737" s="65"/>
    </row>
    <row r="1738">
      <c r="A1738" s="74" t="s">
        <v>3451</v>
      </c>
      <c r="B1738" s="75" t="s">
        <v>129</v>
      </c>
      <c r="C1738" s="76"/>
      <c r="D1738" s="76" t="str">
        <f t="shared" si="135"/>
        <v>Removed</v>
      </c>
      <c r="E1738" s="218">
        <v>43625.0</v>
      </c>
      <c r="F1738" s="105">
        <v>44012.0</v>
      </c>
      <c r="G1738" s="79">
        <f t="shared" si="2"/>
        <v>12.7</v>
      </c>
      <c r="H1738" s="90">
        <v>42710.0</v>
      </c>
      <c r="I1738" s="79">
        <f t="shared" si="3"/>
        <v>2.508333333</v>
      </c>
      <c r="J1738" s="216">
        <v>85.0</v>
      </c>
      <c r="K1738" s="106">
        <v>24.5</v>
      </c>
      <c r="L1738" s="82" t="s">
        <v>81</v>
      </c>
      <c r="M1738" s="83"/>
      <c r="N1738" s="83"/>
      <c r="O1738" s="83"/>
      <c r="P1738" s="219"/>
      <c r="Q1738" s="83"/>
      <c r="R1738" s="76"/>
      <c r="S1738" s="90"/>
      <c r="T1738" s="79"/>
      <c r="U1738" s="90"/>
      <c r="V1738" s="79"/>
    </row>
    <row r="1739">
      <c r="A1739" s="207" t="s">
        <v>3452</v>
      </c>
      <c r="B1739" s="54" t="s">
        <v>129</v>
      </c>
      <c r="C1739" s="59"/>
      <c r="D1739" s="59" t="str">
        <f t="shared" si="135"/>
        <v>Removed</v>
      </c>
      <c r="E1739" s="133">
        <v>43468.0</v>
      </c>
      <c r="F1739" s="120">
        <v>44012.0</v>
      </c>
      <c r="G1739" s="65">
        <f t="shared" si="2"/>
        <v>17.9</v>
      </c>
      <c r="H1739" s="288">
        <v>43370.0</v>
      </c>
      <c r="I1739" s="65">
        <f t="shared" si="3"/>
        <v>0.2666666667</v>
      </c>
      <c r="J1739" s="208">
        <v>75.0</v>
      </c>
      <c r="K1739" s="121">
        <v>16.0</v>
      </c>
      <c r="L1739" s="91" t="s">
        <v>135</v>
      </c>
      <c r="M1739" s="69" t="s">
        <v>1826</v>
      </c>
      <c r="N1739" s="91"/>
      <c r="O1739" s="91"/>
      <c r="P1739" s="134"/>
      <c r="Q1739" s="69" t="s">
        <v>1827</v>
      </c>
      <c r="R1739" s="59"/>
      <c r="S1739" s="88"/>
      <c r="T1739" s="65"/>
      <c r="U1739" s="88"/>
      <c r="V1739" s="65"/>
    </row>
    <row r="1740">
      <c r="A1740" s="226" t="s">
        <v>3453</v>
      </c>
      <c r="B1740" s="76" t="s">
        <v>13</v>
      </c>
      <c r="C1740" s="76"/>
      <c r="D1740" s="76" t="str">
        <f t="shared" si="135"/>
        <v>Removed</v>
      </c>
      <c r="E1740" s="218">
        <v>43249.0</v>
      </c>
      <c r="F1740" s="105">
        <v>44012.0</v>
      </c>
      <c r="G1740" s="79">
        <f t="shared" si="2"/>
        <v>25.03333333</v>
      </c>
      <c r="H1740" s="90">
        <v>43249.0</v>
      </c>
      <c r="I1740" s="79">
        <f t="shared" si="3"/>
        <v>0</v>
      </c>
      <c r="J1740" s="216">
        <v>70.0</v>
      </c>
      <c r="K1740" s="106">
        <v>7.0</v>
      </c>
      <c r="L1740" s="82" t="s">
        <v>105</v>
      </c>
      <c r="M1740" s="83"/>
      <c r="N1740" s="83"/>
      <c r="O1740" s="83"/>
      <c r="P1740" s="219"/>
      <c r="Q1740" s="83"/>
      <c r="R1740" s="75"/>
      <c r="S1740" s="90"/>
      <c r="T1740" s="79"/>
      <c r="U1740" s="90"/>
      <c r="V1740" s="79"/>
    </row>
    <row r="1741">
      <c r="A1741" s="207" t="s">
        <v>3112</v>
      </c>
      <c r="B1741" s="54" t="s">
        <v>35</v>
      </c>
      <c r="C1741" s="59"/>
      <c r="D1741" s="59" t="str">
        <f t="shared" si="135"/>
        <v>Removed</v>
      </c>
      <c r="E1741" s="133">
        <v>42917.0</v>
      </c>
      <c r="F1741" s="120">
        <v>44012.0</v>
      </c>
      <c r="G1741" s="65">
        <f t="shared" si="2"/>
        <v>35.96666667</v>
      </c>
      <c r="H1741" s="88">
        <v>42424.0</v>
      </c>
      <c r="I1741" s="65">
        <f t="shared" si="3"/>
        <v>1.352777778</v>
      </c>
      <c r="J1741" s="208">
        <v>74.0</v>
      </c>
      <c r="K1741" s="121">
        <v>9.0</v>
      </c>
      <c r="L1741" s="91" t="s">
        <v>135</v>
      </c>
      <c r="M1741" s="91"/>
      <c r="N1741" s="91"/>
      <c r="O1741" s="91"/>
      <c r="P1741" s="134"/>
      <c r="Q1741" s="91"/>
      <c r="R1741" s="59"/>
      <c r="S1741" s="88"/>
      <c r="T1741" s="65"/>
      <c r="U1741" s="88"/>
      <c r="V1741" s="65"/>
    </row>
    <row r="1742">
      <c r="A1742" s="74" t="s">
        <v>3454</v>
      </c>
      <c r="B1742" s="75" t="s">
        <v>2984</v>
      </c>
      <c r="C1742" s="76"/>
      <c r="D1742" s="76" t="s">
        <v>2985</v>
      </c>
      <c r="E1742" s="218">
        <v>43983.0</v>
      </c>
      <c r="F1742" s="77">
        <v>43997.0</v>
      </c>
      <c r="G1742" s="79">
        <f t="shared" si="2"/>
        <v>0.4666666667</v>
      </c>
      <c r="H1742" s="90">
        <v>38524.0</v>
      </c>
      <c r="I1742" s="79">
        <f t="shared" si="3"/>
        <v>14.94444444</v>
      </c>
      <c r="J1742" s="106">
        <v>78.0</v>
      </c>
      <c r="K1742" s="106">
        <v>9.0</v>
      </c>
      <c r="L1742" s="82" t="s">
        <v>41</v>
      </c>
      <c r="M1742" s="82" t="s">
        <v>72</v>
      </c>
      <c r="N1742" s="82" t="s">
        <v>2761</v>
      </c>
      <c r="O1742" s="82"/>
      <c r="P1742" s="107"/>
      <c r="Q1742" s="82"/>
      <c r="R1742" s="76"/>
      <c r="S1742" s="90"/>
      <c r="T1742" s="79"/>
      <c r="U1742" s="90"/>
      <c r="V1742" s="79"/>
    </row>
    <row r="1743">
      <c r="A1743" s="53" t="s">
        <v>3455</v>
      </c>
      <c r="B1743" s="54" t="s">
        <v>2759</v>
      </c>
      <c r="C1743" s="59"/>
      <c r="D1743" s="59" t="s">
        <v>2760</v>
      </c>
      <c r="E1743" s="133">
        <v>43967.0</v>
      </c>
      <c r="F1743" s="61">
        <v>43997.0</v>
      </c>
      <c r="G1743" s="65">
        <f t="shared" si="2"/>
        <v>0.9666666667</v>
      </c>
      <c r="H1743" s="88">
        <v>43256.0</v>
      </c>
      <c r="I1743" s="65">
        <f t="shared" si="3"/>
        <v>1.947222222</v>
      </c>
      <c r="J1743" s="121">
        <v>70.0</v>
      </c>
      <c r="K1743" s="121">
        <v>27.0</v>
      </c>
      <c r="L1743" s="69" t="s">
        <v>105</v>
      </c>
      <c r="M1743" s="69"/>
      <c r="N1743" s="69" t="s">
        <v>2761</v>
      </c>
      <c r="O1743" s="69"/>
      <c r="P1743" s="122"/>
      <c r="Q1743" s="69"/>
      <c r="R1743" s="59"/>
      <c r="S1743" s="88"/>
      <c r="T1743" s="65"/>
      <c r="U1743" s="88"/>
      <c r="V1743" s="65"/>
    </row>
    <row r="1744">
      <c r="A1744" s="226" t="s">
        <v>3456</v>
      </c>
      <c r="B1744" s="75" t="s">
        <v>129</v>
      </c>
      <c r="C1744" s="76"/>
      <c r="D1744" s="76" t="str">
        <f t="shared" ref="D1744:D1752" si="136">IF(E1744&gt;TODAY(),"Coming Soon",IF(F1744="","Active",IF(F1744&gt;TODAY(),"Leaving Soon","Removed")))</f>
        <v>Removed</v>
      </c>
      <c r="E1744" s="218">
        <v>43636.0</v>
      </c>
      <c r="F1744" s="105">
        <v>43997.0</v>
      </c>
      <c r="G1744" s="79">
        <f t="shared" si="2"/>
        <v>11.83333333</v>
      </c>
      <c r="H1744" s="90">
        <v>40934.0</v>
      </c>
      <c r="I1744" s="79">
        <f t="shared" si="3"/>
        <v>7.4</v>
      </c>
      <c r="J1744" s="216">
        <v>78.0</v>
      </c>
      <c r="K1744" s="106">
        <v>9.0</v>
      </c>
      <c r="L1744" s="82" t="s">
        <v>37</v>
      </c>
      <c r="M1744" s="83"/>
      <c r="N1744" s="83"/>
      <c r="O1744" s="83"/>
      <c r="P1744" s="219"/>
      <c r="Q1744" s="83"/>
      <c r="R1744" s="76"/>
      <c r="S1744" s="90"/>
      <c r="T1744" s="79"/>
      <c r="U1744" s="90"/>
      <c r="V1744" s="79"/>
    </row>
    <row r="1745">
      <c r="A1745" s="207" t="s">
        <v>3457</v>
      </c>
      <c r="B1745" s="59" t="s">
        <v>13</v>
      </c>
      <c r="C1745" s="59"/>
      <c r="D1745" s="59" t="str">
        <f t="shared" si="136"/>
        <v>Removed</v>
      </c>
      <c r="E1745" s="133">
        <v>43625.0</v>
      </c>
      <c r="F1745" s="120">
        <v>43997.0</v>
      </c>
      <c r="G1745" s="65">
        <f t="shared" si="2"/>
        <v>12.2</v>
      </c>
      <c r="H1745" s="88">
        <v>43447.0</v>
      </c>
      <c r="I1745" s="65">
        <f t="shared" si="3"/>
        <v>0.4888888889</v>
      </c>
      <c r="J1745" s="208">
        <v>73.0</v>
      </c>
      <c r="K1745" s="121">
        <v>9.5</v>
      </c>
      <c r="L1745" s="69" t="s">
        <v>46</v>
      </c>
      <c r="M1745" s="91"/>
      <c r="N1745" s="91"/>
      <c r="O1745" s="91"/>
      <c r="P1745" s="134"/>
      <c r="Q1745" s="91"/>
      <c r="R1745" s="54"/>
      <c r="S1745" s="88"/>
      <c r="T1745" s="65"/>
      <c r="U1745" s="88"/>
      <c r="V1745" s="65"/>
    </row>
    <row r="1746">
      <c r="A1746" s="226" t="s">
        <v>2088</v>
      </c>
      <c r="B1746" s="75" t="s">
        <v>35</v>
      </c>
      <c r="C1746" s="76"/>
      <c r="D1746" s="76" t="str">
        <f t="shared" si="136"/>
        <v>Removed</v>
      </c>
      <c r="E1746" s="218">
        <v>43625.0</v>
      </c>
      <c r="F1746" s="105">
        <v>43997.0</v>
      </c>
      <c r="G1746" s="79">
        <f t="shared" si="2"/>
        <v>12.2</v>
      </c>
      <c r="H1746" s="90">
        <v>42627.0</v>
      </c>
      <c r="I1746" s="79">
        <f t="shared" si="3"/>
        <v>2.736111111</v>
      </c>
      <c r="J1746" s="216">
        <v>84.0</v>
      </c>
      <c r="K1746" s="106">
        <v>18.0</v>
      </c>
      <c r="L1746" s="82" t="s">
        <v>37</v>
      </c>
      <c r="M1746" s="83"/>
      <c r="N1746" s="83"/>
      <c r="O1746" s="83"/>
      <c r="P1746" s="219"/>
      <c r="Q1746" s="83"/>
      <c r="R1746" s="76"/>
      <c r="S1746" s="90"/>
      <c r="T1746" s="79"/>
      <c r="U1746" s="90"/>
      <c r="V1746" s="79"/>
    </row>
    <row r="1747">
      <c r="A1747" s="207" t="s">
        <v>3458</v>
      </c>
      <c r="B1747" s="54" t="s">
        <v>35</v>
      </c>
      <c r="C1747" s="59"/>
      <c r="D1747" s="59" t="str">
        <f t="shared" si="136"/>
        <v>Removed</v>
      </c>
      <c r="E1747" s="133">
        <v>43625.0</v>
      </c>
      <c r="F1747" s="120">
        <v>43997.0</v>
      </c>
      <c r="G1747" s="65">
        <f t="shared" si="2"/>
        <v>12.2</v>
      </c>
      <c r="H1747" s="88">
        <v>43625.0</v>
      </c>
      <c r="I1747" s="65">
        <f t="shared" si="3"/>
        <v>0</v>
      </c>
      <c r="J1747" s="208">
        <v>67.0</v>
      </c>
      <c r="K1747" s="121">
        <v>4.5</v>
      </c>
      <c r="L1747" s="69" t="s">
        <v>41</v>
      </c>
      <c r="M1747" s="69"/>
      <c r="N1747" s="69"/>
      <c r="O1747" s="69"/>
      <c r="P1747" s="122"/>
      <c r="Q1747" s="69"/>
      <c r="R1747" s="59"/>
      <c r="S1747" s="88"/>
      <c r="T1747" s="65"/>
      <c r="U1747" s="88"/>
      <c r="V1747" s="65"/>
    </row>
    <row r="1748">
      <c r="A1748" s="226" t="s">
        <v>3459</v>
      </c>
      <c r="B1748" s="76" t="s">
        <v>13</v>
      </c>
      <c r="C1748" s="76"/>
      <c r="D1748" s="76" t="str">
        <f t="shared" si="136"/>
        <v>Removed</v>
      </c>
      <c r="E1748" s="218">
        <v>43625.0</v>
      </c>
      <c r="F1748" s="105">
        <v>43997.0</v>
      </c>
      <c r="G1748" s="79">
        <f t="shared" si="2"/>
        <v>12.2</v>
      </c>
      <c r="H1748" s="90">
        <v>42453.0</v>
      </c>
      <c r="I1748" s="79">
        <f t="shared" si="3"/>
        <v>3.208333333</v>
      </c>
      <c r="J1748" s="216">
        <v>80.0</v>
      </c>
      <c r="K1748" s="106">
        <v>5.0</v>
      </c>
      <c r="L1748" s="83" t="s">
        <v>135</v>
      </c>
      <c r="M1748" s="83"/>
      <c r="N1748" s="83"/>
      <c r="O1748" s="83"/>
      <c r="P1748" s="219"/>
      <c r="Q1748" s="83"/>
      <c r="R1748" s="75"/>
      <c r="S1748" s="90"/>
      <c r="T1748" s="79"/>
      <c r="U1748" s="90"/>
      <c r="V1748" s="79"/>
    </row>
    <row r="1749">
      <c r="A1749" s="207" t="s">
        <v>3460</v>
      </c>
      <c r="B1749" s="54" t="s">
        <v>35</v>
      </c>
      <c r="C1749" s="59"/>
      <c r="D1749" s="59" t="str">
        <f t="shared" si="136"/>
        <v>Removed</v>
      </c>
      <c r="E1749" s="133">
        <v>43625.0</v>
      </c>
      <c r="F1749" s="120">
        <v>43997.0</v>
      </c>
      <c r="G1749" s="65">
        <f t="shared" si="2"/>
        <v>12.2</v>
      </c>
      <c r="H1749" s="88">
        <v>43625.0</v>
      </c>
      <c r="I1749" s="65">
        <f t="shared" si="3"/>
        <v>0</v>
      </c>
      <c r="J1749" s="208">
        <v>76.0</v>
      </c>
      <c r="K1749" s="121">
        <v>6.5</v>
      </c>
      <c r="L1749" s="69" t="s">
        <v>55</v>
      </c>
      <c r="M1749" s="91"/>
      <c r="N1749" s="91"/>
      <c r="O1749" s="91"/>
      <c r="P1749" s="134"/>
      <c r="Q1749" s="91"/>
      <c r="R1749" s="59"/>
      <c r="S1749" s="88"/>
      <c r="T1749" s="65"/>
      <c r="U1749" s="88"/>
      <c r="V1749" s="65"/>
    </row>
    <row r="1750">
      <c r="A1750" s="74" t="s">
        <v>3461</v>
      </c>
      <c r="B1750" s="76" t="s">
        <v>13</v>
      </c>
      <c r="C1750" s="76"/>
      <c r="D1750" s="76" t="str">
        <f t="shared" si="136"/>
        <v>Removed</v>
      </c>
      <c r="E1750" s="218">
        <v>43625.0</v>
      </c>
      <c r="F1750" s="105">
        <v>43997.0</v>
      </c>
      <c r="G1750" s="79">
        <f t="shared" si="2"/>
        <v>12.2</v>
      </c>
      <c r="H1750" s="90">
        <v>42458.0</v>
      </c>
      <c r="I1750" s="79">
        <f t="shared" si="3"/>
        <v>3.194444444</v>
      </c>
      <c r="J1750" s="216">
        <v>85.0</v>
      </c>
      <c r="K1750" s="106">
        <v>6.0</v>
      </c>
      <c r="L1750" s="83" t="s">
        <v>135</v>
      </c>
      <c r="M1750" s="83"/>
      <c r="N1750" s="83"/>
      <c r="O1750" s="83"/>
      <c r="P1750" s="219"/>
      <c r="Q1750" s="83"/>
      <c r="R1750" s="75"/>
      <c r="S1750" s="90"/>
      <c r="T1750" s="79"/>
      <c r="U1750" s="90"/>
      <c r="V1750" s="79"/>
    </row>
    <row r="1751">
      <c r="A1751" s="207" t="s">
        <v>3462</v>
      </c>
      <c r="B1751" s="59" t="s">
        <v>13</v>
      </c>
      <c r="C1751" s="59"/>
      <c r="D1751" s="59" t="str">
        <f t="shared" si="136"/>
        <v>Removed</v>
      </c>
      <c r="E1751" s="133">
        <v>43625.0</v>
      </c>
      <c r="F1751" s="120">
        <v>43997.0</v>
      </c>
      <c r="G1751" s="65">
        <f t="shared" si="2"/>
        <v>12.2</v>
      </c>
      <c r="H1751" s="88">
        <v>43503.0</v>
      </c>
      <c r="I1751" s="65">
        <f t="shared" si="3"/>
        <v>0.3388888889</v>
      </c>
      <c r="J1751" s="208">
        <v>76.0</v>
      </c>
      <c r="K1751" s="121">
        <v>3.5</v>
      </c>
      <c r="L1751" s="91" t="s">
        <v>135</v>
      </c>
      <c r="M1751" s="91"/>
      <c r="N1751" s="91"/>
      <c r="O1751" s="91"/>
      <c r="P1751" s="134"/>
      <c r="Q1751" s="91"/>
      <c r="R1751" s="54"/>
      <c r="S1751" s="88"/>
      <c r="T1751" s="65"/>
      <c r="U1751" s="88"/>
      <c r="V1751" s="65"/>
    </row>
    <row r="1752">
      <c r="A1752" s="226" t="s">
        <v>2144</v>
      </c>
      <c r="B1752" s="75" t="s">
        <v>35</v>
      </c>
      <c r="C1752" s="76"/>
      <c r="D1752" s="76" t="str">
        <f t="shared" si="136"/>
        <v>Removed</v>
      </c>
      <c r="E1752" s="218">
        <v>43132.0</v>
      </c>
      <c r="F1752" s="105">
        <v>43997.0</v>
      </c>
      <c r="G1752" s="79">
        <f t="shared" si="2"/>
        <v>28.46666667</v>
      </c>
      <c r="H1752" s="90">
        <v>42577.0</v>
      </c>
      <c r="I1752" s="79">
        <f t="shared" si="3"/>
        <v>1.513888889</v>
      </c>
      <c r="J1752" s="216">
        <v>75.0</v>
      </c>
      <c r="K1752" s="106">
        <v>6.0</v>
      </c>
      <c r="L1752" s="82" t="s">
        <v>55</v>
      </c>
      <c r="M1752" s="83"/>
      <c r="N1752" s="83"/>
      <c r="O1752" s="83"/>
      <c r="P1752" s="219"/>
      <c r="Q1752" s="83"/>
      <c r="R1752" s="76"/>
      <c r="S1752" s="90"/>
      <c r="T1752" s="79"/>
      <c r="U1752" s="90"/>
      <c r="V1752" s="79"/>
    </row>
    <row r="1753">
      <c r="A1753" s="53" t="s">
        <v>3463</v>
      </c>
      <c r="B1753" s="54" t="s">
        <v>2984</v>
      </c>
      <c r="C1753" s="59"/>
      <c r="D1753" s="59" t="s">
        <v>2985</v>
      </c>
      <c r="E1753" s="133">
        <v>43967.0</v>
      </c>
      <c r="F1753" s="61">
        <v>43982.0</v>
      </c>
      <c r="G1753" s="65">
        <f t="shared" si="2"/>
        <v>0.4666666667</v>
      </c>
      <c r="H1753" s="88">
        <v>39987.0</v>
      </c>
      <c r="I1753" s="65">
        <f t="shared" si="3"/>
        <v>10.89722222</v>
      </c>
      <c r="J1753" s="121">
        <v>79.0</v>
      </c>
      <c r="K1753" s="121">
        <v>9.0</v>
      </c>
      <c r="L1753" s="69" t="s">
        <v>41</v>
      </c>
      <c r="M1753" s="69"/>
      <c r="N1753" s="69" t="s">
        <v>2761</v>
      </c>
      <c r="O1753" s="69"/>
      <c r="P1753" s="122"/>
      <c r="Q1753" s="69"/>
      <c r="R1753" s="59"/>
      <c r="S1753" s="88"/>
      <c r="T1753" s="65"/>
      <c r="U1753" s="88"/>
      <c r="V1753" s="65"/>
    </row>
    <row r="1754">
      <c r="A1754" s="74" t="s">
        <v>3464</v>
      </c>
      <c r="B1754" s="75" t="s">
        <v>2759</v>
      </c>
      <c r="C1754" s="76"/>
      <c r="D1754" s="76" t="s">
        <v>2760</v>
      </c>
      <c r="E1754" s="218">
        <v>43952.0</v>
      </c>
      <c r="F1754" s="77">
        <v>43982.0</v>
      </c>
      <c r="G1754" s="79">
        <f t="shared" si="2"/>
        <v>0.9666666667</v>
      </c>
      <c r="H1754" s="90">
        <v>43368.0</v>
      </c>
      <c r="I1754" s="79">
        <f t="shared" si="3"/>
        <v>1.6</v>
      </c>
      <c r="J1754" s="106">
        <v>66.0</v>
      </c>
      <c r="K1754" s="106">
        <v>21.0</v>
      </c>
      <c r="L1754" s="82" t="s">
        <v>55</v>
      </c>
      <c r="M1754" s="82"/>
      <c r="N1754" s="82" t="s">
        <v>2761</v>
      </c>
      <c r="O1754" s="82"/>
      <c r="P1754" s="107"/>
      <c r="Q1754" s="82"/>
      <c r="R1754" s="76"/>
      <c r="S1754" s="90"/>
      <c r="T1754" s="79"/>
      <c r="U1754" s="90"/>
      <c r="V1754" s="79"/>
    </row>
    <row r="1755">
      <c r="A1755" s="53" t="s">
        <v>3465</v>
      </c>
      <c r="B1755" s="54" t="s">
        <v>35</v>
      </c>
      <c r="C1755" s="59"/>
      <c r="D1755" s="59" t="str">
        <f t="shared" ref="D1755:D1758" si="137">IF(E1755&gt;TODAY(),"Coming Soon",IF(F1755="","Active",IF(F1755&gt;TODAY(),"Leaving Soon","Removed")))</f>
        <v>Removed</v>
      </c>
      <c r="E1755" s="133">
        <v>43625.0</v>
      </c>
      <c r="F1755" s="120">
        <v>43982.0</v>
      </c>
      <c r="G1755" s="65">
        <f t="shared" si="2"/>
        <v>11.7</v>
      </c>
      <c r="H1755" s="88">
        <v>42872.0</v>
      </c>
      <c r="I1755" s="65">
        <f t="shared" si="3"/>
        <v>2.061111111</v>
      </c>
      <c r="J1755" s="208">
        <v>76.0</v>
      </c>
      <c r="K1755" s="121">
        <v>1.5</v>
      </c>
      <c r="L1755" s="69" t="s">
        <v>135</v>
      </c>
      <c r="M1755" s="91"/>
      <c r="N1755" s="91"/>
      <c r="O1755" s="91"/>
      <c r="P1755" s="134"/>
      <c r="Q1755" s="91"/>
      <c r="R1755" s="59"/>
      <c r="S1755" s="88"/>
      <c r="T1755" s="65"/>
      <c r="U1755" s="88"/>
      <c r="V1755" s="65"/>
    </row>
    <row r="1756">
      <c r="A1756" s="74" t="s">
        <v>1656</v>
      </c>
      <c r="B1756" s="75" t="s">
        <v>35</v>
      </c>
      <c r="C1756" s="76"/>
      <c r="D1756" s="76" t="str">
        <f t="shared" si="137"/>
        <v>Removed</v>
      </c>
      <c r="E1756" s="218">
        <v>43252.0</v>
      </c>
      <c r="F1756" s="105">
        <v>43982.0</v>
      </c>
      <c r="G1756" s="79">
        <f t="shared" si="2"/>
        <v>23.96666667</v>
      </c>
      <c r="H1756" s="90">
        <v>40387.0</v>
      </c>
      <c r="I1756" s="79">
        <f t="shared" si="3"/>
        <v>7.841666667</v>
      </c>
      <c r="J1756" s="216">
        <v>75.0</v>
      </c>
      <c r="K1756" s="106">
        <v>5.5</v>
      </c>
      <c r="L1756" s="82" t="s">
        <v>55</v>
      </c>
      <c r="M1756" s="83"/>
      <c r="N1756" s="83"/>
      <c r="O1756" s="83"/>
      <c r="P1756" s="219"/>
      <c r="Q1756" s="83"/>
      <c r="R1756" s="76"/>
      <c r="S1756" s="90"/>
      <c r="T1756" s="79"/>
      <c r="U1756" s="90"/>
      <c r="V1756" s="79"/>
    </row>
    <row r="1757">
      <c r="A1757" s="207" t="s">
        <v>3466</v>
      </c>
      <c r="B1757" s="54" t="s">
        <v>129</v>
      </c>
      <c r="C1757" s="59"/>
      <c r="D1757" s="59" t="str">
        <f t="shared" si="137"/>
        <v>Removed</v>
      </c>
      <c r="E1757" s="133">
        <v>42887.0</v>
      </c>
      <c r="F1757" s="120">
        <v>43982.0</v>
      </c>
      <c r="G1757" s="65">
        <f t="shared" si="2"/>
        <v>35.96666667</v>
      </c>
      <c r="H1757" s="88">
        <v>42005.0</v>
      </c>
      <c r="I1757" s="65">
        <f t="shared" si="3"/>
        <v>2.416666667</v>
      </c>
      <c r="J1757" s="208">
        <v>77.0</v>
      </c>
      <c r="K1757" s="121">
        <v>2.5</v>
      </c>
      <c r="L1757" s="91" t="s">
        <v>135</v>
      </c>
      <c r="M1757" s="91"/>
      <c r="N1757" s="91"/>
      <c r="O1757" s="91"/>
      <c r="P1757" s="134"/>
      <c r="Q1757" s="91"/>
      <c r="R1757" s="59"/>
      <c r="S1757" s="88"/>
      <c r="T1757" s="65"/>
      <c r="U1757" s="88"/>
      <c r="V1757" s="65"/>
    </row>
    <row r="1758">
      <c r="A1758" s="74" t="s">
        <v>3467</v>
      </c>
      <c r="B1758" s="75" t="s">
        <v>129</v>
      </c>
      <c r="C1758" s="76"/>
      <c r="D1758" s="76" t="str">
        <f t="shared" si="137"/>
        <v>Removed</v>
      </c>
      <c r="E1758" s="218">
        <v>42887.0</v>
      </c>
      <c r="F1758" s="105">
        <v>43982.0</v>
      </c>
      <c r="G1758" s="79">
        <f t="shared" si="2"/>
        <v>35.96666667</v>
      </c>
      <c r="H1758" s="90">
        <v>39525.0</v>
      </c>
      <c r="I1758" s="79">
        <f t="shared" si="3"/>
        <v>9.202777778</v>
      </c>
      <c r="J1758" s="216">
        <v>73.0</v>
      </c>
      <c r="K1758" s="106">
        <v>1.0</v>
      </c>
      <c r="L1758" s="82" t="s">
        <v>52</v>
      </c>
      <c r="M1758" s="83"/>
      <c r="N1758" s="83"/>
      <c r="O1758" s="83"/>
      <c r="P1758" s="219"/>
      <c r="Q1758" s="82" t="s">
        <v>2841</v>
      </c>
      <c r="R1758" s="76"/>
      <c r="S1758" s="90"/>
      <c r="T1758" s="79"/>
      <c r="U1758" s="90"/>
      <c r="V1758" s="79"/>
    </row>
    <row r="1759">
      <c r="A1759" s="53" t="s">
        <v>3468</v>
      </c>
      <c r="B1759" s="54" t="s">
        <v>2984</v>
      </c>
      <c r="C1759" s="59"/>
      <c r="D1759" s="59" t="s">
        <v>2985</v>
      </c>
      <c r="E1759" s="133">
        <v>43952.0</v>
      </c>
      <c r="F1759" s="61">
        <v>43966.0</v>
      </c>
      <c r="G1759" s="65">
        <f t="shared" si="2"/>
        <v>0.4666666667</v>
      </c>
      <c r="H1759" s="88">
        <v>39405.0</v>
      </c>
      <c r="I1759" s="65">
        <f t="shared" si="3"/>
        <v>12.45</v>
      </c>
      <c r="J1759" s="121">
        <v>76.0</v>
      </c>
      <c r="K1759" s="121">
        <v>4.0</v>
      </c>
      <c r="L1759" s="69" t="s">
        <v>62</v>
      </c>
      <c r="M1759" s="69"/>
      <c r="N1759" s="69" t="s">
        <v>2761</v>
      </c>
      <c r="O1759" s="69"/>
      <c r="P1759" s="122"/>
      <c r="Q1759" s="69"/>
      <c r="R1759" s="59"/>
      <c r="S1759" s="88"/>
      <c r="T1759" s="65"/>
      <c r="U1759" s="88"/>
      <c r="V1759" s="65"/>
    </row>
    <row r="1760">
      <c r="A1760" s="74" t="s">
        <v>3469</v>
      </c>
      <c r="B1760" s="75" t="s">
        <v>2759</v>
      </c>
      <c r="C1760" s="76"/>
      <c r="D1760" s="76" t="s">
        <v>2760</v>
      </c>
      <c r="E1760" s="218">
        <v>43937.0</v>
      </c>
      <c r="F1760" s="77">
        <v>43966.0</v>
      </c>
      <c r="G1760" s="79">
        <f t="shared" si="2"/>
        <v>0.9666666667</v>
      </c>
      <c r="H1760" s="90">
        <v>43249.0</v>
      </c>
      <c r="I1760" s="79">
        <f t="shared" si="3"/>
        <v>1.880555556</v>
      </c>
      <c r="J1760" s="106">
        <v>73.0</v>
      </c>
      <c r="K1760" s="106">
        <v>10.5</v>
      </c>
      <c r="L1760" s="82" t="s">
        <v>46</v>
      </c>
      <c r="M1760" s="82"/>
      <c r="N1760" s="82"/>
      <c r="O1760" s="82"/>
      <c r="P1760" s="107"/>
      <c r="Q1760" s="82"/>
      <c r="R1760" s="76"/>
      <c r="S1760" s="90"/>
      <c r="T1760" s="79"/>
      <c r="U1760" s="90"/>
      <c r="V1760" s="79"/>
    </row>
    <row r="1761">
      <c r="A1761" s="207" t="s">
        <v>3470</v>
      </c>
      <c r="B1761" s="54" t="s">
        <v>129</v>
      </c>
      <c r="C1761" s="59"/>
      <c r="D1761" s="59" t="str">
        <f t="shared" ref="D1761:D1766" si="138">IF(E1761&gt;TODAY(),"Coming Soon",IF(F1761="","Active",IF(F1761&gt;TODAY(),"Leaving Soon","Removed")))</f>
        <v>Removed</v>
      </c>
      <c r="E1761" s="133">
        <v>43783.0</v>
      </c>
      <c r="F1761" s="120">
        <v>43966.0</v>
      </c>
      <c r="G1761" s="65">
        <f t="shared" si="2"/>
        <v>6.033333333</v>
      </c>
      <c r="H1761" s="88">
        <v>43000.0</v>
      </c>
      <c r="I1761" s="65">
        <f t="shared" si="3"/>
        <v>2.144444444</v>
      </c>
      <c r="J1761" s="208">
        <v>76.0</v>
      </c>
      <c r="K1761" s="121">
        <v>6.0</v>
      </c>
      <c r="L1761" s="69" t="s">
        <v>41</v>
      </c>
      <c r="M1761" s="91"/>
      <c r="N1761" s="91"/>
      <c r="O1761" s="91"/>
      <c r="P1761" s="134"/>
      <c r="Q1761" s="91"/>
      <c r="R1761" s="59"/>
      <c r="S1761" s="88"/>
      <c r="T1761" s="65"/>
      <c r="U1761" s="88"/>
      <c r="V1761" s="65"/>
    </row>
    <row r="1762">
      <c r="A1762" s="226" t="s">
        <v>3471</v>
      </c>
      <c r="B1762" s="76" t="s">
        <v>13</v>
      </c>
      <c r="C1762" s="76"/>
      <c r="D1762" s="76" t="str">
        <f t="shared" si="138"/>
        <v>Removed</v>
      </c>
      <c r="E1762" s="218">
        <v>43625.0</v>
      </c>
      <c r="F1762" s="105">
        <v>43966.0</v>
      </c>
      <c r="G1762" s="79">
        <f t="shared" si="2"/>
        <v>11.2</v>
      </c>
      <c r="H1762" s="90">
        <v>43580.0</v>
      </c>
      <c r="I1762" s="79">
        <f t="shared" si="3"/>
        <v>0.1222222222</v>
      </c>
      <c r="J1762" s="216">
        <v>76.0</v>
      </c>
      <c r="K1762" s="106">
        <v>17.0</v>
      </c>
      <c r="L1762" s="83" t="s">
        <v>81</v>
      </c>
      <c r="M1762" s="83"/>
      <c r="N1762" s="83"/>
      <c r="O1762" s="83"/>
      <c r="P1762" s="219"/>
      <c r="Q1762" s="83"/>
      <c r="R1762" s="75"/>
      <c r="S1762" s="90"/>
      <c r="T1762" s="79"/>
      <c r="U1762" s="90"/>
      <c r="V1762" s="79"/>
    </row>
    <row r="1763">
      <c r="A1763" s="207" t="s">
        <v>3472</v>
      </c>
      <c r="B1763" s="59" t="s">
        <v>13</v>
      </c>
      <c r="C1763" s="59"/>
      <c r="D1763" s="59" t="str">
        <f t="shared" si="138"/>
        <v>Removed</v>
      </c>
      <c r="E1763" s="133">
        <v>43625.0</v>
      </c>
      <c r="F1763" s="120">
        <v>43966.0</v>
      </c>
      <c r="G1763" s="65">
        <f t="shared" si="2"/>
        <v>11.2</v>
      </c>
      <c r="H1763" s="88">
        <v>42957.0</v>
      </c>
      <c r="I1763" s="65">
        <f t="shared" si="3"/>
        <v>1.830555556</v>
      </c>
      <c r="J1763" s="208">
        <v>87.0</v>
      </c>
      <c r="K1763" s="121">
        <v>7.0</v>
      </c>
      <c r="L1763" s="69" t="s">
        <v>46</v>
      </c>
      <c r="M1763" s="91"/>
      <c r="N1763" s="91"/>
      <c r="O1763" s="91"/>
      <c r="P1763" s="134"/>
      <c r="Q1763" s="91"/>
      <c r="R1763" s="54"/>
      <c r="S1763" s="88"/>
      <c r="T1763" s="65"/>
      <c r="U1763" s="88"/>
      <c r="V1763" s="65"/>
    </row>
    <row r="1764">
      <c r="A1764" s="226" t="s">
        <v>3473</v>
      </c>
      <c r="B1764" s="75" t="s">
        <v>129</v>
      </c>
      <c r="C1764" s="76"/>
      <c r="D1764" s="76" t="str">
        <f t="shared" si="138"/>
        <v>Removed</v>
      </c>
      <c r="E1764" s="218">
        <v>43608.0</v>
      </c>
      <c r="F1764" s="105">
        <v>43966.0</v>
      </c>
      <c r="G1764" s="79">
        <f t="shared" si="2"/>
        <v>11.73333333</v>
      </c>
      <c r="H1764" s="90">
        <v>43151.0</v>
      </c>
      <c r="I1764" s="79">
        <f t="shared" si="3"/>
        <v>1.258333333</v>
      </c>
      <c r="J1764" s="216">
        <v>62.0</v>
      </c>
      <c r="K1764" s="106">
        <v>22.0</v>
      </c>
      <c r="L1764" s="83" t="s">
        <v>37</v>
      </c>
      <c r="M1764" s="83"/>
      <c r="N1764" s="83"/>
      <c r="O1764" s="83"/>
      <c r="P1764" s="219"/>
      <c r="Q1764" s="83"/>
      <c r="R1764" s="76"/>
      <c r="S1764" s="90"/>
      <c r="T1764" s="79"/>
      <c r="U1764" s="90"/>
      <c r="V1764" s="79"/>
    </row>
    <row r="1765">
      <c r="A1765" s="207" t="s">
        <v>3474</v>
      </c>
      <c r="B1765" s="54" t="s">
        <v>35</v>
      </c>
      <c r="C1765" s="59"/>
      <c r="D1765" s="59" t="str">
        <f t="shared" si="138"/>
        <v>Removed</v>
      </c>
      <c r="E1765" s="133">
        <v>43608.0</v>
      </c>
      <c r="F1765" s="120">
        <v>43966.0</v>
      </c>
      <c r="G1765" s="65">
        <f t="shared" si="2"/>
        <v>11.73333333</v>
      </c>
      <c r="H1765" s="88">
        <v>41653.0</v>
      </c>
      <c r="I1765" s="65">
        <f t="shared" si="3"/>
        <v>5.358333333</v>
      </c>
      <c r="J1765" s="208">
        <v>76.0</v>
      </c>
      <c r="K1765" s="121">
        <v>10.5</v>
      </c>
      <c r="L1765" s="69" t="s">
        <v>46</v>
      </c>
      <c r="M1765" s="91"/>
      <c r="N1765" s="91"/>
      <c r="O1765" s="91"/>
      <c r="P1765" s="134"/>
      <c r="Q1765" s="91"/>
      <c r="R1765" s="59"/>
      <c r="S1765" s="88"/>
      <c r="T1765" s="65"/>
      <c r="U1765" s="88"/>
      <c r="V1765" s="65"/>
    </row>
    <row r="1766">
      <c r="A1766" s="226" t="s">
        <v>3475</v>
      </c>
      <c r="B1766" s="75" t="s">
        <v>129</v>
      </c>
      <c r="C1766" s="76"/>
      <c r="D1766" s="76" t="str">
        <f t="shared" si="138"/>
        <v>Removed</v>
      </c>
      <c r="E1766" s="218">
        <v>43252.0</v>
      </c>
      <c r="F1766" s="105">
        <v>43966.0</v>
      </c>
      <c r="G1766" s="79">
        <f t="shared" si="2"/>
        <v>23.46666667</v>
      </c>
      <c r="H1766" s="90">
        <v>42955.0</v>
      </c>
      <c r="I1766" s="79">
        <f t="shared" si="3"/>
        <v>0.8138888889</v>
      </c>
      <c r="J1766" s="216">
        <v>72.0</v>
      </c>
      <c r="K1766" s="106">
        <v>14.5</v>
      </c>
      <c r="L1766" s="82" t="s">
        <v>57</v>
      </c>
      <c r="M1766" s="83"/>
      <c r="N1766" s="83"/>
      <c r="O1766" s="83"/>
      <c r="P1766" s="219"/>
      <c r="Q1766" s="83"/>
      <c r="R1766" s="76"/>
      <c r="S1766" s="90"/>
      <c r="T1766" s="79"/>
      <c r="U1766" s="90"/>
      <c r="V1766" s="79"/>
    </row>
    <row r="1767">
      <c r="A1767" s="53" t="s">
        <v>3476</v>
      </c>
      <c r="B1767" s="54" t="s">
        <v>2984</v>
      </c>
      <c r="C1767" s="59"/>
      <c r="D1767" s="59" t="s">
        <v>2985</v>
      </c>
      <c r="E1767" s="133">
        <v>43937.0</v>
      </c>
      <c r="F1767" s="61">
        <v>43951.0</v>
      </c>
      <c r="G1767" s="65">
        <f t="shared" si="2"/>
        <v>0.4666666667</v>
      </c>
      <c r="H1767" s="88">
        <v>41954.0</v>
      </c>
      <c r="I1767" s="65">
        <f t="shared" si="3"/>
        <v>5.430555556</v>
      </c>
      <c r="J1767" s="121">
        <v>77.0</v>
      </c>
      <c r="K1767" s="121">
        <v>4.0</v>
      </c>
      <c r="L1767" s="69" t="s">
        <v>55</v>
      </c>
      <c r="M1767" s="69"/>
      <c r="N1767" s="69" t="s">
        <v>2761</v>
      </c>
      <c r="O1767" s="69"/>
      <c r="P1767" s="122"/>
      <c r="Q1767" s="69"/>
      <c r="R1767" s="59"/>
      <c r="S1767" s="88"/>
      <c r="T1767" s="65"/>
      <c r="U1767" s="88"/>
      <c r="V1767" s="65"/>
    </row>
    <row r="1768">
      <c r="A1768" s="74" t="s">
        <v>3477</v>
      </c>
      <c r="B1768" s="75" t="s">
        <v>2759</v>
      </c>
      <c r="C1768" s="76"/>
      <c r="D1768" s="76" t="s">
        <v>2760</v>
      </c>
      <c r="E1768" s="218">
        <v>43922.0</v>
      </c>
      <c r="F1768" s="77">
        <v>43951.0</v>
      </c>
      <c r="G1768" s="79">
        <f t="shared" si="2"/>
        <v>0.9666666667</v>
      </c>
      <c r="H1768" s="90">
        <v>43000.0</v>
      </c>
      <c r="I1768" s="79">
        <f t="shared" si="3"/>
        <v>2.525</v>
      </c>
      <c r="J1768" s="106">
        <v>84.0</v>
      </c>
      <c r="K1768" s="106">
        <v>27.0</v>
      </c>
      <c r="L1768" s="82" t="s">
        <v>55</v>
      </c>
      <c r="M1768" s="82"/>
      <c r="N1768" s="82" t="s">
        <v>2761</v>
      </c>
      <c r="O1768" s="82"/>
      <c r="P1768" s="107"/>
      <c r="Q1768" s="82"/>
      <c r="R1768" s="76"/>
      <c r="S1768" s="90"/>
      <c r="T1768" s="79"/>
      <c r="U1768" s="90"/>
      <c r="V1768" s="79"/>
    </row>
    <row r="1769">
      <c r="A1769" s="207" t="s">
        <v>2153</v>
      </c>
      <c r="B1769" s="54" t="s">
        <v>129</v>
      </c>
      <c r="C1769" s="59"/>
      <c r="D1769" s="59" t="str">
        <f t="shared" ref="D1769:D1775" si="139">IF(E1769&gt;TODAY(),"Coming Soon",IF(F1769="","Active",IF(F1769&gt;TODAY(),"Leaving Soon","Removed")))</f>
        <v>Removed</v>
      </c>
      <c r="E1769" s="133">
        <v>43625.0</v>
      </c>
      <c r="F1769" s="133">
        <v>43951.0</v>
      </c>
      <c r="G1769" s="65">
        <f t="shared" si="2"/>
        <v>10.7</v>
      </c>
      <c r="H1769" s="88">
        <v>40291.0</v>
      </c>
      <c r="I1769" s="65">
        <f t="shared" si="3"/>
        <v>9.127777778</v>
      </c>
      <c r="J1769" s="208">
        <v>66.0</v>
      </c>
      <c r="K1769" s="121">
        <v>5.5</v>
      </c>
      <c r="L1769" s="69" t="s">
        <v>135</v>
      </c>
      <c r="M1769" s="91"/>
      <c r="N1769" s="91"/>
      <c r="O1769" s="91"/>
      <c r="P1769" s="134"/>
      <c r="Q1769" s="91"/>
      <c r="R1769" s="59"/>
      <c r="S1769" s="88"/>
      <c r="T1769" s="65"/>
      <c r="U1769" s="88"/>
      <c r="V1769" s="65"/>
    </row>
    <row r="1770">
      <c r="A1770" s="226" t="s">
        <v>3478</v>
      </c>
      <c r="B1770" s="75" t="s">
        <v>35</v>
      </c>
      <c r="C1770" s="76"/>
      <c r="D1770" s="76" t="str">
        <f t="shared" si="139"/>
        <v>Removed</v>
      </c>
      <c r="E1770" s="218">
        <v>43625.0</v>
      </c>
      <c r="F1770" s="218">
        <v>43951.0</v>
      </c>
      <c r="G1770" s="79">
        <f t="shared" si="2"/>
        <v>10.7</v>
      </c>
      <c r="H1770" s="90">
        <v>43251.0</v>
      </c>
      <c r="I1770" s="79">
        <f t="shared" si="3"/>
        <v>1.025</v>
      </c>
      <c r="J1770" s="106">
        <v>68.0</v>
      </c>
      <c r="K1770" s="106">
        <v>10.5</v>
      </c>
      <c r="L1770" s="82" t="s">
        <v>46</v>
      </c>
      <c r="M1770" s="83"/>
      <c r="N1770" s="83"/>
      <c r="O1770" s="83"/>
      <c r="P1770" s="219"/>
      <c r="Q1770" s="83"/>
      <c r="R1770" s="76"/>
      <c r="S1770" s="90"/>
      <c r="T1770" s="79"/>
      <c r="U1770" s="90"/>
      <c r="V1770" s="79"/>
    </row>
    <row r="1771">
      <c r="A1771" s="207" t="s">
        <v>2100</v>
      </c>
      <c r="B1771" s="54" t="s">
        <v>35</v>
      </c>
      <c r="C1771" s="59"/>
      <c r="D1771" s="59" t="str">
        <f t="shared" si="139"/>
        <v>Removed</v>
      </c>
      <c r="E1771" s="133">
        <v>43622.0</v>
      </c>
      <c r="F1771" s="133">
        <v>43951.0</v>
      </c>
      <c r="G1771" s="65">
        <f t="shared" si="2"/>
        <v>10.8</v>
      </c>
      <c r="H1771" s="88">
        <v>43117.0</v>
      </c>
      <c r="I1771" s="65">
        <f t="shared" si="3"/>
        <v>1.386111111</v>
      </c>
      <c r="J1771" s="208">
        <f>ROUND((75+85)/2,)</f>
        <v>80</v>
      </c>
      <c r="K1771" s="121">
        <v>10.5</v>
      </c>
      <c r="L1771" s="69" t="s">
        <v>46</v>
      </c>
      <c r="M1771" s="91"/>
      <c r="N1771" s="91"/>
      <c r="O1771" s="91"/>
      <c r="P1771" s="134"/>
      <c r="Q1771" s="91"/>
      <c r="R1771" s="59"/>
      <c r="S1771" s="88"/>
      <c r="T1771" s="65"/>
      <c r="U1771" s="88"/>
      <c r="V1771" s="65"/>
    </row>
    <row r="1772">
      <c r="A1772" s="226" t="s">
        <v>3479</v>
      </c>
      <c r="B1772" s="75" t="s">
        <v>35</v>
      </c>
      <c r="C1772" s="76"/>
      <c r="D1772" s="76" t="str">
        <f t="shared" si="139"/>
        <v>Removed</v>
      </c>
      <c r="E1772" s="218">
        <v>43622.0</v>
      </c>
      <c r="F1772" s="218">
        <v>43951.0</v>
      </c>
      <c r="G1772" s="79">
        <f t="shared" si="2"/>
        <v>10.8</v>
      </c>
      <c r="H1772" s="90">
        <v>42479.0</v>
      </c>
      <c r="I1772" s="79">
        <f t="shared" si="3"/>
        <v>3.130555556</v>
      </c>
      <c r="J1772" s="216">
        <v>84.0</v>
      </c>
      <c r="K1772" s="106">
        <v>11.5</v>
      </c>
      <c r="L1772" s="83" t="s">
        <v>81</v>
      </c>
      <c r="M1772" s="83"/>
      <c r="N1772" s="83"/>
      <c r="O1772" s="83"/>
      <c r="P1772" s="219"/>
      <c r="Q1772" s="83"/>
      <c r="R1772" s="76"/>
      <c r="S1772" s="90"/>
      <c r="T1772" s="79"/>
      <c r="U1772" s="90"/>
      <c r="V1772" s="79"/>
    </row>
    <row r="1773">
      <c r="A1773" s="53" t="s">
        <v>3480</v>
      </c>
      <c r="B1773" s="54" t="s">
        <v>35</v>
      </c>
      <c r="C1773" s="59"/>
      <c r="D1773" s="59" t="str">
        <f t="shared" si="139"/>
        <v>Removed</v>
      </c>
      <c r="E1773" s="133">
        <v>43313.0</v>
      </c>
      <c r="F1773" s="133">
        <v>43951.0</v>
      </c>
      <c r="G1773" s="65">
        <f t="shared" si="2"/>
        <v>20.96666667</v>
      </c>
      <c r="H1773" s="88">
        <v>43003.0</v>
      </c>
      <c r="I1773" s="65">
        <f t="shared" si="3"/>
        <v>0.85</v>
      </c>
      <c r="J1773" s="208">
        <v>77.0</v>
      </c>
      <c r="K1773" s="121">
        <v>5.5</v>
      </c>
      <c r="L1773" s="69" t="s">
        <v>37</v>
      </c>
      <c r="M1773" s="91"/>
      <c r="N1773" s="91"/>
      <c r="O1773" s="91"/>
      <c r="P1773" s="134"/>
      <c r="Q1773" s="91"/>
      <c r="R1773" s="59"/>
      <c r="S1773" s="88"/>
      <c r="T1773" s="65"/>
      <c r="U1773" s="88"/>
      <c r="V1773" s="65"/>
    </row>
    <row r="1774">
      <c r="A1774" s="226" t="s">
        <v>3481</v>
      </c>
      <c r="B1774" s="75" t="s">
        <v>129</v>
      </c>
      <c r="C1774" s="76"/>
      <c r="D1774" s="76" t="str">
        <f t="shared" si="139"/>
        <v>Removed</v>
      </c>
      <c r="E1774" s="218">
        <v>42887.0</v>
      </c>
      <c r="F1774" s="218">
        <v>43951.0</v>
      </c>
      <c r="G1774" s="79">
        <f t="shared" si="2"/>
        <v>34.96666667</v>
      </c>
      <c r="H1774" s="90">
        <v>39666.0</v>
      </c>
      <c r="I1774" s="79">
        <f t="shared" si="3"/>
        <v>8.819444444</v>
      </c>
      <c r="J1774" s="106">
        <v>93.0</v>
      </c>
      <c r="K1774" s="106">
        <v>5.0</v>
      </c>
      <c r="L1774" s="82" t="s">
        <v>57</v>
      </c>
      <c r="M1774" s="82"/>
      <c r="N1774" s="82"/>
      <c r="O1774" s="82"/>
      <c r="P1774" s="107"/>
      <c r="Q1774" s="82" t="s">
        <v>1822</v>
      </c>
      <c r="R1774" s="76"/>
      <c r="S1774" s="90"/>
      <c r="T1774" s="79"/>
      <c r="U1774" s="90"/>
      <c r="V1774" s="79"/>
    </row>
    <row r="1775">
      <c r="A1775" s="207" t="s">
        <v>3339</v>
      </c>
      <c r="B1775" s="54" t="s">
        <v>129</v>
      </c>
      <c r="C1775" s="59"/>
      <c r="D1775" s="59" t="str">
        <f t="shared" si="139"/>
        <v>Removed</v>
      </c>
      <c r="E1775" s="133">
        <v>42887.0</v>
      </c>
      <c r="F1775" s="133">
        <v>43951.0</v>
      </c>
      <c r="G1775" s="65">
        <f t="shared" si="2"/>
        <v>34.96666667</v>
      </c>
      <c r="H1775" s="88">
        <v>36678.0</v>
      </c>
      <c r="I1775" s="65">
        <f t="shared" si="3"/>
        <v>17</v>
      </c>
      <c r="J1775" s="121">
        <v>76.0</v>
      </c>
      <c r="K1775" s="121">
        <v>1.5</v>
      </c>
      <c r="L1775" s="69" t="s">
        <v>37</v>
      </c>
      <c r="M1775" s="91"/>
      <c r="N1775" s="91"/>
      <c r="O1775" s="91"/>
      <c r="P1775" s="134"/>
      <c r="Q1775" s="69" t="s">
        <v>2841</v>
      </c>
      <c r="R1775" s="59"/>
      <c r="S1775" s="88"/>
      <c r="T1775" s="65"/>
      <c r="U1775" s="88"/>
      <c r="V1775" s="65"/>
    </row>
    <row r="1776">
      <c r="A1776" s="74" t="s">
        <v>1661</v>
      </c>
      <c r="B1776" s="75" t="s">
        <v>2984</v>
      </c>
      <c r="C1776" s="76"/>
      <c r="D1776" s="76" t="s">
        <v>2985</v>
      </c>
      <c r="E1776" s="218">
        <v>43922.0</v>
      </c>
      <c r="F1776" s="77">
        <v>43936.0</v>
      </c>
      <c r="G1776" s="79">
        <f t="shared" si="2"/>
        <v>0.4666666667</v>
      </c>
      <c r="H1776" s="90">
        <v>41674.0</v>
      </c>
      <c r="I1776" s="79">
        <f t="shared" si="3"/>
        <v>6.158333333</v>
      </c>
      <c r="J1776" s="106">
        <v>68.0</v>
      </c>
      <c r="K1776" s="106">
        <v>13.0</v>
      </c>
      <c r="L1776" s="82" t="s">
        <v>46</v>
      </c>
      <c r="M1776" s="82" t="s">
        <v>72</v>
      </c>
      <c r="N1776" s="82" t="s">
        <v>2761</v>
      </c>
      <c r="O1776" s="82"/>
      <c r="P1776" s="107"/>
      <c r="Q1776" s="82"/>
      <c r="R1776" s="76"/>
      <c r="S1776" s="90"/>
      <c r="T1776" s="79"/>
      <c r="U1776" s="90"/>
      <c r="V1776" s="79"/>
    </row>
    <row r="1777">
      <c r="A1777" s="53" t="s">
        <v>3206</v>
      </c>
      <c r="B1777" s="54" t="s">
        <v>2759</v>
      </c>
      <c r="C1777" s="59"/>
      <c r="D1777" s="59" t="s">
        <v>2760</v>
      </c>
      <c r="E1777" s="133">
        <v>43906.0</v>
      </c>
      <c r="F1777" s="61">
        <v>43936.0</v>
      </c>
      <c r="G1777" s="65">
        <f t="shared" si="2"/>
        <v>0.9666666667</v>
      </c>
      <c r="H1777" s="88">
        <v>42724.0</v>
      </c>
      <c r="I1777" s="65">
        <f t="shared" si="3"/>
        <v>3.238888889</v>
      </c>
      <c r="J1777" s="121">
        <v>80.0</v>
      </c>
      <c r="K1777" s="121">
        <v>7.5</v>
      </c>
      <c r="L1777" s="69" t="s">
        <v>41</v>
      </c>
      <c r="M1777" s="69"/>
      <c r="N1777" s="69"/>
      <c r="O1777" s="69"/>
      <c r="P1777" s="122"/>
      <c r="Q1777" s="69"/>
      <c r="R1777" s="59"/>
      <c r="S1777" s="88"/>
      <c r="T1777" s="65"/>
      <c r="U1777" s="88"/>
      <c r="V1777" s="65"/>
    </row>
    <row r="1778">
      <c r="A1778" s="226" t="s">
        <v>3405</v>
      </c>
      <c r="B1778" s="75" t="s">
        <v>129</v>
      </c>
      <c r="C1778" s="76"/>
      <c r="D1778" s="76" t="str">
        <f t="shared" ref="D1778:D1783" si="140">IF(E1778&gt;TODAY(),"Coming Soon",IF(F1778="","Active",IF(F1778&gt;TODAY(),"Leaving Soon","Removed")))</f>
        <v>Removed</v>
      </c>
      <c r="E1778" s="218">
        <v>42887.0</v>
      </c>
      <c r="F1778" s="218">
        <v>43936.0</v>
      </c>
      <c r="G1778" s="79">
        <f t="shared" si="2"/>
        <v>34.46666667</v>
      </c>
      <c r="H1778" s="90">
        <v>42054.0</v>
      </c>
      <c r="I1778" s="79">
        <f t="shared" si="3"/>
        <v>2.283333333</v>
      </c>
      <c r="J1778" s="106">
        <v>79.0</v>
      </c>
      <c r="K1778" s="106">
        <v>20.0</v>
      </c>
      <c r="L1778" s="83" t="s">
        <v>135</v>
      </c>
      <c r="M1778" s="83"/>
      <c r="N1778" s="83"/>
      <c r="O1778" s="83"/>
      <c r="P1778" s="219"/>
      <c r="Q1778" s="83"/>
      <c r="R1778" s="76"/>
      <c r="S1778" s="90"/>
      <c r="T1778" s="79"/>
      <c r="U1778" s="90"/>
      <c r="V1778" s="79"/>
    </row>
    <row r="1779">
      <c r="A1779" s="207" t="s">
        <v>3482</v>
      </c>
      <c r="B1779" s="59" t="s">
        <v>13</v>
      </c>
      <c r="C1779" s="59"/>
      <c r="D1779" s="59" t="str">
        <f t="shared" si="140"/>
        <v>Removed</v>
      </c>
      <c r="E1779" s="133">
        <v>43625.0</v>
      </c>
      <c r="F1779" s="133">
        <v>43922.0</v>
      </c>
      <c r="G1779" s="65">
        <f t="shared" si="2"/>
        <v>9.733333333</v>
      </c>
      <c r="H1779" s="88">
        <v>41012.0</v>
      </c>
      <c r="I1779" s="65">
        <f t="shared" si="3"/>
        <v>7.155555556</v>
      </c>
      <c r="J1779" s="121">
        <v>91.0</v>
      </c>
      <c r="K1779" s="121">
        <v>6.0</v>
      </c>
      <c r="L1779" s="69" t="s">
        <v>57</v>
      </c>
      <c r="M1779" s="91"/>
      <c r="N1779" s="91"/>
      <c r="O1779" s="91"/>
      <c r="P1779" s="134"/>
      <c r="Q1779" s="91"/>
      <c r="R1779" s="54"/>
      <c r="S1779" s="88"/>
      <c r="T1779" s="65"/>
      <c r="U1779" s="88"/>
      <c r="V1779" s="65"/>
    </row>
    <row r="1780">
      <c r="A1780" s="226" t="s">
        <v>3483</v>
      </c>
      <c r="B1780" s="76" t="s">
        <v>13</v>
      </c>
      <c r="C1780" s="76"/>
      <c r="D1780" s="76" t="str">
        <f t="shared" si="140"/>
        <v>Removed</v>
      </c>
      <c r="E1780" s="218">
        <v>43625.0</v>
      </c>
      <c r="F1780" s="218">
        <v>43922.0</v>
      </c>
      <c r="G1780" s="79">
        <f t="shared" si="2"/>
        <v>9.733333333</v>
      </c>
      <c r="H1780" s="90">
        <v>39560.0</v>
      </c>
      <c r="I1780" s="79">
        <f t="shared" si="3"/>
        <v>11.13055556</v>
      </c>
      <c r="J1780" s="106">
        <v>85.0</v>
      </c>
      <c r="K1780" s="106">
        <v>31.0</v>
      </c>
      <c r="L1780" s="82" t="s">
        <v>46</v>
      </c>
      <c r="M1780" s="83"/>
      <c r="N1780" s="83"/>
      <c r="O1780" s="83"/>
      <c r="P1780" s="219"/>
      <c r="Q1780" s="82" t="s">
        <v>2841</v>
      </c>
      <c r="R1780" s="75"/>
      <c r="S1780" s="90"/>
      <c r="T1780" s="79"/>
      <c r="U1780" s="90"/>
      <c r="V1780" s="79"/>
    </row>
    <row r="1781">
      <c r="A1781" s="207" t="s">
        <v>3484</v>
      </c>
      <c r="B1781" s="54" t="s">
        <v>129</v>
      </c>
      <c r="C1781" s="59"/>
      <c r="D1781" s="59" t="str">
        <f t="shared" si="140"/>
        <v>Removed</v>
      </c>
      <c r="E1781" s="133">
        <v>42917.0</v>
      </c>
      <c r="F1781" s="133">
        <v>43922.0</v>
      </c>
      <c r="G1781" s="65">
        <f t="shared" si="2"/>
        <v>33</v>
      </c>
      <c r="H1781" s="88">
        <v>41822.0</v>
      </c>
      <c r="I1781" s="65">
        <f t="shared" si="3"/>
        <v>2.997222222</v>
      </c>
      <c r="J1781" s="121">
        <v>88.0</v>
      </c>
      <c r="K1781" s="121">
        <v>7.0</v>
      </c>
      <c r="L1781" s="69" t="s">
        <v>57</v>
      </c>
      <c r="M1781" s="91"/>
      <c r="N1781" s="91"/>
      <c r="O1781" s="91"/>
      <c r="P1781" s="134"/>
      <c r="Q1781" s="91"/>
      <c r="R1781" s="59"/>
      <c r="S1781" s="88"/>
      <c r="T1781" s="65"/>
      <c r="U1781" s="88"/>
      <c r="V1781" s="65"/>
    </row>
    <row r="1782">
      <c r="A1782" s="226" t="s">
        <v>3485</v>
      </c>
      <c r="B1782" s="75" t="s">
        <v>129</v>
      </c>
      <c r="C1782" s="76"/>
      <c r="D1782" s="76" t="str">
        <f t="shared" si="140"/>
        <v>Removed</v>
      </c>
      <c r="E1782" s="218">
        <v>42887.0</v>
      </c>
      <c r="F1782" s="218">
        <v>43922.0</v>
      </c>
      <c r="G1782" s="79">
        <f t="shared" si="2"/>
        <v>34</v>
      </c>
      <c r="H1782" s="90">
        <v>40148.0</v>
      </c>
      <c r="I1782" s="79">
        <f t="shared" si="3"/>
        <v>7.5</v>
      </c>
      <c r="J1782" s="106">
        <v>75.0</v>
      </c>
      <c r="K1782" s="106">
        <v>19.0</v>
      </c>
      <c r="L1782" s="82" t="s">
        <v>55</v>
      </c>
      <c r="M1782" s="83"/>
      <c r="N1782" s="83"/>
      <c r="O1782" s="83"/>
      <c r="P1782" s="219"/>
      <c r="Q1782" s="82" t="s">
        <v>1822</v>
      </c>
      <c r="R1782" s="76"/>
      <c r="S1782" s="90"/>
      <c r="T1782" s="79"/>
      <c r="U1782" s="90"/>
      <c r="V1782" s="79"/>
    </row>
    <row r="1783">
      <c r="A1783" s="53" t="s">
        <v>3214</v>
      </c>
      <c r="B1783" s="54" t="s">
        <v>129</v>
      </c>
      <c r="C1783" s="59"/>
      <c r="D1783" s="59" t="str">
        <f t="shared" si="140"/>
        <v>Removed</v>
      </c>
      <c r="E1783" s="133">
        <v>42887.0</v>
      </c>
      <c r="F1783" s="133">
        <v>43922.0</v>
      </c>
      <c r="G1783" s="65">
        <f t="shared" si="2"/>
        <v>34</v>
      </c>
      <c r="H1783" s="88">
        <v>34635.0</v>
      </c>
      <c r="I1783" s="65">
        <f t="shared" si="3"/>
        <v>22.59166667</v>
      </c>
      <c r="J1783" s="121">
        <v>73.0</v>
      </c>
      <c r="K1783" s="121">
        <v>1.0</v>
      </c>
      <c r="L1783" s="91" t="s">
        <v>105</v>
      </c>
      <c r="M1783" s="91"/>
      <c r="N1783" s="91"/>
      <c r="O1783" s="91"/>
      <c r="P1783" s="134"/>
      <c r="Q1783" s="69" t="s">
        <v>2841</v>
      </c>
      <c r="R1783" s="59"/>
      <c r="S1783" s="88"/>
      <c r="T1783" s="65"/>
      <c r="U1783" s="88"/>
      <c r="V1783" s="65"/>
    </row>
    <row r="1784">
      <c r="A1784" s="74" t="s">
        <v>3486</v>
      </c>
      <c r="B1784" s="75" t="s">
        <v>2984</v>
      </c>
      <c r="C1784" s="76"/>
      <c r="D1784" s="76" t="s">
        <v>2985</v>
      </c>
      <c r="E1784" s="218">
        <v>43906.0</v>
      </c>
      <c r="F1784" s="77">
        <v>43921.0</v>
      </c>
      <c r="G1784" s="79">
        <f t="shared" si="2"/>
        <v>0.4666666667</v>
      </c>
      <c r="H1784" s="90">
        <v>40848.0</v>
      </c>
      <c r="I1784" s="79">
        <f t="shared" si="3"/>
        <v>8.375</v>
      </c>
      <c r="J1784" s="106">
        <v>77.0</v>
      </c>
      <c r="K1784" s="106">
        <v>5.5</v>
      </c>
      <c r="L1784" s="82" t="s">
        <v>57</v>
      </c>
      <c r="M1784" s="82" t="s">
        <v>72</v>
      </c>
      <c r="N1784" s="82" t="s">
        <v>2761</v>
      </c>
      <c r="O1784" s="82"/>
      <c r="P1784" s="107"/>
      <c r="Q1784" s="82"/>
      <c r="R1784" s="76"/>
      <c r="S1784" s="90"/>
      <c r="T1784" s="79"/>
      <c r="U1784" s="90"/>
      <c r="V1784" s="79"/>
    </row>
    <row r="1785">
      <c r="A1785" s="53" t="s">
        <v>3487</v>
      </c>
      <c r="B1785" s="54" t="s">
        <v>2759</v>
      </c>
      <c r="C1785" s="59"/>
      <c r="D1785" s="59" t="s">
        <v>2760</v>
      </c>
      <c r="E1785" s="133">
        <v>43891.0</v>
      </c>
      <c r="F1785" s="61">
        <v>43921.0</v>
      </c>
      <c r="G1785" s="65">
        <f t="shared" si="2"/>
        <v>0.9666666667</v>
      </c>
      <c r="H1785" s="88">
        <v>42955.0</v>
      </c>
      <c r="I1785" s="65">
        <f t="shared" si="3"/>
        <v>2.563888889</v>
      </c>
      <c r="J1785" s="121">
        <v>80.0</v>
      </c>
      <c r="K1785" s="121">
        <v>10.0</v>
      </c>
      <c r="L1785" s="69" t="s">
        <v>41</v>
      </c>
      <c r="M1785" s="69"/>
      <c r="N1785" s="69"/>
      <c r="O1785" s="69"/>
      <c r="P1785" s="122"/>
      <c r="Q1785" s="69"/>
      <c r="R1785" s="59"/>
      <c r="S1785" s="88"/>
      <c r="T1785" s="65"/>
      <c r="U1785" s="88"/>
      <c r="V1785" s="65"/>
    </row>
    <row r="1786">
      <c r="A1786" s="74" t="s">
        <v>3488</v>
      </c>
      <c r="B1786" s="75" t="s">
        <v>2984</v>
      </c>
      <c r="C1786" s="76"/>
      <c r="D1786" s="76" t="s">
        <v>2985</v>
      </c>
      <c r="E1786" s="218">
        <v>43891.0</v>
      </c>
      <c r="F1786" s="77">
        <v>43905.0</v>
      </c>
      <c r="G1786" s="79">
        <f t="shared" si="2"/>
        <v>0.4666666667</v>
      </c>
      <c r="H1786" s="90">
        <v>41695.0</v>
      </c>
      <c r="I1786" s="79">
        <f t="shared" si="3"/>
        <v>6.016666667</v>
      </c>
      <c r="J1786" s="106">
        <v>70.0</v>
      </c>
      <c r="K1786" s="106">
        <v>11.0</v>
      </c>
      <c r="L1786" s="82" t="s">
        <v>41</v>
      </c>
      <c r="M1786" s="82"/>
      <c r="N1786" s="82" t="s">
        <v>2761</v>
      </c>
      <c r="O1786" s="82"/>
      <c r="P1786" s="107"/>
      <c r="Q1786" s="82"/>
      <c r="R1786" s="76"/>
      <c r="S1786" s="90"/>
      <c r="T1786" s="79"/>
      <c r="U1786" s="90"/>
      <c r="V1786" s="79"/>
    </row>
    <row r="1787">
      <c r="A1787" s="53" t="s">
        <v>3489</v>
      </c>
      <c r="B1787" s="54" t="s">
        <v>2759</v>
      </c>
      <c r="C1787" s="59"/>
      <c r="D1787" s="59" t="s">
        <v>2760</v>
      </c>
      <c r="E1787" s="133">
        <v>43877.0</v>
      </c>
      <c r="F1787" s="61">
        <v>43905.0</v>
      </c>
      <c r="G1787" s="65">
        <f t="shared" si="2"/>
        <v>0.9666666667</v>
      </c>
      <c r="H1787" s="88">
        <v>43403.0</v>
      </c>
      <c r="I1787" s="65">
        <f t="shared" si="3"/>
        <v>1.294444444</v>
      </c>
      <c r="J1787" s="121">
        <v>66.0</v>
      </c>
      <c r="K1787" s="121">
        <v>8.0</v>
      </c>
      <c r="L1787" s="69" t="s">
        <v>135</v>
      </c>
      <c r="M1787" s="69"/>
      <c r="N1787" s="69" t="s">
        <v>2761</v>
      </c>
      <c r="O1787" s="69"/>
      <c r="P1787" s="122"/>
      <c r="Q1787" s="69"/>
      <c r="R1787" s="59"/>
      <c r="S1787" s="88"/>
      <c r="T1787" s="65"/>
      <c r="U1787" s="88"/>
      <c r="V1787" s="65"/>
    </row>
    <row r="1788">
      <c r="A1788" s="226" t="s">
        <v>3490</v>
      </c>
      <c r="B1788" s="75" t="s">
        <v>129</v>
      </c>
      <c r="C1788" s="76"/>
      <c r="D1788" s="76" t="str">
        <f t="shared" ref="D1788:D1802" si="141">IF(E1788&gt;TODAY(),"Coming Soon",IF(F1788="","Active",IF(F1788&gt;TODAY(),"Leaving Soon","Removed")))</f>
        <v>Removed</v>
      </c>
      <c r="E1788" s="218">
        <v>43734.0</v>
      </c>
      <c r="F1788" s="218">
        <v>43891.0</v>
      </c>
      <c r="G1788" s="79">
        <f t="shared" si="2"/>
        <v>5.166666667</v>
      </c>
      <c r="H1788" s="90">
        <v>42801.0</v>
      </c>
      <c r="I1788" s="79">
        <f t="shared" si="3"/>
        <v>2.552777778</v>
      </c>
      <c r="J1788" s="106">
        <v>69.0</v>
      </c>
      <c r="K1788" s="106">
        <v>9.0</v>
      </c>
      <c r="L1788" s="83" t="s">
        <v>41</v>
      </c>
      <c r="M1788" s="82" t="s">
        <v>1826</v>
      </c>
      <c r="N1788" s="83"/>
      <c r="O1788" s="83"/>
      <c r="P1788" s="219"/>
      <c r="Q1788" s="82" t="s">
        <v>1827</v>
      </c>
      <c r="R1788" s="76"/>
      <c r="S1788" s="90"/>
      <c r="T1788" s="79"/>
      <c r="U1788" s="90"/>
      <c r="V1788" s="79"/>
    </row>
    <row r="1789">
      <c r="A1789" s="207" t="s">
        <v>3491</v>
      </c>
      <c r="B1789" s="59" t="s">
        <v>13</v>
      </c>
      <c r="C1789" s="59"/>
      <c r="D1789" s="59" t="str">
        <f t="shared" si="141"/>
        <v>Removed</v>
      </c>
      <c r="E1789" s="133">
        <v>43625.0</v>
      </c>
      <c r="F1789" s="133">
        <v>43891.0</v>
      </c>
      <c r="G1789" s="65">
        <f t="shared" si="2"/>
        <v>8.733333333</v>
      </c>
      <c r="H1789" s="88">
        <v>43159.0</v>
      </c>
      <c r="I1789" s="65">
        <f t="shared" si="3"/>
        <v>1.280555556</v>
      </c>
      <c r="J1789" s="121">
        <v>73.0</v>
      </c>
      <c r="K1789" s="121">
        <v>2.5</v>
      </c>
      <c r="L1789" s="69" t="s">
        <v>135</v>
      </c>
      <c r="M1789" s="69"/>
      <c r="N1789" s="69"/>
      <c r="O1789" s="69"/>
      <c r="P1789" s="122"/>
      <c r="Q1789" s="69"/>
      <c r="R1789" s="54"/>
      <c r="S1789" s="88"/>
      <c r="T1789" s="65"/>
      <c r="U1789" s="88"/>
      <c r="V1789" s="65"/>
    </row>
    <row r="1790">
      <c r="A1790" s="226" t="s">
        <v>3492</v>
      </c>
      <c r="B1790" s="76" t="s">
        <v>13</v>
      </c>
      <c r="C1790" s="76"/>
      <c r="D1790" s="76" t="str">
        <f t="shared" si="141"/>
        <v>Removed</v>
      </c>
      <c r="E1790" s="218">
        <v>43625.0</v>
      </c>
      <c r="F1790" s="218">
        <v>43891.0</v>
      </c>
      <c r="G1790" s="79">
        <f t="shared" si="2"/>
        <v>8.733333333</v>
      </c>
      <c r="H1790" s="90">
        <v>43059.0</v>
      </c>
      <c r="I1790" s="79">
        <f t="shared" si="3"/>
        <v>1.552777778</v>
      </c>
      <c r="J1790" s="106">
        <v>80.0</v>
      </c>
      <c r="K1790" s="106">
        <v>8.5</v>
      </c>
      <c r="L1790" s="82" t="s">
        <v>41</v>
      </c>
      <c r="M1790" s="83"/>
      <c r="N1790" s="83"/>
      <c r="O1790" s="83"/>
      <c r="P1790" s="219"/>
      <c r="Q1790" s="83"/>
      <c r="R1790" s="75"/>
      <c r="S1790" s="90"/>
      <c r="T1790" s="79"/>
      <c r="U1790" s="90"/>
      <c r="V1790" s="79"/>
    </row>
    <row r="1791">
      <c r="A1791" s="207" t="s">
        <v>3493</v>
      </c>
      <c r="B1791" s="54" t="s">
        <v>129</v>
      </c>
      <c r="C1791" s="59"/>
      <c r="D1791" s="59" t="str">
        <f t="shared" si="141"/>
        <v>Removed</v>
      </c>
      <c r="E1791" s="133">
        <v>43625.0</v>
      </c>
      <c r="F1791" s="133">
        <v>43891.0</v>
      </c>
      <c r="G1791" s="65">
        <f t="shared" si="2"/>
        <v>8.733333333</v>
      </c>
      <c r="H1791" s="88">
        <v>41170.0</v>
      </c>
      <c r="I1791" s="65">
        <f t="shared" si="3"/>
        <v>6.725</v>
      </c>
      <c r="J1791" s="121">
        <v>80.0</v>
      </c>
      <c r="K1791" s="121">
        <v>30.5</v>
      </c>
      <c r="L1791" s="69" t="s">
        <v>37</v>
      </c>
      <c r="M1791" s="91"/>
      <c r="N1791" s="91"/>
      <c r="O1791" s="91"/>
      <c r="P1791" s="134"/>
      <c r="Q1791" s="91"/>
      <c r="R1791" s="59"/>
      <c r="S1791" s="88"/>
      <c r="T1791" s="65"/>
      <c r="U1791" s="88"/>
      <c r="V1791" s="65"/>
    </row>
    <row r="1792">
      <c r="A1792" s="74" t="s">
        <v>3494</v>
      </c>
      <c r="B1792" s="75" t="s">
        <v>129</v>
      </c>
      <c r="C1792" s="76"/>
      <c r="D1792" s="76" t="str">
        <f t="shared" si="141"/>
        <v>Removed</v>
      </c>
      <c r="E1792" s="218">
        <v>43625.0</v>
      </c>
      <c r="F1792" s="218">
        <v>43891.0</v>
      </c>
      <c r="G1792" s="79">
        <f t="shared" si="2"/>
        <v>8.733333333</v>
      </c>
      <c r="H1792" s="90">
        <v>41926.0</v>
      </c>
      <c r="I1792" s="79">
        <f t="shared" si="3"/>
        <v>4.652777778</v>
      </c>
      <c r="J1792" s="106">
        <v>80.0</v>
      </c>
      <c r="K1792" s="106">
        <v>18.0</v>
      </c>
      <c r="L1792" s="82" t="s">
        <v>37</v>
      </c>
      <c r="M1792" s="83"/>
      <c r="N1792" s="83"/>
      <c r="O1792" s="83"/>
      <c r="P1792" s="219"/>
      <c r="Q1792" s="83"/>
      <c r="R1792" s="76"/>
      <c r="S1792" s="90"/>
      <c r="T1792" s="79"/>
      <c r="U1792" s="90"/>
      <c r="V1792" s="79"/>
    </row>
    <row r="1793">
      <c r="A1793" s="207" t="s">
        <v>3495</v>
      </c>
      <c r="B1793" s="59" t="s">
        <v>13</v>
      </c>
      <c r="C1793" s="59"/>
      <c r="D1793" s="59" t="str">
        <f t="shared" si="141"/>
        <v>Removed</v>
      </c>
      <c r="E1793" s="133">
        <v>43625.0</v>
      </c>
      <c r="F1793" s="133">
        <v>43891.0</v>
      </c>
      <c r="G1793" s="65">
        <f t="shared" si="2"/>
        <v>8.733333333</v>
      </c>
      <c r="H1793" s="88">
        <v>42934.0</v>
      </c>
      <c r="I1793" s="65">
        <f t="shared" si="3"/>
        <v>1.891666667</v>
      </c>
      <c r="J1793" s="208">
        <v>80.0</v>
      </c>
      <c r="K1793" s="121">
        <v>5.0</v>
      </c>
      <c r="L1793" s="69" t="s">
        <v>46</v>
      </c>
      <c r="M1793" s="69"/>
      <c r="N1793" s="69"/>
      <c r="O1793" s="69"/>
      <c r="P1793" s="122"/>
      <c r="Q1793" s="69"/>
      <c r="R1793" s="54"/>
      <c r="S1793" s="88"/>
      <c r="T1793" s="65"/>
      <c r="U1793" s="88"/>
      <c r="V1793" s="65"/>
    </row>
    <row r="1794">
      <c r="A1794" s="226" t="s">
        <v>2119</v>
      </c>
      <c r="B1794" s="75" t="s">
        <v>35</v>
      </c>
      <c r="C1794" s="76"/>
      <c r="D1794" s="76" t="str">
        <f t="shared" si="141"/>
        <v>Removed</v>
      </c>
      <c r="E1794" s="218">
        <v>43625.0</v>
      </c>
      <c r="F1794" s="218">
        <v>43891.0</v>
      </c>
      <c r="G1794" s="79">
        <f t="shared" si="2"/>
        <v>8.733333333</v>
      </c>
      <c r="H1794" s="90">
        <v>42640.0</v>
      </c>
      <c r="I1794" s="79">
        <f t="shared" si="3"/>
        <v>2.7</v>
      </c>
      <c r="J1794" s="106">
        <v>69.0</v>
      </c>
      <c r="K1794" s="106">
        <v>4.0</v>
      </c>
      <c r="L1794" s="82" t="s">
        <v>62</v>
      </c>
      <c r="M1794" s="83"/>
      <c r="N1794" s="83"/>
      <c r="O1794" s="83"/>
      <c r="P1794" s="219"/>
      <c r="Q1794" s="83"/>
      <c r="R1794" s="76"/>
      <c r="S1794" s="90"/>
      <c r="T1794" s="79"/>
      <c r="U1794" s="90"/>
      <c r="V1794" s="79"/>
    </row>
    <row r="1795">
      <c r="A1795" s="207" t="s">
        <v>3496</v>
      </c>
      <c r="B1795" s="59" t="s">
        <v>13</v>
      </c>
      <c r="C1795" s="59"/>
      <c r="D1795" s="59" t="str">
        <f t="shared" si="141"/>
        <v>Removed</v>
      </c>
      <c r="E1795" s="133">
        <v>43625.0</v>
      </c>
      <c r="F1795" s="133">
        <v>43891.0</v>
      </c>
      <c r="G1795" s="65">
        <f t="shared" si="2"/>
        <v>8.733333333</v>
      </c>
      <c r="H1795" s="88">
        <v>42671.0</v>
      </c>
      <c r="I1795" s="65">
        <f t="shared" si="3"/>
        <v>2.613888889</v>
      </c>
      <c r="J1795" s="208">
        <v>77.0</v>
      </c>
      <c r="K1795" s="121">
        <v>4.5</v>
      </c>
      <c r="L1795" s="91" t="s">
        <v>135</v>
      </c>
      <c r="M1795" s="91"/>
      <c r="N1795" s="91"/>
      <c r="O1795" s="91"/>
      <c r="P1795" s="134"/>
      <c r="Q1795" s="91"/>
      <c r="R1795" s="54"/>
      <c r="S1795" s="88"/>
      <c r="T1795" s="65"/>
      <c r="U1795" s="88"/>
      <c r="V1795" s="65"/>
    </row>
    <row r="1796">
      <c r="A1796" s="226" t="s">
        <v>3497</v>
      </c>
      <c r="B1796" s="75" t="s">
        <v>35</v>
      </c>
      <c r="C1796" s="76"/>
      <c r="D1796" s="76" t="str">
        <f t="shared" si="141"/>
        <v>Removed</v>
      </c>
      <c r="E1796" s="218">
        <v>43625.0</v>
      </c>
      <c r="F1796" s="218">
        <v>43891.0</v>
      </c>
      <c r="G1796" s="79">
        <f t="shared" si="2"/>
        <v>8.733333333</v>
      </c>
      <c r="H1796" s="90">
        <v>36523.0</v>
      </c>
      <c r="I1796" s="79">
        <f t="shared" si="3"/>
        <v>19.44444444</v>
      </c>
      <c r="J1796" s="216">
        <f t="shared" ref="J1796:J1797" si="142">ROUND((74+76)/2,)</f>
        <v>75</v>
      </c>
      <c r="K1796" s="106">
        <v>19.5</v>
      </c>
      <c r="L1796" s="82" t="s">
        <v>46</v>
      </c>
      <c r="M1796" s="83"/>
      <c r="N1796" s="83"/>
      <c r="O1796" s="83"/>
      <c r="P1796" s="219"/>
      <c r="Q1796" s="82" t="s">
        <v>2841</v>
      </c>
      <c r="R1796" s="76"/>
      <c r="S1796" s="90"/>
      <c r="T1796" s="79"/>
      <c r="U1796" s="90"/>
      <c r="V1796" s="79"/>
    </row>
    <row r="1797">
      <c r="A1797" s="207" t="s">
        <v>3498</v>
      </c>
      <c r="B1797" s="54" t="s">
        <v>35</v>
      </c>
      <c r="C1797" s="59"/>
      <c r="D1797" s="59" t="str">
        <f t="shared" si="141"/>
        <v>Removed</v>
      </c>
      <c r="E1797" s="133">
        <v>43625.0</v>
      </c>
      <c r="F1797" s="133">
        <v>43891.0</v>
      </c>
      <c r="G1797" s="65">
        <f t="shared" si="2"/>
        <v>8.733333333</v>
      </c>
      <c r="H1797" s="88">
        <v>37140.0</v>
      </c>
      <c r="I1797" s="65">
        <f t="shared" si="3"/>
        <v>17.75833333</v>
      </c>
      <c r="J1797" s="208">
        <f t="shared" si="142"/>
        <v>75</v>
      </c>
      <c r="K1797" s="121">
        <v>24.5</v>
      </c>
      <c r="L1797" s="91" t="s">
        <v>41</v>
      </c>
      <c r="M1797" s="91"/>
      <c r="N1797" s="91"/>
      <c r="O1797" s="91"/>
      <c r="P1797" s="134"/>
      <c r="Q1797" s="69" t="s">
        <v>2841</v>
      </c>
      <c r="R1797" s="59"/>
      <c r="S1797" s="88"/>
      <c r="T1797" s="65"/>
      <c r="U1797" s="88"/>
      <c r="V1797" s="65"/>
    </row>
    <row r="1798">
      <c r="A1798" s="226" t="s">
        <v>2167</v>
      </c>
      <c r="B1798" s="75" t="s">
        <v>35</v>
      </c>
      <c r="C1798" s="76"/>
      <c r="D1798" s="76" t="str">
        <f t="shared" si="141"/>
        <v>Removed</v>
      </c>
      <c r="E1798" s="218">
        <v>43625.0</v>
      </c>
      <c r="F1798" s="218">
        <v>43891.0</v>
      </c>
      <c r="G1798" s="79">
        <f t="shared" si="2"/>
        <v>8.733333333</v>
      </c>
      <c r="H1798" s="90">
        <v>42824.0</v>
      </c>
      <c r="I1798" s="79">
        <f t="shared" si="3"/>
        <v>2.191666667</v>
      </c>
      <c r="J1798" s="106">
        <v>84.0</v>
      </c>
      <c r="K1798" s="106">
        <v>10.5</v>
      </c>
      <c r="L1798" s="83" t="s">
        <v>135</v>
      </c>
      <c r="M1798" s="83"/>
      <c r="N1798" s="83"/>
      <c r="O1798" s="83"/>
      <c r="P1798" s="219"/>
      <c r="Q1798" s="83"/>
      <c r="R1798" s="76"/>
      <c r="S1798" s="90"/>
      <c r="T1798" s="79"/>
      <c r="U1798" s="90"/>
      <c r="V1798" s="79"/>
    </row>
    <row r="1799">
      <c r="A1799" s="207" t="s">
        <v>3499</v>
      </c>
      <c r="B1799" s="59" t="s">
        <v>13</v>
      </c>
      <c r="C1799" s="59"/>
      <c r="D1799" s="59" t="str">
        <f t="shared" si="141"/>
        <v>Removed</v>
      </c>
      <c r="E1799" s="133">
        <v>43625.0</v>
      </c>
      <c r="F1799" s="133">
        <v>43891.0</v>
      </c>
      <c r="G1799" s="65">
        <f t="shared" si="2"/>
        <v>8.733333333</v>
      </c>
      <c r="H1799" s="88">
        <v>42613.0</v>
      </c>
      <c r="I1799" s="65">
        <f t="shared" si="3"/>
        <v>2.775</v>
      </c>
      <c r="J1799" s="208">
        <v>77.0</v>
      </c>
      <c r="K1799" s="121">
        <v>34.0</v>
      </c>
      <c r="L1799" s="69" t="s">
        <v>46</v>
      </c>
      <c r="M1799" s="91"/>
      <c r="N1799" s="91"/>
      <c r="O1799" s="91"/>
      <c r="P1799" s="134"/>
      <c r="Q1799" s="91"/>
      <c r="R1799" s="54"/>
      <c r="S1799" s="88"/>
      <c r="T1799" s="65"/>
      <c r="U1799" s="88"/>
      <c r="V1799" s="65"/>
    </row>
    <row r="1800">
      <c r="A1800" s="226" t="s">
        <v>3500</v>
      </c>
      <c r="B1800" s="75" t="s">
        <v>129</v>
      </c>
      <c r="C1800" s="76"/>
      <c r="D1800" s="76" t="str">
        <f t="shared" si="141"/>
        <v>Removed</v>
      </c>
      <c r="E1800" s="218">
        <v>43566.0</v>
      </c>
      <c r="F1800" s="218">
        <v>43891.0</v>
      </c>
      <c r="G1800" s="79">
        <f t="shared" si="2"/>
        <v>10.66666667</v>
      </c>
      <c r="H1800" s="90">
        <v>42913.0</v>
      </c>
      <c r="I1800" s="79">
        <f t="shared" si="3"/>
        <v>1.788888889</v>
      </c>
      <c r="J1800" s="216">
        <v>69.0</v>
      </c>
      <c r="K1800" s="106">
        <v>125.0</v>
      </c>
      <c r="L1800" s="83" t="s">
        <v>3501</v>
      </c>
      <c r="M1800" s="83"/>
      <c r="N1800" s="83"/>
      <c r="O1800" s="83"/>
      <c r="P1800" s="219"/>
      <c r="Q1800" s="83"/>
      <c r="R1800" s="76"/>
      <c r="S1800" s="90"/>
      <c r="T1800" s="79"/>
      <c r="U1800" s="90"/>
      <c r="V1800" s="79"/>
    </row>
    <row r="1801">
      <c r="A1801" s="207" t="s">
        <v>2137</v>
      </c>
      <c r="B1801" s="54" t="s">
        <v>35</v>
      </c>
      <c r="C1801" s="59"/>
      <c r="D1801" s="59" t="str">
        <f t="shared" si="141"/>
        <v>Removed</v>
      </c>
      <c r="E1801" s="133">
        <v>43553.0</v>
      </c>
      <c r="F1801" s="133">
        <v>43891.0</v>
      </c>
      <c r="G1801" s="65">
        <f t="shared" si="2"/>
        <v>11.06666667</v>
      </c>
      <c r="H1801" s="88">
        <v>43553.0</v>
      </c>
      <c r="I1801" s="65">
        <f t="shared" si="3"/>
        <v>0</v>
      </c>
      <c r="J1801" s="208">
        <f>ROUND((78+82)/2,)</f>
        <v>80</v>
      </c>
      <c r="K1801" s="121">
        <v>19.0</v>
      </c>
      <c r="L1801" s="69" t="s">
        <v>46</v>
      </c>
      <c r="M1801" s="91"/>
      <c r="N1801" s="91"/>
      <c r="O1801" s="91"/>
      <c r="P1801" s="134"/>
      <c r="Q1801" s="91"/>
      <c r="R1801" s="59"/>
      <c r="S1801" s="88"/>
      <c r="T1801" s="65"/>
      <c r="U1801" s="88"/>
      <c r="V1801" s="65"/>
    </row>
    <row r="1802">
      <c r="A1802" s="226" t="s">
        <v>3502</v>
      </c>
      <c r="B1802" s="75" t="s">
        <v>129</v>
      </c>
      <c r="C1802" s="76"/>
      <c r="D1802" s="76" t="str">
        <f t="shared" si="141"/>
        <v>Removed</v>
      </c>
      <c r="E1802" s="218">
        <v>43545.0</v>
      </c>
      <c r="F1802" s="218">
        <v>43891.0</v>
      </c>
      <c r="G1802" s="79">
        <f t="shared" si="2"/>
        <v>11.33333333</v>
      </c>
      <c r="H1802" s="90">
        <v>42605.0</v>
      </c>
      <c r="I1802" s="79">
        <f t="shared" si="3"/>
        <v>2.577777778</v>
      </c>
      <c r="J1802" s="106">
        <v>83.0</v>
      </c>
      <c r="K1802" s="106">
        <v>15.5</v>
      </c>
      <c r="L1802" s="82" t="s">
        <v>37</v>
      </c>
      <c r="M1802" s="82" t="s">
        <v>1747</v>
      </c>
      <c r="N1802" s="83"/>
      <c r="O1802" s="83"/>
      <c r="P1802" s="219"/>
      <c r="Q1802" s="83"/>
      <c r="R1802" s="76"/>
      <c r="S1802" s="90"/>
      <c r="T1802" s="79"/>
      <c r="U1802" s="90"/>
      <c r="V1802" s="79"/>
    </row>
    <row r="1803">
      <c r="A1803" s="53" t="s">
        <v>3503</v>
      </c>
      <c r="B1803" s="54" t="s">
        <v>2984</v>
      </c>
      <c r="C1803" s="59"/>
      <c r="D1803" s="59" t="s">
        <v>2985</v>
      </c>
      <c r="E1803" s="133">
        <v>43877.0</v>
      </c>
      <c r="F1803" s="61">
        <v>43890.0</v>
      </c>
      <c r="G1803" s="65">
        <f t="shared" si="2"/>
        <v>0.4333333333</v>
      </c>
      <c r="H1803" s="88">
        <v>42325.0</v>
      </c>
      <c r="I1803" s="65">
        <f t="shared" si="3"/>
        <v>4.247222222</v>
      </c>
      <c r="J1803" s="121">
        <v>75.0</v>
      </c>
      <c r="K1803" s="121">
        <v>7.0</v>
      </c>
      <c r="L1803" s="69" t="s">
        <v>37</v>
      </c>
      <c r="M1803" s="69" t="s">
        <v>72</v>
      </c>
      <c r="N1803" s="69" t="s">
        <v>2761</v>
      </c>
      <c r="O1803" s="69"/>
      <c r="P1803" s="122"/>
      <c r="Q1803" s="69"/>
      <c r="R1803" s="59"/>
      <c r="S1803" s="88"/>
      <c r="T1803" s="65"/>
      <c r="U1803" s="88"/>
      <c r="V1803" s="65"/>
    </row>
    <row r="1804">
      <c r="A1804" s="74" t="s">
        <v>3504</v>
      </c>
      <c r="B1804" s="75" t="s">
        <v>2759</v>
      </c>
      <c r="C1804" s="76"/>
      <c r="D1804" s="76" t="s">
        <v>2760</v>
      </c>
      <c r="E1804" s="218">
        <v>43862.0</v>
      </c>
      <c r="F1804" s="77">
        <v>43890.0</v>
      </c>
      <c r="G1804" s="79">
        <f t="shared" si="2"/>
        <v>0.9333333333</v>
      </c>
      <c r="H1804" s="90">
        <v>43165.0</v>
      </c>
      <c r="I1804" s="79">
        <f t="shared" si="3"/>
        <v>1.902777778</v>
      </c>
      <c r="J1804" s="106">
        <v>67.0</v>
      </c>
      <c r="K1804" s="106">
        <v>14.0</v>
      </c>
      <c r="L1804" s="82" t="s">
        <v>55</v>
      </c>
      <c r="M1804" s="82"/>
      <c r="N1804" s="82" t="s">
        <v>2761</v>
      </c>
      <c r="O1804" s="82"/>
      <c r="P1804" s="107"/>
      <c r="Q1804" s="82"/>
      <c r="R1804" s="76"/>
      <c r="S1804" s="90"/>
      <c r="T1804" s="79"/>
      <c r="U1804" s="90"/>
      <c r="V1804" s="79"/>
    </row>
    <row r="1805">
      <c r="A1805" s="53" t="s">
        <v>3505</v>
      </c>
      <c r="B1805" s="54" t="s">
        <v>2984</v>
      </c>
      <c r="C1805" s="59"/>
      <c r="D1805" s="59" t="s">
        <v>2985</v>
      </c>
      <c r="E1805" s="133">
        <v>43862.0</v>
      </c>
      <c r="F1805" s="61">
        <v>43876.0</v>
      </c>
      <c r="G1805" s="65">
        <f t="shared" si="2"/>
        <v>0.4666666667</v>
      </c>
      <c r="H1805" s="88">
        <v>41031.0</v>
      </c>
      <c r="I1805" s="65">
        <f t="shared" si="3"/>
        <v>7.747222222</v>
      </c>
      <c r="J1805" s="121">
        <v>60.0</v>
      </c>
      <c r="K1805" s="121">
        <v>5.0</v>
      </c>
      <c r="L1805" s="69" t="s">
        <v>41</v>
      </c>
      <c r="M1805" s="69"/>
      <c r="N1805" s="69" t="s">
        <v>2761</v>
      </c>
      <c r="O1805" s="69"/>
      <c r="P1805" s="122"/>
      <c r="Q1805" s="69"/>
      <c r="R1805" s="59"/>
      <c r="S1805" s="88"/>
      <c r="T1805" s="65"/>
      <c r="U1805" s="88"/>
      <c r="V1805" s="65"/>
    </row>
    <row r="1806">
      <c r="A1806" s="74" t="s">
        <v>3506</v>
      </c>
      <c r="B1806" s="75" t="s">
        <v>2759</v>
      </c>
      <c r="C1806" s="76"/>
      <c r="D1806" s="76" t="s">
        <v>2760</v>
      </c>
      <c r="E1806" s="218">
        <v>43846.0</v>
      </c>
      <c r="F1806" s="77">
        <v>43876.0</v>
      </c>
      <c r="G1806" s="79">
        <f t="shared" si="2"/>
        <v>0.9666666667</v>
      </c>
      <c r="H1806" s="90">
        <v>42584.0</v>
      </c>
      <c r="I1806" s="79">
        <f t="shared" si="3"/>
        <v>3.455555556</v>
      </c>
      <c r="J1806" s="106">
        <v>77.0</v>
      </c>
      <c r="K1806" s="106">
        <v>8.0</v>
      </c>
      <c r="L1806" s="82" t="s">
        <v>41</v>
      </c>
      <c r="M1806" s="82"/>
      <c r="N1806" s="82"/>
      <c r="O1806" s="82"/>
      <c r="P1806" s="107"/>
      <c r="Q1806" s="82"/>
      <c r="R1806" s="76"/>
      <c r="S1806" s="90"/>
      <c r="T1806" s="79"/>
      <c r="U1806" s="90"/>
      <c r="V1806" s="79"/>
    </row>
    <row r="1807">
      <c r="A1807" s="53" t="s">
        <v>3507</v>
      </c>
      <c r="B1807" s="54" t="s">
        <v>129</v>
      </c>
      <c r="C1807" s="59"/>
      <c r="D1807" s="59" t="str">
        <f t="shared" ref="D1807:D1812" si="143">IF(E1807&gt;TODAY(),"Coming Soon",IF(F1807="","Active",IF(F1807&gt;TODAY(),"Leaving Soon","Removed")))</f>
        <v>Removed</v>
      </c>
      <c r="E1807" s="61">
        <v>43517.0</v>
      </c>
      <c r="F1807" s="61">
        <v>43876.0</v>
      </c>
      <c r="G1807" s="65">
        <f t="shared" si="2"/>
        <v>11.8</v>
      </c>
      <c r="H1807" s="88">
        <v>41231.0</v>
      </c>
      <c r="I1807" s="65">
        <f t="shared" si="3"/>
        <v>6.258333333</v>
      </c>
      <c r="J1807" s="121">
        <v>59.0</v>
      </c>
      <c r="K1807" s="121">
        <v>9.0</v>
      </c>
      <c r="L1807" s="69" t="s">
        <v>57</v>
      </c>
      <c r="M1807" s="91"/>
      <c r="N1807" s="91"/>
      <c r="O1807" s="91"/>
      <c r="P1807" s="134"/>
      <c r="Q1807" s="91"/>
      <c r="R1807" s="59"/>
      <c r="S1807" s="88"/>
      <c r="T1807" s="65"/>
      <c r="U1807" s="88"/>
      <c r="V1807" s="65"/>
    </row>
    <row r="1808">
      <c r="A1808" s="226" t="s">
        <v>3508</v>
      </c>
      <c r="B1808" s="75" t="s">
        <v>129</v>
      </c>
      <c r="C1808" s="76"/>
      <c r="D1808" s="76" t="str">
        <f t="shared" si="143"/>
        <v>Removed</v>
      </c>
      <c r="E1808" s="218">
        <v>43530.0</v>
      </c>
      <c r="F1808" s="218">
        <v>43863.0</v>
      </c>
      <c r="G1808" s="79">
        <f t="shared" si="2"/>
        <v>10.86666667</v>
      </c>
      <c r="H1808" s="90">
        <v>43438.0</v>
      </c>
      <c r="I1808" s="79">
        <f t="shared" si="3"/>
        <v>0.2555555556</v>
      </c>
      <c r="J1808" s="106">
        <v>70.0</v>
      </c>
      <c r="K1808" s="106">
        <v>16.0</v>
      </c>
      <c r="L1808" s="83" t="s">
        <v>41</v>
      </c>
      <c r="M1808" s="83"/>
      <c r="N1808" s="83"/>
      <c r="O1808" s="83"/>
      <c r="P1808" s="219"/>
      <c r="Q1808" s="83"/>
      <c r="R1808" s="76"/>
      <c r="S1808" s="90"/>
      <c r="T1808" s="79"/>
      <c r="U1808" s="90"/>
      <c r="V1808" s="79"/>
    </row>
    <row r="1809">
      <c r="A1809" s="207" t="s">
        <v>3509</v>
      </c>
      <c r="B1809" s="54" t="s">
        <v>129</v>
      </c>
      <c r="C1809" s="59"/>
      <c r="D1809" s="59" t="str">
        <f t="shared" si="143"/>
        <v>Removed</v>
      </c>
      <c r="E1809" s="133">
        <v>43517.0</v>
      </c>
      <c r="F1809" s="133">
        <v>43863.0</v>
      </c>
      <c r="G1809" s="65">
        <f t="shared" si="2"/>
        <v>11.36666667</v>
      </c>
      <c r="H1809" s="88">
        <v>40834.0</v>
      </c>
      <c r="I1809" s="65">
        <f t="shared" si="3"/>
        <v>7.341666667</v>
      </c>
      <c r="J1809" s="121">
        <v>77.0</v>
      </c>
      <c r="K1809" s="121">
        <v>12.5</v>
      </c>
      <c r="L1809" s="91" t="s">
        <v>41</v>
      </c>
      <c r="M1809" s="91"/>
      <c r="N1809" s="91"/>
      <c r="O1809" s="91"/>
      <c r="P1809" s="134"/>
      <c r="Q1809" s="91"/>
      <c r="R1809" s="59"/>
      <c r="S1809" s="88"/>
      <c r="T1809" s="65"/>
      <c r="U1809" s="88"/>
      <c r="V1809" s="65"/>
    </row>
    <row r="1810">
      <c r="A1810" s="226" t="s">
        <v>3510</v>
      </c>
      <c r="B1810" s="75" t="s">
        <v>129</v>
      </c>
      <c r="C1810" s="76"/>
      <c r="D1810" s="76" t="str">
        <f t="shared" si="143"/>
        <v>Removed</v>
      </c>
      <c r="E1810" s="218">
        <v>43685.0</v>
      </c>
      <c r="F1810" s="218">
        <v>43862.0</v>
      </c>
      <c r="G1810" s="79">
        <f t="shared" si="2"/>
        <v>5.766666667</v>
      </c>
      <c r="H1810" s="90">
        <v>42290.0</v>
      </c>
      <c r="I1810" s="79">
        <f t="shared" si="3"/>
        <v>3.819444444</v>
      </c>
      <c r="J1810" s="106">
        <v>80.0</v>
      </c>
      <c r="K1810" s="106">
        <v>2.0</v>
      </c>
      <c r="L1810" s="82" t="s">
        <v>289</v>
      </c>
      <c r="M1810" s="83"/>
      <c r="N1810" s="83"/>
      <c r="O1810" s="83"/>
      <c r="P1810" s="219"/>
      <c r="Q1810" s="83"/>
      <c r="R1810" s="76"/>
      <c r="S1810" s="90"/>
      <c r="T1810" s="79"/>
      <c r="U1810" s="90"/>
      <c r="V1810" s="79"/>
    </row>
    <row r="1811">
      <c r="A1811" s="207" t="s">
        <v>3511</v>
      </c>
      <c r="B1811" s="54" t="s">
        <v>129</v>
      </c>
      <c r="C1811" s="59"/>
      <c r="D1811" s="59" t="str">
        <f t="shared" si="143"/>
        <v>Removed</v>
      </c>
      <c r="E1811" s="133">
        <v>43517.0</v>
      </c>
      <c r="F1811" s="133">
        <v>43862.0</v>
      </c>
      <c r="G1811" s="65">
        <f t="shared" si="2"/>
        <v>11.33333333</v>
      </c>
      <c r="H1811" s="88">
        <v>40050.0</v>
      </c>
      <c r="I1811" s="65">
        <f t="shared" si="3"/>
        <v>9.488888889</v>
      </c>
      <c r="J1811" s="121">
        <v>77.0</v>
      </c>
      <c r="K1811" s="121">
        <v>12.0</v>
      </c>
      <c r="L1811" s="91" t="s">
        <v>41</v>
      </c>
      <c r="M1811" s="91"/>
      <c r="N1811" s="91"/>
      <c r="O1811" s="91"/>
      <c r="P1811" s="134"/>
      <c r="Q1811" s="69" t="s">
        <v>1822</v>
      </c>
      <c r="R1811" s="59"/>
      <c r="S1811" s="88"/>
      <c r="T1811" s="65"/>
      <c r="U1811" s="88"/>
      <c r="V1811" s="65"/>
    </row>
    <row r="1812">
      <c r="A1812" s="226" t="s">
        <v>3512</v>
      </c>
      <c r="B1812" s="75" t="s">
        <v>129</v>
      </c>
      <c r="C1812" s="76"/>
      <c r="D1812" s="76" t="str">
        <f t="shared" si="143"/>
        <v>Removed</v>
      </c>
      <c r="E1812" s="77">
        <v>43503.0</v>
      </c>
      <c r="F1812" s="218">
        <v>43862.0</v>
      </c>
      <c r="G1812" s="79">
        <f t="shared" si="2"/>
        <v>11.8</v>
      </c>
      <c r="H1812" s="90">
        <v>43503.0</v>
      </c>
      <c r="I1812" s="79">
        <f t="shared" si="3"/>
        <v>0</v>
      </c>
      <c r="J1812" s="106">
        <v>53.0</v>
      </c>
      <c r="K1812" s="106">
        <v>15.0</v>
      </c>
      <c r="L1812" s="82" t="s">
        <v>62</v>
      </c>
      <c r="M1812" s="83"/>
      <c r="N1812" s="83"/>
      <c r="O1812" s="83"/>
      <c r="P1812" s="219"/>
      <c r="Q1812" s="83"/>
      <c r="R1812" s="76"/>
      <c r="S1812" s="90"/>
      <c r="T1812" s="79"/>
      <c r="U1812" s="90"/>
      <c r="V1812" s="79"/>
    </row>
    <row r="1813">
      <c r="A1813" s="53" t="s">
        <v>3513</v>
      </c>
      <c r="B1813" s="54" t="s">
        <v>2984</v>
      </c>
      <c r="C1813" s="59"/>
      <c r="D1813" s="59" t="s">
        <v>2985</v>
      </c>
      <c r="E1813" s="133">
        <v>43846.0</v>
      </c>
      <c r="F1813" s="61">
        <v>43861.0</v>
      </c>
      <c r="G1813" s="65">
        <f t="shared" si="2"/>
        <v>0.4666666667</v>
      </c>
      <c r="H1813" s="88">
        <v>38971.0</v>
      </c>
      <c r="I1813" s="65">
        <f t="shared" si="3"/>
        <v>13.34722222</v>
      </c>
      <c r="J1813" s="121">
        <v>86.0</v>
      </c>
      <c r="K1813" s="121">
        <v>8.0</v>
      </c>
      <c r="L1813" s="69" t="s">
        <v>41</v>
      </c>
      <c r="M1813" s="69"/>
      <c r="N1813" s="69" t="s">
        <v>2761</v>
      </c>
      <c r="O1813" s="69"/>
      <c r="P1813" s="122"/>
      <c r="Q1813" s="267"/>
      <c r="R1813" s="59"/>
      <c r="S1813" s="88"/>
      <c r="T1813" s="65"/>
      <c r="U1813" s="88"/>
      <c r="V1813" s="65"/>
    </row>
    <row r="1814">
      <c r="A1814" s="74" t="s">
        <v>3514</v>
      </c>
      <c r="B1814" s="75" t="s">
        <v>2759</v>
      </c>
      <c r="C1814" s="76"/>
      <c r="D1814" s="76" t="s">
        <v>2760</v>
      </c>
      <c r="E1814" s="218">
        <v>43831.0</v>
      </c>
      <c r="F1814" s="77">
        <v>43861.0</v>
      </c>
      <c r="G1814" s="79">
        <f t="shared" si="2"/>
        <v>0.9666666667</v>
      </c>
      <c r="H1814" s="90">
        <v>42808.0</v>
      </c>
      <c r="I1814" s="79">
        <f t="shared" si="3"/>
        <v>2.797222222</v>
      </c>
      <c r="J1814" s="106">
        <v>73.0</v>
      </c>
      <c r="K1814" s="106">
        <v>14.0</v>
      </c>
      <c r="L1814" s="82" t="s">
        <v>3018</v>
      </c>
      <c r="M1814" s="82"/>
      <c r="N1814" s="82"/>
      <c r="O1814" s="82"/>
      <c r="P1814" s="107"/>
      <c r="Q1814" s="82"/>
      <c r="R1814" s="76"/>
      <c r="S1814" s="90"/>
      <c r="T1814" s="79"/>
      <c r="U1814" s="90"/>
      <c r="V1814" s="79"/>
    </row>
    <row r="1815">
      <c r="A1815" s="53" t="s">
        <v>3515</v>
      </c>
      <c r="B1815" s="54" t="s">
        <v>2984</v>
      </c>
      <c r="C1815" s="59"/>
      <c r="D1815" s="59" t="s">
        <v>2985</v>
      </c>
      <c r="E1815" s="133">
        <v>43831.0</v>
      </c>
      <c r="F1815" s="61">
        <v>43845.0</v>
      </c>
      <c r="G1815" s="65">
        <f t="shared" si="2"/>
        <v>0.4666666667</v>
      </c>
      <c r="H1815" s="88">
        <v>40113.0</v>
      </c>
      <c r="I1815" s="65">
        <f t="shared" si="3"/>
        <v>10.17777778</v>
      </c>
      <c r="J1815" s="121">
        <v>82.0</v>
      </c>
      <c r="K1815" s="121">
        <v>5.0</v>
      </c>
      <c r="L1815" s="69" t="s">
        <v>52</v>
      </c>
      <c r="M1815" s="69"/>
      <c r="N1815" s="69" t="s">
        <v>2761</v>
      </c>
      <c r="O1815" s="69"/>
      <c r="P1815" s="122"/>
      <c r="Q1815" s="69"/>
      <c r="R1815" s="59"/>
      <c r="S1815" s="88"/>
      <c r="T1815" s="65"/>
      <c r="U1815" s="88"/>
      <c r="V1815" s="65"/>
    </row>
    <row r="1816">
      <c r="A1816" s="74" t="s">
        <v>3061</v>
      </c>
      <c r="B1816" s="75" t="s">
        <v>2759</v>
      </c>
      <c r="C1816" s="76"/>
      <c r="D1816" s="76" t="s">
        <v>2760</v>
      </c>
      <c r="E1816" s="218">
        <v>43815.0</v>
      </c>
      <c r="F1816" s="77">
        <v>43845.0</v>
      </c>
      <c r="G1816" s="79">
        <f t="shared" si="2"/>
        <v>0.9666666667</v>
      </c>
      <c r="H1816" s="90">
        <v>43263.0</v>
      </c>
      <c r="I1816" s="79">
        <f t="shared" si="3"/>
        <v>1.511111111</v>
      </c>
      <c r="J1816" s="106">
        <v>71.0</v>
      </c>
      <c r="K1816" s="106">
        <v>21.0</v>
      </c>
      <c r="L1816" s="82" t="s">
        <v>64</v>
      </c>
      <c r="M1816" s="82"/>
      <c r="N1816" s="82" t="s">
        <v>2761</v>
      </c>
      <c r="O1816" s="82"/>
      <c r="P1816" s="107"/>
      <c r="Q1816" s="82"/>
      <c r="R1816" s="76"/>
      <c r="S1816" s="90"/>
      <c r="T1816" s="79"/>
      <c r="U1816" s="90"/>
      <c r="V1816" s="79"/>
    </row>
    <row r="1817">
      <c r="A1817" s="53" t="s">
        <v>311</v>
      </c>
      <c r="B1817" s="54" t="s">
        <v>129</v>
      </c>
      <c r="C1817" s="59"/>
      <c r="D1817" s="59" t="str">
        <f t="shared" ref="D1817:D1822" si="144">IF(E1817&gt;TODAY(),"Coming Soon",IF(F1817="","Active",IF(F1817&gt;TODAY(),"Leaving Soon","Removed")))</f>
        <v>Removed</v>
      </c>
      <c r="E1817" s="133">
        <v>43800.0</v>
      </c>
      <c r="F1817" s="133">
        <v>43831.0</v>
      </c>
      <c r="G1817" s="65">
        <f t="shared" si="2"/>
        <v>1</v>
      </c>
      <c r="H1817" s="88">
        <v>42437.0</v>
      </c>
      <c r="I1817" s="65">
        <f t="shared" si="3"/>
        <v>3.730555556</v>
      </c>
      <c r="J1817" s="121">
        <v>80.0</v>
      </c>
      <c r="K1817" s="121">
        <v>22.0</v>
      </c>
      <c r="L1817" s="69" t="s">
        <v>37</v>
      </c>
      <c r="M1817" s="69" t="s">
        <v>1747</v>
      </c>
      <c r="N1817" s="91"/>
      <c r="O1817" s="91"/>
      <c r="P1817" s="134"/>
      <c r="Q1817" s="91"/>
      <c r="R1817" s="59"/>
      <c r="S1817" s="88"/>
      <c r="T1817" s="65"/>
      <c r="U1817" s="88"/>
      <c r="V1817" s="65"/>
    </row>
    <row r="1818">
      <c r="A1818" s="226" t="s">
        <v>3516</v>
      </c>
      <c r="B1818" s="75" t="s">
        <v>129</v>
      </c>
      <c r="C1818" s="76"/>
      <c r="D1818" s="76" t="str">
        <f t="shared" si="144"/>
        <v>Removed</v>
      </c>
      <c r="E1818" s="218">
        <v>43657.0</v>
      </c>
      <c r="F1818" s="218">
        <v>43831.0</v>
      </c>
      <c r="G1818" s="79">
        <f t="shared" si="2"/>
        <v>5.666666667</v>
      </c>
      <c r="H1818" s="90">
        <v>41351.0</v>
      </c>
      <c r="I1818" s="79">
        <f t="shared" si="3"/>
        <v>6.313888889</v>
      </c>
      <c r="J1818" s="216">
        <v>77.0</v>
      </c>
      <c r="K1818" s="106">
        <v>15.5</v>
      </c>
      <c r="L1818" s="82" t="s">
        <v>57</v>
      </c>
      <c r="M1818" s="83"/>
      <c r="N1818" s="83"/>
      <c r="O1818" s="83"/>
      <c r="P1818" s="219"/>
      <c r="Q1818" s="83"/>
      <c r="R1818" s="76"/>
      <c r="S1818" s="90"/>
      <c r="T1818" s="79"/>
      <c r="U1818" s="90"/>
      <c r="V1818" s="79"/>
    </row>
    <row r="1819">
      <c r="A1819" s="207" t="s">
        <v>3517</v>
      </c>
      <c r="B1819" s="54" t="s">
        <v>129</v>
      </c>
      <c r="C1819" s="59"/>
      <c r="D1819" s="59" t="str">
        <f t="shared" si="144"/>
        <v>Removed</v>
      </c>
      <c r="E1819" s="133">
        <v>43647.0</v>
      </c>
      <c r="F1819" s="133">
        <v>43831.0</v>
      </c>
      <c r="G1819" s="65">
        <f t="shared" si="2"/>
        <v>6</v>
      </c>
      <c r="H1819" s="88">
        <v>38363.0</v>
      </c>
      <c r="I1819" s="65">
        <f t="shared" si="3"/>
        <v>14.47222222</v>
      </c>
      <c r="J1819" s="121">
        <v>76.0</v>
      </c>
      <c r="K1819" s="121">
        <v>16.0</v>
      </c>
      <c r="L1819" s="69" t="s">
        <v>37</v>
      </c>
      <c r="M1819" s="91"/>
      <c r="N1819" s="91"/>
      <c r="O1819" s="91"/>
      <c r="P1819" s="134"/>
      <c r="Q1819" s="69" t="s">
        <v>2841</v>
      </c>
      <c r="R1819" s="59"/>
      <c r="S1819" s="88"/>
      <c r="T1819" s="65"/>
      <c r="U1819" s="88"/>
      <c r="V1819" s="65"/>
    </row>
    <row r="1820">
      <c r="A1820" s="226" t="s">
        <v>3518</v>
      </c>
      <c r="B1820" s="75" t="s">
        <v>129</v>
      </c>
      <c r="C1820" s="76"/>
      <c r="D1820" s="76" t="str">
        <f t="shared" si="144"/>
        <v>Removed</v>
      </c>
      <c r="E1820" s="218">
        <v>43466.0</v>
      </c>
      <c r="F1820" s="218">
        <v>43831.0</v>
      </c>
      <c r="G1820" s="79">
        <f t="shared" si="2"/>
        <v>12</v>
      </c>
      <c r="H1820" s="90">
        <v>42339.0</v>
      </c>
      <c r="I1820" s="79">
        <f t="shared" si="3"/>
        <v>3.083333333</v>
      </c>
      <c r="J1820" s="216">
        <v>71.0</v>
      </c>
      <c r="K1820" s="106">
        <v>17.5</v>
      </c>
      <c r="L1820" s="83" t="s">
        <v>105</v>
      </c>
      <c r="M1820" s="83"/>
      <c r="N1820" s="83"/>
      <c r="O1820" s="83"/>
      <c r="P1820" s="219"/>
      <c r="Q1820" s="83"/>
      <c r="R1820" s="76"/>
      <c r="S1820" s="90"/>
      <c r="T1820" s="79"/>
      <c r="U1820" s="90"/>
      <c r="V1820" s="79"/>
    </row>
    <row r="1821">
      <c r="A1821" s="53" t="s">
        <v>2126</v>
      </c>
      <c r="B1821" s="54" t="s">
        <v>129</v>
      </c>
      <c r="C1821" s="59"/>
      <c r="D1821" s="59" t="str">
        <f t="shared" si="144"/>
        <v>Removed</v>
      </c>
      <c r="E1821" s="133">
        <v>43466.0</v>
      </c>
      <c r="F1821" s="133">
        <v>43831.0</v>
      </c>
      <c r="G1821" s="65">
        <f t="shared" si="2"/>
        <v>12</v>
      </c>
      <c r="H1821" s="88">
        <v>41912.0</v>
      </c>
      <c r="I1821" s="65">
        <f t="shared" si="3"/>
        <v>4.252777778</v>
      </c>
      <c r="J1821" s="121">
        <v>87.0</v>
      </c>
      <c r="K1821" s="121">
        <v>17.5</v>
      </c>
      <c r="L1821" s="91" t="s">
        <v>41</v>
      </c>
      <c r="M1821" s="91"/>
      <c r="N1821" s="91"/>
      <c r="O1821" s="91"/>
      <c r="P1821" s="134"/>
      <c r="Q1821" s="91"/>
      <c r="R1821" s="59"/>
      <c r="S1821" s="88"/>
      <c r="T1821" s="65"/>
      <c r="U1821" s="88"/>
      <c r="V1821" s="65"/>
    </row>
    <row r="1822">
      <c r="A1822" s="226" t="s">
        <v>3519</v>
      </c>
      <c r="B1822" s="75" t="s">
        <v>129</v>
      </c>
      <c r="C1822" s="76"/>
      <c r="D1822" s="76" t="str">
        <f t="shared" si="144"/>
        <v>Removed</v>
      </c>
      <c r="E1822" s="218">
        <v>43466.0</v>
      </c>
      <c r="F1822" s="218">
        <v>43831.0</v>
      </c>
      <c r="G1822" s="79">
        <f t="shared" si="2"/>
        <v>12</v>
      </c>
      <c r="H1822" s="90">
        <v>40862.0</v>
      </c>
      <c r="I1822" s="79">
        <f t="shared" si="3"/>
        <v>7.127777778</v>
      </c>
      <c r="J1822" s="106">
        <v>84.0</v>
      </c>
      <c r="K1822" s="106">
        <v>15.0</v>
      </c>
      <c r="L1822" s="82" t="s">
        <v>37</v>
      </c>
      <c r="M1822" s="83"/>
      <c r="N1822" s="83"/>
      <c r="O1822" s="83"/>
      <c r="P1822" s="219"/>
      <c r="Q1822" s="83"/>
      <c r="R1822" s="76"/>
      <c r="S1822" s="90"/>
      <c r="T1822" s="79"/>
      <c r="U1822" s="90"/>
      <c r="V1822" s="79"/>
    </row>
    <row r="1823">
      <c r="A1823" s="53" t="s">
        <v>3520</v>
      </c>
      <c r="B1823" s="54" t="s">
        <v>2984</v>
      </c>
      <c r="C1823" s="59"/>
      <c r="D1823" s="59" t="s">
        <v>2985</v>
      </c>
      <c r="E1823" s="133">
        <v>43815.0</v>
      </c>
      <c r="F1823" s="61">
        <v>43830.0</v>
      </c>
      <c r="G1823" s="65">
        <f t="shared" si="2"/>
        <v>0.4666666667</v>
      </c>
      <c r="H1823" s="88">
        <v>41572.0</v>
      </c>
      <c r="I1823" s="65">
        <f t="shared" si="3"/>
        <v>6.141666667</v>
      </c>
      <c r="J1823" s="121">
        <v>72.0</v>
      </c>
      <c r="K1823" s="121">
        <v>6.0</v>
      </c>
      <c r="L1823" s="69" t="s">
        <v>41</v>
      </c>
      <c r="M1823" s="69"/>
      <c r="N1823" s="69" t="s">
        <v>2761</v>
      </c>
      <c r="O1823" s="69"/>
      <c r="P1823" s="122"/>
      <c r="Q1823" s="69"/>
      <c r="R1823" s="59"/>
      <c r="S1823" s="88"/>
      <c r="T1823" s="65"/>
      <c r="U1823" s="88"/>
      <c r="V1823" s="65"/>
    </row>
    <row r="1824">
      <c r="A1824" s="74" t="s">
        <v>3521</v>
      </c>
      <c r="B1824" s="75" t="s">
        <v>2759</v>
      </c>
      <c r="C1824" s="76"/>
      <c r="D1824" s="76" t="s">
        <v>2760</v>
      </c>
      <c r="E1824" s="218">
        <v>43800.0</v>
      </c>
      <c r="F1824" s="77">
        <v>43830.0</v>
      </c>
      <c r="G1824" s="79">
        <f t="shared" si="2"/>
        <v>0.9666666667</v>
      </c>
      <c r="H1824" s="90">
        <v>43291.0</v>
      </c>
      <c r="I1824" s="79">
        <f t="shared" si="3"/>
        <v>1.391666667</v>
      </c>
      <c r="J1824" s="106">
        <v>69.0</v>
      </c>
      <c r="K1824" s="106">
        <v>6.0</v>
      </c>
      <c r="L1824" s="82" t="s">
        <v>81</v>
      </c>
      <c r="M1824" s="82"/>
      <c r="N1824" s="82" t="s">
        <v>2761</v>
      </c>
      <c r="O1824" s="82"/>
      <c r="P1824" s="107"/>
      <c r="Q1824" s="82"/>
      <c r="R1824" s="76"/>
      <c r="S1824" s="90"/>
      <c r="T1824" s="79"/>
      <c r="U1824" s="90"/>
      <c r="V1824" s="79"/>
    </row>
    <row r="1825">
      <c r="A1825" s="53" t="s">
        <v>3522</v>
      </c>
      <c r="B1825" s="54" t="s">
        <v>2984</v>
      </c>
      <c r="C1825" s="59"/>
      <c r="D1825" s="59" t="s">
        <v>2985</v>
      </c>
      <c r="E1825" s="133">
        <v>43800.0</v>
      </c>
      <c r="F1825" s="61">
        <v>43814.0</v>
      </c>
      <c r="G1825" s="65">
        <f t="shared" si="2"/>
        <v>0.4666666667</v>
      </c>
      <c r="H1825" s="88">
        <v>40344.0</v>
      </c>
      <c r="I1825" s="65">
        <f t="shared" si="3"/>
        <v>9.461111111</v>
      </c>
      <c r="J1825" s="121">
        <v>75.0</v>
      </c>
      <c r="K1825" s="121">
        <v>4.0</v>
      </c>
      <c r="L1825" s="69" t="s">
        <v>41</v>
      </c>
      <c r="M1825" s="69"/>
      <c r="N1825" s="69" t="s">
        <v>2761</v>
      </c>
      <c r="O1825" s="69"/>
      <c r="P1825" s="122"/>
      <c r="Q1825" s="69"/>
      <c r="R1825" s="59"/>
      <c r="S1825" s="88"/>
      <c r="T1825" s="65"/>
      <c r="U1825" s="88"/>
      <c r="V1825" s="65"/>
    </row>
    <row r="1826">
      <c r="A1826" s="74" t="s">
        <v>3523</v>
      </c>
      <c r="B1826" s="75" t="s">
        <v>2759</v>
      </c>
      <c r="C1826" s="76"/>
      <c r="D1826" s="76" t="s">
        <v>2760</v>
      </c>
      <c r="E1826" s="218">
        <v>43785.0</v>
      </c>
      <c r="F1826" s="77">
        <v>43814.0</v>
      </c>
      <c r="G1826" s="79">
        <f t="shared" si="2"/>
        <v>0.9666666667</v>
      </c>
      <c r="H1826" s="90">
        <v>42612.0</v>
      </c>
      <c r="I1826" s="79">
        <f t="shared" si="3"/>
        <v>3.211111111</v>
      </c>
      <c r="J1826" s="106">
        <v>73.0</v>
      </c>
      <c r="K1826" s="106">
        <v>5.0</v>
      </c>
      <c r="L1826" s="82" t="s">
        <v>41</v>
      </c>
      <c r="M1826" s="82"/>
      <c r="N1826" s="82"/>
      <c r="O1826" s="82"/>
      <c r="P1826" s="107"/>
      <c r="Q1826" s="82"/>
      <c r="R1826" s="76"/>
      <c r="S1826" s="90"/>
      <c r="T1826" s="79"/>
      <c r="U1826" s="90"/>
      <c r="V1826" s="79"/>
    </row>
    <row r="1827">
      <c r="A1827" s="207" t="s">
        <v>3524</v>
      </c>
      <c r="B1827" s="54" t="s">
        <v>129</v>
      </c>
      <c r="C1827" s="59"/>
      <c r="D1827" s="59" t="str">
        <f t="shared" ref="D1827:D1831" si="145">IF(E1827&gt;TODAY(),"Coming Soon",IF(F1827="","Active",IF(F1827&gt;TODAY(),"Leaving Soon","Removed")))</f>
        <v>Removed</v>
      </c>
      <c r="E1827" s="133">
        <v>43497.0</v>
      </c>
      <c r="F1827" s="133">
        <v>43800.0</v>
      </c>
      <c r="G1827" s="65">
        <f t="shared" si="2"/>
        <v>10</v>
      </c>
      <c r="H1827" s="88">
        <v>42577.0</v>
      </c>
      <c r="I1827" s="65">
        <f t="shared" si="3"/>
        <v>2.513888889</v>
      </c>
      <c r="J1827" s="208">
        <v>78.0</v>
      </c>
      <c r="K1827" s="121">
        <v>5.5</v>
      </c>
      <c r="L1827" s="69" t="s">
        <v>41</v>
      </c>
      <c r="M1827" s="69"/>
      <c r="N1827" s="69"/>
      <c r="O1827" s="69"/>
      <c r="P1827" s="122"/>
      <c r="Q1827" s="69"/>
      <c r="R1827" s="59"/>
      <c r="S1827" s="88"/>
      <c r="T1827" s="65"/>
      <c r="U1827" s="88"/>
      <c r="V1827" s="65"/>
    </row>
    <row r="1828">
      <c r="A1828" s="226" t="s">
        <v>3525</v>
      </c>
      <c r="B1828" s="75" t="s">
        <v>129</v>
      </c>
      <c r="C1828" s="76"/>
      <c r="D1828" s="76" t="str">
        <f t="shared" si="145"/>
        <v>Removed</v>
      </c>
      <c r="E1828" s="218">
        <v>43466.0</v>
      </c>
      <c r="F1828" s="218">
        <v>43800.0</v>
      </c>
      <c r="G1828" s="79">
        <f t="shared" si="2"/>
        <v>11</v>
      </c>
      <c r="H1828" s="90">
        <v>42034.0</v>
      </c>
      <c r="I1828" s="79">
        <f t="shared" si="3"/>
        <v>3.919444444</v>
      </c>
      <c r="J1828" s="106">
        <v>85.0</v>
      </c>
      <c r="K1828" s="106">
        <v>14.0</v>
      </c>
      <c r="L1828" s="83" t="s">
        <v>135</v>
      </c>
      <c r="M1828" s="82" t="s">
        <v>1747</v>
      </c>
      <c r="N1828" s="83"/>
      <c r="O1828" s="83"/>
      <c r="P1828" s="219"/>
      <c r="Q1828" s="83"/>
      <c r="R1828" s="76"/>
      <c r="S1828" s="90"/>
      <c r="T1828" s="79"/>
      <c r="U1828" s="90"/>
      <c r="V1828" s="79"/>
    </row>
    <row r="1829">
      <c r="A1829" s="207" t="s">
        <v>3526</v>
      </c>
      <c r="B1829" s="54" t="s">
        <v>129</v>
      </c>
      <c r="C1829" s="59"/>
      <c r="D1829" s="59" t="str">
        <f t="shared" si="145"/>
        <v>Removed</v>
      </c>
      <c r="E1829" s="133">
        <v>43466.0</v>
      </c>
      <c r="F1829" s="133">
        <v>43800.0</v>
      </c>
      <c r="G1829" s="65">
        <f t="shared" si="2"/>
        <v>11</v>
      </c>
      <c r="H1829" s="88">
        <v>42978.0</v>
      </c>
      <c r="I1829" s="65">
        <f t="shared" si="3"/>
        <v>1.336111111</v>
      </c>
      <c r="J1829" s="121">
        <v>82.0</v>
      </c>
      <c r="K1829" s="121">
        <v>10.0</v>
      </c>
      <c r="L1829" s="91" t="s">
        <v>135</v>
      </c>
      <c r="M1829" s="91"/>
      <c r="N1829" s="91"/>
      <c r="O1829" s="91"/>
      <c r="P1829" s="134"/>
      <c r="Q1829" s="91"/>
      <c r="R1829" s="59"/>
      <c r="S1829" s="88"/>
      <c r="T1829" s="65"/>
      <c r="U1829" s="88"/>
      <c r="V1829" s="65"/>
    </row>
    <row r="1830">
      <c r="A1830" s="226" t="s">
        <v>3527</v>
      </c>
      <c r="B1830" s="75" t="s">
        <v>129</v>
      </c>
      <c r="C1830" s="76"/>
      <c r="D1830" s="76" t="str">
        <f t="shared" si="145"/>
        <v>Removed</v>
      </c>
      <c r="E1830" s="218">
        <v>43448.0</v>
      </c>
      <c r="F1830" s="218">
        <v>43800.0</v>
      </c>
      <c r="G1830" s="79">
        <f t="shared" si="2"/>
        <v>11.56666667</v>
      </c>
      <c r="H1830" s="90">
        <v>43340.0</v>
      </c>
      <c r="I1830" s="79">
        <f t="shared" si="3"/>
        <v>0.2944444444</v>
      </c>
      <c r="J1830" s="106">
        <v>82.0</v>
      </c>
      <c r="K1830" s="106">
        <v>27.0</v>
      </c>
      <c r="L1830" s="82" t="s">
        <v>62</v>
      </c>
      <c r="M1830" s="83"/>
      <c r="N1830" s="83"/>
      <c r="O1830" s="83"/>
      <c r="P1830" s="219"/>
      <c r="Q1830" s="83"/>
      <c r="R1830" s="76"/>
      <c r="S1830" s="90"/>
      <c r="T1830" s="79"/>
      <c r="U1830" s="90"/>
      <c r="V1830" s="79"/>
    </row>
    <row r="1831">
      <c r="A1831" s="53" t="s">
        <v>3528</v>
      </c>
      <c r="B1831" s="54" t="s">
        <v>129</v>
      </c>
      <c r="C1831" s="59"/>
      <c r="D1831" s="59" t="str">
        <f t="shared" si="145"/>
        <v>Removed</v>
      </c>
      <c r="E1831" s="133">
        <v>43101.0</v>
      </c>
      <c r="F1831" s="133">
        <v>43800.0</v>
      </c>
      <c r="G1831" s="65">
        <f t="shared" si="2"/>
        <v>23</v>
      </c>
      <c r="H1831" s="88">
        <v>40296.0</v>
      </c>
      <c r="I1831" s="65">
        <f t="shared" si="3"/>
        <v>7.675</v>
      </c>
      <c r="J1831" s="208">
        <v>67.0</v>
      </c>
      <c r="K1831" s="121">
        <v>6.0</v>
      </c>
      <c r="L1831" s="91" t="s">
        <v>3529</v>
      </c>
      <c r="M1831" s="91"/>
      <c r="N1831" s="91"/>
      <c r="O1831" s="91"/>
      <c r="P1831" s="134"/>
      <c r="Q1831" s="91"/>
      <c r="R1831" s="59"/>
      <c r="S1831" s="88"/>
      <c r="T1831" s="65"/>
      <c r="U1831" s="88"/>
      <c r="V1831" s="65"/>
    </row>
    <row r="1832">
      <c r="A1832" s="74" t="s">
        <v>1694</v>
      </c>
      <c r="B1832" s="75" t="s">
        <v>2984</v>
      </c>
      <c r="C1832" s="76"/>
      <c r="D1832" s="76" t="s">
        <v>2985</v>
      </c>
      <c r="E1832" s="218">
        <v>43785.0</v>
      </c>
      <c r="F1832" s="77">
        <v>43799.0</v>
      </c>
      <c r="G1832" s="79">
        <f t="shared" si="2"/>
        <v>0.4666666667</v>
      </c>
      <c r="H1832" s="90">
        <v>41052.0</v>
      </c>
      <c r="I1832" s="79">
        <f t="shared" si="3"/>
        <v>7.480555556</v>
      </c>
      <c r="J1832" s="106">
        <v>72.0</v>
      </c>
      <c r="K1832" s="106">
        <v>2.5</v>
      </c>
      <c r="L1832" s="82" t="s">
        <v>55</v>
      </c>
      <c r="M1832" s="82"/>
      <c r="N1832" s="82" t="s">
        <v>2761</v>
      </c>
      <c r="O1832" s="82"/>
      <c r="P1832" s="107"/>
      <c r="Q1832" s="82"/>
      <c r="R1832" s="76"/>
      <c r="S1832" s="90"/>
      <c r="T1832" s="79"/>
      <c r="U1832" s="90"/>
      <c r="V1832" s="79"/>
    </row>
    <row r="1833">
      <c r="A1833" s="53" t="s">
        <v>3530</v>
      </c>
      <c r="B1833" s="54" t="s">
        <v>2759</v>
      </c>
      <c r="C1833" s="59"/>
      <c r="D1833" s="59" t="s">
        <v>2760</v>
      </c>
      <c r="E1833" s="133">
        <v>43770.0</v>
      </c>
      <c r="F1833" s="61">
        <v>43799.0</v>
      </c>
      <c r="G1833" s="65">
        <f t="shared" si="2"/>
        <v>0.9666666667</v>
      </c>
      <c r="H1833" s="88">
        <v>42531.0</v>
      </c>
      <c r="I1833" s="65">
        <f t="shared" si="3"/>
        <v>3.391666667</v>
      </c>
      <c r="J1833" s="121">
        <v>73.0</v>
      </c>
      <c r="K1833" s="121">
        <v>10.0</v>
      </c>
      <c r="L1833" s="69" t="s">
        <v>135</v>
      </c>
      <c r="M1833" s="69"/>
      <c r="N1833" s="69"/>
      <c r="O1833" s="69"/>
      <c r="P1833" s="122"/>
      <c r="Q1833" s="69"/>
      <c r="R1833" s="59"/>
      <c r="S1833" s="88"/>
      <c r="T1833" s="65"/>
      <c r="U1833" s="88"/>
      <c r="V1833" s="65"/>
    </row>
    <row r="1834">
      <c r="A1834" s="74" t="s">
        <v>3531</v>
      </c>
      <c r="B1834" s="75" t="s">
        <v>129</v>
      </c>
      <c r="C1834" s="75"/>
      <c r="D1834" s="76" t="str">
        <f>IF(E1834&gt;TODAY(),"Coming Soon",IF(F1834="","Active",IF(F1834&gt;TODAY(),"Leaving Soon","Removed")))</f>
        <v>Removed</v>
      </c>
      <c r="E1834" s="90">
        <v>43201.0</v>
      </c>
      <c r="F1834" s="105">
        <v>43799.0</v>
      </c>
      <c r="G1834" s="79">
        <f t="shared" si="2"/>
        <v>19.63333333</v>
      </c>
      <c r="H1834" s="90">
        <v>43201.0</v>
      </c>
      <c r="I1834" s="79">
        <f t="shared" si="3"/>
        <v>0</v>
      </c>
      <c r="J1834" s="106">
        <v>55.0</v>
      </c>
      <c r="K1834" s="106">
        <v>35.0</v>
      </c>
      <c r="L1834" s="82" t="s">
        <v>37</v>
      </c>
      <c r="M1834" s="82"/>
      <c r="N1834" s="82"/>
      <c r="O1834" s="82"/>
      <c r="P1834" s="107"/>
      <c r="Q1834" s="82"/>
      <c r="R1834" s="76"/>
      <c r="S1834" s="90"/>
      <c r="T1834" s="79"/>
      <c r="U1834" s="90"/>
      <c r="V1834" s="79"/>
    </row>
    <row r="1835">
      <c r="A1835" s="53" t="s">
        <v>3532</v>
      </c>
      <c r="B1835" s="54" t="s">
        <v>2984</v>
      </c>
      <c r="C1835" s="59"/>
      <c r="D1835" s="59" t="s">
        <v>2985</v>
      </c>
      <c r="E1835" s="133">
        <v>43770.0</v>
      </c>
      <c r="F1835" s="61">
        <v>43784.0</v>
      </c>
      <c r="G1835" s="65">
        <f t="shared" si="2"/>
        <v>0.4666666667</v>
      </c>
      <c r="H1835" s="88">
        <v>37308.0</v>
      </c>
      <c r="I1835" s="65">
        <f t="shared" si="3"/>
        <v>17.69444444</v>
      </c>
      <c r="J1835" s="121">
        <v>78.0</v>
      </c>
      <c r="K1835" s="121">
        <v>6.0</v>
      </c>
      <c r="L1835" s="69" t="s">
        <v>37</v>
      </c>
      <c r="M1835" s="69"/>
      <c r="N1835" s="69" t="s">
        <v>2761</v>
      </c>
      <c r="O1835" s="69"/>
      <c r="P1835" s="122"/>
      <c r="Q1835" s="69"/>
      <c r="R1835" s="59"/>
      <c r="S1835" s="88"/>
      <c r="T1835" s="65"/>
      <c r="U1835" s="88"/>
      <c r="V1835" s="65"/>
    </row>
    <row r="1836">
      <c r="A1836" s="74" t="s">
        <v>3533</v>
      </c>
      <c r="B1836" s="75" t="s">
        <v>2759</v>
      </c>
      <c r="C1836" s="76"/>
      <c r="D1836" s="76" t="s">
        <v>2760</v>
      </c>
      <c r="E1836" s="218">
        <v>43754.0</v>
      </c>
      <c r="F1836" s="77">
        <v>43784.0</v>
      </c>
      <c r="G1836" s="79">
        <f t="shared" si="2"/>
        <v>0.9666666667</v>
      </c>
      <c r="H1836" s="90">
        <v>42880.0</v>
      </c>
      <c r="I1836" s="79">
        <f t="shared" si="3"/>
        <v>2.391666667</v>
      </c>
      <c r="J1836" s="106">
        <v>61.0</v>
      </c>
      <c r="K1836" s="106">
        <v>6.0</v>
      </c>
      <c r="L1836" s="82" t="s">
        <v>37</v>
      </c>
      <c r="M1836" s="82"/>
      <c r="N1836" s="82"/>
      <c r="O1836" s="82"/>
      <c r="P1836" s="107"/>
      <c r="Q1836" s="82"/>
      <c r="R1836" s="76"/>
      <c r="S1836" s="90"/>
      <c r="T1836" s="79"/>
      <c r="U1836" s="90"/>
      <c r="V1836" s="79"/>
    </row>
    <row r="1837">
      <c r="A1837" s="53" t="s">
        <v>3349</v>
      </c>
      <c r="B1837" s="54" t="s">
        <v>13</v>
      </c>
      <c r="C1837" s="59"/>
      <c r="D1837" s="59" t="str">
        <f t="shared" ref="D1837:D1850" si="146">IF(E1837&gt;TODAY(),"Coming Soon",IF(F1837="","Active",IF(F1837&gt;TODAY(),"Leaving Soon","Removed")))</f>
        <v>Removed</v>
      </c>
      <c r="E1837" s="133">
        <v>43625.0</v>
      </c>
      <c r="F1837" s="61">
        <v>43784.0</v>
      </c>
      <c r="G1837" s="65">
        <f t="shared" si="2"/>
        <v>5.2</v>
      </c>
      <c r="H1837" s="88">
        <v>42373.0</v>
      </c>
      <c r="I1837" s="65">
        <f t="shared" si="3"/>
        <v>3.430555556</v>
      </c>
      <c r="J1837" s="121">
        <v>86.0</v>
      </c>
      <c r="K1837" s="121">
        <v>2.5</v>
      </c>
      <c r="L1837" s="69" t="s">
        <v>105</v>
      </c>
      <c r="M1837" s="69"/>
      <c r="N1837" s="69"/>
      <c r="O1837" s="69"/>
      <c r="P1837" s="122"/>
      <c r="Q1837" s="69"/>
      <c r="R1837" s="54"/>
      <c r="S1837" s="88"/>
      <c r="T1837" s="65"/>
      <c r="U1837" s="88"/>
      <c r="V1837" s="65"/>
    </row>
    <row r="1838">
      <c r="A1838" s="74" t="s">
        <v>3534</v>
      </c>
      <c r="B1838" s="75" t="s">
        <v>13</v>
      </c>
      <c r="C1838" s="76"/>
      <c r="D1838" s="76" t="str">
        <f t="shared" si="146"/>
        <v>Removed</v>
      </c>
      <c r="E1838" s="218">
        <v>43625.0</v>
      </c>
      <c r="F1838" s="77">
        <v>43784.0</v>
      </c>
      <c r="G1838" s="79">
        <f t="shared" si="2"/>
        <v>5.2</v>
      </c>
      <c r="H1838" s="90">
        <v>42684.0</v>
      </c>
      <c r="I1838" s="79">
        <f t="shared" si="3"/>
        <v>2.580555556</v>
      </c>
      <c r="J1838" s="106">
        <v>80.0</v>
      </c>
      <c r="K1838" s="106">
        <v>20.0</v>
      </c>
      <c r="L1838" s="82" t="s">
        <v>46</v>
      </c>
      <c r="M1838" s="82"/>
      <c r="N1838" s="82"/>
      <c r="O1838" s="82"/>
      <c r="P1838" s="107"/>
      <c r="Q1838" s="82"/>
      <c r="R1838" s="75"/>
      <c r="S1838" s="90"/>
      <c r="T1838" s="79"/>
      <c r="U1838" s="90"/>
      <c r="V1838" s="79"/>
    </row>
    <row r="1839">
      <c r="A1839" s="207" t="s">
        <v>3535</v>
      </c>
      <c r="B1839" s="59" t="s">
        <v>13</v>
      </c>
      <c r="C1839" s="59"/>
      <c r="D1839" s="59" t="str">
        <f t="shared" si="146"/>
        <v>Removed</v>
      </c>
      <c r="E1839" s="133">
        <v>43625.0</v>
      </c>
      <c r="F1839" s="133">
        <v>43770.0</v>
      </c>
      <c r="G1839" s="65">
        <f t="shared" si="2"/>
        <v>4.733333333</v>
      </c>
      <c r="H1839" s="88">
        <v>43440.0</v>
      </c>
      <c r="I1839" s="65">
        <f t="shared" si="3"/>
        <v>0.5083333333</v>
      </c>
      <c r="J1839" s="121">
        <v>86.0</v>
      </c>
      <c r="K1839" s="121">
        <v>142.0</v>
      </c>
      <c r="L1839" s="69" t="s">
        <v>62</v>
      </c>
      <c r="M1839" s="91"/>
      <c r="N1839" s="91"/>
      <c r="O1839" s="91"/>
      <c r="P1839" s="134"/>
      <c r="Q1839" s="91"/>
      <c r="R1839" s="54"/>
      <c r="S1839" s="88"/>
      <c r="T1839" s="65"/>
      <c r="U1839" s="88"/>
      <c r="V1839" s="65"/>
    </row>
    <row r="1840">
      <c r="A1840" s="226" t="s">
        <v>3536</v>
      </c>
      <c r="B1840" s="75" t="s">
        <v>129</v>
      </c>
      <c r="C1840" s="76"/>
      <c r="D1840" s="76" t="str">
        <f t="shared" si="146"/>
        <v>Removed</v>
      </c>
      <c r="E1840" s="218">
        <v>43586.0</v>
      </c>
      <c r="F1840" s="218">
        <v>43770.0</v>
      </c>
      <c r="G1840" s="79">
        <f t="shared" si="2"/>
        <v>6</v>
      </c>
      <c r="H1840" s="90">
        <v>41954.0</v>
      </c>
      <c r="I1840" s="79">
        <f t="shared" si="3"/>
        <v>4.472222222</v>
      </c>
      <c r="J1840" s="216">
        <v>74.0</v>
      </c>
      <c r="K1840" s="106">
        <v>10.5</v>
      </c>
      <c r="L1840" s="82" t="s">
        <v>57</v>
      </c>
      <c r="M1840" s="82" t="s">
        <v>1747</v>
      </c>
      <c r="N1840" s="83"/>
      <c r="O1840" s="83"/>
      <c r="P1840" s="219"/>
      <c r="Q1840" s="83"/>
      <c r="R1840" s="76"/>
      <c r="S1840" s="90"/>
      <c r="T1840" s="79"/>
      <c r="U1840" s="90"/>
      <c r="V1840" s="79"/>
    </row>
    <row r="1841">
      <c r="A1841" s="207" t="s">
        <v>3537</v>
      </c>
      <c r="B1841" s="54" t="s">
        <v>129</v>
      </c>
      <c r="C1841" s="59"/>
      <c r="D1841" s="59" t="str">
        <f t="shared" si="146"/>
        <v>Removed</v>
      </c>
      <c r="E1841" s="133">
        <v>43586.0</v>
      </c>
      <c r="F1841" s="133">
        <v>43770.0</v>
      </c>
      <c r="G1841" s="65">
        <f t="shared" si="2"/>
        <v>6</v>
      </c>
      <c r="H1841" s="88">
        <v>42871.0</v>
      </c>
      <c r="I1841" s="65">
        <f t="shared" si="3"/>
        <v>1.958333333</v>
      </c>
      <c r="J1841" s="208">
        <v>74.0</v>
      </c>
      <c r="K1841" s="121">
        <v>20.5</v>
      </c>
      <c r="L1841" s="69" t="s">
        <v>46</v>
      </c>
      <c r="M1841" s="91"/>
      <c r="N1841" s="91"/>
      <c r="O1841" s="91"/>
      <c r="P1841" s="134"/>
      <c r="Q1841" s="289"/>
      <c r="R1841" s="59"/>
      <c r="S1841" s="88"/>
      <c r="T1841" s="65"/>
      <c r="U1841" s="88"/>
      <c r="V1841" s="65"/>
    </row>
    <row r="1842">
      <c r="A1842" s="226" t="s">
        <v>3538</v>
      </c>
      <c r="B1842" s="75" t="s">
        <v>129</v>
      </c>
      <c r="C1842" s="76"/>
      <c r="D1842" s="76" t="str">
        <f t="shared" si="146"/>
        <v>Removed</v>
      </c>
      <c r="E1842" s="77">
        <v>43448.0</v>
      </c>
      <c r="F1842" s="218">
        <v>43770.0</v>
      </c>
      <c r="G1842" s="79">
        <f t="shared" si="2"/>
        <v>10.56666667</v>
      </c>
      <c r="H1842" s="90">
        <v>43448.0</v>
      </c>
      <c r="I1842" s="79">
        <f t="shared" si="3"/>
        <v>0</v>
      </c>
      <c r="J1842" s="106">
        <v>70.0</v>
      </c>
      <c r="K1842" s="106">
        <v>19.0</v>
      </c>
      <c r="L1842" s="83" t="s">
        <v>41</v>
      </c>
      <c r="M1842" s="83"/>
      <c r="N1842" s="83"/>
      <c r="O1842" s="83"/>
      <c r="P1842" s="219"/>
      <c r="Q1842" s="83"/>
      <c r="R1842" s="76"/>
      <c r="S1842" s="90"/>
      <c r="T1842" s="79"/>
      <c r="U1842" s="90"/>
      <c r="V1842" s="79"/>
    </row>
    <row r="1843">
      <c r="A1843" s="207" t="s">
        <v>3539</v>
      </c>
      <c r="B1843" s="54" t="s">
        <v>129</v>
      </c>
      <c r="C1843" s="59"/>
      <c r="D1843" s="59" t="str">
        <f t="shared" si="146"/>
        <v>Removed</v>
      </c>
      <c r="E1843" s="133">
        <v>43435.0</v>
      </c>
      <c r="F1843" s="133">
        <v>43770.0</v>
      </c>
      <c r="G1843" s="65">
        <f t="shared" si="2"/>
        <v>11</v>
      </c>
      <c r="H1843" s="88">
        <v>43340.0</v>
      </c>
      <c r="I1843" s="65">
        <f t="shared" si="3"/>
        <v>0.2583333333</v>
      </c>
      <c r="J1843" s="121">
        <v>75.0</v>
      </c>
      <c r="K1843" s="121">
        <v>7.5</v>
      </c>
      <c r="L1843" s="69" t="s">
        <v>37</v>
      </c>
      <c r="M1843" s="91"/>
      <c r="N1843" s="91"/>
      <c r="O1843" s="91"/>
      <c r="P1843" s="134"/>
      <c r="Q1843" s="91"/>
      <c r="R1843" s="59"/>
      <c r="S1843" s="88"/>
      <c r="T1843" s="65"/>
      <c r="U1843" s="88"/>
      <c r="V1843" s="65"/>
    </row>
    <row r="1844">
      <c r="A1844" s="226" t="s">
        <v>3540</v>
      </c>
      <c r="B1844" s="75" t="s">
        <v>129</v>
      </c>
      <c r="C1844" s="76"/>
      <c r="D1844" s="76" t="str">
        <f t="shared" si="146"/>
        <v>Removed</v>
      </c>
      <c r="E1844" s="218">
        <v>43426.0</v>
      </c>
      <c r="F1844" s="218">
        <v>43770.0</v>
      </c>
      <c r="G1844" s="79">
        <f t="shared" si="2"/>
        <v>11.3</v>
      </c>
      <c r="H1844" s="90">
        <v>42962.0</v>
      </c>
      <c r="I1844" s="79">
        <f t="shared" si="3"/>
        <v>1.269444444</v>
      </c>
      <c r="J1844" s="216">
        <v>73.0</v>
      </c>
      <c r="K1844" s="106">
        <v>17.0</v>
      </c>
      <c r="L1844" s="83" t="s">
        <v>41</v>
      </c>
      <c r="M1844" s="83"/>
      <c r="N1844" s="83"/>
      <c r="O1844" s="83"/>
      <c r="P1844" s="219"/>
      <c r="Q1844" s="83"/>
      <c r="R1844" s="76"/>
      <c r="S1844" s="90"/>
      <c r="T1844" s="79"/>
      <c r="U1844" s="90"/>
      <c r="V1844" s="79"/>
    </row>
    <row r="1845">
      <c r="A1845" s="207" t="s">
        <v>3541</v>
      </c>
      <c r="B1845" s="54" t="s">
        <v>129</v>
      </c>
      <c r="C1845" s="59"/>
      <c r="D1845" s="59" t="str">
        <f t="shared" si="146"/>
        <v>Removed</v>
      </c>
      <c r="E1845" s="133">
        <v>43426.0</v>
      </c>
      <c r="F1845" s="133">
        <v>43770.0</v>
      </c>
      <c r="G1845" s="65">
        <f t="shared" si="2"/>
        <v>11.3</v>
      </c>
      <c r="H1845" s="88">
        <v>42885.0</v>
      </c>
      <c r="I1845" s="65">
        <f t="shared" si="3"/>
        <v>1.477777778</v>
      </c>
      <c r="J1845" s="208">
        <v>78.0</v>
      </c>
      <c r="K1845" s="121">
        <v>8.0</v>
      </c>
      <c r="L1845" s="69" t="s">
        <v>55</v>
      </c>
      <c r="M1845" s="69"/>
      <c r="N1845" s="69"/>
      <c r="O1845" s="69"/>
      <c r="P1845" s="122"/>
      <c r="Q1845" s="69"/>
      <c r="R1845" s="59"/>
      <c r="S1845" s="88"/>
      <c r="T1845" s="65"/>
      <c r="U1845" s="88"/>
      <c r="V1845" s="65"/>
    </row>
    <row r="1846">
      <c r="A1846" s="226" t="s">
        <v>3542</v>
      </c>
      <c r="B1846" s="75" t="s">
        <v>129</v>
      </c>
      <c r="C1846" s="76"/>
      <c r="D1846" s="76" t="str">
        <f t="shared" si="146"/>
        <v>Removed</v>
      </c>
      <c r="E1846" s="218">
        <v>43426.0</v>
      </c>
      <c r="F1846" s="218">
        <v>43770.0</v>
      </c>
      <c r="G1846" s="79">
        <f t="shared" si="2"/>
        <v>11.3</v>
      </c>
      <c r="H1846" s="90">
        <v>41090.0</v>
      </c>
      <c r="I1846" s="79">
        <f t="shared" si="3"/>
        <v>6.394444444</v>
      </c>
      <c r="J1846" s="216">
        <v>80.0</v>
      </c>
      <c r="K1846" s="106">
        <v>3.5</v>
      </c>
      <c r="L1846" s="82" t="s">
        <v>57</v>
      </c>
      <c r="M1846" s="83"/>
      <c r="N1846" s="83"/>
      <c r="O1846" s="83"/>
      <c r="P1846" s="219"/>
      <c r="Q1846" s="83"/>
      <c r="R1846" s="76"/>
      <c r="S1846" s="90"/>
      <c r="T1846" s="79"/>
      <c r="U1846" s="90"/>
      <c r="V1846" s="79"/>
    </row>
    <row r="1847">
      <c r="A1847" s="53" t="s">
        <v>3543</v>
      </c>
      <c r="B1847" s="54" t="s">
        <v>35</v>
      </c>
      <c r="C1847" s="59"/>
      <c r="D1847" s="59" t="str">
        <f t="shared" si="146"/>
        <v>Removed</v>
      </c>
      <c r="E1847" s="133">
        <v>43282.0</v>
      </c>
      <c r="F1847" s="133">
        <v>43770.0</v>
      </c>
      <c r="G1847" s="65">
        <f t="shared" si="2"/>
        <v>16</v>
      </c>
      <c r="H1847" s="88">
        <v>42584.0</v>
      </c>
      <c r="I1847" s="65">
        <f t="shared" si="3"/>
        <v>1.913888889</v>
      </c>
      <c r="J1847" s="121">
        <v>83.0</v>
      </c>
      <c r="K1847" s="121">
        <v>2.0</v>
      </c>
      <c r="L1847" s="69" t="s">
        <v>135</v>
      </c>
      <c r="M1847" s="69"/>
      <c r="N1847" s="69"/>
      <c r="O1847" s="69"/>
      <c r="P1847" s="122"/>
      <c r="Q1847" s="69"/>
      <c r="R1847" s="59"/>
      <c r="S1847" s="88"/>
      <c r="T1847" s="65"/>
      <c r="U1847" s="88"/>
      <c r="V1847" s="65"/>
    </row>
    <row r="1848">
      <c r="A1848" s="74" t="s">
        <v>3544</v>
      </c>
      <c r="B1848" s="75" t="s">
        <v>129</v>
      </c>
      <c r="C1848" s="76"/>
      <c r="D1848" s="76" t="str">
        <f t="shared" si="146"/>
        <v>Removed</v>
      </c>
      <c r="E1848" s="218">
        <v>43132.0</v>
      </c>
      <c r="F1848" s="218">
        <v>43770.0</v>
      </c>
      <c r="G1848" s="79">
        <f t="shared" si="2"/>
        <v>21</v>
      </c>
      <c r="H1848" s="90">
        <v>41135.0</v>
      </c>
      <c r="I1848" s="79">
        <f t="shared" si="3"/>
        <v>5.463888889</v>
      </c>
      <c r="J1848" s="106">
        <v>75.0</v>
      </c>
      <c r="K1848" s="106">
        <v>20.0</v>
      </c>
      <c r="L1848" s="82" t="s">
        <v>46</v>
      </c>
      <c r="M1848" s="83"/>
      <c r="N1848" s="83"/>
      <c r="O1848" s="83"/>
      <c r="P1848" s="219"/>
      <c r="Q1848" s="83"/>
      <c r="R1848" s="76"/>
      <c r="S1848" s="90"/>
      <c r="T1848" s="79"/>
      <c r="U1848" s="90"/>
      <c r="V1848" s="79"/>
    </row>
    <row r="1849">
      <c r="A1849" s="53" t="s">
        <v>3545</v>
      </c>
      <c r="B1849" s="54" t="s">
        <v>129</v>
      </c>
      <c r="C1849" s="59"/>
      <c r="D1849" s="59" t="str">
        <f t="shared" si="146"/>
        <v>Removed</v>
      </c>
      <c r="E1849" s="133">
        <v>43070.0</v>
      </c>
      <c r="F1849" s="133">
        <v>43770.0</v>
      </c>
      <c r="G1849" s="65">
        <f t="shared" si="2"/>
        <v>23</v>
      </c>
      <c r="H1849" s="88">
        <v>40183.0</v>
      </c>
      <c r="I1849" s="65">
        <f t="shared" si="3"/>
        <v>7.905555556</v>
      </c>
      <c r="J1849" s="208">
        <v>80.0</v>
      </c>
      <c r="K1849" s="121">
        <v>17.0</v>
      </c>
      <c r="L1849" s="69" t="s">
        <v>41</v>
      </c>
      <c r="M1849" s="69" t="s">
        <v>1747</v>
      </c>
      <c r="N1849" s="91"/>
      <c r="O1849" s="91"/>
      <c r="P1849" s="134"/>
      <c r="Q1849" s="69" t="s">
        <v>1822</v>
      </c>
      <c r="R1849" s="59"/>
      <c r="S1849" s="88"/>
      <c r="T1849" s="65"/>
      <c r="U1849" s="88"/>
      <c r="V1849" s="65"/>
    </row>
    <row r="1850">
      <c r="A1850" s="226" t="s">
        <v>3546</v>
      </c>
      <c r="B1850" s="75" t="s">
        <v>129</v>
      </c>
      <c r="C1850" s="76"/>
      <c r="D1850" s="76" t="str">
        <f t="shared" si="146"/>
        <v>Removed</v>
      </c>
      <c r="E1850" s="218">
        <v>42887.0</v>
      </c>
      <c r="F1850" s="218">
        <v>43770.0</v>
      </c>
      <c r="G1850" s="79">
        <f t="shared" si="2"/>
        <v>29</v>
      </c>
      <c r="H1850" s="90">
        <v>41421.0</v>
      </c>
      <c r="I1850" s="79">
        <f t="shared" si="3"/>
        <v>4.011111111</v>
      </c>
      <c r="J1850" s="106">
        <v>78.0</v>
      </c>
      <c r="K1850" s="106">
        <v>17.5</v>
      </c>
      <c r="L1850" s="82" t="s">
        <v>55</v>
      </c>
      <c r="M1850" s="83"/>
      <c r="N1850" s="83"/>
      <c r="O1850" s="83"/>
      <c r="P1850" s="219"/>
      <c r="Q1850" s="83"/>
      <c r="R1850" s="76"/>
      <c r="S1850" s="90"/>
      <c r="T1850" s="79"/>
      <c r="U1850" s="90"/>
      <c r="V1850" s="79"/>
    </row>
    <row r="1851">
      <c r="A1851" s="53" t="s">
        <v>3547</v>
      </c>
      <c r="B1851" s="54" t="s">
        <v>2984</v>
      </c>
      <c r="C1851" s="59"/>
      <c r="D1851" s="59" t="s">
        <v>2985</v>
      </c>
      <c r="E1851" s="133">
        <v>43754.0</v>
      </c>
      <c r="F1851" s="61">
        <v>43769.0</v>
      </c>
      <c r="G1851" s="65">
        <f t="shared" si="2"/>
        <v>0.4666666667</v>
      </c>
      <c r="H1851" s="88">
        <v>41231.0</v>
      </c>
      <c r="I1851" s="65">
        <f t="shared" si="3"/>
        <v>6.911111111</v>
      </c>
      <c r="J1851" s="121">
        <v>69.0</v>
      </c>
      <c r="K1851" s="121">
        <v>10.0</v>
      </c>
      <c r="L1851" s="91" t="s">
        <v>41</v>
      </c>
      <c r="M1851" s="69"/>
      <c r="N1851" s="69" t="s">
        <v>2761</v>
      </c>
      <c r="O1851" s="69"/>
      <c r="P1851" s="122"/>
      <c r="Q1851" s="69"/>
      <c r="R1851" s="59"/>
      <c r="S1851" s="88"/>
      <c r="T1851" s="65"/>
      <c r="U1851" s="88"/>
      <c r="V1851" s="65"/>
    </row>
    <row r="1852">
      <c r="A1852" s="74" t="s">
        <v>3548</v>
      </c>
      <c r="B1852" s="75" t="s">
        <v>2759</v>
      </c>
      <c r="C1852" s="76"/>
      <c r="D1852" s="76" t="s">
        <v>2760</v>
      </c>
      <c r="E1852" s="218">
        <v>43739.0</v>
      </c>
      <c r="F1852" s="77">
        <v>43769.0</v>
      </c>
      <c r="G1852" s="79">
        <f t="shared" si="2"/>
        <v>0.9666666667</v>
      </c>
      <c r="H1852" s="90">
        <v>43328.0</v>
      </c>
      <c r="I1852" s="79">
        <f t="shared" si="3"/>
        <v>1.125</v>
      </c>
      <c r="J1852" s="106">
        <v>75.0</v>
      </c>
      <c r="K1852" s="106">
        <v>5.5</v>
      </c>
      <c r="L1852" s="82" t="s">
        <v>41</v>
      </c>
      <c r="M1852" s="82"/>
      <c r="N1852" s="82"/>
      <c r="O1852" s="82"/>
      <c r="P1852" s="107"/>
      <c r="Q1852" s="82"/>
      <c r="R1852" s="76"/>
      <c r="S1852" s="90"/>
      <c r="T1852" s="79"/>
      <c r="U1852" s="90"/>
      <c r="V1852" s="79"/>
    </row>
    <row r="1853">
      <c r="A1853" s="53" t="s">
        <v>3549</v>
      </c>
      <c r="B1853" s="54" t="s">
        <v>2984</v>
      </c>
      <c r="C1853" s="59"/>
      <c r="D1853" s="59" t="s">
        <v>2985</v>
      </c>
      <c r="E1853" s="133">
        <v>43739.0</v>
      </c>
      <c r="F1853" s="61">
        <v>43753.0</v>
      </c>
      <c r="G1853" s="65">
        <f t="shared" si="2"/>
        <v>0.4666666667</v>
      </c>
      <c r="H1853" s="88">
        <v>39757.0</v>
      </c>
      <c r="I1853" s="65">
        <f t="shared" si="3"/>
        <v>10.90555556</v>
      </c>
      <c r="J1853" s="121">
        <v>57.0</v>
      </c>
      <c r="K1853" s="121">
        <v>5.0</v>
      </c>
      <c r="L1853" s="69" t="s">
        <v>41</v>
      </c>
      <c r="M1853" s="69"/>
      <c r="N1853" s="69" t="s">
        <v>2761</v>
      </c>
      <c r="O1853" s="69"/>
      <c r="P1853" s="122"/>
      <c r="Q1853" s="69"/>
      <c r="R1853" s="59"/>
      <c r="S1853" s="88"/>
      <c r="T1853" s="65"/>
      <c r="U1853" s="88"/>
      <c r="V1853" s="65"/>
    </row>
    <row r="1854">
      <c r="A1854" s="74" t="s">
        <v>3550</v>
      </c>
      <c r="B1854" s="75" t="s">
        <v>2759</v>
      </c>
      <c r="C1854" s="76"/>
      <c r="D1854" s="76" t="s">
        <v>2760</v>
      </c>
      <c r="E1854" s="218">
        <v>43724.0</v>
      </c>
      <c r="F1854" s="77">
        <v>43753.0</v>
      </c>
      <c r="G1854" s="79">
        <f t="shared" si="2"/>
        <v>0.9666666667</v>
      </c>
      <c r="H1854" s="90">
        <v>42769.0</v>
      </c>
      <c r="I1854" s="79">
        <f t="shared" si="3"/>
        <v>2.619444444</v>
      </c>
      <c r="J1854" s="106">
        <v>80.0</v>
      </c>
      <c r="K1854" s="106">
        <v>2.0</v>
      </c>
      <c r="L1854" s="82" t="s">
        <v>41</v>
      </c>
      <c r="M1854" s="82"/>
      <c r="N1854" s="82"/>
      <c r="O1854" s="82"/>
      <c r="P1854" s="107"/>
      <c r="Q1854" s="82"/>
      <c r="R1854" s="76"/>
      <c r="S1854" s="90"/>
      <c r="T1854" s="79"/>
      <c r="U1854" s="90"/>
      <c r="V1854" s="79"/>
    </row>
    <row r="1855">
      <c r="A1855" s="207" t="s">
        <v>3551</v>
      </c>
      <c r="B1855" s="54" t="s">
        <v>129</v>
      </c>
      <c r="C1855" s="59"/>
      <c r="D1855" s="59" t="str">
        <f t="shared" ref="D1855:D1857" si="147">IF(E1855&gt;TODAY(),"Coming Soon",IF(F1855="","Active",IF(F1855&gt;TODAY(),"Leaving Soon","Removed")))</f>
        <v>Removed</v>
      </c>
      <c r="E1855" s="133">
        <v>43580.0</v>
      </c>
      <c r="F1855" s="133">
        <v>43739.0</v>
      </c>
      <c r="G1855" s="65">
        <f t="shared" si="2"/>
        <v>5.2</v>
      </c>
      <c r="H1855" s="88">
        <v>39877.0</v>
      </c>
      <c r="I1855" s="65">
        <f t="shared" si="3"/>
        <v>10.13888889</v>
      </c>
      <c r="J1855" s="208">
        <v>75.0</v>
      </c>
      <c r="K1855" s="121">
        <v>12.0</v>
      </c>
      <c r="L1855" s="69" t="s">
        <v>37</v>
      </c>
      <c r="M1855" s="91"/>
      <c r="N1855" s="91"/>
      <c r="O1855" s="91"/>
      <c r="P1855" s="134"/>
      <c r="Q1855" s="69" t="s">
        <v>1822</v>
      </c>
      <c r="R1855" s="59"/>
      <c r="S1855" s="88"/>
      <c r="T1855" s="65"/>
      <c r="U1855" s="88"/>
      <c r="V1855" s="65"/>
    </row>
    <row r="1856">
      <c r="A1856" s="74" t="s">
        <v>3552</v>
      </c>
      <c r="B1856" s="75" t="s">
        <v>129</v>
      </c>
      <c r="C1856" s="76"/>
      <c r="D1856" s="76" t="str">
        <f t="shared" si="147"/>
        <v>Removed</v>
      </c>
      <c r="E1856" s="218">
        <v>43374.0</v>
      </c>
      <c r="F1856" s="218">
        <v>43739.0</v>
      </c>
      <c r="G1856" s="79">
        <f t="shared" si="2"/>
        <v>12</v>
      </c>
      <c r="H1856" s="90">
        <v>42521.0</v>
      </c>
      <c r="I1856" s="79">
        <f t="shared" si="3"/>
        <v>2.336111111</v>
      </c>
      <c r="J1856" s="106">
        <v>57.0</v>
      </c>
      <c r="K1856" s="106">
        <v>10.5</v>
      </c>
      <c r="L1856" s="82" t="s">
        <v>37</v>
      </c>
      <c r="M1856" s="82" t="s">
        <v>1747</v>
      </c>
      <c r="N1856" s="83"/>
      <c r="O1856" s="83"/>
      <c r="P1856" s="219"/>
      <c r="Q1856" s="83"/>
      <c r="R1856" s="76"/>
      <c r="S1856" s="90"/>
      <c r="T1856" s="79"/>
      <c r="U1856" s="90"/>
      <c r="V1856" s="79"/>
    </row>
    <row r="1857">
      <c r="A1857" s="207" t="s">
        <v>3553</v>
      </c>
      <c r="B1857" s="54" t="s">
        <v>129</v>
      </c>
      <c r="C1857" s="59"/>
      <c r="D1857" s="59" t="str">
        <f t="shared" si="147"/>
        <v>Removed</v>
      </c>
      <c r="E1857" s="133">
        <v>43343.0</v>
      </c>
      <c r="F1857" s="133">
        <v>43739.0</v>
      </c>
      <c r="G1857" s="65">
        <f t="shared" si="2"/>
        <v>13.03333333</v>
      </c>
      <c r="H1857" s="88">
        <v>42962.0</v>
      </c>
      <c r="I1857" s="65">
        <f t="shared" si="3"/>
        <v>1.041666667</v>
      </c>
      <c r="J1857" s="121">
        <v>86.0</v>
      </c>
      <c r="K1857" s="121">
        <v>7.0</v>
      </c>
      <c r="L1857" s="69" t="s">
        <v>135</v>
      </c>
      <c r="M1857" s="69"/>
      <c r="N1857" s="69"/>
      <c r="O1857" s="69"/>
      <c r="P1857" s="122"/>
      <c r="Q1857" s="69"/>
      <c r="R1857" s="59"/>
      <c r="S1857" s="88"/>
      <c r="T1857" s="65"/>
      <c r="U1857" s="88"/>
      <c r="V1857" s="65"/>
    </row>
    <row r="1858">
      <c r="A1858" s="74" t="s">
        <v>3554</v>
      </c>
      <c r="B1858" s="75" t="s">
        <v>2984</v>
      </c>
      <c r="C1858" s="76"/>
      <c r="D1858" s="76" t="s">
        <v>2985</v>
      </c>
      <c r="E1858" s="218">
        <v>43724.0</v>
      </c>
      <c r="F1858" s="77">
        <v>43738.0</v>
      </c>
      <c r="G1858" s="79">
        <f t="shared" si="2"/>
        <v>0.4666666667</v>
      </c>
      <c r="H1858" s="90">
        <v>41163.0</v>
      </c>
      <c r="I1858" s="79">
        <f t="shared" si="3"/>
        <v>7.013888889</v>
      </c>
      <c r="J1858" s="106">
        <v>86.0</v>
      </c>
      <c r="K1858" s="106">
        <v>5.0</v>
      </c>
      <c r="L1858" s="82" t="s">
        <v>52</v>
      </c>
      <c r="M1858" s="82"/>
      <c r="N1858" s="82" t="s">
        <v>2761</v>
      </c>
      <c r="O1858" s="82"/>
      <c r="P1858" s="107"/>
      <c r="Q1858" s="82"/>
      <c r="R1858" s="76"/>
      <c r="S1858" s="90"/>
      <c r="T1858" s="79"/>
      <c r="U1858" s="90"/>
      <c r="V1858" s="79"/>
    </row>
    <row r="1859">
      <c r="A1859" s="53" t="s">
        <v>3555</v>
      </c>
      <c r="B1859" s="54" t="s">
        <v>2759</v>
      </c>
      <c r="C1859" s="59"/>
      <c r="D1859" s="59" t="s">
        <v>2760</v>
      </c>
      <c r="E1859" s="133">
        <v>43709.0</v>
      </c>
      <c r="F1859" s="61">
        <v>43738.0</v>
      </c>
      <c r="G1859" s="65">
        <f t="shared" si="2"/>
        <v>0.9666666667</v>
      </c>
      <c r="H1859" s="88">
        <v>42593.0</v>
      </c>
      <c r="I1859" s="65">
        <f t="shared" si="3"/>
        <v>3.055555556</v>
      </c>
      <c r="J1859" s="121">
        <v>83.0</v>
      </c>
      <c r="K1859" s="121">
        <v>11.0</v>
      </c>
      <c r="L1859" s="69" t="s">
        <v>41</v>
      </c>
      <c r="M1859" s="69"/>
      <c r="N1859" s="69" t="s">
        <v>2761</v>
      </c>
      <c r="O1859" s="69"/>
      <c r="P1859" s="122"/>
      <c r="Q1859" s="69"/>
      <c r="R1859" s="59"/>
      <c r="S1859" s="88"/>
      <c r="T1859" s="65"/>
      <c r="U1859" s="88"/>
      <c r="V1859" s="65"/>
    </row>
    <row r="1860">
      <c r="A1860" s="74" t="s">
        <v>3556</v>
      </c>
      <c r="B1860" s="75" t="s">
        <v>2984</v>
      </c>
      <c r="C1860" s="76"/>
      <c r="D1860" s="76" t="s">
        <v>2985</v>
      </c>
      <c r="E1860" s="218">
        <v>43709.0</v>
      </c>
      <c r="F1860" s="77">
        <v>43723.0</v>
      </c>
      <c r="G1860" s="79">
        <f t="shared" si="2"/>
        <v>0.4666666667</v>
      </c>
      <c r="H1860" s="90">
        <v>41464.0</v>
      </c>
      <c r="I1860" s="79">
        <f t="shared" si="3"/>
        <v>6.144444444</v>
      </c>
      <c r="J1860" s="106">
        <v>83.0</v>
      </c>
      <c r="K1860" s="106">
        <v>15.0</v>
      </c>
      <c r="L1860" s="82" t="s">
        <v>37</v>
      </c>
      <c r="M1860" s="82"/>
      <c r="N1860" s="82" t="s">
        <v>2761</v>
      </c>
      <c r="O1860" s="82"/>
      <c r="P1860" s="107"/>
      <c r="Q1860" s="82"/>
      <c r="R1860" s="76"/>
      <c r="S1860" s="90"/>
      <c r="T1860" s="79"/>
      <c r="U1860" s="90"/>
      <c r="V1860" s="79"/>
    </row>
    <row r="1861">
      <c r="A1861" s="53" t="s">
        <v>3557</v>
      </c>
      <c r="B1861" s="54" t="s">
        <v>2759</v>
      </c>
      <c r="C1861" s="59"/>
      <c r="D1861" s="59" t="s">
        <v>2760</v>
      </c>
      <c r="E1861" s="133">
        <v>43693.0</v>
      </c>
      <c r="F1861" s="61">
        <v>43723.0</v>
      </c>
      <c r="G1861" s="65">
        <f t="shared" si="2"/>
        <v>0.9666666667</v>
      </c>
      <c r="H1861" s="88">
        <v>42262.0</v>
      </c>
      <c r="I1861" s="65">
        <f t="shared" si="3"/>
        <v>3.919444444</v>
      </c>
      <c r="J1861" s="121">
        <v>88.0</v>
      </c>
      <c r="K1861" s="121">
        <v>26.0</v>
      </c>
      <c r="L1861" s="69" t="s">
        <v>55</v>
      </c>
      <c r="M1861" s="69"/>
      <c r="N1861" s="69"/>
      <c r="O1861" s="69"/>
      <c r="P1861" s="122"/>
      <c r="Q1861" s="69"/>
      <c r="R1861" s="59"/>
      <c r="S1861" s="88"/>
      <c r="T1861" s="65"/>
      <c r="U1861" s="88"/>
      <c r="V1861" s="65"/>
    </row>
    <row r="1862">
      <c r="A1862" s="74" t="s">
        <v>3558</v>
      </c>
      <c r="B1862" s="75" t="s">
        <v>129</v>
      </c>
      <c r="C1862" s="76"/>
      <c r="D1862" s="76" t="str">
        <f t="shared" ref="D1862:D1869" si="148">IF(E1862&gt;TODAY(),"Coming Soon",IF(F1862="","Active",IF(F1862&gt;TODAY(),"Leaving Soon","Removed")))</f>
        <v>Removed</v>
      </c>
      <c r="E1862" s="218">
        <v>43525.0</v>
      </c>
      <c r="F1862" s="218">
        <v>43709.0</v>
      </c>
      <c r="G1862" s="79">
        <f t="shared" si="2"/>
        <v>6</v>
      </c>
      <c r="H1862" s="90">
        <v>41079.0</v>
      </c>
      <c r="I1862" s="79">
        <f t="shared" si="3"/>
        <v>6.7</v>
      </c>
      <c r="J1862" s="106">
        <v>79.0</v>
      </c>
      <c r="K1862" s="106">
        <v>9.0</v>
      </c>
      <c r="L1862" s="290" t="s">
        <v>41</v>
      </c>
      <c r="M1862" s="290"/>
      <c r="N1862" s="290"/>
      <c r="O1862" s="290"/>
      <c r="P1862" s="291"/>
      <c r="Q1862" s="290"/>
      <c r="R1862" s="76"/>
      <c r="S1862" s="90"/>
      <c r="T1862" s="79"/>
      <c r="U1862" s="90"/>
      <c r="V1862" s="79"/>
    </row>
    <row r="1863">
      <c r="A1863" s="53" t="s">
        <v>3559</v>
      </c>
      <c r="B1863" s="54" t="s">
        <v>129</v>
      </c>
      <c r="C1863" s="59"/>
      <c r="D1863" s="59" t="str">
        <f t="shared" si="148"/>
        <v>Removed</v>
      </c>
      <c r="E1863" s="133">
        <v>43374.0</v>
      </c>
      <c r="F1863" s="133">
        <v>43709.0</v>
      </c>
      <c r="G1863" s="65">
        <f t="shared" si="2"/>
        <v>11</v>
      </c>
      <c r="H1863" s="88">
        <v>39602.0</v>
      </c>
      <c r="I1863" s="65">
        <f t="shared" si="3"/>
        <v>10.32777778</v>
      </c>
      <c r="J1863" s="121">
        <v>77.0</v>
      </c>
      <c r="K1863" s="121">
        <v>10.0</v>
      </c>
      <c r="L1863" s="91" t="s">
        <v>41</v>
      </c>
      <c r="M1863" s="91"/>
      <c r="N1863" s="91"/>
      <c r="O1863" s="91"/>
      <c r="P1863" s="134"/>
      <c r="Q1863" s="69" t="s">
        <v>1822</v>
      </c>
      <c r="R1863" s="59"/>
      <c r="S1863" s="88"/>
      <c r="T1863" s="65"/>
      <c r="U1863" s="88"/>
      <c r="V1863" s="65"/>
    </row>
    <row r="1864">
      <c r="A1864" s="226" t="s">
        <v>3560</v>
      </c>
      <c r="B1864" s="75" t="s">
        <v>129</v>
      </c>
      <c r="C1864" s="76"/>
      <c r="D1864" s="76" t="str">
        <f t="shared" si="148"/>
        <v>Removed</v>
      </c>
      <c r="E1864" s="218">
        <v>43374.0</v>
      </c>
      <c r="F1864" s="218">
        <v>43709.0</v>
      </c>
      <c r="G1864" s="79">
        <f t="shared" si="2"/>
        <v>11</v>
      </c>
      <c r="H1864" s="90">
        <v>40316.0</v>
      </c>
      <c r="I1864" s="79">
        <f t="shared" si="3"/>
        <v>8.369444444</v>
      </c>
      <c r="J1864" s="106">
        <v>82.0</v>
      </c>
      <c r="K1864" s="106">
        <v>9.5</v>
      </c>
      <c r="L1864" s="82" t="s">
        <v>55</v>
      </c>
      <c r="M1864" s="83"/>
      <c r="N1864" s="83"/>
      <c r="O1864" s="83"/>
      <c r="P1864" s="219"/>
      <c r="Q1864" s="82" t="s">
        <v>1822</v>
      </c>
      <c r="R1864" s="76"/>
      <c r="S1864" s="90"/>
      <c r="T1864" s="79"/>
      <c r="U1864" s="90"/>
      <c r="V1864" s="79"/>
    </row>
    <row r="1865">
      <c r="A1865" s="207" t="s">
        <v>3561</v>
      </c>
      <c r="B1865" s="54" t="s">
        <v>129</v>
      </c>
      <c r="C1865" s="59"/>
      <c r="D1865" s="59" t="str">
        <f t="shared" si="148"/>
        <v>Removed</v>
      </c>
      <c r="E1865" s="133">
        <v>43344.0</v>
      </c>
      <c r="F1865" s="133">
        <v>43709.0</v>
      </c>
      <c r="G1865" s="65">
        <f t="shared" si="2"/>
        <v>12</v>
      </c>
      <c r="H1865" s="88">
        <v>43256.0</v>
      </c>
      <c r="I1865" s="65">
        <f t="shared" si="3"/>
        <v>0.2388888889</v>
      </c>
      <c r="J1865" s="121">
        <v>77.0</v>
      </c>
      <c r="K1865" s="121">
        <v>12.0</v>
      </c>
      <c r="L1865" s="69" t="s">
        <v>55</v>
      </c>
      <c r="M1865" s="69"/>
      <c r="N1865" s="69"/>
      <c r="O1865" s="69"/>
      <c r="P1865" s="122"/>
      <c r="Q1865" s="69"/>
      <c r="R1865" s="59"/>
      <c r="S1865" s="88"/>
      <c r="T1865" s="65"/>
      <c r="U1865" s="88"/>
      <c r="V1865" s="65"/>
    </row>
    <row r="1866">
      <c r="A1866" s="226" t="s">
        <v>3562</v>
      </c>
      <c r="B1866" s="75" t="s">
        <v>129</v>
      </c>
      <c r="C1866" s="76"/>
      <c r="D1866" s="76" t="str">
        <f t="shared" si="148"/>
        <v>Removed</v>
      </c>
      <c r="E1866" s="218">
        <v>43040.0</v>
      </c>
      <c r="F1866" s="218">
        <v>43709.0</v>
      </c>
      <c r="G1866" s="79">
        <f t="shared" si="2"/>
        <v>22</v>
      </c>
      <c r="H1866" s="90">
        <v>38615.0</v>
      </c>
      <c r="I1866" s="79">
        <f t="shared" si="3"/>
        <v>12.11388889</v>
      </c>
      <c r="J1866" s="106">
        <v>94.0</v>
      </c>
      <c r="K1866" s="106">
        <v>16.0</v>
      </c>
      <c r="L1866" s="83" t="s">
        <v>41</v>
      </c>
      <c r="M1866" s="83"/>
      <c r="N1866" s="83"/>
      <c r="O1866" s="83"/>
      <c r="P1866" s="219"/>
      <c r="Q1866" s="82" t="s">
        <v>1745</v>
      </c>
      <c r="R1866" s="76"/>
      <c r="S1866" s="90"/>
      <c r="T1866" s="79"/>
      <c r="U1866" s="90"/>
      <c r="V1866" s="79"/>
    </row>
    <row r="1867">
      <c r="A1867" s="53" t="s">
        <v>3563</v>
      </c>
      <c r="B1867" s="54" t="s">
        <v>129</v>
      </c>
      <c r="C1867" s="59"/>
      <c r="D1867" s="59" t="str">
        <f t="shared" si="148"/>
        <v>Removed</v>
      </c>
      <c r="E1867" s="133">
        <v>43009.0</v>
      </c>
      <c r="F1867" s="133">
        <v>43709.0</v>
      </c>
      <c r="G1867" s="65">
        <f t="shared" si="2"/>
        <v>23</v>
      </c>
      <c r="H1867" s="88">
        <v>40235.0</v>
      </c>
      <c r="I1867" s="65">
        <f t="shared" si="3"/>
        <v>7.597222222</v>
      </c>
      <c r="J1867" s="121">
        <v>78.0</v>
      </c>
      <c r="K1867" s="121">
        <v>3.0</v>
      </c>
      <c r="L1867" s="91" t="s">
        <v>52</v>
      </c>
      <c r="M1867" s="91"/>
      <c r="N1867" s="91"/>
      <c r="O1867" s="91"/>
      <c r="P1867" s="134"/>
      <c r="Q1867" s="292" t="s">
        <v>1822</v>
      </c>
      <c r="R1867" s="59"/>
      <c r="S1867" s="88"/>
      <c r="T1867" s="65"/>
      <c r="U1867" s="88"/>
      <c r="V1867" s="65"/>
    </row>
    <row r="1868">
      <c r="A1868" s="293" t="s">
        <v>3564</v>
      </c>
      <c r="B1868" s="75" t="s">
        <v>129</v>
      </c>
      <c r="C1868" s="76"/>
      <c r="D1868" s="76" t="str">
        <f t="shared" si="148"/>
        <v>Removed</v>
      </c>
      <c r="E1868" s="218">
        <v>42887.0</v>
      </c>
      <c r="F1868" s="218">
        <v>43709.0</v>
      </c>
      <c r="G1868" s="79">
        <f t="shared" si="2"/>
        <v>27</v>
      </c>
      <c r="H1868" s="90">
        <v>40016.0</v>
      </c>
      <c r="I1868" s="79">
        <f t="shared" si="3"/>
        <v>7.858333333</v>
      </c>
      <c r="J1868" s="216">
        <v>84.0</v>
      </c>
      <c r="K1868" s="106">
        <v>8.0</v>
      </c>
      <c r="L1868" s="82" t="s">
        <v>57</v>
      </c>
      <c r="M1868" s="83"/>
      <c r="N1868" s="83"/>
      <c r="O1868" s="83"/>
      <c r="P1868" s="219"/>
      <c r="Q1868" s="82" t="s">
        <v>1822</v>
      </c>
      <c r="R1868" s="76"/>
      <c r="S1868" s="90"/>
      <c r="T1868" s="79"/>
      <c r="U1868" s="90"/>
      <c r="V1868" s="79"/>
    </row>
    <row r="1869">
      <c r="A1869" s="207" t="s">
        <v>3565</v>
      </c>
      <c r="B1869" s="54" t="s">
        <v>129</v>
      </c>
      <c r="C1869" s="59"/>
      <c r="D1869" s="59" t="str">
        <f t="shared" si="148"/>
        <v>Removed</v>
      </c>
      <c r="E1869" s="133">
        <v>42887.0</v>
      </c>
      <c r="F1869" s="133">
        <v>43709.0</v>
      </c>
      <c r="G1869" s="65">
        <f t="shared" si="2"/>
        <v>27</v>
      </c>
      <c r="H1869" s="88">
        <v>39834.0</v>
      </c>
      <c r="I1869" s="65">
        <f t="shared" si="3"/>
        <v>8.361111111</v>
      </c>
      <c r="J1869" s="121">
        <v>75.0</v>
      </c>
      <c r="K1869" s="121">
        <v>3.0</v>
      </c>
      <c r="L1869" s="69" t="s">
        <v>57</v>
      </c>
      <c r="M1869" s="69"/>
      <c r="N1869" s="69"/>
      <c r="O1869" s="69"/>
      <c r="P1869" s="122"/>
      <c r="Q1869" s="69" t="s">
        <v>1822</v>
      </c>
      <c r="R1869" s="59"/>
      <c r="S1869" s="88"/>
      <c r="T1869" s="65"/>
      <c r="U1869" s="88"/>
      <c r="V1869" s="65"/>
    </row>
    <row r="1870">
      <c r="A1870" s="74" t="s">
        <v>3566</v>
      </c>
      <c r="B1870" s="75" t="s">
        <v>2984</v>
      </c>
      <c r="C1870" s="76"/>
      <c r="D1870" s="76" t="s">
        <v>2985</v>
      </c>
      <c r="E1870" s="218">
        <v>43693.0</v>
      </c>
      <c r="F1870" s="77">
        <v>43708.0</v>
      </c>
      <c r="G1870" s="79">
        <f t="shared" si="2"/>
        <v>0.4666666667</v>
      </c>
      <c r="H1870" s="90">
        <v>40458.0</v>
      </c>
      <c r="I1870" s="79">
        <f t="shared" si="3"/>
        <v>8.858333333</v>
      </c>
      <c r="J1870" s="106">
        <v>83.0</v>
      </c>
      <c r="K1870" s="106">
        <v>19.0</v>
      </c>
      <c r="L1870" s="82" t="s">
        <v>41</v>
      </c>
      <c r="M1870" s="82"/>
      <c r="N1870" s="82" t="s">
        <v>2761</v>
      </c>
      <c r="O1870" s="82"/>
      <c r="P1870" s="107"/>
      <c r="Q1870" s="82"/>
      <c r="R1870" s="76"/>
      <c r="S1870" s="90"/>
      <c r="T1870" s="79"/>
      <c r="U1870" s="90"/>
      <c r="V1870" s="79"/>
    </row>
    <row r="1871">
      <c r="A1871" s="53" t="s">
        <v>1666</v>
      </c>
      <c r="B1871" s="54" t="s">
        <v>2759</v>
      </c>
      <c r="C1871" s="59"/>
      <c r="D1871" s="59" t="s">
        <v>2760</v>
      </c>
      <c r="E1871" s="133">
        <v>43678.0</v>
      </c>
      <c r="F1871" s="61">
        <v>43708.0</v>
      </c>
      <c r="G1871" s="65">
        <f t="shared" si="2"/>
        <v>0.9666666667</v>
      </c>
      <c r="H1871" s="88">
        <v>42654.0</v>
      </c>
      <c r="I1871" s="65">
        <f t="shared" si="3"/>
        <v>2.805555556</v>
      </c>
      <c r="J1871" s="121">
        <v>81.0</v>
      </c>
      <c r="K1871" s="121">
        <v>9.0</v>
      </c>
      <c r="L1871" s="69" t="s">
        <v>37</v>
      </c>
      <c r="M1871" s="69"/>
      <c r="N1871" s="69" t="s">
        <v>2761</v>
      </c>
      <c r="O1871" s="69"/>
      <c r="P1871" s="122"/>
      <c r="Q1871" s="69"/>
      <c r="R1871" s="59"/>
      <c r="S1871" s="88"/>
      <c r="T1871" s="65"/>
      <c r="U1871" s="88"/>
      <c r="V1871" s="65"/>
    </row>
    <row r="1872">
      <c r="A1872" s="74" t="s">
        <v>3040</v>
      </c>
      <c r="B1872" s="75" t="s">
        <v>2984</v>
      </c>
      <c r="C1872" s="76"/>
      <c r="D1872" s="76" t="s">
        <v>2985</v>
      </c>
      <c r="E1872" s="218">
        <v>43678.0</v>
      </c>
      <c r="F1872" s="77">
        <v>43692.0</v>
      </c>
      <c r="G1872" s="79">
        <f t="shared" si="2"/>
        <v>0.4666666667</v>
      </c>
      <c r="H1872" s="90">
        <v>40113.0</v>
      </c>
      <c r="I1872" s="79">
        <f t="shared" si="3"/>
        <v>9.761111111</v>
      </c>
      <c r="J1872" s="106">
        <v>83.0</v>
      </c>
      <c r="K1872" s="106">
        <v>14.0</v>
      </c>
      <c r="L1872" s="82" t="s">
        <v>46</v>
      </c>
      <c r="M1872" s="82"/>
      <c r="N1872" s="82" t="s">
        <v>2761</v>
      </c>
      <c r="O1872" s="82"/>
      <c r="P1872" s="107"/>
      <c r="Q1872" s="82"/>
      <c r="R1872" s="76"/>
      <c r="S1872" s="90"/>
      <c r="T1872" s="79"/>
      <c r="U1872" s="90"/>
      <c r="V1872" s="79"/>
    </row>
    <row r="1873">
      <c r="A1873" s="53" t="s">
        <v>3567</v>
      </c>
      <c r="B1873" s="54" t="s">
        <v>2759</v>
      </c>
      <c r="C1873" s="59"/>
      <c r="D1873" s="59" t="s">
        <v>2760</v>
      </c>
      <c r="E1873" s="133">
        <v>43662.0</v>
      </c>
      <c r="F1873" s="61">
        <v>43692.0</v>
      </c>
      <c r="G1873" s="65">
        <f t="shared" si="2"/>
        <v>0.9666666667</v>
      </c>
      <c r="H1873" s="88">
        <v>43448.0</v>
      </c>
      <c r="I1873" s="65">
        <f t="shared" si="3"/>
        <v>0.5888888889</v>
      </c>
      <c r="J1873" s="121">
        <v>76.0</v>
      </c>
      <c r="K1873" s="121">
        <v>5.0</v>
      </c>
      <c r="L1873" s="69" t="s">
        <v>41</v>
      </c>
      <c r="M1873" s="69"/>
      <c r="N1873" s="69" t="s">
        <v>2761</v>
      </c>
      <c r="O1873" s="69"/>
      <c r="P1873" s="122"/>
      <c r="Q1873" s="69"/>
      <c r="R1873" s="59"/>
      <c r="S1873" s="88"/>
      <c r="T1873" s="65"/>
      <c r="U1873" s="88"/>
      <c r="V1873" s="65"/>
    </row>
    <row r="1874">
      <c r="A1874" s="226" t="s">
        <v>3568</v>
      </c>
      <c r="B1874" s="75" t="s">
        <v>129</v>
      </c>
      <c r="C1874" s="76"/>
      <c r="D1874" s="76" t="str">
        <f t="shared" ref="D1874:D1890" si="149">IF(E1874&gt;TODAY(),"Coming Soon",IF(F1874="","Active",IF(F1874&gt;TODAY(),"Leaving Soon","Removed")))</f>
        <v>Removed</v>
      </c>
      <c r="E1874" s="218">
        <v>43344.0</v>
      </c>
      <c r="F1874" s="218">
        <v>43678.0</v>
      </c>
      <c r="G1874" s="79">
        <f t="shared" si="2"/>
        <v>11</v>
      </c>
      <c r="H1874" s="90">
        <v>43116.0</v>
      </c>
      <c r="I1874" s="79">
        <f t="shared" si="3"/>
        <v>0.625</v>
      </c>
      <c r="J1874" s="106">
        <v>64.0</v>
      </c>
      <c r="K1874" s="106">
        <v>4.5</v>
      </c>
      <c r="L1874" s="82" t="s">
        <v>1743</v>
      </c>
      <c r="M1874" s="83"/>
      <c r="N1874" s="83"/>
      <c r="O1874" s="83"/>
      <c r="P1874" s="219"/>
      <c r="Q1874" s="83"/>
      <c r="R1874" s="76"/>
      <c r="S1874" s="90"/>
      <c r="T1874" s="79"/>
      <c r="U1874" s="90"/>
      <c r="V1874" s="79"/>
    </row>
    <row r="1875">
      <c r="A1875" s="207" t="s">
        <v>3569</v>
      </c>
      <c r="B1875" s="54" t="s">
        <v>129</v>
      </c>
      <c r="C1875" s="59"/>
      <c r="D1875" s="59" t="str">
        <f t="shared" si="149"/>
        <v>Removed</v>
      </c>
      <c r="E1875" s="133">
        <v>43344.0</v>
      </c>
      <c r="F1875" s="133">
        <v>43678.0</v>
      </c>
      <c r="G1875" s="65">
        <f t="shared" si="2"/>
        <v>11</v>
      </c>
      <c r="H1875" s="88">
        <v>42654.0</v>
      </c>
      <c r="I1875" s="65">
        <f t="shared" si="3"/>
        <v>1.888888889</v>
      </c>
      <c r="J1875" s="121">
        <v>66.0</v>
      </c>
      <c r="K1875" s="121">
        <v>2.0</v>
      </c>
      <c r="L1875" s="69" t="s">
        <v>135</v>
      </c>
      <c r="M1875" s="69"/>
      <c r="N1875" s="69"/>
      <c r="O1875" s="69"/>
      <c r="P1875" s="122"/>
      <c r="Q1875" s="69"/>
      <c r="R1875" s="59"/>
      <c r="S1875" s="88"/>
      <c r="T1875" s="65"/>
      <c r="U1875" s="88"/>
      <c r="V1875" s="65"/>
    </row>
    <row r="1876">
      <c r="A1876" s="74" t="s">
        <v>3570</v>
      </c>
      <c r="B1876" s="75" t="s">
        <v>129</v>
      </c>
      <c r="C1876" s="76"/>
      <c r="D1876" s="76" t="str">
        <f t="shared" si="149"/>
        <v>Removed</v>
      </c>
      <c r="E1876" s="218">
        <v>43344.0</v>
      </c>
      <c r="F1876" s="218">
        <v>43678.0</v>
      </c>
      <c r="G1876" s="79">
        <f t="shared" si="2"/>
        <v>11</v>
      </c>
      <c r="H1876" s="90">
        <v>43132.0</v>
      </c>
      <c r="I1876" s="79">
        <f t="shared" si="3"/>
        <v>0.5833333333</v>
      </c>
      <c r="J1876" s="106">
        <v>86.0</v>
      </c>
      <c r="K1876" s="106">
        <v>16.0</v>
      </c>
      <c r="L1876" s="82" t="s">
        <v>3240</v>
      </c>
      <c r="M1876" s="83"/>
      <c r="N1876" s="83"/>
      <c r="O1876" s="83"/>
      <c r="P1876" s="219"/>
      <c r="Q1876" s="83"/>
      <c r="R1876" s="76"/>
      <c r="S1876" s="90"/>
      <c r="T1876" s="79"/>
      <c r="U1876" s="90"/>
      <c r="V1876" s="79"/>
    </row>
    <row r="1877">
      <c r="A1877" s="207" t="s">
        <v>3571</v>
      </c>
      <c r="B1877" s="54" t="s">
        <v>129</v>
      </c>
      <c r="C1877" s="59"/>
      <c r="D1877" s="59" t="str">
        <f t="shared" si="149"/>
        <v>Removed</v>
      </c>
      <c r="E1877" s="133">
        <v>43327.0</v>
      </c>
      <c r="F1877" s="133">
        <v>43678.0</v>
      </c>
      <c r="G1877" s="65">
        <f t="shared" si="2"/>
        <v>11.53333333</v>
      </c>
      <c r="H1877" s="88">
        <v>43327.0</v>
      </c>
      <c r="I1877" s="65">
        <f t="shared" si="3"/>
        <v>0</v>
      </c>
      <c r="J1877" s="121">
        <v>70.0</v>
      </c>
      <c r="K1877" s="121">
        <v>45.5</v>
      </c>
      <c r="L1877" s="69" t="s">
        <v>46</v>
      </c>
      <c r="M1877" s="91"/>
      <c r="N1877" s="91"/>
      <c r="O1877" s="91"/>
      <c r="P1877" s="134"/>
      <c r="Q1877" s="69"/>
      <c r="R1877" s="59"/>
      <c r="S1877" s="88"/>
      <c r="T1877" s="65"/>
      <c r="U1877" s="88"/>
      <c r="V1877" s="65"/>
    </row>
    <row r="1878">
      <c r="A1878" s="226" t="s">
        <v>3572</v>
      </c>
      <c r="B1878" s="75" t="s">
        <v>129</v>
      </c>
      <c r="C1878" s="76"/>
      <c r="D1878" s="76" t="str">
        <f t="shared" si="149"/>
        <v>Removed</v>
      </c>
      <c r="E1878" s="218">
        <v>43252.0</v>
      </c>
      <c r="F1878" s="218">
        <v>43678.0</v>
      </c>
      <c r="G1878" s="79">
        <f t="shared" si="2"/>
        <v>14</v>
      </c>
      <c r="H1878" s="90">
        <v>38309.0</v>
      </c>
      <c r="I1878" s="79">
        <f t="shared" si="3"/>
        <v>13.53611111</v>
      </c>
      <c r="J1878" s="106">
        <v>79.0</v>
      </c>
      <c r="K1878" s="106">
        <v>5.0</v>
      </c>
      <c r="L1878" s="82" t="s">
        <v>37</v>
      </c>
      <c r="M1878" s="83"/>
      <c r="N1878" s="83"/>
      <c r="O1878" s="83"/>
      <c r="P1878" s="219"/>
      <c r="Q1878" s="82" t="s">
        <v>2841</v>
      </c>
      <c r="R1878" s="76"/>
      <c r="S1878" s="90"/>
      <c r="T1878" s="79"/>
      <c r="U1878" s="90"/>
      <c r="V1878" s="79"/>
    </row>
    <row r="1879">
      <c r="A1879" s="207" t="s">
        <v>3573</v>
      </c>
      <c r="B1879" s="54" t="s">
        <v>129</v>
      </c>
      <c r="C1879" s="59"/>
      <c r="D1879" s="59" t="str">
        <f t="shared" si="149"/>
        <v>Removed</v>
      </c>
      <c r="E1879" s="133">
        <v>43252.0</v>
      </c>
      <c r="F1879" s="133">
        <v>43678.0</v>
      </c>
      <c r="G1879" s="65">
        <f t="shared" si="2"/>
        <v>14</v>
      </c>
      <c r="H1879" s="88">
        <v>41367.0</v>
      </c>
      <c r="I1879" s="65">
        <f t="shared" si="3"/>
        <v>5.161111111</v>
      </c>
      <c r="J1879" s="121">
        <v>85.0</v>
      </c>
      <c r="K1879" s="121">
        <v>10.0</v>
      </c>
      <c r="L1879" s="69" t="s">
        <v>57</v>
      </c>
      <c r="M1879" s="91"/>
      <c r="N1879" s="91"/>
      <c r="O1879" s="91"/>
      <c r="P1879" s="134"/>
      <c r="Q1879" s="91"/>
      <c r="R1879" s="59"/>
      <c r="S1879" s="88"/>
      <c r="T1879" s="65"/>
      <c r="U1879" s="88"/>
      <c r="V1879" s="65"/>
    </row>
    <row r="1880">
      <c r="A1880" s="226" t="s">
        <v>3232</v>
      </c>
      <c r="B1880" s="75" t="s">
        <v>129</v>
      </c>
      <c r="C1880" s="76"/>
      <c r="D1880" s="76" t="str">
        <f t="shared" si="149"/>
        <v>Removed</v>
      </c>
      <c r="E1880" s="218">
        <v>42979.0</v>
      </c>
      <c r="F1880" s="218">
        <v>43678.0</v>
      </c>
      <c r="G1880" s="79">
        <f t="shared" si="2"/>
        <v>23</v>
      </c>
      <c r="H1880" s="90">
        <v>36490.0</v>
      </c>
      <c r="I1880" s="79">
        <f t="shared" si="3"/>
        <v>17.76388889</v>
      </c>
      <c r="J1880" s="106">
        <v>77.0</v>
      </c>
      <c r="K1880" s="106">
        <v>1.5</v>
      </c>
      <c r="L1880" s="83" t="s">
        <v>52</v>
      </c>
      <c r="M1880" s="83"/>
      <c r="N1880" s="83"/>
      <c r="O1880" s="83"/>
      <c r="P1880" s="219"/>
      <c r="Q1880" s="82"/>
      <c r="R1880" s="76"/>
      <c r="S1880" s="90"/>
      <c r="T1880" s="79"/>
      <c r="U1880" s="90"/>
      <c r="V1880" s="79"/>
    </row>
    <row r="1881">
      <c r="A1881" s="207" t="s">
        <v>3574</v>
      </c>
      <c r="B1881" s="54" t="s">
        <v>129</v>
      </c>
      <c r="C1881" s="59"/>
      <c r="D1881" s="59" t="str">
        <f t="shared" si="149"/>
        <v>Removed</v>
      </c>
      <c r="E1881" s="133">
        <v>42887.0</v>
      </c>
      <c r="F1881" s="133">
        <v>43678.0</v>
      </c>
      <c r="G1881" s="65">
        <f t="shared" si="2"/>
        <v>26</v>
      </c>
      <c r="H1881" s="88">
        <v>39771.0</v>
      </c>
      <c r="I1881" s="65">
        <f t="shared" si="3"/>
        <v>8.533333333</v>
      </c>
      <c r="J1881" s="121">
        <v>78.0</v>
      </c>
      <c r="K1881" s="121">
        <v>6.0</v>
      </c>
      <c r="L1881" s="69" t="s">
        <v>81</v>
      </c>
      <c r="M1881" s="91"/>
      <c r="N1881" s="91"/>
      <c r="O1881" s="91"/>
      <c r="P1881" s="134"/>
      <c r="Q1881" s="69" t="s">
        <v>1822</v>
      </c>
      <c r="R1881" s="59"/>
      <c r="S1881" s="88"/>
      <c r="T1881" s="65"/>
      <c r="U1881" s="88"/>
      <c r="V1881" s="65"/>
    </row>
    <row r="1882">
      <c r="A1882" s="226" t="s">
        <v>3575</v>
      </c>
      <c r="B1882" s="75" t="s">
        <v>129</v>
      </c>
      <c r="C1882" s="76"/>
      <c r="D1882" s="76" t="str">
        <f t="shared" si="149"/>
        <v>Removed</v>
      </c>
      <c r="E1882" s="218">
        <v>42887.0</v>
      </c>
      <c r="F1882" s="218">
        <v>43678.0</v>
      </c>
      <c r="G1882" s="79">
        <f t="shared" si="2"/>
        <v>26</v>
      </c>
      <c r="H1882" s="90">
        <v>40534.0</v>
      </c>
      <c r="I1882" s="79">
        <f t="shared" si="3"/>
        <v>6.441666667</v>
      </c>
      <c r="J1882" s="106">
        <v>77.0</v>
      </c>
      <c r="K1882" s="106">
        <v>7.0</v>
      </c>
      <c r="L1882" s="83" t="s">
        <v>64</v>
      </c>
      <c r="M1882" s="83"/>
      <c r="N1882" s="83"/>
      <c r="O1882" s="83"/>
      <c r="P1882" s="219"/>
      <c r="Q1882" s="83"/>
      <c r="R1882" s="76"/>
      <c r="S1882" s="90"/>
      <c r="T1882" s="79"/>
      <c r="U1882" s="90"/>
      <c r="V1882" s="79"/>
    </row>
    <row r="1883">
      <c r="A1883" s="207" t="s">
        <v>3576</v>
      </c>
      <c r="B1883" s="54" t="s">
        <v>129</v>
      </c>
      <c r="C1883" s="59"/>
      <c r="D1883" s="59" t="str">
        <f t="shared" si="149"/>
        <v>Removed</v>
      </c>
      <c r="E1883" s="133">
        <v>42887.0</v>
      </c>
      <c r="F1883" s="133">
        <v>43678.0</v>
      </c>
      <c r="G1883" s="65">
        <f t="shared" si="2"/>
        <v>26</v>
      </c>
      <c r="H1883" s="88">
        <v>41423.0</v>
      </c>
      <c r="I1883" s="65">
        <f t="shared" si="3"/>
        <v>4.005555556</v>
      </c>
      <c r="J1883" s="121">
        <v>79.0</v>
      </c>
      <c r="K1883" s="121">
        <v>7.0</v>
      </c>
      <c r="L1883" s="69" t="s">
        <v>81</v>
      </c>
      <c r="M1883" s="91"/>
      <c r="N1883" s="91"/>
      <c r="O1883" s="91"/>
      <c r="P1883" s="134"/>
      <c r="Q1883" s="91"/>
      <c r="R1883" s="59"/>
      <c r="S1883" s="88"/>
      <c r="T1883" s="65"/>
      <c r="U1883" s="88"/>
      <c r="V1883" s="65"/>
    </row>
    <row r="1884">
      <c r="A1884" s="226" t="s">
        <v>3577</v>
      </c>
      <c r="B1884" s="75" t="s">
        <v>129</v>
      </c>
      <c r="C1884" s="76"/>
      <c r="D1884" s="76" t="str">
        <f t="shared" si="149"/>
        <v>Removed</v>
      </c>
      <c r="E1884" s="218">
        <v>42887.0</v>
      </c>
      <c r="F1884" s="218">
        <v>43678.0</v>
      </c>
      <c r="G1884" s="79">
        <f t="shared" si="2"/>
        <v>26</v>
      </c>
      <c r="H1884" s="90">
        <v>41191.0</v>
      </c>
      <c r="I1884" s="79">
        <f t="shared" si="3"/>
        <v>4.644444444</v>
      </c>
      <c r="J1884" s="106">
        <v>82.0</v>
      </c>
      <c r="K1884" s="106">
        <v>2.0</v>
      </c>
      <c r="L1884" s="82" t="s">
        <v>57</v>
      </c>
      <c r="M1884" s="83"/>
      <c r="N1884" s="83"/>
      <c r="O1884" s="83"/>
      <c r="P1884" s="219"/>
      <c r="Q1884" s="83"/>
      <c r="R1884" s="76"/>
      <c r="S1884" s="90"/>
      <c r="T1884" s="79"/>
      <c r="U1884" s="90"/>
      <c r="V1884" s="79"/>
    </row>
    <row r="1885">
      <c r="A1885" s="53" t="s">
        <v>3578</v>
      </c>
      <c r="B1885" s="54" t="s">
        <v>129</v>
      </c>
      <c r="C1885" s="59"/>
      <c r="D1885" s="59" t="str">
        <f t="shared" si="149"/>
        <v>Removed</v>
      </c>
      <c r="E1885" s="133">
        <v>42887.0</v>
      </c>
      <c r="F1885" s="133">
        <v>43678.0</v>
      </c>
      <c r="G1885" s="65">
        <f t="shared" si="2"/>
        <v>26</v>
      </c>
      <c r="H1885" s="88">
        <v>40337.0</v>
      </c>
      <c r="I1885" s="65">
        <f t="shared" si="3"/>
        <v>6.980555556</v>
      </c>
      <c r="J1885" s="121">
        <v>88.0</v>
      </c>
      <c r="K1885" s="121">
        <v>6.0</v>
      </c>
      <c r="L1885" s="69" t="s">
        <v>57</v>
      </c>
      <c r="M1885" s="69"/>
      <c r="N1885" s="69"/>
      <c r="O1885" s="69"/>
      <c r="P1885" s="122"/>
      <c r="Q1885" s="69"/>
      <c r="R1885" s="59"/>
      <c r="S1885" s="88"/>
      <c r="T1885" s="65"/>
      <c r="U1885" s="88"/>
      <c r="V1885" s="65"/>
    </row>
    <row r="1886">
      <c r="A1886" s="226" t="s">
        <v>3579</v>
      </c>
      <c r="B1886" s="75" t="s">
        <v>129</v>
      </c>
      <c r="C1886" s="76"/>
      <c r="D1886" s="76" t="str">
        <f t="shared" si="149"/>
        <v>Removed</v>
      </c>
      <c r="E1886" s="218">
        <v>42887.0</v>
      </c>
      <c r="F1886" s="218">
        <v>43678.0</v>
      </c>
      <c r="G1886" s="79">
        <f t="shared" si="2"/>
        <v>26</v>
      </c>
      <c r="H1886" s="90">
        <v>40401.0</v>
      </c>
      <c r="I1886" s="79">
        <f t="shared" si="3"/>
        <v>6.805555556</v>
      </c>
      <c r="J1886" s="106">
        <v>79.0</v>
      </c>
      <c r="K1886" s="106">
        <v>3.0</v>
      </c>
      <c r="L1886" s="82" t="s">
        <v>37</v>
      </c>
      <c r="M1886" s="83"/>
      <c r="N1886" s="83"/>
      <c r="O1886" s="83"/>
      <c r="P1886" s="219"/>
      <c r="Q1886" s="83"/>
      <c r="R1886" s="76"/>
      <c r="S1886" s="90"/>
      <c r="T1886" s="79"/>
      <c r="U1886" s="90"/>
      <c r="V1886" s="79"/>
    </row>
    <row r="1887">
      <c r="A1887" s="207" t="s">
        <v>3580</v>
      </c>
      <c r="B1887" s="54" t="s">
        <v>129</v>
      </c>
      <c r="C1887" s="59"/>
      <c r="D1887" s="59" t="str">
        <f t="shared" si="149"/>
        <v>Removed</v>
      </c>
      <c r="E1887" s="133">
        <v>42887.0</v>
      </c>
      <c r="F1887" s="133">
        <v>43678.0</v>
      </c>
      <c r="G1887" s="65">
        <f t="shared" si="2"/>
        <v>26</v>
      </c>
      <c r="H1887" s="88">
        <v>42213.0</v>
      </c>
      <c r="I1887" s="65">
        <f t="shared" si="3"/>
        <v>1.841666667</v>
      </c>
      <c r="J1887" s="121">
        <v>83.0</v>
      </c>
      <c r="K1887" s="121">
        <v>14.5</v>
      </c>
      <c r="L1887" s="91" t="s">
        <v>57</v>
      </c>
      <c r="M1887" s="91"/>
      <c r="N1887" s="91"/>
      <c r="O1887" s="91"/>
      <c r="P1887" s="134"/>
      <c r="Q1887" s="91"/>
      <c r="R1887" s="59"/>
      <c r="S1887" s="88"/>
      <c r="T1887" s="65"/>
      <c r="U1887" s="88"/>
      <c r="V1887" s="65"/>
    </row>
    <row r="1888">
      <c r="A1888" s="226" t="s">
        <v>3581</v>
      </c>
      <c r="B1888" s="75" t="s">
        <v>129</v>
      </c>
      <c r="C1888" s="76"/>
      <c r="D1888" s="76" t="str">
        <f t="shared" si="149"/>
        <v>Removed</v>
      </c>
      <c r="E1888" s="218">
        <v>42887.0</v>
      </c>
      <c r="F1888" s="218">
        <v>43678.0</v>
      </c>
      <c r="G1888" s="79">
        <f t="shared" si="2"/>
        <v>26</v>
      </c>
      <c r="H1888" s="90">
        <v>40057.0</v>
      </c>
      <c r="I1888" s="79">
        <f t="shared" si="3"/>
        <v>7.75</v>
      </c>
      <c r="J1888" s="106">
        <v>87.0</v>
      </c>
      <c r="K1888" s="106">
        <v>17.5</v>
      </c>
      <c r="L1888" s="82" t="s">
        <v>57</v>
      </c>
      <c r="M1888" s="83"/>
      <c r="N1888" s="83"/>
      <c r="O1888" s="83"/>
      <c r="P1888" s="219"/>
      <c r="Q1888" s="82" t="s">
        <v>2841</v>
      </c>
      <c r="R1888" s="76"/>
      <c r="S1888" s="90"/>
      <c r="T1888" s="79"/>
      <c r="U1888" s="90"/>
      <c r="V1888" s="79"/>
    </row>
    <row r="1889">
      <c r="A1889" s="207" t="s">
        <v>3582</v>
      </c>
      <c r="B1889" s="54" t="s">
        <v>129</v>
      </c>
      <c r="C1889" s="59"/>
      <c r="D1889" s="59" t="str">
        <f t="shared" si="149"/>
        <v>Removed</v>
      </c>
      <c r="E1889" s="133">
        <v>42887.0</v>
      </c>
      <c r="F1889" s="133">
        <v>43678.0</v>
      </c>
      <c r="G1889" s="65">
        <f t="shared" si="2"/>
        <v>26</v>
      </c>
      <c r="H1889" s="88">
        <v>40240.0</v>
      </c>
      <c r="I1889" s="65">
        <f t="shared" si="3"/>
        <v>7.244444444</v>
      </c>
      <c r="J1889" s="121">
        <v>81.0</v>
      </c>
      <c r="K1889" s="121">
        <v>6.0</v>
      </c>
      <c r="L1889" s="69" t="s">
        <v>37</v>
      </c>
      <c r="M1889" s="91"/>
      <c r="N1889" s="91"/>
      <c r="O1889" s="91"/>
      <c r="P1889" s="134"/>
      <c r="Q1889" s="69" t="s">
        <v>1822</v>
      </c>
      <c r="R1889" s="59"/>
      <c r="S1889" s="88"/>
      <c r="T1889" s="65"/>
      <c r="U1889" s="88"/>
      <c r="V1889" s="65"/>
    </row>
    <row r="1890">
      <c r="A1890" s="226" t="s">
        <v>3583</v>
      </c>
      <c r="B1890" s="75" t="s">
        <v>129</v>
      </c>
      <c r="C1890" s="76"/>
      <c r="D1890" s="76" t="str">
        <f t="shared" si="149"/>
        <v>Removed</v>
      </c>
      <c r="E1890" s="218">
        <v>42887.0</v>
      </c>
      <c r="F1890" s="218">
        <v>43678.0</v>
      </c>
      <c r="G1890" s="79">
        <f t="shared" si="2"/>
        <v>26</v>
      </c>
      <c r="H1890" s="90">
        <v>40772.0</v>
      </c>
      <c r="I1890" s="79">
        <f t="shared" si="3"/>
        <v>5.788888889</v>
      </c>
      <c r="J1890" s="106">
        <v>81.0</v>
      </c>
      <c r="K1890" s="106">
        <v>4.0</v>
      </c>
      <c r="L1890" s="82" t="s">
        <v>37</v>
      </c>
      <c r="M1890" s="83"/>
      <c r="N1890" s="83"/>
      <c r="O1890" s="83"/>
      <c r="P1890" s="219"/>
      <c r="Q1890" s="83"/>
      <c r="R1890" s="76"/>
      <c r="S1890" s="90"/>
      <c r="T1890" s="79"/>
      <c r="U1890" s="90"/>
      <c r="V1890" s="79"/>
    </row>
    <row r="1891">
      <c r="A1891" s="53" t="s">
        <v>3584</v>
      </c>
      <c r="B1891" s="54" t="s">
        <v>2984</v>
      </c>
      <c r="C1891" s="59"/>
      <c r="D1891" s="59" t="s">
        <v>2985</v>
      </c>
      <c r="E1891" s="133">
        <v>43662.0</v>
      </c>
      <c r="F1891" s="61">
        <v>43677.0</v>
      </c>
      <c r="G1891" s="65">
        <f t="shared" si="2"/>
        <v>0.4666666667</v>
      </c>
      <c r="H1891" s="88">
        <v>40498.0</v>
      </c>
      <c r="I1891" s="65">
        <f t="shared" si="3"/>
        <v>8.666666667</v>
      </c>
      <c r="J1891" s="121">
        <v>62.0</v>
      </c>
      <c r="K1891" s="121">
        <v>6.0</v>
      </c>
      <c r="L1891" s="69" t="s">
        <v>41</v>
      </c>
      <c r="M1891" s="69"/>
      <c r="N1891" s="69" t="s">
        <v>2761</v>
      </c>
      <c r="O1891" s="69"/>
      <c r="P1891" s="122"/>
      <c r="Q1891" s="69"/>
      <c r="R1891" s="59"/>
      <c r="S1891" s="88"/>
      <c r="T1891" s="65"/>
      <c r="U1891" s="88"/>
      <c r="V1891" s="65"/>
    </row>
    <row r="1892">
      <c r="A1892" s="74" t="s">
        <v>3585</v>
      </c>
      <c r="B1892" s="75" t="s">
        <v>2759</v>
      </c>
      <c r="C1892" s="76"/>
      <c r="D1892" s="76" t="s">
        <v>2760</v>
      </c>
      <c r="E1892" s="218">
        <v>43647.0</v>
      </c>
      <c r="F1892" s="77">
        <v>43677.0</v>
      </c>
      <c r="G1892" s="79">
        <f t="shared" si="2"/>
        <v>0.9666666667</v>
      </c>
      <c r="H1892" s="90">
        <v>42550.0</v>
      </c>
      <c r="I1892" s="79">
        <f t="shared" si="3"/>
        <v>3.005555556</v>
      </c>
      <c r="J1892" s="106">
        <v>91.0</v>
      </c>
      <c r="K1892" s="106">
        <v>3.5</v>
      </c>
      <c r="L1892" s="82" t="s">
        <v>41</v>
      </c>
      <c r="M1892" s="82"/>
      <c r="N1892" s="82"/>
      <c r="O1892" s="82"/>
      <c r="P1892" s="107"/>
      <c r="Q1892" s="82"/>
      <c r="R1892" s="76"/>
      <c r="S1892" s="90"/>
      <c r="T1892" s="79"/>
      <c r="U1892" s="90"/>
      <c r="V1892" s="79"/>
    </row>
    <row r="1893">
      <c r="A1893" s="53" t="s">
        <v>3586</v>
      </c>
      <c r="B1893" s="54" t="s">
        <v>2984</v>
      </c>
      <c r="C1893" s="59"/>
      <c r="D1893" s="59" t="s">
        <v>2985</v>
      </c>
      <c r="E1893" s="133">
        <v>43647.0</v>
      </c>
      <c r="F1893" s="61">
        <v>43661.0</v>
      </c>
      <c r="G1893" s="65">
        <f t="shared" si="2"/>
        <v>0.4666666667</v>
      </c>
      <c r="H1893" s="88">
        <v>35509.0</v>
      </c>
      <c r="I1893" s="65">
        <f t="shared" si="3"/>
        <v>22.28055556</v>
      </c>
      <c r="J1893" s="121">
        <v>92.0</v>
      </c>
      <c r="K1893" s="121">
        <v>7.0</v>
      </c>
      <c r="L1893" s="69" t="s">
        <v>41</v>
      </c>
      <c r="M1893" s="69"/>
      <c r="N1893" s="69" t="s">
        <v>2761</v>
      </c>
      <c r="O1893" s="69"/>
      <c r="P1893" s="122"/>
      <c r="Q1893" s="69"/>
      <c r="R1893" s="59"/>
      <c r="S1893" s="88"/>
      <c r="T1893" s="65"/>
      <c r="U1893" s="88"/>
      <c r="V1893" s="65"/>
    </row>
    <row r="1894">
      <c r="A1894" s="74" t="s">
        <v>3587</v>
      </c>
      <c r="B1894" s="75" t="s">
        <v>2759</v>
      </c>
      <c r="C1894" s="76"/>
      <c r="D1894" s="76" t="s">
        <v>2760</v>
      </c>
      <c r="E1894" s="218">
        <v>43632.0</v>
      </c>
      <c r="F1894" s="77">
        <v>43661.0</v>
      </c>
      <c r="G1894" s="79">
        <f t="shared" si="2"/>
        <v>0.9666666667</v>
      </c>
      <c r="H1894" s="90">
        <v>42860.0</v>
      </c>
      <c r="I1894" s="79">
        <f t="shared" si="3"/>
        <v>2.113888889</v>
      </c>
      <c r="J1894" s="106">
        <v>88.0</v>
      </c>
      <c r="K1894" s="106">
        <v>2.0</v>
      </c>
      <c r="L1894" s="82" t="s">
        <v>52</v>
      </c>
      <c r="M1894" s="82"/>
      <c r="N1894" s="82"/>
      <c r="O1894" s="82"/>
      <c r="P1894" s="107"/>
      <c r="Q1894" s="82"/>
      <c r="R1894" s="76"/>
      <c r="S1894" s="90"/>
      <c r="T1894" s="79"/>
      <c r="U1894" s="90"/>
      <c r="V1894" s="79"/>
    </row>
    <row r="1895">
      <c r="A1895" s="207" t="s">
        <v>3588</v>
      </c>
      <c r="B1895" s="54" t="s">
        <v>129</v>
      </c>
      <c r="C1895" s="59"/>
      <c r="D1895" s="59" t="str">
        <f t="shared" ref="D1895:D1902" si="150">IF(E1895&gt;TODAY(),"Coming Soon",IF(F1895="","Active",IF(F1895&gt;TODAY(),"Leaving Soon","Removed")))</f>
        <v>Removed</v>
      </c>
      <c r="E1895" s="61">
        <v>43475.0</v>
      </c>
      <c r="F1895" s="133">
        <v>43647.0</v>
      </c>
      <c r="G1895" s="65">
        <f t="shared" si="2"/>
        <v>5.7</v>
      </c>
      <c r="H1895" s="88">
        <v>43475.0</v>
      </c>
      <c r="I1895" s="65">
        <f t="shared" si="3"/>
        <v>0</v>
      </c>
      <c r="J1895" s="121">
        <v>69.0</v>
      </c>
      <c r="K1895" s="208"/>
      <c r="L1895" s="69" t="s">
        <v>37</v>
      </c>
      <c r="M1895" s="69"/>
      <c r="N1895" s="69"/>
      <c r="O1895" s="69"/>
      <c r="P1895" s="122"/>
      <c r="Q1895" s="69"/>
      <c r="R1895" s="59"/>
      <c r="S1895" s="88"/>
      <c r="T1895" s="65"/>
      <c r="U1895" s="88"/>
      <c r="V1895" s="65"/>
    </row>
    <row r="1896">
      <c r="A1896" s="74" t="s">
        <v>3589</v>
      </c>
      <c r="B1896" s="75" t="s">
        <v>129</v>
      </c>
      <c r="C1896" s="76"/>
      <c r="D1896" s="76" t="str">
        <f t="shared" si="150"/>
        <v>Removed</v>
      </c>
      <c r="E1896" s="218">
        <v>43466.0</v>
      </c>
      <c r="F1896" s="218">
        <v>43647.0</v>
      </c>
      <c r="G1896" s="79">
        <f t="shared" si="2"/>
        <v>6</v>
      </c>
      <c r="H1896" s="90">
        <v>41677.0</v>
      </c>
      <c r="I1896" s="79">
        <f t="shared" si="3"/>
        <v>4.9</v>
      </c>
      <c r="J1896" s="106">
        <v>69.0</v>
      </c>
      <c r="K1896" s="106">
        <v>8.0</v>
      </c>
      <c r="L1896" s="290" t="s">
        <v>41</v>
      </c>
      <c r="M1896" s="82" t="s">
        <v>1747</v>
      </c>
      <c r="N1896" s="290"/>
      <c r="O1896" s="290"/>
      <c r="P1896" s="291"/>
      <c r="Q1896" s="290"/>
      <c r="R1896" s="76"/>
      <c r="S1896" s="90"/>
      <c r="T1896" s="79"/>
      <c r="U1896" s="90"/>
      <c r="V1896" s="79"/>
    </row>
    <row r="1897">
      <c r="A1897" s="207" t="s">
        <v>3590</v>
      </c>
      <c r="B1897" s="54" t="s">
        <v>129</v>
      </c>
      <c r="C1897" s="59"/>
      <c r="D1897" s="59" t="str">
        <f t="shared" si="150"/>
        <v>Removed</v>
      </c>
      <c r="E1897" s="133">
        <v>43313.0</v>
      </c>
      <c r="F1897" s="133">
        <v>43647.0</v>
      </c>
      <c r="G1897" s="65">
        <f t="shared" si="2"/>
        <v>11</v>
      </c>
      <c r="H1897" s="88">
        <v>43137.0</v>
      </c>
      <c r="I1897" s="65">
        <f t="shared" si="3"/>
        <v>0.4861111111</v>
      </c>
      <c r="J1897" s="121">
        <v>70.0</v>
      </c>
      <c r="K1897" s="121">
        <v>6.5</v>
      </c>
      <c r="L1897" s="69" t="s">
        <v>57</v>
      </c>
      <c r="M1897" s="69"/>
      <c r="N1897" s="69"/>
      <c r="O1897" s="69"/>
      <c r="P1897" s="122"/>
      <c r="Q1897" s="69"/>
      <c r="R1897" s="59"/>
      <c r="S1897" s="88"/>
      <c r="T1897" s="65"/>
      <c r="U1897" s="88"/>
      <c r="V1897" s="65"/>
    </row>
    <row r="1898">
      <c r="A1898" s="226" t="s">
        <v>3591</v>
      </c>
      <c r="B1898" s="75" t="s">
        <v>129</v>
      </c>
      <c r="C1898" s="76"/>
      <c r="D1898" s="76" t="str">
        <f t="shared" si="150"/>
        <v>Removed</v>
      </c>
      <c r="E1898" s="218">
        <v>43313.0</v>
      </c>
      <c r="F1898" s="218">
        <v>43647.0</v>
      </c>
      <c r="G1898" s="79">
        <f t="shared" si="2"/>
        <v>11</v>
      </c>
      <c r="H1898" s="90">
        <v>40423.0</v>
      </c>
      <c r="I1898" s="79">
        <f t="shared" si="3"/>
        <v>7.913888889</v>
      </c>
      <c r="J1898" s="106">
        <v>79.0</v>
      </c>
      <c r="K1898" s="106">
        <v>14.0</v>
      </c>
      <c r="L1898" s="82" t="s">
        <v>46</v>
      </c>
      <c r="M1898" s="83"/>
      <c r="N1898" s="83"/>
      <c r="O1898" s="83"/>
      <c r="P1898" s="219"/>
      <c r="Q1898" s="83"/>
      <c r="R1898" s="76"/>
      <c r="S1898" s="90"/>
      <c r="T1898" s="79"/>
      <c r="U1898" s="90"/>
      <c r="V1898" s="79"/>
    </row>
    <row r="1899">
      <c r="A1899" s="53" t="s">
        <v>3592</v>
      </c>
      <c r="B1899" s="54" t="s">
        <v>129</v>
      </c>
      <c r="C1899" s="59"/>
      <c r="D1899" s="59" t="str">
        <f t="shared" si="150"/>
        <v>Removed</v>
      </c>
      <c r="E1899" s="133">
        <v>43313.0</v>
      </c>
      <c r="F1899" s="133">
        <v>43647.0</v>
      </c>
      <c r="G1899" s="65">
        <f t="shared" si="2"/>
        <v>11</v>
      </c>
      <c r="H1899" s="88">
        <v>42440.0</v>
      </c>
      <c r="I1899" s="65">
        <f t="shared" si="3"/>
        <v>2.388888889</v>
      </c>
      <c r="J1899" s="121">
        <v>85.0</v>
      </c>
      <c r="K1899" s="121">
        <v>10.5</v>
      </c>
      <c r="L1899" s="91" t="s">
        <v>41</v>
      </c>
      <c r="M1899" s="91"/>
      <c r="N1899" s="91"/>
      <c r="O1899" s="91"/>
      <c r="P1899" s="134"/>
      <c r="Q1899" s="91"/>
      <c r="R1899" s="59"/>
      <c r="S1899" s="88"/>
      <c r="T1899" s="65"/>
      <c r="U1899" s="88"/>
      <c r="V1899" s="65"/>
    </row>
    <row r="1900">
      <c r="A1900" s="226" t="s">
        <v>3593</v>
      </c>
      <c r="B1900" s="75" t="s">
        <v>129</v>
      </c>
      <c r="C1900" s="76"/>
      <c r="D1900" s="76" t="str">
        <f t="shared" si="150"/>
        <v>Removed</v>
      </c>
      <c r="E1900" s="218">
        <v>42948.0</v>
      </c>
      <c r="F1900" s="218">
        <v>43647.0</v>
      </c>
      <c r="G1900" s="79">
        <f t="shared" si="2"/>
        <v>23</v>
      </c>
      <c r="H1900" s="90">
        <v>40170.0</v>
      </c>
      <c r="I1900" s="79">
        <f t="shared" si="3"/>
        <v>7.605555556</v>
      </c>
      <c r="J1900" s="106">
        <v>61.0</v>
      </c>
      <c r="K1900" s="106">
        <v>1.0</v>
      </c>
      <c r="L1900" s="83" t="s">
        <v>37</v>
      </c>
      <c r="M1900" s="83"/>
      <c r="N1900" s="83"/>
      <c r="O1900" s="83"/>
      <c r="P1900" s="219"/>
      <c r="Q1900" s="82" t="s">
        <v>1822</v>
      </c>
      <c r="R1900" s="76"/>
      <c r="S1900" s="90"/>
      <c r="T1900" s="79"/>
      <c r="U1900" s="90"/>
      <c r="V1900" s="79"/>
    </row>
    <row r="1901">
      <c r="A1901" s="207" t="s">
        <v>3594</v>
      </c>
      <c r="B1901" s="54" t="s">
        <v>129</v>
      </c>
      <c r="C1901" s="59"/>
      <c r="D1901" s="59" t="str">
        <f t="shared" si="150"/>
        <v>Removed</v>
      </c>
      <c r="E1901" s="133">
        <v>42887.0</v>
      </c>
      <c r="F1901" s="133">
        <v>43647.0</v>
      </c>
      <c r="G1901" s="65">
        <f t="shared" si="2"/>
        <v>25</v>
      </c>
      <c r="H1901" s="88">
        <v>39790.0</v>
      </c>
      <c r="I1901" s="65">
        <f t="shared" si="3"/>
        <v>8.480555556</v>
      </c>
      <c r="J1901" s="121">
        <v>82.0</v>
      </c>
      <c r="K1901" s="121">
        <v>11.0</v>
      </c>
      <c r="L1901" s="69" t="s">
        <v>81</v>
      </c>
      <c r="M1901" s="91"/>
      <c r="N1901" s="91"/>
      <c r="O1901" s="91"/>
      <c r="P1901" s="134"/>
      <c r="Q1901" s="69" t="s">
        <v>1822</v>
      </c>
      <c r="R1901" s="59"/>
      <c r="S1901" s="88"/>
      <c r="T1901" s="65"/>
      <c r="U1901" s="88"/>
      <c r="V1901" s="65"/>
    </row>
    <row r="1902">
      <c r="A1902" s="226" t="s">
        <v>3595</v>
      </c>
      <c r="B1902" s="75" t="s">
        <v>129</v>
      </c>
      <c r="C1902" s="76"/>
      <c r="D1902" s="76" t="str">
        <f t="shared" si="150"/>
        <v>Removed</v>
      </c>
      <c r="E1902" s="218">
        <v>42887.0</v>
      </c>
      <c r="F1902" s="218">
        <v>43647.0</v>
      </c>
      <c r="G1902" s="79">
        <f t="shared" si="2"/>
        <v>25</v>
      </c>
      <c r="H1902" s="90">
        <v>39309.0</v>
      </c>
      <c r="I1902" s="79">
        <f t="shared" si="3"/>
        <v>9.794444444</v>
      </c>
      <c r="J1902" s="106">
        <v>72.0</v>
      </c>
      <c r="K1902" s="106">
        <v>8.0</v>
      </c>
      <c r="L1902" s="83" t="s">
        <v>96</v>
      </c>
      <c r="M1902" s="83"/>
      <c r="N1902" s="83"/>
      <c r="O1902" s="83"/>
      <c r="P1902" s="219"/>
      <c r="Q1902" s="82" t="s">
        <v>1822</v>
      </c>
      <c r="R1902" s="76"/>
      <c r="S1902" s="90"/>
      <c r="T1902" s="79"/>
      <c r="U1902" s="90"/>
      <c r="V1902" s="79"/>
    </row>
    <row r="1903">
      <c r="A1903" s="53" t="s">
        <v>3596</v>
      </c>
      <c r="B1903" s="54" t="s">
        <v>2984</v>
      </c>
      <c r="C1903" s="59"/>
      <c r="D1903" s="59" t="s">
        <v>2985</v>
      </c>
      <c r="E1903" s="133">
        <v>43632.0</v>
      </c>
      <c r="F1903" s="61">
        <v>43646.0</v>
      </c>
      <c r="G1903" s="65">
        <f t="shared" si="2"/>
        <v>0.4666666667</v>
      </c>
      <c r="H1903" s="88">
        <v>41023.0</v>
      </c>
      <c r="I1903" s="65">
        <f t="shared" si="3"/>
        <v>7.144444444</v>
      </c>
      <c r="J1903" s="121">
        <v>80.0</v>
      </c>
      <c r="K1903" s="121">
        <v>8.0</v>
      </c>
      <c r="L1903" s="69" t="s">
        <v>37</v>
      </c>
      <c r="M1903" s="69"/>
      <c r="N1903" s="69" t="s">
        <v>2761</v>
      </c>
      <c r="O1903" s="69"/>
      <c r="P1903" s="122"/>
      <c r="Q1903" s="69"/>
      <c r="R1903" s="59"/>
      <c r="S1903" s="88"/>
      <c r="T1903" s="65"/>
      <c r="U1903" s="88"/>
      <c r="V1903" s="65"/>
    </row>
    <row r="1904">
      <c r="A1904" s="74" t="s">
        <v>3326</v>
      </c>
      <c r="B1904" s="75" t="s">
        <v>2759</v>
      </c>
      <c r="C1904" s="76"/>
      <c r="D1904" s="76" t="s">
        <v>2760</v>
      </c>
      <c r="E1904" s="218">
        <v>43617.0</v>
      </c>
      <c r="F1904" s="77">
        <v>43646.0</v>
      </c>
      <c r="G1904" s="79">
        <f t="shared" si="2"/>
        <v>0.9666666667</v>
      </c>
      <c r="H1904" s="90">
        <v>43357.0</v>
      </c>
      <c r="I1904" s="79">
        <f t="shared" si="3"/>
        <v>0.7138888889</v>
      </c>
      <c r="J1904" s="106">
        <v>79.0</v>
      </c>
      <c r="K1904" s="216"/>
      <c r="L1904" s="82" t="s">
        <v>62</v>
      </c>
      <c r="M1904" s="82"/>
      <c r="N1904" s="82" t="s">
        <v>2761</v>
      </c>
      <c r="O1904" s="82"/>
      <c r="P1904" s="107"/>
      <c r="Q1904" s="82"/>
      <c r="R1904" s="76"/>
      <c r="S1904" s="90"/>
      <c r="T1904" s="79"/>
      <c r="U1904" s="90"/>
      <c r="V1904" s="79"/>
    </row>
    <row r="1905">
      <c r="A1905" s="53" t="s">
        <v>3597</v>
      </c>
      <c r="B1905" s="54" t="s">
        <v>2984</v>
      </c>
      <c r="C1905" s="59"/>
      <c r="D1905" s="59" t="s">
        <v>2985</v>
      </c>
      <c r="E1905" s="133">
        <v>43617.0</v>
      </c>
      <c r="F1905" s="61">
        <v>43631.0</v>
      </c>
      <c r="G1905" s="65">
        <f t="shared" si="2"/>
        <v>0.4666666667</v>
      </c>
      <c r="H1905" s="88">
        <v>39603.0</v>
      </c>
      <c r="I1905" s="65">
        <f t="shared" si="3"/>
        <v>10.99166667</v>
      </c>
      <c r="J1905" s="121">
        <v>87.0</v>
      </c>
      <c r="K1905" s="121">
        <v>3.0</v>
      </c>
      <c r="L1905" s="69" t="s">
        <v>37</v>
      </c>
      <c r="M1905" s="69" t="s">
        <v>72</v>
      </c>
      <c r="N1905" s="69" t="s">
        <v>2761</v>
      </c>
      <c r="O1905" s="69"/>
      <c r="P1905" s="122"/>
      <c r="Q1905" s="69"/>
      <c r="R1905" s="59"/>
      <c r="S1905" s="88"/>
      <c r="T1905" s="65"/>
      <c r="U1905" s="88"/>
      <c r="V1905" s="65"/>
    </row>
    <row r="1906">
      <c r="A1906" s="74" t="s">
        <v>3598</v>
      </c>
      <c r="B1906" s="75" t="s">
        <v>2759</v>
      </c>
      <c r="C1906" s="76"/>
      <c r="D1906" s="76" t="s">
        <v>2760</v>
      </c>
      <c r="E1906" s="218">
        <v>43601.0</v>
      </c>
      <c r="F1906" s="77">
        <v>43631.0</v>
      </c>
      <c r="G1906" s="79">
        <f t="shared" si="2"/>
        <v>0.9666666667</v>
      </c>
      <c r="H1906" s="90">
        <v>43340.0</v>
      </c>
      <c r="I1906" s="79">
        <f t="shared" si="3"/>
        <v>0.7166666667</v>
      </c>
      <c r="J1906" s="106">
        <v>72.0</v>
      </c>
      <c r="K1906" s="106">
        <v>30.0</v>
      </c>
      <c r="L1906" s="82" t="s">
        <v>62</v>
      </c>
      <c r="M1906" s="82"/>
      <c r="N1906" s="82" t="s">
        <v>2761</v>
      </c>
      <c r="O1906" s="82"/>
      <c r="P1906" s="107"/>
      <c r="Q1906" s="82"/>
      <c r="R1906" s="76"/>
      <c r="S1906" s="90"/>
      <c r="T1906" s="79"/>
      <c r="U1906" s="90"/>
      <c r="V1906" s="79"/>
    </row>
    <row r="1907">
      <c r="A1907" s="207" t="s">
        <v>3599</v>
      </c>
      <c r="B1907" s="54" t="s">
        <v>129</v>
      </c>
      <c r="C1907" s="59"/>
      <c r="D1907" s="59" t="str">
        <f t="shared" ref="D1907:D1911" si="151">IF(E1907&gt;TODAY(),"Coming Soon",IF(F1907="","Active",IF(F1907&gt;TODAY(),"Leaving Soon","Removed")))</f>
        <v>Removed</v>
      </c>
      <c r="E1907" s="133">
        <v>43466.0</v>
      </c>
      <c r="F1907" s="133">
        <v>43617.0</v>
      </c>
      <c r="G1907" s="65">
        <f t="shared" si="2"/>
        <v>5</v>
      </c>
      <c r="H1907" s="88">
        <v>40862.0</v>
      </c>
      <c r="I1907" s="65">
        <f t="shared" si="3"/>
        <v>7.127777778</v>
      </c>
      <c r="J1907" s="121">
        <v>78.0</v>
      </c>
      <c r="K1907" s="121">
        <v>1.0</v>
      </c>
      <c r="L1907" s="91" t="s">
        <v>52</v>
      </c>
      <c r="M1907" s="91"/>
      <c r="N1907" s="91"/>
      <c r="O1907" s="91"/>
      <c r="P1907" s="134"/>
      <c r="Q1907" s="91"/>
      <c r="R1907" s="59"/>
      <c r="S1907" s="88"/>
      <c r="T1907" s="65"/>
      <c r="U1907" s="88"/>
      <c r="V1907" s="65"/>
    </row>
    <row r="1908">
      <c r="A1908" s="74" t="s">
        <v>3600</v>
      </c>
      <c r="B1908" s="75" t="s">
        <v>129</v>
      </c>
      <c r="C1908" s="76"/>
      <c r="D1908" s="76" t="str">
        <f t="shared" si="151"/>
        <v>Removed</v>
      </c>
      <c r="E1908" s="218">
        <v>43282.0</v>
      </c>
      <c r="F1908" s="218">
        <v>43617.0</v>
      </c>
      <c r="G1908" s="79">
        <f t="shared" si="2"/>
        <v>11</v>
      </c>
      <c r="H1908" s="90">
        <v>40044.0</v>
      </c>
      <c r="I1908" s="79">
        <f t="shared" si="3"/>
        <v>8.866666667</v>
      </c>
      <c r="J1908" s="106">
        <v>80.0</v>
      </c>
      <c r="K1908" s="106">
        <v>4.5</v>
      </c>
      <c r="L1908" s="82" t="s">
        <v>37</v>
      </c>
      <c r="M1908" s="83"/>
      <c r="N1908" s="83"/>
      <c r="O1908" s="83"/>
      <c r="P1908" s="219"/>
      <c r="Q1908" s="82" t="s">
        <v>1822</v>
      </c>
      <c r="R1908" s="76"/>
      <c r="S1908" s="90"/>
      <c r="T1908" s="79"/>
      <c r="U1908" s="90"/>
      <c r="V1908" s="79"/>
    </row>
    <row r="1909">
      <c r="A1909" s="207" t="s">
        <v>3601</v>
      </c>
      <c r="B1909" s="54" t="s">
        <v>129</v>
      </c>
      <c r="C1909" s="59"/>
      <c r="D1909" s="59" t="str">
        <f t="shared" si="151"/>
        <v>Removed</v>
      </c>
      <c r="E1909" s="133">
        <v>43282.0</v>
      </c>
      <c r="F1909" s="133">
        <v>43617.0</v>
      </c>
      <c r="G1909" s="65">
        <f t="shared" si="2"/>
        <v>11</v>
      </c>
      <c r="H1909" s="88">
        <v>42069.0</v>
      </c>
      <c r="I1909" s="65">
        <f t="shared" si="3"/>
        <v>3.319444444</v>
      </c>
      <c r="J1909" s="121">
        <v>62.0</v>
      </c>
      <c r="K1909" s="121">
        <v>14.5</v>
      </c>
      <c r="L1909" s="69" t="s">
        <v>37</v>
      </c>
      <c r="M1909" s="91"/>
      <c r="N1909" s="91"/>
      <c r="O1909" s="91"/>
      <c r="P1909" s="134"/>
      <c r="Q1909" s="91"/>
      <c r="R1909" s="59"/>
      <c r="S1909" s="88"/>
      <c r="T1909" s="65"/>
      <c r="U1909" s="88"/>
      <c r="V1909" s="65"/>
    </row>
    <row r="1910">
      <c r="A1910" s="226" t="s">
        <v>3602</v>
      </c>
      <c r="B1910" s="75" t="s">
        <v>129</v>
      </c>
      <c r="C1910" s="76"/>
      <c r="D1910" s="76" t="str">
        <f t="shared" si="151"/>
        <v>Removed</v>
      </c>
      <c r="E1910" s="218">
        <v>43252.0</v>
      </c>
      <c r="F1910" s="218">
        <v>43617.0</v>
      </c>
      <c r="G1910" s="79">
        <f t="shared" si="2"/>
        <v>12</v>
      </c>
      <c r="H1910" s="90">
        <v>42923.0</v>
      </c>
      <c r="I1910" s="79">
        <f t="shared" si="3"/>
        <v>0.9</v>
      </c>
      <c r="J1910" s="106">
        <v>61.0</v>
      </c>
      <c r="K1910" s="106">
        <v>15.0</v>
      </c>
      <c r="L1910" s="83" t="s">
        <v>41</v>
      </c>
      <c r="M1910" s="83"/>
      <c r="N1910" s="83"/>
      <c r="O1910" s="83"/>
      <c r="P1910" s="219"/>
      <c r="Q1910" s="83"/>
      <c r="R1910" s="76"/>
      <c r="S1910" s="90"/>
      <c r="T1910" s="79"/>
      <c r="U1910" s="90"/>
      <c r="V1910" s="79"/>
    </row>
    <row r="1911">
      <c r="A1911" s="207" t="s">
        <v>3603</v>
      </c>
      <c r="B1911" s="54" t="s">
        <v>129</v>
      </c>
      <c r="C1911" s="59"/>
      <c r="D1911" s="59" t="str">
        <f t="shared" si="151"/>
        <v>Removed</v>
      </c>
      <c r="E1911" s="133">
        <v>43101.0</v>
      </c>
      <c r="F1911" s="133">
        <v>43617.0</v>
      </c>
      <c r="G1911" s="65">
        <f t="shared" si="2"/>
        <v>17</v>
      </c>
      <c r="H1911" s="88">
        <v>42173.0</v>
      </c>
      <c r="I1911" s="65">
        <f t="shared" si="3"/>
        <v>2.536111111</v>
      </c>
      <c r="J1911" s="121">
        <v>76.0</v>
      </c>
      <c r="K1911" s="121">
        <v>10.0</v>
      </c>
      <c r="L1911" s="91" t="s">
        <v>105</v>
      </c>
      <c r="M1911" s="91"/>
      <c r="N1911" s="91"/>
      <c r="O1911" s="91"/>
      <c r="P1911" s="134"/>
      <c r="Q1911" s="91"/>
      <c r="R1911" s="59"/>
      <c r="S1911" s="88"/>
      <c r="T1911" s="65"/>
      <c r="U1911" s="88"/>
      <c r="V1911" s="65"/>
    </row>
    <row r="1912">
      <c r="A1912" s="74" t="s">
        <v>3604</v>
      </c>
      <c r="B1912" s="75" t="s">
        <v>2984</v>
      </c>
      <c r="C1912" s="76"/>
      <c r="D1912" s="76" t="s">
        <v>2985</v>
      </c>
      <c r="E1912" s="218">
        <v>43601.0</v>
      </c>
      <c r="F1912" s="77">
        <v>43616.0</v>
      </c>
      <c r="G1912" s="79">
        <f t="shared" si="2"/>
        <v>0.4666666667</v>
      </c>
      <c r="H1912" s="90">
        <v>41207.0</v>
      </c>
      <c r="I1912" s="79">
        <f t="shared" si="3"/>
        <v>6.558333333</v>
      </c>
      <c r="J1912" s="106">
        <v>75.0</v>
      </c>
      <c r="K1912" s="106">
        <v>4.0</v>
      </c>
      <c r="L1912" s="82" t="s">
        <v>41</v>
      </c>
      <c r="M1912" s="82"/>
      <c r="N1912" s="82" t="s">
        <v>2761</v>
      </c>
      <c r="O1912" s="82"/>
      <c r="P1912" s="107"/>
      <c r="Q1912" s="82"/>
      <c r="R1912" s="76"/>
      <c r="S1912" s="90"/>
      <c r="T1912" s="79"/>
      <c r="U1912" s="90"/>
      <c r="V1912" s="79"/>
    </row>
    <row r="1913">
      <c r="A1913" s="53" t="s">
        <v>3605</v>
      </c>
      <c r="B1913" s="54" t="s">
        <v>2759</v>
      </c>
      <c r="C1913" s="59"/>
      <c r="D1913" s="59" t="s">
        <v>2760</v>
      </c>
      <c r="E1913" s="133">
        <v>43586.0</v>
      </c>
      <c r="F1913" s="61">
        <v>43616.0</v>
      </c>
      <c r="G1913" s="65">
        <f t="shared" si="2"/>
        <v>0.9666666667</v>
      </c>
      <c r="H1913" s="88">
        <v>42202.0</v>
      </c>
      <c r="I1913" s="65">
        <f t="shared" si="3"/>
        <v>3.788888889</v>
      </c>
      <c r="J1913" s="121">
        <v>73.0</v>
      </c>
      <c r="K1913" s="121">
        <v>10.5</v>
      </c>
      <c r="L1913" s="69" t="s">
        <v>289</v>
      </c>
      <c r="M1913" s="69"/>
      <c r="N1913" s="69"/>
      <c r="O1913" s="69"/>
      <c r="P1913" s="122"/>
      <c r="Q1913" s="69"/>
      <c r="R1913" s="59"/>
      <c r="S1913" s="88"/>
      <c r="T1913" s="65"/>
      <c r="U1913" s="88"/>
      <c r="V1913" s="65"/>
    </row>
    <row r="1914">
      <c r="A1914" s="74" t="s">
        <v>3606</v>
      </c>
      <c r="B1914" s="75" t="s">
        <v>2984</v>
      </c>
      <c r="C1914" s="76"/>
      <c r="D1914" s="76" t="s">
        <v>2985</v>
      </c>
      <c r="E1914" s="218">
        <v>43586.0</v>
      </c>
      <c r="F1914" s="77">
        <v>43600.0</v>
      </c>
      <c r="G1914" s="79">
        <f t="shared" si="2"/>
        <v>0.4666666667</v>
      </c>
      <c r="H1914" s="90">
        <v>40737.0</v>
      </c>
      <c r="I1914" s="79">
        <f t="shared" si="3"/>
        <v>7.8</v>
      </c>
      <c r="J1914" s="106">
        <v>76.0</v>
      </c>
      <c r="K1914" s="106">
        <v>8.0</v>
      </c>
      <c r="L1914" s="82" t="s">
        <v>37</v>
      </c>
      <c r="M1914" s="82"/>
      <c r="N1914" s="82" t="s">
        <v>2761</v>
      </c>
      <c r="O1914" s="82"/>
      <c r="P1914" s="107"/>
      <c r="Q1914" s="82"/>
      <c r="R1914" s="76"/>
      <c r="S1914" s="90"/>
      <c r="T1914" s="79"/>
      <c r="U1914" s="90"/>
      <c r="V1914" s="79"/>
    </row>
    <row r="1915">
      <c r="A1915" s="53" t="s">
        <v>3607</v>
      </c>
      <c r="B1915" s="54" t="s">
        <v>2759</v>
      </c>
      <c r="C1915" s="59"/>
      <c r="D1915" s="59" t="s">
        <v>2760</v>
      </c>
      <c r="E1915" s="133">
        <v>43571.0</v>
      </c>
      <c r="F1915" s="61">
        <v>43600.0</v>
      </c>
      <c r="G1915" s="65">
        <f t="shared" si="2"/>
        <v>0.9666666667</v>
      </c>
      <c r="H1915" s="88">
        <v>42807.0</v>
      </c>
      <c r="I1915" s="65">
        <f t="shared" si="3"/>
        <v>2.091666667</v>
      </c>
      <c r="J1915" s="121">
        <v>69.0</v>
      </c>
      <c r="K1915" s="121">
        <v>10.0</v>
      </c>
      <c r="L1915" s="69" t="s">
        <v>41</v>
      </c>
      <c r="M1915" s="69"/>
      <c r="N1915" s="69"/>
      <c r="O1915" s="69"/>
      <c r="P1915" s="122"/>
      <c r="Q1915" s="69"/>
      <c r="R1915" s="59"/>
      <c r="S1915" s="88"/>
      <c r="T1915" s="65"/>
      <c r="U1915" s="88"/>
      <c r="V1915" s="65"/>
    </row>
    <row r="1916">
      <c r="A1916" s="226" t="s">
        <v>3608</v>
      </c>
      <c r="B1916" s="75" t="s">
        <v>129</v>
      </c>
      <c r="C1916" s="76"/>
      <c r="D1916" s="76" t="str">
        <f t="shared" ref="D1916:D1932" si="152">IF(E1916&gt;TODAY(),"Coming Soon",IF(F1916="","Active",IF(F1916&gt;TODAY(),"Leaving Soon","Removed")))</f>
        <v>Removed</v>
      </c>
      <c r="E1916" s="218">
        <v>43253.0</v>
      </c>
      <c r="F1916" s="218">
        <v>43586.0</v>
      </c>
      <c r="G1916" s="79">
        <f t="shared" si="2"/>
        <v>10.96666667</v>
      </c>
      <c r="H1916" s="90">
        <v>39392.0</v>
      </c>
      <c r="I1916" s="79">
        <f t="shared" si="3"/>
        <v>10.57222222</v>
      </c>
      <c r="J1916" s="106">
        <v>80.0</v>
      </c>
      <c r="K1916" s="106">
        <v>14.0</v>
      </c>
      <c r="L1916" s="82" t="s">
        <v>41</v>
      </c>
      <c r="M1916" s="83"/>
      <c r="N1916" s="83"/>
      <c r="O1916" s="83"/>
      <c r="P1916" s="219"/>
      <c r="Q1916" s="82" t="s">
        <v>1822</v>
      </c>
      <c r="R1916" s="76"/>
      <c r="S1916" s="90"/>
      <c r="T1916" s="79"/>
      <c r="U1916" s="90"/>
      <c r="V1916" s="79"/>
    </row>
    <row r="1917">
      <c r="A1917" s="53" t="s">
        <v>3609</v>
      </c>
      <c r="B1917" s="54" t="s">
        <v>129</v>
      </c>
      <c r="C1917" s="59"/>
      <c r="D1917" s="59" t="str">
        <f t="shared" si="152"/>
        <v>Removed</v>
      </c>
      <c r="E1917" s="133">
        <v>43253.0</v>
      </c>
      <c r="F1917" s="133">
        <v>43586.0</v>
      </c>
      <c r="G1917" s="65">
        <f t="shared" si="2"/>
        <v>10.96666667</v>
      </c>
      <c r="H1917" s="88">
        <v>37817.0</v>
      </c>
      <c r="I1917" s="65">
        <f t="shared" si="3"/>
        <v>14.88055556</v>
      </c>
      <c r="J1917" s="121">
        <v>94.0</v>
      </c>
      <c r="K1917" s="121">
        <v>29.0</v>
      </c>
      <c r="L1917" s="69" t="s">
        <v>46</v>
      </c>
      <c r="M1917" s="69"/>
      <c r="N1917" s="69"/>
      <c r="O1917" s="69"/>
      <c r="P1917" s="122"/>
      <c r="Q1917" s="69"/>
      <c r="R1917" s="59"/>
      <c r="S1917" s="88"/>
      <c r="T1917" s="65"/>
      <c r="U1917" s="88"/>
      <c r="V1917" s="65"/>
    </row>
    <row r="1918">
      <c r="A1918" s="226" t="s">
        <v>3610</v>
      </c>
      <c r="B1918" s="75" t="s">
        <v>129</v>
      </c>
      <c r="C1918" s="76"/>
      <c r="D1918" s="76" t="str">
        <f t="shared" si="152"/>
        <v>Removed</v>
      </c>
      <c r="E1918" s="218">
        <v>43252.0</v>
      </c>
      <c r="F1918" s="218">
        <v>43586.0</v>
      </c>
      <c r="G1918" s="79">
        <f t="shared" si="2"/>
        <v>11</v>
      </c>
      <c r="H1918" s="90">
        <v>42927.0</v>
      </c>
      <c r="I1918" s="79">
        <f t="shared" si="3"/>
        <v>0.8888888889</v>
      </c>
      <c r="J1918" s="106">
        <v>73.0</v>
      </c>
      <c r="K1918" s="106">
        <v>50.5</v>
      </c>
      <c r="L1918" s="82" t="s">
        <v>55</v>
      </c>
      <c r="M1918" s="83"/>
      <c r="N1918" s="83"/>
      <c r="O1918" s="83"/>
      <c r="P1918" s="219"/>
      <c r="Q1918" s="83"/>
      <c r="R1918" s="76"/>
      <c r="S1918" s="90"/>
      <c r="T1918" s="79"/>
      <c r="U1918" s="90"/>
      <c r="V1918" s="79"/>
    </row>
    <row r="1919">
      <c r="A1919" s="207" t="s">
        <v>3611</v>
      </c>
      <c r="B1919" s="54" t="s">
        <v>129</v>
      </c>
      <c r="C1919" s="59"/>
      <c r="D1919" s="59" t="str">
        <f t="shared" si="152"/>
        <v>Removed</v>
      </c>
      <c r="E1919" s="133">
        <v>43252.0</v>
      </c>
      <c r="F1919" s="133">
        <v>43586.0</v>
      </c>
      <c r="G1919" s="65">
        <f t="shared" si="2"/>
        <v>11</v>
      </c>
      <c r="H1919" s="88">
        <v>39707.0</v>
      </c>
      <c r="I1919" s="65">
        <f t="shared" si="3"/>
        <v>9.708333333</v>
      </c>
      <c r="J1919" s="121">
        <v>73.0</v>
      </c>
      <c r="K1919" s="121">
        <v>8.0</v>
      </c>
      <c r="L1919" s="91" t="s">
        <v>41</v>
      </c>
      <c r="M1919" s="91"/>
      <c r="N1919" s="91"/>
      <c r="O1919" s="91"/>
      <c r="P1919" s="134"/>
      <c r="Q1919" s="69" t="s">
        <v>1822</v>
      </c>
      <c r="R1919" s="59"/>
      <c r="S1919" s="88"/>
      <c r="T1919" s="65"/>
      <c r="U1919" s="88"/>
      <c r="V1919" s="65"/>
    </row>
    <row r="1920">
      <c r="A1920" s="226" t="s">
        <v>3612</v>
      </c>
      <c r="B1920" s="75" t="s">
        <v>129</v>
      </c>
      <c r="C1920" s="76"/>
      <c r="D1920" s="76" t="str">
        <f t="shared" si="152"/>
        <v>Removed</v>
      </c>
      <c r="E1920" s="218">
        <v>43252.0</v>
      </c>
      <c r="F1920" s="218">
        <v>43586.0</v>
      </c>
      <c r="G1920" s="79">
        <f t="shared" si="2"/>
        <v>11</v>
      </c>
      <c r="H1920" s="90">
        <v>40477.0</v>
      </c>
      <c r="I1920" s="79">
        <f t="shared" si="3"/>
        <v>7.597222222</v>
      </c>
      <c r="J1920" s="106">
        <v>61.0</v>
      </c>
      <c r="K1920" s="106">
        <v>5.5</v>
      </c>
      <c r="L1920" s="83" t="s">
        <v>41</v>
      </c>
      <c r="M1920" s="83"/>
      <c r="N1920" s="83"/>
      <c r="O1920" s="83"/>
      <c r="P1920" s="219"/>
      <c r="Q1920" s="83"/>
      <c r="R1920" s="76"/>
      <c r="S1920" s="90"/>
      <c r="T1920" s="79"/>
      <c r="U1920" s="90"/>
      <c r="V1920" s="79"/>
    </row>
    <row r="1921">
      <c r="A1921" s="207" t="s">
        <v>3613</v>
      </c>
      <c r="B1921" s="54" t="s">
        <v>129</v>
      </c>
      <c r="C1921" s="59"/>
      <c r="D1921" s="59" t="str">
        <f t="shared" si="152"/>
        <v>Removed</v>
      </c>
      <c r="E1921" s="61">
        <v>43230.0</v>
      </c>
      <c r="F1921" s="133">
        <v>43586.0</v>
      </c>
      <c r="G1921" s="65">
        <f t="shared" si="2"/>
        <v>11.7</v>
      </c>
      <c r="H1921" s="88">
        <v>43230.0</v>
      </c>
      <c r="I1921" s="65">
        <f t="shared" si="3"/>
        <v>0</v>
      </c>
      <c r="J1921" s="121">
        <v>81.0</v>
      </c>
      <c r="K1921" s="121">
        <v>3.0</v>
      </c>
      <c r="L1921" s="69" t="s">
        <v>62</v>
      </c>
      <c r="M1921" s="91"/>
      <c r="N1921" s="91"/>
      <c r="O1921" s="91"/>
      <c r="P1921" s="134"/>
      <c r="Q1921" s="91"/>
      <c r="R1921" s="59"/>
      <c r="S1921" s="88"/>
      <c r="T1921" s="65"/>
      <c r="U1921" s="88"/>
      <c r="V1921" s="65"/>
    </row>
    <row r="1922">
      <c r="A1922" s="226" t="s">
        <v>3604</v>
      </c>
      <c r="B1922" s="75" t="s">
        <v>129</v>
      </c>
      <c r="C1922" s="76"/>
      <c r="D1922" s="76" t="str">
        <f t="shared" si="152"/>
        <v>Removed</v>
      </c>
      <c r="E1922" s="218">
        <v>42887.0</v>
      </c>
      <c r="F1922" s="218">
        <v>43586.0</v>
      </c>
      <c r="G1922" s="79">
        <f t="shared" si="2"/>
        <v>23</v>
      </c>
      <c r="H1922" s="90">
        <v>40457.0</v>
      </c>
      <c r="I1922" s="79">
        <f t="shared" si="3"/>
        <v>6.652777778</v>
      </c>
      <c r="J1922" s="106">
        <v>74.0</v>
      </c>
      <c r="K1922" s="106">
        <v>5.5</v>
      </c>
      <c r="L1922" s="82" t="s">
        <v>37</v>
      </c>
      <c r="M1922" s="83"/>
      <c r="N1922" s="83"/>
      <c r="O1922" s="83"/>
      <c r="P1922" s="219"/>
      <c r="Q1922" s="83"/>
      <c r="R1922" s="76"/>
      <c r="S1922" s="90"/>
      <c r="T1922" s="79"/>
      <c r="U1922" s="90"/>
      <c r="V1922" s="79"/>
    </row>
    <row r="1923">
      <c r="A1923" s="53" t="s">
        <v>3614</v>
      </c>
      <c r="B1923" s="54" t="s">
        <v>129</v>
      </c>
      <c r="C1923" s="59"/>
      <c r="D1923" s="59" t="str">
        <f t="shared" si="152"/>
        <v>Removed</v>
      </c>
      <c r="E1923" s="133">
        <v>42887.0</v>
      </c>
      <c r="F1923" s="133">
        <v>43586.0</v>
      </c>
      <c r="G1923" s="65">
        <f t="shared" si="2"/>
        <v>23</v>
      </c>
      <c r="H1923" s="88">
        <v>41901.0</v>
      </c>
      <c r="I1923" s="65">
        <f t="shared" si="3"/>
        <v>2.7</v>
      </c>
      <c r="J1923" s="121">
        <v>76.0</v>
      </c>
      <c r="K1923" s="121">
        <v>4.5</v>
      </c>
      <c r="L1923" s="91" t="s">
        <v>135</v>
      </c>
      <c r="M1923" s="91"/>
      <c r="N1923" s="91"/>
      <c r="O1923" s="91"/>
      <c r="P1923" s="134"/>
      <c r="Q1923" s="91"/>
      <c r="R1923" s="59"/>
      <c r="S1923" s="88"/>
      <c r="T1923" s="65"/>
      <c r="U1923" s="88"/>
      <c r="V1923" s="65"/>
    </row>
    <row r="1924">
      <c r="A1924" s="74" t="s">
        <v>3615</v>
      </c>
      <c r="B1924" s="75" t="s">
        <v>129</v>
      </c>
      <c r="C1924" s="76"/>
      <c r="D1924" s="76" t="str">
        <f t="shared" si="152"/>
        <v>Removed</v>
      </c>
      <c r="E1924" s="218">
        <v>42887.0</v>
      </c>
      <c r="F1924" s="218">
        <v>43586.0</v>
      </c>
      <c r="G1924" s="79">
        <f t="shared" si="2"/>
        <v>23</v>
      </c>
      <c r="H1924" s="90">
        <v>41289.0</v>
      </c>
      <c r="I1924" s="79">
        <f t="shared" si="3"/>
        <v>4.377777778</v>
      </c>
      <c r="J1924" s="106">
        <v>86.0</v>
      </c>
      <c r="K1924" s="106">
        <v>9.0</v>
      </c>
      <c r="L1924" s="83" t="s">
        <v>41</v>
      </c>
      <c r="M1924" s="83"/>
      <c r="N1924" s="83"/>
      <c r="O1924" s="83"/>
      <c r="P1924" s="219"/>
      <c r="Q1924" s="83"/>
      <c r="R1924" s="76"/>
      <c r="S1924" s="90"/>
      <c r="T1924" s="79"/>
      <c r="U1924" s="90"/>
      <c r="V1924" s="79"/>
    </row>
    <row r="1925">
      <c r="A1925" s="207" t="s">
        <v>3616</v>
      </c>
      <c r="B1925" s="54" t="s">
        <v>129</v>
      </c>
      <c r="C1925" s="59"/>
      <c r="D1925" s="59" t="str">
        <f t="shared" si="152"/>
        <v>Removed</v>
      </c>
      <c r="E1925" s="133">
        <v>42887.0</v>
      </c>
      <c r="F1925" s="133">
        <v>43586.0</v>
      </c>
      <c r="G1925" s="65">
        <f t="shared" si="2"/>
        <v>23</v>
      </c>
      <c r="H1925" s="88">
        <v>42489.0</v>
      </c>
      <c r="I1925" s="65">
        <f t="shared" si="3"/>
        <v>1.088888889</v>
      </c>
      <c r="J1925" s="121">
        <v>76.0</v>
      </c>
      <c r="K1925" s="121">
        <v>3.0</v>
      </c>
      <c r="L1925" s="69" t="s">
        <v>57</v>
      </c>
      <c r="M1925" s="91"/>
      <c r="N1925" s="91"/>
      <c r="O1925" s="91"/>
      <c r="P1925" s="134"/>
      <c r="Q1925" s="91"/>
      <c r="R1925" s="59"/>
      <c r="S1925" s="88"/>
      <c r="T1925" s="65"/>
      <c r="U1925" s="88"/>
      <c r="V1925" s="65"/>
    </row>
    <row r="1926">
      <c r="A1926" s="226" t="s">
        <v>3617</v>
      </c>
      <c r="B1926" s="75" t="s">
        <v>129</v>
      </c>
      <c r="C1926" s="76"/>
      <c r="D1926" s="76" t="str">
        <f t="shared" si="152"/>
        <v>Removed</v>
      </c>
      <c r="E1926" s="218">
        <v>42887.0</v>
      </c>
      <c r="F1926" s="218">
        <v>43586.0</v>
      </c>
      <c r="G1926" s="79">
        <f t="shared" si="2"/>
        <v>23</v>
      </c>
      <c r="H1926" s="90">
        <v>42324.0</v>
      </c>
      <c r="I1926" s="79">
        <f t="shared" si="3"/>
        <v>1.541666667</v>
      </c>
      <c r="J1926" s="106">
        <v>71.0</v>
      </c>
      <c r="K1926" s="106">
        <v>1.0</v>
      </c>
      <c r="L1926" s="83" t="s">
        <v>105</v>
      </c>
      <c r="M1926" s="83"/>
      <c r="N1926" s="83"/>
      <c r="O1926" s="83"/>
      <c r="P1926" s="219"/>
      <c r="Q1926" s="83"/>
      <c r="R1926" s="76"/>
      <c r="S1926" s="90"/>
      <c r="T1926" s="79"/>
      <c r="U1926" s="90"/>
      <c r="V1926" s="79"/>
    </row>
    <row r="1927">
      <c r="A1927" s="207" t="s">
        <v>3618</v>
      </c>
      <c r="B1927" s="54" t="s">
        <v>129</v>
      </c>
      <c r="C1927" s="59"/>
      <c r="D1927" s="59" t="str">
        <f t="shared" si="152"/>
        <v>Removed</v>
      </c>
      <c r="E1927" s="133">
        <v>42887.0</v>
      </c>
      <c r="F1927" s="133">
        <v>43586.0</v>
      </c>
      <c r="G1927" s="65">
        <f t="shared" si="2"/>
        <v>23</v>
      </c>
      <c r="H1927" s="88">
        <v>42415.0</v>
      </c>
      <c r="I1927" s="65">
        <f t="shared" si="3"/>
        <v>1.294444444</v>
      </c>
      <c r="J1927" s="121">
        <v>78.0</v>
      </c>
      <c r="K1927" s="121">
        <v>3.5</v>
      </c>
      <c r="L1927" s="91" t="s">
        <v>135</v>
      </c>
      <c r="M1927" s="91"/>
      <c r="N1927" s="91"/>
      <c r="O1927" s="91"/>
      <c r="P1927" s="134"/>
      <c r="Q1927" s="91"/>
      <c r="R1927" s="59"/>
      <c r="S1927" s="88"/>
      <c r="T1927" s="65"/>
      <c r="U1927" s="88"/>
      <c r="V1927" s="65"/>
    </row>
    <row r="1928">
      <c r="A1928" s="226" t="s">
        <v>3619</v>
      </c>
      <c r="B1928" s="75" t="s">
        <v>129</v>
      </c>
      <c r="C1928" s="76"/>
      <c r="D1928" s="76" t="str">
        <f t="shared" si="152"/>
        <v>Removed</v>
      </c>
      <c r="E1928" s="218">
        <v>42887.0</v>
      </c>
      <c r="F1928" s="218">
        <v>43586.0</v>
      </c>
      <c r="G1928" s="79">
        <f t="shared" si="2"/>
        <v>23</v>
      </c>
      <c r="H1928" s="90">
        <v>42241.0</v>
      </c>
      <c r="I1928" s="79">
        <f t="shared" si="3"/>
        <v>1.766666667</v>
      </c>
      <c r="J1928" s="216">
        <v>80.0</v>
      </c>
      <c r="K1928" s="106">
        <v>20.0</v>
      </c>
      <c r="L1928" s="82" t="s">
        <v>57</v>
      </c>
      <c r="M1928" s="83"/>
      <c r="N1928" s="83"/>
      <c r="O1928" s="83"/>
      <c r="P1928" s="219"/>
      <c r="Q1928" s="83"/>
      <c r="R1928" s="76"/>
      <c r="S1928" s="90"/>
      <c r="T1928" s="79"/>
      <c r="U1928" s="90"/>
      <c r="V1928" s="79"/>
    </row>
    <row r="1929">
      <c r="A1929" s="207" t="s">
        <v>3620</v>
      </c>
      <c r="B1929" s="54" t="s">
        <v>129</v>
      </c>
      <c r="C1929" s="59"/>
      <c r="D1929" s="59" t="str">
        <f t="shared" si="152"/>
        <v>Removed</v>
      </c>
      <c r="E1929" s="133">
        <v>42887.0</v>
      </c>
      <c r="F1929" s="133">
        <v>43586.0</v>
      </c>
      <c r="G1929" s="65">
        <f t="shared" si="2"/>
        <v>23</v>
      </c>
      <c r="H1929" s="88">
        <v>40737.0</v>
      </c>
      <c r="I1929" s="65">
        <f t="shared" si="3"/>
        <v>5.883333333</v>
      </c>
      <c r="J1929" s="121">
        <v>83.0</v>
      </c>
      <c r="K1929" s="121">
        <v>8.5</v>
      </c>
      <c r="L1929" s="69" t="s">
        <v>57</v>
      </c>
      <c r="M1929" s="91"/>
      <c r="N1929" s="91"/>
      <c r="O1929" s="91"/>
      <c r="P1929" s="134"/>
      <c r="Q1929" s="91"/>
      <c r="R1929" s="59"/>
      <c r="S1929" s="88"/>
      <c r="T1929" s="65"/>
      <c r="U1929" s="88"/>
      <c r="V1929" s="65"/>
    </row>
    <row r="1930">
      <c r="A1930" s="74" t="s">
        <v>3446</v>
      </c>
      <c r="B1930" s="75" t="s">
        <v>129</v>
      </c>
      <c r="C1930" s="76"/>
      <c r="D1930" s="76" t="str">
        <f t="shared" si="152"/>
        <v>Removed</v>
      </c>
      <c r="E1930" s="218">
        <v>42887.0</v>
      </c>
      <c r="F1930" s="218">
        <v>43586.0</v>
      </c>
      <c r="G1930" s="79">
        <f t="shared" si="2"/>
        <v>23</v>
      </c>
      <c r="H1930" s="90">
        <v>41935.0</v>
      </c>
      <c r="I1930" s="79">
        <f t="shared" si="3"/>
        <v>2.605555556</v>
      </c>
      <c r="J1930" s="106">
        <v>79.0</v>
      </c>
      <c r="K1930" s="106">
        <v>8.0</v>
      </c>
      <c r="L1930" s="83" t="s">
        <v>57</v>
      </c>
      <c r="M1930" s="83"/>
      <c r="N1930" s="83"/>
      <c r="O1930" s="83"/>
      <c r="P1930" s="219"/>
      <c r="Q1930" s="83"/>
      <c r="R1930" s="76"/>
      <c r="S1930" s="90"/>
      <c r="T1930" s="79"/>
      <c r="U1930" s="90"/>
      <c r="V1930" s="79"/>
    </row>
    <row r="1931">
      <c r="A1931" s="207" t="s">
        <v>3621</v>
      </c>
      <c r="B1931" s="54" t="s">
        <v>129</v>
      </c>
      <c r="C1931" s="59"/>
      <c r="D1931" s="59" t="str">
        <f t="shared" si="152"/>
        <v>Removed</v>
      </c>
      <c r="E1931" s="133">
        <v>42887.0</v>
      </c>
      <c r="F1931" s="133">
        <v>43586.0</v>
      </c>
      <c r="G1931" s="65">
        <f t="shared" si="2"/>
        <v>23</v>
      </c>
      <c r="H1931" s="88">
        <v>42230.0</v>
      </c>
      <c r="I1931" s="65">
        <f t="shared" si="3"/>
        <v>1.797222222</v>
      </c>
      <c r="J1931" s="121">
        <v>80.0</v>
      </c>
      <c r="K1931" s="121">
        <v>10.5</v>
      </c>
      <c r="L1931" s="91" t="s">
        <v>406</v>
      </c>
      <c r="M1931" s="91"/>
      <c r="N1931" s="91"/>
      <c r="O1931" s="91"/>
      <c r="P1931" s="134"/>
      <c r="Q1931" s="91"/>
      <c r="R1931" s="59"/>
      <c r="S1931" s="88"/>
      <c r="T1931" s="65"/>
      <c r="U1931" s="88"/>
      <c r="V1931" s="65"/>
    </row>
    <row r="1932">
      <c r="A1932" s="226" t="s">
        <v>3622</v>
      </c>
      <c r="B1932" s="75" t="s">
        <v>129</v>
      </c>
      <c r="C1932" s="76"/>
      <c r="D1932" s="76" t="str">
        <f t="shared" si="152"/>
        <v>Removed</v>
      </c>
      <c r="E1932" s="218">
        <v>42887.0</v>
      </c>
      <c r="F1932" s="218">
        <v>43586.0</v>
      </c>
      <c r="G1932" s="79">
        <f t="shared" si="2"/>
        <v>23</v>
      </c>
      <c r="H1932" s="90">
        <v>41773.0</v>
      </c>
      <c r="I1932" s="79">
        <f t="shared" si="3"/>
        <v>3.047222222</v>
      </c>
      <c r="J1932" s="106">
        <v>80.0</v>
      </c>
      <c r="K1932" s="106">
        <v>4.0</v>
      </c>
      <c r="L1932" s="82" t="s">
        <v>57</v>
      </c>
      <c r="M1932" s="83"/>
      <c r="N1932" s="83"/>
      <c r="O1932" s="83"/>
      <c r="P1932" s="219"/>
      <c r="Q1932" s="83"/>
      <c r="R1932" s="76"/>
      <c r="S1932" s="90"/>
      <c r="T1932" s="79"/>
      <c r="U1932" s="90"/>
      <c r="V1932" s="79"/>
    </row>
    <row r="1933">
      <c r="A1933" s="53" t="s">
        <v>3623</v>
      </c>
      <c r="B1933" s="54" t="s">
        <v>2984</v>
      </c>
      <c r="C1933" s="59"/>
      <c r="D1933" s="59" t="s">
        <v>2985</v>
      </c>
      <c r="E1933" s="133">
        <v>43571.0</v>
      </c>
      <c r="F1933" s="61">
        <v>43585.0</v>
      </c>
      <c r="G1933" s="65">
        <f t="shared" si="2"/>
        <v>0.4666666667</v>
      </c>
      <c r="H1933" s="88">
        <v>39147.0</v>
      </c>
      <c r="I1933" s="65">
        <f t="shared" si="3"/>
        <v>12.11111111</v>
      </c>
      <c r="J1933" s="121">
        <v>88.0</v>
      </c>
      <c r="K1933" s="121">
        <v>5.5</v>
      </c>
      <c r="L1933" s="69" t="s">
        <v>37</v>
      </c>
      <c r="M1933" s="69"/>
      <c r="N1933" s="69" t="s">
        <v>2761</v>
      </c>
      <c r="O1933" s="69"/>
      <c r="P1933" s="122"/>
      <c r="Q1933" s="69"/>
      <c r="R1933" s="59"/>
      <c r="S1933" s="88"/>
      <c r="T1933" s="65"/>
      <c r="U1933" s="88"/>
      <c r="V1933" s="65"/>
    </row>
    <row r="1934">
      <c r="A1934" s="74" t="s">
        <v>3624</v>
      </c>
      <c r="B1934" s="75" t="s">
        <v>2759</v>
      </c>
      <c r="C1934" s="76"/>
      <c r="D1934" s="76" t="s">
        <v>2760</v>
      </c>
      <c r="E1934" s="218">
        <v>43556.0</v>
      </c>
      <c r="F1934" s="77">
        <v>43585.0</v>
      </c>
      <c r="G1934" s="79">
        <f t="shared" si="2"/>
        <v>0.9666666667</v>
      </c>
      <c r="H1934" s="90">
        <v>42549.0</v>
      </c>
      <c r="I1934" s="79">
        <f t="shared" si="3"/>
        <v>2.758333333</v>
      </c>
      <c r="J1934" s="106">
        <v>63.0</v>
      </c>
      <c r="K1934" s="106">
        <v>22.0</v>
      </c>
      <c r="L1934" s="82" t="s">
        <v>41</v>
      </c>
      <c r="M1934" s="82"/>
      <c r="N1934" s="82"/>
      <c r="O1934" s="82"/>
      <c r="P1934" s="107"/>
      <c r="Q1934" s="82"/>
      <c r="R1934" s="76"/>
      <c r="S1934" s="90"/>
      <c r="T1934" s="79"/>
      <c r="U1934" s="90"/>
      <c r="V1934" s="79"/>
    </row>
    <row r="1935">
      <c r="A1935" s="53" t="s">
        <v>3625</v>
      </c>
      <c r="B1935" s="54" t="s">
        <v>2984</v>
      </c>
      <c r="C1935" s="59"/>
      <c r="D1935" s="59" t="s">
        <v>2985</v>
      </c>
      <c r="E1935" s="133">
        <v>43556.0</v>
      </c>
      <c r="F1935" s="61">
        <v>43570.0</v>
      </c>
      <c r="G1935" s="65">
        <f t="shared" si="2"/>
        <v>0.4666666667</v>
      </c>
      <c r="H1935" s="88">
        <v>43056.0</v>
      </c>
      <c r="I1935" s="65">
        <f t="shared" si="3"/>
        <v>1.372222222</v>
      </c>
      <c r="J1935" s="121">
        <v>82.0</v>
      </c>
      <c r="K1935" s="121">
        <v>7.5</v>
      </c>
      <c r="L1935" s="69" t="s">
        <v>37</v>
      </c>
      <c r="M1935" s="69" t="s">
        <v>72</v>
      </c>
      <c r="N1935" s="69" t="s">
        <v>2761</v>
      </c>
      <c r="O1935" s="69"/>
      <c r="P1935" s="122"/>
      <c r="Q1935" s="69"/>
      <c r="R1935" s="59"/>
      <c r="S1935" s="88"/>
      <c r="T1935" s="65"/>
      <c r="U1935" s="88"/>
      <c r="V1935" s="65"/>
    </row>
    <row r="1936">
      <c r="A1936" s="74" t="s">
        <v>3626</v>
      </c>
      <c r="B1936" s="75" t="s">
        <v>2759</v>
      </c>
      <c r="C1936" s="76"/>
      <c r="D1936" s="76" t="s">
        <v>2760</v>
      </c>
      <c r="E1936" s="218">
        <v>43540.0</v>
      </c>
      <c r="F1936" s="77">
        <v>43570.0</v>
      </c>
      <c r="G1936" s="79">
        <f t="shared" si="2"/>
        <v>0.9666666667</v>
      </c>
      <c r="H1936" s="90">
        <v>42423.0</v>
      </c>
      <c r="I1936" s="79">
        <f t="shared" si="3"/>
        <v>3.063888889</v>
      </c>
      <c r="J1936" s="106">
        <v>83.0</v>
      </c>
      <c r="K1936" s="106">
        <v>32.0</v>
      </c>
      <c r="L1936" s="82" t="s">
        <v>37</v>
      </c>
      <c r="M1936" s="82"/>
      <c r="N1936" s="82"/>
      <c r="O1936" s="82"/>
      <c r="P1936" s="107"/>
      <c r="Q1936" s="82"/>
      <c r="R1936" s="76"/>
      <c r="S1936" s="90"/>
      <c r="T1936" s="79"/>
      <c r="U1936" s="90"/>
      <c r="V1936" s="79"/>
    </row>
    <row r="1937">
      <c r="A1937" s="207" t="s">
        <v>3627</v>
      </c>
      <c r="B1937" s="54" t="s">
        <v>129</v>
      </c>
      <c r="C1937" s="59"/>
      <c r="D1937" s="59" t="str">
        <f t="shared" ref="D1937:D1946" si="153">IF(E1937&gt;TODAY(),"Coming Soon",IF(F1937="","Active",IF(F1937&gt;TODAY(),"Leaving Soon","Removed")))</f>
        <v>Removed</v>
      </c>
      <c r="E1937" s="133">
        <v>43405.0</v>
      </c>
      <c r="F1937" s="133">
        <v>43556.0</v>
      </c>
      <c r="G1937" s="65">
        <f t="shared" si="2"/>
        <v>5</v>
      </c>
      <c r="H1937" s="88">
        <v>42591.0</v>
      </c>
      <c r="I1937" s="65">
        <f t="shared" si="3"/>
        <v>2.227777778</v>
      </c>
      <c r="J1937" s="121">
        <v>83.0</v>
      </c>
      <c r="K1937" s="121">
        <v>3.0</v>
      </c>
      <c r="L1937" s="91" t="s">
        <v>1892</v>
      </c>
      <c r="M1937" s="91"/>
      <c r="N1937" s="91"/>
      <c r="O1937" s="91"/>
      <c r="P1937" s="134"/>
      <c r="Q1937" s="91"/>
      <c r="R1937" s="59"/>
      <c r="S1937" s="88"/>
      <c r="T1937" s="65"/>
      <c r="U1937" s="88"/>
      <c r="V1937" s="65"/>
    </row>
    <row r="1938">
      <c r="A1938" s="226" t="s">
        <v>3628</v>
      </c>
      <c r="B1938" s="75" t="s">
        <v>129</v>
      </c>
      <c r="C1938" s="76"/>
      <c r="D1938" s="76" t="str">
        <f t="shared" si="153"/>
        <v>Removed</v>
      </c>
      <c r="E1938" s="218">
        <v>43405.0</v>
      </c>
      <c r="F1938" s="218">
        <v>43556.0</v>
      </c>
      <c r="G1938" s="79">
        <f t="shared" si="2"/>
        <v>5</v>
      </c>
      <c r="H1938" s="90">
        <v>42444.0</v>
      </c>
      <c r="I1938" s="79">
        <f t="shared" si="3"/>
        <v>2.627777778</v>
      </c>
      <c r="J1938" s="106">
        <v>69.0</v>
      </c>
      <c r="K1938" s="106">
        <v>20.0</v>
      </c>
      <c r="L1938" s="82" t="s">
        <v>46</v>
      </c>
      <c r="M1938" s="83"/>
      <c r="N1938" s="83"/>
      <c r="O1938" s="83"/>
      <c r="P1938" s="219"/>
      <c r="Q1938" s="83"/>
      <c r="R1938" s="76"/>
      <c r="S1938" s="90"/>
      <c r="T1938" s="79"/>
      <c r="U1938" s="90"/>
      <c r="V1938" s="79"/>
    </row>
    <row r="1939">
      <c r="A1939" s="207" t="s">
        <v>3629</v>
      </c>
      <c r="B1939" s="54" t="s">
        <v>129</v>
      </c>
      <c r="C1939" s="59"/>
      <c r="D1939" s="59" t="str">
        <f t="shared" si="153"/>
        <v>Removed</v>
      </c>
      <c r="E1939" s="133">
        <v>43374.0</v>
      </c>
      <c r="F1939" s="133">
        <v>43556.0</v>
      </c>
      <c r="G1939" s="65">
        <f t="shared" si="2"/>
        <v>6</v>
      </c>
      <c r="H1939" s="88">
        <v>41521.0</v>
      </c>
      <c r="I1939" s="65">
        <f t="shared" si="3"/>
        <v>5.075</v>
      </c>
      <c r="J1939" s="121">
        <v>80.0</v>
      </c>
      <c r="K1939" s="121">
        <v>5.0</v>
      </c>
      <c r="L1939" s="91" t="s">
        <v>135</v>
      </c>
      <c r="M1939" s="91"/>
      <c r="N1939" s="91"/>
      <c r="O1939" s="91"/>
      <c r="P1939" s="134"/>
      <c r="Q1939" s="91"/>
      <c r="R1939" s="59"/>
      <c r="S1939" s="88"/>
      <c r="T1939" s="65"/>
      <c r="U1939" s="88"/>
      <c r="V1939" s="65"/>
    </row>
    <row r="1940">
      <c r="A1940" s="226" t="s">
        <v>3630</v>
      </c>
      <c r="B1940" s="75" t="s">
        <v>129</v>
      </c>
      <c r="C1940" s="76"/>
      <c r="D1940" s="76" t="str">
        <f t="shared" si="153"/>
        <v>Removed</v>
      </c>
      <c r="E1940" s="218">
        <v>43221.0</v>
      </c>
      <c r="F1940" s="218">
        <v>43556.0</v>
      </c>
      <c r="G1940" s="79">
        <f t="shared" si="2"/>
        <v>11</v>
      </c>
      <c r="H1940" s="90">
        <v>42507.0</v>
      </c>
      <c r="I1940" s="79">
        <f t="shared" si="3"/>
        <v>1.955555556</v>
      </c>
      <c r="J1940" s="106">
        <v>49.0</v>
      </c>
      <c r="K1940" s="106">
        <v>12.0</v>
      </c>
      <c r="L1940" s="82" t="s">
        <v>37</v>
      </c>
      <c r="M1940" s="82" t="s">
        <v>1747</v>
      </c>
      <c r="N1940" s="83"/>
      <c r="O1940" s="83"/>
      <c r="P1940" s="219"/>
      <c r="Q1940" s="83"/>
      <c r="R1940" s="76"/>
      <c r="S1940" s="90"/>
      <c r="T1940" s="79"/>
      <c r="U1940" s="90"/>
      <c r="V1940" s="79"/>
    </row>
    <row r="1941">
      <c r="A1941" s="207" t="s">
        <v>3631</v>
      </c>
      <c r="B1941" s="54" t="s">
        <v>129</v>
      </c>
      <c r="C1941" s="59"/>
      <c r="D1941" s="59" t="str">
        <f t="shared" si="153"/>
        <v>Removed</v>
      </c>
      <c r="E1941" s="133">
        <v>43221.0</v>
      </c>
      <c r="F1941" s="133">
        <v>43556.0</v>
      </c>
      <c r="G1941" s="65">
        <f t="shared" si="2"/>
        <v>11</v>
      </c>
      <c r="H1941" s="88">
        <v>42962.0</v>
      </c>
      <c r="I1941" s="65">
        <f t="shared" si="3"/>
        <v>0.7111111111</v>
      </c>
      <c r="J1941" s="121">
        <v>69.0</v>
      </c>
      <c r="K1941" s="121">
        <v>3.0</v>
      </c>
      <c r="L1941" s="91" t="s">
        <v>57</v>
      </c>
      <c r="M1941" s="91"/>
      <c r="N1941" s="91"/>
      <c r="O1941" s="91"/>
      <c r="P1941" s="134"/>
      <c r="Q1941" s="91"/>
      <c r="R1941" s="59"/>
      <c r="S1941" s="88"/>
      <c r="T1941" s="65"/>
      <c r="U1941" s="88"/>
      <c r="V1941" s="65"/>
    </row>
    <row r="1942">
      <c r="A1942" s="74" t="s">
        <v>3632</v>
      </c>
      <c r="B1942" s="75" t="s">
        <v>129</v>
      </c>
      <c r="C1942" s="76"/>
      <c r="D1942" s="76" t="str">
        <f t="shared" si="153"/>
        <v>Removed</v>
      </c>
      <c r="E1942" s="218">
        <v>43221.0</v>
      </c>
      <c r="F1942" s="218">
        <v>43556.0</v>
      </c>
      <c r="G1942" s="79">
        <f t="shared" si="2"/>
        <v>11</v>
      </c>
      <c r="H1942" s="90">
        <v>41129.0</v>
      </c>
      <c r="I1942" s="79">
        <f t="shared" si="3"/>
        <v>5.730555556</v>
      </c>
      <c r="J1942" s="106">
        <v>66.0</v>
      </c>
      <c r="K1942" s="106">
        <v>2.5</v>
      </c>
      <c r="L1942" s="82" t="s">
        <v>96</v>
      </c>
      <c r="M1942" s="82"/>
      <c r="N1942" s="82"/>
      <c r="O1942" s="82"/>
      <c r="P1942" s="107"/>
      <c r="Q1942" s="82"/>
      <c r="R1942" s="76"/>
      <c r="S1942" s="90"/>
      <c r="T1942" s="79"/>
      <c r="U1942" s="90"/>
      <c r="V1942" s="79"/>
    </row>
    <row r="1943">
      <c r="A1943" s="207" t="s">
        <v>3633</v>
      </c>
      <c r="B1943" s="54" t="s">
        <v>129</v>
      </c>
      <c r="C1943" s="59"/>
      <c r="D1943" s="59" t="str">
        <f t="shared" si="153"/>
        <v>Removed</v>
      </c>
      <c r="E1943" s="133">
        <v>42887.0</v>
      </c>
      <c r="F1943" s="133">
        <v>43556.0</v>
      </c>
      <c r="G1943" s="65">
        <f t="shared" si="2"/>
        <v>22</v>
      </c>
      <c r="H1943" s="88">
        <v>41660.0</v>
      </c>
      <c r="I1943" s="65">
        <f t="shared" si="3"/>
        <v>3.361111111</v>
      </c>
      <c r="J1943" s="121">
        <v>78.0</v>
      </c>
      <c r="K1943" s="121">
        <v>4.0</v>
      </c>
      <c r="L1943" s="91" t="s">
        <v>1892</v>
      </c>
      <c r="M1943" s="91"/>
      <c r="N1943" s="91"/>
      <c r="O1943" s="91"/>
      <c r="P1943" s="134"/>
      <c r="Q1943" s="91"/>
      <c r="R1943" s="59"/>
      <c r="S1943" s="88"/>
      <c r="T1943" s="65"/>
      <c r="U1943" s="88"/>
      <c r="V1943" s="65"/>
    </row>
    <row r="1944">
      <c r="A1944" s="226" t="s">
        <v>3634</v>
      </c>
      <c r="B1944" s="75" t="s">
        <v>129</v>
      </c>
      <c r="C1944" s="76"/>
      <c r="D1944" s="76" t="str">
        <f t="shared" si="153"/>
        <v>Removed</v>
      </c>
      <c r="E1944" s="218">
        <v>42887.0</v>
      </c>
      <c r="F1944" s="218">
        <v>43556.0</v>
      </c>
      <c r="G1944" s="79">
        <f t="shared" si="2"/>
        <v>22</v>
      </c>
      <c r="H1944" s="90">
        <v>42265.0</v>
      </c>
      <c r="I1944" s="79">
        <f t="shared" si="3"/>
        <v>1.702777778</v>
      </c>
      <c r="J1944" s="106">
        <v>56.0</v>
      </c>
      <c r="K1944" s="106">
        <v>6.0</v>
      </c>
      <c r="L1944" s="82" t="s">
        <v>55</v>
      </c>
      <c r="M1944" s="83"/>
      <c r="N1944" s="83"/>
      <c r="O1944" s="83"/>
      <c r="P1944" s="219"/>
      <c r="Q1944" s="83"/>
      <c r="R1944" s="76"/>
      <c r="S1944" s="90"/>
      <c r="T1944" s="79"/>
      <c r="U1944" s="90"/>
      <c r="V1944" s="79"/>
    </row>
    <row r="1945">
      <c r="A1945" s="207" t="s">
        <v>3635</v>
      </c>
      <c r="B1945" s="54" t="s">
        <v>129</v>
      </c>
      <c r="C1945" s="59"/>
      <c r="D1945" s="59" t="str">
        <f t="shared" si="153"/>
        <v>Removed</v>
      </c>
      <c r="E1945" s="133">
        <v>42887.0</v>
      </c>
      <c r="F1945" s="133">
        <v>43556.0</v>
      </c>
      <c r="G1945" s="65">
        <f t="shared" si="2"/>
        <v>22</v>
      </c>
      <c r="H1945" s="88">
        <v>41870.0</v>
      </c>
      <c r="I1945" s="65">
        <f t="shared" si="3"/>
        <v>2.783333333</v>
      </c>
      <c r="J1945" s="121">
        <v>64.0</v>
      </c>
      <c r="K1945" s="121">
        <v>10.0</v>
      </c>
      <c r="L1945" s="91" t="s">
        <v>3501</v>
      </c>
      <c r="M1945" s="91"/>
      <c r="N1945" s="91"/>
      <c r="O1945" s="91"/>
      <c r="P1945" s="134"/>
      <c r="Q1945" s="91"/>
      <c r="R1945" s="59"/>
      <c r="S1945" s="88"/>
      <c r="T1945" s="65"/>
      <c r="U1945" s="88"/>
      <c r="V1945" s="65"/>
    </row>
    <row r="1946">
      <c r="A1946" s="226" t="s">
        <v>3636</v>
      </c>
      <c r="B1946" s="75" t="s">
        <v>129</v>
      </c>
      <c r="C1946" s="76"/>
      <c r="D1946" s="76" t="str">
        <f t="shared" si="153"/>
        <v>Removed</v>
      </c>
      <c r="E1946" s="218">
        <v>42887.0</v>
      </c>
      <c r="F1946" s="218">
        <v>43556.0</v>
      </c>
      <c r="G1946" s="79">
        <f t="shared" si="2"/>
        <v>22</v>
      </c>
      <c r="H1946" s="90">
        <v>41424.0</v>
      </c>
      <c r="I1946" s="79">
        <f t="shared" si="3"/>
        <v>4.002777778</v>
      </c>
      <c r="J1946" s="106">
        <v>92.0</v>
      </c>
      <c r="K1946" s="106">
        <v>5.0</v>
      </c>
      <c r="L1946" s="82" t="s">
        <v>57</v>
      </c>
      <c r="M1946" s="83"/>
      <c r="N1946" s="83"/>
      <c r="O1946" s="83"/>
      <c r="P1946" s="219"/>
      <c r="Q1946" s="83"/>
      <c r="R1946" s="76"/>
      <c r="S1946" s="90"/>
      <c r="T1946" s="79"/>
      <c r="U1946" s="90"/>
      <c r="V1946" s="79"/>
    </row>
    <row r="1947">
      <c r="A1947" s="53" t="s">
        <v>3637</v>
      </c>
      <c r="B1947" s="54" t="s">
        <v>2984</v>
      </c>
      <c r="C1947" s="59"/>
      <c r="D1947" s="59" t="s">
        <v>2985</v>
      </c>
      <c r="E1947" s="133">
        <v>43540.0</v>
      </c>
      <c r="F1947" s="61">
        <v>43555.0</v>
      </c>
      <c r="G1947" s="65">
        <f t="shared" si="2"/>
        <v>0.4666666667</v>
      </c>
      <c r="H1947" s="88">
        <v>41324.0</v>
      </c>
      <c r="I1947" s="65">
        <f t="shared" si="3"/>
        <v>6.075</v>
      </c>
      <c r="J1947" s="121">
        <v>85.0</v>
      </c>
      <c r="K1947" s="121">
        <v>5.0</v>
      </c>
      <c r="L1947" s="69" t="s">
        <v>41</v>
      </c>
      <c r="M1947" s="69"/>
      <c r="N1947" s="69" t="s">
        <v>2761</v>
      </c>
      <c r="O1947" s="69"/>
      <c r="P1947" s="122"/>
      <c r="Q1947" s="69"/>
      <c r="R1947" s="59"/>
      <c r="S1947" s="88"/>
      <c r="T1947" s="65"/>
      <c r="U1947" s="88"/>
      <c r="V1947" s="65"/>
    </row>
    <row r="1948">
      <c r="A1948" s="74" t="s">
        <v>3638</v>
      </c>
      <c r="B1948" s="75" t="s">
        <v>2759</v>
      </c>
      <c r="C1948" s="76"/>
      <c r="D1948" s="76" t="s">
        <v>2760</v>
      </c>
      <c r="E1948" s="218">
        <v>43525.0</v>
      </c>
      <c r="F1948" s="77">
        <v>43555.0</v>
      </c>
      <c r="G1948" s="79">
        <f t="shared" si="2"/>
        <v>0.9666666667</v>
      </c>
      <c r="H1948" s="90">
        <v>43298.0</v>
      </c>
      <c r="I1948" s="79">
        <f t="shared" si="3"/>
        <v>0.6222222222</v>
      </c>
      <c r="J1948" s="106">
        <v>57.0</v>
      </c>
      <c r="K1948" s="106">
        <v>8.0</v>
      </c>
      <c r="L1948" s="82" t="s">
        <v>41</v>
      </c>
      <c r="M1948" s="82"/>
      <c r="N1948" s="82"/>
      <c r="O1948" s="82"/>
      <c r="P1948" s="107"/>
      <c r="Q1948" s="82"/>
      <c r="R1948" s="76"/>
      <c r="S1948" s="90"/>
      <c r="T1948" s="79"/>
      <c r="U1948" s="90"/>
      <c r="V1948" s="79"/>
    </row>
    <row r="1949">
      <c r="A1949" s="53" t="s">
        <v>3229</v>
      </c>
      <c r="B1949" s="54" t="s">
        <v>2984</v>
      </c>
      <c r="C1949" s="59"/>
      <c r="D1949" s="59" t="s">
        <v>2985</v>
      </c>
      <c r="E1949" s="133">
        <v>43525.0</v>
      </c>
      <c r="F1949" s="61">
        <v>43539.0</v>
      </c>
      <c r="G1949" s="65">
        <f t="shared" si="2"/>
        <v>0.4666666667</v>
      </c>
      <c r="H1949" s="88">
        <v>38379.0</v>
      </c>
      <c r="I1949" s="65">
        <f t="shared" si="3"/>
        <v>14.09444444</v>
      </c>
      <c r="J1949" s="121">
        <v>88.0</v>
      </c>
      <c r="K1949" s="121">
        <v>9.0</v>
      </c>
      <c r="L1949" s="69" t="s">
        <v>37</v>
      </c>
      <c r="M1949" s="69" t="s">
        <v>72</v>
      </c>
      <c r="N1949" s="69" t="s">
        <v>2761</v>
      </c>
      <c r="O1949" s="69"/>
      <c r="P1949" s="122"/>
      <c r="Q1949" s="69"/>
      <c r="R1949" s="59"/>
      <c r="S1949" s="88"/>
      <c r="T1949" s="65"/>
      <c r="U1949" s="88"/>
      <c r="V1949" s="65"/>
    </row>
    <row r="1950">
      <c r="A1950" s="74" t="s">
        <v>3639</v>
      </c>
      <c r="B1950" s="75" t="s">
        <v>2759</v>
      </c>
      <c r="C1950" s="76"/>
      <c r="D1950" s="76" t="s">
        <v>2760</v>
      </c>
      <c r="E1950" s="218">
        <v>43512.0</v>
      </c>
      <c r="F1950" s="77">
        <v>43539.0</v>
      </c>
      <c r="G1950" s="79">
        <f t="shared" si="2"/>
        <v>0.9666666667</v>
      </c>
      <c r="H1950" s="90">
        <v>42906.0</v>
      </c>
      <c r="I1950" s="79">
        <f t="shared" si="3"/>
        <v>1.655555556</v>
      </c>
      <c r="J1950" s="106">
        <v>76.0</v>
      </c>
      <c r="K1950" s="106">
        <v>7.0</v>
      </c>
      <c r="L1950" s="82" t="s">
        <v>105</v>
      </c>
      <c r="M1950" s="82"/>
      <c r="N1950" s="82"/>
      <c r="O1950" s="82"/>
      <c r="P1950" s="107"/>
      <c r="Q1950" s="82"/>
      <c r="R1950" s="76"/>
      <c r="S1950" s="90"/>
      <c r="T1950" s="79"/>
      <c r="U1950" s="90"/>
      <c r="V1950" s="79"/>
    </row>
    <row r="1951">
      <c r="A1951" s="207" t="s">
        <v>3640</v>
      </c>
      <c r="B1951" s="54" t="s">
        <v>129</v>
      </c>
      <c r="C1951" s="59"/>
      <c r="D1951" s="59" t="str">
        <f t="shared" ref="D1951:D1954" si="154">IF(E1951&gt;TODAY(),"Coming Soon",IF(F1951="","Active",IF(F1951&gt;TODAY(),"Leaving Soon","Removed")))</f>
        <v>Removed</v>
      </c>
      <c r="E1951" s="133">
        <v>43191.0</v>
      </c>
      <c r="F1951" s="133">
        <v>43525.0</v>
      </c>
      <c r="G1951" s="65">
        <f t="shared" si="2"/>
        <v>11</v>
      </c>
      <c r="H1951" s="88">
        <v>42298.0</v>
      </c>
      <c r="I1951" s="65">
        <f t="shared" si="3"/>
        <v>2.444444444</v>
      </c>
      <c r="J1951" s="121">
        <v>87.0</v>
      </c>
      <c r="K1951" s="121">
        <v>8.0</v>
      </c>
      <c r="L1951" s="69" t="s">
        <v>81</v>
      </c>
      <c r="M1951" s="91"/>
      <c r="N1951" s="91"/>
      <c r="O1951" s="91"/>
      <c r="P1951" s="134"/>
      <c r="Q1951" s="91"/>
      <c r="R1951" s="59"/>
      <c r="S1951" s="88"/>
      <c r="T1951" s="65"/>
      <c r="U1951" s="88"/>
      <c r="V1951" s="65"/>
    </row>
    <row r="1952">
      <c r="A1952" s="226" t="s">
        <v>3641</v>
      </c>
      <c r="B1952" s="75" t="s">
        <v>129</v>
      </c>
      <c r="C1952" s="76"/>
      <c r="D1952" s="76" t="str">
        <f t="shared" si="154"/>
        <v>Removed</v>
      </c>
      <c r="E1952" s="218">
        <v>43191.0</v>
      </c>
      <c r="F1952" s="218">
        <v>43525.0</v>
      </c>
      <c r="G1952" s="79">
        <f t="shared" si="2"/>
        <v>11</v>
      </c>
      <c r="H1952" s="90">
        <v>42843.0</v>
      </c>
      <c r="I1952" s="79">
        <f t="shared" si="3"/>
        <v>0.9527777778</v>
      </c>
      <c r="J1952" s="106">
        <v>72.0</v>
      </c>
      <c r="K1952" s="106">
        <v>1.5</v>
      </c>
      <c r="L1952" s="83" t="s">
        <v>135</v>
      </c>
      <c r="M1952" s="83"/>
      <c r="N1952" s="83"/>
      <c r="O1952" s="83"/>
      <c r="P1952" s="219"/>
      <c r="Q1952" s="83"/>
      <c r="R1952" s="76"/>
      <c r="S1952" s="90"/>
      <c r="T1952" s="79"/>
      <c r="U1952" s="90"/>
      <c r="V1952" s="79"/>
    </row>
    <row r="1953">
      <c r="A1953" s="207" t="s">
        <v>3424</v>
      </c>
      <c r="B1953" s="54" t="s">
        <v>129</v>
      </c>
      <c r="C1953" s="59"/>
      <c r="D1953" s="59" t="str">
        <f t="shared" si="154"/>
        <v>Removed</v>
      </c>
      <c r="E1953" s="133">
        <v>43191.0</v>
      </c>
      <c r="F1953" s="133">
        <v>43525.0</v>
      </c>
      <c r="G1953" s="65">
        <f t="shared" si="2"/>
        <v>11</v>
      </c>
      <c r="H1953" s="88">
        <v>42425.0</v>
      </c>
      <c r="I1953" s="65">
        <f t="shared" si="3"/>
        <v>2.1</v>
      </c>
      <c r="J1953" s="121">
        <v>77.0</v>
      </c>
      <c r="K1953" s="121">
        <v>26.0</v>
      </c>
      <c r="L1953" s="91" t="s">
        <v>41</v>
      </c>
      <c r="M1953" s="91"/>
      <c r="N1953" s="91"/>
      <c r="O1953" s="91"/>
      <c r="P1953" s="134"/>
      <c r="Q1953" s="91"/>
      <c r="R1953" s="59"/>
      <c r="S1953" s="88"/>
      <c r="T1953" s="65"/>
      <c r="U1953" s="88"/>
      <c r="V1953" s="65"/>
    </row>
    <row r="1954">
      <c r="A1954" s="226" t="s">
        <v>3642</v>
      </c>
      <c r="B1954" s="75" t="s">
        <v>129</v>
      </c>
      <c r="C1954" s="76"/>
      <c r="D1954" s="76" t="str">
        <f t="shared" si="154"/>
        <v>Removed</v>
      </c>
      <c r="E1954" s="218">
        <v>43191.0</v>
      </c>
      <c r="F1954" s="218">
        <v>43525.0</v>
      </c>
      <c r="G1954" s="79">
        <f t="shared" si="2"/>
        <v>11</v>
      </c>
      <c r="H1954" s="90">
        <v>41381.0</v>
      </c>
      <c r="I1954" s="79">
        <f t="shared" si="3"/>
        <v>4.955555556</v>
      </c>
      <c r="J1954" s="106">
        <v>63.0</v>
      </c>
      <c r="K1954" s="106">
        <v>5.0</v>
      </c>
      <c r="L1954" s="82" t="s">
        <v>105</v>
      </c>
      <c r="M1954" s="83"/>
      <c r="N1954" s="83"/>
      <c r="O1954" s="83"/>
      <c r="P1954" s="219"/>
      <c r="Q1954" s="83"/>
      <c r="R1954" s="76"/>
      <c r="S1954" s="90"/>
      <c r="T1954" s="79"/>
      <c r="U1954" s="90"/>
      <c r="V1954" s="79"/>
    </row>
    <row r="1955">
      <c r="A1955" s="53" t="s">
        <v>3643</v>
      </c>
      <c r="B1955" s="54" t="s">
        <v>2984</v>
      </c>
      <c r="C1955" s="59"/>
      <c r="D1955" s="59" t="s">
        <v>2985</v>
      </c>
      <c r="E1955" s="133">
        <v>43512.0</v>
      </c>
      <c r="F1955" s="61">
        <v>43524.0</v>
      </c>
      <c r="G1955" s="65">
        <f t="shared" si="2"/>
        <v>0.4</v>
      </c>
      <c r="H1955" s="88">
        <v>37880.0</v>
      </c>
      <c r="I1955" s="65">
        <f t="shared" si="3"/>
        <v>15.41666667</v>
      </c>
      <c r="J1955" s="121">
        <v>89.0</v>
      </c>
      <c r="K1955" s="121">
        <v>12.0</v>
      </c>
      <c r="L1955" s="69" t="s">
        <v>37</v>
      </c>
      <c r="M1955" s="69" t="s">
        <v>72</v>
      </c>
      <c r="N1955" s="69" t="s">
        <v>2761</v>
      </c>
      <c r="O1955" s="69"/>
      <c r="P1955" s="122"/>
      <c r="Q1955" s="69"/>
      <c r="R1955" s="59"/>
      <c r="S1955" s="88"/>
      <c r="T1955" s="65"/>
      <c r="U1955" s="88"/>
      <c r="V1955" s="65"/>
    </row>
    <row r="1956">
      <c r="A1956" s="74" t="s">
        <v>3644</v>
      </c>
      <c r="B1956" s="75" t="s">
        <v>2759</v>
      </c>
      <c r="C1956" s="76"/>
      <c r="D1956" s="76" t="s">
        <v>2760</v>
      </c>
      <c r="E1956" s="218">
        <v>43497.0</v>
      </c>
      <c r="F1956" s="77">
        <v>43524.0</v>
      </c>
      <c r="G1956" s="79">
        <f t="shared" si="2"/>
        <v>0.9</v>
      </c>
      <c r="H1956" s="90">
        <v>43244.0</v>
      </c>
      <c r="I1956" s="79">
        <f t="shared" si="3"/>
        <v>0.6861111111</v>
      </c>
      <c r="J1956" s="106">
        <v>81.0</v>
      </c>
      <c r="K1956" s="106">
        <v>2.0</v>
      </c>
      <c r="L1956" s="82" t="s">
        <v>105</v>
      </c>
      <c r="M1956" s="82"/>
      <c r="N1956" s="82"/>
      <c r="O1956" s="82"/>
      <c r="P1956" s="107"/>
      <c r="Q1956" s="82"/>
      <c r="R1956" s="76"/>
      <c r="S1956" s="90"/>
      <c r="T1956" s="79"/>
      <c r="U1956" s="90"/>
      <c r="V1956" s="79"/>
    </row>
    <row r="1957">
      <c r="A1957" s="53" t="s">
        <v>3645</v>
      </c>
      <c r="B1957" s="54" t="s">
        <v>129</v>
      </c>
      <c r="C1957" s="54"/>
      <c r="D1957" s="59" t="str">
        <f>IF(E1957&gt;TODAY(),"Coming Soon",IF(F1957="","Active",IF(F1957&gt;TODAY(),"Leaving Soon","Removed")))</f>
        <v>Removed</v>
      </c>
      <c r="E1957" s="88">
        <v>42917.0</v>
      </c>
      <c r="F1957" s="120">
        <v>43524.0</v>
      </c>
      <c r="G1957" s="65">
        <f t="shared" si="2"/>
        <v>19.9</v>
      </c>
      <c r="H1957" s="88">
        <v>42195.0</v>
      </c>
      <c r="I1957" s="65">
        <f t="shared" si="3"/>
        <v>1.975</v>
      </c>
      <c r="J1957" s="121">
        <v>64.0</v>
      </c>
      <c r="K1957" s="121">
        <v>11.0</v>
      </c>
      <c r="L1957" s="69" t="s">
        <v>55</v>
      </c>
      <c r="M1957" s="69"/>
      <c r="N1957" s="69"/>
      <c r="O1957" s="69"/>
      <c r="P1957" s="122"/>
      <c r="Q1957" s="69"/>
      <c r="R1957" s="59"/>
      <c r="S1957" s="88"/>
      <c r="T1957" s="65"/>
      <c r="U1957" s="88"/>
      <c r="V1957" s="65"/>
    </row>
    <row r="1958">
      <c r="A1958" s="74" t="s">
        <v>3646</v>
      </c>
      <c r="B1958" s="75" t="s">
        <v>2984</v>
      </c>
      <c r="C1958" s="76"/>
      <c r="D1958" s="76" t="s">
        <v>2985</v>
      </c>
      <c r="E1958" s="218">
        <v>43497.0</v>
      </c>
      <c r="F1958" s="77">
        <v>43511.0</v>
      </c>
      <c r="G1958" s="79">
        <f t="shared" si="2"/>
        <v>0.4666666667</v>
      </c>
      <c r="H1958" s="90">
        <v>41954.0</v>
      </c>
      <c r="I1958" s="79">
        <f t="shared" si="3"/>
        <v>4.222222222</v>
      </c>
      <c r="J1958" s="106">
        <v>74.0</v>
      </c>
      <c r="K1958" s="106">
        <v>10.0</v>
      </c>
      <c r="L1958" s="82" t="s">
        <v>41</v>
      </c>
      <c r="M1958" s="82"/>
      <c r="N1958" s="82" t="s">
        <v>2761</v>
      </c>
      <c r="O1958" s="82"/>
      <c r="P1958" s="107"/>
      <c r="Q1958" s="82"/>
      <c r="R1958" s="76"/>
      <c r="S1958" s="90"/>
      <c r="T1958" s="79"/>
      <c r="U1958" s="90"/>
      <c r="V1958" s="79"/>
    </row>
    <row r="1959">
      <c r="A1959" s="53" t="s">
        <v>3647</v>
      </c>
      <c r="B1959" s="54" t="s">
        <v>2759</v>
      </c>
      <c r="C1959" s="59"/>
      <c r="D1959" s="59" t="s">
        <v>2760</v>
      </c>
      <c r="E1959" s="133">
        <v>43481.0</v>
      </c>
      <c r="F1959" s="61">
        <v>43511.0</v>
      </c>
      <c r="G1959" s="65">
        <f t="shared" si="2"/>
        <v>0.9666666667</v>
      </c>
      <c r="H1959" s="88">
        <v>42650.0</v>
      </c>
      <c r="I1959" s="65">
        <f t="shared" si="3"/>
        <v>2.275</v>
      </c>
      <c r="J1959" s="121">
        <v>73.0</v>
      </c>
      <c r="K1959" s="121">
        <v>18.0</v>
      </c>
      <c r="L1959" s="69" t="s">
        <v>55</v>
      </c>
      <c r="M1959" s="69"/>
      <c r="N1959" s="69"/>
      <c r="O1959" s="69"/>
      <c r="P1959" s="122"/>
      <c r="Q1959" s="69"/>
      <c r="R1959" s="59"/>
      <c r="S1959" s="88"/>
      <c r="T1959" s="65"/>
      <c r="U1959" s="88"/>
      <c r="V1959" s="65"/>
    </row>
    <row r="1960">
      <c r="A1960" s="226" t="s">
        <v>3057</v>
      </c>
      <c r="B1960" s="75" t="s">
        <v>129</v>
      </c>
      <c r="C1960" s="76"/>
      <c r="D1960" s="76" t="str">
        <f t="shared" ref="D1960:D1967" si="155">IF(E1960&gt;TODAY(),"Coming Soon",IF(F1960="","Active",IF(F1960&gt;TODAY(),"Leaving Soon","Removed")))</f>
        <v>Removed</v>
      </c>
      <c r="E1960" s="218">
        <v>43344.0</v>
      </c>
      <c r="F1960" s="218">
        <v>43497.0</v>
      </c>
      <c r="G1960" s="79">
        <f t="shared" si="2"/>
        <v>5</v>
      </c>
      <c r="H1960" s="90">
        <v>42941.0</v>
      </c>
      <c r="I1960" s="79">
        <f t="shared" si="3"/>
        <v>1.1</v>
      </c>
      <c r="J1960" s="106">
        <v>77.0</v>
      </c>
      <c r="K1960" s="106">
        <v>30.0</v>
      </c>
      <c r="L1960" s="83" t="s">
        <v>64</v>
      </c>
      <c r="M1960" s="83"/>
      <c r="N1960" s="83"/>
      <c r="O1960" s="83"/>
      <c r="P1960" s="219"/>
      <c r="Q1960" s="83"/>
      <c r="R1960" s="76"/>
      <c r="S1960" s="90"/>
      <c r="T1960" s="79"/>
      <c r="U1960" s="90"/>
      <c r="V1960" s="79"/>
    </row>
    <row r="1961">
      <c r="A1961" s="207" t="s">
        <v>3648</v>
      </c>
      <c r="B1961" s="54" t="s">
        <v>129</v>
      </c>
      <c r="C1961" s="59"/>
      <c r="D1961" s="59" t="str">
        <f t="shared" si="155"/>
        <v>Removed</v>
      </c>
      <c r="E1961" s="133">
        <v>43344.0</v>
      </c>
      <c r="F1961" s="133">
        <v>43497.0</v>
      </c>
      <c r="G1961" s="65">
        <f t="shared" si="2"/>
        <v>5</v>
      </c>
      <c r="H1961" s="88">
        <v>41543.0</v>
      </c>
      <c r="I1961" s="65">
        <f t="shared" si="3"/>
        <v>4.930555556</v>
      </c>
      <c r="J1961" s="121">
        <v>74.0</v>
      </c>
      <c r="K1961" s="121">
        <v>12.5</v>
      </c>
      <c r="L1961" s="69" t="s">
        <v>37</v>
      </c>
      <c r="M1961" s="91"/>
      <c r="N1961" s="91"/>
      <c r="O1961" s="91"/>
      <c r="P1961" s="134"/>
      <c r="Q1961" s="91"/>
      <c r="R1961" s="59"/>
      <c r="S1961" s="88"/>
      <c r="T1961" s="65"/>
      <c r="U1961" s="88"/>
      <c r="V1961" s="65"/>
    </row>
    <row r="1962">
      <c r="A1962" s="74" t="s">
        <v>3649</v>
      </c>
      <c r="B1962" s="75" t="s">
        <v>129</v>
      </c>
      <c r="C1962" s="76"/>
      <c r="D1962" s="76" t="str">
        <f t="shared" si="155"/>
        <v>Removed</v>
      </c>
      <c r="E1962" s="218">
        <v>43160.0</v>
      </c>
      <c r="F1962" s="218">
        <v>43497.0</v>
      </c>
      <c r="G1962" s="79">
        <f t="shared" si="2"/>
        <v>11</v>
      </c>
      <c r="H1962" s="90">
        <v>42310.0</v>
      </c>
      <c r="I1962" s="79">
        <f t="shared" si="3"/>
        <v>2.330555556</v>
      </c>
      <c r="J1962" s="106">
        <v>61.0</v>
      </c>
      <c r="K1962" s="106">
        <v>28.5</v>
      </c>
      <c r="L1962" s="83" t="s">
        <v>3363</v>
      </c>
      <c r="M1962" s="83"/>
      <c r="N1962" s="83"/>
      <c r="O1962" s="83"/>
      <c r="P1962" s="219"/>
      <c r="Q1962" s="83"/>
      <c r="R1962" s="76"/>
      <c r="S1962" s="90"/>
      <c r="T1962" s="79"/>
      <c r="U1962" s="90"/>
      <c r="V1962" s="79"/>
    </row>
    <row r="1963">
      <c r="A1963" s="53" t="s">
        <v>3650</v>
      </c>
      <c r="B1963" s="54" t="s">
        <v>129</v>
      </c>
      <c r="C1963" s="59"/>
      <c r="D1963" s="59" t="str">
        <f t="shared" si="155"/>
        <v>Removed</v>
      </c>
      <c r="E1963" s="133">
        <v>43160.0</v>
      </c>
      <c r="F1963" s="133">
        <v>43497.0</v>
      </c>
      <c r="G1963" s="65">
        <f t="shared" si="2"/>
        <v>11</v>
      </c>
      <c r="H1963" s="88">
        <v>42059.0</v>
      </c>
      <c r="I1963" s="65">
        <f t="shared" si="3"/>
        <v>3.019444444</v>
      </c>
      <c r="J1963" s="121">
        <v>75.0</v>
      </c>
      <c r="K1963" s="121">
        <v>10.0</v>
      </c>
      <c r="L1963" s="295" t="s">
        <v>37</v>
      </c>
      <c r="M1963" s="295"/>
      <c r="N1963" s="295"/>
      <c r="O1963" s="295"/>
      <c r="P1963" s="296"/>
      <c r="Q1963" s="295"/>
      <c r="R1963" s="59"/>
      <c r="S1963" s="88"/>
      <c r="T1963" s="65"/>
      <c r="U1963" s="88"/>
      <c r="V1963" s="65"/>
    </row>
    <row r="1964">
      <c r="A1964" s="226" t="s">
        <v>3651</v>
      </c>
      <c r="B1964" s="75" t="s">
        <v>129</v>
      </c>
      <c r="C1964" s="76"/>
      <c r="D1964" s="76" t="str">
        <f t="shared" si="155"/>
        <v>Removed</v>
      </c>
      <c r="E1964" s="218">
        <v>43160.0</v>
      </c>
      <c r="F1964" s="218">
        <v>43497.0</v>
      </c>
      <c r="G1964" s="79">
        <f t="shared" si="2"/>
        <v>11</v>
      </c>
      <c r="H1964" s="90">
        <v>34235.0</v>
      </c>
      <c r="I1964" s="79">
        <f t="shared" si="3"/>
        <v>24.43888889</v>
      </c>
      <c r="J1964" s="106">
        <v>82.0</v>
      </c>
      <c r="K1964" s="106">
        <v>2.0</v>
      </c>
      <c r="L1964" s="82" t="s">
        <v>57</v>
      </c>
      <c r="M1964" s="83"/>
      <c r="N1964" s="83"/>
      <c r="O1964" s="83"/>
      <c r="P1964" s="219"/>
      <c r="Q1964" s="82" t="s">
        <v>2841</v>
      </c>
      <c r="R1964" s="76"/>
      <c r="S1964" s="90"/>
      <c r="T1964" s="79"/>
      <c r="U1964" s="90"/>
      <c r="V1964" s="79"/>
    </row>
    <row r="1965">
      <c r="A1965" s="207" t="s">
        <v>3523</v>
      </c>
      <c r="B1965" s="54" t="s">
        <v>129</v>
      </c>
      <c r="C1965" s="59"/>
      <c r="D1965" s="59" t="str">
        <f t="shared" si="155"/>
        <v>Removed</v>
      </c>
      <c r="E1965" s="133">
        <v>43160.0</v>
      </c>
      <c r="F1965" s="133">
        <v>43497.0</v>
      </c>
      <c r="G1965" s="65">
        <f t="shared" si="2"/>
        <v>11</v>
      </c>
      <c r="H1965" s="88">
        <v>42612.0</v>
      </c>
      <c r="I1965" s="65">
        <f t="shared" si="3"/>
        <v>1.502777778</v>
      </c>
      <c r="J1965" s="121">
        <v>70.0</v>
      </c>
      <c r="K1965" s="121">
        <v>4.5</v>
      </c>
      <c r="L1965" s="69" t="s">
        <v>41</v>
      </c>
      <c r="M1965" s="91"/>
      <c r="N1965" s="91"/>
      <c r="O1965" s="91"/>
      <c r="P1965" s="134"/>
      <c r="Q1965" s="91"/>
      <c r="R1965" s="59"/>
      <c r="S1965" s="88"/>
      <c r="T1965" s="65"/>
      <c r="U1965" s="88"/>
      <c r="V1965" s="65"/>
    </row>
    <row r="1966">
      <c r="A1966" s="226" t="s">
        <v>3652</v>
      </c>
      <c r="B1966" s="75" t="s">
        <v>129</v>
      </c>
      <c r="C1966" s="76"/>
      <c r="D1966" s="76" t="str">
        <f t="shared" si="155"/>
        <v>Removed</v>
      </c>
      <c r="E1966" s="218">
        <v>42887.0</v>
      </c>
      <c r="F1966" s="218">
        <v>43497.0</v>
      </c>
      <c r="G1966" s="79">
        <f t="shared" si="2"/>
        <v>20</v>
      </c>
      <c r="H1966" s="90">
        <v>42564.0</v>
      </c>
      <c r="I1966" s="79">
        <f t="shared" si="3"/>
        <v>0.8833333333</v>
      </c>
      <c r="J1966" s="106">
        <f>(80+90+100)/3</f>
        <v>90</v>
      </c>
      <c r="K1966" s="106">
        <v>4.0</v>
      </c>
      <c r="L1966" s="82" t="s">
        <v>96</v>
      </c>
      <c r="M1966" s="82"/>
      <c r="N1966" s="82"/>
      <c r="O1966" s="82"/>
      <c r="P1966" s="107"/>
      <c r="Q1966" s="82"/>
      <c r="R1966" s="76"/>
      <c r="S1966" s="90"/>
      <c r="T1966" s="79"/>
      <c r="U1966" s="90"/>
      <c r="V1966" s="79"/>
    </row>
    <row r="1967">
      <c r="A1967" s="207" t="s">
        <v>3653</v>
      </c>
      <c r="B1967" s="54" t="s">
        <v>129</v>
      </c>
      <c r="C1967" s="59"/>
      <c r="D1967" s="59" t="str">
        <f t="shared" si="155"/>
        <v>Removed</v>
      </c>
      <c r="E1967" s="133">
        <v>42887.0</v>
      </c>
      <c r="F1967" s="133">
        <v>43497.0</v>
      </c>
      <c r="G1967" s="65">
        <f t="shared" si="2"/>
        <v>20</v>
      </c>
      <c r="H1967" s="88">
        <v>41866.0</v>
      </c>
      <c r="I1967" s="65">
        <f t="shared" si="3"/>
        <v>2.794444444</v>
      </c>
      <c r="J1967" s="121">
        <v>74.0</v>
      </c>
      <c r="K1967" s="121">
        <v>1.0</v>
      </c>
      <c r="L1967" s="69" t="s">
        <v>57</v>
      </c>
      <c r="M1967" s="91"/>
      <c r="N1967" s="91"/>
      <c r="O1967" s="91"/>
      <c r="P1967" s="134"/>
      <c r="Q1967" s="91"/>
      <c r="R1967" s="59"/>
      <c r="S1967" s="88"/>
      <c r="T1967" s="65"/>
      <c r="U1967" s="88"/>
      <c r="V1967" s="65"/>
    </row>
    <row r="1968">
      <c r="A1968" s="74" t="s">
        <v>3654</v>
      </c>
      <c r="B1968" s="75" t="s">
        <v>2984</v>
      </c>
      <c r="C1968" s="76"/>
      <c r="D1968" s="76" t="s">
        <v>2985</v>
      </c>
      <c r="E1968" s="218">
        <v>43481.0</v>
      </c>
      <c r="F1968" s="77">
        <v>43496.0</v>
      </c>
      <c r="G1968" s="79">
        <f t="shared" si="2"/>
        <v>0.4666666667</v>
      </c>
      <c r="H1968" s="90">
        <v>39742.0</v>
      </c>
      <c r="I1968" s="79">
        <f t="shared" si="3"/>
        <v>10.23611111</v>
      </c>
      <c r="J1968" s="106">
        <v>88.0</v>
      </c>
      <c r="K1968" s="106">
        <v>10.5</v>
      </c>
      <c r="L1968" s="82" t="s">
        <v>37</v>
      </c>
      <c r="M1968" s="82"/>
      <c r="N1968" s="82" t="s">
        <v>2761</v>
      </c>
      <c r="O1968" s="82"/>
      <c r="P1968" s="107"/>
      <c r="Q1968" s="82"/>
      <c r="R1968" s="76"/>
      <c r="S1968" s="90"/>
      <c r="T1968" s="79"/>
      <c r="U1968" s="90"/>
      <c r="V1968" s="79"/>
    </row>
    <row r="1969">
      <c r="A1969" s="53" t="s">
        <v>2078</v>
      </c>
      <c r="B1969" s="54" t="s">
        <v>2759</v>
      </c>
      <c r="C1969" s="59"/>
      <c r="D1969" s="59" t="s">
        <v>2760</v>
      </c>
      <c r="E1969" s="133">
        <v>43466.0</v>
      </c>
      <c r="F1969" s="61">
        <v>43496.0</v>
      </c>
      <c r="G1969" s="65">
        <f t="shared" si="2"/>
        <v>0.9666666667</v>
      </c>
      <c r="H1969" s="88">
        <v>43125.0</v>
      </c>
      <c r="I1969" s="65">
        <f t="shared" si="3"/>
        <v>0.9333333333</v>
      </c>
      <c r="J1969" s="121">
        <v>94.0</v>
      </c>
      <c r="K1969" s="121">
        <v>8.0</v>
      </c>
      <c r="L1969" s="69" t="s">
        <v>57</v>
      </c>
      <c r="M1969" s="69"/>
      <c r="N1969" s="69"/>
      <c r="O1969" s="69"/>
      <c r="P1969" s="122"/>
      <c r="Q1969" s="69"/>
      <c r="R1969" s="59"/>
      <c r="S1969" s="88"/>
      <c r="T1969" s="65"/>
      <c r="U1969" s="88"/>
      <c r="V1969" s="65"/>
    </row>
    <row r="1970">
      <c r="A1970" s="74" t="s">
        <v>2032</v>
      </c>
      <c r="B1970" s="75" t="s">
        <v>2984</v>
      </c>
      <c r="C1970" s="76"/>
      <c r="D1970" s="76" t="s">
        <v>2985</v>
      </c>
      <c r="E1970" s="218">
        <v>43466.0</v>
      </c>
      <c r="F1970" s="77">
        <v>43480.0</v>
      </c>
      <c r="G1970" s="79">
        <f t="shared" si="2"/>
        <v>0.4666666667</v>
      </c>
      <c r="H1970" s="90">
        <v>40269.0</v>
      </c>
      <c r="I1970" s="79">
        <f t="shared" si="3"/>
        <v>8.75</v>
      </c>
      <c r="J1970" s="106">
        <v>84.0</v>
      </c>
      <c r="K1970" s="106">
        <v>6.0</v>
      </c>
      <c r="L1970" s="82" t="s">
        <v>41</v>
      </c>
      <c r="M1970" s="82"/>
      <c r="N1970" s="82" t="s">
        <v>2761</v>
      </c>
      <c r="O1970" s="82"/>
      <c r="P1970" s="107"/>
      <c r="Q1970" s="82"/>
      <c r="R1970" s="76"/>
      <c r="S1970" s="90"/>
      <c r="T1970" s="79"/>
      <c r="U1970" s="90"/>
      <c r="V1970" s="79"/>
    </row>
    <row r="1971">
      <c r="A1971" s="53" t="s">
        <v>3655</v>
      </c>
      <c r="B1971" s="54" t="s">
        <v>2759</v>
      </c>
      <c r="C1971" s="59"/>
      <c r="D1971" s="59" t="s">
        <v>2760</v>
      </c>
      <c r="E1971" s="133">
        <v>43450.0</v>
      </c>
      <c r="F1971" s="61">
        <v>43480.0</v>
      </c>
      <c r="G1971" s="65">
        <f t="shared" si="2"/>
        <v>0.9666666667</v>
      </c>
      <c r="H1971" s="88">
        <v>41961.0</v>
      </c>
      <c r="I1971" s="65">
        <f t="shared" si="3"/>
        <v>4.077777778</v>
      </c>
      <c r="J1971" s="121">
        <v>81.0</v>
      </c>
      <c r="K1971" s="121">
        <v>3.0</v>
      </c>
      <c r="L1971" s="69" t="s">
        <v>135</v>
      </c>
      <c r="M1971" s="69"/>
      <c r="N1971" s="69"/>
      <c r="O1971" s="69"/>
      <c r="P1971" s="122"/>
      <c r="Q1971" s="69"/>
      <c r="R1971" s="59"/>
      <c r="S1971" s="88"/>
      <c r="T1971" s="65"/>
      <c r="U1971" s="88"/>
      <c r="V1971" s="65"/>
    </row>
    <row r="1972">
      <c r="A1972" s="226" t="s">
        <v>3656</v>
      </c>
      <c r="B1972" s="75" t="s">
        <v>129</v>
      </c>
      <c r="C1972" s="76"/>
      <c r="D1972" s="76" t="str">
        <f t="shared" ref="D1972:D1977" si="156">IF(E1972&gt;TODAY(),"Coming Soon",IF(F1972="","Active",IF(F1972&gt;TODAY(),"Leaving Soon","Removed")))</f>
        <v>Removed</v>
      </c>
      <c r="E1972" s="218">
        <v>43313.0</v>
      </c>
      <c r="F1972" s="218">
        <v>43466.0</v>
      </c>
      <c r="G1972" s="79">
        <f t="shared" si="2"/>
        <v>5</v>
      </c>
      <c r="H1972" s="90">
        <v>42277.0</v>
      </c>
      <c r="I1972" s="79">
        <f t="shared" si="3"/>
        <v>2.836111111</v>
      </c>
      <c r="J1972" s="106">
        <v>65.0</v>
      </c>
      <c r="K1972" s="106">
        <v>6.5</v>
      </c>
      <c r="L1972" s="82" t="s">
        <v>81</v>
      </c>
      <c r="M1972" s="83"/>
      <c r="N1972" s="83"/>
      <c r="O1972" s="83"/>
      <c r="P1972" s="219"/>
      <c r="Q1972" s="83"/>
      <c r="R1972" s="76"/>
      <c r="S1972" s="90"/>
      <c r="T1972" s="79"/>
      <c r="U1972" s="90"/>
      <c r="V1972" s="79"/>
    </row>
    <row r="1973">
      <c r="A1973" s="53" t="s">
        <v>3657</v>
      </c>
      <c r="B1973" s="54" t="s">
        <v>129</v>
      </c>
      <c r="C1973" s="59"/>
      <c r="D1973" s="59" t="str">
        <f t="shared" si="156"/>
        <v>Removed</v>
      </c>
      <c r="E1973" s="133">
        <v>43132.0</v>
      </c>
      <c r="F1973" s="133">
        <v>43466.0</v>
      </c>
      <c r="G1973" s="65">
        <f t="shared" si="2"/>
        <v>11</v>
      </c>
      <c r="H1973" s="88">
        <v>41842.0</v>
      </c>
      <c r="I1973" s="65">
        <f t="shared" si="3"/>
        <v>3.525</v>
      </c>
      <c r="J1973" s="121">
        <v>77.0</v>
      </c>
      <c r="K1973" s="121">
        <v>9.0</v>
      </c>
      <c r="L1973" s="69" t="s">
        <v>96</v>
      </c>
      <c r="M1973" s="69"/>
      <c r="N1973" s="69"/>
      <c r="O1973" s="69"/>
      <c r="P1973" s="122"/>
      <c r="Q1973" s="69"/>
      <c r="R1973" s="59"/>
      <c r="S1973" s="88"/>
      <c r="T1973" s="65"/>
      <c r="U1973" s="88"/>
      <c r="V1973" s="65"/>
    </row>
    <row r="1974">
      <c r="A1974" s="226" t="s">
        <v>3658</v>
      </c>
      <c r="B1974" s="75" t="s">
        <v>129</v>
      </c>
      <c r="C1974" s="76"/>
      <c r="D1974" s="76" t="str">
        <f t="shared" si="156"/>
        <v>Removed</v>
      </c>
      <c r="E1974" s="218">
        <v>42948.0</v>
      </c>
      <c r="F1974" s="218">
        <v>43466.0</v>
      </c>
      <c r="G1974" s="79">
        <f t="shared" si="2"/>
        <v>17</v>
      </c>
      <c r="H1974" s="90">
        <v>41600.0</v>
      </c>
      <c r="I1974" s="79">
        <f t="shared" si="3"/>
        <v>3.691666667</v>
      </c>
      <c r="J1974" s="106">
        <v>78.0</v>
      </c>
      <c r="K1974" s="106">
        <v>14.0</v>
      </c>
      <c r="L1974" s="82" t="s">
        <v>46</v>
      </c>
      <c r="M1974" s="83"/>
      <c r="N1974" s="83"/>
      <c r="O1974" s="83"/>
      <c r="P1974" s="219"/>
      <c r="Q1974" s="83"/>
      <c r="R1974" s="76"/>
      <c r="S1974" s="90"/>
      <c r="T1974" s="79"/>
      <c r="U1974" s="90"/>
      <c r="V1974" s="79"/>
    </row>
    <row r="1975">
      <c r="A1975" s="207" t="s">
        <v>3659</v>
      </c>
      <c r="B1975" s="54" t="s">
        <v>129</v>
      </c>
      <c r="C1975" s="59"/>
      <c r="D1975" s="59" t="str">
        <f t="shared" si="156"/>
        <v>Removed</v>
      </c>
      <c r="E1975" s="133">
        <v>42887.0</v>
      </c>
      <c r="F1975" s="133">
        <v>43466.0</v>
      </c>
      <c r="G1975" s="65">
        <f t="shared" si="2"/>
        <v>19</v>
      </c>
      <c r="H1975" s="88">
        <v>41509.0</v>
      </c>
      <c r="I1975" s="65">
        <f t="shared" si="3"/>
        <v>3.772222222</v>
      </c>
      <c r="J1975" s="121">
        <v>77.0</v>
      </c>
      <c r="K1975" s="121">
        <v>3.0</v>
      </c>
      <c r="L1975" s="91" t="s">
        <v>57</v>
      </c>
      <c r="M1975" s="91"/>
      <c r="N1975" s="91"/>
      <c r="O1975" s="91"/>
      <c r="P1975" s="134"/>
      <c r="Q1975" s="91"/>
      <c r="R1975" s="59"/>
      <c r="S1975" s="88"/>
      <c r="T1975" s="65"/>
      <c r="U1975" s="88"/>
      <c r="V1975" s="65"/>
    </row>
    <row r="1976">
      <c r="A1976" s="226" t="s">
        <v>3660</v>
      </c>
      <c r="B1976" s="75" t="s">
        <v>129</v>
      </c>
      <c r="C1976" s="76"/>
      <c r="D1976" s="76" t="str">
        <f t="shared" si="156"/>
        <v>Removed</v>
      </c>
      <c r="E1976" s="218">
        <v>42887.0</v>
      </c>
      <c r="F1976" s="218">
        <v>43466.0</v>
      </c>
      <c r="G1976" s="79">
        <f t="shared" si="2"/>
        <v>19</v>
      </c>
      <c r="H1976" s="90">
        <v>41900.0</v>
      </c>
      <c r="I1976" s="79">
        <f t="shared" si="3"/>
        <v>2.702777778</v>
      </c>
      <c r="J1976" s="106">
        <v>74.0</v>
      </c>
      <c r="K1976" s="106">
        <v>2.5</v>
      </c>
      <c r="L1976" s="82" t="s">
        <v>96</v>
      </c>
      <c r="M1976" s="82"/>
      <c r="N1976" s="82"/>
      <c r="O1976" s="82"/>
      <c r="P1976" s="107"/>
      <c r="Q1976" s="82"/>
      <c r="R1976" s="76"/>
      <c r="S1976" s="90"/>
      <c r="T1976" s="79"/>
      <c r="U1976" s="90"/>
      <c r="V1976" s="79"/>
    </row>
    <row r="1977">
      <c r="A1977" s="207" t="s">
        <v>3661</v>
      </c>
      <c r="B1977" s="54" t="s">
        <v>129</v>
      </c>
      <c r="C1977" s="59"/>
      <c r="D1977" s="59" t="str">
        <f t="shared" si="156"/>
        <v>Removed</v>
      </c>
      <c r="E1977" s="133">
        <v>42887.0</v>
      </c>
      <c r="F1977" s="133">
        <v>43466.0</v>
      </c>
      <c r="G1977" s="65">
        <f t="shared" si="2"/>
        <v>19</v>
      </c>
      <c r="H1977" s="88">
        <v>42142.0</v>
      </c>
      <c r="I1977" s="65">
        <f t="shared" si="3"/>
        <v>2.036111111</v>
      </c>
      <c r="J1977" s="121">
        <v>79.0</v>
      </c>
      <c r="K1977" s="121">
        <v>1.5</v>
      </c>
      <c r="L1977" s="69" t="s">
        <v>3240</v>
      </c>
      <c r="M1977" s="69"/>
      <c r="N1977" s="69"/>
      <c r="O1977" s="69"/>
      <c r="P1977" s="122"/>
      <c r="Q1977" s="69"/>
      <c r="R1977" s="59"/>
      <c r="S1977" s="88"/>
      <c r="T1977" s="65"/>
      <c r="U1977" s="88"/>
      <c r="V1977" s="65"/>
    </row>
    <row r="1978">
      <c r="A1978" s="74" t="s">
        <v>3662</v>
      </c>
      <c r="B1978" s="75" t="s">
        <v>2984</v>
      </c>
      <c r="C1978" s="76"/>
      <c r="D1978" s="76" t="s">
        <v>2985</v>
      </c>
      <c r="E1978" s="218">
        <v>43450.0</v>
      </c>
      <c r="F1978" s="77">
        <v>43465.0</v>
      </c>
      <c r="G1978" s="79">
        <f t="shared" si="2"/>
        <v>0.4666666667</v>
      </c>
      <c r="H1978" s="90">
        <v>38425.0</v>
      </c>
      <c r="I1978" s="79">
        <f t="shared" si="3"/>
        <v>13.75555556</v>
      </c>
      <c r="J1978" s="106">
        <v>76.0</v>
      </c>
      <c r="K1978" s="106">
        <v>18.0</v>
      </c>
      <c r="L1978" s="82" t="s">
        <v>41</v>
      </c>
      <c r="M1978" s="82" t="s">
        <v>72</v>
      </c>
      <c r="N1978" s="82" t="s">
        <v>2761</v>
      </c>
      <c r="O1978" s="82"/>
      <c r="P1978" s="107"/>
      <c r="Q1978" s="82"/>
      <c r="R1978" s="76"/>
      <c r="S1978" s="90"/>
      <c r="T1978" s="79"/>
      <c r="U1978" s="90"/>
      <c r="V1978" s="79"/>
    </row>
    <row r="1979">
      <c r="A1979" s="53" t="s">
        <v>3663</v>
      </c>
      <c r="B1979" s="54" t="s">
        <v>2759</v>
      </c>
      <c r="C1979" s="59"/>
      <c r="D1979" s="59" t="s">
        <v>2760</v>
      </c>
      <c r="E1979" s="133">
        <v>43435.0</v>
      </c>
      <c r="F1979" s="61">
        <v>43465.0</v>
      </c>
      <c r="G1979" s="65">
        <f t="shared" si="2"/>
        <v>0.9666666667</v>
      </c>
      <c r="H1979" s="88">
        <v>43117.0</v>
      </c>
      <c r="I1979" s="65">
        <f t="shared" si="3"/>
        <v>0.8722222222</v>
      </c>
      <c r="J1979" s="121">
        <v>77.0</v>
      </c>
      <c r="K1979" s="121">
        <v>6.0</v>
      </c>
      <c r="L1979" s="69" t="s">
        <v>96</v>
      </c>
      <c r="M1979" s="69"/>
      <c r="N1979" s="69" t="s">
        <v>2761</v>
      </c>
      <c r="O1979" s="69"/>
      <c r="P1979" s="122"/>
      <c r="Q1979" s="69"/>
      <c r="R1979" s="59"/>
      <c r="S1979" s="88"/>
      <c r="T1979" s="65"/>
      <c r="U1979" s="88"/>
      <c r="V1979" s="65"/>
    </row>
    <row r="1980">
      <c r="A1980" s="74" t="s">
        <v>1851</v>
      </c>
      <c r="B1980" s="75" t="s">
        <v>2984</v>
      </c>
      <c r="C1980" s="76"/>
      <c r="D1980" s="76" t="s">
        <v>2985</v>
      </c>
      <c r="E1980" s="218">
        <v>43435.0</v>
      </c>
      <c r="F1980" s="77">
        <v>43449.0</v>
      </c>
      <c r="G1980" s="79">
        <f t="shared" si="2"/>
        <v>0.4666666667</v>
      </c>
      <c r="H1980" s="90">
        <v>40610.0</v>
      </c>
      <c r="I1980" s="79">
        <f t="shared" si="3"/>
        <v>7.730555556</v>
      </c>
      <c r="J1980" s="106">
        <v>82.0</v>
      </c>
      <c r="K1980" s="106">
        <v>27.0</v>
      </c>
      <c r="L1980" s="82" t="s">
        <v>46</v>
      </c>
      <c r="M1980" s="82"/>
      <c r="N1980" s="82" t="s">
        <v>2761</v>
      </c>
      <c r="O1980" s="82"/>
      <c r="P1980" s="107"/>
      <c r="Q1980" s="82"/>
      <c r="R1980" s="76"/>
      <c r="S1980" s="90"/>
      <c r="T1980" s="79"/>
      <c r="U1980" s="90"/>
      <c r="V1980" s="79"/>
    </row>
    <row r="1981">
      <c r="A1981" s="53" t="s">
        <v>3664</v>
      </c>
      <c r="B1981" s="54" t="s">
        <v>2759</v>
      </c>
      <c r="C1981" s="59"/>
      <c r="D1981" s="59" t="s">
        <v>2760</v>
      </c>
      <c r="E1981" s="133">
        <v>43420.0</v>
      </c>
      <c r="F1981" s="61">
        <v>43449.0</v>
      </c>
      <c r="G1981" s="65">
        <f t="shared" si="2"/>
        <v>0.9666666667</v>
      </c>
      <c r="H1981" s="88">
        <v>41351.0</v>
      </c>
      <c r="I1981" s="65">
        <f t="shared" si="3"/>
        <v>5.661111111</v>
      </c>
      <c r="J1981" s="121">
        <v>76.0</v>
      </c>
      <c r="K1981" s="121">
        <v>3.0</v>
      </c>
      <c r="L1981" s="69" t="s">
        <v>105</v>
      </c>
      <c r="M1981" s="69"/>
      <c r="N1981" s="69"/>
      <c r="O1981" s="69"/>
      <c r="P1981" s="122"/>
      <c r="Q1981" s="69"/>
      <c r="R1981" s="59"/>
      <c r="S1981" s="88"/>
      <c r="T1981" s="65"/>
      <c r="U1981" s="88"/>
      <c r="V1981" s="65"/>
    </row>
    <row r="1982">
      <c r="A1982" s="226" t="s">
        <v>3665</v>
      </c>
      <c r="B1982" s="75" t="s">
        <v>129</v>
      </c>
      <c r="C1982" s="76"/>
      <c r="D1982" s="76" t="str">
        <f t="shared" ref="D1982:D1988" si="157">IF(E1982&gt;TODAY(),"Coming Soon",IF(F1982="","Active",IF(F1982&gt;TODAY(),"Leaving Soon","Removed")))</f>
        <v>Removed</v>
      </c>
      <c r="E1982" s="218">
        <v>43101.0</v>
      </c>
      <c r="F1982" s="218">
        <v>43435.0</v>
      </c>
      <c r="G1982" s="79">
        <f t="shared" si="2"/>
        <v>11</v>
      </c>
      <c r="H1982" s="90">
        <v>40115.0</v>
      </c>
      <c r="I1982" s="79">
        <f t="shared" si="3"/>
        <v>8.172222222</v>
      </c>
      <c r="J1982" s="106">
        <v>90.0</v>
      </c>
      <c r="K1982" s="106">
        <v>11.0</v>
      </c>
      <c r="L1982" s="83" t="s">
        <v>105</v>
      </c>
      <c r="M1982" s="83"/>
      <c r="N1982" s="83"/>
      <c r="O1982" s="83"/>
      <c r="P1982" s="219"/>
      <c r="Q1982" s="82" t="s">
        <v>1822</v>
      </c>
      <c r="R1982" s="76"/>
      <c r="S1982" s="90"/>
      <c r="T1982" s="79"/>
      <c r="U1982" s="90"/>
      <c r="V1982" s="79"/>
    </row>
    <row r="1983">
      <c r="A1983" s="53" t="s">
        <v>3666</v>
      </c>
      <c r="B1983" s="54" t="s">
        <v>129</v>
      </c>
      <c r="C1983" s="59"/>
      <c r="D1983" s="59" t="str">
        <f t="shared" si="157"/>
        <v>Removed</v>
      </c>
      <c r="E1983" s="133">
        <v>43101.0</v>
      </c>
      <c r="F1983" s="133">
        <v>43435.0</v>
      </c>
      <c r="G1983" s="65">
        <f t="shared" si="2"/>
        <v>11</v>
      </c>
      <c r="H1983" s="88">
        <v>41900.0</v>
      </c>
      <c r="I1983" s="65">
        <f t="shared" si="3"/>
        <v>3.286111111</v>
      </c>
      <c r="J1983" s="121">
        <v>69.0</v>
      </c>
      <c r="K1983" s="121">
        <v>4.0</v>
      </c>
      <c r="L1983" s="69" t="s">
        <v>46</v>
      </c>
      <c r="M1983" s="91"/>
      <c r="N1983" s="91"/>
      <c r="O1983" s="91"/>
      <c r="P1983" s="134"/>
      <c r="Q1983" s="91"/>
      <c r="R1983" s="59"/>
      <c r="S1983" s="88"/>
      <c r="T1983" s="65"/>
      <c r="U1983" s="88"/>
      <c r="V1983" s="65"/>
    </row>
    <row r="1984">
      <c r="A1984" s="226" t="s">
        <v>3265</v>
      </c>
      <c r="B1984" s="75" t="s">
        <v>129</v>
      </c>
      <c r="C1984" s="76"/>
      <c r="D1984" s="76" t="str">
        <f t="shared" si="157"/>
        <v>Removed</v>
      </c>
      <c r="E1984" s="218">
        <v>43101.0</v>
      </c>
      <c r="F1984" s="218">
        <v>43435.0</v>
      </c>
      <c r="G1984" s="79">
        <f t="shared" si="2"/>
        <v>11</v>
      </c>
      <c r="H1984" s="90">
        <v>41380.0</v>
      </c>
      <c r="I1984" s="79">
        <f t="shared" si="3"/>
        <v>4.708333333</v>
      </c>
      <c r="J1984" s="106">
        <v>81.0</v>
      </c>
      <c r="K1984" s="106">
        <v>5.0</v>
      </c>
      <c r="L1984" s="83" t="s">
        <v>52</v>
      </c>
      <c r="M1984" s="83"/>
      <c r="N1984" s="83"/>
      <c r="O1984" s="83"/>
      <c r="P1984" s="219"/>
      <c r="Q1984" s="83"/>
      <c r="R1984" s="76"/>
      <c r="S1984" s="90"/>
      <c r="T1984" s="79"/>
      <c r="U1984" s="90"/>
      <c r="V1984" s="79"/>
    </row>
    <row r="1985">
      <c r="A1985" s="207" t="s">
        <v>3667</v>
      </c>
      <c r="B1985" s="54" t="s">
        <v>129</v>
      </c>
      <c r="C1985" s="59"/>
      <c r="D1985" s="59" t="str">
        <f t="shared" si="157"/>
        <v>Removed</v>
      </c>
      <c r="E1985" s="133">
        <v>43101.0</v>
      </c>
      <c r="F1985" s="133">
        <v>43435.0</v>
      </c>
      <c r="G1985" s="65">
        <f t="shared" si="2"/>
        <v>11</v>
      </c>
      <c r="H1985" s="88">
        <v>41716.0</v>
      </c>
      <c r="I1985" s="65">
        <f t="shared" si="3"/>
        <v>3.786111111</v>
      </c>
      <c r="J1985" s="121">
        <v>76.0</v>
      </c>
      <c r="K1985" s="121">
        <v>1.5</v>
      </c>
      <c r="L1985" s="69" t="s">
        <v>37</v>
      </c>
      <c r="M1985" s="91"/>
      <c r="N1985" s="91"/>
      <c r="O1985" s="91"/>
      <c r="P1985" s="134"/>
      <c r="Q1985" s="91"/>
      <c r="R1985" s="59"/>
      <c r="S1985" s="88"/>
      <c r="T1985" s="65"/>
      <c r="U1985" s="88"/>
      <c r="V1985" s="65"/>
    </row>
    <row r="1986">
      <c r="A1986" s="226" t="s">
        <v>3668</v>
      </c>
      <c r="B1986" s="75" t="s">
        <v>129</v>
      </c>
      <c r="C1986" s="76"/>
      <c r="D1986" s="76" t="str">
        <f t="shared" si="157"/>
        <v>Removed</v>
      </c>
      <c r="E1986" s="218">
        <v>43101.0</v>
      </c>
      <c r="F1986" s="218">
        <v>43435.0</v>
      </c>
      <c r="G1986" s="79">
        <f t="shared" si="2"/>
        <v>11</v>
      </c>
      <c r="H1986" s="90">
        <v>42863.0</v>
      </c>
      <c r="I1986" s="79">
        <f t="shared" si="3"/>
        <v>0.6472222222</v>
      </c>
      <c r="J1986" s="106">
        <v>66.0</v>
      </c>
      <c r="K1986" s="106">
        <v>7.0</v>
      </c>
      <c r="L1986" s="82" t="s">
        <v>62</v>
      </c>
      <c r="M1986" s="82"/>
      <c r="N1986" s="82"/>
      <c r="O1986" s="82"/>
      <c r="P1986" s="107"/>
      <c r="Q1986" s="82"/>
      <c r="R1986" s="76"/>
      <c r="S1986" s="90"/>
      <c r="T1986" s="79"/>
      <c r="U1986" s="90"/>
      <c r="V1986" s="79"/>
    </row>
    <row r="1987">
      <c r="A1987" s="53" t="s">
        <v>3669</v>
      </c>
      <c r="B1987" s="54" t="s">
        <v>129</v>
      </c>
      <c r="C1987" s="59"/>
      <c r="D1987" s="59" t="str">
        <f t="shared" si="157"/>
        <v>Removed</v>
      </c>
      <c r="E1987" s="133">
        <v>43101.0</v>
      </c>
      <c r="F1987" s="133">
        <v>43435.0</v>
      </c>
      <c r="G1987" s="65">
        <f t="shared" si="2"/>
        <v>11</v>
      </c>
      <c r="H1987" s="88">
        <v>40459.0</v>
      </c>
      <c r="I1987" s="65">
        <f t="shared" si="3"/>
        <v>7.230555556</v>
      </c>
      <c r="J1987" s="121">
        <v>70.0</v>
      </c>
      <c r="K1987" s="121">
        <v>15.0</v>
      </c>
      <c r="L1987" s="69" t="s">
        <v>55</v>
      </c>
      <c r="M1987" s="91"/>
      <c r="N1987" s="91"/>
      <c r="O1987" s="91"/>
      <c r="P1987" s="134"/>
      <c r="Q1987" s="91"/>
      <c r="R1987" s="59"/>
      <c r="S1987" s="88"/>
      <c r="T1987" s="65"/>
      <c r="U1987" s="88"/>
      <c r="V1987" s="65"/>
    </row>
    <row r="1988">
      <c r="A1988" s="226" t="s">
        <v>3670</v>
      </c>
      <c r="B1988" s="75" t="s">
        <v>129</v>
      </c>
      <c r="C1988" s="76"/>
      <c r="D1988" s="76" t="str">
        <f t="shared" si="157"/>
        <v>Removed</v>
      </c>
      <c r="E1988" s="218">
        <v>42887.0</v>
      </c>
      <c r="F1988" s="218">
        <v>43435.0</v>
      </c>
      <c r="G1988" s="79">
        <f t="shared" si="2"/>
        <v>18</v>
      </c>
      <c r="H1988" s="90">
        <v>41942.0</v>
      </c>
      <c r="I1988" s="79">
        <f t="shared" si="3"/>
        <v>2.586111111</v>
      </c>
      <c r="J1988" s="106">
        <v>54.0</v>
      </c>
      <c r="K1988" s="106">
        <v>60.5</v>
      </c>
      <c r="L1988" s="83" t="s">
        <v>64</v>
      </c>
      <c r="M1988" s="83"/>
      <c r="N1988" s="83"/>
      <c r="O1988" s="83"/>
      <c r="P1988" s="219"/>
      <c r="Q1988" s="83"/>
      <c r="R1988" s="76"/>
      <c r="S1988" s="90"/>
      <c r="T1988" s="79"/>
      <c r="U1988" s="90"/>
      <c r="V1988" s="79"/>
    </row>
    <row r="1989">
      <c r="A1989" s="53" t="s">
        <v>1844</v>
      </c>
      <c r="B1989" s="54" t="s">
        <v>2984</v>
      </c>
      <c r="C1989" s="59"/>
      <c r="D1989" s="59" t="s">
        <v>2985</v>
      </c>
      <c r="E1989" s="133">
        <v>43420.0</v>
      </c>
      <c r="F1989" s="61">
        <v>43434.0</v>
      </c>
      <c r="G1989" s="65">
        <f t="shared" si="2"/>
        <v>0.4666666667</v>
      </c>
      <c r="H1989" s="88">
        <v>40218.0</v>
      </c>
      <c r="I1989" s="65">
        <f t="shared" si="3"/>
        <v>8.769444444</v>
      </c>
      <c r="J1989" s="121">
        <v>80.0</v>
      </c>
      <c r="K1989" s="121">
        <v>9.0</v>
      </c>
      <c r="L1989" s="69" t="s">
        <v>105</v>
      </c>
      <c r="M1989" s="69"/>
      <c r="N1989" s="69" t="s">
        <v>2761</v>
      </c>
      <c r="O1989" s="69"/>
      <c r="P1989" s="122"/>
      <c r="Q1989" s="69"/>
      <c r="R1989" s="59"/>
      <c r="S1989" s="88"/>
      <c r="T1989" s="65"/>
      <c r="U1989" s="88"/>
      <c r="V1989" s="65"/>
    </row>
    <row r="1990">
      <c r="A1990" s="74" t="s">
        <v>3671</v>
      </c>
      <c r="B1990" s="75" t="s">
        <v>2759</v>
      </c>
      <c r="C1990" s="76"/>
      <c r="D1990" s="76" t="s">
        <v>2760</v>
      </c>
      <c r="E1990" s="218">
        <v>43405.0</v>
      </c>
      <c r="F1990" s="77">
        <v>43434.0</v>
      </c>
      <c r="G1990" s="79">
        <f t="shared" si="2"/>
        <v>0.9666666667</v>
      </c>
      <c r="H1990" s="90">
        <v>42664.0</v>
      </c>
      <c r="I1990" s="79">
        <f t="shared" si="3"/>
        <v>2.027777778</v>
      </c>
      <c r="J1990" s="106">
        <v>89.0</v>
      </c>
      <c r="K1990" s="106">
        <v>6.0</v>
      </c>
      <c r="L1990" s="82" t="s">
        <v>37</v>
      </c>
      <c r="M1990" s="82"/>
      <c r="N1990" s="82" t="s">
        <v>2761</v>
      </c>
      <c r="O1990" s="82"/>
      <c r="P1990" s="107"/>
      <c r="Q1990" s="82"/>
      <c r="R1990" s="76"/>
      <c r="S1990" s="90"/>
      <c r="T1990" s="79"/>
      <c r="U1990" s="90"/>
      <c r="V1990" s="79"/>
    </row>
    <row r="1991">
      <c r="A1991" s="53" t="s">
        <v>3672</v>
      </c>
      <c r="B1991" s="54" t="s">
        <v>2984</v>
      </c>
      <c r="C1991" s="59"/>
      <c r="D1991" s="59" t="s">
        <v>2985</v>
      </c>
      <c r="E1991" s="133">
        <v>43405.0</v>
      </c>
      <c r="F1991" s="61">
        <v>43419.0</v>
      </c>
      <c r="G1991" s="65">
        <f t="shared" si="2"/>
        <v>0.4666666667</v>
      </c>
      <c r="H1991" s="88">
        <v>39399.0</v>
      </c>
      <c r="I1991" s="65">
        <f t="shared" si="3"/>
        <v>10.96666667</v>
      </c>
      <c r="J1991" s="121">
        <v>81.0</v>
      </c>
      <c r="K1991" s="121">
        <v>15.0</v>
      </c>
      <c r="L1991" s="69" t="s">
        <v>41</v>
      </c>
      <c r="M1991" s="69" t="s">
        <v>72</v>
      </c>
      <c r="N1991" s="69" t="s">
        <v>2761</v>
      </c>
      <c r="O1991" s="69"/>
      <c r="P1991" s="122"/>
      <c r="Q1991" s="69"/>
      <c r="R1991" s="59"/>
      <c r="S1991" s="88"/>
      <c r="T1991" s="65"/>
      <c r="U1991" s="88"/>
      <c r="V1991" s="65"/>
    </row>
    <row r="1992">
      <c r="A1992" s="74" t="s">
        <v>3673</v>
      </c>
      <c r="B1992" s="75" t="s">
        <v>2759</v>
      </c>
      <c r="C1992" s="76"/>
      <c r="D1992" s="76" t="s">
        <v>2760</v>
      </c>
      <c r="E1992" s="218">
        <v>43389.0</v>
      </c>
      <c r="F1992" s="77">
        <v>43419.0</v>
      </c>
      <c r="G1992" s="79">
        <f t="shared" si="2"/>
        <v>0.9666666667</v>
      </c>
      <c r="H1992" s="90">
        <v>42228.0</v>
      </c>
      <c r="I1992" s="79">
        <f t="shared" si="3"/>
        <v>3.177777778</v>
      </c>
      <c r="J1992" s="106">
        <v>77.0</v>
      </c>
      <c r="K1992" s="106">
        <v>11.0</v>
      </c>
      <c r="L1992" s="82" t="s">
        <v>46</v>
      </c>
      <c r="M1992" s="82"/>
      <c r="N1992" s="82"/>
      <c r="O1992" s="82"/>
      <c r="P1992" s="107"/>
      <c r="Q1992" s="82"/>
      <c r="R1992" s="76"/>
      <c r="S1992" s="90"/>
      <c r="T1992" s="79"/>
      <c r="U1992" s="90"/>
      <c r="V1992" s="79"/>
    </row>
    <row r="1993">
      <c r="A1993" s="207" t="s">
        <v>3624</v>
      </c>
      <c r="B1993" s="54" t="s">
        <v>129</v>
      </c>
      <c r="C1993" s="59"/>
      <c r="D1993" s="59" t="str">
        <f t="shared" ref="D1993:D1998" si="158">IF(E1993&gt;TODAY(),"Coming Soon",IF(F1993="","Active",IF(F1993&gt;TODAY(),"Leaving Soon","Removed")))</f>
        <v>Removed</v>
      </c>
      <c r="E1993" s="133">
        <v>43252.0</v>
      </c>
      <c r="F1993" s="133">
        <v>43405.0</v>
      </c>
      <c r="G1993" s="65">
        <f t="shared" si="2"/>
        <v>5</v>
      </c>
      <c r="H1993" s="88">
        <v>42549.0</v>
      </c>
      <c r="I1993" s="65">
        <f t="shared" si="3"/>
        <v>1.925</v>
      </c>
      <c r="J1993" s="121">
        <v>68.0</v>
      </c>
      <c r="K1993" s="121">
        <v>20.5</v>
      </c>
      <c r="L1993" s="69" t="s">
        <v>46</v>
      </c>
      <c r="M1993" s="69"/>
      <c r="N1993" s="69"/>
      <c r="O1993" s="69"/>
      <c r="P1993" s="122"/>
      <c r="Q1993" s="69"/>
      <c r="R1993" s="59"/>
      <c r="S1993" s="88"/>
      <c r="T1993" s="65"/>
      <c r="U1993" s="88"/>
      <c r="V1993" s="65"/>
    </row>
    <row r="1994">
      <c r="A1994" s="226" t="s">
        <v>3674</v>
      </c>
      <c r="B1994" s="75" t="s">
        <v>129</v>
      </c>
      <c r="C1994" s="76"/>
      <c r="D1994" s="76" t="str">
        <f t="shared" si="158"/>
        <v>Removed</v>
      </c>
      <c r="E1994" s="218">
        <v>43070.0</v>
      </c>
      <c r="F1994" s="218">
        <v>43405.0</v>
      </c>
      <c r="G1994" s="79">
        <f t="shared" si="2"/>
        <v>11</v>
      </c>
      <c r="H1994" s="90">
        <v>42438.0</v>
      </c>
      <c r="I1994" s="79">
        <f t="shared" si="3"/>
        <v>1.727777778</v>
      </c>
      <c r="J1994" s="106">
        <v>60.0</v>
      </c>
      <c r="K1994" s="106">
        <v>40.0</v>
      </c>
      <c r="L1994" s="82" t="s">
        <v>62</v>
      </c>
      <c r="M1994" s="83"/>
      <c r="N1994" s="83"/>
      <c r="O1994" s="83"/>
      <c r="P1994" s="219"/>
      <c r="Q1994" s="83"/>
      <c r="R1994" s="76"/>
      <c r="S1994" s="90"/>
      <c r="T1994" s="79"/>
      <c r="U1994" s="90"/>
      <c r="V1994" s="79"/>
    </row>
    <row r="1995">
      <c r="A1995" s="207" t="s">
        <v>3675</v>
      </c>
      <c r="B1995" s="54" t="s">
        <v>129</v>
      </c>
      <c r="C1995" s="59"/>
      <c r="D1995" s="59" t="str">
        <f t="shared" si="158"/>
        <v>Removed</v>
      </c>
      <c r="E1995" s="133">
        <v>43070.0</v>
      </c>
      <c r="F1995" s="133">
        <v>43405.0</v>
      </c>
      <c r="G1995" s="65">
        <f t="shared" si="2"/>
        <v>11</v>
      </c>
      <c r="H1995" s="88">
        <v>40238.0</v>
      </c>
      <c r="I1995" s="65">
        <f t="shared" si="3"/>
        <v>7.75</v>
      </c>
      <c r="J1995" s="121">
        <v>79.0</v>
      </c>
      <c r="K1995" s="121">
        <v>2.0</v>
      </c>
      <c r="L1995" s="69" t="s">
        <v>57</v>
      </c>
      <c r="M1995" s="91"/>
      <c r="N1995" s="91"/>
      <c r="O1995" s="91"/>
      <c r="P1995" s="134"/>
      <c r="Q1995" s="69" t="s">
        <v>1822</v>
      </c>
      <c r="R1995" s="59"/>
      <c r="S1995" s="88"/>
      <c r="T1995" s="65"/>
      <c r="U1995" s="88"/>
      <c r="V1995" s="65"/>
    </row>
    <row r="1996">
      <c r="A1996" s="74" t="s">
        <v>3530</v>
      </c>
      <c r="B1996" s="75" t="s">
        <v>129</v>
      </c>
      <c r="C1996" s="76"/>
      <c r="D1996" s="76" t="str">
        <f t="shared" si="158"/>
        <v>Removed</v>
      </c>
      <c r="E1996" s="218">
        <v>43070.0</v>
      </c>
      <c r="F1996" s="218">
        <v>43405.0</v>
      </c>
      <c r="G1996" s="79">
        <f t="shared" si="2"/>
        <v>11</v>
      </c>
      <c r="H1996" s="90">
        <v>42531.0</v>
      </c>
      <c r="I1996" s="79">
        <f t="shared" si="3"/>
        <v>1.475</v>
      </c>
      <c r="J1996" s="106">
        <v>66.0</v>
      </c>
      <c r="K1996" s="106">
        <v>10.0</v>
      </c>
      <c r="L1996" s="82" t="s">
        <v>135</v>
      </c>
      <c r="M1996" s="83"/>
      <c r="N1996" s="83"/>
      <c r="O1996" s="83"/>
      <c r="P1996" s="219"/>
      <c r="Q1996" s="83"/>
      <c r="R1996" s="76"/>
      <c r="S1996" s="90"/>
      <c r="T1996" s="79"/>
      <c r="U1996" s="90"/>
      <c r="V1996" s="79"/>
    </row>
    <row r="1997">
      <c r="A1997" s="207" t="s">
        <v>3676</v>
      </c>
      <c r="B1997" s="54" t="s">
        <v>129</v>
      </c>
      <c r="C1997" s="59"/>
      <c r="D1997" s="59" t="str">
        <f t="shared" si="158"/>
        <v>Removed</v>
      </c>
      <c r="E1997" s="133">
        <v>43070.0</v>
      </c>
      <c r="F1997" s="133">
        <v>43405.0</v>
      </c>
      <c r="G1997" s="65">
        <f t="shared" si="2"/>
        <v>11</v>
      </c>
      <c r="H1997" s="88">
        <v>41957.0</v>
      </c>
      <c r="I1997" s="65">
        <f t="shared" si="3"/>
        <v>3.047222222</v>
      </c>
      <c r="J1997" s="121">
        <v>78.0</v>
      </c>
      <c r="K1997" s="121">
        <v>10.0</v>
      </c>
      <c r="L1997" s="69" t="s">
        <v>64</v>
      </c>
      <c r="M1997" s="91"/>
      <c r="N1997" s="91"/>
      <c r="O1997" s="91"/>
      <c r="P1997" s="134"/>
      <c r="Q1997" s="91"/>
      <c r="R1997" s="59"/>
      <c r="S1997" s="88"/>
      <c r="T1997" s="65"/>
      <c r="U1997" s="88"/>
      <c r="V1997" s="65"/>
    </row>
    <row r="1998">
      <c r="A1998" s="74" t="s">
        <v>3677</v>
      </c>
      <c r="B1998" s="75" t="s">
        <v>129</v>
      </c>
      <c r="C1998" s="76"/>
      <c r="D1998" s="76" t="str">
        <f t="shared" si="158"/>
        <v>Removed</v>
      </c>
      <c r="E1998" s="218">
        <v>42887.0</v>
      </c>
      <c r="F1998" s="218">
        <v>43405.0</v>
      </c>
      <c r="G1998" s="79">
        <f t="shared" si="2"/>
        <v>17</v>
      </c>
      <c r="H1998" s="90">
        <v>37570.0</v>
      </c>
      <c r="I1998" s="79">
        <f t="shared" si="3"/>
        <v>14.55833333</v>
      </c>
      <c r="J1998" s="106">
        <v>69.0</v>
      </c>
      <c r="K1998" s="106">
        <v>11.5</v>
      </c>
      <c r="L1998" s="83" t="s">
        <v>41</v>
      </c>
      <c r="M1998" s="83"/>
      <c r="N1998" s="83"/>
      <c r="O1998" s="83"/>
      <c r="P1998" s="219"/>
      <c r="Q1998" s="82" t="s">
        <v>2841</v>
      </c>
      <c r="R1998" s="76"/>
      <c r="S1998" s="90"/>
      <c r="T1998" s="79"/>
      <c r="U1998" s="90"/>
      <c r="V1998" s="79"/>
    </row>
    <row r="1999">
      <c r="A1999" s="53" t="s">
        <v>3678</v>
      </c>
      <c r="B1999" s="54" t="s">
        <v>2984</v>
      </c>
      <c r="C1999" s="59"/>
      <c r="D1999" s="59" t="s">
        <v>2985</v>
      </c>
      <c r="E1999" s="133">
        <v>43389.0</v>
      </c>
      <c r="F1999" s="61">
        <v>43404.0</v>
      </c>
      <c r="G1999" s="65">
        <f t="shared" si="2"/>
        <v>0.4666666667</v>
      </c>
      <c r="H1999" s="88">
        <v>38867.0</v>
      </c>
      <c r="I1999" s="65">
        <f t="shared" si="3"/>
        <v>12.37777778</v>
      </c>
      <c r="J1999" s="121">
        <v>83.0</v>
      </c>
      <c r="K1999" s="121">
        <v>12.0</v>
      </c>
      <c r="L1999" s="69" t="s">
        <v>41</v>
      </c>
      <c r="M1999" s="69"/>
      <c r="N1999" s="69" t="s">
        <v>2761</v>
      </c>
      <c r="O1999" s="69"/>
      <c r="P1999" s="122"/>
      <c r="Q1999" s="69"/>
      <c r="R1999" s="59"/>
      <c r="S1999" s="88"/>
      <c r="T1999" s="65"/>
      <c r="U1999" s="88"/>
      <c r="V1999" s="65"/>
    </row>
    <row r="2000">
      <c r="A2000" s="74" t="s">
        <v>3679</v>
      </c>
      <c r="B2000" s="75" t="s">
        <v>2759</v>
      </c>
      <c r="C2000" s="76"/>
      <c r="D2000" s="76" t="s">
        <v>2760</v>
      </c>
      <c r="E2000" s="218">
        <v>43374.0</v>
      </c>
      <c r="F2000" s="77">
        <v>43404.0</v>
      </c>
      <c r="G2000" s="79">
        <f t="shared" si="2"/>
        <v>0.9666666667</v>
      </c>
      <c r="H2000" s="90">
        <v>42585.0</v>
      </c>
      <c r="I2000" s="79">
        <f t="shared" si="3"/>
        <v>2.161111111</v>
      </c>
      <c r="J2000" s="106">
        <v>81.0</v>
      </c>
      <c r="K2000" s="106">
        <v>7.0</v>
      </c>
      <c r="L2000" s="82" t="s">
        <v>105</v>
      </c>
      <c r="M2000" s="82"/>
      <c r="N2000" s="82"/>
      <c r="O2000" s="82"/>
      <c r="P2000" s="107"/>
      <c r="Q2000" s="82"/>
      <c r="R2000" s="76"/>
      <c r="S2000" s="90"/>
      <c r="T2000" s="79"/>
      <c r="U2000" s="90"/>
      <c r="V2000" s="79"/>
    </row>
    <row r="2001">
      <c r="A2001" s="53" t="s">
        <v>3680</v>
      </c>
      <c r="B2001" s="54" t="s">
        <v>2984</v>
      </c>
      <c r="C2001" s="59"/>
      <c r="D2001" s="59" t="s">
        <v>2985</v>
      </c>
      <c r="E2001" s="133">
        <v>43374.0</v>
      </c>
      <c r="F2001" s="61">
        <v>43388.0</v>
      </c>
      <c r="G2001" s="65">
        <f t="shared" si="2"/>
        <v>0.4666666667</v>
      </c>
      <c r="H2001" s="88">
        <v>39351.0</v>
      </c>
      <c r="I2001" s="65">
        <f t="shared" si="3"/>
        <v>11.01388889</v>
      </c>
      <c r="J2001" s="121">
        <v>77.0</v>
      </c>
      <c r="K2001" s="121">
        <v>6.0</v>
      </c>
      <c r="L2001" s="69" t="s">
        <v>55</v>
      </c>
      <c r="M2001" s="69"/>
      <c r="N2001" s="69" t="s">
        <v>2761</v>
      </c>
      <c r="O2001" s="69"/>
      <c r="P2001" s="122"/>
      <c r="Q2001" s="69"/>
      <c r="R2001" s="59"/>
      <c r="S2001" s="88"/>
      <c r="T2001" s="65"/>
      <c r="U2001" s="88"/>
      <c r="V2001" s="65"/>
    </row>
    <row r="2002">
      <c r="A2002" s="74" t="s">
        <v>3681</v>
      </c>
      <c r="B2002" s="75" t="s">
        <v>2759</v>
      </c>
      <c r="C2002" s="76"/>
      <c r="D2002" s="76" t="s">
        <v>2760</v>
      </c>
      <c r="E2002" s="218">
        <v>43359.0</v>
      </c>
      <c r="F2002" s="77">
        <v>43388.0</v>
      </c>
      <c r="G2002" s="79">
        <f t="shared" si="2"/>
        <v>0.9666666667</v>
      </c>
      <c r="H2002" s="90">
        <v>42766.0</v>
      </c>
      <c r="I2002" s="79">
        <f t="shared" si="3"/>
        <v>1.627777778</v>
      </c>
      <c r="J2002" s="106">
        <v>72.0</v>
      </c>
      <c r="K2002" s="106">
        <v>5.0</v>
      </c>
      <c r="L2002" s="82" t="s">
        <v>37</v>
      </c>
      <c r="M2002" s="82"/>
      <c r="N2002" s="82"/>
      <c r="O2002" s="82"/>
      <c r="P2002" s="107"/>
      <c r="Q2002" s="82"/>
      <c r="R2002" s="76"/>
      <c r="S2002" s="90"/>
      <c r="T2002" s="79"/>
      <c r="U2002" s="90"/>
      <c r="V2002" s="79"/>
    </row>
    <row r="2003">
      <c r="A2003" s="53" t="s">
        <v>3682</v>
      </c>
      <c r="B2003" s="54" t="s">
        <v>129</v>
      </c>
      <c r="C2003" s="59"/>
      <c r="D2003" s="59" t="str">
        <f t="shared" ref="D2003:D2007" si="159">IF(E2003&gt;TODAY(),"Coming Soon",IF(F2003="","Active",IF(F2003&gt;TODAY(),"Leaving Soon","Removed")))</f>
        <v>Removed</v>
      </c>
      <c r="E2003" s="133">
        <v>43041.0</v>
      </c>
      <c r="F2003" s="133">
        <v>43374.0</v>
      </c>
      <c r="G2003" s="65">
        <f t="shared" si="2"/>
        <v>10.96666667</v>
      </c>
      <c r="H2003" s="88">
        <v>41842.0</v>
      </c>
      <c r="I2003" s="65">
        <f t="shared" si="3"/>
        <v>3.277777778</v>
      </c>
      <c r="J2003" s="121">
        <v>86.0</v>
      </c>
      <c r="K2003" s="121">
        <v>7.5</v>
      </c>
      <c r="L2003" s="91" t="s">
        <v>57</v>
      </c>
      <c r="M2003" s="91"/>
      <c r="N2003" s="91"/>
      <c r="O2003" s="91"/>
      <c r="P2003" s="134"/>
      <c r="Q2003" s="91"/>
      <c r="R2003" s="59"/>
      <c r="S2003" s="88"/>
      <c r="T2003" s="65"/>
      <c r="U2003" s="88"/>
      <c r="V2003" s="65"/>
    </row>
    <row r="2004">
      <c r="A2004" s="226" t="s">
        <v>3683</v>
      </c>
      <c r="B2004" s="75" t="s">
        <v>129</v>
      </c>
      <c r="C2004" s="76"/>
      <c r="D2004" s="76" t="str">
        <f t="shared" si="159"/>
        <v>Removed</v>
      </c>
      <c r="E2004" s="218">
        <v>43040.0</v>
      </c>
      <c r="F2004" s="218">
        <v>43374.0</v>
      </c>
      <c r="G2004" s="79">
        <f t="shared" si="2"/>
        <v>11</v>
      </c>
      <c r="H2004" s="90">
        <v>39713.0</v>
      </c>
      <c r="I2004" s="79">
        <f t="shared" si="3"/>
        <v>9.108333333</v>
      </c>
      <c r="J2004" s="106">
        <v>82.0</v>
      </c>
      <c r="K2004" s="106">
        <v>3.5</v>
      </c>
      <c r="L2004" s="82" t="s">
        <v>57</v>
      </c>
      <c r="M2004" s="83"/>
      <c r="N2004" s="83"/>
      <c r="O2004" s="83"/>
      <c r="P2004" s="219"/>
      <c r="Q2004" s="82" t="s">
        <v>1822</v>
      </c>
      <c r="R2004" s="76"/>
      <c r="S2004" s="90"/>
      <c r="T2004" s="79"/>
      <c r="U2004" s="90"/>
      <c r="V2004" s="79"/>
    </row>
    <row r="2005">
      <c r="A2005" s="207" t="s">
        <v>3345</v>
      </c>
      <c r="B2005" s="54" t="s">
        <v>129</v>
      </c>
      <c r="C2005" s="59"/>
      <c r="D2005" s="59" t="str">
        <f t="shared" si="159"/>
        <v>Removed</v>
      </c>
      <c r="E2005" s="133">
        <v>43040.0</v>
      </c>
      <c r="F2005" s="133">
        <v>43374.0</v>
      </c>
      <c r="G2005" s="65">
        <f t="shared" si="2"/>
        <v>11</v>
      </c>
      <c r="H2005" s="88">
        <v>37337.0</v>
      </c>
      <c r="I2005" s="65">
        <f t="shared" si="3"/>
        <v>15.60833333</v>
      </c>
      <c r="J2005" s="121">
        <v>82.0</v>
      </c>
      <c r="K2005" s="121">
        <v>11.0</v>
      </c>
      <c r="L2005" s="91" t="s">
        <v>41</v>
      </c>
      <c r="M2005" s="91"/>
      <c r="N2005" s="91"/>
      <c r="O2005" s="91"/>
      <c r="P2005" s="134"/>
      <c r="Q2005" s="69" t="s">
        <v>2841</v>
      </c>
      <c r="R2005" s="59"/>
      <c r="S2005" s="88"/>
      <c r="T2005" s="65"/>
      <c r="U2005" s="88"/>
      <c r="V2005" s="65"/>
    </row>
    <row r="2006">
      <c r="A2006" s="74" t="s">
        <v>3684</v>
      </c>
      <c r="B2006" s="75" t="s">
        <v>129</v>
      </c>
      <c r="C2006" s="76"/>
      <c r="D2006" s="76" t="str">
        <f t="shared" si="159"/>
        <v>Removed</v>
      </c>
      <c r="E2006" s="218">
        <v>43040.0</v>
      </c>
      <c r="F2006" s="218">
        <v>43374.0</v>
      </c>
      <c r="G2006" s="79">
        <f t="shared" si="2"/>
        <v>11</v>
      </c>
      <c r="H2006" s="90">
        <v>42124.0</v>
      </c>
      <c r="I2006" s="79">
        <f t="shared" si="3"/>
        <v>2.502777778</v>
      </c>
      <c r="J2006" s="106">
        <v>77.0</v>
      </c>
      <c r="K2006" s="106">
        <v>8.0</v>
      </c>
      <c r="L2006" s="82" t="s">
        <v>37</v>
      </c>
      <c r="M2006" s="83"/>
      <c r="N2006" s="83"/>
      <c r="O2006" s="83"/>
      <c r="P2006" s="219"/>
      <c r="Q2006" s="83"/>
      <c r="R2006" s="76"/>
      <c r="S2006" s="90"/>
      <c r="T2006" s="79"/>
      <c r="U2006" s="90"/>
      <c r="V2006" s="79"/>
    </row>
    <row r="2007">
      <c r="A2007" s="207" t="s">
        <v>3685</v>
      </c>
      <c r="B2007" s="54" t="s">
        <v>129</v>
      </c>
      <c r="C2007" s="59"/>
      <c r="D2007" s="59" t="str">
        <f t="shared" si="159"/>
        <v>Removed</v>
      </c>
      <c r="E2007" s="133">
        <v>43040.0</v>
      </c>
      <c r="F2007" s="133">
        <v>43374.0</v>
      </c>
      <c r="G2007" s="65">
        <f t="shared" si="2"/>
        <v>11</v>
      </c>
      <c r="H2007" s="88">
        <v>42038.0</v>
      </c>
      <c r="I2007" s="65">
        <f t="shared" si="3"/>
        <v>2.744444444</v>
      </c>
      <c r="J2007" s="121">
        <v>80.0</v>
      </c>
      <c r="K2007" s="121">
        <v>7.0</v>
      </c>
      <c r="L2007" s="69" t="s">
        <v>81</v>
      </c>
      <c r="M2007" s="91"/>
      <c r="N2007" s="91"/>
      <c r="O2007" s="91"/>
      <c r="P2007" s="134"/>
      <c r="Q2007" s="91"/>
      <c r="R2007" s="59"/>
      <c r="S2007" s="88"/>
      <c r="T2007" s="65"/>
      <c r="U2007" s="88"/>
      <c r="V2007" s="65"/>
    </row>
    <row r="2008">
      <c r="A2008" s="74" t="s">
        <v>3686</v>
      </c>
      <c r="B2008" s="75" t="s">
        <v>2984</v>
      </c>
      <c r="C2008" s="76"/>
      <c r="D2008" s="76" t="s">
        <v>2985</v>
      </c>
      <c r="E2008" s="218">
        <v>43359.0</v>
      </c>
      <c r="F2008" s="77">
        <v>43373.0</v>
      </c>
      <c r="G2008" s="79">
        <f t="shared" si="2"/>
        <v>0.4666666667</v>
      </c>
      <c r="H2008" s="90">
        <v>41744.0</v>
      </c>
      <c r="I2008" s="79">
        <f t="shared" si="3"/>
        <v>4.419444444</v>
      </c>
      <c r="J2008" s="106">
        <v>75.0</v>
      </c>
      <c r="K2008" s="106">
        <v>5.0</v>
      </c>
      <c r="L2008" s="82" t="s">
        <v>354</v>
      </c>
      <c r="M2008" s="82"/>
      <c r="N2008" s="82" t="s">
        <v>2761</v>
      </c>
      <c r="O2008" s="82"/>
      <c r="P2008" s="107"/>
      <c r="Q2008" s="82"/>
      <c r="R2008" s="76"/>
      <c r="S2008" s="90"/>
      <c r="T2008" s="79"/>
      <c r="U2008" s="90"/>
      <c r="V2008" s="79"/>
    </row>
    <row r="2009">
      <c r="A2009" s="53" t="s">
        <v>3150</v>
      </c>
      <c r="B2009" s="54" t="s">
        <v>2759</v>
      </c>
      <c r="C2009" s="59"/>
      <c r="D2009" s="59" t="s">
        <v>2760</v>
      </c>
      <c r="E2009" s="133">
        <v>43344.0</v>
      </c>
      <c r="F2009" s="61">
        <v>43373.0</v>
      </c>
      <c r="G2009" s="65">
        <f t="shared" si="2"/>
        <v>0.9666666667</v>
      </c>
      <c r="H2009" s="88">
        <v>42650.0</v>
      </c>
      <c r="I2009" s="65">
        <f t="shared" si="3"/>
        <v>1.9</v>
      </c>
      <c r="J2009" s="121">
        <v>79.0</v>
      </c>
      <c r="K2009" s="121">
        <v>17.0</v>
      </c>
      <c r="L2009" s="69" t="s">
        <v>64</v>
      </c>
      <c r="M2009" s="69"/>
      <c r="N2009" s="69"/>
      <c r="O2009" s="69"/>
      <c r="P2009" s="122"/>
      <c r="Q2009" s="69"/>
      <c r="R2009" s="59"/>
      <c r="S2009" s="88"/>
      <c r="T2009" s="65"/>
      <c r="U2009" s="88"/>
      <c r="V2009" s="65"/>
    </row>
    <row r="2010">
      <c r="A2010" s="74" t="s">
        <v>3687</v>
      </c>
      <c r="B2010" s="75" t="s">
        <v>2984</v>
      </c>
      <c r="C2010" s="76"/>
      <c r="D2010" s="76" t="s">
        <v>2985</v>
      </c>
      <c r="E2010" s="218">
        <v>43344.0</v>
      </c>
      <c r="F2010" s="77">
        <v>43358.0</v>
      </c>
      <c r="G2010" s="79">
        <f t="shared" si="2"/>
        <v>0.4666666667</v>
      </c>
      <c r="H2010" s="90">
        <v>40782.0</v>
      </c>
      <c r="I2010" s="79">
        <f t="shared" si="3"/>
        <v>7.011111111</v>
      </c>
      <c r="J2010" s="106">
        <v>80.0</v>
      </c>
      <c r="K2010" s="106">
        <v>7.0</v>
      </c>
      <c r="L2010" s="82" t="s">
        <v>41</v>
      </c>
      <c r="M2010" s="82"/>
      <c r="N2010" s="82" t="s">
        <v>2761</v>
      </c>
      <c r="O2010" s="82"/>
      <c r="P2010" s="107"/>
      <c r="Q2010" s="82"/>
      <c r="R2010" s="76"/>
      <c r="S2010" s="90"/>
      <c r="T2010" s="79"/>
      <c r="U2010" s="90"/>
      <c r="V2010" s="79"/>
    </row>
    <row r="2011">
      <c r="A2011" s="53" t="s">
        <v>3688</v>
      </c>
      <c r="B2011" s="54" t="s">
        <v>2759</v>
      </c>
      <c r="C2011" s="59"/>
      <c r="D2011" s="59" t="s">
        <v>2760</v>
      </c>
      <c r="E2011" s="133">
        <v>43328.0</v>
      </c>
      <c r="F2011" s="61">
        <v>43358.0</v>
      </c>
      <c r="G2011" s="65">
        <f t="shared" si="2"/>
        <v>0.9666666667</v>
      </c>
      <c r="H2011" s="88">
        <v>42780.0</v>
      </c>
      <c r="I2011" s="65">
        <f t="shared" si="3"/>
        <v>1.505555556</v>
      </c>
      <c r="J2011" s="121">
        <v>79.0</v>
      </c>
      <c r="K2011" s="121">
        <v>6.0</v>
      </c>
      <c r="L2011" s="69" t="s">
        <v>41</v>
      </c>
      <c r="M2011" s="69" t="s">
        <v>72</v>
      </c>
      <c r="N2011" s="69" t="s">
        <v>2761</v>
      </c>
      <c r="O2011" s="69"/>
      <c r="P2011" s="122"/>
      <c r="Q2011" s="69"/>
      <c r="R2011" s="59"/>
      <c r="S2011" s="88"/>
      <c r="T2011" s="65"/>
      <c r="U2011" s="88"/>
      <c r="V2011" s="65"/>
    </row>
    <row r="2012">
      <c r="A2012" s="74" t="s">
        <v>3689</v>
      </c>
      <c r="B2012" s="75" t="s">
        <v>129</v>
      </c>
      <c r="C2012" s="76"/>
      <c r="D2012" s="76" t="str">
        <f t="shared" ref="D2012:D2015" si="160">IF(E2012&gt;TODAY(),"Coming Soon",IF(F2012="","Active",IF(F2012&gt;TODAY(),"Leaving Soon","Removed")))</f>
        <v>Removed</v>
      </c>
      <c r="E2012" s="218">
        <v>43009.0</v>
      </c>
      <c r="F2012" s="218">
        <v>43344.0</v>
      </c>
      <c r="G2012" s="79">
        <f t="shared" si="2"/>
        <v>11</v>
      </c>
      <c r="H2012" s="90">
        <v>41255.0</v>
      </c>
      <c r="I2012" s="79">
        <f t="shared" si="3"/>
        <v>4.802777778</v>
      </c>
      <c r="J2012" s="106">
        <v>81.0</v>
      </c>
      <c r="K2012" s="106">
        <v>5.5</v>
      </c>
      <c r="L2012" s="83" t="s">
        <v>57</v>
      </c>
      <c r="M2012" s="83"/>
      <c r="N2012" s="83"/>
      <c r="O2012" s="83"/>
      <c r="P2012" s="219"/>
      <c r="Q2012" s="83"/>
      <c r="R2012" s="76"/>
      <c r="S2012" s="90"/>
      <c r="T2012" s="79"/>
      <c r="U2012" s="90"/>
      <c r="V2012" s="79"/>
    </row>
    <row r="2013">
      <c r="A2013" s="207" t="s">
        <v>3373</v>
      </c>
      <c r="B2013" s="54" t="s">
        <v>129</v>
      </c>
      <c r="C2013" s="59"/>
      <c r="D2013" s="59" t="str">
        <f t="shared" si="160"/>
        <v>Removed</v>
      </c>
      <c r="E2013" s="133">
        <v>43009.0</v>
      </c>
      <c r="F2013" s="133">
        <v>43344.0</v>
      </c>
      <c r="G2013" s="65">
        <f t="shared" si="2"/>
        <v>11</v>
      </c>
      <c r="H2013" s="88">
        <v>42024.0</v>
      </c>
      <c r="I2013" s="65">
        <f t="shared" si="3"/>
        <v>2.697222222</v>
      </c>
      <c r="J2013" s="121">
        <v>65.0</v>
      </c>
      <c r="K2013" s="121">
        <v>4.0</v>
      </c>
      <c r="L2013" s="69" t="s">
        <v>37</v>
      </c>
      <c r="M2013" s="91"/>
      <c r="N2013" s="91"/>
      <c r="O2013" s="91"/>
      <c r="P2013" s="134"/>
      <c r="Q2013" s="91"/>
      <c r="R2013" s="59"/>
      <c r="S2013" s="88"/>
      <c r="T2013" s="65"/>
      <c r="U2013" s="88"/>
      <c r="V2013" s="65"/>
    </row>
    <row r="2014">
      <c r="A2014" s="226" t="s">
        <v>3690</v>
      </c>
      <c r="B2014" s="75" t="s">
        <v>129</v>
      </c>
      <c r="C2014" s="76"/>
      <c r="D2014" s="76" t="str">
        <f t="shared" si="160"/>
        <v>Removed</v>
      </c>
      <c r="E2014" s="218">
        <v>43009.0</v>
      </c>
      <c r="F2014" s="218">
        <v>43344.0</v>
      </c>
      <c r="G2014" s="79">
        <f t="shared" si="2"/>
        <v>11</v>
      </c>
      <c r="H2014" s="90">
        <v>42388.0</v>
      </c>
      <c r="I2014" s="79">
        <f t="shared" si="3"/>
        <v>1.7</v>
      </c>
      <c r="J2014" s="106">
        <v>80.0</v>
      </c>
      <c r="K2014" s="106">
        <v>2.0</v>
      </c>
      <c r="L2014" s="82" t="s">
        <v>37</v>
      </c>
      <c r="M2014" s="83"/>
      <c r="N2014" s="83"/>
      <c r="O2014" s="83"/>
      <c r="P2014" s="219"/>
      <c r="Q2014" s="83"/>
      <c r="R2014" s="76"/>
      <c r="S2014" s="90"/>
      <c r="T2014" s="79"/>
      <c r="U2014" s="90"/>
      <c r="V2014" s="79"/>
    </row>
    <row r="2015">
      <c r="A2015" s="207" t="s">
        <v>3691</v>
      </c>
      <c r="B2015" s="54" t="s">
        <v>129</v>
      </c>
      <c r="C2015" s="59"/>
      <c r="D2015" s="59" t="str">
        <f t="shared" si="160"/>
        <v>Removed</v>
      </c>
      <c r="E2015" s="133">
        <v>43009.0</v>
      </c>
      <c r="F2015" s="133">
        <v>43344.0</v>
      </c>
      <c r="G2015" s="65">
        <f t="shared" si="2"/>
        <v>11</v>
      </c>
      <c r="H2015" s="88">
        <v>41702.0</v>
      </c>
      <c r="I2015" s="65">
        <f t="shared" si="3"/>
        <v>3.575</v>
      </c>
      <c r="J2015" s="121">
        <v>71.0</v>
      </c>
      <c r="K2015" s="121">
        <v>2.5</v>
      </c>
      <c r="L2015" s="69" t="s">
        <v>37</v>
      </c>
      <c r="M2015" s="91"/>
      <c r="N2015" s="91"/>
      <c r="O2015" s="91"/>
      <c r="P2015" s="134"/>
      <c r="Q2015" s="91"/>
      <c r="R2015" s="59"/>
      <c r="S2015" s="88"/>
      <c r="T2015" s="65"/>
      <c r="U2015" s="88"/>
      <c r="V2015" s="65"/>
    </row>
    <row r="2016">
      <c r="A2016" s="74" t="s">
        <v>3692</v>
      </c>
      <c r="B2016" s="75" t="s">
        <v>2984</v>
      </c>
      <c r="C2016" s="76"/>
      <c r="D2016" s="76" t="s">
        <v>2985</v>
      </c>
      <c r="E2016" s="218">
        <v>43328.0</v>
      </c>
      <c r="F2016" s="77">
        <v>43343.0</v>
      </c>
      <c r="G2016" s="79">
        <f t="shared" si="2"/>
        <v>0.4666666667</v>
      </c>
      <c r="H2016" s="90">
        <v>41231.0</v>
      </c>
      <c r="I2016" s="79">
        <f t="shared" si="3"/>
        <v>5.744444444</v>
      </c>
      <c r="J2016" s="106">
        <v>63.0</v>
      </c>
      <c r="K2016" s="106">
        <v>8.0</v>
      </c>
      <c r="L2016" s="82" t="s">
        <v>57</v>
      </c>
      <c r="M2016" s="82"/>
      <c r="N2016" s="82" t="s">
        <v>2761</v>
      </c>
      <c r="O2016" s="82"/>
      <c r="P2016" s="107"/>
      <c r="Q2016" s="82"/>
      <c r="R2016" s="76"/>
      <c r="S2016" s="90"/>
      <c r="T2016" s="79"/>
      <c r="U2016" s="90"/>
      <c r="V2016" s="79"/>
    </row>
    <row r="2017">
      <c r="A2017" s="53" t="s">
        <v>3693</v>
      </c>
      <c r="B2017" s="54" t="s">
        <v>2759</v>
      </c>
      <c r="C2017" s="59"/>
      <c r="D2017" s="59" t="s">
        <v>2760</v>
      </c>
      <c r="E2017" s="133">
        <v>43313.0</v>
      </c>
      <c r="F2017" s="61">
        <v>43343.0</v>
      </c>
      <c r="G2017" s="65">
        <f t="shared" si="2"/>
        <v>0.9666666667</v>
      </c>
      <c r="H2017" s="88">
        <v>41912.0</v>
      </c>
      <c r="I2017" s="65">
        <f t="shared" si="3"/>
        <v>3.836111111</v>
      </c>
      <c r="J2017" s="121">
        <v>86.0</v>
      </c>
      <c r="K2017" s="121">
        <v>18.0</v>
      </c>
      <c r="L2017" s="69" t="s">
        <v>55</v>
      </c>
      <c r="M2017" s="69"/>
      <c r="N2017" s="69"/>
      <c r="O2017" s="69"/>
      <c r="P2017" s="122"/>
      <c r="Q2017" s="69"/>
      <c r="R2017" s="59"/>
      <c r="S2017" s="88"/>
      <c r="T2017" s="65"/>
      <c r="U2017" s="88"/>
      <c r="V2017" s="65"/>
    </row>
    <row r="2018">
      <c r="A2018" s="74" t="s">
        <v>1849</v>
      </c>
      <c r="B2018" s="75" t="s">
        <v>2984</v>
      </c>
      <c r="C2018" s="76"/>
      <c r="D2018" s="76" t="s">
        <v>2985</v>
      </c>
      <c r="E2018" s="218">
        <v>43313.0</v>
      </c>
      <c r="F2018" s="77">
        <v>43327.0</v>
      </c>
      <c r="G2018" s="79">
        <f t="shared" si="2"/>
        <v>0.4666666667</v>
      </c>
      <c r="H2018" s="90">
        <v>41310.0</v>
      </c>
      <c r="I2018" s="79">
        <f t="shared" si="3"/>
        <v>5.488888889</v>
      </c>
      <c r="J2018" s="106">
        <v>74.0</v>
      </c>
      <c r="K2018" s="106">
        <v>11.0</v>
      </c>
      <c r="L2018" s="82" t="s">
        <v>41</v>
      </c>
      <c r="M2018" s="82"/>
      <c r="N2018" s="82" t="s">
        <v>2761</v>
      </c>
      <c r="O2018" s="82"/>
      <c r="P2018" s="107"/>
      <c r="Q2018" s="82"/>
      <c r="R2018" s="76"/>
      <c r="S2018" s="90"/>
      <c r="T2018" s="79"/>
      <c r="U2018" s="90"/>
      <c r="V2018" s="79"/>
    </row>
    <row r="2019">
      <c r="A2019" s="53" t="s">
        <v>3359</v>
      </c>
      <c r="B2019" s="54" t="s">
        <v>2759</v>
      </c>
      <c r="C2019" s="59"/>
      <c r="D2019" s="59" t="s">
        <v>2760</v>
      </c>
      <c r="E2019" s="133">
        <v>43297.0</v>
      </c>
      <c r="F2019" s="61">
        <v>43327.0</v>
      </c>
      <c r="G2019" s="65">
        <f t="shared" si="2"/>
        <v>0.9666666667</v>
      </c>
      <c r="H2019" s="88">
        <v>42822.0</v>
      </c>
      <c r="I2019" s="65">
        <f t="shared" si="3"/>
        <v>1.3</v>
      </c>
      <c r="J2019" s="121">
        <v>78.0</v>
      </c>
      <c r="K2019" s="121">
        <v>5.0</v>
      </c>
      <c r="L2019" s="69" t="s">
        <v>96</v>
      </c>
      <c r="M2019" s="69"/>
      <c r="N2019" s="69"/>
      <c r="O2019" s="69"/>
      <c r="P2019" s="122"/>
      <c r="Q2019" s="69"/>
      <c r="R2019" s="59"/>
      <c r="S2019" s="88"/>
      <c r="T2019" s="65"/>
      <c r="U2019" s="88"/>
      <c r="V2019" s="65"/>
    </row>
    <row r="2020">
      <c r="A2020" s="226" t="s">
        <v>3694</v>
      </c>
      <c r="B2020" s="75" t="s">
        <v>129</v>
      </c>
      <c r="C2020" s="76"/>
      <c r="D2020" s="76" t="str">
        <f t="shared" ref="D2020:D2026" si="161">IF(E2020&gt;TODAY(),"Coming Soon",IF(F2020="","Active",IF(F2020&gt;TODAY(),"Leaving Soon","Removed")))</f>
        <v>Removed</v>
      </c>
      <c r="E2020" s="218">
        <v>43221.0</v>
      </c>
      <c r="F2020" s="218">
        <v>43313.0</v>
      </c>
      <c r="G2020" s="79">
        <f t="shared" si="2"/>
        <v>3</v>
      </c>
      <c r="H2020" s="90">
        <v>42990.0</v>
      </c>
      <c r="I2020" s="79">
        <f t="shared" si="3"/>
        <v>0.6361111111</v>
      </c>
      <c r="J2020" s="106">
        <v>82.0</v>
      </c>
      <c r="K2020" s="106">
        <v>85.5</v>
      </c>
      <c r="L2020" s="83" t="s">
        <v>3174</v>
      </c>
      <c r="M2020" s="83"/>
      <c r="N2020" s="83"/>
      <c r="O2020" s="83"/>
      <c r="P2020" s="219"/>
      <c r="Q2020" s="83"/>
      <c r="R2020" s="76"/>
      <c r="S2020" s="90"/>
      <c r="T2020" s="79"/>
      <c r="U2020" s="90"/>
      <c r="V2020" s="79"/>
    </row>
    <row r="2021">
      <c r="A2021" s="207" t="s">
        <v>3695</v>
      </c>
      <c r="B2021" s="54" t="s">
        <v>129</v>
      </c>
      <c r="C2021" s="59"/>
      <c r="D2021" s="59" t="str">
        <f t="shared" si="161"/>
        <v>Removed</v>
      </c>
      <c r="E2021" s="133">
        <v>42979.0</v>
      </c>
      <c r="F2021" s="133">
        <v>43313.0</v>
      </c>
      <c r="G2021" s="65">
        <f t="shared" si="2"/>
        <v>11</v>
      </c>
      <c r="H2021" s="88">
        <v>42570.0</v>
      </c>
      <c r="I2021" s="65">
        <f t="shared" si="3"/>
        <v>1.116666667</v>
      </c>
      <c r="J2021" s="121">
        <v>82.0</v>
      </c>
      <c r="K2021" s="121">
        <v>2.0</v>
      </c>
      <c r="L2021" s="69" t="s">
        <v>57</v>
      </c>
      <c r="M2021" s="91"/>
      <c r="N2021" s="91"/>
      <c r="O2021" s="91"/>
      <c r="P2021" s="134"/>
      <c r="Q2021" s="91"/>
      <c r="R2021" s="59"/>
      <c r="S2021" s="88"/>
      <c r="T2021" s="65"/>
      <c r="U2021" s="88"/>
      <c r="V2021" s="65"/>
    </row>
    <row r="2022">
      <c r="A2022" s="226" t="s">
        <v>3696</v>
      </c>
      <c r="B2022" s="75" t="s">
        <v>129</v>
      </c>
      <c r="C2022" s="76"/>
      <c r="D2022" s="76" t="str">
        <f t="shared" si="161"/>
        <v>Removed</v>
      </c>
      <c r="E2022" s="218">
        <v>42979.0</v>
      </c>
      <c r="F2022" s="218">
        <v>43313.0</v>
      </c>
      <c r="G2022" s="79">
        <f t="shared" si="2"/>
        <v>11</v>
      </c>
      <c r="H2022" s="90">
        <v>41327.0</v>
      </c>
      <c r="I2022" s="79">
        <f t="shared" si="3"/>
        <v>4.525</v>
      </c>
      <c r="J2022" s="106">
        <v>72.0</v>
      </c>
      <c r="K2022" s="106">
        <v>4.0</v>
      </c>
      <c r="L2022" s="82" t="s">
        <v>57</v>
      </c>
      <c r="M2022" s="83"/>
      <c r="N2022" s="83"/>
      <c r="O2022" s="83"/>
      <c r="P2022" s="219"/>
      <c r="Q2022" s="83"/>
      <c r="R2022" s="76"/>
      <c r="S2022" s="90"/>
      <c r="T2022" s="79"/>
      <c r="U2022" s="90"/>
      <c r="V2022" s="79"/>
    </row>
    <row r="2023">
      <c r="A2023" s="207" t="s">
        <v>3697</v>
      </c>
      <c r="B2023" s="54" t="s">
        <v>129</v>
      </c>
      <c r="C2023" s="59"/>
      <c r="D2023" s="59" t="str">
        <f t="shared" si="161"/>
        <v>Removed</v>
      </c>
      <c r="E2023" s="133">
        <v>42887.0</v>
      </c>
      <c r="F2023" s="133">
        <v>43313.0</v>
      </c>
      <c r="G2023" s="65">
        <f t="shared" si="2"/>
        <v>14</v>
      </c>
      <c r="H2023" s="88">
        <v>40722.0</v>
      </c>
      <c r="I2023" s="65">
        <f t="shared" si="3"/>
        <v>5.925</v>
      </c>
      <c r="J2023" s="121">
        <v>74.0</v>
      </c>
      <c r="K2023" s="121">
        <v>1.5</v>
      </c>
      <c r="L2023" s="69" t="s">
        <v>37</v>
      </c>
      <c r="M2023" s="91"/>
      <c r="N2023" s="91"/>
      <c r="O2023" s="91"/>
      <c r="P2023" s="134"/>
      <c r="Q2023" s="91"/>
      <c r="R2023" s="59"/>
      <c r="S2023" s="88"/>
      <c r="T2023" s="65"/>
      <c r="U2023" s="88"/>
      <c r="V2023" s="65"/>
    </row>
    <row r="2024">
      <c r="A2024" s="226" t="s">
        <v>3698</v>
      </c>
      <c r="B2024" s="75" t="s">
        <v>129</v>
      </c>
      <c r="C2024" s="76"/>
      <c r="D2024" s="76" t="str">
        <f t="shared" si="161"/>
        <v>Removed</v>
      </c>
      <c r="E2024" s="218">
        <v>42887.0</v>
      </c>
      <c r="F2024" s="218">
        <v>43313.0</v>
      </c>
      <c r="G2024" s="79">
        <f t="shared" si="2"/>
        <v>14</v>
      </c>
      <c r="H2024" s="90">
        <v>41695.0</v>
      </c>
      <c r="I2024" s="79">
        <f t="shared" si="3"/>
        <v>3.266666667</v>
      </c>
      <c r="J2024" s="106">
        <v>64.0</v>
      </c>
      <c r="K2024" s="106">
        <v>3.0</v>
      </c>
      <c r="L2024" s="83" t="s">
        <v>354</v>
      </c>
      <c r="M2024" s="83"/>
      <c r="N2024" s="83"/>
      <c r="O2024" s="83"/>
      <c r="P2024" s="219"/>
      <c r="Q2024" s="83"/>
      <c r="R2024" s="76"/>
      <c r="S2024" s="90"/>
      <c r="T2024" s="79"/>
      <c r="U2024" s="90"/>
      <c r="V2024" s="79"/>
    </row>
    <row r="2025">
      <c r="A2025" s="207" t="s">
        <v>3699</v>
      </c>
      <c r="B2025" s="54" t="s">
        <v>129</v>
      </c>
      <c r="C2025" s="59"/>
      <c r="D2025" s="59" t="str">
        <f t="shared" si="161"/>
        <v>Removed</v>
      </c>
      <c r="E2025" s="133">
        <v>42887.0</v>
      </c>
      <c r="F2025" s="133">
        <v>43313.0</v>
      </c>
      <c r="G2025" s="65">
        <f t="shared" si="2"/>
        <v>14</v>
      </c>
      <c r="H2025" s="88">
        <v>41597.0</v>
      </c>
      <c r="I2025" s="65">
        <f t="shared" si="3"/>
        <v>3.533333333</v>
      </c>
      <c r="J2025" s="121">
        <v>76.0</v>
      </c>
      <c r="K2025" s="121">
        <v>3.0</v>
      </c>
      <c r="L2025" s="91" t="s">
        <v>52</v>
      </c>
      <c r="M2025" s="91"/>
      <c r="N2025" s="91"/>
      <c r="O2025" s="91"/>
      <c r="P2025" s="134"/>
      <c r="Q2025" s="91"/>
      <c r="R2025" s="59"/>
      <c r="S2025" s="88"/>
      <c r="T2025" s="65"/>
      <c r="U2025" s="88"/>
      <c r="V2025" s="65"/>
    </row>
    <row r="2026">
      <c r="A2026" s="226" t="s">
        <v>3554</v>
      </c>
      <c r="B2026" s="75" t="s">
        <v>129</v>
      </c>
      <c r="C2026" s="76"/>
      <c r="D2026" s="76" t="str">
        <f t="shared" si="161"/>
        <v>Removed</v>
      </c>
      <c r="E2026" s="218">
        <v>42887.0</v>
      </c>
      <c r="F2026" s="218">
        <v>43313.0</v>
      </c>
      <c r="G2026" s="79">
        <f t="shared" si="2"/>
        <v>14</v>
      </c>
      <c r="H2026" s="90">
        <v>40797.0</v>
      </c>
      <c r="I2026" s="79">
        <f t="shared" si="3"/>
        <v>5.722222222</v>
      </c>
      <c r="J2026" s="106">
        <v>83.0</v>
      </c>
      <c r="K2026" s="106">
        <v>1.5</v>
      </c>
      <c r="L2026" s="83" t="s">
        <v>52</v>
      </c>
      <c r="M2026" s="83"/>
      <c r="N2026" s="83"/>
      <c r="O2026" s="83"/>
      <c r="P2026" s="219"/>
      <c r="Q2026" s="83"/>
      <c r="R2026" s="76"/>
      <c r="S2026" s="90"/>
      <c r="T2026" s="79"/>
      <c r="U2026" s="90"/>
      <c r="V2026" s="79"/>
    </row>
    <row r="2027">
      <c r="A2027" s="53" t="s">
        <v>3700</v>
      </c>
      <c r="B2027" s="54" t="s">
        <v>2984</v>
      </c>
      <c r="C2027" s="59"/>
      <c r="D2027" s="59" t="s">
        <v>2985</v>
      </c>
      <c r="E2027" s="133">
        <v>43297.0</v>
      </c>
      <c r="F2027" s="61">
        <v>43312.0</v>
      </c>
      <c r="G2027" s="65">
        <f t="shared" si="2"/>
        <v>0.4666666667</v>
      </c>
      <c r="H2027" s="88">
        <v>40270.0</v>
      </c>
      <c r="I2027" s="65">
        <f t="shared" si="3"/>
        <v>8.288888889</v>
      </c>
      <c r="J2027" s="121">
        <v>82.0</v>
      </c>
      <c r="K2027" s="121">
        <v>8.0</v>
      </c>
      <c r="L2027" s="69" t="s">
        <v>37</v>
      </c>
      <c r="M2027" s="69"/>
      <c r="N2027" s="69" t="s">
        <v>2761</v>
      </c>
      <c r="O2027" s="69"/>
      <c r="P2027" s="122"/>
      <c r="Q2027" s="69"/>
      <c r="R2027" s="59"/>
      <c r="S2027" s="88"/>
      <c r="T2027" s="65"/>
      <c r="U2027" s="88"/>
      <c r="V2027" s="65"/>
    </row>
    <row r="2028">
      <c r="A2028" s="74" t="s">
        <v>3701</v>
      </c>
      <c r="B2028" s="75" t="s">
        <v>2759</v>
      </c>
      <c r="C2028" s="76"/>
      <c r="D2028" s="76" t="s">
        <v>2760</v>
      </c>
      <c r="E2028" s="218">
        <v>43282.0</v>
      </c>
      <c r="F2028" s="77">
        <v>43312.0</v>
      </c>
      <c r="G2028" s="79">
        <f t="shared" si="2"/>
        <v>0.9666666667</v>
      </c>
      <c r="H2028" s="90">
        <v>42488.0</v>
      </c>
      <c r="I2028" s="79">
        <f t="shared" si="3"/>
        <v>2.175</v>
      </c>
      <c r="J2028" s="106">
        <v>82.0</v>
      </c>
      <c r="K2028" s="106">
        <v>5.0</v>
      </c>
      <c r="L2028" s="82" t="s">
        <v>41</v>
      </c>
      <c r="M2028" s="82"/>
      <c r="N2028" s="82" t="s">
        <v>2761</v>
      </c>
      <c r="O2028" s="82"/>
      <c r="P2028" s="107"/>
      <c r="Q2028" s="82"/>
      <c r="R2028" s="76"/>
      <c r="S2028" s="90"/>
      <c r="T2028" s="79"/>
      <c r="U2028" s="90"/>
      <c r="V2028" s="79"/>
    </row>
    <row r="2029">
      <c r="A2029" s="53" t="s">
        <v>3702</v>
      </c>
      <c r="B2029" s="54" t="s">
        <v>2984</v>
      </c>
      <c r="C2029" s="59"/>
      <c r="D2029" s="59" t="s">
        <v>2985</v>
      </c>
      <c r="E2029" s="133">
        <v>43282.0</v>
      </c>
      <c r="F2029" s="61">
        <v>43296.0</v>
      </c>
      <c r="G2029" s="65">
        <f t="shared" si="2"/>
        <v>0.4666666667</v>
      </c>
      <c r="H2029" s="88">
        <v>41149.0</v>
      </c>
      <c r="I2029" s="65">
        <f t="shared" si="3"/>
        <v>5.841666667</v>
      </c>
      <c r="J2029" s="121">
        <v>83.0</v>
      </c>
      <c r="K2029" s="121">
        <v>1.0</v>
      </c>
      <c r="L2029" s="69" t="s">
        <v>52</v>
      </c>
      <c r="M2029" s="69"/>
      <c r="N2029" s="69" t="s">
        <v>2761</v>
      </c>
      <c r="O2029" s="69"/>
      <c r="P2029" s="122"/>
      <c r="Q2029" s="69"/>
      <c r="R2029" s="59"/>
      <c r="S2029" s="88"/>
      <c r="T2029" s="65"/>
      <c r="U2029" s="88"/>
      <c r="V2029" s="65"/>
    </row>
    <row r="2030">
      <c r="A2030" s="74" t="s">
        <v>3703</v>
      </c>
      <c r="B2030" s="75" t="s">
        <v>2759</v>
      </c>
      <c r="C2030" s="76"/>
      <c r="D2030" s="76" t="s">
        <v>2760</v>
      </c>
      <c r="E2030" s="218">
        <v>43267.0</v>
      </c>
      <c r="F2030" s="77">
        <v>43296.0</v>
      </c>
      <c r="G2030" s="79">
        <f t="shared" si="2"/>
        <v>0.9666666667</v>
      </c>
      <c r="H2030" s="90">
        <v>42143.0</v>
      </c>
      <c r="I2030" s="79">
        <f t="shared" si="3"/>
        <v>3.075</v>
      </c>
      <c r="J2030" s="106">
        <v>78.0</v>
      </c>
      <c r="K2030" s="106">
        <v>8.0</v>
      </c>
      <c r="L2030" s="82" t="s">
        <v>2415</v>
      </c>
      <c r="M2030" s="82"/>
      <c r="N2030" s="82" t="s">
        <v>2761</v>
      </c>
      <c r="O2030" s="82"/>
      <c r="P2030" s="107"/>
      <c r="Q2030" s="82"/>
      <c r="R2030" s="76"/>
      <c r="S2030" s="90"/>
      <c r="T2030" s="79"/>
      <c r="U2030" s="90"/>
      <c r="V2030" s="79"/>
    </row>
    <row r="2031">
      <c r="A2031" s="53" t="s">
        <v>3679</v>
      </c>
      <c r="B2031" s="54" t="s">
        <v>129</v>
      </c>
      <c r="C2031" s="59"/>
      <c r="D2031" s="59" t="str">
        <f t="shared" ref="D2031:D2034" si="162">IF(E2031&gt;TODAY(),"Coming Soon",IF(F2031="","Active",IF(F2031&gt;TODAY(),"Leaving Soon","Removed")))</f>
        <v>Removed</v>
      </c>
      <c r="E2031" s="133">
        <v>43221.0</v>
      </c>
      <c r="F2031" s="133">
        <v>43282.0</v>
      </c>
      <c r="G2031" s="65">
        <f t="shared" si="2"/>
        <v>2</v>
      </c>
      <c r="H2031" s="88">
        <v>42585.0</v>
      </c>
      <c r="I2031" s="65">
        <f t="shared" si="3"/>
        <v>1.744444444</v>
      </c>
      <c r="J2031" s="121">
        <v>80.0</v>
      </c>
      <c r="K2031" s="121">
        <v>8.0</v>
      </c>
      <c r="L2031" s="69" t="s">
        <v>64</v>
      </c>
      <c r="M2031" s="69"/>
      <c r="N2031" s="69"/>
      <c r="O2031" s="69"/>
      <c r="P2031" s="122"/>
      <c r="Q2031" s="69"/>
      <c r="R2031" s="59"/>
      <c r="S2031" s="88"/>
      <c r="T2031" s="65"/>
      <c r="U2031" s="88"/>
      <c r="V2031" s="65"/>
    </row>
    <row r="2032">
      <c r="A2032" s="226" t="s">
        <v>3704</v>
      </c>
      <c r="B2032" s="75" t="s">
        <v>129</v>
      </c>
      <c r="C2032" s="76"/>
      <c r="D2032" s="76" t="str">
        <f t="shared" si="162"/>
        <v>Removed</v>
      </c>
      <c r="E2032" s="218">
        <v>42948.0</v>
      </c>
      <c r="F2032" s="218">
        <v>43282.0</v>
      </c>
      <c r="G2032" s="79">
        <f t="shared" si="2"/>
        <v>11</v>
      </c>
      <c r="H2032" s="90">
        <v>42488.0</v>
      </c>
      <c r="I2032" s="79">
        <f t="shared" si="3"/>
        <v>1.258333333</v>
      </c>
      <c r="J2032" s="106">
        <v>71.0</v>
      </c>
      <c r="K2032" s="106">
        <v>11.0</v>
      </c>
      <c r="L2032" s="82" t="s">
        <v>46</v>
      </c>
      <c r="M2032" s="82"/>
      <c r="N2032" s="82"/>
      <c r="O2032" s="82"/>
      <c r="P2032" s="107"/>
      <c r="Q2032" s="82"/>
      <c r="R2032" s="76"/>
      <c r="S2032" s="90"/>
      <c r="T2032" s="79"/>
      <c r="U2032" s="90"/>
      <c r="V2032" s="79"/>
    </row>
    <row r="2033">
      <c r="A2033" s="207" t="s">
        <v>3705</v>
      </c>
      <c r="B2033" s="54" t="s">
        <v>129</v>
      </c>
      <c r="C2033" s="59"/>
      <c r="D2033" s="59" t="str">
        <f t="shared" si="162"/>
        <v>Removed</v>
      </c>
      <c r="E2033" s="133">
        <v>42948.0</v>
      </c>
      <c r="F2033" s="133">
        <v>43282.0</v>
      </c>
      <c r="G2033" s="65">
        <f t="shared" si="2"/>
        <v>11</v>
      </c>
      <c r="H2033" s="88">
        <v>42201.0</v>
      </c>
      <c r="I2033" s="65">
        <f t="shared" si="3"/>
        <v>2.041666667</v>
      </c>
      <c r="J2033" s="121">
        <v>82.0</v>
      </c>
      <c r="K2033" s="121">
        <v>10.0</v>
      </c>
      <c r="L2033" s="69" t="s">
        <v>57</v>
      </c>
      <c r="M2033" s="91"/>
      <c r="N2033" s="91"/>
      <c r="O2033" s="91"/>
      <c r="P2033" s="134"/>
      <c r="Q2033" s="91"/>
      <c r="R2033" s="59"/>
      <c r="S2033" s="88"/>
      <c r="T2033" s="65"/>
      <c r="U2033" s="88"/>
      <c r="V2033" s="65"/>
    </row>
    <row r="2034">
      <c r="A2034" s="226" t="s">
        <v>3706</v>
      </c>
      <c r="B2034" s="75" t="s">
        <v>129</v>
      </c>
      <c r="C2034" s="76"/>
      <c r="D2034" s="76" t="str">
        <f t="shared" si="162"/>
        <v>Removed</v>
      </c>
      <c r="E2034" s="218">
        <v>42948.0</v>
      </c>
      <c r="F2034" s="218">
        <v>43282.0</v>
      </c>
      <c r="G2034" s="79">
        <f t="shared" si="2"/>
        <v>11</v>
      </c>
      <c r="H2034" s="90">
        <v>41351.0</v>
      </c>
      <c r="I2034" s="79">
        <f t="shared" si="3"/>
        <v>4.369444444</v>
      </c>
      <c r="J2034" s="106">
        <v>74.0</v>
      </c>
      <c r="K2034" s="106">
        <v>2.5</v>
      </c>
      <c r="L2034" s="82" t="s">
        <v>37</v>
      </c>
      <c r="M2034" s="82"/>
      <c r="N2034" s="82"/>
      <c r="O2034" s="82"/>
      <c r="P2034" s="107"/>
      <c r="Q2034" s="82"/>
      <c r="R2034" s="76"/>
      <c r="S2034" s="90"/>
      <c r="T2034" s="79"/>
      <c r="U2034" s="90"/>
      <c r="V2034" s="79"/>
    </row>
    <row r="2035">
      <c r="A2035" s="53" t="s">
        <v>3707</v>
      </c>
      <c r="B2035" s="54" t="s">
        <v>2984</v>
      </c>
      <c r="C2035" s="59"/>
      <c r="D2035" s="59" t="s">
        <v>2985</v>
      </c>
      <c r="E2035" s="133">
        <v>43267.0</v>
      </c>
      <c r="F2035" s="61">
        <v>43281.0</v>
      </c>
      <c r="G2035" s="65">
        <f t="shared" si="2"/>
        <v>0.4666666667</v>
      </c>
      <c r="H2035" s="88">
        <v>39982.0</v>
      </c>
      <c r="I2035" s="65">
        <f t="shared" si="3"/>
        <v>8.994444444</v>
      </c>
      <c r="J2035" s="121">
        <v>77.0</v>
      </c>
      <c r="K2035" s="121">
        <v>7.0</v>
      </c>
      <c r="L2035" s="69" t="s">
        <v>41</v>
      </c>
      <c r="M2035" s="69"/>
      <c r="N2035" s="69" t="s">
        <v>2761</v>
      </c>
      <c r="O2035" s="69"/>
      <c r="P2035" s="122"/>
      <c r="Q2035" s="69"/>
      <c r="R2035" s="59"/>
      <c r="S2035" s="88"/>
      <c r="T2035" s="65"/>
      <c r="U2035" s="88"/>
      <c r="V2035" s="65"/>
    </row>
    <row r="2036">
      <c r="A2036" s="74" t="s">
        <v>276</v>
      </c>
      <c r="B2036" s="75" t="s">
        <v>2759</v>
      </c>
      <c r="C2036" s="76"/>
      <c r="D2036" s="76" t="s">
        <v>2760</v>
      </c>
      <c r="E2036" s="218">
        <v>43252.0</v>
      </c>
      <c r="F2036" s="77">
        <v>43281.0</v>
      </c>
      <c r="G2036" s="79">
        <f t="shared" si="2"/>
        <v>0.9666666667</v>
      </c>
      <c r="H2036" s="90">
        <v>42440.0</v>
      </c>
      <c r="I2036" s="79">
        <f t="shared" si="3"/>
        <v>2.222222222</v>
      </c>
      <c r="J2036" s="106">
        <v>72.0</v>
      </c>
      <c r="K2036" s="106">
        <v>5.0</v>
      </c>
      <c r="L2036" s="82" t="s">
        <v>41</v>
      </c>
      <c r="M2036" s="82"/>
      <c r="N2036" s="82"/>
      <c r="O2036" s="82"/>
      <c r="P2036" s="107"/>
      <c r="Q2036" s="82"/>
      <c r="R2036" s="76"/>
      <c r="S2036" s="90"/>
      <c r="T2036" s="79"/>
      <c r="U2036" s="90"/>
      <c r="V2036" s="79"/>
    </row>
    <row r="2037">
      <c r="A2037" s="53" t="s">
        <v>3708</v>
      </c>
      <c r="B2037" s="54" t="s">
        <v>2984</v>
      </c>
      <c r="C2037" s="59"/>
      <c r="D2037" s="59" t="s">
        <v>2985</v>
      </c>
      <c r="E2037" s="133">
        <v>43252.0</v>
      </c>
      <c r="F2037" s="61">
        <v>43266.0</v>
      </c>
      <c r="G2037" s="65">
        <f t="shared" si="2"/>
        <v>0.4666666667</v>
      </c>
      <c r="H2037" s="88">
        <v>41196.0</v>
      </c>
      <c r="I2037" s="65">
        <f t="shared" si="3"/>
        <v>5.630555556</v>
      </c>
      <c r="J2037" s="121">
        <v>87.0</v>
      </c>
      <c r="K2037" s="121">
        <v>8.0</v>
      </c>
      <c r="L2037" s="69" t="s">
        <v>55</v>
      </c>
      <c r="M2037" s="69"/>
      <c r="N2037" s="69" t="s">
        <v>2761</v>
      </c>
      <c r="O2037" s="69"/>
      <c r="P2037" s="122"/>
      <c r="Q2037" s="69"/>
      <c r="R2037" s="59"/>
      <c r="S2037" s="88"/>
      <c r="T2037" s="65"/>
      <c r="U2037" s="88"/>
      <c r="V2037" s="65"/>
    </row>
    <row r="2038">
      <c r="A2038" s="74" t="s">
        <v>3440</v>
      </c>
      <c r="B2038" s="75" t="s">
        <v>2759</v>
      </c>
      <c r="C2038" s="76"/>
      <c r="D2038" s="76" t="s">
        <v>2760</v>
      </c>
      <c r="E2038" s="218">
        <v>43236.0</v>
      </c>
      <c r="F2038" s="77">
        <v>43266.0</v>
      </c>
      <c r="G2038" s="79">
        <f t="shared" si="2"/>
        <v>0.9666666667</v>
      </c>
      <c r="H2038" s="90">
        <v>42248.0</v>
      </c>
      <c r="I2038" s="79">
        <f t="shared" si="3"/>
        <v>2.708333333</v>
      </c>
      <c r="J2038" s="106">
        <v>91.0</v>
      </c>
      <c r="K2038" s="106">
        <v>45.0</v>
      </c>
      <c r="L2038" s="82" t="s">
        <v>41</v>
      </c>
      <c r="M2038" s="82"/>
      <c r="N2038" s="82"/>
      <c r="O2038" s="82"/>
      <c r="P2038" s="107"/>
      <c r="Q2038" s="82"/>
      <c r="R2038" s="76"/>
      <c r="S2038" s="90"/>
      <c r="T2038" s="79"/>
      <c r="U2038" s="90"/>
      <c r="V2038" s="79"/>
    </row>
    <row r="2039">
      <c r="A2039" s="207" t="s">
        <v>3709</v>
      </c>
      <c r="B2039" s="54" t="s">
        <v>129</v>
      </c>
      <c r="C2039" s="59"/>
      <c r="D2039" s="59" t="str">
        <f t="shared" ref="D2039:D2042" si="163">IF(E2039&gt;TODAY(),"Coming Soon",IF(F2039="","Active",IF(F2039&gt;TODAY(),"Leaving Soon","Removed")))</f>
        <v>Removed</v>
      </c>
      <c r="E2039" s="133">
        <v>43206.0</v>
      </c>
      <c r="F2039" s="133">
        <v>43252.0</v>
      </c>
      <c r="G2039" s="65">
        <f t="shared" si="2"/>
        <v>1.5</v>
      </c>
      <c r="H2039" s="88">
        <v>40520.0</v>
      </c>
      <c r="I2039" s="65">
        <f t="shared" si="3"/>
        <v>7.355555556</v>
      </c>
      <c r="J2039" s="121">
        <v>70.0</v>
      </c>
      <c r="K2039" s="121">
        <v>1.0</v>
      </c>
      <c r="L2039" s="69" t="s">
        <v>105</v>
      </c>
      <c r="M2039" s="91"/>
      <c r="N2039" s="91"/>
      <c r="O2039" s="91"/>
      <c r="P2039" s="134"/>
      <c r="Q2039" s="91"/>
      <c r="R2039" s="59"/>
      <c r="S2039" s="88"/>
      <c r="T2039" s="65"/>
      <c r="U2039" s="88"/>
      <c r="V2039" s="65"/>
    </row>
    <row r="2040">
      <c r="A2040" s="74" t="s">
        <v>3710</v>
      </c>
      <c r="B2040" s="75" t="s">
        <v>129</v>
      </c>
      <c r="C2040" s="76"/>
      <c r="D2040" s="76" t="str">
        <f t="shared" si="163"/>
        <v>Removed</v>
      </c>
      <c r="E2040" s="218">
        <v>42917.0</v>
      </c>
      <c r="F2040" s="218">
        <v>43252.0</v>
      </c>
      <c r="G2040" s="79">
        <f t="shared" si="2"/>
        <v>11</v>
      </c>
      <c r="H2040" s="90">
        <v>42230.0</v>
      </c>
      <c r="I2040" s="79">
        <f t="shared" si="3"/>
        <v>1.880555556</v>
      </c>
      <c r="J2040" s="106">
        <v>63.0</v>
      </c>
      <c r="K2040" s="106">
        <v>5.0</v>
      </c>
      <c r="L2040" s="83" t="s">
        <v>57</v>
      </c>
      <c r="M2040" s="83"/>
      <c r="N2040" s="83"/>
      <c r="O2040" s="83"/>
      <c r="P2040" s="219"/>
      <c r="Q2040" s="83"/>
      <c r="R2040" s="76"/>
      <c r="S2040" s="90"/>
      <c r="T2040" s="79"/>
      <c r="U2040" s="90"/>
      <c r="V2040" s="79"/>
    </row>
    <row r="2041">
      <c r="A2041" s="53" t="s">
        <v>3017</v>
      </c>
      <c r="B2041" s="54" t="s">
        <v>129</v>
      </c>
      <c r="C2041" s="59"/>
      <c r="D2041" s="59" t="str">
        <f t="shared" si="163"/>
        <v>Removed</v>
      </c>
      <c r="E2041" s="133">
        <v>42917.0</v>
      </c>
      <c r="F2041" s="133">
        <v>43252.0</v>
      </c>
      <c r="G2041" s="65">
        <f t="shared" si="2"/>
        <v>11</v>
      </c>
      <c r="H2041" s="88">
        <v>41388.0</v>
      </c>
      <c r="I2041" s="65">
        <f t="shared" si="3"/>
        <v>4.186111111</v>
      </c>
      <c r="J2041" s="121">
        <v>81.0</v>
      </c>
      <c r="K2041" s="121">
        <v>8.0</v>
      </c>
      <c r="L2041" s="69" t="s">
        <v>105</v>
      </c>
      <c r="M2041" s="91"/>
      <c r="N2041" s="91"/>
      <c r="O2041" s="91"/>
      <c r="P2041" s="134"/>
      <c r="Q2041" s="91"/>
      <c r="R2041" s="59"/>
      <c r="S2041" s="88"/>
      <c r="T2041" s="65"/>
      <c r="U2041" s="88"/>
      <c r="V2041" s="65"/>
    </row>
    <row r="2042">
      <c r="A2042" s="226" t="s">
        <v>3711</v>
      </c>
      <c r="B2042" s="75" t="s">
        <v>129</v>
      </c>
      <c r="C2042" s="76"/>
      <c r="D2042" s="76" t="str">
        <f t="shared" si="163"/>
        <v>Removed</v>
      </c>
      <c r="E2042" s="218">
        <v>42917.0</v>
      </c>
      <c r="F2042" s="218">
        <v>43252.0</v>
      </c>
      <c r="G2042" s="79">
        <f t="shared" si="2"/>
        <v>11</v>
      </c>
      <c r="H2042" s="90">
        <v>41184.0</v>
      </c>
      <c r="I2042" s="79">
        <f t="shared" si="3"/>
        <v>4.747222222</v>
      </c>
      <c r="J2042" s="106">
        <v>63.0</v>
      </c>
      <c r="K2042" s="106">
        <v>21.5</v>
      </c>
      <c r="L2042" s="82" t="s">
        <v>37</v>
      </c>
      <c r="M2042" s="83"/>
      <c r="N2042" s="83"/>
      <c r="O2042" s="83"/>
      <c r="P2042" s="219"/>
      <c r="Q2042" s="83"/>
      <c r="R2042" s="76"/>
      <c r="S2042" s="90"/>
      <c r="T2042" s="79"/>
      <c r="U2042" s="90"/>
      <c r="V2042" s="79"/>
    </row>
    <row r="2043">
      <c r="A2043" s="53" t="s">
        <v>3712</v>
      </c>
      <c r="B2043" s="54" t="s">
        <v>2984</v>
      </c>
      <c r="C2043" s="59"/>
      <c r="D2043" s="59" t="s">
        <v>2985</v>
      </c>
      <c r="E2043" s="133">
        <v>43236.0</v>
      </c>
      <c r="F2043" s="61">
        <v>43251.0</v>
      </c>
      <c r="G2043" s="65">
        <f t="shared" si="2"/>
        <v>0.4666666667</v>
      </c>
      <c r="H2043" s="88">
        <v>40470.0</v>
      </c>
      <c r="I2043" s="65">
        <f t="shared" si="3"/>
        <v>7.575</v>
      </c>
      <c r="J2043" s="121">
        <v>86.0</v>
      </c>
      <c r="K2043" s="121">
        <v>6.0</v>
      </c>
      <c r="L2043" s="69" t="s">
        <v>37</v>
      </c>
      <c r="M2043" s="69"/>
      <c r="N2043" s="69" t="s">
        <v>2761</v>
      </c>
      <c r="O2043" s="69"/>
      <c r="P2043" s="122"/>
      <c r="Q2043" s="69"/>
      <c r="R2043" s="59"/>
      <c r="S2043" s="88"/>
      <c r="T2043" s="65"/>
      <c r="U2043" s="88"/>
      <c r="V2043" s="65"/>
    </row>
    <row r="2044">
      <c r="A2044" s="74" t="s">
        <v>3713</v>
      </c>
      <c r="B2044" s="75" t="s">
        <v>2759</v>
      </c>
      <c r="C2044" s="76"/>
      <c r="D2044" s="76" t="s">
        <v>2760</v>
      </c>
      <c r="E2044" s="218">
        <v>43221.0</v>
      </c>
      <c r="F2044" s="77">
        <v>43251.0</v>
      </c>
      <c r="G2044" s="79">
        <f t="shared" si="2"/>
        <v>0.9666666667</v>
      </c>
      <c r="H2044" s="90">
        <v>43221.0</v>
      </c>
      <c r="I2044" s="79">
        <f t="shared" si="3"/>
        <v>0</v>
      </c>
      <c r="J2044" s="106">
        <v>83.0</v>
      </c>
      <c r="K2044" s="106">
        <v>12.0</v>
      </c>
      <c r="L2044" s="82" t="s">
        <v>62</v>
      </c>
      <c r="M2044" s="82"/>
      <c r="N2044" s="82" t="s">
        <v>2761</v>
      </c>
      <c r="O2044" s="82"/>
      <c r="P2044" s="107"/>
      <c r="Q2044" s="82"/>
      <c r="R2044" s="76"/>
      <c r="S2044" s="90"/>
      <c r="T2044" s="79"/>
      <c r="U2044" s="90"/>
      <c r="V2044" s="79"/>
    </row>
    <row r="2045">
      <c r="A2045" s="53" t="s">
        <v>3714</v>
      </c>
      <c r="B2045" s="54" t="s">
        <v>2984</v>
      </c>
      <c r="C2045" s="59"/>
      <c r="D2045" s="59" t="s">
        <v>2985</v>
      </c>
      <c r="E2045" s="133">
        <v>43221.0</v>
      </c>
      <c r="F2045" s="61">
        <v>43235.0</v>
      </c>
      <c r="G2045" s="65">
        <f t="shared" si="2"/>
        <v>0.4666666667</v>
      </c>
      <c r="H2045" s="88">
        <v>41514.0</v>
      </c>
      <c r="I2045" s="65">
        <f t="shared" si="3"/>
        <v>4.675</v>
      </c>
      <c r="J2045" s="121">
        <v>86.0</v>
      </c>
      <c r="K2045" s="121">
        <v>2.0</v>
      </c>
      <c r="L2045" s="69" t="s">
        <v>354</v>
      </c>
      <c r="M2045" s="69"/>
      <c r="N2045" s="69" t="s">
        <v>2761</v>
      </c>
      <c r="O2045" s="69"/>
      <c r="P2045" s="122"/>
      <c r="Q2045" s="69"/>
      <c r="R2045" s="59"/>
      <c r="S2045" s="88"/>
      <c r="T2045" s="65"/>
      <c r="U2045" s="88"/>
      <c r="V2045" s="65"/>
    </row>
    <row r="2046">
      <c r="A2046" s="74" t="s">
        <v>280</v>
      </c>
      <c r="B2046" s="75" t="s">
        <v>2759</v>
      </c>
      <c r="C2046" s="76"/>
      <c r="D2046" s="76" t="s">
        <v>2760</v>
      </c>
      <c r="E2046" s="218">
        <v>43206.0</v>
      </c>
      <c r="F2046" s="77">
        <v>43235.0</v>
      </c>
      <c r="G2046" s="79">
        <f t="shared" si="2"/>
        <v>0.9666666667</v>
      </c>
      <c r="H2046" s="90">
        <v>42300.0</v>
      </c>
      <c r="I2046" s="79">
        <f t="shared" si="3"/>
        <v>2.480555556</v>
      </c>
      <c r="J2046" s="106">
        <v>78.0</v>
      </c>
      <c r="K2046" s="106">
        <v>19.0</v>
      </c>
      <c r="L2046" s="82" t="s">
        <v>41</v>
      </c>
      <c r="M2046" s="82"/>
      <c r="N2046" s="82"/>
      <c r="O2046" s="82"/>
      <c r="P2046" s="107"/>
      <c r="Q2046" s="82"/>
      <c r="R2046" s="76"/>
      <c r="S2046" s="90"/>
      <c r="T2046" s="79"/>
      <c r="U2046" s="90"/>
      <c r="V2046" s="79"/>
    </row>
    <row r="2047">
      <c r="A2047" s="207" t="s">
        <v>3715</v>
      </c>
      <c r="B2047" s="54" t="s">
        <v>129</v>
      </c>
      <c r="C2047" s="59"/>
      <c r="D2047" s="59" t="str">
        <f t="shared" ref="D2047:D2071" si="164">IF(E2047&gt;TODAY(),"Coming Soon",IF(F2047="","Active",IF(F2047&gt;TODAY(),"Leaving Soon","Removed")))</f>
        <v>Removed</v>
      </c>
      <c r="E2047" s="133">
        <v>42887.0</v>
      </c>
      <c r="F2047" s="133">
        <v>43224.0</v>
      </c>
      <c r="G2047" s="65">
        <f t="shared" si="2"/>
        <v>11.1</v>
      </c>
      <c r="H2047" s="88">
        <v>41359.0</v>
      </c>
      <c r="I2047" s="65">
        <f t="shared" si="3"/>
        <v>4.180555556</v>
      </c>
      <c r="J2047" s="121">
        <v>93.0</v>
      </c>
      <c r="K2047" s="121">
        <v>11.5</v>
      </c>
      <c r="L2047" s="69" t="s">
        <v>37</v>
      </c>
      <c r="M2047" s="91"/>
      <c r="N2047" s="91"/>
      <c r="O2047" s="91"/>
      <c r="P2047" s="134"/>
      <c r="Q2047" s="91"/>
      <c r="R2047" s="59"/>
      <c r="S2047" s="88"/>
      <c r="T2047" s="65"/>
      <c r="U2047" s="88"/>
      <c r="V2047" s="65"/>
    </row>
    <row r="2048">
      <c r="A2048" s="226" t="s">
        <v>3716</v>
      </c>
      <c r="B2048" s="75" t="s">
        <v>129</v>
      </c>
      <c r="C2048" s="76"/>
      <c r="D2048" s="76" t="str">
        <f t="shared" si="164"/>
        <v>Removed</v>
      </c>
      <c r="E2048" s="218">
        <v>42887.0</v>
      </c>
      <c r="F2048" s="218">
        <v>43223.0</v>
      </c>
      <c r="G2048" s="79">
        <f t="shared" si="2"/>
        <v>11.06666667</v>
      </c>
      <c r="H2048" s="90">
        <v>40218.0</v>
      </c>
      <c r="I2048" s="79">
        <f t="shared" si="3"/>
        <v>7.311111111</v>
      </c>
      <c r="J2048" s="106">
        <v>88.0</v>
      </c>
      <c r="K2048" s="106">
        <v>11.0</v>
      </c>
      <c r="L2048" s="82" t="s">
        <v>37</v>
      </c>
      <c r="M2048" s="83"/>
      <c r="N2048" s="83"/>
      <c r="O2048" s="83"/>
      <c r="P2048" s="219"/>
      <c r="Q2048" s="268" t="s">
        <v>1822</v>
      </c>
      <c r="R2048" s="76"/>
      <c r="S2048" s="90"/>
      <c r="T2048" s="79"/>
      <c r="U2048" s="90"/>
      <c r="V2048" s="79"/>
    </row>
    <row r="2049">
      <c r="A2049" s="207" t="s">
        <v>3717</v>
      </c>
      <c r="B2049" s="54" t="s">
        <v>129</v>
      </c>
      <c r="C2049" s="59"/>
      <c r="D2049" s="59" t="str">
        <f t="shared" si="164"/>
        <v>Removed</v>
      </c>
      <c r="E2049" s="133">
        <v>42887.0</v>
      </c>
      <c r="F2049" s="133">
        <v>43222.0</v>
      </c>
      <c r="G2049" s="65">
        <f t="shared" si="2"/>
        <v>11.03333333</v>
      </c>
      <c r="H2049" s="88">
        <v>39315.0</v>
      </c>
      <c r="I2049" s="65">
        <f t="shared" si="3"/>
        <v>9.777777778</v>
      </c>
      <c r="J2049" s="121">
        <v>96.0</v>
      </c>
      <c r="K2049" s="121">
        <v>12.0</v>
      </c>
      <c r="L2049" s="69" t="s">
        <v>37</v>
      </c>
      <c r="M2049" s="91"/>
      <c r="N2049" s="91"/>
      <c r="O2049" s="91"/>
      <c r="P2049" s="134"/>
      <c r="Q2049" s="69" t="s">
        <v>1822</v>
      </c>
      <c r="R2049" s="59"/>
      <c r="S2049" s="88"/>
      <c r="T2049" s="65"/>
      <c r="U2049" s="88"/>
      <c r="V2049" s="65"/>
    </row>
    <row r="2050">
      <c r="A2050" s="226" t="s">
        <v>3718</v>
      </c>
      <c r="B2050" s="75" t="s">
        <v>129</v>
      </c>
      <c r="C2050" s="76"/>
      <c r="D2050" s="76" t="str">
        <f t="shared" si="164"/>
        <v>Removed</v>
      </c>
      <c r="E2050" s="218">
        <v>42887.0</v>
      </c>
      <c r="F2050" s="218">
        <v>43221.0</v>
      </c>
      <c r="G2050" s="79">
        <f t="shared" si="2"/>
        <v>11</v>
      </c>
      <c r="H2050" s="90">
        <v>39736.0</v>
      </c>
      <c r="I2050" s="79">
        <f t="shared" si="3"/>
        <v>8.627777778</v>
      </c>
      <c r="J2050" s="106">
        <v>76.0</v>
      </c>
      <c r="K2050" s="106">
        <v>8.0</v>
      </c>
      <c r="L2050" s="83" t="s">
        <v>1726</v>
      </c>
      <c r="M2050" s="83"/>
      <c r="N2050" s="83"/>
      <c r="O2050" s="83"/>
      <c r="P2050" s="219"/>
      <c r="Q2050" s="82" t="s">
        <v>1822</v>
      </c>
      <c r="R2050" s="76"/>
      <c r="S2050" s="90"/>
      <c r="T2050" s="79"/>
      <c r="U2050" s="90"/>
      <c r="V2050" s="79"/>
    </row>
    <row r="2051">
      <c r="A2051" s="207" t="s">
        <v>3719</v>
      </c>
      <c r="B2051" s="54" t="s">
        <v>129</v>
      </c>
      <c r="C2051" s="59"/>
      <c r="D2051" s="59" t="str">
        <f t="shared" si="164"/>
        <v>Removed</v>
      </c>
      <c r="E2051" s="133">
        <v>42887.0</v>
      </c>
      <c r="F2051" s="133">
        <v>43221.0</v>
      </c>
      <c r="G2051" s="65">
        <f t="shared" si="2"/>
        <v>11</v>
      </c>
      <c r="H2051" s="88">
        <v>40575.0</v>
      </c>
      <c r="I2051" s="65">
        <f t="shared" si="3"/>
        <v>6.333333333</v>
      </c>
      <c r="J2051" s="121">
        <v>62.0</v>
      </c>
      <c r="K2051" s="121">
        <v>5.5</v>
      </c>
      <c r="L2051" s="69" t="s">
        <v>57</v>
      </c>
      <c r="M2051" s="91"/>
      <c r="N2051" s="91"/>
      <c r="O2051" s="91"/>
      <c r="P2051" s="134"/>
      <c r="Q2051" s="91"/>
      <c r="R2051" s="59"/>
      <c r="S2051" s="88"/>
      <c r="T2051" s="65"/>
      <c r="U2051" s="88"/>
      <c r="V2051" s="65"/>
    </row>
    <row r="2052">
      <c r="A2052" s="226" t="s">
        <v>3720</v>
      </c>
      <c r="B2052" s="75" t="s">
        <v>129</v>
      </c>
      <c r="C2052" s="76"/>
      <c r="D2052" s="76" t="str">
        <f t="shared" si="164"/>
        <v>Removed</v>
      </c>
      <c r="E2052" s="218">
        <v>42887.0</v>
      </c>
      <c r="F2052" s="218">
        <v>43221.0</v>
      </c>
      <c r="G2052" s="79">
        <f t="shared" si="2"/>
        <v>11</v>
      </c>
      <c r="H2052" s="90">
        <v>42269.0</v>
      </c>
      <c r="I2052" s="79">
        <f t="shared" si="3"/>
        <v>1.691666667</v>
      </c>
      <c r="J2052" s="106">
        <v>70.0</v>
      </c>
      <c r="K2052" s="106">
        <v>19.0</v>
      </c>
      <c r="L2052" s="82" t="s">
        <v>46</v>
      </c>
      <c r="M2052" s="83"/>
      <c r="N2052" s="83"/>
      <c r="O2052" s="83"/>
      <c r="P2052" s="219"/>
      <c r="Q2052" s="83"/>
      <c r="R2052" s="76"/>
      <c r="S2052" s="90"/>
      <c r="T2052" s="79"/>
      <c r="U2052" s="90"/>
      <c r="V2052" s="79"/>
    </row>
    <row r="2053">
      <c r="A2053" s="207" t="s">
        <v>3721</v>
      </c>
      <c r="B2053" s="54" t="s">
        <v>129</v>
      </c>
      <c r="C2053" s="59"/>
      <c r="D2053" s="59" t="str">
        <f t="shared" si="164"/>
        <v>Removed</v>
      </c>
      <c r="E2053" s="133">
        <v>42887.0</v>
      </c>
      <c r="F2053" s="133">
        <v>43221.0</v>
      </c>
      <c r="G2053" s="65">
        <f t="shared" si="2"/>
        <v>11</v>
      </c>
      <c r="H2053" s="88">
        <v>40106.0</v>
      </c>
      <c r="I2053" s="65">
        <f t="shared" si="3"/>
        <v>7.613888889</v>
      </c>
      <c r="J2053" s="121">
        <v>84.0</v>
      </c>
      <c r="K2053" s="121">
        <v>22.5</v>
      </c>
      <c r="L2053" s="69" t="s">
        <v>37</v>
      </c>
      <c r="M2053" s="91"/>
      <c r="N2053" s="91"/>
      <c r="O2053" s="91"/>
      <c r="P2053" s="134"/>
      <c r="Q2053" s="69" t="s">
        <v>1822</v>
      </c>
      <c r="R2053" s="59"/>
      <c r="S2053" s="88"/>
      <c r="T2053" s="65"/>
      <c r="U2053" s="88"/>
      <c r="V2053" s="65"/>
    </row>
    <row r="2054">
      <c r="A2054" s="226" t="s">
        <v>3722</v>
      </c>
      <c r="B2054" s="75" t="s">
        <v>129</v>
      </c>
      <c r="C2054" s="76"/>
      <c r="D2054" s="76" t="str">
        <f t="shared" si="164"/>
        <v>Removed</v>
      </c>
      <c r="E2054" s="218">
        <v>42887.0</v>
      </c>
      <c r="F2054" s="218">
        <v>43221.0</v>
      </c>
      <c r="G2054" s="79">
        <f t="shared" si="2"/>
        <v>11</v>
      </c>
      <c r="H2054" s="90">
        <v>41768.0</v>
      </c>
      <c r="I2054" s="79">
        <f t="shared" si="3"/>
        <v>3.061111111</v>
      </c>
      <c r="J2054" s="106">
        <v>56.0</v>
      </c>
      <c r="K2054" s="106">
        <v>13.0</v>
      </c>
      <c r="L2054" s="82" t="s">
        <v>46</v>
      </c>
      <c r="M2054" s="83"/>
      <c r="N2054" s="83"/>
      <c r="O2054" s="83"/>
      <c r="P2054" s="219"/>
      <c r="Q2054" s="83"/>
      <c r="R2054" s="76"/>
      <c r="S2054" s="90"/>
      <c r="T2054" s="79"/>
      <c r="U2054" s="90"/>
      <c r="V2054" s="79"/>
    </row>
    <row r="2055">
      <c r="A2055" s="207" t="s">
        <v>3417</v>
      </c>
      <c r="B2055" s="54" t="s">
        <v>129</v>
      </c>
      <c r="C2055" s="54"/>
      <c r="D2055" s="59" t="str">
        <f t="shared" si="164"/>
        <v>Removed</v>
      </c>
      <c r="E2055" s="133">
        <v>42887.0</v>
      </c>
      <c r="F2055" s="133">
        <v>43221.0</v>
      </c>
      <c r="G2055" s="65">
        <f t="shared" si="2"/>
        <v>11</v>
      </c>
      <c r="H2055" s="88">
        <v>40596.0</v>
      </c>
      <c r="I2055" s="65">
        <f t="shared" si="3"/>
        <v>6.275</v>
      </c>
      <c r="J2055" s="121">
        <v>76.0</v>
      </c>
      <c r="K2055" s="121">
        <v>11.0</v>
      </c>
      <c r="L2055" s="69" t="s">
        <v>57</v>
      </c>
      <c r="M2055" s="91"/>
      <c r="N2055" s="91"/>
      <c r="O2055" s="91"/>
      <c r="P2055" s="134"/>
      <c r="Q2055" s="91"/>
      <c r="R2055" s="59"/>
      <c r="S2055" s="88"/>
      <c r="T2055" s="65"/>
      <c r="U2055" s="88"/>
      <c r="V2055" s="65"/>
    </row>
    <row r="2056">
      <c r="A2056" s="226" t="s">
        <v>3723</v>
      </c>
      <c r="B2056" s="75" t="s">
        <v>129</v>
      </c>
      <c r="C2056" s="76"/>
      <c r="D2056" s="76" t="str">
        <f t="shared" si="164"/>
        <v>Removed</v>
      </c>
      <c r="E2056" s="218">
        <v>42887.0</v>
      </c>
      <c r="F2056" s="218">
        <v>43221.0</v>
      </c>
      <c r="G2056" s="79">
        <f t="shared" si="2"/>
        <v>11</v>
      </c>
      <c r="H2056" s="90">
        <v>40421.0</v>
      </c>
      <c r="I2056" s="79">
        <f t="shared" si="3"/>
        <v>6.752777778</v>
      </c>
      <c r="J2056" s="106">
        <v>79.0</v>
      </c>
      <c r="K2056" s="106">
        <v>2.0</v>
      </c>
      <c r="L2056" s="82" t="s">
        <v>37</v>
      </c>
      <c r="M2056" s="83"/>
      <c r="N2056" s="83"/>
      <c r="O2056" s="83"/>
      <c r="P2056" s="219"/>
      <c r="Q2056" s="83"/>
      <c r="R2056" s="76"/>
      <c r="S2056" s="90"/>
      <c r="T2056" s="79"/>
      <c r="U2056" s="90"/>
      <c r="V2056" s="79"/>
    </row>
    <row r="2057">
      <c r="A2057" s="207" t="s">
        <v>3724</v>
      </c>
      <c r="B2057" s="54" t="s">
        <v>129</v>
      </c>
      <c r="C2057" s="59"/>
      <c r="D2057" s="59" t="str">
        <f t="shared" si="164"/>
        <v>Removed</v>
      </c>
      <c r="E2057" s="133">
        <v>42887.0</v>
      </c>
      <c r="F2057" s="133">
        <v>43221.0</v>
      </c>
      <c r="G2057" s="65">
        <f t="shared" si="2"/>
        <v>11</v>
      </c>
      <c r="H2057" s="88">
        <v>41905.0</v>
      </c>
      <c r="I2057" s="65">
        <f t="shared" si="3"/>
        <v>2.688888889</v>
      </c>
      <c r="J2057" s="121">
        <v>78.0</v>
      </c>
      <c r="K2057" s="121">
        <v>10.5</v>
      </c>
      <c r="L2057" s="69" t="s">
        <v>81</v>
      </c>
      <c r="M2057" s="91"/>
      <c r="N2057" s="91"/>
      <c r="O2057" s="91"/>
      <c r="P2057" s="134"/>
      <c r="Q2057" s="69" t="s">
        <v>2841</v>
      </c>
      <c r="R2057" s="59"/>
      <c r="S2057" s="88"/>
      <c r="T2057" s="65"/>
      <c r="U2057" s="88"/>
      <c r="V2057" s="65"/>
    </row>
    <row r="2058">
      <c r="A2058" s="226" t="s">
        <v>3725</v>
      </c>
      <c r="B2058" s="75" t="s">
        <v>129</v>
      </c>
      <c r="C2058" s="76"/>
      <c r="D2058" s="76" t="str">
        <f t="shared" si="164"/>
        <v>Removed</v>
      </c>
      <c r="E2058" s="218">
        <v>42887.0</v>
      </c>
      <c r="F2058" s="218">
        <v>43221.0</v>
      </c>
      <c r="G2058" s="79">
        <f t="shared" si="2"/>
        <v>11</v>
      </c>
      <c r="H2058" s="90">
        <v>30060.0</v>
      </c>
      <c r="I2058" s="79">
        <f t="shared" si="3"/>
        <v>35.11666667</v>
      </c>
      <c r="J2058" s="106">
        <v>65.0</v>
      </c>
      <c r="K2058" s="106">
        <v>1.0</v>
      </c>
      <c r="L2058" s="83" t="s">
        <v>105</v>
      </c>
      <c r="M2058" s="83"/>
      <c r="N2058" s="83"/>
      <c r="O2058" s="83"/>
      <c r="P2058" s="219"/>
      <c r="Q2058" s="82" t="s">
        <v>2841</v>
      </c>
      <c r="R2058" s="76"/>
      <c r="S2058" s="90"/>
      <c r="T2058" s="79"/>
      <c r="U2058" s="90"/>
      <c r="V2058" s="79"/>
    </row>
    <row r="2059">
      <c r="A2059" s="207" t="s">
        <v>3726</v>
      </c>
      <c r="B2059" s="54" t="s">
        <v>129</v>
      </c>
      <c r="C2059" s="59"/>
      <c r="D2059" s="59" t="str">
        <f t="shared" si="164"/>
        <v>Removed</v>
      </c>
      <c r="E2059" s="133">
        <v>42887.0</v>
      </c>
      <c r="F2059" s="133">
        <v>43221.0</v>
      </c>
      <c r="G2059" s="65">
        <f t="shared" si="2"/>
        <v>11</v>
      </c>
      <c r="H2059" s="88">
        <v>40282.0</v>
      </c>
      <c r="I2059" s="65">
        <f t="shared" si="3"/>
        <v>7.130555556</v>
      </c>
      <c r="J2059" s="121">
        <v>77.0</v>
      </c>
      <c r="K2059" s="121">
        <v>1.0</v>
      </c>
      <c r="L2059" s="91" t="s">
        <v>1750</v>
      </c>
      <c r="M2059" s="91"/>
      <c r="N2059" s="91"/>
      <c r="O2059" s="91"/>
      <c r="P2059" s="134"/>
      <c r="Q2059" s="91"/>
      <c r="R2059" s="59"/>
      <c r="S2059" s="88"/>
      <c r="T2059" s="65"/>
      <c r="U2059" s="88"/>
      <c r="V2059" s="65"/>
    </row>
    <row r="2060">
      <c r="A2060" s="74" t="s">
        <v>3727</v>
      </c>
      <c r="B2060" s="75" t="s">
        <v>129</v>
      </c>
      <c r="C2060" s="76"/>
      <c r="D2060" s="76" t="str">
        <f t="shared" si="164"/>
        <v>Removed</v>
      </c>
      <c r="E2060" s="218">
        <v>42887.0</v>
      </c>
      <c r="F2060" s="218">
        <v>43221.0</v>
      </c>
      <c r="G2060" s="79">
        <f t="shared" si="2"/>
        <v>11</v>
      </c>
      <c r="H2060" s="90">
        <v>39714.0</v>
      </c>
      <c r="I2060" s="79">
        <f t="shared" si="3"/>
        <v>8.688888889</v>
      </c>
      <c r="J2060" s="106">
        <v>76.0</v>
      </c>
      <c r="K2060" s="106">
        <v>10.0</v>
      </c>
      <c r="L2060" s="82" t="s">
        <v>41</v>
      </c>
      <c r="M2060" s="83"/>
      <c r="N2060" s="83"/>
      <c r="O2060" s="83"/>
      <c r="P2060" s="219"/>
      <c r="Q2060" s="82" t="s">
        <v>1822</v>
      </c>
      <c r="R2060" s="76"/>
      <c r="S2060" s="90"/>
      <c r="T2060" s="79"/>
      <c r="U2060" s="90"/>
      <c r="V2060" s="79"/>
    </row>
    <row r="2061">
      <c r="A2061" s="207" t="s">
        <v>3728</v>
      </c>
      <c r="B2061" s="54" t="s">
        <v>129</v>
      </c>
      <c r="C2061" s="59"/>
      <c r="D2061" s="59" t="str">
        <f t="shared" si="164"/>
        <v>Removed</v>
      </c>
      <c r="E2061" s="133">
        <v>42887.0</v>
      </c>
      <c r="F2061" s="133">
        <v>43221.0</v>
      </c>
      <c r="G2061" s="65">
        <f t="shared" si="2"/>
        <v>11</v>
      </c>
      <c r="H2061" s="88">
        <v>42248.0</v>
      </c>
      <c r="I2061" s="65">
        <f t="shared" si="3"/>
        <v>1.75</v>
      </c>
      <c r="J2061" s="121">
        <v>72.0</v>
      </c>
      <c r="K2061" s="121">
        <v>19.5</v>
      </c>
      <c r="L2061" s="69" t="s">
        <v>37</v>
      </c>
      <c r="M2061" s="69" t="s">
        <v>1747</v>
      </c>
      <c r="N2061" s="91"/>
      <c r="O2061" s="91"/>
      <c r="P2061" s="134"/>
      <c r="Q2061" s="91"/>
      <c r="R2061" s="59"/>
      <c r="S2061" s="88"/>
      <c r="T2061" s="65"/>
      <c r="U2061" s="88"/>
      <c r="V2061" s="65"/>
    </row>
    <row r="2062">
      <c r="A2062" s="226" t="s">
        <v>3275</v>
      </c>
      <c r="B2062" s="75" t="s">
        <v>129</v>
      </c>
      <c r="C2062" s="76"/>
      <c r="D2062" s="76" t="str">
        <f t="shared" si="164"/>
        <v>Removed</v>
      </c>
      <c r="E2062" s="218">
        <v>42887.0</v>
      </c>
      <c r="F2062" s="218">
        <v>43221.0</v>
      </c>
      <c r="G2062" s="79">
        <f t="shared" si="2"/>
        <v>11</v>
      </c>
      <c r="H2062" s="90">
        <v>38708.0</v>
      </c>
      <c r="I2062" s="79">
        <f t="shared" si="3"/>
        <v>11.44166667</v>
      </c>
      <c r="J2062" s="106">
        <v>64.0</v>
      </c>
      <c r="K2062" s="106">
        <v>0.5</v>
      </c>
      <c r="L2062" s="83" t="s">
        <v>52</v>
      </c>
      <c r="M2062" s="83"/>
      <c r="N2062" s="83"/>
      <c r="O2062" s="83"/>
      <c r="P2062" s="219"/>
      <c r="Q2062" s="82" t="s">
        <v>2841</v>
      </c>
      <c r="R2062" s="76"/>
      <c r="S2062" s="90"/>
      <c r="T2062" s="79"/>
      <c r="U2062" s="90"/>
      <c r="V2062" s="79"/>
    </row>
    <row r="2063">
      <c r="A2063" s="207" t="s">
        <v>3729</v>
      </c>
      <c r="B2063" s="54" t="s">
        <v>129</v>
      </c>
      <c r="C2063" s="59"/>
      <c r="D2063" s="59" t="str">
        <f t="shared" si="164"/>
        <v>Removed</v>
      </c>
      <c r="E2063" s="133">
        <v>42887.0</v>
      </c>
      <c r="F2063" s="133">
        <v>43221.0</v>
      </c>
      <c r="G2063" s="65">
        <f t="shared" si="2"/>
        <v>11</v>
      </c>
      <c r="H2063" s="88">
        <v>40092.0</v>
      </c>
      <c r="I2063" s="65">
        <f t="shared" si="3"/>
        <v>7.652777778</v>
      </c>
      <c r="J2063" s="121">
        <v>77.0</v>
      </c>
      <c r="K2063" s="121">
        <v>12.0</v>
      </c>
      <c r="L2063" s="69" t="s">
        <v>37</v>
      </c>
      <c r="M2063" s="91"/>
      <c r="N2063" s="91"/>
      <c r="O2063" s="91"/>
      <c r="P2063" s="134"/>
      <c r="Q2063" s="69" t="s">
        <v>1822</v>
      </c>
      <c r="R2063" s="59"/>
      <c r="S2063" s="88"/>
      <c r="T2063" s="65"/>
      <c r="U2063" s="88"/>
      <c r="V2063" s="65"/>
    </row>
    <row r="2064">
      <c r="A2064" s="226" t="s">
        <v>3730</v>
      </c>
      <c r="B2064" s="75" t="s">
        <v>129</v>
      </c>
      <c r="C2064" s="76"/>
      <c r="D2064" s="76" t="str">
        <f t="shared" si="164"/>
        <v>Removed</v>
      </c>
      <c r="E2064" s="218">
        <v>42887.0</v>
      </c>
      <c r="F2064" s="218">
        <v>43221.0</v>
      </c>
      <c r="G2064" s="79">
        <f t="shared" si="2"/>
        <v>11</v>
      </c>
      <c r="H2064" s="90">
        <v>40498.0</v>
      </c>
      <c r="I2064" s="79">
        <f t="shared" si="3"/>
        <v>6.541666667</v>
      </c>
      <c r="J2064" s="106">
        <v>93.0</v>
      </c>
      <c r="K2064" s="106">
        <v>4.0</v>
      </c>
      <c r="L2064" s="82" t="s">
        <v>105</v>
      </c>
      <c r="M2064" s="83"/>
      <c r="N2064" s="83"/>
      <c r="O2064" s="83"/>
      <c r="P2064" s="219"/>
      <c r="Q2064" s="83"/>
      <c r="R2064" s="76"/>
      <c r="S2064" s="90"/>
      <c r="T2064" s="79"/>
      <c r="U2064" s="90"/>
      <c r="V2064" s="79"/>
    </row>
    <row r="2065">
      <c r="A2065" s="207" t="s">
        <v>3731</v>
      </c>
      <c r="B2065" s="54" t="s">
        <v>129</v>
      </c>
      <c r="C2065" s="59"/>
      <c r="D2065" s="59" t="str">
        <f t="shared" si="164"/>
        <v>Removed</v>
      </c>
      <c r="E2065" s="133">
        <v>42887.0</v>
      </c>
      <c r="F2065" s="133">
        <v>43221.0</v>
      </c>
      <c r="G2065" s="65">
        <f t="shared" si="2"/>
        <v>11</v>
      </c>
      <c r="H2065" s="88">
        <v>41851.0</v>
      </c>
      <c r="I2065" s="65">
        <f t="shared" si="3"/>
        <v>2.836111111</v>
      </c>
      <c r="J2065" s="121">
        <v>51.0</v>
      </c>
      <c r="K2065" s="121">
        <v>8.0</v>
      </c>
      <c r="L2065" s="69" t="s">
        <v>46</v>
      </c>
      <c r="M2065" s="91"/>
      <c r="N2065" s="91"/>
      <c r="O2065" s="91"/>
      <c r="P2065" s="134"/>
      <c r="Q2065" s="91"/>
      <c r="R2065" s="59"/>
      <c r="S2065" s="88"/>
      <c r="T2065" s="65"/>
      <c r="U2065" s="88"/>
      <c r="V2065" s="65"/>
    </row>
    <row r="2066">
      <c r="A2066" s="74" t="s">
        <v>3732</v>
      </c>
      <c r="B2066" s="75" t="s">
        <v>129</v>
      </c>
      <c r="C2066" s="76"/>
      <c r="D2066" s="76" t="str">
        <f t="shared" si="164"/>
        <v>Removed</v>
      </c>
      <c r="E2066" s="218">
        <v>42887.0</v>
      </c>
      <c r="F2066" s="218">
        <v>43221.0</v>
      </c>
      <c r="G2066" s="79">
        <f t="shared" si="2"/>
        <v>11</v>
      </c>
      <c r="H2066" s="90">
        <v>40869.0</v>
      </c>
      <c r="I2066" s="79">
        <f t="shared" si="3"/>
        <v>5.525</v>
      </c>
      <c r="J2066" s="106">
        <v>75.0</v>
      </c>
      <c r="K2066" s="106">
        <v>14.0</v>
      </c>
      <c r="L2066" s="82" t="s">
        <v>37</v>
      </c>
      <c r="M2066" s="82"/>
      <c r="N2066" s="82"/>
      <c r="O2066" s="82"/>
      <c r="P2066" s="107"/>
      <c r="Q2066" s="82"/>
      <c r="R2066" s="76"/>
      <c r="S2066" s="90"/>
      <c r="T2066" s="79"/>
      <c r="U2066" s="90"/>
      <c r="V2066" s="79"/>
    </row>
    <row r="2067">
      <c r="A2067" s="53" t="s">
        <v>3733</v>
      </c>
      <c r="B2067" s="54" t="s">
        <v>129</v>
      </c>
      <c r="C2067" s="59"/>
      <c r="D2067" s="59" t="str">
        <f t="shared" si="164"/>
        <v>Removed</v>
      </c>
      <c r="E2067" s="133">
        <v>42887.0</v>
      </c>
      <c r="F2067" s="133">
        <v>43221.0</v>
      </c>
      <c r="G2067" s="65">
        <f t="shared" si="2"/>
        <v>11</v>
      </c>
      <c r="H2067" s="88">
        <v>40869.0</v>
      </c>
      <c r="I2067" s="65">
        <f t="shared" si="3"/>
        <v>5.525</v>
      </c>
      <c r="J2067" s="121">
        <v>74.0</v>
      </c>
      <c r="K2067" s="121">
        <v>13.0</v>
      </c>
      <c r="L2067" s="69" t="s">
        <v>37</v>
      </c>
      <c r="M2067" s="69"/>
      <c r="N2067" s="69"/>
      <c r="O2067" s="69"/>
      <c r="P2067" s="122"/>
      <c r="Q2067" s="69"/>
      <c r="R2067" s="59"/>
      <c r="S2067" s="88"/>
      <c r="T2067" s="65"/>
      <c r="U2067" s="88"/>
      <c r="V2067" s="65"/>
    </row>
    <row r="2068">
      <c r="A2068" s="226" t="s">
        <v>3734</v>
      </c>
      <c r="B2068" s="75" t="s">
        <v>129</v>
      </c>
      <c r="C2068" s="76"/>
      <c r="D2068" s="76" t="str">
        <f t="shared" si="164"/>
        <v>Removed</v>
      </c>
      <c r="E2068" s="218">
        <v>42887.0</v>
      </c>
      <c r="F2068" s="218">
        <v>43221.0</v>
      </c>
      <c r="G2068" s="79">
        <f t="shared" si="2"/>
        <v>11</v>
      </c>
      <c r="H2068" s="90">
        <v>41052.0</v>
      </c>
      <c r="I2068" s="79">
        <f t="shared" si="3"/>
        <v>5.022222222</v>
      </c>
      <c r="J2068" s="106">
        <v>69.0</v>
      </c>
      <c r="K2068" s="106">
        <v>5.0</v>
      </c>
      <c r="L2068" s="83" t="s">
        <v>354</v>
      </c>
      <c r="M2068" s="83"/>
      <c r="N2068" s="83"/>
      <c r="O2068" s="83"/>
      <c r="P2068" s="219"/>
      <c r="Q2068" s="83"/>
      <c r="R2068" s="76"/>
      <c r="S2068" s="90"/>
      <c r="T2068" s="79"/>
      <c r="U2068" s="90"/>
      <c r="V2068" s="79"/>
    </row>
    <row r="2069">
      <c r="A2069" s="207" t="s">
        <v>3735</v>
      </c>
      <c r="B2069" s="54" t="s">
        <v>129</v>
      </c>
      <c r="C2069" s="59"/>
      <c r="D2069" s="59" t="str">
        <f t="shared" si="164"/>
        <v>Removed</v>
      </c>
      <c r="E2069" s="133">
        <v>42887.0</v>
      </c>
      <c r="F2069" s="133">
        <v>43221.0</v>
      </c>
      <c r="G2069" s="65">
        <f t="shared" si="2"/>
        <v>11</v>
      </c>
      <c r="H2069" s="88">
        <v>41059.0</v>
      </c>
      <c r="I2069" s="65">
        <f t="shared" si="3"/>
        <v>5.002777778</v>
      </c>
      <c r="J2069" s="121">
        <v>60.0</v>
      </c>
      <c r="K2069" s="121">
        <v>1.0</v>
      </c>
      <c r="L2069" s="91" t="s">
        <v>354</v>
      </c>
      <c r="M2069" s="91"/>
      <c r="N2069" s="91"/>
      <c r="O2069" s="91"/>
      <c r="P2069" s="134"/>
      <c r="Q2069" s="91"/>
      <c r="R2069" s="59"/>
      <c r="S2069" s="88"/>
      <c r="T2069" s="65"/>
      <c r="U2069" s="88"/>
      <c r="V2069" s="65"/>
    </row>
    <row r="2070">
      <c r="A2070" s="226" t="s">
        <v>3736</v>
      </c>
      <c r="B2070" s="75" t="s">
        <v>129</v>
      </c>
      <c r="C2070" s="76"/>
      <c r="D2070" s="76" t="str">
        <f t="shared" si="164"/>
        <v>Removed</v>
      </c>
      <c r="E2070" s="218">
        <v>42887.0</v>
      </c>
      <c r="F2070" s="218">
        <v>43221.0</v>
      </c>
      <c r="G2070" s="79">
        <f t="shared" si="2"/>
        <v>11</v>
      </c>
      <c r="H2070" s="90">
        <v>36006.0</v>
      </c>
      <c r="I2070" s="79">
        <f t="shared" si="3"/>
        <v>18.83611111</v>
      </c>
      <c r="J2070" s="106">
        <v>79.0</v>
      </c>
      <c r="K2070" s="106">
        <v>0.5</v>
      </c>
      <c r="L2070" s="83" t="s">
        <v>52</v>
      </c>
      <c r="M2070" s="83"/>
      <c r="N2070" s="83"/>
      <c r="O2070" s="83"/>
      <c r="P2070" s="219"/>
      <c r="Q2070" s="82" t="s">
        <v>1822</v>
      </c>
      <c r="R2070" s="76"/>
      <c r="S2070" s="90"/>
      <c r="T2070" s="79"/>
      <c r="U2070" s="90"/>
      <c r="V2070" s="79"/>
    </row>
    <row r="2071">
      <c r="A2071" s="207" t="s">
        <v>3737</v>
      </c>
      <c r="B2071" s="54" t="s">
        <v>129</v>
      </c>
      <c r="C2071" s="59"/>
      <c r="D2071" s="59" t="str">
        <f t="shared" si="164"/>
        <v>Removed</v>
      </c>
      <c r="E2071" s="133">
        <v>42887.0</v>
      </c>
      <c r="F2071" s="133">
        <v>43221.0</v>
      </c>
      <c r="G2071" s="65">
        <f t="shared" si="2"/>
        <v>11</v>
      </c>
      <c r="H2071" s="88">
        <v>41590.0</v>
      </c>
      <c r="I2071" s="65">
        <f t="shared" si="3"/>
        <v>3.552777778</v>
      </c>
      <c r="J2071" s="121">
        <v>88.0</v>
      </c>
      <c r="K2071" s="121">
        <v>27.5</v>
      </c>
      <c r="L2071" s="69" t="s">
        <v>46</v>
      </c>
      <c r="M2071" s="91"/>
      <c r="N2071" s="91"/>
      <c r="O2071" s="91"/>
      <c r="P2071" s="134"/>
      <c r="Q2071" s="91"/>
      <c r="R2071" s="59"/>
      <c r="S2071" s="88"/>
      <c r="T2071" s="65"/>
      <c r="U2071" s="88"/>
      <c r="V2071" s="65"/>
    </row>
    <row r="2072">
      <c r="A2072" s="74" t="s">
        <v>1847</v>
      </c>
      <c r="B2072" s="75" t="s">
        <v>2984</v>
      </c>
      <c r="C2072" s="76"/>
      <c r="D2072" s="76" t="s">
        <v>2985</v>
      </c>
      <c r="E2072" s="218">
        <v>43206.0</v>
      </c>
      <c r="F2072" s="77">
        <v>43220.0</v>
      </c>
      <c r="G2072" s="79">
        <f t="shared" si="2"/>
        <v>0.4666666667</v>
      </c>
      <c r="H2072" s="90">
        <v>40568.0</v>
      </c>
      <c r="I2072" s="79">
        <f t="shared" si="3"/>
        <v>7.225</v>
      </c>
      <c r="J2072" s="106">
        <v>90.0</v>
      </c>
      <c r="K2072" s="106">
        <v>9.0</v>
      </c>
      <c r="L2072" s="82" t="s">
        <v>41</v>
      </c>
      <c r="M2072" s="82"/>
      <c r="N2072" s="82" t="s">
        <v>2761</v>
      </c>
      <c r="O2072" s="82"/>
      <c r="P2072" s="107"/>
      <c r="Q2072" s="82"/>
      <c r="R2072" s="76"/>
      <c r="S2072" s="90"/>
      <c r="T2072" s="79"/>
      <c r="U2072" s="90"/>
      <c r="V2072" s="79"/>
    </row>
    <row r="2073">
      <c r="A2073" s="53" t="s">
        <v>3738</v>
      </c>
      <c r="B2073" s="54" t="s">
        <v>2759</v>
      </c>
      <c r="C2073" s="59"/>
      <c r="D2073" s="59" t="s">
        <v>2760</v>
      </c>
      <c r="E2073" s="133">
        <v>43191.0</v>
      </c>
      <c r="F2073" s="61">
        <v>43220.0</v>
      </c>
      <c r="G2073" s="65">
        <f t="shared" si="2"/>
        <v>0.9666666667</v>
      </c>
      <c r="H2073" s="88">
        <v>42395.0</v>
      </c>
      <c r="I2073" s="65">
        <f t="shared" si="3"/>
        <v>2.180555556</v>
      </c>
      <c r="J2073" s="121">
        <v>87.0</v>
      </c>
      <c r="K2073" s="121">
        <v>17.0</v>
      </c>
      <c r="L2073" s="69" t="s">
        <v>96</v>
      </c>
      <c r="M2073" s="69"/>
      <c r="N2073" s="69"/>
      <c r="O2073" s="69"/>
      <c r="P2073" s="122"/>
      <c r="Q2073" s="69"/>
      <c r="R2073" s="59"/>
      <c r="S2073" s="88"/>
      <c r="T2073" s="65"/>
      <c r="U2073" s="88"/>
      <c r="V2073" s="65"/>
    </row>
    <row r="2074">
      <c r="A2074" s="226" t="s">
        <v>3739</v>
      </c>
      <c r="B2074" s="75" t="s">
        <v>129</v>
      </c>
      <c r="C2074" s="76"/>
      <c r="D2074" s="76" t="str">
        <f>IF(E2074&gt;TODAY(),"Coming Soon",IF(F2074="","Active",IF(F2074&gt;TODAY(),"Leaving Soon","Removed")))</f>
        <v>Removed</v>
      </c>
      <c r="E2074" s="218">
        <v>42887.0</v>
      </c>
      <c r="F2074" s="77">
        <v>43220.0</v>
      </c>
      <c r="G2074" s="79">
        <f t="shared" si="2"/>
        <v>10.96666667</v>
      </c>
      <c r="H2074" s="90">
        <v>42482.0</v>
      </c>
      <c r="I2074" s="79">
        <f t="shared" si="3"/>
        <v>1.108333333</v>
      </c>
      <c r="J2074" s="106">
        <v>77.0</v>
      </c>
      <c r="K2074" s="106">
        <v>5.0</v>
      </c>
      <c r="L2074" s="83" t="s">
        <v>41</v>
      </c>
      <c r="M2074" s="83"/>
      <c r="N2074" s="83"/>
      <c r="O2074" s="83"/>
      <c r="P2074" s="219"/>
      <c r="Q2074" s="83"/>
      <c r="R2074" s="76"/>
      <c r="S2074" s="90"/>
      <c r="T2074" s="79"/>
      <c r="U2074" s="90"/>
      <c r="V2074" s="79"/>
    </row>
    <row r="2075">
      <c r="A2075" s="53" t="s">
        <v>3740</v>
      </c>
      <c r="B2075" s="54" t="s">
        <v>2984</v>
      </c>
      <c r="C2075" s="59"/>
      <c r="D2075" s="59" t="s">
        <v>2985</v>
      </c>
      <c r="E2075" s="133">
        <v>43191.0</v>
      </c>
      <c r="F2075" s="61">
        <v>43205.0</v>
      </c>
      <c r="G2075" s="65">
        <f t="shared" si="2"/>
        <v>0.4666666667</v>
      </c>
      <c r="H2075" s="88">
        <v>40713.0</v>
      </c>
      <c r="I2075" s="65">
        <f t="shared" si="3"/>
        <v>6.783333333</v>
      </c>
      <c r="J2075" s="121">
        <v>59.0</v>
      </c>
      <c r="K2075" s="121">
        <v>7.0</v>
      </c>
      <c r="L2075" s="69" t="s">
        <v>55</v>
      </c>
      <c r="M2075" s="69"/>
      <c r="N2075" s="69" t="s">
        <v>2761</v>
      </c>
      <c r="O2075" s="69"/>
      <c r="P2075" s="122"/>
      <c r="Q2075" s="69"/>
      <c r="R2075" s="59"/>
      <c r="S2075" s="88"/>
      <c r="T2075" s="65"/>
      <c r="U2075" s="88"/>
      <c r="V2075" s="65"/>
    </row>
    <row r="2076">
      <c r="A2076" s="74" t="s">
        <v>3741</v>
      </c>
      <c r="B2076" s="75" t="s">
        <v>2759</v>
      </c>
      <c r="C2076" s="76"/>
      <c r="D2076" s="76" t="s">
        <v>2760</v>
      </c>
      <c r="E2076" s="218">
        <v>43175.0</v>
      </c>
      <c r="F2076" s="77">
        <v>43205.0</v>
      </c>
      <c r="G2076" s="79">
        <f t="shared" si="2"/>
        <v>0.9666666667</v>
      </c>
      <c r="H2076" s="90">
        <v>42425.0</v>
      </c>
      <c r="I2076" s="79">
        <f t="shared" si="3"/>
        <v>2.058333333</v>
      </c>
      <c r="J2076" s="106">
        <v>83.0</v>
      </c>
      <c r="K2076" s="106">
        <v>3.0</v>
      </c>
      <c r="L2076" s="82" t="s">
        <v>37</v>
      </c>
      <c r="M2076" s="82"/>
      <c r="N2076" s="82"/>
      <c r="O2076" s="82"/>
      <c r="P2076" s="107"/>
      <c r="Q2076" s="82"/>
      <c r="R2076" s="76"/>
      <c r="S2076" s="90"/>
      <c r="T2076" s="79"/>
      <c r="U2076" s="90"/>
      <c r="V2076" s="79"/>
    </row>
    <row r="2077">
      <c r="A2077" s="207" t="s">
        <v>3742</v>
      </c>
      <c r="B2077" s="54" t="s">
        <v>129</v>
      </c>
      <c r="C2077" s="59"/>
      <c r="D2077" s="59" t="str">
        <f t="shared" ref="D2077:D2078" si="165">IF(E2077&gt;TODAY(),"Coming Soon",IF(F2077="","Active",IF(F2077&gt;TODAY(),"Leaving Soon","Removed")))</f>
        <v>Removed</v>
      </c>
      <c r="E2077" s="133">
        <v>43132.0</v>
      </c>
      <c r="F2077" s="133">
        <v>43191.0</v>
      </c>
      <c r="G2077" s="65">
        <f t="shared" si="2"/>
        <v>2</v>
      </c>
      <c r="H2077" s="88">
        <v>42629.0</v>
      </c>
      <c r="I2077" s="65">
        <f t="shared" si="3"/>
        <v>1.375</v>
      </c>
      <c r="J2077" s="121">
        <v>90.0</v>
      </c>
      <c r="K2077" s="121">
        <v>63.5</v>
      </c>
      <c r="L2077" s="69" t="s">
        <v>62</v>
      </c>
      <c r="M2077" s="69"/>
      <c r="N2077" s="69"/>
      <c r="O2077" s="69"/>
      <c r="P2077" s="122"/>
      <c r="Q2077" s="69"/>
      <c r="R2077" s="59"/>
      <c r="S2077" s="88"/>
      <c r="T2077" s="65"/>
      <c r="U2077" s="88"/>
      <c r="V2077" s="65"/>
    </row>
    <row r="2078">
      <c r="A2078" s="226" t="s">
        <v>3743</v>
      </c>
      <c r="B2078" s="75" t="s">
        <v>129</v>
      </c>
      <c r="C2078" s="76"/>
      <c r="D2078" s="76" t="str">
        <f t="shared" si="165"/>
        <v>Removed</v>
      </c>
      <c r="E2078" s="218">
        <v>43132.0</v>
      </c>
      <c r="F2078" s="218">
        <v>43191.0</v>
      </c>
      <c r="G2078" s="79">
        <f t="shared" si="2"/>
        <v>2</v>
      </c>
      <c r="H2078" s="90">
        <v>42654.0</v>
      </c>
      <c r="I2078" s="79">
        <f t="shared" si="3"/>
        <v>1.305555556</v>
      </c>
      <c r="J2078" s="106">
        <v>68.0</v>
      </c>
      <c r="K2078" s="106">
        <v>13.0</v>
      </c>
      <c r="L2078" s="83" t="s">
        <v>3744</v>
      </c>
      <c r="M2078" s="83"/>
      <c r="N2078" s="83"/>
      <c r="O2078" s="83"/>
      <c r="P2078" s="219"/>
      <c r="Q2078" s="83"/>
      <c r="R2078" s="76"/>
      <c r="S2078" s="90"/>
      <c r="T2078" s="79"/>
      <c r="U2078" s="90"/>
      <c r="V2078" s="79"/>
    </row>
    <row r="2079">
      <c r="A2079" s="53" t="s">
        <v>3745</v>
      </c>
      <c r="B2079" s="54" t="s">
        <v>2984</v>
      </c>
      <c r="C2079" s="59"/>
      <c r="D2079" s="59" t="s">
        <v>2985</v>
      </c>
      <c r="E2079" s="133">
        <v>43175.0</v>
      </c>
      <c r="F2079" s="61">
        <v>43190.0</v>
      </c>
      <c r="G2079" s="65">
        <f t="shared" si="2"/>
        <v>0.4666666667</v>
      </c>
      <c r="H2079" s="88">
        <v>41009.0</v>
      </c>
      <c r="I2079" s="65">
        <f t="shared" si="3"/>
        <v>5.933333333</v>
      </c>
      <c r="J2079" s="121">
        <v>78.0</v>
      </c>
      <c r="K2079" s="121">
        <v>4.0</v>
      </c>
      <c r="L2079" s="69" t="s">
        <v>96</v>
      </c>
      <c r="M2079" s="69"/>
      <c r="N2079" s="69" t="s">
        <v>2761</v>
      </c>
      <c r="O2079" s="69"/>
      <c r="P2079" s="122"/>
      <c r="Q2079" s="69"/>
      <c r="R2079" s="59"/>
      <c r="S2079" s="88"/>
      <c r="T2079" s="65"/>
      <c r="U2079" s="88"/>
      <c r="V2079" s="65"/>
    </row>
    <row r="2080">
      <c r="A2080" s="74" t="s">
        <v>316</v>
      </c>
      <c r="B2080" s="75" t="s">
        <v>2759</v>
      </c>
      <c r="C2080" s="76"/>
      <c r="D2080" s="76" t="s">
        <v>2760</v>
      </c>
      <c r="E2080" s="218">
        <v>43160.0</v>
      </c>
      <c r="F2080" s="77">
        <v>43190.0</v>
      </c>
      <c r="G2080" s="79">
        <f t="shared" si="2"/>
        <v>0.9666666667</v>
      </c>
      <c r="H2080" s="90">
        <v>42534.0</v>
      </c>
      <c r="I2080" s="79">
        <f t="shared" si="3"/>
        <v>1.716666667</v>
      </c>
      <c r="J2080" s="106">
        <v>55.0</v>
      </c>
      <c r="K2080" s="106">
        <v>5.0</v>
      </c>
      <c r="L2080" s="82" t="s">
        <v>55</v>
      </c>
      <c r="M2080" s="82"/>
      <c r="N2080" s="82"/>
      <c r="O2080" s="82"/>
      <c r="P2080" s="107"/>
      <c r="Q2080" s="82"/>
      <c r="R2080" s="76"/>
      <c r="S2080" s="90"/>
      <c r="T2080" s="79"/>
      <c r="U2080" s="90"/>
      <c r="V2080" s="79"/>
    </row>
    <row r="2081">
      <c r="A2081" s="53" t="s">
        <v>3746</v>
      </c>
      <c r="B2081" s="54" t="s">
        <v>129</v>
      </c>
      <c r="C2081" s="59"/>
      <c r="D2081" s="59" t="str">
        <f>IF(E2081&gt;TODAY(),"Coming Soon",IF(F2081="","Active",IF(F2081&gt;TODAY(),"Leaving Soon","Removed")))</f>
        <v>Removed</v>
      </c>
      <c r="E2081" s="133">
        <v>42887.0</v>
      </c>
      <c r="F2081" s="61">
        <v>43190.0</v>
      </c>
      <c r="G2081" s="65">
        <f t="shared" si="2"/>
        <v>9.966666667</v>
      </c>
      <c r="H2081" s="88">
        <v>34913.0</v>
      </c>
      <c r="I2081" s="65">
        <f t="shared" si="3"/>
        <v>21.83055556</v>
      </c>
      <c r="J2081" s="121">
        <v>71.0</v>
      </c>
      <c r="K2081" s="121">
        <v>2.0</v>
      </c>
      <c r="L2081" s="69" t="s">
        <v>105</v>
      </c>
      <c r="M2081" s="69"/>
      <c r="N2081" s="69"/>
      <c r="O2081" s="69"/>
      <c r="P2081" s="122"/>
      <c r="Q2081" s="69" t="s">
        <v>2841</v>
      </c>
      <c r="R2081" s="59"/>
      <c r="S2081" s="88"/>
      <c r="T2081" s="65"/>
      <c r="U2081" s="88"/>
      <c r="V2081" s="65"/>
    </row>
    <row r="2082">
      <c r="A2082" s="74" t="s">
        <v>3747</v>
      </c>
      <c r="B2082" s="75" t="s">
        <v>2984</v>
      </c>
      <c r="C2082" s="76"/>
      <c r="D2082" s="76" t="s">
        <v>2985</v>
      </c>
      <c r="E2082" s="218">
        <v>43160.0</v>
      </c>
      <c r="F2082" s="77">
        <v>43174.0</v>
      </c>
      <c r="G2082" s="79">
        <f t="shared" si="2"/>
        <v>0.4666666667</v>
      </c>
      <c r="H2082" s="90">
        <v>42291.0</v>
      </c>
      <c r="I2082" s="79">
        <f t="shared" si="3"/>
        <v>2.380555556</v>
      </c>
      <c r="J2082" s="106">
        <v>73.0</v>
      </c>
      <c r="K2082" s="106">
        <v>6.0</v>
      </c>
      <c r="L2082" s="82" t="s">
        <v>105</v>
      </c>
      <c r="M2082" s="82"/>
      <c r="N2082" s="82" t="s">
        <v>2761</v>
      </c>
      <c r="O2082" s="82"/>
      <c r="P2082" s="107"/>
      <c r="Q2082" s="82"/>
      <c r="R2082" s="76"/>
      <c r="S2082" s="90"/>
      <c r="T2082" s="79"/>
      <c r="U2082" s="90"/>
      <c r="V2082" s="79"/>
    </row>
    <row r="2083">
      <c r="A2083" s="53" t="s">
        <v>275</v>
      </c>
      <c r="B2083" s="54" t="s">
        <v>2759</v>
      </c>
      <c r="C2083" s="59"/>
      <c r="D2083" s="59" t="s">
        <v>2760</v>
      </c>
      <c r="E2083" s="133">
        <v>43147.0</v>
      </c>
      <c r="F2083" s="61">
        <v>43174.0</v>
      </c>
      <c r="G2083" s="65">
        <f t="shared" si="2"/>
        <v>0.9666666667</v>
      </c>
      <c r="H2083" s="88">
        <v>42381.0</v>
      </c>
      <c r="I2083" s="65">
        <f t="shared" si="3"/>
        <v>2.094444444</v>
      </c>
      <c r="J2083" s="121">
        <v>63.0</v>
      </c>
      <c r="K2083" s="121">
        <v>5.0</v>
      </c>
      <c r="L2083" s="69" t="s">
        <v>41</v>
      </c>
      <c r="M2083" s="69"/>
      <c r="N2083" s="69"/>
      <c r="O2083" s="69"/>
      <c r="P2083" s="122"/>
      <c r="Q2083" s="69"/>
      <c r="R2083" s="59"/>
      <c r="S2083" s="88"/>
      <c r="T2083" s="65"/>
      <c r="U2083" s="88"/>
      <c r="V2083" s="65"/>
    </row>
    <row r="2084">
      <c r="A2084" s="226" t="s">
        <v>3748</v>
      </c>
      <c r="B2084" s="75" t="s">
        <v>129</v>
      </c>
      <c r="C2084" s="76"/>
      <c r="D2084" s="76" t="str">
        <f t="shared" ref="D2084:D2090" si="166">IF(E2084&gt;TODAY(),"Coming Soon",IF(F2084="","Active",IF(F2084&gt;TODAY(),"Leaving Soon","Removed")))</f>
        <v>Removed</v>
      </c>
      <c r="E2084" s="218">
        <v>42887.0</v>
      </c>
      <c r="F2084" s="218">
        <v>43160.0</v>
      </c>
      <c r="G2084" s="79">
        <f t="shared" si="2"/>
        <v>9</v>
      </c>
      <c r="H2084" s="90">
        <v>41325.0</v>
      </c>
      <c r="I2084" s="79">
        <f t="shared" si="3"/>
        <v>4.280555556</v>
      </c>
      <c r="J2084" s="106">
        <v>68.0</v>
      </c>
      <c r="K2084" s="106">
        <v>6.0</v>
      </c>
      <c r="L2084" s="82" t="s">
        <v>3056</v>
      </c>
      <c r="M2084" s="83"/>
      <c r="N2084" s="83"/>
      <c r="O2084" s="83"/>
      <c r="P2084" s="219"/>
      <c r="Q2084" s="83"/>
      <c r="R2084" s="76"/>
      <c r="S2084" s="90"/>
      <c r="T2084" s="79"/>
      <c r="U2084" s="90"/>
      <c r="V2084" s="79"/>
    </row>
    <row r="2085">
      <c r="A2085" s="207" t="s">
        <v>3327</v>
      </c>
      <c r="B2085" s="54" t="s">
        <v>129</v>
      </c>
      <c r="C2085" s="59"/>
      <c r="D2085" s="59" t="str">
        <f t="shared" si="166"/>
        <v>Removed</v>
      </c>
      <c r="E2085" s="133">
        <v>42887.0</v>
      </c>
      <c r="F2085" s="133">
        <v>43160.0</v>
      </c>
      <c r="G2085" s="65">
        <f t="shared" si="2"/>
        <v>9</v>
      </c>
      <c r="H2085" s="88">
        <v>40193.0</v>
      </c>
      <c r="I2085" s="65">
        <f t="shared" si="3"/>
        <v>7.377777778</v>
      </c>
      <c r="J2085" s="121">
        <v>59.0</v>
      </c>
      <c r="K2085" s="121">
        <v>7.5</v>
      </c>
      <c r="L2085" s="91" t="s">
        <v>37</v>
      </c>
      <c r="M2085" s="91"/>
      <c r="N2085" s="91"/>
      <c r="O2085" s="91"/>
      <c r="P2085" s="134"/>
      <c r="Q2085" s="292" t="s">
        <v>1822</v>
      </c>
      <c r="R2085" s="59"/>
      <c r="S2085" s="88"/>
      <c r="T2085" s="65"/>
      <c r="U2085" s="88"/>
      <c r="V2085" s="65"/>
    </row>
    <row r="2086">
      <c r="A2086" s="226" t="s">
        <v>3749</v>
      </c>
      <c r="B2086" s="75" t="s">
        <v>129</v>
      </c>
      <c r="C2086" s="76"/>
      <c r="D2086" s="76" t="str">
        <f t="shared" si="166"/>
        <v>Removed</v>
      </c>
      <c r="E2086" s="218">
        <v>42887.0</v>
      </c>
      <c r="F2086" s="218">
        <v>43160.0</v>
      </c>
      <c r="G2086" s="79">
        <f t="shared" si="2"/>
        <v>9</v>
      </c>
      <c r="H2086" s="90">
        <v>42237.0</v>
      </c>
      <c r="I2086" s="79">
        <f t="shared" si="3"/>
        <v>1.777777778</v>
      </c>
      <c r="J2086" s="106">
        <v>68.0</v>
      </c>
      <c r="K2086" s="106">
        <v>3.0</v>
      </c>
      <c r="L2086" s="83" t="s">
        <v>105</v>
      </c>
      <c r="M2086" s="83"/>
      <c r="N2086" s="83"/>
      <c r="O2086" s="83"/>
      <c r="P2086" s="219"/>
      <c r="Q2086" s="83"/>
      <c r="R2086" s="76"/>
      <c r="S2086" s="90"/>
      <c r="T2086" s="79"/>
      <c r="U2086" s="90"/>
      <c r="V2086" s="79"/>
    </row>
    <row r="2087">
      <c r="A2087" s="207" t="s">
        <v>3750</v>
      </c>
      <c r="B2087" s="54" t="s">
        <v>129</v>
      </c>
      <c r="C2087" s="59"/>
      <c r="D2087" s="59" t="str">
        <f t="shared" si="166"/>
        <v>Removed</v>
      </c>
      <c r="E2087" s="133">
        <v>42887.0</v>
      </c>
      <c r="F2087" s="133">
        <v>43160.0</v>
      </c>
      <c r="G2087" s="65">
        <f t="shared" si="2"/>
        <v>9</v>
      </c>
      <c r="H2087" s="88">
        <v>41052.0</v>
      </c>
      <c r="I2087" s="65">
        <f t="shared" si="3"/>
        <v>5.022222222</v>
      </c>
      <c r="J2087" s="121">
        <v>72.0</v>
      </c>
      <c r="K2087" s="121">
        <v>70.0</v>
      </c>
      <c r="L2087" s="91" t="s">
        <v>354</v>
      </c>
      <c r="M2087" s="91"/>
      <c r="N2087" s="91"/>
      <c r="O2087" s="91"/>
      <c r="P2087" s="134"/>
      <c r="Q2087" s="91"/>
      <c r="R2087" s="59"/>
      <c r="S2087" s="88"/>
      <c r="T2087" s="65"/>
      <c r="U2087" s="88"/>
      <c r="V2087" s="65"/>
    </row>
    <row r="2088">
      <c r="A2088" s="226" t="s">
        <v>3751</v>
      </c>
      <c r="B2088" s="75" t="s">
        <v>129</v>
      </c>
      <c r="C2088" s="76"/>
      <c r="D2088" s="76" t="str">
        <f t="shared" si="166"/>
        <v>Removed</v>
      </c>
      <c r="E2088" s="218">
        <v>42887.0</v>
      </c>
      <c r="F2088" s="218">
        <v>43160.0</v>
      </c>
      <c r="G2088" s="79">
        <f t="shared" si="2"/>
        <v>9</v>
      </c>
      <c r="H2088" s="90">
        <v>41059.0</v>
      </c>
      <c r="I2088" s="79">
        <f t="shared" si="3"/>
        <v>5.002777778</v>
      </c>
      <c r="J2088" s="106">
        <v>84.0</v>
      </c>
      <c r="K2088" s="106">
        <v>1.5</v>
      </c>
      <c r="L2088" s="83" t="s">
        <v>354</v>
      </c>
      <c r="M2088" s="83"/>
      <c r="N2088" s="83"/>
      <c r="O2088" s="83"/>
      <c r="P2088" s="219"/>
      <c r="Q2088" s="83"/>
      <c r="R2088" s="76"/>
      <c r="S2088" s="90"/>
      <c r="T2088" s="79"/>
      <c r="U2088" s="90"/>
      <c r="V2088" s="79"/>
    </row>
    <row r="2089">
      <c r="A2089" s="207" t="s">
        <v>3752</v>
      </c>
      <c r="B2089" s="54" t="s">
        <v>129</v>
      </c>
      <c r="C2089" s="59"/>
      <c r="D2089" s="59" t="str">
        <f t="shared" si="166"/>
        <v>Removed</v>
      </c>
      <c r="E2089" s="133">
        <v>42887.0</v>
      </c>
      <c r="F2089" s="133">
        <v>43160.0</v>
      </c>
      <c r="G2089" s="65">
        <f t="shared" si="2"/>
        <v>9</v>
      </c>
      <c r="H2089" s="88">
        <v>41688.0</v>
      </c>
      <c r="I2089" s="65">
        <f t="shared" si="3"/>
        <v>3.286111111</v>
      </c>
      <c r="J2089" s="121">
        <v>76.0</v>
      </c>
      <c r="K2089" s="121">
        <v>5.5</v>
      </c>
      <c r="L2089" s="69" t="s">
        <v>57</v>
      </c>
      <c r="M2089" s="91"/>
      <c r="N2089" s="91"/>
      <c r="O2089" s="91"/>
      <c r="P2089" s="134"/>
      <c r="Q2089" s="91"/>
      <c r="R2089" s="59"/>
      <c r="S2089" s="88"/>
      <c r="T2089" s="65"/>
      <c r="U2089" s="88"/>
      <c r="V2089" s="65"/>
    </row>
    <row r="2090">
      <c r="A2090" s="226" t="s">
        <v>3702</v>
      </c>
      <c r="B2090" s="75" t="s">
        <v>129</v>
      </c>
      <c r="C2090" s="76"/>
      <c r="D2090" s="76" t="str">
        <f t="shared" si="166"/>
        <v>Removed</v>
      </c>
      <c r="E2090" s="218">
        <v>42887.0</v>
      </c>
      <c r="F2090" s="218">
        <v>43160.0</v>
      </c>
      <c r="G2090" s="79">
        <f t="shared" si="2"/>
        <v>9</v>
      </c>
      <c r="H2090" s="90">
        <v>41065.0</v>
      </c>
      <c r="I2090" s="79">
        <f t="shared" si="3"/>
        <v>4.988888889</v>
      </c>
      <c r="J2090" s="106">
        <v>81.0</v>
      </c>
      <c r="K2090" s="106">
        <v>0.5</v>
      </c>
      <c r="L2090" s="83" t="s">
        <v>52</v>
      </c>
      <c r="M2090" s="83"/>
      <c r="N2090" s="83"/>
      <c r="O2090" s="83"/>
      <c r="P2090" s="219"/>
      <c r="Q2090" s="83"/>
      <c r="R2090" s="76"/>
      <c r="S2090" s="90"/>
      <c r="T2090" s="79"/>
      <c r="U2090" s="90"/>
      <c r="V2090" s="79"/>
    </row>
    <row r="2091">
      <c r="A2091" s="53" t="s">
        <v>3753</v>
      </c>
      <c r="B2091" s="54" t="s">
        <v>2984</v>
      </c>
      <c r="C2091" s="59"/>
      <c r="D2091" s="59" t="s">
        <v>2985</v>
      </c>
      <c r="E2091" s="133">
        <v>43147.0</v>
      </c>
      <c r="F2091" s="61">
        <v>43159.0</v>
      </c>
      <c r="G2091" s="65">
        <f t="shared" si="2"/>
        <v>0.4</v>
      </c>
      <c r="H2091" s="88">
        <v>40506.0</v>
      </c>
      <c r="I2091" s="65">
        <f t="shared" si="3"/>
        <v>7.227777778</v>
      </c>
      <c r="J2091" s="121">
        <v>59.0</v>
      </c>
      <c r="K2091" s="121">
        <v>1.0</v>
      </c>
      <c r="L2091" s="69" t="s">
        <v>55</v>
      </c>
      <c r="M2091" s="69"/>
      <c r="N2091" s="69" t="s">
        <v>2761</v>
      </c>
      <c r="O2091" s="69"/>
      <c r="P2091" s="122"/>
      <c r="Q2091" s="69"/>
      <c r="R2091" s="59"/>
      <c r="S2091" s="88"/>
      <c r="T2091" s="65"/>
      <c r="U2091" s="88"/>
      <c r="V2091" s="65"/>
    </row>
    <row r="2092">
      <c r="A2092" s="74" t="s">
        <v>3648</v>
      </c>
      <c r="B2092" s="75" t="s">
        <v>2759</v>
      </c>
      <c r="C2092" s="76"/>
      <c r="D2092" s="76" t="s">
        <v>2760</v>
      </c>
      <c r="E2092" s="218">
        <v>43132.0</v>
      </c>
      <c r="F2092" s="77">
        <v>43159.0</v>
      </c>
      <c r="G2092" s="79">
        <f t="shared" si="2"/>
        <v>0.9</v>
      </c>
      <c r="H2092" s="90">
        <v>41543.0</v>
      </c>
      <c r="I2092" s="79">
        <f t="shared" si="3"/>
        <v>4.347222222</v>
      </c>
      <c r="J2092" s="106">
        <v>73.0</v>
      </c>
      <c r="K2092" s="106">
        <v>11.0</v>
      </c>
      <c r="L2092" s="82" t="s">
        <v>37</v>
      </c>
      <c r="M2092" s="82"/>
      <c r="N2092" s="82"/>
      <c r="O2092" s="82"/>
      <c r="P2092" s="107"/>
      <c r="Q2092" s="82"/>
      <c r="R2092" s="76"/>
      <c r="S2092" s="90"/>
      <c r="T2092" s="79"/>
      <c r="U2092" s="90"/>
      <c r="V2092" s="79"/>
    </row>
    <row r="2093">
      <c r="A2093" s="53" t="s">
        <v>3560</v>
      </c>
      <c r="B2093" s="54" t="s">
        <v>2984</v>
      </c>
      <c r="C2093" s="59"/>
      <c r="D2093" s="59" t="s">
        <v>2985</v>
      </c>
      <c r="E2093" s="133">
        <v>43132.0</v>
      </c>
      <c r="F2093" s="61">
        <v>43146.0</v>
      </c>
      <c r="G2093" s="65">
        <f t="shared" si="2"/>
        <v>0.4666666667</v>
      </c>
      <c r="H2093" s="88">
        <v>40316.0</v>
      </c>
      <c r="I2093" s="65">
        <f t="shared" si="3"/>
        <v>7.702777778</v>
      </c>
      <c r="J2093" s="121">
        <v>82.0</v>
      </c>
      <c r="K2093" s="121">
        <v>7.0</v>
      </c>
      <c r="L2093" s="69" t="s">
        <v>55</v>
      </c>
      <c r="M2093" s="69"/>
      <c r="N2093" s="69" t="s">
        <v>2761</v>
      </c>
      <c r="O2093" s="69"/>
      <c r="P2093" s="122"/>
      <c r="Q2093" s="69"/>
      <c r="R2093" s="59"/>
      <c r="S2093" s="88"/>
      <c r="T2093" s="65"/>
      <c r="U2093" s="88"/>
      <c r="V2093" s="65"/>
    </row>
    <row r="2094">
      <c r="A2094" s="74" t="s">
        <v>323</v>
      </c>
      <c r="B2094" s="75" t="s">
        <v>2759</v>
      </c>
      <c r="C2094" s="76"/>
      <c r="D2094" s="76" t="s">
        <v>2760</v>
      </c>
      <c r="E2094" s="218">
        <v>43116.0</v>
      </c>
      <c r="F2094" s="77">
        <v>43146.0</v>
      </c>
      <c r="G2094" s="79">
        <f t="shared" si="2"/>
        <v>0.9666666667</v>
      </c>
      <c r="H2094" s="90">
        <v>41231.0</v>
      </c>
      <c r="I2094" s="79">
        <f t="shared" si="3"/>
        <v>5.161111111</v>
      </c>
      <c r="J2094" s="106">
        <v>77.0</v>
      </c>
      <c r="K2094" s="106">
        <v>19.0</v>
      </c>
      <c r="L2094" s="82" t="s">
        <v>37</v>
      </c>
      <c r="M2094" s="82"/>
      <c r="N2094" s="82"/>
      <c r="O2094" s="82"/>
      <c r="P2094" s="107"/>
      <c r="Q2094" s="82"/>
      <c r="R2094" s="76"/>
      <c r="S2094" s="90"/>
      <c r="T2094" s="79"/>
      <c r="U2094" s="90"/>
      <c r="V2094" s="79"/>
    </row>
    <row r="2095">
      <c r="A2095" s="53" t="s">
        <v>1823</v>
      </c>
      <c r="B2095" s="54" t="s">
        <v>2984</v>
      </c>
      <c r="C2095" s="59"/>
      <c r="D2095" s="59" t="s">
        <v>2985</v>
      </c>
      <c r="E2095" s="133">
        <v>43116.0</v>
      </c>
      <c r="F2095" s="61">
        <v>43131.0</v>
      </c>
      <c r="G2095" s="65">
        <f t="shared" si="2"/>
        <v>0.4666666667</v>
      </c>
      <c r="H2095" s="88">
        <v>39513.0</v>
      </c>
      <c r="I2095" s="65">
        <f t="shared" si="3"/>
        <v>9.861111111</v>
      </c>
      <c r="J2095" s="121">
        <v>72.0</v>
      </c>
      <c r="K2095" s="121">
        <v>6.0</v>
      </c>
      <c r="L2095" s="69" t="s">
        <v>37</v>
      </c>
      <c r="M2095" s="69"/>
      <c r="N2095" s="69" t="s">
        <v>2761</v>
      </c>
      <c r="O2095" s="69"/>
      <c r="P2095" s="122"/>
      <c r="Q2095" s="69"/>
      <c r="R2095" s="59"/>
      <c r="S2095" s="88"/>
      <c r="T2095" s="65"/>
      <c r="U2095" s="88"/>
      <c r="V2095" s="65"/>
    </row>
    <row r="2096">
      <c r="A2096" s="74" t="s">
        <v>3754</v>
      </c>
      <c r="B2096" s="75" t="s">
        <v>2759</v>
      </c>
      <c r="C2096" s="76"/>
      <c r="D2096" s="76" t="s">
        <v>2760</v>
      </c>
      <c r="E2096" s="218">
        <v>43101.0</v>
      </c>
      <c r="F2096" s="77">
        <v>43131.0</v>
      </c>
      <c r="G2096" s="79">
        <f t="shared" si="2"/>
        <v>0.9666666667</v>
      </c>
      <c r="H2096" s="90">
        <v>42146.0</v>
      </c>
      <c r="I2096" s="79">
        <f t="shared" si="3"/>
        <v>2.608333333</v>
      </c>
      <c r="J2096" s="106">
        <v>64.0</v>
      </c>
      <c r="K2096" s="106">
        <v>15.0</v>
      </c>
      <c r="L2096" s="82" t="s">
        <v>417</v>
      </c>
      <c r="M2096" s="82"/>
      <c r="N2096" s="82" t="s">
        <v>2761</v>
      </c>
      <c r="O2096" s="82"/>
      <c r="P2096" s="107"/>
      <c r="Q2096" s="82"/>
      <c r="R2096" s="76"/>
      <c r="S2096" s="90"/>
      <c r="T2096" s="79"/>
      <c r="U2096" s="90"/>
      <c r="V2096" s="79"/>
    </row>
    <row r="2097">
      <c r="A2097" s="53" t="s">
        <v>3755</v>
      </c>
      <c r="B2097" s="54" t="s">
        <v>129</v>
      </c>
      <c r="C2097" s="59"/>
      <c r="D2097" s="59" t="str">
        <f>IF(E2097&gt;TODAY(),"Coming Soon",IF(F2097="","Active",IF(F2097&gt;TODAY(),"Leaving Soon","Removed")))</f>
        <v>Removed</v>
      </c>
      <c r="E2097" s="133">
        <v>42887.0</v>
      </c>
      <c r="F2097" s="61">
        <v>43131.0</v>
      </c>
      <c r="G2097" s="65">
        <f t="shared" si="2"/>
        <v>7.966666667</v>
      </c>
      <c r="H2097" s="88">
        <v>42304.0</v>
      </c>
      <c r="I2097" s="65">
        <f t="shared" si="3"/>
        <v>1.594444444</v>
      </c>
      <c r="J2097" s="121">
        <v>72.0</v>
      </c>
      <c r="K2097" s="121">
        <v>15.5</v>
      </c>
      <c r="L2097" s="69" t="s">
        <v>3744</v>
      </c>
      <c r="M2097" s="69"/>
      <c r="N2097" s="69"/>
      <c r="O2097" s="69"/>
      <c r="P2097" s="122"/>
      <c r="Q2097" s="69"/>
      <c r="R2097" s="59"/>
      <c r="S2097" s="88"/>
      <c r="T2097" s="65"/>
      <c r="U2097" s="88"/>
      <c r="V2097" s="65"/>
    </row>
    <row r="2098">
      <c r="A2098" s="74" t="s">
        <v>3756</v>
      </c>
      <c r="B2098" s="75" t="s">
        <v>2984</v>
      </c>
      <c r="C2098" s="76"/>
      <c r="D2098" s="76" t="s">
        <v>2985</v>
      </c>
      <c r="E2098" s="218">
        <v>43101.0</v>
      </c>
      <c r="F2098" s="77">
        <v>43115.0</v>
      </c>
      <c r="G2098" s="79">
        <f t="shared" si="2"/>
        <v>0.4666666667</v>
      </c>
      <c r="H2098" s="90">
        <v>39770.0</v>
      </c>
      <c r="I2098" s="79">
        <f t="shared" si="3"/>
        <v>9.119444444</v>
      </c>
      <c r="J2098" s="106">
        <v>76.0</v>
      </c>
      <c r="K2098" s="106">
        <v>10.0</v>
      </c>
      <c r="L2098" s="82" t="s">
        <v>417</v>
      </c>
      <c r="M2098" s="82"/>
      <c r="N2098" s="82" t="s">
        <v>2761</v>
      </c>
      <c r="O2098" s="82"/>
      <c r="P2098" s="107"/>
      <c r="Q2098" s="82"/>
      <c r="R2098" s="76"/>
      <c r="S2098" s="90"/>
      <c r="T2098" s="79"/>
      <c r="U2098" s="90"/>
      <c r="V2098" s="79"/>
    </row>
    <row r="2099">
      <c r="A2099" s="53" t="s">
        <v>3757</v>
      </c>
      <c r="B2099" s="54" t="s">
        <v>2759</v>
      </c>
      <c r="C2099" s="59"/>
      <c r="D2099" s="59" t="s">
        <v>2760</v>
      </c>
      <c r="E2099" s="133">
        <v>43085.0</v>
      </c>
      <c r="F2099" s="61">
        <v>43115.0</v>
      </c>
      <c r="G2099" s="65">
        <f t="shared" si="2"/>
        <v>0.9666666667</v>
      </c>
      <c r="H2099" s="88">
        <v>42290.0</v>
      </c>
      <c r="I2099" s="65">
        <f t="shared" si="3"/>
        <v>2.175</v>
      </c>
      <c r="J2099" s="121">
        <v>74.0</v>
      </c>
      <c r="K2099" s="121">
        <v>10.0</v>
      </c>
      <c r="L2099" s="69" t="s">
        <v>417</v>
      </c>
      <c r="M2099" s="69"/>
      <c r="N2099" s="69"/>
      <c r="O2099" s="69"/>
      <c r="P2099" s="122"/>
      <c r="Q2099" s="69"/>
      <c r="R2099" s="59"/>
      <c r="S2099" s="88"/>
      <c r="T2099" s="65"/>
      <c r="U2099" s="88"/>
      <c r="V2099" s="65"/>
    </row>
    <row r="2100">
      <c r="A2100" s="74" t="s">
        <v>3758</v>
      </c>
      <c r="B2100" s="75" t="s">
        <v>2984</v>
      </c>
      <c r="C2100" s="76"/>
      <c r="D2100" s="76" t="s">
        <v>2985</v>
      </c>
      <c r="E2100" s="218">
        <v>43085.0</v>
      </c>
      <c r="F2100" s="77">
        <v>43100.0</v>
      </c>
      <c r="G2100" s="79">
        <f t="shared" si="2"/>
        <v>0.4666666667</v>
      </c>
      <c r="H2100" s="90">
        <v>41537.0</v>
      </c>
      <c r="I2100" s="79">
        <f t="shared" si="3"/>
        <v>4.238888889</v>
      </c>
      <c r="J2100" s="106">
        <v>66.0</v>
      </c>
      <c r="K2100" s="106">
        <v>6.0</v>
      </c>
      <c r="L2100" s="82" t="s">
        <v>417</v>
      </c>
      <c r="M2100" s="82"/>
      <c r="N2100" s="82" t="s">
        <v>2761</v>
      </c>
      <c r="O2100" s="82"/>
      <c r="P2100" s="107"/>
      <c r="Q2100" s="82"/>
      <c r="R2100" s="76"/>
      <c r="S2100" s="90"/>
      <c r="T2100" s="79"/>
      <c r="U2100" s="90"/>
      <c r="V2100" s="79"/>
    </row>
    <row r="2101">
      <c r="A2101" s="53" t="s">
        <v>3759</v>
      </c>
      <c r="B2101" s="54" t="s">
        <v>2759</v>
      </c>
      <c r="C2101" s="59"/>
      <c r="D2101" s="59" t="s">
        <v>2760</v>
      </c>
      <c r="E2101" s="133">
        <v>43070.0</v>
      </c>
      <c r="F2101" s="61">
        <v>43100.0</v>
      </c>
      <c r="G2101" s="65">
        <f t="shared" si="2"/>
        <v>0.9666666667</v>
      </c>
      <c r="H2101" s="88">
        <v>42300.0</v>
      </c>
      <c r="I2101" s="65">
        <f t="shared" si="3"/>
        <v>2.105555556</v>
      </c>
      <c r="J2101" s="121">
        <v>79.0</v>
      </c>
      <c r="K2101" s="121">
        <v>9.0</v>
      </c>
      <c r="L2101" s="69" t="s">
        <v>37</v>
      </c>
      <c r="M2101" s="69"/>
      <c r="N2101" s="69" t="s">
        <v>2761</v>
      </c>
      <c r="O2101" s="69"/>
      <c r="P2101" s="122"/>
      <c r="Q2101" s="69"/>
      <c r="R2101" s="59"/>
      <c r="S2101" s="88"/>
      <c r="T2101" s="65"/>
      <c r="U2101" s="88"/>
      <c r="V2101" s="65"/>
    </row>
    <row r="2102">
      <c r="A2102" s="74" t="s">
        <v>3760</v>
      </c>
      <c r="B2102" s="75" t="s">
        <v>129</v>
      </c>
      <c r="C2102" s="76"/>
      <c r="D2102" s="76" t="str">
        <f>IF(E2102&gt;TODAY(),"Coming Soon",IF(F2102="","Active",IF(F2102&gt;TODAY(),"Leaving Soon","Removed")))</f>
        <v>Removed</v>
      </c>
      <c r="E2102" s="218">
        <v>42887.0</v>
      </c>
      <c r="F2102" s="77">
        <v>43100.0</v>
      </c>
      <c r="G2102" s="79">
        <f t="shared" si="2"/>
        <v>6.966666667</v>
      </c>
      <c r="H2102" s="90">
        <v>42272.0</v>
      </c>
      <c r="I2102" s="79">
        <f t="shared" si="3"/>
        <v>1.683333333</v>
      </c>
      <c r="J2102" s="106">
        <v>86.0</v>
      </c>
      <c r="K2102" s="106">
        <v>23.5</v>
      </c>
      <c r="L2102" s="82" t="s">
        <v>62</v>
      </c>
      <c r="M2102" s="82"/>
      <c r="N2102" s="82"/>
      <c r="O2102" s="82"/>
      <c r="P2102" s="107"/>
      <c r="Q2102" s="82"/>
      <c r="R2102" s="76"/>
      <c r="S2102" s="90"/>
      <c r="T2102" s="79"/>
      <c r="U2102" s="90"/>
      <c r="V2102" s="79"/>
    </row>
    <row r="2103">
      <c r="A2103" s="53" t="s">
        <v>3761</v>
      </c>
      <c r="B2103" s="54" t="s">
        <v>2984</v>
      </c>
      <c r="C2103" s="59"/>
      <c r="D2103" s="59" t="s">
        <v>2985</v>
      </c>
      <c r="E2103" s="133">
        <v>43070.0</v>
      </c>
      <c r="F2103" s="61">
        <v>43084.0</v>
      </c>
      <c r="G2103" s="65">
        <f t="shared" si="2"/>
        <v>0.4666666667</v>
      </c>
      <c r="H2103" s="88">
        <v>40708.0</v>
      </c>
      <c r="I2103" s="65">
        <f t="shared" si="3"/>
        <v>6.463888889</v>
      </c>
      <c r="J2103" s="121">
        <v>84.0</v>
      </c>
      <c r="K2103" s="121">
        <v>3.0</v>
      </c>
      <c r="L2103" s="69" t="s">
        <v>37</v>
      </c>
      <c r="M2103" s="69"/>
      <c r="N2103" s="69" t="s">
        <v>2761</v>
      </c>
      <c r="O2103" s="69"/>
      <c r="P2103" s="122"/>
      <c r="Q2103" s="69"/>
      <c r="R2103" s="59"/>
      <c r="S2103" s="88"/>
      <c r="T2103" s="65"/>
      <c r="U2103" s="88"/>
      <c r="V2103" s="65"/>
    </row>
    <row r="2104">
      <c r="A2104" s="74" t="s">
        <v>3762</v>
      </c>
      <c r="B2104" s="75" t="s">
        <v>2759</v>
      </c>
      <c r="C2104" s="76"/>
      <c r="D2104" s="76" t="s">
        <v>2760</v>
      </c>
      <c r="E2104" s="218">
        <v>43055.0</v>
      </c>
      <c r="F2104" s="77">
        <v>43084.0</v>
      </c>
      <c r="G2104" s="79">
        <f t="shared" si="2"/>
        <v>0.9666666667</v>
      </c>
      <c r="H2104" s="90">
        <v>42297.0</v>
      </c>
      <c r="I2104" s="79">
        <f t="shared" si="3"/>
        <v>2.072222222</v>
      </c>
      <c r="J2104" s="106">
        <v>85.0</v>
      </c>
      <c r="K2104" s="106">
        <v>10.0</v>
      </c>
      <c r="L2104" s="82" t="s">
        <v>417</v>
      </c>
      <c r="M2104" s="82"/>
      <c r="N2104" s="82"/>
      <c r="O2104" s="82"/>
      <c r="P2104" s="107"/>
      <c r="Q2104" s="82"/>
      <c r="R2104" s="76"/>
      <c r="S2104" s="90"/>
      <c r="T2104" s="79"/>
      <c r="U2104" s="90"/>
      <c r="V2104" s="79"/>
    </row>
    <row r="2105">
      <c r="A2105" s="53" t="s">
        <v>3763</v>
      </c>
      <c r="B2105" s="54" t="s">
        <v>2984</v>
      </c>
      <c r="C2105" s="59"/>
      <c r="D2105" s="59" t="s">
        <v>2985</v>
      </c>
      <c r="E2105" s="133">
        <v>43055.0</v>
      </c>
      <c r="F2105" s="61">
        <v>43069.0</v>
      </c>
      <c r="G2105" s="65">
        <f t="shared" si="2"/>
        <v>0.4666666667</v>
      </c>
      <c r="H2105" s="88">
        <v>41593.0</v>
      </c>
      <c r="I2105" s="65">
        <f t="shared" si="3"/>
        <v>4.002777778</v>
      </c>
      <c r="J2105" s="121">
        <v>53.0</v>
      </c>
      <c r="K2105" s="121">
        <v>8.0</v>
      </c>
      <c r="L2105" s="69" t="s">
        <v>37</v>
      </c>
      <c r="M2105" s="69"/>
      <c r="N2105" s="69" t="s">
        <v>2761</v>
      </c>
      <c r="O2105" s="69"/>
      <c r="P2105" s="122"/>
      <c r="Q2105" s="69"/>
      <c r="R2105" s="59"/>
      <c r="S2105" s="88"/>
      <c r="T2105" s="65"/>
      <c r="U2105" s="88"/>
      <c r="V2105" s="65"/>
    </row>
    <row r="2106">
      <c r="A2106" s="74" t="s">
        <v>313</v>
      </c>
      <c r="B2106" s="75" t="s">
        <v>2759</v>
      </c>
      <c r="C2106" s="76"/>
      <c r="D2106" s="76" t="s">
        <v>2760</v>
      </c>
      <c r="E2106" s="218">
        <v>43040.0</v>
      </c>
      <c r="F2106" s="77">
        <v>43069.0</v>
      </c>
      <c r="G2106" s="79">
        <f t="shared" si="2"/>
        <v>0.9666666667</v>
      </c>
      <c r="H2106" s="90">
        <v>42451.0</v>
      </c>
      <c r="I2106" s="79">
        <f t="shared" si="3"/>
        <v>1.608333333</v>
      </c>
      <c r="J2106" s="106">
        <v>81.0</v>
      </c>
      <c r="K2106" s="106">
        <v>15.0</v>
      </c>
      <c r="L2106" s="82" t="s">
        <v>55</v>
      </c>
      <c r="M2106" s="82"/>
      <c r="N2106" s="82"/>
      <c r="O2106" s="82"/>
      <c r="P2106" s="107"/>
      <c r="Q2106" s="82"/>
      <c r="R2106" s="76"/>
      <c r="S2106" s="90"/>
      <c r="T2106" s="79"/>
      <c r="U2106" s="90"/>
      <c r="V2106" s="79"/>
    </row>
    <row r="2107">
      <c r="A2107" s="53" t="s">
        <v>3764</v>
      </c>
      <c r="B2107" s="54" t="s">
        <v>2984</v>
      </c>
      <c r="C2107" s="59"/>
      <c r="D2107" s="59" t="s">
        <v>2985</v>
      </c>
      <c r="E2107" s="133">
        <v>43040.0</v>
      </c>
      <c r="F2107" s="61">
        <v>43054.0</v>
      </c>
      <c r="G2107" s="65">
        <f t="shared" si="2"/>
        <v>0.4666666667</v>
      </c>
      <c r="H2107" s="88">
        <v>33503.0</v>
      </c>
      <c r="I2107" s="65">
        <f t="shared" si="3"/>
        <v>26.10833333</v>
      </c>
      <c r="J2107" s="121">
        <v>90.0</v>
      </c>
      <c r="K2107" s="121">
        <v>4.0</v>
      </c>
      <c r="L2107" s="69" t="s">
        <v>57</v>
      </c>
      <c r="M2107" s="69"/>
      <c r="N2107" s="69" t="s">
        <v>2761</v>
      </c>
      <c r="O2107" s="69"/>
      <c r="P2107" s="122"/>
      <c r="Q2107" s="69"/>
      <c r="R2107" s="59"/>
      <c r="S2107" s="88"/>
      <c r="T2107" s="65"/>
      <c r="U2107" s="88"/>
      <c r="V2107" s="65"/>
    </row>
    <row r="2108">
      <c r="A2108" s="74" t="s">
        <v>3380</v>
      </c>
      <c r="B2108" s="75" t="s">
        <v>2759</v>
      </c>
      <c r="C2108" s="76"/>
      <c r="D2108" s="76" t="s">
        <v>2760</v>
      </c>
      <c r="E2108" s="218">
        <v>43024.0</v>
      </c>
      <c r="F2108" s="77">
        <v>43054.0</v>
      </c>
      <c r="G2108" s="79">
        <f t="shared" si="2"/>
        <v>0.9666666667</v>
      </c>
      <c r="H2108" s="90">
        <v>42612.0</v>
      </c>
      <c r="I2108" s="79">
        <f t="shared" si="3"/>
        <v>1.127777778</v>
      </c>
      <c r="J2108" s="106">
        <v>82.0</v>
      </c>
      <c r="K2108" s="106">
        <v>5.0</v>
      </c>
      <c r="L2108" s="82" t="s">
        <v>96</v>
      </c>
      <c r="M2108" s="82"/>
      <c r="N2108" s="82"/>
      <c r="O2108" s="82"/>
      <c r="P2108" s="107"/>
      <c r="Q2108" s="82"/>
      <c r="R2108" s="76"/>
      <c r="S2108" s="90"/>
      <c r="T2108" s="79"/>
      <c r="U2108" s="90"/>
      <c r="V2108" s="79"/>
    </row>
    <row r="2109">
      <c r="A2109" s="53" t="s">
        <v>1871</v>
      </c>
      <c r="B2109" s="54" t="s">
        <v>2984</v>
      </c>
      <c r="C2109" s="59"/>
      <c r="D2109" s="59" t="s">
        <v>2985</v>
      </c>
      <c r="E2109" s="133">
        <v>43024.0</v>
      </c>
      <c r="F2109" s="61">
        <v>43039.0</v>
      </c>
      <c r="G2109" s="65">
        <f t="shared" si="2"/>
        <v>0.4666666667</v>
      </c>
      <c r="H2109" s="88">
        <v>39235.0</v>
      </c>
      <c r="I2109" s="65">
        <f t="shared" si="3"/>
        <v>10.37222222</v>
      </c>
      <c r="J2109" s="121">
        <v>87.0</v>
      </c>
      <c r="K2109" s="121">
        <v>6.0</v>
      </c>
      <c r="L2109" s="69" t="s">
        <v>37</v>
      </c>
      <c r="M2109" s="69"/>
      <c r="N2109" s="69" t="s">
        <v>2761</v>
      </c>
      <c r="O2109" s="69"/>
      <c r="P2109" s="122"/>
      <c r="Q2109" s="69"/>
      <c r="R2109" s="59"/>
      <c r="S2109" s="88"/>
      <c r="T2109" s="65"/>
      <c r="U2109" s="88"/>
      <c r="V2109" s="65"/>
    </row>
    <row r="2110">
      <c r="A2110" s="74" t="s">
        <v>3765</v>
      </c>
      <c r="B2110" s="75" t="s">
        <v>2759</v>
      </c>
      <c r="C2110" s="76"/>
      <c r="D2110" s="76" t="s">
        <v>2760</v>
      </c>
      <c r="E2110" s="218">
        <v>43009.0</v>
      </c>
      <c r="F2110" s="77">
        <v>43039.0</v>
      </c>
      <c r="G2110" s="79">
        <f t="shared" si="2"/>
        <v>0.9666666667</v>
      </c>
      <c r="H2110" s="90">
        <v>42597.0</v>
      </c>
      <c r="I2110" s="79">
        <f t="shared" si="3"/>
        <v>1.127777778</v>
      </c>
      <c r="J2110" s="106">
        <v>92.0</v>
      </c>
      <c r="K2110" s="106">
        <v>2.0</v>
      </c>
      <c r="L2110" s="82" t="s">
        <v>135</v>
      </c>
      <c r="M2110" s="82"/>
      <c r="N2110" s="82"/>
      <c r="O2110" s="82"/>
      <c r="P2110" s="107"/>
      <c r="Q2110" s="82"/>
      <c r="R2110" s="76"/>
      <c r="S2110" s="90"/>
      <c r="T2110" s="79"/>
      <c r="U2110" s="90"/>
      <c r="V2110" s="79"/>
    </row>
    <row r="2111">
      <c r="A2111" s="53" t="s">
        <v>3766</v>
      </c>
      <c r="B2111" s="54" t="s">
        <v>2984</v>
      </c>
      <c r="C2111" s="59"/>
      <c r="D2111" s="59" t="s">
        <v>2985</v>
      </c>
      <c r="E2111" s="133">
        <v>43009.0</v>
      </c>
      <c r="F2111" s="61">
        <v>43023.0</v>
      </c>
      <c r="G2111" s="65">
        <f t="shared" si="2"/>
        <v>0.4666666667</v>
      </c>
      <c r="H2111" s="88">
        <v>41180.0</v>
      </c>
      <c r="I2111" s="65">
        <f t="shared" si="3"/>
        <v>5.008333333</v>
      </c>
      <c r="J2111" s="121">
        <v>82.0</v>
      </c>
      <c r="K2111" s="121">
        <v>5.0</v>
      </c>
      <c r="L2111" s="69" t="s">
        <v>57</v>
      </c>
      <c r="M2111" s="69"/>
      <c r="N2111" s="69" t="s">
        <v>2761</v>
      </c>
      <c r="O2111" s="69"/>
      <c r="P2111" s="122"/>
      <c r="Q2111" s="69"/>
      <c r="R2111" s="59"/>
      <c r="S2111" s="88"/>
      <c r="T2111" s="65"/>
      <c r="U2111" s="88"/>
      <c r="V2111" s="65"/>
    </row>
    <row r="2112">
      <c r="A2112" s="74" t="s">
        <v>3190</v>
      </c>
      <c r="B2112" s="75" t="s">
        <v>2759</v>
      </c>
      <c r="C2112" s="76"/>
      <c r="D2112" s="76" t="s">
        <v>2760</v>
      </c>
      <c r="E2112" s="218">
        <v>42994.0</v>
      </c>
      <c r="F2112" s="77">
        <v>43023.0</v>
      </c>
      <c r="G2112" s="79">
        <f t="shared" si="2"/>
        <v>0.9666666667</v>
      </c>
      <c r="H2112" s="90">
        <v>42384.0</v>
      </c>
      <c r="I2112" s="79">
        <f t="shared" si="3"/>
        <v>1.669444444</v>
      </c>
      <c r="J2112" s="106">
        <v>78.0</v>
      </c>
      <c r="K2112" s="106">
        <v>4.0</v>
      </c>
      <c r="L2112" s="82" t="s">
        <v>135</v>
      </c>
      <c r="M2112" s="82"/>
      <c r="N2112" s="82"/>
      <c r="O2112" s="82"/>
      <c r="P2112" s="107"/>
      <c r="Q2112" s="82"/>
      <c r="R2112" s="76"/>
      <c r="S2112" s="90"/>
      <c r="T2112" s="79"/>
      <c r="U2112" s="90"/>
      <c r="V2112" s="79"/>
    </row>
    <row r="2113">
      <c r="A2113" s="53" t="s">
        <v>3767</v>
      </c>
      <c r="B2113" s="54" t="s">
        <v>2984</v>
      </c>
      <c r="C2113" s="59"/>
      <c r="D2113" s="59" t="s">
        <v>2985</v>
      </c>
      <c r="E2113" s="133">
        <v>42994.0</v>
      </c>
      <c r="F2113" s="61">
        <v>43008.0</v>
      </c>
      <c r="G2113" s="65">
        <f t="shared" si="2"/>
        <v>0.4666666667</v>
      </c>
      <c r="H2113" s="88">
        <v>40841.0</v>
      </c>
      <c r="I2113" s="65">
        <f t="shared" si="3"/>
        <v>5.891666667</v>
      </c>
      <c r="J2113" s="121">
        <v>94.0</v>
      </c>
      <c r="K2113" s="121">
        <v>7.0</v>
      </c>
      <c r="L2113" s="69" t="s">
        <v>37</v>
      </c>
      <c r="M2113" s="69"/>
      <c r="N2113" s="69" t="s">
        <v>2761</v>
      </c>
      <c r="O2113" s="69"/>
      <c r="P2113" s="122"/>
      <c r="Q2113" s="69"/>
      <c r="R2113" s="59"/>
      <c r="S2113" s="88"/>
      <c r="T2113" s="65"/>
      <c r="U2113" s="88"/>
      <c r="V2113" s="65"/>
    </row>
    <row r="2114">
      <c r="A2114" s="74" t="s">
        <v>3768</v>
      </c>
      <c r="B2114" s="75" t="s">
        <v>2759</v>
      </c>
      <c r="C2114" s="76"/>
      <c r="D2114" s="76" t="s">
        <v>2760</v>
      </c>
      <c r="E2114" s="218">
        <v>42979.0</v>
      </c>
      <c r="F2114" s="77">
        <v>43008.0</v>
      </c>
      <c r="G2114" s="79">
        <f t="shared" si="2"/>
        <v>0.9666666667</v>
      </c>
      <c r="H2114" s="90">
        <v>41600.0</v>
      </c>
      <c r="I2114" s="79">
        <f t="shared" si="3"/>
        <v>3.775</v>
      </c>
      <c r="J2114" s="106">
        <v>79.0</v>
      </c>
      <c r="K2114" s="106">
        <v>17.0</v>
      </c>
      <c r="L2114" s="82" t="s">
        <v>55</v>
      </c>
      <c r="M2114" s="82"/>
      <c r="N2114" s="82"/>
      <c r="O2114" s="82"/>
      <c r="P2114" s="107"/>
      <c r="Q2114" s="82"/>
      <c r="R2114" s="76"/>
      <c r="S2114" s="90"/>
      <c r="T2114" s="79"/>
      <c r="U2114" s="90"/>
      <c r="V2114" s="79"/>
    </row>
    <row r="2115">
      <c r="A2115" s="53" t="s">
        <v>3769</v>
      </c>
      <c r="B2115" s="54" t="s">
        <v>2984</v>
      </c>
      <c r="C2115" s="59"/>
      <c r="D2115" s="59" t="s">
        <v>2985</v>
      </c>
      <c r="E2115" s="133">
        <v>42979.0</v>
      </c>
      <c r="F2115" s="61">
        <v>42993.0</v>
      </c>
      <c r="G2115" s="65">
        <f t="shared" si="2"/>
        <v>0.4666666667</v>
      </c>
      <c r="H2115" s="88">
        <v>41613.0</v>
      </c>
      <c r="I2115" s="65">
        <f t="shared" si="3"/>
        <v>3.738888889</v>
      </c>
      <c r="J2115" s="121">
        <v>69.0</v>
      </c>
      <c r="K2115" s="121">
        <v>5.0</v>
      </c>
      <c r="L2115" s="69" t="s">
        <v>55</v>
      </c>
      <c r="M2115" s="69"/>
      <c r="N2115" s="69" t="s">
        <v>2761</v>
      </c>
      <c r="O2115" s="69"/>
      <c r="P2115" s="122"/>
      <c r="Q2115" s="69"/>
      <c r="R2115" s="59"/>
      <c r="S2115" s="88"/>
      <c r="T2115" s="65"/>
      <c r="U2115" s="88"/>
      <c r="V2115" s="65"/>
    </row>
    <row r="2116">
      <c r="A2116" s="74" t="s">
        <v>315</v>
      </c>
      <c r="B2116" s="75" t="s">
        <v>2759</v>
      </c>
      <c r="C2116" s="76"/>
      <c r="D2116" s="76" t="s">
        <v>2760</v>
      </c>
      <c r="E2116" s="218">
        <v>42963.0</v>
      </c>
      <c r="F2116" s="77">
        <v>42993.0</v>
      </c>
      <c r="G2116" s="79">
        <f t="shared" si="2"/>
        <v>0.9666666667</v>
      </c>
      <c r="H2116" s="90">
        <v>41751.0</v>
      </c>
      <c r="I2116" s="79">
        <f t="shared" si="3"/>
        <v>3.316666667</v>
      </c>
      <c r="J2116" s="106">
        <v>79.0</v>
      </c>
      <c r="K2116" s="106">
        <v>9.0</v>
      </c>
      <c r="L2116" s="82" t="s">
        <v>55</v>
      </c>
      <c r="M2116" s="82"/>
      <c r="N2116" s="82"/>
      <c r="O2116" s="82"/>
      <c r="P2116" s="107"/>
      <c r="Q2116" s="82"/>
      <c r="R2116" s="76"/>
      <c r="S2116" s="90"/>
      <c r="T2116" s="79"/>
      <c r="U2116" s="90"/>
      <c r="V2116" s="79"/>
    </row>
    <row r="2117">
      <c r="A2117" s="53" t="s">
        <v>3770</v>
      </c>
      <c r="B2117" s="54" t="s">
        <v>2984</v>
      </c>
      <c r="C2117" s="59"/>
      <c r="D2117" s="59" t="s">
        <v>2985</v>
      </c>
      <c r="E2117" s="133">
        <v>42963.0</v>
      </c>
      <c r="F2117" s="61">
        <v>42978.0</v>
      </c>
      <c r="G2117" s="65">
        <f t="shared" si="2"/>
        <v>0.4666666667</v>
      </c>
      <c r="H2117" s="88">
        <v>40701.0</v>
      </c>
      <c r="I2117" s="65">
        <f t="shared" si="3"/>
        <v>6.191666667</v>
      </c>
      <c r="J2117" s="121">
        <v>71.0</v>
      </c>
      <c r="K2117" s="121">
        <v>7.0</v>
      </c>
      <c r="L2117" s="69" t="s">
        <v>37</v>
      </c>
      <c r="M2117" s="69"/>
      <c r="N2117" s="69" t="s">
        <v>2761</v>
      </c>
      <c r="O2117" s="69"/>
      <c r="P2117" s="122"/>
      <c r="Q2117" s="69"/>
      <c r="R2117" s="59"/>
      <c r="S2117" s="88"/>
      <c r="T2117" s="65"/>
      <c r="U2117" s="88"/>
      <c r="V2117" s="65"/>
    </row>
    <row r="2118">
      <c r="A2118" s="74" t="s">
        <v>3002</v>
      </c>
      <c r="B2118" s="75" t="s">
        <v>2759</v>
      </c>
      <c r="C2118" s="76"/>
      <c r="D2118" s="76" t="s">
        <v>2760</v>
      </c>
      <c r="E2118" s="218">
        <v>42948.0</v>
      </c>
      <c r="F2118" s="77">
        <v>42978.0</v>
      </c>
      <c r="G2118" s="79">
        <f t="shared" si="2"/>
        <v>0.9666666667</v>
      </c>
      <c r="H2118" s="90">
        <v>42948.0</v>
      </c>
      <c r="I2118" s="79">
        <f t="shared" si="3"/>
        <v>0</v>
      </c>
      <c r="J2118" s="106">
        <v>81.0</v>
      </c>
      <c r="K2118" s="106">
        <v>17.0</v>
      </c>
      <c r="L2118" s="82" t="s">
        <v>41</v>
      </c>
      <c r="M2118" s="82"/>
      <c r="N2118" s="82" t="s">
        <v>2761</v>
      </c>
      <c r="O2118" s="82"/>
      <c r="P2118" s="107"/>
      <c r="Q2118" s="82"/>
      <c r="R2118" s="76"/>
      <c r="S2118" s="90"/>
      <c r="T2118" s="79"/>
      <c r="U2118" s="90"/>
      <c r="V2118" s="79"/>
    </row>
    <row r="2119">
      <c r="A2119" s="53" t="s">
        <v>3665</v>
      </c>
      <c r="B2119" s="54" t="s">
        <v>2984</v>
      </c>
      <c r="C2119" s="59"/>
      <c r="D2119" s="59" t="s">
        <v>2985</v>
      </c>
      <c r="E2119" s="133">
        <v>42948.0</v>
      </c>
      <c r="F2119" s="61">
        <v>42962.0</v>
      </c>
      <c r="G2119" s="65">
        <f t="shared" si="2"/>
        <v>0.4666666667</v>
      </c>
      <c r="H2119" s="88">
        <v>40183.0</v>
      </c>
      <c r="I2119" s="65">
        <f t="shared" si="3"/>
        <v>7.572222222</v>
      </c>
      <c r="J2119" s="121">
        <v>90.0</v>
      </c>
      <c r="K2119" s="121">
        <v>12.0</v>
      </c>
      <c r="L2119" s="69" t="s">
        <v>417</v>
      </c>
      <c r="M2119" s="69"/>
      <c r="N2119" s="69" t="s">
        <v>2761</v>
      </c>
      <c r="O2119" s="69"/>
      <c r="P2119" s="122"/>
      <c r="Q2119" s="69"/>
      <c r="R2119" s="59"/>
      <c r="S2119" s="88"/>
      <c r="T2119" s="65"/>
      <c r="U2119" s="88"/>
      <c r="V2119" s="65"/>
    </row>
    <row r="2120">
      <c r="A2120" s="74" t="s">
        <v>3771</v>
      </c>
      <c r="B2120" s="75" t="s">
        <v>2759</v>
      </c>
      <c r="C2120" s="76"/>
      <c r="D2120" s="76" t="s">
        <v>2760</v>
      </c>
      <c r="E2120" s="218">
        <v>42932.0</v>
      </c>
      <c r="F2120" s="77">
        <v>42962.0</v>
      </c>
      <c r="G2120" s="79">
        <f t="shared" si="2"/>
        <v>0.9666666667</v>
      </c>
      <c r="H2120" s="90">
        <v>42325.0</v>
      </c>
      <c r="I2120" s="79">
        <f t="shared" si="3"/>
        <v>1.663888889</v>
      </c>
      <c r="J2120" s="106">
        <v>77.0</v>
      </c>
      <c r="K2120" s="106">
        <v>6.0</v>
      </c>
      <c r="L2120" s="82" t="s">
        <v>57</v>
      </c>
      <c r="M2120" s="82"/>
      <c r="N2120" s="82"/>
      <c r="O2120" s="82"/>
      <c r="P2120" s="107"/>
      <c r="Q2120" s="82"/>
      <c r="R2120" s="76"/>
      <c r="S2120" s="90"/>
      <c r="T2120" s="79"/>
      <c r="U2120" s="90"/>
      <c r="V2120" s="79"/>
    </row>
    <row r="2121">
      <c r="A2121" s="53" t="s">
        <v>3772</v>
      </c>
      <c r="B2121" s="54" t="s">
        <v>129</v>
      </c>
      <c r="C2121" s="59"/>
      <c r="D2121" s="59" t="str">
        <f>IF(E2121&gt;TODAY(),"Coming Soon",IF(F2121="","Active",IF(F2121&gt;TODAY(),"Leaving Soon","Removed")))</f>
        <v>Removed</v>
      </c>
      <c r="E2121" s="133">
        <v>42887.0</v>
      </c>
      <c r="F2121" s="61">
        <v>42962.0</v>
      </c>
      <c r="G2121" s="65">
        <f t="shared" si="2"/>
        <v>2.466666667</v>
      </c>
      <c r="H2121" s="88">
        <v>41443.0</v>
      </c>
      <c r="I2121" s="65">
        <f t="shared" si="3"/>
        <v>3.952777778</v>
      </c>
      <c r="J2121" s="121">
        <v>77.0</v>
      </c>
      <c r="K2121" s="121">
        <v>2.0</v>
      </c>
      <c r="L2121" s="69" t="s">
        <v>46</v>
      </c>
      <c r="M2121" s="69"/>
      <c r="N2121" s="69"/>
      <c r="O2121" s="69"/>
      <c r="P2121" s="122"/>
      <c r="Q2121" s="69"/>
      <c r="R2121" s="59"/>
      <c r="S2121" s="88"/>
      <c r="T2121" s="65"/>
      <c r="U2121" s="88"/>
      <c r="V2121" s="65"/>
    </row>
    <row r="2122">
      <c r="A2122" s="74" t="s">
        <v>3773</v>
      </c>
      <c r="B2122" s="75" t="s">
        <v>2984</v>
      </c>
      <c r="C2122" s="76"/>
      <c r="D2122" s="76" t="s">
        <v>2985</v>
      </c>
      <c r="E2122" s="218">
        <v>42932.0</v>
      </c>
      <c r="F2122" s="77">
        <v>42947.0</v>
      </c>
      <c r="G2122" s="79">
        <f t="shared" si="2"/>
        <v>0.4666666667</v>
      </c>
      <c r="H2122" s="90">
        <v>40673.0</v>
      </c>
      <c r="I2122" s="79">
        <f t="shared" si="3"/>
        <v>6.183333333</v>
      </c>
      <c r="J2122" s="106">
        <v>73.0</v>
      </c>
      <c r="K2122" s="106">
        <v>27.0</v>
      </c>
      <c r="L2122" s="82" t="s">
        <v>41</v>
      </c>
      <c r="M2122" s="82"/>
      <c r="N2122" s="82" t="s">
        <v>2761</v>
      </c>
      <c r="O2122" s="82"/>
      <c r="P2122" s="107"/>
      <c r="Q2122" s="82"/>
      <c r="R2122" s="76"/>
      <c r="S2122" s="90"/>
      <c r="T2122" s="79"/>
      <c r="U2122" s="90"/>
      <c r="V2122" s="79"/>
    </row>
    <row r="2123">
      <c r="A2123" s="53" t="s">
        <v>3774</v>
      </c>
      <c r="B2123" s="54" t="s">
        <v>2759</v>
      </c>
      <c r="C2123" s="59"/>
      <c r="D2123" s="59" t="s">
        <v>2760</v>
      </c>
      <c r="E2123" s="133">
        <v>42917.0</v>
      </c>
      <c r="F2123" s="61">
        <v>42947.0</v>
      </c>
      <c r="G2123" s="65">
        <f t="shared" si="2"/>
        <v>0.9666666667</v>
      </c>
      <c r="H2123" s="88">
        <v>42598.0</v>
      </c>
      <c r="I2123" s="65">
        <f t="shared" si="3"/>
        <v>0.875</v>
      </c>
      <c r="J2123" s="121">
        <v>70.0</v>
      </c>
      <c r="K2123" s="121">
        <v>6.0</v>
      </c>
      <c r="L2123" s="69" t="s">
        <v>41</v>
      </c>
      <c r="M2123" s="69"/>
      <c r="N2123" s="69"/>
      <c r="O2123" s="69"/>
      <c r="P2123" s="122"/>
      <c r="Q2123" s="69"/>
      <c r="R2123" s="59"/>
      <c r="S2123" s="88"/>
      <c r="T2123" s="65"/>
      <c r="U2123" s="88"/>
      <c r="V2123" s="65"/>
    </row>
    <row r="2124">
      <c r="A2124" s="74" t="s">
        <v>3775</v>
      </c>
      <c r="B2124" s="75" t="s">
        <v>2984</v>
      </c>
      <c r="C2124" s="76"/>
      <c r="D2124" s="76" t="s">
        <v>2985</v>
      </c>
      <c r="E2124" s="218">
        <v>42917.0</v>
      </c>
      <c r="F2124" s="77">
        <v>42931.0</v>
      </c>
      <c r="G2124" s="79">
        <f t="shared" si="2"/>
        <v>0.4666666667</v>
      </c>
      <c r="H2124" s="90">
        <v>40407.0</v>
      </c>
      <c r="I2124" s="79">
        <f t="shared" si="3"/>
        <v>6.872222222</v>
      </c>
      <c r="J2124" s="106">
        <v>63.0</v>
      </c>
      <c r="K2124" s="106">
        <v>4.0</v>
      </c>
      <c r="L2124" s="82" t="s">
        <v>37</v>
      </c>
      <c r="M2124" s="82"/>
      <c r="N2124" s="82" t="s">
        <v>2761</v>
      </c>
      <c r="O2124" s="82"/>
      <c r="P2124" s="107"/>
      <c r="Q2124" s="82"/>
      <c r="R2124" s="76"/>
      <c r="S2124" s="90"/>
      <c r="T2124" s="79"/>
      <c r="U2124" s="90"/>
      <c r="V2124" s="79"/>
    </row>
    <row r="2125">
      <c r="A2125" s="53" t="s">
        <v>3776</v>
      </c>
      <c r="B2125" s="54" t="s">
        <v>2759</v>
      </c>
      <c r="C2125" s="59"/>
      <c r="D2125" s="59" t="s">
        <v>2760</v>
      </c>
      <c r="E2125" s="133">
        <v>42902.0</v>
      </c>
      <c r="F2125" s="61">
        <v>42931.0</v>
      </c>
      <c r="G2125" s="65">
        <f t="shared" si="2"/>
        <v>0.9666666667</v>
      </c>
      <c r="H2125" s="88">
        <v>41786.0</v>
      </c>
      <c r="I2125" s="65">
        <f t="shared" si="3"/>
        <v>3.052777778</v>
      </c>
      <c r="J2125" s="121">
        <v>79.0</v>
      </c>
      <c r="K2125" s="121">
        <v>20.0</v>
      </c>
      <c r="L2125" s="69" t="s">
        <v>41</v>
      </c>
      <c r="M2125" s="69"/>
      <c r="N2125" s="69"/>
      <c r="O2125" s="69"/>
      <c r="P2125" s="122"/>
      <c r="Q2125" s="69"/>
      <c r="R2125" s="59"/>
      <c r="S2125" s="88"/>
      <c r="T2125" s="65"/>
      <c r="U2125" s="88"/>
      <c r="V2125" s="65"/>
    </row>
    <row r="2126">
      <c r="A2126" s="74" t="s">
        <v>3777</v>
      </c>
      <c r="B2126" s="75" t="s">
        <v>2984</v>
      </c>
      <c r="C2126" s="76"/>
      <c r="D2126" s="76" t="s">
        <v>2985</v>
      </c>
      <c r="E2126" s="218">
        <v>42902.0</v>
      </c>
      <c r="F2126" s="77">
        <v>42916.0</v>
      </c>
      <c r="G2126" s="79">
        <f t="shared" si="2"/>
        <v>0.4666666667</v>
      </c>
      <c r="H2126" s="90">
        <v>40120.0</v>
      </c>
      <c r="I2126" s="79">
        <f t="shared" si="3"/>
        <v>7.619444444</v>
      </c>
      <c r="J2126" s="106">
        <v>91.0</v>
      </c>
      <c r="K2126" s="106">
        <v>63.0</v>
      </c>
      <c r="L2126" s="82" t="s">
        <v>46</v>
      </c>
      <c r="M2126" s="82"/>
      <c r="N2126" s="82" t="s">
        <v>2761</v>
      </c>
      <c r="O2126" s="82"/>
      <c r="P2126" s="107"/>
      <c r="Q2126" s="82"/>
      <c r="R2126" s="76"/>
      <c r="S2126" s="90"/>
      <c r="T2126" s="79"/>
      <c r="U2126" s="90"/>
      <c r="V2126" s="79"/>
    </row>
    <row r="2127">
      <c r="A2127" s="53" t="s">
        <v>3778</v>
      </c>
      <c r="B2127" s="54" t="s">
        <v>2759</v>
      </c>
      <c r="C2127" s="59"/>
      <c r="D2127" s="59" t="s">
        <v>2760</v>
      </c>
      <c r="E2127" s="133">
        <v>42887.0</v>
      </c>
      <c r="F2127" s="61">
        <v>42916.0</v>
      </c>
      <c r="G2127" s="65">
        <f t="shared" si="2"/>
        <v>0.9666666667</v>
      </c>
      <c r="H2127" s="88">
        <v>41500.0</v>
      </c>
      <c r="I2127" s="65">
        <f t="shared" si="3"/>
        <v>3.797222222</v>
      </c>
      <c r="J2127" s="121">
        <v>78.0</v>
      </c>
      <c r="K2127" s="121">
        <v>6.0</v>
      </c>
      <c r="L2127" s="69" t="s">
        <v>41</v>
      </c>
      <c r="M2127" s="69"/>
      <c r="N2127" s="69"/>
      <c r="O2127" s="69"/>
      <c r="P2127" s="122"/>
      <c r="Q2127" s="69"/>
      <c r="R2127" s="59"/>
      <c r="S2127" s="88"/>
      <c r="T2127" s="65"/>
      <c r="U2127" s="88"/>
      <c r="V2127" s="65"/>
    </row>
    <row r="2128">
      <c r="A2128" s="74" t="s">
        <v>3779</v>
      </c>
      <c r="B2128" s="75" t="s">
        <v>2984</v>
      </c>
      <c r="C2128" s="76"/>
      <c r="D2128" s="76" t="s">
        <v>2985</v>
      </c>
      <c r="E2128" s="218">
        <v>42887.0</v>
      </c>
      <c r="F2128" s="77">
        <v>42901.0</v>
      </c>
      <c r="G2128" s="79">
        <f t="shared" si="2"/>
        <v>0.4666666667</v>
      </c>
      <c r="H2128" s="90">
        <v>41235.0</v>
      </c>
      <c r="I2128" s="79">
        <f t="shared" si="3"/>
        <v>4.525</v>
      </c>
      <c r="J2128" s="106">
        <v>85.0</v>
      </c>
      <c r="K2128" s="106">
        <v>19.0</v>
      </c>
      <c r="L2128" s="82" t="s">
        <v>41</v>
      </c>
      <c r="M2128" s="82"/>
      <c r="N2128" s="82" t="s">
        <v>2761</v>
      </c>
      <c r="O2128" s="82"/>
      <c r="P2128" s="107"/>
      <c r="Q2128" s="82"/>
      <c r="R2128" s="76"/>
      <c r="S2128" s="90"/>
      <c r="T2128" s="79"/>
      <c r="U2128" s="90"/>
      <c r="V2128" s="79"/>
    </row>
    <row r="2129">
      <c r="A2129" s="53" t="s">
        <v>242</v>
      </c>
      <c r="B2129" s="54" t="s">
        <v>2759</v>
      </c>
      <c r="C2129" s="59"/>
      <c r="D2129" s="59" t="s">
        <v>2760</v>
      </c>
      <c r="E2129" s="133">
        <v>42871.0</v>
      </c>
      <c r="F2129" s="61">
        <v>42901.0</v>
      </c>
      <c r="G2129" s="65">
        <f t="shared" si="2"/>
        <v>0.9666666667</v>
      </c>
      <c r="H2129" s="88">
        <v>41982.0</v>
      </c>
      <c r="I2129" s="65">
        <f t="shared" si="3"/>
        <v>2.436111111</v>
      </c>
      <c r="J2129" s="121">
        <v>74.0</v>
      </c>
      <c r="K2129" s="121">
        <v>5.0</v>
      </c>
      <c r="L2129" s="69" t="s">
        <v>41</v>
      </c>
      <c r="M2129" s="69"/>
      <c r="N2129" s="69"/>
      <c r="O2129" s="69"/>
      <c r="P2129" s="122"/>
      <c r="Q2129" s="69"/>
      <c r="R2129" s="59"/>
      <c r="S2129" s="88"/>
      <c r="T2129" s="65"/>
      <c r="U2129" s="88"/>
      <c r="V2129" s="65"/>
    </row>
    <row r="2130">
      <c r="A2130" s="74" t="s">
        <v>3780</v>
      </c>
      <c r="B2130" s="75" t="s">
        <v>2984</v>
      </c>
      <c r="C2130" s="76"/>
      <c r="D2130" s="76" t="s">
        <v>2985</v>
      </c>
      <c r="E2130" s="218">
        <v>42871.0</v>
      </c>
      <c r="F2130" s="77">
        <v>42886.0</v>
      </c>
      <c r="G2130" s="79">
        <f t="shared" si="2"/>
        <v>0.4666666667</v>
      </c>
      <c r="H2130" s="90">
        <v>39392.0</v>
      </c>
      <c r="I2130" s="79">
        <f t="shared" si="3"/>
        <v>9.527777778</v>
      </c>
      <c r="J2130" s="106">
        <v>80.0</v>
      </c>
      <c r="K2130" s="106">
        <v>24.0</v>
      </c>
      <c r="L2130" s="82" t="s">
        <v>41</v>
      </c>
      <c r="M2130" s="82"/>
      <c r="N2130" s="82" t="s">
        <v>2761</v>
      </c>
      <c r="O2130" s="82"/>
      <c r="P2130" s="107"/>
      <c r="Q2130" s="82"/>
      <c r="R2130" s="76"/>
      <c r="S2130" s="90"/>
      <c r="T2130" s="79"/>
      <c r="U2130" s="90"/>
      <c r="V2130" s="79"/>
    </row>
    <row r="2131">
      <c r="A2131" s="53" t="s">
        <v>3781</v>
      </c>
      <c r="B2131" s="54" t="s">
        <v>2759</v>
      </c>
      <c r="C2131" s="59"/>
      <c r="D2131" s="59" t="s">
        <v>2760</v>
      </c>
      <c r="E2131" s="133">
        <v>42856.0</v>
      </c>
      <c r="F2131" s="61">
        <v>42886.0</v>
      </c>
      <c r="G2131" s="65">
        <f t="shared" si="2"/>
        <v>0.9666666667</v>
      </c>
      <c r="H2131" s="88">
        <v>41205.0</v>
      </c>
      <c r="I2131" s="65">
        <f t="shared" si="3"/>
        <v>4.522222222</v>
      </c>
      <c r="J2131" s="121">
        <v>83.0</v>
      </c>
      <c r="K2131" s="121">
        <v>8.0</v>
      </c>
      <c r="L2131" s="69" t="s">
        <v>57</v>
      </c>
      <c r="M2131" s="69"/>
      <c r="N2131" s="69"/>
      <c r="O2131" s="69"/>
      <c r="P2131" s="122"/>
      <c r="Q2131" s="69"/>
      <c r="R2131" s="59"/>
      <c r="S2131" s="88"/>
      <c r="T2131" s="65"/>
      <c r="U2131" s="88"/>
      <c r="V2131" s="65"/>
    </row>
    <row r="2132">
      <c r="A2132" s="74" t="s">
        <v>3612</v>
      </c>
      <c r="B2132" s="75" t="s">
        <v>2984</v>
      </c>
      <c r="C2132" s="76"/>
      <c r="D2132" s="76" t="s">
        <v>2985</v>
      </c>
      <c r="E2132" s="218">
        <v>42856.0</v>
      </c>
      <c r="F2132" s="77">
        <v>42870.0</v>
      </c>
      <c r="G2132" s="79">
        <f t="shared" si="2"/>
        <v>0.4666666667</v>
      </c>
      <c r="H2132" s="90">
        <v>40477.0</v>
      </c>
      <c r="I2132" s="79">
        <f t="shared" si="3"/>
        <v>6.513888889</v>
      </c>
      <c r="J2132" s="106">
        <v>74.0</v>
      </c>
      <c r="K2132" s="106">
        <v>8.0</v>
      </c>
      <c r="L2132" s="82" t="s">
        <v>41</v>
      </c>
      <c r="M2132" s="82"/>
      <c r="N2132" s="82" t="s">
        <v>2761</v>
      </c>
      <c r="O2132" s="82"/>
      <c r="P2132" s="107"/>
      <c r="Q2132" s="82"/>
      <c r="R2132" s="76"/>
      <c r="S2132" s="90"/>
      <c r="T2132" s="79"/>
      <c r="U2132" s="90"/>
      <c r="V2132" s="79"/>
    </row>
    <row r="2133">
      <c r="A2133" s="53" t="s">
        <v>1982</v>
      </c>
      <c r="B2133" s="54" t="s">
        <v>2759</v>
      </c>
      <c r="C2133" s="59"/>
      <c r="D2133" s="59" t="s">
        <v>2760</v>
      </c>
      <c r="E2133" s="133">
        <v>42841.0</v>
      </c>
      <c r="F2133" s="61">
        <v>42870.0</v>
      </c>
      <c r="G2133" s="65">
        <f t="shared" si="2"/>
        <v>0.9666666667</v>
      </c>
      <c r="H2133" s="88">
        <v>41625.0</v>
      </c>
      <c r="I2133" s="65">
        <f t="shared" si="3"/>
        <v>3.330555556</v>
      </c>
      <c r="J2133" s="121">
        <v>85.0</v>
      </c>
      <c r="K2133" s="121">
        <v>7.0</v>
      </c>
      <c r="L2133" s="69" t="s">
        <v>135</v>
      </c>
      <c r="M2133" s="69"/>
      <c r="N2133" s="69"/>
      <c r="O2133" s="69"/>
      <c r="P2133" s="122"/>
      <c r="Q2133" s="69"/>
      <c r="R2133" s="59"/>
      <c r="S2133" s="88"/>
      <c r="T2133" s="65"/>
      <c r="U2133" s="88"/>
      <c r="V2133" s="65"/>
    </row>
    <row r="2134">
      <c r="A2134" s="74" t="s">
        <v>278</v>
      </c>
      <c r="B2134" s="75" t="s">
        <v>2984</v>
      </c>
      <c r="C2134" s="76"/>
      <c r="D2134" s="76" t="s">
        <v>2985</v>
      </c>
      <c r="E2134" s="218">
        <v>42841.0</v>
      </c>
      <c r="F2134" s="77">
        <v>42855.0</v>
      </c>
      <c r="G2134" s="79">
        <f t="shared" si="2"/>
        <v>0.4666666667</v>
      </c>
      <c r="H2134" s="90">
        <v>40862.0</v>
      </c>
      <c r="I2134" s="79">
        <f t="shared" si="3"/>
        <v>5.419444444</v>
      </c>
      <c r="J2134" s="106">
        <v>80.0</v>
      </c>
      <c r="K2134" s="106">
        <v>13.0</v>
      </c>
      <c r="L2134" s="82" t="s">
        <v>41</v>
      </c>
      <c r="M2134" s="82"/>
      <c r="N2134" s="82" t="s">
        <v>2761</v>
      </c>
      <c r="O2134" s="82"/>
      <c r="P2134" s="107"/>
      <c r="Q2134" s="82"/>
      <c r="R2134" s="76"/>
      <c r="S2134" s="90"/>
      <c r="T2134" s="79"/>
      <c r="U2134" s="90"/>
      <c r="V2134" s="79"/>
    </row>
    <row r="2135">
      <c r="A2135" s="53" t="s">
        <v>1649</v>
      </c>
      <c r="B2135" s="54" t="s">
        <v>2759</v>
      </c>
      <c r="C2135" s="59"/>
      <c r="D2135" s="59" t="s">
        <v>2760</v>
      </c>
      <c r="E2135" s="133">
        <v>42826.0</v>
      </c>
      <c r="F2135" s="61">
        <v>42855.0</v>
      </c>
      <c r="G2135" s="65">
        <f t="shared" si="2"/>
        <v>0.9666666667</v>
      </c>
      <c r="H2135" s="88">
        <v>41600.0</v>
      </c>
      <c r="I2135" s="65">
        <f t="shared" si="3"/>
        <v>3.358333333</v>
      </c>
      <c r="J2135" s="121">
        <v>69.0</v>
      </c>
      <c r="K2135" s="121">
        <v>7.0</v>
      </c>
      <c r="L2135" s="69" t="s">
        <v>41</v>
      </c>
      <c r="M2135" s="69"/>
      <c r="N2135" s="69"/>
      <c r="O2135" s="69"/>
      <c r="P2135" s="122"/>
      <c r="Q2135" s="69"/>
      <c r="R2135" s="59"/>
      <c r="S2135" s="88"/>
      <c r="T2135" s="65"/>
      <c r="U2135" s="88"/>
      <c r="V2135" s="65"/>
    </row>
    <row r="2136">
      <c r="A2136" s="74" t="s">
        <v>3782</v>
      </c>
      <c r="B2136" s="75" t="s">
        <v>2984</v>
      </c>
      <c r="C2136" s="76"/>
      <c r="D2136" s="76" t="s">
        <v>2985</v>
      </c>
      <c r="E2136" s="218">
        <v>42826.0</v>
      </c>
      <c r="F2136" s="77">
        <v>42840.0</v>
      </c>
      <c r="G2136" s="79">
        <f t="shared" si="2"/>
        <v>0.4666666667</v>
      </c>
      <c r="H2136" s="90">
        <v>40183.0</v>
      </c>
      <c r="I2136" s="79">
        <f t="shared" si="3"/>
        <v>7.238888889</v>
      </c>
      <c r="J2136" s="106">
        <v>85.0</v>
      </c>
      <c r="K2136" s="106">
        <v>14.0</v>
      </c>
      <c r="L2136" s="82" t="s">
        <v>41</v>
      </c>
      <c r="M2136" s="82" t="s">
        <v>72</v>
      </c>
      <c r="N2136" s="82" t="s">
        <v>2761</v>
      </c>
      <c r="O2136" s="82"/>
      <c r="P2136" s="107"/>
      <c r="Q2136" s="82"/>
      <c r="R2136" s="76"/>
      <c r="S2136" s="90"/>
      <c r="T2136" s="79"/>
      <c r="U2136" s="90"/>
      <c r="V2136" s="79"/>
    </row>
    <row r="2137">
      <c r="A2137" s="53" t="s">
        <v>3783</v>
      </c>
      <c r="B2137" s="54" t="s">
        <v>2759</v>
      </c>
      <c r="C2137" s="59"/>
      <c r="D2137" s="59" t="s">
        <v>2760</v>
      </c>
      <c r="E2137" s="133">
        <v>42810.0</v>
      </c>
      <c r="F2137" s="61">
        <v>42840.0</v>
      </c>
      <c r="G2137" s="65">
        <f t="shared" si="2"/>
        <v>0.9666666667</v>
      </c>
      <c r="H2137" s="88">
        <v>42647.0</v>
      </c>
      <c r="I2137" s="65">
        <f t="shared" si="3"/>
        <v>0.45</v>
      </c>
      <c r="J2137" s="121">
        <v>67.0</v>
      </c>
      <c r="K2137" s="121">
        <v>12.0</v>
      </c>
      <c r="L2137" s="69" t="s">
        <v>37</v>
      </c>
      <c r="M2137" s="69"/>
      <c r="N2137" s="69"/>
      <c r="O2137" s="69"/>
      <c r="P2137" s="122"/>
      <c r="Q2137" s="69"/>
      <c r="R2137" s="59"/>
      <c r="S2137" s="88"/>
      <c r="T2137" s="65"/>
      <c r="U2137" s="88"/>
      <c r="V2137" s="65"/>
    </row>
    <row r="2138">
      <c r="A2138" s="74" t="s">
        <v>1863</v>
      </c>
      <c r="B2138" s="75" t="s">
        <v>2984</v>
      </c>
      <c r="C2138" s="76"/>
      <c r="D2138" s="76" t="s">
        <v>2985</v>
      </c>
      <c r="E2138" s="218">
        <v>42810.0</v>
      </c>
      <c r="F2138" s="77">
        <v>42825.0</v>
      </c>
      <c r="G2138" s="79">
        <f t="shared" si="2"/>
        <v>0.4666666667</v>
      </c>
      <c r="H2138" s="90">
        <v>39009.0</v>
      </c>
      <c r="I2138" s="79">
        <f t="shared" si="3"/>
        <v>10.40833333</v>
      </c>
      <c r="J2138" s="106">
        <v>74.0</v>
      </c>
      <c r="K2138" s="106">
        <v>3.0</v>
      </c>
      <c r="L2138" s="82" t="s">
        <v>37</v>
      </c>
      <c r="M2138" s="82"/>
      <c r="N2138" s="82" t="s">
        <v>2761</v>
      </c>
      <c r="O2138" s="82"/>
      <c r="P2138" s="107"/>
      <c r="Q2138" s="82"/>
      <c r="R2138" s="76"/>
      <c r="S2138" s="90"/>
      <c r="T2138" s="79"/>
      <c r="U2138" s="90"/>
      <c r="V2138" s="79"/>
    </row>
    <row r="2139">
      <c r="A2139" s="53" t="s">
        <v>3618</v>
      </c>
      <c r="B2139" s="54" t="s">
        <v>2759</v>
      </c>
      <c r="C2139" s="59"/>
      <c r="D2139" s="59" t="s">
        <v>2760</v>
      </c>
      <c r="E2139" s="133">
        <v>42795.0</v>
      </c>
      <c r="F2139" s="61">
        <v>42825.0</v>
      </c>
      <c r="G2139" s="65">
        <f t="shared" si="2"/>
        <v>0.9666666667</v>
      </c>
      <c r="H2139" s="88">
        <v>42518.0</v>
      </c>
      <c r="I2139" s="65">
        <f t="shared" si="3"/>
        <v>0.7583333333</v>
      </c>
      <c r="J2139" s="121">
        <v>76.0</v>
      </c>
      <c r="K2139" s="121">
        <v>6.0</v>
      </c>
      <c r="L2139" s="69" t="s">
        <v>41</v>
      </c>
      <c r="M2139" s="69"/>
      <c r="N2139" s="69"/>
      <c r="O2139" s="69"/>
      <c r="P2139" s="122"/>
      <c r="Q2139" s="69"/>
      <c r="R2139" s="59"/>
      <c r="S2139" s="88"/>
      <c r="T2139" s="65"/>
      <c r="U2139" s="88"/>
      <c r="V2139" s="65"/>
    </row>
    <row r="2140">
      <c r="A2140" s="74" t="s">
        <v>3493</v>
      </c>
      <c r="B2140" s="75" t="s">
        <v>2984</v>
      </c>
      <c r="C2140" s="76"/>
      <c r="D2140" s="76" t="s">
        <v>2985</v>
      </c>
      <c r="E2140" s="218">
        <v>42795.0</v>
      </c>
      <c r="F2140" s="77">
        <v>42809.0</v>
      </c>
      <c r="G2140" s="79">
        <f t="shared" si="2"/>
        <v>0.4666666667</v>
      </c>
      <c r="H2140" s="90">
        <v>41170.0</v>
      </c>
      <c r="I2140" s="79">
        <f t="shared" si="3"/>
        <v>4.452777778</v>
      </c>
      <c r="J2140" s="106">
        <v>91.0</v>
      </c>
      <c r="K2140" s="106">
        <v>25.0</v>
      </c>
      <c r="L2140" s="82" t="s">
        <v>37</v>
      </c>
      <c r="M2140" s="82"/>
      <c r="N2140" s="82" t="s">
        <v>2761</v>
      </c>
      <c r="O2140" s="82"/>
      <c r="P2140" s="107"/>
      <c r="Q2140" s="82"/>
      <c r="R2140" s="76"/>
      <c r="S2140" s="90"/>
      <c r="T2140" s="79"/>
      <c r="U2140" s="90"/>
      <c r="V2140" s="79"/>
    </row>
    <row r="2141">
      <c r="A2141" s="53" t="s">
        <v>3784</v>
      </c>
      <c r="B2141" s="54" t="s">
        <v>2759</v>
      </c>
      <c r="C2141" s="59"/>
      <c r="D2141" s="59" t="s">
        <v>2760</v>
      </c>
      <c r="E2141" s="133">
        <v>42782.0</v>
      </c>
      <c r="F2141" s="61">
        <v>42809.0</v>
      </c>
      <c r="G2141" s="65">
        <f t="shared" si="2"/>
        <v>0.9666666667</v>
      </c>
      <c r="H2141" s="88">
        <v>42131.0</v>
      </c>
      <c r="I2141" s="65">
        <f t="shared" si="3"/>
        <v>1.775</v>
      </c>
      <c r="J2141" s="121">
        <v>77.0</v>
      </c>
      <c r="K2141" s="121">
        <v>22.0</v>
      </c>
      <c r="L2141" s="69" t="s">
        <v>55</v>
      </c>
      <c r="M2141" s="69"/>
      <c r="N2141" s="69"/>
      <c r="O2141" s="69"/>
      <c r="P2141" s="122"/>
      <c r="Q2141" s="69"/>
      <c r="R2141" s="59"/>
      <c r="S2141" s="88"/>
      <c r="T2141" s="65"/>
      <c r="U2141" s="88"/>
      <c r="V2141" s="65"/>
    </row>
    <row r="2142">
      <c r="A2142" s="74" t="s">
        <v>3611</v>
      </c>
      <c r="B2142" s="75" t="s">
        <v>2984</v>
      </c>
      <c r="C2142" s="76"/>
      <c r="D2142" s="76" t="s">
        <v>2985</v>
      </c>
      <c r="E2142" s="218">
        <v>42782.0</v>
      </c>
      <c r="F2142" s="77">
        <v>42794.0</v>
      </c>
      <c r="G2142" s="79">
        <f t="shared" si="2"/>
        <v>0.4</v>
      </c>
      <c r="H2142" s="90">
        <v>39707.0</v>
      </c>
      <c r="I2142" s="79">
        <f t="shared" si="3"/>
        <v>8.416666667</v>
      </c>
      <c r="J2142" s="106">
        <v>83.0</v>
      </c>
      <c r="K2142" s="106">
        <v>10.0</v>
      </c>
      <c r="L2142" s="82" t="s">
        <v>41</v>
      </c>
      <c r="M2142" s="82" t="s">
        <v>72</v>
      </c>
      <c r="N2142" s="82" t="s">
        <v>2761</v>
      </c>
      <c r="O2142" s="82"/>
      <c r="P2142" s="107"/>
      <c r="Q2142" s="82"/>
      <c r="R2142" s="76"/>
      <c r="S2142" s="90"/>
      <c r="T2142" s="79"/>
      <c r="U2142" s="90"/>
      <c r="V2142" s="79"/>
    </row>
    <row r="2143">
      <c r="A2143" s="53" t="s">
        <v>3785</v>
      </c>
      <c r="B2143" s="54" t="s">
        <v>2759</v>
      </c>
      <c r="C2143" s="59"/>
      <c r="D2143" s="59" t="s">
        <v>2760</v>
      </c>
      <c r="E2143" s="133">
        <v>42767.0</v>
      </c>
      <c r="F2143" s="61">
        <v>42794.0</v>
      </c>
      <c r="G2143" s="65">
        <f t="shared" si="2"/>
        <v>0.9</v>
      </c>
      <c r="H2143" s="88">
        <v>42256.0</v>
      </c>
      <c r="I2143" s="65">
        <f t="shared" si="3"/>
        <v>1.394444444</v>
      </c>
      <c r="J2143" s="121">
        <v>82.0</v>
      </c>
      <c r="K2143" s="121">
        <v>6.0</v>
      </c>
      <c r="L2143" s="69" t="s">
        <v>41</v>
      </c>
      <c r="M2143" s="69"/>
      <c r="N2143" s="69"/>
      <c r="O2143" s="69"/>
      <c r="P2143" s="122"/>
      <c r="Q2143" s="69"/>
      <c r="R2143" s="59"/>
      <c r="S2143" s="88"/>
      <c r="T2143" s="65"/>
      <c r="U2143" s="88"/>
      <c r="V2143" s="65"/>
    </row>
    <row r="2144">
      <c r="A2144" s="74" t="s">
        <v>3786</v>
      </c>
      <c r="B2144" s="75" t="s">
        <v>2984</v>
      </c>
      <c r="C2144" s="76"/>
      <c r="D2144" s="76" t="s">
        <v>2985</v>
      </c>
      <c r="E2144" s="218">
        <v>42767.0</v>
      </c>
      <c r="F2144" s="77">
        <v>42781.0</v>
      </c>
      <c r="G2144" s="79">
        <f t="shared" si="2"/>
        <v>0.4666666667</v>
      </c>
      <c r="H2144" s="90">
        <v>40374.0</v>
      </c>
      <c r="I2144" s="79">
        <f t="shared" si="3"/>
        <v>6.544444444</v>
      </c>
      <c r="J2144" s="106">
        <v>78.0</v>
      </c>
      <c r="K2144" s="106">
        <v>8.0</v>
      </c>
      <c r="L2144" s="82" t="s">
        <v>135</v>
      </c>
      <c r="M2144" s="82"/>
      <c r="N2144" s="82" t="s">
        <v>2761</v>
      </c>
      <c r="O2144" s="82"/>
      <c r="P2144" s="107"/>
      <c r="Q2144" s="82"/>
      <c r="R2144" s="76"/>
      <c r="S2144" s="90"/>
      <c r="T2144" s="79"/>
      <c r="U2144" s="90"/>
      <c r="V2144" s="79"/>
    </row>
    <row r="2145">
      <c r="A2145" s="53" t="s">
        <v>3787</v>
      </c>
      <c r="B2145" s="54" t="s">
        <v>2759</v>
      </c>
      <c r="C2145" s="59"/>
      <c r="D2145" s="59" t="s">
        <v>2760</v>
      </c>
      <c r="E2145" s="133">
        <v>42751.0</v>
      </c>
      <c r="F2145" s="61">
        <v>42781.0</v>
      </c>
      <c r="G2145" s="65">
        <f t="shared" si="2"/>
        <v>0.9666666667</v>
      </c>
      <c r="H2145" s="88">
        <v>42703.0</v>
      </c>
      <c r="I2145" s="65">
        <f t="shared" si="3"/>
        <v>0.1305555556</v>
      </c>
      <c r="J2145" s="121">
        <v>79.0</v>
      </c>
      <c r="K2145" s="121">
        <v>6.0</v>
      </c>
      <c r="L2145" s="69" t="s">
        <v>52</v>
      </c>
      <c r="M2145" s="69"/>
      <c r="N2145" s="69"/>
      <c r="O2145" s="69"/>
      <c r="P2145" s="122"/>
      <c r="Q2145" s="69"/>
      <c r="R2145" s="59"/>
      <c r="S2145" s="88"/>
      <c r="T2145" s="65"/>
      <c r="U2145" s="88"/>
      <c r="V2145" s="65"/>
    </row>
    <row r="2146">
      <c r="A2146" s="74" t="s">
        <v>3788</v>
      </c>
      <c r="B2146" s="75" t="s">
        <v>2984</v>
      </c>
      <c r="C2146" s="76"/>
      <c r="D2146" s="76" t="s">
        <v>2985</v>
      </c>
      <c r="E2146" s="218">
        <v>42751.0</v>
      </c>
      <c r="F2146" s="77">
        <v>42766.0</v>
      </c>
      <c r="G2146" s="79">
        <f t="shared" si="2"/>
        <v>0.4666666667</v>
      </c>
      <c r="H2146" s="90">
        <v>40876.0</v>
      </c>
      <c r="I2146" s="79">
        <f t="shared" si="3"/>
        <v>5.130555556</v>
      </c>
      <c r="J2146" s="106">
        <v>88.0</v>
      </c>
      <c r="K2146" s="106">
        <v>10.0</v>
      </c>
      <c r="L2146" s="82" t="s">
        <v>57</v>
      </c>
      <c r="M2146" s="82"/>
      <c r="N2146" s="82" t="s">
        <v>2761</v>
      </c>
      <c r="O2146" s="82"/>
      <c r="P2146" s="107"/>
      <c r="Q2146" s="82"/>
      <c r="R2146" s="76"/>
      <c r="S2146" s="90"/>
      <c r="T2146" s="79"/>
      <c r="U2146" s="90"/>
      <c r="V2146" s="79"/>
    </row>
    <row r="2147">
      <c r="A2147" s="53" t="s">
        <v>3685</v>
      </c>
      <c r="B2147" s="54" t="s">
        <v>2759</v>
      </c>
      <c r="C2147" s="59"/>
      <c r="D2147" s="59" t="s">
        <v>2760</v>
      </c>
      <c r="E2147" s="133">
        <v>42736.0</v>
      </c>
      <c r="F2147" s="61">
        <v>42766.0</v>
      </c>
      <c r="G2147" s="65">
        <f t="shared" si="2"/>
        <v>0.9666666667</v>
      </c>
      <c r="H2147" s="88">
        <v>41500.0</v>
      </c>
      <c r="I2147" s="65">
        <f t="shared" si="3"/>
        <v>3.380555556</v>
      </c>
      <c r="J2147" s="121">
        <v>66.0</v>
      </c>
      <c r="K2147" s="121">
        <v>12.0</v>
      </c>
      <c r="L2147" s="69" t="s">
        <v>3789</v>
      </c>
      <c r="M2147" s="69"/>
      <c r="N2147" s="69"/>
      <c r="O2147" s="69"/>
      <c r="P2147" s="122"/>
      <c r="Q2147" s="69"/>
      <c r="R2147" s="59"/>
      <c r="S2147" s="88"/>
      <c r="T2147" s="65"/>
      <c r="U2147" s="88"/>
      <c r="V2147" s="65"/>
    </row>
    <row r="2148">
      <c r="A2148" s="74" t="s">
        <v>1492</v>
      </c>
      <c r="B2148" s="75" t="s">
        <v>2984</v>
      </c>
      <c r="C2148" s="76"/>
      <c r="D2148" s="76" t="s">
        <v>2985</v>
      </c>
      <c r="E2148" s="218">
        <v>42736.0</v>
      </c>
      <c r="F2148" s="77">
        <v>42750.0</v>
      </c>
      <c r="G2148" s="79">
        <f t="shared" si="2"/>
        <v>0.4666666667</v>
      </c>
      <c r="H2148" s="90">
        <v>41584.0</v>
      </c>
      <c r="I2148" s="79">
        <f t="shared" si="3"/>
        <v>3.152777778</v>
      </c>
      <c r="J2148" s="106">
        <v>72.0</v>
      </c>
      <c r="K2148" s="106">
        <v>5.0</v>
      </c>
      <c r="L2148" s="82" t="s">
        <v>135</v>
      </c>
      <c r="M2148" s="82"/>
      <c r="N2148" s="82" t="s">
        <v>2761</v>
      </c>
      <c r="O2148" s="82"/>
      <c r="P2148" s="107"/>
      <c r="Q2148" s="82"/>
      <c r="R2148" s="76"/>
      <c r="S2148" s="90"/>
      <c r="T2148" s="79"/>
      <c r="U2148" s="90"/>
      <c r="V2148" s="79"/>
    </row>
    <row r="2149">
      <c r="A2149" s="53" t="s">
        <v>3629</v>
      </c>
      <c r="B2149" s="54" t="s">
        <v>2759</v>
      </c>
      <c r="C2149" s="59"/>
      <c r="D2149" s="59" t="s">
        <v>2760</v>
      </c>
      <c r="E2149" s="133">
        <v>42720.0</v>
      </c>
      <c r="F2149" s="61">
        <v>42750.0</v>
      </c>
      <c r="G2149" s="65">
        <f t="shared" si="2"/>
        <v>0.9666666667</v>
      </c>
      <c r="H2149" s="88">
        <v>41521.0</v>
      </c>
      <c r="I2149" s="65">
        <f t="shared" si="3"/>
        <v>3.283333333</v>
      </c>
      <c r="J2149" s="121">
        <v>80.0</v>
      </c>
      <c r="K2149" s="121">
        <v>4.0</v>
      </c>
      <c r="L2149" s="69" t="s">
        <v>76</v>
      </c>
      <c r="M2149" s="69"/>
      <c r="N2149" s="69"/>
      <c r="O2149" s="69"/>
      <c r="P2149" s="122"/>
      <c r="Q2149" s="69"/>
      <c r="R2149" s="59"/>
      <c r="S2149" s="88"/>
      <c r="T2149" s="65"/>
      <c r="U2149" s="88"/>
      <c r="V2149" s="65"/>
    </row>
    <row r="2150">
      <c r="A2150" s="74" t="s">
        <v>3790</v>
      </c>
      <c r="B2150" s="75" t="s">
        <v>2984</v>
      </c>
      <c r="C2150" s="76"/>
      <c r="D2150" s="76" t="s">
        <v>2985</v>
      </c>
      <c r="E2150" s="218">
        <v>42720.0</v>
      </c>
      <c r="F2150" s="77">
        <v>42735.0</v>
      </c>
      <c r="G2150" s="79">
        <f t="shared" si="2"/>
        <v>0.4666666667</v>
      </c>
      <c r="H2150" s="90">
        <v>39469.0</v>
      </c>
      <c r="I2150" s="79">
        <f t="shared" si="3"/>
        <v>8.9</v>
      </c>
      <c r="J2150" s="106">
        <v>88.0</v>
      </c>
      <c r="K2150" s="106">
        <v>10.0</v>
      </c>
      <c r="L2150" s="82" t="s">
        <v>55</v>
      </c>
      <c r="M2150" s="82"/>
      <c r="N2150" s="82" t="s">
        <v>2761</v>
      </c>
      <c r="O2150" s="82"/>
      <c r="P2150" s="107"/>
      <c r="Q2150" s="82"/>
      <c r="R2150" s="76"/>
      <c r="S2150" s="90"/>
      <c r="T2150" s="79"/>
      <c r="U2150" s="90"/>
      <c r="V2150" s="79"/>
    </row>
    <row r="2151">
      <c r="A2151" s="53" t="s">
        <v>3791</v>
      </c>
      <c r="B2151" s="54" t="s">
        <v>2759</v>
      </c>
      <c r="C2151" s="59"/>
      <c r="D2151" s="59" t="s">
        <v>2760</v>
      </c>
      <c r="E2151" s="133">
        <v>42705.0</v>
      </c>
      <c r="F2151" s="61">
        <v>42735.0</v>
      </c>
      <c r="G2151" s="65">
        <f t="shared" si="2"/>
        <v>0.9666666667</v>
      </c>
      <c r="H2151" s="88">
        <v>41926.0</v>
      </c>
      <c r="I2151" s="65">
        <f t="shared" si="3"/>
        <v>2.130555556</v>
      </c>
      <c r="J2151" s="121">
        <v>81.0</v>
      </c>
      <c r="K2151" s="121">
        <v>18.0</v>
      </c>
      <c r="L2151" s="69" t="s">
        <v>41</v>
      </c>
      <c r="M2151" s="69"/>
      <c r="N2151" s="69"/>
      <c r="O2151" s="69"/>
      <c r="P2151" s="122"/>
      <c r="Q2151" s="69"/>
      <c r="R2151" s="59"/>
      <c r="S2151" s="88"/>
      <c r="T2151" s="65"/>
      <c r="U2151" s="88"/>
      <c r="V2151" s="65"/>
    </row>
    <row r="2152">
      <c r="A2152" s="74" t="s">
        <v>3792</v>
      </c>
      <c r="B2152" s="75" t="s">
        <v>2984</v>
      </c>
      <c r="C2152" s="76"/>
      <c r="D2152" s="76" t="s">
        <v>2985</v>
      </c>
      <c r="E2152" s="218">
        <v>42705.0</v>
      </c>
      <c r="F2152" s="77">
        <v>42719.0</v>
      </c>
      <c r="G2152" s="79">
        <f t="shared" si="2"/>
        <v>0.4666666667</v>
      </c>
      <c r="H2152" s="90">
        <v>40716.0</v>
      </c>
      <c r="I2152" s="79">
        <f t="shared" si="3"/>
        <v>5.441666667</v>
      </c>
      <c r="J2152" s="106">
        <v>78.0</v>
      </c>
      <c r="K2152" s="106">
        <v>6.0</v>
      </c>
      <c r="L2152" s="82" t="s">
        <v>57</v>
      </c>
      <c r="M2152" s="82"/>
      <c r="N2152" s="82" t="s">
        <v>2761</v>
      </c>
      <c r="O2152" s="82"/>
      <c r="P2152" s="107"/>
      <c r="Q2152" s="82"/>
      <c r="R2152" s="76"/>
      <c r="S2152" s="90"/>
      <c r="T2152" s="79"/>
      <c r="U2152" s="90"/>
      <c r="V2152" s="79"/>
    </row>
    <row r="2153">
      <c r="A2153" s="53" t="s">
        <v>3793</v>
      </c>
      <c r="B2153" s="54" t="s">
        <v>2759</v>
      </c>
      <c r="C2153" s="59"/>
      <c r="D2153" s="59" t="s">
        <v>2760</v>
      </c>
      <c r="E2153" s="133">
        <v>42690.0</v>
      </c>
      <c r="F2153" s="61">
        <v>42719.0</v>
      </c>
      <c r="G2153" s="65">
        <f t="shared" si="2"/>
        <v>0.9666666667</v>
      </c>
      <c r="H2153" s="88">
        <v>41794.0</v>
      </c>
      <c r="I2153" s="65">
        <f t="shared" si="3"/>
        <v>2.45</v>
      </c>
      <c r="J2153" s="121">
        <v>59.0</v>
      </c>
      <c r="K2153" s="121">
        <v>7.0</v>
      </c>
      <c r="L2153" s="69" t="s">
        <v>135</v>
      </c>
      <c r="M2153" s="69"/>
      <c r="N2153" s="69"/>
      <c r="O2153" s="69"/>
      <c r="P2153" s="122"/>
      <c r="Q2153" s="69"/>
      <c r="R2153" s="59"/>
      <c r="S2153" s="88"/>
      <c r="T2153" s="65"/>
      <c r="U2153" s="88"/>
      <c r="V2153" s="65"/>
    </row>
    <row r="2154">
      <c r="A2154" s="74" t="s">
        <v>285</v>
      </c>
      <c r="B2154" s="75" t="s">
        <v>2984</v>
      </c>
      <c r="C2154" s="76"/>
      <c r="D2154" s="76" t="s">
        <v>2985</v>
      </c>
      <c r="E2154" s="218">
        <v>42690.0</v>
      </c>
      <c r="F2154" s="77">
        <v>42704.0</v>
      </c>
      <c r="G2154" s="79">
        <f t="shared" si="2"/>
        <v>0.4666666667</v>
      </c>
      <c r="H2154" s="90">
        <v>41395.0</v>
      </c>
      <c r="I2154" s="79">
        <f t="shared" si="3"/>
        <v>3.541666667</v>
      </c>
      <c r="J2154" s="106">
        <v>80.0</v>
      </c>
      <c r="K2154" s="106">
        <v>5.0</v>
      </c>
      <c r="L2154" s="82" t="s">
        <v>41</v>
      </c>
      <c r="M2154" s="82"/>
      <c r="N2154" s="82" t="s">
        <v>2761</v>
      </c>
      <c r="O2154" s="82"/>
      <c r="P2154" s="107"/>
      <c r="Q2154" s="82"/>
      <c r="R2154" s="76"/>
      <c r="S2154" s="90"/>
      <c r="T2154" s="79"/>
      <c r="U2154" s="90"/>
      <c r="V2154" s="79"/>
    </row>
    <row r="2155">
      <c r="A2155" s="53" t="s">
        <v>3794</v>
      </c>
      <c r="B2155" s="54" t="s">
        <v>2759</v>
      </c>
      <c r="C2155" s="59"/>
      <c r="D2155" s="59" t="s">
        <v>2760</v>
      </c>
      <c r="E2155" s="133">
        <v>42675.0</v>
      </c>
      <c r="F2155" s="61">
        <v>42704.0</v>
      </c>
      <c r="G2155" s="65">
        <f t="shared" si="2"/>
        <v>0.9666666667</v>
      </c>
      <c r="H2155" s="88">
        <v>41975.0</v>
      </c>
      <c r="I2155" s="65">
        <f t="shared" si="3"/>
        <v>1.913888889</v>
      </c>
      <c r="J2155" s="121">
        <v>64.0</v>
      </c>
      <c r="K2155" s="121">
        <v>6.0</v>
      </c>
      <c r="L2155" s="69" t="s">
        <v>41</v>
      </c>
      <c r="M2155" s="69"/>
      <c r="N2155" s="69"/>
      <c r="O2155" s="69"/>
      <c r="P2155" s="122"/>
      <c r="Q2155" s="69"/>
      <c r="R2155" s="59"/>
      <c r="S2155" s="88"/>
      <c r="T2155" s="65"/>
      <c r="U2155" s="88"/>
      <c r="V2155" s="65"/>
    </row>
    <row r="2156">
      <c r="A2156" s="74" t="s">
        <v>3795</v>
      </c>
      <c r="B2156" s="75" t="s">
        <v>2984</v>
      </c>
      <c r="C2156" s="76"/>
      <c r="D2156" s="76" t="s">
        <v>2985</v>
      </c>
      <c r="E2156" s="218">
        <v>42675.0</v>
      </c>
      <c r="F2156" s="77">
        <v>42689.0</v>
      </c>
      <c r="G2156" s="79">
        <f t="shared" si="2"/>
        <v>0.4666666667</v>
      </c>
      <c r="H2156" s="90">
        <v>40374.0</v>
      </c>
      <c r="I2156" s="79">
        <f t="shared" si="3"/>
        <v>6.294444444</v>
      </c>
      <c r="J2156" s="106">
        <v>86.0</v>
      </c>
      <c r="K2156" s="106">
        <v>7.0</v>
      </c>
      <c r="L2156" s="82" t="s">
        <v>135</v>
      </c>
      <c r="M2156" s="82"/>
      <c r="N2156" s="82" t="s">
        <v>2761</v>
      </c>
      <c r="O2156" s="82"/>
      <c r="P2156" s="107"/>
      <c r="Q2156" s="82"/>
      <c r="R2156" s="76"/>
      <c r="S2156" s="90"/>
      <c r="T2156" s="79"/>
      <c r="U2156" s="90"/>
      <c r="V2156" s="79"/>
    </row>
    <row r="2157">
      <c r="A2157" s="53" t="s">
        <v>3243</v>
      </c>
      <c r="B2157" s="54" t="s">
        <v>2759</v>
      </c>
      <c r="C2157" s="59"/>
      <c r="D2157" s="59" t="s">
        <v>2760</v>
      </c>
      <c r="E2157" s="133">
        <v>42659.0</v>
      </c>
      <c r="F2157" s="61">
        <v>42689.0</v>
      </c>
      <c r="G2157" s="65">
        <f t="shared" si="2"/>
        <v>0.9666666667</v>
      </c>
      <c r="H2157" s="88">
        <v>42048.0</v>
      </c>
      <c r="I2157" s="65">
        <f t="shared" si="3"/>
        <v>1.675</v>
      </c>
      <c r="J2157" s="121">
        <v>79.0</v>
      </c>
      <c r="K2157" s="121">
        <v>15.0</v>
      </c>
      <c r="L2157" s="69" t="s">
        <v>81</v>
      </c>
      <c r="M2157" s="69"/>
      <c r="N2157" s="69"/>
      <c r="O2157" s="69"/>
      <c r="P2157" s="122"/>
      <c r="Q2157" s="69"/>
      <c r="R2157" s="59"/>
      <c r="S2157" s="88"/>
      <c r="T2157" s="65"/>
      <c r="U2157" s="88"/>
      <c r="V2157" s="65"/>
    </row>
    <row r="2158">
      <c r="A2158" s="74" t="s">
        <v>3796</v>
      </c>
      <c r="B2158" s="75" t="s">
        <v>2984</v>
      </c>
      <c r="C2158" s="76"/>
      <c r="D2158" s="76" t="s">
        <v>2985</v>
      </c>
      <c r="E2158" s="218">
        <v>42659.0</v>
      </c>
      <c r="F2158" s="77">
        <v>42674.0</v>
      </c>
      <c r="G2158" s="79">
        <f t="shared" si="2"/>
        <v>0.4666666667</v>
      </c>
      <c r="H2158" s="90">
        <v>40975.0</v>
      </c>
      <c r="I2158" s="79">
        <f t="shared" si="3"/>
        <v>4.608333333</v>
      </c>
      <c r="J2158" s="106">
        <v>64.0</v>
      </c>
      <c r="K2158" s="106">
        <v>6.0</v>
      </c>
      <c r="L2158" s="82" t="s">
        <v>112</v>
      </c>
      <c r="M2158" s="82"/>
      <c r="N2158" s="82" t="s">
        <v>2761</v>
      </c>
      <c r="O2158" s="82"/>
      <c r="P2158" s="107"/>
      <c r="Q2158" s="82"/>
      <c r="R2158" s="76"/>
      <c r="S2158" s="90"/>
      <c r="T2158" s="79"/>
      <c r="U2158" s="90"/>
      <c r="V2158" s="79"/>
    </row>
    <row r="2159">
      <c r="A2159" s="53" t="s">
        <v>3621</v>
      </c>
      <c r="B2159" s="54" t="s">
        <v>2759</v>
      </c>
      <c r="C2159" s="59"/>
      <c r="D2159" s="59" t="s">
        <v>2760</v>
      </c>
      <c r="E2159" s="133">
        <v>42644.0</v>
      </c>
      <c r="F2159" s="61">
        <v>42674.0</v>
      </c>
      <c r="G2159" s="65">
        <f t="shared" si="2"/>
        <v>0.9666666667</v>
      </c>
      <c r="H2159" s="88">
        <v>42459.0</v>
      </c>
      <c r="I2159" s="65">
        <f t="shared" si="3"/>
        <v>0.5027777778</v>
      </c>
      <c r="J2159" s="121">
        <v>80.0</v>
      </c>
      <c r="K2159" s="121">
        <v>12.0</v>
      </c>
      <c r="L2159" s="69" t="s">
        <v>62</v>
      </c>
      <c r="M2159" s="69"/>
      <c r="N2159" s="69"/>
      <c r="O2159" s="69"/>
      <c r="P2159" s="122"/>
      <c r="Q2159" s="69"/>
      <c r="R2159" s="59"/>
      <c r="S2159" s="88"/>
      <c r="T2159" s="65"/>
      <c r="U2159" s="88"/>
      <c r="V2159" s="65"/>
    </row>
    <row r="2160">
      <c r="A2160" s="74" t="s">
        <v>3797</v>
      </c>
      <c r="B2160" s="75" t="s">
        <v>2984</v>
      </c>
      <c r="C2160" s="76"/>
      <c r="D2160" s="76" t="s">
        <v>2985</v>
      </c>
      <c r="E2160" s="218">
        <v>42644.0</v>
      </c>
      <c r="F2160" s="77">
        <v>42658.0</v>
      </c>
      <c r="G2160" s="79">
        <f t="shared" si="2"/>
        <v>0.4666666667</v>
      </c>
      <c r="H2160" s="90">
        <v>39870.0</v>
      </c>
      <c r="I2160" s="79">
        <f t="shared" si="3"/>
        <v>7.597222222</v>
      </c>
      <c r="J2160" s="106">
        <v>77.0</v>
      </c>
      <c r="K2160" s="106">
        <v>8.0</v>
      </c>
      <c r="L2160" s="82" t="s">
        <v>55</v>
      </c>
      <c r="M2160" s="82"/>
      <c r="N2160" s="82" t="s">
        <v>2761</v>
      </c>
      <c r="O2160" s="82"/>
      <c r="P2160" s="107"/>
      <c r="Q2160" s="82"/>
      <c r="R2160" s="76"/>
      <c r="S2160" s="90"/>
      <c r="T2160" s="79"/>
      <c r="U2160" s="90"/>
      <c r="V2160" s="79"/>
    </row>
    <row r="2161">
      <c r="A2161" s="53" t="s">
        <v>274</v>
      </c>
      <c r="B2161" s="54" t="s">
        <v>2759</v>
      </c>
      <c r="C2161" s="59"/>
      <c r="D2161" s="59" t="s">
        <v>2760</v>
      </c>
      <c r="E2161" s="133">
        <v>42629.0</v>
      </c>
      <c r="F2161" s="61">
        <v>42658.0</v>
      </c>
      <c r="G2161" s="65">
        <f t="shared" si="2"/>
        <v>0.9666666667</v>
      </c>
      <c r="H2161" s="88">
        <v>42115.0</v>
      </c>
      <c r="I2161" s="65">
        <f t="shared" si="3"/>
        <v>1.402777778</v>
      </c>
      <c r="J2161" s="121">
        <v>69.0</v>
      </c>
      <c r="K2161" s="121">
        <v>6.0</v>
      </c>
      <c r="L2161" s="69" t="s">
        <v>41</v>
      </c>
      <c r="M2161" s="69"/>
      <c r="N2161" s="69"/>
      <c r="O2161" s="69"/>
      <c r="P2161" s="122"/>
      <c r="Q2161" s="69"/>
      <c r="R2161" s="59"/>
      <c r="S2161" s="88"/>
      <c r="T2161" s="65"/>
      <c r="U2161" s="88"/>
      <c r="V2161" s="65"/>
    </row>
    <row r="2162">
      <c r="A2162" s="74" t="s">
        <v>1872</v>
      </c>
      <c r="B2162" s="75" t="s">
        <v>2984</v>
      </c>
      <c r="C2162" s="76"/>
      <c r="D2162" s="76" t="s">
        <v>2985</v>
      </c>
      <c r="E2162" s="218">
        <v>42629.0</v>
      </c>
      <c r="F2162" s="77">
        <v>42643.0</v>
      </c>
      <c r="G2162" s="79">
        <f t="shared" si="2"/>
        <v>0.4666666667</v>
      </c>
      <c r="H2162" s="90">
        <v>39763.0</v>
      </c>
      <c r="I2162" s="79">
        <f t="shared" si="3"/>
        <v>7.847222222</v>
      </c>
      <c r="J2162" s="106">
        <v>79.0</v>
      </c>
      <c r="K2162" s="106">
        <v>8.0</v>
      </c>
      <c r="L2162" s="82" t="s">
        <v>41</v>
      </c>
      <c r="M2162" s="82" t="s">
        <v>72</v>
      </c>
      <c r="N2162" s="82" t="s">
        <v>2761</v>
      </c>
      <c r="O2162" s="82"/>
      <c r="P2162" s="107"/>
      <c r="Q2162" s="82"/>
      <c r="R2162" s="76"/>
      <c r="S2162" s="90"/>
      <c r="T2162" s="79"/>
      <c r="U2162" s="90"/>
      <c r="V2162" s="79"/>
    </row>
    <row r="2163">
      <c r="A2163" s="53" t="s">
        <v>3798</v>
      </c>
      <c r="B2163" s="54" t="s">
        <v>2759</v>
      </c>
      <c r="C2163" s="59"/>
      <c r="D2163" s="59" t="s">
        <v>2760</v>
      </c>
      <c r="E2163" s="133">
        <v>42614.0</v>
      </c>
      <c r="F2163" s="61">
        <v>42643.0</v>
      </c>
      <c r="G2163" s="65">
        <f t="shared" si="2"/>
        <v>0.9666666667</v>
      </c>
      <c r="H2163" s="88">
        <v>42290.0</v>
      </c>
      <c r="I2163" s="65">
        <f t="shared" si="3"/>
        <v>0.8833333333</v>
      </c>
      <c r="J2163" s="121">
        <v>72.0</v>
      </c>
      <c r="K2163" s="121">
        <v>22.0</v>
      </c>
      <c r="L2163" s="69" t="s">
        <v>46</v>
      </c>
      <c r="M2163" s="69"/>
      <c r="N2163" s="69"/>
      <c r="O2163" s="69"/>
      <c r="P2163" s="122"/>
      <c r="Q2163" s="69"/>
      <c r="R2163" s="59"/>
      <c r="S2163" s="88"/>
      <c r="T2163" s="65"/>
      <c r="U2163" s="88"/>
      <c r="V2163" s="65"/>
    </row>
    <row r="2164">
      <c r="A2164" s="74" t="s">
        <v>3799</v>
      </c>
      <c r="B2164" s="75" t="s">
        <v>2984</v>
      </c>
      <c r="C2164" s="76"/>
      <c r="D2164" s="76" t="s">
        <v>2985</v>
      </c>
      <c r="E2164" s="218">
        <v>42614.0</v>
      </c>
      <c r="F2164" s="77">
        <v>42628.0</v>
      </c>
      <c r="G2164" s="79">
        <f t="shared" si="2"/>
        <v>0.4666666667</v>
      </c>
      <c r="H2164" s="90">
        <v>41205.0</v>
      </c>
      <c r="I2164" s="79">
        <f t="shared" si="3"/>
        <v>3.855555556</v>
      </c>
      <c r="J2164" s="106">
        <v>86.0</v>
      </c>
      <c r="K2164" s="106">
        <v>16.0</v>
      </c>
      <c r="L2164" s="82" t="s">
        <v>55</v>
      </c>
      <c r="M2164" s="82" t="s">
        <v>72</v>
      </c>
      <c r="N2164" s="82" t="s">
        <v>2761</v>
      </c>
      <c r="O2164" s="82"/>
      <c r="P2164" s="107"/>
      <c r="Q2164" s="82"/>
      <c r="R2164" s="76"/>
      <c r="S2164" s="90"/>
      <c r="T2164" s="79"/>
      <c r="U2164" s="90"/>
      <c r="V2164" s="79"/>
    </row>
    <row r="2165">
      <c r="A2165" s="53" t="s">
        <v>3755</v>
      </c>
      <c r="B2165" s="54" t="s">
        <v>2759</v>
      </c>
      <c r="C2165" s="59"/>
      <c r="D2165" s="59" t="s">
        <v>2760</v>
      </c>
      <c r="E2165" s="133">
        <v>42598.0</v>
      </c>
      <c r="F2165" s="61">
        <v>42628.0</v>
      </c>
      <c r="G2165" s="65">
        <f t="shared" si="2"/>
        <v>0.9666666667</v>
      </c>
      <c r="H2165" s="88">
        <v>42304.0</v>
      </c>
      <c r="I2165" s="65">
        <f t="shared" si="3"/>
        <v>0.8027777778</v>
      </c>
      <c r="J2165" s="121">
        <v>66.0</v>
      </c>
      <c r="K2165" s="121">
        <v>8.0</v>
      </c>
      <c r="L2165" s="69" t="s">
        <v>62</v>
      </c>
      <c r="M2165" s="69"/>
      <c r="N2165" s="69"/>
      <c r="O2165" s="69"/>
      <c r="P2165" s="122"/>
      <c r="Q2165" s="69"/>
      <c r="R2165" s="59"/>
      <c r="S2165" s="88"/>
      <c r="T2165" s="65"/>
      <c r="U2165" s="88"/>
      <c r="V2165" s="65"/>
    </row>
    <row r="2166">
      <c r="A2166" s="74" t="s">
        <v>3800</v>
      </c>
      <c r="B2166" s="75" t="s">
        <v>2984</v>
      </c>
      <c r="C2166" s="76"/>
      <c r="D2166" s="76" t="s">
        <v>2985</v>
      </c>
      <c r="E2166" s="218">
        <v>42598.0</v>
      </c>
      <c r="F2166" s="77">
        <v>42613.0</v>
      </c>
      <c r="G2166" s="79">
        <f t="shared" si="2"/>
        <v>0.4666666667</v>
      </c>
      <c r="H2166" s="90">
        <v>40880.0</v>
      </c>
      <c r="I2166" s="79">
        <f t="shared" si="3"/>
        <v>4.702777778</v>
      </c>
      <c r="J2166" s="106">
        <v>86.0</v>
      </c>
      <c r="K2166" s="106">
        <v>18.0</v>
      </c>
      <c r="L2166" s="82" t="s">
        <v>41</v>
      </c>
      <c r="M2166" s="82"/>
      <c r="N2166" s="82" t="s">
        <v>2761</v>
      </c>
      <c r="O2166" s="82"/>
      <c r="P2166" s="107"/>
      <c r="Q2166" s="82"/>
      <c r="R2166" s="76"/>
      <c r="S2166" s="90"/>
      <c r="T2166" s="79"/>
      <c r="U2166" s="90"/>
      <c r="V2166" s="79"/>
    </row>
    <row r="2167">
      <c r="A2167" s="53" t="s">
        <v>3801</v>
      </c>
      <c r="B2167" s="54" t="s">
        <v>2759</v>
      </c>
      <c r="C2167" s="59"/>
      <c r="D2167" s="59" t="s">
        <v>2760</v>
      </c>
      <c r="E2167" s="133">
        <v>42583.0</v>
      </c>
      <c r="F2167" s="61">
        <v>42613.0</v>
      </c>
      <c r="G2167" s="65">
        <f t="shared" si="2"/>
        <v>0.9666666667</v>
      </c>
      <c r="H2167" s="88">
        <v>41542.0</v>
      </c>
      <c r="I2167" s="65">
        <f t="shared" si="3"/>
        <v>2.85</v>
      </c>
      <c r="J2167" s="121">
        <v>75.0</v>
      </c>
      <c r="K2167" s="121">
        <v>28.0</v>
      </c>
      <c r="L2167" s="69" t="s">
        <v>105</v>
      </c>
      <c r="M2167" s="69"/>
      <c r="N2167" s="69"/>
      <c r="O2167" s="69"/>
      <c r="P2167" s="122"/>
      <c r="Q2167" s="69"/>
      <c r="R2167" s="59"/>
      <c r="S2167" s="88"/>
      <c r="T2167" s="65"/>
      <c r="U2167" s="88"/>
      <c r="V2167" s="65"/>
    </row>
    <row r="2168">
      <c r="A2168" s="74" t="s">
        <v>3581</v>
      </c>
      <c r="B2168" s="75" t="s">
        <v>2984</v>
      </c>
      <c r="C2168" s="76"/>
      <c r="D2168" s="76" t="s">
        <v>2985</v>
      </c>
      <c r="E2168" s="218">
        <v>42583.0</v>
      </c>
      <c r="F2168" s="77">
        <v>42597.0</v>
      </c>
      <c r="G2168" s="79">
        <f t="shared" si="2"/>
        <v>0.4666666667</v>
      </c>
      <c r="H2168" s="90">
        <v>41262.0</v>
      </c>
      <c r="I2168" s="79">
        <f t="shared" si="3"/>
        <v>3.616666667</v>
      </c>
      <c r="J2168" s="106">
        <v>89.0</v>
      </c>
      <c r="K2168" s="106">
        <v>6.0</v>
      </c>
      <c r="L2168" s="82" t="s">
        <v>57</v>
      </c>
      <c r="M2168" s="82"/>
      <c r="N2168" s="82" t="s">
        <v>2761</v>
      </c>
      <c r="O2168" s="82"/>
      <c r="P2168" s="107"/>
      <c r="Q2168" s="82"/>
      <c r="R2168" s="76"/>
      <c r="S2168" s="90"/>
      <c r="T2168" s="79"/>
      <c r="U2168" s="90"/>
      <c r="V2168" s="79"/>
    </row>
    <row r="2169">
      <c r="A2169" s="53" t="s">
        <v>3802</v>
      </c>
      <c r="B2169" s="54" t="s">
        <v>2759</v>
      </c>
      <c r="C2169" s="59"/>
      <c r="D2169" s="59" t="s">
        <v>2760</v>
      </c>
      <c r="E2169" s="133">
        <v>42567.0</v>
      </c>
      <c r="F2169" s="61">
        <v>42597.0</v>
      </c>
      <c r="G2169" s="65">
        <f t="shared" si="2"/>
        <v>0.9666666667</v>
      </c>
      <c r="H2169" s="88">
        <v>42395.0</v>
      </c>
      <c r="I2169" s="65">
        <f t="shared" si="3"/>
        <v>0.4722222222</v>
      </c>
      <c r="J2169" s="121">
        <v>75.0</v>
      </c>
      <c r="K2169" s="121">
        <v>5.0</v>
      </c>
      <c r="L2169" s="69" t="s">
        <v>96</v>
      </c>
      <c r="M2169" s="69"/>
      <c r="N2169" s="69"/>
      <c r="O2169" s="69"/>
      <c r="P2169" s="122"/>
      <c r="Q2169" s="69"/>
      <c r="R2169" s="59"/>
      <c r="S2169" s="88"/>
      <c r="T2169" s="65"/>
      <c r="U2169" s="88"/>
      <c r="V2169" s="65"/>
    </row>
    <row r="2170">
      <c r="A2170" s="74" t="s">
        <v>3803</v>
      </c>
      <c r="B2170" s="75" t="s">
        <v>2984</v>
      </c>
      <c r="C2170" s="76"/>
      <c r="D2170" s="76" t="s">
        <v>2985</v>
      </c>
      <c r="E2170" s="218">
        <v>42567.0</v>
      </c>
      <c r="F2170" s="77">
        <v>42582.0</v>
      </c>
      <c r="G2170" s="79">
        <f t="shared" si="2"/>
        <v>0.4666666667</v>
      </c>
      <c r="H2170" s="90">
        <v>40701.0</v>
      </c>
      <c r="I2170" s="79">
        <f t="shared" si="3"/>
        <v>5.108333333</v>
      </c>
      <c r="J2170" s="106">
        <v>76.0</v>
      </c>
      <c r="K2170" s="106">
        <v>10.0</v>
      </c>
      <c r="L2170" s="82" t="s">
        <v>41</v>
      </c>
      <c r="M2170" s="82"/>
      <c r="N2170" s="82" t="s">
        <v>2761</v>
      </c>
      <c r="O2170" s="82"/>
      <c r="P2170" s="107"/>
      <c r="Q2170" s="82"/>
      <c r="R2170" s="76"/>
      <c r="S2170" s="90"/>
      <c r="T2170" s="79"/>
      <c r="U2170" s="90"/>
      <c r="V2170" s="79"/>
    </row>
    <row r="2171">
      <c r="A2171" s="53" t="s">
        <v>3479</v>
      </c>
      <c r="B2171" s="54" t="s">
        <v>2759</v>
      </c>
      <c r="C2171" s="59"/>
      <c r="D2171" s="59" t="s">
        <v>2760</v>
      </c>
      <c r="E2171" s="133">
        <v>42552.0</v>
      </c>
      <c r="F2171" s="61">
        <v>42582.0</v>
      </c>
      <c r="G2171" s="65">
        <f t="shared" si="2"/>
        <v>0.9666666667</v>
      </c>
      <c r="H2171" s="88">
        <v>42479.0</v>
      </c>
      <c r="I2171" s="65">
        <f t="shared" si="3"/>
        <v>0.2</v>
      </c>
      <c r="J2171" s="121">
        <v>84.0</v>
      </c>
      <c r="K2171" s="121">
        <v>16.0</v>
      </c>
      <c r="L2171" s="69" t="s">
        <v>46</v>
      </c>
      <c r="M2171" s="69"/>
      <c r="N2171" s="69"/>
      <c r="O2171" s="69"/>
      <c r="P2171" s="122"/>
      <c r="Q2171" s="69"/>
      <c r="R2171" s="59"/>
      <c r="S2171" s="88"/>
      <c r="T2171" s="65"/>
      <c r="U2171" s="88"/>
      <c r="V2171" s="65"/>
    </row>
    <row r="2172">
      <c r="A2172" s="74" t="s">
        <v>3804</v>
      </c>
      <c r="B2172" s="75" t="s">
        <v>2984</v>
      </c>
      <c r="C2172" s="76"/>
      <c r="D2172" s="76" t="s">
        <v>2985</v>
      </c>
      <c r="E2172" s="218">
        <v>42552.0</v>
      </c>
      <c r="F2172" s="77">
        <v>42566.0</v>
      </c>
      <c r="G2172" s="79">
        <f t="shared" si="2"/>
        <v>0.4666666667</v>
      </c>
      <c r="H2172" s="90">
        <v>39525.0</v>
      </c>
      <c r="I2172" s="79">
        <f t="shared" si="3"/>
        <v>8.286111111</v>
      </c>
      <c r="J2172" s="106">
        <v>81.0</v>
      </c>
      <c r="K2172" s="106">
        <v>10.0</v>
      </c>
      <c r="L2172" s="82" t="s">
        <v>37</v>
      </c>
      <c r="M2172" s="82"/>
      <c r="N2172" s="82" t="s">
        <v>2761</v>
      </c>
      <c r="O2172" s="82"/>
      <c r="P2172" s="107"/>
      <c r="Q2172" s="82"/>
      <c r="R2172" s="76"/>
      <c r="S2172" s="90"/>
      <c r="T2172" s="79"/>
      <c r="U2172" s="90"/>
      <c r="V2172" s="79"/>
    </row>
    <row r="2173">
      <c r="A2173" s="53" t="s">
        <v>3805</v>
      </c>
      <c r="B2173" s="54" t="s">
        <v>2759</v>
      </c>
      <c r="C2173" s="59"/>
      <c r="D2173" s="59" t="s">
        <v>2760</v>
      </c>
      <c r="E2173" s="133">
        <v>42537.0</v>
      </c>
      <c r="F2173" s="61">
        <v>42566.0</v>
      </c>
      <c r="G2173" s="65">
        <f t="shared" si="2"/>
        <v>0.9666666667</v>
      </c>
      <c r="H2173" s="88">
        <v>41975.0</v>
      </c>
      <c r="I2173" s="65">
        <f t="shared" si="3"/>
        <v>1.538888889</v>
      </c>
      <c r="J2173" s="121">
        <v>70.0</v>
      </c>
      <c r="K2173" s="121">
        <v>20.0</v>
      </c>
      <c r="L2173" s="69" t="s">
        <v>55</v>
      </c>
      <c r="M2173" s="69"/>
      <c r="N2173" s="69"/>
      <c r="O2173" s="69"/>
      <c r="P2173" s="122"/>
      <c r="Q2173" s="69"/>
      <c r="R2173" s="59"/>
      <c r="S2173" s="88"/>
      <c r="T2173" s="65"/>
      <c r="U2173" s="88"/>
      <c r="V2173" s="65"/>
    </row>
    <row r="2174">
      <c r="A2174" s="74" t="s">
        <v>3806</v>
      </c>
      <c r="B2174" s="75" t="s">
        <v>2984</v>
      </c>
      <c r="C2174" s="76"/>
      <c r="D2174" s="76" t="s">
        <v>2985</v>
      </c>
      <c r="E2174" s="218">
        <v>42537.0</v>
      </c>
      <c r="F2174" s="77">
        <v>42551.0</v>
      </c>
      <c r="G2174" s="79">
        <f t="shared" si="2"/>
        <v>0.4666666667</v>
      </c>
      <c r="H2174" s="90">
        <v>41191.0</v>
      </c>
      <c r="I2174" s="79">
        <f t="shared" si="3"/>
        <v>3.686111111</v>
      </c>
      <c r="J2174" s="106">
        <v>89.0</v>
      </c>
      <c r="K2174" s="106">
        <v>40.0</v>
      </c>
      <c r="L2174" s="82" t="s">
        <v>81</v>
      </c>
      <c r="M2174" s="82"/>
      <c r="N2174" s="82" t="s">
        <v>2761</v>
      </c>
      <c r="O2174" s="82"/>
      <c r="P2174" s="107"/>
      <c r="Q2174" s="82"/>
      <c r="R2174" s="76"/>
      <c r="S2174" s="90"/>
      <c r="T2174" s="79"/>
      <c r="U2174" s="90"/>
      <c r="V2174" s="79"/>
    </row>
    <row r="2175">
      <c r="A2175" s="53" t="s">
        <v>2570</v>
      </c>
      <c r="B2175" s="54" t="s">
        <v>2759</v>
      </c>
      <c r="C2175" s="59"/>
      <c r="D2175" s="59" t="s">
        <v>2760</v>
      </c>
      <c r="E2175" s="133">
        <v>42522.0</v>
      </c>
      <c r="F2175" s="61">
        <v>42551.0</v>
      </c>
      <c r="G2175" s="65">
        <f t="shared" si="2"/>
        <v>0.9666666667</v>
      </c>
      <c r="H2175" s="88">
        <v>41730.0</v>
      </c>
      <c r="I2175" s="65">
        <f t="shared" si="3"/>
        <v>2.166666667</v>
      </c>
      <c r="J2175" s="121">
        <v>70.0</v>
      </c>
      <c r="K2175" s="121">
        <v>2.0</v>
      </c>
      <c r="L2175" s="69" t="s">
        <v>78</v>
      </c>
      <c r="M2175" s="69"/>
      <c r="N2175" s="69" t="s">
        <v>2761</v>
      </c>
      <c r="O2175" s="69"/>
      <c r="P2175" s="122"/>
      <c r="Q2175" s="69"/>
      <c r="R2175" s="59"/>
      <c r="S2175" s="88"/>
      <c r="T2175" s="65"/>
      <c r="U2175" s="88"/>
      <c r="V2175" s="65"/>
    </row>
    <row r="2176">
      <c r="A2176" s="74" t="s">
        <v>3064</v>
      </c>
      <c r="B2176" s="75" t="s">
        <v>2984</v>
      </c>
      <c r="C2176" s="76"/>
      <c r="D2176" s="76" t="s">
        <v>2985</v>
      </c>
      <c r="E2176" s="218">
        <v>42522.0</v>
      </c>
      <c r="F2176" s="77">
        <v>42536.0</v>
      </c>
      <c r="G2176" s="79">
        <f t="shared" si="2"/>
        <v>0.4666666667</v>
      </c>
      <c r="H2176" s="90">
        <v>40471.0</v>
      </c>
      <c r="I2176" s="79">
        <f t="shared" si="3"/>
        <v>5.613888889</v>
      </c>
      <c r="J2176" s="106">
        <v>88.0</v>
      </c>
      <c r="K2176" s="106">
        <v>6.0</v>
      </c>
      <c r="L2176" s="82" t="s">
        <v>57</v>
      </c>
      <c r="M2176" s="82"/>
      <c r="N2176" s="82" t="s">
        <v>2761</v>
      </c>
      <c r="O2176" s="82"/>
      <c r="P2176" s="107"/>
      <c r="Q2176" s="82"/>
      <c r="R2176" s="76"/>
      <c r="S2176" s="90"/>
      <c r="T2176" s="79"/>
      <c r="U2176" s="90"/>
      <c r="V2176" s="79"/>
    </row>
    <row r="2177">
      <c r="A2177" s="53" t="s">
        <v>1669</v>
      </c>
      <c r="B2177" s="54" t="s">
        <v>2759</v>
      </c>
      <c r="C2177" s="59"/>
      <c r="D2177" s="59" t="s">
        <v>2760</v>
      </c>
      <c r="E2177" s="133">
        <v>42506.0</v>
      </c>
      <c r="F2177" s="61">
        <v>42536.0</v>
      </c>
      <c r="G2177" s="65">
        <f t="shared" si="2"/>
        <v>0.9666666667</v>
      </c>
      <c r="H2177" s="88">
        <v>41940.0</v>
      </c>
      <c r="I2177" s="65">
        <f t="shared" si="3"/>
        <v>1.55</v>
      </c>
      <c r="J2177" s="121">
        <v>72.0</v>
      </c>
      <c r="K2177" s="121">
        <v>6.0</v>
      </c>
      <c r="L2177" s="69" t="s">
        <v>46</v>
      </c>
      <c r="M2177" s="69"/>
      <c r="N2177" s="69"/>
      <c r="O2177" s="69"/>
      <c r="P2177" s="122"/>
      <c r="Q2177" s="69"/>
      <c r="R2177" s="59"/>
      <c r="S2177" s="88"/>
      <c r="T2177" s="65"/>
      <c r="U2177" s="88"/>
      <c r="V2177" s="65"/>
    </row>
    <row r="2178">
      <c r="A2178" s="74" t="s">
        <v>1881</v>
      </c>
      <c r="B2178" s="75" t="s">
        <v>2984</v>
      </c>
      <c r="C2178" s="76"/>
      <c r="D2178" s="76" t="s">
        <v>2985</v>
      </c>
      <c r="E2178" s="218">
        <v>42506.0</v>
      </c>
      <c r="F2178" s="77">
        <v>42521.0</v>
      </c>
      <c r="G2178" s="79">
        <f t="shared" si="2"/>
        <v>0.4666666667</v>
      </c>
      <c r="H2178" s="90">
        <v>39140.0</v>
      </c>
      <c r="I2178" s="79">
        <f t="shared" si="3"/>
        <v>9.219444444</v>
      </c>
      <c r="J2178" s="106">
        <v>76.0</v>
      </c>
      <c r="K2178" s="106">
        <v>4.0</v>
      </c>
      <c r="L2178" s="82" t="s">
        <v>96</v>
      </c>
      <c r="M2178" s="82"/>
      <c r="N2178" s="82" t="s">
        <v>2761</v>
      </c>
      <c r="O2178" s="82"/>
      <c r="P2178" s="107"/>
      <c r="Q2178" s="82"/>
      <c r="R2178" s="76"/>
      <c r="S2178" s="90"/>
      <c r="T2178" s="79"/>
      <c r="U2178" s="90"/>
      <c r="V2178" s="79"/>
    </row>
    <row r="2179">
      <c r="A2179" s="53" t="s">
        <v>3724</v>
      </c>
      <c r="B2179" s="54" t="s">
        <v>2759</v>
      </c>
      <c r="C2179" s="59"/>
      <c r="D2179" s="59" t="s">
        <v>2760</v>
      </c>
      <c r="E2179" s="133">
        <v>42491.0</v>
      </c>
      <c r="F2179" s="61">
        <v>42521.0</v>
      </c>
      <c r="G2179" s="65">
        <f t="shared" si="2"/>
        <v>0.9666666667</v>
      </c>
      <c r="H2179" s="88">
        <v>41834.0</v>
      </c>
      <c r="I2179" s="65">
        <f t="shared" si="3"/>
        <v>1.797222222</v>
      </c>
      <c r="J2179" s="121">
        <v>79.0</v>
      </c>
      <c r="K2179" s="121">
        <v>9.0</v>
      </c>
      <c r="L2179" s="69" t="s">
        <v>81</v>
      </c>
      <c r="M2179" s="69"/>
      <c r="N2179" s="69"/>
      <c r="O2179" s="69"/>
      <c r="P2179" s="122"/>
      <c r="Q2179" s="69"/>
      <c r="R2179" s="59"/>
      <c r="S2179" s="88"/>
      <c r="T2179" s="65"/>
      <c r="U2179" s="88"/>
      <c r="V2179" s="65"/>
    </row>
    <row r="2180">
      <c r="A2180" s="74" t="s">
        <v>3807</v>
      </c>
      <c r="B2180" s="75" t="s">
        <v>2984</v>
      </c>
      <c r="C2180" s="76"/>
      <c r="D2180" s="76" t="s">
        <v>2985</v>
      </c>
      <c r="E2180" s="218">
        <v>42491.0</v>
      </c>
      <c r="F2180" s="77">
        <v>42505.0</v>
      </c>
      <c r="G2180" s="79">
        <f t="shared" si="2"/>
        <v>0.4666666667</v>
      </c>
      <c r="H2180" s="90">
        <v>41422.0</v>
      </c>
      <c r="I2180" s="79">
        <f t="shared" si="3"/>
        <v>2.925</v>
      </c>
      <c r="J2180" s="106">
        <v>80.0</v>
      </c>
      <c r="K2180" s="106">
        <v>9.0</v>
      </c>
      <c r="L2180" s="82" t="s">
        <v>55</v>
      </c>
      <c r="M2180" s="82"/>
      <c r="N2180" s="82" t="s">
        <v>2761</v>
      </c>
      <c r="O2180" s="82"/>
      <c r="P2180" s="107"/>
      <c r="Q2180" s="82"/>
      <c r="R2180" s="76"/>
      <c r="S2180" s="90"/>
      <c r="T2180" s="79"/>
      <c r="U2180" s="90"/>
      <c r="V2180" s="79"/>
    </row>
    <row r="2181">
      <c r="A2181" s="53" t="s">
        <v>1703</v>
      </c>
      <c r="B2181" s="54" t="s">
        <v>2759</v>
      </c>
      <c r="C2181" s="59"/>
      <c r="D2181" s="59" t="s">
        <v>2760</v>
      </c>
      <c r="E2181" s="133">
        <v>42476.0</v>
      </c>
      <c r="F2181" s="61">
        <v>42505.0</v>
      </c>
      <c r="G2181" s="65">
        <f t="shared" si="2"/>
        <v>0.9666666667</v>
      </c>
      <c r="H2181" s="88">
        <v>41940.0</v>
      </c>
      <c r="I2181" s="65">
        <f t="shared" si="3"/>
        <v>1.466666667</v>
      </c>
      <c r="J2181" s="121">
        <v>81.0</v>
      </c>
      <c r="K2181" s="121">
        <v>12.0</v>
      </c>
      <c r="L2181" s="69" t="s">
        <v>41</v>
      </c>
      <c r="M2181" s="69"/>
      <c r="N2181" s="69"/>
      <c r="O2181" s="69"/>
      <c r="P2181" s="122"/>
      <c r="Q2181" s="69"/>
      <c r="R2181" s="59"/>
      <c r="S2181" s="88"/>
      <c r="T2181" s="65"/>
      <c r="U2181" s="88"/>
      <c r="V2181" s="65"/>
    </row>
    <row r="2182">
      <c r="A2182" s="74" t="s">
        <v>3808</v>
      </c>
      <c r="B2182" s="75" t="s">
        <v>2984</v>
      </c>
      <c r="C2182" s="76"/>
      <c r="D2182" s="76" t="s">
        <v>2985</v>
      </c>
      <c r="E2182" s="218">
        <v>42476.0</v>
      </c>
      <c r="F2182" s="77">
        <v>42490.0</v>
      </c>
      <c r="G2182" s="79">
        <f t="shared" si="2"/>
        <v>0.4666666667</v>
      </c>
      <c r="H2182" s="90">
        <v>41506.0</v>
      </c>
      <c r="I2182" s="79">
        <f t="shared" si="3"/>
        <v>2.655555556</v>
      </c>
      <c r="J2182" s="106">
        <v>86.0</v>
      </c>
      <c r="K2182" s="106">
        <v>15.0</v>
      </c>
      <c r="L2182" s="82" t="s">
        <v>41</v>
      </c>
      <c r="M2182" s="82"/>
      <c r="N2182" s="82" t="s">
        <v>2761</v>
      </c>
      <c r="O2182" s="82"/>
      <c r="P2182" s="107"/>
      <c r="Q2182" s="82"/>
      <c r="R2182" s="76"/>
      <c r="S2182" s="90"/>
      <c r="T2182" s="79"/>
      <c r="U2182" s="90"/>
      <c r="V2182" s="79"/>
    </row>
    <row r="2183">
      <c r="A2183" s="53" t="s">
        <v>3809</v>
      </c>
      <c r="B2183" s="54" t="s">
        <v>2759</v>
      </c>
      <c r="C2183" s="59"/>
      <c r="D2183" s="59" t="s">
        <v>2760</v>
      </c>
      <c r="E2183" s="133">
        <v>42461.0</v>
      </c>
      <c r="F2183" s="61">
        <v>42490.0</v>
      </c>
      <c r="G2183" s="65">
        <f t="shared" si="2"/>
        <v>0.9666666667</v>
      </c>
      <c r="H2183" s="88">
        <v>41561.0</v>
      </c>
      <c r="I2183" s="65">
        <f t="shared" si="3"/>
        <v>2.463888889</v>
      </c>
      <c r="J2183" s="121">
        <v>85.0</v>
      </c>
      <c r="K2183" s="121">
        <v>9.0</v>
      </c>
      <c r="L2183" s="69" t="s">
        <v>135</v>
      </c>
      <c r="M2183" s="69"/>
      <c r="N2183" s="69"/>
      <c r="O2183" s="69"/>
      <c r="P2183" s="122"/>
      <c r="Q2183" s="69"/>
      <c r="R2183" s="59"/>
      <c r="S2183" s="88"/>
      <c r="T2183" s="65"/>
      <c r="U2183" s="88"/>
      <c r="V2183" s="65"/>
    </row>
    <row r="2184">
      <c r="A2184" s="74" t="s">
        <v>1846</v>
      </c>
      <c r="B2184" s="75" t="s">
        <v>2984</v>
      </c>
      <c r="C2184" s="76"/>
      <c r="D2184" s="76" t="s">
        <v>2985</v>
      </c>
      <c r="E2184" s="218">
        <v>42461.0</v>
      </c>
      <c r="F2184" s="77">
        <v>42475.0</v>
      </c>
      <c r="G2184" s="79">
        <f t="shared" si="2"/>
        <v>0.4666666667</v>
      </c>
      <c r="H2184" s="90">
        <v>39735.0</v>
      </c>
      <c r="I2184" s="79">
        <f t="shared" si="3"/>
        <v>7.463888889</v>
      </c>
      <c r="J2184" s="106">
        <v>89.0</v>
      </c>
      <c r="K2184" s="106">
        <v>12.0</v>
      </c>
      <c r="L2184" s="82" t="s">
        <v>41</v>
      </c>
      <c r="M2184" s="82"/>
      <c r="N2184" s="82" t="s">
        <v>2761</v>
      </c>
      <c r="O2184" s="82"/>
      <c r="P2184" s="107"/>
      <c r="Q2184" s="82"/>
      <c r="R2184" s="76"/>
      <c r="S2184" s="90"/>
      <c r="T2184" s="79"/>
      <c r="U2184" s="90"/>
      <c r="V2184" s="79"/>
    </row>
    <row r="2185">
      <c r="A2185" s="53" t="s">
        <v>2382</v>
      </c>
      <c r="B2185" s="54" t="s">
        <v>2759</v>
      </c>
      <c r="C2185" s="59"/>
      <c r="D2185" s="59" t="s">
        <v>2760</v>
      </c>
      <c r="E2185" s="133">
        <v>42445.0</v>
      </c>
      <c r="F2185" s="61">
        <v>42475.0</v>
      </c>
      <c r="G2185" s="65">
        <f t="shared" si="2"/>
        <v>0.9666666667</v>
      </c>
      <c r="H2185" s="88">
        <v>41925.0</v>
      </c>
      <c r="I2185" s="65">
        <f t="shared" si="3"/>
        <v>1.425</v>
      </c>
      <c r="J2185" s="121">
        <v>75.0</v>
      </c>
      <c r="K2185" s="121">
        <v>15.0</v>
      </c>
      <c r="L2185" s="69" t="s">
        <v>46</v>
      </c>
      <c r="M2185" s="69"/>
      <c r="N2185" s="69"/>
      <c r="O2185" s="69"/>
      <c r="P2185" s="122"/>
      <c r="Q2185" s="69"/>
      <c r="R2185" s="59"/>
      <c r="S2185" s="88"/>
      <c r="T2185" s="65"/>
      <c r="U2185" s="88"/>
      <c r="V2185" s="65"/>
    </row>
    <row r="2186">
      <c r="A2186" s="74" t="s">
        <v>3721</v>
      </c>
      <c r="B2186" s="75" t="s">
        <v>2984</v>
      </c>
      <c r="C2186" s="76"/>
      <c r="D2186" s="76" t="s">
        <v>2985</v>
      </c>
      <c r="E2186" s="218">
        <v>42445.0</v>
      </c>
      <c r="F2186" s="77">
        <v>42460.0</v>
      </c>
      <c r="G2186" s="79">
        <f t="shared" si="2"/>
        <v>0.4666666667</v>
      </c>
      <c r="H2186" s="90">
        <v>40106.0</v>
      </c>
      <c r="I2186" s="79">
        <f t="shared" si="3"/>
        <v>6.405555556</v>
      </c>
      <c r="J2186" s="106">
        <v>85.0</v>
      </c>
      <c r="K2186" s="106">
        <v>20.0</v>
      </c>
      <c r="L2186" s="82" t="s">
        <v>37</v>
      </c>
      <c r="M2186" s="82"/>
      <c r="N2186" s="82" t="s">
        <v>2761</v>
      </c>
      <c r="O2186" s="82"/>
      <c r="P2186" s="107"/>
      <c r="Q2186" s="82"/>
      <c r="R2186" s="76"/>
      <c r="S2186" s="90"/>
      <c r="T2186" s="79"/>
      <c r="U2186" s="90"/>
      <c r="V2186" s="79"/>
    </row>
    <row r="2187">
      <c r="A2187" s="53" t="s">
        <v>3810</v>
      </c>
      <c r="B2187" s="54" t="s">
        <v>2759</v>
      </c>
      <c r="C2187" s="59"/>
      <c r="D2187" s="59" t="s">
        <v>2760</v>
      </c>
      <c r="E2187" s="133">
        <v>42430.0</v>
      </c>
      <c r="F2187" s="61">
        <v>42460.0</v>
      </c>
      <c r="G2187" s="65">
        <f t="shared" si="2"/>
        <v>0.9666666667</v>
      </c>
      <c r="H2187" s="88">
        <v>41912.0</v>
      </c>
      <c r="I2187" s="65">
        <f t="shared" si="3"/>
        <v>1.419444444</v>
      </c>
      <c r="J2187" s="121">
        <v>77.0</v>
      </c>
      <c r="K2187" s="121">
        <v>12.0</v>
      </c>
      <c r="L2187" s="69" t="s">
        <v>135</v>
      </c>
      <c r="M2187" s="69"/>
      <c r="N2187" s="69"/>
      <c r="O2187" s="69"/>
      <c r="P2187" s="122"/>
      <c r="Q2187" s="69"/>
      <c r="R2187" s="59"/>
      <c r="S2187" s="88"/>
      <c r="T2187" s="65"/>
      <c r="U2187" s="88"/>
      <c r="V2187" s="65"/>
    </row>
    <row r="2188">
      <c r="A2188" s="74" t="s">
        <v>3811</v>
      </c>
      <c r="B2188" s="75" t="s">
        <v>2984</v>
      </c>
      <c r="C2188" s="76"/>
      <c r="D2188" s="76" t="s">
        <v>2985</v>
      </c>
      <c r="E2188" s="218">
        <v>42430.0</v>
      </c>
      <c r="F2188" s="77">
        <v>42444.0</v>
      </c>
      <c r="G2188" s="79">
        <f t="shared" si="2"/>
        <v>0.4666666667</v>
      </c>
      <c r="H2188" s="90">
        <v>40239.0</v>
      </c>
      <c r="I2188" s="79">
        <f t="shared" si="3"/>
        <v>5.997222222</v>
      </c>
      <c r="J2188" s="106">
        <v>74.0</v>
      </c>
      <c r="K2188" s="106">
        <v>30.0</v>
      </c>
      <c r="L2188" s="82" t="s">
        <v>81</v>
      </c>
      <c r="M2188" s="82"/>
      <c r="N2188" s="82" t="s">
        <v>2761</v>
      </c>
      <c r="O2188" s="82"/>
      <c r="P2188" s="107"/>
      <c r="Q2188" s="82"/>
      <c r="R2188" s="76"/>
      <c r="S2188" s="90"/>
      <c r="T2188" s="79"/>
      <c r="U2188" s="90"/>
      <c r="V2188" s="79"/>
    </row>
    <row r="2189">
      <c r="A2189" s="53" t="s">
        <v>3812</v>
      </c>
      <c r="B2189" s="54" t="s">
        <v>2759</v>
      </c>
      <c r="C2189" s="59"/>
      <c r="D2189" s="59" t="s">
        <v>2760</v>
      </c>
      <c r="E2189" s="133">
        <v>42416.0</v>
      </c>
      <c r="F2189" s="61">
        <v>42444.0</v>
      </c>
      <c r="G2189" s="65">
        <f t="shared" si="2"/>
        <v>0.9666666667</v>
      </c>
      <c r="H2189" s="88">
        <v>41709.0</v>
      </c>
      <c r="I2189" s="65">
        <f t="shared" si="3"/>
        <v>1.930555556</v>
      </c>
      <c r="J2189" s="121">
        <v>73.0</v>
      </c>
      <c r="K2189" s="121">
        <v>12.0</v>
      </c>
      <c r="L2189" s="69" t="s">
        <v>41</v>
      </c>
      <c r="M2189" s="69"/>
      <c r="N2189" s="69"/>
      <c r="O2189" s="69"/>
      <c r="P2189" s="122"/>
      <c r="Q2189" s="69"/>
      <c r="R2189" s="59"/>
      <c r="S2189" s="88"/>
      <c r="T2189" s="65"/>
      <c r="U2189" s="88"/>
      <c r="V2189" s="65"/>
    </row>
    <row r="2190">
      <c r="A2190" s="74" t="s">
        <v>1683</v>
      </c>
      <c r="B2190" s="75" t="s">
        <v>2984</v>
      </c>
      <c r="C2190" s="76"/>
      <c r="D2190" s="76" t="s">
        <v>2985</v>
      </c>
      <c r="E2190" s="218">
        <v>42416.0</v>
      </c>
      <c r="F2190" s="77">
        <v>42429.0</v>
      </c>
      <c r="G2190" s="79">
        <f t="shared" si="2"/>
        <v>0.4333333333</v>
      </c>
      <c r="H2190" s="90">
        <v>39759.0</v>
      </c>
      <c r="I2190" s="79">
        <f t="shared" si="3"/>
        <v>7.275</v>
      </c>
      <c r="J2190" s="106">
        <v>91.0</v>
      </c>
      <c r="K2190" s="106">
        <v>9.0</v>
      </c>
      <c r="L2190" s="82" t="s">
        <v>37</v>
      </c>
      <c r="M2190" s="82" t="s">
        <v>72</v>
      </c>
      <c r="N2190" s="82" t="s">
        <v>2761</v>
      </c>
      <c r="O2190" s="82"/>
      <c r="P2190" s="107"/>
      <c r="Q2190" s="82"/>
      <c r="R2190" s="76"/>
      <c r="S2190" s="90"/>
      <c r="T2190" s="79"/>
      <c r="U2190" s="90"/>
      <c r="V2190" s="79"/>
    </row>
    <row r="2191">
      <c r="A2191" s="53" t="s">
        <v>3813</v>
      </c>
      <c r="B2191" s="54" t="s">
        <v>2759</v>
      </c>
      <c r="C2191" s="59"/>
      <c r="D2191" s="59" t="s">
        <v>2760</v>
      </c>
      <c r="E2191" s="133">
        <v>42401.0</v>
      </c>
      <c r="F2191" s="61">
        <v>42429.0</v>
      </c>
      <c r="G2191" s="65">
        <f t="shared" si="2"/>
        <v>0.9333333333</v>
      </c>
      <c r="H2191" s="88">
        <v>42294.0</v>
      </c>
      <c r="I2191" s="65">
        <f t="shared" si="3"/>
        <v>0.2888888889</v>
      </c>
      <c r="J2191" s="121">
        <v>77.0</v>
      </c>
      <c r="K2191" s="121">
        <v>12.0</v>
      </c>
      <c r="L2191" s="69" t="s">
        <v>41</v>
      </c>
      <c r="M2191" s="69"/>
      <c r="N2191" s="69"/>
      <c r="O2191" s="69"/>
      <c r="P2191" s="122"/>
      <c r="Q2191" s="69"/>
      <c r="R2191" s="59"/>
      <c r="S2191" s="88"/>
      <c r="T2191" s="65"/>
      <c r="U2191" s="88"/>
      <c r="V2191" s="65"/>
    </row>
    <row r="2192">
      <c r="A2192" s="74" t="s">
        <v>3642</v>
      </c>
      <c r="B2192" s="75" t="s">
        <v>2984</v>
      </c>
      <c r="C2192" s="76"/>
      <c r="D2192" s="76" t="s">
        <v>2985</v>
      </c>
      <c r="E2192" s="218">
        <v>42401.0</v>
      </c>
      <c r="F2192" s="77">
        <v>42415.0</v>
      </c>
      <c r="G2192" s="79">
        <f t="shared" si="2"/>
        <v>0.4666666667</v>
      </c>
      <c r="H2192" s="90">
        <v>41248.0</v>
      </c>
      <c r="I2192" s="79">
        <f t="shared" si="3"/>
        <v>3.155555556</v>
      </c>
      <c r="J2192" s="106">
        <v>62.0</v>
      </c>
      <c r="K2192" s="106">
        <v>4.0</v>
      </c>
      <c r="L2192" s="82" t="s">
        <v>105</v>
      </c>
      <c r="M2192" s="82"/>
      <c r="N2192" s="82" t="s">
        <v>2761</v>
      </c>
      <c r="O2192" s="82"/>
      <c r="P2192" s="107"/>
      <c r="Q2192" s="82"/>
      <c r="R2192" s="76"/>
      <c r="S2192" s="90"/>
      <c r="T2192" s="79"/>
      <c r="U2192" s="90"/>
      <c r="V2192" s="79"/>
    </row>
    <row r="2193">
      <c r="A2193" s="53" t="s">
        <v>3814</v>
      </c>
      <c r="B2193" s="54" t="s">
        <v>2759</v>
      </c>
      <c r="C2193" s="59"/>
      <c r="D2193" s="59" t="s">
        <v>2760</v>
      </c>
      <c r="E2193" s="133">
        <v>42385.0</v>
      </c>
      <c r="F2193" s="61">
        <v>42415.0</v>
      </c>
      <c r="G2193" s="65">
        <f t="shared" si="2"/>
        <v>0.9666666667</v>
      </c>
      <c r="H2193" s="88">
        <v>41856.0</v>
      </c>
      <c r="I2193" s="65">
        <f t="shared" si="3"/>
        <v>1.447222222</v>
      </c>
      <c r="J2193" s="121">
        <v>58.0</v>
      </c>
      <c r="K2193" s="121">
        <v>6.0</v>
      </c>
      <c r="L2193" s="69" t="s">
        <v>105</v>
      </c>
      <c r="M2193" s="69"/>
      <c r="N2193" s="69"/>
      <c r="O2193" s="69"/>
      <c r="P2193" s="122"/>
      <c r="Q2193" s="69"/>
      <c r="R2193" s="59"/>
      <c r="S2193" s="88"/>
      <c r="T2193" s="65"/>
      <c r="U2193" s="88"/>
      <c r="V2193" s="65"/>
    </row>
    <row r="2194">
      <c r="A2194" s="74" t="s">
        <v>3815</v>
      </c>
      <c r="B2194" s="75" t="s">
        <v>2984</v>
      </c>
      <c r="C2194" s="76"/>
      <c r="D2194" s="76" t="s">
        <v>2985</v>
      </c>
      <c r="E2194" s="218">
        <v>42385.0</v>
      </c>
      <c r="F2194" s="77">
        <v>42400.0</v>
      </c>
      <c r="G2194" s="79">
        <f t="shared" si="2"/>
        <v>0.4666666667</v>
      </c>
      <c r="H2194" s="90">
        <v>40778.0</v>
      </c>
      <c r="I2194" s="79">
        <f t="shared" si="3"/>
        <v>4.397222222</v>
      </c>
      <c r="J2194" s="106">
        <v>89.0</v>
      </c>
      <c r="K2194" s="106">
        <v>20.0</v>
      </c>
      <c r="L2194" s="82" t="s">
        <v>41</v>
      </c>
      <c r="M2194" s="82"/>
      <c r="N2194" s="82" t="s">
        <v>2761</v>
      </c>
      <c r="O2194" s="82"/>
      <c r="P2194" s="107"/>
      <c r="Q2194" s="82"/>
      <c r="R2194" s="76"/>
      <c r="S2194" s="90"/>
      <c r="T2194" s="79"/>
      <c r="U2194" s="90"/>
      <c r="V2194" s="79"/>
    </row>
    <row r="2195">
      <c r="A2195" s="53" t="s">
        <v>3816</v>
      </c>
      <c r="B2195" s="54" t="s">
        <v>2759</v>
      </c>
      <c r="C2195" s="59"/>
      <c r="D2195" s="59" t="s">
        <v>2760</v>
      </c>
      <c r="E2195" s="133">
        <v>42370.0</v>
      </c>
      <c r="F2195" s="61">
        <v>42400.0</v>
      </c>
      <c r="G2195" s="65">
        <f t="shared" si="2"/>
        <v>0.9666666667</v>
      </c>
      <c r="H2195" s="88">
        <v>41600.0</v>
      </c>
      <c r="I2195" s="65">
        <f t="shared" si="3"/>
        <v>2.108333333</v>
      </c>
      <c r="J2195" s="121">
        <v>79.0</v>
      </c>
      <c r="K2195" s="121">
        <v>6.0</v>
      </c>
      <c r="L2195" s="69" t="s">
        <v>52</v>
      </c>
      <c r="M2195" s="69"/>
      <c r="N2195" s="69" t="s">
        <v>2761</v>
      </c>
      <c r="O2195" s="69"/>
      <c r="P2195" s="122"/>
      <c r="Q2195" s="69"/>
      <c r="R2195" s="59"/>
      <c r="S2195" s="88"/>
      <c r="T2195" s="65"/>
      <c r="U2195" s="88"/>
      <c r="V2195" s="65"/>
    </row>
    <row r="2196">
      <c r="A2196" s="74" t="s">
        <v>3817</v>
      </c>
      <c r="B2196" s="75" t="s">
        <v>2984</v>
      </c>
      <c r="C2196" s="76"/>
      <c r="D2196" s="76" t="s">
        <v>2985</v>
      </c>
      <c r="E2196" s="218">
        <v>42370.0</v>
      </c>
      <c r="F2196" s="77">
        <v>42384.0</v>
      </c>
      <c r="G2196" s="79">
        <f t="shared" si="2"/>
        <v>0.4666666667</v>
      </c>
      <c r="H2196" s="90">
        <v>41054.0</v>
      </c>
      <c r="I2196" s="79">
        <f t="shared" si="3"/>
        <v>3.6</v>
      </c>
      <c r="J2196" s="106">
        <v>74.0</v>
      </c>
      <c r="K2196" s="106">
        <v>6.0</v>
      </c>
      <c r="L2196" s="82" t="s">
        <v>55</v>
      </c>
      <c r="M2196" s="82"/>
      <c r="N2196" s="82" t="s">
        <v>2761</v>
      </c>
      <c r="O2196" s="82"/>
      <c r="P2196" s="107"/>
      <c r="Q2196" s="82"/>
      <c r="R2196" s="76"/>
      <c r="S2196" s="90"/>
      <c r="T2196" s="79"/>
      <c r="U2196" s="90"/>
      <c r="V2196" s="79"/>
    </row>
    <row r="2197">
      <c r="A2197" s="53" t="s">
        <v>3818</v>
      </c>
      <c r="B2197" s="54" t="s">
        <v>2759</v>
      </c>
      <c r="C2197" s="59"/>
      <c r="D2197" s="59" t="s">
        <v>2760</v>
      </c>
      <c r="E2197" s="133">
        <v>42354.0</v>
      </c>
      <c r="F2197" s="61">
        <v>42384.0</v>
      </c>
      <c r="G2197" s="65">
        <f t="shared" si="2"/>
        <v>0.9666666667</v>
      </c>
      <c r="H2197" s="88">
        <v>41695.0</v>
      </c>
      <c r="I2197" s="65">
        <f t="shared" si="3"/>
        <v>1.808333333</v>
      </c>
      <c r="J2197" s="121">
        <v>70.0</v>
      </c>
      <c r="K2197" s="121">
        <v>11.0</v>
      </c>
      <c r="L2197" s="69" t="s">
        <v>41</v>
      </c>
      <c r="M2197" s="69"/>
      <c r="N2197" s="69"/>
      <c r="O2197" s="69"/>
      <c r="P2197" s="122"/>
      <c r="Q2197" s="69"/>
      <c r="R2197" s="59"/>
      <c r="S2197" s="88"/>
      <c r="T2197" s="65"/>
      <c r="U2197" s="88"/>
      <c r="V2197" s="65"/>
    </row>
    <row r="2198">
      <c r="A2198" s="74" t="s">
        <v>3731</v>
      </c>
      <c r="B2198" s="75" t="s">
        <v>2984</v>
      </c>
      <c r="C2198" s="76"/>
      <c r="D2198" s="76" t="s">
        <v>2985</v>
      </c>
      <c r="E2198" s="218">
        <v>42354.0</v>
      </c>
      <c r="F2198" s="77">
        <v>42369.0</v>
      </c>
      <c r="G2198" s="79">
        <f t="shared" si="2"/>
        <v>0.4666666667</v>
      </c>
      <c r="H2198" s="90">
        <v>41871.0</v>
      </c>
      <c r="I2198" s="79">
        <f t="shared" si="3"/>
        <v>1.322222222</v>
      </c>
      <c r="J2198" s="106">
        <v>46.0</v>
      </c>
      <c r="K2198" s="106">
        <v>7.0</v>
      </c>
      <c r="L2198" s="82" t="s">
        <v>105</v>
      </c>
      <c r="M2198" s="82"/>
      <c r="N2198" s="82" t="s">
        <v>2761</v>
      </c>
      <c r="O2198" s="82"/>
      <c r="P2198" s="107"/>
      <c r="Q2198" s="82"/>
      <c r="R2198" s="76"/>
      <c r="S2198" s="90"/>
      <c r="T2198" s="79"/>
      <c r="U2198" s="90"/>
      <c r="V2198" s="79"/>
    </row>
    <row r="2199">
      <c r="A2199" s="53" t="s">
        <v>3729</v>
      </c>
      <c r="B2199" s="54" t="s">
        <v>2984</v>
      </c>
      <c r="C2199" s="59"/>
      <c r="D2199" s="59" t="s">
        <v>2985</v>
      </c>
      <c r="E2199" s="133">
        <v>42354.0</v>
      </c>
      <c r="F2199" s="61">
        <v>42369.0</v>
      </c>
      <c r="G2199" s="65">
        <f t="shared" si="2"/>
        <v>0.4666666667</v>
      </c>
      <c r="H2199" s="88">
        <v>40123.0</v>
      </c>
      <c r="I2199" s="65">
        <f t="shared" si="3"/>
        <v>6.111111111</v>
      </c>
      <c r="J2199" s="121">
        <v>68.0</v>
      </c>
      <c r="K2199" s="121">
        <v>18.0</v>
      </c>
      <c r="L2199" s="69" t="s">
        <v>37</v>
      </c>
      <c r="M2199" s="69"/>
      <c r="N2199" s="69" t="s">
        <v>2761</v>
      </c>
      <c r="O2199" s="69"/>
      <c r="P2199" s="122"/>
      <c r="Q2199" s="69"/>
      <c r="R2199" s="59"/>
      <c r="S2199" s="88"/>
      <c r="T2199" s="65"/>
      <c r="U2199" s="88"/>
      <c r="V2199" s="65"/>
    </row>
    <row r="2200">
      <c r="A2200" s="74" t="s">
        <v>3819</v>
      </c>
      <c r="B2200" s="75" t="s">
        <v>2759</v>
      </c>
      <c r="C2200" s="76"/>
      <c r="D2200" s="76" t="s">
        <v>2760</v>
      </c>
      <c r="E2200" s="218">
        <v>42339.0</v>
      </c>
      <c r="F2200" s="77">
        <v>42369.0</v>
      </c>
      <c r="G2200" s="79">
        <f t="shared" si="2"/>
        <v>0.9666666667</v>
      </c>
      <c r="H2200" s="90">
        <v>41172.0</v>
      </c>
      <c r="I2200" s="79">
        <f t="shared" si="3"/>
        <v>3.197222222</v>
      </c>
      <c r="J2200" s="106">
        <v>72.0</v>
      </c>
      <c r="K2200" s="106">
        <v>20.0</v>
      </c>
      <c r="L2200" s="82" t="s">
        <v>41</v>
      </c>
      <c r="M2200" s="82"/>
      <c r="N2200" s="82"/>
      <c r="O2200" s="82"/>
      <c r="P2200" s="107"/>
      <c r="Q2200" s="82"/>
      <c r="R2200" s="76"/>
      <c r="S2200" s="90"/>
      <c r="T2200" s="79"/>
      <c r="U2200" s="90"/>
      <c r="V2200" s="79"/>
    </row>
    <row r="2201">
      <c r="A2201" s="53" t="s">
        <v>3576</v>
      </c>
      <c r="B2201" s="54" t="s">
        <v>2984</v>
      </c>
      <c r="C2201" s="59"/>
      <c r="D2201" s="59" t="s">
        <v>2985</v>
      </c>
      <c r="E2201" s="133">
        <v>42339.0</v>
      </c>
      <c r="F2201" s="61">
        <v>42353.0</v>
      </c>
      <c r="G2201" s="65">
        <f t="shared" si="2"/>
        <v>0.4666666667</v>
      </c>
      <c r="H2201" s="88">
        <v>41360.0</v>
      </c>
      <c r="I2201" s="65">
        <f t="shared" si="3"/>
        <v>2.677777778</v>
      </c>
      <c r="J2201" s="121">
        <v>72.0</v>
      </c>
      <c r="K2201" s="121">
        <v>8.0</v>
      </c>
      <c r="L2201" s="69" t="s">
        <v>81</v>
      </c>
      <c r="M2201" s="69"/>
      <c r="N2201" s="69" t="s">
        <v>2761</v>
      </c>
      <c r="O2201" s="69"/>
      <c r="P2201" s="122"/>
      <c r="Q2201" s="69"/>
      <c r="R2201" s="59"/>
      <c r="S2201" s="88"/>
      <c r="T2201" s="65"/>
      <c r="U2201" s="88"/>
      <c r="V2201" s="65"/>
    </row>
    <row r="2202">
      <c r="A2202" s="74" t="s">
        <v>3617</v>
      </c>
      <c r="B2202" s="75" t="s">
        <v>2759</v>
      </c>
      <c r="C2202" s="76"/>
      <c r="D2202" s="76" t="s">
        <v>2760</v>
      </c>
      <c r="E2202" s="218">
        <v>42324.0</v>
      </c>
      <c r="F2202" s="77">
        <v>42353.0</v>
      </c>
      <c r="G2202" s="79">
        <f t="shared" si="2"/>
        <v>0.9666666667</v>
      </c>
      <c r="H2202" s="90">
        <v>42200.0</v>
      </c>
      <c r="I2202" s="79">
        <f t="shared" si="3"/>
        <v>0.3361111111</v>
      </c>
      <c r="J2202" s="106">
        <v>73.0</v>
      </c>
      <c r="K2202" s="106">
        <v>4.0</v>
      </c>
      <c r="L2202" s="82" t="s">
        <v>105</v>
      </c>
      <c r="M2202" s="82"/>
      <c r="N2202" s="82"/>
      <c r="O2202" s="82"/>
      <c r="P2202" s="107"/>
      <c r="Q2202" s="82"/>
      <c r="R2202" s="76"/>
      <c r="S2202" s="90"/>
      <c r="T2202" s="79"/>
      <c r="U2202" s="90"/>
      <c r="V2202" s="79"/>
    </row>
    <row r="2203">
      <c r="A2203" s="53" t="s">
        <v>3820</v>
      </c>
      <c r="B2203" s="54" t="s">
        <v>2984</v>
      </c>
      <c r="C2203" s="59"/>
      <c r="D2203" s="59" t="s">
        <v>2985</v>
      </c>
      <c r="E2203" s="133">
        <v>42324.0</v>
      </c>
      <c r="F2203" s="61">
        <v>42338.0</v>
      </c>
      <c r="G2203" s="65">
        <f t="shared" si="2"/>
        <v>0.4666666667</v>
      </c>
      <c r="H2203" s="88">
        <v>40722.0</v>
      </c>
      <c r="I2203" s="65">
        <f t="shared" si="3"/>
        <v>4.383333333</v>
      </c>
      <c r="J2203" s="121">
        <v>71.0</v>
      </c>
      <c r="K2203" s="121">
        <v>18.0</v>
      </c>
      <c r="L2203" s="69" t="s">
        <v>41</v>
      </c>
      <c r="M2203" s="69"/>
      <c r="N2203" s="69" t="s">
        <v>2761</v>
      </c>
      <c r="O2203" s="69"/>
      <c r="P2203" s="122"/>
      <c r="Q2203" s="69"/>
      <c r="R2203" s="59"/>
      <c r="S2203" s="88"/>
      <c r="T2203" s="65"/>
      <c r="U2203" s="88"/>
      <c r="V2203" s="65"/>
    </row>
    <row r="2204">
      <c r="A2204" s="74" t="s">
        <v>3821</v>
      </c>
      <c r="B2204" s="75" t="s">
        <v>2759</v>
      </c>
      <c r="C2204" s="76"/>
      <c r="D2204" s="76" t="s">
        <v>2760</v>
      </c>
      <c r="E2204" s="218">
        <v>42309.0</v>
      </c>
      <c r="F2204" s="77">
        <v>42338.0</v>
      </c>
      <c r="G2204" s="79">
        <f t="shared" si="2"/>
        <v>0.9666666667</v>
      </c>
      <c r="H2204" s="90">
        <v>41382.0</v>
      </c>
      <c r="I2204" s="79">
        <f t="shared" si="3"/>
        <v>2.536111111</v>
      </c>
      <c r="J2204" s="106">
        <v>70.0</v>
      </c>
      <c r="K2204" s="106">
        <v>3.0</v>
      </c>
      <c r="L2204" s="82" t="s">
        <v>96</v>
      </c>
      <c r="M2204" s="82"/>
      <c r="N2204" s="82"/>
      <c r="O2204" s="82"/>
      <c r="P2204" s="107"/>
      <c r="Q2204" s="82"/>
      <c r="R2204" s="76"/>
      <c r="S2204" s="90"/>
      <c r="T2204" s="79"/>
      <c r="U2204" s="90"/>
      <c r="V2204" s="79"/>
    </row>
    <row r="2205">
      <c r="A2205" s="53" t="s">
        <v>3822</v>
      </c>
      <c r="B2205" s="54" t="s">
        <v>2984</v>
      </c>
      <c r="C2205" s="59"/>
      <c r="D2205" s="59" t="s">
        <v>2985</v>
      </c>
      <c r="E2205" s="133">
        <v>42309.0</v>
      </c>
      <c r="F2205" s="61">
        <v>42323.0</v>
      </c>
      <c r="G2205" s="65">
        <f t="shared" si="2"/>
        <v>0.4666666667</v>
      </c>
      <c r="H2205" s="88">
        <v>40687.0</v>
      </c>
      <c r="I2205" s="65">
        <f t="shared" si="3"/>
        <v>4.436111111</v>
      </c>
      <c r="J2205" s="121">
        <v>84.0</v>
      </c>
      <c r="K2205" s="121">
        <v>8.0</v>
      </c>
      <c r="L2205" s="69" t="s">
        <v>55</v>
      </c>
      <c r="M2205" s="69"/>
      <c r="N2205" s="69" t="s">
        <v>2761</v>
      </c>
      <c r="O2205" s="69"/>
      <c r="P2205" s="122"/>
      <c r="Q2205" s="69"/>
      <c r="R2205" s="59"/>
      <c r="S2205" s="88"/>
      <c r="T2205" s="65"/>
      <c r="U2205" s="88"/>
      <c r="V2205" s="65"/>
    </row>
    <row r="2206">
      <c r="A2206" s="74" t="s">
        <v>1980</v>
      </c>
      <c r="B2206" s="75" t="s">
        <v>2759</v>
      </c>
      <c r="C2206" s="76"/>
      <c r="D2206" s="76" t="s">
        <v>2760</v>
      </c>
      <c r="E2206" s="218">
        <v>42293.0</v>
      </c>
      <c r="F2206" s="77">
        <v>42323.0</v>
      </c>
      <c r="G2206" s="79">
        <f t="shared" si="2"/>
        <v>0.9666666667</v>
      </c>
      <c r="H2206" s="90">
        <v>41022.0</v>
      </c>
      <c r="I2206" s="79">
        <f t="shared" si="3"/>
        <v>3.480555556</v>
      </c>
      <c r="J2206" s="106">
        <v>86.0</v>
      </c>
      <c r="K2206" s="106">
        <v>8.0</v>
      </c>
      <c r="L2206" s="82" t="s">
        <v>135</v>
      </c>
      <c r="M2206" s="82"/>
      <c r="N2206" s="82"/>
      <c r="O2206" s="82"/>
      <c r="P2206" s="107"/>
      <c r="Q2206" s="82"/>
      <c r="R2206" s="76"/>
      <c r="S2206" s="90"/>
      <c r="T2206" s="79"/>
      <c r="U2206" s="90"/>
      <c r="V2206" s="79"/>
    </row>
    <row r="2207">
      <c r="A2207" s="53" t="s">
        <v>1980</v>
      </c>
      <c r="B2207" s="54" t="s">
        <v>2984</v>
      </c>
      <c r="C2207" s="59"/>
      <c r="D2207" s="59" t="s">
        <v>2985</v>
      </c>
      <c r="E2207" s="133">
        <v>42293.0</v>
      </c>
      <c r="F2207" s="61">
        <v>42308.0</v>
      </c>
      <c r="G2207" s="65">
        <f t="shared" si="2"/>
        <v>0.4666666667</v>
      </c>
      <c r="H2207" s="88">
        <v>41022.0</v>
      </c>
      <c r="I2207" s="65">
        <f t="shared" si="3"/>
        <v>3.480555556</v>
      </c>
      <c r="J2207" s="121">
        <v>86.0</v>
      </c>
      <c r="K2207" s="121">
        <v>8.0</v>
      </c>
      <c r="L2207" s="69" t="s">
        <v>135</v>
      </c>
      <c r="M2207" s="69"/>
      <c r="N2207" s="69" t="s">
        <v>2761</v>
      </c>
      <c r="O2207" s="69"/>
      <c r="P2207" s="122"/>
      <c r="Q2207" s="69"/>
      <c r="R2207" s="59"/>
      <c r="S2207" s="88"/>
      <c r="T2207" s="65"/>
      <c r="U2207" s="88"/>
      <c r="V2207" s="65"/>
    </row>
    <row r="2208">
      <c r="A2208" s="74" t="s">
        <v>319</v>
      </c>
      <c r="B2208" s="75" t="s">
        <v>2759</v>
      </c>
      <c r="C2208" s="76"/>
      <c r="D2208" s="76" t="s">
        <v>2760</v>
      </c>
      <c r="E2208" s="218">
        <v>42278.0</v>
      </c>
      <c r="F2208" s="77">
        <v>42308.0</v>
      </c>
      <c r="G2208" s="79">
        <f t="shared" si="2"/>
        <v>0.9666666667</v>
      </c>
      <c r="H2208" s="90">
        <v>41815.0</v>
      </c>
      <c r="I2208" s="79">
        <f t="shared" si="3"/>
        <v>1.266666667</v>
      </c>
      <c r="J2208" s="106">
        <v>77.0</v>
      </c>
      <c r="K2208" s="106">
        <v>7.0</v>
      </c>
      <c r="L2208" s="82" t="s">
        <v>57</v>
      </c>
      <c r="M2208" s="82"/>
      <c r="N2208" s="82"/>
      <c r="O2208" s="82"/>
      <c r="P2208" s="107"/>
      <c r="Q2208" s="82"/>
      <c r="R2208" s="76"/>
      <c r="S2208" s="90"/>
      <c r="T2208" s="79"/>
      <c r="U2208" s="90"/>
      <c r="V2208" s="79"/>
    </row>
    <row r="2209">
      <c r="A2209" s="53" t="s">
        <v>3667</v>
      </c>
      <c r="B2209" s="54" t="s">
        <v>2984</v>
      </c>
      <c r="C2209" s="59"/>
      <c r="D2209" s="59" t="s">
        <v>2985</v>
      </c>
      <c r="E2209" s="133">
        <v>42278.0</v>
      </c>
      <c r="F2209" s="61">
        <v>42292.0</v>
      </c>
      <c r="G2209" s="65">
        <f t="shared" si="2"/>
        <v>0.4666666667</v>
      </c>
      <c r="H2209" s="88">
        <v>41716.0</v>
      </c>
      <c r="I2209" s="65">
        <f t="shared" si="3"/>
        <v>1.536111111</v>
      </c>
      <c r="J2209" s="121">
        <v>74.0</v>
      </c>
      <c r="K2209" s="121">
        <v>1.0</v>
      </c>
      <c r="L2209" s="69" t="s">
        <v>41</v>
      </c>
      <c r="M2209" s="69"/>
      <c r="N2209" s="69"/>
      <c r="O2209" s="69"/>
      <c r="P2209" s="122"/>
      <c r="Q2209" s="69"/>
      <c r="R2209" s="59"/>
      <c r="S2209" s="88"/>
      <c r="T2209" s="65"/>
      <c r="U2209" s="88"/>
      <c r="V2209" s="65"/>
    </row>
    <row r="2210">
      <c r="A2210" s="74" t="s">
        <v>2257</v>
      </c>
      <c r="B2210" s="75" t="s">
        <v>2759</v>
      </c>
      <c r="C2210" s="76"/>
      <c r="D2210" s="76" t="s">
        <v>2760</v>
      </c>
      <c r="E2210" s="218">
        <v>42263.0</v>
      </c>
      <c r="F2210" s="77">
        <v>42292.0</v>
      </c>
      <c r="G2210" s="79">
        <f t="shared" si="2"/>
        <v>0.9666666667</v>
      </c>
      <c r="H2210" s="90">
        <v>41667.0</v>
      </c>
      <c r="I2210" s="79">
        <f t="shared" si="3"/>
        <v>1.633333333</v>
      </c>
      <c r="J2210" s="106">
        <v>88.0</v>
      </c>
      <c r="K2210" s="106">
        <v>11.0</v>
      </c>
      <c r="L2210" s="82" t="s">
        <v>41</v>
      </c>
      <c r="M2210" s="82"/>
      <c r="N2210" s="82"/>
      <c r="O2210" s="82"/>
      <c r="P2210" s="107"/>
      <c r="Q2210" s="82"/>
      <c r="R2210" s="76"/>
      <c r="S2210" s="90"/>
      <c r="T2210" s="79"/>
      <c r="U2210" s="90"/>
      <c r="V2210" s="79"/>
    </row>
    <row r="2211">
      <c r="A2211" s="53" t="s">
        <v>1843</v>
      </c>
      <c r="B2211" s="54" t="s">
        <v>2984</v>
      </c>
      <c r="C2211" s="59"/>
      <c r="D2211" s="59" t="s">
        <v>2985</v>
      </c>
      <c r="E2211" s="133">
        <v>42263.0</v>
      </c>
      <c r="F2211" s="61">
        <v>42277.0</v>
      </c>
      <c r="G2211" s="65">
        <f t="shared" si="2"/>
        <v>0.4666666667</v>
      </c>
      <c r="H2211" s="88">
        <v>41324.0</v>
      </c>
      <c r="I2211" s="65">
        <f t="shared" si="3"/>
        <v>2.575</v>
      </c>
      <c r="J2211" s="121">
        <v>76.0</v>
      </c>
      <c r="K2211" s="121">
        <v>6.0</v>
      </c>
      <c r="L2211" s="69" t="s">
        <v>37</v>
      </c>
      <c r="M2211" s="69"/>
      <c r="N2211" s="69" t="s">
        <v>2761</v>
      </c>
      <c r="O2211" s="69"/>
      <c r="P2211" s="122"/>
      <c r="Q2211" s="69"/>
      <c r="R2211" s="59"/>
      <c r="S2211" s="88"/>
      <c r="T2211" s="65"/>
      <c r="U2211" s="88"/>
      <c r="V2211" s="65"/>
    </row>
    <row r="2212">
      <c r="A2212" s="74" t="s">
        <v>3823</v>
      </c>
      <c r="B2212" s="75" t="s">
        <v>2759</v>
      </c>
      <c r="C2212" s="76"/>
      <c r="D2212" s="76" t="s">
        <v>2760</v>
      </c>
      <c r="E2212" s="218">
        <v>42248.0</v>
      </c>
      <c r="F2212" s="77">
        <v>42277.0</v>
      </c>
      <c r="G2212" s="79">
        <f t="shared" si="2"/>
        <v>0.9666666667</v>
      </c>
      <c r="H2212" s="90">
        <v>41660.0</v>
      </c>
      <c r="I2212" s="79">
        <f t="shared" si="3"/>
        <v>1.611111111</v>
      </c>
      <c r="J2212" s="106">
        <v>72.0</v>
      </c>
      <c r="K2212" s="106">
        <v>4.0</v>
      </c>
      <c r="L2212" s="82" t="s">
        <v>135</v>
      </c>
      <c r="M2212" s="82"/>
      <c r="N2212" s="82"/>
      <c r="O2212" s="82"/>
      <c r="P2212" s="107"/>
      <c r="Q2212" s="82"/>
      <c r="R2212" s="76"/>
      <c r="S2212" s="90"/>
      <c r="T2212" s="79"/>
      <c r="U2212" s="90"/>
      <c r="V2212" s="79"/>
    </row>
    <row r="2213">
      <c r="A2213" s="53" t="s">
        <v>3824</v>
      </c>
      <c r="B2213" s="54" t="s">
        <v>2984</v>
      </c>
      <c r="C2213" s="59"/>
      <c r="D2213" s="59" t="s">
        <v>2985</v>
      </c>
      <c r="E2213" s="133">
        <v>42248.0</v>
      </c>
      <c r="F2213" s="61">
        <v>42262.0</v>
      </c>
      <c r="G2213" s="65">
        <f t="shared" si="2"/>
        <v>0.4666666667</v>
      </c>
      <c r="H2213" s="88">
        <v>40150.0</v>
      </c>
      <c r="I2213" s="65">
        <f t="shared" si="3"/>
        <v>5.744444444</v>
      </c>
      <c r="J2213" s="121">
        <v>76.0</v>
      </c>
      <c r="K2213" s="121">
        <v>12.0</v>
      </c>
      <c r="L2213" s="69" t="s">
        <v>81</v>
      </c>
      <c r="M2213" s="69"/>
      <c r="N2213" s="69" t="s">
        <v>2761</v>
      </c>
      <c r="O2213" s="69"/>
      <c r="P2213" s="122"/>
      <c r="Q2213" s="69"/>
      <c r="R2213" s="59"/>
      <c r="S2213" s="88"/>
      <c r="T2213" s="65"/>
      <c r="U2213" s="88"/>
      <c r="V2213" s="65"/>
    </row>
    <row r="2214">
      <c r="A2214" s="74" t="s">
        <v>3825</v>
      </c>
      <c r="B2214" s="75" t="s">
        <v>2759</v>
      </c>
      <c r="C2214" s="76"/>
      <c r="D2214" s="76" t="s">
        <v>2760</v>
      </c>
      <c r="E2214" s="218">
        <v>42232.0</v>
      </c>
      <c r="F2214" s="77">
        <v>42262.0</v>
      </c>
      <c r="G2214" s="79">
        <f t="shared" si="2"/>
        <v>0.9666666667</v>
      </c>
      <c r="H2214" s="90">
        <v>41561.0</v>
      </c>
      <c r="I2214" s="79">
        <f t="shared" si="3"/>
        <v>1.838888889</v>
      </c>
      <c r="J2214" s="106">
        <v>72.0</v>
      </c>
      <c r="K2214" s="106">
        <v>10.0</v>
      </c>
      <c r="L2214" s="82" t="s">
        <v>112</v>
      </c>
      <c r="M2214" s="82"/>
      <c r="N2214" s="82"/>
      <c r="O2214" s="82"/>
      <c r="P2214" s="107"/>
      <c r="Q2214" s="82"/>
      <c r="R2214" s="76"/>
      <c r="S2214" s="90"/>
      <c r="T2214" s="79"/>
      <c r="U2214" s="90"/>
      <c r="V2214" s="79"/>
    </row>
    <row r="2215">
      <c r="A2215" s="53" t="s">
        <v>3826</v>
      </c>
      <c r="B2215" s="54" t="s">
        <v>2984</v>
      </c>
      <c r="C2215" s="59"/>
      <c r="D2215" s="59" t="s">
        <v>2985</v>
      </c>
      <c r="E2215" s="133">
        <v>42232.0</v>
      </c>
      <c r="F2215" s="61">
        <v>42247.0</v>
      </c>
      <c r="G2215" s="65">
        <f t="shared" si="2"/>
        <v>0.4666666667</v>
      </c>
      <c r="H2215" s="88">
        <v>41408.0</v>
      </c>
      <c r="I2215" s="65">
        <f t="shared" si="3"/>
        <v>2.255555556</v>
      </c>
      <c r="J2215" s="121">
        <v>80.0</v>
      </c>
      <c r="K2215" s="121">
        <v>9.0</v>
      </c>
      <c r="L2215" s="69" t="s">
        <v>37</v>
      </c>
      <c r="M2215" s="69"/>
      <c r="N2215" s="69"/>
      <c r="O2215" s="69"/>
      <c r="P2215" s="122"/>
      <c r="Q2215" s="69"/>
      <c r="R2215" s="59"/>
      <c r="S2215" s="88"/>
      <c r="T2215" s="65"/>
      <c r="U2215" s="88"/>
      <c r="V2215" s="65"/>
    </row>
    <row r="2216">
      <c r="A2216" s="74" t="s">
        <v>3667</v>
      </c>
      <c r="B2216" s="75" t="s">
        <v>2759</v>
      </c>
      <c r="C2216" s="76"/>
      <c r="D2216" s="76" t="s">
        <v>2760</v>
      </c>
      <c r="E2216" s="218">
        <v>42217.0</v>
      </c>
      <c r="F2216" s="77">
        <v>42247.0</v>
      </c>
      <c r="G2216" s="79">
        <f t="shared" si="2"/>
        <v>0.9666666667</v>
      </c>
      <c r="H2216" s="90">
        <v>41716.0</v>
      </c>
      <c r="I2216" s="79">
        <f t="shared" si="3"/>
        <v>1.369444444</v>
      </c>
      <c r="J2216" s="106">
        <v>74.0</v>
      </c>
      <c r="K2216" s="106">
        <v>1.0</v>
      </c>
      <c r="L2216" s="82" t="s">
        <v>41</v>
      </c>
      <c r="M2216" s="82"/>
      <c r="N2216" s="82"/>
      <c r="O2216" s="82"/>
      <c r="P2216" s="107"/>
      <c r="Q2216" s="82"/>
      <c r="R2216" s="76"/>
      <c r="S2216" s="90"/>
      <c r="T2216" s="79"/>
      <c r="U2216" s="90"/>
      <c r="V2216" s="79"/>
    </row>
    <row r="2217">
      <c r="A2217" s="53" t="s">
        <v>3827</v>
      </c>
      <c r="B2217" s="54" t="s">
        <v>2984</v>
      </c>
      <c r="C2217" s="59"/>
      <c r="D2217" s="59" t="s">
        <v>2985</v>
      </c>
      <c r="E2217" s="133">
        <v>42217.0</v>
      </c>
      <c r="F2217" s="61">
        <v>42231.0</v>
      </c>
      <c r="G2217" s="65">
        <f t="shared" si="2"/>
        <v>0.4666666667</v>
      </c>
      <c r="H2217" s="88">
        <v>40253.0</v>
      </c>
      <c r="I2217" s="65">
        <f t="shared" si="3"/>
        <v>5.375</v>
      </c>
      <c r="J2217" s="121">
        <v>81.0</v>
      </c>
      <c r="K2217" s="121">
        <v>10.0</v>
      </c>
      <c r="L2217" s="69" t="s">
        <v>37</v>
      </c>
      <c r="M2217" s="69"/>
      <c r="N2217" s="69"/>
      <c r="O2217" s="69"/>
      <c r="P2217" s="122"/>
      <c r="Q2217" s="69"/>
      <c r="R2217" s="59"/>
      <c r="S2217" s="88"/>
      <c r="T2217" s="65"/>
      <c r="U2217" s="88"/>
      <c r="V2217" s="65"/>
    </row>
    <row r="2218">
      <c r="A2218" s="74" t="s">
        <v>3705</v>
      </c>
      <c r="B2218" s="75" t="s">
        <v>2759</v>
      </c>
      <c r="C2218" s="76"/>
      <c r="D2218" s="76" t="s">
        <v>2760</v>
      </c>
      <c r="E2218" s="218">
        <v>42201.0</v>
      </c>
      <c r="F2218" s="77">
        <v>42231.0</v>
      </c>
      <c r="G2218" s="79">
        <f t="shared" si="2"/>
        <v>0.9666666667</v>
      </c>
      <c r="H2218" s="90">
        <v>41816.0</v>
      </c>
      <c r="I2218" s="79">
        <f t="shared" si="3"/>
        <v>1.055555556</v>
      </c>
      <c r="J2218" s="106">
        <v>72.0</v>
      </c>
      <c r="K2218" s="106">
        <v>6.0</v>
      </c>
      <c r="L2218" s="82" t="s">
        <v>96</v>
      </c>
      <c r="M2218" s="82"/>
      <c r="N2218" s="82"/>
      <c r="O2218" s="82"/>
      <c r="P2218" s="107"/>
      <c r="Q2218" s="82"/>
      <c r="R2218" s="76"/>
      <c r="S2218" s="90"/>
      <c r="T2218" s="79"/>
      <c r="U2218" s="90"/>
      <c r="V2218" s="79"/>
    </row>
    <row r="2219">
      <c r="A2219" s="53" t="s">
        <v>1684</v>
      </c>
      <c r="B2219" s="54" t="s">
        <v>2984</v>
      </c>
      <c r="C2219" s="59"/>
      <c r="D2219" s="59" t="s">
        <v>2985</v>
      </c>
      <c r="E2219" s="133">
        <v>42201.0</v>
      </c>
      <c r="F2219" s="61">
        <v>42216.0</v>
      </c>
      <c r="G2219" s="65">
        <f t="shared" si="2"/>
        <v>0.4666666667</v>
      </c>
      <c r="H2219" s="88">
        <v>40806.0</v>
      </c>
      <c r="I2219" s="65">
        <f t="shared" si="3"/>
        <v>3.822222222</v>
      </c>
      <c r="J2219" s="121">
        <v>87.0</v>
      </c>
      <c r="K2219" s="121">
        <v>10.0</v>
      </c>
      <c r="L2219" s="69" t="s">
        <v>37</v>
      </c>
      <c r="M2219" s="69" t="s">
        <v>72</v>
      </c>
      <c r="N2219" s="69" t="s">
        <v>2761</v>
      </c>
      <c r="O2219" s="69"/>
      <c r="P2219" s="122"/>
      <c r="Q2219" s="69"/>
      <c r="R2219" s="59"/>
      <c r="S2219" s="88"/>
      <c r="T2219" s="65"/>
      <c r="U2219" s="88"/>
      <c r="V2219" s="65"/>
    </row>
    <row r="2220">
      <c r="A2220" s="74" t="s">
        <v>3828</v>
      </c>
      <c r="B2220" s="75" t="s">
        <v>2759</v>
      </c>
      <c r="C2220" s="76"/>
      <c r="D2220" s="76" t="s">
        <v>2760</v>
      </c>
      <c r="E2220" s="218">
        <v>42186.0</v>
      </c>
      <c r="F2220" s="77">
        <v>42216.0</v>
      </c>
      <c r="G2220" s="79">
        <f t="shared" si="2"/>
        <v>0.9666666667</v>
      </c>
      <c r="H2220" s="90">
        <v>41576.0</v>
      </c>
      <c r="I2220" s="79">
        <f t="shared" si="3"/>
        <v>1.672222222</v>
      </c>
      <c r="J2220" s="106">
        <v>88.0</v>
      </c>
      <c r="K2220" s="106">
        <v>22.0</v>
      </c>
      <c r="L2220" s="82" t="s">
        <v>41</v>
      </c>
      <c r="M2220" s="82"/>
      <c r="N2220" s="82"/>
      <c r="O2220" s="82"/>
      <c r="P2220" s="107"/>
      <c r="Q2220" s="82"/>
      <c r="R2220" s="76"/>
      <c r="S2220" s="90"/>
      <c r="T2220" s="79"/>
      <c r="U2220" s="90"/>
      <c r="V2220" s="79"/>
    </row>
    <row r="2221">
      <c r="A2221" s="53" t="s">
        <v>3829</v>
      </c>
      <c r="B2221" s="54" t="s">
        <v>2984</v>
      </c>
      <c r="C2221" s="59"/>
      <c r="D2221" s="59" t="s">
        <v>2985</v>
      </c>
      <c r="E2221" s="133">
        <v>42186.0</v>
      </c>
      <c r="F2221" s="61">
        <v>42200.0</v>
      </c>
      <c r="G2221" s="65">
        <f t="shared" si="2"/>
        <v>0.4666666667</v>
      </c>
      <c r="H2221" s="88">
        <v>39938.0</v>
      </c>
      <c r="I2221" s="65">
        <f t="shared" si="3"/>
        <v>6.155555556</v>
      </c>
      <c r="J2221" s="121">
        <v>84.0</v>
      </c>
      <c r="K2221" s="121">
        <v>6.0</v>
      </c>
      <c r="L2221" s="69" t="s">
        <v>81</v>
      </c>
      <c r="M2221" s="69"/>
      <c r="N2221" s="69" t="s">
        <v>2761</v>
      </c>
      <c r="O2221" s="69"/>
      <c r="P2221" s="122"/>
      <c r="Q2221" s="69"/>
      <c r="R2221" s="59"/>
      <c r="S2221" s="88"/>
      <c r="T2221" s="65"/>
      <c r="U2221" s="88"/>
      <c r="V2221" s="65"/>
    </row>
    <row r="2222">
      <c r="A2222" s="74" t="s">
        <v>1500</v>
      </c>
      <c r="B2222" s="75" t="s">
        <v>2759</v>
      </c>
      <c r="C2222" s="76"/>
      <c r="D2222" s="76" t="s">
        <v>2760</v>
      </c>
      <c r="E2222" s="77">
        <v>42157.0</v>
      </c>
      <c r="F2222" s="77">
        <v>42200.0</v>
      </c>
      <c r="G2222" s="79">
        <f t="shared" si="2"/>
        <v>1.433333333</v>
      </c>
      <c r="H2222" s="90">
        <v>42157.0</v>
      </c>
      <c r="I2222" s="79">
        <f t="shared" si="3"/>
        <v>0</v>
      </c>
      <c r="J2222" s="106">
        <v>72.0</v>
      </c>
      <c r="K2222" s="106">
        <v>30.0</v>
      </c>
      <c r="L2222" s="82" t="s">
        <v>81</v>
      </c>
      <c r="M2222" s="82"/>
      <c r="N2222" s="82"/>
      <c r="O2222" s="82"/>
      <c r="P2222" s="107"/>
      <c r="Q2222" s="82"/>
      <c r="R2222" s="76"/>
      <c r="S2222" s="90"/>
      <c r="T2222" s="79"/>
      <c r="U2222" s="90"/>
      <c r="V2222" s="79"/>
    </row>
    <row r="2223">
      <c r="A2223" s="53" t="s">
        <v>3818</v>
      </c>
      <c r="B2223" s="54" t="s">
        <v>2984</v>
      </c>
      <c r="C2223" s="59"/>
      <c r="D2223" s="59" t="s">
        <v>2985</v>
      </c>
      <c r="E2223" s="133">
        <v>42171.0</v>
      </c>
      <c r="F2223" s="61">
        <v>42185.0</v>
      </c>
      <c r="G2223" s="65">
        <f t="shared" si="2"/>
        <v>0.4666666667</v>
      </c>
      <c r="H2223" s="88">
        <v>41695.0</v>
      </c>
      <c r="I2223" s="65">
        <f t="shared" si="3"/>
        <v>1.308333333</v>
      </c>
      <c r="J2223" s="121">
        <v>70.0</v>
      </c>
      <c r="K2223" s="121">
        <v>11.0</v>
      </c>
      <c r="L2223" s="69" t="s">
        <v>41</v>
      </c>
      <c r="M2223" s="69"/>
      <c r="N2223" s="69"/>
      <c r="O2223" s="69"/>
      <c r="P2223" s="122"/>
      <c r="Q2223" s="69"/>
      <c r="R2223" s="59"/>
      <c r="S2223" s="88"/>
      <c r="T2223" s="65"/>
      <c r="U2223" s="88"/>
      <c r="V2223" s="65"/>
    </row>
    <row r="2224">
      <c r="A2224" s="74" t="s">
        <v>3830</v>
      </c>
      <c r="B2224" s="75" t="s">
        <v>2759</v>
      </c>
      <c r="C2224" s="76"/>
      <c r="D2224" s="76" t="s">
        <v>2760</v>
      </c>
      <c r="E2224" s="218">
        <v>42095.0</v>
      </c>
      <c r="F2224" s="77">
        <v>42185.0</v>
      </c>
      <c r="G2224" s="79">
        <f t="shared" si="2"/>
        <v>2.966666667</v>
      </c>
      <c r="H2224" s="90">
        <v>41603.0</v>
      </c>
      <c r="I2224" s="79">
        <f t="shared" si="3"/>
        <v>1.35</v>
      </c>
      <c r="J2224" s="106">
        <v>72.0</v>
      </c>
      <c r="K2224" s="106">
        <v>4.0</v>
      </c>
      <c r="L2224" s="82" t="s">
        <v>62</v>
      </c>
      <c r="M2224" s="82"/>
      <c r="N2224" s="82"/>
      <c r="O2224" s="82"/>
      <c r="P2224" s="107"/>
      <c r="Q2224" s="82"/>
      <c r="R2224" s="76"/>
      <c r="S2224" s="90"/>
      <c r="T2224" s="79"/>
      <c r="U2224" s="90"/>
      <c r="V2224" s="79"/>
    </row>
    <row r="2225">
      <c r="A2225" s="53" t="s">
        <v>3831</v>
      </c>
      <c r="B2225" s="54" t="s">
        <v>2984</v>
      </c>
      <c r="C2225" s="59"/>
      <c r="D2225" s="59" t="s">
        <v>2985</v>
      </c>
      <c r="E2225" s="133">
        <v>42156.0</v>
      </c>
      <c r="F2225" s="61">
        <v>42170.0</v>
      </c>
      <c r="G2225" s="65">
        <f t="shared" si="2"/>
        <v>0.4666666667</v>
      </c>
      <c r="H2225" s="88">
        <v>40260.0</v>
      </c>
      <c r="I2225" s="65">
        <f t="shared" si="3"/>
        <v>5.188888889</v>
      </c>
      <c r="J2225" s="121">
        <v>86.0</v>
      </c>
      <c r="K2225" s="121">
        <v>25.0</v>
      </c>
      <c r="L2225" s="69" t="s">
        <v>41</v>
      </c>
      <c r="M2225" s="69"/>
      <c r="N2225" s="69" t="s">
        <v>2761</v>
      </c>
      <c r="O2225" s="69"/>
      <c r="P2225" s="122"/>
      <c r="Q2225" s="69"/>
      <c r="R2225" s="59"/>
      <c r="S2225" s="88"/>
      <c r="T2225" s="65"/>
      <c r="U2225" s="88"/>
      <c r="V2225" s="65"/>
    </row>
    <row r="2226">
      <c r="A2226" s="74" t="s">
        <v>3832</v>
      </c>
      <c r="B2226" s="75" t="s">
        <v>2984</v>
      </c>
      <c r="C2226" s="76"/>
      <c r="D2226" s="76" t="s">
        <v>2985</v>
      </c>
      <c r="E2226" s="218">
        <v>42140.0</v>
      </c>
      <c r="F2226" s="77">
        <v>42155.0</v>
      </c>
      <c r="G2226" s="79">
        <f t="shared" si="2"/>
        <v>0.4666666667</v>
      </c>
      <c r="H2226" s="90">
        <v>41516.0</v>
      </c>
      <c r="I2226" s="79">
        <f t="shared" si="3"/>
        <v>1.711111111</v>
      </c>
      <c r="J2226" s="106">
        <v>82.0</v>
      </c>
      <c r="K2226" s="106">
        <v>6.0</v>
      </c>
      <c r="L2226" s="82" t="s">
        <v>55</v>
      </c>
      <c r="M2226" s="82"/>
      <c r="N2226" s="82"/>
      <c r="O2226" s="82"/>
      <c r="P2226" s="107"/>
      <c r="Q2226" s="82"/>
      <c r="R2226" s="76"/>
      <c r="S2226" s="90"/>
      <c r="T2226" s="79"/>
      <c r="U2226" s="90"/>
      <c r="V2226" s="79"/>
    </row>
    <row r="2227">
      <c r="A2227" s="53" t="s">
        <v>3833</v>
      </c>
      <c r="B2227" s="54" t="s">
        <v>2759</v>
      </c>
      <c r="C2227" s="59"/>
      <c r="D2227" s="59" t="s">
        <v>2760</v>
      </c>
      <c r="E2227" s="133">
        <v>42125.0</v>
      </c>
      <c r="F2227" s="61">
        <v>42155.0</v>
      </c>
      <c r="G2227" s="65">
        <f t="shared" si="2"/>
        <v>0.9666666667</v>
      </c>
      <c r="H2227" s="88">
        <v>42045.0</v>
      </c>
      <c r="I2227" s="65">
        <f t="shared" si="3"/>
        <v>0.225</v>
      </c>
      <c r="J2227" s="121">
        <v>78.0</v>
      </c>
      <c r="K2227" s="121">
        <v>8.0</v>
      </c>
      <c r="L2227" s="69" t="s">
        <v>81</v>
      </c>
      <c r="M2227" s="69"/>
      <c r="N2227" s="69"/>
      <c r="O2227" s="69"/>
      <c r="P2227" s="122"/>
      <c r="Q2227" s="69"/>
      <c r="R2227" s="59"/>
      <c r="S2227" s="88"/>
      <c r="T2227" s="65"/>
      <c r="U2227" s="88"/>
      <c r="V2227" s="65"/>
    </row>
    <row r="2228">
      <c r="A2228" s="74" t="s">
        <v>3834</v>
      </c>
      <c r="B2228" s="75" t="s">
        <v>2984</v>
      </c>
      <c r="C2228" s="76"/>
      <c r="D2228" s="76" t="s">
        <v>2985</v>
      </c>
      <c r="E2228" s="218">
        <v>42125.0</v>
      </c>
      <c r="F2228" s="77">
        <v>42139.0</v>
      </c>
      <c r="G2228" s="79">
        <f t="shared" si="2"/>
        <v>0.4666666667</v>
      </c>
      <c r="H2228" s="90">
        <v>40414.0</v>
      </c>
      <c r="I2228" s="79">
        <f t="shared" si="3"/>
        <v>4.686111111</v>
      </c>
      <c r="J2228" s="106">
        <v>77.0</v>
      </c>
      <c r="K2228" s="106">
        <v>11.0</v>
      </c>
      <c r="L2228" s="82" t="s">
        <v>41</v>
      </c>
      <c r="M2228" s="82"/>
      <c r="N2228" s="82" t="s">
        <v>2761</v>
      </c>
      <c r="O2228" s="82"/>
      <c r="P2228" s="107"/>
      <c r="Q2228" s="82"/>
      <c r="R2228" s="76"/>
      <c r="S2228" s="90"/>
      <c r="T2228" s="79"/>
      <c r="U2228" s="90"/>
      <c r="V2228" s="79"/>
    </row>
    <row r="2229">
      <c r="A2229" s="53" t="s">
        <v>3828</v>
      </c>
      <c r="B2229" s="54" t="s">
        <v>2984</v>
      </c>
      <c r="C2229" s="59"/>
      <c r="D2229" s="59" t="s">
        <v>2985</v>
      </c>
      <c r="E2229" s="133">
        <v>42110.0</v>
      </c>
      <c r="F2229" s="61">
        <v>42124.0</v>
      </c>
      <c r="G2229" s="65">
        <f t="shared" si="2"/>
        <v>0.4666666667</v>
      </c>
      <c r="H2229" s="88">
        <v>41576.0</v>
      </c>
      <c r="I2229" s="65">
        <f t="shared" si="3"/>
        <v>1.463888889</v>
      </c>
      <c r="J2229" s="121">
        <v>88.0</v>
      </c>
      <c r="K2229" s="121">
        <v>22.0</v>
      </c>
      <c r="L2229" s="69" t="s">
        <v>41</v>
      </c>
      <c r="M2229" s="69"/>
      <c r="N2229" s="69" t="s">
        <v>2761</v>
      </c>
      <c r="O2229" s="69"/>
      <c r="P2229" s="122"/>
      <c r="Q2229" s="69"/>
      <c r="R2229" s="59"/>
      <c r="S2229" s="88"/>
      <c r="T2229" s="65"/>
      <c r="U2229" s="88"/>
      <c r="V2229" s="65"/>
    </row>
    <row r="2230">
      <c r="A2230" s="74" t="s">
        <v>3835</v>
      </c>
      <c r="B2230" s="75" t="s">
        <v>2984</v>
      </c>
      <c r="C2230" s="76"/>
      <c r="D2230" s="76" t="s">
        <v>2985</v>
      </c>
      <c r="E2230" s="218">
        <v>42110.0</v>
      </c>
      <c r="F2230" s="77">
        <v>42124.0</v>
      </c>
      <c r="G2230" s="79">
        <f t="shared" si="2"/>
        <v>0.4666666667</v>
      </c>
      <c r="H2230" s="90">
        <v>41359.0</v>
      </c>
      <c r="I2230" s="79">
        <f t="shared" si="3"/>
        <v>2.055555556</v>
      </c>
      <c r="J2230" s="106">
        <v>55.0</v>
      </c>
      <c r="K2230" s="106">
        <v>7.0</v>
      </c>
      <c r="L2230" s="82" t="s">
        <v>37</v>
      </c>
      <c r="M2230" s="82"/>
      <c r="N2230" s="82"/>
      <c r="O2230" s="82"/>
      <c r="P2230" s="107"/>
      <c r="Q2230" s="82"/>
      <c r="R2230" s="76"/>
      <c r="S2230" s="90"/>
      <c r="T2230" s="79"/>
      <c r="U2230" s="90"/>
      <c r="V2230" s="79"/>
    </row>
    <row r="2231">
      <c r="A2231" s="53" t="s">
        <v>283</v>
      </c>
      <c r="B2231" s="54" t="s">
        <v>2759</v>
      </c>
      <c r="C2231" s="59"/>
      <c r="D2231" s="59" t="s">
        <v>2760</v>
      </c>
      <c r="E2231" s="133">
        <v>42095.0</v>
      </c>
      <c r="F2231" s="61">
        <v>42124.0</v>
      </c>
      <c r="G2231" s="65">
        <f t="shared" si="2"/>
        <v>0.9666666667</v>
      </c>
      <c r="H2231" s="88">
        <v>41759.0</v>
      </c>
      <c r="I2231" s="65">
        <f t="shared" si="3"/>
        <v>0.9194444444</v>
      </c>
      <c r="J2231" s="121">
        <v>82.0</v>
      </c>
      <c r="K2231" s="121">
        <v>11.0</v>
      </c>
      <c r="L2231" s="69" t="s">
        <v>46</v>
      </c>
      <c r="M2231" s="69"/>
      <c r="N2231" s="69"/>
      <c r="O2231" s="69"/>
      <c r="P2231" s="122"/>
      <c r="Q2231" s="69"/>
      <c r="R2231" s="59"/>
      <c r="S2231" s="88"/>
      <c r="T2231" s="65"/>
      <c r="U2231" s="88"/>
      <c r="V2231" s="65"/>
    </row>
    <row r="2232">
      <c r="A2232" s="74" t="s">
        <v>297</v>
      </c>
      <c r="B2232" s="75" t="s">
        <v>2759</v>
      </c>
      <c r="C2232" s="76"/>
      <c r="D2232" s="76" t="s">
        <v>2760</v>
      </c>
      <c r="E2232" s="218">
        <v>42064.0</v>
      </c>
      <c r="F2232" s="77">
        <v>42124.0</v>
      </c>
      <c r="G2232" s="79">
        <f t="shared" si="2"/>
        <v>1.966666667</v>
      </c>
      <c r="H2232" s="90">
        <v>41520.0</v>
      </c>
      <c r="I2232" s="79">
        <f t="shared" si="3"/>
        <v>1.494444444</v>
      </c>
      <c r="J2232" s="106">
        <v>92.0</v>
      </c>
      <c r="K2232" s="106">
        <v>10.0</v>
      </c>
      <c r="L2232" s="82" t="s">
        <v>57</v>
      </c>
      <c r="M2232" s="82"/>
      <c r="N2232" s="82"/>
      <c r="O2232" s="82"/>
      <c r="P2232" s="107"/>
      <c r="Q2232" s="82"/>
      <c r="R2232" s="76"/>
      <c r="S2232" s="90"/>
      <c r="T2232" s="79"/>
      <c r="U2232" s="90"/>
      <c r="V2232" s="79"/>
    </row>
    <row r="2233">
      <c r="A2233" s="53" t="s">
        <v>1685</v>
      </c>
      <c r="B2233" s="54" t="s">
        <v>2984</v>
      </c>
      <c r="C2233" s="59"/>
      <c r="D2233" s="59" t="s">
        <v>2985</v>
      </c>
      <c r="E2233" s="133">
        <v>42095.0</v>
      </c>
      <c r="F2233" s="61">
        <v>42109.0</v>
      </c>
      <c r="G2233" s="65">
        <f t="shared" si="2"/>
        <v>0.4666666667</v>
      </c>
      <c r="H2233" s="88">
        <v>41352.0</v>
      </c>
      <c r="I2233" s="65">
        <f t="shared" si="3"/>
        <v>2.033333333</v>
      </c>
      <c r="J2233" s="121">
        <v>81.0</v>
      </c>
      <c r="K2233" s="121">
        <v>8.0</v>
      </c>
      <c r="L2233" s="69" t="s">
        <v>37</v>
      </c>
      <c r="M2233" s="69"/>
      <c r="N2233" s="69" t="s">
        <v>2761</v>
      </c>
      <c r="O2233" s="69"/>
      <c r="P2233" s="122"/>
      <c r="Q2233" s="69"/>
      <c r="R2233" s="59"/>
      <c r="S2233" s="88"/>
      <c r="T2233" s="65"/>
      <c r="U2233" s="88"/>
      <c r="V2233" s="65"/>
    </row>
    <row r="2234">
      <c r="A2234" s="74" t="s">
        <v>2015</v>
      </c>
      <c r="B2234" s="75" t="s">
        <v>2984</v>
      </c>
      <c r="C2234" s="76"/>
      <c r="D2234" s="76" t="s">
        <v>2985</v>
      </c>
      <c r="E2234" s="218">
        <v>42095.0</v>
      </c>
      <c r="F2234" s="77">
        <v>42109.0</v>
      </c>
      <c r="G2234" s="79">
        <f t="shared" si="2"/>
        <v>0.4666666667</v>
      </c>
      <c r="H2234" s="90">
        <v>40679.0</v>
      </c>
      <c r="I2234" s="79">
        <f t="shared" si="3"/>
        <v>3.875</v>
      </c>
      <c r="J2234" s="106">
        <v>83.0</v>
      </c>
      <c r="K2234" s="106">
        <v>29.0</v>
      </c>
      <c r="L2234" s="82" t="s">
        <v>78</v>
      </c>
      <c r="M2234" s="82"/>
      <c r="N2234" s="82"/>
      <c r="O2234" s="82"/>
      <c r="P2234" s="107"/>
      <c r="Q2234" s="82"/>
      <c r="R2234" s="76"/>
      <c r="S2234" s="90"/>
      <c r="T2234" s="79"/>
      <c r="U2234" s="90"/>
      <c r="V2234" s="79"/>
    </row>
    <row r="2235">
      <c r="A2235" s="53" t="s">
        <v>3715</v>
      </c>
      <c r="B2235" s="54" t="s">
        <v>2984</v>
      </c>
      <c r="C2235" s="59"/>
      <c r="D2235" s="59" t="s">
        <v>2985</v>
      </c>
      <c r="E2235" s="133">
        <v>42079.0</v>
      </c>
      <c r="F2235" s="61">
        <v>42094.0</v>
      </c>
      <c r="G2235" s="65">
        <f t="shared" si="2"/>
        <v>0.4666666667</v>
      </c>
      <c r="H2235" s="88">
        <v>41359.0</v>
      </c>
      <c r="I2235" s="65">
        <f t="shared" si="3"/>
        <v>1.972222222</v>
      </c>
      <c r="J2235" s="121">
        <v>94.0</v>
      </c>
      <c r="K2235" s="121">
        <v>11.0</v>
      </c>
      <c r="L2235" s="69" t="s">
        <v>41</v>
      </c>
      <c r="M2235" s="69"/>
      <c r="N2235" s="69" t="s">
        <v>2761</v>
      </c>
      <c r="O2235" s="69"/>
      <c r="P2235" s="122"/>
      <c r="Q2235" s="69"/>
      <c r="R2235" s="59"/>
      <c r="S2235" s="88"/>
      <c r="T2235" s="65"/>
      <c r="U2235" s="88"/>
      <c r="V2235" s="65"/>
    </row>
    <row r="2236">
      <c r="A2236" s="74" t="s">
        <v>3466</v>
      </c>
      <c r="B2236" s="75" t="s">
        <v>2759</v>
      </c>
      <c r="C2236" s="76"/>
      <c r="D2236" s="76" t="s">
        <v>2760</v>
      </c>
      <c r="E2236" s="218">
        <v>42036.0</v>
      </c>
      <c r="F2236" s="77">
        <v>42094.0</v>
      </c>
      <c r="G2236" s="79">
        <f t="shared" si="2"/>
        <v>1.966666667</v>
      </c>
      <c r="H2236" s="90">
        <v>41850.0</v>
      </c>
      <c r="I2236" s="79">
        <f t="shared" si="3"/>
        <v>0.5027777778</v>
      </c>
      <c r="J2236" s="106">
        <v>77.0</v>
      </c>
      <c r="K2236" s="106">
        <v>4.0</v>
      </c>
      <c r="L2236" s="82" t="s">
        <v>3056</v>
      </c>
      <c r="M2236" s="82"/>
      <c r="N2236" s="82"/>
      <c r="O2236" s="82"/>
      <c r="P2236" s="107"/>
      <c r="Q2236" s="82"/>
      <c r="R2236" s="76"/>
      <c r="S2236" s="90"/>
      <c r="T2236" s="79"/>
      <c r="U2236" s="90"/>
      <c r="V2236" s="79"/>
    </row>
    <row r="2237">
      <c r="A2237" s="53" t="s">
        <v>3836</v>
      </c>
      <c r="B2237" s="54" t="s">
        <v>2984</v>
      </c>
      <c r="C2237" s="59"/>
      <c r="D2237" s="59" t="s">
        <v>2985</v>
      </c>
      <c r="E2237" s="133">
        <v>42064.0</v>
      </c>
      <c r="F2237" s="61">
        <v>42078.0</v>
      </c>
      <c r="G2237" s="65">
        <f t="shared" si="2"/>
        <v>0.4666666667</v>
      </c>
      <c r="H2237" s="88">
        <v>41338.0</v>
      </c>
      <c r="I2237" s="65">
        <f t="shared" si="3"/>
        <v>1.988888889</v>
      </c>
      <c r="J2237" s="121">
        <v>86.0</v>
      </c>
      <c r="K2237" s="121">
        <v>12.0</v>
      </c>
      <c r="L2237" s="69" t="s">
        <v>41</v>
      </c>
      <c r="M2237" s="69"/>
      <c r="N2237" s="69"/>
      <c r="O2237" s="69"/>
      <c r="P2237" s="122"/>
      <c r="Q2237" s="69"/>
      <c r="R2237" s="59"/>
      <c r="S2237" s="88"/>
      <c r="T2237" s="65"/>
      <c r="U2237" s="88"/>
      <c r="V2237" s="65"/>
    </row>
    <row r="2238">
      <c r="A2238" s="74" t="s">
        <v>3837</v>
      </c>
      <c r="B2238" s="75" t="s">
        <v>2984</v>
      </c>
      <c r="C2238" s="76"/>
      <c r="D2238" s="76" t="s">
        <v>2985</v>
      </c>
      <c r="E2238" s="218">
        <v>42051.0</v>
      </c>
      <c r="F2238" s="77">
        <v>42063.0</v>
      </c>
      <c r="G2238" s="79">
        <f t="shared" si="2"/>
        <v>0.4</v>
      </c>
      <c r="H2238" s="90">
        <v>41033.0</v>
      </c>
      <c r="I2238" s="79">
        <f t="shared" si="3"/>
        <v>2.783333333</v>
      </c>
      <c r="J2238" s="106">
        <v>77.0</v>
      </c>
      <c r="K2238" s="106">
        <v>9.0</v>
      </c>
      <c r="L2238" s="82" t="s">
        <v>37</v>
      </c>
      <c r="M2238" s="82"/>
      <c r="N2238" s="82" t="s">
        <v>2761</v>
      </c>
      <c r="O2238" s="82"/>
      <c r="P2238" s="107"/>
      <c r="Q2238" s="82"/>
      <c r="R2238" s="76"/>
      <c r="S2238" s="90"/>
      <c r="T2238" s="79"/>
      <c r="U2238" s="90"/>
      <c r="V2238" s="79"/>
    </row>
    <row r="2239">
      <c r="A2239" s="53" t="s">
        <v>3838</v>
      </c>
      <c r="B2239" s="54" t="s">
        <v>2759</v>
      </c>
      <c r="C2239" s="59"/>
      <c r="D2239" s="59" t="s">
        <v>2760</v>
      </c>
      <c r="E2239" s="133">
        <v>41974.0</v>
      </c>
      <c r="F2239" s="61">
        <v>42063.0</v>
      </c>
      <c r="G2239" s="65">
        <f t="shared" si="2"/>
        <v>2.9</v>
      </c>
      <c r="H2239" s="88">
        <v>41544.0</v>
      </c>
      <c r="I2239" s="65">
        <f t="shared" si="3"/>
        <v>1.177777778</v>
      </c>
      <c r="J2239" s="121">
        <v>72.0</v>
      </c>
      <c r="K2239" s="121">
        <v>8.0</v>
      </c>
      <c r="L2239" s="69" t="s">
        <v>81</v>
      </c>
      <c r="M2239" s="69"/>
      <c r="N2239" s="69"/>
      <c r="O2239" s="69"/>
      <c r="P2239" s="122"/>
      <c r="Q2239" s="69"/>
      <c r="R2239" s="59"/>
      <c r="S2239" s="88"/>
      <c r="T2239" s="65"/>
      <c r="U2239" s="88"/>
      <c r="V2239" s="65"/>
    </row>
    <row r="2240">
      <c r="A2240" s="74" t="s">
        <v>2450</v>
      </c>
      <c r="B2240" s="75" t="s">
        <v>2984</v>
      </c>
      <c r="C2240" s="76"/>
      <c r="D2240" s="76" t="s">
        <v>2985</v>
      </c>
      <c r="E2240" s="218">
        <v>42036.0</v>
      </c>
      <c r="F2240" s="77">
        <v>42050.0</v>
      </c>
      <c r="G2240" s="79">
        <f t="shared" si="2"/>
        <v>0.4666666667</v>
      </c>
      <c r="H2240" s="90">
        <v>41493.0</v>
      </c>
      <c r="I2240" s="79">
        <f t="shared" si="3"/>
        <v>1.483333333</v>
      </c>
      <c r="J2240" s="106">
        <v>85.0</v>
      </c>
      <c r="K2240" s="106">
        <v>3.0</v>
      </c>
      <c r="L2240" s="82" t="s">
        <v>135</v>
      </c>
      <c r="M2240" s="82"/>
      <c r="N2240" s="82"/>
      <c r="O2240" s="82"/>
      <c r="P2240" s="107"/>
      <c r="Q2240" s="82"/>
      <c r="R2240" s="76"/>
      <c r="S2240" s="90"/>
      <c r="T2240" s="79"/>
      <c r="U2240" s="90"/>
      <c r="V2240" s="79"/>
    </row>
    <row r="2241">
      <c r="A2241" s="53" t="s">
        <v>3839</v>
      </c>
      <c r="B2241" s="54" t="s">
        <v>2984</v>
      </c>
      <c r="C2241" s="59"/>
      <c r="D2241" s="59" t="s">
        <v>2985</v>
      </c>
      <c r="E2241" s="133">
        <v>42020.0</v>
      </c>
      <c r="F2241" s="61">
        <v>42035.0</v>
      </c>
      <c r="G2241" s="65">
        <f t="shared" si="2"/>
        <v>0.4666666667</v>
      </c>
      <c r="H2241" s="88">
        <v>40680.0</v>
      </c>
      <c r="I2241" s="65">
        <f t="shared" si="3"/>
        <v>3.663888889</v>
      </c>
      <c r="J2241" s="121">
        <v>88.0</v>
      </c>
      <c r="K2241" s="121">
        <v>40.0</v>
      </c>
      <c r="L2241" s="69" t="s">
        <v>46</v>
      </c>
      <c r="M2241" s="69" t="s">
        <v>72</v>
      </c>
      <c r="N2241" s="69" t="s">
        <v>2761</v>
      </c>
      <c r="O2241" s="69"/>
      <c r="P2241" s="122"/>
      <c r="Q2241" s="69"/>
      <c r="R2241" s="59"/>
      <c r="S2241" s="88"/>
      <c r="T2241" s="65"/>
      <c r="U2241" s="88"/>
      <c r="V2241" s="65"/>
    </row>
    <row r="2242">
      <c r="A2242" s="74" t="s">
        <v>3614</v>
      </c>
      <c r="B2242" s="75" t="s">
        <v>2759</v>
      </c>
      <c r="C2242" s="76"/>
      <c r="D2242" s="76" t="s">
        <v>2760</v>
      </c>
      <c r="E2242" s="218">
        <v>42005.0</v>
      </c>
      <c r="F2242" s="77">
        <v>42034.0</v>
      </c>
      <c r="G2242" s="79">
        <f t="shared" si="2"/>
        <v>0.9666666667</v>
      </c>
      <c r="H2242" s="90">
        <v>41865.0</v>
      </c>
      <c r="I2242" s="79">
        <f t="shared" si="3"/>
        <v>0.3805555556</v>
      </c>
      <c r="J2242" s="106">
        <v>65.0</v>
      </c>
      <c r="K2242" s="106">
        <v>8.0</v>
      </c>
      <c r="L2242" s="82" t="s">
        <v>135</v>
      </c>
      <c r="M2242" s="82"/>
      <c r="N2242" s="82"/>
      <c r="O2242" s="82"/>
      <c r="P2242" s="107"/>
      <c r="Q2242" s="82"/>
      <c r="R2242" s="76"/>
      <c r="S2242" s="90"/>
      <c r="T2242" s="79"/>
      <c r="U2242" s="90"/>
      <c r="V2242" s="79"/>
    </row>
    <row r="2243">
      <c r="A2243" s="53" t="s">
        <v>3840</v>
      </c>
      <c r="B2243" s="54" t="s">
        <v>2984</v>
      </c>
      <c r="C2243" s="59"/>
      <c r="D2243" s="59" t="s">
        <v>2985</v>
      </c>
      <c r="E2243" s="133">
        <v>42005.0</v>
      </c>
      <c r="F2243" s="61">
        <v>42019.0</v>
      </c>
      <c r="G2243" s="65">
        <f t="shared" si="2"/>
        <v>0.4666666667</v>
      </c>
      <c r="H2243" s="88">
        <v>40673.0</v>
      </c>
      <c r="I2243" s="65">
        <f t="shared" si="3"/>
        <v>3.641666667</v>
      </c>
      <c r="J2243" s="121">
        <v>63.0</v>
      </c>
      <c r="K2243" s="121">
        <v>9.0</v>
      </c>
      <c r="L2243" s="69" t="s">
        <v>55</v>
      </c>
      <c r="M2243" s="69"/>
      <c r="N2243" s="69" t="s">
        <v>2761</v>
      </c>
      <c r="O2243" s="69"/>
      <c r="P2243" s="122"/>
      <c r="Q2243" s="69"/>
      <c r="R2243" s="59"/>
      <c r="S2243" s="88"/>
      <c r="T2243" s="65"/>
      <c r="U2243" s="88"/>
      <c r="V2243" s="65"/>
    </row>
    <row r="2244">
      <c r="A2244" s="74" t="s">
        <v>1894</v>
      </c>
      <c r="B2244" s="75" t="s">
        <v>2984</v>
      </c>
      <c r="C2244" s="76"/>
      <c r="D2244" s="76" t="s">
        <v>2985</v>
      </c>
      <c r="E2244" s="218">
        <v>41989.0</v>
      </c>
      <c r="F2244" s="77">
        <v>42004.0</v>
      </c>
      <c r="G2244" s="79">
        <f t="shared" si="2"/>
        <v>0.4666666667</v>
      </c>
      <c r="H2244" s="90">
        <v>40967.0</v>
      </c>
      <c r="I2244" s="79">
        <f t="shared" si="3"/>
        <v>2.8</v>
      </c>
      <c r="J2244" s="106">
        <v>82.0</v>
      </c>
      <c r="K2244" s="106">
        <v>12.0</v>
      </c>
      <c r="L2244" s="82" t="s">
        <v>62</v>
      </c>
      <c r="M2244" s="82"/>
      <c r="N2244" s="82" t="s">
        <v>2761</v>
      </c>
      <c r="O2244" s="82"/>
      <c r="P2244" s="107"/>
      <c r="Q2244" s="82"/>
      <c r="R2244" s="76"/>
      <c r="S2244" s="90"/>
      <c r="T2244" s="79"/>
      <c r="U2244" s="90"/>
      <c r="V2244" s="79"/>
    </row>
    <row r="2245">
      <c r="A2245" s="53" t="s">
        <v>3841</v>
      </c>
      <c r="B2245" s="54" t="s">
        <v>2759</v>
      </c>
      <c r="C2245" s="59"/>
      <c r="D2245" s="59" t="s">
        <v>2760</v>
      </c>
      <c r="E2245" s="133">
        <v>41944.0</v>
      </c>
      <c r="F2245" s="61">
        <v>42004.0</v>
      </c>
      <c r="G2245" s="65">
        <f t="shared" si="2"/>
        <v>1.966666667</v>
      </c>
      <c r="H2245" s="88">
        <v>41744.0</v>
      </c>
      <c r="I2245" s="65">
        <f t="shared" si="3"/>
        <v>0.5444444444</v>
      </c>
      <c r="J2245" s="121">
        <v>74.0</v>
      </c>
      <c r="K2245" s="121">
        <v>6.0</v>
      </c>
      <c r="L2245" s="69" t="s">
        <v>57</v>
      </c>
      <c r="M2245" s="69"/>
      <c r="N2245" s="69"/>
      <c r="O2245" s="69"/>
      <c r="P2245" s="122"/>
      <c r="Q2245" s="69"/>
      <c r="R2245" s="59"/>
      <c r="S2245" s="88"/>
      <c r="T2245" s="65"/>
      <c r="U2245" s="88"/>
      <c r="V2245" s="65"/>
    </row>
    <row r="2246">
      <c r="A2246" s="74" t="s">
        <v>3842</v>
      </c>
      <c r="B2246" s="75" t="s">
        <v>2984</v>
      </c>
      <c r="C2246" s="76"/>
      <c r="D2246" s="76" t="s">
        <v>2985</v>
      </c>
      <c r="E2246" s="218">
        <v>41974.0</v>
      </c>
      <c r="F2246" s="77">
        <v>41988.0</v>
      </c>
      <c r="G2246" s="79">
        <f t="shared" si="2"/>
        <v>0.4666666667</v>
      </c>
      <c r="H2246" s="90">
        <v>41449.0</v>
      </c>
      <c r="I2246" s="79">
        <f t="shared" si="3"/>
        <v>1.436111111</v>
      </c>
      <c r="J2246" s="106">
        <v>74.0</v>
      </c>
      <c r="K2246" s="106">
        <v>9.0</v>
      </c>
      <c r="L2246" s="82" t="s">
        <v>135</v>
      </c>
      <c r="M2246" s="82"/>
      <c r="N2246" s="82"/>
      <c r="O2246" s="82"/>
      <c r="P2246" s="107"/>
      <c r="Q2246" s="82"/>
      <c r="R2246" s="76"/>
      <c r="S2246" s="90"/>
      <c r="T2246" s="79"/>
      <c r="U2246" s="90"/>
      <c r="V2246" s="79"/>
    </row>
    <row r="2247">
      <c r="A2247" s="53" t="s">
        <v>3843</v>
      </c>
      <c r="B2247" s="54" t="s">
        <v>2984</v>
      </c>
      <c r="C2247" s="59"/>
      <c r="D2247" s="59" t="s">
        <v>2985</v>
      </c>
      <c r="E2247" s="133">
        <v>41959.0</v>
      </c>
      <c r="F2247" s="61">
        <v>41973.0</v>
      </c>
      <c r="G2247" s="65">
        <f t="shared" si="2"/>
        <v>0.4666666667</v>
      </c>
      <c r="H2247" s="88">
        <v>39966.0</v>
      </c>
      <c r="I2247" s="65">
        <f t="shared" si="3"/>
        <v>5.455555556</v>
      </c>
      <c r="J2247" s="121">
        <v>85.0</v>
      </c>
      <c r="K2247" s="121">
        <v>14.0</v>
      </c>
      <c r="L2247" s="69" t="s">
        <v>41</v>
      </c>
      <c r="M2247" s="69"/>
      <c r="N2247" s="69"/>
      <c r="O2247" s="69"/>
      <c r="P2247" s="122"/>
      <c r="Q2247" s="69"/>
      <c r="R2247" s="59"/>
      <c r="S2247" s="88"/>
      <c r="T2247" s="65"/>
      <c r="U2247" s="88"/>
      <c r="V2247" s="65"/>
    </row>
    <row r="2248">
      <c r="A2248" s="74" t="s">
        <v>3844</v>
      </c>
      <c r="B2248" s="75" t="s">
        <v>2759</v>
      </c>
      <c r="C2248" s="76"/>
      <c r="D2248" s="76" t="s">
        <v>2760</v>
      </c>
      <c r="E2248" s="218">
        <v>41913.0</v>
      </c>
      <c r="F2248" s="77">
        <v>41973.0</v>
      </c>
      <c r="G2248" s="79">
        <f t="shared" si="2"/>
        <v>1.966666667</v>
      </c>
      <c r="H2248" s="90">
        <v>41913.0</v>
      </c>
      <c r="I2248" s="79">
        <f t="shared" si="3"/>
        <v>0</v>
      </c>
      <c r="J2248" s="106">
        <v>77.0</v>
      </c>
      <c r="K2248" s="106">
        <v>6.0</v>
      </c>
      <c r="L2248" s="82" t="s">
        <v>57</v>
      </c>
      <c r="M2248" s="82"/>
      <c r="N2248" s="82"/>
      <c r="O2248" s="82"/>
      <c r="P2248" s="107"/>
      <c r="Q2248" s="82"/>
      <c r="R2248" s="76"/>
      <c r="S2248" s="90"/>
      <c r="T2248" s="79"/>
      <c r="U2248" s="90"/>
      <c r="V2248" s="79"/>
    </row>
    <row r="2249">
      <c r="A2249" s="53" t="s">
        <v>1705</v>
      </c>
      <c r="B2249" s="54" t="s">
        <v>2984</v>
      </c>
      <c r="C2249" s="59"/>
      <c r="D2249" s="59" t="s">
        <v>2985</v>
      </c>
      <c r="E2249" s="133">
        <v>41944.0</v>
      </c>
      <c r="F2249" s="61">
        <v>41958.0</v>
      </c>
      <c r="G2249" s="65">
        <f t="shared" si="2"/>
        <v>0.4666666667</v>
      </c>
      <c r="H2249" s="88">
        <v>39742.0</v>
      </c>
      <c r="I2249" s="65">
        <f t="shared" si="3"/>
        <v>6.027777778</v>
      </c>
      <c r="J2249" s="121">
        <v>78.0</v>
      </c>
      <c r="K2249" s="121">
        <v>18.0</v>
      </c>
      <c r="L2249" s="69" t="s">
        <v>64</v>
      </c>
      <c r="M2249" s="69" t="s">
        <v>72</v>
      </c>
      <c r="N2249" s="69" t="s">
        <v>2761</v>
      </c>
      <c r="O2249" s="69"/>
      <c r="P2249" s="122"/>
      <c r="Q2249" s="69"/>
      <c r="R2249" s="59"/>
      <c r="S2249" s="88"/>
      <c r="T2249" s="65"/>
      <c r="U2249" s="88"/>
      <c r="V2249" s="65"/>
    </row>
    <row r="2250">
      <c r="A2250" s="74" t="s">
        <v>3845</v>
      </c>
      <c r="B2250" s="75" t="s">
        <v>2984</v>
      </c>
      <c r="C2250" s="76"/>
      <c r="D2250" s="76" t="s">
        <v>2985</v>
      </c>
      <c r="E2250" s="218">
        <v>41928.0</v>
      </c>
      <c r="F2250" s="77">
        <v>41943.0</v>
      </c>
      <c r="G2250" s="79">
        <f t="shared" si="2"/>
        <v>0.4666666667</v>
      </c>
      <c r="H2250" s="90">
        <v>41135.0</v>
      </c>
      <c r="I2250" s="79">
        <f t="shared" si="3"/>
        <v>2.172222222</v>
      </c>
      <c r="J2250" s="106">
        <v>84.0</v>
      </c>
      <c r="K2250" s="106">
        <v>22.0</v>
      </c>
      <c r="L2250" s="82" t="s">
        <v>41</v>
      </c>
      <c r="M2250" s="82"/>
      <c r="N2250" s="82" t="s">
        <v>2761</v>
      </c>
      <c r="O2250" s="82"/>
      <c r="P2250" s="107"/>
      <c r="Q2250" s="82"/>
      <c r="R2250" s="76"/>
      <c r="S2250" s="90"/>
      <c r="T2250" s="79"/>
      <c r="U2250" s="90"/>
      <c r="V2250" s="79"/>
    </row>
    <row r="2251">
      <c r="A2251" s="53" t="s">
        <v>3846</v>
      </c>
      <c r="B2251" s="54" t="s">
        <v>2759</v>
      </c>
      <c r="C2251" s="59"/>
      <c r="D2251" s="59" t="s">
        <v>2760</v>
      </c>
      <c r="E2251" s="133">
        <v>41852.0</v>
      </c>
      <c r="F2251" s="61">
        <v>41943.0</v>
      </c>
      <c r="G2251" s="65">
        <f t="shared" si="2"/>
        <v>2.966666667</v>
      </c>
      <c r="H2251" s="88">
        <v>41604.0</v>
      </c>
      <c r="I2251" s="65">
        <f t="shared" si="3"/>
        <v>0.6805555556</v>
      </c>
      <c r="J2251" s="121">
        <v>58.0</v>
      </c>
      <c r="K2251" s="121">
        <v>6.0</v>
      </c>
      <c r="L2251" s="69" t="s">
        <v>37</v>
      </c>
      <c r="M2251" s="69"/>
      <c r="N2251" s="69"/>
      <c r="O2251" s="69"/>
      <c r="P2251" s="122"/>
      <c r="Q2251" s="69"/>
      <c r="R2251" s="59"/>
      <c r="S2251" s="88"/>
      <c r="T2251" s="65"/>
      <c r="U2251" s="88"/>
      <c r="V2251" s="65"/>
    </row>
    <row r="2252">
      <c r="A2252" s="74" t="s">
        <v>2710</v>
      </c>
      <c r="B2252" s="75" t="s">
        <v>2984</v>
      </c>
      <c r="C2252" s="76"/>
      <c r="D2252" s="76" t="s">
        <v>2985</v>
      </c>
      <c r="E2252" s="218">
        <v>41913.0</v>
      </c>
      <c r="F2252" s="77">
        <v>41927.0</v>
      </c>
      <c r="G2252" s="79">
        <f t="shared" si="2"/>
        <v>0.4666666667</v>
      </c>
      <c r="H2252" s="90">
        <v>40239.0</v>
      </c>
      <c r="I2252" s="79">
        <f t="shared" si="3"/>
        <v>4.580555556</v>
      </c>
      <c r="J2252" s="106">
        <v>88.0</v>
      </c>
      <c r="K2252" s="106">
        <v>8.0</v>
      </c>
      <c r="L2252" s="82" t="s">
        <v>37</v>
      </c>
      <c r="M2252" s="82"/>
      <c r="N2252" s="82" t="s">
        <v>2761</v>
      </c>
      <c r="O2252" s="82"/>
      <c r="P2252" s="107"/>
      <c r="Q2252" s="82"/>
      <c r="R2252" s="76"/>
      <c r="S2252" s="90"/>
      <c r="T2252" s="79"/>
      <c r="U2252" s="90"/>
      <c r="V2252" s="79"/>
    </row>
    <row r="2253">
      <c r="A2253" s="53" t="s">
        <v>1604</v>
      </c>
      <c r="B2253" s="54" t="s">
        <v>2984</v>
      </c>
      <c r="C2253" s="59"/>
      <c r="D2253" s="59" t="s">
        <v>2985</v>
      </c>
      <c r="E2253" s="133">
        <v>41898.0</v>
      </c>
      <c r="F2253" s="61">
        <v>41912.0</v>
      </c>
      <c r="G2253" s="65">
        <f t="shared" si="2"/>
        <v>0.4666666667</v>
      </c>
      <c r="H2253" s="88">
        <v>40435.0</v>
      </c>
      <c r="I2253" s="65">
        <f t="shared" si="3"/>
        <v>4.005555556</v>
      </c>
      <c r="J2253" s="121">
        <v>91.0</v>
      </c>
      <c r="K2253" s="121">
        <v>12.0</v>
      </c>
      <c r="L2253" s="69" t="s">
        <v>37</v>
      </c>
      <c r="M2253" s="69"/>
      <c r="N2253" s="69" t="s">
        <v>2761</v>
      </c>
      <c r="O2253" s="69"/>
      <c r="P2253" s="122"/>
      <c r="Q2253" s="69"/>
      <c r="R2253" s="59"/>
      <c r="S2253" s="88"/>
      <c r="T2253" s="65"/>
      <c r="U2253" s="88"/>
      <c r="V2253" s="65"/>
    </row>
    <row r="2254">
      <c r="A2254" s="74" t="s">
        <v>3622</v>
      </c>
      <c r="B2254" s="75" t="s">
        <v>2759</v>
      </c>
      <c r="C2254" s="76"/>
      <c r="D2254" s="76" t="s">
        <v>2760</v>
      </c>
      <c r="E2254" s="218">
        <v>41883.0</v>
      </c>
      <c r="F2254" s="77">
        <v>41912.0</v>
      </c>
      <c r="G2254" s="79">
        <f t="shared" si="2"/>
        <v>0.9666666667</v>
      </c>
      <c r="H2254" s="90">
        <v>41879.0</v>
      </c>
      <c r="I2254" s="79">
        <f t="shared" si="3"/>
        <v>0.008333333333</v>
      </c>
      <c r="J2254" s="106">
        <v>83.0</v>
      </c>
      <c r="K2254" s="106">
        <v>6.0</v>
      </c>
      <c r="L2254" s="82" t="s">
        <v>105</v>
      </c>
      <c r="M2254" s="82"/>
      <c r="N2254" s="82"/>
      <c r="O2254" s="82"/>
      <c r="P2254" s="107"/>
      <c r="Q2254" s="82"/>
      <c r="R2254" s="76"/>
      <c r="S2254" s="90"/>
      <c r="T2254" s="79"/>
      <c r="U2254" s="90"/>
      <c r="V2254" s="79"/>
    </row>
    <row r="2255">
      <c r="A2255" s="53" t="s">
        <v>3847</v>
      </c>
      <c r="B2255" s="54" t="s">
        <v>2984</v>
      </c>
      <c r="C2255" s="59"/>
      <c r="D2255" s="59" t="s">
        <v>2985</v>
      </c>
      <c r="E2255" s="133">
        <v>41883.0</v>
      </c>
      <c r="F2255" s="61">
        <v>41897.0</v>
      </c>
      <c r="G2255" s="65">
        <f t="shared" si="2"/>
        <v>0.4666666667</v>
      </c>
      <c r="H2255" s="88">
        <v>41388.0</v>
      </c>
      <c r="I2255" s="65">
        <f t="shared" si="3"/>
        <v>1.352777778</v>
      </c>
      <c r="J2255" s="121">
        <v>84.0</v>
      </c>
      <c r="K2255" s="121">
        <v>8.0</v>
      </c>
      <c r="L2255" s="69" t="s">
        <v>3018</v>
      </c>
      <c r="M2255" s="69"/>
      <c r="N2255" s="69" t="s">
        <v>2761</v>
      </c>
      <c r="O2255" s="69"/>
      <c r="P2255" s="122"/>
      <c r="Q2255" s="69"/>
      <c r="R2255" s="59"/>
      <c r="S2255" s="88"/>
      <c r="T2255" s="65"/>
      <c r="U2255" s="88"/>
      <c r="V2255" s="65"/>
    </row>
    <row r="2256">
      <c r="A2256" s="74" t="s">
        <v>3848</v>
      </c>
      <c r="B2256" s="75" t="s">
        <v>2984</v>
      </c>
      <c r="C2256" s="76"/>
      <c r="D2256" s="76" t="s">
        <v>2985</v>
      </c>
      <c r="E2256" s="218">
        <v>41867.0</v>
      </c>
      <c r="F2256" s="77">
        <v>41882.0</v>
      </c>
      <c r="G2256" s="79">
        <f t="shared" si="2"/>
        <v>0.4666666667</v>
      </c>
      <c r="H2256" s="90">
        <v>41191.0</v>
      </c>
      <c r="I2256" s="79">
        <f t="shared" si="3"/>
        <v>1.852777778</v>
      </c>
      <c r="J2256" s="106">
        <v>91.0</v>
      </c>
      <c r="K2256" s="106">
        <v>13.0</v>
      </c>
      <c r="L2256" s="82" t="s">
        <v>41</v>
      </c>
      <c r="M2256" s="82"/>
      <c r="N2256" s="82"/>
      <c r="O2256" s="82"/>
      <c r="P2256" s="107"/>
      <c r="Q2256" s="82"/>
      <c r="R2256" s="76"/>
      <c r="S2256" s="90"/>
      <c r="T2256" s="79"/>
      <c r="U2256" s="90"/>
      <c r="V2256" s="79"/>
    </row>
    <row r="2257">
      <c r="A2257" s="53" t="s">
        <v>3849</v>
      </c>
      <c r="B2257" s="54" t="s">
        <v>2759</v>
      </c>
      <c r="C2257" s="59"/>
      <c r="D2257" s="59" t="s">
        <v>2760</v>
      </c>
      <c r="E2257" s="133">
        <v>41852.0</v>
      </c>
      <c r="F2257" s="61">
        <v>41882.0</v>
      </c>
      <c r="G2257" s="65">
        <f t="shared" si="2"/>
        <v>0.9666666667</v>
      </c>
      <c r="H2257" s="88">
        <v>41590.0</v>
      </c>
      <c r="I2257" s="65">
        <f t="shared" si="3"/>
        <v>0.7194444444</v>
      </c>
      <c r="J2257" s="121">
        <v>78.0</v>
      </c>
      <c r="K2257" s="121">
        <v>8.0</v>
      </c>
      <c r="L2257" s="69" t="s">
        <v>37</v>
      </c>
      <c r="M2257" s="69"/>
      <c r="N2257" s="69"/>
      <c r="O2257" s="69"/>
      <c r="P2257" s="122"/>
      <c r="Q2257" s="69"/>
      <c r="R2257" s="59"/>
      <c r="S2257" s="88"/>
      <c r="T2257" s="65"/>
      <c r="U2257" s="88"/>
      <c r="V2257" s="65"/>
    </row>
    <row r="2258">
      <c r="A2258" s="74" t="s">
        <v>3850</v>
      </c>
      <c r="B2258" s="75" t="s">
        <v>2984</v>
      </c>
      <c r="C2258" s="76"/>
      <c r="D2258" s="76" t="s">
        <v>2985</v>
      </c>
      <c r="E2258" s="218">
        <v>41852.0</v>
      </c>
      <c r="F2258" s="77">
        <v>41866.0</v>
      </c>
      <c r="G2258" s="79">
        <f t="shared" si="2"/>
        <v>0.4666666667</v>
      </c>
      <c r="H2258" s="90">
        <v>40491.0</v>
      </c>
      <c r="I2258" s="79">
        <f t="shared" si="3"/>
        <v>3.727777778</v>
      </c>
      <c r="J2258" s="106">
        <v>70.0</v>
      </c>
      <c r="K2258" s="106">
        <v>6.0</v>
      </c>
      <c r="L2258" s="82" t="s">
        <v>55</v>
      </c>
      <c r="M2258" s="82"/>
      <c r="N2258" s="82" t="s">
        <v>2761</v>
      </c>
      <c r="O2258" s="82"/>
      <c r="P2258" s="107"/>
      <c r="Q2258" s="82"/>
      <c r="R2258" s="76"/>
      <c r="S2258" s="90"/>
      <c r="T2258" s="79"/>
      <c r="U2258" s="90"/>
      <c r="V2258" s="79"/>
    </row>
    <row r="2259">
      <c r="A2259" s="53" t="s">
        <v>3573</v>
      </c>
      <c r="B2259" s="54" t="s">
        <v>2984</v>
      </c>
      <c r="C2259" s="59"/>
      <c r="D2259" s="59" t="s">
        <v>2985</v>
      </c>
      <c r="E2259" s="133">
        <v>41836.0</v>
      </c>
      <c r="F2259" s="61">
        <v>41851.0</v>
      </c>
      <c r="G2259" s="65">
        <f t="shared" si="2"/>
        <v>0.4666666667</v>
      </c>
      <c r="H2259" s="88">
        <v>41367.0</v>
      </c>
      <c r="I2259" s="65">
        <f t="shared" si="3"/>
        <v>1.286111111</v>
      </c>
      <c r="J2259" s="121">
        <v>86.0</v>
      </c>
      <c r="K2259" s="121">
        <v>8.0</v>
      </c>
      <c r="L2259" s="69" t="s">
        <v>57</v>
      </c>
      <c r="M2259" s="69"/>
      <c r="N2259" s="69" t="s">
        <v>2761</v>
      </c>
      <c r="O2259" s="69"/>
      <c r="P2259" s="122"/>
      <c r="Q2259" s="69"/>
      <c r="R2259" s="59"/>
      <c r="S2259" s="88"/>
      <c r="T2259" s="65"/>
      <c r="U2259" s="88"/>
      <c r="V2259" s="65"/>
    </row>
    <row r="2260">
      <c r="A2260" s="74" t="s">
        <v>3484</v>
      </c>
      <c r="B2260" s="75" t="s">
        <v>2759</v>
      </c>
      <c r="C2260" s="76"/>
      <c r="D2260" s="76" t="s">
        <v>2760</v>
      </c>
      <c r="E2260" s="218">
        <v>41822.0</v>
      </c>
      <c r="F2260" s="77">
        <v>41851.0</v>
      </c>
      <c r="G2260" s="79">
        <f t="shared" si="2"/>
        <v>0.9333333333</v>
      </c>
      <c r="H2260" s="90">
        <v>41507.0</v>
      </c>
      <c r="I2260" s="79">
        <f t="shared" si="3"/>
        <v>0.8638888889</v>
      </c>
      <c r="J2260" s="106">
        <v>89.0</v>
      </c>
      <c r="K2260" s="106">
        <v>8.0</v>
      </c>
      <c r="L2260" s="82" t="s">
        <v>294</v>
      </c>
      <c r="M2260" s="82"/>
      <c r="N2260" s="82"/>
      <c r="O2260" s="82"/>
      <c r="P2260" s="107"/>
      <c r="Q2260" s="82"/>
      <c r="R2260" s="76"/>
      <c r="S2260" s="90"/>
      <c r="T2260" s="79"/>
      <c r="U2260" s="90"/>
      <c r="V2260" s="79"/>
    </row>
    <row r="2261">
      <c r="A2261" s="53" t="s">
        <v>1692</v>
      </c>
      <c r="B2261" s="54" t="s">
        <v>2759</v>
      </c>
      <c r="C2261" s="59"/>
      <c r="D2261" s="59" t="s">
        <v>2760</v>
      </c>
      <c r="E2261" s="133">
        <v>41793.0</v>
      </c>
      <c r="F2261" s="61">
        <v>41851.0</v>
      </c>
      <c r="G2261" s="65">
        <f t="shared" si="2"/>
        <v>1.9</v>
      </c>
      <c r="H2261" s="88">
        <v>41473.0</v>
      </c>
      <c r="I2261" s="65">
        <f t="shared" si="3"/>
        <v>0.875</v>
      </c>
      <c r="J2261" s="121">
        <v>70.0</v>
      </c>
      <c r="K2261" s="121">
        <v>5.0</v>
      </c>
      <c r="L2261" s="69" t="s">
        <v>37</v>
      </c>
      <c r="M2261" s="69"/>
      <c r="N2261" s="69"/>
      <c r="O2261" s="69"/>
      <c r="P2261" s="122"/>
      <c r="Q2261" s="69"/>
      <c r="R2261" s="59"/>
      <c r="S2261" s="88"/>
      <c r="T2261" s="65"/>
      <c r="U2261" s="88"/>
      <c r="V2261" s="65"/>
    </row>
    <row r="2262">
      <c r="A2262" s="74" t="s">
        <v>1698</v>
      </c>
      <c r="B2262" s="75" t="s">
        <v>2759</v>
      </c>
      <c r="C2262" s="76"/>
      <c r="D2262" s="76" t="s">
        <v>2760</v>
      </c>
      <c r="E2262" s="218">
        <v>41793.0</v>
      </c>
      <c r="F2262" s="77">
        <v>41851.0</v>
      </c>
      <c r="G2262" s="79">
        <f t="shared" si="2"/>
        <v>1.9</v>
      </c>
      <c r="H2262" s="90">
        <v>41612.0</v>
      </c>
      <c r="I2262" s="79">
        <f t="shared" si="3"/>
        <v>0.4972222222</v>
      </c>
      <c r="J2262" s="106">
        <v>77.0</v>
      </c>
      <c r="K2262" s="106">
        <v>6.0</v>
      </c>
      <c r="L2262" s="82" t="s">
        <v>57</v>
      </c>
      <c r="M2262" s="82"/>
      <c r="N2262" s="82"/>
      <c r="O2262" s="82"/>
      <c r="P2262" s="107"/>
      <c r="Q2262" s="82"/>
      <c r="R2262" s="76"/>
      <c r="S2262" s="90"/>
      <c r="T2262" s="79"/>
      <c r="U2262" s="90"/>
      <c r="V2262" s="79"/>
    </row>
    <row r="2263">
      <c r="A2263" s="53" t="s">
        <v>3851</v>
      </c>
      <c r="B2263" s="54" t="s">
        <v>2984</v>
      </c>
      <c r="C2263" s="59"/>
      <c r="D2263" s="59" t="s">
        <v>2985</v>
      </c>
      <c r="E2263" s="133">
        <v>41821.0</v>
      </c>
      <c r="F2263" s="61">
        <v>41835.0</v>
      </c>
      <c r="G2263" s="65">
        <f t="shared" si="2"/>
        <v>0.4666666667</v>
      </c>
      <c r="H2263" s="88">
        <v>40947.0</v>
      </c>
      <c r="I2263" s="65">
        <f t="shared" si="3"/>
        <v>2.397222222</v>
      </c>
      <c r="J2263" s="121">
        <v>67.0</v>
      </c>
      <c r="K2263" s="121">
        <v>6.0</v>
      </c>
      <c r="L2263" s="69" t="s">
        <v>37</v>
      </c>
      <c r="M2263" s="69"/>
      <c r="N2263" s="69"/>
      <c r="O2263" s="69"/>
      <c r="P2263" s="122"/>
      <c r="Q2263" s="69"/>
      <c r="R2263" s="59"/>
      <c r="S2263" s="88"/>
      <c r="T2263" s="65"/>
      <c r="U2263" s="88"/>
      <c r="V2263" s="65"/>
    </row>
    <row r="2264">
      <c r="A2264" s="74" t="s">
        <v>3852</v>
      </c>
      <c r="B2264" s="75" t="s">
        <v>2984</v>
      </c>
      <c r="C2264" s="76"/>
      <c r="D2264" s="76" t="s">
        <v>2985</v>
      </c>
      <c r="E2264" s="218">
        <v>41806.0</v>
      </c>
      <c r="F2264" s="77">
        <v>41820.0</v>
      </c>
      <c r="G2264" s="79">
        <f t="shared" si="2"/>
        <v>0.4666666667</v>
      </c>
      <c r="H2264" s="90">
        <v>41562.0</v>
      </c>
      <c r="I2264" s="79">
        <f t="shared" si="3"/>
        <v>0.6694444444</v>
      </c>
      <c r="J2264" s="106">
        <v>78.0</v>
      </c>
      <c r="K2264" s="106">
        <v>6.0</v>
      </c>
      <c r="L2264" s="82" t="s">
        <v>3853</v>
      </c>
      <c r="M2264" s="82"/>
      <c r="N2264" s="82"/>
      <c r="O2264" s="82"/>
      <c r="P2264" s="107"/>
      <c r="Q2264" s="82"/>
      <c r="R2264" s="76"/>
      <c r="S2264" s="90"/>
      <c r="T2264" s="79"/>
      <c r="U2264" s="90"/>
      <c r="V2264" s="79"/>
    </row>
    <row r="2265">
      <c r="A2265" s="53" t="s">
        <v>3563</v>
      </c>
      <c r="B2265" s="54" t="s">
        <v>2984</v>
      </c>
      <c r="C2265" s="59"/>
      <c r="D2265" s="59" t="s">
        <v>2985</v>
      </c>
      <c r="E2265" s="133">
        <v>41806.0</v>
      </c>
      <c r="F2265" s="61">
        <v>41820.0</v>
      </c>
      <c r="G2265" s="65">
        <f t="shared" si="2"/>
        <v>0.4666666667</v>
      </c>
      <c r="H2265" s="88">
        <v>40660.0</v>
      </c>
      <c r="I2265" s="65">
        <f t="shared" si="3"/>
        <v>3.136111111</v>
      </c>
      <c r="J2265" s="121">
        <v>90.0</v>
      </c>
      <c r="K2265" s="121">
        <v>8.0</v>
      </c>
      <c r="L2265" s="69" t="s">
        <v>52</v>
      </c>
      <c r="M2265" s="69"/>
      <c r="N2265" s="69" t="s">
        <v>2761</v>
      </c>
      <c r="O2265" s="69"/>
      <c r="P2265" s="122"/>
      <c r="Q2265" s="69"/>
      <c r="R2265" s="59"/>
      <c r="S2265" s="88"/>
      <c r="T2265" s="65"/>
      <c r="U2265" s="88"/>
      <c r="V2265" s="65"/>
    </row>
    <row r="2266">
      <c r="A2266" s="74" t="s">
        <v>3854</v>
      </c>
      <c r="B2266" s="75" t="s">
        <v>2984</v>
      </c>
      <c r="C2266" s="76"/>
      <c r="D2266" s="76" t="s">
        <v>2985</v>
      </c>
      <c r="E2266" s="218">
        <v>41791.0</v>
      </c>
      <c r="F2266" s="77">
        <v>41805.0</v>
      </c>
      <c r="G2266" s="79">
        <f t="shared" si="2"/>
        <v>0.4666666667</v>
      </c>
      <c r="H2266" s="90">
        <v>40823.0</v>
      </c>
      <c r="I2266" s="79">
        <f t="shared" si="3"/>
        <v>2.65</v>
      </c>
      <c r="J2266" s="106">
        <v>89.0</v>
      </c>
      <c r="K2266" s="106">
        <v>45.0</v>
      </c>
      <c r="L2266" s="82" t="s">
        <v>41</v>
      </c>
      <c r="M2266" s="82"/>
      <c r="N2266" s="82" t="s">
        <v>2761</v>
      </c>
      <c r="O2266" s="82"/>
      <c r="P2266" s="107"/>
      <c r="Q2266" s="82"/>
      <c r="R2266" s="76"/>
      <c r="S2266" s="90"/>
      <c r="T2266" s="79"/>
      <c r="U2266" s="90"/>
      <c r="V2266" s="79"/>
    </row>
    <row r="2267">
      <c r="A2267" s="53" t="s">
        <v>3519</v>
      </c>
      <c r="B2267" s="54" t="s">
        <v>2984</v>
      </c>
      <c r="C2267" s="59"/>
      <c r="D2267" s="59" t="s">
        <v>2985</v>
      </c>
      <c r="E2267" s="133">
        <v>41775.0</v>
      </c>
      <c r="F2267" s="61">
        <v>41790.0</v>
      </c>
      <c r="G2267" s="65">
        <f t="shared" si="2"/>
        <v>0.4666666667</v>
      </c>
      <c r="H2267" s="88">
        <v>40862.0</v>
      </c>
      <c r="I2267" s="65">
        <f t="shared" si="3"/>
        <v>2.502777778</v>
      </c>
      <c r="J2267" s="121">
        <v>84.0</v>
      </c>
      <c r="K2267" s="121">
        <v>15.0</v>
      </c>
      <c r="L2267" s="69" t="s">
        <v>41</v>
      </c>
      <c r="M2267" s="69"/>
      <c r="N2267" s="69" t="s">
        <v>2761</v>
      </c>
      <c r="O2267" s="69"/>
      <c r="P2267" s="122"/>
      <c r="Q2267" s="69"/>
      <c r="R2267" s="59"/>
      <c r="S2267" s="88"/>
      <c r="T2267" s="65"/>
      <c r="U2267" s="88"/>
      <c r="V2267" s="65"/>
    </row>
    <row r="2268">
      <c r="A2268" s="74" t="s">
        <v>3855</v>
      </c>
      <c r="B2268" s="75" t="s">
        <v>2984</v>
      </c>
      <c r="C2268" s="76"/>
      <c r="D2268" s="76" t="s">
        <v>2985</v>
      </c>
      <c r="E2268" s="218">
        <v>41760.0</v>
      </c>
      <c r="F2268" s="77">
        <v>41774.0</v>
      </c>
      <c r="G2268" s="79">
        <f t="shared" si="2"/>
        <v>0.4666666667</v>
      </c>
      <c r="H2268" s="90">
        <v>41136.0</v>
      </c>
      <c r="I2268" s="79">
        <f t="shared" si="3"/>
        <v>1.711111111</v>
      </c>
      <c r="J2268" s="106">
        <v>85.0</v>
      </c>
      <c r="K2268" s="106">
        <v>8.0</v>
      </c>
      <c r="L2268" s="82" t="s">
        <v>41</v>
      </c>
      <c r="M2268" s="82"/>
      <c r="N2268" s="82"/>
      <c r="O2268" s="82"/>
      <c r="P2268" s="107"/>
      <c r="Q2268" s="82"/>
      <c r="R2268" s="76"/>
      <c r="S2268" s="90"/>
      <c r="T2268" s="79"/>
      <c r="U2268" s="90"/>
      <c r="V2268" s="79"/>
    </row>
    <row r="2269">
      <c r="A2269" s="53" t="s">
        <v>3856</v>
      </c>
      <c r="B2269" s="54" t="s">
        <v>2984</v>
      </c>
      <c r="C2269" s="59"/>
      <c r="D2269" s="59" t="s">
        <v>2985</v>
      </c>
      <c r="E2269" s="133">
        <v>41745.0</v>
      </c>
      <c r="F2269" s="61">
        <v>41759.0</v>
      </c>
      <c r="G2269" s="65">
        <f t="shared" si="2"/>
        <v>0.4666666667</v>
      </c>
      <c r="H2269" s="88">
        <v>41093.0</v>
      </c>
      <c r="I2269" s="65">
        <f t="shared" si="3"/>
        <v>1.786111111</v>
      </c>
      <c r="J2269" s="121">
        <v>72.0</v>
      </c>
      <c r="K2269" s="121">
        <v>6.0</v>
      </c>
      <c r="L2269" s="69" t="s">
        <v>57</v>
      </c>
      <c r="M2269" s="69"/>
      <c r="N2269" s="69"/>
      <c r="O2269" s="69"/>
      <c r="P2269" s="122"/>
      <c r="Q2269" s="69"/>
      <c r="R2269" s="59"/>
      <c r="S2269" s="88"/>
      <c r="T2269" s="65"/>
      <c r="U2269" s="88"/>
      <c r="V2269" s="65"/>
    </row>
    <row r="2270">
      <c r="A2270" s="74" t="s">
        <v>3857</v>
      </c>
      <c r="B2270" s="75" t="s">
        <v>2984</v>
      </c>
      <c r="C2270" s="76"/>
      <c r="D2270" s="76" t="s">
        <v>2985</v>
      </c>
      <c r="E2270" s="218">
        <v>41730.0</v>
      </c>
      <c r="F2270" s="77">
        <v>41744.0</v>
      </c>
      <c r="G2270" s="79">
        <f t="shared" si="2"/>
        <v>0.4666666667</v>
      </c>
      <c r="H2270" s="90">
        <v>41233.0</v>
      </c>
      <c r="I2270" s="79">
        <f t="shared" si="3"/>
        <v>1.363888889</v>
      </c>
      <c r="J2270" s="106">
        <v>83.0</v>
      </c>
      <c r="K2270" s="106">
        <v>15.0</v>
      </c>
      <c r="L2270" s="82" t="s">
        <v>41</v>
      </c>
      <c r="M2270" s="82"/>
      <c r="N2270" s="82" t="s">
        <v>2761</v>
      </c>
      <c r="O2270" s="82"/>
      <c r="P2270" s="107"/>
      <c r="Q2270" s="82"/>
      <c r="R2270" s="76"/>
      <c r="S2270" s="90"/>
      <c r="T2270" s="79"/>
      <c r="U2270" s="90"/>
      <c r="V2270" s="79"/>
    </row>
    <row r="2271">
      <c r="A2271" s="53" t="s">
        <v>3858</v>
      </c>
      <c r="B2271" s="54" t="s">
        <v>2984</v>
      </c>
      <c r="C2271" s="59"/>
      <c r="D2271" s="59" t="s">
        <v>2985</v>
      </c>
      <c r="E2271" s="133">
        <v>41714.0</v>
      </c>
      <c r="F2271" s="61">
        <v>41729.0</v>
      </c>
      <c r="G2271" s="65">
        <f t="shared" si="2"/>
        <v>0.4666666667</v>
      </c>
      <c r="H2271" s="88">
        <v>40835.0</v>
      </c>
      <c r="I2271" s="65">
        <f t="shared" si="3"/>
        <v>2.408333333</v>
      </c>
      <c r="J2271" s="121">
        <v>78.0</v>
      </c>
      <c r="K2271" s="121">
        <v>20.0</v>
      </c>
      <c r="L2271" s="69" t="s">
        <v>105</v>
      </c>
      <c r="M2271" s="69"/>
      <c r="N2271" s="69"/>
      <c r="O2271" s="69"/>
      <c r="P2271" s="122"/>
      <c r="Q2271" s="69"/>
      <c r="R2271" s="59"/>
      <c r="S2271" s="88"/>
      <c r="T2271" s="65"/>
      <c r="U2271" s="88"/>
      <c r="V2271" s="65"/>
    </row>
    <row r="2272">
      <c r="A2272" s="74" t="s">
        <v>3859</v>
      </c>
      <c r="B2272" s="75" t="s">
        <v>2984</v>
      </c>
      <c r="C2272" s="76"/>
      <c r="D2272" s="76" t="s">
        <v>2985</v>
      </c>
      <c r="E2272" s="218">
        <v>41699.0</v>
      </c>
      <c r="F2272" s="77">
        <v>41713.0</v>
      </c>
      <c r="G2272" s="79">
        <f t="shared" si="2"/>
        <v>0.4666666667</v>
      </c>
      <c r="H2272" s="90">
        <v>39630.0</v>
      </c>
      <c r="I2272" s="79">
        <f t="shared" si="3"/>
        <v>5.666666667</v>
      </c>
      <c r="J2272" s="106">
        <v>80.0</v>
      </c>
      <c r="K2272" s="106">
        <v>30.0</v>
      </c>
      <c r="L2272" s="82" t="s">
        <v>81</v>
      </c>
      <c r="M2272" s="82" t="s">
        <v>72</v>
      </c>
      <c r="N2272" s="82" t="s">
        <v>2761</v>
      </c>
      <c r="O2272" s="82"/>
      <c r="P2272" s="107"/>
      <c r="Q2272" s="82"/>
      <c r="R2272" s="76"/>
      <c r="S2272" s="90"/>
      <c r="T2272" s="79"/>
      <c r="U2272" s="90"/>
      <c r="V2272" s="79"/>
    </row>
    <row r="2273">
      <c r="A2273" s="53" t="s">
        <v>3583</v>
      </c>
      <c r="B2273" s="54" t="s">
        <v>2984</v>
      </c>
      <c r="C2273" s="59"/>
      <c r="D2273" s="59" t="s">
        <v>2985</v>
      </c>
      <c r="E2273" s="133">
        <v>41686.0</v>
      </c>
      <c r="F2273" s="61">
        <v>41698.0</v>
      </c>
      <c r="G2273" s="65">
        <f t="shared" si="2"/>
        <v>0.4</v>
      </c>
      <c r="H2273" s="88">
        <v>40842.0</v>
      </c>
      <c r="I2273" s="65">
        <f t="shared" si="3"/>
        <v>2.305555556</v>
      </c>
      <c r="J2273" s="121">
        <v>77.0</v>
      </c>
      <c r="K2273" s="121">
        <v>8.0</v>
      </c>
      <c r="L2273" s="69" t="s">
        <v>81</v>
      </c>
      <c r="M2273" s="69"/>
      <c r="N2273" s="69" t="s">
        <v>2761</v>
      </c>
      <c r="O2273" s="69"/>
      <c r="P2273" s="122"/>
      <c r="Q2273" s="69"/>
      <c r="R2273" s="59"/>
      <c r="S2273" s="88"/>
      <c r="T2273" s="65"/>
      <c r="U2273" s="88"/>
      <c r="V2273" s="65"/>
    </row>
    <row r="2274">
      <c r="A2274" s="74" t="s">
        <v>3860</v>
      </c>
      <c r="B2274" s="75" t="s">
        <v>2984</v>
      </c>
      <c r="C2274" s="76"/>
      <c r="D2274" s="76" t="s">
        <v>2985</v>
      </c>
      <c r="E2274" s="218">
        <v>41671.0</v>
      </c>
      <c r="F2274" s="77">
        <v>41685.0</v>
      </c>
      <c r="G2274" s="79">
        <f t="shared" si="2"/>
        <v>0.4666666667</v>
      </c>
      <c r="H2274" s="90">
        <v>40792.0</v>
      </c>
      <c r="I2274" s="79">
        <f t="shared" si="3"/>
        <v>2.402777778</v>
      </c>
      <c r="J2274" s="106">
        <v>71.0</v>
      </c>
      <c r="K2274" s="106">
        <v>15.0</v>
      </c>
      <c r="L2274" s="82" t="s">
        <v>41</v>
      </c>
      <c r="M2274" s="82"/>
      <c r="N2274" s="82"/>
      <c r="O2274" s="82"/>
      <c r="P2274" s="107"/>
      <c r="Q2274" s="82"/>
      <c r="R2274" s="76"/>
      <c r="S2274" s="90"/>
      <c r="T2274" s="79"/>
      <c r="U2274" s="90"/>
      <c r="V2274" s="79"/>
    </row>
    <row r="2275">
      <c r="A2275" s="53" t="s">
        <v>2032</v>
      </c>
      <c r="B2275" s="54" t="s">
        <v>2984</v>
      </c>
      <c r="C2275" s="59"/>
      <c r="D2275" s="59" t="s">
        <v>2985</v>
      </c>
      <c r="E2275" s="133">
        <v>41655.0</v>
      </c>
      <c r="F2275" s="61">
        <v>41670.0</v>
      </c>
      <c r="G2275" s="65">
        <f t="shared" si="2"/>
        <v>0.4666666667</v>
      </c>
      <c r="H2275" s="88">
        <v>40269.0</v>
      </c>
      <c r="I2275" s="65">
        <f t="shared" si="3"/>
        <v>3.791666667</v>
      </c>
      <c r="J2275" s="121">
        <v>84.0</v>
      </c>
      <c r="K2275" s="121">
        <v>7.0</v>
      </c>
      <c r="L2275" s="69" t="s">
        <v>41</v>
      </c>
      <c r="M2275" s="69"/>
      <c r="N2275" s="69" t="s">
        <v>2761</v>
      </c>
      <c r="O2275" s="69"/>
      <c r="P2275" s="122"/>
      <c r="Q2275" s="69"/>
      <c r="R2275" s="59"/>
      <c r="S2275" s="88"/>
      <c r="T2275" s="65"/>
      <c r="U2275" s="88"/>
      <c r="V2275" s="65"/>
    </row>
    <row r="2276">
      <c r="A2276" s="74" t="s">
        <v>3861</v>
      </c>
      <c r="B2276" s="75" t="s">
        <v>2984</v>
      </c>
      <c r="C2276" s="76"/>
      <c r="D2276" s="76" t="s">
        <v>2985</v>
      </c>
      <c r="E2276" s="218">
        <v>41640.0</v>
      </c>
      <c r="F2276" s="77">
        <v>41654.0</v>
      </c>
      <c r="G2276" s="79">
        <f t="shared" si="2"/>
        <v>0.4666666667</v>
      </c>
      <c r="H2276" s="90">
        <v>41135.0</v>
      </c>
      <c r="I2276" s="79">
        <f t="shared" si="3"/>
        <v>1.380555556</v>
      </c>
      <c r="J2276" s="106">
        <v>80.0</v>
      </c>
      <c r="K2276" s="106">
        <v>17.0</v>
      </c>
      <c r="L2276" s="82" t="s">
        <v>41</v>
      </c>
      <c r="M2276" s="82"/>
      <c r="N2276" s="82"/>
      <c r="O2276" s="82"/>
      <c r="P2276" s="107"/>
      <c r="Q2276" s="82"/>
      <c r="R2276" s="76"/>
      <c r="S2276" s="90"/>
      <c r="T2276" s="79"/>
      <c r="U2276" s="90"/>
      <c r="V2276" s="79"/>
    </row>
    <row r="2277">
      <c r="A2277" s="53" t="s">
        <v>3862</v>
      </c>
      <c r="B2277" s="54" t="s">
        <v>2984</v>
      </c>
      <c r="C2277" s="59"/>
      <c r="D2277" s="59" t="s">
        <v>2985</v>
      </c>
      <c r="E2277" s="133">
        <v>41624.0</v>
      </c>
      <c r="F2277" s="61">
        <v>41639.0</v>
      </c>
      <c r="G2277" s="65">
        <f t="shared" si="2"/>
        <v>0.4666666667</v>
      </c>
      <c r="H2277" s="88">
        <v>41128.0</v>
      </c>
      <c r="I2277" s="65">
        <f t="shared" si="3"/>
        <v>1.358333333</v>
      </c>
      <c r="J2277" s="121">
        <v>70.0</v>
      </c>
      <c r="K2277" s="121">
        <v>6.0</v>
      </c>
      <c r="L2277" s="69" t="s">
        <v>105</v>
      </c>
      <c r="M2277" s="69"/>
      <c r="N2277" s="69"/>
      <c r="O2277" s="69"/>
      <c r="P2277" s="122"/>
      <c r="Q2277" s="69"/>
      <c r="R2277" s="59"/>
      <c r="S2277" s="88"/>
      <c r="T2277" s="65"/>
      <c r="U2277" s="88"/>
      <c r="V2277" s="65"/>
    </row>
    <row r="2278">
      <c r="A2278" s="74" t="s">
        <v>1681</v>
      </c>
      <c r="B2278" s="75" t="s">
        <v>2984</v>
      </c>
      <c r="C2278" s="76"/>
      <c r="D2278" s="76" t="s">
        <v>2985</v>
      </c>
      <c r="E2278" s="218">
        <v>41609.0</v>
      </c>
      <c r="F2278" s="77">
        <v>41623.0</v>
      </c>
      <c r="G2278" s="79">
        <f t="shared" si="2"/>
        <v>0.4666666667</v>
      </c>
      <c r="H2278" s="90">
        <v>39028.0</v>
      </c>
      <c r="I2278" s="79">
        <f t="shared" si="3"/>
        <v>7.066666667</v>
      </c>
      <c r="J2278" s="106">
        <v>91.0</v>
      </c>
      <c r="K2278" s="106">
        <v>9.0</v>
      </c>
      <c r="L2278" s="82" t="s">
        <v>37</v>
      </c>
      <c r="M2278" s="82"/>
      <c r="N2278" s="82" t="s">
        <v>2761</v>
      </c>
      <c r="O2278" s="82"/>
      <c r="P2278" s="107"/>
      <c r="Q2278" s="82"/>
      <c r="R2278" s="76"/>
      <c r="S2278" s="90"/>
      <c r="T2278" s="79"/>
      <c r="U2278" s="90"/>
      <c r="V2278" s="79"/>
    </row>
    <row r="2279">
      <c r="A2279" s="53" t="s">
        <v>1510</v>
      </c>
      <c r="B2279" s="54" t="s">
        <v>2984</v>
      </c>
      <c r="C2279" s="59"/>
      <c r="D2279" s="59" t="s">
        <v>2985</v>
      </c>
      <c r="E2279" s="133">
        <v>41594.0</v>
      </c>
      <c r="F2279" s="61">
        <v>41608.0</v>
      </c>
      <c r="G2279" s="65">
        <f t="shared" si="2"/>
        <v>0.4666666667</v>
      </c>
      <c r="H2279" s="88">
        <v>40736.0</v>
      </c>
      <c r="I2279" s="65">
        <f t="shared" si="3"/>
        <v>2.344444444</v>
      </c>
      <c r="J2279" s="121">
        <v>82.0</v>
      </c>
      <c r="K2279" s="121">
        <v>7.0</v>
      </c>
      <c r="L2279" s="69" t="s">
        <v>81</v>
      </c>
      <c r="M2279" s="69"/>
      <c r="N2279" s="69" t="s">
        <v>2761</v>
      </c>
      <c r="O2279" s="69"/>
      <c r="P2279" s="122"/>
      <c r="Q2279" s="69"/>
      <c r="R2279" s="59"/>
      <c r="S2279" s="88"/>
      <c r="T2279" s="65"/>
      <c r="U2279" s="88"/>
      <c r="V2279" s="65"/>
    </row>
    <row r="2280">
      <c r="A2280" s="74" t="s">
        <v>3575</v>
      </c>
      <c r="B2280" s="75" t="s">
        <v>2984</v>
      </c>
      <c r="C2280" s="76"/>
      <c r="D2280" s="76" t="s">
        <v>2985</v>
      </c>
      <c r="E2280" s="218">
        <v>41579.0</v>
      </c>
      <c r="F2280" s="77">
        <v>41593.0</v>
      </c>
      <c r="G2280" s="79">
        <f t="shared" si="2"/>
        <v>0.4666666667</v>
      </c>
      <c r="H2280" s="90">
        <v>40254.0</v>
      </c>
      <c r="I2280" s="79">
        <f t="shared" si="3"/>
        <v>3.622222222</v>
      </c>
      <c r="J2280" s="106">
        <v>74.0</v>
      </c>
      <c r="K2280" s="106">
        <v>12.0</v>
      </c>
      <c r="L2280" s="82" t="s">
        <v>64</v>
      </c>
      <c r="M2280" s="82"/>
      <c r="N2280" s="82" t="s">
        <v>2761</v>
      </c>
      <c r="O2280" s="82"/>
      <c r="P2280" s="107"/>
      <c r="Q2280" s="82"/>
      <c r="R2280" s="76"/>
      <c r="S2280" s="90"/>
      <c r="T2280" s="79"/>
      <c r="U2280" s="90"/>
      <c r="V2280" s="79"/>
    </row>
    <row r="2281">
      <c r="A2281" s="53" t="s">
        <v>1587</v>
      </c>
      <c r="B2281" s="54" t="s">
        <v>2984</v>
      </c>
      <c r="C2281" s="59"/>
      <c r="D2281" s="59" t="s">
        <v>2985</v>
      </c>
      <c r="E2281" s="133">
        <v>41563.0</v>
      </c>
      <c r="F2281" s="61">
        <v>41578.0</v>
      </c>
      <c r="G2281" s="65">
        <f t="shared" si="2"/>
        <v>0.4666666667</v>
      </c>
      <c r="H2281" s="88">
        <v>39350.0</v>
      </c>
      <c r="I2281" s="65">
        <f t="shared" si="3"/>
        <v>6.058333333</v>
      </c>
      <c r="J2281" s="121">
        <v>94.0</v>
      </c>
      <c r="K2281" s="121">
        <v>12.0</v>
      </c>
      <c r="L2281" s="69" t="s">
        <v>37</v>
      </c>
      <c r="M2281" s="69" t="s">
        <v>72</v>
      </c>
      <c r="N2281" s="69" t="s">
        <v>2761</v>
      </c>
      <c r="O2281" s="69"/>
      <c r="P2281" s="122"/>
      <c r="Q2281" s="69"/>
      <c r="R2281" s="59"/>
      <c r="S2281" s="88"/>
      <c r="T2281" s="65"/>
      <c r="U2281" s="88"/>
      <c r="V2281" s="65"/>
    </row>
    <row r="2282">
      <c r="A2282" s="74" t="s">
        <v>3863</v>
      </c>
      <c r="B2282" s="75" t="s">
        <v>2984</v>
      </c>
      <c r="C2282" s="76"/>
      <c r="D2282" s="76" t="s">
        <v>2985</v>
      </c>
      <c r="E2282" s="218">
        <v>41548.0</v>
      </c>
      <c r="F2282" s="77">
        <v>41562.0</v>
      </c>
      <c r="G2282" s="79">
        <f t="shared" si="2"/>
        <v>0.4666666667</v>
      </c>
      <c r="H2282" s="90">
        <v>40016.0</v>
      </c>
      <c r="I2282" s="79">
        <f t="shared" si="3"/>
        <v>4.191666667</v>
      </c>
      <c r="J2282" s="106">
        <v>86.0</v>
      </c>
      <c r="K2282" s="106">
        <v>20.0</v>
      </c>
      <c r="L2282" s="82" t="s">
        <v>96</v>
      </c>
      <c r="M2282" s="82"/>
      <c r="N2282" s="82" t="s">
        <v>2761</v>
      </c>
      <c r="O2282" s="82"/>
      <c r="P2282" s="107"/>
      <c r="Q2282" s="82"/>
      <c r="R2282" s="76"/>
      <c r="S2282" s="90"/>
      <c r="T2282" s="79"/>
      <c r="U2282" s="90"/>
      <c r="V2282" s="79"/>
    </row>
    <row r="2283">
      <c r="A2283" s="53" t="s">
        <v>3864</v>
      </c>
      <c r="B2283" s="54" t="s">
        <v>2984</v>
      </c>
      <c r="C2283" s="59"/>
      <c r="D2283" s="59" t="s">
        <v>2985</v>
      </c>
      <c r="E2283" s="133">
        <v>41533.0</v>
      </c>
      <c r="F2283" s="61">
        <v>41547.0</v>
      </c>
      <c r="G2283" s="65">
        <f t="shared" si="2"/>
        <v>0.4666666667</v>
      </c>
      <c r="H2283" s="88">
        <v>39041.0</v>
      </c>
      <c r="I2283" s="65">
        <f t="shared" si="3"/>
        <v>6.822222222</v>
      </c>
      <c r="J2283" s="121">
        <v>80.0</v>
      </c>
      <c r="K2283" s="121">
        <v>12.0</v>
      </c>
      <c r="L2283" s="69" t="s">
        <v>37</v>
      </c>
      <c r="M2283" s="69"/>
      <c r="N2283" s="69" t="s">
        <v>2761</v>
      </c>
      <c r="O2283" s="69"/>
      <c r="P2283" s="122"/>
      <c r="Q2283" s="69"/>
      <c r="R2283" s="59"/>
      <c r="S2283" s="88"/>
      <c r="T2283" s="65"/>
      <c r="U2283" s="88"/>
      <c r="V2283" s="65"/>
    </row>
    <row r="2284">
      <c r="A2284" s="74" t="s">
        <v>3865</v>
      </c>
      <c r="B2284" s="75" t="s">
        <v>2984</v>
      </c>
      <c r="C2284" s="76"/>
      <c r="D2284" s="76" t="s">
        <v>2985</v>
      </c>
      <c r="E2284" s="218">
        <v>41518.0</v>
      </c>
      <c r="F2284" s="77">
        <v>41532.0</v>
      </c>
      <c r="G2284" s="79">
        <f t="shared" si="2"/>
        <v>0.4666666667</v>
      </c>
      <c r="H2284" s="90">
        <v>41109.0</v>
      </c>
      <c r="I2284" s="79">
        <f t="shared" si="3"/>
        <v>1.116666667</v>
      </c>
      <c r="J2284" s="106">
        <v>75.0</v>
      </c>
      <c r="K2284" s="106">
        <v>10.0</v>
      </c>
      <c r="L2284" s="82" t="s">
        <v>1738</v>
      </c>
      <c r="M2284" s="82"/>
      <c r="N2284" s="82" t="s">
        <v>2761</v>
      </c>
      <c r="O2284" s="82"/>
      <c r="P2284" s="107"/>
      <c r="Q2284" s="82"/>
      <c r="R2284" s="76"/>
      <c r="S2284" s="90"/>
      <c r="T2284" s="79"/>
      <c r="U2284" s="90"/>
      <c r="V2284" s="79"/>
    </row>
    <row r="2285">
      <c r="A2285" s="53" t="s">
        <v>3591</v>
      </c>
      <c r="B2285" s="54" t="s">
        <v>2984</v>
      </c>
      <c r="C2285" s="59"/>
      <c r="D2285" s="59" t="s">
        <v>2985</v>
      </c>
      <c r="E2285" s="133">
        <v>41502.0</v>
      </c>
      <c r="F2285" s="61">
        <v>41517.0</v>
      </c>
      <c r="G2285" s="65">
        <f t="shared" si="2"/>
        <v>0.4666666667</v>
      </c>
      <c r="H2285" s="88">
        <v>40786.0</v>
      </c>
      <c r="I2285" s="65">
        <f t="shared" si="3"/>
        <v>1.961111111</v>
      </c>
      <c r="J2285" s="121">
        <v>79.0</v>
      </c>
      <c r="K2285" s="121">
        <v>18.0</v>
      </c>
      <c r="L2285" s="69" t="s">
        <v>105</v>
      </c>
      <c r="M2285" s="69"/>
      <c r="N2285" s="69"/>
      <c r="O2285" s="69"/>
      <c r="P2285" s="122"/>
      <c r="Q2285" s="69"/>
      <c r="R2285" s="59"/>
      <c r="S2285" s="88"/>
      <c r="T2285" s="65"/>
      <c r="U2285" s="88"/>
      <c r="V2285" s="65"/>
    </row>
    <row r="2286">
      <c r="A2286" s="74" t="s">
        <v>3866</v>
      </c>
      <c r="B2286" s="75" t="s">
        <v>2984</v>
      </c>
      <c r="C2286" s="76"/>
      <c r="D2286" s="76" t="s">
        <v>2985</v>
      </c>
      <c r="E2286" s="218">
        <v>41487.0</v>
      </c>
      <c r="F2286" s="77">
        <v>41501.0</v>
      </c>
      <c r="G2286" s="79">
        <f t="shared" si="2"/>
        <v>0.4666666667</v>
      </c>
      <c r="H2286" s="90">
        <v>39133.0</v>
      </c>
      <c r="I2286" s="79">
        <f t="shared" si="3"/>
        <v>6.447222222</v>
      </c>
      <c r="J2286" s="106">
        <v>82.0</v>
      </c>
      <c r="K2286" s="106">
        <v>12.0</v>
      </c>
      <c r="L2286" s="82" t="s">
        <v>41</v>
      </c>
      <c r="M2286" s="82" t="s">
        <v>72</v>
      </c>
      <c r="N2286" s="82" t="s">
        <v>2761</v>
      </c>
      <c r="O2286" s="82"/>
      <c r="P2286" s="107"/>
      <c r="Q2286" s="82"/>
      <c r="R2286" s="76"/>
      <c r="S2286" s="90"/>
      <c r="T2286" s="79"/>
      <c r="U2286" s="90"/>
      <c r="V2286" s="79"/>
    </row>
    <row r="2287">
      <c r="A2287" s="53" t="s">
        <v>269</v>
      </c>
      <c r="B2287" s="54" t="s">
        <v>2984</v>
      </c>
      <c r="C2287" s="59"/>
      <c r="D2287" s="59" t="s">
        <v>2985</v>
      </c>
      <c r="E2287" s="133">
        <v>41471.0</v>
      </c>
      <c r="F2287" s="61">
        <v>41486.0</v>
      </c>
      <c r="G2287" s="65">
        <f t="shared" si="2"/>
        <v>0.4666666667</v>
      </c>
      <c r="H2287" s="88">
        <v>40134.0</v>
      </c>
      <c r="I2287" s="65">
        <f t="shared" si="3"/>
        <v>3.663888889</v>
      </c>
      <c r="J2287" s="121">
        <v>90.0</v>
      </c>
      <c r="K2287" s="121">
        <v>19.0</v>
      </c>
      <c r="L2287" s="69" t="s">
        <v>41</v>
      </c>
      <c r="M2287" s="69"/>
      <c r="N2287" s="69" t="s">
        <v>2761</v>
      </c>
      <c r="O2287" s="69"/>
      <c r="P2287" s="122"/>
      <c r="Q2287" s="69"/>
      <c r="R2287" s="59"/>
      <c r="S2287" s="88"/>
      <c r="T2287" s="65"/>
      <c r="U2287" s="88"/>
      <c r="V2287" s="65"/>
    </row>
    <row r="2288">
      <c r="A2288" s="74" t="s">
        <v>3594</v>
      </c>
      <c r="B2288" s="75" t="s">
        <v>2984</v>
      </c>
      <c r="C2288" s="76"/>
      <c r="D2288" s="76" t="s">
        <v>2985</v>
      </c>
      <c r="E2288" s="218">
        <v>41456.0</v>
      </c>
      <c r="F2288" s="77">
        <v>41470.0</v>
      </c>
      <c r="G2288" s="79">
        <f t="shared" si="2"/>
        <v>0.4666666667</v>
      </c>
      <c r="H2288" s="90">
        <v>39903.0</v>
      </c>
      <c r="I2288" s="79">
        <f t="shared" si="3"/>
        <v>4.252777778</v>
      </c>
      <c r="J2288" s="106">
        <v>86.0</v>
      </c>
      <c r="K2288" s="106">
        <v>10.0</v>
      </c>
      <c r="L2288" s="82" t="s">
        <v>81</v>
      </c>
      <c r="M2288" s="82"/>
      <c r="N2288" s="82" t="s">
        <v>2761</v>
      </c>
      <c r="O2288" s="82"/>
      <c r="P2288" s="107"/>
      <c r="Q2288" s="82"/>
      <c r="R2288" s="76"/>
      <c r="S2288" s="90"/>
      <c r="T2288" s="79"/>
      <c r="U2288" s="90"/>
      <c r="V2288" s="79"/>
    </row>
    <row r="2289">
      <c r="A2289" s="53" t="s">
        <v>1679</v>
      </c>
      <c r="B2289" s="54" t="s">
        <v>2984</v>
      </c>
      <c r="C2289" s="59"/>
      <c r="D2289" s="59" t="s">
        <v>2985</v>
      </c>
      <c r="E2289" s="133">
        <v>41435.0</v>
      </c>
      <c r="F2289" s="61">
        <v>41455.0</v>
      </c>
      <c r="G2289" s="65">
        <f t="shared" si="2"/>
        <v>0.6666666667</v>
      </c>
      <c r="H2289" s="88">
        <v>40477.0</v>
      </c>
      <c r="I2289" s="65">
        <f t="shared" si="3"/>
        <v>2.622222222</v>
      </c>
      <c r="J2289" s="121">
        <v>71.0</v>
      </c>
      <c r="K2289" s="121">
        <v>20.0</v>
      </c>
      <c r="L2289" s="69" t="s">
        <v>41</v>
      </c>
      <c r="M2289" s="69" t="s">
        <v>72</v>
      </c>
      <c r="N2289" s="69" t="s">
        <v>2761</v>
      </c>
      <c r="O2289" s="69"/>
      <c r="P2289" s="122"/>
      <c r="Q2289" s="69"/>
      <c r="R2289" s="59"/>
      <c r="S2289" s="88"/>
      <c r="T2289" s="65"/>
      <c r="U2289" s="88"/>
      <c r="V2289" s="65"/>
    </row>
  </sheetData>
  <autoFilter ref="$A$2:$V$2289"/>
  <mergeCells count="2">
    <mergeCell ref="R1:T1"/>
    <mergeCell ref="U1:V1"/>
  </mergeCells>
  <conditionalFormatting sqref="B1">
    <cfRule type="cellIs" dxfId="4" priority="1" operator="equal">
      <formula>"Xbox"</formula>
    </cfRule>
  </conditionalFormatting>
  <conditionalFormatting sqref="A3:A2289">
    <cfRule type="expression" dxfId="6" priority="2">
      <formula>MATCH(A3,INDIRECT("'Xbox Game Studios'!A:A"),0)</formula>
    </cfRule>
  </conditionalFormatting>
  <conditionalFormatting sqref="A3:A2289">
    <cfRule type="expression" dxfId="5" priority="3">
      <formula>MATCH(A3,INDIRECT("'EA Play'!A:A"),0)</formula>
    </cfRule>
  </conditionalFormatting>
  <conditionalFormatting sqref="A3:A2289 D3:D2289">
    <cfRule type="expression" dxfId="13" priority="4">
      <formula>$D3="Coming Soon"</formula>
    </cfRule>
  </conditionalFormatting>
  <conditionalFormatting sqref="A3:A2289 D3:D2289">
    <cfRule type="expression" dxfId="7" priority="5">
      <formula>$D3="Removed"</formula>
    </cfRule>
  </conditionalFormatting>
  <conditionalFormatting sqref="A3:A2289 D3:D2289">
    <cfRule type="expression" dxfId="10" priority="6">
      <formula>$D3="Leaving Soon"</formula>
    </cfRule>
  </conditionalFormatting>
  <conditionalFormatting sqref="E3:E287 I3:I2289 E348:E2289">
    <cfRule type="expression" dxfId="4" priority="7">
      <formula>AND($E3&lt;&gt;"",(($E3-$H3)/365*12)&lt;1)</formula>
    </cfRule>
  </conditionalFormatting>
  <conditionalFormatting sqref="J3:J2289">
    <cfRule type="cellIs" dxfId="5" priority="8" operator="between">
      <formula>75</formula>
      <formula>90</formula>
    </cfRule>
  </conditionalFormatting>
  <conditionalFormatting sqref="J3:J2289">
    <cfRule type="cellIs" dxfId="6" priority="9" operator="between">
      <formula>50</formula>
      <formula>75</formula>
    </cfRule>
  </conditionalFormatting>
  <conditionalFormatting sqref="J3:J2289">
    <cfRule type="cellIs" dxfId="7" priority="10" operator="between">
      <formula>1</formula>
      <formula>50</formula>
    </cfRule>
  </conditionalFormatting>
  <conditionalFormatting sqref="B3:B2289">
    <cfRule type="expression" dxfId="14" priority="11">
      <formula>AND(MATCH(A3,INDIRECT("'Cross Play'!D2:D"),0),MATCH(A3,INDIRECT("'Cross Play'!A2:A"),0))</formula>
    </cfRule>
  </conditionalFormatting>
  <conditionalFormatting sqref="B3:B2289">
    <cfRule type="expression" dxfId="15" priority="12">
      <formula>MATCH(A3,INDIRECT("'Cross Play'!A2:A"),0)</formula>
    </cfRule>
  </conditionalFormatting>
  <conditionalFormatting sqref="B3:B2289">
    <cfRule type="expression" dxfId="16" priority="13">
      <formula>MATCH(A3,INDIRECT("'Cross Play'!D2:D"),0)</formula>
    </cfRule>
  </conditionalFormatting>
  <conditionalFormatting sqref="I3:I2289 L355:L356 L358 L361:L364 J470 J477 L751:L753 L819 L873">
    <cfRule type="colorScale" priority="14">
      <colorScale>
        <cfvo type="min"/>
        <cfvo type="percentile" val="50"/>
        <cfvo type="max"/>
        <color rgb="FFB6D7A8"/>
        <color rgb="FFFFE599"/>
        <color rgb="FFEA9999"/>
      </colorScale>
    </cfRule>
  </conditionalFormatting>
  <conditionalFormatting sqref="J3:J2289">
    <cfRule type="cellIs" dxfId="8" priority="15" operator="between">
      <formula>90</formula>
      <formula>100</formula>
    </cfRule>
  </conditionalFormatting>
  <conditionalFormatting sqref="G3:G2289">
    <cfRule type="expression" dxfId="9" priority="16">
      <formula>MATCH(A3,INDIRECT("'Xbox Game Studios'!A:A"),0)</formula>
    </cfRule>
  </conditionalFormatting>
  <conditionalFormatting sqref="G3:G2289">
    <cfRule type="expression" dxfId="9" priority="17">
      <formula>MATCH(A3,INDIRECT("'EA Play'!A:A"),0)</formula>
    </cfRule>
  </conditionalFormatting>
  <conditionalFormatting sqref="G3:G2289">
    <cfRule type="expression" dxfId="9" priority="18">
      <formula>MATCH(A3,INDIRECT("'Game Pass Core'!A:A"),0)</formula>
    </cfRule>
  </conditionalFormatting>
  <conditionalFormatting sqref="G3:G2289">
    <cfRule type="expression" dxfId="10" priority="19">
      <formula>and(or(D3="Active",D3="Leaving Soon",D3="Removed"), G3 &gt; 1, or(mod(G3, 12) &gt; 10.5, mod(G3, 12) &lt; 1))</formula>
    </cfRule>
  </conditionalFormatting>
  <conditionalFormatting sqref="O1065">
    <cfRule type="notContainsBlanks" dxfId="9" priority="20">
      <formula>LEN(TRIM(O1065))&gt;0</formula>
    </cfRule>
  </conditionalFormatting>
  <conditionalFormatting sqref="J2:L2289 O2:O2289 I369 P381">
    <cfRule type="containsBlanks" dxfId="11" priority="21">
      <formula>LEN(TRIM(J2))=0</formula>
    </cfRule>
  </conditionalFormatting>
  <conditionalFormatting sqref="O2:O2289 P381">
    <cfRule type="containsText" dxfId="11" priority="22" operator="containsText" text="RP">
      <formula>NOT(ISERROR(SEARCH(("RP"),(O2))))</formula>
    </cfRule>
  </conditionalFormatting>
  <conditionalFormatting sqref="O2:O2289 P381">
    <cfRule type="containsText" dxfId="12" priority="23" operator="containsText" text="NR">
      <formula>NOT(ISERROR(SEARCH(("NR"),(O2))))</formula>
    </cfRule>
  </conditionalFormatting>
  <conditionalFormatting sqref="C3:C2289">
    <cfRule type="containsBlanks" dxfId="7" priority="24">
      <formula>LEN(TRIM(C3))=0</formula>
    </cfRule>
  </conditionalFormatting>
  <conditionalFormatting sqref="A3:A2289 D3:D2289">
    <cfRule type="expression" dxfId="7" priority="25">
      <formula>SEARCH("GwG",$D3)</formula>
    </cfRule>
  </conditionalFormatting>
  <conditionalFormatting sqref="S3:S2289">
    <cfRule type="expression" dxfId="13" priority="26">
      <formula>S3&gt;TODAY()</formula>
    </cfRule>
  </conditionalFormatting>
  <conditionalFormatting sqref="S3:S2289">
    <cfRule type="containsBlanks" dxfId="7" priority="27">
      <formula>LEN(TRIM(S3))=0</formula>
    </cfRule>
  </conditionalFormatting>
  <conditionalFormatting sqref="T3:T2289 V3:V2289">
    <cfRule type="cellIs" dxfId="6" priority="28" operator="greaterThan">
      <formula>0</formula>
    </cfRule>
  </conditionalFormatting>
  <conditionalFormatting sqref="R3:R2289">
    <cfRule type="cellIs" dxfId="13" priority="29" operator="equal">
      <formula>"Coming Soon"</formula>
    </cfRule>
  </conditionalFormatting>
  <conditionalFormatting sqref="R3:R2289">
    <cfRule type="cellIs" dxfId="7" priority="30" operator="equal">
      <formula>"Removed"</formula>
    </cfRule>
  </conditionalFormatting>
  <conditionalFormatting sqref="R3:R2289">
    <cfRule type="cellIs" dxfId="10" priority="31" operator="equal">
      <formula>"Leaving Soon"</formula>
    </cfRule>
  </conditionalFormatting>
  <conditionalFormatting sqref="R3:R2289">
    <cfRule type="cellIs" dxfId="13" priority="32" operator="equal">
      <formula>"TBD"</formula>
    </cfRule>
  </conditionalFormatting>
  <conditionalFormatting sqref="R3:R2289">
    <cfRule type="cellIs" dxfId="7" priority="33" operator="equal">
      <formula>"N/A - PC"</formula>
    </cfRule>
  </conditionalFormatting>
  <conditionalFormatting sqref="K3:K2289">
    <cfRule type="colorScale" priority="34">
      <colorScale>
        <cfvo type="min"/>
        <cfvo type="percentile" val="50"/>
        <cfvo type="max"/>
        <color rgb="FF57BB8A"/>
        <color rgb="FFFFD666"/>
        <color rgb="FFE67C73"/>
      </colorScale>
    </cfRule>
  </conditionalFormatting>
  <hyperlinks>
    <hyperlink r:id="rId1" ref="H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4C2F4"/>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2"/>
  <cols>
    <col customWidth="1" min="1" max="1" width="40.0"/>
    <col customWidth="1" min="2" max="2" width="8.5"/>
    <col customWidth="1" min="3" max="3" width="12.13"/>
    <col customWidth="1" min="4" max="4" width="6.13"/>
    <col customWidth="1" min="5" max="5" width="8.38"/>
    <col customWidth="1" min="6" max="6" width="8.5"/>
    <col customWidth="1" min="7" max="7" width="6.88"/>
    <col customWidth="1" min="8" max="8" width="13.88"/>
    <col customWidth="1" min="9" max="9" width="4.25"/>
    <col customWidth="1" min="10" max="10" width="8.75"/>
    <col customWidth="1" min="11" max="11" width="10.13"/>
    <col customWidth="1" min="12" max="12" width="33.75"/>
    <col customWidth="1" min="13" max="13" width="13.75"/>
    <col customWidth="1" min="14" max="14" width="64.5"/>
    <col customWidth="1" min="15" max="15" width="5.63"/>
    <col customWidth="1" min="16" max="16" width="81.75"/>
    <col customWidth="1" min="17" max="29" width="74.5"/>
  </cols>
  <sheetData>
    <row r="1">
      <c r="A1" s="10" t="s">
        <v>16</v>
      </c>
      <c r="B1" s="25">
        <f>COUNTIF(D2:D544,"Active")+COUNTIF(D2:D544,"Leaving Soon")</f>
        <v>89</v>
      </c>
      <c r="C1" s="30" t="s">
        <v>20</v>
      </c>
      <c r="D1" s="19"/>
      <c r="E1" s="19"/>
      <c r="F1" s="25"/>
      <c r="G1" s="19"/>
      <c r="H1" s="34"/>
      <c r="I1" s="10"/>
      <c r="J1" s="10"/>
      <c r="K1" s="10"/>
      <c r="L1" s="10"/>
      <c r="M1" s="32"/>
      <c r="N1" s="33"/>
      <c r="O1" s="32"/>
      <c r="P1" s="33"/>
      <c r="Q1" s="32" t="s">
        <v>25</v>
      </c>
      <c r="R1" s="10"/>
      <c r="S1" s="10"/>
      <c r="T1" s="10"/>
      <c r="U1" s="10"/>
      <c r="V1" s="10"/>
      <c r="W1" s="10"/>
      <c r="X1" s="10"/>
      <c r="Y1" s="10"/>
      <c r="Z1" s="10"/>
      <c r="AA1" s="10"/>
      <c r="AB1" s="10"/>
      <c r="AC1" s="10"/>
    </row>
    <row r="2">
      <c r="A2" s="39" t="s">
        <v>0</v>
      </c>
      <c r="B2" s="41" t="s">
        <v>2</v>
      </c>
      <c r="C2" s="43" t="s">
        <v>3</v>
      </c>
      <c r="D2" s="41" t="s">
        <v>4</v>
      </c>
      <c r="E2" s="41" t="s">
        <v>5</v>
      </c>
      <c r="F2" s="43" t="s">
        <v>6</v>
      </c>
      <c r="G2" s="44" t="s">
        <v>7</v>
      </c>
      <c r="H2" s="45" t="s">
        <v>8</v>
      </c>
      <c r="I2" s="45" t="s">
        <v>9</v>
      </c>
      <c r="J2" s="45" t="s">
        <v>10</v>
      </c>
      <c r="K2" s="45" t="s">
        <v>11</v>
      </c>
      <c r="L2" s="45" t="s">
        <v>12</v>
      </c>
      <c r="M2" s="45" t="s">
        <v>26</v>
      </c>
      <c r="N2" s="43" t="s">
        <v>27</v>
      </c>
      <c r="O2" s="48" t="s">
        <v>28</v>
      </c>
      <c r="P2" s="48" t="s">
        <v>29</v>
      </c>
      <c r="Q2" s="48" t="s">
        <v>22</v>
      </c>
      <c r="R2" s="49"/>
      <c r="S2" s="49"/>
      <c r="T2" s="49"/>
      <c r="U2" s="49"/>
      <c r="V2" s="49"/>
      <c r="W2" s="49"/>
      <c r="X2" s="49"/>
      <c r="Y2" s="49"/>
      <c r="Z2" s="49"/>
      <c r="AA2" s="49"/>
      <c r="AB2" s="49"/>
      <c r="AC2" s="49"/>
    </row>
    <row r="3">
      <c r="A3" s="55" t="str">
        <f>IFERROR(__xludf.DUMMYFUNCTION("SORT(FILTER('Master List'!A:Q, 'Master List'!D:D=""Active"", ISNA(MATCH('Master List'!A:A, 'Xbox Game Studios'!A:A, 0)), ISNA(MATCH('Master List'!A:A, 'EA Play'!A:A, 0)), map('Master List'!G:G, lambda(a, if(isnumber(a), (a &gt; 1) * ((mod(a, 12) &gt; 10.5) + (m"&amp;"od(a, 12) &lt; 1)), 0)))),7,1)"),"Clover Pit")</f>
        <v>Clover Pit</v>
      </c>
      <c r="B3" s="55" t="str">
        <f>IFERROR(__xludf.DUMMYFUNCTION("""COMPUTED_VALUE"""),"Xbox / PC")</f>
        <v>Xbox / PC</v>
      </c>
      <c r="C3" s="55" t="str">
        <f>IFERROR(__xludf.DUMMYFUNCTION("""COMPUTED_VALUE"""),"Yes")</f>
        <v>Yes</v>
      </c>
      <c r="D3" s="56" t="str">
        <f>IFERROR(__xludf.DUMMYFUNCTION("""COMPUTED_VALUE"""),"Active")</f>
        <v>Active</v>
      </c>
      <c r="E3" s="57">
        <f>IFERROR(__xludf.DUMMYFUNCTION("""COMPUTED_VALUE"""),45981.0)</f>
        <v>45981</v>
      </c>
      <c r="F3" s="58"/>
      <c r="G3" s="60">
        <f>IFERROR(__xludf.DUMMYFUNCTION("""COMPUTED_VALUE"""),10.533333333333333)</f>
        <v>10.53333333</v>
      </c>
      <c r="H3" s="63">
        <f>IFERROR(__xludf.DUMMYFUNCTION("""COMPUTED_VALUE"""),45926.0)</f>
        <v>45926</v>
      </c>
      <c r="I3" s="60">
        <f>IFERROR(__xludf.DUMMYFUNCTION("""COMPUTED_VALUE"""),0.15)</f>
        <v>0.15</v>
      </c>
      <c r="J3" s="64">
        <f>IFERROR(__xludf.DUMMYFUNCTION("""COMPUTED_VALUE"""),77.0)</f>
        <v>77</v>
      </c>
      <c r="K3" s="64">
        <f>IFERROR(__xludf.DUMMYFUNCTION("""COMPUTED_VALUE"""),8.0)</f>
        <v>8</v>
      </c>
      <c r="L3" s="55" t="str">
        <f>IFERROR(__xludf.DUMMYFUNCTION("""COMPUTED_VALUE"""),"Action-Adventure")</f>
        <v>Action-Adventure</v>
      </c>
      <c r="M3" s="55"/>
      <c r="N3" s="55" t="str">
        <f>IFERROR(__xludf.DUMMYFUNCTION("""COMPUTED_VALUE"""),"Handheld Optimized")</f>
        <v>Handheld Optimized</v>
      </c>
      <c r="O3" s="55"/>
      <c r="P3" s="55"/>
      <c r="Q3" s="55"/>
      <c r="R3" s="66"/>
      <c r="S3" s="66"/>
      <c r="T3" s="66"/>
      <c r="U3" s="66"/>
      <c r="V3" s="66"/>
      <c r="W3" s="66"/>
      <c r="X3" s="66"/>
      <c r="Y3" s="66"/>
      <c r="Z3" s="66"/>
      <c r="AA3" s="66"/>
      <c r="AB3" s="66"/>
      <c r="AC3" s="66"/>
    </row>
    <row r="4">
      <c r="A4" s="55" t="str">
        <f>IFERROR(__xludf.DUMMYFUNCTION("""COMPUTED_VALUE"""),"Monsters are Coming! Rock &amp; Road")</f>
        <v>Monsters are Coming! Rock &amp; Road</v>
      </c>
      <c r="B4" s="55" t="str">
        <f>IFERROR(__xludf.DUMMYFUNCTION("""COMPUTED_VALUE"""),"PC")</f>
        <v>PC</v>
      </c>
      <c r="C4" s="55"/>
      <c r="D4" s="56" t="str">
        <f>IFERROR(__xludf.DUMMYFUNCTION("""COMPUTED_VALUE"""),"Active")</f>
        <v>Active</v>
      </c>
      <c r="E4" s="57">
        <f>IFERROR(__xludf.DUMMYFUNCTION("""COMPUTED_VALUE"""),45981.0)</f>
        <v>45981</v>
      </c>
      <c r="F4" s="58"/>
      <c r="G4" s="60">
        <f>IFERROR(__xludf.DUMMYFUNCTION("""COMPUTED_VALUE"""),10.533333333333333)</f>
        <v>10.53333333</v>
      </c>
      <c r="H4" s="63">
        <f>IFERROR(__xludf.DUMMYFUNCTION("""COMPUTED_VALUE"""),45981.0)</f>
        <v>45981</v>
      </c>
      <c r="I4" s="60">
        <f>IFERROR(__xludf.DUMMYFUNCTION("""COMPUTED_VALUE"""),0.0)</f>
        <v>0</v>
      </c>
      <c r="J4" s="64">
        <f>IFERROR(__xludf.DUMMYFUNCTION("""COMPUTED_VALUE"""),79.0)</f>
        <v>79</v>
      </c>
      <c r="K4" s="64">
        <f>IFERROR(__xludf.DUMMYFUNCTION("""COMPUTED_VALUE"""),3.0)</f>
        <v>3</v>
      </c>
      <c r="L4" s="55" t="str">
        <f>IFERROR(__xludf.DUMMYFUNCTION("""COMPUTED_VALUE"""),"Action-Adventure")</f>
        <v>Action-Adventure</v>
      </c>
      <c r="M4" s="55"/>
      <c r="N4" s="55"/>
      <c r="O4" s="55"/>
      <c r="P4" s="55"/>
      <c r="Q4" s="55"/>
      <c r="R4" s="66"/>
      <c r="S4" s="66"/>
      <c r="T4" s="66"/>
      <c r="U4" s="66"/>
      <c r="V4" s="66"/>
      <c r="W4" s="66"/>
      <c r="X4" s="66"/>
      <c r="Y4" s="66"/>
      <c r="Z4" s="66"/>
      <c r="AA4" s="66"/>
      <c r="AB4" s="66"/>
      <c r="AC4" s="66"/>
    </row>
    <row r="5">
      <c r="A5" s="55" t="str">
        <f>IFERROR(__xludf.DUMMYFUNCTION("""COMPUTED_VALUE"""),"The Crew Motorfest")</f>
        <v>The Crew Motorfest</v>
      </c>
      <c r="B5" s="55" t="str">
        <f>IFERROR(__xludf.DUMMYFUNCTION("""COMPUTED_VALUE"""),"Xbox / PC")</f>
        <v>Xbox / PC</v>
      </c>
      <c r="C5" s="55" t="str">
        <f>IFERROR(__xludf.DUMMYFUNCTION("""COMPUTED_VALUE"""),"Yes")</f>
        <v>Yes</v>
      </c>
      <c r="D5" s="56" t="str">
        <f>IFERROR(__xludf.DUMMYFUNCTION("""COMPUTED_VALUE"""),"Active")</f>
        <v>Active</v>
      </c>
      <c r="E5" s="57">
        <f>IFERROR(__xludf.DUMMYFUNCTION("""COMPUTED_VALUE"""),45981.0)</f>
        <v>45981</v>
      </c>
      <c r="F5" s="58"/>
      <c r="G5" s="60">
        <f>IFERROR(__xludf.DUMMYFUNCTION("""COMPUTED_VALUE"""),10.533333333333333)</f>
        <v>10.53333333</v>
      </c>
      <c r="H5" s="63">
        <f>IFERROR(__xludf.DUMMYFUNCTION("""COMPUTED_VALUE"""),45183.0)</f>
        <v>45183</v>
      </c>
      <c r="I5" s="60">
        <f>IFERROR(__xludf.DUMMYFUNCTION("""COMPUTED_VALUE"""),2.183333333333333)</f>
        <v>2.183333333</v>
      </c>
      <c r="J5" s="64">
        <f>IFERROR(__xludf.DUMMYFUNCTION("""COMPUTED_VALUE"""),76.0)</f>
        <v>76</v>
      </c>
      <c r="K5" s="64">
        <f>IFERROR(__xludf.DUMMYFUNCTION("""COMPUTED_VALUE"""),21.0)</f>
        <v>21</v>
      </c>
      <c r="L5" s="55" t="str">
        <f>IFERROR(__xludf.DUMMYFUNCTION("""COMPUTED_VALUE"""),"Racing")</f>
        <v>Racing</v>
      </c>
      <c r="M5" s="55"/>
      <c r="N5" s="55"/>
      <c r="O5" s="55"/>
      <c r="P5" s="55"/>
      <c r="Q5" s="55"/>
      <c r="R5" s="66"/>
      <c r="S5" s="66"/>
      <c r="T5" s="66"/>
      <c r="U5" s="66"/>
      <c r="V5" s="66"/>
      <c r="W5" s="66"/>
      <c r="X5" s="66"/>
      <c r="Y5" s="66"/>
      <c r="Z5" s="66"/>
      <c r="AA5" s="66"/>
      <c r="AB5" s="66"/>
      <c r="AC5" s="66"/>
    </row>
    <row r="6">
      <c r="A6" s="55" t="str">
        <f>IFERROR(__xludf.DUMMYFUNCTION("""COMPUTED_VALUE"""),"Total Chaos (2025)")</f>
        <v>Total Chaos (2025)</v>
      </c>
      <c r="B6" s="55" t="str">
        <f>IFERROR(__xludf.DUMMYFUNCTION("""COMPUTED_VALUE"""),"Xbox / PC")</f>
        <v>Xbox / PC</v>
      </c>
      <c r="C6" s="55" t="str">
        <f>IFERROR(__xludf.DUMMYFUNCTION("""COMPUTED_VALUE"""),"Yes")</f>
        <v>Yes</v>
      </c>
      <c r="D6" s="56" t="str">
        <f>IFERROR(__xludf.DUMMYFUNCTION("""COMPUTED_VALUE"""),"Active")</f>
        <v>Active</v>
      </c>
      <c r="E6" s="57">
        <f>IFERROR(__xludf.DUMMYFUNCTION("""COMPUTED_VALUE"""),45981.0)</f>
        <v>45981</v>
      </c>
      <c r="F6" s="58"/>
      <c r="G6" s="60">
        <f>IFERROR(__xludf.DUMMYFUNCTION("""COMPUTED_VALUE"""),10.533333333333333)</f>
        <v>10.53333333</v>
      </c>
      <c r="H6" s="63">
        <f>IFERROR(__xludf.DUMMYFUNCTION("""COMPUTED_VALUE"""),45981.0)</f>
        <v>45981</v>
      </c>
      <c r="I6" s="60">
        <f>IFERROR(__xludf.DUMMYFUNCTION("""COMPUTED_VALUE"""),0.0)</f>
        <v>0</v>
      </c>
      <c r="J6" s="64">
        <f>IFERROR(__xludf.DUMMYFUNCTION("""COMPUTED_VALUE"""),80.0)</f>
        <v>80</v>
      </c>
      <c r="K6" s="64">
        <f>IFERROR(__xludf.DUMMYFUNCTION("""COMPUTED_VALUE"""),11.0)</f>
        <v>11</v>
      </c>
      <c r="L6" s="55" t="str">
        <f>IFERROR(__xludf.DUMMYFUNCTION("""COMPUTED_VALUE"""),"Action-Adventure")</f>
        <v>Action-Adventure</v>
      </c>
      <c r="M6" s="55" t="str">
        <f>IFERROR(__xludf.DUMMYFUNCTION("""COMPUTED_VALUE"""),"Exclusive")</f>
        <v>Exclusive</v>
      </c>
      <c r="N6" s="55"/>
      <c r="O6" s="55"/>
      <c r="P6" s="55"/>
      <c r="Q6" s="55"/>
      <c r="R6" s="66"/>
      <c r="S6" s="66"/>
      <c r="T6" s="66"/>
      <c r="U6" s="66"/>
      <c r="V6" s="66"/>
      <c r="W6" s="66"/>
      <c r="X6" s="66"/>
      <c r="Y6" s="66"/>
      <c r="Z6" s="66"/>
      <c r="AA6" s="66"/>
      <c r="AB6" s="66"/>
      <c r="AC6" s="66"/>
    </row>
    <row r="7">
      <c r="A7" s="55" t="str">
        <f>IFERROR(__xludf.DUMMYFUNCTION("""COMPUTED_VALUE"""),"Moonlighter 2: The Endless Vault (Game Preview)")</f>
        <v>Moonlighter 2: The Endless Vault (Game Preview)</v>
      </c>
      <c r="B7" s="55" t="str">
        <f>IFERROR(__xludf.DUMMYFUNCTION("""COMPUTED_VALUE"""),"PC")</f>
        <v>PC</v>
      </c>
      <c r="C7" s="55"/>
      <c r="D7" s="56" t="str">
        <f>IFERROR(__xludf.DUMMYFUNCTION("""COMPUTED_VALUE"""),"Active")</f>
        <v>Active</v>
      </c>
      <c r="E7" s="57">
        <f>IFERROR(__xludf.DUMMYFUNCTION("""COMPUTED_VALUE"""),45980.0)</f>
        <v>45980</v>
      </c>
      <c r="F7" s="58"/>
      <c r="G7" s="60">
        <f>IFERROR(__xludf.DUMMYFUNCTION("""COMPUTED_VALUE"""),10.566666666666666)</f>
        <v>10.56666667</v>
      </c>
      <c r="H7" s="63">
        <f>IFERROR(__xludf.DUMMYFUNCTION("""COMPUTED_VALUE"""),45980.0)</f>
        <v>45980</v>
      </c>
      <c r="I7" s="60">
        <f>IFERROR(__xludf.DUMMYFUNCTION("""COMPUTED_VALUE"""),0.0)</f>
        <v>0</v>
      </c>
      <c r="J7" s="64"/>
      <c r="K7" s="64">
        <f>IFERROR(__xludf.DUMMYFUNCTION("""COMPUTED_VALUE"""),13.0)</f>
        <v>13</v>
      </c>
      <c r="L7" s="55" t="str">
        <f>IFERROR(__xludf.DUMMYFUNCTION("""COMPUTED_VALUE"""),"Action-Adventure")</f>
        <v>Action-Adventure</v>
      </c>
      <c r="M7" s="55"/>
      <c r="N7" s="55"/>
      <c r="O7" s="55"/>
      <c r="P7" s="55"/>
      <c r="Q7" s="55"/>
      <c r="R7" s="66"/>
      <c r="S7" s="66"/>
      <c r="T7" s="66"/>
      <c r="U7" s="66"/>
      <c r="V7" s="66"/>
      <c r="W7" s="66"/>
      <c r="X7" s="66"/>
      <c r="Y7" s="66"/>
      <c r="Z7" s="66"/>
      <c r="AA7" s="66"/>
      <c r="AB7" s="66"/>
      <c r="AC7" s="66"/>
    </row>
    <row r="8">
      <c r="A8" s="55" t="str">
        <f>IFERROR(__xludf.DUMMYFUNCTION("""COMPUTED_VALUE"""),"Relic Hunters Legend")</f>
        <v>Relic Hunters Legend</v>
      </c>
      <c r="B8" s="55" t="str">
        <f>IFERROR(__xludf.DUMMYFUNCTION("""COMPUTED_VALUE"""),"Xbox / PC")</f>
        <v>Xbox / PC</v>
      </c>
      <c r="C8" s="55" t="str">
        <f>IFERROR(__xludf.DUMMYFUNCTION("""COMPUTED_VALUE"""),"Yes")</f>
        <v>Yes</v>
      </c>
      <c r="D8" s="56" t="str">
        <f>IFERROR(__xludf.DUMMYFUNCTION("""COMPUTED_VALUE"""),"Active")</f>
        <v>Active</v>
      </c>
      <c r="E8" s="57">
        <f>IFERROR(__xludf.DUMMYFUNCTION("""COMPUTED_VALUE"""),45973.0)</f>
        <v>45973</v>
      </c>
      <c r="F8" s="58"/>
      <c r="G8" s="60">
        <f>IFERROR(__xludf.DUMMYFUNCTION("""COMPUTED_VALUE"""),10.8)</f>
        <v>10.8</v>
      </c>
      <c r="H8" s="63">
        <f>IFERROR(__xludf.DUMMYFUNCTION("""COMPUTED_VALUE"""),45883.0)</f>
        <v>45883</v>
      </c>
      <c r="I8" s="60">
        <f>IFERROR(__xludf.DUMMYFUNCTION("""COMPUTED_VALUE"""),0.24444444444444444)</f>
        <v>0.2444444444</v>
      </c>
      <c r="J8" s="64"/>
      <c r="K8" s="64">
        <f>IFERROR(__xludf.DUMMYFUNCTION("""COMPUTED_VALUE"""),29.0)</f>
        <v>29</v>
      </c>
      <c r="L8" s="55" t="str">
        <f>IFERROR(__xludf.DUMMYFUNCTION("""COMPUTED_VALUE"""),"Shoot-’Em-Up")</f>
        <v>Shoot-’Em-Up</v>
      </c>
      <c r="M8" s="55"/>
      <c r="N8" s="55"/>
      <c r="O8" s="55"/>
      <c r="P8" s="55"/>
      <c r="Q8" s="55"/>
      <c r="R8" s="66"/>
      <c r="S8" s="66"/>
      <c r="T8" s="66"/>
      <c r="U8" s="66"/>
      <c r="V8" s="66"/>
      <c r="W8" s="66"/>
      <c r="X8" s="66"/>
      <c r="Y8" s="66"/>
      <c r="Z8" s="66"/>
      <c r="AA8" s="66"/>
      <c r="AB8" s="66"/>
      <c r="AC8" s="66"/>
    </row>
    <row r="9">
      <c r="A9" s="55" t="str">
        <f>IFERROR(__xludf.DUMMYFUNCTION("""COMPUTED_VALUE"""),"Winter Burrow")</f>
        <v>Winter Burrow</v>
      </c>
      <c r="B9" s="55" t="str">
        <f>IFERROR(__xludf.DUMMYFUNCTION("""COMPUTED_VALUE"""),"Xbox / PC")</f>
        <v>Xbox / PC</v>
      </c>
      <c r="C9" s="55" t="str">
        <f>IFERROR(__xludf.DUMMYFUNCTION("""COMPUTED_VALUE"""),"Yes")</f>
        <v>Yes</v>
      </c>
      <c r="D9" s="56" t="str">
        <f>IFERROR(__xludf.DUMMYFUNCTION("""COMPUTED_VALUE"""),"Active")</f>
        <v>Active</v>
      </c>
      <c r="E9" s="57">
        <f>IFERROR(__xludf.DUMMYFUNCTION("""COMPUTED_VALUE"""),45973.0)</f>
        <v>45973</v>
      </c>
      <c r="F9" s="58"/>
      <c r="G9" s="60">
        <f>IFERROR(__xludf.DUMMYFUNCTION("""COMPUTED_VALUE"""),10.8)</f>
        <v>10.8</v>
      </c>
      <c r="H9" s="63">
        <f>IFERROR(__xludf.DUMMYFUNCTION("""COMPUTED_VALUE"""),45973.0)</f>
        <v>45973</v>
      </c>
      <c r="I9" s="60">
        <f>IFERROR(__xludf.DUMMYFUNCTION("""COMPUTED_VALUE"""),0.0)</f>
        <v>0</v>
      </c>
      <c r="J9" s="64">
        <f>IFERROR(__xludf.DUMMYFUNCTION("""COMPUTED_VALUE"""),68.0)</f>
        <v>68</v>
      </c>
      <c r="K9" s="64">
        <f>IFERROR(__xludf.DUMMYFUNCTION("""COMPUTED_VALUE"""),8.0)</f>
        <v>8</v>
      </c>
      <c r="L9" s="55" t="str">
        <f>IFERROR(__xludf.DUMMYFUNCTION("""COMPUTED_VALUE"""),"Action-Adventure")</f>
        <v>Action-Adventure</v>
      </c>
      <c r="M9" s="55"/>
      <c r="N9" s="55"/>
      <c r="O9" s="55"/>
      <c r="P9" s="55"/>
      <c r="Q9" s="55"/>
      <c r="R9" s="66"/>
      <c r="S9" s="66"/>
      <c r="T9" s="66"/>
      <c r="U9" s="66"/>
      <c r="V9" s="66"/>
      <c r="W9" s="66"/>
      <c r="X9" s="66"/>
      <c r="Y9" s="66"/>
      <c r="Z9" s="66"/>
      <c r="AA9" s="66"/>
      <c r="AB9" s="66"/>
      <c r="AC9" s="66"/>
    </row>
    <row r="10">
      <c r="A10" s="55" t="str">
        <f>IFERROR(__xludf.DUMMYFUNCTION("""COMPUTED_VALUE"""),"Great God Grove")</f>
        <v>Great God Grove</v>
      </c>
      <c r="B10" s="55" t="str">
        <f>IFERROR(__xludf.DUMMYFUNCTION("""COMPUTED_VALUE"""),"Xbox / PC")</f>
        <v>Xbox / PC</v>
      </c>
      <c r="C10" s="55" t="str">
        <f>IFERROR(__xludf.DUMMYFUNCTION("""COMPUTED_VALUE"""),"Yes")</f>
        <v>Yes</v>
      </c>
      <c r="D10" s="56" t="str">
        <f>IFERROR(__xludf.DUMMYFUNCTION("""COMPUTED_VALUE"""),"Active")</f>
        <v>Active</v>
      </c>
      <c r="E10" s="57">
        <f>IFERROR(__xludf.DUMMYFUNCTION("""COMPUTED_VALUE"""),45972.0)</f>
        <v>45972</v>
      </c>
      <c r="F10" s="58"/>
      <c r="G10" s="60">
        <f>IFERROR(__xludf.DUMMYFUNCTION("""COMPUTED_VALUE"""),10.833333333333334)</f>
        <v>10.83333333</v>
      </c>
      <c r="H10" s="63">
        <f>IFERROR(__xludf.DUMMYFUNCTION("""COMPUTED_VALUE"""),45611.0)</f>
        <v>45611</v>
      </c>
      <c r="I10" s="60">
        <f>IFERROR(__xludf.DUMMYFUNCTION("""COMPUTED_VALUE"""),0.9888888888888889)</f>
        <v>0.9888888889</v>
      </c>
      <c r="J10" s="64">
        <f>IFERROR(__xludf.DUMMYFUNCTION("""COMPUTED_VALUE"""),81.0)</f>
        <v>81</v>
      </c>
      <c r="K10" s="64">
        <f>IFERROR(__xludf.DUMMYFUNCTION("""COMPUTED_VALUE"""),6.0)</f>
        <v>6</v>
      </c>
      <c r="L10" s="55" t="str">
        <f>IFERROR(__xludf.DUMMYFUNCTION("""COMPUTED_VALUE"""),"Action-Adventure")</f>
        <v>Action-Adventure</v>
      </c>
      <c r="M10" s="55" t="str">
        <f>IFERROR(__xludf.DUMMYFUNCTION("""COMPUTED_VALUE"""),"Exclusive")</f>
        <v>Exclusive</v>
      </c>
      <c r="N10" s="55"/>
      <c r="O10" s="55"/>
      <c r="P10" s="55"/>
      <c r="Q10" s="55"/>
      <c r="R10" s="66"/>
      <c r="S10" s="66"/>
      <c r="T10" s="66"/>
      <c r="U10" s="66"/>
      <c r="V10" s="66"/>
      <c r="W10" s="66"/>
      <c r="X10" s="66"/>
      <c r="Y10" s="66"/>
      <c r="Z10" s="66"/>
      <c r="AA10" s="66"/>
      <c r="AB10" s="66"/>
      <c r="AC10" s="66"/>
    </row>
    <row r="11">
      <c r="A11" s="55" t="str">
        <f>IFERROR(__xludf.DUMMYFUNCTION("""COMPUTED_VALUE"""),"Lara Croft and the Temple of Osiris")</f>
        <v>Lara Croft and the Temple of Osiris</v>
      </c>
      <c r="B11" s="55" t="str">
        <f>IFERROR(__xludf.DUMMYFUNCTION("""COMPUTED_VALUE"""),"Xbox / PC")</f>
        <v>Xbox / PC</v>
      </c>
      <c r="C11" s="55" t="str">
        <f>IFERROR(__xludf.DUMMYFUNCTION("""COMPUTED_VALUE"""),"Yes")</f>
        <v>Yes</v>
      </c>
      <c r="D11" s="56" t="str">
        <f>IFERROR(__xludf.DUMMYFUNCTION("""COMPUTED_VALUE"""),"Active")</f>
        <v>Active</v>
      </c>
      <c r="E11" s="57">
        <f>IFERROR(__xludf.DUMMYFUNCTION("""COMPUTED_VALUE"""),45972.0)</f>
        <v>45972</v>
      </c>
      <c r="F11" s="58"/>
      <c r="G11" s="60">
        <f>IFERROR(__xludf.DUMMYFUNCTION("""COMPUTED_VALUE"""),10.833333333333334)</f>
        <v>10.83333333</v>
      </c>
      <c r="H11" s="63">
        <f>IFERROR(__xludf.DUMMYFUNCTION("""COMPUTED_VALUE"""),41982.0)</f>
        <v>41982</v>
      </c>
      <c r="I11" s="60">
        <f>IFERROR(__xludf.DUMMYFUNCTION("""COMPUTED_VALUE"""),10.922222222222222)</f>
        <v>10.92222222</v>
      </c>
      <c r="J11" s="64">
        <f>IFERROR(__xludf.DUMMYFUNCTION("""COMPUTED_VALUE"""),74.0)</f>
        <v>74</v>
      </c>
      <c r="K11" s="64">
        <f>IFERROR(__xludf.DUMMYFUNCTION("""COMPUTED_VALUE"""),5.0)</f>
        <v>5</v>
      </c>
      <c r="L11" s="55" t="str">
        <f>IFERROR(__xludf.DUMMYFUNCTION("""COMPUTED_VALUE"""),"Action-Adventure")</f>
        <v>Action-Adventure</v>
      </c>
      <c r="M11" s="55"/>
      <c r="N11" s="55"/>
      <c r="O11" s="55"/>
      <c r="P11" s="55"/>
      <c r="Q11" s="55"/>
      <c r="R11" s="66"/>
      <c r="S11" s="66"/>
      <c r="T11" s="66"/>
      <c r="U11" s="66"/>
      <c r="V11" s="66"/>
      <c r="W11" s="66"/>
      <c r="X11" s="66"/>
      <c r="Y11" s="66"/>
      <c r="Z11" s="66"/>
      <c r="AA11" s="66"/>
      <c r="AB11" s="66"/>
      <c r="AC11" s="66"/>
    </row>
    <row r="12">
      <c r="A12" s="55" t="str">
        <f>IFERROR(__xludf.DUMMYFUNCTION("""COMPUTED_VALUE"""),"Pigeon Simulator")</f>
        <v>Pigeon Simulator</v>
      </c>
      <c r="B12" s="55" t="str">
        <f>IFERROR(__xludf.DUMMYFUNCTION("""COMPUTED_VALUE"""),"Xbox / PC")</f>
        <v>Xbox / PC</v>
      </c>
      <c r="C12" s="55" t="str">
        <f>IFERROR(__xludf.DUMMYFUNCTION("""COMPUTED_VALUE"""),"Yes")</f>
        <v>Yes</v>
      </c>
      <c r="D12" s="56" t="str">
        <f>IFERROR(__xludf.DUMMYFUNCTION("""COMPUTED_VALUE"""),"Active")</f>
        <v>Active</v>
      </c>
      <c r="E12" s="57">
        <f>IFERROR(__xludf.DUMMYFUNCTION("""COMPUTED_VALUE"""),45972.0)</f>
        <v>45972</v>
      </c>
      <c r="F12" s="58"/>
      <c r="G12" s="60">
        <f>IFERROR(__xludf.DUMMYFUNCTION("""COMPUTED_VALUE"""),10.833333333333334)</f>
        <v>10.83333333</v>
      </c>
      <c r="H12" s="63">
        <f>IFERROR(__xludf.DUMMYFUNCTION("""COMPUTED_VALUE"""),45972.0)</f>
        <v>45972</v>
      </c>
      <c r="I12" s="60">
        <f>IFERROR(__xludf.DUMMYFUNCTION("""COMPUTED_VALUE"""),0.0)</f>
        <v>0</v>
      </c>
      <c r="J12" s="64">
        <f>IFERROR(__xludf.DUMMYFUNCTION("""COMPUTED_VALUE"""),64.0)</f>
        <v>64</v>
      </c>
      <c r="K12" s="64">
        <f>IFERROR(__xludf.DUMMYFUNCTION("""COMPUTED_VALUE"""),7.0)</f>
        <v>7</v>
      </c>
      <c r="L12" s="55" t="str">
        <f>IFERROR(__xludf.DUMMYFUNCTION("""COMPUTED_VALUE"""),"Sandbox")</f>
        <v>Sandbox</v>
      </c>
      <c r="M12" s="55" t="str">
        <f>IFERROR(__xludf.DUMMYFUNCTION("""COMPUTED_VALUE"""),"Exclusive")</f>
        <v>Exclusive</v>
      </c>
      <c r="N12" s="55"/>
      <c r="O12" s="55"/>
      <c r="P12" s="55"/>
      <c r="Q12" s="55"/>
      <c r="R12" s="66"/>
      <c r="S12" s="66"/>
      <c r="T12" s="66"/>
      <c r="U12" s="66"/>
      <c r="V12" s="66"/>
      <c r="W12" s="66"/>
      <c r="X12" s="66"/>
      <c r="Y12" s="66"/>
      <c r="Z12" s="66"/>
      <c r="AA12" s="66"/>
      <c r="AB12" s="66"/>
      <c r="AC12" s="66"/>
    </row>
    <row r="13">
      <c r="A13" s="55" t="str">
        <f>IFERROR(__xludf.DUMMYFUNCTION("""COMPUTED_VALUE"""),"Voidtrain")</f>
        <v>Voidtrain</v>
      </c>
      <c r="B13" s="55" t="str">
        <f>IFERROR(__xludf.DUMMYFUNCTION("""COMPUTED_VALUE"""),"Xbox / PC")</f>
        <v>Xbox / PC</v>
      </c>
      <c r="C13" s="55" t="str">
        <f>IFERROR(__xludf.DUMMYFUNCTION("""COMPUTED_VALUE"""),"Yes")</f>
        <v>Yes</v>
      </c>
      <c r="D13" s="56" t="str">
        <f>IFERROR(__xludf.DUMMYFUNCTION("""COMPUTED_VALUE"""),"Active")</f>
        <v>Active</v>
      </c>
      <c r="E13" s="57">
        <f>IFERROR(__xludf.DUMMYFUNCTION("""COMPUTED_VALUE"""),45968.0)</f>
        <v>45968</v>
      </c>
      <c r="F13" s="58"/>
      <c r="G13" s="60">
        <f>IFERROR(__xludf.DUMMYFUNCTION("""COMPUTED_VALUE"""),10.966666666666667)</f>
        <v>10.96666667</v>
      </c>
      <c r="H13" s="63">
        <f>IFERROR(__xludf.DUMMYFUNCTION("""COMPUTED_VALUE"""),45968.0)</f>
        <v>45968</v>
      </c>
      <c r="I13" s="60">
        <f>IFERROR(__xludf.DUMMYFUNCTION("""COMPUTED_VALUE"""),0.0)</f>
        <v>0</v>
      </c>
      <c r="J13" s="64">
        <f>IFERROR(__xludf.DUMMYFUNCTION("""COMPUTED_VALUE"""),82.0)</f>
        <v>82</v>
      </c>
      <c r="K13" s="64">
        <f>IFERROR(__xludf.DUMMYFUNCTION("""COMPUTED_VALUE"""),19.0)</f>
        <v>19</v>
      </c>
      <c r="L13" s="55" t="str">
        <f>IFERROR(__xludf.DUMMYFUNCTION("""COMPUTED_VALUE"""),"Shooter")</f>
        <v>Shooter</v>
      </c>
      <c r="M13" s="55" t="str">
        <f>IFERROR(__xludf.DUMMYFUNCTION("""COMPUTED_VALUE"""),"Exclusive")</f>
        <v>Exclusive</v>
      </c>
      <c r="N13" s="55"/>
      <c r="O13" s="55"/>
      <c r="P13" s="55"/>
      <c r="Q13" s="55"/>
      <c r="R13" s="66"/>
      <c r="S13" s="66"/>
      <c r="T13" s="66"/>
      <c r="U13" s="66"/>
      <c r="V13" s="66"/>
      <c r="W13" s="66"/>
      <c r="X13" s="66"/>
      <c r="Y13" s="66"/>
      <c r="Z13" s="66"/>
      <c r="AA13" s="66"/>
      <c r="AB13" s="66"/>
      <c r="AC13" s="66"/>
    </row>
    <row r="14">
      <c r="A14" s="55" t="str">
        <f>IFERROR(__xludf.DUMMYFUNCTION("""COMPUTED_VALUE"""),"Egging On")</f>
        <v>Egging On</v>
      </c>
      <c r="B14" s="55" t="str">
        <f>IFERROR(__xludf.DUMMYFUNCTION("""COMPUTED_VALUE"""),"Xbox / PC")</f>
        <v>Xbox / PC</v>
      </c>
      <c r="C14" s="55" t="str">
        <f>IFERROR(__xludf.DUMMYFUNCTION("""COMPUTED_VALUE"""),"Yes")</f>
        <v>Yes</v>
      </c>
      <c r="D14" s="56" t="str">
        <f>IFERROR(__xludf.DUMMYFUNCTION("""COMPUTED_VALUE"""),"Active")</f>
        <v>Active</v>
      </c>
      <c r="E14" s="57">
        <f>IFERROR(__xludf.DUMMYFUNCTION("""COMPUTED_VALUE"""),45967.0)</f>
        <v>45967</v>
      </c>
      <c r="F14" s="58"/>
      <c r="G14" s="60">
        <f>IFERROR(__xludf.DUMMYFUNCTION("""COMPUTED_VALUE"""),11.0)</f>
        <v>11</v>
      </c>
      <c r="H14" s="63">
        <f>IFERROR(__xludf.DUMMYFUNCTION("""COMPUTED_VALUE"""),45967.0)</f>
        <v>45967</v>
      </c>
      <c r="I14" s="60">
        <f>IFERROR(__xludf.DUMMYFUNCTION("""COMPUTED_VALUE"""),0.0)</f>
        <v>0</v>
      </c>
      <c r="J14" s="64">
        <f>IFERROR(__xludf.DUMMYFUNCTION("""COMPUTED_VALUE"""),80.0)</f>
        <v>80</v>
      </c>
      <c r="K14" s="64">
        <f>IFERROR(__xludf.DUMMYFUNCTION("""COMPUTED_VALUE"""),8.0)</f>
        <v>8</v>
      </c>
      <c r="L14" s="55" t="str">
        <f>IFERROR(__xludf.DUMMYFUNCTION("""COMPUTED_VALUE"""),"Platformer")</f>
        <v>Platformer</v>
      </c>
      <c r="M14" s="55" t="str">
        <f>IFERROR(__xludf.DUMMYFUNCTION("""COMPUTED_VALUE"""),"Exclusive")</f>
        <v>Exclusive</v>
      </c>
      <c r="N14" s="55"/>
      <c r="O14" s="55"/>
      <c r="P14" s="55"/>
      <c r="Q14" s="55"/>
      <c r="R14" s="66"/>
      <c r="S14" s="66"/>
      <c r="T14" s="66"/>
      <c r="U14" s="66"/>
      <c r="V14" s="66"/>
      <c r="W14" s="66"/>
      <c r="X14" s="66"/>
      <c r="Y14" s="66"/>
      <c r="Z14" s="66"/>
      <c r="AA14" s="66"/>
      <c r="AB14" s="66"/>
      <c r="AC14" s="66"/>
    </row>
    <row r="15">
      <c r="A15" s="55" t="str">
        <f>IFERROR(__xludf.DUMMYFUNCTION("""COMPUTED_VALUE"""),"Dead Static Drive")</f>
        <v>Dead Static Drive</v>
      </c>
      <c r="B15" s="55" t="str">
        <f>IFERROR(__xludf.DUMMYFUNCTION("""COMPUTED_VALUE"""),"Xbox / PC")</f>
        <v>Xbox / PC</v>
      </c>
      <c r="C15" s="55" t="str">
        <f>IFERROR(__xludf.DUMMYFUNCTION("""COMPUTED_VALUE"""),"Yes")</f>
        <v>Yes</v>
      </c>
      <c r="D15" s="56" t="str">
        <f>IFERROR(__xludf.DUMMYFUNCTION("""COMPUTED_VALUE"""),"Active")</f>
        <v>Active</v>
      </c>
      <c r="E15" s="57">
        <f>IFERROR(__xludf.DUMMYFUNCTION("""COMPUTED_VALUE"""),45966.0)</f>
        <v>45966</v>
      </c>
      <c r="F15" s="58"/>
      <c r="G15" s="60">
        <f>IFERROR(__xludf.DUMMYFUNCTION("""COMPUTED_VALUE"""),11.033333333333333)</f>
        <v>11.03333333</v>
      </c>
      <c r="H15" s="63">
        <f>IFERROR(__xludf.DUMMYFUNCTION("""COMPUTED_VALUE"""),45966.0)</f>
        <v>45966</v>
      </c>
      <c r="I15" s="60">
        <f>IFERROR(__xludf.DUMMYFUNCTION("""COMPUTED_VALUE"""),0.0)</f>
        <v>0</v>
      </c>
      <c r="J15" s="64">
        <f>IFERROR(__xludf.DUMMYFUNCTION("""COMPUTED_VALUE"""),35.0)</f>
        <v>35</v>
      </c>
      <c r="K15" s="64">
        <f>IFERROR(__xludf.DUMMYFUNCTION("""COMPUTED_VALUE"""),4.0)</f>
        <v>4</v>
      </c>
      <c r="L15" s="55" t="str">
        <f>IFERROR(__xludf.DUMMYFUNCTION("""COMPUTED_VALUE"""),"Survival")</f>
        <v>Survival</v>
      </c>
      <c r="M15" s="55"/>
      <c r="N15" s="55"/>
      <c r="O15" s="55"/>
      <c r="P15" s="55"/>
      <c r="Q15" s="55"/>
      <c r="R15" s="66"/>
      <c r="S15" s="66"/>
      <c r="T15" s="66"/>
      <c r="U15" s="66"/>
      <c r="V15" s="66"/>
      <c r="W15" s="66"/>
      <c r="X15" s="66"/>
      <c r="Y15" s="66"/>
      <c r="Z15" s="66"/>
      <c r="AA15" s="66"/>
      <c r="AB15" s="66"/>
      <c r="AC15" s="66"/>
    </row>
    <row r="16">
      <c r="A16" s="55" t="str">
        <f>IFERROR(__xludf.DUMMYFUNCTION("""COMPUTED_VALUE"""),"1000xResist")</f>
        <v>1000xResist</v>
      </c>
      <c r="B16" s="55" t="str">
        <f>IFERROR(__xludf.DUMMYFUNCTION("""COMPUTED_VALUE"""),"Xbox / PC")</f>
        <v>Xbox / PC</v>
      </c>
      <c r="C16" s="55" t="str">
        <f>IFERROR(__xludf.DUMMYFUNCTION("""COMPUTED_VALUE"""),"Yes")</f>
        <v>Yes</v>
      </c>
      <c r="D16" s="56" t="str">
        <f>IFERROR(__xludf.DUMMYFUNCTION("""COMPUTED_VALUE"""),"Active")</f>
        <v>Active</v>
      </c>
      <c r="E16" s="57">
        <f>IFERROR(__xludf.DUMMYFUNCTION("""COMPUTED_VALUE"""),45965.0)</f>
        <v>45965</v>
      </c>
      <c r="F16" s="58"/>
      <c r="G16" s="60">
        <f>IFERROR(__xludf.DUMMYFUNCTION("""COMPUTED_VALUE"""),11.066666666666666)</f>
        <v>11.06666667</v>
      </c>
      <c r="H16" s="63">
        <f>IFERROR(__xludf.DUMMYFUNCTION("""COMPUTED_VALUE"""),45786.0)</f>
        <v>45786</v>
      </c>
      <c r="I16" s="60">
        <f>IFERROR(__xludf.DUMMYFUNCTION("""COMPUTED_VALUE"""),0.4861111111111111)</f>
        <v>0.4861111111</v>
      </c>
      <c r="J16" s="64">
        <f>IFERROR(__xludf.DUMMYFUNCTION("""COMPUTED_VALUE"""),86.0)</f>
        <v>86</v>
      </c>
      <c r="K16" s="64">
        <f>IFERROR(__xludf.DUMMYFUNCTION("""COMPUTED_VALUE"""),11.0)</f>
        <v>11</v>
      </c>
      <c r="L16" s="55" t="str">
        <f>IFERROR(__xludf.DUMMYFUNCTION("""COMPUTED_VALUE"""),"Action-Adventure")</f>
        <v>Action-Adventure</v>
      </c>
      <c r="M16" s="55" t="str">
        <f>IFERROR(__xludf.DUMMYFUNCTION("""COMPUTED_VALUE"""),"Exclusive")</f>
        <v>Exclusive</v>
      </c>
      <c r="N16" s="55"/>
      <c r="O16" s="55"/>
      <c r="P16" s="55"/>
      <c r="Q16" s="55"/>
      <c r="R16" s="66"/>
      <c r="S16" s="66"/>
      <c r="T16" s="66"/>
      <c r="U16" s="66"/>
      <c r="V16" s="66"/>
      <c r="W16" s="66"/>
      <c r="X16" s="66"/>
      <c r="Y16" s="66"/>
      <c r="Z16" s="66"/>
      <c r="AA16" s="66"/>
      <c r="AB16" s="66"/>
      <c r="AC16" s="66"/>
    </row>
    <row r="17">
      <c r="A17" s="55" t="str">
        <f>IFERROR(__xludf.DUMMYFUNCTION("""COMPUTED_VALUE"""),"Football Manager 26")</f>
        <v>Football Manager 26</v>
      </c>
      <c r="B17" s="55" t="str">
        <f>IFERROR(__xludf.DUMMYFUNCTION("""COMPUTED_VALUE"""),"PC")</f>
        <v>PC</v>
      </c>
      <c r="C17" s="55"/>
      <c r="D17" s="56" t="str">
        <f>IFERROR(__xludf.DUMMYFUNCTION("""COMPUTED_VALUE"""),"Active")</f>
        <v>Active</v>
      </c>
      <c r="E17" s="57">
        <f>IFERROR(__xludf.DUMMYFUNCTION("""COMPUTED_VALUE"""),45965.0)</f>
        <v>45965</v>
      </c>
      <c r="F17" s="58"/>
      <c r="G17" s="60">
        <f>IFERROR(__xludf.DUMMYFUNCTION("""COMPUTED_VALUE"""),11.066666666666666)</f>
        <v>11.06666667</v>
      </c>
      <c r="H17" s="63">
        <f>IFERROR(__xludf.DUMMYFUNCTION("""COMPUTED_VALUE"""),45965.0)</f>
        <v>45965</v>
      </c>
      <c r="I17" s="60">
        <f>IFERROR(__xludf.DUMMYFUNCTION("""COMPUTED_VALUE"""),0.0)</f>
        <v>0</v>
      </c>
      <c r="J17" s="64">
        <f>IFERROR(__xludf.DUMMYFUNCTION("""COMPUTED_VALUE"""),68.0)</f>
        <v>68</v>
      </c>
      <c r="K17" s="64">
        <f>IFERROR(__xludf.DUMMYFUNCTION("""COMPUTED_VALUE"""),64.0)</f>
        <v>64</v>
      </c>
      <c r="L17" s="55" t="str">
        <f>IFERROR(__xludf.DUMMYFUNCTION("""COMPUTED_VALUE"""),"Management")</f>
        <v>Management</v>
      </c>
      <c r="M17" s="55"/>
      <c r="N17" s="55"/>
      <c r="O17" s="55"/>
      <c r="P17" s="55"/>
      <c r="Q17" s="55"/>
      <c r="R17" s="66"/>
      <c r="S17" s="66"/>
      <c r="T17" s="66"/>
      <c r="U17" s="66"/>
      <c r="V17" s="66"/>
      <c r="W17" s="66"/>
      <c r="X17" s="66"/>
      <c r="Y17" s="66"/>
      <c r="Z17" s="66"/>
      <c r="AA17" s="66"/>
      <c r="AB17" s="66"/>
      <c r="AC17" s="66"/>
    </row>
    <row r="18">
      <c r="A18" s="55" t="str">
        <f>IFERROR(__xludf.DUMMYFUNCTION("""COMPUTED_VALUE"""),"Halls of Torment")</f>
        <v>Halls of Torment</v>
      </c>
      <c r="B18" s="55" t="str">
        <f>IFERROR(__xludf.DUMMYFUNCTION("""COMPUTED_VALUE"""),"Xbox / PC")</f>
        <v>Xbox / PC</v>
      </c>
      <c r="C18" s="55" t="str">
        <f>IFERROR(__xludf.DUMMYFUNCTION("""COMPUTED_VALUE"""),"Yes")</f>
        <v>Yes</v>
      </c>
      <c r="D18" s="56" t="str">
        <f>IFERROR(__xludf.DUMMYFUNCTION("""COMPUTED_VALUE"""),"Active")</f>
        <v>Active</v>
      </c>
      <c r="E18" s="57">
        <f>IFERROR(__xludf.DUMMYFUNCTION("""COMPUTED_VALUE"""),45958.0)</f>
        <v>45958</v>
      </c>
      <c r="F18" s="58"/>
      <c r="G18" s="60">
        <f>IFERROR(__xludf.DUMMYFUNCTION("""COMPUTED_VALUE"""),11.266666666666666)</f>
        <v>11.26666667</v>
      </c>
      <c r="H18" s="63">
        <f>IFERROR(__xludf.DUMMYFUNCTION("""COMPUTED_VALUE"""),45559.0)</f>
        <v>45559</v>
      </c>
      <c r="I18" s="60">
        <f>IFERROR(__xludf.DUMMYFUNCTION("""COMPUTED_VALUE"""),1.0944444444444446)</f>
        <v>1.094444444</v>
      </c>
      <c r="J18" s="64">
        <f>IFERROR(__xludf.DUMMYFUNCTION("""COMPUTED_VALUE"""),88.0)</f>
        <v>88</v>
      </c>
      <c r="K18" s="64">
        <f>IFERROR(__xludf.DUMMYFUNCTION("""COMPUTED_VALUE"""),12.0)</f>
        <v>12</v>
      </c>
      <c r="L18" s="55" t="str">
        <f>IFERROR(__xludf.DUMMYFUNCTION("""COMPUTED_VALUE"""),"Shoot-'Em-Up")</f>
        <v>Shoot-'Em-Up</v>
      </c>
      <c r="M18" s="55" t="str">
        <f>IFERROR(__xludf.DUMMYFUNCTION("""COMPUTED_VALUE"""),"Exclusive")</f>
        <v>Exclusive</v>
      </c>
      <c r="N18" s="55"/>
      <c r="O18" s="55"/>
      <c r="P18" s="55"/>
      <c r="Q18" s="55"/>
      <c r="R18" s="66"/>
      <c r="S18" s="66"/>
      <c r="T18" s="66"/>
      <c r="U18" s="66"/>
      <c r="V18" s="66"/>
      <c r="W18" s="66"/>
      <c r="X18" s="66"/>
      <c r="Y18" s="66"/>
      <c r="Z18" s="66"/>
      <c r="AA18" s="66"/>
      <c r="AB18" s="66"/>
      <c r="AC18" s="66"/>
    </row>
    <row r="19">
      <c r="A19" s="55" t="str">
        <f>IFERROR(__xludf.DUMMYFUNCTION("""COMPUTED_VALUE"""),"PowerWash Simulator 2")</f>
        <v>PowerWash Simulator 2</v>
      </c>
      <c r="B19" s="55" t="str">
        <f>IFERROR(__xludf.DUMMYFUNCTION("""COMPUTED_VALUE"""),"Xbox / PC")</f>
        <v>Xbox / PC</v>
      </c>
      <c r="C19" s="55" t="str">
        <f>IFERROR(__xludf.DUMMYFUNCTION("""COMPUTED_VALUE"""),"Yes")</f>
        <v>Yes</v>
      </c>
      <c r="D19" s="56" t="str">
        <f>IFERROR(__xludf.DUMMYFUNCTION("""COMPUTED_VALUE"""),"Active")</f>
        <v>Active</v>
      </c>
      <c r="E19" s="57">
        <f>IFERROR(__xludf.DUMMYFUNCTION("""COMPUTED_VALUE"""),45953.0)</f>
        <v>45953</v>
      </c>
      <c r="F19" s="58"/>
      <c r="G19" s="60">
        <f>IFERROR(__xludf.DUMMYFUNCTION("""COMPUTED_VALUE"""),11.433333333333334)</f>
        <v>11.43333333</v>
      </c>
      <c r="H19" s="63">
        <f>IFERROR(__xludf.DUMMYFUNCTION("""COMPUTED_VALUE"""),45953.0)</f>
        <v>45953</v>
      </c>
      <c r="I19" s="60">
        <f>IFERROR(__xludf.DUMMYFUNCTION("""COMPUTED_VALUE"""),0.0)</f>
        <v>0</v>
      </c>
      <c r="J19" s="64">
        <f>IFERROR(__xludf.DUMMYFUNCTION("""COMPUTED_VALUE"""),82.0)</f>
        <v>82</v>
      </c>
      <c r="K19" s="64">
        <f>IFERROR(__xludf.DUMMYFUNCTION("""COMPUTED_VALUE"""),37.0)</f>
        <v>37</v>
      </c>
      <c r="L19" s="55" t="str">
        <f>IFERROR(__xludf.DUMMYFUNCTION("""COMPUTED_VALUE"""),"Simulation")</f>
        <v>Simulation</v>
      </c>
      <c r="M19" s="55" t="str">
        <f>IFERROR(__xludf.DUMMYFUNCTION("""COMPUTED_VALUE"""),"Exclusive")</f>
        <v>Exclusive</v>
      </c>
      <c r="N19" s="55"/>
      <c r="O19" s="55"/>
      <c r="P19" s="55"/>
      <c r="Q19" s="55"/>
      <c r="R19" s="66"/>
      <c r="S19" s="66"/>
      <c r="T19" s="66"/>
      <c r="U19" s="66"/>
      <c r="V19" s="66"/>
      <c r="W19" s="66"/>
      <c r="X19" s="66"/>
      <c r="Y19" s="66"/>
      <c r="Z19" s="66"/>
      <c r="AA19" s="66"/>
      <c r="AB19" s="66"/>
      <c r="AC19" s="66"/>
    </row>
    <row r="20">
      <c r="A20" s="55" t="str">
        <f>IFERROR(__xludf.DUMMYFUNCTION("""COMPUTED_VALUE"""),"Bounty Star: The Morose Tale of Graveyard Clem")</f>
        <v>Bounty Star: The Morose Tale of Graveyard Clem</v>
      </c>
      <c r="B20" s="55" t="str">
        <f>IFERROR(__xludf.DUMMYFUNCTION("""COMPUTED_VALUE"""),"Xbox / PC")</f>
        <v>Xbox / PC</v>
      </c>
      <c r="C20" s="55" t="str">
        <f>IFERROR(__xludf.DUMMYFUNCTION("""COMPUTED_VALUE"""),"Yes")</f>
        <v>Yes</v>
      </c>
      <c r="D20" s="56" t="str">
        <f>IFERROR(__xludf.DUMMYFUNCTION("""COMPUTED_VALUE"""),"Active")</f>
        <v>Active</v>
      </c>
      <c r="E20" s="57">
        <f>IFERROR(__xludf.DUMMYFUNCTION("""COMPUTED_VALUE"""),45953.0)</f>
        <v>45953</v>
      </c>
      <c r="F20" s="58"/>
      <c r="G20" s="60">
        <f>IFERROR(__xludf.DUMMYFUNCTION("""COMPUTED_VALUE"""),11.433333333333334)</f>
        <v>11.43333333</v>
      </c>
      <c r="H20" s="63">
        <f>IFERROR(__xludf.DUMMYFUNCTION("""COMPUTED_VALUE"""),45953.0)</f>
        <v>45953</v>
      </c>
      <c r="I20" s="60">
        <f>IFERROR(__xludf.DUMMYFUNCTION("""COMPUTED_VALUE"""),0.0)</f>
        <v>0</v>
      </c>
      <c r="J20" s="64">
        <f>IFERROR(__xludf.DUMMYFUNCTION("""COMPUTED_VALUE"""),74.0)</f>
        <v>74</v>
      </c>
      <c r="K20" s="64">
        <f>IFERROR(__xludf.DUMMYFUNCTION("""COMPUTED_VALUE"""),13.0)</f>
        <v>13</v>
      </c>
      <c r="L20" s="55" t="str">
        <f>IFERROR(__xludf.DUMMYFUNCTION("""COMPUTED_VALUE"""),"Shooter")</f>
        <v>Shooter</v>
      </c>
      <c r="M20" s="55" t="str">
        <f>IFERROR(__xludf.DUMMYFUNCTION("""COMPUTED_VALUE"""),"Exclusive")</f>
        <v>Exclusive</v>
      </c>
      <c r="N20" s="55"/>
      <c r="O20" s="55"/>
      <c r="P20" s="55"/>
      <c r="Q20" s="55"/>
      <c r="R20" s="66"/>
      <c r="S20" s="66"/>
      <c r="T20" s="66"/>
      <c r="U20" s="66"/>
      <c r="V20" s="66"/>
      <c r="W20" s="66"/>
      <c r="X20" s="66"/>
      <c r="Y20" s="66"/>
      <c r="Z20" s="66"/>
      <c r="AA20" s="66"/>
      <c r="AB20" s="66"/>
      <c r="AC20" s="66"/>
    </row>
    <row r="21">
      <c r="A21" s="55" t="str">
        <f>IFERROR(__xludf.DUMMYFUNCTION("""COMPUTED_VALUE"""),"Keeper (2025)")</f>
        <v>Keeper (2025)</v>
      </c>
      <c r="B21" s="55" t="str">
        <f>IFERROR(__xludf.DUMMYFUNCTION("""COMPUTED_VALUE"""),"Xbox / PC")</f>
        <v>Xbox / PC</v>
      </c>
      <c r="C21" s="55" t="str">
        <f>IFERROR(__xludf.DUMMYFUNCTION("""COMPUTED_VALUE"""),"Yes")</f>
        <v>Yes</v>
      </c>
      <c r="D21" s="56" t="str">
        <f>IFERROR(__xludf.DUMMYFUNCTION("""COMPUTED_VALUE"""),"Active")</f>
        <v>Active</v>
      </c>
      <c r="E21" s="57">
        <f>IFERROR(__xludf.DUMMYFUNCTION("""COMPUTED_VALUE"""),45947.0)</f>
        <v>45947</v>
      </c>
      <c r="F21" s="58"/>
      <c r="G21" s="60">
        <f>IFERROR(__xludf.DUMMYFUNCTION("""COMPUTED_VALUE"""),11.633333333333333)</f>
        <v>11.63333333</v>
      </c>
      <c r="H21" s="63">
        <f>IFERROR(__xludf.DUMMYFUNCTION("""COMPUTED_VALUE"""),45947.0)</f>
        <v>45947</v>
      </c>
      <c r="I21" s="60">
        <f>IFERROR(__xludf.DUMMYFUNCTION("""COMPUTED_VALUE"""),0.0)</f>
        <v>0</v>
      </c>
      <c r="J21" s="64">
        <f>IFERROR(__xludf.DUMMYFUNCTION("""COMPUTED_VALUE"""),80.0)</f>
        <v>80</v>
      </c>
      <c r="K21" s="64">
        <f>IFERROR(__xludf.DUMMYFUNCTION("""COMPUTED_VALUE"""),5.0)</f>
        <v>5</v>
      </c>
      <c r="L21" s="55" t="str">
        <f>IFERROR(__xludf.DUMMYFUNCTION("""COMPUTED_VALUE"""),"Action-Adventure")</f>
        <v>Action-Adventure</v>
      </c>
      <c r="M21" s="55" t="str">
        <f>IFERROR(__xludf.DUMMYFUNCTION("""COMPUTED_VALUE"""),"Exclusive")</f>
        <v>Exclusive</v>
      </c>
      <c r="N21" s="55"/>
      <c r="O21" s="55"/>
      <c r="P21" s="55"/>
      <c r="Q21" s="55"/>
      <c r="R21" s="66"/>
      <c r="S21" s="66"/>
      <c r="T21" s="66"/>
      <c r="U21" s="66"/>
      <c r="V21" s="66"/>
      <c r="W21" s="66"/>
      <c r="X21" s="66"/>
      <c r="Y21" s="66"/>
      <c r="Z21" s="66"/>
      <c r="AA21" s="66"/>
      <c r="AB21" s="66"/>
      <c r="AC21" s="66"/>
    </row>
    <row r="22">
      <c r="A22" s="55" t="str">
        <f>IFERROR(__xludf.DUMMYFUNCTION("""COMPUTED_VALUE"""),"Pax Dei")</f>
        <v>Pax Dei</v>
      </c>
      <c r="B22" s="55" t="str">
        <f>IFERROR(__xludf.DUMMYFUNCTION("""COMPUTED_VALUE"""),"PC")</f>
        <v>PC</v>
      </c>
      <c r="C22" s="55"/>
      <c r="D22" s="56" t="str">
        <f>IFERROR(__xludf.DUMMYFUNCTION("""COMPUTED_VALUE"""),"Active")</f>
        <v>Active</v>
      </c>
      <c r="E22" s="57">
        <f>IFERROR(__xludf.DUMMYFUNCTION("""COMPUTED_VALUE"""),45946.0)</f>
        <v>45946</v>
      </c>
      <c r="F22" s="58"/>
      <c r="G22" s="60">
        <f>IFERROR(__xludf.DUMMYFUNCTION("""COMPUTED_VALUE"""),11.666666666666666)</f>
        <v>11.66666667</v>
      </c>
      <c r="H22" s="63">
        <f>IFERROR(__xludf.DUMMYFUNCTION("""COMPUTED_VALUE"""),45946.0)</f>
        <v>45946</v>
      </c>
      <c r="I22" s="60">
        <f>IFERROR(__xludf.DUMMYFUNCTION("""COMPUTED_VALUE"""),0.0)</f>
        <v>0</v>
      </c>
      <c r="J22" s="64">
        <f>IFERROR(__xludf.DUMMYFUNCTION("""COMPUTED_VALUE"""),70.0)</f>
        <v>70</v>
      </c>
      <c r="K22" s="64"/>
      <c r="L22" s="55" t="str">
        <f>IFERROR(__xludf.DUMMYFUNCTION("""COMPUTED_VALUE"""),"RPG")</f>
        <v>RPG</v>
      </c>
      <c r="M22" s="55"/>
      <c r="N22" s="55"/>
      <c r="O22" s="55"/>
      <c r="P22" s="55"/>
      <c r="Q22" s="55"/>
      <c r="R22" s="66"/>
      <c r="S22" s="66"/>
      <c r="T22" s="66"/>
      <c r="U22" s="66"/>
      <c r="V22" s="66"/>
      <c r="W22" s="66"/>
      <c r="X22" s="66"/>
      <c r="Y22" s="66"/>
      <c r="Z22" s="66"/>
      <c r="AA22" s="66"/>
      <c r="AB22" s="66"/>
      <c r="AC22" s="66"/>
    </row>
    <row r="23">
      <c r="A23" s="55" t="str">
        <f>IFERROR(__xludf.DUMMYFUNCTION("""COMPUTED_VALUE"""),"Ball x Pit")</f>
        <v>Ball x Pit</v>
      </c>
      <c r="B23" s="55" t="str">
        <f>IFERROR(__xludf.DUMMYFUNCTION("""COMPUTED_VALUE"""),"Xbox / PC")</f>
        <v>Xbox / PC</v>
      </c>
      <c r="C23" s="55" t="str">
        <f>IFERROR(__xludf.DUMMYFUNCTION("""COMPUTED_VALUE"""),"Yes")</f>
        <v>Yes</v>
      </c>
      <c r="D23" s="56" t="str">
        <f>IFERROR(__xludf.DUMMYFUNCTION("""COMPUTED_VALUE"""),"Active")</f>
        <v>Active</v>
      </c>
      <c r="E23" s="57">
        <f>IFERROR(__xludf.DUMMYFUNCTION("""COMPUTED_VALUE"""),45945.0)</f>
        <v>45945</v>
      </c>
      <c r="F23" s="58"/>
      <c r="G23" s="60">
        <f>IFERROR(__xludf.DUMMYFUNCTION("""COMPUTED_VALUE"""),11.7)</f>
        <v>11.7</v>
      </c>
      <c r="H23" s="63">
        <f>IFERROR(__xludf.DUMMYFUNCTION("""COMPUTED_VALUE"""),45945.0)</f>
        <v>45945</v>
      </c>
      <c r="I23" s="60">
        <f>IFERROR(__xludf.DUMMYFUNCTION("""COMPUTED_VALUE"""),0.0)</f>
        <v>0</v>
      </c>
      <c r="J23" s="64">
        <f>IFERROR(__xludf.DUMMYFUNCTION("""COMPUTED_VALUE"""),84.0)</f>
        <v>84</v>
      </c>
      <c r="K23" s="64">
        <f>IFERROR(__xludf.DUMMYFUNCTION("""COMPUTED_VALUE"""),19.0)</f>
        <v>19</v>
      </c>
      <c r="L23" s="55" t="str">
        <f>IFERROR(__xludf.DUMMYFUNCTION("""COMPUTED_VALUE"""),"Shoot-'Em-Up")</f>
        <v>Shoot-'Em-Up</v>
      </c>
      <c r="M23" s="55"/>
      <c r="N23" s="55"/>
      <c r="O23" s="55"/>
      <c r="P23" s="55"/>
      <c r="Q23" s="55"/>
      <c r="R23" s="66"/>
      <c r="S23" s="66"/>
      <c r="T23" s="66"/>
      <c r="U23" s="66"/>
      <c r="V23" s="66"/>
      <c r="W23" s="66"/>
      <c r="X23" s="66"/>
      <c r="Y23" s="66"/>
      <c r="Z23" s="66"/>
      <c r="AA23" s="66"/>
      <c r="AB23" s="66"/>
      <c r="AC23" s="66"/>
    </row>
    <row r="24">
      <c r="A24" s="55" t="str">
        <f>IFERROR(__xludf.DUMMYFUNCTION("""COMPUTED_VALUE"""),"Heroes of Might and Magic II: Gold Edition")</f>
        <v>Heroes of Might and Magic II: Gold Edition</v>
      </c>
      <c r="B24" s="55" t="str">
        <f>IFERROR(__xludf.DUMMYFUNCTION("""COMPUTED_VALUE"""),"PC")</f>
        <v>PC</v>
      </c>
      <c r="C24" s="55"/>
      <c r="D24" s="56" t="str">
        <f>IFERROR(__xludf.DUMMYFUNCTION("""COMPUTED_VALUE"""),"Active")</f>
        <v>Active</v>
      </c>
      <c r="E24" s="57">
        <f>IFERROR(__xludf.DUMMYFUNCTION("""COMPUTED_VALUE"""),45940.0)</f>
        <v>45940</v>
      </c>
      <c r="F24" s="58"/>
      <c r="G24" s="60">
        <f>IFERROR(__xludf.DUMMYFUNCTION("""COMPUTED_VALUE"""),11.866666666666667)</f>
        <v>11.86666667</v>
      </c>
      <c r="H24" s="63">
        <f>IFERROR(__xludf.DUMMYFUNCTION("""COMPUTED_VALUE"""),35338.0)</f>
        <v>35338</v>
      </c>
      <c r="I24" s="60">
        <f>IFERROR(__xludf.DUMMYFUNCTION("""COMPUTED_VALUE"""),29.02777777777778)</f>
        <v>29.02777778</v>
      </c>
      <c r="J24" s="64">
        <f>IFERROR(__xludf.DUMMYFUNCTION("""COMPUTED_VALUE"""),84.0)</f>
        <v>84</v>
      </c>
      <c r="K24" s="64">
        <f>IFERROR(__xludf.DUMMYFUNCTION("""COMPUTED_VALUE"""),80.0)</f>
        <v>80</v>
      </c>
      <c r="L24" s="55" t="str">
        <f>IFERROR(__xludf.DUMMYFUNCTION("""COMPUTED_VALUE"""),"Strategy")</f>
        <v>Strategy</v>
      </c>
      <c r="M24" s="55"/>
      <c r="N24" s="55" t="str">
        <f>IFERROR(__xludf.DUMMYFUNCTION("""COMPUTED_VALUE"""),"Ubisoft games joining with price increase")</f>
        <v>Ubisoft games joining with price increase</v>
      </c>
      <c r="O24" s="55"/>
      <c r="P24" s="55"/>
      <c r="Q24" s="55"/>
      <c r="R24" s="66"/>
      <c r="S24" s="66"/>
      <c r="T24" s="66"/>
      <c r="U24" s="66"/>
      <c r="V24" s="66"/>
      <c r="W24" s="66"/>
      <c r="X24" s="66"/>
      <c r="Y24" s="66"/>
      <c r="Z24" s="66"/>
      <c r="AA24" s="66"/>
      <c r="AB24" s="66"/>
      <c r="AC24" s="66"/>
    </row>
    <row r="25">
      <c r="A25" s="55" t="str">
        <f>IFERROR(__xludf.DUMMYFUNCTION("""COMPUTED_VALUE"""),"Heroes of Might and Magic III: Complete Edition")</f>
        <v>Heroes of Might and Magic III: Complete Edition</v>
      </c>
      <c r="B25" s="55" t="str">
        <f>IFERROR(__xludf.DUMMYFUNCTION("""COMPUTED_VALUE"""),"PC")</f>
        <v>PC</v>
      </c>
      <c r="C25" s="55"/>
      <c r="D25" s="56" t="str">
        <f>IFERROR(__xludf.DUMMYFUNCTION("""COMPUTED_VALUE"""),"Active")</f>
        <v>Active</v>
      </c>
      <c r="E25" s="57">
        <f>IFERROR(__xludf.DUMMYFUNCTION("""COMPUTED_VALUE"""),45940.0)</f>
        <v>45940</v>
      </c>
      <c r="F25" s="58"/>
      <c r="G25" s="60">
        <f>IFERROR(__xludf.DUMMYFUNCTION("""COMPUTED_VALUE"""),11.866666666666667)</f>
        <v>11.86666667</v>
      </c>
      <c r="H25" s="63">
        <f>IFERROR(__xludf.DUMMYFUNCTION("""COMPUTED_VALUE"""),36219.0)</f>
        <v>36219</v>
      </c>
      <c r="I25" s="60">
        <f>IFERROR(__xludf.DUMMYFUNCTION("""COMPUTED_VALUE"""),26.616666666666667)</f>
        <v>26.61666667</v>
      </c>
      <c r="J25" s="64">
        <f>IFERROR(__xludf.DUMMYFUNCTION("""COMPUTED_VALUE"""),65.0)</f>
        <v>65</v>
      </c>
      <c r="K25" s="64">
        <f>IFERROR(__xludf.DUMMYFUNCTION("""COMPUTED_VALUE"""),153.0)</f>
        <v>153</v>
      </c>
      <c r="L25" s="55" t="str">
        <f>IFERROR(__xludf.DUMMYFUNCTION("""COMPUTED_VALUE"""),"Strategy")</f>
        <v>Strategy</v>
      </c>
      <c r="M25" s="55"/>
      <c r="N25" s="55" t="str">
        <f>IFERROR(__xludf.DUMMYFUNCTION("""COMPUTED_VALUE"""),"Ubisoft games joining with price increase")</f>
        <v>Ubisoft games joining with price increase</v>
      </c>
      <c r="O25" s="55"/>
      <c r="P25" s="55"/>
      <c r="Q25" s="55"/>
      <c r="R25" s="66"/>
      <c r="S25" s="66"/>
      <c r="T25" s="66"/>
      <c r="U25" s="66"/>
      <c r="V25" s="66"/>
      <c r="W25" s="66"/>
      <c r="X25" s="66"/>
      <c r="Y25" s="66"/>
      <c r="Z25" s="66"/>
      <c r="AA25" s="66"/>
      <c r="AB25" s="66"/>
      <c r="AC25" s="66"/>
    </row>
    <row r="26">
      <c r="A26" s="55" t="str">
        <f>IFERROR(__xludf.DUMMYFUNCTION("""COMPUTED_VALUE"""),"Supermarket Simulator")</f>
        <v>Supermarket Simulator</v>
      </c>
      <c r="B26" s="55" t="str">
        <f>IFERROR(__xludf.DUMMYFUNCTION("""COMPUTED_VALUE"""),"Xbox / PC")</f>
        <v>Xbox / PC</v>
      </c>
      <c r="C26" s="55" t="str">
        <f>IFERROR(__xludf.DUMMYFUNCTION("""COMPUTED_VALUE"""),"Yes")</f>
        <v>Yes</v>
      </c>
      <c r="D26" s="56" t="str">
        <f>IFERROR(__xludf.DUMMYFUNCTION("""COMPUTED_VALUE"""),"Active")</f>
        <v>Active</v>
      </c>
      <c r="E26" s="57">
        <f>IFERROR(__xludf.DUMMYFUNCTION("""COMPUTED_VALUE"""),45938.0)</f>
        <v>45938</v>
      </c>
      <c r="F26" s="58"/>
      <c r="G26" s="60">
        <f>IFERROR(__xludf.DUMMYFUNCTION("""COMPUTED_VALUE"""),11.933333333333334)</f>
        <v>11.93333333</v>
      </c>
      <c r="H26" s="63">
        <f>IFERROR(__xludf.DUMMYFUNCTION("""COMPUTED_VALUE"""),45827.0)</f>
        <v>45827</v>
      </c>
      <c r="I26" s="60">
        <f>IFERROR(__xludf.DUMMYFUNCTION("""COMPUTED_VALUE"""),0.30277777777777776)</f>
        <v>0.3027777778</v>
      </c>
      <c r="J26" s="64">
        <f>IFERROR(__xludf.DUMMYFUNCTION("""COMPUTED_VALUE"""),76.66666666666667)</f>
        <v>76.66666667</v>
      </c>
      <c r="K26" s="64">
        <f>IFERROR(__xludf.DUMMYFUNCTION("""COMPUTED_VALUE"""),22.0)</f>
        <v>22</v>
      </c>
      <c r="L26" s="55" t="str">
        <f>IFERROR(__xludf.DUMMYFUNCTION("""COMPUTED_VALUE"""),"Simulation")</f>
        <v>Simulation</v>
      </c>
      <c r="M26" s="55"/>
      <c r="N26" s="55"/>
      <c r="O26" s="55"/>
      <c r="P26" s="55"/>
      <c r="Q26" s="55"/>
      <c r="R26" s="66"/>
      <c r="S26" s="66"/>
      <c r="T26" s="66"/>
      <c r="U26" s="66"/>
      <c r="V26" s="66"/>
      <c r="W26" s="66"/>
      <c r="X26" s="66"/>
      <c r="Y26" s="66"/>
      <c r="Z26" s="66"/>
      <c r="AA26" s="66"/>
      <c r="AB26" s="66"/>
      <c r="AC26" s="66"/>
    </row>
    <row r="27">
      <c r="A27" s="55" t="str">
        <f>IFERROR(__xludf.DUMMYFUNCTION("""COMPUTED_VALUE"""),"Hogwarts Legacy")</f>
        <v>Hogwarts Legacy</v>
      </c>
      <c r="B27" s="55" t="str">
        <f>IFERROR(__xludf.DUMMYFUNCTION("""COMPUTED_VALUE"""),"Xbox / PC")</f>
        <v>Xbox / PC</v>
      </c>
      <c r="C27" s="55" t="str">
        <f>IFERROR(__xludf.DUMMYFUNCTION("""COMPUTED_VALUE"""),"Yes")</f>
        <v>Yes</v>
      </c>
      <c r="D27" s="56" t="str">
        <f>IFERROR(__xludf.DUMMYFUNCTION("""COMPUTED_VALUE"""),"Active")</f>
        <v>Active</v>
      </c>
      <c r="E27" s="57">
        <f>IFERROR(__xludf.DUMMYFUNCTION("""COMPUTED_VALUE"""),45931.0)</f>
        <v>45931</v>
      </c>
      <c r="F27" s="58"/>
      <c r="G27" s="60">
        <f>IFERROR(__xludf.DUMMYFUNCTION("""COMPUTED_VALUE"""),12.166666666666666)</f>
        <v>12.16666667</v>
      </c>
      <c r="H27" s="63">
        <f>IFERROR(__xludf.DUMMYFUNCTION("""COMPUTED_VALUE"""),44964.0)</f>
        <v>44964</v>
      </c>
      <c r="I27" s="60">
        <f>IFERROR(__xludf.DUMMYFUNCTION("""COMPUTED_VALUE"""),2.65)</f>
        <v>2.65</v>
      </c>
      <c r="J27" s="64">
        <f>IFERROR(__xludf.DUMMYFUNCTION("""COMPUTED_VALUE"""),84.0)</f>
        <v>84</v>
      </c>
      <c r="K27" s="64">
        <f>IFERROR(__xludf.DUMMYFUNCTION("""COMPUTED_VALUE"""),27.0)</f>
        <v>27</v>
      </c>
      <c r="L27" s="55" t="str">
        <f>IFERROR(__xludf.DUMMYFUNCTION("""COMPUTED_VALUE"""),"Action-Adventure")</f>
        <v>Action-Adventure</v>
      </c>
      <c r="M27" s="55"/>
      <c r="N27" s="55" t="str">
        <f>IFERROR(__xludf.DUMMYFUNCTION("""COMPUTED_VALUE"""),"Ubisoft games joining with price increase")</f>
        <v>Ubisoft games joining with price increase</v>
      </c>
      <c r="O27" s="55"/>
      <c r="P27" s="55"/>
      <c r="Q27" s="55"/>
      <c r="R27" s="66"/>
      <c r="S27" s="66"/>
      <c r="T27" s="66"/>
      <c r="U27" s="66"/>
      <c r="V27" s="66"/>
      <c r="W27" s="66"/>
      <c r="X27" s="66"/>
      <c r="Y27" s="66"/>
      <c r="Z27" s="66"/>
      <c r="AA27" s="66"/>
      <c r="AB27" s="66"/>
      <c r="AC27" s="66"/>
    </row>
    <row r="28">
      <c r="A28" s="55" t="str">
        <f>IFERROR(__xludf.DUMMYFUNCTION("""COMPUTED_VALUE"""),"Assassin's Creed II")</f>
        <v>Assassin's Creed II</v>
      </c>
      <c r="B28" s="55" t="str">
        <f>IFERROR(__xludf.DUMMYFUNCTION("""COMPUTED_VALUE"""),"Xbox / PC")</f>
        <v>Xbox / PC</v>
      </c>
      <c r="C28" s="55"/>
      <c r="D28" s="56" t="str">
        <f>IFERROR(__xludf.DUMMYFUNCTION("""COMPUTED_VALUE"""),"Active")</f>
        <v>Active</v>
      </c>
      <c r="E28" s="57">
        <f>IFERROR(__xludf.DUMMYFUNCTION("""COMPUTED_VALUE"""),45931.0)</f>
        <v>45931</v>
      </c>
      <c r="F28" s="58"/>
      <c r="G28" s="60">
        <f>IFERROR(__xludf.DUMMYFUNCTION("""COMPUTED_VALUE"""),12.166666666666666)</f>
        <v>12.16666667</v>
      </c>
      <c r="H28" s="63">
        <f>IFERROR(__xludf.DUMMYFUNCTION("""COMPUTED_VALUE"""),40134.0)</f>
        <v>40134</v>
      </c>
      <c r="I28" s="60">
        <f>IFERROR(__xludf.DUMMYFUNCTION("""COMPUTED_VALUE"""),15.872222222222222)</f>
        <v>15.87222222</v>
      </c>
      <c r="J28" s="64">
        <f>IFERROR(__xludf.DUMMYFUNCTION("""COMPUTED_VALUE"""),90.0)</f>
        <v>90</v>
      </c>
      <c r="K28" s="64">
        <f>IFERROR(__xludf.DUMMYFUNCTION("""COMPUTED_VALUE"""),19.0)</f>
        <v>19</v>
      </c>
      <c r="L28" s="55" t="str">
        <f>IFERROR(__xludf.DUMMYFUNCTION("""COMPUTED_VALUE"""),"Action-Adventure")</f>
        <v>Action-Adventure</v>
      </c>
      <c r="M28" s="55"/>
      <c r="N28" s="55" t="str">
        <f>IFERROR(__xludf.DUMMYFUNCTION("""COMPUTED_VALUE"""),"Ubisoft games joining with price increase")</f>
        <v>Ubisoft games joining with price increase</v>
      </c>
      <c r="O28" s="55"/>
      <c r="P28" s="55"/>
      <c r="Q28" s="55"/>
      <c r="R28" s="66"/>
      <c r="S28" s="66"/>
      <c r="T28" s="66"/>
      <c r="U28" s="66"/>
      <c r="V28" s="66"/>
      <c r="W28" s="66"/>
      <c r="X28" s="66"/>
      <c r="Y28" s="66"/>
      <c r="Z28" s="66"/>
      <c r="AA28" s="66"/>
      <c r="AB28" s="66"/>
      <c r="AC28" s="66"/>
    </row>
    <row r="29">
      <c r="A29" s="55" t="str">
        <f>IFERROR(__xludf.DUMMYFUNCTION("""COMPUTED_VALUE"""),"Assassin's Creed III: Remastered")</f>
        <v>Assassin's Creed III: Remastered</v>
      </c>
      <c r="B29" s="55" t="str">
        <f>IFERROR(__xludf.DUMMYFUNCTION("""COMPUTED_VALUE"""),"Xbox / PC")</f>
        <v>Xbox / PC</v>
      </c>
      <c r="C29" s="55" t="str">
        <f>IFERROR(__xludf.DUMMYFUNCTION("""COMPUTED_VALUE"""),"Yes")</f>
        <v>Yes</v>
      </c>
      <c r="D29" s="56" t="str">
        <f>IFERROR(__xludf.DUMMYFUNCTION("""COMPUTED_VALUE"""),"Active")</f>
        <v>Active</v>
      </c>
      <c r="E29" s="57">
        <f>IFERROR(__xludf.DUMMYFUNCTION("""COMPUTED_VALUE"""),45931.0)</f>
        <v>45931</v>
      </c>
      <c r="F29" s="58"/>
      <c r="G29" s="60">
        <f>IFERROR(__xludf.DUMMYFUNCTION("""COMPUTED_VALUE"""),12.166666666666666)</f>
        <v>12.16666667</v>
      </c>
      <c r="H29" s="63">
        <f>IFERROR(__xludf.DUMMYFUNCTION("""COMPUTED_VALUE"""),43553.0)</f>
        <v>43553</v>
      </c>
      <c r="I29" s="60">
        <f>IFERROR(__xludf.DUMMYFUNCTION("""COMPUTED_VALUE"""),6.5055555555555555)</f>
        <v>6.505555556</v>
      </c>
      <c r="J29" s="64">
        <f>IFERROR(__xludf.DUMMYFUNCTION("""COMPUTED_VALUE"""),72.0)</f>
        <v>72</v>
      </c>
      <c r="K29" s="64">
        <f>IFERROR(__xludf.DUMMYFUNCTION("""COMPUTED_VALUE"""),15.0)</f>
        <v>15</v>
      </c>
      <c r="L29" s="55" t="str">
        <f>IFERROR(__xludf.DUMMYFUNCTION("""COMPUTED_VALUE"""),"Action-Adventure")</f>
        <v>Action-Adventure</v>
      </c>
      <c r="M29" s="55"/>
      <c r="N29" s="55" t="str">
        <f>IFERROR(__xludf.DUMMYFUNCTION("""COMPUTED_VALUE"""),"Ubisoft games joining with price increase")</f>
        <v>Ubisoft games joining with price increase</v>
      </c>
      <c r="O29" s="55"/>
      <c r="P29" s="55"/>
      <c r="Q29" s="55"/>
      <c r="R29" s="66"/>
      <c r="S29" s="66"/>
      <c r="T29" s="66"/>
      <c r="U29" s="66"/>
      <c r="V29" s="66"/>
      <c r="W29" s="66"/>
      <c r="X29" s="66"/>
      <c r="Y29" s="66"/>
      <c r="Z29" s="66"/>
      <c r="AA29" s="66"/>
      <c r="AB29" s="66"/>
      <c r="AC29" s="66"/>
    </row>
    <row r="30">
      <c r="A30" s="55" t="str">
        <f>IFERROR(__xludf.DUMMYFUNCTION("""COMPUTED_VALUE"""),"Assassin's Creed IV Black Flag")</f>
        <v>Assassin's Creed IV Black Flag</v>
      </c>
      <c r="B30" s="55" t="str">
        <f>IFERROR(__xludf.DUMMYFUNCTION("""COMPUTED_VALUE"""),"Xbox / PC")</f>
        <v>Xbox / PC</v>
      </c>
      <c r="C30" s="55" t="str">
        <f>IFERROR(__xludf.DUMMYFUNCTION("""COMPUTED_VALUE"""),"Yes")</f>
        <v>Yes</v>
      </c>
      <c r="D30" s="56" t="str">
        <f>IFERROR(__xludf.DUMMYFUNCTION("""COMPUTED_VALUE"""),"Active")</f>
        <v>Active</v>
      </c>
      <c r="E30" s="57">
        <f>IFERROR(__xludf.DUMMYFUNCTION("""COMPUTED_VALUE"""),45931.0)</f>
        <v>45931</v>
      </c>
      <c r="F30" s="58"/>
      <c r="G30" s="60">
        <f>IFERROR(__xludf.DUMMYFUNCTION("""COMPUTED_VALUE"""),12.166666666666666)</f>
        <v>12.16666667</v>
      </c>
      <c r="H30" s="63">
        <f>IFERROR(__xludf.DUMMYFUNCTION("""COMPUTED_VALUE"""),41576.0)</f>
        <v>41576</v>
      </c>
      <c r="I30" s="60">
        <f>IFERROR(__xludf.DUMMYFUNCTION("""COMPUTED_VALUE"""),11.922222222222222)</f>
        <v>11.92222222</v>
      </c>
      <c r="J30" s="64">
        <f>IFERROR(__xludf.DUMMYFUNCTION("""COMPUTED_VALUE"""),88.0)</f>
        <v>88</v>
      </c>
      <c r="K30" s="64">
        <f>IFERROR(__xludf.DUMMYFUNCTION("""COMPUTED_VALUE"""),24.0)</f>
        <v>24</v>
      </c>
      <c r="L30" s="55" t="str">
        <f>IFERROR(__xludf.DUMMYFUNCTION("""COMPUTED_VALUE"""),"Action-Adventure")</f>
        <v>Action-Adventure</v>
      </c>
      <c r="M30" s="55"/>
      <c r="N30" s="55" t="str">
        <f>IFERROR(__xludf.DUMMYFUNCTION("""COMPUTED_VALUE"""),"Ubisoft games joining with price increase")</f>
        <v>Ubisoft games joining with price increase</v>
      </c>
      <c r="O30" s="55"/>
      <c r="P30" s="55"/>
      <c r="Q30" s="55"/>
      <c r="R30" s="66"/>
      <c r="S30" s="66"/>
      <c r="T30" s="66"/>
      <c r="U30" s="66"/>
      <c r="V30" s="66"/>
      <c r="W30" s="66"/>
      <c r="X30" s="66"/>
      <c r="Y30" s="66"/>
      <c r="Z30" s="66"/>
      <c r="AA30" s="66"/>
      <c r="AB30" s="66"/>
      <c r="AC30" s="66"/>
    </row>
    <row r="31">
      <c r="A31" s="55" t="str">
        <f>IFERROR(__xludf.DUMMYFUNCTION("""COMPUTED_VALUE"""),"Assassin's Creed IV Black Flag: Freedom Cry")</f>
        <v>Assassin's Creed IV Black Flag: Freedom Cry</v>
      </c>
      <c r="B31" s="55" t="str">
        <f>IFERROR(__xludf.DUMMYFUNCTION("""COMPUTED_VALUE"""),"Xbox / PC")</f>
        <v>Xbox / PC</v>
      </c>
      <c r="C31" s="55"/>
      <c r="D31" s="56" t="str">
        <f>IFERROR(__xludf.DUMMYFUNCTION("""COMPUTED_VALUE"""),"Active")</f>
        <v>Active</v>
      </c>
      <c r="E31" s="57">
        <f>IFERROR(__xludf.DUMMYFUNCTION("""COMPUTED_VALUE"""),45931.0)</f>
        <v>45931</v>
      </c>
      <c r="F31" s="58"/>
      <c r="G31" s="60">
        <f>IFERROR(__xludf.DUMMYFUNCTION("""COMPUTED_VALUE"""),12.166666666666666)</f>
        <v>12.16666667</v>
      </c>
      <c r="H31" s="63">
        <f>IFERROR(__xludf.DUMMYFUNCTION("""COMPUTED_VALUE"""),41626.0)</f>
        <v>41626</v>
      </c>
      <c r="I31" s="60">
        <f>IFERROR(__xludf.DUMMYFUNCTION("""COMPUTED_VALUE"""),11.786111111111111)</f>
        <v>11.78611111</v>
      </c>
      <c r="J31" s="64">
        <f>IFERROR(__xludf.DUMMYFUNCTION("""COMPUTED_VALUE"""),71.0)</f>
        <v>71</v>
      </c>
      <c r="K31" s="64">
        <f>IFERROR(__xludf.DUMMYFUNCTION("""COMPUTED_VALUE"""),4.0)</f>
        <v>4</v>
      </c>
      <c r="L31" s="55" t="str">
        <f>IFERROR(__xludf.DUMMYFUNCTION("""COMPUTED_VALUE"""),"Action-Adventure")</f>
        <v>Action-Adventure</v>
      </c>
      <c r="M31" s="55"/>
      <c r="N31" s="55" t="str">
        <f>IFERROR(__xludf.DUMMYFUNCTION("""COMPUTED_VALUE"""),"Ubisoft games joining with price increase")</f>
        <v>Ubisoft games joining with price increase</v>
      </c>
      <c r="O31" s="55"/>
      <c r="P31" s="55"/>
      <c r="Q31" s="55"/>
      <c r="R31" s="66"/>
      <c r="S31" s="66"/>
      <c r="T31" s="66"/>
      <c r="U31" s="66"/>
      <c r="V31" s="66"/>
      <c r="W31" s="66"/>
      <c r="X31" s="66"/>
      <c r="Y31" s="66"/>
      <c r="Z31" s="66"/>
      <c r="AA31" s="66"/>
      <c r="AB31" s="66"/>
      <c r="AC31" s="66"/>
    </row>
    <row r="32">
      <c r="A32" s="55" t="str">
        <f>IFERROR(__xludf.DUMMYFUNCTION("""COMPUTED_VALUE"""),"Assassin's Creed Brotherhood")</f>
        <v>Assassin's Creed Brotherhood</v>
      </c>
      <c r="B32" s="55" t="str">
        <f>IFERROR(__xludf.DUMMYFUNCTION("""COMPUTED_VALUE"""),"Xbox / PC")</f>
        <v>Xbox / PC</v>
      </c>
      <c r="C32" s="55"/>
      <c r="D32" s="56" t="str">
        <f>IFERROR(__xludf.DUMMYFUNCTION("""COMPUTED_VALUE"""),"Active")</f>
        <v>Active</v>
      </c>
      <c r="E32" s="57">
        <f>IFERROR(__xludf.DUMMYFUNCTION("""COMPUTED_VALUE"""),45931.0)</f>
        <v>45931</v>
      </c>
      <c r="F32" s="58"/>
      <c r="G32" s="60">
        <f>IFERROR(__xludf.DUMMYFUNCTION("""COMPUTED_VALUE"""),12.166666666666666)</f>
        <v>12.16666667</v>
      </c>
      <c r="H32" s="63">
        <f>IFERROR(__xludf.DUMMYFUNCTION("""COMPUTED_VALUE"""),40498.0)</f>
        <v>40498</v>
      </c>
      <c r="I32" s="60">
        <f>IFERROR(__xludf.DUMMYFUNCTION("""COMPUTED_VALUE"""),14.875)</f>
        <v>14.875</v>
      </c>
      <c r="J32" s="64">
        <f>IFERROR(__xludf.DUMMYFUNCTION("""COMPUTED_VALUE"""),89.0)</f>
        <v>89</v>
      </c>
      <c r="K32" s="64">
        <f>IFERROR(__xludf.DUMMYFUNCTION("""COMPUTED_VALUE"""),15.0)</f>
        <v>15</v>
      </c>
      <c r="L32" s="55" t="str">
        <f>IFERROR(__xludf.DUMMYFUNCTION("""COMPUTED_VALUE"""),"Action-Adventure")</f>
        <v>Action-Adventure</v>
      </c>
      <c r="M32" s="55"/>
      <c r="N32" s="55" t="str">
        <f>IFERROR(__xludf.DUMMYFUNCTION("""COMPUTED_VALUE"""),"Ubisoft games joining with price increase")</f>
        <v>Ubisoft games joining with price increase</v>
      </c>
      <c r="O32" s="55"/>
      <c r="P32" s="55"/>
      <c r="Q32" s="55"/>
      <c r="R32" s="66"/>
      <c r="S32" s="66"/>
      <c r="T32" s="66"/>
      <c r="U32" s="66"/>
      <c r="V32" s="66"/>
      <c r="W32" s="66"/>
      <c r="X32" s="66"/>
      <c r="Y32" s="66"/>
      <c r="Z32" s="66"/>
      <c r="AA32" s="66"/>
      <c r="AB32" s="66"/>
      <c r="AC32" s="66"/>
    </row>
    <row r="33">
      <c r="A33" s="55" t="str">
        <f>IFERROR(__xludf.DUMMYFUNCTION("""COMPUTED_VALUE"""),"Assassin's Creed Chronicles: China")</f>
        <v>Assassin's Creed Chronicles: China</v>
      </c>
      <c r="B33" s="55" t="str">
        <f>IFERROR(__xludf.DUMMYFUNCTION("""COMPUTED_VALUE"""),"Xbox / PC")</f>
        <v>Xbox / PC</v>
      </c>
      <c r="C33" s="55" t="str">
        <f>IFERROR(__xludf.DUMMYFUNCTION("""COMPUTED_VALUE"""),"Yes")</f>
        <v>Yes</v>
      </c>
      <c r="D33" s="56" t="str">
        <f>IFERROR(__xludf.DUMMYFUNCTION("""COMPUTED_VALUE"""),"Active")</f>
        <v>Active</v>
      </c>
      <c r="E33" s="57">
        <f>IFERROR(__xludf.DUMMYFUNCTION("""COMPUTED_VALUE"""),45931.0)</f>
        <v>45931</v>
      </c>
      <c r="F33" s="58"/>
      <c r="G33" s="60">
        <f>IFERROR(__xludf.DUMMYFUNCTION("""COMPUTED_VALUE"""),12.166666666666666)</f>
        <v>12.16666667</v>
      </c>
      <c r="H33" s="63">
        <f>IFERROR(__xludf.DUMMYFUNCTION("""COMPUTED_VALUE"""),42115.0)</f>
        <v>42115</v>
      </c>
      <c r="I33" s="60">
        <f>IFERROR(__xludf.DUMMYFUNCTION("""COMPUTED_VALUE"""),10.444444444444445)</f>
        <v>10.44444444</v>
      </c>
      <c r="J33" s="64">
        <f>IFERROR(__xludf.DUMMYFUNCTION("""COMPUTED_VALUE"""),69.0)</f>
        <v>69</v>
      </c>
      <c r="K33" s="64">
        <f>IFERROR(__xludf.DUMMYFUNCTION("""COMPUTED_VALUE"""),6.0)</f>
        <v>6</v>
      </c>
      <c r="L33" s="55" t="str">
        <f>IFERROR(__xludf.DUMMYFUNCTION("""COMPUTED_VALUE"""),"Action-Adventure")</f>
        <v>Action-Adventure</v>
      </c>
      <c r="M33" s="55"/>
      <c r="N33" s="55" t="str">
        <f>IFERROR(__xludf.DUMMYFUNCTION("""COMPUTED_VALUE"""),"Ubisoft games joining with price increase")</f>
        <v>Ubisoft games joining with price increase</v>
      </c>
      <c r="O33" s="55"/>
      <c r="P33" s="55"/>
      <c r="Q33" s="55"/>
      <c r="R33" s="66"/>
      <c r="S33" s="66"/>
      <c r="T33" s="66"/>
      <c r="U33" s="66"/>
      <c r="V33" s="66"/>
      <c r="W33" s="66"/>
      <c r="X33" s="66"/>
      <c r="Y33" s="66"/>
      <c r="Z33" s="66"/>
      <c r="AA33" s="66"/>
      <c r="AB33" s="66"/>
      <c r="AC33" s="66"/>
    </row>
    <row r="34">
      <c r="A34" s="55" t="str">
        <f>IFERROR(__xludf.DUMMYFUNCTION("""COMPUTED_VALUE"""),"Assassin's Creed Chronicles: India")</f>
        <v>Assassin's Creed Chronicles: India</v>
      </c>
      <c r="B34" s="55" t="str">
        <f>IFERROR(__xludf.DUMMYFUNCTION("""COMPUTED_VALUE"""),"Xbox / PC")</f>
        <v>Xbox / PC</v>
      </c>
      <c r="C34" s="55" t="str">
        <f>IFERROR(__xludf.DUMMYFUNCTION("""COMPUTED_VALUE"""),"Yes")</f>
        <v>Yes</v>
      </c>
      <c r="D34" s="56" t="str">
        <f>IFERROR(__xludf.DUMMYFUNCTION("""COMPUTED_VALUE"""),"Active")</f>
        <v>Active</v>
      </c>
      <c r="E34" s="57">
        <f>IFERROR(__xludf.DUMMYFUNCTION("""COMPUTED_VALUE"""),45931.0)</f>
        <v>45931</v>
      </c>
      <c r="F34" s="58"/>
      <c r="G34" s="60">
        <f>IFERROR(__xludf.DUMMYFUNCTION("""COMPUTED_VALUE"""),12.166666666666666)</f>
        <v>12.16666667</v>
      </c>
      <c r="H34" s="63">
        <f>IFERROR(__xludf.DUMMYFUNCTION("""COMPUTED_VALUE"""),42382.0)</f>
        <v>42382</v>
      </c>
      <c r="I34" s="60">
        <f>IFERROR(__xludf.DUMMYFUNCTION("""COMPUTED_VALUE"""),9.716666666666667)</f>
        <v>9.716666667</v>
      </c>
      <c r="J34" s="64">
        <f>IFERROR(__xludf.DUMMYFUNCTION("""COMPUTED_VALUE"""),63.0)</f>
        <v>63</v>
      </c>
      <c r="K34" s="64">
        <f>IFERROR(__xludf.DUMMYFUNCTION("""COMPUTED_VALUE"""),6.0)</f>
        <v>6</v>
      </c>
      <c r="L34" s="55" t="str">
        <f>IFERROR(__xludf.DUMMYFUNCTION("""COMPUTED_VALUE"""),"Action-Adventure")</f>
        <v>Action-Adventure</v>
      </c>
      <c r="M34" s="55"/>
      <c r="N34" s="55" t="str">
        <f>IFERROR(__xludf.DUMMYFUNCTION("""COMPUTED_VALUE"""),"Ubisoft games joining with price increase")</f>
        <v>Ubisoft games joining with price increase</v>
      </c>
      <c r="O34" s="55"/>
      <c r="P34" s="55"/>
      <c r="Q34" s="55"/>
      <c r="R34" s="66"/>
      <c r="S34" s="66"/>
      <c r="T34" s="66"/>
      <c r="U34" s="66"/>
      <c r="V34" s="66"/>
      <c r="W34" s="66"/>
      <c r="X34" s="66"/>
      <c r="Y34" s="66"/>
      <c r="Z34" s="66"/>
      <c r="AA34" s="66"/>
      <c r="AB34" s="66"/>
      <c r="AC34" s="66"/>
    </row>
    <row r="35">
      <c r="A35" s="55" t="str">
        <f>IFERROR(__xludf.DUMMYFUNCTION("""COMPUTED_VALUE"""),"Assassin's Creed Chronicles: Russia")</f>
        <v>Assassin's Creed Chronicles: Russia</v>
      </c>
      <c r="B35" s="55" t="str">
        <f>IFERROR(__xludf.DUMMYFUNCTION("""COMPUTED_VALUE"""),"Xbox / PC")</f>
        <v>Xbox / PC</v>
      </c>
      <c r="C35" s="55" t="str">
        <f>IFERROR(__xludf.DUMMYFUNCTION("""COMPUTED_VALUE"""),"Yes")</f>
        <v>Yes</v>
      </c>
      <c r="D35" s="56" t="str">
        <f>IFERROR(__xludf.DUMMYFUNCTION("""COMPUTED_VALUE"""),"Active")</f>
        <v>Active</v>
      </c>
      <c r="E35" s="57">
        <f>IFERROR(__xludf.DUMMYFUNCTION("""COMPUTED_VALUE"""),45931.0)</f>
        <v>45931</v>
      </c>
      <c r="F35" s="58"/>
      <c r="G35" s="60">
        <f>IFERROR(__xludf.DUMMYFUNCTION("""COMPUTED_VALUE"""),12.166666666666666)</f>
        <v>12.16666667</v>
      </c>
      <c r="H35" s="63">
        <f>IFERROR(__xludf.DUMMYFUNCTION("""COMPUTED_VALUE"""),42409.0)</f>
        <v>42409</v>
      </c>
      <c r="I35" s="60">
        <f>IFERROR(__xludf.DUMMYFUNCTION("""COMPUTED_VALUE"""),9.644444444444444)</f>
        <v>9.644444444</v>
      </c>
      <c r="J35" s="64">
        <f>IFERROR(__xludf.DUMMYFUNCTION("""COMPUTED_VALUE"""),62.0)</f>
        <v>62</v>
      </c>
      <c r="K35" s="64">
        <f>IFERROR(__xludf.DUMMYFUNCTION("""COMPUTED_VALUE"""),7.0)</f>
        <v>7</v>
      </c>
      <c r="L35" s="55" t="str">
        <f>IFERROR(__xludf.DUMMYFUNCTION("""COMPUTED_VALUE"""),"Action-Adventure")</f>
        <v>Action-Adventure</v>
      </c>
      <c r="M35" s="55"/>
      <c r="N35" s="55" t="str">
        <f>IFERROR(__xludf.DUMMYFUNCTION("""COMPUTED_VALUE"""),"Ubisoft games joining with price increase")</f>
        <v>Ubisoft games joining with price increase</v>
      </c>
      <c r="O35" s="55"/>
      <c r="P35" s="55"/>
      <c r="Q35" s="55"/>
      <c r="R35" s="66"/>
      <c r="S35" s="66"/>
      <c r="T35" s="66"/>
      <c r="U35" s="66"/>
      <c r="V35" s="66"/>
      <c r="W35" s="66"/>
      <c r="X35" s="66"/>
      <c r="Y35" s="66"/>
      <c r="Z35" s="66"/>
      <c r="AA35" s="66"/>
      <c r="AB35" s="66"/>
      <c r="AC35" s="66"/>
    </row>
    <row r="36">
      <c r="A36" s="55" t="str">
        <f>IFERROR(__xludf.DUMMYFUNCTION("""COMPUTED_VALUE"""),"Assassin's Creed Liberation HD")</f>
        <v>Assassin's Creed Liberation HD</v>
      </c>
      <c r="B36" s="55" t="str">
        <f>IFERROR(__xludf.DUMMYFUNCTION("""COMPUTED_VALUE"""),"Xbox / PC")</f>
        <v>Xbox / PC</v>
      </c>
      <c r="C36" s="55"/>
      <c r="D36" s="56" t="str">
        <f>IFERROR(__xludf.DUMMYFUNCTION("""COMPUTED_VALUE"""),"Active")</f>
        <v>Active</v>
      </c>
      <c r="E36" s="57">
        <f>IFERROR(__xludf.DUMMYFUNCTION("""COMPUTED_VALUE"""),45931.0)</f>
        <v>45931</v>
      </c>
      <c r="F36" s="58"/>
      <c r="G36" s="60">
        <f>IFERROR(__xludf.DUMMYFUNCTION("""COMPUTED_VALUE"""),12.166666666666666)</f>
        <v>12.16666667</v>
      </c>
      <c r="H36" s="63">
        <f>IFERROR(__xludf.DUMMYFUNCTION("""COMPUTED_VALUE"""),41654.0)</f>
        <v>41654</v>
      </c>
      <c r="I36" s="60">
        <f>IFERROR(__xludf.DUMMYFUNCTION("""COMPUTED_VALUE"""),11.71111111111111)</f>
        <v>11.71111111</v>
      </c>
      <c r="J36" s="64">
        <f>IFERROR(__xludf.DUMMYFUNCTION("""COMPUTED_VALUE"""),62.0)</f>
        <v>62</v>
      </c>
      <c r="K36" s="64">
        <f>IFERROR(__xludf.DUMMYFUNCTION("""COMPUTED_VALUE"""),8.0)</f>
        <v>8</v>
      </c>
      <c r="L36" s="55" t="str">
        <f>IFERROR(__xludf.DUMMYFUNCTION("""COMPUTED_VALUE"""),"Action-Adventure")</f>
        <v>Action-Adventure</v>
      </c>
      <c r="M36" s="55"/>
      <c r="N36" s="55" t="str">
        <f>IFERROR(__xludf.DUMMYFUNCTION("""COMPUTED_VALUE"""),"Ubisoft games joining with price increase")</f>
        <v>Ubisoft games joining with price increase</v>
      </c>
      <c r="O36" s="55"/>
      <c r="P36" s="55"/>
      <c r="Q36" s="55"/>
      <c r="R36" s="66"/>
      <c r="S36" s="66"/>
      <c r="T36" s="66"/>
      <c r="U36" s="66"/>
      <c r="V36" s="66"/>
      <c r="W36" s="66"/>
      <c r="X36" s="66"/>
      <c r="Y36" s="66"/>
      <c r="Z36" s="66"/>
      <c r="AA36" s="66"/>
      <c r="AB36" s="66"/>
      <c r="AC36" s="66"/>
    </row>
    <row r="37">
      <c r="A37" s="55" t="str">
        <f>IFERROR(__xludf.DUMMYFUNCTION("""COMPUTED_VALUE"""),"Assassin's Creed Revelations")</f>
        <v>Assassin's Creed Revelations</v>
      </c>
      <c r="B37" s="55" t="str">
        <f>IFERROR(__xludf.DUMMYFUNCTION("""COMPUTED_VALUE"""),"Xbox / PC")</f>
        <v>Xbox / PC</v>
      </c>
      <c r="C37" s="55"/>
      <c r="D37" s="56" t="str">
        <f>IFERROR(__xludf.DUMMYFUNCTION("""COMPUTED_VALUE"""),"Active")</f>
        <v>Active</v>
      </c>
      <c r="E37" s="57">
        <f>IFERROR(__xludf.DUMMYFUNCTION("""COMPUTED_VALUE"""),45931.0)</f>
        <v>45931</v>
      </c>
      <c r="F37" s="58"/>
      <c r="G37" s="60">
        <f>IFERROR(__xludf.DUMMYFUNCTION("""COMPUTED_VALUE"""),12.166666666666666)</f>
        <v>12.16666667</v>
      </c>
      <c r="H37" s="63">
        <f>IFERROR(__xludf.DUMMYFUNCTION("""COMPUTED_VALUE"""),40862.0)</f>
        <v>40862</v>
      </c>
      <c r="I37" s="60">
        <f>IFERROR(__xludf.DUMMYFUNCTION("""COMPUTED_VALUE"""),13.877777777777778)</f>
        <v>13.87777778</v>
      </c>
      <c r="J37" s="64">
        <f>IFERROR(__xludf.DUMMYFUNCTION("""COMPUTED_VALUE"""),80.0)</f>
        <v>80</v>
      </c>
      <c r="K37" s="64">
        <f>IFERROR(__xludf.DUMMYFUNCTION("""COMPUTED_VALUE"""),13.0)</f>
        <v>13</v>
      </c>
      <c r="L37" s="55" t="str">
        <f>IFERROR(__xludf.DUMMYFUNCTION("""COMPUTED_VALUE"""),"Action-Adventure")</f>
        <v>Action-Adventure</v>
      </c>
      <c r="M37" s="55"/>
      <c r="N37" s="55" t="str">
        <f>IFERROR(__xludf.DUMMYFUNCTION("""COMPUTED_VALUE"""),"Ubisoft games joining with price increase")</f>
        <v>Ubisoft games joining with price increase</v>
      </c>
      <c r="O37" s="55"/>
      <c r="P37" s="55"/>
      <c r="Q37" s="55"/>
      <c r="R37" s="66"/>
      <c r="S37" s="66"/>
      <c r="T37" s="66"/>
      <c r="U37" s="66"/>
      <c r="V37" s="66"/>
      <c r="W37" s="66"/>
      <c r="X37" s="66"/>
      <c r="Y37" s="66"/>
      <c r="Z37" s="66"/>
      <c r="AA37" s="66"/>
      <c r="AB37" s="66"/>
      <c r="AC37" s="66"/>
    </row>
    <row r="38">
      <c r="A38" s="55" t="str">
        <f>IFERROR(__xludf.DUMMYFUNCTION("""COMPUTED_VALUE"""),"Assassin's Creed Rogue: Remastered")</f>
        <v>Assassin's Creed Rogue: Remastered</v>
      </c>
      <c r="B38" s="55" t="str">
        <f>IFERROR(__xludf.DUMMYFUNCTION("""COMPUTED_VALUE"""),"Xbox / PC")</f>
        <v>Xbox / PC</v>
      </c>
      <c r="C38" s="55" t="str">
        <f>IFERROR(__xludf.DUMMYFUNCTION("""COMPUTED_VALUE"""),"Yes")</f>
        <v>Yes</v>
      </c>
      <c r="D38" s="56" t="str">
        <f>IFERROR(__xludf.DUMMYFUNCTION("""COMPUTED_VALUE"""),"Active")</f>
        <v>Active</v>
      </c>
      <c r="E38" s="57">
        <f>IFERROR(__xludf.DUMMYFUNCTION("""COMPUTED_VALUE"""),45931.0)</f>
        <v>45931</v>
      </c>
      <c r="F38" s="58"/>
      <c r="G38" s="60">
        <f>IFERROR(__xludf.DUMMYFUNCTION("""COMPUTED_VALUE"""),12.166666666666666)</f>
        <v>12.16666667</v>
      </c>
      <c r="H38" s="63">
        <f>IFERROR(__xludf.DUMMYFUNCTION("""COMPUTED_VALUE"""),43179.0)</f>
        <v>43179</v>
      </c>
      <c r="I38" s="60">
        <f>IFERROR(__xludf.DUMMYFUNCTION("""COMPUTED_VALUE"""),7.530555555555556)</f>
        <v>7.530555556</v>
      </c>
      <c r="J38" s="64">
        <f>IFERROR(__xludf.DUMMYFUNCTION("""COMPUTED_VALUE"""),71.0)</f>
        <v>71</v>
      </c>
      <c r="K38" s="64">
        <f>IFERROR(__xludf.DUMMYFUNCTION("""COMPUTED_VALUE"""),11.0)</f>
        <v>11</v>
      </c>
      <c r="L38" s="55" t="str">
        <f>IFERROR(__xludf.DUMMYFUNCTION("""COMPUTED_VALUE"""),"Action-Adventure")</f>
        <v>Action-Adventure</v>
      </c>
      <c r="M38" s="55"/>
      <c r="N38" s="55" t="str">
        <f>IFERROR(__xludf.DUMMYFUNCTION("""COMPUTED_VALUE"""),"Ubisoft games joining with price increase")</f>
        <v>Ubisoft games joining with price increase</v>
      </c>
      <c r="O38" s="55"/>
      <c r="P38" s="55"/>
      <c r="Q38" s="55"/>
      <c r="R38" s="66"/>
      <c r="S38" s="66"/>
      <c r="T38" s="66"/>
      <c r="U38" s="66"/>
      <c r="V38" s="66"/>
      <c r="W38" s="66"/>
      <c r="X38" s="66"/>
      <c r="Y38" s="66"/>
      <c r="Z38" s="66"/>
      <c r="AA38" s="66"/>
      <c r="AB38" s="66"/>
      <c r="AC38" s="66"/>
    </row>
    <row r="39">
      <c r="A39" s="55" t="str">
        <f>IFERROR(__xludf.DUMMYFUNCTION("""COMPUTED_VALUE"""),"Assassin's Creed Syndicate")</f>
        <v>Assassin's Creed Syndicate</v>
      </c>
      <c r="B39" s="55" t="str">
        <f>IFERROR(__xludf.DUMMYFUNCTION("""COMPUTED_VALUE"""),"Xbox / PC")</f>
        <v>Xbox / PC</v>
      </c>
      <c r="C39" s="55" t="str">
        <f>IFERROR(__xludf.DUMMYFUNCTION("""COMPUTED_VALUE"""),"Yes")</f>
        <v>Yes</v>
      </c>
      <c r="D39" s="56" t="str">
        <f>IFERROR(__xludf.DUMMYFUNCTION("""COMPUTED_VALUE"""),"Active")</f>
        <v>Active</v>
      </c>
      <c r="E39" s="57">
        <f>IFERROR(__xludf.DUMMYFUNCTION("""COMPUTED_VALUE"""),45931.0)</f>
        <v>45931</v>
      </c>
      <c r="F39" s="58"/>
      <c r="G39" s="60">
        <f>IFERROR(__xludf.DUMMYFUNCTION("""COMPUTED_VALUE"""),12.166666666666666)</f>
        <v>12.16666667</v>
      </c>
      <c r="H39" s="63">
        <f>IFERROR(__xludf.DUMMYFUNCTION("""COMPUTED_VALUE"""),42300.0)</f>
        <v>42300</v>
      </c>
      <c r="I39" s="60">
        <f>IFERROR(__xludf.DUMMYFUNCTION("""COMPUTED_VALUE"""),9.938888888888888)</f>
        <v>9.938888889</v>
      </c>
      <c r="J39" s="64">
        <f>IFERROR(__xludf.DUMMYFUNCTION("""COMPUTED_VALUE"""),76.0)</f>
        <v>76</v>
      </c>
      <c r="K39" s="64">
        <f>IFERROR(__xludf.DUMMYFUNCTION("""COMPUTED_VALUE"""),19.0)</f>
        <v>19</v>
      </c>
      <c r="L39" s="55" t="str">
        <f>IFERROR(__xludf.DUMMYFUNCTION("""COMPUTED_VALUE"""),"Action-Adventure")</f>
        <v>Action-Adventure</v>
      </c>
      <c r="M39" s="55"/>
      <c r="N39" s="55" t="str">
        <f>IFERROR(__xludf.DUMMYFUNCTION("""COMPUTED_VALUE"""),"Ubisoft games joining with price increase")</f>
        <v>Ubisoft games joining with price increase</v>
      </c>
      <c r="O39" s="55"/>
      <c r="P39" s="55"/>
      <c r="Q39" s="55"/>
      <c r="R39" s="66"/>
      <c r="S39" s="66"/>
      <c r="T39" s="66"/>
      <c r="U39" s="66"/>
      <c r="V39" s="66"/>
      <c r="W39" s="66"/>
      <c r="X39" s="66"/>
      <c r="Y39" s="66"/>
      <c r="Z39" s="66"/>
      <c r="AA39" s="66"/>
      <c r="AB39" s="66"/>
      <c r="AC39" s="66"/>
    </row>
    <row r="40">
      <c r="A40" s="55" t="str">
        <f>IFERROR(__xludf.DUMMYFUNCTION("""COMPUTED_VALUE"""),"Assassin's Creed: The Ezio Collection")</f>
        <v>Assassin's Creed: The Ezio Collection</v>
      </c>
      <c r="B40" s="55" t="str">
        <f>IFERROR(__xludf.DUMMYFUNCTION("""COMPUTED_VALUE"""),"Xbox / PC")</f>
        <v>Xbox / PC</v>
      </c>
      <c r="C40" s="55" t="str">
        <f>IFERROR(__xludf.DUMMYFUNCTION("""COMPUTED_VALUE"""),"Yes")</f>
        <v>Yes</v>
      </c>
      <c r="D40" s="56" t="str">
        <f>IFERROR(__xludf.DUMMYFUNCTION("""COMPUTED_VALUE"""),"Active")</f>
        <v>Active</v>
      </c>
      <c r="E40" s="57">
        <f>IFERROR(__xludf.DUMMYFUNCTION("""COMPUTED_VALUE"""),45931.0)</f>
        <v>45931</v>
      </c>
      <c r="F40" s="58"/>
      <c r="G40" s="60">
        <f>IFERROR(__xludf.DUMMYFUNCTION("""COMPUTED_VALUE"""),12.166666666666666)</f>
        <v>12.16666667</v>
      </c>
      <c r="H40" s="63">
        <f>IFERROR(__xludf.DUMMYFUNCTION("""COMPUTED_VALUE"""),42689.0)</f>
        <v>42689</v>
      </c>
      <c r="I40" s="60">
        <f>IFERROR(__xludf.DUMMYFUNCTION("""COMPUTED_VALUE"""),8.877777777777778)</f>
        <v>8.877777778</v>
      </c>
      <c r="J40" s="64">
        <f>IFERROR(__xludf.DUMMYFUNCTION("""COMPUTED_VALUE"""),72.0)</f>
        <v>72</v>
      </c>
      <c r="K40" s="64">
        <f>IFERROR(__xludf.DUMMYFUNCTION("""COMPUTED_VALUE"""),72.0)</f>
        <v>72</v>
      </c>
      <c r="L40" s="55" t="str">
        <f>IFERROR(__xludf.DUMMYFUNCTION("""COMPUTED_VALUE"""),"Action-Adventure")</f>
        <v>Action-Adventure</v>
      </c>
      <c r="M40" s="55"/>
      <c r="N40" s="55" t="str">
        <f>IFERROR(__xludf.DUMMYFUNCTION("""COMPUTED_VALUE"""),"Ubisoft games joining with price increase")</f>
        <v>Ubisoft games joining with price increase</v>
      </c>
      <c r="O40" s="55"/>
      <c r="P40" s="55"/>
      <c r="Q40" s="55"/>
      <c r="R40" s="66"/>
      <c r="S40" s="66"/>
      <c r="T40" s="66"/>
      <c r="U40" s="66"/>
      <c r="V40" s="66"/>
      <c r="W40" s="66"/>
      <c r="X40" s="66"/>
      <c r="Y40" s="66"/>
      <c r="Z40" s="66"/>
      <c r="AA40" s="66"/>
      <c r="AB40" s="66"/>
      <c r="AC40" s="66"/>
    </row>
    <row r="41">
      <c r="A41" s="55" t="str">
        <f>IFERROR(__xludf.DUMMYFUNCTION("""COMPUTED_VALUE"""),"Assassin's Creed Unity")</f>
        <v>Assassin's Creed Unity</v>
      </c>
      <c r="B41" s="55" t="str">
        <f>IFERROR(__xludf.DUMMYFUNCTION("""COMPUTED_VALUE"""),"Xbox / PC")</f>
        <v>Xbox / PC</v>
      </c>
      <c r="C41" s="55" t="str">
        <f>IFERROR(__xludf.DUMMYFUNCTION("""COMPUTED_VALUE"""),"Yes")</f>
        <v>Yes</v>
      </c>
      <c r="D41" s="56" t="str">
        <f>IFERROR(__xludf.DUMMYFUNCTION("""COMPUTED_VALUE"""),"Active")</f>
        <v>Active</v>
      </c>
      <c r="E41" s="57">
        <f>IFERROR(__xludf.DUMMYFUNCTION("""COMPUTED_VALUE"""),45931.0)</f>
        <v>45931</v>
      </c>
      <c r="F41" s="58"/>
      <c r="G41" s="60">
        <f>IFERROR(__xludf.DUMMYFUNCTION("""COMPUTED_VALUE"""),12.166666666666666)</f>
        <v>12.16666667</v>
      </c>
      <c r="H41" s="63">
        <f>IFERROR(__xludf.DUMMYFUNCTION("""COMPUTED_VALUE"""),41954.0)</f>
        <v>41954</v>
      </c>
      <c r="I41" s="60">
        <f>IFERROR(__xludf.DUMMYFUNCTION("""COMPUTED_VALUE"""),10.88888888888889)</f>
        <v>10.88888889</v>
      </c>
      <c r="J41" s="64">
        <f>IFERROR(__xludf.DUMMYFUNCTION("""COMPUTED_VALUE"""),72.0)</f>
        <v>72</v>
      </c>
      <c r="K41" s="64">
        <f>IFERROR(__xludf.DUMMYFUNCTION("""COMPUTED_VALUE"""),17.0)</f>
        <v>17</v>
      </c>
      <c r="L41" s="55" t="str">
        <f>IFERROR(__xludf.DUMMYFUNCTION("""COMPUTED_VALUE"""),"Action-Adventure")</f>
        <v>Action-Adventure</v>
      </c>
      <c r="M41" s="55"/>
      <c r="N41" s="55" t="str">
        <f>IFERROR(__xludf.DUMMYFUNCTION("""COMPUTED_VALUE"""),"Ubisoft games joining with price increase")</f>
        <v>Ubisoft games joining with price increase</v>
      </c>
      <c r="O41" s="55"/>
      <c r="P41" s="55"/>
      <c r="Q41" s="55"/>
      <c r="R41" s="66"/>
      <c r="S41" s="66"/>
      <c r="T41" s="66"/>
      <c r="U41" s="66"/>
      <c r="V41" s="66"/>
      <c r="W41" s="66"/>
      <c r="X41" s="66"/>
      <c r="Y41" s="66"/>
      <c r="Z41" s="66"/>
      <c r="AA41" s="66"/>
      <c r="AB41" s="66"/>
      <c r="AC41" s="66"/>
    </row>
    <row r="42">
      <c r="A42" s="55" t="str">
        <f>IFERROR(__xludf.DUMMYFUNCTION("""COMPUTED_VALUE"""),"Child of Light")</f>
        <v>Child of Light</v>
      </c>
      <c r="B42" s="55" t="str">
        <f>IFERROR(__xludf.DUMMYFUNCTION("""COMPUTED_VALUE"""),"Xbox / PC")</f>
        <v>Xbox / PC</v>
      </c>
      <c r="C42" s="55" t="str">
        <f>IFERROR(__xludf.DUMMYFUNCTION("""COMPUTED_VALUE"""),"Yes")</f>
        <v>Yes</v>
      </c>
      <c r="D42" s="56" t="str">
        <f>IFERROR(__xludf.DUMMYFUNCTION("""COMPUTED_VALUE"""),"Active")</f>
        <v>Active</v>
      </c>
      <c r="E42" s="57">
        <f>IFERROR(__xludf.DUMMYFUNCTION("""COMPUTED_VALUE"""),45931.0)</f>
        <v>45931</v>
      </c>
      <c r="F42" s="58"/>
      <c r="G42" s="60">
        <f>IFERROR(__xludf.DUMMYFUNCTION("""COMPUTED_VALUE"""),12.166666666666666)</f>
        <v>12.16666667</v>
      </c>
      <c r="H42" s="63">
        <f>IFERROR(__xludf.DUMMYFUNCTION("""COMPUTED_VALUE"""),41758.0)</f>
        <v>41758</v>
      </c>
      <c r="I42" s="60">
        <f>IFERROR(__xludf.DUMMYFUNCTION("""COMPUTED_VALUE"""),11.422222222222222)</f>
        <v>11.42222222</v>
      </c>
      <c r="J42" s="64">
        <f>IFERROR(__xludf.DUMMYFUNCTION("""COMPUTED_VALUE"""),82.0)</f>
        <v>82</v>
      </c>
      <c r="K42" s="64">
        <f>IFERROR(__xludf.DUMMYFUNCTION("""COMPUTED_VALUE"""),11.0)</f>
        <v>11</v>
      </c>
      <c r="L42" s="55" t="str">
        <f>IFERROR(__xludf.DUMMYFUNCTION("""COMPUTED_VALUE"""),"RPG")</f>
        <v>RPG</v>
      </c>
      <c r="M42" s="55"/>
      <c r="N42" s="55" t="str">
        <f>IFERROR(__xludf.DUMMYFUNCTION("""COMPUTED_VALUE"""),"Ubisoft games joining with price increase")</f>
        <v>Ubisoft games joining with price increase</v>
      </c>
      <c r="O42" s="55"/>
      <c r="P42" s="55"/>
      <c r="Q42" s="55"/>
      <c r="R42" s="66"/>
      <c r="S42" s="66"/>
      <c r="T42" s="66"/>
      <c r="U42" s="66"/>
      <c r="V42" s="66"/>
      <c r="W42" s="66"/>
      <c r="X42" s="66"/>
      <c r="Y42" s="66"/>
      <c r="Z42" s="66"/>
      <c r="AA42" s="66"/>
      <c r="AB42" s="66"/>
      <c r="AC42" s="66"/>
    </row>
    <row r="43">
      <c r="A43" s="55" t="str">
        <f>IFERROR(__xludf.DUMMYFUNCTION("""COMPUTED_VALUE"""),"Far Cry 3")</f>
        <v>Far Cry 3</v>
      </c>
      <c r="B43" s="55" t="str">
        <f>IFERROR(__xludf.DUMMYFUNCTION("""COMPUTED_VALUE"""),"Xbox / PC")</f>
        <v>Xbox / PC</v>
      </c>
      <c r="C43" s="55" t="str">
        <f>IFERROR(__xludf.DUMMYFUNCTION("""COMPUTED_VALUE"""),"Yes")</f>
        <v>Yes</v>
      </c>
      <c r="D43" s="56" t="str">
        <f>IFERROR(__xludf.DUMMYFUNCTION("""COMPUTED_VALUE"""),"Active")</f>
        <v>Active</v>
      </c>
      <c r="E43" s="57">
        <f>IFERROR(__xludf.DUMMYFUNCTION("""COMPUTED_VALUE"""),45931.0)</f>
        <v>45931</v>
      </c>
      <c r="F43" s="58"/>
      <c r="G43" s="60">
        <f>IFERROR(__xludf.DUMMYFUNCTION("""COMPUTED_VALUE"""),12.166666666666666)</f>
        <v>12.16666667</v>
      </c>
      <c r="H43" s="63">
        <f>IFERROR(__xludf.DUMMYFUNCTION("""COMPUTED_VALUE"""),41247.0)</f>
        <v>41247</v>
      </c>
      <c r="I43" s="60">
        <f>IFERROR(__xludf.DUMMYFUNCTION("""COMPUTED_VALUE"""),12.825)</f>
        <v>12.825</v>
      </c>
      <c r="J43" s="64">
        <f>IFERROR(__xludf.DUMMYFUNCTION("""COMPUTED_VALUE"""),88.0)</f>
        <v>88</v>
      </c>
      <c r="K43" s="64">
        <f>IFERROR(__xludf.DUMMYFUNCTION("""COMPUTED_VALUE"""),16.0)</f>
        <v>16</v>
      </c>
      <c r="L43" s="55" t="str">
        <f>IFERROR(__xludf.DUMMYFUNCTION("""COMPUTED_VALUE"""),"Action-Adventure")</f>
        <v>Action-Adventure</v>
      </c>
      <c r="M43" s="55"/>
      <c r="N43" s="55" t="str">
        <f>IFERROR(__xludf.DUMMYFUNCTION("""COMPUTED_VALUE"""),"Ubisoft games joining with price increase")</f>
        <v>Ubisoft games joining with price increase</v>
      </c>
      <c r="O43" s="55"/>
      <c r="P43" s="55"/>
      <c r="Q43" s="55"/>
      <c r="R43" s="66"/>
      <c r="S43" s="66"/>
      <c r="T43" s="66"/>
      <c r="U43" s="66"/>
      <c r="V43" s="66"/>
      <c r="W43" s="66"/>
      <c r="X43" s="66"/>
      <c r="Y43" s="66"/>
      <c r="Z43" s="66"/>
      <c r="AA43" s="66"/>
      <c r="AB43" s="66"/>
      <c r="AC43" s="66"/>
    </row>
    <row r="44">
      <c r="A44" s="55" t="str">
        <f>IFERROR(__xludf.DUMMYFUNCTION("""COMPUTED_VALUE"""),"Far Cry 3: Blood Dragon")</f>
        <v>Far Cry 3: Blood Dragon</v>
      </c>
      <c r="B44" s="55" t="str">
        <f>IFERROR(__xludf.DUMMYFUNCTION("""COMPUTED_VALUE"""),"Xbox / PC")</f>
        <v>Xbox / PC</v>
      </c>
      <c r="C44" s="55" t="str">
        <f>IFERROR(__xludf.DUMMYFUNCTION("""COMPUTED_VALUE"""),"Yes")</f>
        <v>Yes</v>
      </c>
      <c r="D44" s="56" t="str">
        <f>IFERROR(__xludf.DUMMYFUNCTION("""COMPUTED_VALUE"""),"Active")</f>
        <v>Active</v>
      </c>
      <c r="E44" s="57">
        <f>IFERROR(__xludf.DUMMYFUNCTION("""COMPUTED_VALUE"""),45931.0)</f>
        <v>45931</v>
      </c>
      <c r="F44" s="58"/>
      <c r="G44" s="60">
        <f>IFERROR(__xludf.DUMMYFUNCTION("""COMPUTED_VALUE"""),12.166666666666666)</f>
        <v>12.16666667</v>
      </c>
      <c r="H44" s="63">
        <f>IFERROR(__xludf.DUMMYFUNCTION("""COMPUTED_VALUE"""),41395.0)</f>
        <v>41395</v>
      </c>
      <c r="I44" s="60">
        <f>IFERROR(__xludf.DUMMYFUNCTION("""COMPUTED_VALUE"""),12.416666666666666)</f>
        <v>12.41666667</v>
      </c>
      <c r="J44" s="64">
        <f>IFERROR(__xludf.DUMMYFUNCTION("""COMPUTED_VALUE"""),80.0)</f>
        <v>80</v>
      </c>
      <c r="K44" s="64">
        <f>IFERROR(__xludf.DUMMYFUNCTION("""COMPUTED_VALUE"""),5.0)</f>
        <v>5</v>
      </c>
      <c r="L44" s="55" t="str">
        <f>IFERROR(__xludf.DUMMYFUNCTION("""COMPUTED_VALUE"""),"Action-Adventure")</f>
        <v>Action-Adventure</v>
      </c>
      <c r="M44" s="55"/>
      <c r="N44" s="55" t="str">
        <f>IFERROR(__xludf.DUMMYFUNCTION("""COMPUTED_VALUE"""),"Ubisoft games joining with price increase")</f>
        <v>Ubisoft games joining with price increase</v>
      </c>
      <c r="O44" s="55"/>
      <c r="P44" s="55"/>
      <c r="Q44" s="55"/>
      <c r="R44" s="66"/>
      <c r="S44" s="66"/>
      <c r="T44" s="66"/>
      <c r="U44" s="66"/>
      <c r="V44" s="66"/>
      <c r="W44" s="66"/>
      <c r="X44" s="66"/>
      <c r="Y44" s="66"/>
      <c r="Z44" s="66"/>
      <c r="AA44" s="66"/>
      <c r="AB44" s="66"/>
      <c r="AC44" s="66"/>
    </row>
    <row r="45">
      <c r="A45" s="55" t="str">
        <f>IFERROR(__xludf.DUMMYFUNCTION("""COMPUTED_VALUE"""),"Far Cry Primal")</f>
        <v>Far Cry Primal</v>
      </c>
      <c r="B45" s="55" t="str">
        <f>IFERROR(__xludf.DUMMYFUNCTION("""COMPUTED_VALUE"""),"Xbox / PC")</f>
        <v>Xbox / PC</v>
      </c>
      <c r="C45" s="55" t="str">
        <f>IFERROR(__xludf.DUMMYFUNCTION("""COMPUTED_VALUE"""),"Yes")</f>
        <v>Yes</v>
      </c>
      <c r="D45" s="56" t="str">
        <f>IFERROR(__xludf.DUMMYFUNCTION("""COMPUTED_VALUE"""),"Active")</f>
        <v>Active</v>
      </c>
      <c r="E45" s="57">
        <f>IFERROR(__xludf.DUMMYFUNCTION("""COMPUTED_VALUE"""),45931.0)</f>
        <v>45931</v>
      </c>
      <c r="F45" s="58"/>
      <c r="G45" s="60">
        <f>IFERROR(__xludf.DUMMYFUNCTION("""COMPUTED_VALUE"""),12.166666666666666)</f>
        <v>12.16666667</v>
      </c>
      <c r="H45" s="63">
        <f>IFERROR(__xludf.DUMMYFUNCTION("""COMPUTED_VALUE"""),42423.0)</f>
        <v>42423</v>
      </c>
      <c r="I45" s="60">
        <f>IFERROR(__xludf.DUMMYFUNCTION("""COMPUTED_VALUE"""),9.605555555555556)</f>
        <v>9.605555556</v>
      </c>
      <c r="J45" s="64">
        <f>IFERROR(__xludf.DUMMYFUNCTION("""COMPUTED_VALUE"""),76.0)</f>
        <v>76</v>
      </c>
      <c r="K45" s="64">
        <f>IFERROR(__xludf.DUMMYFUNCTION("""COMPUTED_VALUE"""),15.0)</f>
        <v>15</v>
      </c>
      <c r="L45" s="55" t="str">
        <f>IFERROR(__xludf.DUMMYFUNCTION("""COMPUTED_VALUE"""),"Action-Adventure")</f>
        <v>Action-Adventure</v>
      </c>
      <c r="M45" s="55"/>
      <c r="N45" s="55" t="str">
        <f>IFERROR(__xludf.DUMMYFUNCTION("""COMPUTED_VALUE"""),"Ubisoft games joining with price increase")</f>
        <v>Ubisoft games joining with price increase</v>
      </c>
      <c r="O45" s="55"/>
      <c r="P45" s="55"/>
      <c r="Q45" s="55"/>
      <c r="R45" s="66"/>
      <c r="S45" s="66"/>
      <c r="T45" s="66"/>
      <c r="U45" s="66"/>
      <c r="V45" s="66"/>
      <c r="W45" s="66"/>
      <c r="X45" s="66"/>
      <c r="Y45" s="66"/>
      <c r="Z45" s="66"/>
      <c r="AA45" s="66"/>
      <c r="AB45" s="66"/>
      <c r="AC45" s="66"/>
    </row>
    <row r="46">
      <c r="A46" s="55" t="str">
        <f>IFERROR(__xludf.DUMMYFUNCTION("""COMPUTED_VALUE"""),"Hungry Shark World")</f>
        <v>Hungry Shark World</v>
      </c>
      <c r="B46" s="55" t="str">
        <f>IFERROR(__xludf.DUMMYFUNCTION("""COMPUTED_VALUE"""),"Xbox / PC")</f>
        <v>Xbox / PC</v>
      </c>
      <c r="C46" s="55" t="str">
        <f>IFERROR(__xludf.DUMMYFUNCTION("""COMPUTED_VALUE"""),"Yes")</f>
        <v>Yes</v>
      </c>
      <c r="D46" s="56" t="str">
        <f>IFERROR(__xludf.DUMMYFUNCTION("""COMPUTED_VALUE"""),"Active")</f>
        <v>Active</v>
      </c>
      <c r="E46" s="57">
        <f>IFERROR(__xludf.DUMMYFUNCTION("""COMPUTED_VALUE"""),45931.0)</f>
        <v>45931</v>
      </c>
      <c r="F46" s="58"/>
      <c r="G46" s="60">
        <f>IFERROR(__xludf.DUMMYFUNCTION("""COMPUTED_VALUE"""),12.166666666666666)</f>
        <v>12.16666667</v>
      </c>
      <c r="H46" s="63">
        <f>IFERROR(__xludf.DUMMYFUNCTION("""COMPUTED_VALUE"""),43298.0)</f>
        <v>43298</v>
      </c>
      <c r="I46" s="60">
        <f>IFERROR(__xludf.DUMMYFUNCTION("""COMPUTED_VALUE"""),7.205555555555556)</f>
        <v>7.205555556</v>
      </c>
      <c r="J46" s="64">
        <f>IFERROR(__xludf.DUMMYFUNCTION("""COMPUTED_VALUE"""),58.0)</f>
        <v>58</v>
      </c>
      <c r="K46" s="64">
        <f>IFERROR(__xludf.DUMMYFUNCTION("""COMPUTED_VALUE"""),8.0)</f>
        <v>8</v>
      </c>
      <c r="L46" s="55" t="str">
        <f>IFERROR(__xludf.DUMMYFUNCTION("""COMPUTED_VALUE"""),"Action-Adventure")</f>
        <v>Action-Adventure</v>
      </c>
      <c r="M46" s="55"/>
      <c r="N46" s="55" t="str">
        <f>IFERROR(__xludf.DUMMYFUNCTION("""COMPUTED_VALUE"""),"Ubisoft games joining with price increase")</f>
        <v>Ubisoft games joining with price increase</v>
      </c>
      <c r="O46" s="55"/>
      <c r="P46" s="55"/>
      <c r="Q46" s="55"/>
      <c r="R46" s="66"/>
      <c r="S46" s="66"/>
      <c r="T46" s="66"/>
      <c r="U46" s="66"/>
      <c r="V46" s="66"/>
      <c r="W46" s="66"/>
      <c r="X46" s="66"/>
      <c r="Y46" s="66"/>
      <c r="Z46" s="66"/>
      <c r="AA46" s="66"/>
      <c r="AB46" s="66"/>
      <c r="AC46" s="66"/>
    </row>
    <row r="47">
      <c r="A47" s="55" t="str">
        <f>IFERROR(__xludf.DUMMYFUNCTION("""COMPUTED_VALUE"""),"Monopoly Madness")</f>
        <v>Monopoly Madness</v>
      </c>
      <c r="B47" s="55" t="str">
        <f>IFERROR(__xludf.DUMMYFUNCTION("""COMPUTED_VALUE"""),"Xbox / PC")</f>
        <v>Xbox / PC</v>
      </c>
      <c r="C47" s="55" t="str">
        <f>IFERROR(__xludf.DUMMYFUNCTION("""COMPUTED_VALUE"""),"Yes")</f>
        <v>Yes</v>
      </c>
      <c r="D47" s="56" t="str">
        <f>IFERROR(__xludf.DUMMYFUNCTION("""COMPUTED_VALUE"""),"Active")</f>
        <v>Active</v>
      </c>
      <c r="E47" s="57">
        <f>IFERROR(__xludf.DUMMYFUNCTION("""COMPUTED_VALUE"""),45931.0)</f>
        <v>45931</v>
      </c>
      <c r="F47" s="58"/>
      <c r="G47" s="60">
        <f>IFERROR(__xludf.DUMMYFUNCTION("""COMPUTED_VALUE"""),12.166666666666666)</f>
        <v>12.16666667</v>
      </c>
      <c r="H47" s="63">
        <f>IFERROR(__xludf.DUMMYFUNCTION("""COMPUTED_VALUE"""),44914.0)</f>
        <v>44914</v>
      </c>
      <c r="I47" s="60">
        <f>IFERROR(__xludf.DUMMYFUNCTION("""COMPUTED_VALUE"""),2.783333333333333)</f>
        <v>2.783333333</v>
      </c>
      <c r="J47" s="64">
        <f>IFERROR(__xludf.DUMMYFUNCTION("""COMPUTED_VALUE"""),71.0)</f>
        <v>71</v>
      </c>
      <c r="K47" s="64">
        <f>IFERROR(__xludf.DUMMYFUNCTION("""COMPUTED_VALUE"""),6.0)</f>
        <v>6</v>
      </c>
      <c r="L47" s="55" t="str">
        <f>IFERROR(__xludf.DUMMYFUNCTION("""COMPUTED_VALUE"""),"Party")</f>
        <v>Party</v>
      </c>
      <c r="M47" s="55"/>
      <c r="N47" s="55" t="str">
        <f>IFERROR(__xludf.DUMMYFUNCTION("""COMPUTED_VALUE"""),"Ubisoft games joining with price increase")</f>
        <v>Ubisoft games joining with price increase</v>
      </c>
      <c r="O47" s="55"/>
      <c r="P47" s="55"/>
      <c r="Q47" s="55"/>
      <c r="R47" s="66"/>
      <c r="S47" s="66"/>
      <c r="T47" s="66"/>
      <c r="U47" s="66"/>
      <c r="V47" s="66"/>
      <c r="W47" s="66"/>
      <c r="X47" s="66"/>
      <c r="Y47" s="66"/>
      <c r="Z47" s="66"/>
      <c r="AA47" s="66"/>
      <c r="AB47" s="66"/>
      <c r="AC47" s="66"/>
    </row>
    <row r="48">
      <c r="A48" s="55" t="str">
        <f>IFERROR(__xludf.DUMMYFUNCTION("""COMPUTED_VALUE"""),"Monopoly (2024)")</f>
        <v>Monopoly (2024)</v>
      </c>
      <c r="B48" s="55" t="str">
        <f>IFERROR(__xludf.DUMMYFUNCTION("""COMPUTED_VALUE"""),"Xbox / PC")</f>
        <v>Xbox / PC</v>
      </c>
      <c r="C48" s="55" t="str">
        <f>IFERROR(__xludf.DUMMYFUNCTION("""COMPUTED_VALUE"""),"Yes")</f>
        <v>Yes</v>
      </c>
      <c r="D48" s="56" t="str">
        <f>IFERROR(__xludf.DUMMYFUNCTION("""COMPUTED_VALUE"""),"Active")</f>
        <v>Active</v>
      </c>
      <c r="E48" s="57">
        <f>IFERROR(__xludf.DUMMYFUNCTION("""COMPUTED_VALUE"""),45931.0)</f>
        <v>45931</v>
      </c>
      <c r="F48" s="58"/>
      <c r="G48" s="60">
        <f>IFERROR(__xludf.DUMMYFUNCTION("""COMPUTED_VALUE"""),12.166666666666666)</f>
        <v>12.16666667</v>
      </c>
      <c r="H48" s="63">
        <f>IFERROR(__xludf.DUMMYFUNCTION("""COMPUTED_VALUE"""),45561.0)</f>
        <v>45561</v>
      </c>
      <c r="I48" s="60">
        <f>IFERROR(__xludf.DUMMYFUNCTION("""COMPUTED_VALUE"""),1.0138888888888888)</f>
        <v>1.013888889</v>
      </c>
      <c r="J48" s="64">
        <f>IFERROR(__xludf.DUMMYFUNCTION("""COMPUTED_VALUE"""),74.0)</f>
        <v>74</v>
      </c>
      <c r="K48" s="64">
        <f>IFERROR(__xludf.DUMMYFUNCTION("""COMPUTED_VALUE"""),14.0)</f>
        <v>14</v>
      </c>
      <c r="L48" s="55" t="str">
        <f>IFERROR(__xludf.DUMMYFUNCTION("""COMPUTED_VALUE"""),"Board")</f>
        <v>Board</v>
      </c>
      <c r="M48" s="55"/>
      <c r="N48" s="55" t="str">
        <f>IFERROR(__xludf.DUMMYFUNCTION("""COMPUTED_VALUE"""),"Ubisoft games joining with price increase")</f>
        <v>Ubisoft games joining with price increase</v>
      </c>
      <c r="O48" s="55"/>
      <c r="P48" s="55"/>
      <c r="Q48" s="55"/>
      <c r="R48" s="66"/>
      <c r="S48" s="66"/>
      <c r="T48" s="66"/>
      <c r="U48" s="66"/>
      <c r="V48" s="66"/>
      <c r="W48" s="66"/>
      <c r="X48" s="66"/>
      <c r="Y48" s="66"/>
      <c r="Z48" s="66"/>
      <c r="AA48" s="66"/>
      <c r="AB48" s="66"/>
      <c r="AC48" s="66"/>
    </row>
    <row r="49">
      <c r="A49" s="55" t="str">
        <f>IFERROR(__xludf.DUMMYFUNCTION("""COMPUTED_VALUE"""),"OddBallers")</f>
        <v>OddBallers</v>
      </c>
      <c r="B49" s="55" t="str">
        <f>IFERROR(__xludf.DUMMYFUNCTION("""COMPUTED_VALUE"""),"Xbox / PC")</f>
        <v>Xbox / PC</v>
      </c>
      <c r="C49" s="55" t="str">
        <f>IFERROR(__xludf.DUMMYFUNCTION("""COMPUTED_VALUE"""),"Yes")</f>
        <v>Yes</v>
      </c>
      <c r="D49" s="56" t="str">
        <f>IFERROR(__xludf.DUMMYFUNCTION("""COMPUTED_VALUE"""),"Active")</f>
        <v>Active</v>
      </c>
      <c r="E49" s="57">
        <f>IFERROR(__xludf.DUMMYFUNCTION("""COMPUTED_VALUE"""),45931.0)</f>
        <v>45931</v>
      </c>
      <c r="F49" s="58"/>
      <c r="G49" s="60">
        <f>IFERROR(__xludf.DUMMYFUNCTION("""COMPUTED_VALUE"""),12.166666666666666)</f>
        <v>12.16666667</v>
      </c>
      <c r="H49" s="63">
        <f>IFERROR(__xludf.DUMMYFUNCTION("""COMPUTED_VALUE"""),44952.0)</f>
        <v>44952</v>
      </c>
      <c r="I49" s="60">
        <f>IFERROR(__xludf.DUMMYFUNCTION("""COMPUTED_VALUE"""),2.6805555555555554)</f>
        <v>2.680555556</v>
      </c>
      <c r="J49" s="64">
        <f>IFERROR(__xludf.DUMMYFUNCTION("""COMPUTED_VALUE"""),71.0)</f>
        <v>71</v>
      </c>
      <c r="K49" s="64">
        <f>IFERROR(__xludf.DUMMYFUNCTION("""COMPUTED_VALUE"""),8.0)</f>
        <v>8</v>
      </c>
      <c r="L49" s="55" t="str">
        <f>IFERROR(__xludf.DUMMYFUNCTION("""COMPUTED_VALUE"""),"Party")</f>
        <v>Party</v>
      </c>
      <c r="M49" s="55"/>
      <c r="N49" s="55" t="str">
        <f>IFERROR(__xludf.DUMMYFUNCTION("""COMPUTED_VALUE"""),"Ubisoft games joining with price increase")</f>
        <v>Ubisoft games joining with price increase</v>
      </c>
      <c r="O49" s="55"/>
      <c r="P49" s="55"/>
      <c r="Q49" s="55"/>
      <c r="R49" s="66"/>
      <c r="S49" s="66"/>
      <c r="T49" s="66"/>
      <c r="U49" s="66"/>
      <c r="V49" s="66"/>
      <c r="W49" s="66"/>
      <c r="X49" s="66"/>
      <c r="Y49" s="66"/>
      <c r="Z49" s="66"/>
      <c r="AA49" s="66"/>
      <c r="AB49" s="66"/>
      <c r="AC49" s="66"/>
    </row>
    <row r="50">
      <c r="A50" s="55" t="str">
        <f>IFERROR(__xludf.DUMMYFUNCTION("""COMPUTED_VALUE"""),"Prince of Persia: The Lost Crown")</f>
        <v>Prince of Persia: The Lost Crown</v>
      </c>
      <c r="B50" s="55" t="str">
        <f>IFERROR(__xludf.DUMMYFUNCTION("""COMPUTED_VALUE"""),"Xbox / PC")</f>
        <v>Xbox / PC</v>
      </c>
      <c r="C50" s="55" t="str">
        <f>IFERROR(__xludf.DUMMYFUNCTION("""COMPUTED_VALUE"""),"Yes")</f>
        <v>Yes</v>
      </c>
      <c r="D50" s="56" t="str">
        <f>IFERROR(__xludf.DUMMYFUNCTION("""COMPUTED_VALUE"""),"Active")</f>
        <v>Active</v>
      </c>
      <c r="E50" s="57">
        <f>IFERROR(__xludf.DUMMYFUNCTION("""COMPUTED_VALUE"""),45931.0)</f>
        <v>45931</v>
      </c>
      <c r="F50" s="58"/>
      <c r="G50" s="60">
        <f>IFERROR(__xludf.DUMMYFUNCTION("""COMPUTED_VALUE"""),12.166666666666666)</f>
        <v>12.16666667</v>
      </c>
      <c r="H50" s="63">
        <f>IFERROR(__xludf.DUMMYFUNCTION("""COMPUTED_VALUE"""),45309.0)</f>
        <v>45309</v>
      </c>
      <c r="I50" s="60">
        <f>IFERROR(__xludf.DUMMYFUNCTION("""COMPUTED_VALUE"""),1.7027777777777777)</f>
        <v>1.702777778</v>
      </c>
      <c r="J50" s="64">
        <f>IFERROR(__xludf.DUMMYFUNCTION("""COMPUTED_VALUE"""),86.0)</f>
        <v>86</v>
      </c>
      <c r="K50" s="64">
        <f>IFERROR(__xludf.DUMMYFUNCTION("""COMPUTED_VALUE"""),17.0)</f>
        <v>17</v>
      </c>
      <c r="L50" s="55" t="str">
        <f>IFERROR(__xludf.DUMMYFUNCTION("""COMPUTED_VALUE"""),"Metroidvania")</f>
        <v>Metroidvania</v>
      </c>
      <c r="M50" s="55"/>
      <c r="N50" s="55" t="str">
        <f>IFERROR(__xludf.DUMMYFUNCTION("""COMPUTED_VALUE"""),"Ubisoft games joining with price increase")</f>
        <v>Ubisoft games joining with price increase</v>
      </c>
      <c r="O50" s="55"/>
      <c r="P50" s="55"/>
      <c r="Q50" s="55"/>
      <c r="R50" s="66"/>
      <c r="S50" s="66"/>
      <c r="T50" s="66"/>
      <c r="U50" s="66"/>
      <c r="V50" s="66"/>
      <c r="W50" s="66"/>
      <c r="X50" s="66"/>
      <c r="Y50" s="66"/>
      <c r="Z50" s="66"/>
      <c r="AA50" s="66"/>
      <c r="AB50" s="66"/>
      <c r="AC50" s="66"/>
    </row>
    <row r="51">
      <c r="A51" s="55" t="str">
        <f>IFERROR(__xludf.DUMMYFUNCTION("""COMPUTED_VALUE"""),"Rabbids Invasion: The Interactive TV Show")</f>
        <v>Rabbids Invasion: The Interactive TV Show</v>
      </c>
      <c r="B51" s="55" t="str">
        <f>IFERROR(__xludf.DUMMYFUNCTION("""COMPUTED_VALUE"""),"Xbox")</f>
        <v>Xbox</v>
      </c>
      <c r="C51" s="55" t="str">
        <f>IFERROR(__xludf.DUMMYFUNCTION("""COMPUTED_VALUE"""),"Yes")</f>
        <v>Yes</v>
      </c>
      <c r="D51" s="56" t="str">
        <f>IFERROR(__xludf.DUMMYFUNCTION("""COMPUTED_VALUE"""),"Active")</f>
        <v>Active</v>
      </c>
      <c r="E51" s="57">
        <f>IFERROR(__xludf.DUMMYFUNCTION("""COMPUTED_VALUE"""),45931.0)</f>
        <v>45931</v>
      </c>
      <c r="F51" s="58"/>
      <c r="G51" s="60">
        <f>IFERROR(__xludf.DUMMYFUNCTION("""COMPUTED_VALUE"""),12.166666666666666)</f>
        <v>12.16666667</v>
      </c>
      <c r="H51" s="63">
        <f>IFERROR(__xludf.DUMMYFUNCTION("""COMPUTED_VALUE"""),41951.0)</f>
        <v>41951</v>
      </c>
      <c r="I51" s="60">
        <f>IFERROR(__xludf.DUMMYFUNCTION("""COMPUTED_VALUE"""),10.897222222222222)</f>
        <v>10.89722222</v>
      </c>
      <c r="J51" s="64">
        <f>IFERROR(__xludf.DUMMYFUNCTION("""COMPUTED_VALUE"""),53.0)</f>
        <v>53</v>
      </c>
      <c r="K51" s="64">
        <f>IFERROR(__xludf.DUMMYFUNCTION("""COMPUTED_VALUE"""),10.0)</f>
        <v>10</v>
      </c>
      <c r="L51" s="55" t="str">
        <f>IFERROR(__xludf.DUMMYFUNCTION("""COMPUTED_VALUE"""),"Party")</f>
        <v>Party</v>
      </c>
      <c r="M51" s="55"/>
      <c r="N51" s="55" t="str">
        <f>IFERROR(__xludf.DUMMYFUNCTION("""COMPUTED_VALUE"""),"Ubisoft games joining with price increase")</f>
        <v>Ubisoft games joining with price increase</v>
      </c>
      <c r="O51" s="55"/>
      <c r="P51" s="55"/>
      <c r="Q51" s="55"/>
      <c r="R51" s="66"/>
      <c r="S51" s="66"/>
      <c r="T51" s="66"/>
      <c r="U51" s="66"/>
      <c r="V51" s="66"/>
      <c r="W51" s="66"/>
      <c r="X51" s="66"/>
      <c r="Y51" s="66"/>
      <c r="Z51" s="66"/>
      <c r="AA51" s="66"/>
      <c r="AB51" s="66"/>
      <c r="AC51" s="66"/>
    </row>
    <row r="52">
      <c r="A52" s="55" t="str">
        <f>IFERROR(__xludf.DUMMYFUNCTION("""COMPUTED_VALUE"""),"Rabbids: Party of Legends")</f>
        <v>Rabbids: Party of Legends</v>
      </c>
      <c r="B52" s="55" t="str">
        <f>IFERROR(__xludf.DUMMYFUNCTION("""COMPUTED_VALUE"""),"Xbox / PC")</f>
        <v>Xbox / PC</v>
      </c>
      <c r="C52" s="55" t="str">
        <f>IFERROR(__xludf.DUMMYFUNCTION("""COMPUTED_VALUE"""),"Yes")</f>
        <v>Yes</v>
      </c>
      <c r="D52" s="56" t="str">
        <f>IFERROR(__xludf.DUMMYFUNCTION("""COMPUTED_VALUE"""),"Active")</f>
        <v>Active</v>
      </c>
      <c r="E52" s="57">
        <f>IFERROR(__xludf.DUMMYFUNCTION("""COMPUTED_VALUE"""),45931.0)</f>
        <v>45931</v>
      </c>
      <c r="F52" s="58"/>
      <c r="G52" s="60">
        <f>IFERROR(__xludf.DUMMYFUNCTION("""COMPUTED_VALUE"""),12.166666666666666)</f>
        <v>12.16666667</v>
      </c>
      <c r="H52" s="63">
        <f>IFERROR(__xludf.DUMMYFUNCTION("""COMPUTED_VALUE"""),44742.0)</f>
        <v>44742</v>
      </c>
      <c r="I52" s="60">
        <f>IFERROR(__xludf.DUMMYFUNCTION("""COMPUTED_VALUE"""),3.2527777777777778)</f>
        <v>3.252777778</v>
      </c>
      <c r="J52" s="64">
        <f>IFERROR(__xludf.DUMMYFUNCTION("""COMPUTED_VALUE"""),69.0)</f>
        <v>69</v>
      </c>
      <c r="K52" s="64">
        <f>IFERROR(__xludf.DUMMYFUNCTION("""COMPUTED_VALUE"""),3.0)</f>
        <v>3</v>
      </c>
      <c r="L52" s="55" t="str">
        <f>IFERROR(__xludf.DUMMYFUNCTION("""COMPUTED_VALUE"""),"Party")</f>
        <v>Party</v>
      </c>
      <c r="M52" s="55"/>
      <c r="N52" s="55" t="str">
        <f>IFERROR(__xludf.DUMMYFUNCTION("""COMPUTED_VALUE"""),"Ubisoft games joining with price increase")</f>
        <v>Ubisoft games joining with price increase</v>
      </c>
      <c r="O52" s="55"/>
      <c r="P52" s="55"/>
      <c r="Q52" s="55"/>
      <c r="R52" s="66"/>
      <c r="S52" s="66"/>
      <c r="T52" s="66"/>
      <c r="U52" s="66"/>
      <c r="V52" s="66"/>
      <c r="W52" s="66"/>
      <c r="X52" s="66"/>
      <c r="Y52" s="66"/>
      <c r="Z52" s="66"/>
      <c r="AA52" s="66"/>
      <c r="AB52" s="66"/>
      <c r="AC52" s="66"/>
    </row>
    <row r="53">
      <c r="A53" s="55" t="str">
        <f>IFERROR(__xludf.DUMMYFUNCTION("""COMPUTED_VALUE"""),"Rayman Legends")</f>
        <v>Rayman Legends</v>
      </c>
      <c r="B53" s="55" t="str">
        <f>IFERROR(__xludf.DUMMYFUNCTION("""COMPUTED_VALUE"""),"Xbox / PC")</f>
        <v>Xbox / PC</v>
      </c>
      <c r="C53" s="55" t="str">
        <f>IFERROR(__xludf.DUMMYFUNCTION("""COMPUTED_VALUE"""),"Yes")</f>
        <v>Yes</v>
      </c>
      <c r="D53" s="56" t="str">
        <f>IFERROR(__xludf.DUMMYFUNCTION("""COMPUTED_VALUE"""),"Active")</f>
        <v>Active</v>
      </c>
      <c r="E53" s="57">
        <f>IFERROR(__xludf.DUMMYFUNCTION("""COMPUTED_VALUE"""),45931.0)</f>
        <v>45931</v>
      </c>
      <c r="F53" s="58"/>
      <c r="G53" s="60">
        <f>IFERROR(__xludf.DUMMYFUNCTION("""COMPUTED_VALUE"""),12.166666666666666)</f>
        <v>12.16666667</v>
      </c>
      <c r="H53" s="63">
        <f>IFERROR(__xludf.DUMMYFUNCTION("""COMPUTED_VALUE"""),41520.0)</f>
        <v>41520</v>
      </c>
      <c r="I53" s="60">
        <f>IFERROR(__xludf.DUMMYFUNCTION("""COMPUTED_VALUE"""),12.077777777777778)</f>
        <v>12.07777778</v>
      </c>
      <c r="J53" s="64">
        <f>IFERROR(__xludf.DUMMYFUNCTION("""COMPUTED_VALUE"""),92.0)</f>
        <v>92</v>
      </c>
      <c r="K53" s="64">
        <f>IFERROR(__xludf.DUMMYFUNCTION("""COMPUTED_VALUE"""),10.0)</f>
        <v>10</v>
      </c>
      <c r="L53" s="55" t="str">
        <f>IFERROR(__xludf.DUMMYFUNCTION("""COMPUTED_VALUE"""),"Platformer")</f>
        <v>Platformer</v>
      </c>
      <c r="M53" s="55"/>
      <c r="N53" s="55" t="str">
        <f>IFERROR(__xludf.DUMMYFUNCTION("""COMPUTED_VALUE"""),"Ubisoft games joining with price increase")</f>
        <v>Ubisoft games joining with price increase</v>
      </c>
      <c r="O53" s="55"/>
      <c r="P53" s="55"/>
      <c r="Q53" s="55"/>
      <c r="R53" s="66"/>
      <c r="S53" s="66"/>
      <c r="T53" s="66"/>
      <c r="U53" s="66"/>
      <c r="V53" s="66"/>
      <c r="W53" s="66"/>
      <c r="X53" s="66"/>
      <c r="Y53" s="66"/>
      <c r="Z53" s="66"/>
      <c r="AA53" s="66"/>
      <c r="AB53" s="66"/>
      <c r="AC53" s="66"/>
    </row>
    <row r="54">
      <c r="A54" s="55" t="str">
        <f>IFERROR(__xludf.DUMMYFUNCTION("""COMPUTED_VALUE"""),"Risk: Urban Assault")</f>
        <v>Risk: Urban Assault</v>
      </c>
      <c r="B54" s="55" t="str">
        <f>IFERROR(__xludf.DUMMYFUNCTION("""COMPUTED_VALUE"""),"Xbox")</f>
        <v>Xbox</v>
      </c>
      <c r="C54" s="55" t="str">
        <f>IFERROR(__xludf.DUMMYFUNCTION("""COMPUTED_VALUE"""),"Yes")</f>
        <v>Yes</v>
      </c>
      <c r="D54" s="56" t="str">
        <f>IFERROR(__xludf.DUMMYFUNCTION("""COMPUTED_VALUE"""),"Active")</f>
        <v>Active</v>
      </c>
      <c r="E54" s="57">
        <f>IFERROR(__xludf.DUMMYFUNCTION("""COMPUTED_VALUE"""),45931.0)</f>
        <v>45931</v>
      </c>
      <c r="F54" s="58"/>
      <c r="G54" s="60">
        <f>IFERROR(__xludf.DUMMYFUNCTION("""COMPUTED_VALUE"""),12.166666666666666)</f>
        <v>12.16666667</v>
      </c>
      <c r="H54" s="63">
        <f>IFERROR(__xludf.DUMMYFUNCTION("""COMPUTED_VALUE"""),42584.0)</f>
        <v>42584</v>
      </c>
      <c r="I54" s="60">
        <f>IFERROR(__xludf.DUMMYFUNCTION("""COMPUTED_VALUE"""),9.16388888888889)</f>
        <v>9.163888889</v>
      </c>
      <c r="J54" s="64">
        <f>IFERROR(__xludf.DUMMYFUNCTION("""COMPUTED_VALUE"""),61.0)</f>
        <v>61</v>
      </c>
      <c r="K54" s="64">
        <f>IFERROR(__xludf.DUMMYFUNCTION("""COMPUTED_VALUE"""),4.0)</f>
        <v>4</v>
      </c>
      <c r="L54" s="55" t="str">
        <f>IFERROR(__xludf.DUMMYFUNCTION("""COMPUTED_VALUE"""),"Board")</f>
        <v>Board</v>
      </c>
      <c r="M54" s="55"/>
      <c r="N54" s="55" t="str">
        <f>IFERROR(__xludf.DUMMYFUNCTION("""COMPUTED_VALUE"""),"Ubisoft games joining with price increase")</f>
        <v>Ubisoft games joining with price increase</v>
      </c>
      <c r="O54" s="55"/>
      <c r="P54" s="55"/>
      <c r="Q54" s="55"/>
      <c r="R54" s="66"/>
      <c r="S54" s="66"/>
      <c r="T54" s="66"/>
      <c r="U54" s="66"/>
      <c r="V54" s="66"/>
      <c r="W54" s="66"/>
      <c r="X54" s="66"/>
      <c r="Y54" s="66"/>
      <c r="Z54" s="66"/>
      <c r="AA54" s="66"/>
      <c r="AB54" s="66"/>
      <c r="AC54" s="66"/>
    </row>
    <row r="55">
      <c r="A55" s="55" t="str">
        <f>IFERROR(__xludf.DUMMYFUNCTION("""COMPUTED_VALUE"""),"Skull and Bones")</f>
        <v>Skull and Bones</v>
      </c>
      <c r="B55" s="55" t="str">
        <f>IFERROR(__xludf.DUMMYFUNCTION("""COMPUTED_VALUE"""),"Xbox / PC")</f>
        <v>Xbox / PC</v>
      </c>
      <c r="C55" s="55" t="str">
        <f>IFERROR(__xludf.DUMMYFUNCTION("""COMPUTED_VALUE"""),"Yes")</f>
        <v>Yes</v>
      </c>
      <c r="D55" s="56" t="str">
        <f>IFERROR(__xludf.DUMMYFUNCTION("""COMPUTED_VALUE"""),"Active")</f>
        <v>Active</v>
      </c>
      <c r="E55" s="57">
        <f>IFERROR(__xludf.DUMMYFUNCTION("""COMPUTED_VALUE"""),45931.0)</f>
        <v>45931</v>
      </c>
      <c r="F55" s="58"/>
      <c r="G55" s="60">
        <f>IFERROR(__xludf.DUMMYFUNCTION("""COMPUTED_VALUE"""),12.166666666666666)</f>
        <v>12.16666667</v>
      </c>
      <c r="H55" s="63">
        <f>IFERROR(__xludf.DUMMYFUNCTION("""COMPUTED_VALUE"""),45338.0)</f>
        <v>45338</v>
      </c>
      <c r="I55" s="60">
        <f>IFERROR(__xludf.DUMMYFUNCTION("""COMPUTED_VALUE"""),1.625)</f>
        <v>1.625</v>
      </c>
      <c r="J55" s="64">
        <f>IFERROR(__xludf.DUMMYFUNCTION("""COMPUTED_VALUE"""),59.0)</f>
        <v>59</v>
      </c>
      <c r="K55" s="64">
        <f>IFERROR(__xludf.DUMMYFUNCTION("""COMPUTED_VALUE"""),32.0)</f>
        <v>32</v>
      </c>
      <c r="L55" s="55" t="str">
        <f>IFERROR(__xludf.DUMMYFUNCTION("""COMPUTED_VALUE"""),"Action-Adventure")</f>
        <v>Action-Adventure</v>
      </c>
      <c r="M55" s="55"/>
      <c r="N55" s="55" t="str">
        <f>IFERROR(__xludf.DUMMYFUNCTION("""COMPUTED_VALUE"""),"Ubisoft games joining with price increase")</f>
        <v>Ubisoft games joining with price increase</v>
      </c>
      <c r="O55" s="55"/>
      <c r="P55" s="55"/>
      <c r="Q55" s="55"/>
      <c r="R55" s="66"/>
      <c r="S55" s="66"/>
      <c r="T55" s="66"/>
      <c r="U55" s="66"/>
      <c r="V55" s="66"/>
      <c r="W55" s="66"/>
      <c r="X55" s="66"/>
      <c r="Y55" s="66"/>
      <c r="Z55" s="66"/>
      <c r="AA55" s="66"/>
      <c r="AB55" s="66"/>
      <c r="AC55" s="66"/>
    </row>
    <row r="56">
      <c r="A56" s="55" t="str">
        <f>IFERROR(__xludf.DUMMYFUNCTION("""COMPUTED_VALUE"""),"South Park: The Stick of Truth")</f>
        <v>South Park: The Stick of Truth</v>
      </c>
      <c r="B56" s="55" t="str">
        <f>IFERROR(__xludf.DUMMYFUNCTION("""COMPUTED_VALUE"""),"Xbox / PC")</f>
        <v>Xbox / PC</v>
      </c>
      <c r="C56" s="55" t="str">
        <f>IFERROR(__xludf.DUMMYFUNCTION("""COMPUTED_VALUE"""),"Yes")</f>
        <v>Yes</v>
      </c>
      <c r="D56" s="56" t="str">
        <f>IFERROR(__xludf.DUMMYFUNCTION("""COMPUTED_VALUE"""),"Active")</f>
        <v>Active</v>
      </c>
      <c r="E56" s="57">
        <f>IFERROR(__xludf.DUMMYFUNCTION("""COMPUTED_VALUE"""),45931.0)</f>
        <v>45931</v>
      </c>
      <c r="F56" s="58"/>
      <c r="G56" s="60">
        <f>IFERROR(__xludf.DUMMYFUNCTION("""COMPUTED_VALUE"""),12.166666666666666)</f>
        <v>12.16666667</v>
      </c>
      <c r="H56" s="63">
        <f>IFERROR(__xludf.DUMMYFUNCTION("""COMPUTED_VALUE"""),41702.0)</f>
        <v>41702</v>
      </c>
      <c r="I56" s="60">
        <f>IFERROR(__xludf.DUMMYFUNCTION("""COMPUTED_VALUE"""),11.575)</f>
        <v>11.575</v>
      </c>
      <c r="J56" s="64">
        <f>IFERROR(__xludf.DUMMYFUNCTION("""COMPUTED_VALUE"""),85.0)</f>
        <v>85</v>
      </c>
      <c r="K56" s="64">
        <f>IFERROR(__xludf.DUMMYFUNCTION("""COMPUTED_VALUE"""),12.0)</f>
        <v>12</v>
      </c>
      <c r="L56" s="55" t="str">
        <f>IFERROR(__xludf.DUMMYFUNCTION("""COMPUTED_VALUE"""),"RPG")</f>
        <v>RPG</v>
      </c>
      <c r="M56" s="55"/>
      <c r="N56" s="55" t="str">
        <f>IFERROR(__xludf.DUMMYFUNCTION("""COMPUTED_VALUE"""),"Ubisoft games joining with price increase")</f>
        <v>Ubisoft games joining with price increase</v>
      </c>
      <c r="O56" s="55"/>
      <c r="P56" s="55"/>
      <c r="Q56" s="55"/>
      <c r="R56" s="66"/>
      <c r="S56" s="66"/>
      <c r="T56" s="66"/>
      <c r="U56" s="66"/>
      <c r="V56" s="66"/>
      <c r="W56" s="66"/>
      <c r="X56" s="66"/>
      <c r="Y56" s="66"/>
      <c r="Z56" s="66"/>
      <c r="AA56" s="66"/>
      <c r="AB56" s="66"/>
      <c r="AC56" s="66"/>
    </row>
    <row r="57">
      <c r="A57" s="55" t="str">
        <f>IFERROR(__xludf.DUMMYFUNCTION("""COMPUTED_VALUE"""),"Starlink: Battle for Atlas")</f>
        <v>Starlink: Battle for Atlas</v>
      </c>
      <c r="B57" s="55" t="str">
        <f>IFERROR(__xludf.DUMMYFUNCTION("""COMPUTED_VALUE"""),"Xbox / PC")</f>
        <v>Xbox / PC</v>
      </c>
      <c r="C57" s="55" t="str">
        <f>IFERROR(__xludf.DUMMYFUNCTION("""COMPUTED_VALUE"""),"Yes")</f>
        <v>Yes</v>
      </c>
      <c r="D57" s="56" t="str">
        <f>IFERROR(__xludf.DUMMYFUNCTION("""COMPUTED_VALUE"""),"Active")</f>
        <v>Active</v>
      </c>
      <c r="E57" s="57">
        <f>IFERROR(__xludf.DUMMYFUNCTION("""COMPUTED_VALUE"""),45931.0)</f>
        <v>45931</v>
      </c>
      <c r="F57" s="58"/>
      <c r="G57" s="60">
        <f>IFERROR(__xludf.DUMMYFUNCTION("""COMPUTED_VALUE"""),12.166666666666666)</f>
        <v>12.16666667</v>
      </c>
      <c r="H57" s="63">
        <f>IFERROR(__xludf.DUMMYFUNCTION("""COMPUTED_VALUE"""),43389.0)</f>
        <v>43389</v>
      </c>
      <c r="I57" s="60">
        <f>IFERROR(__xludf.DUMMYFUNCTION("""COMPUTED_VALUE"""),6.958333333333333)</f>
        <v>6.958333333</v>
      </c>
      <c r="J57" s="64">
        <f>IFERROR(__xludf.DUMMYFUNCTION("""COMPUTED_VALUE"""),74.0)</f>
        <v>74</v>
      </c>
      <c r="K57" s="64">
        <f>IFERROR(__xludf.DUMMYFUNCTION("""COMPUTED_VALUE"""),15.0)</f>
        <v>15</v>
      </c>
      <c r="L57" s="55" t="str">
        <f>IFERROR(__xludf.DUMMYFUNCTION("""COMPUTED_VALUE"""),"Simulation")</f>
        <v>Simulation</v>
      </c>
      <c r="M57" s="55"/>
      <c r="N57" s="55" t="str">
        <f>IFERROR(__xludf.DUMMYFUNCTION("""COMPUTED_VALUE"""),"Ubisoft games joining with price increase")</f>
        <v>Ubisoft games joining with price increase</v>
      </c>
      <c r="O57" s="55"/>
      <c r="P57" s="55"/>
      <c r="Q57" s="55"/>
      <c r="R57" s="66"/>
      <c r="S57" s="66"/>
      <c r="T57" s="66"/>
      <c r="U57" s="66"/>
      <c r="V57" s="66"/>
      <c r="W57" s="66"/>
      <c r="X57" s="66"/>
      <c r="Y57" s="66"/>
      <c r="Z57" s="66"/>
      <c r="AA57" s="66"/>
      <c r="AB57" s="66"/>
      <c r="AC57" s="66"/>
    </row>
    <row r="58">
      <c r="A58" s="55" t="str">
        <f>IFERROR(__xludf.DUMMYFUNCTION("""COMPUTED_VALUE"""),"Steep")</f>
        <v>Steep</v>
      </c>
      <c r="B58" s="55" t="str">
        <f>IFERROR(__xludf.DUMMYFUNCTION("""COMPUTED_VALUE"""),"Xbox / PC")</f>
        <v>Xbox / PC</v>
      </c>
      <c r="C58" s="55" t="str">
        <f>IFERROR(__xludf.DUMMYFUNCTION("""COMPUTED_VALUE"""),"Touch Controls")</f>
        <v>Touch Controls</v>
      </c>
      <c r="D58" s="56" t="str">
        <f>IFERROR(__xludf.DUMMYFUNCTION("""COMPUTED_VALUE"""),"Active")</f>
        <v>Active</v>
      </c>
      <c r="E58" s="57">
        <f>IFERROR(__xludf.DUMMYFUNCTION("""COMPUTED_VALUE"""),45931.0)</f>
        <v>45931</v>
      </c>
      <c r="F58" s="58"/>
      <c r="G58" s="60">
        <f>IFERROR(__xludf.DUMMYFUNCTION("""COMPUTED_VALUE"""),12.166666666666666)</f>
        <v>12.16666667</v>
      </c>
      <c r="H58" s="63">
        <f>IFERROR(__xludf.DUMMYFUNCTION("""COMPUTED_VALUE"""),42703.0)</f>
        <v>42703</v>
      </c>
      <c r="I58" s="60">
        <f>IFERROR(__xludf.DUMMYFUNCTION("""COMPUTED_VALUE"""),8.838888888888889)</f>
        <v>8.838888889</v>
      </c>
      <c r="J58" s="64">
        <f>IFERROR(__xludf.DUMMYFUNCTION("""COMPUTED_VALUE"""),71.0)</f>
        <v>71</v>
      </c>
      <c r="K58" s="64">
        <f>IFERROR(__xludf.DUMMYFUNCTION("""COMPUTED_VALUE"""),12.0)</f>
        <v>12</v>
      </c>
      <c r="L58" s="55" t="str">
        <f>IFERROR(__xludf.DUMMYFUNCTION("""COMPUTED_VALUE"""),"Sports")</f>
        <v>Sports</v>
      </c>
      <c r="M58" s="55" t="str">
        <f>IFERROR(__xludf.DUMMYFUNCTION("""COMPUTED_VALUE"""),"FPS Boost S Only")</f>
        <v>FPS Boost S Only</v>
      </c>
      <c r="N58" s="55" t="str">
        <f>IFERROR(__xludf.DUMMYFUNCTION("""COMPUTED_VALUE"""),"Returning title: Joined 5/6/21, left 5/15/22. Ubisoft games joining with price increase")</f>
        <v>Returning title: Joined 5/6/21, left 5/15/22. Ubisoft games joining with price increase</v>
      </c>
      <c r="O58" s="55"/>
      <c r="P58" s="55"/>
      <c r="Q58" s="55"/>
      <c r="R58" s="66"/>
      <c r="S58" s="66"/>
      <c r="T58" s="66"/>
      <c r="U58" s="66"/>
      <c r="V58" s="66"/>
      <c r="W58" s="66"/>
      <c r="X58" s="66"/>
      <c r="Y58" s="66"/>
      <c r="Z58" s="66"/>
      <c r="AA58" s="66"/>
      <c r="AB58" s="66"/>
      <c r="AC58" s="66"/>
    </row>
    <row r="59">
      <c r="A59" s="55" t="str">
        <f>IFERROR(__xludf.DUMMYFUNCTION("""COMPUTED_VALUE"""),"The Crew 2")</f>
        <v>The Crew 2</v>
      </c>
      <c r="B59" s="55" t="str">
        <f>IFERROR(__xludf.DUMMYFUNCTION("""COMPUTED_VALUE"""),"Xbox / PC")</f>
        <v>Xbox / PC</v>
      </c>
      <c r="C59" s="55" t="str">
        <f>IFERROR(__xludf.DUMMYFUNCTION("""COMPUTED_VALUE"""),"Yes")</f>
        <v>Yes</v>
      </c>
      <c r="D59" s="56" t="str">
        <f>IFERROR(__xludf.DUMMYFUNCTION("""COMPUTED_VALUE"""),"Active")</f>
        <v>Active</v>
      </c>
      <c r="E59" s="57">
        <f>IFERROR(__xludf.DUMMYFUNCTION("""COMPUTED_VALUE"""),45931.0)</f>
        <v>45931</v>
      </c>
      <c r="F59" s="58"/>
      <c r="G59" s="60">
        <f>IFERROR(__xludf.DUMMYFUNCTION("""COMPUTED_VALUE"""),12.166666666666666)</f>
        <v>12.16666667</v>
      </c>
      <c r="H59" s="63">
        <f>IFERROR(__xludf.DUMMYFUNCTION("""COMPUTED_VALUE"""),43277.0)</f>
        <v>43277</v>
      </c>
      <c r="I59" s="60">
        <f>IFERROR(__xludf.DUMMYFUNCTION("""COMPUTED_VALUE"""),7.263888888888889)</f>
        <v>7.263888889</v>
      </c>
      <c r="J59" s="64">
        <f>IFERROR(__xludf.DUMMYFUNCTION("""COMPUTED_VALUE"""),64.0)</f>
        <v>64</v>
      </c>
      <c r="K59" s="64">
        <f>IFERROR(__xludf.DUMMYFUNCTION("""COMPUTED_VALUE"""),21.0)</f>
        <v>21</v>
      </c>
      <c r="L59" s="55" t="str">
        <f>IFERROR(__xludf.DUMMYFUNCTION("""COMPUTED_VALUE"""),"Racing")</f>
        <v>Racing</v>
      </c>
      <c r="M59" s="55"/>
      <c r="N59" s="55" t="str">
        <f>IFERROR(__xludf.DUMMYFUNCTION("""COMPUTED_VALUE"""),"Ubisoft games joining with price increase")</f>
        <v>Ubisoft games joining with price increase</v>
      </c>
      <c r="O59" s="55"/>
      <c r="P59" s="55"/>
      <c r="Q59" s="55"/>
      <c r="R59" s="66"/>
      <c r="S59" s="66"/>
      <c r="T59" s="66"/>
      <c r="U59" s="66"/>
      <c r="V59" s="66"/>
      <c r="W59" s="66"/>
      <c r="X59" s="66"/>
      <c r="Y59" s="66"/>
      <c r="Z59" s="66"/>
      <c r="AA59" s="66"/>
      <c r="AB59" s="66"/>
      <c r="AC59" s="66"/>
    </row>
    <row r="60">
      <c r="A60" s="66" t="str">
        <f>IFERROR(__xludf.DUMMYFUNCTION("""COMPUTED_VALUE"""),"The Settlers: New Allies")</f>
        <v>The Settlers: New Allies</v>
      </c>
      <c r="B60" s="66" t="str">
        <f>IFERROR(__xludf.DUMMYFUNCTION("""COMPUTED_VALUE"""),"Xbox / PC")</f>
        <v>Xbox / PC</v>
      </c>
      <c r="C60" s="66" t="str">
        <f>IFERROR(__xludf.DUMMYFUNCTION("""COMPUTED_VALUE"""),"Yes")</f>
        <v>Yes</v>
      </c>
      <c r="D60" s="66" t="str">
        <f>IFERROR(__xludf.DUMMYFUNCTION("""COMPUTED_VALUE"""),"Active")</f>
        <v>Active</v>
      </c>
      <c r="E60" s="15">
        <f>IFERROR(__xludf.DUMMYFUNCTION("""COMPUTED_VALUE"""),45931.0)</f>
        <v>45931</v>
      </c>
      <c r="F60" s="66"/>
      <c r="G60" s="18">
        <f>IFERROR(__xludf.DUMMYFUNCTION("""COMPUTED_VALUE"""),12.166666666666666)</f>
        <v>12.16666667</v>
      </c>
      <c r="H60" s="15">
        <f>IFERROR(__xludf.DUMMYFUNCTION("""COMPUTED_VALUE"""),44974.0)</f>
        <v>44974</v>
      </c>
      <c r="I60" s="18">
        <f>IFERROR(__xludf.DUMMYFUNCTION("""COMPUTED_VALUE"""),2.6222222222222222)</f>
        <v>2.622222222</v>
      </c>
      <c r="J60" s="22">
        <f>IFERROR(__xludf.DUMMYFUNCTION("""COMPUTED_VALUE"""),54.0)</f>
        <v>54</v>
      </c>
      <c r="K60" s="22">
        <f>IFERROR(__xludf.DUMMYFUNCTION("""COMPUTED_VALUE"""),35.0)</f>
        <v>35</v>
      </c>
      <c r="L60" s="66" t="str">
        <f>IFERROR(__xludf.DUMMYFUNCTION("""COMPUTED_VALUE"""),"Management")</f>
        <v>Management</v>
      </c>
      <c r="M60" s="66"/>
      <c r="N60" s="66" t="str">
        <f>IFERROR(__xludf.DUMMYFUNCTION("""COMPUTED_VALUE"""),"Ubisoft games joining with price increase")</f>
        <v>Ubisoft games joining with price increase</v>
      </c>
      <c r="O60" s="66"/>
      <c r="P60" s="66"/>
      <c r="Q60" s="66"/>
      <c r="R60" s="66"/>
      <c r="S60" s="66"/>
      <c r="T60" s="66"/>
      <c r="U60" s="66"/>
      <c r="V60" s="66"/>
      <c r="W60" s="66"/>
      <c r="X60" s="66"/>
      <c r="Y60" s="66"/>
      <c r="Z60" s="66"/>
      <c r="AA60" s="66"/>
      <c r="AB60" s="66"/>
      <c r="AC60" s="66"/>
    </row>
    <row r="61">
      <c r="A61" s="66" t="str">
        <f>IFERROR(__xludf.DUMMYFUNCTION("""COMPUTED_VALUE"""),"Tom Clancy's Ghost Recon Breakpoint")</f>
        <v>Tom Clancy's Ghost Recon Breakpoint</v>
      </c>
      <c r="B61" s="66" t="str">
        <f>IFERROR(__xludf.DUMMYFUNCTION("""COMPUTED_VALUE"""),"Xbox / PC")</f>
        <v>Xbox / PC</v>
      </c>
      <c r="C61" s="66" t="str">
        <f>IFERROR(__xludf.DUMMYFUNCTION("""COMPUTED_VALUE"""),"Yes")</f>
        <v>Yes</v>
      </c>
      <c r="D61" s="66" t="str">
        <f>IFERROR(__xludf.DUMMYFUNCTION("""COMPUTED_VALUE"""),"Active")</f>
        <v>Active</v>
      </c>
      <c r="E61" s="15">
        <f>IFERROR(__xludf.DUMMYFUNCTION("""COMPUTED_VALUE"""),45931.0)</f>
        <v>45931</v>
      </c>
      <c r="F61" s="66"/>
      <c r="G61" s="18">
        <f>IFERROR(__xludf.DUMMYFUNCTION("""COMPUTED_VALUE"""),12.166666666666666)</f>
        <v>12.16666667</v>
      </c>
      <c r="H61" s="15">
        <f>IFERROR(__xludf.DUMMYFUNCTION("""COMPUTED_VALUE"""),43739.0)</f>
        <v>43739</v>
      </c>
      <c r="I61" s="18">
        <f>IFERROR(__xludf.DUMMYFUNCTION("""COMPUTED_VALUE"""),6.0)</f>
        <v>6</v>
      </c>
      <c r="J61" s="22">
        <f>IFERROR(__xludf.DUMMYFUNCTION("""COMPUTED_VALUE"""),56.0)</f>
        <v>56</v>
      </c>
      <c r="K61" s="22">
        <f>IFERROR(__xludf.DUMMYFUNCTION("""COMPUTED_VALUE"""),23.0)</f>
        <v>23</v>
      </c>
      <c r="L61" s="66" t="str">
        <f>IFERROR(__xludf.DUMMYFUNCTION("""COMPUTED_VALUE"""),"Shooter")</f>
        <v>Shooter</v>
      </c>
      <c r="M61" s="66"/>
      <c r="N61" s="66" t="str">
        <f>IFERROR(__xludf.DUMMYFUNCTION("""COMPUTED_VALUE"""),"Ubisoft games joining with price increase")</f>
        <v>Ubisoft games joining with price increase</v>
      </c>
      <c r="O61" s="66"/>
      <c r="P61" s="66"/>
      <c r="Q61" s="66"/>
      <c r="R61" s="66"/>
      <c r="S61" s="66"/>
      <c r="T61" s="66"/>
      <c r="U61" s="66"/>
      <c r="V61" s="66"/>
      <c r="W61" s="66"/>
      <c r="X61" s="66"/>
      <c r="Y61" s="66"/>
      <c r="Z61" s="66"/>
      <c r="AA61" s="66"/>
      <c r="AB61" s="66"/>
      <c r="AC61" s="66"/>
    </row>
    <row r="62">
      <c r="A62" s="66" t="str">
        <f>IFERROR(__xludf.DUMMYFUNCTION("""COMPUTED_VALUE"""),"Tom Clancy's Rainbow Six: Extraction")</f>
        <v>Tom Clancy's Rainbow Six: Extraction</v>
      </c>
      <c r="B62" s="66" t="str">
        <f>IFERROR(__xludf.DUMMYFUNCTION("""COMPUTED_VALUE"""),"Xbox / PC")</f>
        <v>Xbox / PC</v>
      </c>
      <c r="C62" s="66" t="str">
        <f>IFERROR(__xludf.DUMMYFUNCTION("""COMPUTED_VALUE"""),"Yes")</f>
        <v>Yes</v>
      </c>
      <c r="D62" s="66" t="str">
        <f>IFERROR(__xludf.DUMMYFUNCTION("""COMPUTED_VALUE"""),"Active")</f>
        <v>Active</v>
      </c>
      <c r="E62" s="15">
        <f>IFERROR(__xludf.DUMMYFUNCTION("""COMPUTED_VALUE"""),45931.0)</f>
        <v>45931</v>
      </c>
      <c r="F62" s="66"/>
      <c r="G62" s="18">
        <f>IFERROR(__xludf.DUMMYFUNCTION("""COMPUTED_VALUE"""),12.166666666666666)</f>
        <v>12.16666667</v>
      </c>
      <c r="H62" s="15">
        <f>IFERROR(__xludf.DUMMYFUNCTION("""COMPUTED_VALUE"""),44581.0)</f>
        <v>44581</v>
      </c>
      <c r="I62" s="18">
        <f>IFERROR(__xludf.DUMMYFUNCTION("""COMPUTED_VALUE"""),3.6972222222222224)</f>
        <v>3.697222222</v>
      </c>
      <c r="J62" s="22">
        <f>IFERROR(__xludf.DUMMYFUNCTION("""COMPUTED_VALUE"""),71.5)</f>
        <v>71.5</v>
      </c>
      <c r="K62" s="22">
        <f>IFERROR(__xludf.DUMMYFUNCTION("""COMPUTED_VALUE"""),8.0)</f>
        <v>8</v>
      </c>
      <c r="L62" s="66" t="str">
        <f>IFERROR(__xludf.DUMMYFUNCTION("""COMPUTED_VALUE"""),"Shooter")</f>
        <v>Shooter</v>
      </c>
      <c r="M62" s="66"/>
      <c r="N62" s="66" t="str">
        <f>IFERROR(__xludf.DUMMYFUNCTION("""COMPUTED_VALUE"""),"Returning game: added 1/20/22, left 4/15/23. Ubisoft Connect launcher. Ubisoft games joining with price increase")</f>
        <v>Returning game: added 1/20/22, left 4/15/23. Ubisoft Connect launcher. Ubisoft games joining with price increase</v>
      </c>
      <c r="O62" s="66" t="str">
        <f>IFERROR(__xludf.DUMMYFUNCTION("""COMPUTED_VALUE"""),"M")</f>
        <v>M</v>
      </c>
      <c r="P62" s="66" t="str">
        <f>IFERROR(__xludf.DUMMYFUNCTION("""COMPUTED_VALUE"""),"Blood, Drug Reference, Strong Language, Violence")</f>
        <v>Blood, Drug Reference, Strong Language, Violence</v>
      </c>
      <c r="Q62" s="66"/>
      <c r="R62" s="66"/>
      <c r="S62" s="66"/>
      <c r="T62" s="66"/>
      <c r="U62" s="66"/>
      <c r="V62" s="66"/>
      <c r="W62" s="66"/>
      <c r="X62" s="66"/>
      <c r="Y62" s="66"/>
      <c r="Z62" s="66"/>
      <c r="AA62" s="66"/>
      <c r="AB62" s="66"/>
      <c r="AC62" s="66"/>
    </row>
    <row r="63">
      <c r="A63" s="66" t="str">
        <f>IFERROR(__xludf.DUMMYFUNCTION("""COMPUTED_VALUE"""),"Tom Clancy's The Division")</f>
        <v>Tom Clancy's The Division</v>
      </c>
      <c r="B63" s="66" t="str">
        <f>IFERROR(__xludf.DUMMYFUNCTION("""COMPUTED_VALUE"""),"Xbox / PC")</f>
        <v>Xbox / PC</v>
      </c>
      <c r="C63" s="66" t="str">
        <f>IFERROR(__xludf.DUMMYFUNCTION("""COMPUTED_VALUE"""),"Yes")</f>
        <v>Yes</v>
      </c>
      <c r="D63" s="66" t="str">
        <f>IFERROR(__xludf.DUMMYFUNCTION("""COMPUTED_VALUE"""),"Active")</f>
        <v>Active</v>
      </c>
      <c r="E63" s="15">
        <f>IFERROR(__xludf.DUMMYFUNCTION("""COMPUTED_VALUE"""),45931.0)</f>
        <v>45931</v>
      </c>
      <c r="F63" s="66"/>
      <c r="G63" s="18">
        <f>IFERROR(__xludf.DUMMYFUNCTION("""COMPUTED_VALUE"""),12.166666666666666)</f>
        <v>12.16666667</v>
      </c>
      <c r="H63" s="15">
        <f>IFERROR(__xludf.DUMMYFUNCTION("""COMPUTED_VALUE"""),42437.0)</f>
        <v>42437</v>
      </c>
      <c r="I63" s="18">
        <f>IFERROR(__xludf.DUMMYFUNCTION("""COMPUTED_VALUE"""),9.563888888888888)</f>
        <v>9.563888889</v>
      </c>
      <c r="J63" s="22">
        <f>IFERROR(__xludf.DUMMYFUNCTION("""COMPUTED_VALUE"""),80.0)</f>
        <v>80</v>
      </c>
      <c r="K63" s="22">
        <f>IFERROR(__xludf.DUMMYFUNCTION("""COMPUTED_VALUE"""),24.0)</f>
        <v>24</v>
      </c>
      <c r="L63" s="66" t="str">
        <f>IFERROR(__xludf.DUMMYFUNCTION("""COMPUTED_VALUE"""),"Shooter")</f>
        <v>Shooter</v>
      </c>
      <c r="M63" s="66"/>
      <c r="N63" s="66" t="str">
        <f>IFERROR(__xludf.DUMMYFUNCTION("""COMPUTED_VALUE"""),"Returning title: Joined 12/1/19, left 6/10/18. Ubisoft games joining with price increase")</f>
        <v>Returning title: Joined 12/1/19, left 6/10/18. Ubisoft games joining with price increase</v>
      </c>
      <c r="O63" s="66"/>
      <c r="P63" s="66"/>
      <c r="Q63" s="66"/>
      <c r="R63" s="66"/>
      <c r="S63" s="66"/>
      <c r="T63" s="66"/>
      <c r="U63" s="66"/>
      <c r="V63" s="66"/>
      <c r="W63" s="66"/>
      <c r="X63" s="66"/>
      <c r="Y63" s="66"/>
      <c r="Z63" s="66"/>
      <c r="AA63" s="66"/>
      <c r="AB63" s="66"/>
      <c r="AC63" s="66"/>
    </row>
    <row r="64">
      <c r="A64" s="66" t="str">
        <f>IFERROR(__xludf.DUMMYFUNCTION("""COMPUTED_VALUE"""),"Trackmania Turbo")</f>
        <v>Trackmania Turbo</v>
      </c>
      <c r="B64" s="66" t="str">
        <f>IFERROR(__xludf.DUMMYFUNCTION("""COMPUTED_VALUE"""),"Xbox / PC")</f>
        <v>Xbox / PC</v>
      </c>
      <c r="C64" s="66" t="str">
        <f>IFERROR(__xludf.DUMMYFUNCTION("""COMPUTED_VALUE"""),"Yes")</f>
        <v>Yes</v>
      </c>
      <c r="D64" s="66" t="str">
        <f>IFERROR(__xludf.DUMMYFUNCTION("""COMPUTED_VALUE"""),"Active")</f>
        <v>Active</v>
      </c>
      <c r="E64" s="15">
        <f>IFERROR(__xludf.DUMMYFUNCTION("""COMPUTED_VALUE"""),45931.0)</f>
        <v>45931</v>
      </c>
      <c r="F64" s="66"/>
      <c r="G64" s="18">
        <f>IFERROR(__xludf.DUMMYFUNCTION("""COMPUTED_VALUE"""),12.166666666666666)</f>
        <v>12.16666667</v>
      </c>
      <c r="H64" s="15">
        <f>IFERROR(__xludf.DUMMYFUNCTION("""COMPUTED_VALUE"""),42451.0)</f>
        <v>42451</v>
      </c>
      <c r="I64" s="18">
        <f>IFERROR(__xludf.DUMMYFUNCTION("""COMPUTED_VALUE"""),9.525)</f>
        <v>9.525</v>
      </c>
      <c r="J64" s="22">
        <f>IFERROR(__xludf.DUMMYFUNCTION("""COMPUTED_VALUE"""),81.0)</f>
        <v>81</v>
      </c>
      <c r="K64" s="22">
        <f>IFERROR(__xludf.DUMMYFUNCTION("""COMPUTED_VALUE"""),13.0)</f>
        <v>13</v>
      </c>
      <c r="L64" s="66" t="str">
        <f>IFERROR(__xludf.DUMMYFUNCTION("""COMPUTED_VALUE"""),"Racing")</f>
        <v>Racing</v>
      </c>
      <c r="M64" s="66"/>
      <c r="N64" s="66" t="str">
        <f>IFERROR(__xludf.DUMMYFUNCTION("""COMPUTED_VALUE"""),"Ubisoft games joining with price increase")</f>
        <v>Ubisoft games joining with price increase</v>
      </c>
      <c r="O64" s="66"/>
      <c r="P64" s="66"/>
      <c r="Q64" s="66"/>
      <c r="R64" s="66"/>
      <c r="S64" s="66"/>
      <c r="T64" s="66"/>
      <c r="U64" s="66"/>
      <c r="V64" s="66"/>
      <c r="W64" s="66"/>
      <c r="X64" s="66"/>
      <c r="Y64" s="66"/>
      <c r="Z64" s="66"/>
      <c r="AA64" s="66"/>
      <c r="AB64" s="66"/>
      <c r="AC64" s="66"/>
    </row>
    <row r="65">
      <c r="A65" s="66" t="str">
        <f>IFERROR(__xludf.DUMMYFUNCTION("""COMPUTED_VALUE"""),"Transference")</f>
        <v>Transference</v>
      </c>
      <c r="B65" s="66" t="str">
        <f>IFERROR(__xludf.DUMMYFUNCTION("""COMPUTED_VALUE"""),"Xbox")</f>
        <v>Xbox</v>
      </c>
      <c r="C65" s="66" t="str">
        <f>IFERROR(__xludf.DUMMYFUNCTION("""COMPUTED_VALUE"""),"Yes")</f>
        <v>Yes</v>
      </c>
      <c r="D65" s="66" t="str">
        <f>IFERROR(__xludf.DUMMYFUNCTION("""COMPUTED_VALUE"""),"Active")</f>
        <v>Active</v>
      </c>
      <c r="E65" s="15">
        <f>IFERROR(__xludf.DUMMYFUNCTION("""COMPUTED_VALUE"""),45931.0)</f>
        <v>45931</v>
      </c>
      <c r="F65" s="66"/>
      <c r="G65" s="18">
        <f>IFERROR(__xludf.DUMMYFUNCTION("""COMPUTED_VALUE"""),12.166666666666666)</f>
        <v>12.16666667</v>
      </c>
      <c r="H65" s="15">
        <f>IFERROR(__xludf.DUMMYFUNCTION("""COMPUTED_VALUE"""),43361.0)</f>
        <v>43361</v>
      </c>
      <c r="I65" s="18">
        <f>IFERROR(__xludf.DUMMYFUNCTION("""COMPUTED_VALUE"""),7.036111111111111)</f>
        <v>7.036111111</v>
      </c>
      <c r="J65" s="22">
        <f>IFERROR(__xludf.DUMMYFUNCTION("""COMPUTED_VALUE"""),71.0)</f>
        <v>71</v>
      </c>
      <c r="K65" s="22">
        <f>IFERROR(__xludf.DUMMYFUNCTION("""COMPUTED_VALUE"""),2.0)</f>
        <v>2</v>
      </c>
      <c r="L65" s="66" t="str">
        <f>IFERROR(__xludf.DUMMYFUNCTION("""COMPUTED_VALUE"""),"Action-Adventure")</f>
        <v>Action-Adventure</v>
      </c>
      <c r="M65" s="66"/>
      <c r="N65" s="66" t="str">
        <f>IFERROR(__xludf.DUMMYFUNCTION("""COMPUTED_VALUE"""),"Ubisoft games joining with price increase")</f>
        <v>Ubisoft games joining with price increase</v>
      </c>
      <c r="O65" s="66"/>
      <c r="P65" s="66"/>
      <c r="Q65" s="66"/>
      <c r="R65" s="66"/>
      <c r="S65" s="66"/>
      <c r="T65" s="66"/>
      <c r="U65" s="66"/>
      <c r="V65" s="66"/>
      <c r="W65" s="66"/>
      <c r="X65" s="66"/>
      <c r="Y65" s="66"/>
      <c r="Z65" s="66"/>
      <c r="AA65" s="66"/>
      <c r="AB65" s="66"/>
      <c r="AC65" s="66"/>
    </row>
    <row r="66">
      <c r="A66" s="66" t="str">
        <f>IFERROR(__xludf.DUMMYFUNCTION("""COMPUTED_VALUE"""),"Trials Fusion")</f>
        <v>Trials Fusion</v>
      </c>
      <c r="B66" s="66" t="str">
        <f>IFERROR(__xludf.DUMMYFUNCTION("""COMPUTED_VALUE"""),"Xbox / PC")</f>
        <v>Xbox / PC</v>
      </c>
      <c r="C66" s="66" t="str">
        <f>IFERROR(__xludf.DUMMYFUNCTION("""COMPUTED_VALUE"""),"Yes")</f>
        <v>Yes</v>
      </c>
      <c r="D66" s="66" t="str">
        <f>IFERROR(__xludf.DUMMYFUNCTION("""COMPUTED_VALUE"""),"Active")</f>
        <v>Active</v>
      </c>
      <c r="E66" s="15">
        <f>IFERROR(__xludf.DUMMYFUNCTION("""COMPUTED_VALUE"""),45931.0)</f>
        <v>45931</v>
      </c>
      <c r="F66" s="66"/>
      <c r="G66" s="18">
        <f>IFERROR(__xludf.DUMMYFUNCTION("""COMPUTED_VALUE"""),12.166666666666666)</f>
        <v>12.16666667</v>
      </c>
      <c r="H66" s="15">
        <f>IFERROR(__xludf.DUMMYFUNCTION("""COMPUTED_VALUE"""),41744.0)</f>
        <v>41744</v>
      </c>
      <c r="I66" s="18">
        <f>IFERROR(__xludf.DUMMYFUNCTION("""COMPUTED_VALUE"""),11.46111111111111)</f>
        <v>11.46111111</v>
      </c>
      <c r="J66" s="22">
        <f>IFERROR(__xludf.DUMMYFUNCTION("""COMPUTED_VALUE"""),79.0)</f>
        <v>79</v>
      </c>
      <c r="K66" s="22">
        <f>IFERROR(__xludf.DUMMYFUNCTION("""COMPUTED_VALUE"""),7.0)</f>
        <v>7</v>
      </c>
      <c r="L66" s="66" t="str">
        <f>IFERROR(__xludf.DUMMYFUNCTION("""COMPUTED_VALUE"""),"Racing")</f>
        <v>Racing</v>
      </c>
      <c r="M66" s="66"/>
      <c r="N66" s="66" t="str">
        <f>IFERROR(__xludf.DUMMYFUNCTION("""COMPUTED_VALUE"""),"Ubisoft games joining with price increase")</f>
        <v>Ubisoft games joining with price increase</v>
      </c>
      <c r="O66" s="66"/>
      <c r="P66" s="66"/>
      <c r="Q66" s="66"/>
      <c r="R66" s="66"/>
      <c r="S66" s="66"/>
      <c r="T66" s="66"/>
      <c r="U66" s="66"/>
      <c r="V66" s="66"/>
      <c r="W66" s="66"/>
      <c r="X66" s="66"/>
      <c r="Y66" s="66"/>
      <c r="Z66" s="66"/>
      <c r="AA66" s="66"/>
      <c r="AB66" s="66"/>
      <c r="AC66" s="66"/>
    </row>
    <row r="67">
      <c r="A67" s="66" t="str">
        <f>IFERROR(__xludf.DUMMYFUNCTION("""COMPUTED_VALUE"""),"Trials of the Blood Dragon")</f>
        <v>Trials of the Blood Dragon</v>
      </c>
      <c r="B67" s="66" t="str">
        <f>IFERROR(__xludf.DUMMYFUNCTION("""COMPUTED_VALUE"""),"Xbox / PC")</f>
        <v>Xbox / PC</v>
      </c>
      <c r="C67" s="66" t="str">
        <f>IFERROR(__xludf.DUMMYFUNCTION("""COMPUTED_VALUE"""),"Yes")</f>
        <v>Yes</v>
      </c>
      <c r="D67" s="66" t="str">
        <f>IFERROR(__xludf.DUMMYFUNCTION("""COMPUTED_VALUE"""),"Active")</f>
        <v>Active</v>
      </c>
      <c r="E67" s="15">
        <f>IFERROR(__xludf.DUMMYFUNCTION("""COMPUTED_VALUE"""),45931.0)</f>
        <v>45931</v>
      </c>
      <c r="F67" s="66"/>
      <c r="G67" s="18">
        <f>IFERROR(__xludf.DUMMYFUNCTION("""COMPUTED_VALUE"""),12.166666666666666)</f>
        <v>12.16666667</v>
      </c>
      <c r="H67" s="15">
        <f>IFERROR(__xludf.DUMMYFUNCTION("""COMPUTED_VALUE"""),42534.0)</f>
        <v>42534</v>
      </c>
      <c r="I67" s="18">
        <f>IFERROR(__xludf.DUMMYFUNCTION("""COMPUTED_VALUE"""),9.3)</f>
        <v>9.3</v>
      </c>
      <c r="J67" s="22">
        <f>IFERROR(__xludf.DUMMYFUNCTION("""COMPUTED_VALUE"""),55.0)</f>
        <v>55</v>
      </c>
      <c r="K67" s="22">
        <f>IFERROR(__xludf.DUMMYFUNCTION("""COMPUTED_VALUE"""),3.0)</f>
        <v>3</v>
      </c>
      <c r="L67" s="66" t="str">
        <f>IFERROR(__xludf.DUMMYFUNCTION("""COMPUTED_VALUE"""),"Racing")</f>
        <v>Racing</v>
      </c>
      <c r="M67" s="66"/>
      <c r="N67" s="66" t="str">
        <f>IFERROR(__xludf.DUMMYFUNCTION("""COMPUTED_VALUE"""),"Ubisoft games joining with price increase")</f>
        <v>Ubisoft games joining with price increase</v>
      </c>
      <c r="O67" s="66"/>
      <c r="P67" s="66"/>
      <c r="Q67" s="66"/>
      <c r="R67" s="66"/>
      <c r="S67" s="66"/>
      <c r="T67" s="66"/>
      <c r="U67" s="66"/>
      <c r="V67" s="66"/>
      <c r="W67" s="66"/>
      <c r="X67" s="66"/>
      <c r="Y67" s="66"/>
      <c r="Z67" s="66"/>
      <c r="AA67" s="66"/>
      <c r="AB67" s="66"/>
      <c r="AC67" s="66"/>
    </row>
    <row r="68">
      <c r="A68" s="66" t="str">
        <f>IFERROR(__xludf.DUMMYFUNCTION("""COMPUTED_VALUE"""),"Trials Rising")</f>
        <v>Trials Rising</v>
      </c>
      <c r="B68" s="66" t="str">
        <f>IFERROR(__xludf.DUMMYFUNCTION("""COMPUTED_VALUE"""),"Xbox / PC")</f>
        <v>Xbox / PC</v>
      </c>
      <c r="C68" s="66" t="str">
        <f>IFERROR(__xludf.DUMMYFUNCTION("""COMPUTED_VALUE"""),"Yes")</f>
        <v>Yes</v>
      </c>
      <c r="D68" s="66" t="str">
        <f>IFERROR(__xludf.DUMMYFUNCTION("""COMPUTED_VALUE"""),"Active")</f>
        <v>Active</v>
      </c>
      <c r="E68" s="15">
        <f>IFERROR(__xludf.DUMMYFUNCTION("""COMPUTED_VALUE"""),45931.0)</f>
        <v>45931</v>
      </c>
      <c r="F68" s="66"/>
      <c r="G68" s="18">
        <f>IFERROR(__xludf.DUMMYFUNCTION("""COMPUTED_VALUE"""),12.166666666666666)</f>
        <v>12.16666667</v>
      </c>
      <c r="H68" s="15">
        <f>IFERROR(__xludf.DUMMYFUNCTION("""COMPUTED_VALUE"""),43522.0)</f>
        <v>43522</v>
      </c>
      <c r="I68" s="18">
        <f>IFERROR(__xludf.DUMMYFUNCTION("""COMPUTED_VALUE"""),6.597222222222222)</f>
        <v>6.597222222</v>
      </c>
      <c r="J68" s="22">
        <f>IFERROR(__xludf.DUMMYFUNCTION("""COMPUTED_VALUE"""),79.0)</f>
        <v>79</v>
      </c>
      <c r="K68" s="22">
        <f>IFERROR(__xludf.DUMMYFUNCTION("""COMPUTED_VALUE"""),18.0)</f>
        <v>18</v>
      </c>
      <c r="L68" s="66" t="str">
        <f>IFERROR(__xludf.DUMMYFUNCTION("""COMPUTED_VALUE"""),"Racing")</f>
        <v>Racing</v>
      </c>
      <c r="M68" s="66"/>
      <c r="N68" s="66" t="str">
        <f>IFERROR(__xludf.DUMMYFUNCTION("""COMPUTED_VALUE"""),"Ubisoft games joining with price increase")</f>
        <v>Ubisoft games joining with price increase</v>
      </c>
      <c r="O68" s="66"/>
      <c r="P68" s="66"/>
      <c r="Q68" s="66"/>
      <c r="R68" s="66"/>
      <c r="S68" s="66"/>
      <c r="T68" s="66"/>
      <c r="U68" s="66"/>
      <c r="V68" s="66"/>
      <c r="W68" s="66"/>
      <c r="X68" s="66"/>
      <c r="Y68" s="66"/>
      <c r="Z68" s="66"/>
      <c r="AA68" s="66"/>
      <c r="AB68" s="66"/>
      <c r="AC68" s="66"/>
    </row>
    <row r="69">
      <c r="A69" s="66" t="str">
        <f>IFERROR(__xludf.DUMMYFUNCTION("""COMPUTED_VALUE"""),"Uno")</f>
        <v>Uno</v>
      </c>
      <c r="B69" s="66" t="str">
        <f>IFERROR(__xludf.DUMMYFUNCTION("""COMPUTED_VALUE"""),"Xbox / PC")</f>
        <v>Xbox / PC</v>
      </c>
      <c r="C69" s="66" t="str">
        <f>IFERROR(__xludf.DUMMYFUNCTION("""COMPUTED_VALUE"""),"Yes")</f>
        <v>Yes</v>
      </c>
      <c r="D69" s="66" t="str">
        <f>IFERROR(__xludf.DUMMYFUNCTION("""COMPUTED_VALUE"""),"Active")</f>
        <v>Active</v>
      </c>
      <c r="E69" s="15">
        <f>IFERROR(__xludf.DUMMYFUNCTION("""COMPUTED_VALUE"""),45931.0)</f>
        <v>45931</v>
      </c>
      <c r="F69" s="66"/>
      <c r="G69" s="18">
        <f>IFERROR(__xludf.DUMMYFUNCTION("""COMPUTED_VALUE"""),12.166666666666666)</f>
        <v>12.16666667</v>
      </c>
      <c r="H69" s="15">
        <f>IFERROR(__xludf.DUMMYFUNCTION("""COMPUTED_VALUE"""),38846.0)</f>
        <v>38846</v>
      </c>
      <c r="I69" s="18">
        <f>IFERROR(__xludf.DUMMYFUNCTION("""COMPUTED_VALUE"""),19.394444444444446)</f>
        <v>19.39444444</v>
      </c>
      <c r="J69" s="22">
        <f>IFERROR(__xludf.DUMMYFUNCTION("""COMPUTED_VALUE"""),81.0)</f>
        <v>81</v>
      </c>
      <c r="K69" s="22">
        <f>IFERROR(__xludf.DUMMYFUNCTION("""COMPUTED_VALUE"""),3.0)</f>
        <v>3</v>
      </c>
      <c r="L69" s="66" t="str">
        <f>IFERROR(__xludf.DUMMYFUNCTION("""COMPUTED_VALUE"""),"Board")</f>
        <v>Board</v>
      </c>
      <c r="M69" s="66"/>
      <c r="N69" s="66" t="str">
        <f>IFERROR(__xludf.DUMMYFUNCTION("""COMPUTED_VALUE"""),"Ubisoft games joining with price increase")</f>
        <v>Ubisoft games joining with price increase</v>
      </c>
      <c r="O69" s="66"/>
      <c r="P69" s="66"/>
      <c r="Q69" s="66"/>
      <c r="R69" s="66"/>
      <c r="S69" s="66"/>
      <c r="T69" s="66"/>
      <c r="U69" s="66"/>
      <c r="V69" s="66"/>
      <c r="W69" s="66"/>
      <c r="X69" s="66"/>
      <c r="Y69" s="66"/>
      <c r="Z69" s="66"/>
      <c r="AA69" s="66"/>
      <c r="AB69" s="66"/>
      <c r="AC69" s="66"/>
    </row>
    <row r="70">
      <c r="A70" s="66" t="str">
        <f>IFERROR(__xludf.DUMMYFUNCTION("""COMPUTED_VALUE"""),"Valiant Hearts: The Great War")</f>
        <v>Valiant Hearts: The Great War</v>
      </c>
      <c r="B70" s="66" t="str">
        <f>IFERROR(__xludf.DUMMYFUNCTION("""COMPUTED_VALUE"""),"Xbox / PC")</f>
        <v>Xbox / PC</v>
      </c>
      <c r="C70" s="66" t="str">
        <f>IFERROR(__xludf.DUMMYFUNCTION("""COMPUTED_VALUE"""),"Yes")</f>
        <v>Yes</v>
      </c>
      <c r="D70" s="66" t="str">
        <f>IFERROR(__xludf.DUMMYFUNCTION("""COMPUTED_VALUE"""),"Active")</f>
        <v>Active</v>
      </c>
      <c r="E70" s="15">
        <f>IFERROR(__xludf.DUMMYFUNCTION("""COMPUTED_VALUE"""),45931.0)</f>
        <v>45931</v>
      </c>
      <c r="F70" s="66"/>
      <c r="G70" s="18">
        <f>IFERROR(__xludf.DUMMYFUNCTION("""COMPUTED_VALUE"""),12.166666666666666)</f>
        <v>12.16666667</v>
      </c>
      <c r="H70" s="15">
        <f>IFERROR(__xludf.DUMMYFUNCTION("""COMPUTED_VALUE"""),41814.0)</f>
        <v>41814</v>
      </c>
      <c r="I70" s="18">
        <f>IFERROR(__xludf.DUMMYFUNCTION("""COMPUTED_VALUE"""),11.269444444444444)</f>
        <v>11.26944444</v>
      </c>
      <c r="J70" s="22">
        <f>IFERROR(__xludf.DUMMYFUNCTION("""COMPUTED_VALUE"""),77.0)</f>
        <v>77</v>
      </c>
      <c r="K70" s="22">
        <f>IFERROR(__xludf.DUMMYFUNCTION("""COMPUTED_VALUE"""),7.0)</f>
        <v>7</v>
      </c>
      <c r="L70" s="66" t="str">
        <f>IFERROR(__xludf.DUMMYFUNCTION("""COMPUTED_VALUE"""),"Platformer")</f>
        <v>Platformer</v>
      </c>
      <c r="M70" s="66"/>
      <c r="N70" s="66" t="str">
        <f>IFERROR(__xludf.DUMMYFUNCTION("""COMPUTED_VALUE"""),"Ubisoft games joining with price increase")</f>
        <v>Ubisoft games joining with price increase</v>
      </c>
      <c r="O70" s="66"/>
      <c r="P70" s="66"/>
      <c r="Q70" s="66"/>
      <c r="R70" s="66"/>
      <c r="S70" s="66"/>
      <c r="T70" s="66"/>
      <c r="U70" s="66"/>
      <c r="V70" s="66"/>
      <c r="W70" s="66"/>
      <c r="X70" s="66"/>
      <c r="Y70" s="66"/>
      <c r="Z70" s="66"/>
      <c r="AA70" s="66"/>
      <c r="AB70" s="66"/>
      <c r="AC70" s="66"/>
    </row>
    <row r="71">
      <c r="A71" s="66" t="str">
        <f>IFERROR(__xludf.DUMMYFUNCTION("""COMPUTED_VALUE"""),"Watch_Dogs")</f>
        <v>Watch_Dogs</v>
      </c>
      <c r="B71" s="66" t="str">
        <f>IFERROR(__xludf.DUMMYFUNCTION("""COMPUTED_VALUE"""),"Xbox / PC")</f>
        <v>Xbox / PC</v>
      </c>
      <c r="C71" s="66" t="str">
        <f>IFERROR(__xludf.DUMMYFUNCTION("""COMPUTED_VALUE"""),"Yes")</f>
        <v>Yes</v>
      </c>
      <c r="D71" s="66" t="str">
        <f>IFERROR(__xludf.DUMMYFUNCTION("""COMPUTED_VALUE"""),"Active")</f>
        <v>Active</v>
      </c>
      <c r="E71" s="15">
        <f>IFERROR(__xludf.DUMMYFUNCTION("""COMPUTED_VALUE"""),45931.0)</f>
        <v>45931</v>
      </c>
      <c r="F71" s="66"/>
      <c r="G71" s="18">
        <f>IFERROR(__xludf.DUMMYFUNCTION("""COMPUTED_VALUE"""),12.166666666666666)</f>
        <v>12.16666667</v>
      </c>
      <c r="H71" s="15">
        <f>IFERROR(__xludf.DUMMYFUNCTION("""COMPUTED_VALUE"""),41786.0)</f>
        <v>41786</v>
      </c>
      <c r="I71" s="18">
        <f>IFERROR(__xludf.DUMMYFUNCTION("""COMPUTED_VALUE"""),11.344444444444445)</f>
        <v>11.34444444</v>
      </c>
      <c r="J71" s="22">
        <f>IFERROR(__xludf.DUMMYFUNCTION("""COMPUTED_VALUE"""),80.0)</f>
        <v>80</v>
      </c>
      <c r="K71" s="22">
        <f>IFERROR(__xludf.DUMMYFUNCTION("""COMPUTED_VALUE"""),20.0)</f>
        <v>20</v>
      </c>
      <c r="L71" s="66" t="str">
        <f>IFERROR(__xludf.DUMMYFUNCTION("""COMPUTED_VALUE"""),"Action-Adventure")</f>
        <v>Action-Adventure</v>
      </c>
      <c r="M71" s="66"/>
      <c r="N71" s="66" t="str">
        <f>IFERROR(__xludf.DUMMYFUNCTION("""COMPUTED_VALUE"""),"Ubisoft games joining with price increase")</f>
        <v>Ubisoft games joining with price increase</v>
      </c>
      <c r="O71" s="66"/>
      <c r="P71" s="66"/>
      <c r="Q71" s="66"/>
      <c r="R71" s="66"/>
      <c r="S71" s="66"/>
      <c r="T71" s="66"/>
      <c r="U71" s="66"/>
      <c r="V71" s="66"/>
      <c r="W71" s="66"/>
      <c r="X71" s="66"/>
      <c r="Y71" s="66"/>
      <c r="Z71" s="66"/>
      <c r="AA71" s="66"/>
      <c r="AB71" s="66"/>
      <c r="AC71" s="66"/>
    </row>
    <row r="72">
      <c r="A72" s="66" t="str">
        <f>IFERROR(__xludf.DUMMYFUNCTION("""COMPUTED_VALUE"""),"Wheel of Fortune")</f>
        <v>Wheel of Fortune</v>
      </c>
      <c r="B72" s="66" t="str">
        <f>IFERROR(__xludf.DUMMYFUNCTION("""COMPUTED_VALUE"""),"Xbox")</f>
        <v>Xbox</v>
      </c>
      <c r="C72" s="66" t="str">
        <f>IFERROR(__xludf.DUMMYFUNCTION("""COMPUTED_VALUE"""),"Yes")</f>
        <v>Yes</v>
      </c>
      <c r="D72" s="66" t="str">
        <f>IFERROR(__xludf.DUMMYFUNCTION("""COMPUTED_VALUE"""),"Active")</f>
        <v>Active</v>
      </c>
      <c r="E72" s="15">
        <f>IFERROR(__xludf.DUMMYFUNCTION("""COMPUTED_VALUE"""),45931.0)</f>
        <v>45931</v>
      </c>
      <c r="F72" s="66"/>
      <c r="G72" s="18">
        <f>IFERROR(__xludf.DUMMYFUNCTION("""COMPUTED_VALUE"""),12.166666666666666)</f>
        <v>12.16666667</v>
      </c>
      <c r="H72" s="15">
        <f>IFERROR(__xludf.DUMMYFUNCTION("""COMPUTED_VALUE"""),43046.0)</f>
        <v>43046</v>
      </c>
      <c r="I72" s="18">
        <f>IFERROR(__xludf.DUMMYFUNCTION("""COMPUTED_VALUE"""),7.9)</f>
        <v>7.9</v>
      </c>
      <c r="J72" s="22">
        <f>IFERROR(__xludf.DUMMYFUNCTION("""COMPUTED_VALUE"""),80.0)</f>
        <v>80</v>
      </c>
      <c r="K72" s="22">
        <f>IFERROR(__xludf.DUMMYFUNCTION("""COMPUTED_VALUE"""),2.0)</f>
        <v>2</v>
      </c>
      <c r="L72" s="66" t="str">
        <f>IFERROR(__xludf.DUMMYFUNCTION("""COMPUTED_VALUE"""),"Trivia")</f>
        <v>Trivia</v>
      </c>
      <c r="M72" s="66"/>
      <c r="N72" s="66" t="str">
        <f>IFERROR(__xludf.DUMMYFUNCTION("""COMPUTED_VALUE"""),"Ubisoft games joining with price increase")</f>
        <v>Ubisoft games joining with price increase</v>
      </c>
      <c r="O72" s="66"/>
      <c r="P72" s="66"/>
      <c r="Q72" s="66"/>
      <c r="R72" s="66"/>
      <c r="S72" s="66"/>
      <c r="T72" s="66"/>
      <c r="U72" s="66"/>
      <c r="V72" s="66"/>
      <c r="W72" s="66"/>
      <c r="X72" s="66"/>
      <c r="Y72" s="66"/>
      <c r="Z72" s="66"/>
      <c r="AA72" s="66"/>
      <c r="AB72" s="66"/>
      <c r="AC72" s="66"/>
    </row>
    <row r="73">
      <c r="A73" s="66" t="str">
        <f>IFERROR(__xludf.DUMMYFUNCTION("""COMPUTED_VALUE"""),"Zombi")</f>
        <v>Zombi</v>
      </c>
      <c r="B73" s="66" t="str">
        <f>IFERROR(__xludf.DUMMYFUNCTION("""COMPUTED_VALUE"""),"Xbox / PC")</f>
        <v>Xbox / PC</v>
      </c>
      <c r="C73" s="66" t="str">
        <f>IFERROR(__xludf.DUMMYFUNCTION("""COMPUTED_VALUE"""),"Yes")</f>
        <v>Yes</v>
      </c>
      <c r="D73" s="66" t="str">
        <f>IFERROR(__xludf.DUMMYFUNCTION("""COMPUTED_VALUE"""),"Active")</f>
        <v>Active</v>
      </c>
      <c r="E73" s="15">
        <f>IFERROR(__xludf.DUMMYFUNCTION("""COMPUTED_VALUE"""),45931.0)</f>
        <v>45931</v>
      </c>
      <c r="F73" s="66"/>
      <c r="G73" s="18">
        <f>IFERROR(__xludf.DUMMYFUNCTION("""COMPUTED_VALUE"""),12.166666666666666)</f>
        <v>12.16666667</v>
      </c>
      <c r="H73" s="15">
        <f>IFERROR(__xludf.DUMMYFUNCTION("""COMPUTED_VALUE"""),42234.0)</f>
        <v>42234</v>
      </c>
      <c r="I73" s="18">
        <f>IFERROR(__xludf.DUMMYFUNCTION("""COMPUTED_VALUE"""),10.119444444444444)</f>
        <v>10.11944444</v>
      </c>
      <c r="J73" s="22">
        <f>IFERROR(__xludf.DUMMYFUNCTION("""COMPUTED_VALUE"""),65.0)</f>
        <v>65</v>
      </c>
      <c r="K73" s="22">
        <f>IFERROR(__xludf.DUMMYFUNCTION("""COMPUTED_VALUE"""),12.0)</f>
        <v>12</v>
      </c>
      <c r="L73" s="66" t="str">
        <f>IFERROR(__xludf.DUMMYFUNCTION("""COMPUTED_VALUE"""),"Survival")</f>
        <v>Survival</v>
      </c>
      <c r="M73" s="66"/>
      <c r="N73" s="66" t="str">
        <f>IFERROR(__xludf.DUMMYFUNCTION("""COMPUTED_VALUE"""),"Ubisoft games joining with price increase")</f>
        <v>Ubisoft games joining with price increase</v>
      </c>
      <c r="O73" s="66"/>
      <c r="P73" s="66"/>
      <c r="Q73" s="66"/>
      <c r="R73" s="66"/>
      <c r="S73" s="66"/>
      <c r="T73" s="66"/>
      <c r="U73" s="66"/>
      <c r="V73" s="66"/>
      <c r="W73" s="66"/>
      <c r="X73" s="66"/>
      <c r="Y73" s="66"/>
      <c r="Z73" s="66"/>
      <c r="AA73" s="66"/>
      <c r="AB73" s="66"/>
      <c r="AC73" s="66"/>
    </row>
    <row r="74">
      <c r="A74" s="66" t="str">
        <f>IFERROR(__xludf.DUMMYFUNCTION("""COMPUTED_VALUE"""),"Visions of Mana")</f>
        <v>Visions of Mana</v>
      </c>
      <c r="B74" s="66" t="str">
        <f>IFERROR(__xludf.DUMMYFUNCTION("""COMPUTED_VALUE"""),"Xbox / PC")</f>
        <v>Xbox / PC</v>
      </c>
      <c r="C74" s="66" t="str">
        <f>IFERROR(__xludf.DUMMYFUNCTION("""COMPUTED_VALUE"""),"Yes")</f>
        <v>Yes</v>
      </c>
      <c r="D74" s="66" t="str">
        <f>IFERROR(__xludf.DUMMYFUNCTION("""COMPUTED_VALUE"""),"Active")</f>
        <v>Active</v>
      </c>
      <c r="E74" s="15">
        <f>IFERROR(__xludf.DUMMYFUNCTION("""COMPUTED_VALUE"""),45925.0)</f>
        <v>45925</v>
      </c>
      <c r="F74" s="66"/>
      <c r="G74" s="18">
        <f>IFERROR(__xludf.DUMMYFUNCTION("""COMPUTED_VALUE"""),12.366666666666665)</f>
        <v>12.36666667</v>
      </c>
      <c r="H74" s="15">
        <f>IFERROR(__xludf.DUMMYFUNCTION("""COMPUTED_VALUE"""),45533.0)</f>
        <v>45533</v>
      </c>
      <c r="I74" s="18">
        <f>IFERROR(__xludf.DUMMYFUNCTION("""COMPUTED_VALUE"""),1.0722222222222222)</f>
        <v>1.072222222</v>
      </c>
      <c r="J74" s="22">
        <f>IFERROR(__xludf.DUMMYFUNCTION("""COMPUTED_VALUE"""),75.0)</f>
        <v>75</v>
      </c>
      <c r="K74" s="22">
        <f>IFERROR(__xludf.DUMMYFUNCTION("""COMPUTED_VALUE"""),29.0)</f>
        <v>29</v>
      </c>
      <c r="L74" s="66" t="str">
        <f>IFERROR(__xludf.DUMMYFUNCTION("""COMPUTED_VALUE"""),"RPG")</f>
        <v>RPG</v>
      </c>
      <c r="M74" s="66" t="str">
        <f>IFERROR(__xludf.DUMMYFUNCTION("""COMPUTED_VALUE"""),"Exclusive")</f>
        <v>Exclusive</v>
      </c>
      <c r="N74" s="66"/>
      <c r="O74" s="66"/>
      <c r="P74" s="66"/>
      <c r="Q74" s="66"/>
      <c r="R74" s="66"/>
      <c r="S74" s="66"/>
      <c r="T74" s="66"/>
      <c r="U74" s="66"/>
      <c r="V74" s="66"/>
      <c r="W74" s="66"/>
      <c r="X74" s="66"/>
      <c r="Y74" s="66"/>
      <c r="Z74" s="66"/>
      <c r="AA74" s="66"/>
      <c r="AB74" s="66"/>
      <c r="AC74" s="66"/>
    </row>
    <row r="75">
      <c r="A75" s="66" t="str">
        <f>IFERROR(__xludf.DUMMYFUNCTION("""COMPUTED_VALUE"""),"Hades")</f>
        <v>Hades</v>
      </c>
      <c r="B75" s="66" t="str">
        <f>IFERROR(__xludf.DUMMYFUNCTION("""COMPUTED_VALUE"""),"Xbox / PC")</f>
        <v>Xbox / PC</v>
      </c>
      <c r="C75" s="66" t="str">
        <f>IFERROR(__xludf.DUMMYFUNCTION("""COMPUTED_VALUE"""),"Touch Controls")</f>
        <v>Touch Controls</v>
      </c>
      <c r="D75" s="66" t="str">
        <f>IFERROR(__xludf.DUMMYFUNCTION("""COMPUTED_VALUE"""),"Active")</f>
        <v>Active</v>
      </c>
      <c r="E75" s="15">
        <f>IFERROR(__xludf.DUMMYFUNCTION("""COMPUTED_VALUE"""),45919.0)</f>
        <v>45919</v>
      </c>
      <c r="F75" s="66"/>
      <c r="G75" s="18">
        <f>IFERROR(__xludf.DUMMYFUNCTION("""COMPUTED_VALUE"""),12.566666666666666)</f>
        <v>12.56666667</v>
      </c>
      <c r="H75" s="15">
        <f>IFERROR(__xludf.DUMMYFUNCTION("""COMPUTED_VALUE"""),43441.0)</f>
        <v>43441</v>
      </c>
      <c r="I75" s="18">
        <f>IFERROR(__xludf.DUMMYFUNCTION("""COMPUTED_VALUE"""),6.783333333333333)</f>
        <v>6.783333333</v>
      </c>
      <c r="J75" s="22">
        <f>IFERROR(__xludf.DUMMYFUNCTION("""COMPUTED_VALUE"""),93.5)</f>
        <v>93.5</v>
      </c>
      <c r="K75" s="22">
        <f>IFERROR(__xludf.DUMMYFUNCTION("""COMPUTED_VALUE"""),21.0)</f>
        <v>21</v>
      </c>
      <c r="L75" s="66" t="str">
        <f>IFERROR(__xludf.DUMMYFUNCTION("""COMPUTED_VALUE"""),"RPG")</f>
        <v>RPG</v>
      </c>
      <c r="M75" s="66" t="str">
        <f>IFERROR(__xludf.DUMMYFUNCTION("""COMPUTED_VALUE"""),"Optimized")</f>
        <v>Optimized</v>
      </c>
      <c r="N75" s="66" t="str">
        <f>IFERROR(__xludf.DUMMYFUNCTION("""COMPUTED_VALUE"""),"Game Pass Essential (10/1/25). Returning title: Joined 8/13/21, left 8/31/22")</f>
        <v>Game Pass Essential (10/1/25). Returning title: Joined 8/13/21, left 8/31/22</v>
      </c>
      <c r="O75" s="66" t="str">
        <f>IFERROR(__xludf.DUMMYFUNCTION("""COMPUTED_VALUE"""),"T")</f>
        <v>T</v>
      </c>
      <c r="P75" s="66" t="str">
        <f>IFERROR(__xludf.DUMMYFUNCTION("""COMPUTED_VALUE"""),"Blood, Suggestive Themes, Alcohol Reference, Mild Language, Violence")</f>
        <v>Blood, Suggestive Themes, Alcohol Reference, Mild Language, Violence</v>
      </c>
      <c r="Q75" s="66"/>
      <c r="R75" s="66"/>
      <c r="S75" s="66"/>
      <c r="T75" s="66"/>
      <c r="U75" s="66"/>
      <c r="V75" s="66"/>
      <c r="W75" s="66"/>
      <c r="X75" s="66"/>
      <c r="Y75" s="66"/>
      <c r="Z75" s="66"/>
      <c r="AA75" s="66"/>
      <c r="AB75" s="66"/>
      <c r="AC75" s="66"/>
    </row>
    <row r="76">
      <c r="A76" s="66" t="str">
        <f>IFERROR(__xludf.DUMMYFUNCTION("""COMPUTED_VALUE"""),"Wobbly Life")</f>
        <v>Wobbly Life</v>
      </c>
      <c r="B76" s="66" t="str">
        <f>IFERROR(__xludf.DUMMYFUNCTION("""COMPUTED_VALUE"""),"Xbox / PC")</f>
        <v>Xbox / PC</v>
      </c>
      <c r="C76" s="66" t="str">
        <f>IFERROR(__xludf.DUMMYFUNCTION("""COMPUTED_VALUE"""),"Yes")</f>
        <v>Yes</v>
      </c>
      <c r="D76" s="66" t="str">
        <f>IFERROR(__xludf.DUMMYFUNCTION("""COMPUTED_VALUE"""),"Active")</f>
        <v>Active</v>
      </c>
      <c r="E76" s="15">
        <f>IFERROR(__xludf.DUMMYFUNCTION("""COMPUTED_VALUE"""),45918.0)</f>
        <v>45918</v>
      </c>
      <c r="F76" s="66"/>
      <c r="G76" s="18">
        <f>IFERROR(__xludf.DUMMYFUNCTION("""COMPUTED_VALUE"""),12.600000000000001)</f>
        <v>12.6</v>
      </c>
      <c r="H76" s="15">
        <f>IFERROR(__xludf.DUMMYFUNCTION("""COMPUTED_VALUE"""),45898.0)</f>
        <v>45898</v>
      </c>
      <c r="I76" s="18">
        <f>IFERROR(__xludf.DUMMYFUNCTION("""COMPUTED_VALUE"""),0.05277777777777778)</f>
        <v>0.05277777778</v>
      </c>
      <c r="J76" s="22">
        <f>IFERROR(__xludf.DUMMYFUNCTION("""COMPUTED_VALUE"""),80.0)</f>
        <v>80</v>
      </c>
      <c r="K76" s="22">
        <f>IFERROR(__xludf.DUMMYFUNCTION("""COMPUTED_VALUE"""),3.0)</f>
        <v>3</v>
      </c>
      <c r="L76" s="66" t="str">
        <f>IFERROR(__xludf.DUMMYFUNCTION("""COMPUTED_VALUE"""),"Action-Adventure")</f>
        <v>Action-Adventure</v>
      </c>
      <c r="M76" s="66" t="str">
        <f>IFERROR(__xludf.DUMMYFUNCTION("""COMPUTED_VALUE"""),"Exclusive")</f>
        <v>Exclusive</v>
      </c>
      <c r="N76" s="66"/>
      <c r="O76" s="66"/>
      <c r="P76" s="66"/>
      <c r="Q76" s="66"/>
      <c r="R76" s="66"/>
      <c r="S76" s="66"/>
      <c r="T76" s="66"/>
      <c r="U76" s="66"/>
      <c r="V76" s="66"/>
      <c r="W76" s="66"/>
      <c r="X76" s="66"/>
      <c r="Y76" s="66"/>
      <c r="Z76" s="66"/>
      <c r="AA76" s="66"/>
      <c r="AB76" s="66"/>
      <c r="AC76" s="66"/>
    </row>
    <row r="77">
      <c r="A77" s="66" t="str">
        <f>IFERROR(__xludf.DUMMYFUNCTION("""COMPUTED_VALUE"""),"RoadCraft")</f>
        <v>RoadCraft</v>
      </c>
      <c r="B77" s="66" t="str">
        <f>IFERROR(__xludf.DUMMYFUNCTION("""COMPUTED_VALUE"""),"Xbox / PC")</f>
        <v>Xbox / PC</v>
      </c>
      <c r="C77" s="66" t="str">
        <f>IFERROR(__xludf.DUMMYFUNCTION("""COMPUTED_VALUE"""),"Yes")</f>
        <v>Yes</v>
      </c>
      <c r="D77" s="66" t="str">
        <f>IFERROR(__xludf.DUMMYFUNCTION("""COMPUTED_VALUE"""),"Active")</f>
        <v>Active</v>
      </c>
      <c r="E77" s="15">
        <f>IFERROR(__xludf.DUMMYFUNCTION("""COMPUTED_VALUE"""),45916.0)</f>
        <v>45916</v>
      </c>
      <c r="F77" s="66"/>
      <c r="G77" s="18">
        <f>IFERROR(__xludf.DUMMYFUNCTION("""COMPUTED_VALUE"""),12.666666666666668)</f>
        <v>12.66666667</v>
      </c>
      <c r="H77" s="15">
        <f>IFERROR(__xludf.DUMMYFUNCTION("""COMPUTED_VALUE"""),45797.0)</f>
        <v>45797</v>
      </c>
      <c r="I77" s="18">
        <f>IFERROR(__xludf.DUMMYFUNCTION("""COMPUTED_VALUE"""),0.32222222222222224)</f>
        <v>0.3222222222</v>
      </c>
      <c r="J77" s="22">
        <f>IFERROR(__xludf.DUMMYFUNCTION("""COMPUTED_VALUE"""),77.0)</f>
        <v>77</v>
      </c>
      <c r="K77" s="22">
        <f>IFERROR(__xludf.DUMMYFUNCTION("""COMPUTED_VALUE"""),51.0)</f>
        <v>51</v>
      </c>
      <c r="L77" s="66" t="str">
        <f>IFERROR(__xludf.DUMMYFUNCTION("""COMPUTED_VALUE"""),"Racing")</f>
        <v>Racing</v>
      </c>
      <c r="M77" s="66" t="str">
        <f>IFERROR(__xludf.DUMMYFUNCTION("""COMPUTED_VALUE"""),"Exclusive")</f>
        <v>Exclusive</v>
      </c>
      <c r="N77" s="66" t="str">
        <f>IFERROR(__xludf.DUMMYFUNCTION("""COMPUTED_VALUE"""),"Joined PC 1/21/26")</f>
        <v>Joined PC 1/21/26</v>
      </c>
      <c r="O77" s="66"/>
      <c r="P77" s="66"/>
      <c r="Q77" s="66"/>
      <c r="R77" s="66"/>
      <c r="S77" s="66"/>
      <c r="T77" s="66"/>
      <c r="U77" s="66"/>
      <c r="V77" s="66"/>
      <c r="W77" s="66"/>
      <c r="X77" s="66"/>
      <c r="Y77" s="66"/>
      <c r="Z77" s="66"/>
      <c r="AA77" s="66"/>
      <c r="AB77" s="66"/>
      <c r="AC77" s="66"/>
    </row>
    <row r="78">
      <c r="A78" s="66" t="str">
        <f>IFERROR(__xludf.DUMMYFUNCTION("""COMPUTED_VALUE"""),"Mechwarrior 5: Clans")</f>
        <v>Mechwarrior 5: Clans</v>
      </c>
      <c r="B78" s="66" t="str">
        <f>IFERROR(__xludf.DUMMYFUNCTION("""COMPUTED_VALUE"""),"Xbox / PC")</f>
        <v>Xbox / PC</v>
      </c>
      <c r="C78" s="66" t="str">
        <f>IFERROR(__xludf.DUMMYFUNCTION("""COMPUTED_VALUE"""),"Yes")</f>
        <v>Yes</v>
      </c>
      <c r="D78" s="66" t="str">
        <f>IFERROR(__xludf.DUMMYFUNCTION("""COMPUTED_VALUE"""),"Active")</f>
        <v>Active</v>
      </c>
      <c r="E78" s="15">
        <f>IFERROR(__xludf.DUMMYFUNCTION("""COMPUTED_VALUE"""),45582.0)</f>
        <v>45582</v>
      </c>
      <c r="F78" s="66"/>
      <c r="G78" s="18">
        <f>IFERROR(__xludf.DUMMYFUNCTION("""COMPUTED_VALUE"""),23.633333333333333)</f>
        <v>23.63333333</v>
      </c>
      <c r="H78" s="15">
        <f>IFERROR(__xludf.DUMMYFUNCTION("""COMPUTED_VALUE"""),45582.0)</f>
        <v>45582</v>
      </c>
      <c r="I78" s="18">
        <f>IFERROR(__xludf.DUMMYFUNCTION("""COMPUTED_VALUE"""),0.0)</f>
        <v>0</v>
      </c>
      <c r="J78" s="22">
        <f>IFERROR(__xludf.DUMMYFUNCTION("""COMPUTED_VALUE"""),79.0)</f>
        <v>79</v>
      </c>
      <c r="K78" s="22">
        <f>IFERROR(__xludf.DUMMYFUNCTION("""COMPUTED_VALUE"""),23.0)</f>
        <v>23</v>
      </c>
      <c r="L78" s="66" t="str">
        <f>IFERROR(__xludf.DUMMYFUNCTION("""COMPUTED_VALUE"""),"Simulation")</f>
        <v>Simulation</v>
      </c>
      <c r="M78" s="66" t="str">
        <f>IFERROR(__xludf.DUMMYFUNCTION("""COMPUTED_VALUE"""),"Exclusive")</f>
        <v>Exclusive</v>
      </c>
      <c r="N78" s="66"/>
      <c r="O78" s="66"/>
      <c r="P78" s="66"/>
      <c r="Q78" s="66"/>
      <c r="R78" s="66"/>
      <c r="S78" s="66"/>
      <c r="T78" s="66"/>
      <c r="U78" s="66"/>
      <c r="V78" s="66"/>
      <c r="W78" s="66"/>
      <c r="X78" s="66"/>
      <c r="Y78" s="66"/>
      <c r="Z78" s="66"/>
      <c r="AA78" s="66"/>
      <c r="AB78" s="66"/>
      <c r="AC78" s="66"/>
    </row>
    <row r="79">
      <c r="A79" s="66" t="str">
        <f>IFERROR(__xludf.DUMMYFUNCTION("""COMPUTED_VALUE"""),"South Park: The Fractured but Whole")</f>
        <v>South Park: The Fractured but Whole</v>
      </c>
      <c r="B79" s="66" t="str">
        <f>IFERROR(__xludf.DUMMYFUNCTION("""COMPUTED_VALUE"""),"Xbox / PC")</f>
        <v>Xbox / PC</v>
      </c>
      <c r="C79" s="66" t="str">
        <f>IFERROR(__xludf.DUMMYFUNCTION("""COMPUTED_VALUE"""),"Yes")</f>
        <v>Yes</v>
      </c>
      <c r="D79" s="66" t="str">
        <f>IFERROR(__xludf.DUMMYFUNCTION("""COMPUTED_VALUE"""),"Active")</f>
        <v>Active</v>
      </c>
      <c r="E79" s="15">
        <f>IFERROR(__xludf.DUMMYFUNCTION("""COMPUTED_VALUE"""),45581.0)</f>
        <v>45581</v>
      </c>
      <c r="F79" s="66"/>
      <c r="G79" s="18">
        <f>IFERROR(__xludf.DUMMYFUNCTION("""COMPUTED_VALUE"""),23.666666666666668)</f>
        <v>23.66666667</v>
      </c>
      <c r="H79" s="15">
        <f>IFERROR(__xludf.DUMMYFUNCTION("""COMPUTED_VALUE"""),43312.0)</f>
        <v>43312</v>
      </c>
      <c r="I79" s="18">
        <f>IFERROR(__xludf.DUMMYFUNCTION("""COMPUTED_VALUE"""),6.211111111111111)</f>
        <v>6.211111111</v>
      </c>
      <c r="J79" s="22">
        <f>IFERROR(__xludf.DUMMYFUNCTION("""COMPUTED_VALUE"""),75.0)</f>
        <v>75</v>
      </c>
      <c r="K79" s="22">
        <f>IFERROR(__xludf.DUMMYFUNCTION("""COMPUTED_VALUE"""),18.0)</f>
        <v>18</v>
      </c>
      <c r="L79" s="66" t="str">
        <f>IFERROR(__xludf.DUMMYFUNCTION("""COMPUTED_VALUE"""),"RPG")</f>
        <v>RPG</v>
      </c>
      <c r="M79" s="66"/>
      <c r="N79" s="66"/>
      <c r="O79" s="66"/>
      <c r="P79" s="66"/>
      <c r="Q79" s="66"/>
      <c r="R79" s="66"/>
      <c r="S79" s="66"/>
      <c r="T79" s="66"/>
      <c r="U79" s="66"/>
      <c r="V79" s="66"/>
      <c r="W79" s="66"/>
      <c r="X79" s="66"/>
      <c r="Y79" s="66"/>
      <c r="Z79" s="66"/>
      <c r="AA79" s="66"/>
      <c r="AB79" s="66"/>
      <c r="AC79" s="66"/>
    </row>
    <row r="80">
      <c r="A80" s="66" t="str">
        <f>IFERROR(__xludf.DUMMYFUNCTION("""COMPUTED_VALUE"""),"Inscryption")</f>
        <v>Inscryption</v>
      </c>
      <c r="B80" s="66" t="str">
        <f>IFERROR(__xludf.DUMMYFUNCTION("""COMPUTED_VALUE"""),"Xbox / PC")</f>
        <v>Xbox / PC</v>
      </c>
      <c r="C80" s="66" t="str">
        <f>IFERROR(__xludf.DUMMYFUNCTION("""COMPUTED_VALUE"""),"Yes")</f>
        <v>Yes</v>
      </c>
      <c r="D80" s="66" t="str">
        <f>IFERROR(__xludf.DUMMYFUNCTION("""COMPUTED_VALUE"""),"Active")</f>
        <v>Active</v>
      </c>
      <c r="E80" s="15">
        <f>IFERROR(__xludf.DUMMYFUNCTION("""COMPUTED_VALUE"""),45575.0)</f>
        <v>45575</v>
      </c>
      <c r="F80" s="66"/>
      <c r="G80" s="18">
        <f>IFERROR(__xludf.DUMMYFUNCTION("""COMPUTED_VALUE"""),23.866666666666667)</f>
        <v>23.86666667</v>
      </c>
      <c r="H80" s="15">
        <f>IFERROR(__xludf.DUMMYFUNCTION("""COMPUTED_VALUE"""),44488.0)</f>
        <v>44488</v>
      </c>
      <c r="I80" s="18">
        <f>IFERROR(__xludf.DUMMYFUNCTION("""COMPUTED_VALUE"""),2.975)</f>
        <v>2.975</v>
      </c>
      <c r="J80" s="22">
        <f>IFERROR(__xludf.DUMMYFUNCTION("""COMPUTED_VALUE"""),85.0)</f>
        <v>85</v>
      </c>
      <c r="K80" s="22">
        <f>IFERROR(__xludf.DUMMYFUNCTION("""COMPUTED_VALUE"""),13.0)</f>
        <v>13</v>
      </c>
      <c r="L80" s="66" t="str">
        <f>IFERROR(__xludf.DUMMYFUNCTION("""COMPUTED_VALUE"""),"Card Battle")</f>
        <v>Card Battle</v>
      </c>
      <c r="M80" s="66"/>
      <c r="N80" s="66"/>
      <c r="O80" s="66"/>
      <c r="P80" s="66"/>
      <c r="Q80" s="66"/>
      <c r="R80" s="66"/>
      <c r="S80" s="66"/>
      <c r="T80" s="66"/>
      <c r="U80" s="66"/>
      <c r="V80" s="66"/>
      <c r="W80" s="66"/>
      <c r="X80" s="66"/>
      <c r="Y80" s="66"/>
      <c r="Z80" s="66"/>
      <c r="AA80" s="66"/>
      <c r="AB80" s="66"/>
      <c r="AC80" s="66"/>
    </row>
    <row r="81">
      <c r="A81" s="66" t="str">
        <f>IFERROR(__xludf.DUMMYFUNCTION("""COMPUTED_VALUE"""),"Legend of Mana (2021)")</f>
        <v>Legend of Mana (2021)</v>
      </c>
      <c r="B81" s="66" t="str">
        <f>IFERROR(__xludf.DUMMYFUNCTION("""COMPUTED_VALUE"""),"Xbox / PC")</f>
        <v>Xbox / PC</v>
      </c>
      <c r="C81" s="66" t="str">
        <f>IFERROR(__xludf.DUMMYFUNCTION("""COMPUTED_VALUE"""),"Yes")</f>
        <v>Yes</v>
      </c>
      <c r="D81" s="66" t="str">
        <f>IFERROR(__xludf.DUMMYFUNCTION("""COMPUTED_VALUE"""),"Active")</f>
        <v>Active</v>
      </c>
      <c r="E81" s="15">
        <f>IFERROR(__xludf.DUMMYFUNCTION("""COMPUTED_VALUE"""),45561.0)</f>
        <v>45561</v>
      </c>
      <c r="F81" s="66"/>
      <c r="G81" s="18">
        <f>IFERROR(__xludf.DUMMYFUNCTION("""COMPUTED_VALUE"""),24.333333333333332)</f>
        <v>24.33333333</v>
      </c>
      <c r="H81" s="15">
        <f>IFERROR(__xludf.DUMMYFUNCTION("""COMPUTED_VALUE"""),44371.0)</f>
        <v>44371</v>
      </c>
      <c r="I81" s="18">
        <f>IFERROR(__xludf.DUMMYFUNCTION("""COMPUTED_VALUE"""),3.2555555555555555)</f>
        <v>3.255555556</v>
      </c>
      <c r="J81" s="22">
        <f>IFERROR(__xludf.DUMMYFUNCTION("""COMPUTED_VALUE"""),72.0)</f>
        <v>72</v>
      </c>
      <c r="K81" s="22">
        <f>IFERROR(__xludf.DUMMYFUNCTION("""COMPUTED_VALUE"""),18.0)</f>
        <v>18</v>
      </c>
      <c r="L81" s="66" t="str">
        <f>IFERROR(__xludf.DUMMYFUNCTION("""COMPUTED_VALUE"""),"RPG")</f>
        <v>RPG</v>
      </c>
      <c r="M81" s="66"/>
      <c r="N81" s="66"/>
      <c r="O81" s="66"/>
      <c r="P81" s="66"/>
      <c r="Q81" s="66"/>
      <c r="R81" s="66"/>
      <c r="S81" s="66"/>
      <c r="T81" s="66"/>
      <c r="U81" s="66"/>
      <c r="V81" s="66"/>
      <c r="W81" s="66"/>
      <c r="X81" s="66"/>
      <c r="Y81" s="66"/>
      <c r="Z81" s="66"/>
      <c r="AA81" s="66"/>
      <c r="AB81" s="66"/>
      <c r="AC81" s="66"/>
    </row>
    <row r="82">
      <c r="A82" s="66" t="str">
        <f>IFERROR(__xludf.DUMMYFUNCTION("""COMPUTED_VALUE"""),"Trials of Mana (2020)")</f>
        <v>Trials of Mana (2020)</v>
      </c>
      <c r="B82" s="66" t="str">
        <f>IFERROR(__xludf.DUMMYFUNCTION("""COMPUTED_VALUE"""),"Xbox / PC")</f>
        <v>Xbox / PC</v>
      </c>
      <c r="C82" s="66" t="str">
        <f>IFERROR(__xludf.DUMMYFUNCTION("""COMPUTED_VALUE"""),"Yes")</f>
        <v>Yes</v>
      </c>
      <c r="D82" s="66" t="str">
        <f>IFERROR(__xludf.DUMMYFUNCTION("""COMPUTED_VALUE"""),"Active")</f>
        <v>Active</v>
      </c>
      <c r="E82" s="15">
        <f>IFERROR(__xludf.DUMMYFUNCTION("""COMPUTED_VALUE"""),45561.0)</f>
        <v>45561</v>
      </c>
      <c r="F82" s="66"/>
      <c r="G82" s="18">
        <f>IFERROR(__xludf.DUMMYFUNCTION("""COMPUTED_VALUE"""),24.333333333333332)</f>
        <v>24.33333333</v>
      </c>
      <c r="H82" s="15">
        <f>IFERROR(__xludf.DUMMYFUNCTION("""COMPUTED_VALUE"""),43945.0)</f>
        <v>43945</v>
      </c>
      <c r="I82" s="18">
        <f>IFERROR(__xludf.DUMMYFUNCTION("""COMPUTED_VALUE"""),4.4222222222222225)</f>
        <v>4.422222222</v>
      </c>
      <c r="J82" s="22">
        <f>IFERROR(__xludf.DUMMYFUNCTION("""COMPUTED_VALUE"""),76.0)</f>
        <v>76</v>
      </c>
      <c r="K82" s="22">
        <f>IFERROR(__xludf.DUMMYFUNCTION("""COMPUTED_VALUE"""),21.0)</f>
        <v>21</v>
      </c>
      <c r="L82" s="66" t="str">
        <f>IFERROR(__xludf.DUMMYFUNCTION("""COMPUTED_VALUE"""),"RPG")</f>
        <v>RPG</v>
      </c>
      <c r="M82" s="66"/>
      <c r="N82" s="66"/>
      <c r="O82" s="66"/>
      <c r="P82" s="66"/>
      <c r="Q82" s="66"/>
      <c r="R82" s="66"/>
      <c r="S82" s="66"/>
      <c r="T82" s="66"/>
      <c r="U82" s="66"/>
      <c r="V82" s="66"/>
      <c r="W82" s="66"/>
      <c r="X82" s="66"/>
      <c r="Y82" s="66"/>
      <c r="Z82" s="66"/>
      <c r="AA82" s="66"/>
      <c r="AB82" s="66"/>
      <c r="AC82" s="66"/>
    </row>
    <row r="83">
      <c r="A83" s="66" t="str">
        <f>IFERROR(__xludf.DUMMYFUNCTION("""COMPUTED_VALUE"""),"Ara: History Untold")</f>
        <v>Ara: History Untold</v>
      </c>
      <c r="B83" s="66" t="str">
        <f>IFERROR(__xludf.DUMMYFUNCTION("""COMPUTED_VALUE"""),"PC")</f>
        <v>PC</v>
      </c>
      <c r="C83" s="66"/>
      <c r="D83" s="66" t="str">
        <f>IFERROR(__xludf.DUMMYFUNCTION("""COMPUTED_VALUE"""),"Active")</f>
        <v>Active</v>
      </c>
      <c r="E83" s="15">
        <f>IFERROR(__xludf.DUMMYFUNCTION("""COMPUTED_VALUE"""),45559.0)</f>
        <v>45559</v>
      </c>
      <c r="F83" s="66"/>
      <c r="G83" s="18">
        <f>IFERROR(__xludf.DUMMYFUNCTION("""COMPUTED_VALUE"""),24.4)</f>
        <v>24.4</v>
      </c>
      <c r="H83" s="15">
        <f>IFERROR(__xludf.DUMMYFUNCTION("""COMPUTED_VALUE"""),45559.0)</f>
        <v>45559</v>
      </c>
      <c r="I83" s="18">
        <f>IFERROR(__xludf.DUMMYFUNCTION("""COMPUTED_VALUE"""),0.0)</f>
        <v>0</v>
      </c>
      <c r="J83" s="22">
        <f>IFERROR(__xludf.DUMMYFUNCTION("""COMPUTED_VALUE"""),76.0)</f>
        <v>76</v>
      </c>
      <c r="K83" s="22">
        <f>IFERROR(__xludf.DUMMYFUNCTION("""COMPUTED_VALUE"""),13.0)</f>
        <v>13</v>
      </c>
      <c r="L83" s="66" t="str">
        <f>IFERROR(__xludf.DUMMYFUNCTION("""COMPUTED_VALUE"""),"Strategy")</f>
        <v>Strategy</v>
      </c>
      <c r="M83" s="66"/>
      <c r="N83" s="66"/>
      <c r="O83" s="66"/>
      <c r="P83" s="66"/>
      <c r="Q83" s="66"/>
      <c r="R83" s="66"/>
      <c r="S83" s="66"/>
      <c r="T83" s="66"/>
      <c r="U83" s="66"/>
      <c r="V83" s="66"/>
      <c r="W83" s="66"/>
      <c r="X83" s="66"/>
      <c r="Y83" s="66"/>
      <c r="Z83" s="66"/>
      <c r="AA83" s="66"/>
      <c r="AB83" s="66"/>
      <c r="AC83" s="66"/>
    </row>
    <row r="84">
      <c r="A84" s="66" t="str">
        <f>IFERROR(__xludf.DUMMYFUNCTION("""COMPUTED_VALUE"""),"Riders Republic")</f>
        <v>Riders Republic</v>
      </c>
      <c r="B84" s="66" t="str">
        <f>IFERROR(__xludf.DUMMYFUNCTION("""COMPUTED_VALUE"""),"Xbox / PC")</f>
        <v>Xbox / PC</v>
      </c>
      <c r="C84" s="66" t="str">
        <f>IFERROR(__xludf.DUMMYFUNCTION("""COMPUTED_VALUE"""),"Yes")</f>
        <v>Yes</v>
      </c>
      <c r="D84" s="66" t="str">
        <f>IFERROR(__xludf.DUMMYFUNCTION("""COMPUTED_VALUE"""),"Active")</f>
        <v>Active</v>
      </c>
      <c r="E84" s="15">
        <f>IFERROR(__xludf.DUMMYFUNCTION("""COMPUTED_VALUE"""),45546.0)</f>
        <v>45546</v>
      </c>
      <c r="F84" s="66"/>
      <c r="G84" s="18">
        <f>IFERROR(__xludf.DUMMYFUNCTION("""COMPUTED_VALUE"""),24.833333333333336)</f>
        <v>24.83333333</v>
      </c>
      <c r="H84" s="15">
        <f>IFERROR(__xludf.DUMMYFUNCTION("""COMPUTED_VALUE"""),44497.0)</f>
        <v>44497</v>
      </c>
      <c r="I84" s="18">
        <f>IFERROR(__xludf.DUMMYFUNCTION("""COMPUTED_VALUE"""),2.8694444444444445)</f>
        <v>2.869444444</v>
      </c>
      <c r="J84" s="22">
        <f>IFERROR(__xludf.DUMMYFUNCTION("""COMPUTED_VALUE"""),77.0)</f>
        <v>77</v>
      </c>
      <c r="K84" s="22">
        <f>IFERROR(__xludf.DUMMYFUNCTION("""COMPUTED_VALUE"""),18.0)</f>
        <v>18</v>
      </c>
      <c r="L84" s="66" t="str">
        <f>IFERROR(__xludf.DUMMYFUNCTION("""COMPUTED_VALUE"""),"Sports")</f>
        <v>Sports</v>
      </c>
      <c r="M84" s="66"/>
      <c r="N84" s="66"/>
      <c r="O84" s="66"/>
      <c r="P84" s="66"/>
      <c r="Q84" s="66"/>
      <c r="R84" s="66"/>
      <c r="S84" s="66"/>
      <c r="T84" s="66"/>
      <c r="U84" s="66"/>
      <c r="V84" s="66"/>
      <c r="W84" s="66"/>
      <c r="X84" s="66"/>
      <c r="Y84" s="66"/>
      <c r="Z84" s="66"/>
      <c r="AA84" s="66"/>
      <c r="AB84" s="66"/>
      <c r="AC84" s="66"/>
    </row>
    <row r="85">
      <c r="A85" s="66" t="str">
        <f>IFERROR(__xludf.DUMMYFUNCTION("""COMPUTED_VALUE"""),"Wartales")</f>
        <v>Wartales</v>
      </c>
      <c r="B85" s="66" t="str">
        <f>IFERROR(__xludf.DUMMYFUNCTION("""COMPUTED_VALUE"""),"Xbox / PC")</f>
        <v>Xbox / PC</v>
      </c>
      <c r="C85" s="66" t="str">
        <f>IFERROR(__xludf.DUMMYFUNCTION("""COMPUTED_VALUE"""),"Yes")</f>
        <v>Yes</v>
      </c>
      <c r="D85" s="66" t="str">
        <f>IFERROR(__xludf.DUMMYFUNCTION("""COMPUTED_VALUE"""),"Active")</f>
        <v>Active</v>
      </c>
      <c r="E85" s="15">
        <f>IFERROR(__xludf.DUMMYFUNCTION("""COMPUTED_VALUE"""),45230.0)</f>
        <v>45230</v>
      </c>
      <c r="F85" s="66"/>
      <c r="G85" s="18">
        <f>IFERROR(__xludf.DUMMYFUNCTION("""COMPUTED_VALUE"""),35.199999999999996)</f>
        <v>35.2</v>
      </c>
      <c r="H85" s="15">
        <f>IFERROR(__xludf.DUMMYFUNCTION("""COMPUTED_VALUE"""),44531.0)</f>
        <v>44531</v>
      </c>
      <c r="I85" s="18">
        <f>IFERROR(__xludf.DUMMYFUNCTION("""COMPUTED_VALUE"""),1.913888888888889)</f>
        <v>1.913888889</v>
      </c>
      <c r="J85" s="22">
        <f>IFERROR(__xludf.DUMMYFUNCTION("""COMPUTED_VALUE"""),80.0)</f>
        <v>80</v>
      </c>
      <c r="K85" s="22">
        <f>IFERROR(__xludf.DUMMYFUNCTION("""COMPUTED_VALUE"""),38.0)</f>
        <v>38</v>
      </c>
      <c r="L85" s="66" t="str">
        <f>IFERROR(__xludf.DUMMYFUNCTION("""COMPUTED_VALUE"""),"RPG")</f>
        <v>RPG</v>
      </c>
      <c r="M85" s="66"/>
      <c r="N85" s="66" t="str">
        <f>IFERROR(__xludf.DUMMYFUNCTION("""COMPUTED_VALUE"""),"Joined xbox one ine June 2024")</f>
        <v>Joined xbox one ine June 2024</v>
      </c>
      <c r="O85" s="66"/>
      <c r="P85" s="66"/>
      <c r="Q85" s="66"/>
      <c r="R85" s="66"/>
      <c r="S85" s="66"/>
      <c r="T85" s="66"/>
      <c r="U85" s="66"/>
      <c r="V85" s="66"/>
      <c r="W85" s="66"/>
      <c r="X85" s="66"/>
      <c r="Y85" s="66"/>
      <c r="Z85" s="66"/>
      <c r="AA85" s="66"/>
      <c r="AB85" s="66"/>
      <c r="AC85" s="66"/>
    </row>
    <row r="86">
      <c r="A86" s="66" t="str">
        <f>IFERROR(__xludf.DUMMYFUNCTION("""COMPUTED_VALUE"""),"Cities: Skylines II")</f>
        <v>Cities: Skylines II</v>
      </c>
      <c r="B86" s="66" t="str">
        <f>IFERROR(__xludf.DUMMYFUNCTION("""COMPUTED_VALUE"""),"PC")</f>
        <v>PC</v>
      </c>
      <c r="C86" s="66"/>
      <c r="D86" s="66" t="str">
        <f>IFERROR(__xludf.DUMMYFUNCTION("""COMPUTED_VALUE"""),"Active")</f>
        <v>Active</v>
      </c>
      <c r="E86" s="15">
        <f>IFERROR(__xludf.DUMMYFUNCTION("""COMPUTED_VALUE"""),45223.0)</f>
        <v>45223</v>
      </c>
      <c r="F86" s="66"/>
      <c r="G86" s="18">
        <f>IFERROR(__xludf.DUMMYFUNCTION("""COMPUTED_VALUE"""),35.400000000000006)</f>
        <v>35.4</v>
      </c>
      <c r="H86" s="15">
        <f>IFERROR(__xludf.DUMMYFUNCTION("""COMPUTED_VALUE"""),45223.0)</f>
        <v>45223</v>
      </c>
      <c r="I86" s="18">
        <f>IFERROR(__xludf.DUMMYFUNCTION("""COMPUTED_VALUE"""),0.0)</f>
        <v>0</v>
      </c>
      <c r="J86" s="22">
        <f>IFERROR(__xludf.DUMMYFUNCTION("""COMPUTED_VALUE"""),75.0)</f>
        <v>75</v>
      </c>
      <c r="K86" s="22">
        <f>IFERROR(__xludf.DUMMYFUNCTION("""COMPUTED_VALUE"""),25.0)</f>
        <v>25</v>
      </c>
      <c r="L86" s="66" t="str">
        <f>IFERROR(__xludf.DUMMYFUNCTION("""COMPUTED_VALUE"""),"Simulation")</f>
        <v>Simulation</v>
      </c>
      <c r="M86" s="66"/>
      <c r="N86" s="66"/>
      <c r="O86" s="66" t="str">
        <f>IFERROR(__xludf.DUMMYFUNCTION("""COMPUTED_VALUE"""),"RP")</f>
        <v>RP</v>
      </c>
      <c r="P86" s="66"/>
      <c r="Q86" s="66"/>
      <c r="R86" s="66"/>
      <c r="S86" s="66"/>
      <c r="T86" s="66"/>
      <c r="U86" s="66"/>
      <c r="V86" s="66"/>
      <c r="W86" s="66"/>
      <c r="X86" s="66"/>
      <c r="Y86" s="66"/>
      <c r="Z86" s="66"/>
      <c r="AA86" s="66"/>
      <c r="AB86" s="66"/>
      <c r="AC86" s="66"/>
    </row>
    <row r="87">
      <c r="A87" s="66" t="str">
        <f>IFERROR(__xludf.DUMMYFUNCTION("""COMPUTED_VALUE"""),"Chivalry II")</f>
        <v>Chivalry II</v>
      </c>
      <c r="B87" s="66" t="str">
        <f>IFERROR(__xludf.DUMMYFUNCTION("""COMPUTED_VALUE"""),"Xbox / PC")</f>
        <v>Xbox / PC</v>
      </c>
      <c r="C87" s="66" t="str">
        <f>IFERROR(__xludf.DUMMYFUNCTION("""COMPUTED_VALUE"""),"Yes")</f>
        <v>Yes</v>
      </c>
      <c r="D87" s="66" t="str">
        <f>IFERROR(__xludf.DUMMYFUNCTION("""COMPUTED_VALUE"""),"Active")</f>
        <v>Active</v>
      </c>
      <c r="E87" s="15">
        <f>IFERROR(__xludf.DUMMYFUNCTION("""COMPUTED_VALUE"""),44838.0)</f>
        <v>44838</v>
      </c>
      <c r="F87" s="66"/>
      <c r="G87" s="18">
        <f>IFERROR(__xludf.DUMMYFUNCTION("""COMPUTED_VALUE"""),48.06666666666666)</f>
        <v>48.06666667</v>
      </c>
      <c r="H87" s="15">
        <f>IFERROR(__xludf.DUMMYFUNCTION("""COMPUTED_VALUE"""),44355.0)</f>
        <v>44355</v>
      </c>
      <c r="I87" s="18">
        <f>IFERROR(__xludf.DUMMYFUNCTION("""COMPUTED_VALUE"""),1.3222222222222222)</f>
        <v>1.322222222</v>
      </c>
      <c r="J87" s="22">
        <f>IFERROR(__xludf.DUMMYFUNCTION("""COMPUTED_VALUE"""),82.0)</f>
        <v>82</v>
      </c>
      <c r="K87" s="22">
        <f>IFERROR(__xludf.DUMMYFUNCTION("""COMPUTED_VALUE"""),42.5)</f>
        <v>42.5</v>
      </c>
      <c r="L87" s="66" t="str">
        <f>IFERROR(__xludf.DUMMYFUNCTION("""COMPUTED_VALUE"""),"Action")</f>
        <v>Action</v>
      </c>
      <c r="M87" s="66"/>
      <c r="N87" s="66" t="str">
        <f>IFERROR(__xludf.DUMMYFUNCTION("""COMPUTED_VALUE"""),"Game Pass Essential (12/6/23)")</f>
        <v>Game Pass Essential (12/6/23)</v>
      </c>
      <c r="O87" s="66" t="str">
        <f>IFERROR(__xludf.DUMMYFUNCTION("""COMPUTED_VALUE"""),"M")</f>
        <v>M</v>
      </c>
      <c r="P87" s="66" t="str">
        <f>IFERROR(__xludf.DUMMYFUNCTION("""COMPUTED_VALUE"""),"Use of Alcohol, Blood and Gore, Mild Sexual Themes, Language, Intense Violence")</f>
        <v>Use of Alcohol, Blood and Gore, Mild Sexual Themes, Language, Intense Violence</v>
      </c>
      <c r="Q87" s="66"/>
      <c r="R87" s="66"/>
      <c r="S87" s="66"/>
      <c r="T87" s="66"/>
      <c r="U87" s="66"/>
      <c r="V87" s="66"/>
      <c r="W87" s="66"/>
      <c r="X87" s="66"/>
      <c r="Y87" s="66"/>
      <c r="Z87" s="66"/>
      <c r="AA87" s="66"/>
      <c r="AB87" s="66"/>
      <c r="AC87" s="66"/>
    </row>
    <row r="88">
      <c r="A88" s="66" t="str">
        <f>IFERROR(__xludf.DUMMYFUNCTION("""COMPUTED_VALUE"""),"Assassin's Creed Odyssey")</f>
        <v>Assassin's Creed Odyssey</v>
      </c>
      <c r="B88" s="66" t="str">
        <f>IFERROR(__xludf.DUMMYFUNCTION("""COMPUTED_VALUE"""),"Xbox / PC")</f>
        <v>Xbox / PC</v>
      </c>
      <c r="C88" s="66" t="str">
        <f>IFERROR(__xludf.DUMMYFUNCTION("""COMPUTED_VALUE"""),"Touch Controls")</f>
        <v>Touch Controls</v>
      </c>
      <c r="D88" s="66" t="str">
        <f>IFERROR(__xludf.DUMMYFUNCTION("""COMPUTED_VALUE"""),"Active")</f>
        <v>Active</v>
      </c>
      <c r="E88" s="15">
        <f>IFERROR(__xludf.DUMMYFUNCTION("""COMPUTED_VALUE"""),44819.0)</f>
        <v>44819</v>
      </c>
      <c r="F88" s="66"/>
      <c r="G88" s="18">
        <f>IFERROR(__xludf.DUMMYFUNCTION("""COMPUTED_VALUE"""),48.7)</f>
        <v>48.7</v>
      </c>
      <c r="H88" s="15">
        <f>IFERROR(__xludf.DUMMYFUNCTION("""COMPUTED_VALUE"""),43375.0)</f>
        <v>43375</v>
      </c>
      <c r="I88" s="18">
        <f>IFERROR(__xludf.DUMMYFUNCTION("""COMPUTED_VALUE"""),3.952777777777778)</f>
        <v>3.952777778</v>
      </c>
      <c r="J88" s="22">
        <f>IFERROR(__xludf.DUMMYFUNCTION("""COMPUTED_VALUE"""),87.0)</f>
        <v>87</v>
      </c>
      <c r="K88" s="22">
        <f>IFERROR(__xludf.DUMMYFUNCTION("""COMPUTED_VALUE"""),44.5)</f>
        <v>44.5</v>
      </c>
      <c r="L88" s="66" t="str">
        <f>IFERROR(__xludf.DUMMYFUNCTION("""COMPUTED_VALUE"""),"RPG")</f>
        <v>RPG</v>
      </c>
      <c r="M88" s="66"/>
      <c r="N88" s="66" t="str">
        <f>IFERROR(__xludf.DUMMYFUNCTION("""COMPUTED_VALUE"""),"Ubisoft Connect launcher")</f>
        <v>Ubisoft Connect launcher</v>
      </c>
      <c r="O88" s="66" t="str">
        <f>IFERROR(__xludf.DUMMYFUNCTION("""COMPUTED_VALUE"""),"M")</f>
        <v>M</v>
      </c>
      <c r="P88" s="66" t="str">
        <f>IFERROR(__xludf.DUMMYFUNCTION("""COMPUTED_VALUE"""),"Blood and Gore, Sexual Themes, Strong Language, Intense Violence")</f>
        <v>Blood and Gore, Sexual Themes, Strong Language, Intense Violence</v>
      </c>
      <c r="Q88" s="66"/>
      <c r="R88" s="66"/>
      <c r="S88" s="66"/>
      <c r="T88" s="66"/>
      <c r="U88" s="66"/>
      <c r="V88" s="66"/>
      <c r="W88" s="66"/>
      <c r="X88" s="66"/>
      <c r="Y88" s="66"/>
      <c r="Z88" s="66"/>
      <c r="AA88" s="66"/>
      <c r="AB88" s="66"/>
      <c r="AC88" s="66"/>
    </row>
    <row r="89">
      <c r="A89" s="66" t="str">
        <f>IFERROR(__xludf.DUMMYFUNCTION("""COMPUTED_VALUE"""),"Ni no Kuni: Wrath of the White Witch - Remastered")</f>
        <v>Ni no Kuni: Wrath of the White Witch - Remastered</v>
      </c>
      <c r="B89" s="66" t="str">
        <f>IFERROR(__xludf.DUMMYFUNCTION("""COMPUTED_VALUE"""),"Xbox / PC")</f>
        <v>Xbox / PC</v>
      </c>
      <c r="C89" s="66" t="str">
        <f>IFERROR(__xludf.DUMMYFUNCTION("""COMPUTED_VALUE"""),"Touch Controls")</f>
        <v>Touch Controls</v>
      </c>
      <c r="D89" s="66" t="str">
        <f>IFERROR(__xludf.DUMMYFUNCTION("""COMPUTED_VALUE"""),"Active")</f>
        <v>Active</v>
      </c>
      <c r="E89" s="15">
        <f>IFERROR(__xludf.DUMMYFUNCTION("""COMPUTED_VALUE"""),44819.0)</f>
        <v>44819</v>
      </c>
      <c r="F89" s="66"/>
      <c r="G89" s="18">
        <f>IFERROR(__xludf.DUMMYFUNCTION("""COMPUTED_VALUE"""),48.7)</f>
        <v>48.7</v>
      </c>
      <c r="H89" s="15">
        <f>IFERROR(__xludf.DUMMYFUNCTION("""COMPUTED_VALUE"""),43728.0)</f>
        <v>43728</v>
      </c>
      <c r="I89" s="18">
        <f>IFERROR(__xludf.DUMMYFUNCTION("""COMPUTED_VALUE"""),2.986111111111111)</f>
        <v>2.986111111</v>
      </c>
      <c r="J89" s="22">
        <f>IFERROR(__xludf.DUMMYFUNCTION("""COMPUTED_VALUE"""),82.0)</f>
        <v>82</v>
      </c>
      <c r="K89" s="22">
        <f>IFERROR(__xludf.DUMMYFUNCTION("""COMPUTED_VALUE"""),44.5)</f>
        <v>44.5</v>
      </c>
      <c r="L89" s="66" t="str">
        <f>IFERROR(__xludf.DUMMYFUNCTION("""COMPUTED_VALUE"""),"RPG")</f>
        <v>RPG</v>
      </c>
      <c r="M89" s="66"/>
      <c r="N89" s="66"/>
      <c r="O89" s="66" t="str">
        <f>IFERROR(__xludf.DUMMYFUNCTION("""COMPUTED_VALUE"""),"E10+")</f>
        <v>E10+</v>
      </c>
      <c r="P89" s="66" t="str">
        <f>IFERROR(__xludf.DUMMYFUNCTION("""COMPUTED_VALUE"""),"Fantasy Violence, Mild Language, Simulated Gambling, Alcohol and Tobacco Reference")</f>
        <v>Fantasy Violence, Mild Language, Simulated Gambling, Alcohol and Tobacco Reference</v>
      </c>
      <c r="Q89" s="66"/>
      <c r="R89" s="66"/>
      <c r="S89" s="66"/>
      <c r="T89" s="66"/>
      <c r="U89" s="66"/>
      <c r="V89" s="66"/>
      <c r="W89" s="66"/>
      <c r="X89" s="66"/>
      <c r="Y89" s="66"/>
      <c r="Z89" s="66"/>
      <c r="AA89" s="66"/>
      <c r="AB89" s="66"/>
      <c r="AC89" s="66"/>
    </row>
    <row r="90">
      <c r="A90" s="66" t="str">
        <f>IFERROR(__xludf.DUMMYFUNCTION("""COMPUTED_VALUE"""),"Deep Rock Galactic")</f>
        <v>Deep Rock Galactic</v>
      </c>
      <c r="B90" s="66" t="str">
        <f>IFERROR(__xludf.DUMMYFUNCTION("""COMPUTED_VALUE"""),"Xbox / PC")</f>
        <v>Xbox / PC</v>
      </c>
      <c r="C90" s="66" t="str">
        <f>IFERROR(__xludf.DUMMYFUNCTION("""COMPUTED_VALUE"""),"M+KB")</f>
        <v>M+KB</v>
      </c>
      <c r="D90" s="66" t="str">
        <f>IFERROR(__xludf.DUMMYFUNCTION("""COMPUTED_VALUE"""),"Active")</f>
        <v>Active</v>
      </c>
      <c r="E90" s="15">
        <f>IFERROR(__xludf.DUMMYFUNCTION("""COMPUTED_VALUE"""),44140.0)</f>
        <v>44140</v>
      </c>
      <c r="F90" s="66"/>
      <c r="G90" s="18">
        <f>IFERROR(__xludf.DUMMYFUNCTION("""COMPUTED_VALUE"""),71.03333333333333)</f>
        <v>71.03333333</v>
      </c>
      <c r="H90" s="15">
        <f>IFERROR(__xludf.DUMMYFUNCTION("""COMPUTED_VALUE"""),43964.0)</f>
        <v>43964</v>
      </c>
      <c r="I90" s="18">
        <f>IFERROR(__xludf.DUMMYFUNCTION("""COMPUTED_VALUE"""),0.4777777777777778)</f>
        <v>0.4777777778</v>
      </c>
      <c r="J90" s="22">
        <f>IFERROR(__xludf.DUMMYFUNCTION("""COMPUTED_VALUE"""),84.0)</f>
        <v>84</v>
      </c>
      <c r="K90" s="22">
        <f>IFERROR(__xludf.DUMMYFUNCTION("""COMPUTED_VALUE"""),119.0)</f>
        <v>119</v>
      </c>
      <c r="L90" s="66" t="str">
        <f>IFERROR(__xludf.DUMMYFUNCTION("""COMPUTED_VALUE"""),"Shooter")</f>
        <v>Shooter</v>
      </c>
      <c r="M90" s="66"/>
      <c r="N90" s="66" t="str">
        <f>IFERROR(__xludf.DUMMYFUNCTION("""COMPUTED_VALUE"""),"Game Pass Essential (4/23/24)")</f>
        <v>Game Pass Essential (4/23/24)</v>
      </c>
      <c r="O90" s="66" t="str">
        <f>IFERROR(__xludf.DUMMYFUNCTION("""COMPUTED_VALUE"""),"T")</f>
        <v>T</v>
      </c>
      <c r="P90" s="66"/>
      <c r="Q90" s="66"/>
      <c r="R90" s="66"/>
      <c r="S90" s="66"/>
      <c r="T90" s="66"/>
      <c r="U90" s="66"/>
      <c r="V90" s="66"/>
      <c r="W90" s="66"/>
      <c r="X90" s="66"/>
      <c r="Y90" s="66"/>
      <c r="Z90" s="66"/>
      <c r="AA90" s="66"/>
      <c r="AB90" s="66"/>
      <c r="AC90" s="66"/>
    </row>
    <row r="91">
      <c r="A91" s="66" t="str">
        <f>IFERROR(__xludf.DUMMYFUNCTION("""COMPUTED_VALUE"""),"Tom Clancy's Rainbow Six: Siege - Deluxe Edition")</f>
        <v>Tom Clancy's Rainbow Six: Siege - Deluxe Edition</v>
      </c>
      <c r="B91" s="66" t="str">
        <f>IFERROR(__xludf.DUMMYFUNCTION("""COMPUTED_VALUE"""),"Xbox / PC")</f>
        <v>Xbox / PC</v>
      </c>
      <c r="C91" s="66" t="str">
        <f>IFERROR(__xludf.DUMMYFUNCTION("""COMPUTED_VALUE"""),"Yes")</f>
        <v>Yes</v>
      </c>
      <c r="D91" s="66" t="str">
        <f>IFERROR(__xludf.DUMMYFUNCTION("""COMPUTED_VALUE"""),"Active")</f>
        <v>Active</v>
      </c>
      <c r="E91" s="15">
        <f>IFERROR(__xludf.DUMMYFUNCTION("""COMPUTED_VALUE"""),44126.0)</f>
        <v>44126</v>
      </c>
      <c r="F91" s="66"/>
      <c r="G91" s="18">
        <f>IFERROR(__xludf.DUMMYFUNCTION("""COMPUTED_VALUE"""),71.46666666666667)</f>
        <v>71.46666667</v>
      </c>
      <c r="H91" s="15">
        <f>IFERROR(__xludf.DUMMYFUNCTION("""COMPUTED_VALUE"""),42339.0)</f>
        <v>42339</v>
      </c>
      <c r="I91" s="18">
        <f>IFERROR(__xludf.DUMMYFUNCTION("""COMPUTED_VALUE"""),4.891666666666667)</f>
        <v>4.891666667</v>
      </c>
      <c r="J91" s="22">
        <f>IFERROR(__xludf.DUMMYFUNCTION("""COMPUTED_VALUE"""),74.0)</f>
        <v>74</v>
      </c>
      <c r="K91" s="22">
        <f>IFERROR(__xludf.DUMMYFUNCTION("""COMPUTED_VALUE"""),7.5)</f>
        <v>7.5</v>
      </c>
      <c r="L91" s="66" t="str">
        <f>IFERROR(__xludf.DUMMYFUNCTION("""COMPUTED_VALUE"""),"Shooter")</f>
        <v>Shooter</v>
      </c>
      <c r="M91" s="66" t="str">
        <f>IFERROR(__xludf.DUMMYFUNCTION("""COMPUTED_VALUE"""),"Optimized")</f>
        <v>Optimized</v>
      </c>
      <c r="N91" s="66" t="str">
        <f>IFERROR(__xludf.DUMMYFUNCTION("""COMPUTED_VALUE"""),"Ubisoft Connect launcher, joined PC 1/20/21")</f>
        <v>Ubisoft Connect launcher, joined PC 1/20/21</v>
      </c>
      <c r="O91" s="66" t="str">
        <f>IFERROR(__xludf.DUMMYFUNCTION("""COMPUTED_VALUE"""),"M")</f>
        <v>M</v>
      </c>
      <c r="P91" s="66" t="str">
        <f>IFERROR(__xludf.DUMMYFUNCTION("""COMPUTED_VALUE"""),"Blood, Drug Reference, Strong Language, Violence")</f>
        <v>Blood, Drug Reference, Strong Language, Violence</v>
      </c>
      <c r="Q91" s="66"/>
      <c r="R91" s="66"/>
      <c r="S91" s="66"/>
      <c r="T91" s="66"/>
      <c r="U91" s="66"/>
      <c r="V91" s="66"/>
      <c r="W91" s="66"/>
      <c r="X91" s="66"/>
      <c r="Y91" s="66"/>
      <c r="Z91" s="66"/>
      <c r="AA91" s="66"/>
      <c r="AB91" s="66"/>
      <c r="AC91" s="66"/>
    </row>
    <row r="92">
      <c r="A92" s="66"/>
      <c r="B92" s="66"/>
      <c r="C92" s="66"/>
      <c r="D92" s="66"/>
      <c r="E92" s="15"/>
      <c r="F92" s="66"/>
      <c r="G92" s="18"/>
      <c r="H92" s="15"/>
      <c r="I92" s="18"/>
      <c r="J92" s="22"/>
      <c r="K92" s="108"/>
      <c r="L92" s="66"/>
      <c r="M92" s="66"/>
      <c r="N92" s="66"/>
      <c r="O92" s="66"/>
      <c r="P92" s="66"/>
      <c r="Q92" s="66"/>
      <c r="R92" s="66"/>
      <c r="S92" s="66"/>
      <c r="T92" s="66"/>
      <c r="U92" s="66"/>
      <c r="V92" s="66"/>
      <c r="W92" s="66"/>
      <c r="X92" s="66"/>
      <c r="Y92" s="66"/>
      <c r="Z92" s="66"/>
      <c r="AA92" s="66"/>
      <c r="AB92" s="66"/>
      <c r="AC92" s="66"/>
    </row>
    <row r="93">
      <c r="A93" s="66"/>
      <c r="B93" s="66"/>
      <c r="C93" s="66"/>
      <c r="D93" s="66"/>
      <c r="E93" s="15"/>
      <c r="F93" s="66"/>
      <c r="G93" s="18"/>
      <c r="H93" s="15"/>
      <c r="I93" s="18"/>
      <c r="J93" s="22"/>
      <c r="K93" s="108"/>
      <c r="L93" s="66"/>
      <c r="M93" s="66"/>
      <c r="N93" s="66"/>
      <c r="O93" s="66"/>
      <c r="P93" s="66"/>
      <c r="Q93" s="66"/>
      <c r="R93" s="66"/>
      <c r="S93" s="66"/>
      <c r="T93" s="66"/>
      <c r="U93" s="66"/>
      <c r="V93" s="66"/>
      <c r="W93" s="66"/>
      <c r="X93" s="66"/>
      <c r="Y93" s="66"/>
      <c r="Z93" s="66"/>
      <c r="AA93" s="66"/>
      <c r="AB93" s="66"/>
      <c r="AC93" s="66"/>
    </row>
    <row r="94">
      <c r="A94" s="66"/>
      <c r="B94" s="66"/>
      <c r="C94" s="66"/>
      <c r="D94" s="66"/>
      <c r="E94" s="15"/>
      <c r="F94" s="66"/>
      <c r="G94" s="18"/>
      <c r="H94" s="15"/>
      <c r="I94" s="18"/>
      <c r="J94" s="22"/>
      <c r="K94" s="108"/>
      <c r="L94" s="66"/>
      <c r="M94" s="66"/>
      <c r="N94" s="66"/>
      <c r="O94" s="66"/>
      <c r="P94" s="66"/>
      <c r="Q94" s="66"/>
      <c r="R94" s="66"/>
      <c r="S94" s="66"/>
      <c r="T94" s="66"/>
      <c r="U94" s="66"/>
      <c r="V94" s="66"/>
      <c r="W94" s="66"/>
      <c r="X94" s="66"/>
      <c r="Y94" s="66"/>
      <c r="Z94" s="66"/>
      <c r="AA94" s="66"/>
      <c r="AB94" s="66"/>
      <c r="AC94" s="66"/>
    </row>
    <row r="95">
      <c r="A95" s="66"/>
      <c r="B95" s="66"/>
      <c r="C95" s="66"/>
      <c r="D95" s="66"/>
      <c r="E95" s="15"/>
      <c r="F95" s="66"/>
      <c r="G95" s="18"/>
      <c r="H95" s="15"/>
      <c r="I95" s="18"/>
      <c r="J95" s="22"/>
      <c r="K95" s="108"/>
      <c r="L95" s="66"/>
      <c r="M95" s="66"/>
      <c r="N95" s="66"/>
      <c r="O95" s="66"/>
      <c r="P95" s="66"/>
      <c r="Q95" s="66"/>
      <c r="R95" s="66"/>
      <c r="S95" s="66"/>
      <c r="T95" s="66"/>
      <c r="U95" s="66"/>
      <c r="V95" s="66"/>
      <c r="W95" s="66"/>
      <c r="X95" s="66"/>
      <c r="Y95" s="66"/>
      <c r="Z95" s="66"/>
      <c r="AA95" s="66"/>
      <c r="AB95" s="66"/>
      <c r="AC95" s="66"/>
    </row>
    <row r="96">
      <c r="A96" s="66"/>
      <c r="B96" s="66"/>
      <c r="C96" s="66"/>
      <c r="D96" s="66"/>
      <c r="E96" s="15"/>
      <c r="F96" s="66"/>
      <c r="G96" s="18"/>
      <c r="H96" s="15"/>
      <c r="I96" s="18"/>
      <c r="J96" s="22"/>
      <c r="K96" s="108"/>
      <c r="L96" s="66"/>
      <c r="M96" s="66"/>
      <c r="N96" s="66"/>
      <c r="O96" s="66"/>
      <c r="P96" s="66"/>
      <c r="Q96" s="66"/>
      <c r="R96" s="66"/>
      <c r="S96" s="66"/>
      <c r="T96" s="66"/>
      <c r="U96" s="66"/>
      <c r="V96" s="66"/>
      <c r="W96" s="66"/>
      <c r="X96" s="66"/>
      <c r="Y96" s="66"/>
      <c r="Z96" s="66"/>
      <c r="AA96" s="66"/>
      <c r="AB96" s="66"/>
      <c r="AC96" s="66"/>
    </row>
    <row r="97">
      <c r="A97" s="66"/>
      <c r="B97" s="66"/>
      <c r="C97" s="66"/>
      <c r="D97" s="66"/>
      <c r="E97" s="15"/>
      <c r="F97" s="66"/>
      <c r="G97" s="18"/>
      <c r="H97" s="15"/>
      <c r="I97" s="18"/>
      <c r="J97" s="22"/>
      <c r="K97" s="108"/>
      <c r="L97" s="66"/>
      <c r="M97" s="66"/>
      <c r="N97" s="66"/>
      <c r="O97" s="66"/>
      <c r="P97" s="66"/>
      <c r="Q97" s="66"/>
      <c r="R97" s="66"/>
      <c r="S97" s="66"/>
      <c r="T97" s="66"/>
      <c r="U97" s="66"/>
      <c r="V97" s="66"/>
      <c r="W97" s="66"/>
      <c r="X97" s="66"/>
      <c r="Y97" s="66"/>
      <c r="Z97" s="66"/>
      <c r="AA97" s="66"/>
      <c r="AB97" s="66"/>
      <c r="AC97" s="66"/>
    </row>
    <row r="98">
      <c r="A98" s="66"/>
      <c r="B98" s="66"/>
      <c r="C98" s="66"/>
      <c r="D98" s="66"/>
      <c r="E98" s="15"/>
      <c r="F98" s="66"/>
      <c r="G98" s="18"/>
      <c r="H98" s="15"/>
      <c r="I98" s="18"/>
      <c r="J98" s="22"/>
      <c r="K98" s="108"/>
      <c r="L98" s="66"/>
      <c r="M98" s="66"/>
      <c r="N98" s="66"/>
      <c r="O98" s="66"/>
      <c r="P98" s="66"/>
      <c r="Q98" s="66"/>
      <c r="R98" s="66"/>
      <c r="S98" s="66"/>
      <c r="T98" s="66"/>
      <c r="U98" s="66"/>
      <c r="V98" s="66"/>
      <c r="W98" s="66"/>
      <c r="X98" s="66"/>
      <c r="Y98" s="66"/>
      <c r="Z98" s="66"/>
      <c r="AA98" s="66"/>
      <c r="AB98" s="66"/>
      <c r="AC98" s="66"/>
    </row>
    <row r="99">
      <c r="A99" s="66"/>
      <c r="B99" s="66"/>
      <c r="C99" s="66"/>
      <c r="D99" s="66"/>
      <c r="E99" s="15"/>
      <c r="F99" s="66"/>
      <c r="G99" s="18"/>
      <c r="H99" s="15"/>
      <c r="I99" s="18"/>
      <c r="J99" s="22"/>
      <c r="K99" s="108"/>
      <c r="L99" s="66"/>
      <c r="M99" s="66"/>
      <c r="N99" s="66"/>
      <c r="O99" s="66"/>
      <c r="P99" s="66"/>
      <c r="Q99" s="66"/>
      <c r="R99" s="66"/>
      <c r="S99" s="66"/>
      <c r="T99" s="66"/>
      <c r="U99" s="66"/>
      <c r="V99" s="66"/>
      <c r="W99" s="66"/>
      <c r="X99" s="66"/>
      <c r="Y99" s="66"/>
      <c r="Z99" s="66"/>
      <c r="AA99" s="66"/>
      <c r="AB99" s="66"/>
      <c r="AC99" s="66"/>
    </row>
    <row r="100">
      <c r="A100" s="66"/>
      <c r="B100" s="66"/>
      <c r="C100" s="66"/>
      <c r="D100" s="66"/>
      <c r="E100" s="15"/>
      <c r="F100" s="66"/>
      <c r="G100" s="18"/>
      <c r="H100" s="15"/>
      <c r="I100" s="18"/>
      <c r="J100" s="22"/>
      <c r="K100" s="108"/>
      <c r="L100" s="66"/>
      <c r="M100" s="66"/>
      <c r="N100" s="66"/>
      <c r="O100" s="66"/>
      <c r="P100" s="66"/>
      <c r="Q100" s="66"/>
      <c r="R100" s="66"/>
      <c r="S100" s="66"/>
      <c r="T100" s="66"/>
      <c r="U100" s="66"/>
      <c r="V100" s="66"/>
      <c r="W100" s="66"/>
      <c r="X100" s="66"/>
      <c r="Y100" s="66"/>
      <c r="Z100" s="66"/>
      <c r="AA100" s="66"/>
      <c r="AB100" s="66"/>
      <c r="AC100" s="66"/>
    </row>
    <row r="101">
      <c r="A101" s="66"/>
      <c r="B101" s="66"/>
      <c r="C101" s="66"/>
      <c r="D101" s="66"/>
      <c r="E101" s="15"/>
      <c r="F101" s="66"/>
      <c r="G101" s="18"/>
      <c r="H101" s="15"/>
      <c r="I101" s="18"/>
      <c r="J101" s="22"/>
      <c r="K101" s="108"/>
      <c r="L101" s="66"/>
      <c r="M101" s="66"/>
      <c r="N101" s="66"/>
      <c r="O101" s="66"/>
      <c r="P101" s="66"/>
      <c r="Q101" s="66"/>
      <c r="R101" s="66"/>
      <c r="S101" s="66"/>
      <c r="T101" s="66"/>
      <c r="U101" s="66"/>
      <c r="V101" s="66"/>
      <c r="W101" s="66"/>
      <c r="X101" s="66"/>
      <c r="Y101" s="66"/>
      <c r="Z101" s="66"/>
      <c r="AA101" s="66"/>
      <c r="AB101" s="66"/>
      <c r="AC101" s="66"/>
    </row>
    <row r="102">
      <c r="A102" s="66"/>
      <c r="B102" s="66"/>
      <c r="C102" s="66"/>
      <c r="D102" s="66"/>
      <c r="E102" s="15"/>
      <c r="F102" s="66"/>
      <c r="G102" s="18"/>
      <c r="H102" s="15"/>
      <c r="I102" s="18"/>
      <c r="J102" s="22"/>
      <c r="K102" s="108"/>
      <c r="L102" s="66"/>
      <c r="M102" s="66"/>
      <c r="N102" s="66"/>
      <c r="O102" s="66"/>
      <c r="P102" s="66"/>
      <c r="Q102" s="66"/>
      <c r="R102" s="66"/>
      <c r="S102" s="66"/>
      <c r="T102" s="66"/>
      <c r="U102" s="66"/>
      <c r="V102" s="66"/>
      <c r="W102" s="66"/>
      <c r="X102" s="66"/>
      <c r="Y102" s="66"/>
      <c r="Z102" s="66"/>
      <c r="AA102" s="66"/>
      <c r="AB102" s="66"/>
      <c r="AC102" s="66"/>
    </row>
    <row r="103">
      <c r="A103" s="66"/>
      <c r="B103" s="66"/>
      <c r="C103" s="66"/>
      <c r="D103" s="66"/>
      <c r="E103" s="15"/>
      <c r="F103" s="66"/>
      <c r="G103" s="18"/>
      <c r="H103" s="15"/>
      <c r="I103" s="18"/>
      <c r="J103" s="22"/>
      <c r="K103" s="108"/>
      <c r="L103" s="66"/>
      <c r="M103" s="66"/>
      <c r="N103" s="66"/>
      <c r="O103" s="66"/>
      <c r="P103" s="66"/>
      <c r="Q103" s="66"/>
      <c r="R103" s="66"/>
      <c r="S103" s="66"/>
      <c r="T103" s="66"/>
      <c r="U103" s="66"/>
      <c r="V103" s="66"/>
      <c r="W103" s="66"/>
      <c r="X103" s="66"/>
      <c r="Y103" s="66"/>
      <c r="Z103" s="66"/>
      <c r="AA103" s="66"/>
      <c r="AB103" s="66"/>
      <c r="AC103" s="66"/>
    </row>
    <row r="104">
      <c r="A104" s="66"/>
      <c r="B104" s="66"/>
      <c r="C104" s="66"/>
      <c r="D104" s="66"/>
      <c r="E104" s="15"/>
      <c r="F104" s="66"/>
      <c r="G104" s="18"/>
      <c r="H104" s="15"/>
      <c r="I104" s="18"/>
      <c r="J104" s="22"/>
      <c r="K104" s="108"/>
      <c r="L104" s="66"/>
      <c r="M104" s="66"/>
      <c r="N104" s="66"/>
      <c r="O104" s="66"/>
      <c r="P104" s="66"/>
      <c r="Q104" s="66"/>
      <c r="R104" s="66"/>
      <c r="S104" s="66"/>
      <c r="T104" s="66"/>
      <c r="U104" s="66"/>
      <c r="V104" s="66"/>
      <c r="W104" s="66"/>
      <c r="X104" s="66"/>
      <c r="Y104" s="66"/>
      <c r="Z104" s="66"/>
      <c r="AA104" s="66"/>
      <c r="AB104" s="66"/>
      <c r="AC104" s="66"/>
    </row>
    <row r="105">
      <c r="A105" s="66"/>
      <c r="B105" s="66"/>
      <c r="C105" s="66"/>
      <c r="D105" s="66"/>
      <c r="E105" s="15"/>
      <c r="F105" s="66"/>
      <c r="G105" s="18"/>
      <c r="H105" s="15"/>
      <c r="I105" s="18"/>
      <c r="J105" s="22"/>
      <c r="K105" s="108"/>
      <c r="L105" s="66"/>
      <c r="M105" s="66"/>
      <c r="N105" s="66"/>
      <c r="O105" s="66"/>
      <c r="P105" s="66"/>
      <c r="Q105" s="66"/>
      <c r="R105" s="66"/>
      <c r="S105" s="66"/>
      <c r="T105" s="66"/>
      <c r="U105" s="66"/>
      <c r="V105" s="66"/>
      <c r="W105" s="66"/>
      <c r="X105" s="66"/>
      <c r="Y105" s="66"/>
      <c r="Z105" s="66"/>
      <c r="AA105" s="66"/>
      <c r="AB105" s="66"/>
      <c r="AC105" s="66"/>
    </row>
    <row r="106">
      <c r="A106" s="66"/>
      <c r="B106" s="66"/>
      <c r="C106" s="66"/>
      <c r="D106" s="66"/>
      <c r="E106" s="15"/>
      <c r="F106" s="66"/>
      <c r="G106" s="18"/>
      <c r="H106" s="15"/>
      <c r="I106" s="18"/>
      <c r="J106" s="22"/>
      <c r="K106" s="108"/>
      <c r="L106" s="66"/>
      <c r="M106" s="66"/>
      <c r="N106" s="66"/>
      <c r="O106" s="66"/>
      <c r="P106" s="66"/>
      <c r="Q106" s="66"/>
      <c r="R106" s="66"/>
      <c r="S106" s="66"/>
      <c r="T106" s="66"/>
      <c r="U106" s="66"/>
      <c r="V106" s="66"/>
      <c r="W106" s="66"/>
      <c r="X106" s="66"/>
      <c r="Y106" s="66"/>
      <c r="Z106" s="66"/>
      <c r="AA106" s="66"/>
      <c r="AB106" s="66"/>
      <c r="AC106" s="66"/>
    </row>
    <row r="107">
      <c r="A107" s="66"/>
      <c r="B107" s="66"/>
      <c r="C107" s="66"/>
      <c r="D107" s="66"/>
      <c r="E107" s="15"/>
      <c r="F107" s="66"/>
      <c r="G107" s="18"/>
      <c r="H107" s="15"/>
      <c r="I107" s="18"/>
      <c r="J107" s="22"/>
      <c r="K107" s="108"/>
      <c r="L107" s="66"/>
      <c r="M107" s="66"/>
      <c r="N107" s="66"/>
      <c r="O107" s="66"/>
      <c r="P107" s="66"/>
      <c r="Q107" s="66"/>
      <c r="R107" s="66"/>
      <c r="S107" s="66"/>
      <c r="T107" s="66"/>
      <c r="U107" s="66"/>
      <c r="V107" s="66"/>
      <c r="W107" s="66"/>
      <c r="X107" s="66"/>
      <c r="Y107" s="66"/>
      <c r="Z107" s="66"/>
      <c r="AA107" s="66"/>
      <c r="AB107" s="66"/>
      <c r="AC107" s="66"/>
    </row>
    <row r="108">
      <c r="A108" s="66"/>
      <c r="B108" s="66"/>
      <c r="C108" s="66"/>
      <c r="D108" s="66"/>
      <c r="E108" s="15"/>
      <c r="F108" s="66"/>
      <c r="G108" s="18"/>
      <c r="H108" s="15"/>
      <c r="I108" s="18"/>
      <c r="J108" s="22"/>
      <c r="K108" s="108"/>
      <c r="L108" s="66"/>
      <c r="M108" s="66"/>
      <c r="N108" s="66"/>
      <c r="O108" s="66"/>
      <c r="P108" s="66"/>
      <c r="Q108" s="66"/>
      <c r="R108" s="66"/>
      <c r="S108" s="66"/>
      <c r="T108" s="66"/>
      <c r="U108" s="66"/>
      <c r="V108" s="66"/>
      <c r="W108" s="66"/>
      <c r="X108" s="66"/>
      <c r="Y108" s="66"/>
      <c r="Z108" s="66"/>
      <c r="AA108" s="66"/>
      <c r="AB108" s="66"/>
      <c r="AC108" s="66"/>
    </row>
    <row r="109">
      <c r="A109" s="66"/>
      <c r="B109" s="66"/>
      <c r="C109" s="66"/>
      <c r="D109" s="66"/>
      <c r="E109" s="15"/>
      <c r="F109" s="66"/>
      <c r="G109" s="18"/>
      <c r="H109" s="15"/>
      <c r="I109" s="18"/>
      <c r="J109" s="22"/>
      <c r="K109" s="108"/>
      <c r="L109" s="66"/>
      <c r="M109" s="66"/>
      <c r="N109" s="66"/>
      <c r="O109" s="66"/>
      <c r="P109" s="66"/>
      <c r="Q109" s="66"/>
      <c r="R109" s="66"/>
      <c r="S109" s="66"/>
      <c r="T109" s="66"/>
      <c r="U109" s="66"/>
      <c r="V109" s="66"/>
      <c r="W109" s="66"/>
      <c r="X109" s="66"/>
      <c r="Y109" s="66"/>
      <c r="Z109" s="66"/>
      <c r="AA109" s="66"/>
      <c r="AB109" s="66"/>
      <c r="AC109" s="66"/>
    </row>
    <row r="110">
      <c r="A110" s="66"/>
      <c r="B110" s="66"/>
      <c r="C110" s="66"/>
      <c r="D110" s="66"/>
      <c r="E110" s="15"/>
      <c r="F110" s="66"/>
      <c r="G110" s="18"/>
      <c r="H110" s="15"/>
      <c r="I110" s="18"/>
      <c r="J110" s="22"/>
      <c r="K110" s="108"/>
      <c r="L110" s="66"/>
      <c r="M110" s="66"/>
      <c r="N110" s="66"/>
      <c r="O110" s="66"/>
      <c r="P110" s="66"/>
      <c r="Q110" s="66"/>
      <c r="R110" s="66"/>
      <c r="S110" s="66"/>
      <c r="T110" s="66"/>
      <c r="U110" s="66"/>
      <c r="V110" s="66"/>
      <c r="W110" s="66"/>
      <c r="X110" s="66"/>
      <c r="Y110" s="66"/>
      <c r="Z110" s="66"/>
      <c r="AA110" s="66"/>
      <c r="AB110" s="66"/>
      <c r="AC110" s="66"/>
    </row>
    <row r="111">
      <c r="A111" s="66"/>
      <c r="B111" s="66"/>
      <c r="C111" s="66"/>
      <c r="D111" s="66"/>
      <c r="E111" s="15"/>
      <c r="F111" s="66"/>
      <c r="G111" s="18"/>
      <c r="H111" s="15"/>
      <c r="I111" s="18"/>
      <c r="J111" s="22"/>
      <c r="K111" s="108"/>
      <c r="L111" s="66"/>
      <c r="M111" s="66"/>
      <c r="N111" s="66"/>
      <c r="O111" s="66"/>
      <c r="P111" s="66"/>
      <c r="Q111" s="66"/>
      <c r="R111" s="66"/>
      <c r="S111" s="66"/>
      <c r="T111" s="66"/>
      <c r="U111" s="66"/>
      <c r="V111" s="66"/>
      <c r="W111" s="66"/>
      <c r="X111" s="66"/>
      <c r="Y111" s="66"/>
      <c r="Z111" s="66"/>
      <c r="AA111" s="66"/>
      <c r="AB111" s="66"/>
      <c r="AC111" s="66"/>
    </row>
    <row r="112">
      <c r="A112" s="66"/>
      <c r="B112" s="66"/>
      <c r="C112" s="66"/>
      <c r="D112" s="66"/>
      <c r="E112" s="15"/>
      <c r="F112" s="66"/>
      <c r="G112" s="18"/>
      <c r="H112" s="15"/>
      <c r="I112" s="18"/>
      <c r="J112" s="22"/>
      <c r="K112" s="108"/>
      <c r="L112" s="66"/>
      <c r="M112" s="66"/>
      <c r="N112" s="66"/>
      <c r="O112" s="66"/>
      <c r="P112" s="66"/>
      <c r="Q112" s="66"/>
      <c r="R112" s="66"/>
      <c r="S112" s="66"/>
      <c r="T112" s="66"/>
      <c r="U112" s="66"/>
      <c r="V112" s="66"/>
      <c r="W112" s="66"/>
      <c r="X112" s="66"/>
      <c r="Y112" s="66"/>
      <c r="Z112" s="66"/>
      <c r="AA112" s="66"/>
      <c r="AB112" s="66"/>
      <c r="AC112" s="66"/>
    </row>
    <row r="113">
      <c r="A113" s="66"/>
      <c r="B113" s="66"/>
      <c r="C113" s="66"/>
      <c r="D113" s="66"/>
      <c r="E113" s="15"/>
      <c r="F113" s="66"/>
      <c r="G113" s="18"/>
      <c r="H113" s="15"/>
      <c r="I113" s="18"/>
      <c r="J113" s="22"/>
      <c r="K113" s="108"/>
      <c r="L113" s="66"/>
      <c r="M113" s="66"/>
      <c r="N113" s="66"/>
      <c r="O113" s="66"/>
      <c r="P113" s="66"/>
      <c r="Q113" s="66"/>
      <c r="R113" s="66"/>
      <c r="S113" s="66"/>
      <c r="T113" s="66"/>
      <c r="U113" s="66"/>
      <c r="V113" s="66"/>
      <c r="W113" s="66"/>
      <c r="X113" s="66"/>
      <c r="Y113" s="66"/>
      <c r="Z113" s="66"/>
      <c r="AA113" s="66"/>
      <c r="AB113" s="66"/>
      <c r="AC113" s="66"/>
    </row>
    <row r="114">
      <c r="A114" s="66"/>
      <c r="B114" s="66"/>
      <c r="C114" s="66"/>
      <c r="D114" s="66"/>
      <c r="E114" s="15"/>
      <c r="F114" s="66"/>
      <c r="G114" s="18"/>
      <c r="H114" s="15"/>
      <c r="I114" s="18"/>
      <c r="J114" s="22"/>
      <c r="K114" s="108"/>
      <c r="L114" s="66"/>
      <c r="M114" s="66"/>
      <c r="N114" s="66"/>
      <c r="O114" s="66"/>
      <c r="P114" s="66"/>
      <c r="Q114" s="66"/>
      <c r="R114" s="66"/>
      <c r="S114" s="66"/>
      <c r="T114" s="66"/>
      <c r="U114" s="66"/>
      <c r="V114" s="66"/>
      <c r="W114" s="66"/>
      <c r="X114" s="66"/>
      <c r="Y114" s="66"/>
      <c r="Z114" s="66"/>
      <c r="AA114" s="66"/>
      <c r="AB114" s="66"/>
      <c r="AC114" s="66"/>
    </row>
    <row r="115">
      <c r="A115" s="66"/>
      <c r="B115" s="66"/>
      <c r="C115" s="66"/>
      <c r="D115" s="66"/>
      <c r="E115" s="15"/>
      <c r="F115" s="66"/>
      <c r="G115" s="18"/>
      <c r="H115" s="15"/>
      <c r="I115" s="18"/>
      <c r="J115" s="22"/>
      <c r="K115" s="108"/>
      <c r="L115" s="66"/>
      <c r="M115" s="66"/>
      <c r="N115" s="66"/>
      <c r="O115" s="66"/>
      <c r="P115" s="66"/>
      <c r="Q115" s="66"/>
      <c r="R115" s="66"/>
      <c r="S115" s="66"/>
      <c r="T115" s="66"/>
      <c r="U115" s="66"/>
      <c r="V115" s="66"/>
      <c r="W115" s="66"/>
      <c r="X115" s="66"/>
      <c r="Y115" s="66"/>
      <c r="Z115" s="66"/>
      <c r="AA115" s="66"/>
      <c r="AB115" s="66"/>
      <c r="AC115" s="66"/>
    </row>
    <row r="116">
      <c r="A116" s="66"/>
      <c r="B116" s="66"/>
      <c r="C116" s="66"/>
      <c r="D116" s="66"/>
      <c r="E116" s="15"/>
      <c r="F116" s="66"/>
      <c r="G116" s="18"/>
      <c r="H116" s="15"/>
      <c r="I116" s="18"/>
      <c r="J116" s="22"/>
      <c r="K116" s="108"/>
      <c r="L116" s="66"/>
      <c r="M116" s="66"/>
      <c r="N116" s="66"/>
      <c r="O116" s="66"/>
      <c r="P116" s="66"/>
      <c r="Q116" s="66"/>
      <c r="R116" s="66"/>
      <c r="S116" s="66"/>
      <c r="T116" s="66"/>
      <c r="U116" s="66"/>
      <c r="V116" s="66"/>
      <c r="W116" s="66"/>
      <c r="X116" s="66"/>
      <c r="Y116" s="66"/>
      <c r="Z116" s="66"/>
      <c r="AA116" s="66"/>
      <c r="AB116" s="66"/>
      <c r="AC116" s="66"/>
    </row>
    <row r="117">
      <c r="A117" s="66"/>
      <c r="B117" s="66"/>
      <c r="C117" s="66"/>
      <c r="D117" s="66"/>
      <c r="E117" s="15"/>
      <c r="F117" s="66"/>
      <c r="G117" s="18"/>
      <c r="H117" s="15"/>
      <c r="I117" s="18"/>
      <c r="J117" s="22"/>
      <c r="K117" s="108"/>
      <c r="L117" s="66"/>
      <c r="M117" s="66"/>
      <c r="N117" s="66"/>
      <c r="O117" s="66"/>
      <c r="P117" s="66"/>
      <c r="Q117" s="66"/>
      <c r="R117" s="66"/>
      <c r="S117" s="66"/>
      <c r="T117" s="66"/>
      <c r="U117" s="66"/>
      <c r="V117" s="66"/>
      <c r="W117" s="66"/>
      <c r="X117" s="66"/>
      <c r="Y117" s="66"/>
      <c r="Z117" s="66"/>
      <c r="AA117" s="66"/>
      <c r="AB117" s="66"/>
      <c r="AC117" s="66"/>
    </row>
    <row r="118">
      <c r="A118" s="66"/>
      <c r="B118" s="66"/>
      <c r="C118" s="66"/>
      <c r="D118" s="66"/>
      <c r="E118" s="15"/>
      <c r="F118" s="66"/>
      <c r="G118" s="18"/>
      <c r="H118" s="15"/>
      <c r="I118" s="18"/>
      <c r="J118" s="22"/>
      <c r="K118" s="108"/>
      <c r="L118" s="66"/>
      <c r="M118" s="66"/>
      <c r="N118" s="66"/>
      <c r="O118" s="66"/>
      <c r="P118" s="66"/>
      <c r="Q118" s="66"/>
      <c r="R118" s="66"/>
      <c r="S118" s="66"/>
      <c r="T118" s="66"/>
      <c r="U118" s="66"/>
      <c r="V118" s="66"/>
      <c r="W118" s="66"/>
      <c r="X118" s="66"/>
      <c r="Y118" s="66"/>
      <c r="Z118" s="66"/>
      <c r="AA118" s="66"/>
      <c r="AB118" s="66"/>
      <c r="AC118" s="66"/>
    </row>
    <row r="119">
      <c r="A119" s="66"/>
      <c r="B119" s="66"/>
      <c r="C119" s="66"/>
      <c r="D119" s="66"/>
      <c r="E119" s="15"/>
      <c r="F119" s="66"/>
      <c r="G119" s="18"/>
      <c r="H119" s="15"/>
      <c r="I119" s="18"/>
      <c r="J119" s="22"/>
      <c r="K119" s="108"/>
      <c r="L119" s="66"/>
      <c r="M119" s="66"/>
      <c r="N119" s="66"/>
      <c r="O119" s="66"/>
      <c r="P119" s="66"/>
      <c r="Q119" s="66"/>
      <c r="R119" s="66"/>
      <c r="S119" s="66"/>
      <c r="T119" s="66"/>
      <c r="U119" s="66"/>
      <c r="V119" s="66"/>
      <c r="W119" s="66"/>
      <c r="X119" s="66"/>
      <c r="Y119" s="66"/>
      <c r="Z119" s="66"/>
      <c r="AA119" s="66"/>
      <c r="AB119" s="66"/>
      <c r="AC119" s="66"/>
    </row>
    <row r="120">
      <c r="A120" s="66"/>
      <c r="B120" s="66"/>
      <c r="C120" s="66"/>
      <c r="D120" s="66"/>
      <c r="E120" s="15"/>
      <c r="F120" s="66"/>
      <c r="G120" s="18"/>
      <c r="H120" s="15"/>
      <c r="I120" s="18"/>
      <c r="J120" s="22"/>
      <c r="K120" s="108"/>
      <c r="L120" s="66"/>
      <c r="M120" s="66"/>
      <c r="N120" s="66"/>
      <c r="O120" s="66"/>
      <c r="P120" s="66"/>
      <c r="Q120" s="66"/>
      <c r="R120" s="66"/>
      <c r="S120" s="66"/>
      <c r="T120" s="66"/>
      <c r="U120" s="66"/>
      <c r="V120" s="66"/>
      <c r="W120" s="66"/>
      <c r="X120" s="66"/>
      <c r="Y120" s="66"/>
      <c r="Z120" s="66"/>
      <c r="AA120" s="66"/>
      <c r="AB120" s="66"/>
      <c r="AC120" s="66"/>
    </row>
    <row r="121">
      <c r="A121" s="66"/>
      <c r="B121" s="66"/>
      <c r="C121" s="66"/>
      <c r="D121" s="66"/>
      <c r="E121" s="15"/>
      <c r="F121" s="66"/>
      <c r="G121" s="18"/>
      <c r="H121" s="15"/>
      <c r="I121" s="18"/>
      <c r="J121" s="22"/>
      <c r="K121" s="108"/>
      <c r="L121" s="66"/>
      <c r="M121" s="66"/>
      <c r="N121" s="66"/>
      <c r="O121" s="66"/>
      <c r="P121" s="66"/>
      <c r="Q121" s="66"/>
      <c r="R121" s="66"/>
      <c r="S121" s="66"/>
      <c r="T121" s="66"/>
      <c r="U121" s="66"/>
      <c r="V121" s="66"/>
      <c r="W121" s="66"/>
      <c r="X121" s="66"/>
      <c r="Y121" s="66"/>
      <c r="Z121" s="66"/>
      <c r="AA121" s="66"/>
      <c r="AB121" s="66"/>
      <c r="AC121" s="66"/>
    </row>
    <row r="122">
      <c r="A122" s="66"/>
      <c r="B122" s="66"/>
      <c r="C122" s="66"/>
      <c r="D122" s="66"/>
      <c r="E122" s="15"/>
      <c r="F122" s="66"/>
      <c r="G122" s="18"/>
      <c r="H122" s="15"/>
      <c r="I122" s="18"/>
      <c r="J122" s="22"/>
      <c r="K122" s="108"/>
      <c r="L122" s="66"/>
      <c r="M122" s="66"/>
      <c r="N122" s="66"/>
      <c r="O122" s="66"/>
      <c r="P122" s="66"/>
      <c r="Q122" s="66"/>
      <c r="R122" s="66"/>
      <c r="S122" s="66"/>
      <c r="T122" s="66"/>
      <c r="U122" s="66"/>
      <c r="V122" s="66"/>
      <c r="W122" s="66"/>
      <c r="X122" s="66"/>
      <c r="Y122" s="66"/>
      <c r="Z122" s="66"/>
      <c r="AA122" s="66"/>
      <c r="AB122" s="66"/>
      <c r="AC122" s="66"/>
    </row>
    <row r="123">
      <c r="A123" s="66"/>
      <c r="B123" s="66"/>
      <c r="C123" s="66"/>
      <c r="D123" s="66"/>
      <c r="E123" s="15"/>
      <c r="F123" s="66"/>
      <c r="G123" s="18"/>
      <c r="H123" s="15"/>
      <c r="I123" s="18"/>
      <c r="J123" s="22"/>
      <c r="K123" s="108"/>
      <c r="L123" s="66"/>
      <c r="M123" s="66"/>
      <c r="N123" s="66"/>
      <c r="O123" s="66"/>
      <c r="P123" s="66"/>
      <c r="Q123" s="66"/>
      <c r="R123" s="66"/>
      <c r="S123" s="66"/>
      <c r="T123" s="66"/>
      <c r="U123" s="66"/>
      <c r="V123" s="66"/>
      <c r="W123" s="66"/>
      <c r="X123" s="66"/>
      <c r="Y123" s="66"/>
      <c r="Z123" s="66"/>
      <c r="AA123" s="66"/>
      <c r="AB123" s="66"/>
      <c r="AC123" s="66"/>
    </row>
    <row r="124">
      <c r="A124" s="66"/>
      <c r="B124" s="66"/>
      <c r="C124" s="66"/>
      <c r="D124" s="66"/>
      <c r="E124" s="15"/>
      <c r="F124" s="66"/>
      <c r="G124" s="18"/>
      <c r="H124" s="15"/>
      <c r="I124" s="18"/>
      <c r="J124" s="22"/>
      <c r="K124" s="108"/>
      <c r="L124" s="66"/>
      <c r="M124" s="66"/>
      <c r="N124" s="66"/>
      <c r="O124" s="66"/>
      <c r="P124" s="66"/>
      <c r="Q124" s="66"/>
      <c r="R124" s="66"/>
      <c r="S124" s="66"/>
      <c r="T124" s="66"/>
      <c r="U124" s="66"/>
      <c r="V124" s="66"/>
      <c r="W124" s="66"/>
      <c r="X124" s="66"/>
      <c r="Y124" s="66"/>
      <c r="Z124" s="66"/>
      <c r="AA124" s="66"/>
      <c r="AB124" s="66"/>
      <c r="AC124" s="66"/>
    </row>
    <row r="125">
      <c r="A125" s="66"/>
      <c r="B125" s="66"/>
      <c r="C125" s="66"/>
      <c r="D125" s="66"/>
      <c r="E125" s="15"/>
      <c r="F125" s="66"/>
      <c r="G125" s="18"/>
      <c r="H125" s="15"/>
      <c r="I125" s="18"/>
      <c r="J125" s="22"/>
      <c r="K125" s="108"/>
      <c r="L125" s="66"/>
      <c r="M125" s="66"/>
      <c r="N125" s="66"/>
      <c r="O125" s="66"/>
      <c r="P125" s="66"/>
      <c r="Q125" s="66"/>
      <c r="R125" s="66"/>
      <c r="S125" s="66"/>
      <c r="T125" s="66"/>
      <c r="U125" s="66"/>
      <c r="V125" s="66"/>
      <c r="W125" s="66"/>
      <c r="X125" s="66"/>
      <c r="Y125" s="66"/>
      <c r="Z125" s="66"/>
      <c r="AA125" s="66"/>
      <c r="AB125" s="66"/>
      <c r="AC125" s="66"/>
    </row>
    <row r="126">
      <c r="A126" s="66"/>
      <c r="B126" s="66"/>
      <c r="C126" s="66"/>
      <c r="D126" s="66"/>
      <c r="E126" s="15"/>
      <c r="F126" s="66"/>
      <c r="G126" s="18"/>
      <c r="H126" s="15"/>
      <c r="I126" s="18"/>
      <c r="J126" s="22"/>
      <c r="K126" s="108"/>
      <c r="L126" s="66"/>
      <c r="M126" s="66"/>
      <c r="N126" s="66"/>
      <c r="O126" s="66"/>
      <c r="P126" s="66"/>
      <c r="Q126" s="66"/>
      <c r="R126" s="66"/>
      <c r="S126" s="66"/>
      <c r="T126" s="66"/>
      <c r="U126" s="66"/>
      <c r="V126" s="66"/>
      <c r="W126" s="66"/>
      <c r="X126" s="66"/>
      <c r="Y126" s="66"/>
      <c r="Z126" s="66"/>
      <c r="AA126" s="66"/>
      <c r="AB126" s="66"/>
      <c r="AC126" s="66"/>
    </row>
    <row r="127">
      <c r="A127" s="66"/>
      <c r="B127" s="66"/>
      <c r="C127" s="66"/>
      <c r="D127" s="66"/>
      <c r="E127" s="15"/>
      <c r="F127" s="66"/>
      <c r="G127" s="18"/>
      <c r="H127" s="15"/>
      <c r="I127" s="18"/>
      <c r="J127" s="22"/>
      <c r="K127" s="108"/>
      <c r="L127" s="66"/>
      <c r="M127" s="66"/>
      <c r="N127" s="66"/>
      <c r="O127" s="66"/>
      <c r="P127" s="66"/>
      <c r="Q127" s="66"/>
      <c r="R127" s="66"/>
      <c r="S127" s="66"/>
      <c r="T127" s="66"/>
      <c r="U127" s="66"/>
      <c r="V127" s="66"/>
      <c r="W127" s="66"/>
      <c r="X127" s="66"/>
      <c r="Y127" s="66"/>
      <c r="Z127" s="66"/>
      <c r="AA127" s="66"/>
      <c r="AB127" s="66"/>
      <c r="AC127" s="66"/>
    </row>
    <row r="128">
      <c r="A128" s="66"/>
      <c r="B128" s="66"/>
      <c r="C128" s="66"/>
      <c r="D128" s="66"/>
      <c r="E128" s="15"/>
      <c r="F128" s="66"/>
      <c r="G128" s="18"/>
      <c r="H128" s="15"/>
      <c r="I128" s="18"/>
      <c r="J128" s="22"/>
      <c r="K128" s="108"/>
      <c r="L128" s="66"/>
      <c r="M128" s="66"/>
      <c r="N128" s="66"/>
      <c r="O128" s="66"/>
      <c r="P128" s="66"/>
      <c r="Q128" s="66"/>
      <c r="R128" s="66"/>
      <c r="S128" s="66"/>
      <c r="T128" s="66"/>
      <c r="U128" s="66"/>
      <c r="V128" s="66"/>
      <c r="W128" s="66"/>
      <c r="X128" s="66"/>
      <c r="Y128" s="66"/>
      <c r="Z128" s="66"/>
      <c r="AA128" s="66"/>
      <c r="AB128" s="66"/>
      <c r="AC128" s="66"/>
    </row>
    <row r="129">
      <c r="A129" s="66"/>
      <c r="B129" s="66"/>
      <c r="C129" s="66"/>
      <c r="D129" s="66"/>
      <c r="E129" s="15"/>
      <c r="F129" s="66"/>
      <c r="G129" s="18"/>
      <c r="H129" s="15"/>
      <c r="I129" s="18"/>
      <c r="J129" s="22"/>
      <c r="K129" s="108"/>
      <c r="L129" s="66"/>
      <c r="M129" s="66"/>
      <c r="N129" s="66"/>
      <c r="O129" s="66"/>
      <c r="P129" s="66"/>
      <c r="Q129" s="66"/>
      <c r="R129" s="66"/>
      <c r="S129" s="66"/>
      <c r="T129" s="66"/>
      <c r="U129" s="66"/>
      <c r="V129" s="66"/>
      <c r="W129" s="66"/>
      <c r="X129" s="66"/>
      <c r="Y129" s="66"/>
      <c r="Z129" s="66"/>
      <c r="AA129" s="66"/>
      <c r="AB129" s="66"/>
      <c r="AC129" s="66"/>
    </row>
    <row r="130">
      <c r="A130" s="66"/>
      <c r="B130" s="66"/>
      <c r="C130" s="66"/>
      <c r="D130" s="66"/>
      <c r="E130" s="15"/>
      <c r="F130" s="66"/>
      <c r="G130" s="18"/>
      <c r="H130" s="15"/>
      <c r="I130" s="18"/>
      <c r="J130" s="22"/>
      <c r="K130" s="108"/>
      <c r="L130" s="66"/>
      <c r="M130" s="66"/>
      <c r="N130" s="66"/>
      <c r="O130" s="66"/>
      <c r="P130" s="66"/>
      <c r="Q130" s="66"/>
      <c r="R130" s="66"/>
      <c r="S130" s="66"/>
      <c r="T130" s="66"/>
      <c r="U130" s="66"/>
      <c r="V130" s="66"/>
      <c r="W130" s="66"/>
      <c r="X130" s="66"/>
      <c r="Y130" s="66"/>
      <c r="Z130" s="66"/>
      <c r="AA130" s="66"/>
      <c r="AB130" s="66"/>
      <c r="AC130" s="66"/>
    </row>
    <row r="131">
      <c r="A131" s="66"/>
      <c r="B131" s="66"/>
      <c r="C131" s="66"/>
      <c r="D131" s="66"/>
      <c r="E131" s="15"/>
      <c r="F131" s="66"/>
      <c r="G131" s="18"/>
      <c r="H131" s="15"/>
      <c r="I131" s="18"/>
      <c r="J131" s="22"/>
      <c r="K131" s="108"/>
      <c r="L131" s="66"/>
      <c r="M131" s="66"/>
      <c r="N131" s="66"/>
      <c r="O131" s="66"/>
      <c r="P131" s="66"/>
      <c r="Q131" s="66"/>
      <c r="R131" s="66"/>
      <c r="S131" s="66"/>
      <c r="T131" s="66"/>
      <c r="U131" s="66"/>
      <c r="V131" s="66"/>
      <c r="W131" s="66"/>
      <c r="X131" s="66"/>
      <c r="Y131" s="66"/>
      <c r="Z131" s="66"/>
      <c r="AA131" s="66"/>
      <c r="AB131" s="66"/>
      <c r="AC131" s="66"/>
    </row>
    <row r="132">
      <c r="A132" s="66"/>
      <c r="B132" s="66"/>
      <c r="C132" s="66"/>
      <c r="D132" s="66"/>
      <c r="E132" s="15"/>
      <c r="F132" s="66"/>
      <c r="G132" s="18"/>
      <c r="H132" s="15"/>
      <c r="I132" s="18"/>
      <c r="J132" s="22"/>
      <c r="K132" s="108"/>
      <c r="L132" s="66"/>
      <c r="M132" s="66"/>
      <c r="N132" s="66"/>
      <c r="O132" s="66"/>
      <c r="P132" s="66"/>
      <c r="Q132" s="66"/>
      <c r="R132" s="66"/>
      <c r="S132" s="66"/>
      <c r="T132" s="66"/>
      <c r="U132" s="66"/>
      <c r="V132" s="66"/>
      <c r="W132" s="66"/>
      <c r="X132" s="66"/>
      <c r="Y132" s="66"/>
      <c r="Z132" s="66"/>
      <c r="AA132" s="66"/>
      <c r="AB132" s="66"/>
      <c r="AC132" s="66"/>
    </row>
    <row r="133">
      <c r="A133" s="66"/>
      <c r="B133" s="66"/>
      <c r="C133" s="66"/>
      <c r="D133" s="66"/>
      <c r="E133" s="15"/>
      <c r="F133" s="66"/>
      <c r="G133" s="18"/>
      <c r="H133" s="15"/>
      <c r="I133" s="18"/>
      <c r="J133" s="22"/>
      <c r="K133" s="108"/>
      <c r="L133" s="66"/>
      <c r="M133" s="66"/>
      <c r="N133" s="66"/>
      <c r="O133" s="66"/>
      <c r="P133" s="66"/>
      <c r="Q133" s="66"/>
      <c r="R133" s="66"/>
      <c r="S133" s="66"/>
      <c r="T133" s="66"/>
      <c r="U133" s="66"/>
      <c r="V133" s="66"/>
      <c r="W133" s="66"/>
      <c r="X133" s="66"/>
      <c r="Y133" s="66"/>
      <c r="Z133" s="66"/>
      <c r="AA133" s="66"/>
      <c r="AB133" s="66"/>
      <c r="AC133" s="66"/>
    </row>
    <row r="134">
      <c r="A134" s="66"/>
      <c r="B134" s="66"/>
      <c r="C134" s="66"/>
      <c r="D134" s="66"/>
      <c r="E134" s="15"/>
      <c r="F134" s="66"/>
      <c r="G134" s="18"/>
      <c r="H134" s="15"/>
      <c r="I134" s="18"/>
      <c r="J134" s="22"/>
      <c r="K134" s="108"/>
      <c r="L134" s="66"/>
      <c r="M134" s="66"/>
      <c r="N134" s="66"/>
      <c r="O134" s="66"/>
      <c r="P134" s="66"/>
      <c r="Q134" s="66"/>
      <c r="R134" s="66"/>
      <c r="S134" s="66"/>
      <c r="T134" s="66"/>
      <c r="U134" s="66"/>
      <c r="V134" s="66"/>
      <c r="W134" s="66"/>
      <c r="X134" s="66"/>
      <c r="Y134" s="66"/>
      <c r="Z134" s="66"/>
      <c r="AA134" s="66"/>
      <c r="AB134" s="66"/>
      <c r="AC134" s="66"/>
    </row>
    <row r="135">
      <c r="A135" s="66"/>
      <c r="B135" s="66"/>
      <c r="C135" s="66"/>
      <c r="D135" s="66"/>
      <c r="E135" s="15"/>
      <c r="F135" s="66"/>
      <c r="G135" s="18"/>
      <c r="H135" s="15"/>
      <c r="I135" s="18"/>
      <c r="J135" s="22"/>
      <c r="K135" s="108"/>
      <c r="L135" s="66"/>
      <c r="M135" s="66"/>
      <c r="N135" s="66"/>
      <c r="O135" s="66"/>
      <c r="P135" s="66"/>
      <c r="Q135" s="66"/>
      <c r="R135" s="66"/>
      <c r="S135" s="66"/>
      <c r="T135" s="66"/>
      <c r="U135" s="66"/>
      <c r="V135" s="66"/>
      <c r="W135" s="66"/>
      <c r="X135" s="66"/>
      <c r="Y135" s="66"/>
      <c r="Z135" s="66"/>
      <c r="AA135" s="66"/>
      <c r="AB135" s="66"/>
      <c r="AC135" s="66"/>
    </row>
    <row r="136">
      <c r="A136" s="66"/>
      <c r="B136" s="66"/>
      <c r="C136" s="66"/>
      <c r="D136" s="66"/>
      <c r="E136" s="15"/>
      <c r="F136" s="66"/>
      <c r="G136" s="18"/>
      <c r="H136" s="15"/>
      <c r="I136" s="18"/>
      <c r="J136" s="22"/>
      <c r="K136" s="108"/>
      <c r="L136" s="66"/>
      <c r="M136" s="66"/>
      <c r="N136" s="66"/>
      <c r="O136" s="66"/>
      <c r="P136" s="66"/>
      <c r="Q136" s="66"/>
      <c r="R136" s="66"/>
      <c r="S136" s="66"/>
      <c r="T136" s="66"/>
      <c r="U136" s="66"/>
      <c r="V136" s="66"/>
      <c r="W136" s="66"/>
      <c r="X136" s="66"/>
      <c r="Y136" s="66"/>
      <c r="Z136" s="66"/>
      <c r="AA136" s="66"/>
      <c r="AB136" s="66"/>
      <c r="AC136" s="66"/>
    </row>
    <row r="137">
      <c r="A137" s="66"/>
      <c r="B137" s="66"/>
      <c r="C137" s="66"/>
      <c r="D137" s="66"/>
      <c r="E137" s="15"/>
      <c r="F137" s="66"/>
      <c r="G137" s="18"/>
      <c r="H137" s="15"/>
      <c r="I137" s="18"/>
      <c r="J137" s="22"/>
      <c r="K137" s="108"/>
      <c r="L137" s="66"/>
      <c r="M137" s="66"/>
      <c r="N137" s="66"/>
      <c r="O137" s="66"/>
      <c r="P137" s="66"/>
      <c r="Q137" s="66"/>
      <c r="R137" s="66"/>
      <c r="S137" s="66"/>
      <c r="T137" s="66"/>
      <c r="U137" s="66"/>
      <c r="V137" s="66"/>
      <c r="W137" s="66"/>
      <c r="X137" s="66"/>
      <c r="Y137" s="66"/>
      <c r="Z137" s="66"/>
      <c r="AA137" s="66"/>
      <c r="AB137" s="66"/>
      <c r="AC137" s="66"/>
    </row>
    <row r="138">
      <c r="A138" s="66"/>
      <c r="B138" s="66"/>
      <c r="C138" s="66"/>
      <c r="D138" s="66"/>
      <c r="E138" s="15"/>
      <c r="F138" s="66"/>
      <c r="G138" s="18"/>
      <c r="H138" s="15"/>
      <c r="I138" s="18"/>
      <c r="J138" s="22"/>
      <c r="K138" s="108"/>
      <c r="L138" s="66"/>
      <c r="M138" s="66"/>
      <c r="N138" s="66"/>
      <c r="O138" s="66"/>
      <c r="P138" s="66"/>
      <c r="Q138" s="66"/>
      <c r="R138" s="66"/>
      <c r="S138" s="66"/>
      <c r="T138" s="66"/>
      <c r="U138" s="66"/>
      <c r="V138" s="66"/>
      <c r="W138" s="66"/>
      <c r="X138" s="66"/>
      <c r="Y138" s="66"/>
      <c r="Z138" s="66"/>
      <c r="AA138" s="66"/>
      <c r="AB138" s="66"/>
      <c r="AC138" s="66"/>
    </row>
    <row r="139">
      <c r="A139" s="66"/>
      <c r="B139" s="66"/>
      <c r="C139" s="66"/>
      <c r="D139" s="66"/>
      <c r="E139" s="15"/>
      <c r="F139" s="66"/>
      <c r="G139" s="18"/>
      <c r="H139" s="15"/>
      <c r="I139" s="18"/>
      <c r="J139" s="22"/>
      <c r="K139" s="108"/>
      <c r="L139" s="66"/>
      <c r="M139" s="66"/>
      <c r="N139" s="66"/>
      <c r="O139" s="66"/>
      <c r="P139" s="66"/>
      <c r="Q139" s="66"/>
      <c r="R139" s="66"/>
      <c r="S139" s="66"/>
      <c r="T139" s="66"/>
      <c r="U139" s="66"/>
      <c r="V139" s="66"/>
      <c r="W139" s="66"/>
      <c r="X139" s="66"/>
      <c r="Y139" s="66"/>
      <c r="Z139" s="66"/>
      <c r="AA139" s="66"/>
      <c r="AB139" s="66"/>
      <c r="AC139" s="66"/>
    </row>
    <row r="140">
      <c r="A140" s="66"/>
      <c r="B140" s="66"/>
      <c r="C140" s="66"/>
      <c r="D140" s="66"/>
      <c r="E140" s="15"/>
      <c r="F140" s="66"/>
      <c r="G140" s="18"/>
      <c r="H140" s="15"/>
      <c r="I140" s="18"/>
      <c r="J140" s="22"/>
      <c r="K140" s="108"/>
      <c r="L140" s="66"/>
      <c r="M140" s="66"/>
      <c r="N140" s="66"/>
      <c r="O140" s="66"/>
      <c r="P140" s="66"/>
      <c r="Q140" s="66"/>
      <c r="R140" s="66"/>
      <c r="S140" s="66"/>
      <c r="T140" s="66"/>
      <c r="U140" s="66"/>
      <c r="V140" s="66"/>
      <c r="W140" s="66"/>
      <c r="X140" s="66"/>
      <c r="Y140" s="66"/>
      <c r="Z140" s="66"/>
      <c r="AA140" s="66"/>
      <c r="AB140" s="66"/>
      <c r="AC140" s="66"/>
    </row>
    <row r="141">
      <c r="A141" s="66"/>
      <c r="B141" s="66"/>
      <c r="C141" s="66"/>
      <c r="D141" s="66"/>
      <c r="E141" s="15"/>
      <c r="F141" s="66"/>
      <c r="G141" s="18"/>
      <c r="H141" s="15"/>
      <c r="I141" s="18"/>
      <c r="J141" s="22"/>
      <c r="K141" s="108"/>
      <c r="L141" s="66"/>
      <c r="M141" s="66"/>
      <c r="N141" s="66"/>
      <c r="O141" s="66"/>
      <c r="P141" s="66"/>
      <c r="Q141" s="66"/>
      <c r="R141" s="66"/>
      <c r="S141" s="66"/>
      <c r="T141" s="66"/>
      <c r="U141" s="66"/>
      <c r="V141" s="66"/>
      <c r="W141" s="66"/>
      <c r="X141" s="66"/>
      <c r="Y141" s="66"/>
      <c r="Z141" s="66"/>
      <c r="AA141" s="66"/>
      <c r="AB141" s="66"/>
      <c r="AC141" s="66"/>
    </row>
    <row r="142">
      <c r="A142" s="66"/>
      <c r="B142" s="66"/>
      <c r="C142" s="66"/>
      <c r="D142" s="66"/>
      <c r="E142" s="15"/>
      <c r="F142" s="66"/>
      <c r="G142" s="18"/>
      <c r="H142" s="15"/>
      <c r="I142" s="18"/>
      <c r="J142" s="22"/>
      <c r="K142" s="108"/>
      <c r="L142" s="66"/>
      <c r="M142" s="66"/>
      <c r="N142" s="66"/>
      <c r="O142" s="66"/>
      <c r="P142" s="66"/>
      <c r="Q142" s="66"/>
      <c r="R142" s="66"/>
      <c r="S142" s="66"/>
      <c r="T142" s="66"/>
      <c r="U142" s="66"/>
      <c r="V142" s="66"/>
      <c r="W142" s="66"/>
      <c r="X142" s="66"/>
      <c r="Y142" s="66"/>
      <c r="Z142" s="66"/>
      <c r="AA142" s="66"/>
      <c r="AB142" s="66"/>
      <c r="AC142" s="66"/>
    </row>
    <row r="143">
      <c r="A143" s="66"/>
      <c r="B143" s="66"/>
      <c r="C143" s="66"/>
      <c r="D143" s="66"/>
      <c r="E143" s="15"/>
      <c r="F143" s="66"/>
      <c r="G143" s="18"/>
      <c r="H143" s="15"/>
      <c r="I143" s="18"/>
      <c r="J143" s="22"/>
      <c r="K143" s="108"/>
      <c r="L143" s="66"/>
      <c r="M143" s="66"/>
      <c r="N143" s="66"/>
      <c r="O143" s="66"/>
      <c r="P143" s="66"/>
      <c r="Q143" s="66"/>
      <c r="R143" s="66"/>
      <c r="S143" s="66"/>
      <c r="T143" s="66"/>
      <c r="U143" s="66"/>
      <c r="V143" s="66"/>
      <c r="W143" s="66"/>
      <c r="X143" s="66"/>
      <c r="Y143" s="66"/>
      <c r="Z143" s="66"/>
      <c r="AA143" s="66"/>
      <c r="AB143" s="66"/>
      <c r="AC143" s="66"/>
    </row>
    <row r="144">
      <c r="A144" s="66"/>
      <c r="B144" s="66"/>
      <c r="C144" s="66"/>
      <c r="D144" s="66"/>
      <c r="E144" s="15"/>
      <c r="F144" s="66"/>
      <c r="G144" s="18"/>
      <c r="H144" s="15"/>
      <c r="I144" s="18"/>
      <c r="J144" s="22"/>
      <c r="K144" s="108"/>
      <c r="L144" s="66"/>
      <c r="M144" s="66"/>
      <c r="N144" s="66"/>
      <c r="O144" s="66"/>
      <c r="P144" s="66"/>
      <c r="Q144" s="66"/>
      <c r="R144" s="66"/>
      <c r="S144" s="66"/>
      <c r="T144" s="66"/>
      <c r="U144" s="66"/>
      <c r="V144" s="66"/>
      <c r="W144" s="66"/>
      <c r="X144" s="66"/>
      <c r="Y144" s="66"/>
      <c r="Z144" s="66"/>
      <c r="AA144" s="66"/>
      <c r="AB144" s="66"/>
      <c r="AC144" s="66"/>
    </row>
    <row r="145">
      <c r="A145" s="66"/>
      <c r="B145" s="66"/>
      <c r="C145" s="66"/>
      <c r="D145" s="66"/>
      <c r="E145" s="15"/>
      <c r="F145" s="66"/>
      <c r="G145" s="18"/>
      <c r="H145" s="15"/>
      <c r="I145" s="18"/>
      <c r="J145" s="22"/>
      <c r="K145" s="108"/>
      <c r="L145" s="66"/>
      <c r="M145" s="66"/>
      <c r="N145" s="66"/>
      <c r="O145" s="66"/>
      <c r="P145" s="66"/>
      <c r="Q145" s="66"/>
      <c r="R145" s="66"/>
      <c r="S145" s="66"/>
      <c r="T145" s="66"/>
      <c r="U145" s="66"/>
      <c r="V145" s="66"/>
      <c r="W145" s="66"/>
      <c r="X145" s="66"/>
      <c r="Y145" s="66"/>
      <c r="Z145" s="66"/>
      <c r="AA145" s="66"/>
      <c r="AB145" s="66"/>
      <c r="AC145" s="66"/>
    </row>
    <row r="146">
      <c r="A146" s="66"/>
      <c r="B146" s="66"/>
      <c r="C146" s="66"/>
      <c r="D146" s="66"/>
      <c r="E146" s="15"/>
      <c r="F146" s="66"/>
      <c r="G146" s="18"/>
      <c r="H146" s="15"/>
      <c r="I146" s="18"/>
      <c r="J146" s="22"/>
      <c r="K146" s="108"/>
      <c r="L146" s="66"/>
      <c r="M146" s="66"/>
      <c r="N146" s="66"/>
      <c r="O146" s="66"/>
      <c r="P146" s="66"/>
      <c r="Q146" s="66"/>
      <c r="R146" s="66"/>
      <c r="S146" s="66"/>
      <c r="T146" s="66"/>
      <c r="U146" s="66"/>
      <c r="V146" s="66"/>
      <c r="W146" s="66"/>
      <c r="X146" s="66"/>
      <c r="Y146" s="66"/>
      <c r="Z146" s="66"/>
      <c r="AA146" s="66"/>
      <c r="AB146" s="66"/>
      <c r="AC146" s="66"/>
    </row>
    <row r="147">
      <c r="A147" s="66"/>
      <c r="B147" s="66"/>
      <c r="C147" s="66"/>
      <c r="D147" s="66"/>
      <c r="E147" s="15"/>
      <c r="F147" s="66"/>
      <c r="G147" s="18"/>
      <c r="H147" s="15"/>
      <c r="I147" s="18"/>
      <c r="J147" s="22"/>
      <c r="K147" s="108"/>
      <c r="L147" s="66"/>
      <c r="M147" s="66"/>
      <c r="N147" s="66"/>
      <c r="O147" s="66"/>
      <c r="P147" s="66"/>
      <c r="Q147" s="66"/>
      <c r="R147" s="66"/>
      <c r="S147" s="66"/>
      <c r="T147" s="66"/>
      <c r="U147" s="66"/>
      <c r="V147" s="66"/>
      <c r="W147" s="66"/>
      <c r="X147" s="66"/>
      <c r="Y147" s="66"/>
      <c r="Z147" s="66"/>
      <c r="AA147" s="66"/>
      <c r="AB147" s="66"/>
      <c r="AC147" s="66"/>
    </row>
    <row r="148">
      <c r="A148" s="66"/>
      <c r="B148" s="66"/>
      <c r="C148" s="66"/>
      <c r="D148" s="66"/>
      <c r="E148" s="15"/>
      <c r="F148" s="66"/>
      <c r="G148" s="18"/>
      <c r="H148" s="15"/>
      <c r="I148" s="18"/>
      <c r="J148" s="22"/>
      <c r="K148" s="108"/>
      <c r="L148" s="66"/>
      <c r="M148" s="66"/>
      <c r="N148" s="66"/>
      <c r="O148" s="66"/>
      <c r="P148" s="66"/>
      <c r="Q148" s="66"/>
      <c r="R148" s="66"/>
      <c r="S148" s="66"/>
      <c r="T148" s="66"/>
      <c r="U148" s="66"/>
      <c r="V148" s="66"/>
      <c r="W148" s="66"/>
      <c r="X148" s="66"/>
      <c r="Y148" s="66"/>
      <c r="Z148" s="66"/>
      <c r="AA148" s="66"/>
      <c r="AB148" s="66"/>
      <c r="AC148" s="66"/>
    </row>
    <row r="149">
      <c r="A149" s="66"/>
      <c r="B149" s="66"/>
      <c r="C149" s="66"/>
      <c r="D149" s="66"/>
      <c r="E149" s="15"/>
      <c r="F149" s="66"/>
      <c r="G149" s="18"/>
      <c r="H149" s="15"/>
      <c r="I149" s="18"/>
      <c r="J149" s="22"/>
      <c r="K149" s="108"/>
      <c r="L149" s="66"/>
      <c r="M149" s="66"/>
      <c r="N149" s="66"/>
      <c r="O149" s="66"/>
      <c r="P149" s="66"/>
      <c r="Q149" s="66"/>
      <c r="R149" s="66"/>
      <c r="S149" s="66"/>
      <c r="T149" s="66"/>
      <c r="U149" s="66"/>
      <c r="V149" s="66"/>
      <c r="W149" s="66"/>
      <c r="X149" s="66"/>
      <c r="Y149" s="66"/>
      <c r="Z149" s="66"/>
      <c r="AA149" s="66"/>
      <c r="AB149" s="66"/>
      <c r="AC149" s="66"/>
    </row>
    <row r="150">
      <c r="A150" s="66"/>
      <c r="B150" s="66"/>
      <c r="C150" s="66"/>
      <c r="D150" s="66"/>
      <c r="E150" s="15"/>
      <c r="F150" s="66"/>
      <c r="G150" s="18"/>
      <c r="H150" s="15"/>
      <c r="I150" s="18"/>
      <c r="J150" s="22"/>
      <c r="K150" s="108"/>
      <c r="L150" s="66"/>
      <c r="M150" s="66"/>
      <c r="N150" s="66"/>
      <c r="O150" s="66"/>
      <c r="P150" s="66"/>
      <c r="Q150" s="66"/>
      <c r="R150" s="66"/>
      <c r="S150" s="66"/>
      <c r="T150" s="66"/>
      <c r="U150" s="66"/>
      <c r="V150" s="66"/>
      <c r="W150" s="66"/>
      <c r="X150" s="66"/>
      <c r="Y150" s="66"/>
      <c r="Z150" s="66"/>
      <c r="AA150" s="66"/>
      <c r="AB150" s="66"/>
      <c r="AC150" s="66"/>
    </row>
    <row r="151">
      <c r="A151" s="66"/>
      <c r="B151" s="66"/>
      <c r="C151" s="66"/>
      <c r="D151" s="66"/>
      <c r="E151" s="15"/>
      <c r="F151" s="66"/>
      <c r="G151" s="18"/>
      <c r="H151" s="15"/>
      <c r="I151" s="18"/>
      <c r="J151" s="22"/>
      <c r="K151" s="108"/>
      <c r="L151" s="66"/>
      <c r="M151" s="66"/>
      <c r="N151" s="66"/>
      <c r="O151" s="66"/>
      <c r="P151" s="66"/>
      <c r="Q151" s="66"/>
      <c r="R151" s="66"/>
      <c r="S151" s="66"/>
      <c r="T151" s="66"/>
      <c r="U151" s="66"/>
      <c r="V151" s="66"/>
      <c r="W151" s="66"/>
      <c r="X151" s="66"/>
      <c r="Y151" s="66"/>
      <c r="Z151" s="66"/>
      <c r="AA151" s="66"/>
      <c r="AB151" s="66"/>
      <c r="AC151" s="66"/>
    </row>
    <row r="152">
      <c r="A152" s="66"/>
      <c r="B152" s="66"/>
      <c r="C152" s="66"/>
      <c r="D152" s="66"/>
      <c r="E152" s="15"/>
      <c r="F152" s="66"/>
      <c r="G152" s="18"/>
      <c r="H152" s="15"/>
      <c r="I152" s="18"/>
      <c r="J152" s="22"/>
      <c r="K152" s="108"/>
      <c r="L152" s="66"/>
      <c r="M152" s="66"/>
      <c r="N152" s="66"/>
      <c r="O152" s="66"/>
      <c r="P152" s="66"/>
      <c r="Q152" s="66"/>
      <c r="R152" s="66"/>
      <c r="S152" s="66"/>
      <c r="T152" s="66"/>
      <c r="U152" s="66"/>
      <c r="V152" s="66"/>
      <c r="W152" s="66"/>
      <c r="X152" s="66"/>
      <c r="Y152" s="66"/>
      <c r="Z152" s="66"/>
      <c r="AA152" s="66"/>
      <c r="AB152" s="66"/>
      <c r="AC152" s="66"/>
    </row>
    <row r="153">
      <c r="A153" s="66"/>
      <c r="B153" s="66"/>
      <c r="C153" s="66"/>
      <c r="D153" s="66"/>
      <c r="E153" s="15"/>
      <c r="F153" s="66"/>
      <c r="G153" s="18"/>
      <c r="H153" s="15"/>
      <c r="I153" s="18"/>
      <c r="J153" s="22"/>
      <c r="K153" s="108"/>
      <c r="L153" s="66"/>
      <c r="M153" s="66"/>
      <c r="N153" s="66"/>
      <c r="O153" s="66"/>
      <c r="P153" s="66"/>
      <c r="Q153" s="66"/>
      <c r="R153" s="66"/>
      <c r="S153" s="66"/>
      <c r="T153" s="66"/>
      <c r="U153" s="66"/>
      <c r="V153" s="66"/>
      <c r="W153" s="66"/>
      <c r="X153" s="66"/>
      <c r="Y153" s="66"/>
      <c r="Z153" s="66"/>
      <c r="AA153" s="66"/>
      <c r="AB153" s="66"/>
      <c r="AC153" s="66"/>
    </row>
    <row r="154">
      <c r="A154" s="66"/>
      <c r="B154" s="66"/>
      <c r="C154" s="66"/>
      <c r="D154" s="66"/>
      <c r="E154" s="15"/>
      <c r="F154" s="66"/>
      <c r="G154" s="18"/>
      <c r="H154" s="15"/>
      <c r="I154" s="18"/>
      <c r="J154" s="22"/>
      <c r="K154" s="108"/>
      <c r="L154" s="66"/>
      <c r="M154" s="66"/>
      <c r="N154" s="66"/>
      <c r="O154" s="66"/>
      <c r="P154" s="66"/>
      <c r="Q154" s="66"/>
      <c r="R154" s="66"/>
      <c r="S154" s="66"/>
      <c r="T154" s="66"/>
      <c r="U154" s="66"/>
      <c r="V154" s="66"/>
      <c r="W154" s="66"/>
      <c r="X154" s="66"/>
      <c r="Y154" s="66"/>
      <c r="Z154" s="66"/>
      <c r="AA154" s="66"/>
      <c r="AB154" s="66"/>
      <c r="AC154" s="66"/>
    </row>
    <row r="155">
      <c r="A155" s="66"/>
      <c r="B155" s="66"/>
      <c r="C155" s="66"/>
      <c r="D155" s="66"/>
      <c r="E155" s="15"/>
      <c r="F155" s="66"/>
      <c r="G155" s="18"/>
      <c r="H155" s="15"/>
      <c r="I155" s="18"/>
      <c r="J155" s="22"/>
      <c r="K155" s="108"/>
      <c r="L155" s="66"/>
      <c r="M155" s="66"/>
      <c r="N155" s="66"/>
      <c r="O155" s="66"/>
      <c r="P155" s="66"/>
      <c r="Q155" s="66"/>
      <c r="R155" s="66"/>
      <c r="S155" s="66"/>
      <c r="T155" s="66"/>
      <c r="U155" s="66"/>
      <c r="V155" s="66"/>
      <c r="W155" s="66"/>
      <c r="X155" s="66"/>
      <c r="Y155" s="66"/>
      <c r="Z155" s="66"/>
      <c r="AA155" s="66"/>
      <c r="AB155" s="66"/>
      <c r="AC155" s="66"/>
    </row>
    <row r="156">
      <c r="A156" s="66"/>
      <c r="B156" s="66"/>
      <c r="C156" s="66"/>
      <c r="D156" s="66"/>
      <c r="E156" s="15"/>
      <c r="F156" s="66"/>
      <c r="G156" s="18"/>
      <c r="H156" s="15"/>
      <c r="I156" s="18"/>
      <c r="J156" s="22"/>
      <c r="K156" s="108"/>
      <c r="L156" s="66"/>
      <c r="M156" s="66"/>
      <c r="N156" s="66"/>
      <c r="O156" s="66"/>
      <c r="P156" s="66"/>
      <c r="Q156" s="66"/>
      <c r="R156" s="66"/>
      <c r="S156" s="66"/>
      <c r="T156" s="66"/>
      <c r="U156" s="66"/>
      <c r="V156" s="66"/>
      <c r="W156" s="66"/>
      <c r="X156" s="66"/>
      <c r="Y156" s="66"/>
      <c r="Z156" s="66"/>
      <c r="AA156" s="66"/>
      <c r="AB156" s="66"/>
      <c r="AC156" s="66"/>
    </row>
    <row r="157">
      <c r="A157" s="66"/>
      <c r="B157" s="66"/>
      <c r="C157" s="66"/>
      <c r="D157" s="66"/>
      <c r="E157" s="15"/>
      <c r="F157" s="66"/>
      <c r="G157" s="18"/>
      <c r="H157" s="15"/>
      <c r="I157" s="18"/>
      <c r="J157" s="22"/>
      <c r="K157" s="108"/>
      <c r="L157" s="66"/>
      <c r="M157" s="66"/>
      <c r="N157" s="66"/>
      <c r="O157" s="66"/>
      <c r="P157" s="66"/>
      <c r="Q157" s="66"/>
      <c r="R157" s="66"/>
      <c r="S157" s="66"/>
      <c r="T157" s="66"/>
      <c r="U157" s="66"/>
      <c r="V157" s="66"/>
      <c r="W157" s="66"/>
      <c r="X157" s="66"/>
      <c r="Y157" s="66"/>
      <c r="Z157" s="66"/>
      <c r="AA157" s="66"/>
      <c r="AB157" s="66"/>
      <c r="AC157" s="66"/>
    </row>
    <row r="158">
      <c r="A158" s="66"/>
      <c r="B158" s="66"/>
      <c r="C158" s="66"/>
      <c r="D158" s="66"/>
      <c r="E158" s="15"/>
      <c r="F158" s="66"/>
      <c r="G158" s="18"/>
      <c r="H158" s="15"/>
      <c r="I158" s="18"/>
      <c r="J158" s="22"/>
      <c r="K158" s="108"/>
      <c r="L158" s="66"/>
      <c r="M158" s="66"/>
      <c r="N158" s="66"/>
      <c r="O158" s="66"/>
      <c r="P158" s="66"/>
      <c r="Q158" s="66"/>
      <c r="R158" s="66"/>
      <c r="S158" s="66"/>
      <c r="T158" s="66"/>
      <c r="U158" s="66"/>
      <c r="V158" s="66"/>
      <c r="W158" s="66"/>
      <c r="X158" s="66"/>
      <c r="Y158" s="66"/>
      <c r="Z158" s="66"/>
      <c r="AA158" s="66"/>
      <c r="AB158" s="66"/>
      <c r="AC158" s="66"/>
    </row>
    <row r="159">
      <c r="A159" s="66"/>
      <c r="B159" s="66"/>
      <c r="C159" s="66"/>
      <c r="D159" s="66"/>
      <c r="E159" s="15"/>
      <c r="F159" s="66"/>
      <c r="G159" s="18"/>
      <c r="H159" s="15"/>
      <c r="I159" s="18"/>
      <c r="J159" s="22"/>
      <c r="K159" s="108"/>
      <c r="L159" s="66"/>
      <c r="M159" s="66"/>
      <c r="N159" s="66"/>
      <c r="O159" s="66"/>
      <c r="P159" s="66"/>
      <c r="Q159" s="66"/>
      <c r="R159" s="66"/>
      <c r="S159" s="66"/>
      <c r="T159" s="66"/>
      <c r="U159" s="66"/>
      <c r="V159" s="66"/>
      <c r="W159" s="66"/>
      <c r="X159" s="66"/>
      <c r="Y159" s="66"/>
      <c r="Z159" s="66"/>
      <c r="AA159" s="66"/>
      <c r="AB159" s="66"/>
      <c r="AC159" s="66"/>
    </row>
    <row r="160">
      <c r="A160" s="66"/>
      <c r="B160" s="66"/>
      <c r="C160" s="66"/>
      <c r="D160" s="66"/>
      <c r="E160" s="15"/>
      <c r="F160" s="66"/>
      <c r="G160" s="18"/>
      <c r="H160" s="15"/>
      <c r="I160" s="18"/>
      <c r="J160" s="22"/>
      <c r="K160" s="108"/>
      <c r="L160" s="66"/>
      <c r="M160" s="66"/>
      <c r="N160" s="66"/>
      <c r="O160" s="66"/>
      <c r="P160" s="66"/>
      <c r="Q160" s="66"/>
      <c r="R160" s="66"/>
      <c r="S160" s="66"/>
      <c r="T160" s="66"/>
      <c r="U160" s="66"/>
      <c r="V160" s="66"/>
      <c r="W160" s="66"/>
      <c r="X160" s="66"/>
      <c r="Y160" s="66"/>
      <c r="Z160" s="66"/>
      <c r="AA160" s="66"/>
      <c r="AB160" s="66"/>
      <c r="AC160" s="66"/>
    </row>
    <row r="161">
      <c r="A161" s="66"/>
      <c r="B161" s="66"/>
      <c r="C161" s="66"/>
      <c r="D161" s="66"/>
      <c r="E161" s="15"/>
      <c r="F161" s="66"/>
      <c r="G161" s="18"/>
      <c r="H161" s="15"/>
      <c r="I161" s="18"/>
      <c r="J161" s="22"/>
      <c r="K161" s="108"/>
      <c r="L161" s="66"/>
      <c r="M161" s="66"/>
      <c r="N161" s="66"/>
      <c r="O161" s="66"/>
      <c r="P161" s="66"/>
      <c r="Q161" s="66"/>
      <c r="R161" s="66"/>
      <c r="S161" s="66"/>
      <c r="T161" s="66"/>
      <c r="U161" s="66"/>
      <c r="V161" s="66"/>
      <c r="W161" s="66"/>
      <c r="X161" s="66"/>
      <c r="Y161" s="66"/>
      <c r="Z161" s="66"/>
      <c r="AA161" s="66"/>
      <c r="AB161" s="66"/>
      <c r="AC161" s="66"/>
    </row>
    <row r="162">
      <c r="A162" s="66"/>
      <c r="B162" s="66"/>
      <c r="C162" s="66"/>
      <c r="D162" s="66"/>
      <c r="E162" s="15"/>
      <c r="F162" s="66"/>
      <c r="G162" s="18"/>
      <c r="H162" s="15"/>
      <c r="I162" s="18"/>
      <c r="J162" s="22"/>
      <c r="K162" s="108"/>
      <c r="L162" s="66"/>
      <c r="M162" s="66"/>
      <c r="N162" s="66"/>
      <c r="O162" s="66"/>
      <c r="P162" s="66"/>
      <c r="Q162" s="66"/>
      <c r="R162" s="66"/>
      <c r="S162" s="66"/>
      <c r="T162" s="66"/>
      <c r="U162" s="66"/>
      <c r="V162" s="66"/>
      <c r="W162" s="66"/>
      <c r="X162" s="66"/>
      <c r="Y162" s="66"/>
      <c r="Z162" s="66"/>
      <c r="AA162" s="66"/>
      <c r="AB162" s="66"/>
      <c r="AC162" s="66"/>
    </row>
    <row r="163">
      <c r="A163" s="66"/>
      <c r="B163" s="66"/>
      <c r="C163" s="66"/>
      <c r="D163" s="66"/>
      <c r="E163" s="15"/>
      <c r="F163" s="66"/>
      <c r="G163" s="18"/>
      <c r="H163" s="15"/>
      <c r="I163" s="18"/>
      <c r="J163" s="22"/>
      <c r="K163" s="108"/>
      <c r="L163" s="66"/>
      <c r="M163" s="66"/>
      <c r="N163" s="66"/>
      <c r="O163" s="66"/>
      <c r="P163" s="66"/>
      <c r="Q163" s="66"/>
      <c r="R163" s="66"/>
      <c r="S163" s="66"/>
      <c r="T163" s="66"/>
      <c r="U163" s="66"/>
      <c r="V163" s="66"/>
      <c r="W163" s="66"/>
      <c r="X163" s="66"/>
      <c r="Y163" s="66"/>
      <c r="Z163" s="66"/>
      <c r="AA163" s="66"/>
      <c r="AB163" s="66"/>
      <c r="AC163" s="66"/>
    </row>
    <row r="164">
      <c r="A164" s="66"/>
      <c r="B164" s="66"/>
      <c r="C164" s="66"/>
      <c r="D164" s="66"/>
      <c r="E164" s="15"/>
      <c r="F164" s="66"/>
      <c r="G164" s="18"/>
      <c r="H164" s="15"/>
      <c r="I164" s="18"/>
      <c r="J164" s="22"/>
      <c r="K164" s="108"/>
      <c r="L164" s="66"/>
      <c r="M164" s="66"/>
      <c r="N164" s="66"/>
      <c r="O164" s="66"/>
      <c r="P164" s="66"/>
      <c r="Q164" s="66"/>
      <c r="R164" s="66"/>
      <c r="S164" s="66"/>
      <c r="T164" s="66"/>
      <c r="U164" s="66"/>
      <c r="V164" s="66"/>
      <c r="W164" s="66"/>
      <c r="X164" s="66"/>
      <c r="Y164" s="66"/>
      <c r="Z164" s="66"/>
      <c r="AA164" s="66"/>
      <c r="AB164" s="66"/>
      <c r="AC164" s="66"/>
    </row>
    <row r="165">
      <c r="A165" s="66"/>
      <c r="B165" s="66"/>
      <c r="C165" s="66"/>
      <c r="D165" s="66"/>
      <c r="E165" s="15"/>
      <c r="F165" s="66"/>
      <c r="G165" s="18"/>
      <c r="H165" s="15"/>
      <c r="I165" s="18"/>
      <c r="J165" s="22"/>
      <c r="K165" s="108"/>
      <c r="L165" s="66"/>
      <c r="M165" s="66"/>
      <c r="N165" s="66"/>
      <c r="O165" s="66"/>
      <c r="P165" s="66"/>
      <c r="Q165" s="66"/>
      <c r="R165" s="66"/>
      <c r="S165" s="66"/>
      <c r="T165" s="66"/>
      <c r="U165" s="66"/>
      <c r="V165" s="66"/>
      <c r="W165" s="66"/>
      <c r="X165" s="66"/>
      <c r="Y165" s="66"/>
      <c r="Z165" s="66"/>
      <c r="AA165" s="66"/>
      <c r="AB165" s="66"/>
      <c r="AC165" s="66"/>
    </row>
    <row r="166">
      <c r="A166" s="66"/>
      <c r="B166" s="66"/>
      <c r="C166" s="66"/>
      <c r="D166" s="66"/>
      <c r="E166" s="15"/>
      <c r="F166" s="66"/>
      <c r="G166" s="18"/>
      <c r="H166" s="15"/>
      <c r="I166" s="18"/>
      <c r="J166" s="22"/>
      <c r="K166" s="108"/>
      <c r="L166" s="66"/>
      <c r="M166" s="66"/>
      <c r="N166" s="66"/>
      <c r="O166" s="66"/>
      <c r="P166" s="66"/>
      <c r="Q166" s="66"/>
      <c r="R166" s="66"/>
      <c r="S166" s="66"/>
      <c r="T166" s="66"/>
      <c r="U166" s="66"/>
      <c r="V166" s="66"/>
      <c r="W166" s="66"/>
      <c r="X166" s="66"/>
      <c r="Y166" s="66"/>
      <c r="Z166" s="66"/>
      <c r="AA166" s="66"/>
      <c r="AB166" s="66"/>
      <c r="AC166" s="66"/>
    </row>
    <row r="167">
      <c r="A167" s="66"/>
      <c r="B167" s="66"/>
      <c r="C167" s="66"/>
      <c r="D167" s="66"/>
      <c r="E167" s="15"/>
      <c r="F167" s="66"/>
      <c r="G167" s="18"/>
      <c r="H167" s="15"/>
      <c r="I167" s="18"/>
      <c r="J167" s="22"/>
      <c r="K167" s="108"/>
      <c r="L167" s="66"/>
      <c r="M167" s="66"/>
      <c r="N167" s="66"/>
      <c r="O167" s="66"/>
      <c r="P167" s="66"/>
      <c r="Q167" s="66"/>
      <c r="R167" s="66"/>
      <c r="S167" s="66"/>
      <c r="T167" s="66"/>
      <c r="U167" s="66"/>
      <c r="V167" s="66"/>
      <c r="W167" s="66"/>
      <c r="X167" s="66"/>
      <c r="Y167" s="66"/>
      <c r="Z167" s="66"/>
      <c r="AA167" s="66"/>
      <c r="AB167" s="66"/>
      <c r="AC167" s="66"/>
    </row>
    <row r="168">
      <c r="A168" s="66"/>
      <c r="B168" s="66"/>
      <c r="C168" s="66"/>
      <c r="D168" s="66"/>
      <c r="E168" s="15"/>
      <c r="F168" s="66"/>
      <c r="G168" s="18"/>
      <c r="H168" s="15"/>
      <c r="I168" s="18"/>
      <c r="J168" s="22"/>
      <c r="K168" s="108"/>
      <c r="L168" s="66"/>
      <c r="M168" s="66"/>
      <c r="N168" s="66"/>
      <c r="O168" s="66"/>
      <c r="P168" s="66"/>
      <c r="Q168" s="66"/>
      <c r="R168" s="66"/>
      <c r="S168" s="66"/>
      <c r="T168" s="66"/>
      <c r="U168" s="66"/>
      <c r="V168" s="66"/>
      <c r="W168" s="66"/>
      <c r="X168" s="66"/>
      <c r="Y168" s="66"/>
      <c r="Z168" s="66"/>
      <c r="AA168" s="66"/>
      <c r="AB168" s="66"/>
      <c r="AC168" s="66"/>
    </row>
    <row r="169">
      <c r="A169" s="66"/>
      <c r="B169" s="66"/>
      <c r="C169" s="66"/>
      <c r="D169" s="66"/>
      <c r="E169" s="15"/>
      <c r="F169" s="66"/>
      <c r="G169" s="18"/>
      <c r="H169" s="15"/>
      <c r="I169" s="18"/>
      <c r="J169" s="22"/>
      <c r="K169" s="108"/>
      <c r="L169" s="66"/>
      <c r="M169" s="66"/>
      <c r="N169" s="66"/>
      <c r="O169" s="66"/>
      <c r="P169" s="66"/>
      <c r="Q169" s="66"/>
      <c r="R169" s="66"/>
      <c r="S169" s="66"/>
      <c r="T169" s="66"/>
      <c r="U169" s="66"/>
      <c r="V169" s="66"/>
      <c r="W169" s="66"/>
      <c r="X169" s="66"/>
      <c r="Y169" s="66"/>
      <c r="Z169" s="66"/>
      <c r="AA169" s="66"/>
      <c r="AB169" s="66"/>
      <c r="AC169" s="66"/>
    </row>
    <row r="170">
      <c r="A170" s="66"/>
      <c r="B170" s="66"/>
      <c r="C170" s="66"/>
      <c r="D170" s="66"/>
      <c r="E170" s="15"/>
      <c r="F170" s="66"/>
      <c r="G170" s="18"/>
      <c r="H170" s="15"/>
      <c r="I170" s="18"/>
      <c r="J170" s="22"/>
      <c r="K170" s="108"/>
      <c r="L170" s="66"/>
      <c r="M170" s="66"/>
      <c r="N170" s="66"/>
      <c r="O170" s="66"/>
      <c r="P170" s="66"/>
      <c r="Q170" s="66"/>
      <c r="R170" s="66"/>
      <c r="S170" s="66"/>
      <c r="T170" s="66"/>
      <c r="U170" s="66"/>
      <c r="V170" s="66"/>
      <c r="W170" s="66"/>
      <c r="X170" s="66"/>
      <c r="Y170" s="66"/>
      <c r="Z170" s="66"/>
      <c r="AA170" s="66"/>
      <c r="AB170" s="66"/>
      <c r="AC170" s="66"/>
    </row>
    <row r="171">
      <c r="A171" s="66"/>
      <c r="B171" s="66"/>
      <c r="C171" s="66"/>
      <c r="D171" s="66"/>
      <c r="E171" s="15"/>
      <c r="F171" s="66"/>
      <c r="G171" s="18"/>
      <c r="H171" s="15"/>
      <c r="I171" s="18"/>
      <c r="J171" s="22"/>
      <c r="K171" s="108"/>
      <c r="L171" s="66"/>
      <c r="M171" s="66"/>
      <c r="N171" s="66"/>
      <c r="O171" s="66"/>
      <c r="P171" s="66"/>
      <c r="Q171" s="66"/>
      <c r="R171" s="66"/>
      <c r="S171" s="66"/>
      <c r="T171" s="66"/>
      <c r="U171" s="66"/>
      <c r="V171" s="66"/>
      <c r="W171" s="66"/>
      <c r="X171" s="66"/>
      <c r="Y171" s="66"/>
      <c r="Z171" s="66"/>
      <c r="AA171" s="66"/>
      <c r="AB171" s="66"/>
      <c r="AC171" s="66"/>
    </row>
    <row r="172">
      <c r="A172" s="66"/>
      <c r="B172" s="66"/>
      <c r="C172" s="66"/>
      <c r="D172" s="66"/>
      <c r="E172" s="15"/>
      <c r="F172" s="66"/>
      <c r="G172" s="18"/>
      <c r="H172" s="15"/>
      <c r="I172" s="18"/>
      <c r="J172" s="22"/>
      <c r="K172" s="108"/>
      <c r="L172" s="66"/>
      <c r="M172" s="66"/>
      <c r="N172" s="66"/>
      <c r="O172" s="66"/>
      <c r="P172" s="66"/>
      <c r="Q172" s="66"/>
      <c r="R172" s="66"/>
      <c r="S172" s="66"/>
      <c r="T172" s="66"/>
      <c r="U172" s="66"/>
      <c r="V172" s="66"/>
      <c r="W172" s="66"/>
      <c r="X172" s="66"/>
      <c r="Y172" s="66"/>
      <c r="Z172" s="66"/>
      <c r="AA172" s="66"/>
      <c r="AB172" s="66"/>
      <c r="AC172" s="66"/>
    </row>
    <row r="173">
      <c r="A173" s="66"/>
      <c r="B173" s="66"/>
      <c r="C173" s="66"/>
      <c r="D173" s="66"/>
      <c r="E173" s="15"/>
      <c r="F173" s="66"/>
      <c r="G173" s="18"/>
      <c r="H173" s="15"/>
      <c r="I173" s="18"/>
      <c r="J173" s="22"/>
      <c r="K173" s="108"/>
      <c r="L173" s="66"/>
      <c r="M173" s="66"/>
      <c r="N173" s="66"/>
      <c r="O173" s="66"/>
      <c r="P173" s="66"/>
      <c r="Q173" s="66"/>
      <c r="R173" s="66"/>
      <c r="S173" s="66"/>
      <c r="T173" s="66"/>
      <c r="U173" s="66"/>
      <c r="V173" s="66"/>
      <c r="W173" s="66"/>
      <c r="X173" s="66"/>
      <c r="Y173" s="66"/>
      <c r="Z173" s="66"/>
      <c r="AA173" s="66"/>
      <c r="AB173" s="66"/>
      <c r="AC173" s="66"/>
    </row>
    <row r="174">
      <c r="A174" s="66"/>
      <c r="B174" s="66"/>
      <c r="C174" s="66"/>
      <c r="D174" s="66"/>
      <c r="E174" s="15"/>
      <c r="F174" s="66"/>
      <c r="G174" s="18"/>
      <c r="H174" s="15"/>
      <c r="I174" s="18"/>
      <c r="J174" s="22"/>
      <c r="K174" s="108"/>
      <c r="L174" s="66"/>
      <c r="M174" s="66"/>
      <c r="N174" s="66"/>
      <c r="O174" s="66"/>
      <c r="P174" s="66"/>
      <c r="Q174" s="66"/>
      <c r="R174" s="66"/>
      <c r="S174" s="66"/>
      <c r="T174" s="66"/>
      <c r="U174" s="66"/>
      <c r="V174" s="66"/>
      <c r="W174" s="66"/>
      <c r="X174" s="66"/>
      <c r="Y174" s="66"/>
      <c r="Z174" s="66"/>
      <c r="AA174" s="66"/>
      <c r="AB174" s="66"/>
      <c r="AC174" s="66"/>
    </row>
    <row r="175">
      <c r="A175" s="66"/>
      <c r="B175" s="66"/>
      <c r="C175" s="66"/>
      <c r="D175" s="66"/>
      <c r="E175" s="15"/>
      <c r="F175" s="66"/>
      <c r="G175" s="18"/>
      <c r="H175" s="15"/>
      <c r="I175" s="18"/>
      <c r="J175" s="22"/>
      <c r="K175" s="108"/>
      <c r="L175" s="66"/>
      <c r="M175" s="66"/>
      <c r="N175" s="66"/>
      <c r="O175" s="66"/>
      <c r="P175" s="66"/>
      <c r="Q175" s="66"/>
      <c r="R175" s="66"/>
      <c r="S175" s="66"/>
      <c r="T175" s="66"/>
      <c r="U175" s="66"/>
      <c r="V175" s="66"/>
      <c r="W175" s="66"/>
      <c r="X175" s="66"/>
      <c r="Y175" s="66"/>
      <c r="Z175" s="66"/>
      <c r="AA175" s="66"/>
      <c r="AB175" s="66"/>
      <c r="AC175" s="66"/>
    </row>
    <row r="176">
      <c r="A176" s="66"/>
      <c r="B176" s="66"/>
      <c r="C176" s="66"/>
      <c r="D176" s="66"/>
      <c r="E176" s="15"/>
      <c r="F176" s="66"/>
      <c r="G176" s="18"/>
      <c r="H176" s="15"/>
      <c r="I176" s="18"/>
      <c r="J176" s="22"/>
      <c r="K176" s="108"/>
      <c r="L176" s="66"/>
      <c r="M176" s="66"/>
      <c r="N176" s="66"/>
      <c r="O176" s="66"/>
      <c r="P176" s="66"/>
      <c r="Q176" s="66"/>
      <c r="R176" s="66"/>
      <c r="S176" s="66"/>
      <c r="T176" s="66"/>
      <c r="U176" s="66"/>
      <c r="V176" s="66"/>
      <c r="W176" s="66"/>
      <c r="X176" s="66"/>
      <c r="Y176" s="66"/>
      <c r="Z176" s="66"/>
      <c r="AA176" s="66"/>
      <c r="AB176" s="66"/>
      <c r="AC176" s="66"/>
    </row>
    <row r="177">
      <c r="A177" s="66"/>
      <c r="B177" s="66"/>
      <c r="C177" s="66"/>
      <c r="D177" s="66"/>
      <c r="E177" s="15"/>
      <c r="F177" s="66"/>
      <c r="G177" s="18"/>
      <c r="H177" s="15"/>
      <c r="I177" s="18"/>
      <c r="J177" s="22"/>
      <c r="K177" s="108"/>
      <c r="L177" s="66"/>
      <c r="M177" s="66"/>
      <c r="N177" s="66"/>
      <c r="O177" s="66"/>
      <c r="P177" s="66"/>
      <c r="Q177" s="66"/>
      <c r="R177" s="66"/>
      <c r="S177" s="66"/>
      <c r="T177" s="66"/>
      <c r="U177" s="66"/>
      <c r="V177" s="66"/>
      <c r="W177" s="66"/>
      <c r="X177" s="66"/>
      <c r="Y177" s="66"/>
      <c r="Z177" s="66"/>
      <c r="AA177" s="66"/>
      <c r="AB177" s="66"/>
      <c r="AC177" s="66"/>
    </row>
    <row r="178">
      <c r="A178" s="66"/>
      <c r="B178" s="66"/>
      <c r="C178" s="66"/>
      <c r="D178" s="66"/>
      <c r="E178" s="15"/>
      <c r="F178" s="66"/>
      <c r="G178" s="18"/>
      <c r="H178" s="15"/>
      <c r="I178" s="18"/>
      <c r="J178" s="22"/>
      <c r="K178" s="108"/>
      <c r="L178" s="66"/>
      <c r="M178" s="66"/>
      <c r="N178" s="66"/>
      <c r="O178" s="66"/>
      <c r="P178" s="66"/>
      <c r="Q178" s="66"/>
      <c r="R178" s="66"/>
      <c r="S178" s="66"/>
      <c r="T178" s="66"/>
      <c r="U178" s="66"/>
      <c r="V178" s="66"/>
      <c r="W178" s="66"/>
      <c r="X178" s="66"/>
      <c r="Y178" s="66"/>
      <c r="Z178" s="66"/>
      <c r="AA178" s="66"/>
      <c r="AB178" s="66"/>
      <c r="AC178" s="66"/>
    </row>
    <row r="179">
      <c r="A179" s="66"/>
      <c r="B179" s="66"/>
      <c r="C179" s="66"/>
      <c r="D179" s="66"/>
      <c r="E179" s="15"/>
      <c r="F179" s="66"/>
      <c r="G179" s="18"/>
      <c r="H179" s="15"/>
      <c r="I179" s="18"/>
      <c r="J179" s="22"/>
      <c r="K179" s="108"/>
      <c r="L179" s="66"/>
      <c r="M179" s="66"/>
      <c r="N179" s="66"/>
      <c r="O179" s="66"/>
      <c r="P179" s="66"/>
      <c r="Q179" s="66"/>
      <c r="R179" s="66"/>
      <c r="S179" s="66"/>
      <c r="T179" s="66"/>
      <c r="U179" s="66"/>
      <c r="V179" s="66"/>
      <c r="W179" s="66"/>
      <c r="X179" s="66"/>
      <c r="Y179" s="66"/>
      <c r="Z179" s="66"/>
      <c r="AA179" s="66"/>
      <c r="AB179" s="66"/>
      <c r="AC179" s="66"/>
    </row>
    <row r="180">
      <c r="A180" s="66"/>
      <c r="B180" s="66"/>
      <c r="C180" s="66"/>
      <c r="D180" s="66"/>
      <c r="E180" s="15"/>
      <c r="F180" s="66"/>
      <c r="G180" s="18"/>
      <c r="H180" s="15"/>
      <c r="I180" s="18"/>
      <c r="J180" s="22"/>
      <c r="K180" s="108"/>
      <c r="L180" s="66"/>
      <c r="M180" s="66"/>
      <c r="N180" s="66"/>
      <c r="O180" s="66"/>
      <c r="P180" s="66"/>
      <c r="Q180" s="66"/>
      <c r="R180" s="66"/>
      <c r="S180" s="66"/>
      <c r="T180" s="66"/>
      <c r="U180" s="66"/>
      <c r="V180" s="66"/>
      <c r="W180" s="66"/>
      <c r="X180" s="66"/>
      <c r="Y180" s="66"/>
      <c r="Z180" s="66"/>
      <c r="AA180" s="66"/>
      <c r="AB180" s="66"/>
      <c r="AC180" s="66"/>
    </row>
    <row r="181">
      <c r="A181" s="66"/>
      <c r="B181" s="66"/>
      <c r="C181" s="66"/>
      <c r="D181" s="66"/>
      <c r="E181" s="15"/>
      <c r="F181" s="66"/>
      <c r="G181" s="18"/>
      <c r="H181" s="15"/>
      <c r="I181" s="18"/>
      <c r="J181" s="22"/>
      <c r="K181" s="108"/>
      <c r="L181" s="66"/>
      <c r="M181" s="66"/>
      <c r="N181" s="66"/>
      <c r="O181" s="66"/>
      <c r="P181" s="66"/>
      <c r="Q181" s="66"/>
      <c r="R181" s="66"/>
      <c r="S181" s="66"/>
      <c r="T181" s="66"/>
      <c r="U181" s="66"/>
      <c r="V181" s="66"/>
      <c r="W181" s="66"/>
      <c r="X181" s="66"/>
      <c r="Y181" s="66"/>
      <c r="Z181" s="66"/>
      <c r="AA181" s="66"/>
      <c r="AB181" s="66"/>
      <c r="AC181" s="66"/>
    </row>
    <row r="182">
      <c r="A182" s="66"/>
      <c r="B182" s="66"/>
      <c r="C182" s="66"/>
      <c r="D182" s="66"/>
      <c r="E182" s="15"/>
      <c r="F182" s="66"/>
      <c r="G182" s="18"/>
      <c r="H182" s="15"/>
      <c r="I182" s="18"/>
      <c r="J182" s="22"/>
      <c r="K182" s="108"/>
      <c r="L182" s="66"/>
      <c r="M182" s="66"/>
      <c r="N182" s="66"/>
      <c r="O182" s="66"/>
      <c r="P182" s="66"/>
      <c r="Q182" s="66"/>
      <c r="R182" s="66"/>
      <c r="S182" s="66"/>
      <c r="T182" s="66"/>
      <c r="U182" s="66"/>
      <c r="V182" s="66"/>
      <c r="W182" s="66"/>
      <c r="X182" s="66"/>
      <c r="Y182" s="66"/>
      <c r="Z182" s="66"/>
      <c r="AA182" s="66"/>
      <c r="AB182" s="66"/>
      <c r="AC182" s="66"/>
    </row>
    <row r="183">
      <c r="A183" s="66"/>
      <c r="B183" s="66"/>
      <c r="C183" s="66"/>
      <c r="D183" s="66"/>
      <c r="E183" s="15"/>
      <c r="F183" s="66"/>
      <c r="G183" s="18"/>
      <c r="H183" s="15"/>
      <c r="I183" s="18"/>
      <c r="J183" s="22"/>
      <c r="K183" s="108"/>
      <c r="L183" s="66"/>
      <c r="M183" s="66"/>
      <c r="N183" s="66"/>
      <c r="O183" s="66"/>
      <c r="P183" s="66"/>
      <c r="Q183" s="66"/>
      <c r="R183" s="66"/>
      <c r="S183" s="66"/>
      <c r="T183" s="66"/>
      <c r="U183" s="66"/>
      <c r="V183" s="66"/>
      <c r="W183" s="66"/>
      <c r="X183" s="66"/>
      <c r="Y183" s="66"/>
      <c r="Z183" s="66"/>
      <c r="AA183" s="66"/>
      <c r="AB183" s="66"/>
      <c r="AC183" s="66"/>
    </row>
    <row r="184">
      <c r="A184" s="66"/>
      <c r="B184" s="66"/>
      <c r="C184" s="66"/>
      <c r="D184" s="66"/>
      <c r="E184" s="15"/>
      <c r="F184" s="66"/>
      <c r="G184" s="18"/>
      <c r="H184" s="15"/>
      <c r="I184" s="18"/>
      <c r="J184" s="22"/>
      <c r="K184" s="108"/>
      <c r="L184" s="66"/>
      <c r="M184" s="66"/>
      <c r="N184" s="66"/>
      <c r="O184" s="66"/>
      <c r="P184" s="66"/>
      <c r="Q184" s="66"/>
      <c r="R184" s="66"/>
      <c r="S184" s="66"/>
      <c r="T184" s="66"/>
      <c r="U184" s="66"/>
      <c r="V184" s="66"/>
      <c r="W184" s="66"/>
      <c r="X184" s="66"/>
      <c r="Y184" s="66"/>
      <c r="Z184" s="66"/>
      <c r="AA184" s="66"/>
      <c r="AB184" s="66"/>
      <c r="AC184" s="66"/>
    </row>
    <row r="185">
      <c r="A185" s="66"/>
      <c r="B185" s="66"/>
      <c r="C185" s="66"/>
      <c r="D185" s="66"/>
      <c r="E185" s="15"/>
      <c r="F185" s="66"/>
      <c r="G185" s="18"/>
      <c r="H185" s="15"/>
      <c r="I185" s="18"/>
      <c r="J185" s="22"/>
      <c r="K185" s="108"/>
      <c r="L185" s="66"/>
      <c r="M185" s="66"/>
      <c r="N185" s="66"/>
      <c r="O185" s="66"/>
      <c r="P185" s="66"/>
      <c r="Q185" s="66"/>
      <c r="R185" s="66"/>
      <c r="S185" s="66"/>
      <c r="T185" s="66"/>
      <c r="U185" s="66"/>
      <c r="V185" s="66"/>
      <c r="W185" s="66"/>
      <c r="X185" s="66"/>
      <c r="Y185" s="66"/>
      <c r="Z185" s="66"/>
      <c r="AA185" s="66"/>
      <c r="AB185" s="66"/>
      <c r="AC185" s="66"/>
    </row>
    <row r="186">
      <c r="A186" s="66"/>
      <c r="B186" s="66"/>
      <c r="C186" s="66"/>
      <c r="D186" s="66"/>
      <c r="E186" s="15"/>
      <c r="F186" s="66"/>
      <c r="G186" s="18"/>
      <c r="H186" s="15"/>
      <c r="I186" s="18"/>
      <c r="J186" s="22"/>
      <c r="K186" s="108"/>
      <c r="L186" s="66"/>
      <c r="M186" s="66"/>
      <c r="N186" s="66"/>
      <c r="O186" s="66"/>
      <c r="P186" s="66"/>
      <c r="Q186" s="66"/>
      <c r="R186" s="66"/>
      <c r="S186" s="66"/>
      <c r="T186" s="66"/>
      <c r="U186" s="66"/>
      <c r="V186" s="66"/>
      <c r="W186" s="66"/>
      <c r="X186" s="66"/>
      <c r="Y186" s="66"/>
      <c r="Z186" s="66"/>
      <c r="AA186" s="66"/>
      <c r="AB186" s="66"/>
      <c r="AC186" s="66"/>
    </row>
    <row r="187">
      <c r="A187" s="66"/>
      <c r="B187" s="66"/>
      <c r="C187" s="66"/>
      <c r="D187" s="66"/>
      <c r="E187" s="15"/>
      <c r="F187" s="66"/>
      <c r="G187" s="18"/>
      <c r="H187" s="15"/>
      <c r="I187" s="18"/>
      <c r="J187" s="22"/>
      <c r="K187" s="108"/>
      <c r="L187" s="66"/>
      <c r="M187" s="66"/>
      <c r="N187" s="66"/>
      <c r="O187" s="66"/>
      <c r="P187" s="66"/>
      <c r="Q187" s="66"/>
      <c r="R187" s="66"/>
      <c r="S187" s="66"/>
      <c r="T187" s="66"/>
      <c r="U187" s="66"/>
      <c r="V187" s="66"/>
      <c r="W187" s="66"/>
      <c r="X187" s="66"/>
      <c r="Y187" s="66"/>
      <c r="Z187" s="66"/>
      <c r="AA187" s="66"/>
      <c r="AB187" s="66"/>
      <c r="AC187" s="66"/>
    </row>
    <row r="188">
      <c r="A188" s="66"/>
      <c r="B188" s="66"/>
      <c r="C188" s="66"/>
      <c r="D188" s="66"/>
      <c r="E188" s="15"/>
      <c r="F188" s="66"/>
      <c r="G188" s="18"/>
      <c r="H188" s="15"/>
      <c r="I188" s="18"/>
      <c r="J188" s="22"/>
      <c r="K188" s="108"/>
      <c r="L188" s="66"/>
      <c r="M188" s="66"/>
      <c r="N188" s="66"/>
      <c r="O188" s="66"/>
      <c r="P188" s="66"/>
      <c r="Q188" s="66"/>
      <c r="R188" s="66"/>
      <c r="S188" s="66"/>
      <c r="T188" s="66"/>
      <c r="U188" s="66"/>
      <c r="V188" s="66"/>
      <c r="W188" s="66"/>
      <c r="X188" s="66"/>
      <c r="Y188" s="66"/>
      <c r="Z188" s="66"/>
      <c r="AA188" s="66"/>
      <c r="AB188" s="66"/>
      <c r="AC188" s="66"/>
    </row>
    <row r="189">
      <c r="A189" s="66"/>
      <c r="B189" s="66"/>
      <c r="C189" s="66"/>
      <c r="D189" s="66"/>
      <c r="E189" s="15"/>
      <c r="F189" s="66"/>
      <c r="G189" s="18"/>
      <c r="H189" s="15"/>
      <c r="I189" s="18"/>
      <c r="J189" s="22"/>
      <c r="K189" s="108"/>
      <c r="L189" s="66"/>
      <c r="M189" s="66"/>
      <c r="N189" s="66"/>
      <c r="O189" s="66"/>
      <c r="P189" s="66"/>
      <c r="Q189" s="66"/>
      <c r="R189" s="66"/>
      <c r="S189" s="66"/>
      <c r="T189" s="66"/>
      <c r="U189" s="66"/>
      <c r="V189" s="66"/>
      <c r="W189" s="66"/>
      <c r="X189" s="66"/>
      <c r="Y189" s="66"/>
      <c r="Z189" s="66"/>
      <c r="AA189" s="66"/>
      <c r="AB189" s="66"/>
      <c r="AC189" s="66"/>
    </row>
    <row r="190">
      <c r="A190" s="66"/>
      <c r="B190" s="66"/>
      <c r="C190" s="66"/>
      <c r="D190" s="66"/>
      <c r="E190" s="15"/>
      <c r="F190" s="66"/>
      <c r="G190" s="18"/>
      <c r="H190" s="15"/>
      <c r="I190" s="18"/>
      <c r="J190" s="22"/>
      <c r="K190" s="108"/>
      <c r="L190" s="66"/>
      <c r="M190" s="66"/>
      <c r="N190" s="66"/>
      <c r="O190" s="66"/>
      <c r="P190" s="66"/>
      <c r="Q190" s="66"/>
      <c r="R190" s="66"/>
      <c r="S190" s="66"/>
      <c r="T190" s="66"/>
      <c r="U190" s="66"/>
      <c r="V190" s="66"/>
      <c r="W190" s="66"/>
      <c r="X190" s="66"/>
      <c r="Y190" s="66"/>
      <c r="Z190" s="66"/>
      <c r="AA190" s="66"/>
      <c r="AB190" s="66"/>
      <c r="AC190" s="66"/>
    </row>
    <row r="191">
      <c r="A191" s="66"/>
      <c r="B191" s="66"/>
      <c r="C191" s="66"/>
      <c r="D191" s="66"/>
      <c r="E191" s="15"/>
      <c r="F191" s="66"/>
      <c r="G191" s="18"/>
      <c r="H191" s="15"/>
      <c r="I191" s="18"/>
      <c r="J191" s="22"/>
      <c r="K191" s="108"/>
      <c r="L191" s="66"/>
      <c r="M191" s="66"/>
      <c r="N191" s="66"/>
      <c r="O191" s="66"/>
      <c r="P191" s="66"/>
      <c r="Q191" s="66"/>
      <c r="R191" s="66"/>
      <c r="S191" s="66"/>
      <c r="T191" s="66"/>
      <c r="U191" s="66"/>
      <c r="V191" s="66"/>
      <c r="W191" s="66"/>
      <c r="X191" s="66"/>
      <c r="Y191" s="66"/>
      <c r="Z191" s="66"/>
      <c r="AA191" s="66"/>
      <c r="AB191" s="66"/>
      <c r="AC191" s="66"/>
    </row>
    <row r="192">
      <c r="A192" s="66"/>
      <c r="B192" s="66"/>
      <c r="C192" s="66"/>
      <c r="D192" s="66"/>
      <c r="E192" s="15"/>
      <c r="F192" s="66"/>
      <c r="G192" s="18"/>
      <c r="H192" s="15"/>
      <c r="I192" s="18"/>
      <c r="J192" s="22"/>
      <c r="K192" s="108"/>
      <c r="L192" s="66"/>
      <c r="M192" s="66"/>
      <c r="N192" s="66"/>
      <c r="O192" s="66"/>
      <c r="P192" s="66"/>
      <c r="Q192" s="66"/>
      <c r="R192" s="66"/>
      <c r="S192" s="66"/>
      <c r="T192" s="66"/>
      <c r="U192" s="66"/>
      <c r="V192" s="66"/>
      <c r="W192" s="66"/>
      <c r="X192" s="66"/>
      <c r="Y192" s="66"/>
      <c r="Z192" s="66"/>
      <c r="AA192" s="66"/>
      <c r="AB192" s="66"/>
      <c r="AC192" s="66"/>
    </row>
    <row r="193">
      <c r="A193" s="66"/>
      <c r="B193" s="66"/>
      <c r="C193" s="66"/>
      <c r="D193" s="66"/>
      <c r="E193" s="15"/>
      <c r="F193" s="66"/>
      <c r="G193" s="18"/>
      <c r="H193" s="15"/>
      <c r="I193" s="18"/>
      <c r="J193" s="22"/>
      <c r="K193" s="108"/>
      <c r="L193" s="66"/>
      <c r="M193" s="66"/>
      <c r="N193" s="66"/>
      <c r="O193" s="66"/>
      <c r="P193" s="66"/>
      <c r="Q193" s="66"/>
      <c r="R193" s="66"/>
      <c r="S193" s="66"/>
      <c r="T193" s="66"/>
      <c r="U193" s="66"/>
      <c r="V193" s="66"/>
      <c r="W193" s="66"/>
      <c r="X193" s="66"/>
      <c r="Y193" s="66"/>
      <c r="Z193" s="66"/>
      <c r="AA193" s="66"/>
      <c r="AB193" s="66"/>
      <c r="AC193" s="66"/>
    </row>
    <row r="194">
      <c r="A194" s="66"/>
      <c r="B194" s="66"/>
      <c r="C194" s="66"/>
      <c r="D194" s="66"/>
      <c r="E194" s="15"/>
      <c r="F194" s="66"/>
      <c r="G194" s="18"/>
      <c r="H194" s="15"/>
      <c r="I194" s="18"/>
      <c r="J194" s="22"/>
      <c r="K194" s="108"/>
      <c r="L194" s="66"/>
      <c r="M194" s="66"/>
      <c r="N194" s="66"/>
      <c r="O194" s="66"/>
      <c r="P194" s="66"/>
      <c r="Q194" s="66"/>
      <c r="R194" s="66"/>
      <c r="S194" s="66"/>
      <c r="T194" s="66"/>
      <c r="U194" s="66"/>
      <c r="V194" s="66"/>
      <c r="W194" s="66"/>
      <c r="X194" s="66"/>
      <c r="Y194" s="66"/>
      <c r="Z194" s="66"/>
      <c r="AA194" s="66"/>
      <c r="AB194" s="66"/>
      <c r="AC194" s="66"/>
    </row>
    <row r="195">
      <c r="A195" s="66"/>
      <c r="B195" s="66"/>
      <c r="C195" s="66"/>
      <c r="D195" s="66"/>
      <c r="E195" s="15"/>
      <c r="F195" s="66"/>
      <c r="G195" s="18"/>
      <c r="H195" s="15"/>
      <c r="I195" s="18"/>
      <c r="J195" s="22"/>
      <c r="K195" s="108"/>
      <c r="L195" s="66"/>
      <c r="M195" s="66"/>
      <c r="N195" s="66"/>
      <c r="O195" s="66"/>
      <c r="P195" s="66"/>
      <c r="Q195" s="66"/>
      <c r="R195" s="66"/>
      <c r="S195" s="66"/>
      <c r="T195" s="66"/>
      <c r="U195" s="66"/>
      <c r="V195" s="66"/>
      <c r="W195" s="66"/>
      <c r="X195" s="66"/>
      <c r="Y195" s="66"/>
      <c r="Z195" s="66"/>
      <c r="AA195" s="66"/>
      <c r="AB195" s="66"/>
      <c r="AC195" s="66"/>
    </row>
    <row r="196">
      <c r="A196" s="66"/>
      <c r="B196" s="66"/>
      <c r="C196" s="66"/>
      <c r="D196" s="66"/>
      <c r="E196" s="15"/>
      <c r="F196" s="66"/>
      <c r="G196" s="18"/>
      <c r="H196" s="15"/>
      <c r="I196" s="18"/>
      <c r="J196" s="22"/>
      <c r="K196" s="108"/>
      <c r="L196" s="66"/>
      <c r="M196" s="66"/>
      <c r="N196" s="66"/>
      <c r="O196" s="66"/>
      <c r="P196" s="66"/>
      <c r="Q196" s="66"/>
      <c r="R196" s="66"/>
      <c r="S196" s="66"/>
      <c r="T196" s="66"/>
      <c r="U196" s="66"/>
      <c r="V196" s="66"/>
      <c r="W196" s="66"/>
      <c r="X196" s="66"/>
      <c r="Y196" s="66"/>
      <c r="Z196" s="66"/>
      <c r="AA196" s="66"/>
      <c r="AB196" s="66"/>
      <c r="AC196" s="66"/>
    </row>
    <row r="197">
      <c r="A197" s="66"/>
      <c r="B197" s="66"/>
      <c r="C197" s="66"/>
      <c r="D197" s="66"/>
      <c r="E197" s="15"/>
      <c r="F197" s="66"/>
      <c r="G197" s="18"/>
      <c r="H197" s="15"/>
      <c r="I197" s="18"/>
      <c r="J197" s="22"/>
      <c r="K197" s="108"/>
      <c r="L197" s="66"/>
      <c r="M197" s="66"/>
      <c r="N197" s="66"/>
      <c r="O197" s="66"/>
      <c r="P197" s="66"/>
      <c r="Q197" s="66"/>
      <c r="R197" s="66"/>
      <c r="S197" s="66"/>
      <c r="T197" s="66"/>
      <c r="U197" s="66"/>
      <c r="V197" s="66"/>
      <c r="W197" s="66"/>
      <c r="X197" s="66"/>
      <c r="Y197" s="66"/>
      <c r="Z197" s="66"/>
      <c r="AA197" s="66"/>
      <c r="AB197" s="66"/>
      <c r="AC197" s="66"/>
    </row>
    <row r="198">
      <c r="A198" s="66"/>
      <c r="B198" s="66"/>
      <c r="C198" s="66"/>
      <c r="D198" s="66"/>
      <c r="E198" s="15"/>
      <c r="F198" s="66"/>
      <c r="G198" s="18"/>
      <c r="H198" s="15"/>
      <c r="I198" s="18"/>
      <c r="J198" s="22"/>
      <c r="K198" s="108"/>
      <c r="L198" s="66"/>
      <c r="M198" s="66"/>
      <c r="N198" s="66"/>
      <c r="O198" s="66"/>
      <c r="P198" s="66"/>
      <c r="Q198" s="66"/>
      <c r="R198" s="66"/>
      <c r="S198" s="66"/>
      <c r="T198" s="66"/>
      <c r="U198" s="66"/>
      <c r="V198" s="66"/>
      <c r="W198" s="66"/>
      <c r="X198" s="66"/>
      <c r="Y198" s="66"/>
      <c r="Z198" s="66"/>
      <c r="AA198" s="66"/>
      <c r="AB198" s="66"/>
      <c r="AC198" s="66"/>
    </row>
    <row r="199">
      <c r="A199" s="66"/>
      <c r="B199" s="66"/>
      <c r="C199" s="66"/>
      <c r="D199" s="66"/>
      <c r="E199" s="15"/>
      <c r="F199" s="66"/>
      <c r="G199" s="18"/>
      <c r="H199" s="15"/>
      <c r="I199" s="18"/>
      <c r="J199" s="22"/>
      <c r="K199" s="108"/>
      <c r="L199" s="66"/>
      <c r="M199" s="66"/>
      <c r="N199" s="66"/>
      <c r="O199" s="66"/>
      <c r="P199" s="66"/>
      <c r="Q199" s="66"/>
      <c r="R199" s="66"/>
      <c r="S199" s="66"/>
      <c r="T199" s="66"/>
      <c r="U199" s="66"/>
      <c r="V199" s="66"/>
      <c r="W199" s="66"/>
      <c r="X199" s="66"/>
      <c r="Y199" s="66"/>
      <c r="Z199" s="66"/>
      <c r="AA199" s="66"/>
      <c r="AB199" s="66"/>
      <c r="AC199" s="66"/>
    </row>
    <row r="200">
      <c r="A200" s="66"/>
      <c r="B200" s="66"/>
      <c r="C200" s="66"/>
      <c r="D200" s="66"/>
      <c r="E200" s="15"/>
      <c r="F200" s="66"/>
      <c r="G200" s="18"/>
      <c r="H200" s="15"/>
      <c r="I200" s="18"/>
      <c r="J200" s="22"/>
      <c r="K200" s="108"/>
      <c r="L200" s="66"/>
      <c r="M200" s="66"/>
      <c r="N200" s="66"/>
      <c r="O200" s="66"/>
      <c r="P200" s="66"/>
      <c r="Q200" s="66"/>
      <c r="R200" s="66"/>
      <c r="S200" s="66"/>
      <c r="T200" s="66"/>
      <c r="U200" s="66"/>
      <c r="V200" s="66"/>
      <c r="W200" s="66"/>
      <c r="X200" s="66"/>
      <c r="Y200" s="66"/>
      <c r="Z200" s="66"/>
      <c r="AA200" s="66"/>
      <c r="AB200" s="66"/>
      <c r="AC200" s="66"/>
    </row>
    <row r="201">
      <c r="A201" s="66"/>
      <c r="B201" s="66"/>
      <c r="C201" s="66"/>
      <c r="D201" s="66"/>
      <c r="E201" s="15"/>
      <c r="F201" s="66"/>
      <c r="G201" s="18"/>
      <c r="H201" s="15"/>
      <c r="I201" s="18"/>
      <c r="J201" s="22"/>
      <c r="K201" s="108"/>
      <c r="L201" s="66"/>
      <c r="M201" s="66"/>
      <c r="N201" s="66"/>
      <c r="O201" s="66"/>
      <c r="P201" s="66"/>
      <c r="Q201" s="66"/>
      <c r="R201" s="66"/>
      <c r="S201" s="66"/>
      <c r="T201" s="66"/>
      <c r="U201" s="66"/>
      <c r="V201" s="66"/>
      <c r="W201" s="66"/>
      <c r="X201" s="66"/>
      <c r="Y201" s="66"/>
      <c r="Z201" s="66"/>
      <c r="AA201" s="66"/>
      <c r="AB201" s="66"/>
      <c r="AC201" s="66"/>
    </row>
    <row r="202">
      <c r="A202" s="66"/>
      <c r="B202" s="66"/>
      <c r="C202" s="66"/>
      <c r="D202" s="66"/>
      <c r="E202" s="15"/>
      <c r="F202" s="66"/>
      <c r="G202" s="18"/>
      <c r="H202" s="15"/>
      <c r="I202" s="18"/>
      <c r="J202" s="22"/>
      <c r="K202" s="108"/>
      <c r="L202" s="66"/>
      <c r="M202" s="66"/>
      <c r="N202" s="66"/>
      <c r="O202" s="66"/>
      <c r="P202" s="66"/>
      <c r="Q202" s="66"/>
      <c r="R202" s="66"/>
      <c r="S202" s="66"/>
      <c r="T202" s="66"/>
      <c r="U202" s="66"/>
      <c r="V202" s="66"/>
      <c r="W202" s="66"/>
      <c r="X202" s="66"/>
      <c r="Y202" s="66"/>
      <c r="Z202" s="66"/>
      <c r="AA202" s="66"/>
      <c r="AB202" s="66"/>
      <c r="AC202" s="66"/>
    </row>
    <row r="203">
      <c r="A203" s="66"/>
      <c r="B203" s="66"/>
      <c r="C203" s="66"/>
      <c r="D203" s="66"/>
      <c r="E203" s="15"/>
      <c r="F203" s="66"/>
      <c r="G203" s="18"/>
      <c r="H203" s="15"/>
      <c r="I203" s="18"/>
      <c r="J203" s="22"/>
      <c r="K203" s="108"/>
      <c r="L203" s="66"/>
      <c r="M203" s="66"/>
      <c r="N203" s="66"/>
      <c r="O203" s="66"/>
      <c r="P203" s="66"/>
      <c r="Q203" s="66"/>
      <c r="R203" s="66"/>
      <c r="S203" s="66"/>
      <c r="T203" s="66"/>
      <c r="U203" s="66"/>
      <c r="V203" s="66"/>
      <c r="W203" s="66"/>
      <c r="X203" s="66"/>
      <c r="Y203" s="66"/>
      <c r="Z203" s="66"/>
      <c r="AA203" s="66"/>
      <c r="AB203" s="66"/>
      <c r="AC203" s="66"/>
    </row>
    <row r="204">
      <c r="A204" s="66"/>
      <c r="B204" s="66"/>
      <c r="C204" s="66"/>
      <c r="D204" s="66"/>
      <c r="E204" s="15"/>
      <c r="F204" s="66"/>
      <c r="G204" s="18"/>
      <c r="H204" s="15"/>
      <c r="I204" s="18"/>
      <c r="J204" s="22"/>
      <c r="K204" s="108"/>
      <c r="L204" s="66"/>
      <c r="M204" s="66"/>
      <c r="N204" s="66"/>
      <c r="O204" s="66"/>
      <c r="P204" s="66"/>
      <c r="Q204" s="66"/>
      <c r="R204" s="66"/>
      <c r="S204" s="66"/>
      <c r="T204" s="66"/>
      <c r="U204" s="66"/>
      <c r="V204" s="66"/>
      <c r="W204" s="66"/>
      <c r="X204" s="66"/>
      <c r="Y204" s="66"/>
      <c r="Z204" s="66"/>
      <c r="AA204" s="66"/>
      <c r="AB204" s="66"/>
      <c r="AC204" s="66"/>
    </row>
    <row r="205">
      <c r="A205" s="66"/>
      <c r="B205" s="66"/>
      <c r="C205" s="66"/>
      <c r="D205" s="66"/>
      <c r="E205" s="15"/>
      <c r="F205" s="66"/>
      <c r="G205" s="18"/>
      <c r="H205" s="15"/>
      <c r="I205" s="18"/>
      <c r="J205" s="22"/>
      <c r="K205" s="108"/>
      <c r="L205" s="66"/>
      <c r="M205" s="66"/>
      <c r="N205" s="66"/>
      <c r="O205" s="66"/>
      <c r="P205" s="66"/>
      <c r="Q205" s="66"/>
      <c r="R205" s="66"/>
      <c r="S205" s="66"/>
      <c r="T205" s="66"/>
      <c r="U205" s="66"/>
      <c r="V205" s="66"/>
      <c r="W205" s="66"/>
      <c r="X205" s="66"/>
      <c r="Y205" s="66"/>
      <c r="Z205" s="66"/>
      <c r="AA205" s="66"/>
      <c r="AB205" s="66"/>
      <c r="AC205" s="66"/>
    </row>
    <row r="206">
      <c r="A206" s="66"/>
      <c r="B206" s="66"/>
      <c r="C206" s="66"/>
      <c r="D206" s="66"/>
      <c r="E206" s="15"/>
      <c r="F206" s="66"/>
      <c r="G206" s="18"/>
      <c r="H206" s="15"/>
      <c r="I206" s="18"/>
      <c r="J206" s="22"/>
      <c r="K206" s="108"/>
      <c r="L206" s="66"/>
      <c r="M206" s="66"/>
      <c r="N206" s="66"/>
      <c r="O206" s="66"/>
      <c r="P206" s="66"/>
      <c r="Q206" s="66"/>
      <c r="R206" s="66"/>
      <c r="S206" s="66"/>
      <c r="T206" s="66"/>
      <c r="U206" s="66"/>
      <c r="V206" s="66"/>
      <c r="W206" s="66"/>
      <c r="X206" s="66"/>
      <c r="Y206" s="66"/>
      <c r="Z206" s="66"/>
      <c r="AA206" s="66"/>
      <c r="AB206" s="66"/>
      <c r="AC206" s="66"/>
    </row>
    <row r="207">
      <c r="A207" s="66"/>
      <c r="B207" s="66"/>
      <c r="C207" s="66"/>
      <c r="D207" s="66"/>
      <c r="E207" s="15"/>
      <c r="F207" s="66"/>
      <c r="G207" s="18"/>
      <c r="H207" s="15"/>
      <c r="I207" s="18"/>
      <c r="J207" s="22"/>
      <c r="K207" s="108"/>
      <c r="L207" s="66"/>
      <c r="M207" s="66"/>
      <c r="N207" s="66"/>
      <c r="O207" s="66"/>
      <c r="P207" s="66"/>
      <c r="Q207" s="66"/>
      <c r="R207" s="66"/>
      <c r="S207" s="66"/>
      <c r="T207" s="66"/>
      <c r="U207" s="66"/>
      <c r="V207" s="66"/>
      <c r="W207" s="66"/>
      <c r="X207" s="66"/>
      <c r="Y207" s="66"/>
      <c r="Z207" s="66"/>
      <c r="AA207" s="66"/>
      <c r="AB207" s="66"/>
      <c r="AC207" s="66"/>
    </row>
    <row r="208">
      <c r="A208" s="66"/>
      <c r="B208" s="66"/>
      <c r="C208" s="66"/>
      <c r="D208" s="66"/>
      <c r="E208" s="15"/>
      <c r="F208" s="66"/>
      <c r="G208" s="18"/>
      <c r="H208" s="15"/>
      <c r="I208" s="18"/>
      <c r="J208" s="22"/>
      <c r="K208" s="108"/>
      <c r="L208" s="66"/>
      <c r="M208" s="66"/>
      <c r="N208" s="66"/>
      <c r="O208" s="66"/>
      <c r="P208" s="66"/>
      <c r="Q208" s="66"/>
      <c r="R208" s="66"/>
      <c r="S208" s="66"/>
      <c r="T208" s="66"/>
      <c r="U208" s="66"/>
      <c r="V208" s="66"/>
      <c r="W208" s="66"/>
      <c r="X208" s="66"/>
      <c r="Y208" s="66"/>
      <c r="Z208" s="66"/>
      <c r="AA208" s="66"/>
      <c r="AB208" s="66"/>
      <c r="AC208" s="66"/>
    </row>
    <row r="209">
      <c r="A209" s="66"/>
      <c r="B209" s="66"/>
      <c r="C209" s="66"/>
      <c r="D209" s="66"/>
      <c r="E209" s="15"/>
      <c r="F209" s="66"/>
      <c r="G209" s="18"/>
      <c r="H209" s="15"/>
      <c r="I209" s="18"/>
      <c r="J209" s="22"/>
      <c r="K209" s="108"/>
      <c r="L209" s="66"/>
      <c r="M209" s="66"/>
      <c r="N209" s="66"/>
      <c r="O209" s="66"/>
      <c r="P209" s="66"/>
      <c r="Q209" s="66"/>
      <c r="R209" s="66"/>
      <c r="S209" s="66"/>
      <c r="T209" s="66"/>
      <c r="U209" s="66"/>
      <c r="V209" s="66"/>
      <c r="W209" s="66"/>
      <c r="X209" s="66"/>
      <c r="Y209" s="66"/>
      <c r="Z209" s="66"/>
      <c r="AA209" s="66"/>
      <c r="AB209" s="66"/>
      <c r="AC209" s="66"/>
    </row>
    <row r="210">
      <c r="A210" s="66"/>
      <c r="B210" s="66"/>
      <c r="C210" s="66"/>
      <c r="D210" s="66"/>
      <c r="E210" s="15"/>
      <c r="F210" s="66"/>
      <c r="G210" s="18"/>
      <c r="H210" s="15"/>
      <c r="I210" s="18"/>
      <c r="J210" s="22"/>
      <c r="K210" s="108"/>
      <c r="L210" s="66"/>
      <c r="M210" s="66"/>
      <c r="N210" s="66"/>
      <c r="O210" s="66"/>
      <c r="P210" s="66"/>
      <c r="Q210" s="66"/>
      <c r="R210" s="66"/>
      <c r="S210" s="66"/>
      <c r="T210" s="66"/>
      <c r="U210" s="66"/>
      <c r="V210" s="66"/>
      <c r="W210" s="66"/>
      <c r="X210" s="66"/>
      <c r="Y210" s="66"/>
      <c r="Z210" s="66"/>
      <c r="AA210" s="66"/>
      <c r="AB210" s="66"/>
      <c r="AC210" s="66"/>
    </row>
    <row r="211">
      <c r="A211" s="66"/>
      <c r="B211" s="66"/>
      <c r="C211" s="66"/>
      <c r="D211" s="66"/>
      <c r="E211" s="15"/>
      <c r="F211" s="66"/>
      <c r="G211" s="18"/>
      <c r="H211" s="15"/>
      <c r="I211" s="18"/>
      <c r="J211" s="22"/>
      <c r="K211" s="108"/>
      <c r="L211" s="66"/>
      <c r="M211" s="66"/>
      <c r="N211" s="66"/>
      <c r="O211" s="66"/>
      <c r="P211" s="66"/>
      <c r="Q211" s="66"/>
      <c r="R211" s="66"/>
      <c r="S211" s="66"/>
      <c r="T211" s="66"/>
      <c r="U211" s="66"/>
      <c r="V211" s="66"/>
      <c r="W211" s="66"/>
      <c r="X211" s="66"/>
      <c r="Y211" s="66"/>
      <c r="Z211" s="66"/>
      <c r="AA211" s="66"/>
      <c r="AB211" s="66"/>
      <c r="AC211" s="66"/>
    </row>
    <row r="212">
      <c r="A212" s="66"/>
      <c r="B212" s="66"/>
      <c r="C212" s="66"/>
      <c r="D212" s="66"/>
      <c r="E212" s="15"/>
      <c r="F212" s="66"/>
      <c r="G212" s="18"/>
      <c r="H212" s="15"/>
      <c r="I212" s="18"/>
      <c r="J212" s="22"/>
      <c r="K212" s="108"/>
      <c r="L212" s="66"/>
      <c r="M212" s="66"/>
      <c r="N212" s="66"/>
      <c r="O212" s="66"/>
      <c r="P212" s="66"/>
      <c r="Q212" s="66"/>
      <c r="R212" s="66"/>
      <c r="S212" s="66"/>
      <c r="T212" s="66"/>
      <c r="U212" s="66"/>
      <c r="V212" s="66"/>
      <c r="W212" s="66"/>
      <c r="X212" s="66"/>
      <c r="Y212" s="66"/>
      <c r="Z212" s="66"/>
      <c r="AA212" s="66"/>
      <c r="AB212" s="66"/>
      <c r="AC212" s="66"/>
    </row>
    <row r="213">
      <c r="A213" s="66"/>
      <c r="B213" s="66"/>
      <c r="C213" s="66"/>
      <c r="D213" s="66"/>
      <c r="E213" s="15"/>
      <c r="F213" s="66"/>
      <c r="G213" s="18"/>
      <c r="H213" s="15"/>
      <c r="I213" s="18"/>
      <c r="J213" s="22"/>
      <c r="K213" s="108"/>
      <c r="L213" s="66"/>
      <c r="M213" s="66"/>
      <c r="N213" s="66"/>
      <c r="O213" s="66"/>
      <c r="P213" s="66"/>
      <c r="Q213" s="66"/>
      <c r="R213" s="66"/>
      <c r="S213" s="66"/>
      <c r="T213" s="66"/>
      <c r="U213" s="66"/>
      <c r="V213" s="66"/>
      <c r="W213" s="66"/>
      <c r="X213" s="66"/>
      <c r="Y213" s="66"/>
      <c r="Z213" s="66"/>
      <c r="AA213" s="66"/>
      <c r="AB213" s="66"/>
      <c r="AC213" s="66"/>
    </row>
    <row r="214">
      <c r="A214" s="66"/>
      <c r="B214" s="66"/>
      <c r="C214" s="66"/>
      <c r="D214" s="66"/>
      <c r="E214" s="15"/>
      <c r="F214" s="66"/>
      <c r="G214" s="18"/>
      <c r="H214" s="15"/>
      <c r="I214" s="18"/>
      <c r="J214" s="22"/>
      <c r="K214" s="108"/>
      <c r="L214" s="66"/>
      <c r="M214" s="66"/>
      <c r="N214" s="66"/>
      <c r="O214" s="66"/>
      <c r="P214" s="66"/>
      <c r="Q214" s="66"/>
      <c r="R214" s="66"/>
      <c r="S214" s="66"/>
      <c r="T214" s="66"/>
      <c r="U214" s="66"/>
      <c r="V214" s="66"/>
      <c r="W214" s="66"/>
      <c r="X214" s="66"/>
      <c r="Y214" s="66"/>
      <c r="Z214" s="66"/>
      <c r="AA214" s="66"/>
      <c r="AB214" s="66"/>
      <c r="AC214" s="66"/>
    </row>
    <row r="215">
      <c r="A215" s="66"/>
      <c r="B215" s="66"/>
      <c r="C215" s="66"/>
      <c r="D215" s="66"/>
      <c r="E215" s="15"/>
      <c r="F215" s="66"/>
      <c r="G215" s="18"/>
      <c r="H215" s="15"/>
      <c r="I215" s="18"/>
      <c r="J215" s="22"/>
      <c r="K215" s="108"/>
      <c r="L215" s="66"/>
      <c r="M215" s="66"/>
      <c r="N215" s="66"/>
      <c r="O215" s="66"/>
      <c r="P215" s="66"/>
      <c r="Q215" s="66"/>
      <c r="R215" s="66"/>
      <c r="S215" s="66"/>
      <c r="T215" s="66"/>
      <c r="U215" s="66"/>
      <c r="V215" s="66"/>
      <c r="W215" s="66"/>
      <c r="X215" s="66"/>
      <c r="Y215" s="66"/>
      <c r="Z215" s="66"/>
      <c r="AA215" s="66"/>
      <c r="AB215" s="66"/>
      <c r="AC215" s="66"/>
    </row>
    <row r="216">
      <c r="A216" s="66"/>
      <c r="B216" s="66"/>
      <c r="C216" s="66"/>
      <c r="D216" s="66"/>
      <c r="E216" s="15"/>
      <c r="F216" s="66"/>
      <c r="G216" s="18"/>
      <c r="H216" s="15"/>
      <c r="I216" s="18"/>
      <c r="J216" s="22"/>
      <c r="K216" s="108"/>
      <c r="L216" s="66"/>
      <c r="M216" s="66"/>
      <c r="N216" s="66"/>
      <c r="O216" s="66"/>
      <c r="P216" s="66"/>
      <c r="Q216" s="66"/>
      <c r="R216" s="66"/>
      <c r="S216" s="66"/>
      <c r="T216" s="66"/>
      <c r="U216" s="66"/>
      <c r="V216" s="66"/>
      <c r="W216" s="66"/>
      <c r="X216" s="66"/>
      <c r="Y216" s="66"/>
      <c r="Z216" s="66"/>
      <c r="AA216" s="66"/>
      <c r="AB216" s="66"/>
      <c r="AC216" s="66"/>
    </row>
    <row r="217">
      <c r="A217" s="66"/>
      <c r="B217" s="66"/>
      <c r="C217" s="66"/>
      <c r="D217" s="66"/>
      <c r="E217" s="15"/>
      <c r="F217" s="66"/>
      <c r="G217" s="18"/>
      <c r="H217" s="15"/>
      <c r="I217" s="18"/>
      <c r="J217" s="22"/>
      <c r="K217" s="108"/>
      <c r="L217" s="66"/>
      <c r="M217" s="66"/>
      <c r="N217" s="66"/>
      <c r="O217" s="66"/>
      <c r="P217" s="66"/>
      <c r="Q217" s="66"/>
      <c r="R217" s="66"/>
      <c r="S217" s="66"/>
      <c r="T217" s="66"/>
      <c r="U217" s="66"/>
      <c r="V217" s="66"/>
      <c r="W217" s="66"/>
      <c r="X217" s="66"/>
      <c r="Y217" s="66"/>
      <c r="Z217" s="66"/>
      <c r="AA217" s="66"/>
      <c r="AB217" s="66"/>
      <c r="AC217" s="66"/>
    </row>
    <row r="218">
      <c r="A218" s="66"/>
      <c r="B218" s="66"/>
      <c r="C218" s="66"/>
      <c r="D218" s="66"/>
      <c r="E218" s="15"/>
      <c r="F218" s="66"/>
      <c r="G218" s="18"/>
      <c r="H218" s="15"/>
      <c r="I218" s="18"/>
      <c r="J218" s="22"/>
      <c r="K218" s="108"/>
      <c r="L218" s="66"/>
      <c r="M218" s="66"/>
      <c r="N218" s="66"/>
      <c r="O218" s="66"/>
      <c r="P218" s="66"/>
      <c r="Q218" s="66"/>
      <c r="R218" s="66"/>
      <c r="S218" s="66"/>
      <c r="T218" s="66"/>
      <c r="U218" s="66"/>
      <c r="V218" s="66"/>
      <c r="W218" s="66"/>
      <c r="X218" s="66"/>
      <c r="Y218" s="66"/>
      <c r="Z218" s="66"/>
      <c r="AA218" s="66"/>
      <c r="AB218" s="66"/>
      <c r="AC218" s="66"/>
    </row>
    <row r="219">
      <c r="A219" s="66"/>
      <c r="B219" s="66"/>
      <c r="C219" s="66"/>
      <c r="D219" s="66"/>
      <c r="E219" s="15"/>
      <c r="F219" s="66"/>
      <c r="G219" s="18"/>
      <c r="H219" s="15"/>
      <c r="I219" s="18"/>
      <c r="J219" s="22"/>
      <c r="K219" s="108"/>
      <c r="L219" s="66"/>
      <c r="M219" s="66"/>
      <c r="N219" s="66"/>
      <c r="O219" s="66"/>
      <c r="P219" s="66"/>
      <c r="Q219" s="66"/>
      <c r="R219" s="66"/>
      <c r="S219" s="66"/>
      <c r="T219" s="66"/>
      <c r="U219" s="66"/>
      <c r="V219" s="66"/>
      <c r="W219" s="66"/>
      <c r="X219" s="66"/>
      <c r="Y219" s="66"/>
      <c r="Z219" s="66"/>
      <c r="AA219" s="66"/>
      <c r="AB219" s="66"/>
      <c r="AC219" s="66"/>
    </row>
    <row r="220">
      <c r="A220" s="66"/>
      <c r="B220" s="66"/>
      <c r="C220" s="66"/>
      <c r="D220" s="66"/>
      <c r="E220" s="15"/>
      <c r="F220" s="66"/>
      <c r="G220" s="18"/>
      <c r="H220" s="15"/>
      <c r="I220" s="18"/>
      <c r="J220" s="22"/>
      <c r="K220" s="108"/>
      <c r="L220" s="66"/>
      <c r="M220" s="66"/>
      <c r="N220" s="66"/>
      <c r="O220" s="66"/>
      <c r="P220" s="66"/>
      <c r="Q220" s="66"/>
      <c r="R220" s="66"/>
      <c r="S220" s="66"/>
      <c r="T220" s="66"/>
      <c r="U220" s="66"/>
      <c r="V220" s="66"/>
      <c r="W220" s="66"/>
      <c r="X220" s="66"/>
      <c r="Y220" s="66"/>
      <c r="Z220" s="66"/>
      <c r="AA220" s="66"/>
      <c r="AB220" s="66"/>
      <c r="AC220" s="66"/>
    </row>
    <row r="221">
      <c r="A221" s="66"/>
      <c r="B221" s="66"/>
      <c r="C221" s="66"/>
      <c r="D221" s="66"/>
      <c r="E221" s="15"/>
      <c r="F221" s="66"/>
      <c r="G221" s="18"/>
      <c r="H221" s="15"/>
      <c r="I221" s="18"/>
      <c r="J221" s="22"/>
      <c r="K221" s="108"/>
      <c r="L221" s="66"/>
      <c r="M221" s="66"/>
      <c r="N221" s="66"/>
      <c r="O221" s="66"/>
      <c r="P221" s="66"/>
      <c r="Q221" s="66"/>
      <c r="R221" s="66"/>
      <c r="S221" s="66"/>
      <c r="T221" s="66"/>
      <c r="U221" s="66"/>
      <c r="V221" s="66"/>
      <c r="W221" s="66"/>
      <c r="X221" s="66"/>
      <c r="Y221" s="66"/>
      <c r="Z221" s="66"/>
      <c r="AA221" s="66"/>
      <c r="AB221" s="66"/>
      <c r="AC221" s="66"/>
    </row>
    <row r="222">
      <c r="A222" s="66"/>
      <c r="B222" s="66"/>
      <c r="C222" s="66"/>
      <c r="D222" s="66"/>
      <c r="E222" s="15"/>
      <c r="F222" s="66"/>
      <c r="G222" s="18"/>
      <c r="H222" s="15"/>
      <c r="I222" s="18"/>
      <c r="J222" s="22"/>
      <c r="K222" s="108"/>
      <c r="L222" s="66"/>
      <c r="M222" s="66"/>
      <c r="N222" s="66"/>
      <c r="O222" s="66"/>
      <c r="P222" s="66"/>
      <c r="Q222" s="66"/>
      <c r="R222" s="66"/>
      <c r="S222" s="66"/>
      <c r="T222" s="66"/>
      <c r="U222" s="66"/>
      <c r="V222" s="66"/>
      <c r="W222" s="66"/>
      <c r="X222" s="66"/>
      <c r="Y222" s="66"/>
      <c r="Z222" s="66"/>
      <c r="AA222" s="66"/>
      <c r="AB222" s="66"/>
      <c r="AC222" s="66"/>
    </row>
    <row r="223">
      <c r="A223" s="66"/>
      <c r="B223" s="66"/>
      <c r="C223" s="66"/>
      <c r="D223" s="66"/>
      <c r="E223" s="15"/>
      <c r="F223" s="66"/>
      <c r="G223" s="18"/>
      <c r="H223" s="15"/>
      <c r="I223" s="18"/>
      <c r="J223" s="22"/>
      <c r="K223" s="108"/>
      <c r="L223" s="66"/>
      <c r="M223" s="66"/>
      <c r="N223" s="66"/>
      <c r="O223" s="66"/>
      <c r="P223" s="66"/>
      <c r="Q223" s="66"/>
      <c r="R223" s="66"/>
      <c r="S223" s="66"/>
      <c r="T223" s="66"/>
      <c r="U223" s="66"/>
      <c r="V223" s="66"/>
      <c r="W223" s="66"/>
      <c r="X223" s="66"/>
      <c r="Y223" s="66"/>
      <c r="Z223" s="66"/>
      <c r="AA223" s="66"/>
      <c r="AB223" s="66"/>
      <c r="AC223" s="66"/>
    </row>
    <row r="224">
      <c r="A224" s="66"/>
      <c r="B224" s="66"/>
      <c r="C224" s="66"/>
      <c r="D224" s="66"/>
      <c r="E224" s="15"/>
      <c r="F224" s="66"/>
      <c r="G224" s="18"/>
      <c r="H224" s="15"/>
      <c r="I224" s="18"/>
      <c r="J224" s="22"/>
      <c r="K224" s="108"/>
      <c r="L224" s="66"/>
      <c r="M224" s="66"/>
      <c r="N224" s="66"/>
      <c r="O224" s="66"/>
      <c r="P224" s="66"/>
      <c r="Q224" s="66"/>
      <c r="R224" s="66"/>
      <c r="S224" s="66"/>
      <c r="T224" s="66"/>
      <c r="U224" s="66"/>
      <c r="V224" s="66"/>
      <c r="W224" s="66"/>
      <c r="X224" s="66"/>
      <c r="Y224" s="66"/>
      <c r="Z224" s="66"/>
      <c r="AA224" s="66"/>
      <c r="AB224" s="66"/>
      <c r="AC224" s="66"/>
    </row>
    <row r="225">
      <c r="A225" s="66"/>
      <c r="B225" s="66"/>
      <c r="C225" s="66"/>
      <c r="D225" s="66"/>
      <c r="E225" s="15"/>
      <c r="F225" s="66"/>
      <c r="G225" s="18"/>
      <c r="H225" s="15"/>
      <c r="I225" s="18"/>
      <c r="J225" s="22"/>
      <c r="K225" s="108"/>
      <c r="L225" s="66"/>
      <c r="M225" s="66"/>
      <c r="N225" s="66"/>
      <c r="O225" s="66"/>
      <c r="P225" s="66"/>
      <c r="Q225" s="66"/>
      <c r="R225" s="66"/>
      <c r="S225" s="66"/>
      <c r="T225" s="66"/>
      <c r="U225" s="66"/>
      <c r="V225" s="66"/>
      <c r="W225" s="66"/>
      <c r="X225" s="66"/>
      <c r="Y225" s="66"/>
      <c r="Z225" s="66"/>
      <c r="AA225" s="66"/>
      <c r="AB225" s="66"/>
      <c r="AC225" s="66"/>
    </row>
    <row r="226">
      <c r="A226" s="66"/>
      <c r="B226" s="66"/>
      <c r="C226" s="66"/>
      <c r="D226" s="66"/>
      <c r="E226" s="15"/>
      <c r="F226" s="66"/>
      <c r="G226" s="18"/>
      <c r="H226" s="15"/>
      <c r="I226" s="18"/>
      <c r="J226" s="22"/>
      <c r="K226" s="108"/>
      <c r="L226" s="66"/>
      <c r="M226" s="66"/>
      <c r="N226" s="66"/>
      <c r="O226" s="66"/>
      <c r="P226" s="66"/>
      <c r="Q226" s="66"/>
      <c r="R226" s="66"/>
      <c r="S226" s="66"/>
      <c r="T226" s="66"/>
      <c r="U226" s="66"/>
      <c r="V226" s="66"/>
      <c r="W226" s="66"/>
      <c r="X226" s="66"/>
      <c r="Y226" s="66"/>
      <c r="Z226" s="66"/>
      <c r="AA226" s="66"/>
      <c r="AB226" s="66"/>
      <c r="AC226" s="66"/>
    </row>
    <row r="227">
      <c r="A227" s="66"/>
      <c r="B227" s="66"/>
      <c r="C227" s="66"/>
      <c r="D227" s="66"/>
      <c r="E227" s="15"/>
      <c r="F227" s="66"/>
      <c r="G227" s="18"/>
      <c r="H227" s="15"/>
      <c r="I227" s="18"/>
      <c r="J227" s="22"/>
      <c r="K227" s="108"/>
      <c r="L227" s="66"/>
      <c r="M227" s="66"/>
      <c r="N227" s="66"/>
      <c r="O227" s="66"/>
      <c r="P227" s="66"/>
      <c r="Q227" s="66"/>
      <c r="R227" s="66"/>
      <c r="S227" s="66"/>
      <c r="T227" s="66"/>
      <c r="U227" s="66"/>
      <c r="V227" s="66"/>
      <c r="W227" s="66"/>
      <c r="X227" s="66"/>
      <c r="Y227" s="66"/>
      <c r="Z227" s="66"/>
      <c r="AA227" s="66"/>
      <c r="AB227" s="66"/>
      <c r="AC227" s="66"/>
    </row>
    <row r="228">
      <c r="A228" s="66"/>
      <c r="B228" s="66"/>
      <c r="C228" s="66"/>
      <c r="D228" s="66"/>
      <c r="E228" s="15"/>
      <c r="F228" s="66"/>
      <c r="G228" s="18"/>
      <c r="H228" s="15"/>
      <c r="I228" s="18"/>
      <c r="J228" s="22"/>
      <c r="K228" s="108"/>
      <c r="L228" s="66"/>
      <c r="M228" s="66"/>
      <c r="N228" s="66"/>
      <c r="O228" s="66"/>
      <c r="P228" s="66"/>
      <c r="Q228" s="66"/>
      <c r="R228" s="66"/>
      <c r="S228" s="66"/>
      <c r="T228" s="66"/>
      <c r="U228" s="66"/>
      <c r="V228" s="66"/>
      <c r="W228" s="66"/>
      <c r="X228" s="66"/>
      <c r="Y228" s="66"/>
      <c r="Z228" s="66"/>
      <c r="AA228" s="66"/>
      <c r="AB228" s="66"/>
      <c r="AC228" s="66"/>
    </row>
    <row r="229">
      <c r="A229" s="66"/>
      <c r="B229" s="66"/>
      <c r="C229" s="66"/>
      <c r="D229" s="66"/>
      <c r="E229" s="15"/>
      <c r="F229" s="66"/>
      <c r="G229" s="18"/>
      <c r="H229" s="15"/>
      <c r="I229" s="18"/>
      <c r="J229" s="22"/>
      <c r="K229" s="108"/>
      <c r="L229" s="66"/>
      <c r="M229" s="66"/>
      <c r="N229" s="66"/>
      <c r="O229" s="66"/>
      <c r="P229" s="66"/>
      <c r="Q229" s="66"/>
      <c r="R229" s="66"/>
      <c r="S229" s="66"/>
      <c r="T229" s="66"/>
      <c r="U229" s="66"/>
      <c r="V229" s="66"/>
      <c r="W229" s="66"/>
      <c r="X229" s="66"/>
      <c r="Y229" s="66"/>
      <c r="Z229" s="66"/>
      <c r="AA229" s="66"/>
      <c r="AB229" s="66"/>
      <c r="AC229" s="66"/>
    </row>
    <row r="230">
      <c r="A230" s="66"/>
      <c r="B230" s="66"/>
      <c r="C230" s="66"/>
      <c r="D230" s="66"/>
      <c r="E230" s="15"/>
      <c r="F230" s="66"/>
      <c r="G230" s="18"/>
      <c r="H230" s="15"/>
      <c r="I230" s="18"/>
      <c r="J230" s="22"/>
      <c r="K230" s="108"/>
      <c r="L230" s="66"/>
      <c r="M230" s="66"/>
      <c r="N230" s="66"/>
      <c r="O230" s="66"/>
      <c r="P230" s="66"/>
      <c r="Q230" s="66"/>
      <c r="R230" s="66"/>
      <c r="S230" s="66"/>
      <c r="T230" s="66"/>
      <c r="U230" s="66"/>
      <c r="V230" s="66"/>
      <c r="W230" s="66"/>
      <c r="X230" s="66"/>
      <c r="Y230" s="66"/>
      <c r="Z230" s="66"/>
      <c r="AA230" s="66"/>
      <c r="AB230" s="66"/>
      <c r="AC230" s="66"/>
    </row>
    <row r="231">
      <c r="A231" s="66"/>
      <c r="B231" s="66"/>
      <c r="C231" s="66"/>
      <c r="D231" s="66"/>
      <c r="E231" s="15"/>
      <c r="F231" s="66"/>
      <c r="G231" s="18"/>
      <c r="H231" s="15"/>
      <c r="I231" s="18"/>
      <c r="J231" s="22"/>
      <c r="K231" s="108"/>
      <c r="L231" s="66"/>
      <c r="M231" s="66"/>
      <c r="N231" s="66"/>
      <c r="O231" s="66"/>
      <c r="P231" s="66"/>
      <c r="Q231" s="66"/>
      <c r="R231" s="66"/>
      <c r="S231" s="66"/>
      <c r="T231" s="66"/>
      <c r="U231" s="66"/>
      <c r="V231" s="66"/>
      <c r="W231" s="66"/>
      <c r="X231" s="66"/>
      <c r="Y231" s="66"/>
      <c r="Z231" s="66"/>
      <c r="AA231" s="66"/>
      <c r="AB231" s="66"/>
      <c r="AC231" s="66"/>
    </row>
    <row r="232">
      <c r="A232" s="66"/>
      <c r="B232" s="66"/>
      <c r="C232" s="66"/>
      <c r="D232" s="66"/>
      <c r="E232" s="15"/>
      <c r="F232" s="66"/>
      <c r="G232" s="18"/>
      <c r="H232" s="15"/>
      <c r="I232" s="18"/>
      <c r="J232" s="22"/>
      <c r="K232" s="108"/>
      <c r="L232" s="66"/>
      <c r="M232" s="66"/>
      <c r="N232" s="66"/>
      <c r="O232" s="66"/>
      <c r="P232" s="66"/>
      <c r="Q232" s="66"/>
      <c r="R232" s="66"/>
      <c r="S232" s="66"/>
      <c r="T232" s="66"/>
      <c r="U232" s="66"/>
      <c r="V232" s="66"/>
      <c r="W232" s="66"/>
      <c r="X232" s="66"/>
      <c r="Y232" s="66"/>
      <c r="Z232" s="66"/>
      <c r="AA232" s="66"/>
      <c r="AB232" s="66"/>
      <c r="AC232" s="66"/>
    </row>
    <row r="233">
      <c r="A233" s="66"/>
      <c r="B233" s="66"/>
      <c r="C233" s="66"/>
      <c r="D233" s="66"/>
      <c r="E233" s="15"/>
      <c r="F233" s="66"/>
      <c r="G233" s="18"/>
      <c r="H233" s="15"/>
      <c r="I233" s="18"/>
      <c r="J233" s="22"/>
      <c r="K233" s="108"/>
      <c r="L233" s="66"/>
      <c r="M233" s="66"/>
      <c r="N233" s="66"/>
      <c r="O233" s="66"/>
      <c r="P233" s="66"/>
      <c r="Q233" s="66"/>
      <c r="R233" s="66"/>
      <c r="S233" s="66"/>
      <c r="T233" s="66"/>
      <c r="U233" s="66"/>
      <c r="V233" s="66"/>
      <c r="W233" s="66"/>
      <c r="X233" s="66"/>
      <c r="Y233" s="66"/>
      <c r="Z233" s="66"/>
      <c r="AA233" s="66"/>
      <c r="AB233" s="66"/>
      <c r="AC233" s="66"/>
    </row>
    <row r="234">
      <c r="A234" s="66"/>
      <c r="B234" s="66"/>
      <c r="C234" s="66"/>
      <c r="D234" s="66"/>
      <c r="E234" s="15"/>
      <c r="F234" s="66"/>
      <c r="G234" s="18"/>
      <c r="H234" s="15"/>
      <c r="I234" s="18"/>
      <c r="J234" s="22"/>
      <c r="K234" s="108"/>
      <c r="L234" s="66"/>
      <c r="M234" s="66"/>
      <c r="N234" s="66"/>
      <c r="O234" s="66"/>
      <c r="P234" s="66"/>
      <c r="Q234" s="66"/>
      <c r="R234" s="66"/>
      <c r="S234" s="66"/>
      <c r="T234" s="66"/>
      <c r="U234" s="66"/>
      <c r="V234" s="66"/>
      <c r="W234" s="66"/>
      <c r="X234" s="66"/>
      <c r="Y234" s="66"/>
      <c r="Z234" s="66"/>
      <c r="AA234" s="66"/>
      <c r="AB234" s="66"/>
      <c r="AC234" s="66"/>
    </row>
    <row r="235">
      <c r="A235" s="66"/>
      <c r="B235" s="66"/>
      <c r="C235" s="66"/>
      <c r="D235" s="66"/>
      <c r="E235" s="15"/>
      <c r="F235" s="66"/>
      <c r="G235" s="18"/>
      <c r="H235" s="15"/>
      <c r="I235" s="18"/>
      <c r="J235" s="22"/>
      <c r="K235" s="108"/>
      <c r="L235" s="66"/>
      <c r="M235" s="66"/>
      <c r="N235" s="66"/>
      <c r="O235" s="66"/>
      <c r="P235" s="66"/>
      <c r="Q235" s="66"/>
      <c r="R235" s="66"/>
      <c r="S235" s="66"/>
      <c r="T235" s="66"/>
      <c r="U235" s="66"/>
      <c r="V235" s="66"/>
      <c r="W235" s="66"/>
      <c r="X235" s="66"/>
      <c r="Y235" s="66"/>
      <c r="Z235" s="66"/>
      <c r="AA235" s="66"/>
      <c r="AB235" s="66"/>
      <c r="AC235" s="66"/>
    </row>
    <row r="236">
      <c r="A236" s="66"/>
      <c r="B236" s="66"/>
      <c r="C236" s="66"/>
      <c r="D236" s="66"/>
      <c r="E236" s="15"/>
      <c r="F236" s="66"/>
      <c r="G236" s="18"/>
      <c r="H236" s="15"/>
      <c r="I236" s="18"/>
      <c r="J236" s="22"/>
      <c r="K236" s="108"/>
      <c r="L236" s="66"/>
      <c r="M236" s="66"/>
      <c r="N236" s="66"/>
      <c r="O236" s="66"/>
      <c r="P236" s="66"/>
      <c r="Q236" s="66"/>
      <c r="R236" s="66"/>
      <c r="S236" s="66"/>
      <c r="T236" s="66"/>
      <c r="U236" s="66"/>
      <c r="V236" s="66"/>
      <c r="W236" s="66"/>
      <c r="X236" s="66"/>
      <c r="Y236" s="66"/>
      <c r="Z236" s="66"/>
      <c r="AA236" s="66"/>
      <c r="AB236" s="66"/>
      <c r="AC236" s="66"/>
    </row>
    <row r="237">
      <c r="A237" s="66"/>
      <c r="B237" s="66"/>
      <c r="C237" s="66"/>
      <c r="D237" s="66"/>
      <c r="E237" s="15"/>
      <c r="F237" s="66"/>
      <c r="G237" s="18"/>
      <c r="H237" s="15"/>
      <c r="I237" s="18"/>
      <c r="J237" s="22"/>
      <c r="K237" s="108"/>
      <c r="L237" s="66"/>
      <c r="M237" s="66"/>
      <c r="N237" s="66"/>
      <c r="O237" s="66"/>
      <c r="P237" s="66"/>
      <c r="Q237" s="66"/>
      <c r="R237" s="66"/>
      <c r="S237" s="66"/>
      <c r="T237" s="66"/>
      <c r="U237" s="66"/>
      <c r="V237" s="66"/>
      <c r="W237" s="66"/>
      <c r="X237" s="66"/>
      <c r="Y237" s="66"/>
      <c r="Z237" s="66"/>
      <c r="AA237" s="66"/>
      <c r="AB237" s="66"/>
      <c r="AC237" s="66"/>
    </row>
    <row r="238">
      <c r="A238" s="66"/>
      <c r="B238" s="66"/>
      <c r="C238" s="66"/>
      <c r="D238" s="66"/>
      <c r="E238" s="15"/>
      <c r="F238" s="66"/>
      <c r="G238" s="18"/>
      <c r="H238" s="15"/>
      <c r="I238" s="18"/>
      <c r="J238" s="22"/>
      <c r="K238" s="108"/>
      <c r="L238" s="66"/>
      <c r="M238" s="66"/>
      <c r="N238" s="66"/>
      <c r="O238" s="66"/>
      <c r="P238" s="66"/>
      <c r="Q238" s="66"/>
      <c r="R238" s="66"/>
      <c r="S238" s="66"/>
      <c r="T238" s="66"/>
      <c r="U238" s="66"/>
      <c r="V238" s="66"/>
      <c r="W238" s="66"/>
      <c r="X238" s="66"/>
      <c r="Y238" s="66"/>
      <c r="Z238" s="66"/>
      <c r="AA238" s="66"/>
      <c r="AB238" s="66"/>
      <c r="AC238" s="66"/>
    </row>
    <row r="239">
      <c r="A239" s="66"/>
      <c r="B239" s="66"/>
      <c r="C239" s="66"/>
      <c r="D239" s="66"/>
      <c r="E239" s="15"/>
      <c r="F239" s="66"/>
      <c r="G239" s="18"/>
      <c r="H239" s="15"/>
      <c r="I239" s="18"/>
      <c r="J239" s="22"/>
      <c r="K239" s="108"/>
      <c r="L239" s="66"/>
      <c r="M239" s="66"/>
      <c r="N239" s="66"/>
      <c r="O239" s="66"/>
      <c r="P239" s="66"/>
      <c r="Q239" s="66"/>
      <c r="R239" s="66"/>
      <c r="S239" s="66"/>
      <c r="T239" s="66"/>
      <c r="U239" s="66"/>
      <c r="V239" s="66"/>
      <c r="W239" s="66"/>
      <c r="X239" s="66"/>
      <c r="Y239" s="66"/>
      <c r="Z239" s="66"/>
      <c r="AA239" s="66"/>
      <c r="AB239" s="66"/>
      <c r="AC239" s="66"/>
    </row>
    <row r="240">
      <c r="A240" s="66"/>
      <c r="B240" s="66"/>
      <c r="C240" s="66"/>
      <c r="D240" s="66"/>
      <c r="E240" s="15"/>
      <c r="F240" s="66"/>
      <c r="G240" s="18"/>
      <c r="H240" s="15"/>
      <c r="I240" s="18"/>
      <c r="J240" s="22"/>
      <c r="K240" s="108"/>
      <c r="L240" s="66"/>
      <c r="M240" s="66"/>
      <c r="N240" s="66"/>
      <c r="O240" s="66"/>
      <c r="P240" s="66"/>
      <c r="Q240" s="66"/>
      <c r="R240" s="66"/>
      <c r="S240" s="66"/>
      <c r="T240" s="66"/>
      <c r="U240" s="66"/>
      <c r="V240" s="66"/>
      <c r="W240" s="66"/>
      <c r="X240" s="66"/>
      <c r="Y240" s="66"/>
      <c r="Z240" s="66"/>
      <c r="AA240" s="66"/>
      <c r="AB240" s="66"/>
      <c r="AC240" s="66"/>
    </row>
    <row r="241">
      <c r="A241" s="66"/>
      <c r="B241" s="66"/>
      <c r="C241" s="66"/>
      <c r="D241" s="66"/>
      <c r="E241" s="15"/>
      <c r="F241" s="66"/>
      <c r="G241" s="18"/>
      <c r="H241" s="15"/>
      <c r="I241" s="18"/>
      <c r="J241" s="22"/>
      <c r="K241" s="108"/>
      <c r="L241" s="66"/>
      <c r="M241" s="66"/>
      <c r="N241" s="66"/>
      <c r="O241" s="66"/>
      <c r="P241" s="66"/>
      <c r="Q241" s="66"/>
      <c r="R241" s="66"/>
      <c r="S241" s="66"/>
      <c r="T241" s="66"/>
      <c r="U241" s="66"/>
      <c r="V241" s="66"/>
      <c r="W241" s="66"/>
      <c r="X241" s="66"/>
      <c r="Y241" s="66"/>
      <c r="Z241" s="66"/>
      <c r="AA241" s="66"/>
      <c r="AB241" s="66"/>
      <c r="AC241" s="66"/>
    </row>
    <row r="242">
      <c r="A242" s="66"/>
      <c r="B242" s="66"/>
      <c r="C242" s="66"/>
      <c r="D242" s="66"/>
      <c r="E242" s="15"/>
      <c r="F242" s="66"/>
      <c r="G242" s="18"/>
      <c r="H242" s="15"/>
      <c r="I242" s="18"/>
      <c r="J242" s="22"/>
      <c r="K242" s="108"/>
      <c r="L242" s="66"/>
      <c r="M242" s="66"/>
      <c r="N242" s="66"/>
      <c r="O242" s="66"/>
      <c r="P242" s="66"/>
      <c r="Q242" s="66"/>
      <c r="R242" s="66"/>
      <c r="S242" s="66"/>
      <c r="T242" s="66"/>
      <c r="U242" s="66"/>
      <c r="V242" s="66"/>
      <c r="W242" s="66"/>
      <c r="X242" s="66"/>
      <c r="Y242" s="66"/>
      <c r="Z242" s="66"/>
      <c r="AA242" s="66"/>
      <c r="AB242" s="66"/>
      <c r="AC242" s="66"/>
    </row>
    <row r="243">
      <c r="A243" s="66"/>
      <c r="B243" s="66"/>
      <c r="C243" s="66"/>
      <c r="D243" s="66"/>
      <c r="E243" s="15"/>
      <c r="F243" s="66"/>
      <c r="G243" s="18"/>
      <c r="H243" s="15"/>
      <c r="I243" s="18"/>
      <c r="J243" s="22"/>
      <c r="K243" s="108"/>
      <c r="L243" s="66"/>
      <c r="M243" s="66"/>
      <c r="N243" s="66"/>
      <c r="O243" s="66"/>
      <c r="P243" s="66"/>
      <c r="Q243" s="66"/>
      <c r="R243" s="66"/>
      <c r="S243" s="66"/>
      <c r="T243" s="66"/>
      <c r="U243" s="66"/>
      <c r="V243" s="66"/>
      <c r="W243" s="66"/>
      <c r="X243" s="66"/>
      <c r="Y243" s="66"/>
      <c r="Z243" s="66"/>
      <c r="AA243" s="66"/>
      <c r="AB243" s="66"/>
      <c r="AC243" s="66"/>
    </row>
    <row r="244">
      <c r="A244" s="66"/>
      <c r="B244" s="66"/>
      <c r="C244" s="66"/>
      <c r="D244" s="66"/>
      <c r="E244" s="15"/>
      <c r="F244" s="66"/>
      <c r="G244" s="18"/>
      <c r="H244" s="15"/>
      <c r="I244" s="18"/>
      <c r="J244" s="22"/>
      <c r="K244" s="108"/>
      <c r="L244" s="66"/>
      <c r="M244" s="66"/>
      <c r="N244" s="66"/>
      <c r="O244" s="66"/>
      <c r="P244" s="66"/>
      <c r="Q244" s="66"/>
      <c r="R244" s="66"/>
      <c r="S244" s="66"/>
      <c r="T244" s="66"/>
      <c r="U244" s="66"/>
      <c r="V244" s="66"/>
      <c r="W244" s="66"/>
      <c r="X244" s="66"/>
      <c r="Y244" s="66"/>
      <c r="Z244" s="66"/>
      <c r="AA244" s="66"/>
      <c r="AB244" s="66"/>
      <c r="AC244" s="66"/>
    </row>
    <row r="245">
      <c r="A245" s="66"/>
      <c r="B245" s="66"/>
      <c r="C245" s="66"/>
      <c r="D245" s="66"/>
      <c r="E245" s="15"/>
      <c r="F245" s="66"/>
      <c r="G245" s="18"/>
      <c r="H245" s="15"/>
      <c r="I245" s="18"/>
      <c r="J245" s="22"/>
      <c r="K245" s="108"/>
      <c r="L245" s="66"/>
      <c r="M245" s="66"/>
      <c r="N245" s="66"/>
      <c r="O245" s="66"/>
      <c r="P245" s="66"/>
      <c r="Q245" s="66"/>
      <c r="R245" s="66"/>
      <c r="S245" s="66"/>
      <c r="T245" s="66"/>
      <c r="U245" s="66"/>
      <c r="V245" s="66"/>
      <c r="W245" s="66"/>
      <c r="X245" s="66"/>
      <c r="Y245" s="66"/>
      <c r="Z245" s="66"/>
      <c r="AA245" s="66"/>
      <c r="AB245" s="66"/>
      <c r="AC245" s="66"/>
    </row>
    <row r="246">
      <c r="A246" s="66"/>
      <c r="B246" s="66"/>
      <c r="C246" s="66"/>
      <c r="D246" s="66"/>
      <c r="E246" s="15"/>
      <c r="F246" s="66"/>
      <c r="G246" s="18"/>
      <c r="H246" s="15"/>
      <c r="I246" s="18"/>
      <c r="J246" s="22"/>
      <c r="K246" s="108"/>
      <c r="L246" s="66"/>
      <c r="M246" s="66"/>
      <c r="N246" s="66"/>
      <c r="O246" s="66"/>
      <c r="P246" s="66"/>
      <c r="Q246" s="66"/>
      <c r="R246" s="66"/>
      <c r="S246" s="66"/>
      <c r="T246" s="66"/>
      <c r="U246" s="66"/>
      <c r="V246" s="66"/>
      <c r="W246" s="66"/>
      <c r="X246" s="66"/>
      <c r="Y246" s="66"/>
      <c r="Z246" s="66"/>
      <c r="AA246" s="66"/>
      <c r="AB246" s="66"/>
      <c r="AC246" s="66"/>
    </row>
    <row r="247">
      <c r="A247" s="66"/>
      <c r="B247" s="66"/>
      <c r="C247" s="66"/>
      <c r="D247" s="66"/>
      <c r="E247" s="15"/>
      <c r="F247" s="66"/>
      <c r="G247" s="18"/>
      <c r="H247" s="15"/>
      <c r="I247" s="18"/>
      <c r="J247" s="22"/>
      <c r="K247" s="108"/>
      <c r="L247" s="66"/>
      <c r="M247" s="66"/>
      <c r="N247" s="66"/>
      <c r="O247" s="66"/>
      <c r="P247" s="66"/>
      <c r="Q247" s="66"/>
      <c r="R247" s="66"/>
      <c r="S247" s="66"/>
      <c r="T247" s="66"/>
      <c r="U247" s="66"/>
      <c r="V247" s="66"/>
      <c r="W247" s="66"/>
      <c r="X247" s="66"/>
      <c r="Y247" s="66"/>
      <c r="Z247" s="66"/>
      <c r="AA247" s="66"/>
      <c r="AB247" s="66"/>
      <c r="AC247" s="66"/>
    </row>
    <row r="248">
      <c r="A248" s="66"/>
      <c r="B248" s="66"/>
      <c r="C248" s="66"/>
      <c r="D248" s="66"/>
      <c r="E248" s="15"/>
      <c r="F248" s="66"/>
      <c r="G248" s="18"/>
      <c r="H248" s="15"/>
      <c r="I248" s="18"/>
      <c r="J248" s="22"/>
      <c r="K248" s="108"/>
      <c r="L248" s="66"/>
      <c r="M248" s="66"/>
      <c r="N248" s="66"/>
      <c r="O248" s="66"/>
      <c r="P248" s="66"/>
      <c r="Q248" s="66"/>
      <c r="R248" s="66"/>
      <c r="S248" s="66"/>
      <c r="T248" s="66"/>
      <c r="U248" s="66"/>
      <c r="V248" s="66"/>
      <c r="W248" s="66"/>
      <c r="X248" s="66"/>
      <c r="Y248" s="66"/>
      <c r="Z248" s="66"/>
      <c r="AA248" s="66"/>
      <c r="AB248" s="66"/>
      <c r="AC248" s="66"/>
    </row>
    <row r="249">
      <c r="A249" s="66"/>
      <c r="B249" s="66"/>
      <c r="C249" s="66"/>
      <c r="D249" s="66"/>
      <c r="E249" s="15"/>
      <c r="F249" s="66"/>
      <c r="G249" s="18"/>
      <c r="H249" s="15"/>
      <c r="I249" s="18"/>
      <c r="J249" s="22"/>
      <c r="K249" s="108"/>
      <c r="L249" s="66"/>
      <c r="M249" s="66"/>
      <c r="N249" s="66"/>
      <c r="O249" s="66"/>
      <c r="P249" s="66"/>
      <c r="Q249" s="66"/>
      <c r="R249" s="66"/>
      <c r="S249" s="66"/>
      <c r="T249" s="66"/>
      <c r="U249" s="66"/>
      <c r="V249" s="66"/>
      <c r="W249" s="66"/>
      <c r="X249" s="66"/>
      <c r="Y249" s="66"/>
      <c r="Z249" s="66"/>
      <c r="AA249" s="66"/>
      <c r="AB249" s="66"/>
      <c r="AC249" s="66"/>
    </row>
    <row r="250">
      <c r="A250" s="66"/>
      <c r="B250" s="66"/>
      <c r="C250" s="66"/>
      <c r="D250" s="66"/>
      <c r="E250" s="15"/>
      <c r="F250" s="66"/>
      <c r="G250" s="18"/>
      <c r="H250" s="15"/>
      <c r="I250" s="18"/>
      <c r="J250" s="22"/>
      <c r="K250" s="108"/>
      <c r="L250" s="66"/>
      <c r="M250" s="66"/>
      <c r="N250" s="66"/>
      <c r="O250" s="66"/>
      <c r="P250" s="66"/>
      <c r="Q250" s="66"/>
      <c r="R250" s="66"/>
      <c r="S250" s="66"/>
      <c r="T250" s="66"/>
      <c r="U250" s="66"/>
      <c r="V250" s="66"/>
      <c r="W250" s="66"/>
      <c r="X250" s="66"/>
      <c r="Y250" s="66"/>
      <c r="Z250" s="66"/>
      <c r="AA250" s="66"/>
      <c r="AB250" s="66"/>
      <c r="AC250" s="66"/>
    </row>
    <row r="251">
      <c r="A251" s="66"/>
      <c r="B251" s="66"/>
      <c r="C251" s="66"/>
      <c r="D251" s="66"/>
      <c r="E251" s="15"/>
      <c r="F251" s="66"/>
      <c r="G251" s="18"/>
      <c r="H251" s="15"/>
      <c r="I251" s="18"/>
      <c r="J251" s="22"/>
      <c r="K251" s="108"/>
      <c r="L251" s="66"/>
      <c r="M251" s="66"/>
      <c r="N251" s="66"/>
      <c r="O251" s="66"/>
      <c r="P251" s="66"/>
      <c r="Q251" s="66"/>
      <c r="R251" s="66"/>
      <c r="S251" s="66"/>
      <c r="T251" s="66"/>
      <c r="U251" s="66"/>
      <c r="V251" s="66"/>
      <c r="W251" s="66"/>
      <c r="X251" s="66"/>
      <c r="Y251" s="66"/>
      <c r="Z251" s="66"/>
      <c r="AA251" s="66"/>
      <c r="AB251" s="66"/>
      <c r="AC251" s="66"/>
    </row>
    <row r="252">
      <c r="A252" s="66"/>
      <c r="B252" s="66"/>
      <c r="C252" s="66"/>
      <c r="D252" s="66"/>
      <c r="E252" s="15"/>
      <c r="F252" s="66"/>
      <c r="G252" s="18"/>
      <c r="H252" s="15"/>
      <c r="I252" s="18"/>
      <c r="J252" s="22"/>
      <c r="K252" s="108"/>
      <c r="L252" s="66"/>
      <c r="M252" s="66"/>
      <c r="N252" s="66"/>
      <c r="O252" s="66"/>
      <c r="P252" s="66"/>
      <c r="Q252" s="66"/>
      <c r="R252" s="66"/>
      <c r="S252" s="66"/>
      <c r="T252" s="66"/>
      <c r="U252" s="66"/>
      <c r="V252" s="66"/>
      <c r="W252" s="66"/>
      <c r="X252" s="66"/>
      <c r="Y252" s="66"/>
      <c r="Z252" s="66"/>
      <c r="AA252" s="66"/>
      <c r="AB252" s="66"/>
      <c r="AC252" s="66"/>
    </row>
    <row r="253">
      <c r="A253" s="66"/>
      <c r="B253" s="66"/>
      <c r="C253" s="66"/>
      <c r="D253" s="66"/>
      <c r="E253" s="15"/>
      <c r="F253" s="66"/>
      <c r="G253" s="18"/>
      <c r="H253" s="15"/>
      <c r="I253" s="18"/>
      <c r="J253" s="22"/>
      <c r="K253" s="108"/>
      <c r="L253" s="66"/>
      <c r="M253" s="66"/>
      <c r="N253" s="66"/>
      <c r="O253" s="66"/>
      <c r="P253" s="66"/>
      <c r="Q253" s="66"/>
      <c r="R253" s="66"/>
      <c r="S253" s="66"/>
      <c r="T253" s="66"/>
      <c r="U253" s="66"/>
      <c r="V253" s="66"/>
      <c r="W253" s="66"/>
      <c r="X253" s="66"/>
      <c r="Y253" s="66"/>
      <c r="Z253" s="66"/>
      <c r="AA253" s="66"/>
      <c r="AB253" s="66"/>
      <c r="AC253" s="66"/>
    </row>
    <row r="254">
      <c r="A254" s="66"/>
      <c r="B254" s="66"/>
      <c r="C254" s="66"/>
      <c r="D254" s="66"/>
      <c r="E254" s="15"/>
      <c r="F254" s="66"/>
      <c r="G254" s="18"/>
      <c r="H254" s="15"/>
      <c r="I254" s="18"/>
      <c r="J254" s="22"/>
      <c r="K254" s="108"/>
      <c r="L254" s="66"/>
      <c r="M254" s="66"/>
      <c r="N254" s="66"/>
      <c r="O254" s="66"/>
      <c r="P254" s="66"/>
      <c r="Q254" s="66"/>
      <c r="R254" s="66"/>
      <c r="S254" s="66"/>
      <c r="T254" s="66"/>
      <c r="U254" s="66"/>
      <c r="V254" s="66"/>
      <c r="W254" s="66"/>
      <c r="X254" s="66"/>
      <c r="Y254" s="66"/>
      <c r="Z254" s="66"/>
      <c r="AA254" s="66"/>
      <c r="AB254" s="66"/>
      <c r="AC254" s="66"/>
    </row>
    <row r="255">
      <c r="A255" s="66"/>
      <c r="B255" s="66"/>
      <c r="C255" s="66"/>
      <c r="D255" s="66"/>
      <c r="E255" s="15"/>
      <c r="F255" s="66"/>
      <c r="G255" s="18"/>
      <c r="H255" s="15"/>
      <c r="I255" s="18"/>
      <c r="J255" s="22"/>
      <c r="K255" s="108"/>
      <c r="L255" s="66"/>
      <c r="M255" s="66"/>
      <c r="N255" s="66"/>
      <c r="O255" s="66"/>
      <c r="P255" s="66"/>
      <c r="Q255" s="66"/>
      <c r="R255" s="66"/>
      <c r="S255" s="66"/>
      <c r="T255" s="66"/>
      <c r="U255" s="66"/>
      <c r="V255" s="66"/>
      <c r="W255" s="66"/>
      <c r="X255" s="66"/>
      <c r="Y255" s="66"/>
      <c r="Z255" s="66"/>
      <c r="AA255" s="66"/>
      <c r="AB255" s="66"/>
      <c r="AC255" s="66"/>
    </row>
    <row r="256">
      <c r="A256" s="66"/>
      <c r="B256" s="66"/>
      <c r="C256" s="66"/>
      <c r="D256" s="66"/>
      <c r="E256" s="15"/>
      <c r="F256" s="66"/>
      <c r="G256" s="18"/>
      <c r="H256" s="15"/>
      <c r="I256" s="18"/>
      <c r="J256" s="22"/>
      <c r="K256" s="108"/>
      <c r="L256" s="66"/>
      <c r="M256" s="66"/>
      <c r="N256" s="66"/>
      <c r="O256" s="66"/>
      <c r="P256" s="66"/>
      <c r="Q256" s="66"/>
      <c r="R256" s="66"/>
      <c r="S256" s="66"/>
      <c r="T256" s="66"/>
      <c r="U256" s="66"/>
      <c r="V256" s="66"/>
      <c r="W256" s="66"/>
      <c r="X256" s="66"/>
      <c r="Y256" s="66"/>
      <c r="Z256" s="66"/>
      <c r="AA256" s="66"/>
      <c r="AB256" s="66"/>
      <c r="AC256" s="66"/>
    </row>
    <row r="257">
      <c r="A257" s="66"/>
      <c r="B257" s="66"/>
      <c r="C257" s="66"/>
      <c r="D257" s="66"/>
      <c r="E257" s="15"/>
      <c r="F257" s="66"/>
      <c r="G257" s="18"/>
      <c r="H257" s="15"/>
      <c r="I257" s="18"/>
      <c r="J257" s="22"/>
      <c r="K257" s="108"/>
      <c r="L257" s="66"/>
      <c r="M257" s="66"/>
      <c r="N257" s="66"/>
      <c r="O257" s="66"/>
      <c r="P257" s="66"/>
      <c r="Q257" s="66"/>
      <c r="R257" s="66"/>
      <c r="S257" s="66"/>
      <c r="T257" s="66"/>
      <c r="U257" s="66"/>
      <c r="V257" s="66"/>
      <c r="W257" s="66"/>
      <c r="X257" s="66"/>
      <c r="Y257" s="66"/>
      <c r="Z257" s="66"/>
      <c r="AA257" s="66"/>
      <c r="AB257" s="66"/>
      <c r="AC257" s="66"/>
    </row>
    <row r="258">
      <c r="A258" s="66"/>
      <c r="B258" s="66"/>
      <c r="C258" s="66"/>
      <c r="D258" s="66"/>
      <c r="E258" s="15"/>
      <c r="F258" s="66"/>
      <c r="G258" s="18"/>
      <c r="H258" s="15"/>
      <c r="I258" s="18"/>
      <c r="J258" s="22"/>
      <c r="K258" s="108"/>
      <c r="L258" s="66"/>
      <c r="M258" s="66"/>
      <c r="N258" s="66"/>
      <c r="O258" s="66"/>
      <c r="P258" s="66"/>
      <c r="Q258" s="66"/>
      <c r="R258" s="66"/>
      <c r="S258" s="66"/>
      <c r="T258" s="66"/>
      <c r="U258" s="66"/>
      <c r="V258" s="66"/>
      <c r="W258" s="66"/>
      <c r="X258" s="66"/>
      <c r="Y258" s="66"/>
      <c r="Z258" s="66"/>
      <c r="AA258" s="66"/>
      <c r="AB258" s="66"/>
      <c r="AC258" s="66"/>
    </row>
    <row r="259">
      <c r="A259" s="66"/>
      <c r="B259" s="66"/>
      <c r="C259" s="66"/>
      <c r="D259" s="66"/>
      <c r="E259" s="15"/>
      <c r="F259" s="66"/>
      <c r="G259" s="18"/>
      <c r="H259" s="15"/>
      <c r="I259" s="18"/>
      <c r="J259" s="22"/>
      <c r="K259" s="108"/>
      <c r="L259" s="66"/>
      <c r="M259" s="66"/>
      <c r="N259" s="66"/>
      <c r="O259" s="66"/>
      <c r="P259" s="66"/>
      <c r="Q259" s="66"/>
      <c r="R259" s="66"/>
      <c r="S259" s="66"/>
      <c r="T259" s="66"/>
      <c r="U259" s="66"/>
      <c r="V259" s="66"/>
      <c r="W259" s="66"/>
      <c r="X259" s="66"/>
      <c r="Y259" s="66"/>
      <c r="Z259" s="66"/>
      <c r="AA259" s="66"/>
      <c r="AB259" s="66"/>
      <c r="AC259" s="66"/>
    </row>
    <row r="260">
      <c r="A260" s="66"/>
      <c r="B260" s="66"/>
      <c r="C260" s="66"/>
      <c r="D260" s="66"/>
      <c r="E260" s="15"/>
      <c r="F260" s="66"/>
      <c r="G260" s="18"/>
      <c r="H260" s="15"/>
      <c r="I260" s="18"/>
      <c r="J260" s="22"/>
      <c r="K260" s="108"/>
      <c r="L260" s="66"/>
      <c r="M260" s="66"/>
      <c r="N260" s="66"/>
      <c r="O260" s="66"/>
      <c r="P260" s="66"/>
      <c r="Q260" s="66"/>
      <c r="R260" s="66"/>
      <c r="S260" s="66"/>
      <c r="T260" s="66"/>
      <c r="U260" s="66"/>
      <c r="V260" s="66"/>
      <c r="W260" s="66"/>
      <c r="X260" s="66"/>
      <c r="Y260" s="66"/>
      <c r="Z260" s="66"/>
      <c r="AA260" s="66"/>
      <c r="AB260" s="66"/>
      <c r="AC260" s="66"/>
    </row>
    <row r="261">
      <c r="A261" s="66"/>
      <c r="B261" s="66"/>
      <c r="C261" s="66"/>
      <c r="D261" s="66"/>
      <c r="E261" s="15"/>
      <c r="F261" s="66"/>
      <c r="G261" s="18"/>
      <c r="H261" s="15"/>
      <c r="I261" s="18"/>
      <c r="J261" s="22"/>
      <c r="K261" s="108"/>
      <c r="L261" s="66"/>
      <c r="M261" s="66"/>
      <c r="N261" s="66"/>
      <c r="O261" s="66"/>
      <c r="P261" s="66"/>
      <c r="Q261" s="66"/>
      <c r="R261" s="66"/>
      <c r="S261" s="66"/>
      <c r="T261" s="66"/>
      <c r="U261" s="66"/>
      <c r="V261" s="66"/>
      <c r="W261" s="66"/>
      <c r="X261" s="66"/>
      <c r="Y261" s="66"/>
      <c r="Z261" s="66"/>
      <c r="AA261" s="66"/>
      <c r="AB261" s="66"/>
      <c r="AC261" s="66"/>
    </row>
    <row r="262">
      <c r="A262" s="66"/>
      <c r="B262" s="66"/>
      <c r="C262" s="66"/>
      <c r="D262" s="66"/>
      <c r="E262" s="15"/>
      <c r="F262" s="66"/>
      <c r="G262" s="18"/>
      <c r="H262" s="15"/>
      <c r="I262" s="18"/>
      <c r="J262" s="22"/>
      <c r="K262" s="108"/>
      <c r="L262" s="66"/>
      <c r="M262" s="66"/>
      <c r="N262" s="66"/>
      <c r="O262" s="66"/>
      <c r="P262" s="66"/>
      <c r="Q262" s="66"/>
      <c r="R262" s="66"/>
      <c r="S262" s="66"/>
      <c r="T262" s="66"/>
      <c r="U262" s="66"/>
      <c r="V262" s="66"/>
      <c r="W262" s="66"/>
      <c r="X262" s="66"/>
      <c r="Y262" s="66"/>
      <c r="Z262" s="66"/>
      <c r="AA262" s="66"/>
      <c r="AB262" s="66"/>
      <c r="AC262" s="66"/>
    </row>
    <row r="263">
      <c r="A263" s="66"/>
      <c r="B263" s="66"/>
      <c r="C263" s="66"/>
      <c r="D263" s="66"/>
      <c r="E263" s="15"/>
      <c r="F263" s="66"/>
      <c r="G263" s="18"/>
      <c r="H263" s="15"/>
      <c r="I263" s="18"/>
      <c r="J263" s="22"/>
      <c r="K263" s="108"/>
      <c r="L263" s="66"/>
      <c r="M263" s="66"/>
      <c r="N263" s="66"/>
      <c r="O263" s="66"/>
      <c r="P263" s="66"/>
      <c r="Q263" s="66"/>
      <c r="R263" s="66"/>
      <c r="S263" s="66"/>
      <c r="T263" s="66"/>
      <c r="U263" s="66"/>
      <c r="V263" s="66"/>
      <c r="W263" s="66"/>
      <c r="X263" s="66"/>
      <c r="Y263" s="66"/>
      <c r="Z263" s="66"/>
      <c r="AA263" s="66"/>
      <c r="AB263" s="66"/>
      <c r="AC263" s="66"/>
    </row>
    <row r="264">
      <c r="A264" s="66"/>
      <c r="B264" s="66"/>
      <c r="C264" s="66"/>
      <c r="D264" s="66"/>
      <c r="E264" s="15"/>
      <c r="F264" s="66"/>
      <c r="G264" s="18"/>
      <c r="H264" s="15"/>
      <c r="I264" s="18"/>
      <c r="J264" s="22"/>
      <c r="K264" s="108"/>
      <c r="L264" s="66"/>
      <c r="M264" s="66"/>
      <c r="N264" s="66"/>
      <c r="O264" s="66"/>
      <c r="P264" s="66"/>
      <c r="Q264" s="66"/>
      <c r="R264" s="66"/>
      <c r="S264" s="66"/>
      <c r="T264" s="66"/>
      <c r="U264" s="66"/>
      <c r="V264" s="66"/>
      <c r="W264" s="66"/>
      <c r="X264" s="66"/>
      <c r="Y264" s="66"/>
      <c r="Z264" s="66"/>
      <c r="AA264" s="66"/>
      <c r="AB264" s="66"/>
      <c r="AC264" s="66"/>
    </row>
    <row r="265">
      <c r="A265" s="66"/>
      <c r="B265" s="66"/>
      <c r="C265" s="66"/>
      <c r="D265" s="66"/>
      <c r="E265" s="15"/>
      <c r="F265" s="66"/>
      <c r="G265" s="18"/>
      <c r="H265" s="15"/>
      <c r="I265" s="18"/>
      <c r="J265" s="22"/>
      <c r="K265" s="108"/>
      <c r="L265" s="66"/>
      <c r="M265" s="66"/>
      <c r="N265" s="66"/>
      <c r="O265" s="66"/>
      <c r="P265" s="66"/>
      <c r="Q265" s="66"/>
      <c r="R265" s="66"/>
      <c r="S265" s="66"/>
      <c r="T265" s="66"/>
      <c r="U265" s="66"/>
      <c r="V265" s="66"/>
      <c r="W265" s="66"/>
      <c r="X265" s="66"/>
      <c r="Y265" s="66"/>
      <c r="Z265" s="66"/>
      <c r="AA265" s="66"/>
      <c r="AB265" s="66"/>
      <c r="AC265" s="66"/>
    </row>
    <row r="266">
      <c r="A266" s="66"/>
      <c r="B266" s="66"/>
      <c r="C266" s="66"/>
      <c r="D266" s="66"/>
      <c r="E266" s="15"/>
      <c r="F266" s="66"/>
      <c r="G266" s="18"/>
      <c r="H266" s="15"/>
      <c r="I266" s="18"/>
      <c r="J266" s="22"/>
      <c r="K266" s="108"/>
      <c r="L266" s="66"/>
      <c r="M266" s="66"/>
      <c r="N266" s="66"/>
      <c r="O266" s="66"/>
      <c r="P266" s="66"/>
      <c r="Q266" s="66"/>
      <c r="R266" s="66"/>
      <c r="S266" s="66"/>
      <c r="T266" s="66"/>
      <c r="U266" s="66"/>
      <c r="V266" s="66"/>
      <c r="W266" s="66"/>
      <c r="X266" s="66"/>
      <c r="Y266" s="66"/>
      <c r="Z266" s="66"/>
      <c r="AA266" s="66"/>
      <c r="AB266" s="66"/>
      <c r="AC266" s="66"/>
    </row>
    <row r="267">
      <c r="A267" s="66"/>
      <c r="B267" s="66"/>
      <c r="C267" s="66"/>
      <c r="D267" s="66"/>
      <c r="E267" s="15"/>
      <c r="F267" s="66"/>
      <c r="G267" s="18"/>
      <c r="H267" s="15"/>
      <c r="I267" s="18"/>
      <c r="J267" s="22"/>
      <c r="K267" s="108"/>
      <c r="L267" s="66"/>
      <c r="M267" s="66"/>
      <c r="N267" s="66"/>
      <c r="O267" s="66"/>
      <c r="P267" s="66"/>
      <c r="Q267" s="66"/>
      <c r="R267" s="66"/>
      <c r="S267" s="66"/>
      <c r="T267" s="66"/>
      <c r="U267" s="66"/>
      <c r="V267" s="66"/>
      <c r="W267" s="66"/>
      <c r="X267" s="66"/>
      <c r="Y267" s="66"/>
      <c r="Z267" s="66"/>
      <c r="AA267" s="66"/>
      <c r="AB267" s="66"/>
      <c r="AC267" s="66"/>
    </row>
    <row r="268">
      <c r="A268" s="66"/>
      <c r="B268" s="66"/>
      <c r="C268" s="66"/>
      <c r="D268" s="66"/>
      <c r="E268" s="15"/>
      <c r="F268" s="66"/>
      <c r="G268" s="18"/>
      <c r="H268" s="15"/>
      <c r="I268" s="18"/>
      <c r="J268" s="22"/>
      <c r="K268" s="108"/>
      <c r="L268" s="66"/>
      <c r="M268" s="66"/>
      <c r="N268" s="66"/>
      <c r="O268" s="66"/>
      <c r="P268" s="66"/>
      <c r="Q268" s="66"/>
      <c r="R268" s="66"/>
      <c r="S268" s="66"/>
      <c r="T268" s="66"/>
      <c r="U268" s="66"/>
      <c r="V268" s="66"/>
      <c r="W268" s="66"/>
      <c r="X268" s="66"/>
      <c r="Y268" s="66"/>
      <c r="Z268" s="66"/>
      <c r="AA268" s="66"/>
      <c r="AB268" s="66"/>
      <c r="AC268" s="66"/>
    </row>
    <row r="269">
      <c r="A269" s="66"/>
      <c r="B269" s="66"/>
      <c r="C269" s="66"/>
      <c r="D269" s="66"/>
      <c r="E269" s="15"/>
      <c r="F269" s="66"/>
      <c r="G269" s="18"/>
      <c r="H269" s="15"/>
      <c r="I269" s="18"/>
      <c r="J269" s="22"/>
      <c r="K269" s="108"/>
      <c r="L269" s="66"/>
      <c r="M269" s="66"/>
      <c r="N269" s="66"/>
      <c r="O269" s="66"/>
      <c r="P269" s="66"/>
      <c r="Q269" s="66"/>
      <c r="R269" s="66"/>
      <c r="S269" s="66"/>
      <c r="T269" s="66"/>
      <c r="U269" s="66"/>
      <c r="V269" s="66"/>
      <c r="W269" s="66"/>
      <c r="X269" s="66"/>
      <c r="Y269" s="66"/>
      <c r="Z269" s="66"/>
      <c r="AA269" s="66"/>
      <c r="AB269" s="66"/>
      <c r="AC269" s="66"/>
    </row>
    <row r="270">
      <c r="A270" s="66"/>
      <c r="B270" s="66"/>
      <c r="C270" s="66"/>
      <c r="D270" s="66"/>
      <c r="E270" s="15"/>
      <c r="F270" s="66"/>
      <c r="G270" s="18"/>
      <c r="H270" s="15"/>
      <c r="I270" s="18"/>
      <c r="J270" s="22"/>
      <c r="K270" s="108"/>
      <c r="L270" s="66"/>
      <c r="M270" s="66"/>
      <c r="N270" s="66"/>
      <c r="O270" s="66"/>
      <c r="P270" s="66"/>
      <c r="Q270" s="66"/>
      <c r="R270" s="66"/>
      <c r="S270" s="66"/>
      <c r="T270" s="66"/>
      <c r="U270" s="66"/>
      <c r="V270" s="66"/>
      <c r="W270" s="66"/>
      <c r="X270" s="66"/>
      <c r="Y270" s="66"/>
      <c r="Z270" s="66"/>
      <c r="AA270" s="66"/>
      <c r="AB270" s="66"/>
      <c r="AC270" s="66"/>
    </row>
    <row r="271">
      <c r="A271" s="66"/>
      <c r="B271" s="66"/>
      <c r="C271" s="66"/>
      <c r="D271" s="66"/>
      <c r="E271" s="15"/>
      <c r="F271" s="66"/>
      <c r="G271" s="18"/>
      <c r="H271" s="15"/>
      <c r="I271" s="18"/>
      <c r="J271" s="22"/>
      <c r="K271" s="108"/>
      <c r="L271" s="66"/>
      <c r="M271" s="66"/>
      <c r="N271" s="66"/>
      <c r="O271" s="66"/>
      <c r="P271" s="66"/>
      <c r="Q271" s="66"/>
      <c r="R271" s="66"/>
      <c r="S271" s="66"/>
      <c r="T271" s="66"/>
      <c r="U271" s="66"/>
      <c r="V271" s="66"/>
      <c r="W271" s="66"/>
      <c r="X271" s="66"/>
      <c r="Y271" s="66"/>
      <c r="Z271" s="66"/>
      <c r="AA271" s="66"/>
      <c r="AB271" s="66"/>
      <c r="AC271" s="66"/>
    </row>
    <row r="272">
      <c r="A272" s="66"/>
      <c r="B272" s="66"/>
      <c r="C272" s="66"/>
      <c r="D272" s="66"/>
      <c r="E272" s="15"/>
      <c r="F272" s="66"/>
      <c r="G272" s="18"/>
      <c r="H272" s="15"/>
      <c r="I272" s="18"/>
      <c r="J272" s="22"/>
      <c r="K272" s="108"/>
      <c r="L272" s="66"/>
      <c r="M272" s="66"/>
      <c r="N272" s="66"/>
      <c r="O272" s="66"/>
      <c r="P272" s="66"/>
      <c r="Q272" s="66"/>
      <c r="R272" s="66"/>
      <c r="S272" s="66"/>
      <c r="T272" s="66"/>
      <c r="U272" s="66"/>
      <c r="V272" s="66"/>
      <c r="W272" s="66"/>
      <c r="X272" s="66"/>
      <c r="Y272" s="66"/>
      <c r="Z272" s="66"/>
      <c r="AA272" s="66"/>
      <c r="AB272" s="66"/>
      <c r="AC272" s="66"/>
    </row>
    <row r="273">
      <c r="A273" s="66"/>
      <c r="B273" s="66"/>
      <c r="C273" s="66"/>
      <c r="D273" s="66"/>
      <c r="E273" s="15"/>
      <c r="F273" s="66"/>
      <c r="G273" s="18"/>
      <c r="H273" s="15"/>
      <c r="I273" s="18"/>
      <c r="J273" s="22"/>
      <c r="K273" s="108"/>
      <c r="L273" s="66"/>
      <c r="M273" s="66"/>
      <c r="N273" s="66"/>
      <c r="O273" s="66"/>
      <c r="P273" s="66"/>
      <c r="Q273" s="66"/>
      <c r="R273" s="66"/>
      <c r="S273" s="66"/>
      <c r="T273" s="66"/>
      <c r="U273" s="66"/>
      <c r="V273" s="66"/>
      <c r="W273" s="66"/>
      <c r="X273" s="66"/>
      <c r="Y273" s="66"/>
      <c r="Z273" s="66"/>
      <c r="AA273" s="66"/>
      <c r="AB273" s="66"/>
      <c r="AC273" s="66"/>
    </row>
    <row r="274">
      <c r="A274" s="66"/>
      <c r="B274" s="66"/>
      <c r="C274" s="66"/>
      <c r="D274" s="66"/>
      <c r="E274" s="15"/>
      <c r="F274" s="66"/>
      <c r="G274" s="18"/>
      <c r="H274" s="15"/>
      <c r="I274" s="18"/>
      <c r="J274" s="22"/>
      <c r="K274" s="108"/>
      <c r="L274" s="66"/>
      <c r="M274" s="66"/>
      <c r="N274" s="66"/>
      <c r="O274" s="66"/>
      <c r="P274" s="66"/>
      <c r="Q274" s="66"/>
      <c r="R274" s="66"/>
      <c r="S274" s="66"/>
      <c r="T274" s="66"/>
      <c r="U274" s="66"/>
      <c r="V274" s="66"/>
      <c r="W274" s="66"/>
      <c r="X274" s="66"/>
      <c r="Y274" s="66"/>
      <c r="Z274" s="66"/>
      <c r="AA274" s="66"/>
      <c r="AB274" s="66"/>
      <c r="AC274" s="66"/>
    </row>
    <row r="275">
      <c r="A275" s="66"/>
      <c r="B275" s="66"/>
      <c r="C275" s="66"/>
      <c r="D275" s="66"/>
      <c r="E275" s="15"/>
      <c r="F275" s="66"/>
      <c r="G275" s="18"/>
      <c r="H275" s="15"/>
      <c r="I275" s="18"/>
      <c r="J275" s="22"/>
      <c r="K275" s="108"/>
      <c r="L275" s="66"/>
      <c r="M275" s="66"/>
      <c r="N275" s="66"/>
      <c r="O275" s="66"/>
      <c r="P275" s="66"/>
      <c r="Q275" s="66"/>
      <c r="R275" s="66"/>
      <c r="S275" s="66"/>
      <c r="T275" s="66"/>
      <c r="U275" s="66"/>
      <c r="V275" s="66"/>
      <c r="W275" s="66"/>
      <c r="X275" s="66"/>
      <c r="Y275" s="66"/>
      <c r="Z275" s="66"/>
      <c r="AA275" s="66"/>
      <c r="AB275" s="66"/>
      <c r="AC275" s="66"/>
    </row>
    <row r="276">
      <c r="A276" s="66"/>
      <c r="B276" s="66"/>
      <c r="C276" s="66"/>
      <c r="D276" s="66"/>
      <c r="E276" s="15"/>
      <c r="F276" s="66"/>
      <c r="G276" s="18"/>
      <c r="H276" s="15"/>
      <c r="I276" s="18"/>
      <c r="J276" s="22"/>
      <c r="K276" s="108"/>
      <c r="L276" s="66"/>
      <c r="M276" s="66"/>
      <c r="N276" s="66"/>
      <c r="O276" s="66"/>
      <c r="P276" s="66"/>
      <c r="Q276" s="66"/>
      <c r="R276" s="66"/>
      <c r="S276" s="66"/>
      <c r="T276" s="66"/>
      <c r="U276" s="66"/>
      <c r="V276" s="66"/>
      <c r="W276" s="66"/>
      <c r="X276" s="66"/>
      <c r="Y276" s="66"/>
      <c r="Z276" s="66"/>
      <c r="AA276" s="66"/>
      <c r="AB276" s="66"/>
      <c r="AC276" s="66"/>
    </row>
    <row r="277">
      <c r="A277" s="66"/>
      <c r="B277" s="66"/>
      <c r="C277" s="66"/>
      <c r="D277" s="66"/>
      <c r="E277" s="15"/>
      <c r="F277" s="66"/>
      <c r="G277" s="18"/>
      <c r="H277" s="15"/>
      <c r="I277" s="18"/>
      <c r="J277" s="22"/>
      <c r="K277" s="108"/>
      <c r="L277" s="66"/>
      <c r="M277" s="66"/>
      <c r="N277" s="66"/>
      <c r="O277" s="66"/>
      <c r="P277" s="66"/>
      <c r="Q277" s="66"/>
      <c r="R277" s="66"/>
      <c r="S277" s="66"/>
      <c r="T277" s="66"/>
      <c r="U277" s="66"/>
      <c r="V277" s="66"/>
      <c r="W277" s="66"/>
      <c r="X277" s="66"/>
      <c r="Y277" s="66"/>
      <c r="Z277" s="66"/>
      <c r="AA277" s="66"/>
      <c r="AB277" s="66"/>
      <c r="AC277" s="66"/>
    </row>
    <row r="278">
      <c r="A278" s="66"/>
      <c r="B278" s="66"/>
      <c r="C278" s="66"/>
      <c r="D278" s="66"/>
      <c r="E278" s="15"/>
      <c r="F278" s="66"/>
      <c r="G278" s="18"/>
      <c r="H278" s="15"/>
      <c r="I278" s="18"/>
      <c r="J278" s="22"/>
      <c r="K278" s="108"/>
      <c r="L278" s="66"/>
      <c r="M278" s="66"/>
      <c r="N278" s="66"/>
      <c r="O278" s="66"/>
      <c r="P278" s="66"/>
      <c r="Q278" s="66"/>
      <c r="R278" s="66"/>
      <c r="S278" s="66"/>
      <c r="T278" s="66"/>
      <c r="U278" s="66"/>
      <c r="V278" s="66"/>
      <c r="W278" s="66"/>
      <c r="X278" s="66"/>
      <c r="Y278" s="66"/>
      <c r="Z278" s="66"/>
      <c r="AA278" s="66"/>
      <c r="AB278" s="66"/>
      <c r="AC278" s="66"/>
    </row>
    <row r="279">
      <c r="A279" s="66"/>
      <c r="B279" s="66"/>
      <c r="C279" s="66"/>
      <c r="D279" s="66"/>
      <c r="E279" s="15"/>
      <c r="F279" s="66"/>
      <c r="G279" s="18"/>
      <c r="H279" s="15"/>
      <c r="I279" s="18"/>
      <c r="J279" s="22"/>
      <c r="K279" s="108"/>
      <c r="L279" s="66"/>
      <c r="M279" s="66"/>
      <c r="N279" s="66"/>
      <c r="O279" s="66"/>
      <c r="P279" s="66"/>
      <c r="Q279" s="66"/>
      <c r="R279" s="66"/>
      <c r="S279" s="66"/>
      <c r="T279" s="66"/>
      <c r="U279" s="66"/>
      <c r="V279" s="66"/>
      <c r="W279" s="66"/>
      <c r="X279" s="66"/>
      <c r="Y279" s="66"/>
      <c r="Z279" s="66"/>
      <c r="AA279" s="66"/>
      <c r="AB279" s="66"/>
      <c r="AC279" s="66"/>
    </row>
    <row r="280">
      <c r="A280" s="66"/>
      <c r="B280" s="66"/>
      <c r="C280" s="66"/>
      <c r="D280" s="66"/>
      <c r="E280" s="15"/>
      <c r="F280" s="66"/>
      <c r="G280" s="18"/>
      <c r="H280" s="15"/>
      <c r="I280" s="18"/>
      <c r="J280" s="22"/>
      <c r="K280" s="108"/>
      <c r="L280" s="66"/>
      <c r="M280" s="66"/>
      <c r="N280" s="66"/>
      <c r="O280" s="66"/>
      <c r="P280" s="66"/>
      <c r="Q280" s="66"/>
      <c r="R280" s="66"/>
      <c r="S280" s="66"/>
      <c r="T280" s="66"/>
      <c r="U280" s="66"/>
      <c r="V280" s="66"/>
      <c r="W280" s="66"/>
      <c r="X280" s="66"/>
      <c r="Y280" s="66"/>
      <c r="Z280" s="66"/>
      <c r="AA280" s="66"/>
      <c r="AB280" s="66"/>
      <c r="AC280" s="66"/>
    </row>
    <row r="281">
      <c r="A281" s="66"/>
      <c r="B281" s="66"/>
      <c r="C281" s="66"/>
      <c r="D281" s="66"/>
      <c r="E281" s="15"/>
      <c r="F281" s="66"/>
      <c r="G281" s="18"/>
      <c r="H281" s="15"/>
      <c r="I281" s="18"/>
      <c r="J281" s="22"/>
      <c r="K281" s="108"/>
      <c r="L281" s="66"/>
      <c r="M281" s="66"/>
      <c r="N281" s="66"/>
      <c r="O281" s="66"/>
      <c r="P281" s="66"/>
      <c r="Q281" s="66"/>
      <c r="R281" s="66"/>
      <c r="S281" s="66"/>
      <c r="T281" s="66"/>
      <c r="U281" s="66"/>
      <c r="V281" s="66"/>
      <c r="W281" s="66"/>
      <c r="X281" s="66"/>
      <c r="Y281" s="66"/>
      <c r="Z281" s="66"/>
      <c r="AA281" s="66"/>
      <c r="AB281" s="66"/>
      <c r="AC281" s="66"/>
    </row>
    <row r="282">
      <c r="A282" s="66"/>
      <c r="B282" s="66"/>
      <c r="C282" s="66"/>
      <c r="D282" s="66"/>
      <c r="E282" s="15"/>
      <c r="F282" s="66"/>
      <c r="G282" s="18"/>
      <c r="H282" s="15"/>
      <c r="I282" s="18"/>
      <c r="J282" s="22"/>
      <c r="K282" s="108"/>
      <c r="L282" s="66"/>
      <c r="M282" s="66"/>
      <c r="N282" s="66"/>
      <c r="O282" s="66"/>
      <c r="P282" s="66"/>
      <c r="Q282" s="66"/>
      <c r="R282" s="66"/>
      <c r="S282" s="66"/>
      <c r="T282" s="66"/>
      <c r="U282" s="66"/>
      <c r="V282" s="66"/>
      <c r="W282" s="66"/>
      <c r="X282" s="66"/>
      <c r="Y282" s="66"/>
      <c r="Z282" s="66"/>
      <c r="AA282" s="66"/>
      <c r="AB282" s="66"/>
      <c r="AC282" s="66"/>
    </row>
    <row r="283">
      <c r="A283" s="66"/>
      <c r="B283" s="66"/>
      <c r="C283" s="66"/>
      <c r="D283" s="66"/>
      <c r="E283" s="15"/>
      <c r="F283" s="66"/>
      <c r="G283" s="18"/>
      <c r="H283" s="15"/>
      <c r="I283" s="18"/>
      <c r="J283" s="22"/>
      <c r="K283" s="108"/>
      <c r="L283" s="66"/>
      <c r="M283" s="66"/>
      <c r="N283" s="66"/>
      <c r="O283" s="66"/>
      <c r="P283" s="66"/>
      <c r="Q283" s="66"/>
      <c r="R283" s="66"/>
      <c r="S283" s="66"/>
      <c r="T283" s="66"/>
      <c r="U283" s="66"/>
      <c r="V283" s="66"/>
      <c r="W283" s="66"/>
      <c r="X283" s="66"/>
      <c r="Y283" s="66"/>
      <c r="Z283" s="66"/>
      <c r="AA283" s="66"/>
      <c r="AB283" s="66"/>
      <c r="AC283" s="66"/>
    </row>
    <row r="284">
      <c r="A284" s="66"/>
      <c r="B284" s="66"/>
      <c r="C284" s="66"/>
      <c r="D284" s="66"/>
      <c r="E284" s="15"/>
      <c r="F284" s="66"/>
      <c r="G284" s="18"/>
      <c r="H284" s="15"/>
      <c r="I284" s="18"/>
      <c r="J284" s="22"/>
      <c r="K284" s="108"/>
      <c r="L284" s="66"/>
      <c r="M284" s="66"/>
      <c r="N284" s="66"/>
      <c r="O284" s="66"/>
      <c r="P284" s="66"/>
      <c r="Q284" s="66"/>
      <c r="R284" s="66"/>
      <c r="S284" s="66"/>
      <c r="T284" s="66"/>
      <c r="U284" s="66"/>
      <c r="V284" s="66"/>
      <c r="W284" s="66"/>
      <c r="X284" s="66"/>
      <c r="Y284" s="66"/>
      <c r="Z284" s="66"/>
      <c r="AA284" s="66"/>
      <c r="AB284" s="66"/>
      <c r="AC284" s="66"/>
    </row>
    <row r="285">
      <c r="A285" s="66"/>
      <c r="B285" s="66"/>
      <c r="C285" s="66"/>
      <c r="D285" s="66"/>
      <c r="E285" s="15"/>
      <c r="F285" s="66"/>
      <c r="G285" s="18"/>
      <c r="H285" s="15"/>
      <c r="I285" s="18"/>
      <c r="J285" s="22"/>
      <c r="K285" s="108"/>
      <c r="L285" s="66"/>
      <c r="M285" s="66"/>
      <c r="N285" s="66"/>
      <c r="O285" s="66"/>
      <c r="P285" s="66"/>
      <c r="Q285" s="66"/>
      <c r="R285" s="66"/>
      <c r="S285" s="66"/>
      <c r="T285" s="66"/>
      <c r="U285" s="66"/>
      <c r="V285" s="66"/>
      <c r="W285" s="66"/>
      <c r="X285" s="66"/>
      <c r="Y285" s="66"/>
      <c r="Z285" s="66"/>
      <c r="AA285" s="66"/>
      <c r="AB285" s="66"/>
      <c r="AC285" s="66"/>
    </row>
    <row r="286">
      <c r="A286" s="66"/>
      <c r="B286" s="66"/>
      <c r="C286" s="66"/>
      <c r="D286" s="66"/>
      <c r="E286" s="15"/>
      <c r="F286" s="66"/>
      <c r="G286" s="18"/>
      <c r="H286" s="15"/>
      <c r="I286" s="18"/>
      <c r="J286" s="22"/>
      <c r="K286" s="108"/>
      <c r="L286" s="66"/>
      <c r="M286" s="66"/>
      <c r="N286" s="66"/>
      <c r="O286" s="66"/>
      <c r="P286" s="66"/>
      <c r="Q286" s="66"/>
      <c r="R286" s="66"/>
      <c r="S286" s="66"/>
      <c r="T286" s="66"/>
      <c r="U286" s="66"/>
      <c r="V286" s="66"/>
      <c r="W286" s="66"/>
      <c r="X286" s="66"/>
      <c r="Y286" s="66"/>
      <c r="Z286" s="66"/>
      <c r="AA286" s="66"/>
      <c r="AB286" s="66"/>
      <c r="AC286" s="66"/>
    </row>
    <row r="287">
      <c r="A287" s="66"/>
      <c r="B287" s="66"/>
      <c r="C287" s="66"/>
      <c r="D287" s="66"/>
      <c r="E287" s="15"/>
      <c r="F287" s="66"/>
      <c r="G287" s="18"/>
      <c r="H287" s="15"/>
      <c r="I287" s="18"/>
      <c r="J287" s="22"/>
      <c r="K287" s="108"/>
      <c r="L287" s="66"/>
      <c r="M287" s="66"/>
      <c r="N287" s="66"/>
      <c r="O287" s="66"/>
      <c r="P287" s="66"/>
      <c r="Q287" s="66"/>
      <c r="R287" s="66"/>
      <c r="S287" s="66"/>
      <c r="T287" s="66"/>
      <c r="U287" s="66"/>
      <c r="V287" s="66"/>
      <c r="W287" s="66"/>
      <c r="X287" s="66"/>
      <c r="Y287" s="66"/>
      <c r="Z287" s="66"/>
      <c r="AA287" s="66"/>
      <c r="AB287" s="66"/>
      <c r="AC287" s="66"/>
    </row>
    <row r="288">
      <c r="A288" s="66"/>
      <c r="B288" s="66"/>
      <c r="C288" s="66"/>
      <c r="D288" s="66"/>
      <c r="E288" s="15"/>
      <c r="F288" s="66"/>
      <c r="G288" s="18"/>
      <c r="H288" s="15"/>
      <c r="I288" s="18"/>
      <c r="J288" s="22"/>
      <c r="K288" s="108"/>
      <c r="L288" s="66"/>
      <c r="M288" s="66"/>
      <c r="N288" s="66"/>
      <c r="O288" s="66"/>
      <c r="P288" s="66"/>
      <c r="Q288" s="66"/>
      <c r="R288" s="66"/>
      <c r="S288" s="66"/>
      <c r="T288" s="66"/>
      <c r="U288" s="66"/>
      <c r="V288" s="66"/>
      <c r="W288" s="66"/>
      <c r="X288" s="66"/>
      <c r="Y288" s="66"/>
      <c r="Z288" s="66"/>
      <c r="AA288" s="66"/>
      <c r="AB288" s="66"/>
      <c r="AC288" s="66"/>
    </row>
    <row r="289">
      <c r="A289" s="66"/>
      <c r="B289" s="66"/>
      <c r="C289" s="66"/>
      <c r="D289" s="66"/>
      <c r="E289" s="15"/>
      <c r="F289" s="66"/>
      <c r="G289" s="18"/>
      <c r="H289" s="15"/>
      <c r="I289" s="18"/>
      <c r="J289" s="22"/>
      <c r="K289" s="108"/>
      <c r="L289" s="66"/>
      <c r="M289" s="66"/>
      <c r="N289" s="66"/>
      <c r="O289" s="66"/>
      <c r="P289" s="66"/>
      <c r="Q289" s="66"/>
      <c r="R289" s="66"/>
      <c r="S289" s="66"/>
      <c r="T289" s="66"/>
      <c r="U289" s="66"/>
      <c r="V289" s="66"/>
      <c r="W289" s="66"/>
      <c r="X289" s="66"/>
      <c r="Y289" s="66"/>
      <c r="Z289" s="66"/>
      <c r="AA289" s="66"/>
      <c r="AB289" s="66"/>
      <c r="AC289" s="66"/>
    </row>
    <row r="290">
      <c r="A290" s="66"/>
      <c r="B290" s="66"/>
      <c r="C290" s="66"/>
      <c r="D290" s="66"/>
      <c r="E290" s="15"/>
      <c r="F290" s="66"/>
      <c r="G290" s="18"/>
      <c r="H290" s="15"/>
      <c r="I290" s="18"/>
      <c r="J290" s="22"/>
      <c r="K290" s="108"/>
      <c r="L290" s="66"/>
      <c r="M290" s="66"/>
      <c r="N290" s="66"/>
      <c r="O290" s="66"/>
      <c r="P290" s="66"/>
      <c r="Q290" s="66"/>
      <c r="R290" s="66"/>
      <c r="S290" s="66"/>
      <c r="T290" s="66"/>
      <c r="U290" s="66"/>
      <c r="V290" s="66"/>
      <c r="W290" s="66"/>
      <c r="X290" s="66"/>
      <c r="Y290" s="66"/>
      <c r="Z290" s="66"/>
      <c r="AA290" s="66"/>
      <c r="AB290" s="66"/>
      <c r="AC290" s="66"/>
    </row>
    <row r="291">
      <c r="A291" s="66"/>
      <c r="B291" s="66"/>
      <c r="C291" s="66"/>
      <c r="D291" s="66"/>
      <c r="E291" s="15"/>
      <c r="F291" s="66"/>
      <c r="G291" s="18"/>
      <c r="H291" s="15"/>
      <c r="I291" s="18"/>
      <c r="J291" s="22"/>
      <c r="K291" s="108"/>
      <c r="L291" s="66"/>
      <c r="M291" s="66"/>
      <c r="N291" s="66"/>
      <c r="O291" s="66"/>
      <c r="P291" s="66"/>
      <c r="Q291" s="66"/>
      <c r="R291" s="66"/>
      <c r="S291" s="66"/>
      <c r="T291" s="66"/>
      <c r="U291" s="66"/>
      <c r="V291" s="66"/>
      <c r="W291" s="66"/>
      <c r="X291" s="66"/>
      <c r="Y291" s="66"/>
      <c r="Z291" s="66"/>
      <c r="AA291" s="66"/>
      <c r="AB291" s="66"/>
      <c r="AC291" s="66"/>
    </row>
    <row r="292">
      <c r="A292" s="66"/>
      <c r="B292" s="66"/>
      <c r="C292" s="66"/>
      <c r="D292" s="66"/>
      <c r="E292" s="15"/>
      <c r="F292" s="66"/>
      <c r="G292" s="18"/>
      <c r="H292" s="15"/>
      <c r="I292" s="18"/>
      <c r="J292" s="22"/>
      <c r="K292" s="108"/>
      <c r="L292" s="66"/>
      <c r="M292" s="66"/>
      <c r="N292" s="66"/>
      <c r="O292" s="66"/>
      <c r="P292" s="66"/>
      <c r="Q292" s="66"/>
      <c r="R292" s="66"/>
      <c r="S292" s="66"/>
      <c r="T292" s="66"/>
      <c r="U292" s="66"/>
      <c r="V292" s="66"/>
      <c r="W292" s="66"/>
      <c r="X292" s="66"/>
      <c r="Y292" s="66"/>
      <c r="Z292" s="66"/>
      <c r="AA292" s="66"/>
      <c r="AB292" s="66"/>
      <c r="AC292" s="66"/>
    </row>
    <row r="293">
      <c r="A293" s="66"/>
      <c r="B293" s="66"/>
      <c r="C293" s="66"/>
      <c r="D293" s="66"/>
      <c r="E293" s="15"/>
      <c r="F293" s="66"/>
      <c r="G293" s="18"/>
      <c r="H293" s="15"/>
      <c r="I293" s="18"/>
      <c r="J293" s="22"/>
      <c r="K293" s="108"/>
      <c r="L293" s="66"/>
      <c r="M293" s="66"/>
      <c r="N293" s="66"/>
      <c r="O293" s="66"/>
      <c r="P293" s="66"/>
      <c r="Q293" s="66"/>
      <c r="R293" s="66"/>
      <c r="S293" s="66"/>
      <c r="T293" s="66"/>
      <c r="U293" s="66"/>
      <c r="V293" s="66"/>
      <c r="W293" s="66"/>
      <c r="X293" s="66"/>
      <c r="Y293" s="66"/>
      <c r="Z293" s="66"/>
      <c r="AA293" s="66"/>
      <c r="AB293" s="66"/>
      <c r="AC293" s="66"/>
    </row>
    <row r="294">
      <c r="A294" s="66"/>
      <c r="B294" s="66"/>
      <c r="C294" s="66"/>
      <c r="D294" s="66"/>
      <c r="E294" s="15"/>
      <c r="F294" s="66"/>
      <c r="G294" s="18"/>
      <c r="H294" s="15"/>
      <c r="I294" s="18"/>
      <c r="J294" s="22"/>
      <c r="K294" s="108"/>
      <c r="L294" s="66"/>
      <c r="M294" s="66"/>
      <c r="N294" s="66"/>
      <c r="O294" s="66"/>
      <c r="P294" s="66"/>
      <c r="Q294" s="66"/>
      <c r="R294" s="66"/>
      <c r="S294" s="66"/>
      <c r="T294" s="66"/>
      <c r="U294" s="66"/>
      <c r="V294" s="66"/>
      <c r="W294" s="66"/>
      <c r="X294" s="66"/>
      <c r="Y294" s="66"/>
      <c r="Z294" s="66"/>
      <c r="AA294" s="66"/>
      <c r="AB294" s="66"/>
      <c r="AC294" s="66"/>
    </row>
    <row r="295">
      <c r="A295" s="66"/>
      <c r="B295" s="66"/>
      <c r="C295" s="66"/>
      <c r="D295" s="66"/>
      <c r="E295" s="15"/>
      <c r="F295" s="66"/>
      <c r="G295" s="18"/>
      <c r="H295" s="15"/>
      <c r="I295" s="18"/>
      <c r="J295" s="22"/>
      <c r="K295" s="108"/>
      <c r="L295" s="66"/>
      <c r="M295" s="66"/>
      <c r="N295" s="66"/>
      <c r="O295" s="66"/>
      <c r="P295" s="66"/>
      <c r="Q295" s="66"/>
      <c r="R295" s="66"/>
      <c r="S295" s="66"/>
      <c r="T295" s="66"/>
      <c r="U295" s="66"/>
      <c r="V295" s="66"/>
      <c r="W295" s="66"/>
      <c r="X295" s="66"/>
      <c r="Y295" s="66"/>
      <c r="Z295" s="66"/>
      <c r="AA295" s="66"/>
      <c r="AB295" s="66"/>
      <c r="AC295" s="66"/>
    </row>
    <row r="296">
      <c r="A296" s="66"/>
      <c r="B296" s="66"/>
      <c r="C296" s="66"/>
      <c r="D296" s="66"/>
      <c r="E296" s="15"/>
      <c r="F296" s="66"/>
      <c r="G296" s="18"/>
      <c r="H296" s="15"/>
      <c r="I296" s="18"/>
      <c r="J296" s="22"/>
      <c r="K296" s="108"/>
      <c r="L296" s="66"/>
      <c r="M296" s="66"/>
      <c r="N296" s="66"/>
      <c r="O296" s="66"/>
      <c r="P296" s="66"/>
      <c r="Q296" s="66"/>
      <c r="R296" s="66"/>
      <c r="S296" s="66"/>
      <c r="T296" s="66"/>
      <c r="U296" s="66"/>
      <c r="V296" s="66"/>
      <c r="W296" s="66"/>
      <c r="X296" s="66"/>
      <c r="Y296" s="66"/>
      <c r="Z296" s="66"/>
      <c r="AA296" s="66"/>
      <c r="AB296" s="66"/>
      <c r="AC296" s="66"/>
    </row>
    <row r="297">
      <c r="A297" s="66"/>
      <c r="B297" s="66"/>
      <c r="C297" s="66"/>
      <c r="D297" s="66"/>
      <c r="E297" s="15"/>
      <c r="F297" s="66"/>
      <c r="G297" s="18"/>
      <c r="H297" s="15"/>
      <c r="I297" s="18"/>
      <c r="J297" s="22"/>
      <c r="K297" s="108"/>
      <c r="L297" s="66"/>
      <c r="M297" s="66"/>
      <c r="N297" s="66"/>
      <c r="O297" s="66"/>
      <c r="P297" s="66"/>
      <c r="Q297" s="66"/>
      <c r="R297" s="66"/>
      <c r="S297" s="66"/>
      <c r="T297" s="66"/>
      <c r="U297" s="66"/>
      <c r="V297" s="66"/>
      <c r="W297" s="66"/>
      <c r="X297" s="66"/>
      <c r="Y297" s="66"/>
      <c r="Z297" s="66"/>
      <c r="AA297" s="66"/>
      <c r="AB297" s="66"/>
      <c r="AC297" s="66"/>
    </row>
    <row r="298">
      <c r="A298" s="66"/>
      <c r="B298" s="66"/>
      <c r="C298" s="66"/>
      <c r="D298" s="66"/>
      <c r="E298" s="15"/>
      <c r="F298" s="66"/>
      <c r="G298" s="18"/>
      <c r="H298" s="15"/>
      <c r="I298" s="18"/>
      <c r="J298" s="22"/>
      <c r="K298" s="108"/>
      <c r="L298" s="66"/>
      <c r="M298" s="66"/>
      <c r="N298" s="66"/>
      <c r="O298" s="66"/>
      <c r="P298" s="66"/>
      <c r="Q298" s="66"/>
      <c r="R298" s="66"/>
      <c r="S298" s="66"/>
      <c r="T298" s="66"/>
      <c r="U298" s="66"/>
      <c r="V298" s="66"/>
      <c r="W298" s="66"/>
      <c r="X298" s="66"/>
      <c r="Y298" s="66"/>
      <c r="Z298" s="66"/>
      <c r="AA298" s="66"/>
      <c r="AB298" s="66"/>
      <c r="AC298" s="66"/>
    </row>
    <row r="299">
      <c r="A299" s="66"/>
      <c r="B299" s="66"/>
      <c r="C299" s="66"/>
      <c r="D299" s="66"/>
      <c r="E299" s="15"/>
      <c r="F299" s="66"/>
      <c r="G299" s="18"/>
      <c r="H299" s="15"/>
      <c r="I299" s="18"/>
      <c r="J299" s="22"/>
      <c r="K299" s="108"/>
      <c r="L299" s="66"/>
      <c r="M299" s="66"/>
      <c r="N299" s="66"/>
      <c r="O299" s="66"/>
      <c r="P299" s="66"/>
      <c r="Q299" s="66"/>
      <c r="R299" s="66"/>
      <c r="S299" s="66"/>
      <c r="T299" s="66"/>
      <c r="U299" s="66"/>
      <c r="V299" s="66"/>
      <c r="W299" s="66"/>
      <c r="X299" s="66"/>
      <c r="Y299" s="66"/>
      <c r="Z299" s="66"/>
      <c r="AA299" s="66"/>
      <c r="AB299" s="66"/>
      <c r="AC299" s="66"/>
    </row>
    <row r="300">
      <c r="A300" s="66"/>
      <c r="B300" s="66"/>
      <c r="C300" s="66"/>
      <c r="D300" s="66"/>
      <c r="E300" s="15"/>
      <c r="F300" s="66"/>
      <c r="G300" s="18"/>
      <c r="H300" s="15"/>
      <c r="I300" s="18"/>
      <c r="J300" s="22"/>
      <c r="K300" s="108"/>
      <c r="L300" s="66"/>
      <c r="M300" s="66"/>
      <c r="N300" s="66"/>
      <c r="O300" s="66"/>
      <c r="P300" s="66"/>
      <c r="Q300" s="66"/>
      <c r="R300" s="66"/>
      <c r="S300" s="66"/>
      <c r="T300" s="66"/>
      <c r="U300" s="66"/>
      <c r="V300" s="66"/>
      <c r="W300" s="66"/>
      <c r="X300" s="66"/>
      <c r="Y300" s="66"/>
      <c r="Z300" s="66"/>
      <c r="AA300" s="66"/>
      <c r="AB300" s="66"/>
      <c r="AC300" s="66"/>
    </row>
    <row r="301">
      <c r="A301" s="66"/>
      <c r="B301" s="66"/>
      <c r="C301" s="66"/>
      <c r="D301" s="66"/>
      <c r="E301" s="15"/>
      <c r="F301" s="66"/>
      <c r="G301" s="18"/>
      <c r="H301" s="15"/>
      <c r="I301" s="18"/>
      <c r="J301" s="22"/>
      <c r="K301" s="108"/>
      <c r="L301" s="66"/>
      <c r="M301" s="66"/>
      <c r="N301" s="66"/>
      <c r="O301" s="66"/>
      <c r="P301" s="66"/>
      <c r="Q301" s="66"/>
      <c r="R301" s="66"/>
      <c r="S301" s="66"/>
      <c r="T301" s="66"/>
      <c r="U301" s="66"/>
      <c r="V301" s="66"/>
      <c r="W301" s="66"/>
      <c r="X301" s="66"/>
      <c r="Y301" s="66"/>
      <c r="Z301" s="66"/>
      <c r="AA301" s="66"/>
      <c r="AB301" s="66"/>
      <c r="AC301" s="66"/>
    </row>
    <row r="302">
      <c r="A302" s="66"/>
      <c r="B302" s="66"/>
      <c r="C302" s="66"/>
      <c r="D302" s="66"/>
      <c r="E302" s="15"/>
      <c r="F302" s="66"/>
      <c r="G302" s="18"/>
      <c r="H302" s="15"/>
      <c r="I302" s="18"/>
      <c r="J302" s="22"/>
      <c r="K302" s="108"/>
      <c r="L302" s="66"/>
      <c r="M302" s="66"/>
      <c r="N302" s="66"/>
      <c r="O302" s="66"/>
      <c r="P302" s="66"/>
      <c r="Q302" s="66"/>
      <c r="R302" s="66"/>
      <c r="S302" s="66"/>
      <c r="T302" s="66"/>
      <c r="U302" s="66"/>
      <c r="V302" s="66"/>
      <c r="W302" s="66"/>
      <c r="X302" s="66"/>
      <c r="Y302" s="66"/>
      <c r="Z302" s="66"/>
      <c r="AA302" s="66"/>
      <c r="AB302" s="66"/>
      <c r="AC302" s="66"/>
    </row>
    <row r="303">
      <c r="A303" s="66"/>
      <c r="B303" s="66"/>
      <c r="C303" s="66"/>
      <c r="D303" s="66"/>
      <c r="E303" s="15"/>
      <c r="F303" s="66"/>
      <c r="G303" s="18"/>
      <c r="H303" s="15"/>
      <c r="I303" s="18"/>
      <c r="J303" s="22"/>
      <c r="K303" s="108"/>
      <c r="L303" s="66"/>
      <c r="M303" s="66"/>
      <c r="N303" s="66"/>
      <c r="O303" s="66"/>
      <c r="P303" s="66"/>
      <c r="Q303" s="66"/>
      <c r="R303" s="66"/>
      <c r="S303" s="66"/>
      <c r="T303" s="66"/>
      <c r="U303" s="66"/>
      <c r="V303" s="66"/>
      <c r="W303" s="66"/>
      <c r="X303" s="66"/>
      <c r="Y303" s="66"/>
      <c r="Z303" s="66"/>
      <c r="AA303" s="66"/>
      <c r="AB303" s="66"/>
      <c r="AC303" s="66"/>
    </row>
    <row r="304">
      <c r="A304" s="66"/>
      <c r="B304" s="66"/>
      <c r="C304" s="66"/>
      <c r="D304" s="66"/>
      <c r="E304" s="15"/>
      <c r="F304" s="66"/>
      <c r="G304" s="18"/>
      <c r="H304" s="15"/>
      <c r="I304" s="18"/>
      <c r="J304" s="22"/>
      <c r="K304" s="108"/>
      <c r="L304" s="66"/>
      <c r="M304" s="66"/>
      <c r="N304" s="66"/>
      <c r="O304" s="66"/>
      <c r="P304" s="66"/>
      <c r="Q304" s="66"/>
      <c r="R304" s="66"/>
      <c r="S304" s="66"/>
      <c r="T304" s="66"/>
      <c r="U304" s="66"/>
      <c r="V304" s="66"/>
      <c r="W304" s="66"/>
      <c r="X304" s="66"/>
      <c r="Y304" s="66"/>
      <c r="Z304" s="66"/>
      <c r="AA304" s="66"/>
      <c r="AB304" s="66"/>
      <c r="AC304" s="66"/>
    </row>
    <row r="305">
      <c r="A305" s="66"/>
      <c r="B305" s="66"/>
      <c r="C305" s="66"/>
      <c r="D305" s="66"/>
      <c r="E305" s="15"/>
      <c r="F305" s="66"/>
      <c r="G305" s="18"/>
      <c r="H305" s="15"/>
      <c r="I305" s="18"/>
      <c r="J305" s="22"/>
      <c r="K305" s="108"/>
      <c r="L305" s="66"/>
      <c r="M305" s="66"/>
      <c r="N305" s="66"/>
      <c r="O305" s="66"/>
      <c r="P305" s="66"/>
      <c r="Q305" s="66"/>
      <c r="R305" s="66"/>
      <c r="S305" s="66"/>
      <c r="T305" s="66"/>
      <c r="U305" s="66"/>
      <c r="V305" s="66"/>
      <c r="W305" s="66"/>
      <c r="X305" s="66"/>
      <c r="Y305" s="66"/>
      <c r="Z305" s="66"/>
      <c r="AA305" s="66"/>
      <c r="AB305" s="66"/>
      <c r="AC305" s="66"/>
    </row>
    <row r="306">
      <c r="A306" s="66"/>
      <c r="B306" s="66"/>
      <c r="C306" s="66"/>
      <c r="D306" s="66"/>
      <c r="E306" s="15"/>
      <c r="F306" s="66"/>
      <c r="G306" s="18"/>
      <c r="H306" s="15"/>
      <c r="I306" s="18"/>
      <c r="J306" s="22"/>
      <c r="K306" s="108"/>
      <c r="L306" s="66"/>
      <c r="M306" s="66"/>
      <c r="N306" s="66"/>
      <c r="O306" s="66"/>
      <c r="P306" s="66"/>
      <c r="Q306" s="66"/>
      <c r="R306" s="66"/>
      <c r="S306" s="66"/>
      <c r="T306" s="66"/>
      <c r="U306" s="66"/>
      <c r="V306" s="66"/>
      <c r="W306" s="66"/>
      <c r="X306" s="66"/>
      <c r="Y306" s="66"/>
      <c r="Z306" s="66"/>
      <c r="AA306" s="66"/>
      <c r="AB306" s="66"/>
      <c r="AC306" s="66"/>
    </row>
    <row r="307">
      <c r="A307" s="66"/>
      <c r="B307" s="66"/>
      <c r="C307" s="66"/>
      <c r="D307" s="66"/>
      <c r="E307" s="15"/>
      <c r="F307" s="66"/>
      <c r="G307" s="18"/>
      <c r="H307" s="15"/>
      <c r="I307" s="18"/>
      <c r="J307" s="22"/>
      <c r="K307" s="108"/>
      <c r="L307" s="66"/>
      <c r="M307" s="66"/>
      <c r="N307" s="66"/>
      <c r="O307" s="66"/>
      <c r="P307" s="66"/>
      <c r="Q307" s="66"/>
      <c r="R307" s="66"/>
      <c r="S307" s="66"/>
      <c r="T307" s="66"/>
      <c r="U307" s="66"/>
      <c r="V307" s="66"/>
      <c r="W307" s="66"/>
      <c r="X307" s="66"/>
      <c r="Y307" s="66"/>
      <c r="Z307" s="66"/>
      <c r="AA307" s="66"/>
      <c r="AB307" s="66"/>
      <c r="AC307" s="66"/>
    </row>
    <row r="308">
      <c r="A308" s="66"/>
      <c r="B308" s="66"/>
      <c r="C308" s="66"/>
      <c r="D308" s="66"/>
      <c r="E308" s="15"/>
      <c r="F308" s="66"/>
      <c r="G308" s="18"/>
      <c r="H308" s="15"/>
      <c r="I308" s="18"/>
      <c r="J308" s="22"/>
      <c r="K308" s="108"/>
      <c r="L308" s="66"/>
      <c r="M308" s="66"/>
      <c r="N308" s="66"/>
      <c r="O308" s="66"/>
      <c r="P308" s="66"/>
      <c r="Q308" s="66"/>
      <c r="R308" s="66"/>
      <c r="S308" s="66"/>
      <c r="T308" s="66"/>
      <c r="U308" s="66"/>
      <c r="V308" s="66"/>
      <c r="W308" s="66"/>
      <c r="X308" s="66"/>
      <c r="Y308" s="66"/>
      <c r="Z308" s="66"/>
      <c r="AA308" s="66"/>
      <c r="AB308" s="66"/>
      <c r="AC308" s="66"/>
    </row>
    <row r="309">
      <c r="A309" s="66"/>
      <c r="B309" s="66"/>
      <c r="C309" s="66"/>
      <c r="D309" s="66"/>
      <c r="E309" s="15"/>
      <c r="F309" s="66"/>
      <c r="G309" s="18"/>
      <c r="H309" s="15"/>
      <c r="I309" s="18"/>
      <c r="J309" s="22"/>
      <c r="K309" s="108"/>
      <c r="L309" s="66"/>
      <c r="M309" s="66"/>
      <c r="N309" s="66"/>
      <c r="O309" s="66"/>
      <c r="P309" s="66"/>
      <c r="Q309" s="66"/>
      <c r="R309" s="66"/>
      <c r="S309" s="66"/>
      <c r="T309" s="66"/>
      <c r="U309" s="66"/>
      <c r="V309" s="66"/>
      <c r="W309" s="66"/>
      <c r="X309" s="66"/>
      <c r="Y309" s="66"/>
      <c r="Z309" s="66"/>
      <c r="AA309" s="66"/>
      <c r="AB309" s="66"/>
      <c r="AC309" s="66"/>
    </row>
    <row r="310">
      <c r="A310" s="66"/>
      <c r="B310" s="66"/>
      <c r="C310" s="66"/>
      <c r="D310" s="66"/>
      <c r="E310" s="15"/>
      <c r="F310" s="66"/>
      <c r="G310" s="18"/>
      <c r="H310" s="15"/>
      <c r="I310" s="18"/>
      <c r="J310" s="22"/>
      <c r="K310" s="108"/>
      <c r="L310" s="66"/>
      <c r="M310" s="66"/>
      <c r="N310" s="66"/>
      <c r="O310" s="66"/>
      <c r="P310" s="66"/>
      <c r="Q310" s="66"/>
      <c r="R310" s="66"/>
      <c r="S310" s="66"/>
      <c r="T310" s="66"/>
      <c r="U310" s="66"/>
      <c r="V310" s="66"/>
      <c r="W310" s="66"/>
      <c r="X310" s="66"/>
      <c r="Y310" s="66"/>
      <c r="Z310" s="66"/>
      <c r="AA310" s="66"/>
      <c r="AB310" s="66"/>
      <c r="AC310" s="66"/>
    </row>
    <row r="311">
      <c r="A311" s="66"/>
      <c r="B311" s="66"/>
      <c r="C311" s="66"/>
      <c r="D311" s="66"/>
      <c r="E311" s="15"/>
      <c r="F311" s="66"/>
      <c r="G311" s="18"/>
      <c r="H311" s="15"/>
      <c r="I311" s="18"/>
      <c r="J311" s="22"/>
      <c r="K311" s="108"/>
      <c r="L311" s="66"/>
      <c r="M311" s="66"/>
      <c r="N311" s="66"/>
      <c r="O311" s="66"/>
      <c r="P311" s="66"/>
      <c r="Q311" s="66"/>
      <c r="R311" s="66"/>
      <c r="S311" s="66"/>
      <c r="T311" s="66"/>
      <c r="U311" s="66"/>
      <c r="V311" s="66"/>
      <c r="W311" s="66"/>
      <c r="X311" s="66"/>
      <c r="Y311" s="66"/>
      <c r="Z311" s="66"/>
      <c r="AA311" s="66"/>
      <c r="AB311" s="66"/>
      <c r="AC311" s="66"/>
    </row>
    <row r="312">
      <c r="A312" s="66"/>
      <c r="B312" s="66"/>
      <c r="C312" s="66"/>
      <c r="D312" s="66"/>
      <c r="E312" s="15"/>
      <c r="F312" s="66"/>
      <c r="G312" s="18"/>
      <c r="H312" s="15"/>
      <c r="I312" s="18"/>
      <c r="J312" s="22"/>
      <c r="K312" s="108"/>
      <c r="L312" s="66"/>
      <c r="M312" s="66"/>
      <c r="N312" s="66"/>
      <c r="O312" s="66"/>
      <c r="P312" s="66"/>
      <c r="Q312" s="66"/>
      <c r="R312" s="66"/>
      <c r="S312" s="66"/>
      <c r="T312" s="66"/>
      <c r="U312" s="66"/>
      <c r="V312" s="66"/>
      <c r="W312" s="66"/>
      <c r="X312" s="66"/>
      <c r="Y312" s="66"/>
      <c r="Z312" s="66"/>
      <c r="AA312" s="66"/>
      <c r="AB312" s="66"/>
      <c r="AC312" s="66"/>
    </row>
    <row r="313">
      <c r="A313" s="66"/>
      <c r="B313" s="66"/>
      <c r="C313" s="66"/>
      <c r="D313" s="66"/>
      <c r="E313" s="15"/>
      <c r="F313" s="66"/>
      <c r="G313" s="18"/>
      <c r="H313" s="15"/>
      <c r="I313" s="18"/>
      <c r="J313" s="22"/>
      <c r="K313" s="108"/>
      <c r="L313" s="66"/>
      <c r="M313" s="66"/>
      <c r="N313" s="66"/>
      <c r="O313" s="66"/>
      <c r="P313" s="66"/>
      <c r="Q313" s="66"/>
      <c r="R313" s="66"/>
      <c r="S313" s="66"/>
      <c r="T313" s="66"/>
      <c r="U313" s="66"/>
      <c r="V313" s="66"/>
      <c r="W313" s="66"/>
      <c r="X313" s="66"/>
      <c r="Y313" s="66"/>
      <c r="Z313" s="66"/>
      <c r="AA313" s="66"/>
      <c r="AB313" s="66"/>
      <c r="AC313" s="66"/>
    </row>
    <row r="314">
      <c r="A314" s="66"/>
      <c r="B314" s="66"/>
      <c r="C314" s="66"/>
      <c r="D314" s="66"/>
      <c r="E314" s="15"/>
      <c r="F314" s="66"/>
      <c r="G314" s="18"/>
      <c r="H314" s="15"/>
      <c r="I314" s="18"/>
      <c r="J314" s="22"/>
      <c r="K314" s="108"/>
      <c r="L314" s="66"/>
      <c r="M314" s="66"/>
      <c r="N314" s="66"/>
      <c r="O314" s="66"/>
      <c r="P314" s="66"/>
      <c r="Q314" s="66"/>
      <c r="R314" s="66"/>
      <c r="S314" s="66"/>
      <c r="T314" s="66"/>
      <c r="U314" s="66"/>
      <c r="V314" s="66"/>
      <c r="W314" s="66"/>
      <c r="X314" s="66"/>
      <c r="Y314" s="66"/>
      <c r="Z314" s="66"/>
      <c r="AA314" s="66"/>
      <c r="AB314" s="66"/>
      <c r="AC314" s="66"/>
    </row>
    <row r="315">
      <c r="A315" s="66"/>
      <c r="B315" s="66"/>
      <c r="C315" s="66"/>
      <c r="D315" s="66"/>
      <c r="E315" s="15"/>
      <c r="F315" s="66"/>
      <c r="G315" s="18"/>
      <c r="H315" s="15"/>
      <c r="I315" s="18"/>
      <c r="J315" s="22"/>
      <c r="K315" s="108"/>
      <c r="L315" s="66"/>
      <c r="M315" s="66"/>
      <c r="N315" s="66"/>
      <c r="O315" s="66"/>
      <c r="P315" s="66"/>
      <c r="Q315" s="66"/>
      <c r="R315" s="66"/>
      <c r="S315" s="66"/>
      <c r="T315" s="66"/>
      <c r="U315" s="66"/>
      <c r="V315" s="66"/>
      <c r="W315" s="66"/>
      <c r="X315" s="66"/>
      <c r="Y315" s="66"/>
      <c r="Z315" s="66"/>
      <c r="AA315" s="66"/>
      <c r="AB315" s="66"/>
      <c r="AC315" s="66"/>
    </row>
    <row r="316">
      <c r="A316" s="66"/>
      <c r="B316" s="66"/>
      <c r="C316" s="66"/>
      <c r="D316" s="66"/>
      <c r="E316" s="15"/>
      <c r="F316" s="66"/>
      <c r="G316" s="18"/>
      <c r="H316" s="15"/>
      <c r="I316" s="18"/>
      <c r="J316" s="22"/>
      <c r="K316" s="108"/>
      <c r="L316" s="66"/>
      <c r="M316" s="66"/>
      <c r="N316" s="66"/>
      <c r="O316" s="66"/>
      <c r="P316" s="66"/>
      <c r="Q316" s="66"/>
      <c r="R316" s="66"/>
      <c r="S316" s="66"/>
      <c r="T316" s="66"/>
      <c r="U316" s="66"/>
      <c r="V316" s="66"/>
      <c r="W316" s="66"/>
      <c r="X316" s="66"/>
      <c r="Y316" s="66"/>
      <c r="Z316" s="66"/>
      <c r="AA316" s="66"/>
      <c r="AB316" s="66"/>
      <c r="AC316" s="66"/>
    </row>
    <row r="317">
      <c r="A317" s="66"/>
      <c r="B317" s="66"/>
      <c r="C317" s="66"/>
      <c r="D317" s="66"/>
      <c r="E317" s="15"/>
      <c r="F317" s="66"/>
      <c r="G317" s="18"/>
      <c r="H317" s="15"/>
      <c r="I317" s="18"/>
      <c r="J317" s="22"/>
      <c r="K317" s="108"/>
      <c r="L317" s="66"/>
      <c r="M317" s="66"/>
      <c r="N317" s="66"/>
      <c r="O317" s="66"/>
      <c r="P317" s="66"/>
      <c r="Q317" s="66"/>
      <c r="R317" s="66"/>
      <c r="S317" s="66"/>
      <c r="T317" s="66"/>
      <c r="U317" s="66"/>
      <c r="V317" s="66"/>
      <c r="W317" s="66"/>
      <c r="X317" s="66"/>
      <c r="Y317" s="66"/>
      <c r="Z317" s="66"/>
      <c r="AA317" s="66"/>
      <c r="AB317" s="66"/>
      <c r="AC317" s="66"/>
    </row>
    <row r="318">
      <c r="A318" s="66"/>
      <c r="B318" s="66"/>
      <c r="C318" s="66"/>
      <c r="D318" s="66"/>
      <c r="E318" s="15"/>
      <c r="F318" s="66"/>
      <c r="G318" s="18"/>
      <c r="H318" s="15"/>
      <c r="I318" s="18"/>
      <c r="J318" s="22"/>
      <c r="K318" s="108"/>
      <c r="L318" s="66"/>
      <c r="M318" s="66"/>
      <c r="N318" s="66"/>
      <c r="O318" s="66"/>
      <c r="P318" s="66"/>
      <c r="Q318" s="66"/>
      <c r="R318" s="66"/>
      <c r="S318" s="66"/>
      <c r="T318" s="66"/>
      <c r="U318" s="66"/>
      <c r="V318" s="66"/>
      <c r="W318" s="66"/>
      <c r="X318" s="66"/>
      <c r="Y318" s="66"/>
      <c r="Z318" s="66"/>
      <c r="AA318" s="66"/>
      <c r="AB318" s="66"/>
      <c r="AC318" s="66"/>
    </row>
    <row r="319">
      <c r="A319" s="66"/>
      <c r="B319" s="66"/>
      <c r="C319" s="66"/>
      <c r="D319" s="66"/>
      <c r="E319" s="15"/>
      <c r="F319" s="66"/>
      <c r="G319" s="18"/>
      <c r="H319" s="15"/>
      <c r="I319" s="18"/>
      <c r="J319" s="22"/>
      <c r="K319" s="108"/>
      <c r="L319" s="66"/>
      <c r="M319" s="66"/>
      <c r="N319" s="66"/>
      <c r="O319" s="66"/>
      <c r="P319" s="66"/>
      <c r="Q319" s="66"/>
      <c r="R319" s="66"/>
      <c r="S319" s="66"/>
      <c r="T319" s="66"/>
      <c r="U319" s="66"/>
      <c r="V319" s="66"/>
      <c r="W319" s="66"/>
      <c r="X319" s="66"/>
      <c r="Y319" s="66"/>
      <c r="Z319" s="66"/>
      <c r="AA319" s="66"/>
      <c r="AB319" s="66"/>
      <c r="AC319" s="66"/>
    </row>
    <row r="320">
      <c r="A320" s="66"/>
      <c r="B320" s="66"/>
      <c r="C320" s="66"/>
      <c r="D320" s="66"/>
      <c r="E320" s="15"/>
      <c r="F320" s="66"/>
      <c r="G320" s="18"/>
      <c r="H320" s="15"/>
      <c r="I320" s="18"/>
      <c r="J320" s="22"/>
      <c r="K320" s="108"/>
      <c r="L320" s="66"/>
      <c r="M320" s="66"/>
      <c r="N320" s="66"/>
      <c r="O320" s="66"/>
      <c r="P320" s="66"/>
      <c r="Q320" s="66"/>
      <c r="R320" s="66"/>
      <c r="S320" s="66"/>
      <c r="T320" s="66"/>
      <c r="U320" s="66"/>
      <c r="V320" s="66"/>
      <c r="W320" s="66"/>
      <c r="X320" s="66"/>
      <c r="Y320" s="66"/>
      <c r="Z320" s="66"/>
      <c r="AA320" s="66"/>
      <c r="AB320" s="66"/>
      <c r="AC320" s="66"/>
    </row>
    <row r="321">
      <c r="A321" s="66"/>
      <c r="B321" s="66"/>
      <c r="C321" s="66"/>
      <c r="D321" s="66"/>
      <c r="E321" s="15"/>
      <c r="F321" s="66"/>
      <c r="G321" s="18"/>
      <c r="H321" s="15"/>
      <c r="I321" s="18"/>
      <c r="J321" s="22"/>
      <c r="K321" s="108"/>
      <c r="L321" s="66"/>
      <c r="M321" s="66"/>
      <c r="N321" s="66"/>
      <c r="O321" s="66"/>
      <c r="P321" s="66"/>
      <c r="Q321" s="66"/>
      <c r="R321" s="66"/>
      <c r="S321" s="66"/>
      <c r="T321" s="66"/>
      <c r="U321" s="66"/>
      <c r="V321" s="66"/>
      <c r="W321" s="66"/>
      <c r="X321" s="66"/>
      <c r="Y321" s="66"/>
      <c r="Z321" s="66"/>
      <c r="AA321" s="66"/>
      <c r="AB321" s="66"/>
      <c r="AC321" s="66"/>
    </row>
    <row r="322">
      <c r="A322" s="66"/>
      <c r="B322" s="66"/>
      <c r="C322" s="66"/>
      <c r="D322" s="66"/>
      <c r="E322" s="15"/>
      <c r="F322" s="66"/>
      <c r="G322" s="18"/>
      <c r="H322" s="15"/>
      <c r="I322" s="18"/>
      <c r="J322" s="22"/>
      <c r="K322" s="108"/>
      <c r="L322" s="66"/>
      <c r="M322" s="66"/>
      <c r="N322" s="66"/>
      <c r="O322" s="66"/>
      <c r="P322" s="66"/>
      <c r="Q322" s="66"/>
      <c r="R322" s="66"/>
      <c r="S322" s="66"/>
      <c r="T322" s="66"/>
      <c r="U322" s="66"/>
      <c r="V322" s="66"/>
      <c r="W322" s="66"/>
      <c r="X322" s="66"/>
      <c r="Y322" s="66"/>
      <c r="Z322" s="66"/>
      <c r="AA322" s="66"/>
      <c r="AB322" s="66"/>
      <c r="AC322" s="66"/>
    </row>
    <row r="323">
      <c r="A323" s="66"/>
      <c r="B323" s="66"/>
      <c r="C323" s="66"/>
      <c r="D323" s="66"/>
      <c r="E323" s="15"/>
      <c r="F323" s="66"/>
      <c r="G323" s="18"/>
      <c r="H323" s="15"/>
      <c r="I323" s="18"/>
      <c r="J323" s="22"/>
      <c r="K323" s="108"/>
      <c r="L323" s="66"/>
      <c r="M323" s="66"/>
      <c r="N323" s="66"/>
      <c r="O323" s="66"/>
      <c r="P323" s="66"/>
      <c r="Q323" s="66"/>
      <c r="R323" s="66"/>
      <c r="S323" s="66"/>
      <c r="T323" s="66"/>
      <c r="U323" s="66"/>
      <c r="V323" s="66"/>
      <c r="W323" s="66"/>
      <c r="X323" s="66"/>
      <c r="Y323" s="66"/>
      <c r="Z323" s="66"/>
      <c r="AA323" s="66"/>
      <c r="AB323" s="66"/>
      <c r="AC323" s="66"/>
    </row>
    <row r="324">
      <c r="A324" s="66"/>
      <c r="B324" s="66"/>
      <c r="C324" s="66"/>
      <c r="D324" s="66"/>
      <c r="E324" s="15"/>
      <c r="F324" s="66"/>
      <c r="G324" s="18"/>
      <c r="H324" s="15"/>
      <c r="I324" s="18"/>
      <c r="J324" s="22"/>
      <c r="K324" s="108"/>
      <c r="L324" s="66"/>
      <c r="M324" s="66"/>
      <c r="N324" s="66"/>
      <c r="O324" s="66"/>
      <c r="P324" s="66"/>
      <c r="Q324" s="66"/>
      <c r="R324" s="66"/>
      <c r="S324" s="66"/>
      <c r="T324" s="66"/>
      <c r="U324" s="66"/>
      <c r="V324" s="66"/>
      <c r="W324" s="66"/>
      <c r="X324" s="66"/>
      <c r="Y324" s="66"/>
      <c r="Z324" s="66"/>
      <c r="AA324" s="66"/>
      <c r="AB324" s="66"/>
      <c r="AC324" s="66"/>
    </row>
    <row r="325">
      <c r="A325" s="66"/>
      <c r="B325" s="66"/>
      <c r="C325" s="66"/>
      <c r="D325" s="66"/>
      <c r="E325" s="15"/>
      <c r="F325" s="66"/>
      <c r="G325" s="18"/>
      <c r="H325" s="15"/>
      <c r="I325" s="18"/>
      <c r="J325" s="22"/>
      <c r="K325" s="108"/>
      <c r="L325" s="66"/>
      <c r="M325" s="66"/>
      <c r="N325" s="66"/>
      <c r="O325" s="66"/>
      <c r="P325" s="66"/>
      <c r="Q325" s="66"/>
      <c r="R325" s="66"/>
      <c r="S325" s="66"/>
      <c r="T325" s="66"/>
      <c r="U325" s="66"/>
      <c r="V325" s="66"/>
      <c r="W325" s="66"/>
      <c r="X325" s="66"/>
      <c r="Y325" s="66"/>
      <c r="Z325" s="66"/>
      <c r="AA325" s="66"/>
      <c r="AB325" s="66"/>
      <c r="AC325" s="66"/>
    </row>
    <row r="326">
      <c r="A326" s="66"/>
      <c r="B326" s="66"/>
      <c r="C326" s="66"/>
      <c r="D326" s="66"/>
      <c r="E326" s="15"/>
      <c r="F326" s="66"/>
      <c r="G326" s="18"/>
      <c r="H326" s="15"/>
      <c r="I326" s="18"/>
      <c r="J326" s="22"/>
      <c r="K326" s="108"/>
      <c r="L326" s="66"/>
      <c r="M326" s="66"/>
      <c r="N326" s="66"/>
      <c r="O326" s="66"/>
      <c r="P326" s="66"/>
      <c r="Q326" s="66"/>
      <c r="R326" s="66"/>
      <c r="S326" s="66"/>
      <c r="T326" s="66"/>
      <c r="U326" s="66"/>
      <c r="V326" s="66"/>
      <c r="W326" s="66"/>
      <c r="X326" s="66"/>
      <c r="Y326" s="66"/>
      <c r="Z326" s="66"/>
      <c r="AA326" s="66"/>
      <c r="AB326" s="66"/>
      <c r="AC326" s="66"/>
    </row>
    <row r="327">
      <c r="A327" s="66"/>
      <c r="B327" s="66"/>
      <c r="C327" s="66"/>
      <c r="D327" s="66"/>
      <c r="E327" s="15"/>
      <c r="F327" s="66"/>
      <c r="G327" s="18"/>
      <c r="H327" s="15"/>
      <c r="I327" s="18"/>
      <c r="J327" s="22"/>
      <c r="K327" s="108"/>
      <c r="L327" s="66"/>
      <c r="M327" s="66"/>
      <c r="N327" s="66"/>
      <c r="O327" s="66"/>
      <c r="P327" s="66"/>
      <c r="Q327" s="66"/>
      <c r="R327" s="66"/>
      <c r="S327" s="66"/>
      <c r="T327" s="66"/>
      <c r="U327" s="66"/>
      <c r="V327" s="66"/>
      <c r="W327" s="66"/>
      <c r="X327" s="66"/>
      <c r="Y327" s="66"/>
      <c r="Z327" s="66"/>
      <c r="AA327" s="66"/>
      <c r="AB327" s="66"/>
      <c r="AC327" s="66"/>
    </row>
    <row r="328">
      <c r="A328" s="66"/>
      <c r="B328" s="66"/>
      <c r="C328" s="66"/>
      <c r="D328" s="66"/>
      <c r="E328" s="15"/>
      <c r="F328" s="66"/>
      <c r="G328" s="18"/>
      <c r="H328" s="15"/>
      <c r="I328" s="18"/>
      <c r="J328" s="22"/>
      <c r="K328" s="108"/>
      <c r="L328" s="66"/>
      <c r="M328" s="66"/>
      <c r="N328" s="66"/>
      <c r="O328" s="66"/>
      <c r="P328" s="66"/>
      <c r="Q328" s="66"/>
      <c r="R328" s="66"/>
      <c r="S328" s="66"/>
      <c r="T328" s="66"/>
      <c r="U328" s="66"/>
      <c r="V328" s="66"/>
      <c r="W328" s="66"/>
      <c r="X328" s="66"/>
      <c r="Y328" s="66"/>
      <c r="Z328" s="66"/>
      <c r="AA328" s="66"/>
      <c r="AB328" s="66"/>
      <c r="AC328" s="66"/>
    </row>
    <row r="329">
      <c r="A329" s="66"/>
      <c r="B329" s="66"/>
      <c r="C329" s="66"/>
      <c r="D329" s="66"/>
      <c r="E329" s="15"/>
      <c r="F329" s="66"/>
      <c r="G329" s="18"/>
      <c r="H329" s="15"/>
      <c r="I329" s="18"/>
      <c r="J329" s="22"/>
      <c r="K329" s="108"/>
      <c r="L329" s="66"/>
      <c r="M329" s="66"/>
      <c r="N329" s="66"/>
      <c r="O329" s="66"/>
      <c r="P329" s="66"/>
      <c r="Q329" s="66"/>
      <c r="R329" s="66"/>
      <c r="S329" s="66"/>
      <c r="T329" s="66"/>
      <c r="U329" s="66"/>
      <c r="V329" s="66"/>
      <c r="W329" s="66"/>
      <c r="X329" s="66"/>
      <c r="Y329" s="66"/>
      <c r="Z329" s="66"/>
      <c r="AA329" s="66"/>
      <c r="AB329" s="66"/>
      <c r="AC329" s="66"/>
    </row>
    <row r="330">
      <c r="A330" s="66"/>
      <c r="B330" s="66"/>
      <c r="C330" s="66"/>
      <c r="D330" s="66"/>
      <c r="E330" s="15"/>
      <c r="F330" s="66"/>
      <c r="G330" s="18"/>
      <c r="H330" s="15"/>
      <c r="I330" s="18"/>
      <c r="J330" s="22"/>
      <c r="K330" s="108"/>
      <c r="L330" s="66"/>
      <c r="M330" s="66"/>
      <c r="N330" s="66"/>
      <c r="O330" s="66"/>
      <c r="P330" s="66"/>
      <c r="Q330" s="66"/>
      <c r="R330" s="66"/>
      <c r="S330" s="66"/>
      <c r="T330" s="66"/>
      <c r="U330" s="66"/>
      <c r="V330" s="66"/>
      <c r="W330" s="66"/>
      <c r="X330" s="66"/>
      <c r="Y330" s="66"/>
      <c r="Z330" s="66"/>
      <c r="AA330" s="66"/>
      <c r="AB330" s="66"/>
      <c r="AC330" s="66"/>
    </row>
    <row r="331">
      <c r="A331" s="66"/>
      <c r="B331" s="66"/>
      <c r="C331" s="66"/>
      <c r="D331" s="66"/>
      <c r="E331" s="15"/>
      <c r="F331" s="66"/>
      <c r="G331" s="18"/>
      <c r="H331" s="15"/>
      <c r="I331" s="18"/>
      <c r="J331" s="22"/>
      <c r="K331" s="108"/>
      <c r="L331" s="66"/>
      <c r="M331" s="66"/>
      <c r="N331" s="66"/>
      <c r="O331" s="66"/>
      <c r="P331" s="66"/>
      <c r="Q331" s="66"/>
      <c r="R331" s="66"/>
      <c r="S331" s="66"/>
      <c r="T331" s="66"/>
      <c r="U331" s="66"/>
      <c r="V331" s="66"/>
      <c r="W331" s="66"/>
      <c r="X331" s="66"/>
      <c r="Y331" s="66"/>
      <c r="Z331" s="66"/>
      <c r="AA331" s="66"/>
      <c r="AB331" s="66"/>
      <c r="AC331" s="66"/>
    </row>
    <row r="332">
      <c r="A332" s="66"/>
      <c r="B332" s="66"/>
      <c r="C332" s="66"/>
      <c r="D332" s="66"/>
      <c r="E332" s="15"/>
      <c r="F332" s="66"/>
      <c r="G332" s="18"/>
      <c r="H332" s="15"/>
      <c r="I332" s="18"/>
      <c r="J332" s="22"/>
      <c r="K332" s="108"/>
      <c r="L332" s="66"/>
      <c r="M332" s="66"/>
      <c r="N332" s="66"/>
      <c r="O332" s="66"/>
      <c r="P332" s="66"/>
      <c r="Q332" s="66"/>
      <c r="R332" s="66"/>
      <c r="S332" s="66"/>
      <c r="T332" s="66"/>
      <c r="U332" s="66"/>
      <c r="V332" s="66"/>
      <c r="W332" s="66"/>
      <c r="X332" s="66"/>
      <c r="Y332" s="66"/>
      <c r="Z332" s="66"/>
      <c r="AA332" s="66"/>
      <c r="AB332" s="66"/>
      <c r="AC332" s="66"/>
    </row>
    <row r="333">
      <c r="A333" s="66"/>
      <c r="B333" s="66"/>
      <c r="C333" s="66"/>
      <c r="D333" s="66"/>
      <c r="E333" s="15"/>
      <c r="F333" s="66"/>
      <c r="G333" s="18"/>
      <c r="H333" s="15"/>
      <c r="I333" s="18"/>
      <c r="J333" s="22"/>
      <c r="K333" s="108"/>
      <c r="L333" s="66"/>
      <c r="M333" s="66"/>
      <c r="N333" s="66"/>
      <c r="O333" s="66"/>
      <c r="P333" s="66"/>
      <c r="Q333" s="66"/>
      <c r="R333" s="66"/>
      <c r="S333" s="66"/>
      <c r="T333" s="66"/>
      <c r="U333" s="66"/>
      <c r="V333" s="66"/>
      <c r="W333" s="66"/>
      <c r="X333" s="66"/>
      <c r="Y333" s="66"/>
      <c r="Z333" s="66"/>
      <c r="AA333" s="66"/>
      <c r="AB333" s="66"/>
      <c r="AC333" s="66"/>
    </row>
    <row r="334">
      <c r="A334" s="66"/>
      <c r="B334" s="66"/>
      <c r="C334" s="66"/>
      <c r="D334" s="66"/>
      <c r="E334" s="15"/>
      <c r="F334" s="66"/>
      <c r="G334" s="18"/>
      <c r="H334" s="15"/>
      <c r="I334" s="18"/>
      <c r="J334" s="22"/>
      <c r="K334" s="108"/>
      <c r="L334" s="66"/>
      <c r="M334" s="66"/>
      <c r="N334" s="66"/>
      <c r="O334" s="66"/>
      <c r="P334" s="66"/>
      <c r="Q334" s="66"/>
      <c r="R334" s="66"/>
      <c r="S334" s="66"/>
      <c r="T334" s="66"/>
      <c r="U334" s="66"/>
      <c r="V334" s="66"/>
      <c r="W334" s="66"/>
      <c r="X334" s="66"/>
      <c r="Y334" s="66"/>
      <c r="Z334" s="66"/>
      <c r="AA334" s="66"/>
      <c r="AB334" s="66"/>
      <c r="AC334" s="66"/>
    </row>
    <row r="335">
      <c r="A335" s="66"/>
      <c r="B335" s="66"/>
      <c r="C335" s="66"/>
      <c r="D335" s="66"/>
      <c r="E335" s="15"/>
      <c r="F335" s="66"/>
      <c r="G335" s="18"/>
      <c r="H335" s="15"/>
      <c r="I335" s="18"/>
      <c r="J335" s="22"/>
      <c r="K335" s="108"/>
      <c r="L335" s="66"/>
      <c r="M335" s="66"/>
      <c r="N335" s="66"/>
      <c r="O335" s="66"/>
      <c r="P335" s="66"/>
      <c r="Q335" s="66"/>
      <c r="R335" s="66"/>
      <c r="S335" s="66"/>
      <c r="T335" s="66"/>
      <c r="U335" s="66"/>
      <c r="V335" s="66"/>
      <c r="W335" s="66"/>
      <c r="X335" s="66"/>
      <c r="Y335" s="66"/>
      <c r="Z335" s="66"/>
      <c r="AA335" s="66"/>
      <c r="AB335" s="66"/>
      <c r="AC335" s="66"/>
    </row>
    <row r="336">
      <c r="A336" s="66"/>
      <c r="B336" s="66"/>
      <c r="C336" s="66"/>
      <c r="D336" s="66"/>
      <c r="E336" s="15"/>
      <c r="F336" s="66"/>
      <c r="G336" s="18"/>
      <c r="H336" s="15"/>
      <c r="I336" s="18"/>
      <c r="J336" s="22"/>
      <c r="K336" s="108"/>
      <c r="L336" s="66"/>
      <c r="M336" s="66"/>
      <c r="N336" s="66"/>
      <c r="O336" s="66"/>
      <c r="P336" s="66"/>
      <c r="Q336" s="66"/>
      <c r="R336" s="66"/>
      <c r="S336" s="66"/>
      <c r="T336" s="66"/>
      <c r="U336" s="66"/>
      <c r="V336" s="66"/>
      <c r="W336" s="66"/>
      <c r="X336" s="66"/>
      <c r="Y336" s="66"/>
      <c r="Z336" s="66"/>
      <c r="AA336" s="66"/>
      <c r="AB336" s="66"/>
      <c r="AC336" s="66"/>
    </row>
    <row r="337">
      <c r="A337" s="66"/>
      <c r="B337" s="66"/>
      <c r="C337" s="66"/>
      <c r="D337" s="66"/>
      <c r="E337" s="15"/>
      <c r="F337" s="66"/>
      <c r="G337" s="18"/>
      <c r="H337" s="15"/>
      <c r="I337" s="18"/>
      <c r="J337" s="22"/>
      <c r="K337" s="108"/>
      <c r="L337" s="66"/>
      <c r="M337" s="66"/>
      <c r="N337" s="66"/>
      <c r="O337" s="66"/>
      <c r="P337" s="66"/>
      <c r="Q337" s="66"/>
      <c r="R337" s="66"/>
      <c r="S337" s="66"/>
      <c r="T337" s="66"/>
      <c r="U337" s="66"/>
      <c r="V337" s="66"/>
      <c r="W337" s="66"/>
      <c r="X337" s="66"/>
      <c r="Y337" s="66"/>
      <c r="Z337" s="66"/>
      <c r="AA337" s="66"/>
      <c r="AB337" s="66"/>
      <c r="AC337" s="66"/>
    </row>
    <row r="338">
      <c r="A338" s="66"/>
      <c r="B338" s="66"/>
      <c r="C338" s="66"/>
      <c r="D338" s="66"/>
      <c r="E338" s="15"/>
      <c r="F338" s="66"/>
      <c r="G338" s="18"/>
      <c r="H338" s="15"/>
      <c r="I338" s="18"/>
      <c r="J338" s="22"/>
      <c r="K338" s="108"/>
      <c r="L338" s="66"/>
      <c r="M338" s="66"/>
      <c r="N338" s="66"/>
      <c r="O338" s="66"/>
      <c r="P338" s="66"/>
      <c r="Q338" s="66"/>
      <c r="R338" s="66"/>
      <c r="S338" s="66"/>
      <c r="T338" s="66"/>
      <c r="U338" s="66"/>
      <c r="V338" s="66"/>
      <c r="W338" s="66"/>
      <c r="X338" s="66"/>
      <c r="Y338" s="66"/>
      <c r="Z338" s="66"/>
      <c r="AA338" s="66"/>
      <c r="AB338" s="66"/>
      <c r="AC338" s="66"/>
    </row>
    <row r="339">
      <c r="A339" s="66"/>
      <c r="B339" s="66"/>
      <c r="C339" s="66"/>
      <c r="D339" s="66"/>
      <c r="E339" s="15"/>
      <c r="F339" s="66"/>
      <c r="G339" s="18"/>
      <c r="H339" s="15"/>
      <c r="I339" s="18"/>
      <c r="J339" s="22"/>
      <c r="K339" s="108"/>
      <c r="L339" s="66"/>
      <c r="M339" s="66"/>
      <c r="N339" s="66"/>
      <c r="O339" s="66"/>
      <c r="P339" s="66"/>
      <c r="Q339" s="66"/>
      <c r="R339" s="66"/>
      <c r="S339" s="66"/>
      <c r="T339" s="66"/>
      <c r="U339" s="66"/>
      <c r="V339" s="66"/>
      <c r="W339" s="66"/>
      <c r="X339" s="66"/>
      <c r="Y339" s="66"/>
      <c r="Z339" s="66"/>
      <c r="AA339" s="66"/>
      <c r="AB339" s="66"/>
      <c r="AC339" s="66"/>
    </row>
    <row r="340">
      <c r="A340" s="66"/>
      <c r="B340" s="66"/>
      <c r="C340" s="66"/>
      <c r="D340" s="66"/>
      <c r="E340" s="15"/>
      <c r="F340" s="66"/>
      <c r="G340" s="18"/>
      <c r="H340" s="15"/>
      <c r="I340" s="18"/>
      <c r="J340" s="22"/>
      <c r="K340" s="108"/>
      <c r="L340" s="66"/>
      <c r="M340" s="66"/>
      <c r="N340" s="66"/>
      <c r="O340" s="66"/>
      <c r="P340" s="66"/>
      <c r="Q340" s="66"/>
      <c r="R340" s="66"/>
      <c r="S340" s="66"/>
      <c r="T340" s="66"/>
      <c r="U340" s="66"/>
      <c r="V340" s="66"/>
      <c r="W340" s="66"/>
      <c r="X340" s="66"/>
      <c r="Y340" s="66"/>
      <c r="Z340" s="66"/>
      <c r="AA340" s="66"/>
      <c r="AB340" s="66"/>
      <c r="AC340" s="66"/>
    </row>
    <row r="341">
      <c r="A341" s="66"/>
      <c r="B341" s="66"/>
      <c r="C341" s="66"/>
      <c r="D341" s="66"/>
      <c r="E341" s="15"/>
      <c r="F341" s="66"/>
      <c r="G341" s="18"/>
      <c r="H341" s="15"/>
      <c r="I341" s="18"/>
      <c r="J341" s="22"/>
      <c r="K341" s="108"/>
      <c r="L341" s="66"/>
      <c r="M341" s="66"/>
      <c r="N341" s="66"/>
      <c r="O341" s="66"/>
      <c r="P341" s="66"/>
      <c r="Q341" s="66"/>
      <c r="R341" s="66"/>
      <c r="S341" s="66"/>
      <c r="T341" s="66"/>
      <c r="U341" s="66"/>
      <c r="V341" s="66"/>
      <c r="W341" s="66"/>
      <c r="X341" s="66"/>
      <c r="Y341" s="66"/>
      <c r="Z341" s="66"/>
      <c r="AA341" s="66"/>
      <c r="AB341" s="66"/>
      <c r="AC341" s="66"/>
    </row>
    <row r="342">
      <c r="A342" s="66"/>
      <c r="B342" s="66"/>
      <c r="C342" s="66"/>
      <c r="D342" s="66"/>
      <c r="E342" s="15"/>
      <c r="F342" s="66"/>
      <c r="G342" s="18"/>
      <c r="H342" s="15"/>
      <c r="I342" s="18"/>
      <c r="J342" s="22"/>
      <c r="K342" s="108"/>
      <c r="L342" s="66"/>
      <c r="M342" s="66"/>
      <c r="N342" s="66"/>
      <c r="O342" s="66"/>
      <c r="P342" s="66"/>
      <c r="Q342" s="66"/>
      <c r="R342" s="66"/>
      <c r="S342" s="66"/>
      <c r="T342" s="66"/>
      <c r="U342" s="66"/>
      <c r="V342" s="66"/>
      <c r="W342" s="66"/>
      <c r="X342" s="66"/>
      <c r="Y342" s="66"/>
      <c r="Z342" s="66"/>
      <c r="AA342" s="66"/>
      <c r="AB342" s="66"/>
      <c r="AC342" s="66"/>
    </row>
    <row r="343">
      <c r="A343" s="66"/>
      <c r="B343" s="66"/>
      <c r="C343" s="66"/>
      <c r="D343" s="66"/>
      <c r="E343" s="15"/>
      <c r="F343" s="66"/>
      <c r="G343" s="18"/>
      <c r="H343" s="15"/>
      <c r="I343" s="18"/>
      <c r="J343" s="22"/>
      <c r="K343" s="108"/>
      <c r="L343" s="66"/>
      <c r="M343" s="66"/>
      <c r="N343" s="66"/>
      <c r="O343" s="66"/>
      <c r="P343" s="66"/>
      <c r="Q343" s="66"/>
      <c r="R343" s="66"/>
      <c r="S343" s="66"/>
      <c r="T343" s="66"/>
      <c r="U343" s="66"/>
      <c r="V343" s="66"/>
      <c r="W343" s="66"/>
      <c r="X343" s="66"/>
      <c r="Y343" s="66"/>
      <c r="Z343" s="66"/>
      <c r="AA343" s="66"/>
      <c r="AB343" s="66"/>
      <c r="AC343" s="66"/>
    </row>
    <row r="344">
      <c r="A344" s="66"/>
      <c r="B344" s="66"/>
      <c r="C344" s="66"/>
      <c r="D344" s="66"/>
      <c r="E344" s="15"/>
      <c r="F344" s="66"/>
      <c r="G344" s="18"/>
      <c r="H344" s="15"/>
      <c r="I344" s="18"/>
      <c r="J344" s="22"/>
      <c r="K344" s="108"/>
      <c r="L344" s="66"/>
      <c r="M344" s="66"/>
      <c r="N344" s="66"/>
      <c r="O344" s="66"/>
      <c r="P344" s="66"/>
      <c r="Q344" s="66"/>
      <c r="R344" s="66"/>
      <c r="S344" s="66"/>
      <c r="T344" s="66"/>
      <c r="U344" s="66"/>
      <c r="V344" s="66"/>
      <c r="W344" s="66"/>
      <c r="X344" s="66"/>
      <c r="Y344" s="66"/>
      <c r="Z344" s="66"/>
      <c r="AA344" s="66"/>
      <c r="AB344" s="66"/>
      <c r="AC344" s="66"/>
    </row>
    <row r="345">
      <c r="A345" s="66"/>
      <c r="B345" s="66"/>
      <c r="C345" s="66"/>
      <c r="D345" s="66"/>
      <c r="E345" s="15"/>
      <c r="F345" s="66"/>
      <c r="G345" s="18"/>
      <c r="H345" s="15"/>
      <c r="I345" s="18"/>
      <c r="J345" s="22"/>
      <c r="K345" s="108"/>
      <c r="L345" s="66"/>
      <c r="M345" s="66"/>
      <c r="N345" s="66"/>
      <c r="O345" s="66"/>
      <c r="P345" s="66"/>
      <c r="Q345" s="66"/>
      <c r="R345" s="66"/>
      <c r="S345" s="66"/>
      <c r="T345" s="66"/>
      <c r="U345" s="66"/>
      <c r="V345" s="66"/>
      <c r="W345" s="66"/>
      <c r="X345" s="66"/>
      <c r="Y345" s="66"/>
      <c r="Z345" s="66"/>
      <c r="AA345" s="66"/>
      <c r="AB345" s="66"/>
      <c r="AC345" s="66"/>
    </row>
    <row r="346">
      <c r="A346" s="66"/>
      <c r="B346" s="66"/>
      <c r="C346" s="66"/>
      <c r="D346" s="66"/>
      <c r="E346" s="15"/>
      <c r="F346" s="66"/>
      <c r="G346" s="18"/>
      <c r="H346" s="15"/>
      <c r="I346" s="18"/>
      <c r="J346" s="22"/>
      <c r="K346" s="108"/>
      <c r="L346" s="66"/>
      <c r="M346" s="66"/>
      <c r="N346" s="66"/>
      <c r="O346" s="66"/>
      <c r="P346" s="66"/>
      <c r="Q346" s="66"/>
      <c r="R346" s="66"/>
      <c r="S346" s="66"/>
      <c r="T346" s="66"/>
      <c r="U346" s="66"/>
      <c r="V346" s="66"/>
      <c r="W346" s="66"/>
      <c r="X346" s="66"/>
      <c r="Y346" s="66"/>
      <c r="Z346" s="66"/>
      <c r="AA346" s="66"/>
      <c r="AB346" s="66"/>
      <c r="AC346" s="66"/>
    </row>
    <row r="347">
      <c r="A347" s="66"/>
      <c r="B347" s="66"/>
      <c r="C347" s="66"/>
      <c r="D347" s="66"/>
      <c r="E347" s="15"/>
      <c r="F347" s="66"/>
      <c r="G347" s="18"/>
      <c r="H347" s="15"/>
      <c r="I347" s="18"/>
      <c r="J347" s="22"/>
      <c r="K347" s="108"/>
      <c r="L347" s="66"/>
      <c r="M347" s="66"/>
      <c r="N347" s="66"/>
      <c r="O347" s="66"/>
      <c r="P347" s="66"/>
      <c r="Q347" s="66"/>
      <c r="R347" s="66"/>
      <c r="S347" s="66"/>
      <c r="T347" s="66"/>
      <c r="U347" s="66"/>
      <c r="V347" s="66"/>
      <c r="W347" s="66"/>
      <c r="X347" s="66"/>
      <c r="Y347" s="66"/>
      <c r="Z347" s="66"/>
      <c r="AA347" s="66"/>
      <c r="AB347" s="66"/>
      <c r="AC347" s="66"/>
    </row>
    <row r="348">
      <c r="A348" s="66"/>
      <c r="B348" s="66"/>
      <c r="C348" s="66"/>
      <c r="D348" s="66"/>
      <c r="E348" s="15"/>
      <c r="F348" s="66"/>
      <c r="G348" s="18"/>
      <c r="H348" s="15"/>
      <c r="I348" s="18"/>
      <c r="J348" s="22"/>
      <c r="K348" s="108"/>
      <c r="L348" s="66"/>
      <c r="M348" s="66"/>
      <c r="N348" s="66"/>
      <c r="O348" s="66"/>
      <c r="P348" s="66"/>
      <c r="Q348" s="66"/>
      <c r="R348" s="66"/>
      <c r="S348" s="66"/>
      <c r="T348" s="66"/>
      <c r="U348" s="66"/>
      <c r="V348" s="66"/>
      <c r="W348" s="66"/>
      <c r="X348" s="66"/>
      <c r="Y348" s="66"/>
      <c r="Z348" s="66"/>
      <c r="AA348" s="66"/>
      <c r="AB348" s="66"/>
      <c r="AC348" s="66"/>
    </row>
    <row r="349">
      <c r="A349" s="66"/>
      <c r="B349" s="66"/>
      <c r="C349" s="66"/>
      <c r="D349" s="66"/>
      <c r="E349" s="15"/>
      <c r="F349" s="66"/>
      <c r="G349" s="18"/>
      <c r="H349" s="15"/>
      <c r="I349" s="18"/>
      <c r="J349" s="22"/>
      <c r="K349" s="108"/>
      <c r="L349" s="66"/>
      <c r="M349" s="66"/>
      <c r="N349" s="66"/>
      <c r="O349" s="66"/>
      <c r="P349" s="66"/>
      <c r="Q349" s="66"/>
      <c r="R349" s="66"/>
      <c r="S349" s="66"/>
      <c r="T349" s="66"/>
      <c r="U349" s="66"/>
      <c r="V349" s="66"/>
      <c r="W349" s="66"/>
      <c r="X349" s="66"/>
      <c r="Y349" s="66"/>
      <c r="Z349" s="66"/>
      <c r="AA349" s="66"/>
      <c r="AB349" s="66"/>
      <c r="AC349" s="66"/>
    </row>
    <row r="350">
      <c r="A350" s="66"/>
      <c r="B350" s="66"/>
      <c r="C350" s="66"/>
      <c r="D350" s="66"/>
      <c r="E350" s="15"/>
      <c r="F350" s="66"/>
      <c r="G350" s="18"/>
      <c r="H350" s="15"/>
      <c r="I350" s="18"/>
      <c r="J350" s="22"/>
      <c r="K350" s="108"/>
      <c r="L350" s="66"/>
      <c r="M350" s="66"/>
      <c r="N350" s="66"/>
      <c r="O350" s="66"/>
      <c r="P350" s="66"/>
      <c r="Q350" s="66"/>
      <c r="R350" s="66"/>
      <c r="S350" s="66"/>
      <c r="T350" s="66"/>
      <c r="U350" s="66"/>
      <c r="V350" s="66"/>
      <c r="W350" s="66"/>
      <c r="X350" s="66"/>
      <c r="Y350" s="66"/>
      <c r="Z350" s="66"/>
      <c r="AA350" s="66"/>
      <c r="AB350" s="66"/>
      <c r="AC350" s="66"/>
    </row>
    <row r="351">
      <c r="A351" s="66"/>
      <c r="B351" s="66"/>
      <c r="C351" s="66"/>
      <c r="D351" s="66"/>
      <c r="E351" s="15"/>
      <c r="F351" s="66"/>
      <c r="G351" s="18"/>
      <c r="H351" s="15"/>
      <c r="I351" s="18"/>
      <c r="J351" s="22"/>
      <c r="K351" s="108"/>
      <c r="L351" s="66"/>
      <c r="M351" s="66"/>
      <c r="N351" s="66"/>
      <c r="O351" s="66"/>
      <c r="P351" s="66"/>
      <c r="Q351" s="66"/>
      <c r="R351" s="66"/>
      <c r="S351" s="66"/>
      <c r="T351" s="66"/>
      <c r="U351" s="66"/>
      <c r="V351" s="66"/>
      <c r="W351" s="66"/>
      <c r="X351" s="66"/>
      <c r="Y351" s="66"/>
      <c r="Z351" s="66"/>
      <c r="AA351" s="66"/>
      <c r="AB351" s="66"/>
      <c r="AC351" s="66"/>
    </row>
    <row r="352">
      <c r="A352" s="66"/>
      <c r="B352" s="66"/>
      <c r="C352" s="66"/>
      <c r="D352" s="66"/>
      <c r="E352" s="15"/>
      <c r="F352" s="66"/>
      <c r="G352" s="18"/>
      <c r="H352" s="15"/>
      <c r="I352" s="18"/>
      <c r="J352" s="22"/>
      <c r="K352" s="108"/>
      <c r="L352" s="66"/>
      <c r="M352" s="66"/>
      <c r="N352" s="66"/>
      <c r="O352" s="66"/>
      <c r="P352" s="66"/>
      <c r="Q352" s="66"/>
      <c r="R352" s="66"/>
      <c r="S352" s="66"/>
      <c r="T352" s="66"/>
      <c r="U352" s="66"/>
      <c r="V352" s="66"/>
      <c r="W352" s="66"/>
      <c r="X352" s="66"/>
      <c r="Y352" s="66"/>
      <c r="Z352" s="66"/>
      <c r="AA352" s="66"/>
      <c r="AB352" s="66"/>
      <c r="AC352" s="66"/>
    </row>
    <row r="353">
      <c r="A353" s="66"/>
      <c r="B353" s="66"/>
      <c r="C353" s="66"/>
      <c r="D353" s="66"/>
      <c r="E353" s="15"/>
      <c r="F353" s="66"/>
      <c r="G353" s="18"/>
      <c r="H353" s="15"/>
      <c r="I353" s="18"/>
      <c r="J353" s="22"/>
      <c r="K353" s="108"/>
      <c r="L353" s="66"/>
      <c r="M353" s="66"/>
      <c r="N353" s="66"/>
      <c r="O353" s="66"/>
      <c r="P353" s="66"/>
      <c r="Q353" s="66"/>
      <c r="R353" s="66"/>
      <c r="S353" s="66"/>
      <c r="T353" s="66"/>
      <c r="U353" s="66"/>
      <c r="V353" s="66"/>
      <c r="W353" s="66"/>
      <c r="X353" s="66"/>
      <c r="Y353" s="66"/>
      <c r="Z353" s="66"/>
      <c r="AA353" s="66"/>
      <c r="AB353" s="66"/>
      <c r="AC353" s="66"/>
    </row>
    <row r="354">
      <c r="A354" s="66"/>
      <c r="B354" s="66"/>
      <c r="C354" s="66"/>
      <c r="D354" s="66"/>
      <c r="E354" s="15"/>
      <c r="F354" s="66"/>
      <c r="G354" s="18"/>
      <c r="H354" s="15"/>
      <c r="I354" s="18"/>
      <c r="J354" s="22"/>
      <c r="K354" s="108"/>
      <c r="L354" s="66"/>
      <c r="M354" s="66"/>
      <c r="N354" s="66"/>
      <c r="O354" s="66"/>
      <c r="P354" s="66"/>
      <c r="Q354" s="66"/>
      <c r="R354" s="66"/>
      <c r="S354" s="66"/>
      <c r="T354" s="66"/>
      <c r="U354" s="66"/>
      <c r="V354" s="66"/>
      <c r="W354" s="66"/>
      <c r="X354" s="66"/>
      <c r="Y354" s="66"/>
      <c r="Z354" s="66"/>
      <c r="AA354" s="66"/>
      <c r="AB354" s="66"/>
      <c r="AC354" s="66"/>
    </row>
    <row r="355">
      <c r="A355" s="66"/>
      <c r="B355" s="66"/>
      <c r="C355" s="66"/>
      <c r="D355" s="66"/>
      <c r="E355" s="15"/>
      <c r="F355" s="66"/>
      <c r="G355" s="18"/>
      <c r="H355" s="15"/>
      <c r="I355" s="18"/>
      <c r="J355" s="22"/>
      <c r="K355" s="108"/>
      <c r="L355" s="66"/>
      <c r="M355" s="66"/>
      <c r="N355" s="66"/>
      <c r="O355" s="66"/>
      <c r="P355" s="66"/>
      <c r="Q355" s="66"/>
      <c r="R355" s="66"/>
      <c r="S355" s="66"/>
      <c r="T355" s="66"/>
      <c r="U355" s="66"/>
      <c r="V355" s="66"/>
      <c r="W355" s="66"/>
      <c r="X355" s="66"/>
      <c r="Y355" s="66"/>
      <c r="Z355" s="66"/>
      <c r="AA355" s="66"/>
      <c r="AB355" s="66"/>
      <c r="AC355" s="66"/>
    </row>
    <row r="356">
      <c r="A356" s="66"/>
      <c r="B356" s="66"/>
      <c r="C356" s="66"/>
      <c r="D356" s="66"/>
      <c r="E356" s="15"/>
      <c r="F356" s="66"/>
      <c r="G356" s="18"/>
      <c r="H356" s="15"/>
      <c r="I356" s="18"/>
      <c r="J356" s="22"/>
      <c r="K356" s="108"/>
      <c r="L356" s="66"/>
      <c r="M356" s="66"/>
      <c r="N356" s="66"/>
      <c r="O356" s="66"/>
      <c r="P356" s="66"/>
      <c r="Q356" s="66"/>
      <c r="R356" s="66"/>
      <c r="S356" s="66"/>
      <c r="T356" s="66"/>
      <c r="U356" s="66"/>
      <c r="V356" s="66"/>
      <c r="W356" s="66"/>
      <c r="X356" s="66"/>
      <c r="Y356" s="66"/>
      <c r="Z356" s="66"/>
      <c r="AA356" s="66"/>
      <c r="AB356" s="66"/>
      <c r="AC356" s="66"/>
    </row>
    <row r="357">
      <c r="A357" s="66"/>
      <c r="B357" s="66"/>
      <c r="C357" s="66"/>
      <c r="D357" s="66"/>
      <c r="E357" s="15"/>
      <c r="F357" s="66"/>
      <c r="G357" s="18"/>
      <c r="H357" s="15"/>
      <c r="I357" s="18"/>
      <c r="J357" s="22"/>
      <c r="K357" s="108"/>
      <c r="L357" s="66"/>
      <c r="M357" s="66"/>
      <c r="N357" s="66"/>
      <c r="O357" s="66"/>
      <c r="P357" s="66"/>
      <c r="Q357" s="66"/>
      <c r="R357" s="66"/>
      <c r="S357" s="66"/>
      <c r="T357" s="66"/>
      <c r="U357" s="66"/>
      <c r="V357" s="66"/>
      <c r="W357" s="66"/>
      <c r="X357" s="66"/>
      <c r="Y357" s="66"/>
      <c r="Z357" s="66"/>
      <c r="AA357" s="66"/>
      <c r="AB357" s="66"/>
      <c r="AC357" s="66"/>
    </row>
    <row r="358">
      <c r="A358" s="66"/>
      <c r="B358" s="66"/>
      <c r="C358" s="66"/>
      <c r="D358" s="66"/>
      <c r="E358" s="15"/>
      <c r="F358" s="66"/>
      <c r="G358" s="18"/>
      <c r="H358" s="15"/>
      <c r="I358" s="18"/>
      <c r="J358" s="22"/>
      <c r="K358" s="108"/>
      <c r="L358" s="66"/>
      <c r="M358" s="66"/>
      <c r="N358" s="66"/>
      <c r="O358" s="66"/>
      <c r="P358" s="66"/>
      <c r="Q358" s="66"/>
      <c r="R358" s="66"/>
      <c r="S358" s="66"/>
      <c r="T358" s="66"/>
      <c r="U358" s="66"/>
      <c r="V358" s="66"/>
      <c r="W358" s="66"/>
      <c r="X358" s="66"/>
      <c r="Y358" s="66"/>
      <c r="Z358" s="66"/>
      <c r="AA358" s="66"/>
      <c r="AB358" s="66"/>
      <c r="AC358" s="66"/>
    </row>
    <row r="359">
      <c r="A359" s="66"/>
      <c r="B359" s="66"/>
      <c r="C359" s="66"/>
      <c r="D359" s="66"/>
      <c r="E359" s="15"/>
      <c r="F359" s="66"/>
      <c r="G359" s="18"/>
      <c r="H359" s="15"/>
      <c r="I359" s="18"/>
      <c r="J359" s="22"/>
      <c r="K359" s="108"/>
      <c r="L359" s="66"/>
      <c r="M359" s="66"/>
      <c r="N359" s="66"/>
      <c r="O359" s="66"/>
      <c r="P359" s="66"/>
      <c r="Q359" s="66"/>
      <c r="R359" s="66"/>
      <c r="S359" s="66"/>
      <c r="T359" s="66"/>
      <c r="U359" s="66"/>
      <c r="V359" s="66"/>
      <c r="W359" s="66"/>
      <c r="X359" s="66"/>
      <c r="Y359" s="66"/>
      <c r="Z359" s="66"/>
      <c r="AA359" s="66"/>
      <c r="AB359" s="66"/>
      <c r="AC359" s="66"/>
    </row>
    <row r="360">
      <c r="A360" s="66"/>
      <c r="B360" s="66"/>
      <c r="C360" s="66"/>
      <c r="D360" s="66"/>
      <c r="E360" s="15"/>
      <c r="F360" s="66"/>
      <c r="G360" s="18"/>
      <c r="H360" s="15"/>
      <c r="I360" s="18"/>
      <c r="J360" s="22"/>
      <c r="K360" s="108"/>
      <c r="L360" s="66"/>
      <c r="M360" s="66"/>
      <c r="N360" s="66"/>
      <c r="O360" s="66"/>
      <c r="P360" s="66"/>
      <c r="Q360" s="66"/>
      <c r="R360" s="66"/>
      <c r="S360" s="66"/>
      <c r="T360" s="66"/>
      <c r="U360" s="66"/>
      <c r="V360" s="66"/>
      <c r="W360" s="66"/>
      <c r="X360" s="66"/>
      <c r="Y360" s="66"/>
      <c r="Z360" s="66"/>
      <c r="AA360" s="66"/>
      <c r="AB360" s="66"/>
      <c r="AC360" s="66"/>
    </row>
    <row r="361">
      <c r="A361" s="66"/>
      <c r="B361" s="66"/>
      <c r="C361" s="66"/>
      <c r="D361" s="66"/>
      <c r="E361" s="15"/>
      <c r="F361" s="66"/>
      <c r="G361" s="18"/>
      <c r="H361" s="15"/>
      <c r="I361" s="18"/>
      <c r="J361" s="22"/>
      <c r="K361" s="108"/>
      <c r="L361" s="66"/>
      <c r="M361" s="66"/>
      <c r="N361" s="66"/>
      <c r="O361" s="66"/>
      <c r="P361" s="66"/>
      <c r="Q361" s="66"/>
      <c r="R361" s="66"/>
      <c r="S361" s="66"/>
      <c r="T361" s="66"/>
      <c r="U361" s="66"/>
      <c r="V361" s="66"/>
      <c r="W361" s="66"/>
      <c r="X361" s="66"/>
      <c r="Y361" s="66"/>
      <c r="Z361" s="66"/>
      <c r="AA361" s="66"/>
      <c r="AB361" s="66"/>
      <c r="AC361" s="66"/>
    </row>
    <row r="362">
      <c r="A362" s="66"/>
      <c r="B362" s="66"/>
      <c r="C362" s="66"/>
      <c r="D362" s="66"/>
      <c r="E362" s="15"/>
      <c r="F362" s="66"/>
      <c r="G362" s="18"/>
      <c r="H362" s="15"/>
      <c r="I362" s="18"/>
      <c r="J362" s="22"/>
      <c r="K362" s="108"/>
      <c r="L362" s="66"/>
      <c r="M362" s="66"/>
      <c r="N362" s="66"/>
      <c r="O362" s="66"/>
      <c r="P362" s="66"/>
      <c r="Q362" s="66"/>
      <c r="R362" s="66"/>
      <c r="S362" s="66"/>
      <c r="T362" s="66"/>
      <c r="U362" s="66"/>
      <c r="V362" s="66"/>
      <c r="W362" s="66"/>
      <c r="X362" s="66"/>
      <c r="Y362" s="66"/>
      <c r="Z362" s="66"/>
      <c r="AA362" s="66"/>
      <c r="AB362" s="66"/>
      <c r="AC362" s="66"/>
    </row>
    <row r="363">
      <c r="A363" s="66"/>
      <c r="B363" s="66"/>
      <c r="C363" s="66"/>
      <c r="D363" s="66"/>
      <c r="E363" s="15"/>
      <c r="F363" s="66"/>
      <c r="G363" s="18"/>
      <c r="H363" s="15"/>
      <c r="I363" s="18"/>
      <c r="J363" s="22"/>
      <c r="K363" s="108"/>
      <c r="L363" s="66"/>
      <c r="M363" s="66"/>
      <c r="N363" s="66"/>
      <c r="O363" s="66"/>
      <c r="P363" s="66"/>
      <c r="Q363" s="66"/>
      <c r="R363" s="66"/>
      <c r="S363" s="66"/>
      <c r="T363" s="66"/>
      <c r="U363" s="66"/>
      <c r="V363" s="66"/>
      <c r="W363" s="66"/>
      <c r="X363" s="66"/>
      <c r="Y363" s="66"/>
      <c r="Z363" s="66"/>
      <c r="AA363" s="66"/>
      <c r="AB363" s="66"/>
      <c r="AC363" s="66"/>
    </row>
    <row r="364">
      <c r="A364" s="66"/>
      <c r="B364" s="66"/>
      <c r="C364" s="66"/>
      <c r="D364" s="66"/>
      <c r="E364" s="15"/>
      <c r="F364" s="66"/>
      <c r="G364" s="18"/>
      <c r="H364" s="15"/>
      <c r="I364" s="18"/>
      <c r="J364" s="22"/>
      <c r="K364" s="108"/>
      <c r="L364" s="66"/>
      <c r="M364" s="66"/>
      <c r="N364" s="66"/>
      <c r="O364" s="66"/>
      <c r="P364" s="66"/>
      <c r="Q364" s="66"/>
      <c r="R364" s="66"/>
      <c r="S364" s="66"/>
      <c r="T364" s="66"/>
      <c r="U364" s="66"/>
      <c r="V364" s="66"/>
      <c r="W364" s="66"/>
      <c r="X364" s="66"/>
      <c r="Y364" s="66"/>
      <c r="Z364" s="66"/>
      <c r="AA364" s="66"/>
      <c r="AB364" s="66"/>
      <c r="AC364" s="66"/>
    </row>
    <row r="365">
      <c r="A365" s="66"/>
      <c r="B365" s="66"/>
      <c r="C365" s="66"/>
      <c r="D365" s="66"/>
      <c r="E365" s="15"/>
      <c r="F365" s="66"/>
      <c r="G365" s="18"/>
      <c r="H365" s="15"/>
      <c r="I365" s="18"/>
      <c r="J365" s="22"/>
      <c r="K365" s="108"/>
      <c r="L365" s="66"/>
      <c r="M365" s="66"/>
      <c r="N365" s="66"/>
      <c r="O365" s="66"/>
      <c r="P365" s="66"/>
      <c r="Q365" s="66"/>
      <c r="R365" s="66"/>
      <c r="S365" s="66"/>
      <c r="T365" s="66"/>
      <c r="U365" s="66"/>
      <c r="V365" s="66"/>
      <c r="W365" s="66"/>
      <c r="X365" s="66"/>
      <c r="Y365" s="66"/>
      <c r="Z365" s="66"/>
      <c r="AA365" s="66"/>
      <c r="AB365" s="66"/>
      <c r="AC365" s="66"/>
    </row>
    <row r="366">
      <c r="A366" s="66"/>
      <c r="B366" s="66"/>
      <c r="C366" s="66"/>
      <c r="D366" s="66"/>
      <c r="E366" s="15"/>
      <c r="F366" s="66"/>
      <c r="G366" s="18"/>
      <c r="H366" s="15"/>
      <c r="I366" s="18"/>
      <c r="J366" s="22"/>
      <c r="K366" s="108"/>
      <c r="L366" s="66"/>
      <c r="M366" s="66"/>
      <c r="N366" s="66"/>
      <c r="O366" s="66"/>
      <c r="P366" s="66"/>
      <c r="Q366" s="66"/>
      <c r="R366" s="66"/>
      <c r="S366" s="66"/>
      <c r="T366" s="66"/>
      <c r="U366" s="66"/>
      <c r="V366" s="66"/>
      <c r="W366" s="66"/>
      <c r="X366" s="66"/>
      <c r="Y366" s="66"/>
      <c r="Z366" s="66"/>
      <c r="AA366" s="66"/>
      <c r="AB366" s="66"/>
      <c r="AC366" s="66"/>
    </row>
    <row r="367">
      <c r="A367" s="66"/>
      <c r="B367" s="66"/>
      <c r="C367" s="66"/>
      <c r="D367" s="66"/>
      <c r="E367" s="15"/>
      <c r="F367" s="66"/>
      <c r="G367" s="18"/>
      <c r="H367" s="15"/>
      <c r="I367" s="18"/>
      <c r="J367" s="22"/>
      <c r="K367" s="108"/>
      <c r="L367" s="66"/>
      <c r="M367" s="66"/>
      <c r="N367" s="66"/>
      <c r="O367" s="66"/>
      <c r="P367" s="66"/>
      <c r="Q367" s="66"/>
      <c r="R367" s="66"/>
      <c r="S367" s="66"/>
      <c r="T367" s="66"/>
      <c r="U367" s="66"/>
      <c r="V367" s="66"/>
      <c r="W367" s="66"/>
      <c r="X367" s="66"/>
      <c r="Y367" s="66"/>
      <c r="Z367" s="66"/>
      <c r="AA367" s="66"/>
      <c r="AB367" s="66"/>
      <c r="AC367" s="66"/>
    </row>
    <row r="368">
      <c r="A368" s="66"/>
      <c r="B368" s="66"/>
      <c r="C368" s="66"/>
      <c r="D368" s="66"/>
      <c r="E368" s="15"/>
      <c r="F368" s="66"/>
      <c r="G368" s="18"/>
      <c r="H368" s="15"/>
      <c r="I368" s="18"/>
      <c r="J368" s="22"/>
      <c r="K368" s="108"/>
      <c r="L368" s="66"/>
      <c r="M368" s="66"/>
      <c r="N368" s="66"/>
      <c r="O368" s="66"/>
      <c r="P368" s="66"/>
      <c r="Q368" s="66"/>
      <c r="R368" s="66"/>
      <c r="S368" s="66"/>
      <c r="T368" s="66"/>
      <c r="U368" s="66"/>
      <c r="V368" s="66"/>
      <c r="W368" s="66"/>
      <c r="X368" s="66"/>
      <c r="Y368" s="66"/>
      <c r="Z368" s="66"/>
      <c r="AA368" s="66"/>
      <c r="AB368" s="66"/>
      <c r="AC368" s="66"/>
    </row>
    <row r="369">
      <c r="A369" s="66"/>
      <c r="B369" s="66"/>
      <c r="C369" s="66"/>
      <c r="D369" s="66"/>
      <c r="E369" s="15"/>
      <c r="F369" s="66"/>
      <c r="G369" s="18"/>
      <c r="H369" s="15"/>
      <c r="I369" s="18"/>
      <c r="J369" s="22"/>
      <c r="K369" s="108"/>
      <c r="L369" s="66"/>
      <c r="M369" s="66"/>
      <c r="N369" s="66"/>
      <c r="O369" s="66"/>
      <c r="P369" s="66"/>
      <c r="Q369" s="66"/>
      <c r="R369" s="66"/>
      <c r="S369" s="66"/>
      <c r="T369" s="66"/>
      <c r="U369" s="66"/>
      <c r="V369" s="66"/>
      <c r="W369" s="66"/>
      <c r="X369" s="66"/>
      <c r="Y369" s="66"/>
      <c r="Z369" s="66"/>
      <c r="AA369" s="66"/>
      <c r="AB369" s="66"/>
      <c r="AC369" s="66"/>
    </row>
    <row r="370">
      <c r="A370" s="66"/>
      <c r="B370" s="66"/>
      <c r="C370" s="66"/>
      <c r="D370" s="66"/>
      <c r="E370" s="15"/>
      <c r="F370" s="66"/>
      <c r="G370" s="18"/>
      <c r="H370" s="15"/>
      <c r="I370" s="18"/>
      <c r="J370" s="22"/>
      <c r="K370" s="108"/>
      <c r="L370" s="66"/>
      <c r="M370" s="66"/>
      <c r="N370" s="66"/>
      <c r="O370" s="66"/>
      <c r="P370" s="66"/>
      <c r="Q370" s="66"/>
      <c r="R370" s="66"/>
      <c r="S370" s="66"/>
      <c r="T370" s="66"/>
      <c r="U370" s="66"/>
      <c r="V370" s="66"/>
      <c r="W370" s="66"/>
      <c r="X370" s="66"/>
      <c r="Y370" s="66"/>
      <c r="Z370" s="66"/>
      <c r="AA370" s="66"/>
      <c r="AB370" s="66"/>
      <c r="AC370" s="66"/>
    </row>
    <row r="371">
      <c r="A371" s="66"/>
      <c r="B371" s="66"/>
      <c r="C371" s="66"/>
      <c r="D371" s="66"/>
      <c r="E371" s="15"/>
      <c r="F371" s="66"/>
      <c r="G371" s="18"/>
      <c r="H371" s="15"/>
      <c r="I371" s="18"/>
      <c r="J371" s="22"/>
      <c r="K371" s="108"/>
      <c r="L371" s="66"/>
      <c r="M371" s="66"/>
      <c r="N371" s="66"/>
      <c r="O371" s="66"/>
      <c r="P371" s="66"/>
      <c r="Q371" s="66"/>
      <c r="R371" s="66"/>
      <c r="S371" s="66"/>
      <c r="T371" s="66"/>
      <c r="U371" s="66"/>
      <c r="V371" s="66"/>
      <c r="W371" s="66"/>
      <c r="X371" s="66"/>
      <c r="Y371" s="66"/>
      <c r="Z371" s="66"/>
      <c r="AA371" s="66"/>
      <c r="AB371" s="66"/>
      <c r="AC371" s="66"/>
    </row>
    <row r="372">
      <c r="A372" s="66"/>
      <c r="B372" s="66"/>
      <c r="C372" s="66"/>
      <c r="D372" s="66"/>
      <c r="E372" s="15"/>
      <c r="F372" s="66"/>
      <c r="G372" s="18"/>
      <c r="H372" s="15"/>
      <c r="I372" s="18"/>
      <c r="J372" s="22"/>
      <c r="K372" s="108"/>
      <c r="L372" s="66"/>
      <c r="M372" s="66"/>
      <c r="N372" s="66"/>
      <c r="O372" s="66"/>
      <c r="P372" s="66"/>
      <c r="Q372" s="66"/>
      <c r="R372" s="66"/>
      <c r="S372" s="66"/>
      <c r="T372" s="66"/>
      <c r="U372" s="66"/>
      <c r="V372" s="66"/>
      <c r="W372" s="66"/>
      <c r="X372" s="66"/>
      <c r="Y372" s="66"/>
      <c r="Z372" s="66"/>
      <c r="AA372" s="66"/>
      <c r="AB372" s="66"/>
      <c r="AC372" s="66"/>
    </row>
    <row r="373">
      <c r="A373" s="66"/>
      <c r="B373" s="66"/>
      <c r="C373" s="66"/>
      <c r="D373" s="66"/>
      <c r="E373" s="15"/>
      <c r="F373" s="66"/>
      <c r="G373" s="18"/>
      <c r="H373" s="15"/>
      <c r="I373" s="18"/>
      <c r="J373" s="22"/>
      <c r="K373" s="108"/>
      <c r="L373" s="66"/>
      <c r="M373" s="66"/>
      <c r="N373" s="66"/>
      <c r="O373" s="66"/>
      <c r="P373" s="66"/>
      <c r="Q373" s="66"/>
      <c r="R373" s="66"/>
      <c r="S373" s="66"/>
      <c r="T373" s="66"/>
      <c r="U373" s="66"/>
      <c r="V373" s="66"/>
      <c r="W373" s="66"/>
      <c r="X373" s="66"/>
      <c r="Y373" s="66"/>
      <c r="Z373" s="66"/>
      <c r="AA373" s="66"/>
      <c r="AB373" s="66"/>
      <c r="AC373" s="66"/>
    </row>
    <row r="374">
      <c r="A374" s="66"/>
      <c r="B374" s="66"/>
      <c r="C374" s="66"/>
      <c r="D374" s="66"/>
      <c r="E374" s="15"/>
      <c r="F374" s="66"/>
      <c r="G374" s="18"/>
      <c r="H374" s="15"/>
      <c r="I374" s="18"/>
      <c r="J374" s="22"/>
      <c r="K374" s="108"/>
      <c r="L374" s="66"/>
      <c r="M374" s="66"/>
      <c r="N374" s="66"/>
      <c r="O374" s="66"/>
      <c r="P374" s="66"/>
      <c r="Q374" s="66"/>
      <c r="R374" s="66"/>
      <c r="S374" s="66"/>
      <c r="T374" s="66"/>
      <c r="U374" s="66"/>
      <c r="V374" s="66"/>
      <c r="W374" s="66"/>
      <c r="X374" s="66"/>
      <c r="Y374" s="66"/>
      <c r="Z374" s="66"/>
      <c r="AA374" s="66"/>
      <c r="AB374" s="66"/>
      <c r="AC374" s="66"/>
    </row>
    <row r="375">
      <c r="A375" s="66"/>
      <c r="B375" s="66"/>
      <c r="C375" s="66"/>
      <c r="D375" s="66"/>
      <c r="E375" s="15"/>
      <c r="F375" s="66"/>
      <c r="G375" s="18"/>
      <c r="H375" s="15"/>
      <c r="I375" s="18"/>
      <c r="J375" s="22"/>
      <c r="K375" s="108"/>
      <c r="L375" s="66"/>
      <c r="M375" s="66"/>
      <c r="N375" s="66"/>
      <c r="O375" s="66"/>
      <c r="P375" s="66"/>
      <c r="Q375" s="66"/>
      <c r="R375" s="66"/>
      <c r="S375" s="66"/>
      <c r="T375" s="66"/>
      <c r="U375" s="66"/>
      <c r="V375" s="66"/>
      <c r="W375" s="66"/>
      <c r="X375" s="66"/>
      <c r="Y375" s="66"/>
      <c r="Z375" s="66"/>
      <c r="AA375" s="66"/>
      <c r="AB375" s="66"/>
      <c r="AC375" s="66"/>
    </row>
    <row r="376">
      <c r="A376" s="66"/>
      <c r="B376" s="66"/>
      <c r="C376" s="66"/>
      <c r="D376" s="66"/>
      <c r="E376" s="15"/>
      <c r="F376" s="66"/>
      <c r="G376" s="18"/>
      <c r="H376" s="15"/>
      <c r="I376" s="18"/>
      <c r="J376" s="22"/>
      <c r="K376" s="108"/>
      <c r="L376" s="66"/>
      <c r="M376" s="66"/>
      <c r="N376" s="66"/>
      <c r="O376" s="66"/>
      <c r="P376" s="66"/>
      <c r="Q376" s="66"/>
      <c r="R376" s="66"/>
      <c r="S376" s="66"/>
      <c r="T376" s="66"/>
      <c r="U376" s="66"/>
      <c r="V376" s="66"/>
      <c r="W376" s="66"/>
      <c r="X376" s="66"/>
      <c r="Y376" s="66"/>
      <c r="Z376" s="66"/>
      <c r="AA376" s="66"/>
      <c r="AB376" s="66"/>
      <c r="AC376" s="66"/>
    </row>
    <row r="377">
      <c r="A377" s="66"/>
      <c r="B377" s="66"/>
      <c r="C377" s="66"/>
      <c r="D377" s="66"/>
      <c r="E377" s="15"/>
      <c r="F377" s="66"/>
      <c r="G377" s="18"/>
      <c r="H377" s="15"/>
      <c r="I377" s="18"/>
      <c r="J377" s="22"/>
      <c r="K377" s="108"/>
      <c r="L377" s="66"/>
      <c r="M377" s="66"/>
      <c r="N377" s="66"/>
      <c r="O377" s="66"/>
      <c r="P377" s="66"/>
      <c r="Q377" s="66"/>
      <c r="R377" s="66"/>
      <c r="S377" s="66"/>
      <c r="T377" s="66"/>
      <c r="U377" s="66"/>
      <c r="V377" s="66"/>
      <c r="W377" s="66"/>
      <c r="X377" s="66"/>
      <c r="Y377" s="66"/>
      <c r="Z377" s="66"/>
      <c r="AA377" s="66"/>
      <c r="AB377" s="66"/>
      <c r="AC377" s="66"/>
    </row>
    <row r="378">
      <c r="A378" s="66"/>
      <c r="B378" s="66"/>
      <c r="C378" s="66"/>
      <c r="D378" s="66"/>
      <c r="E378" s="15"/>
      <c r="F378" s="66"/>
      <c r="G378" s="18"/>
      <c r="H378" s="15"/>
      <c r="I378" s="18"/>
      <c r="J378" s="22"/>
      <c r="K378" s="108"/>
      <c r="L378" s="66"/>
      <c r="M378" s="66"/>
      <c r="N378" s="66"/>
      <c r="O378" s="66"/>
      <c r="P378" s="66"/>
      <c r="Q378" s="66"/>
      <c r="R378" s="66"/>
      <c r="S378" s="66"/>
      <c r="T378" s="66"/>
      <c r="U378" s="66"/>
      <c r="V378" s="66"/>
      <c r="W378" s="66"/>
      <c r="X378" s="66"/>
      <c r="Y378" s="66"/>
      <c r="Z378" s="66"/>
      <c r="AA378" s="66"/>
      <c r="AB378" s="66"/>
      <c r="AC378" s="66"/>
    </row>
    <row r="379">
      <c r="A379" s="66"/>
      <c r="B379" s="66"/>
      <c r="C379" s="66"/>
      <c r="D379" s="66"/>
      <c r="E379" s="15"/>
      <c r="F379" s="66"/>
      <c r="G379" s="18"/>
      <c r="H379" s="15"/>
      <c r="I379" s="18"/>
      <c r="J379" s="22"/>
      <c r="K379" s="108"/>
      <c r="L379" s="66"/>
      <c r="M379" s="66"/>
      <c r="N379" s="66"/>
      <c r="O379" s="66"/>
      <c r="P379" s="66"/>
      <c r="Q379" s="66"/>
      <c r="R379" s="66"/>
      <c r="S379" s="66"/>
      <c r="T379" s="66"/>
      <c r="U379" s="66"/>
      <c r="V379" s="66"/>
      <c r="W379" s="66"/>
      <c r="X379" s="66"/>
      <c r="Y379" s="66"/>
      <c r="Z379" s="66"/>
      <c r="AA379" s="66"/>
      <c r="AB379" s="66"/>
      <c r="AC379" s="66"/>
    </row>
    <row r="380">
      <c r="A380" s="66"/>
      <c r="B380" s="66"/>
      <c r="C380" s="66"/>
      <c r="D380" s="66"/>
      <c r="E380" s="15"/>
      <c r="F380" s="66"/>
      <c r="G380" s="18"/>
      <c r="H380" s="15"/>
      <c r="I380" s="18"/>
      <c r="J380" s="22"/>
      <c r="K380" s="108"/>
      <c r="L380" s="66"/>
      <c r="M380" s="66"/>
      <c r="N380" s="66"/>
      <c r="O380" s="66"/>
      <c r="P380" s="66"/>
      <c r="Q380" s="66"/>
      <c r="R380" s="66"/>
      <c r="S380" s="66"/>
      <c r="T380" s="66"/>
      <c r="U380" s="66"/>
      <c r="V380" s="66"/>
      <c r="W380" s="66"/>
      <c r="X380" s="66"/>
      <c r="Y380" s="66"/>
      <c r="Z380" s="66"/>
      <c r="AA380" s="66"/>
      <c r="AB380" s="66"/>
      <c r="AC380" s="66"/>
    </row>
    <row r="381">
      <c r="A381" s="66"/>
      <c r="B381" s="66"/>
      <c r="C381" s="66"/>
      <c r="D381" s="66"/>
      <c r="E381" s="15"/>
      <c r="F381" s="66"/>
      <c r="G381" s="18"/>
      <c r="H381" s="15"/>
      <c r="I381" s="18"/>
      <c r="J381" s="22"/>
      <c r="K381" s="108"/>
      <c r="L381" s="66"/>
      <c r="M381" s="66"/>
      <c r="N381" s="66"/>
      <c r="O381" s="66"/>
      <c r="P381" s="66"/>
      <c r="Q381" s="66"/>
      <c r="R381" s="66"/>
      <c r="S381" s="66"/>
      <c r="T381" s="66"/>
      <c r="U381" s="66"/>
      <c r="V381" s="66"/>
      <c r="W381" s="66"/>
      <c r="X381" s="66"/>
      <c r="Y381" s="66"/>
      <c r="Z381" s="66"/>
      <c r="AA381" s="66"/>
      <c r="AB381" s="66"/>
      <c r="AC381" s="66"/>
    </row>
    <row r="382">
      <c r="A382" s="66"/>
      <c r="B382" s="66"/>
      <c r="C382" s="66"/>
      <c r="D382" s="66"/>
      <c r="E382" s="15"/>
      <c r="F382" s="66"/>
      <c r="G382" s="18"/>
      <c r="H382" s="15"/>
      <c r="I382" s="18"/>
      <c r="J382" s="22"/>
      <c r="K382" s="108"/>
      <c r="L382" s="66"/>
      <c r="M382" s="66"/>
      <c r="N382" s="66"/>
      <c r="O382" s="66"/>
      <c r="P382" s="66"/>
      <c r="Q382" s="66"/>
      <c r="R382" s="66"/>
      <c r="S382" s="66"/>
      <c r="T382" s="66"/>
      <c r="U382" s="66"/>
      <c r="V382" s="66"/>
      <c r="W382" s="66"/>
      <c r="X382" s="66"/>
      <c r="Y382" s="66"/>
      <c r="Z382" s="66"/>
      <c r="AA382" s="66"/>
      <c r="AB382" s="66"/>
      <c r="AC382" s="66"/>
    </row>
    <row r="383">
      <c r="A383" s="66"/>
      <c r="B383" s="66"/>
      <c r="C383" s="66"/>
      <c r="D383" s="66"/>
      <c r="E383" s="15"/>
      <c r="F383" s="66"/>
      <c r="G383" s="18"/>
      <c r="H383" s="15"/>
      <c r="I383" s="18"/>
      <c r="J383" s="22"/>
      <c r="K383" s="108"/>
      <c r="L383" s="66"/>
      <c r="M383" s="66"/>
      <c r="N383" s="66"/>
      <c r="O383" s="66"/>
      <c r="P383" s="66"/>
      <c r="Q383" s="66"/>
      <c r="R383" s="66"/>
      <c r="S383" s="66"/>
      <c r="T383" s="66"/>
      <c r="U383" s="66"/>
      <c r="V383" s="66"/>
      <c r="W383" s="66"/>
      <c r="X383" s="66"/>
      <c r="Y383" s="66"/>
      <c r="Z383" s="66"/>
      <c r="AA383" s="66"/>
      <c r="AB383" s="66"/>
      <c r="AC383" s="66"/>
    </row>
    <row r="384">
      <c r="A384" s="66"/>
      <c r="B384" s="66"/>
      <c r="C384" s="66"/>
      <c r="D384" s="66"/>
      <c r="E384" s="15"/>
      <c r="F384" s="66"/>
      <c r="G384" s="18"/>
      <c r="H384" s="15"/>
      <c r="I384" s="18"/>
      <c r="J384" s="22"/>
      <c r="K384" s="108"/>
      <c r="L384" s="66"/>
      <c r="M384" s="66"/>
      <c r="N384" s="66"/>
      <c r="O384" s="66"/>
      <c r="P384" s="66"/>
      <c r="Q384" s="66"/>
      <c r="R384" s="66"/>
      <c r="S384" s="66"/>
      <c r="T384" s="66"/>
      <c r="U384" s="66"/>
      <c r="V384" s="66"/>
      <c r="W384" s="66"/>
      <c r="X384" s="66"/>
      <c r="Y384" s="66"/>
      <c r="Z384" s="66"/>
      <c r="AA384" s="66"/>
      <c r="AB384" s="66"/>
      <c r="AC384" s="66"/>
    </row>
    <row r="385">
      <c r="A385" s="66"/>
      <c r="B385" s="66"/>
      <c r="C385" s="66"/>
      <c r="D385" s="66"/>
      <c r="E385" s="15"/>
      <c r="F385" s="66"/>
      <c r="G385" s="18"/>
      <c r="H385" s="15"/>
      <c r="I385" s="18"/>
      <c r="J385" s="22"/>
      <c r="K385" s="108"/>
      <c r="L385" s="66"/>
      <c r="M385" s="66"/>
      <c r="N385" s="66"/>
      <c r="O385" s="66"/>
      <c r="P385" s="66"/>
      <c r="Q385" s="66"/>
      <c r="R385" s="66"/>
      <c r="S385" s="66"/>
      <c r="T385" s="66"/>
      <c r="U385" s="66"/>
      <c r="V385" s="66"/>
      <c r="W385" s="66"/>
      <c r="X385" s="66"/>
      <c r="Y385" s="66"/>
      <c r="Z385" s="66"/>
      <c r="AA385" s="66"/>
      <c r="AB385" s="66"/>
      <c r="AC385" s="66"/>
    </row>
    <row r="386">
      <c r="A386" s="66"/>
      <c r="B386" s="66"/>
      <c r="C386" s="66"/>
      <c r="D386" s="66"/>
      <c r="E386" s="15"/>
      <c r="F386" s="66"/>
      <c r="G386" s="18"/>
      <c r="H386" s="15"/>
      <c r="I386" s="18"/>
      <c r="J386" s="22"/>
      <c r="K386" s="108"/>
      <c r="L386" s="66"/>
      <c r="M386" s="66"/>
      <c r="N386" s="66"/>
      <c r="O386" s="66"/>
      <c r="P386" s="66"/>
      <c r="Q386" s="66"/>
      <c r="R386" s="66"/>
      <c r="S386" s="66"/>
      <c r="T386" s="66"/>
      <c r="U386" s="66"/>
      <c r="V386" s="66"/>
      <c r="W386" s="66"/>
      <c r="X386" s="66"/>
      <c r="Y386" s="66"/>
      <c r="Z386" s="66"/>
      <c r="AA386" s="66"/>
      <c r="AB386" s="66"/>
      <c r="AC386" s="66"/>
    </row>
    <row r="387">
      <c r="A387" s="66"/>
      <c r="B387" s="66"/>
      <c r="C387" s="66"/>
      <c r="D387" s="66"/>
      <c r="E387" s="15"/>
      <c r="F387" s="66"/>
      <c r="G387" s="18"/>
      <c r="H387" s="15"/>
      <c r="I387" s="18"/>
      <c r="J387" s="22"/>
      <c r="K387" s="108"/>
      <c r="L387" s="66"/>
      <c r="M387" s="66"/>
      <c r="N387" s="66"/>
      <c r="O387" s="66"/>
      <c r="P387" s="66"/>
      <c r="Q387" s="66"/>
      <c r="R387" s="66"/>
      <c r="S387" s="66"/>
      <c r="T387" s="66"/>
      <c r="U387" s="66"/>
      <c r="V387" s="66"/>
      <c r="W387" s="66"/>
      <c r="X387" s="66"/>
      <c r="Y387" s="66"/>
      <c r="Z387" s="66"/>
      <c r="AA387" s="66"/>
      <c r="AB387" s="66"/>
      <c r="AC387" s="66"/>
    </row>
    <row r="388">
      <c r="A388" s="66"/>
      <c r="B388" s="66"/>
      <c r="C388" s="66"/>
      <c r="D388" s="66"/>
      <c r="E388" s="15"/>
      <c r="F388" s="66"/>
      <c r="G388" s="18"/>
      <c r="H388" s="15"/>
      <c r="I388" s="18"/>
      <c r="J388" s="22"/>
      <c r="K388" s="108"/>
      <c r="L388" s="66"/>
      <c r="M388" s="66"/>
      <c r="N388" s="66"/>
      <c r="O388" s="66"/>
      <c r="P388" s="66"/>
      <c r="Q388" s="66"/>
      <c r="R388" s="66"/>
      <c r="S388" s="66"/>
      <c r="T388" s="66"/>
      <c r="U388" s="66"/>
      <c r="V388" s="66"/>
      <c r="W388" s="66"/>
      <c r="X388" s="66"/>
      <c r="Y388" s="66"/>
      <c r="Z388" s="66"/>
      <c r="AA388" s="66"/>
      <c r="AB388" s="66"/>
      <c r="AC388" s="66"/>
    </row>
    <row r="389">
      <c r="A389" s="66"/>
      <c r="B389" s="66"/>
      <c r="C389" s="66"/>
      <c r="D389" s="66"/>
      <c r="E389" s="15"/>
      <c r="F389" s="66"/>
      <c r="G389" s="18"/>
      <c r="H389" s="15"/>
      <c r="I389" s="18"/>
      <c r="J389" s="22"/>
      <c r="K389" s="108"/>
      <c r="L389" s="66"/>
      <c r="M389" s="66"/>
      <c r="N389" s="66"/>
      <c r="O389" s="66"/>
      <c r="P389" s="66"/>
      <c r="Q389" s="66"/>
      <c r="R389" s="66"/>
      <c r="S389" s="66"/>
      <c r="T389" s="66"/>
      <c r="U389" s="66"/>
      <c r="V389" s="66"/>
      <c r="W389" s="66"/>
      <c r="X389" s="66"/>
      <c r="Y389" s="66"/>
      <c r="Z389" s="66"/>
      <c r="AA389" s="66"/>
      <c r="AB389" s="66"/>
      <c r="AC389" s="66"/>
    </row>
    <row r="390">
      <c r="A390" s="66"/>
      <c r="B390" s="66"/>
      <c r="C390" s="66"/>
      <c r="D390" s="66"/>
      <c r="E390" s="15"/>
      <c r="F390" s="66"/>
      <c r="G390" s="18"/>
      <c r="H390" s="15"/>
      <c r="I390" s="18"/>
      <c r="J390" s="22"/>
      <c r="K390" s="108"/>
      <c r="L390" s="66"/>
      <c r="M390" s="66"/>
      <c r="N390" s="66"/>
      <c r="O390" s="66"/>
      <c r="P390" s="66"/>
      <c r="Q390" s="66"/>
      <c r="R390" s="66"/>
      <c r="S390" s="66"/>
      <c r="T390" s="66"/>
      <c r="U390" s="66"/>
      <c r="V390" s="66"/>
      <c r="W390" s="66"/>
      <c r="X390" s="66"/>
      <c r="Y390" s="66"/>
      <c r="Z390" s="66"/>
      <c r="AA390" s="66"/>
      <c r="AB390" s="66"/>
      <c r="AC390" s="66"/>
    </row>
    <row r="391">
      <c r="A391" s="66"/>
      <c r="B391" s="66"/>
      <c r="C391" s="66"/>
      <c r="D391" s="66"/>
      <c r="E391" s="15"/>
      <c r="F391" s="66"/>
      <c r="G391" s="18"/>
      <c r="H391" s="15"/>
      <c r="I391" s="18"/>
      <c r="J391" s="22"/>
      <c r="K391" s="108"/>
      <c r="L391" s="66"/>
      <c r="M391" s="66"/>
      <c r="N391" s="66"/>
      <c r="O391" s="66"/>
      <c r="P391" s="66"/>
      <c r="Q391" s="66"/>
      <c r="R391" s="66"/>
      <c r="S391" s="66"/>
      <c r="T391" s="66"/>
      <c r="U391" s="66"/>
      <c r="V391" s="66"/>
      <c r="W391" s="66"/>
      <c r="X391" s="66"/>
      <c r="Y391" s="66"/>
      <c r="Z391" s="66"/>
      <c r="AA391" s="66"/>
      <c r="AB391" s="66"/>
      <c r="AC391" s="66"/>
    </row>
    <row r="392">
      <c r="A392" s="66"/>
      <c r="B392" s="66"/>
      <c r="C392" s="66"/>
      <c r="D392" s="66"/>
      <c r="E392" s="15"/>
      <c r="F392" s="66"/>
      <c r="G392" s="18"/>
      <c r="H392" s="15"/>
      <c r="I392" s="18"/>
      <c r="J392" s="22"/>
      <c r="K392" s="108"/>
      <c r="L392" s="66"/>
      <c r="M392" s="66"/>
      <c r="N392" s="66"/>
      <c r="O392" s="66"/>
      <c r="P392" s="66"/>
      <c r="Q392" s="66"/>
      <c r="R392" s="66"/>
      <c r="S392" s="66"/>
      <c r="T392" s="66"/>
      <c r="U392" s="66"/>
      <c r="V392" s="66"/>
      <c r="W392" s="66"/>
      <c r="X392" s="66"/>
      <c r="Y392" s="66"/>
      <c r="Z392" s="66"/>
      <c r="AA392" s="66"/>
      <c r="AB392" s="66"/>
      <c r="AC392" s="66"/>
    </row>
    <row r="393">
      <c r="A393" s="66"/>
      <c r="B393" s="66"/>
      <c r="C393" s="66"/>
      <c r="D393" s="66"/>
      <c r="E393" s="15"/>
      <c r="F393" s="66"/>
      <c r="G393" s="18"/>
      <c r="H393" s="15"/>
      <c r="I393" s="18"/>
      <c r="J393" s="22"/>
      <c r="K393" s="108"/>
      <c r="L393" s="66"/>
      <c r="M393" s="66"/>
      <c r="N393" s="66"/>
      <c r="O393" s="66"/>
      <c r="P393" s="66"/>
      <c r="Q393" s="66"/>
      <c r="R393" s="66"/>
      <c r="S393" s="66"/>
      <c r="T393" s="66"/>
      <c r="U393" s="66"/>
      <c r="V393" s="66"/>
      <c r="W393" s="66"/>
      <c r="X393" s="66"/>
      <c r="Y393" s="66"/>
      <c r="Z393" s="66"/>
      <c r="AA393" s="66"/>
      <c r="AB393" s="66"/>
      <c r="AC393" s="66"/>
    </row>
    <row r="394">
      <c r="A394" s="66"/>
      <c r="B394" s="66"/>
      <c r="C394" s="66"/>
      <c r="D394" s="66"/>
      <c r="E394" s="15"/>
      <c r="F394" s="66"/>
      <c r="G394" s="18"/>
      <c r="H394" s="15"/>
      <c r="I394" s="18"/>
      <c r="J394" s="22"/>
      <c r="K394" s="108"/>
      <c r="L394" s="66"/>
      <c r="M394" s="66"/>
      <c r="N394" s="66"/>
      <c r="O394" s="66"/>
      <c r="P394" s="66"/>
      <c r="Q394" s="66"/>
      <c r="R394" s="66"/>
      <c r="S394" s="66"/>
      <c r="T394" s="66"/>
      <c r="U394" s="66"/>
      <c r="V394" s="66"/>
      <c r="W394" s="66"/>
      <c r="X394" s="66"/>
      <c r="Y394" s="66"/>
      <c r="Z394" s="66"/>
      <c r="AA394" s="66"/>
      <c r="AB394" s="66"/>
      <c r="AC394" s="66"/>
    </row>
    <row r="395">
      <c r="A395" s="66"/>
      <c r="B395" s="66"/>
      <c r="C395" s="66"/>
      <c r="D395" s="66"/>
      <c r="E395" s="15"/>
      <c r="F395" s="66"/>
      <c r="G395" s="18"/>
      <c r="H395" s="15"/>
      <c r="I395" s="18"/>
      <c r="J395" s="22"/>
      <c r="K395" s="108"/>
      <c r="L395" s="66"/>
      <c r="M395" s="66"/>
      <c r="N395" s="66"/>
      <c r="O395" s="66"/>
      <c r="P395" s="66"/>
      <c r="Q395" s="66"/>
      <c r="R395" s="66"/>
      <c r="S395" s="66"/>
      <c r="T395" s="66"/>
      <c r="U395" s="66"/>
      <c r="V395" s="66"/>
      <c r="W395" s="66"/>
      <c r="X395" s="66"/>
      <c r="Y395" s="66"/>
      <c r="Z395" s="66"/>
      <c r="AA395" s="66"/>
      <c r="AB395" s="66"/>
      <c r="AC395" s="66"/>
    </row>
    <row r="396">
      <c r="A396" s="66"/>
      <c r="B396" s="66"/>
      <c r="C396" s="66"/>
      <c r="D396" s="66"/>
      <c r="E396" s="15"/>
      <c r="F396" s="66"/>
      <c r="G396" s="18"/>
      <c r="H396" s="15"/>
      <c r="I396" s="18"/>
      <c r="J396" s="22"/>
      <c r="K396" s="108"/>
      <c r="L396" s="66"/>
      <c r="M396" s="66"/>
      <c r="N396" s="66"/>
      <c r="O396" s="66"/>
      <c r="P396" s="66"/>
      <c r="Q396" s="66"/>
      <c r="R396" s="66"/>
      <c r="S396" s="66"/>
      <c r="T396" s="66"/>
      <c r="U396" s="66"/>
      <c r="V396" s="66"/>
      <c r="W396" s="66"/>
      <c r="X396" s="66"/>
      <c r="Y396" s="66"/>
      <c r="Z396" s="66"/>
      <c r="AA396" s="66"/>
      <c r="AB396" s="66"/>
      <c r="AC396" s="66"/>
    </row>
    <row r="397">
      <c r="A397" s="66"/>
      <c r="B397" s="66"/>
      <c r="C397" s="66"/>
      <c r="D397" s="66"/>
      <c r="E397" s="15"/>
      <c r="F397" s="66"/>
      <c r="G397" s="18"/>
      <c r="H397" s="15"/>
      <c r="I397" s="18"/>
      <c r="J397" s="22"/>
      <c r="K397" s="108"/>
      <c r="L397" s="66"/>
      <c r="M397" s="66"/>
      <c r="N397" s="66"/>
      <c r="O397" s="66"/>
      <c r="P397" s="66"/>
      <c r="Q397" s="66"/>
      <c r="R397" s="66"/>
      <c r="S397" s="66"/>
      <c r="T397" s="66"/>
      <c r="U397" s="66"/>
      <c r="V397" s="66"/>
      <c r="W397" s="66"/>
      <c r="X397" s="66"/>
      <c r="Y397" s="66"/>
      <c r="Z397" s="66"/>
      <c r="AA397" s="66"/>
      <c r="AB397" s="66"/>
      <c r="AC397" s="66"/>
    </row>
    <row r="398">
      <c r="A398" s="66"/>
      <c r="B398" s="66"/>
      <c r="C398" s="66"/>
      <c r="D398" s="66"/>
      <c r="E398" s="15"/>
      <c r="F398" s="66"/>
      <c r="G398" s="18"/>
      <c r="H398" s="15"/>
      <c r="I398" s="18"/>
      <c r="J398" s="22"/>
      <c r="K398" s="108"/>
      <c r="L398" s="66"/>
      <c r="M398" s="66"/>
      <c r="N398" s="66"/>
      <c r="O398" s="66"/>
      <c r="P398" s="66"/>
      <c r="Q398" s="66"/>
      <c r="R398" s="66"/>
      <c r="S398" s="66"/>
      <c r="T398" s="66"/>
      <c r="U398" s="66"/>
      <c r="V398" s="66"/>
      <c r="W398" s="66"/>
      <c r="X398" s="66"/>
      <c r="Y398" s="66"/>
      <c r="Z398" s="66"/>
      <c r="AA398" s="66"/>
      <c r="AB398" s="66"/>
      <c r="AC398" s="66"/>
    </row>
    <row r="399">
      <c r="A399" s="66"/>
      <c r="B399" s="66"/>
      <c r="C399" s="66"/>
      <c r="D399" s="66"/>
      <c r="E399" s="15"/>
      <c r="F399" s="66"/>
      <c r="G399" s="18"/>
      <c r="H399" s="15"/>
      <c r="I399" s="18"/>
      <c r="J399" s="22"/>
      <c r="K399" s="108"/>
      <c r="L399" s="66"/>
      <c r="M399" s="66"/>
      <c r="N399" s="66"/>
      <c r="O399" s="66"/>
      <c r="P399" s="66"/>
      <c r="Q399" s="66"/>
      <c r="R399" s="66"/>
      <c r="S399" s="66"/>
      <c r="T399" s="66"/>
      <c r="U399" s="66"/>
      <c r="V399" s="66"/>
      <c r="W399" s="66"/>
      <c r="X399" s="66"/>
      <c r="Y399" s="66"/>
      <c r="Z399" s="66"/>
      <c r="AA399" s="66"/>
      <c r="AB399" s="66"/>
      <c r="AC399" s="66"/>
    </row>
    <row r="400">
      <c r="A400" s="66"/>
      <c r="B400" s="66"/>
      <c r="C400" s="66"/>
      <c r="D400" s="66"/>
      <c r="E400" s="15"/>
      <c r="F400" s="66"/>
      <c r="G400" s="18"/>
      <c r="H400" s="15"/>
      <c r="I400" s="18"/>
      <c r="J400" s="22"/>
      <c r="K400" s="108"/>
      <c r="L400" s="66"/>
      <c r="M400" s="66"/>
      <c r="N400" s="66"/>
      <c r="O400" s="66"/>
      <c r="P400" s="66"/>
      <c r="Q400" s="66"/>
      <c r="R400" s="66"/>
      <c r="S400" s="66"/>
      <c r="T400" s="66"/>
      <c r="U400" s="66"/>
      <c r="V400" s="66"/>
      <c r="W400" s="66"/>
      <c r="X400" s="66"/>
      <c r="Y400" s="66"/>
      <c r="Z400" s="66"/>
      <c r="AA400" s="66"/>
      <c r="AB400" s="66"/>
      <c r="AC400" s="66"/>
    </row>
    <row r="401">
      <c r="A401" s="66"/>
      <c r="B401" s="66"/>
      <c r="C401" s="66"/>
      <c r="D401" s="66"/>
      <c r="E401" s="15"/>
      <c r="F401" s="66"/>
      <c r="G401" s="18"/>
      <c r="H401" s="15"/>
      <c r="I401" s="18"/>
      <c r="J401" s="22"/>
      <c r="K401" s="108"/>
      <c r="L401" s="66"/>
      <c r="M401" s="66"/>
      <c r="N401" s="66"/>
      <c r="O401" s="66"/>
      <c r="P401" s="66"/>
      <c r="Q401" s="66"/>
      <c r="R401" s="66"/>
      <c r="S401" s="66"/>
      <c r="T401" s="66"/>
      <c r="U401" s="66"/>
      <c r="V401" s="66"/>
      <c r="W401" s="66"/>
      <c r="X401" s="66"/>
      <c r="Y401" s="66"/>
      <c r="Z401" s="66"/>
      <c r="AA401" s="66"/>
      <c r="AB401" s="66"/>
      <c r="AC401" s="66"/>
    </row>
    <row r="402">
      <c r="A402" s="66"/>
      <c r="B402" s="66"/>
      <c r="C402" s="66"/>
      <c r="D402" s="66"/>
      <c r="E402" s="15"/>
      <c r="F402" s="66"/>
      <c r="G402" s="18"/>
      <c r="H402" s="15"/>
      <c r="I402" s="18"/>
      <c r="J402" s="22"/>
      <c r="K402" s="108"/>
      <c r="L402" s="66"/>
      <c r="M402" s="66"/>
      <c r="N402" s="66"/>
      <c r="O402" s="66"/>
      <c r="P402" s="66"/>
      <c r="Q402" s="66"/>
      <c r="R402" s="66"/>
      <c r="S402" s="66"/>
      <c r="T402" s="66"/>
      <c r="U402" s="66"/>
      <c r="V402" s="66"/>
      <c r="W402" s="66"/>
      <c r="X402" s="66"/>
      <c r="Y402" s="66"/>
      <c r="Z402" s="66"/>
      <c r="AA402" s="66"/>
      <c r="AB402" s="66"/>
      <c r="AC402" s="66"/>
    </row>
    <row r="403">
      <c r="A403" s="66"/>
      <c r="B403" s="66"/>
      <c r="C403" s="66"/>
      <c r="D403" s="66"/>
      <c r="E403" s="15"/>
      <c r="F403" s="66"/>
      <c r="G403" s="18"/>
      <c r="H403" s="15"/>
      <c r="I403" s="18"/>
      <c r="J403" s="22"/>
      <c r="K403" s="108"/>
      <c r="L403" s="66"/>
      <c r="M403" s="66"/>
      <c r="N403" s="66"/>
      <c r="O403" s="66"/>
      <c r="P403" s="66"/>
      <c r="Q403" s="66"/>
      <c r="R403" s="66"/>
      <c r="S403" s="66"/>
      <c r="T403" s="66"/>
      <c r="U403" s="66"/>
      <c r="V403" s="66"/>
      <c r="W403" s="66"/>
      <c r="X403" s="66"/>
      <c r="Y403" s="66"/>
      <c r="Z403" s="66"/>
      <c r="AA403" s="66"/>
      <c r="AB403" s="66"/>
      <c r="AC403" s="66"/>
    </row>
    <row r="404">
      <c r="A404" s="66"/>
      <c r="B404" s="66"/>
      <c r="C404" s="66"/>
      <c r="D404" s="66"/>
      <c r="E404" s="15"/>
      <c r="F404" s="66"/>
      <c r="G404" s="18"/>
      <c r="H404" s="15"/>
      <c r="I404" s="18"/>
      <c r="J404" s="22"/>
      <c r="K404" s="108"/>
      <c r="L404" s="66"/>
      <c r="M404" s="66"/>
      <c r="N404" s="66"/>
      <c r="O404" s="66"/>
      <c r="P404" s="66"/>
      <c r="Q404" s="66"/>
      <c r="R404" s="66"/>
      <c r="S404" s="66"/>
      <c r="T404" s="66"/>
      <c r="U404" s="66"/>
      <c r="V404" s="66"/>
      <c r="W404" s="66"/>
      <c r="X404" s="66"/>
      <c r="Y404" s="66"/>
      <c r="Z404" s="66"/>
      <c r="AA404" s="66"/>
      <c r="AB404" s="66"/>
      <c r="AC404" s="66"/>
    </row>
    <row r="405">
      <c r="A405" s="66"/>
      <c r="B405" s="66"/>
      <c r="C405" s="66"/>
      <c r="D405" s="66"/>
      <c r="E405" s="15"/>
      <c r="F405" s="66"/>
      <c r="G405" s="18"/>
      <c r="H405" s="15"/>
      <c r="I405" s="18"/>
      <c r="J405" s="22"/>
      <c r="K405" s="108"/>
      <c r="L405" s="66"/>
      <c r="M405" s="66"/>
      <c r="N405" s="66"/>
      <c r="O405" s="66"/>
      <c r="P405" s="66"/>
      <c r="Q405" s="66"/>
      <c r="R405" s="66"/>
      <c r="S405" s="66"/>
      <c r="T405" s="66"/>
      <c r="U405" s="66"/>
      <c r="V405" s="66"/>
      <c r="W405" s="66"/>
      <c r="X405" s="66"/>
      <c r="Y405" s="66"/>
      <c r="Z405" s="66"/>
      <c r="AA405" s="66"/>
      <c r="AB405" s="66"/>
      <c r="AC405" s="66"/>
    </row>
    <row r="406">
      <c r="A406" s="66"/>
      <c r="B406" s="66"/>
      <c r="C406" s="66"/>
      <c r="D406" s="66"/>
      <c r="E406" s="15"/>
      <c r="F406" s="66"/>
      <c r="G406" s="18"/>
      <c r="H406" s="15"/>
      <c r="I406" s="18"/>
      <c r="J406" s="22"/>
      <c r="K406" s="108"/>
      <c r="L406" s="66"/>
      <c r="M406" s="66"/>
      <c r="N406" s="66"/>
      <c r="O406" s="66"/>
      <c r="P406" s="66"/>
      <c r="Q406" s="66"/>
      <c r="R406" s="66"/>
      <c r="S406" s="66"/>
      <c r="T406" s="66"/>
      <c r="U406" s="66"/>
      <c r="V406" s="66"/>
      <c r="W406" s="66"/>
      <c r="X406" s="66"/>
      <c r="Y406" s="66"/>
      <c r="Z406" s="66"/>
      <c r="AA406" s="66"/>
      <c r="AB406" s="66"/>
      <c r="AC406" s="66"/>
    </row>
    <row r="407">
      <c r="A407" s="66"/>
      <c r="B407" s="66"/>
      <c r="C407" s="66"/>
      <c r="D407" s="66"/>
      <c r="E407" s="15"/>
      <c r="F407" s="66"/>
      <c r="G407" s="18"/>
      <c r="H407" s="15"/>
      <c r="I407" s="18"/>
      <c r="J407" s="22"/>
      <c r="K407" s="108"/>
      <c r="L407" s="66"/>
      <c r="M407" s="66"/>
      <c r="N407" s="66"/>
      <c r="O407" s="66"/>
      <c r="P407" s="66"/>
      <c r="Q407" s="66"/>
      <c r="R407" s="66"/>
      <c r="S407" s="66"/>
      <c r="T407" s="66"/>
      <c r="U407" s="66"/>
      <c r="V407" s="66"/>
      <c r="W407" s="66"/>
      <c r="X407" s="66"/>
      <c r="Y407" s="66"/>
      <c r="Z407" s="66"/>
      <c r="AA407" s="66"/>
      <c r="AB407" s="66"/>
      <c r="AC407" s="66"/>
    </row>
    <row r="408">
      <c r="A408" s="66"/>
      <c r="B408" s="66"/>
      <c r="C408" s="66"/>
      <c r="D408" s="66"/>
      <c r="E408" s="15"/>
      <c r="F408" s="66"/>
      <c r="G408" s="18"/>
      <c r="H408" s="15"/>
      <c r="I408" s="18"/>
      <c r="J408" s="22"/>
      <c r="K408" s="108"/>
      <c r="L408" s="66"/>
      <c r="M408" s="66"/>
      <c r="N408" s="66"/>
      <c r="O408" s="66"/>
      <c r="P408" s="66"/>
      <c r="Q408" s="66"/>
      <c r="R408" s="66"/>
      <c r="S408" s="66"/>
      <c r="T408" s="66"/>
      <c r="U408" s="66"/>
      <c r="V408" s="66"/>
      <c r="W408" s="66"/>
      <c r="X408" s="66"/>
      <c r="Y408" s="66"/>
      <c r="Z408" s="66"/>
      <c r="AA408" s="66"/>
      <c r="AB408" s="66"/>
      <c r="AC408" s="66"/>
    </row>
    <row r="409">
      <c r="A409" s="66"/>
      <c r="B409" s="66"/>
      <c r="C409" s="66"/>
      <c r="D409" s="66"/>
      <c r="E409" s="15"/>
      <c r="F409" s="66"/>
      <c r="G409" s="18"/>
      <c r="H409" s="15"/>
      <c r="I409" s="18"/>
      <c r="J409" s="22"/>
      <c r="K409" s="108"/>
      <c r="L409" s="66"/>
      <c r="M409" s="66"/>
      <c r="N409" s="66"/>
      <c r="O409" s="66"/>
      <c r="P409" s="66"/>
      <c r="Q409" s="66"/>
      <c r="R409" s="66"/>
      <c r="S409" s="66"/>
      <c r="T409" s="66"/>
      <c r="U409" s="66"/>
      <c r="V409" s="66"/>
      <c r="W409" s="66"/>
      <c r="X409" s="66"/>
      <c r="Y409" s="66"/>
      <c r="Z409" s="66"/>
      <c r="AA409" s="66"/>
      <c r="AB409" s="66"/>
      <c r="AC409" s="66"/>
    </row>
    <row r="410">
      <c r="A410" s="66"/>
      <c r="B410" s="66"/>
      <c r="C410" s="66"/>
      <c r="D410" s="66"/>
      <c r="E410" s="15"/>
      <c r="F410" s="66"/>
      <c r="G410" s="18"/>
      <c r="H410" s="15"/>
      <c r="I410" s="18"/>
      <c r="J410" s="22"/>
      <c r="K410" s="108"/>
      <c r="L410" s="66"/>
      <c r="M410" s="66"/>
      <c r="N410" s="66"/>
      <c r="O410" s="66"/>
      <c r="P410" s="66"/>
      <c r="Q410" s="66"/>
      <c r="R410" s="66"/>
      <c r="S410" s="66"/>
      <c r="T410" s="66"/>
      <c r="U410" s="66"/>
      <c r="V410" s="66"/>
      <c r="W410" s="66"/>
      <c r="X410" s="66"/>
      <c r="Y410" s="66"/>
      <c r="Z410" s="66"/>
      <c r="AA410" s="66"/>
      <c r="AB410" s="66"/>
      <c r="AC410" s="66"/>
    </row>
    <row r="411">
      <c r="A411" s="66"/>
      <c r="B411" s="66"/>
      <c r="C411" s="66"/>
      <c r="D411" s="66"/>
      <c r="E411" s="15"/>
      <c r="F411" s="66"/>
      <c r="G411" s="18"/>
      <c r="H411" s="15"/>
      <c r="I411" s="18"/>
      <c r="J411" s="22"/>
      <c r="K411" s="108"/>
      <c r="L411" s="66"/>
      <c r="M411" s="66"/>
      <c r="N411" s="66"/>
      <c r="O411" s="66"/>
      <c r="P411" s="66"/>
      <c r="Q411" s="66"/>
      <c r="R411" s="66"/>
      <c r="S411" s="66"/>
      <c r="T411" s="66"/>
      <c r="U411" s="66"/>
      <c r="V411" s="66"/>
      <c r="W411" s="66"/>
      <c r="X411" s="66"/>
      <c r="Y411" s="66"/>
      <c r="Z411" s="66"/>
      <c r="AA411" s="66"/>
      <c r="AB411" s="66"/>
      <c r="AC411" s="66"/>
    </row>
    <row r="412">
      <c r="A412" s="66"/>
      <c r="B412" s="66"/>
      <c r="C412" s="66"/>
      <c r="D412" s="66"/>
      <c r="E412" s="15"/>
      <c r="F412" s="66"/>
      <c r="G412" s="18"/>
      <c r="H412" s="15"/>
      <c r="I412" s="18"/>
      <c r="J412" s="22"/>
      <c r="K412" s="108"/>
      <c r="L412" s="66"/>
      <c r="M412" s="66"/>
      <c r="N412" s="66"/>
      <c r="O412" s="66"/>
      <c r="P412" s="66"/>
      <c r="Q412" s="66"/>
      <c r="R412" s="66"/>
      <c r="S412" s="66"/>
      <c r="T412" s="66"/>
      <c r="U412" s="66"/>
      <c r="V412" s="66"/>
      <c r="W412" s="66"/>
      <c r="X412" s="66"/>
      <c r="Y412" s="66"/>
      <c r="Z412" s="66"/>
      <c r="AA412" s="66"/>
      <c r="AB412" s="66"/>
      <c r="AC412" s="66"/>
    </row>
    <row r="413">
      <c r="A413" s="66"/>
      <c r="B413" s="66"/>
      <c r="C413" s="66"/>
      <c r="D413" s="66"/>
      <c r="E413" s="15"/>
      <c r="F413" s="66"/>
      <c r="G413" s="18"/>
      <c r="H413" s="15"/>
      <c r="I413" s="18"/>
      <c r="J413" s="22"/>
      <c r="K413" s="108"/>
      <c r="L413" s="66"/>
      <c r="M413" s="66"/>
      <c r="N413" s="66"/>
      <c r="O413" s="66"/>
      <c r="P413" s="66"/>
      <c r="Q413" s="66"/>
      <c r="R413" s="66"/>
      <c r="S413" s="66"/>
      <c r="T413" s="66"/>
      <c r="U413" s="66"/>
      <c r="V413" s="66"/>
      <c r="W413" s="66"/>
      <c r="X413" s="66"/>
      <c r="Y413" s="66"/>
      <c r="Z413" s="66"/>
      <c r="AA413" s="66"/>
      <c r="AB413" s="66"/>
      <c r="AC413" s="66"/>
    </row>
    <row r="414">
      <c r="A414" s="66"/>
      <c r="B414" s="66"/>
      <c r="C414" s="66"/>
      <c r="D414" s="66"/>
      <c r="E414" s="15"/>
      <c r="F414" s="66"/>
      <c r="G414" s="18"/>
      <c r="H414" s="15"/>
      <c r="I414" s="18"/>
      <c r="J414" s="22"/>
      <c r="K414" s="108"/>
      <c r="L414" s="66"/>
      <c r="M414" s="66"/>
      <c r="N414" s="66"/>
      <c r="O414" s="66"/>
      <c r="P414" s="66"/>
      <c r="Q414" s="66"/>
      <c r="R414" s="66"/>
      <c r="S414" s="66"/>
      <c r="T414" s="66"/>
      <c r="U414" s="66"/>
      <c r="V414" s="66"/>
      <c r="W414" s="66"/>
      <c r="X414" s="66"/>
      <c r="Y414" s="66"/>
      <c r="Z414" s="66"/>
      <c r="AA414" s="66"/>
      <c r="AB414" s="66"/>
      <c r="AC414" s="66"/>
    </row>
    <row r="415">
      <c r="A415" s="66"/>
      <c r="B415" s="66"/>
      <c r="C415" s="66"/>
      <c r="D415" s="66"/>
      <c r="E415" s="15"/>
      <c r="F415" s="66"/>
      <c r="G415" s="18"/>
      <c r="H415" s="15"/>
      <c r="I415" s="18"/>
      <c r="J415" s="22"/>
      <c r="K415" s="108"/>
      <c r="L415" s="66"/>
      <c r="M415" s="66"/>
      <c r="N415" s="66"/>
      <c r="O415" s="66"/>
      <c r="P415" s="66"/>
      <c r="Q415" s="66"/>
      <c r="R415" s="66"/>
      <c r="S415" s="66"/>
      <c r="T415" s="66"/>
      <c r="U415" s="66"/>
      <c r="V415" s="66"/>
      <c r="W415" s="66"/>
      <c r="X415" s="66"/>
      <c r="Y415" s="66"/>
      <c r="Z415" s="66"/>
      <c r="AA415" s="66"/>
      <c r="AB415" s="66"/>
      <c r="AC415" s="66"/>
    </row>
    <row r="416">
      <c r="A416" s="66"/>
      <c r="B416" s="66"/>
      <c r="C416" s="66"/>
      <c r="D416" s="66"/>
      <c r="E416" s="15"/>
      <c r="F416" s="66"/>
      <c r="G416" s="18"/>
      <c r="H416" s="15"/>
      <c r="I416" s="18"/>
      <c r="J416" s="22"/>
      <c r="K416" s="108"/>
      <c r="L416" s="66"/>
      <c r="M416" s="66"/>
      <c r="N416" s="66"/>
      <c r="O416" s="66"/>
      <c r="P416" s="66"/>
      <c r="Q416" s="66"/>
      <c r="R416" s="66"/>
      <c r="S416" s="66"/>
      <c r="T416" s="66"/>
      <c r="U416" s="66"/>
      <c r="V416" s="66"/>
      <c r="W416" s="66"/>
      <c r="X416" s="66"/>
      <c r="Y416" s="66"/>
      <c r="Z416" s="66"/>
      <c r="AA416" s="66"/>
      <c r="AB416" s="66"/>
      <c r="AC416" s="66"/>
    </row>
    <row r="417">
      <c r="A417" s="66"/>
      <c r="B417" s="66"/>
      <c r="C417" s="66"/>
      <c r="D417" s="66"/>
      <c r="E417" s="15"/>
      <c r="F417" s="66"/>
      <c r="G417" s="18"/>
      <c r="H417" s="15"/>
      <c r="I417" s="18"/>
      <c r="J417" s="22"/>
      <c r="K417" s="108"/>
      <c r="L417" s="66"/>
      <c r="M417" s="66"/>
      <c r="N417" s="66"/>
      <c r="O417" s="66"/>
      <c r="P417" s="66"/>
      <c r="Q417" s="66"/>
      <c r="R417" s="66"/>
      <c r="S417" s="66"/>
      <c r="T417" s="66"/>
      <c r="U417" s="66"/>
      <c r="V417" s="66"/>
      <c r="W417" s="66"/>
      <c r="X417" s="66"/>
      <c r="Y417" s="66"/>
      <c r="Z417" s="66"/>
      <c r="AA417" s="66"/>
      <c r="AB417" s="66"/>
      <c r="AC417" s="66"/>
    </row>
    <row r="418">
      <c r="A418" s="66"/>
      <c r="B418" s="66"/>
      <c r="C418" s="66"/>
      <c r="D418" s="66"/>
      <c r="E418" s="15"/>
      <c r="F418" s="66"/>
      <c r="G418" s="18"/>
      <c r="H418" s="15"/>
      <c r="I418" s="18"/>
      <c r="J418" s="22"/>
      <c r="K418" s="108"/>
      <c r="L418" s="66"/>
      <c r="M418" s="66"/>
      <c r="N418" s="66"/>
      <c r="O418" s="66"/>
      <c r="P418" s="66"/>
      <c r="Q418" s="66"/>
      <c r="R418" s="66"/>
      <c r="S418" s="66"/>
      <c r="T418" s="66"/>
      <c r="U418" s="66"/>
      <c r="V418" s="66"/>
      <c r="W418" s="66"/>
      <c r="X418" s="66"/>
      <c r="Y418" s="66"/>
      <c r="Z418" s="66"/>
      <c r="AA418" s="66"/>
      <c r="AB418" s="66"/>
      <c r="AC418" s="66"/>
    </row>
    <row r="419">
      <c r="A419" s="66"/>
      <c r="B419" s="66"/>
      <c r="C419" s="66"/>
      <c r="D419" s="66"/>
      <c r="E419" s="15"/>
      <c r="F419" s="66"/>
      <c r="G419" s="18"/>
      <c r="H419" s="15"/>
      <c r="I419" s="18"/>
      <c r="J419" s="22"/>
      <c r="K419" s="108"/>
      <c r="L419" s="66"/>
      <c r="M419" s="66"/>
      <c r="N419" s="66"/>
      <c r="O419" s="66"/>
      <c r="P419" s="66"/>
      <c r="Q419" s="66"/>
      <c r="R419" s="66"/>
      <c r="S419" s="66"/>
      <c r="T419" s="66"/>
      <c r="U419" s="66"/>
      <c r="V419" s="66"/>
      <c r="W419" s="66"/>
      <c r="X419" s="66"/>
      <c r="Y419" s="66"/>
      <c r="Z419" s="66"/>
      <c r="AA419" s="66"/>
      <c r="AB419" s="66"/>
      <c r="AC419" s="66"/>
    </row>
    <row r="420">
      <c r="A420" s="66"/>
      <c r="B420" s="66"/>
      <c r="C420" s="66"/>
      <c r="D420" s="66"/>
      <c r="E420" s="15"/>
      <c r="F420" s="66"/>
      <c r="G420" s="18"/>
      <c r="H420" s="15"/>
      <c r="I420" s="18"/>
      <c r="J420" s="22"/>
      <c r="K420" s="108"/>
      <c r="L420" s="66"/>
      <c r="M420" s="66"/>
      <c r="N420" s="66"/>
      <c r="O420" s="66"/>
      <c r="P420" s="66"/>
      <c r="Q420" s="66"/>
      <c r="R420" s="66"/>
      <c r="S420" s="66"/>
      <c r="T420" s="66"/>
      <c r="U420" s="66"/>
      <c r="V420" s="66"/>
      <c r="W420" s="66"/>
      <c r="X420" s="66"/>
      <c r="Y420" s="66"/>
      <c r="Z420" s="66"/>
      <c r="AA420" s="66"/>
      <c r="AB420" s="66"/>
      <c r="AC420" s="66"/>
    </row>
    <row r="421">
      <c r="A421" s="66"/>
      <c r="B421" s="66"/>
      <c r="C421" s="66"/>
      <c r="D421" s="66"/>
      <c r="E421" s="15"/>
      <c r="F421" s="66"/>
      <c r="G421" s="18"/>
      <c r="H421" s="15"/>
      <c r="I421" s="18"/>
      <c r="J421" s="22"/>
      <c r="K421" s="108"/>
      <c r="L421" s="66"/>
      <c r="M421" s="66"/>
      <c r="N421" s="66"/>
      <c r="O421" s="66"/>
      <c r="P421" s="66"/>
      <c r="Q421" s="66"/>
      <c r="R421" s="66"/>
      <c r="S421" s="66"/>
      <c r="T421" s="66"/>
      <c r="U421" s="66"/>
      <c r="V421" s="66"/>
      <c r="W421" s="66"/>
      <c r="X421" s="66"/>
      <c r="Y421" s="66"/>
      <c r="Z421" s="66"/>
      <c r="AA421" s="66"/>
      <c r="AB421" s="66"/>
      <c r="AC421" s="66"/>
    </row>
    <row r="422">
      <c r="A422" s="66"/>
      <c r="B422" s="66"/>
      <c r="C422" s="66"/>
      <c r="D422" s="66"/>
      <c r="E422" s="15"/>
      <c r="F422" s="66"/>
      <c r="G422" s="18"/>
      <c r="H422" s="15"/>
      <c r="I422" s="18"/>
      <c r="J422" s="22"/>
      <c r="K422" s="108"/>
      <c r="L422" s="66"/>
      <c r="M422" s="66"/>
      <c r="N422" s="66"/>
      <c r="O422" s="66"/>
      <c r="P422" s="66"/>
      <c r="Q422" s="66"/>
      <c r="R422" s="66"/>
      <c r="S422" s="66"/>
      <c r="T422" s="66"/>
      <c r="U422" s="66"/>
      <c r="V422" s="66"/>
      <c r="W422" s="66"/>
      <c r="X422" s="66"/>
      <c r="Y422" s="66"/>
      <c r="Z422" s="66"/>
      <c r="AA422" s="66"/>
      <c r="AB422" s="66"/>
      <c r="AC422" s="66"/>
    </row>
    <row r="423">
      <c r="A423" s="66"/>
      <c r="B423" s="66"/>
      <c r="C423" s="66"/>
      <c r="D423" s="66"/>
      <c r="E423" s="15"/>
      <c r="F423" s="66"/>
      <c r="G423" s="18"/>
      <c r="H423" s="15"/>
      <c r="I423" s="18"/>
      <c r="J423" s="22"/>
      <c r="K423" s="108"/>
      <c r="L423" s="66"/>
      <c r="M423" s="66"/>
      <c r="N423" s="66"/>
      <c r="O423" s="66"/>
      <c r="P423" s="66"/>
      <c r="Q423" s="66"/>
      <c r="R423" s="66"/>
      <c r="S423" s="66"/>
      <c r="T423" s="66"/>
      <c r="U423" s="66"/>
      <c r="V423" s="66"/>
      <c r="W423" s="66"/>
      <c r="X423" s="66"/>
      <c r="Y423" s="66"/>
      <c r="Z423" s="66"/>
      <c r="AA423" s="66"/>
      <c r="AB423" s="66"/>
      <c r="AC423" s="66"/>
    </row>
    <row r="424">
      <c r="A424" s="66"/>
      <c r="B424" s="66"/>
      <c r="C424" s="66"/>
      <c r="D424" s="66"/>
      <c r="E424" s="15"/>
      <c r="F424" s="66"/>
      <c r="G424" s="18"/>
      <c r="H424" s="15"/>
      <c r="I424" s="18"/>
      <c r="J424" s="22"/>
      <c r="K424" s="108"/>
      <c r="L424" s="66"/>
      <c r="M424" s="66"/>
      <c r="N424" s="66"/>
      <c r="O424" s="66"/>
      <c r="P424" s="66"/>
      <c r="Q424" s="66"/>
      <c r="R424" s="66"/>
      <c r="S424" s="66"/>
      <c r="T424" s="66"/>
      <c r="U424" s="66"/>
      <c r="V424" s="66"/>
      <c r="W424" s="66"/>
      <c r="X424" s="66"/>
      <c r="Y424" s="66"/>
      <c r="Z424" s="66"/>
      <c r="AA424" s="66"/>
      <c r="AB424" s="66"/>
      <c r="AC424" s="66"/>
    </row>
    <row r="425">
      <c r="A425" s="66"/>
      <c r="B425" s="66"/>
      <c r="C425" s="66"/>
      <c r="D425" s="66"/>
      <c r="E425" s="15"/>
      <c r="F425" s="66"/>
      <c r="G425" s="18"/>
      <c r="H425" s="15"/>
      <c r="I425" s="18"/>
      <c r="J425" s="22"/>
      <c r="K425" s="108"/>
      <c r="L425" s="66"/>
      <c r="M425" s="66"/>
      <c r="N425" s="66"/>
      <c r="O425" s="66"/>
      <c r="P425" s="66"/>
      <c r="Q425" s="66"/>
      <c r="R425" s="66"/>
      <c r="S425" s="66"/>
      <c r="T425" s="66"/>
      <c r="U425" s="66"/>
      <c r="V425" s="66"/>
      <c r="W425" s="66"/>
      <c r="X425" s="66"/>
      <c r="Y425" s="66"/>
      <c r="Z425" s="66"/>
      <c r="AA425" s="66"/>
      <c r="AB425" s="66"/>
      <c r="AC425" s="66"/>
    </row>
    <row r="426">
      <c r="A426" s="66"/>
      <c r="B426" s="66"/>
      <c r="C426" s="66"/>
      <c r="D426" s="66"/>
      <c r="E426" s="15"/>
      <c r="F426" s="66"/>
      <c r="G426" s="18"/>
      <c r="H426" s="15"/>
      <c r="I426" s="18"/>
      <c r="J426" s="22"/>
      <c r="K426" s="108"/>
      <c r="L426" s="66"/>
      <c r="M426" s="66"/>
      <c r="N426" s="66"/>
      <c r="O426" s="66"/>
      <c r="P426" s="66"/>
      <c r="Q426" s="66"/>
      <c r="R426" s="66"/>
      <c r="S426" s="66"/>
      <c r="T426" s="66"/>
      <c r="U426" s="66"/>
      <c r="V426" s="66"/>
      <c r="W426" s="66"/>
      <c r="X426" s="66"/>
      <c r="Y426" s="66"/>
      <c r="Z426" s="66"/>
      <c r="AA426" s="66"/>
      <c r="AB426" s="66"/>
      <c r="AC426" s="66"/>
    </row>
    <row r="427">
      <c r="A427" s="66"/>
      <c r="B427" s="66"/>
      <c r="C427" s="66"/>
      <c r="D427" s="66"/>
      <c r="E427" s="15"/>
      <c r="F427" s="66"/>
      <c r="G427" s="18"/>
      <c r="H427" s="15"/>
      <c r="I427" s="18"/>
      <c r="J427" s="22"/>
      <c r="K427" s="108"/>
      <c r="L427" s="66"/>
      <c r="M427" s="66"/>
      <c r="N427" s="66"/>
      <c r="O427" s="66"/>
      <c r="P427" s="66"/>
      <c r="Q427" s="66"/>
      <c r="R427" s="66"/>
      <c r="S427" s="66"/>
      <c r="T427" s="66"/>
      <c r="U427" s="66"/>
      <c r="V427" s="66"/>
      <c r="W427" s="66"/>
      <c r="X427" s="66"/>
      <c r="Y427" s="66"/>
      <c r="Z427" s="66"/>
      <c r="AA427" s="66"/>
      <c r="AB427" s="66"/>
      <c r="AC427" s="66"/>
    </row>
    <row r="428">
      <c r="A428" s="66"/>
      <c r="B428" s="66"/>
      <c r="C428" s="66"/>
      <c r="D428" s="66"/>
      <c r="E428" s="15"/>
      <c r="F428" s="66"/>
      <c r="G428" s="18"/>
      <c r="H428" s="15"/>
      <c r="I428" s="18"/>
      <c r="J428" s="22"/>
      <c r="K428" s="108"/>
      <c r="L428" s="66"/>
      <c r="M428" s="66"/>
      <c r="N428" s="66"/>
      <c r="O428" s="66"/>
      <c r="P428" s="66"/>
      <c r="Q428" s="66"/>
      <c r="R428" s="66"/>
      <c r="S428" s="66"/>
      <c r="T428" s="66"/>
      <c r="U428" s="66"/>
      <c r="V428" s="66"/>
      <c r="W428" s="66"/>
      <c r="X428" s="66"/>
      <c r="Y428" s="66"/>
      <c r="Z428" s="66"/>
      <c r="AA428" s="66"/>
      <c r="AB428" s="66"/>
      <c r="AC428" s="66"/>
    </row>
    <row r="429">
      <c r="A429" s="66"/>
      <c r="B429" s="66"/>
      <c r="C429" s="66"/>
      <c r="D429" s="66"/>
      <c r="E429" s="15"/>
      <c r="F429" s="66"/>
      <c r="G429" s="18"/>
      <c r="H429" s="15"/>
      <c r="I429" s="18"/>
      <c r="J429" s="22"/>
      <c r="K429" s="108"/>
      <c r="L429" s="66"/>
      <c r="M429" s="66"/>
      <c r="N429" s="66"/>
      <c r="O429" s="66"/>
      <c r="P429" s="66"/>
      <c r="Q429" s="66"/>
      <c r="R429" s="66"/>
      <c r="S429" s="66"/>
      <c r="T429" s="66"/>
      <c r="U429" s="66"/>
      <c r="V429" s="66"/>
      <c r="W429" s="66"/>
      <c r="X429" s="66"/>
      <c r="Y429" s="66"/>
      <c r="Z429" s="66"/>
      <c r="AA429" s="66"/>
      <c r="AB429" s="66"/>
      <c r="AC429" s="66"/>
    </row>
    <row r="430">
      <c r="A430" s="66"/>
      <c r="B430" s="66"/>
      <c r="C430" s="66"/>
      <c r="D430" s="66"/>
      <c r="E430" s="15"/>
      <c r="F430" s="66"/>
      <c r="G430" s="18"/>
      <c r="H430" s="15"/>
      <c r="I430" s="18"/>
      <c r="J430" s="22"/>
      <c r="K430" s="108"/>
      <c r="L430" s="66"/>
      <c r="M430" s="66"/>
      <c r="N430" s="66"/>
      <c r="O430" s="66"/>
      <c r="P430" s="66"/>
      <c r="Q430" s="66"/>
      <c r="R430" s="66"/>
      <c r="S430" s="66"/>
      <c r="T430" s="66"/>
      <c r="U430" s="66"/>
      <c r="V430" s="66"/>
      <c r="W430" s="66"/>
      <c r="X430" s="66"/>
      <c r="Y430" s="66"/>
      <c r="Z430" s="66"/>
      <c r="AA430" s="66"/>
      <c r="AB430" s="66"/>
      <c r="AC430" s="66"/>
    </row>
    <row r="431">
      <c r="A431" s="66"/>
      <c r="B431" s="66"/>
      <c r="C431" s="66"/>
      <c r="D431" s="66"/>
      <c r="E431" s="15"/>
      <c r="F431" s="66"/>
      <c r="G431" s="18"/>
      <c r="H431" s="15"/>
      <c r="I431" s="18"/>
      <c r="J431" s="22"/>
      <c r="K431" s="108"/>
      <c r="L431" s="66"/>
      <c r="M431" s="66"/>
      <c r="N431" s="66"/>
      <c r="O431" s="66"/>
      <c r="P431" s="66"/>
      <c r="Q431" s="66"/>
      <c r="R431" s="66"/>
      <c r="S431" s="66"/>
      <c r="T431" s="66"/>
      <c r="U431" s="66"/>
      <c r="V431" s="66"/>
      <c r="W431" s="66"/>
      <c r="X431" s="66"/>
      <c r="Y431" s="66"/>
      <c r="Z431" s="66"/>
      <c r="AA431" s="66"/>
      <c r="AB431" s="66"/>
      <c r="AC431" s="66"/>
    </row>
    <row r="432">
      <c r="A432" s="66"/>
      <c r="B432" s="66"/>
      <c r="C432" s="66"/>
      <c r="D432" s="66"/>
      <c r="E432" s="15"/>
      <c r="F432" s="66"/>
      <c r="G432" s="18"/>
      <c r="H432" s="15"/>
      <c r="I432" s="18"/>
      <c r="J432" s="22"/>
      <c r="K432" s="108"/>
      <c r="L432" s="66"/>
      <c r="M432" s="66"/>
      <c r="N432" s="66"/>
      <c r="O432" s="66"/>
      <c r="P432" s="66"/>
      <c r="Q432" s="66"/>
      <c r="R432" s="66"/>
      <c r="S432" s="66"/>
      <c r="T432" s="66"/>
      <c r="U432" s="66"/>
      <c r="V432" s="66"/>
      <c r="W432" s="66"/>
      <c r="X432" s="66"/>
      <c r="Y432" s="66"/>
      <c r="Z432" s="66"/>
      <c r="AA432" s="66"/>
      <c r="AB432" s="66"/>
      <c r="AC432" s="66"/>
    </row>
    <row r="433">
      <c r="A433" s="66"/>
      <c r="B433" s="66"/>
      <c r="C433" s="66"/>
      <c r="D433" s="66"/>
      <c r="E433" s="15"/>
      <c r="F433" s="66"/>
      <c r="G433" s="18"/>
      <c r="H433" s="15"/>
      <c r="I433" s="18"/>
      <c r="J433" s="22"/>
      <c r="K433" s="108"/>
      <c r="L433" s="66"/>
      <c r="M433" s="66"/>
      <c r="N433" s="66"/>
      <c r="O433" s="66"/>
      <c r="P433" s="66"/>
      <c r="Q433" s="66"/>
      <c r="R433" s="66"/>
      <c r="S433" s="66"/>
      <c r="T433" s="66"/>
      <c r="U433" s="66"/>
      <c r="V433" s="66"/>
      <c r="W433" s="66"/>
      <c r="X433" s="66"/>
      <c r="Y433" s="66"/>
      <c r="Z433" s="66"/>
      <c r="AA433" s="66"/>
      <c r="AB433" s="66"/>
      <c r="AC433" s="66"/>
    </row>
    <row r="434">
      <c r="A434" s="66"/>
      <c r="B434" s="66"/>
      <c r="C434" s="66"/>
      <c r="D434" s="66"/>
      <c r="E434" s="15"/>
      <c r="F434" s="66"/>
      <c r="G434" s="18"/>
      <c r="H434" s="15"/>
      <c r="I434" s="18"/>
      <c r="J434" s="22"/>
      <c r="K434" s="108"/>
      <c r="L434" s="66"/>
      <c r="M434" s="66"/>
      <c r="N434" s="66"/>
      <c r="O434" s="66"/>
      <c r="P434" s="66"/>
      <c r="Q434" s="66"/>
      <c r="R434" s="66"/>
      <c r="S434" s="66"/>
      <c r="T434" s="66"/>
      <c r="U434" s="66"/>
      <c r="V434" s="66"/>
      <c r="W434" s="66"/>
      <c r="X434" s="66"/>
      <c r="Y434" s="66"/>
      <c r="Z434" s="66"/>
      <c r="AA434" s="66"/>
      <c r="AB434" s="66"/>
      <c r="AC434" s="66"/>
    </row>
    <row r="435">
      <c r="A435" s="66"/>
      <c r="B435" s="66"/>
      <c r="C435" s="66"/>
      <c r="D435" s="66"/>
      <c r="E435" s="15"/>
      <c r="F435" s="66"/>
      <c r="G435" s="18"/>
      <c r="H435" s="15"/>
      <c r="I435" s="18"/>
      <c r="J435" s="22"/>
      <c r="K435" s="108"/>
      <c r="L435" s="66"/>
      <c r="M435" s="66"/>
      <c r="N435" s="66"/>
      <c r="O435" s="66"/>
      <c r="P435" s="66"/>
      <c r="Q435" s="66"/>
      <c r="R435" s="66"/>
      <c r="S435" s="66"/>
      <c r="T435" s="66"/>
      <c r="U435" s="66"/>
      <c r="V435" s="66"/>
      <c r="W435" s="66"/>
      <c r="X435" s="66"/>
      <c r="Y435" s="66"/>
      <c r="Z435" s="66"/>
      <c r="AA435" s="66"/>
      <c r="AB435" s="66"/>
      <c r="AC435" s="66"/>
    </row>
    <row r="436">
      <c r="A436" s="66"/>
      <c r="B436" s="66"/>
      <c r="C436" s="66"/>
      <c r="D436" s="66"/>
      <c r="E436" s="15"/>
      <c r="F436" s="66"/>
      <c r="G436" s="18"/>
      <c r="H436" s="15"/>
      <c r="I436" s="18"/>
      <c r="J436" s="22"/>
      <c r="K436" s="108"/>
      <c r="L436" s="66"/>
      <c r="M436" s="66"/>
      <c r="N436" s="66"/>
      <c r="O436" s="66"/>
      <c r="P436" s="66"/>
      <c r="Q436" s="66"/>
      <c r="R436" s="66"/>
      <c r="S436" s="66"/>
      <c r="T436" s="66"/>
      <c r="U436" s="66"/>
      <c r="V436" s="66"/>
      <c r="W436" s="66"/>
      <c r="X436" s="66"/>
      <c r="Y436" s="66"/>
      <c r="Z436" s="66"/>
      <c r="AA436" s="66"/>
      <c r="AB436" s="66"/>
      <c r="AC436" s="66"/>
    </row>
    <row r="437">
      <c r="A437" s="66"/>
      <c r="B437" s="66"/>
      <c r="C437" s="66"/>
      <c r="D437" s="66"/>
      <c r="E437" s="15"/>
      <c r="F437" s="66"/>
      <c r="G437" s="18"/>
      <c r="H437" s="15"/>
      <c r="I437" s="18"/>
      <c r="J437" s="22"/>
      <c r="K437" s="108"/>
      <c r="L437" s="66"/>
      <c r="M437" s="66"/>
      <c r="N437" s="66"/>
      <c r="O437" s="66"/>
      <c r="P437" s="66"/>
      <c r="Q437" s="66"/>
      <c r="R437" s="66"/>
      <c r="S437" s="66"/>
      <c r="T437" s="66"/>
      <c r="U437" s="66"/>
      <c r="V437" s="66"/>
      <c r="W437" s="66"/>
      <c r="X437" s="66"/>
      <c r="Y437" s="66"/>
      <c r="Z437" s="66"/>
      <c r="AA437" s="66"/>
      <c r="AB437" s="66"/>
      <c r="AC437" s="66"/>
    </row>
    <row r="438">
      <c r="A438" s="66"/>
      <c r="B438" s="66"/>
      <c r="C438" s="66"/>
      <c r="D438" s="66"/>
      <c r="E438" s="15"/>
      <c r="F438" s="66"/>
      <c r="G438" s="18"/>
      <c r="H438" s="15"/>
      <c r="I438" s="18"/>
      <c r="J438" s="22"/>
      <c r="K438" s="108"/>
      <c r="L438" s="66"/>
      <c r="M438" s="66"/>
      <c r="N438" s="66"/>
      <c r="O438" s="66"/>
      <c r="P438" s="66"/>
      <c r="Q438" s="66"/>
      <c r="R438" s="66"/>
      <c r="S438" s="66"/>
      <c r="T438" s="66"/>
      <c r="U438" s="66"/>
      <c r="V438" s="66"/>
      <c r="W438" s="66"/>
      <c r="X438" s="66"/>
      <c r="Y438" s="66"/>
      <c r="Z438" s="66"/>
      <c r="AA438" s="66"/>
      <c r="AB438" s="66"/>
      <c r="AC438" s="66"/>
    </row>
    <row r="439">
      <c r="A439" s="66"/>
      <c r="B439" s="66"/>
      <c r="C439" s="66"/>
      <c r="D439" s="66"/>
      <c r="E439" s="15"/>
      <c r="F439" s="66"/>
      <c r="G439" s="18"/>
      <c r="H439" s="15"/>
      <c r="I439" s="18"/>
      <c r="J439" s="22"/>
      <c r="K439" s="108"/>
      <c r="L439" s="66"/>
      <c r="M439" s="66"/>
      <c r="N439" s="66"/>
      <c r="O439" s="66"/>
      <c r="P439" s="66"/>
      <c r="Q439" s="66"/>
      <c r="R439" s="66"/>
      <c r="S439" s="66"/>
      <c r="T439" s="66"/>
      <c r="U439" s="66"/>
      <c r="V439" s="66"/>
      <c r="W439" s="66"/>
      <c r="X439" s="66"/>
      <c r="Y439" s="66"/>
      <c r="Z439" s="66"/>
      <c r="AA439" s="66"/>
      <c r="AB439" s="66"/>
      <c r="AC439" s="66"/>
    </row>
    <row r="440">
      <c r="A440" s="66"/>
      <c r="B440" s="66"/>
      <c r="C440" s="66"/>
      <c r="D440" s="66"/>
      <c r="E440" s="15"/>
      <c r="F440" s="66"/>
      <c r="G440" s="18"/>
      <c r="H440" s="15"/>
      <c r="I440" s="18"/>
      <c r="J440" s="22"/>
      <c r="K440" s="108"/>
      <c r="L440" s="66"/>
      <c r="M440" s="66"/>
      <c r="N440" s="66"/>
      <c r="O440" s="66"/>
      <c r="P440" s="66"/>
      <c r="Q440" s="66"/>
      <c r="R440" s="66"/>
      <c r="S440" s="66"/>
      <c r="T440" s="66"/>
      <c r="U440" s="66"/>
      <c r="V440" s="66"/>
      <c r="W440" s="66"/>
      <c r="X440" s="66"/>
      <c r="Y440" s="66"/>
      <c r="Z440" s="66"/>
      <c r="AA440" s="66"/>
      <c r="AB440" s="66"/>
      <c r="AC440" s="66"/>
    </row>
    <row r="441">
      <c r="A441" s="66"/>
      <c r="B441" s="66"/>
      <c r="C441" s="66"/>
      <c r="D441" s="66"/>
      <c r="E441" s="15"/>
      <c r="F441" s="66"/>
      <c r="G441" s="18"/>
      <c r="H441" s="15"/>
      <c r="I441" s="18"/>
      <c r="J441" s="22"/>
      <c r="K441" s="108"/>
      <c r="L441" s="66"/>
      <c r="M441" s="66"/>
      <c r="N441" s="66"/>
      <c r="O441" s="66"/>
      <c r="P441" s="66"/>
      <c r="Q441" s="66"/>
      <c r="R441" s="66"/>
      <c r="S441" s="66"/>
      <c r="T441" s="66"/>
      <c r="U441" s="66"/>
      <c r="V441" s="66"/>
      <c r="W441" s="66"/>
      <c r="X441" s="66"/>
      <c r="Y441" s="66"/>
      <c r="Z441" s="66"/>
      <c r="AA441" s="66"/>
      <c r="AB441" s="66"/>
      <c r="AC441" s="66"/>
    </row>
    <row r="442">
      <c r="A442" s="66"/>
      <c r="B442" s="66"/>
      <c r="C442" s="66"/>
      <c r="D442" s="66"/>
      <c r="E442" s="15"/>
      <c r="F442" s="66"/>
      <c r="G442" s="18"/>
      <c r="H442" s="15"/>
      <c r="I442" s="18"/>
      <c r="J442" s="22"/>
      <c r="K442" s="108"/>
      <c r="L442" s="66"/>
      <c r="M442" s="66"/>
      <c r="N442" s="66"/>
      <c r="O442" s="66"/>
      <c r="P442" s="66"/>
      <c r="Q442" s="66"/>
      <c r="R442" s="66"/>
      <c r="S442" s="66"/>
      <c r="T442" s="66"/>
      <c r="U442" s="66"/>
      <c r="V442" s="66"/>
      <c r="W442" s="66"/>
      <c r="X442" s="66"/>
      <c r="Y442" s="66"/>
      <c r="Z442" s="66"/>
      <c r="AA442" s="66"/>
      <c r="AB442" s="66"/>
      <c r="AC442" s="66"/>
    </row>
    <row r="443">
      <c r="A443" s="66"/>
      <c r="B443" s="66"/>
      <c r="C443" s="66"/>
      <c r="D443" s="66"/>
      <c r="E443" s="15"/>
      <c r="F443" s="66"/>
      <c r="G443" s="18"/>
      <c r="H443" s="15"/>
      <c r="I443" s="18"/>
      <c r="J443" s="22"/>
      <c r="K443" s="108"/>
      <c r="L443" s="66"/>
      <c r="M443" s="66"/>
      <c r="N443" s="66"/>
      <c r="O443" s="66"/>
      <c r="P443" s="66"/>
      <c r="Q443" s="66"/>
      <c r="R443" s="66"/>
      <c r="S443" s="66"/>
      <c r="T443" s="66"/>
      <c r="U443" s="66"/>
      <c r="V443" s="66"/>
      <c r="W443" s="66"/>
      <c r="X443" s="66"/>
      <c r="Y443" s="66"/>
      <c r="Z443" s="66"/>
      <c r="AA443" s="66"/>
      <c r="AB443" s="66"/>
      <c r="AC443" s="66"/>
    </row>
    <row r="444">
      <c r="A444" s="66"/>
      <c r="B444" s="66"/>
      <c r="C444" s="66"/>
      <c r="D444" s="66"/>
      <c r="E444" s="15"/>
      <c r="F444" s="66"/>
      <c r="G444" s="18"/>
      <c r="H444" s="15"/>
      <c r="I444" s="18"/>
      <c r="J444" s="22"/>
      <c r="K444" s="108"/>
      <c r="L444" s="66"/>
      <c r="M444" s="66"/>
      <c r="N444" s="66"/>
      <c r="O444" s="66"/>
      <c r="P444" s="66"/>
      <c r="Q444" s="66"/>
      <c r="R444" s="66"/>
      <c r="S444" s="66"/>
      <c r="T444" s="66"/>
      <c r="U444" s="66"/>
      <c r="V444" s="66"/>
      <c r="W444" s="66"/>
      <c r="X444" s="66"/>
      <c r="Y444" s="66"/>
      <c r="Z444" s="66"/>
      <c r="AA444" s="66"/>
      <c r="AB444" s="66"/>
      <c r="AC444" s="66"/>
    </row>
    <row r="445">
      <c r="A445" s="66"/>
      <c r="B445" s="66"/>
      <c r="C445" s="66"/>
      <c r="D445" s="66"/>
      <c r="E445" s="15"/>
      <c r="F445" s="66"/>
      <c r="G445" s="18"/>
      <c r="H445" s="15"/>
      <c r="I445" s="18"/>
      <c r="J445" s="22"/>
      <c r="K445" s="108"/>
      <c r="L445" s="66"/>
      <c r="M445" s="66"/>
      <c r="N445" s="66"/>
      <c r="O445" s="66"/>
      <c r="P445" s="66"/>
      <c r="Q445" s="66"/>
      <c r="R445" s="66"/>
      <c r="S445" s="66"/>
      <c r="T445" s="66"/>
      <c r="U445" s="66"/>
      <c r="V445" s="66"/>
      <c r="W445" s="66"/>
      <c r="X445" s="66"/>
      <c r="Y445" s="66"/>
      <c r="Z445" s="66"/>
      <c r="AA445" s="66"/>
      <c r="AB445" s="66"/>
      <c r="AC445" s="66"/>
    </row>
    <row r="446">
      <c r="A446" s="66"/>
      <c r="B446" s="66"/>
      <c r="C446" s="66"/>
      <c r="D446" s="66"/>
      <c r="E446" s="15"/>
      <c r="F446" s="66"/>
      <c r="G446" s="18"/>
      <c r="H446" s="15"/>
      <c r="I446" s="18"/>
      <c r="J446" s="22"/>
      <c r="K446" s="108"/>
      <c r="L446" s="66"/>
      <c r="M446" s="66"/>
      <c r="N446" s="66"/>
      <c r="O446" s="66"/>
      <c r="P446" s="66"/>
      <c r="Q446" s="66"/>
      <c r="R446" s="66"/>
      <c r="S446" s="66"/>
      <c r="T446" s="66"/>
      <c r="U446" s="66"/>
      <c r="V446" s="66"/>
      <c r="W446" s="66"/>
      <c r="X446" s="66"/>
      <c r="Y446" s="66"/>
      <c r="Z446" s="66"/>
      <c r="AA446" s="66"/>
      <c r="AB446" s="66"/>
      <c r="AC446" s="66"/>
    </row>
    <row r="447">
      <c r="A447" s="66"/>
      <c r="B447" s="66"/>
      <c r="C447" s="66"/>
      <c r="D447" s="66"/>
      <c r="E447" s="15"/>
      <c r="F447" s="66"/>
      <c r="G447" s="18"/>
      <c r="H447" s="15"/>
      <c r="I447" s="18"/>
      <c r="J447" s="22"/>
      <c r="K447" s="108"/>
      <c r="L447" s="66"/>
      <c r="M447" s="66"/>
      <c r="N447" s="66"/>
      <c r="O447" s="66"/>
      <c r="P447" s="66"/>
      <c r="Q447" s="66"/>
      <c r="R447" s="66"/>
      <c r="S447" s="66"/>
      <c r="T447" s="66"/>
      <c r="U447" s="66"/>
      <c r="V447" s="66"/>
      <c r="W447" s="66"/>
      <c r="X447" s="66"/>
      <c r="Y447" s="66"/>
      <c r="Z447" s="66"/>
      <c r="AA447" s="66"/>
      <c r="AB447" s="66"/>
      <c r="AC447" s="66"/>
    </row>
    <row r="448">
      <c r="A448" s="66"/>
      <c r="B448" s="66"/>
      <c r="C448" s="66"/>
      <c r="D448" s="66"/>
      <c r="E448" s="15"/>
      <c r="F448" s="66"/>
      <c r="G448" s="18"/>
      <c r="H448" s="15"/>
      <c r="I448" s="18"/>
      <c r="J448" s="22"/>
      <c r="K448" s="108"/>
      <c r="L448" s="66"/>
      <c r="M448" s="66"/>
      <c r="N448" s="66"/>
      <c r="O448" s="66"/>
      <c r="P448" s="66"/>
      <c r="Q448" s="66"/>
      <c r="R448" s="66"/>
      <c r="S448" s="66"/>
      <c r="T448" s="66"/>
      <c r="U448" s="66"/>
      <c r="V448" s="66"/>
      <c r="W448" s="66"/>
      <c r="X448" s="66"/>
      <c r="Y448" s="66"/>
      <c r="Z448" s="66"/>
      <c r="AA448" s="66"/>
      <c r="AB448" s="66"/>
      <c r="AC448" s="66"/>
    </row>
    <row r="449">
      <c r="A449" s="66"/>
      <c r="B449" s="66"/>
      <c r="C449" s="66"/>
      <c r="D449" s="66"/>
      <c r="E449" s="15"/>
      <c r="F449" s="66"/>
      <c r="G449" s="18"/>
      <c r="H449" s="15"/>
      <c r="I449" s="18"/>
      <c r="J449" s="22"/>
      <c r="K449" s="108"/>
      <c r="L449" s="66"/>
      <c r="M449" s="66"/>
      <c r="N449" s="66"/>
      <c r="O449" s="66"/>
      <c r="P449" s="66"/>
      <c r="Q449" s="66"/>
      <c r="R449" s="66"/>
      <c r="S449" s="66"/>
      <c r="T449" s="66"/>
      <c r="U449" s="66"/>
      <c r="V449" s="66"/>
      <c r="W449" s="66"/>
      <c r="X449" s="66"/>
      <c r="Y449" s="66"/>
      <c r="Z449" s="66"/>
      <c r="AA449" s="66"/>
      <c r="AB449" s="66"/>
      <c r="AC449" s="66"/>
    </row>
    <row r="450">
      <c r="A450" s="66"/>
      <c r="B450" s="66"/>
      <c r="C450" s="66"/>
      <c r="D450" s="66"/>
      <c r="E450" s="15"/>
      <c r="F450" s="66"/>
      <c r="G450" s="18"/>
      <c r="H450" s="15"/>
      <c r="I450" s="18"/>
      <c r="J450" s="22"/>
      <c r="K450" s="108"/>
      <c r="L450" s="66"/>
      <c r="M450" s="66"/>
      <c r="N450" s="66"/>
      <c r="O450" s="66"/>
      <c r="P450" s="66"/>
      <c r="Q450" s="66"/>
      <c r="R450" s="66"/>
      <c r="S450" s="66"/>
      <c r="T450" s="66"/>
      <c r="U450" s="66"/>
      <c r="V450" s="66"/>
      <c r="W450" s="66"/>
      <c r="X450" s="66"/>
      <c r="Y450" s="66"/>
      <c r="Z450" s="66"/>
      <c r="AA450" s="66"/>
      <c r="AB450" s="66"/>
      <c r="AC450" s="66"/>
    </row>
    <row r="451">
      <c r="A451" s="66"/>
      <c r="B451" s="66"/>
      <c r="C451" s="66"/>
      <c r="D451" s="66"/>
      <c r="E451" s="15"/>
      <c r="F451" s="66"/>
      <c r="G451" s="18"/>
      <c r="H451" s="15"/>
      <c r="I451" s="18"/>
      <c r="J451" s="22"/>
      <c r="K451" s="108"/>
      <c r="L451" s="66"/>
      <c r="M451" s="66"/>
      <c r="N451" s="66"/>
      <c r="O451" s="66"/>
      <c r="P451" s="66"/>
      <c r="Q451" s="66"/>
      <c r="R451" s="66"/>
      <c r="S451" s="66"/>
      <c r="T451" s="66"/>
      <c r="U451" s="66"/>
      <c r="V451" s="66"/>
      <c r="W451" s="66"/>
      <c r="X451" s="66"/>
      <c r="Y451" s="66"/>
      <c r="Z451" s="66"/>
      <c r="AA451" s="66"/>
      <c r="AB451" s="66"/>
      <c r="AC451" s="66"/>
    </row>
    <row r="452">
      <c r="A452" s="66"/>
      <c r="B452" s="66"/>
      <c r="C452" s="66"/>
      <c r="D452" s="66"/>
      <c r="E452" s="15"/>
      <c r="F452" s="66"/>
      <c r="G452" s="18"/>
      <c r="H452" s="15"/>
      <c r="I452" s="18"/>
      <c r="J452" s="22"/>
      <c r="K452" s="108"/>
      <c r="L452" s="66"/>
      <c r="M452" s="66"/>
      <c r="N452" s="66"/>
      <c r="O452" s="66"/>
      <c r="P452" s="66"/>
      <c r="Q452" s="66"/>
      <c r="R452" s="66"/>
      <c r="S452" s="66"/>
      <c r="T452" s="66"/>
      <c r="U452" s="66"/>
      <c r="V452" s="66"/>
      <c r="W452" s="66"/>
      <c r="X452" s="66"/>
      <c r="Y452" s="66"/>
      <c r="Z452" s="66"/>
      <c r="AA452" s="66"/>
      <c r="AB452" s="66"/>
      <c r="AC452" s="66"/>
    </row>
    <row r="453">
      <c r="A453" s="66"/>
      <c r="B453" s="66"/>
      <c r="C453" s="66"/>
      <c r="D453" s="66"/>
      <c r="E453" s="15"/>
      <c r="F453" s="66"/>
      <c r="G453" s="18"/>
      <c r="H453" s="15"/>
      <c r="I453" s="18"/>
      <c r="J453" s="22"/>
      <c r="K453" s="108"/>
      <c r="L453" s="66"/>
      <c r="M453" s="66"/>
      <c r="N453" s="66"/>
      <c r="O453" s="66"/>
      <c r="P453" s="66"/>
      <c r="Q453" s="66"/>
      <c r="R453" s="66"/>
      <c r="S453" s="66"/>
      <c r="T453" s="66"/>
      <c r="U453" s="66"/>
      <c r="V453" s="66"/>
      <c r="W453" s="66"/>
      <c r="X453" s="66"/>
      <c r="Y453" s="66"/>
      <c r="Z453" s="66"/>
      <c r="AA453" s="66"/>
      <c r="AB453" s="66"/>
      <c r="AC453" s="66"/>
    </row>
    <row r="454">
      <c r="A454" s="66"/>
      <c r="B454" s="66"/>
      <c r="C454" s="66"/>
      <c r="D454" s="66"/>
      <c r="E454" s="15"/>
      <c r="F454" s="66"/>
      <c r="G454" s="18"/>
      <c r="H454" s="15"/>
      <c r="I454" s="18"/>
      <c r="J454" s="22"/>
      <c r="K454" s="108"/>
      <c r="L454" s="66"/>
      <c r="M454" s="66"/>
      <c r="N454" s="66"/>
      <c r="O454" s="66"/>
      <c r="P454" s="66"/>
      <c r="Q454" s="66"/>
      <c r="R454" s="66"/>
      <c r="S454" s="66"/>
      <c r="T454" s="66"/>
      <c r="U454" s="66"/>
      <c r="V454" s="66"/>
      <c r="W454" s="66"/>
      <c r="X454" s="66"/>
      <c r="Y454" s="66"/>
      <c r="Z454" s="66"/>
      <c r="AA454" s="66"/>
      <c r="AB454" s="66"/>
      <c r="AC454" s="66"/>
    </row>
    <row r="455">
      <c r="A455" s="66"/>
      <c r="B455" s="66"/>
      <c r="C455" s="66"/>
      <c r="D455" s="66"/>
      <c r="E455" s="15"/>
      <c r="F455" s="66"/>
      <c r="G455" s="18"/>
      <c r="H455" s="15"/>
      <c r="I455" s="18"/>
      <c r="J455" s="22"/>
      <c r="K455" s="108"/>
      <c r="L455" s="66"/>
      <c r="M455" s="66"/>
      <c r="N455" s="66"/>
      <c r="O455" s="66"/>
      <c r="P455" s="66"/>
      <c r="Q455" s="66"/>
      <c r="R455" s="66"/>
      <c r="S455" s="66"/>
      <c r="T455" s="66"/>
      <c r="U455" s="66"/>
      <c r="V455" s="66"/>
      <c r="W455" s="66"/>
      <c r="X455" s="66"/>
      <c r="Y455" s="66"/>
      <c r="Z455" s="66"/>
      <c r="AA455" s="66"/>
      <c r="AB455" s="66"/>
      <c r="AC455" s="66"/>
    </row>
    <row r="456">
      <c r="A456" s="66"/>
      <c r="B456" s="66"/>
      <c r="C456" s="66"/>
      <c r="D456" s="66"/>
      <c r="E456" s="15"/>
      <c r="F456" s="66"/>
      <c r="G456" s="18"/>
      <c r="H456" s="15"/>
      <c r="I456" s="18"/>
      <c r="J456" s="22"/>
      <c r="K456" s="108"/>
      <c r="L456" s="66"/>
      <c r="M456" s="66"/>
      <c r="N456" s="66"/>
      <c r="O456" s="66"/>
      <c r="P456" s="66"/>
      <c r="Q456" s="66"/>
      <c r="R456" s="66"/>
      <c r="S456" s="66"/>
      <c r="T456" s="66"/>
      <c r="U456" s="66"/>
      <c r="V456" s="66"/>
      <c r="W456" s="66"/>
      <c r="X456" s="66"/>
      <c r="Y456" s="66"/>
      <c r="Z456" s="66"/>
      <c r="AA456" s="66"/>
      <c r="AB456" s="66"/>
      <c r="AC456" s="66"/>
    </row>
    <row r="457">
      <c r="A457" s="66"/>
      <c r="B457" s="66"/>
      <c r="C457" s="66"/>
      <c r="D457" s="66"/>
      <c r="E457" s="15"/>
      <c r="F457" s="66"/>
      <c r="G457" s="18"/>
      <c r="H457" s="15"/>
      <c r="I457" s="18"/>
      <c r="J457" s="22"/>
      <c r="K457" s="108"/>
      <c r="L457" s="66"/>
      <c r="M457" s="66"/>
      <c r="N457" s="66"/>
      <c r="O457" s="66"/>
      <c r="P457" s="66"/>
      <c r="Q457" s="66"/>
      <c r="R457" s="66"/>
      <c r="S457" s="66"/>
      <c r="T457" s="66"/>
      <c r="U457" s="66"/>
      <c r="V457" s="66"/>
      <c r="W457" s="66"/>
      <c r="X457" s="66"/>
      <c r="Y457" s="66"/>
      <c r="Z457" s="66"/>
      <c r="AA457" s="66"/>
      <c r="AB457" s="66"/>
      <c r="AC457" s="66"/>
    </row>
    <row r="458">
      <c r="A458" s="66"/>
      <c r="B458" s="66"/>
      <c r="C458" s="66"/>
      <c r="D458" s="66"/>
      <c r="E458" s="15"/>
      <c r="F458" s="66"/>
      <c r="G458" s="18"/>
      <c r="H458" s="15"/>
      <c r="I458" s="18"/>
      <c r="J458" s="22"/>
      <c r="K458" s="108"/>
      <c r="L458" s="66"/>
      <c r="M458" s="66"/>
      <c r="N458" s="66"/>
      <c r="O458" s="66"/>
      <c r="P458" s="66"/>
      <c r="Q458" s="66"/>
      <c r="R458" s="66"/>
      <c r="S458" s="66"/>
      <c r="T458" s="66"/>
      <c r="U458" s="66"/>
      <c r="V458" s="66"/>
      <c r="W458" s="66"/>
      <c r="X458" s="66"/>
      <c r="Y458" s="66"/>
      <c r="Z458" s="66"/>
      <c r="AA458" s="66"/>
      <c r="AB458" s="66"/>
      <c r="AC458" s="66"/>
    </row>
    <row r="459">
      <c r="A459" s="66"/>
      <c r="B459" s="66"/>
      <c r="C459" s="66"/>
      <c r="D459" s="66"/>
      <c r="E459" s="15"/>
      <c r="F459" s="66"/>
      <c r="G459" s="18"/>
      <c r="H459" s="15"/>
      <c r="I459" s="18"/>
      <c r="J459" s="22"/>
      <c r="K459" s="108"/>
      <c r="L459" s="66"/>
      <c r="M459" s="66"/>
      <c r="N459" s="66"/>
      <c r="O459" s="66"/>
      <c r="P459" s="66"/>
      <c r="Q459" s="66"/>
      <c r="R459" s="66"/>
      <c r="S459" s="66"/>
      <c r="T459" s="66"/>
      <c r="U459" s="66"/>
      <c r="V459" s="66"/>
      <c r="W459" s="66"/>
      <c r="X459" s="66"/>
      <c r="Y459" s="66"/>
      <c r="Z459" s="66"/>
      <c r="AA459" s="66"/>
      <c r="AB459" s="66"/>
      <c r="AC459" s="66"/>
    </row>
    <row r="460">
      <c r="A460" s="66"/>
      <c r="B460" s="66"/>
      <c r="C460" s="66"/>
      <c r="D460" s="66"/>
      <c r="E460" s="15"/>
      <c r="F460" s="66"/>
      <c r="G460" s="18"/>
      <c r="H460" s="15"/>
      <c r="I460" s="18"/>
      <c r="J460" s="22"/>
      <c r="K460" s="108"/>
      <c r="L460" s="66"/>
      <c r="M460" s="66"/>
      <c r="N460" s="66"/>
      <c r="O460" s="66"/>
      <c r="P460" s="66"/>
      <c r="Q460" s="66"/>
      <c r="R460" s="66"/>
      <c r="S460" s="66"/>
      <c r="T460" s="66"/>
      <c r="U460" s="66"/>
      <c r="V460" s="66"/>
      <c r="W460" s="66"/>
      <c r="X460" s="66"/>
      <c r="Y460" s="66"/>
      <c r="Z460" s="66"/>
      <c r="AA460" s="66"/>
      <c r="AB460" s="66"/>
      <c r="AC460" s="66"/>
    </row>
    <row r="461">
      <c r="A461" s="66"/>
      <c r="B461" s="66"/>
      <c r="C461" s="66"/>
      <c r="D461" s="66"/>
      <c r="E461" s="15"/>
      <c r="F461" s="66"/>
      <c r="G461" s="18"/>
      <c r="H461" s="15"/>
      <c r="I461" s="18"/>
      <c r="J461" s="22"/>
      <c r="K461" s="108"/>
      <c r="L461" s="66"/>
      <c r="M461" s="66"/>
      <c r="N461" s="66"/>
      <c r="O461" s="66"/>
      <c r="P461" s="66"/>
      <c r="Q461" s="66"/>
      <c r="R461" s="66"/>
      <c r="S461" s="66"/>
      <c r="T461" s="66"/>
      <c r="U461" s="66"/>
      <c r="V461" s="66"/>
      <c r="W461" s="66"/>
      <c r="X461" s="66"/>
      <c r="Y461" s="66"/>
      <c r="Z461" s="66"/>
      <c r="AA461" s="66"/>
      <c r="AB461" s="66"/>
      <c r="AC461" s="66"/>
    </row>
    <row r="462">
      <c r="A462" s="66"/>
      <c r="B462" s="66"/>
      <c r="C462" s="66"/>
      <c r="D462" s="66"/>
      <c r="E462" s="15"/>
      <c r="F462" s="66"/>
      <c r="G462" s="18"/>
      <c r="H462" s="15"/>
      <c r="I462" s="18"/>
      <c r="J462" s="22"/>
      <c r="K462" s="108"/>
      <c r="L462" s="66"/>
      <c r="M462" s="66"/>
      <c r="N462" s="66"/>
      <c r="O462" s="66"/>
      <c r="P462" s="66"/>
      <c r="Q462" s="66"/>
      <c r="R462" s="66"/>
      <c r="S462" s="66"/>
      <c r="T462" s="66"/>
      <c r="U462" s="66"/>
      <c r="V462" s="66"/>
      <c r="W462" s="66"/>
      <c r="X462" s="66"/>
      <c r="Y462" s="66"/>
      <c r="Z462" s="66"/>
      <c r="AA462" s="66"/>
      <c r="AB462" s="66"/>
      <c r="AC462" s="66"/>
    </row>
    <row r="463">
      <c r="A463" s="66"/>
      <c r="B463" s="66"/>
      <c r="C463" s="66"/>
      <c r="D463" s="66"/>
      <c r="E463" s="15"/>
      <c r="F463" s="66"/>
      <c r="G463" s="18"/>
      <c r="H463" s="15"/>
      <c r="I463" s="18"/>
      <c r="J463" s="22"/>
      <c r="K463" s="108"/>
      <c r="L463" s="66"/>
      <c r="M463" s="66"/>
      <c r="N463" s="66"/>
      <c r="O463" s="66"/>
      <c r="P463" s="66"/>
      <c r="Q463" s="66"/>
      <c r="R463" s="66"/>
      <c r="S463" s="66"/>
      <c r="T463" s="66"/>
      <c r="U463" s="66"/>
      <c r="V463" s="66"/>
      <c r="W463" s="66"/>
      <c r="X463" s="66"/>
      <c r="Y463" s="66"/>
      <c r="Z463" s="66"/>
      <c r="AA463" s="66"/>
      <c r="AB463" s="66"/>
      <c r="AC463" s="66"/>
    </row>
    <row r="464">
      <c r="A464" s="66"/>
      <c r="B464" s="66"/>
      <c r="C464" s="66"/>
      <c r="D464" s="66"/>
      <c r="E464" s="15"/>
      <c r="F464" s="66"/>
      <c r="G464" s="18"/>
      <c r="H464" s="15"/>
      <c r="I464" s="18"/>
      <c r="J464" s="22"/>
      <c r="K464" s="108"/>
      <c r="L464" s="66"/>
      <c r="M464" s="66"/>
      <c r="N464" s="66"/>
      <c r="O464" s="66"/>
      <c r="P464" s="66"/>
      <c r="Q464" s="66"/>
      <c r="R464" s="66"/>
      <c r="S464" s="66"/>
      <c r="T464" s="66"/>
      <c r="U464" s="66"/>
      <c r="V464" s="66"/>
      <c r="W464" s="66"/>
      <c r="X464" s="66"/>
      <c r="Y464" s="66"/>
      <c r="Z464" s="66"/>
      <c r="AA464" s="66"/>
      <c r="AB464" s="66"/>
      <c r="AC464" s="66"/>
    </row>
    <row r="465">
      <c r="A465" s="66"/>
      <c r="B465" s="66"/>
      <c r="C465" s="66"/>
      <c r="D465" s="66"/>
      <c r="E465" s="15"/>
      <c r="F465" s="66"/>
      <c r="G465" s="18"/>
      <c r="H465" s="15"/>
      <c r="I465" s="18"/>
      <c r="J465" s="22"/>
      <c r="K465" s="108"/>
      <c r="L465" s="66"/>
      <c r="M465" s="66"/>
      <c r="N465" s="66"/>
      <c r="O465" s="66"/>
      <c r="P465" s="66"/>
      <c r="Q465" s="66"/>
      <c r="R465" s="66"/>
      <c r="S465" s="66"/>
      <c r="T465" s="66"/>
      <c r="U465" s="66"/>
      <c r="V465" s="66"/>
      <c r="W465" s="66"/>
      <c r="X465" s="66"/>
      <c r="Y465" s="66"/>
      <c r="Z465" s="66"/>
      <c r="AA465" s="66"/>
      <c r="AB465" s="66"/>
      <c r="AC465" s="66"/>
    </row>
    <row r="466">
      <c r="A466" s="66"/>
      <c r="B466" s="66"/>
      <c r="C466" s="66"/>
      <c r="D466" s="66"/>
      <c r="E466" s="15"/>
      <c r="F466" s="66"/>
      <c r="G466" s="18"/>
      <c r="H466" s="15"/>
      <c r="I466" s="18"/>
      <c r="J466" s="22"/>
      <c r="K466" s="108"/>
      <c r="L466" s="66"/>
      <c r="M466" s="66"/>
      <c r="N466" s="66"/>
      <c r="O466" s="66"/>
      <c r="P466" s="66"/>
      <c r="Q466" s="66"/>
      <c r="R466" s="66"/>
      <c r="S466" s="66"/>
      <c r="T466" s="66"/>
      <c r="U466" s="66"/>
      <c r="V466" s="66"/>
      <c r="W466" s="66"/>
      <c r="X466" s="66"/>
      <c r="Y466" s="66"/>
      <c r="Z466" s="66"/>
      <c r="AA466" s="66"/>
      <c r="AB466" s="66"/>
      <c r="AC466" s="66"/>
    </row>
    <row r="467">
      <c r="A467" s="66"/>
      <c r="B467" s="66"/>
      <c r="C467" s="66"/>
      <c r="D467" s="66"/>
      <c r="E467" s="15"/>
      <c r="F467" s="66"/>
      <c r="G467" s="18"/>
      <c r="H467" s="15"/>
      <c r="I467" s="18"/>
      <c r="J467" s="22"/>
      <c r="K467" s="108"/>
      <c r="L467" s="66"/>
      <c r="M467" s="66"/>
      <c r="N467" s="66"/>
      <c r="O467" s="66"/>
      <c r="P467" s="66"/>
      <c r="Q467" s="66"/>
      <c r="R467" s="66"/>
      <c r="S467" s="66"/>
      <c r="T467" s="66"/>
      <c r="U467" s="66"/>
      <c r="V467" s="66"/>
      <c r="W467" s="66"/>
      <c r="X467" s="66"/>
      <c r="Y467" s="66"/>
      <c r="Z467" s="66"/>
      <c r="AA467" s="66"/>
      <c r="AB467" s="66"/>
      <c r="AC467" s="66"/>
    </row>
    <row r="468">
      <c r="A468" s="66"/>
      <c r="B468" s="66"/>
      <c r="C468" s="66"/>
      <c r="D468" s="66"/>
      <c r="E468" s="15"/>
      <c r="F468" s="66"/>
      <c r="G468" s="18"/>
      <c r="H468" s="15"/>
      <c r="I468" s="18"/>
      <c r="J468" s="22"/>
      <c r="K468" s="108"/>
      <c r="L468" s="66"/>
      <c r="M468" s="66"/>
      <c r="N468" s="66"/>
      <c r="O468" s="66"/>
      <c r="P468" s="66"/>
      <c r="Q468" s="66"/>
      <c r="R468" s="66"/>
      <c r="S468" s="66"/>
      <c r="T468" s="66"/>
      <c r="U468" s="66"/>
      <c r="V468" s="66"/>
      <c r="W468" s="66"/>
      <c r="X468" s="66"/>
      <c r="Y468" s="66"/>
      <c r="Z468" s="66"/>
      <c r="AA468" s="66"/>
      <c r="AB468" s="66"/>
      <c r="AC468" s="66"/>
    </row>
    <row r="469">
      <c r="A469" s="66"/>
      <c r="B469" s="66"/>
      <c r="C469" s="66"/>
      <c r="D469" s="66"/>
      <c r="E469" s="15"/>
      <c r="F469" s="66"/>
      <c r="G469" s="18"/>
      <c r="H469" s="15"/>
      <c r="I469" s="18"/>
      <c r="J469" s="22"/>
      <c r="K469" s="108"/>
      <c r="L469" s="66"/>
      <c r="M469" s="66"/>
      <c r="N469" s="66"/>
      <c r="O469" s="66"/>
      <c r="P469" s="66"/>
      <c r="Q469" s="66"/>
      <c r="R469" s="66"/>
      <c r="S469" s="66"/>
      <c r="T469" s="66"/>
      <c r="U469" s="66"/>
      <c r="V469" s="66"/>
      <c r="W469" s="66"/>
      <c r="X469" s="66"/>
      <c r="Y469" s="66"/>
      <c r="Z469" s="66"/>
      <c r="AA469" s="66"/>
      <c r="AB469" s="66"/>
      <c r="AC469" s="66"/>
    </row>
    <row r="470">
      <c r="A470" s="66"/>
      <c r="B470" s="66"/>
      <c r="C470" s="66"/>
      <c r="D470" s="66"/>
      <c r="E470" s="15"/>
      <c r="F470" s="66"/>
      <c r="G470" s="18"/>
      <c r="H470" s="15"/>
      <c r="I470" s="18"/>
      <c r="J470" s="22"/>
      <c r="K470" s="108"/>
      <c r="L470" s="66"/>
      <c r="M470" s="66"/>
      <c r="N470" s="66"/>
      <c r="O470" s="66"/>
      <c r="P470" s="66"/>
      <c r="Q470" s="66"/>
      <c r="R470" s="66"/>
      <c r="S470" s="66"/>
      <c r="T470" s="66"/>
      <c r="U470" s="66"/>
      <c r="V470" s="66"/>
      <c r="W470" s="66"/>
      <c r="X470" s="66"/>
      <c r="Y470" s="66"/>
      <c r="Z470" s="66"/>
      <c r="AA470" s="66"/>
      <c r="AB470" s="66"/>
      <c r="AC470" s="66"/>
    </row>
    <row r="471">
      <c r="A471" s="66"/>
      <c r="B471" s="66"/>
      <c r="C471" s="66"/>
      <c r="D471" s="66"/>
      <c r="E471" s="15"/>
      <c r="F471" s="66"/>
      <c r="G471" s="18"/>
      <c r="H471" s="15"/>
      <c r="I471" s="18"/>
      <c r="J471" s="22"/>
      <c r="K471" s="108"/>
      <c r="L471" s="66"/>
      <c r="M471" s="66"/>
      <c r="N471" s="66"/>
      <c r="O471" s="66"/>
      <c r="P471" s="66"/>
      <c r="Q471" s="66"/>
      <c r="R471" s="66"/>
      <c r="S471" s="66"/>
      <c r="T471" s="66"/>
      <c r="U471" s="66"/>
      <c r="V471" s="66"/>
      <c r="W471" s="66"/>
      <c r="X471" s="66"/>
      <c r="Y471" s="66"/>
      <c r="Z471" s="66"/>
      <c r="AA471" s="66"/>
      <c r="AB471" s="66"/>
      <c r="AC471" s="66"/>
    </row>
    <row r="472">
      <c r="A472" s="66"/>
      <c r="B472" s="66"/>
      <c r="C472" s="66"/>
      <c r="D472" s="66"/>
      <c r="E472" s="15"/>
      <c r="F472" s="66"/>
      <c r="G472" s="18"/>
      <c r="H472" s="15"/>
      <c r="I472" s="18"/>
      <c r="J472" s="22"/>
      <c r="K472" s="108"/>
      <c r="L472" s="66"/>
      <c r="M472" s="66"/>
      <c r="N472" s="66"/>
      <c r="O472" s="66"/>
      <c r="P472" s="66"/>
      <c r="Q472" s="66"/>
      <c r="R472" s="66"/>
      <c r="S472" s="66"/>
      <c r="T472" s="66"/>
      <c r="U472" s="66"/>
      <c r="V472" s="66"/>
      <c r="W472" s="66"/>
      <c r="X472" s="66"/>
      <c r="Y472" s="66"/>
      <c r="Z472" s="66"/>
      <c r="AA472" s="66"/>
      <c r="AB472" s="66"/>
      <c r="AC472" s="66"/>
    </row>
    <row r="473">
      <c r="A473" s="66"/>
      <c r="B473" s="66"/>
      <c r="C473" s="66"/>
      <c r="D473" s="66"/>
      <c r="E473" s="15"/>
      <c r="F473" s="66"/>
      <c r="G473" s="18"/>
      <c r="H473" s="15"/>
      <c r="I473" s="18"/>
      <c r="J473" s="22"/>
      <c r="K473" s="108"/>
      <c r="L473" s="66"/>
      <c r="M473" s="66"/>
      <c r="N473" s="66"/>
      <c r="O473" s="66"/>
      <c r="P473" s="66"/>
      <c r="Q473" s="66"/>
      <c r="R473" s="66"/>
      <c r="S473" s="66"/>
      <c r="T473" s="66"/>
      <c r="U473" s="66"/>
      <c r="V473" s="66"/>
      <c r="W473" s="66"/>
      <c r="X473" s="66"/>
      <c r="Y473" s="66"/>
      <c r="Z473" s="66"/>
      <c r="AA473" s="66"/>
      <c r="AB473" s="66"/>
      <c r="AC473" s="66"/>
    </row>
    <row r="474">
      <c r="A474" s="66"/>
      <c r="B474" s="66"/>
      <c r="C474" s="66"/>
      <c r="D474" s="66"/>
      <c r="E474" s="15"/>
      <c r="F474" s="66"/>
      <c r="G474" s="18"/>
      <c r="H474" s="15"/>
      <c r="I474" s="18"/>
      <c r="J474" s="22"/>
      <c r="K474" s="108"/>
      <c r="L474" s="66"/>
      <c r="M474" s="66"/>
      <c r="N474" s="66"/>
      <c r="O474" s="66"/>
      <c r="P474" s="66"/>
      <c r="Q474" s="66"/>
      <c r="R474" s="66"/>
      <c r="S474" s="66"/>
      <c r="T474" s="66"/>
      <c r="U474" s="66"/>
      <c r="V474" s="66"/>
      <c r="W474" s="66"/>
      <c r="X474" s="66"/>
      <c r="Y474" s="66"/>
      <c r="Z474" s="66"/>
      <c r="AA474" s="66"/>
      <c r="AB474" s="66"/>
      <c r="AC474" s="66"/>
    </row>
    <row r="475">
      <c r="A475" s="66"/>
      <c r="B475" s="66"/>
      <c r="C475" s="66"/>
      <c r="D475" s="66"/>
      <c r="E475" s="15"/>
      <c r="F475" s="66"/>
      <c r="G475" s="18"/>
      <c r="H475" s="15"/>
      <c r="I475" s="18"/>
      <c r="J475" s="22"/>
      <c r="K475" s="108"/>
      <c r="L475" s="66"/>
      <c r="M475" s="66"/>
      <c r="N475" s="66"/>
      <c r="O475" s="66"/>
      <c r="P475" s="66"/>
      <c r="Q475" s="66"/>
      <c r="R475" s="66"/>
      <c r="S475" s="66"/>
      <c r="T475" s="66"/>
      <c r="U475" s="66"/>
      <c r="V475" s="66"/>
      <c r="W475" s="66"/>
      <c r="X475" s="66"/>
      <c r="Y475" s="66"/>
      <c r="Z475" s="66"/>
      <c r="AA475" s="66"/>
      <c r="AB475" s="66"/>
      <c r="AC475" s="66"/>
    </row>
    <row r="476">
      <c r="A476" s="66"/>
      <c r="B476" s="66"/>
      <c r="C476" s="66"/>
      <c r="D476" s="66"/>
      <c r="E476" s="15"/>
      <c r="F476" s="66"/>
      <c r="G476" s="18"/>
      <c r="H476" s="15"/>
      <c r="I476" s="18"/>
      <c r="J476" s="22"/>
      <c r="K476" s="108"/>
      <c r="L476" s="66"/>
      <c r="M476" s="66"/>
      <c r="N476" s="66"/>
      <c r="O476" s="66"/>
      <c r="P476" s="66"/>
      <c r="Q476" s="66"/>
      <c r="R476" s="66"/>
      <c r="S476" s="66"/>
      <c r="T476" s="66"/>
      <c r="U476" s="66"/>
      <c r="V476" s="66"/>
      <c r="W476" s="66"/>
      <c r="X476" s="66"/>
      <c r="Y476" s="66"/>
      <c r="Z476" s="66"/>
      <c r="AA476" s="66"/>
      <c r="AB476" s="66"/>
      <c r="AC476" s="66"/>
    </row>
    <row r="477">
      <c r="A477" s="66"/>
      <c r="B477" s="66"/>
      <c r="C477" s="66"/>
      <c r="D477" s="66"/>
      <c r="E477" s="15"/>
      <c r="F477" s="66"/>
      <c r="G477" s="18"/>
      <c r="H477" s="15"/>
      <c r="I477" s="18"/>
      <c r="J477" s="22"/>
      <c r="K477" s="108"/>
      <c r="L477" s="66"/>
      <c r="M477" s="66"/>
      <c r="N477" s="66"/>
      <c r="O477" s="66"/>
      <c r="P477" s="66"/>
      <c r="Q477" s="66"/>
      <c r="R477" s="66"/>
      <c r="S477" s="66"/>
      <c r="T477" s="66"/>
      <c r="U477" s="66"/>
      <c r="V477" s="66"/>
      <c r="W477" s="66"/>
      <c r="X477" s="66"/>
      <c r="Y477" s="66"/>
      <c r="Z477" s="66"/>
      <c r="AA477" s="66"/>
      <c r="AB477" s="66"/>
      <c r="AC477" s="66"/>
    </row>
    <row r="478">
      <c r="A478" s="66"/>
      <c r="B478" s="66"/>
      <c r="C478" s="66"/>
      <c r="D478" s="66"/>
      <c r="E478" s="15"/>
      <c r="F478" s="66"/>
      <c r="G478" s="18"/>
      <c r="H478" s="15"/>
      <c r="I478" s="18"/>
      <c r="J478" s="22"/>
      <c r="K478" s="108"/>
      <c r="L478" s="66"/>
      <c r="M478" s="66"/>
      <c r="N478" s="66"/>
      <c r="O478" s="66"/>
      <c r="P478" s="66"/>
      <c r="Q478" s="66"/>
      <c r="R478" s="66"/>
      <c r="S478" s="66"/>
      <c r="T478" s="66"/>
      <c r="U478" s="66"/>
      <c r="V478" s="66"/>
      <c r="W478" s="66"/>
      <c r="X478" s="66"/>
      <c r="Y478" s="66"/>
      <c r="Z478" s="66"/>
      <c r="AA478" s="66"/>
      <c r="AB478" s="66"/>
      <c r="AC478" s="66"/>
    </row>
    <row r="479">
      <c r="A479" s="66"/>
      <c r="B479" s="66"/>
      <c r="C479" s="66"/>
      <c r="D479" s="66"/>
      <c r="E479" s="15"/>
      <c r="F479" s="66"/>
      <c r="G479" s="18"/>
      <c r="H479" s="15"/>
      <c r="I479" s="18"/>
      <c r="J479" s="22"/>
      <c r="K479" s="108"/>
      <c r="L479" s="66"/>
      <c r="M479" s="66"/>
      <c r="N479" s="66"/>
      <c r="O479" s="66"/>
      <c r="P479" s="66"/>
      <c r="Q479" s="66"/>
      <c r="R479" s="66"/>
      <c r="S479" s="66"/>
      <c r="T479" s="66"/>
      <c r="U479" s="66"/>
      <c r="V479" s="66"/>
      <c r="W479" s="66"/>
      <c r="X479" s="66"/>
      <c r="Y479" s="66"/>
      <c r="Z479" s="66"/>
      <c r="AA479" s="66"/>
      <c r="AB479" s="66"/>
      <c r="AC479" s="66"/>
    </row>
    <row r="480">
      <c r="A480" s="66"/>
      <c r="B480" s="66"/>
      <c r="C480" s="66"/>
      <c r="D480" s="66"/>
      <c r="E480" s="15"/>
      <c r="F480" s="66"/>
      <c r="G480" s="18"/>
      <c r="H480" s="15"/>
      <c r="I480" s="18"/>
      <c r="J480" s="22"/>
      <c r="K480" s="108"/>
      <c r="L480" s="66"/>
      <c r="M480" s="66"/>
      <c r="N480" s="66"/>
      <c r="O480" s="66"/>
      <c r="P480" s="66"/>
      <c r="Q480" s="66"/>
      <c r="R480" s="66"/>
      <c r="S480" s="66"/>
      <c r="T480" s="66"/>
      <c r="U480" s="66"/>
      <c r="V480" s="66"/>
      <c r="W480" s="66"/>
      <c r="X480" s="66"/>
      <c r="Y480" s="66"/>
      <c r="Z480" s="66"/>
      <c r="AA480" s="66"/>
      <c r="AB480" s="66"/>
      <c r="AC480" s="66"/>
    </row>
    <row r="481">
      <c r="A481" s="66"/>
      <c r="B481" s="66"/>
      <c r="C481" s="66"/>
      <c r="D481" s="66"/>
      <c r="E481" s="15"/>
      <c r="F481" s="66"/>
      <c r="G481" s="18"/>
      <c r="H481" s="15"/>
      <c r="I481" s="18"/>
      <c r="J481" s="22"/>
      <c r="K481" s="108"/>
      <c r="L481" s="66"/>
      <c r="M481" s="66"/>
      <c r="N481" s="66"/>
      <c r="O481" s="66"/>
      <c r="P481" s="66"/>
      <c r="Q481" s="66"/>
      <c r="R481" s="66"/>
      <c r="S481" s="66"/>
      <c r="T481" s="66"/>
      <c r="U481" s="66"/>
      <c r="V481" s="66"/>
      <c r="W481" s="66"/>
      <c r="X481" s="66"/>
      <c r="Y481" s="66"/>
      <c r="Z481" s="66"/>
      <c r="AA481" s="66"/>
      <c r="AB481" s="66"/>
      <c r="AC481" s="66"/>
    </row>
    <row r="482">
      <c r="A482" s="66"/>
      <c r="B482" s="66"/>
      <c r="C482" s="66"/>
      <c r="D482" s="66"/>
      <c r="E482" s="15"/>
      <c r="F482" s="66"/>
      <c r="G482" s="18"/>
      <c r="H482" s="15"/>
      <c r="I482" s="18"/>
      <c r="J482" s="22"/>
      <c r="K482" s="108"/>
      <c r="L482" s="66"/>
      <c r="M482" s="66"/>
      <c r="N482" s="66"/>
      <c r="O482" s="66"/>
      <c r="P482" s="66"/>
      <c r="Q482" s="66"/>
      <c r="R482" s="66"/>
      <c r="S482" s="66"/>
      <c r="T482" s="66"/>
      <c r="U482" s="66"/>
      <c r="V482" s="66"/>
      <c r="W482" s="66"/>
      <c r="X482" s="66"/>
      <c r="Y482" s="66"/>
      <c r="Z482" s="66"/>
      <c r="AA482" s="66"/>
      <c r="AB482" s="66"/>
      <c r="AC482" s="66"/>
    </row>
    <row r="483">
      <c r="A483" s="66"/>
      <c r="B483" s="66"/>
      <c r="C483" s="66"/>
      <c r="D483" s="66"/>
      <c r="E483" s="15"/>
      <c r="F483" s="66"/>
      <c r="G483" s="18"/>
      <c r="H483" s="15"/>
      <c r="I483" s="18"/>
      <c r="J483" s="22"/>
      <c r="K483" s="108"/>
      <c r="L483" s="66"/>
      <c r="M483" s="66"/>
      <c r="N483" s="66"/>
      <c r="O483" s="66"/>
      <c r="P483" s="66"/>
      <c r="Q483" s="66"/>
      <c r="R483" s="66"/>
      <c r="S483" s="66"/>
      <c r="T483" s="66"/>
      <c r="U483" s="66"/>
      <c r="V483" s="66"/>
      <c r="W483" s="66"/>
      <c r="X483" s="66"/>
      <c r="Y483" s="66"/>
      <c r="Z483" s="66"/>
      <c r="AA483" s="66"/>
      <c r="AB483" s="66"/>
      <c r="AC483" s="66"/>
    </row>
    <row r="484">
      <c r="A484" s="66"/>
      <c r="B484" s="66"/>
      <c r="C484" s="66"/>
      <c r="D484" s="66"/>
      <c r="E484" s="15"/>
      <c r="F484" s="66"/>
      <c r="G484" s="18"/>
      <c r="H484" s="15"/>
      <c r="I484" s="18"/>
      <c r="J484" s="22"/>
      <c r="K484" s="108"/>
      <c r="L484" s="66"/>
      <c r="M484" s="66"/>
      <c r="N484" s="66"/>
      <c r="O484" s="66"/>
      <c r="P484" s="66"/>
      <c r="Q484" s="66"/>
      <c r="R484" s="66"/>
      <c r="S484" s="66"/>
      <c r="T484" s="66"/>
      <c r="U484" s="66"/>
      <c r="V484" s="66"/>
      <c r="W484" s="66"/>
      <c r="X484" s="66"/>
      <c r="Y484" s="66"/>
      <c r="Z484" s="66"/>
      <c r="AA484" s="66"/>
      <c r="AB484" s="66"/>
      <c r="AC484" s="66"/>
    </row>
    <row r="485">
      <c r="A485" s="66"/>
      <c r="B485" s="66"/>
      <c r="C485" s="66"/>
      <c r="D485" s="66"/>
      <c r="E485" s="15"/>
      <c r="F485" s="66"/>
      <c r="G485" s="18"/>
      <c r="H485" s="15"/>
      <c r="I485" s="18"/>
      <c r="J485" s="22"/>
      <c r="K485" s="108"/>
      <c r="L485" s="66"/>
      <c r="M485" s="66"/>
      <c r="N485" s="66"/>
      <c r="O485" s="66"/>
      <c r="P485" s="66"/>
      <c r="Q485" s="66"/>
      <c r="R485" s="66"/>
      <c r="S485" s="66"/>
      <c r="T485" s="66"/>
      <c r="U485" s="66"/>
      <c r="V485" s="66"/>
      <c r="W485" s="66"/>
      <c r="X485" s="66"/>
      <c r="Y485" s="66"/>
      <c r="Z485" s="66"/>
      <c r="AA485" s="66"/>
      <c r="AB485" s="66"/>
      <c r="AC485" s="66"/>
    </row>
    <row r="486">
      <c r="A486" s="66"/>
      <c r="B486" s="66"/>
      <c r="C486" s="66"/>
      <c r="D486" s="66"/>
      <c r="E486" s="15"/>
      <c r="F486" s="66"/>
      <c r="G486" s="18"/>
      <c r="H486" s="15"/>
      <c r="I486" s="18"/>
      <c r="J486" s="22"/>
      <c r="K486" s="108"/>
      <c r="L486" s="66"/>
      <c r="M486" s="66"/>
      <c r="N486" s="66"/>
      <c r="O486" s="66"/>
      <c r="P486" s="66"/>
      <c r="Q486" s="66"/>
      <c r="R486" s="66"/>
      <c r="S486" s="66"/>
      <c r="T486" s="66"/>
      <c r="U486" s="66"/>
      <c r="V486" s="66"/>
      <c r="W486" s="66"/>
      <c r="X486" s="66"/>
      <c r="Y486" s="66"/>
      <c r="Z486" s="66"/>
      <c r="AA486" s="66"/>
      <c r="AB486" s="66"/>
      <c r="AC486" s="66"/>
    </row>
    <row r="487">
      <c r="A487" s="66"/>
      <c r="B487" s="66"/>
      <c r="C487" s="66"/>
      <c r="D487" s="66"/>
      <c r="E487" s="15"/>
      <c r="F487" s="66"/>
      <c r="G487" s="18"/>
      <c r="H487" s="15"/>
      <c r="I487" s="18"/>
      <c r="J487" s="22"/>
      <c r="K487" s="108"/>
      <c r="L487" s="66"/>
      <c r="M487" s="66"/>
      <c r="N487" s="66"/>
      <c r="O487" s="66"/>
      <c r="P487" s="66"/>
      <c r="Q487" s="66"/>
      <c r="R487" s="66"/>
      <c r="S487" s="66"/>
      <c r="T487" s="66"/>
      <c r="U487" s="66"/>
      <c r="V487" s="66"/>
      <c r="W487" s="66"/>
      <c r="X487" s="66"/>
      <c r="Y487" s="66"/>
      <c r="Z487" s="66"/>
      <c r="AA487" s="66"/>
      <c r="AB487" s="66"/>
      <c r="AC487" s="66"/>
    </row>
    <row r="488">
      <c r="A488" s="66"/>
      <c r="B488" s="66"/>
      <c r="C488" s="66"/>
      <c r="D488" s="66"/>
      <c r="E488" s="15"/>
      <c r="F488" s="66"/>
      <c r="G488" s="18"/>
      <c r="H488" s="15"/>
      <c r="I488" s="18"/>
      <c r="J488" s="22"/>
      <c r="K488" s="108"/>
      <c r="L488" s="66"/>
      <c r="M488" s="66"/>
      <c r="N488" s="66"/>
      <c r="O488" s="66"/>
      <c r="P488" s="66"/>
      <c r="Q488" s="66"/>
      <c r="R488" s="66"/>
      <c r="S488" s="66"/>
      <c r="T488" s="66"/>
      <c r="U488" s="66"/>
      <c r="V488" s="66"/>
      <c r="W488" s="66"/>
      <c r="X488" s="66"/>
      <c r="Y488" s="66"/>
      <c r="Z488" s="66"/>
      <c r="AA488" s="66"/>
      <c r="AB488" s="66"/>
      <c r="AC488" s="66"/>
    </row>
    <row r="489">
      <c r="A489" s="66"/>
      <c r="B489" s="66"/>
      <c r="C489" s="66"/>
      <c r="D489" s="66"/>
      <c r="E489" s="15"/>
      <c r="F489" s="66"/>
      <c r="G489" s="18"/>
      <c r="H489" s="15"/>
      <c r="I489" s="18"/>
      <c r="J489" s="22"/>
      <c r="K489" s="108"/>
      <c r="L489" s="66"/>
      <c r="M489" s="66"/>
      <c r="N489" s="66"/>
      <c r="O489" s="66"/>
      <c r="P489" s="66"/>
      <c r="Q489" s="66"/>
      <c r="R489" s="66"/>
      <c r="S489" s="66"/>
      <c r="T489" s="66"/>
      <c r="U489" s="66"/>
      <c r="V489" s="66"/>
      <c r="W489" s="66"/>
      <c r="X489" s="66"/>
      <c r="Y489" s="66"/>
      <c r="Z489" s="66"/>
      <c r="AA489" s="66"/>
      <c r="AB489" s="66"/>
      <c r="AC489" s="66"/>
    </row>
    <row r="490">
      <c r="A490" s="66"/>
      <c r="B490" s="66"/>
      <c r="C490" s="66"/>
      <c r="D490" s="66"/>
      <c r="E490" s="15"/>
      <c r="F490" s="66"/>
      <c r="G490" s="18"/>
      <c r="H490" s="15"/>
      <c r="I490" s="18"/>
      <c r="J490" s="22"/>
      <c r="K490" s="108"/>
      <c r="L490" s="66"/>
      <c r="M490" s="66"/>
      <c r="N490" s="66"/>
      <c r="O490" s="66"/>
      <c r="P490" s="66"/>
      <c r="Q490" s="66"/>
      <c r="R490" s="66"/>
      <c r="S490" s="66"/>
      <c r="T490" s="66"/>
      <c r="U490" s="66"/>
      <c r="V490" s="66"/>
      <c r="W490" s="66"/>
      <c r="X490" s="66"/>
      <c r="Y490" s="66"/>
      <c r="Z490" s="66"/>
      <c r="AA490" s="66"/>
      <c r="AB490" s="66"/>
      <c r="AC490" s="66"/>
    </row>
    <row r="491">
      <c r="A491" s="66"/>
      <c r="B491" s="66"/>
      <c r="C491" s="66"/>
      <c r="D491" s="66"/>
      <c r="E491" s="15"/>
      <c r="F491" s="66"/>
      <c r="G491" s="18"/>
      <c r="H491" s="15"/>
      <c r="I491" s="18"/>
      <c r="J491" s="22"/>
      <c r="K491" s="108"/>
      <c r="L491" s="66"/>
      <c r="M491" s="66"/>
      <c r="N491" s="66"/>
      <c r="O491" s="66"/>
      <c r="P491" s="66"/>
      <c r="Q491" s="66"/>
      <c r="R491" s="66"/>
      <c r="S491" s="66"/>
      <c r="T491" s="66"/>
      <c r="U491" s="66"/>
      <c r="V491" s="66"/>
      <c r="W491" s="66"/>
      <c r="X491" s="66"/>
      <c r="Y491" s="66"/>
      <c r="Z491" s="66"/>
      <c r="AA491" s="66"/>
      <c r="AB491" s="66"/>
      <c r="AC491" s="66"/>
    </row>
    <row r="492">
      <c r="A492" s="66"/>
      <c r="B492" s="66"/>
      <c r="C492" s="66"/>
      <c r="D492" s="66"/>
      <c r="E492" s="15"/>
      <c r="F492" s="66"/>
      <c r="G492" s="18"/>
      <c r="H492" s="15"/>
      <c r="I492" s="18"/>
      <c r="J492" s="22"/>
      <c r="K492" s="108"/>
      <c r="L492" s="66"/>
      <c r="M492" s="66"/>
      <c r="N492" s="66"/>
      <c r="O492" s="66"/>
      <c r="P492" s="66"/>
      <c r="Q492" s="66"/>
      <c r="R492" s="66"/>
      <c r="S492" s="66"/>
      <c r="T492" s="66"/>
      <c r="U492" s="66"/>
      <c r="V492" s="66"/>
      <c r="W492" s="66"/>
      <c r="X492" s="66"/>
      <c r="Y492" s="66"/>
      <c r="Z492" s="66"/>
      <c r="AA492" s="66"/>
      <c r="AB492" s="66"/>
      <c r="AC492" s="66"/>
    </row>
    <row r="493">
      <c r="A493" s="66"/>
      <c r="B493" s="66"/>
      <c r="C493" s="66"/>
      <c r="D493" s="66"/>
      <c r="E493" s="15"/>
      <c r="F493" s="66"/>
      <c r="G493" s="18"/>
      <c r="H493" s="15"/>
      <c r="I493" s="18"/>
      <c r="J493" s="22"/>
      <c r="K493" s="108"/>
      <c r="L493" s="66"/>
      <c r="M493" s="66"/>
      <c r="N493" s="66"/>
      <c r="O493" s="66"/>
      <c r="P493" s="66"/>
      <c r="Q493" s="66"/>
      <c r="R493" s="66"/>
      <c r="S493" s="66"/>
      <c r="T493" s="66"/>
      <c r="U493" s="66"/>
      <c r="V493" s="66"/>
      <c r="W493" s="66"/>
      <c r="X493" s="66"/>
      <c r="Y493" s="66"/>
      <c r="Z493" s="66"/>
      <c r="AA493" s="66"/>
      <c r="AB493" s="66"/>
      <c r="AC493" s="66"/>
    </row>
    <row r="494">
      <c r="A494" s="66"/>
      <c r="B494" s="66"/>
      <c r="C494" s="66"/>
      <c r="D494" s="66"/>
      <c r="E494" s="15"/>
      <c r="F494" s="66"/>
      <c r="G494" s="18"/>
      <c r="H494" s="15"/>
      <c r="I494" s="18"/>
      <c r="J494" s="22"/>
      <c r="K494" s="108"/>
      <c r="L494" s="66"/>
      <c r="M494" s="66"/>
      <c r="N494" s="66"/>
      <c r="O494" s="66"/>
      <c r="P494" s="66"/>
      <c r="Q494" s="66"/>
      <c r="R494" s="66"/>
      <c r="S494" s="66"/>
      <c r="T494" s="66"/>
      <c r="U494" s="66"/>
      <c r="V494" s="66"/>
      <c r="W494" s="66"/>
      <c r="X494" s="66"/>
      <c r="Y494" s="66"/>
      <c r="Z494" s="66"/>
      <c r="AA494" s="66"/>
      <c r="AB494" s="66"/>
      <c r="AC494" s="66"/>
    </row>
    <row r="495">
      <c r="A495" s="66"/>
      <c r="B495" s="66"/>
      <c r="C495" s="66"/>
      <c r="D495" s="66"/>
      <c r="E495" s="15"/>
      <c r="F495" s="66"/>
      <c r="G495" s="18"/>
      <c r="H495" s="15"/>
      <c r="I495" s="18"/>
      <c r="J495" s="22"/>
      <c r="K495" s="108"/>
      <c r="L495" s="66"/>
      <c r="M495" s="66"/>
      <c r="N495" s="66"/>
      <c r="O495" s="66"/>
      <c r="P495" s="66"/>
      <c r="Q495" s="66"/>
      <c r="R495" s="66"/>
      <c r="S495" s="66"/>
      <c r="T495" s="66"/>
      <c r="U495" s="66"/>
      <c r="V495" s="66"/>
      <c r="W495" s="66"/>
      <c r="X495" s="66"/>
      <c r="Y495" s="66"/>
      <c r="Z495" s="66"/>
      <c r="AA495" s="66"/>
      <c r="AB495" s="66"/>
      <c r="AC495" s="66"/>
    </row>
    <row r="496">
      <c r="A496" s="66"/>
      <c r="B496" s="66"/>
      <c r="C496" s="66"/>
      <c r="D496" s="66"/>
      <c r="E496" s="15"/>
      <c r="F496" s="66"/>
      <c r="G496" s="18"/>
      <c r="H496" s="15"/>
      <c r="I496" s="18"/>
      <c r="J496" s="22"/>
      <c r="K496" s="108"/>
      <c r="L496" s="66"/>
      <c r="M496" s="66"/>
      <c r="N496" s="66"/>
      <c r="O496" s="66"/>
      <c r="P496" s="66"/>
      <c r="Q496" s="66"/>
      <c r="R496" s="66"/>
      <c r="S496" s="66"/>
      <c r="T496" s="66"/>
      <c r="U496" s="66"/>
      <c r="V496" s="66"/>
      <c r="W496" s="66"/>
      <c r="X496" s="66"/>
      <c r="Y496" s="66"/>
      <c r="Z496" s="66"/>
      <c r="AA496" s="66"/>
      <c r="AB496" s="66"/>
      <c r="AC496" s="66"/>
    </row>
    <row r="497">
      <c r="A497" s="66"/>
      <c r="B497" s="66"/>
      <c r="C497" s="66"/>
      <c r="D497" s="66"/>
      <c r="E497" s="15"/>
      <c r="F497" s="66"/>
      <c r="G497" s="18"/>
      <c r="H497" s="15"/>
      <c r="I497" s="18"/>
      <c r="J497" s="22"/>
      <c r="K497" s="108"/>
      <c r="L497" s="66"/>
      <c r="M497" s="66"/>
      <c r="N497" s="66"/>
      <c r="O497" s="66"/>
      <c r="P497" s="66"/>
      <c r="Q497" s="66"/>
      <c r="R497" s="66"/>
      <c r="S497" s="66"/>
      <c r="T497" s="66"/>
      <c r="U497" s="66"/>
      <c r="V497" s="66"/>
      <c r="W497" s="66"/>
      <c r="X497" s="66"/>
      <c r="Y497" s="66"/>
      <c r="Z497" s="66"/>
      <c r="AA497" s="66"/>
      <c r="AB497" s="66"/>
      <c r="AC497" s="66"/>
    </row>
    <row r="498">
      <c r="A498" s="66"/>
      <c r="B498" s="66"/>
      <c r="C498" s="66"/>
      <c r="D498" s="66"/>
      <c r="E498" s="15"/>
      <c r="F498" s="66"/>
      <c r="G498" s="18"/>
      <c r="H498" s="15"/>
      <c r="I498" s="18"/>
      <c r="J498" s="22"/>
      <c r="K498" s="108"/>
      <c r="L498" s="66"/>
      <c r="M498" s="66"/>
      <c r="N498" s="66"/>
      <c r="O498" s="66"/>
      <c r="P498" s="66"/>
      <c r="Q498" s="66"/>
      <c r="R498" s="66"/>
      <c r="S498" s="66"/>
      <c r="T498" s="66"/>
      <c r="U498" s="66"/>
      <c r="V498" s="66"/>
      <c r="W498" s="66"/>
      <c r="X498" s="66"/>
      <c r="Y498" s="66"/>
      <c r="Z498" s="66"/>
      <c r="AA498" s="66"/>
      <c r="AB498" s="66"/>
      <c r="AC498" s="66"/>
    </row>
    <row r="499">
      <c r="A499" s="66"/>
      <c r="B499" s="66"/>
      <c r="C499" s="66"/>
      <c r="D499" s="66"/>
      <c r="E499" s="15"/>
      <c r="F499" s="66"/>
      <c r="G499" s="18"/>
      <c r="H499" s="15"/>
      <c r="I499" s="18"/>
      <c r="J499" s="22"/>
      <c r="K499" s="108"/>
      <c r="L499" s="66"/>
      <c r="M499" s="66"/>
      <c r="N499" s="66"/>
      <c r="O499" s="66"/>
      <c r="P499" s="66"/>
      <c r="Q499" s="66"/>
      <c r="R499" s="66"/>
      <c r="S499" s="66"/>
      <c r="T499" s="66"/>
      <c r="U499" s="66"/>
      <c r="V499" s="66"/>
      <c r="W499" s="66"/>
      <c r="X499" s="66"/>
      <c r="Y499" s="66"/>
      <c r="Z499" s="66"/>
      <c r="AA499" s="66"/>
      <c r="AB499" s="66"/>
      <c r="AC499" s="66"/>
    </row>
    <row r="500">
      <c r="A500" s="66"/>
      <c r="B500" s="66"/>
      <c r="C500" s="66"/>
      <c r="D500" s="66"/>
      <c r="E500" s="15"/>
      <c r="F500" s="66"/>
      <c r="G500" s="18"/>
      <c r="H500" s="15"/>
      <c r="I500" s="18"/>
      <c r="J500" s="22"/>
      <c r="K500" s="108"/>
      <c r="L500" s="66"/>
      <c r="M500" s="66"/>
      <c r="N500" s="66"/>
      <c r="O500" s="66"/>
      <c r="P500" s="66"/>
      <c r="Q500" s="66"/>
      <c r="R500" s="66"/>
      <c r="S500" s="66"/>
      <c r="T500" s="66"/>
      <c r="U500" s="66"/>
      <c r="V500" s="66"/>
      <c r="W500" s="66"/>
      <c r="X500" s="66"/>
      <c r="Y500" s="66"/>
      <c r="Z500" s="66"/>
      <c r="AA500" s="66"/>
      <c r="AB500" s="66"/>
      <c r="AC500" s="66"/>
    </row>
    <row r="501">
      <c r="A501" s="66"/>
      <c r="B501" s="66"/>
      <c r="C501" s="66"/>
      <c r="D501" s="66"/>
      <c r="E501" s="15"/>
      <c r="F501" s="66"/>
      <c r="G501" s="18"/>
      <c r="H501" s="15"/>
      <c r="I501" s="18"/>
      <c r="J501" s="22"/>
      <c r="K501" s="108"/>
      <c r="L501" s="66"/>
      <c r="M501" s="66"/>
      <c r="N501" s="66"/>
      <c r="O501" s="66"/>
      <c r="P501" s="66"/>
      <c r="Q501" s="66"/>
      <c r="R501" s="66"/>
      <c r="S501" s="66"/>
      <c r="T501" s="66"/>
      <c r="U501" s="66"/>
      <c r="V501" s="66"/>
      <c r="W501" s="66"/>
      <c r="X501" s="66"/>
      <c r="Y501" s="66"/>
      <c r="Z501" s="66"/>
      <c r="AA501" s="66"/>
      <c r="AB501" s="66"/>
      <c r="AC501" s="66"/>
    </row>
    <row r="502">
      <c r="A502" s="66"/>
      <c r="B502" s="66"/>
      <c r="C502" s="66"/>
      <c r="D502" s="66"/>
      <c r="E502" s="15"/>
      <c r="F502" s="66"/>
      <c r="G502" s="18"/>
      <c r="H502" s="15"/>
      <c r="I502" s="18"/>
      <c r="J502" s="22"/>
      <c r="K502" s="108"/>
      <c r="L502" s="66"/>
      <c r="M502" s="66"/>
      <c r="N502" s="66"/>
      <c r="O502" s="66"/>
      <c r="P502" s="66"/>
      <c r="Q502" s="66"/>
      <c r="R502" s="66"/>
      <c r="S502" s="66"/>
      <c r="T502" s="66"/>
      <c r="U502" s="66"/>
      <c r="V502" s="66"/>
      <c r="W502" s="66"/>
      <c r="X502" s="66"/>
      <c r="Y502" s="66"/>
      <c r="Z502" s="66"/>
      <c r="AA502" s="66"/>
      <c r="AB502" s="66"/>
      <c r="AC502" s="66"/>
    </row>
    <row r="503">
      <c r="A503" s="66"/>
      <c r="B503" s="66"/>
      <c r="C503" s="66"/>
      <c r="D503" s="66"/>
      <c r="E503" s="15"/>
      <c r="F503" s="66"/>
      <c r="G503" s="18"/>
      <c r="H503" s="15"/>
      <c r="I503" s="18"/>
      <c r="J503" s="22"/>
      <c r="K503" s="108"/>
      <c r="L503" s="66"/>
      <c r="M503" s="66"/>
      <c r="N503" s="66"/>
      <c r="O503" s="66"/>
      <c r="P503" s="66"/>
      <c r="Q503" s="66"/>
      <c r="R503" s="66"/>
      <c r="S503" s="66"/>
      <c r="T503" s="66"/>
      <c r="U503" s="66"/>
      <c r="V503" s="66"/>
      <c r="W503" s="66"/>
      <c r="X503" s="66"/>
      <c r="Y503" s="66"/>
      <c r="Z503" s="66"/>
      <c r="AA503" s="66"/>
      <c r="AB503" s="66"/>
      <c r="AC503" s="66"/>
    </row>
    <row r="504">
      <c r="A504" s="66"/>
      <c r="B504" s="66"/>
      <c r="C504" s="66"/>
      <c r="D504" s="66"/>
      <c r="E504" s="15"/>
      <c r="F504" s="66"/>
      <c r="G504" s="18"/>
      <c r="H504" s="15"/>
      <c r="I504" s="18"/>
      <c r="J504" s="22"/>
      <c r="K504" s="108"/>
      <c r="L504" s="66"/>
      <c r="M504" s="66"/>
      <c r="N504" s="66"/>
      <c r="O504" s="66"/>
      <c r="P504" s="66"/>
      <c r="Q504" s="66"/>
      <c r="R504" s="66"/>
      <c r="S504" s="66"/>
      <c r="T504" s="66"/>
      <c r="U504" s="66"/>
      <c r="V504" s="66"/>
      <c r="W504" s="66"/>
      <c r="X504" s="66"/>
      <c r="Y504" s="66"/>
      <c r="Z504" s="66"/>
      <c r="AA504" s="66"/>
      <c r="AB504" s="66"/>
      <c r="AC504" s="66"/>
    </row>
    <row r="505">
      <c r="A505" s="66"/>
      <c r="B505" s="66"/>
      <c r="C505" s="66"/>
      <c r="D505" s="66"/>
      <c r="E505" s="15"/>
      <c r="F505" s="66"/>
      <c r="G505" s="18"/>
      <c r="H505" s="15"/>
      <c r="I505" s="18"/>
      <c r="J505" s="22"/>
      <c r="K505" s="108"/>
      <c r="L505" s="66"/>
      <c r="M505" s="66"/>
      <c r="N505" s="66"/>
      <c r="O505" s="66"/>
      <c r="P505" s="66"/>
      <c r="Q505" s="66"/>
      <c r="R505" s="66"/>
      <c r="S505" s="66"/>
      <c r="T505" s="66"/>
      <c r="U505" s="66"/>
      <c r="V505" s="66"/>
      <c r="W505" s="66"/>
      <c r="X505" s="66"/>
      <c r="Y505" s="66"/>
      <c r="Z505" s="66"/>
      <c r="AA505" s="66"/>
      <c r="AB505" s="66"/>
      <c r="AC505" s="66"/>
    </row>
    <row r="506">
      <c r="A506" s="66"/>
      <c r="B506" s="66"/>
      <c r="C506" s="66"/>
      <c r="D506" s="66"/>
      <c r="E506" s="15"/>
      <c r="F506" s="66"/>
      <c r="G506" s="18"/>
      <c r="H506" s="15"/>
      <c r="I506" s="18"/>
      <c r="J506" s="22"/>
      <c r="K506" s="108"/>
      <c r="L506" s="66"/>
      <c r="M506" s="66"/>
      <c r="N506" s="66"/>
      <c r="O506" s="66"/>
      <c r="P506" s="66"/>
      <c r="Q506" s="66"/>
      <c r="R506" s="66"/>
      <c r="S506" s="66"/>
      <c r="T506" s="66"/>
      <c r="U506" s="66"/>
      <c r="V506" s="66"/>
      <c r="W506" s="66"/>
      <c r="X506" s="66"/>
      <c r="Y506" s="66"/>
      <c r="Z506" s="66"/>
      <c r="AA506" s="66"/>
      <c r="AB506" s="66"/>
      <c r="AC506" s="66"/>
    </row>
    <row r="507">
      <c r="A507" s="66"/>
      <c r="B507" s="66"/>
      <c r="C507" s="66"/>
      <c r="D507" s="66"/>
      <c r="E507" s="15"/>
      <c r="F507" s="66"/>
      <c r="G507" s="18"/>
      <c r="H507" s="15"/>
      <c r="I507" s="18"/>
      <c r="J507" s="22"/>
      <c r="K507" s="108"/>
      <c r="L507" s="66"/>
      <c r="M507" s="66"/>
      <c r="N507" s="66"/>
      <c r="O507" s="66"/>
      <c r="P507" s="66"/>
      <c r="Q507" s="66"/>
      <c r="R507" s="66"/>
      <c r="S507" s="66"/>
      <c r="T507" s="66"/>
      <c r="U507" s="66"/>
      <c r="V507" s="66"/>
      <c r="W507" s="66"/>
      <c r="X507" s="66"/>
      <c r="Y507" s="66"/>
      <c r="Z507" s="66"/>
      <c r="AA507" s="66"/>
      <c r="AB507" s="66"/>
      <c r="AC507" s="66"/>
    </row>
    <row r="508">
      <c r="A508" s="66"/>
      <c r="B508" s="66"/>
      <c r="C508" s="66"/>
      <c r="D508" s="66"/>
      <c r="E508" s="15"/>
      <c r="F508" s="66"/>
      <c r="G508" s="18"/>
      <c r="H508" s="15"/>
      <c r="I508" s="18"/>
      <c r="J508" s="22"/>
      <c r="K508" s="108"/>
      <c r="L508" s="66"/>
      <c r="M508" s="66"/>
      <c r="N508" s="66"/>
      <c r="O508" s="66"/>
      <c r="P508" s="66"/>
      <c r="Q508" s="66"/>
      <c r="R508" s="66"/>
      <c r="S508" s="66"/>
      <c r="T508" s="66"/>
      <c r="U508" s="66"/>
      <c r="V508" s="66"/>
      <c r="W508" s="66"/>
      <c r="X508" s="66"/>
      <c r="Y508" s="66"/>
      <c r="Z508" s="66"/>
      <c r="AA508" s="66"/>
      <c r="AB508" s="66"/>
      <c r="AC508" s="66"/>
    </row>
    <row r="509">
      <c r="A509" s="66"/>
      <c r="B509" s="66"/>
      <c r="C509" s="66"/>
      <c r="D509" s="66"/>
      <c r="E509" s="15"/>
      <c r="F509" s="66"/>
      <c r="G509" s="18"/>
      <c r="H509" s="15"/>
      <c r="I509" s="18"/>
      <c r="J509" s="22"/>
      <c r="K509" s="108"/>
      <c r="L509" s="66"/>
      <c r="M509" s="66"/>
      <c r="N509" s="66"/>
      <c r="O509" s="66"/>
      <c r="P509" s="66"/>
      <c r="Q509" s="66"/>
      <c r="R509" s="66"/>
      <c r="S509" s="66"/>
      <c r="T509" s="66"/>
      <c r="U509" s="66"/>
      <c r="V509" s="66"/>
      <c r="W509" s="66"/>
      <c r="X509" s="66"/>
      <c r="Y509" s="66"/>
      <c r="Z509" s="66"/>
      <c r="AA509" s="66"/>
      <c r="AB509" s="66"/>
      <c r="AC509" s="66"/>
    </row>
    <row r="510">
      <c r="A510" s="66"/>
      <c r="B510" s="66"/>
      <c r="C510" s="66"/>
      <c r="D510" s="66"/>
      <c r="E510" s="15"/>
      <c r="F510" s="66"/>
      <c r="G510" s="18"/>
      <c r="H510" s="15"/>
      <c r="I510" s="18"/>
      <c r="J510" s="22"/>
      <c r="K510" s="108"/>
      <c r="L510" s="66"/>
      <c r="M510" s="66"/>
      <c r="N510" s="66"/>
      <c r="O510" s="66"/>
      <c r="P510" s="66"/>
      <c r="Q510" s="66"/>
      <c r="R510" s="66"/>
      <c r="S510" s="66"/>
      <c r="T510" s="66"/>
      <c r="U510" s="66"/>
      <c r="V510" s="66"/>
      <c r="W510" s="66"/>
      <c r="X510" s="66"/>
      <c r="Y510" s="66"/>
      <c r="Z510" s="66"/>
      <c r="AA510" s="66"/>
      <c r="AB510" s="66"/>
      <c r="AC510" s="66"/>
    </row>
    <row r="511">
      <c r="A511" s="66"/>
      <c r="B511" s="66"/>
      <c r="C511" s="66"/>
      <c r="D511" s="66"/>
      <c r="E511" s="15"/>
      <c r="F511" s="66"/>
      <c r="G511" s="18"/>
      <c r="H511" s="15"/>
      <c r="I511" s="18"/>
      <c r="J511" s="22"/>
      <c r="K511" s="108"/>
      <c r="L511" s="66"/>
      <c r="M511" s="66"/>
      <c r="N511" s="66"/>
      <c r="O511" s="66"/>
      <c r="P511" s="66"/>
      <c r="Q511" s="66"/>
      <c r="R511" s="66"/>
      <c r="S511" s="66"/>
      <c r="T511" s="66"/>
      <c r="U511" s="66"/>
      <c r="V511" s="66"/>
      <c r="W511" s="66"/>
      <c r="X511" s="66"/>
      <c r="Y511" s="66"/>
      <c r="Z511" s="66"/>
      <c r="AA511" s="66"/>
      <c r="AB511" s="66"/>
      <c r="AC511" s="66"/>
    </row>
    <row r="512">
      <c r="A512" s="66"/>
      <c r="B512" s="66"/>
      <c r="C512" s="66"/>
      <c r="D512" s="66"/>
      <c r="E512" s="15"/>
      <c r="F512" s="66"/>
      <c r="G512" s="18"/>
      <c r="H512" s="15"/>
      <c r="I512" s="18"/>
      <c r="J512" s="22"/>
      <c r="K512" s="108"/>
      <c r="L512" s="66"/>
      <c r="M512" s="66"/>
      <c r="N512" s="66"/>
      <c r="O512" s="66"/>
      <c r="P512" s="66"/>
      <c r="Q512" s="66"/>
      <c r="R512" s="66"/>
      <c r="S512" s="66"/>
      <c r="T512" s="66"/>
      <c r="U512" s="66"/>
      <c r="V512" s="66"/>
      <c r="W512" s="66"/>
      <c r="X512" s="66"/>
      <c r="Y512" s="66"/>
      <c r="Z512" s="66"/>
      <c r="AA512" s="66"/>
      <c r="AB512" s="66"/>
      <c r="AC512" s="66"/>
    </row>
    <row r="513">
      <c r="A513" s="66"/>
      <c r="B513" s="66"/>
      <c r="C513" s="66"/>
      <c r="D513" s="66"/>
      <c r="E513" s="15"/>
      <c r="F513" s="66"/>
      <c r="G513" s="18"/>
      <c r="H513" s="15"/>
      <c r="I513" s="18"/>
      <c r="J513" s="22"/>
      <c r="K513" s="108"/>
      <c r="L513" s="66"/>
      <c r="M513" s="66"/>
      <c r="N513" s="66"/>
      <c r="O513" s="66"/>
      <c r="P513" s="66"/>
      <c r="Q513" s="66"/>
      <c r="R513" s="66"/>
      <c r="S513" s="66"/>
      <c r="T513" s="66"/>
      <c r="U513" s="66"/>
      <c r="V513" s="66"/>
      <c r="W513" s="66"/>
      <c r="X513" s="66"/>
      <c r="Y513" s="66"/>
      <c r="Z513" s="66"/>
      <c r="AA513" s="66"/>
      <c r="AB513" s="66"/>
      <c r="AC513" s="66"/>
    </row>
    <row r="514">
      <c r="A514" s="66"/>
      <c r="B514" s="66"/>
      <c r="C514" s="66"/>
      <c r="D514" s="66"/>
      <c r="E514" s="15"/>
      <c r="F514" s="66"/>
      <c r="G514" s="18"/>
      <c r="H514" s="15"/>
      <c r="I514" s="18"/>
      <c r="J514" s="22"/>
      <c r="K514" s="108"/>
      <c r="L514" s="66"/>
      <c r="M514" s="66"/>
      <c r="N514" s="66"/>
      <c r="O514" s="66"/>
      <c r="P514" s="66"/>
      <c r="Q514" s="66"/>
      <c r="R514" s="66"/>
      <c r="S514" s="66"/>
      <c r="T514" s="66"/>
      <c r="U514" s="66"/>
      <c r="V514" s="66"/>
      <c r="W514" s="66"/>
      <c r="X514" s="66"/>
      <c r="Y514" s="66"/>
      <c r="Z514" s="66"/>
      <c r="AA514" s="66"/>
      <c r="AB514" s="66"/>
      <c r="AC514" s="66"/>
    </row>
    <row r="515">
      <c r="A515" s="66"/>
      <c r="B515" s="66"/>
      <c r="C515" s="66"/>
      <c r="D515" s="66"/>
      <c r="E515" s="15"/>
      <c r="F515" s="66"/>
      <c r="G515" s="18"/>
      <c r="H515" s="15"/>
      <c r="I515" s="18"/>
      <c r="J515" s="22"/>
      <c r="K515" s="108"/>
      <c r="L515" s="66"/>
      <c r="M515" s="66"/>
      <c r="N515" s="66"/>
      <c r="O515" s="66"/>
      <c r="P515" s="66"/>
      <c r="Q515" s="66"/>
      <c r="R515" s="66"/>
      <c r="S515" s="66"/>
      <c r="T515" s="66"/>
      <c r="U515" s="66"/>
      <c r="V515" s="66"/>
      <c r="W515" s="66"/>
      <c r="X515" s="66"/>
      <c r="Y515" s="66"/>
      <c r="Z515" s="66"/>
      <c r="AA515" s="66"/>
      <c r="AB515" s="66"/>
      <c r="AC515" s="66"/>
    </row>
    <row r="516">
      <c r="A516" s="66"/>
      <c r="B516" s="66"/>
      <c r="C516" s="66"/>
      <c r="D516" s="66"/>
      <c r="E516" s="15"/>
      <c r="F516" s="66"/>
      <c r="G516" s="18"/>
      <c r="H516" s="15"/>
      <c r="I516" s="18"/>
      <c r="J516" s="22"/>
      <c r="K516" s="108"/>
      <c r="L516" s="66"/>
      <c r="M516" s="66"/>
      <c r="N516" s="66"/>
      <c r="O516" s="66"/>
      <c r="P516" s="66"/>
      <c r="Q516" s="66"/>
      <c r="R516" s="66"/>
      <c r="S516" s="66"/>
      <c r="T516" s="66"/>
      <c r="U516" s="66"/>
      <c r="V516" s="66"/>
      <c r="W516" s="66"/>
      <c r="X516" s="66"/>
      <c r="Y516" s="66"/>
      <c r="Z516" s="66"/>
      <c r="AA516" s="66"/>
      <c r="AB516" s="66"/>
      <c r="AC516" s="66"/>
    </row>
    <row r="517">
      <c r="A517" s="66"/>
      <c r="B517" s="66"/>
      <c r="C517" s="66"/>
      <c r="D517" s="66"/>
      <c r="E517" s="15"/>
      <c r="F517" s="66"/>
      <c r="G517" s="18"/>
      <c r="H517" s="15"/>
      <c r="I517" s="18"/>
      <c r="J517" s="22"/>
      <c r="K517" s="108"/>
      <c r="L517" s="66"/>
      <c r="M517" s="66"/>
      <c r="N517" s="66"/>
      <c r="O517" s="66"/>
      <c r="P517" s="66"/>
      <c r="Q517" s="66"/>
      <c r="R517" s="66"/>
      <c r="S517" s="66"/>
      <c r="T517" s="66"/>
      <c r="U517" s="66"/>
      <c r="V517" s="66"/>
      <c r="W517" s="66"/>
      <c r="X517" s="66"/>
      <c r="Y517" s="66"/>
      <c r="Z517" s="66"/>
      <c r="AA517" s="66"/>
      <c r="AB517" s="66"/>
      <c r="AC517" s="66"/>
    </row>
    <row r="518">
      <c r="A518" s="66"/>
      <c r="B518" s="66"/>
      <c r="C518" s="66"/>
      <c r="D518" s="66"/>
      <c r="E518" s="15"/>
      <c r="F518" s="66"/>
      <c r="G518" s="18"/>
      <c r="H518" s="15"/>
      <c r="I518" s="18"/>
      <c r="J518" s="22"/>
      <c r="K518" s="108"/>
      <c r="L518" s="66"/>
      <c r="M518" s="66"/>
      <c r="N518" s="66"/>
      <c r="O518" s="66"/>
      <c r="P518" s="66"/>
      <c r="Q518" s="66"/>
      <c r="R518" s="66"/>
      <c r="S518" s="66"/>
      <c r="T518" s="66"/>
      <c r="U518" s="66"/>
      <c r="V518" s="66"/>
      <c r="W518" s="66"/>
      <c r="X518" s="66"/>
      <c r="Y518" s="66"/>
      <c r="Z518" s="66"/>
      <c r="AA518" s="66"/>
      <c r="AB518" s="66"/>
      <c r="AC518" s="66"/>
    </row>
    <row r="519">
      <c r="A519" s="66"/>
      <c r="B519" s="66"/>
      <c r="C519" s="66"/>
      <c r="D519" s="66"/>
      <c r="E519" s="15"/>
      <c r="F519" s="66"/>
      <c r="G519" s="18"/>
      <c r="H519" s="15"/>
      <c r="I519" s="18"/>
      <c r="J519" s="22"/>
      <c r="K519" s="108"/>
      <c r="L519" s="66"/>
      <c r="M519" s="66"/>
      <c r="N519" s="66"/>
      <c r="O519" s="66"/>
      <c r="P519" s="66"/>
      <c r="Q519" s="66"/>
      <c r="R519" s="66"/>
      <c r="S519" s="66"/>
      <c r="T519" s="66"/>
      <c r="U519" s="66"/>
      <c r="V519" s="66"/>
      <c r="W519" s="66"/>
      <c r="X519" s="66"/>
      <c r="Y519" s="66"/>
      <c r="Z519" s="66"/>
      <c r="AA519" s="66"/>
      <c r="AB519" s="66"/>
      <c r="AC519" s="66"/>
    </row>
    <row r="520">
      <c r="A520" s="66"/>
      <c r="B520" s="66"/>
      <c r="C520" s="66"/>
      <c r="D520" s="66"/>
      <c r="E520" s="15"/>
      <c r="F520" s="66"/>
      <c r="G520" s="18"/>
      <c r="H520" s="15"/>
      <c r="I520" s="18"/>
      <c r="J520" s="22"/>
      <c r="K520" s="108"/>
      <c r="L520" s="66"/>
      <c r="M520" s="66"/>
      <c r="N520" s="66"/>
      <c r="O520" s="66"/>
      <c r="P520" s="66"/>
      <c r="Q520" s="66"/>
      <c r="R520" s="66"/>
      <c r="S520" s="66"/>
      <c r="T520" s="66"/>
      <c r="U520" s="66"/>
      <c r="V520" s="66"/>
      <c r="W520" s="66"/>
      <c r="X520" s="66"/>
      <c r="Y520" s="66"/>
      <c r="Z520" s="66"/>
      <c r="AA520" s="66"/>
      <c r="AB520" s="66"/>
      <c r="AC520" s="66"/>
    </row>
    <row r="521">
      <c r="A521" s="66"/>
      <c r="B521" s="66"/>
      <c r="C521" s="66"/>
      <c r="D521" s="66"/>
      <c r="E521" s="15"/>
      <c r="F521" s="66"/>
      <c r="G521" s="18"/>
      <c r="H521" s="15"/>
      <c r="I521" s="18"/>
      <c r="J521" s="22"/>
      <c r="K521" s="108"/>
      <c r="L521" s="66"/>
      <c r="M521" s="66"/>
      <c r="N521" s="66"/>
      <c r="O521" s="66"/>
      <c r="P521" s="66"/>
      <c r="Q521" s="66"/>
      <c r="R521" s="66"/>
      <c r="S521" s="66"/>
      <c r="T521" s="66"/>
      <c r="U521" s="66"/>
      <c r="V521" s="66"/>
      <c r="W521" s="66"/>
      <c r="X521" s="66"/>
      <c r="Y521" s="66"/>
      <c r="Z521" s="66"/>
      <c r="AA521" s="66"/>
      <c r="AB521" s="66"/>
      <c r="AC521" s="66"/>
    </row>
    <row r="522">
      <c r="A522" s="66"/>
      <c r="B522" s="66"/>
      <c r="C522" s="66"/>
      <c r="D522" s="66"/>
      <c r="E522" s="15"/>
      <c r="F522" s="66"/>
      <c r="G522" s="18"/>
      <c r="H522" s="15"/>
      <c r="I522" s="18"/>
      <c r="J522" s="22"/>
      <c r="K522" s="108"/>
      <c r="L522" s="66"/>
      <c r="M522" s="66"/>
      <c r="N522" s="66"/>
      <c r="O522" s="66"/>
      <c r="P522" s="66"/>
      <c r="Q522" s="66"/>
      <c r="R522" s="66"/>
      <c r="S522" s="66"/>
      <c r="T522" s="66"/>
      <c r="U522" s="66"/>
      <c r="V522" s="66"/>
      <c r="W522" s="66"/>
      <c r="X522" s="66"/>
      <c r="Y522" s="66"/>
      <c r="Z522" s="66"/>
      <c r="AA522" s="66"/>
      <c r="AB522" s="66"/>
      <c r="AC522" s="66"/>
    </row>
    <row r="523">
      <c r="A523" s="66"/>
      <c r="B523" s="66"/>
      <c r="C523" s="66"/>
      <c r="D523" s="66"/>
      <c r="E523" s="15"/>
      <c r="F523" s="66"/>
      <c r="G523" s="18"/>
      <c r="H523" s="15"/>
      <c r="I523" s="18"/>
      <c r="J523" s="22"/>
      <c r="K523" s="108"/>
      <c r="L523" s="66"/>
      <c r="M523" s="66"/>
      <c r="N523" s="66"/>
      <c r="O523" s="66"/>
      <c r="P523" s="66"/>
      <c r="Q523" s="66"/>
      <c r="R523" s="66"/>
      <c r="S523" s="66"/>
      <c r="T523" s="66"/>
      <c r="U523" s="66"/>
      <c r="V523" s="66"/>
      <c r="W523" s="66"/>
      <c r="X523" s="66"/>
      <c r="Y523" s="66"/>
      <c r="Z523" s="66"/>
      <c r="AA523" s="66"/>
      <c r="AB523" s="66"/>
      <c r="AC523" s="66"/>
    </row>
    <row r="524">
      <c r="A524" s="66"/>
      <c r="B524" s="66"/>
      <c r="C524" s="66"/>
      <c r="D524" s="66"/>
      <c r="E524" s="15"/>
      <c r="F524" s="66"/>
      <c r="G524" s="18"/>
      <c r="H524" s="15"/>
      <c r="I524" s="18"/>
      <c r="J524" s="22"/>
      <c r="K524" s="108"/>
      <c r="L524" s="66"/>
      <c r="M524" s="66"/>
      <c r="N524" s="66"/>
      <c r="O524" s="66"/>
      <c r="P524" s="66"/>
      <c r="Q524" s="66"/>
      <c r="R524" s="66"/>
      <c r="S524" s="66"/>
      <c r="T524" s="66"/>
      <c r="U524" s="66"/>
      <c r="V524" s="66"/>
      <c r="W524" s="66"/>
      <c r="X524" s="66"/>
      <c r="Y524" s="66"/>
      <c r="Z524" s="66"/>
      <c r="AA524" s="66"/>
      <c r="AB524" s="66"/>
      <c r="AC524" s="66"/>
    </row>
    <row r="525">
      <c r="A525" s="66"/>
      <c r="B525" s="66"/>
      <c r="C525" s="66"/>
      <c r="D525" s="66"/>
      <c r="E525" s="15"/>
      <c r="F525" s="66"/>
      <c r="G525" s="18"/>
      <c r="H525" s="15"/>
      <c r="I525" s="18"/>
      <c r="J525" s="22"/>
      <c r="K525" s="108"/>
      <c r="L525" s="66"/>
      <c r="M525" s="66"/>
      <c r="N525" s="66"/>
      <c r="O525" s="66"/>
      <c r="P525" s="66"/>
      <c r="Q525" s="66"/>
      <c r="R525" s="66"/>
      <c r="S525" s="66"/>
      <c r="T525" s="66"/>
      <c r="U525" s="66"/>
      <c r="V525" s="66"/>
      <c r="W525" s="66"/>
      <c r="X525" s="66"/>
      <c r="Y525" s="66"/>
      <c r="Z525" s="66"/>
      <c r="AA525" s="66"/>
      <c r="AB525" s="66"/>
      <c r="AC525" s="66"/>
    </row>
    <row r="526">
      <c r="A526" s="66"/>
      <c r="B526" s="66"/>
      <c r="C526" s="66"/>
      <c r="D526" s="66"/>
      <c r="E526" s="15"/>
      <c r="F526" s="66"/>
      <c r="G526" s="18"/>
      <c r="H526" s="15"/>
      <c r="I526" s="18"/>
      <c r="J526" s="22"/>
      <c r="K526" s="108"/>
      <c r="L526" s="66"/>
      <c r="M526" s="66"/>
      <c r="N526" s="66"/>
      <c r="O526" s="66"/>
      <c r="P526" s="66"/>
      <c r="Q526" s="66"/>
      <c r="R526" s="66"/>
      <c r="S526" s="66"/>
      <c r="T526" s="66"/>
      <c r="U526" s="66"/>
      <c r="V526" s="66"/>
      <c r="W526" s="66"/>
      <c r="X526" s="66"/>
      <c r="Y526" s="66"/>
      <c r="Z526" s="66"/>
      <c r="AA526" s="66"/>
      <c r="AB526" s="66"/>
      <c r="AC526" s="66"/>
    </row>
    <row r="527">
      <c r="A527" s="66"/>
      <c r="B527" s="66"/>
      <c r="C527" s="66"/>
      <c r="D527" s="66"/>
      <c r="E527" s="15"/>
      <c r="F527" s="66"/>
      <c r="G527" s="18"/>
      <c r="H527" s="15"/>
      <c r="I527" s="18"/>
      <c r="J527" s="22"/>
      <c r="K527" s="108"/>
      <c r="L527" s="66"/>
      <c r="M527" s="66"/>
      <c r="N527" s="66"/>
      <c r="O527" s="66"/>
      <c r="P527" s="66"/>
      <c r="Q527" s="66"/>
      <c r="R527" s="66"/>
      <c r="S527" s="66"/>
      <c r="T527" s="66"/>
      <c r="U527" s="66"/>
      <c r="V527" s="66"/>
      <c r="W527" s="66"/>
      <c r="X527" s="66"/>
      <c r="Y527" s="66"/>
      <c r="Z527" s="66"/>
      <c r="AA527" s="66"/>
      <c r="AB527" s="66"/>
      <c r="AC527" s="66"/>
    </row>
    <row r="528">
      <c r="A528" s="66"/>
      <c r="B528" s="66"/>
      <c r="C528" s="66"/>
      <c r="D528" s="66"/>
      <c r="E528" s="15"/>
      <c r="F528" s="66"/>
      <c r="G528" s="18"/>
      <c r="H528" s="15"/>
      <c r="I528" s="18"/>
      <c r="J528" s="22"/>
      <c r="K528" s="108"/>
      <c r="L528" s="66"/>
      <c r="M528" s="66"/>
      <c r="N528" s="66"/>
      <c r="O528" s="66"/>
      <c r="P528" s="66"/>
      <c r="Q528" s="66"/>
      <c r="R528" s="66"/>
      <c r="S528" s="66"/>
      <c r="T528" s="66"/>
      <c r="U528" s="66"/>
      <c r="V528" s="66"/>
      <c r="W528" s="66"/>
      <c r="X528" s="66"/>
      <c r="Y528" s="66"/>
      <c r="Z528" s="66"/>
      <c r="AA528" s="66"/>
      <c r="AB528" s="66"/>
      <c r="AC528" s="66"/>
    </row>
    <row r="529">
      <c r="A529" s="66"/>
      <c r="B529" s="66"/>
      <c r="C529" s="66"/>
      <c r="D529" s="66"/>
      <c r="E529" s="15"/>
      <c r="F529" s="66"/>
      <c r="G529" s="18"/>
      <c r="H529" s="15"/>
      <c r="I529" s="18"/>
      <c r="J529" s="22"/>
      <c r="K529" s="108"/>
      <c r="L529" s="66"/>
      <c r="M529" s="66"/>
      <c r="N529" s="66"/>
      <c r="O529" s="66"/>
      <c r="P529" s="66"/>
      <c r="Q529" s="66"/>
      <c r="R529" s="66"/>
      <c r="S529" s="66"/>
      <c r="T529" s="66"/>
      <c r="U529" s="66"/>
      <c r="V529" s="66"/>
      <c r="W529" s="66"/>
      <c r="X529" s="66"/>
      <c r="Y529" s="66"/>
      <c r="Z529" s="66"/>
      <c r="AA529" s="66"/>
      <c r="AB529" s="66"/>
      <c r="AC529" s="66"/>
    </row>
    <row r="530">
      <c r="A530" s="66"/>
      <c r="B530" s="66"/>
      <c r="C530" s="66"/>
      <c r="D530" s="66"/>
      <c r="E530" s="15"/>
      <c r="F530" s="66"/>
      <c r="G530" s="18"/>
      <c r="H530" s="15"/>
      <c r="I530" s="18"/>
      <c r="J530" s="22"/>
      <c r="K530" s="108"/>
      <c r="L530" s="66"/>
      <c r="M530" s="66"/>
      <c r="N530" s="66"/>
      <c r="O530" s="66"/>
      <c r="P530" s="66"/>
      <c r="Q530" s="66"/>
      <c r="R530" s="66"/>
      <c r="S530" s="66"/>
      <c r="T530" s="66"/>
      <c r="U530" s="66"/>
      <c r="V530" s="66"/>
      <c r="W530" s="66"/>
      <c r="X530" s="66"/>
      <c r="Y530" s="66"/>
      <c r="Z530" s="66"/>
      <c r="AA530" s="66"/>
      <c r="AB530" s="66"/>
      <c r="AC530" s="66"/>
    </row>
    <row r="531">
      <c r="A531" s="66"/>
      <c r="B531" s="66"/>
      <c r="C531" s="66"/>
      <c r="D531" s="66"/>
      <c r="E531" s="15"/>
      <c r="F531" s="66"/>
      <c r="G531" s="18"/>
      <c r="H531" s="15"/>
      <c r="I531" s="18"/>
      <c r="J531" s="22"/>
      <c r="K531" s="108"/>
      <c r="L531" s="66"/>
      <c r="M531" s="66"/>
      <c r="N531" s="66"/>
      <c r="O531" s="66"/>
      <c r="P531" s="66"/>
      <c r="Q531" s="66"/>
      <c r="R531" s="66"/>
      <c r="S531" s="66"/>
      <c r="T531" s="66"/>
      <c r="U531" s="66"/>
      <c r="V531" s="66"/>
      <c r="W531" s="66"/>
      <c r="X531" s="66"/>
      <c r="Y531" s="66"/>
      <c r="Z531" s="66"/>
      <c r="AA531" s="66"/>
      <c r="AB531" s="66"/>
      <c r="AC531" s="66"/>
    </row>
    <row r="532">
      <c r="A532" s="66"/>
      <c r="B532" s="66"/>
      <c r="C532" s="66"/>
      <c r="D532" s="66"/>
      <c r="E532" s="15"/>
      <c r="F532" s="66"/>
      <c r="G532" s="18"/>
      <c r="H532" s="15"/>
      <c r="I532" s="18"/>
      <c r="J532" s="22"/>
      <c r="K532" s="108"/>
      <c r="L532" s="66"/>
      <c r="M532" s="66"/>
      <c r="N532" s="66"/>
      <c r="O532" s="66"/>
      <c r="P532" s="66"/>
      <c r="Q532" s="66"/>
      <c r="R532" s="66"/>
      <c r="S532" s="66"/>
      <c r="T532" s="66"/>
      <c r="U532" s="66"/>
      <c r="V532" s="66"/>
      <c r="W532" s="66"/>
      <c r="X532" s="66"/>
      <c r="Y532" s="66"/>
      <c r="Z532" s="66"/>
      <c r="AA532" s="66"/>
      <c r="AB532" s="66"/>
      <c r="AC532" s="66"/>
    </row>
    <row r="533">
      <c r="A533" s="66"/>
      <c r="B533" s="66"/>
      <c r="C533" s="66"/>
      <c r="D533" s="66"/>
      <c r="E533" s="15"/>
      <c r="F533" s="66"/>
      <c r="G533" s="18"/>
      <c r="H533" s="15"/>
      <c r="I533" s="18"/>
      <c r="J533" s="22"/>
      <c r="K533" s="108"/>
      <c r="L533" s="66"/>
      <c r="M533" s="66"/>
      <c r="N533" s="66"/>
      <c r="O533" s="66"/>
      <c r="P533" s="66"/>
      <c r="Q533" s="66"/>
      <c r="R533" s="66"/>
      <c r="S533" s="66"/>
      <c r="T533" s="66"/>
      <c r="U533" s="66"/>
      <c r="V533" s="66"/>
      <c r="W533" s="66"/>
      <c r="X533" s="66"/>
      <c r="Y533" s="66"/>
      <c r="Z533" s="66"/>
      <c r="AA533" s="66"/>
      <c r="AB533" s="66"/>
      <c r="AC533" s="66"/>
    </row>
    <row r="534">
      <c r="A534" s="66"/>
      <c r="B534" s="66"/>
      <c r="C534" s="66"/>
      <c r="D534" s="66"/>
      <c r="E534" s="15"/>
      <c r="F534" s="66"/>
      <c r="G534" s="18"/>
      <c r="H534" s="15"/>
      <c r="I534" s="18"/>
      <c r="J534" s="22"/>
      <c r="K534" s="108"/>
      <c r="L534" s="66"/>
      <c r="M534" s="66"/>
      <c r="N534" s="66"/>
      <c r="O534" s="66"/>
      <c r="P534" s="66"/>
      <c r="Q534" s="66"/>
      <c r="R534" s="66"/>
      <c r="S534" s="66"/>
      <c r="T534" s="66"/>
      <c r="U534" s="66"/>
      <c r="V534" s="66"/>
      <c r="W534" s="66"/>
      <c r="X534" s="66"/>
      <c r="Y534" s="66"/>
      <c r="Z534" s="66"/>
      <c r="AA534" s="66"/>
      <c r="AB534" s="66"/>
      <c r="AC534" s="66"/>
    </row>
    <row r="535">
      <c r="A535" s="66"/>
      <c r="B535" s="66"/>
      <c r="C535" s="66"/>
      <c r="D535" s="66"/>
      <c r="E535" s="15"/>
      <c r="F535" s="66"/>
      <c r="G535" s="18"/>
      <c r="H535" s="15"/>
      <c r="I535" s="18"/>
      <c r="J535" s="22"/>
      <c r="K535" s="108"/>
      <c r="L535" s="66"/>
      <c r="M535" s="66"/>
      <c r="N535" s="66"/>
      <c r="O535" s="66"/>
      <c r="P535" s="66"/>
      <c r="Q535" s="66"/>
      <c r="R535" s="66"/>
      <c r="S535" s="66"/>
      <c r="T535" s="66"/>
      <c r="U535" s="66"/>
      <c r="V535" s="66"/>
      <c r="W535" s="66"/>
      <c r="X535" s="66"/>
      <c r="Y535" s="66"/>
      <c r="Z535" s="66"/>
      <c r="AA535" s="66"/>
      <c r="AB535" s="66"/>
      <c r="AC535" s="66"/>
    </row>
    <row r="536">
      <c r="A536" s="66"/>
      <c r="B536" s="66"/>
      <c r="C536" s="66"/>
      <c r="D536" s="66"/>
      <c r="E536" s="15"/>
      <c r="F536" s="66"/>
      <c r="G536" s="18"/>
      <c r="H536" s="15"/>
      <c r="I536" s="18"/>
      <c r="J536" s="22"/>
      <c r="K536" s="108"/>
      <c r="L536" s="66"/>
      <c r="M536" s="66"/>
      <c r="N536" s="66"/>
      <c r="O536" s="66"/>
      <c r="P536" s="66"/>
      <c r="Q536" s="66"/>
      <c r="R536" s="66"/>
      <c r="S536" s="66"/>
      <c r="T536" s="66"/>
      <c r="U536" s="66"/>
      <c r="V536" s="66"/>
      <c r="W536" s="66"/>
      <c r="X536" s="66"/>
      <c r="Y536" s="66"/>
      <c r="Z536" s="66"/>
      <c r="AA536" s="66"/>
      <c r="AB536" s="66"/>
      <c r="AC536" s="66"/>
    </row>
    <row r="537">
      <c r="A537" s="66"/>
      <c r="B537" s="66"/>
      <c r="C537" s="66"/>
      <c r="D537" s="66"/>
      <c r="E537" s="15"/>
      <c r="F537" s="66"/>
      <c r="G537" s="18"/>
      <c r="H537" s="15"/>
      <c r="I537" s="18"/>
      <c r="J537" s="22"/>
      <c r="K537" s="108"/>
      <c r="L537" s="66"/>
      <c r="M537" s="66"/>
      <c r="N537" s="66"/>
      <c r="O537" s="66"/>
      <c r="P537" s="66"/>
      <c r="Q537" s="66"/>
      <c r="R537" s="66"/>
      <c r="S537" s="66"/>
      <c r="T537" s="66"/>
      <c r="U537" s="66"/>
      <c r="V537" s="66"/>
      <c r="W537" s="66"/>
      <c r="X537" s="66"/>
      <c r="Y537" s="66"/>
      <c r="Z537" s="66"/>
      <c r="AA537" s="66"/>
      <c r="AB537" s="66"/>
      <c r="AC537" s="66"/>
    </row>
    <row r="538">
      <c r="A538" s="66"/>
      <c r="B538" s="66"/>
      <c r="C538" s="66"/>
      <c r="D538" s="66"/>
      <c r="E538" s="15"/>
      <c r="F538" s="66"/>
      <c r="G538" s="18"/>
      <c r="H538" s="15"/>
      <c r="I538" s="18"/>
      <c r="J538" s="22"/>
      <c r="K538" s="108"/>
      <c r="L538" s="66"/>
      <c r="M538" s="66"/>
      <c r="N538" s="66"/>
      <c r="O538" s="66"/>
      <c r="P538" s="66"/>
      <c r="Q538" s="66"/>
      <c r="R538" s="66"/>
      <c r="S538" s="66"/>
      <c r="T538" s="66"/>
      <c r="U538" s="66"/>
      <c r="V538" s="66"/>
      <c r="W538" s="66"/>
      <c r="X538" s="66"/>
      <c r="Y538" s="66"/>
      <c r="Z538" s="66"/>
      <c r="AA538" s="66"/>
      <c r="AB538" s="66"/>
      <c r="AC538" s="66"/>
    </row>
    <row r="539">
      <c r="A539" s="66"/>
      <c r="B539" s="66"/>
      <c r="C539" s="66"/>
      <c r="D539" s="66"/>
      <c r="E539" s="15"/>
      <c r="F539" s="66"/>
      <c r="G539" s="18"/>
      <c r="H539" s="15"/>
      <c r="I539" s="18"/>
      <c r="J539" s="22"/>
      <c r="K539" s="108"/>
      <c r="L539" s="66"/>
      <c r="M539" s="66"/>
      <c r="N539" s="66"/>
      <c r="O539" s="66"/>
      <c r="P539" s="66"/>
      <c r="Q539" s="66"/>
      <c r="R539" s="66"/>
      <c r="S539" s="66"/>
      <c r="T539" s="66"/>
      <c r="U539" s="66"/>
      <c r="V539" s="66"/>
      <c r="W539" s="66"/>
      <c r="X539" s="66"/>
      <c r="Y539" s="66"/>
      <c r="Z539" s="66"/>
      <c r="AA539" s="66"/>
      <c r="AB539" s="66"/>
      <c r="AC539" s="66"/>
    </row>
    <row r="540">
      <c r="A540" s="66"/>
      <c r="B540" s="66"/>
      <c r="C540" s="66"/>
      <c r="D540" s="66"/>
      <c r="E540" s="15"/>
      <c r="F540" s="66"/>
      <c r="G540" s="18"/>
      <c r="H540" s="15"/>
      <c r="I540" s="18"/>
      <c r="J540" s="22"/>
      <c r="K540" s="108"/>
      <c r="L540" s="66"/>
      <c r="M540" s="66"/>
      <c r="N540" s="66"/>
      <c r="O540" s="66"/>
      <c r="P540" s="66"/>
      <c r="Q540" s="66"/>
      <c r="R540" s="66"/>
      <c r="S540" s="66"/>
      <c r="T540" s="66"/>
      <c r="U540" s="66"/>
      <c r="V540" s="66"/>
      <c r="W540" s="66"/>
      <c r="X540" s="66"/>
      <c r="Y540" s="66"/>
      <c r="Z540" s="66"/>
      <c r="AA540" s="66"/>
      <c r="AB540" s="66"/>
      <c r="AC540" s="66"/>
    </row>
    <row r="541">
      <c r="A541" s="66"/>
      <c r="B541" s="66"/>
      <c r="C541" s="66"/>
      <c r="D541" s="66"/>
      <c r="E541" s="15"/>
      <c r="F541" s="66"/>
      <c r="G541" s="18"/>
      <c r="H541" s="15"/>
      <c r="I541" s="18"/>
      <c r="J541" s="22"/>
      <c r="K541" s="108"/>
      <c r="L541" s="66"/>
      <c r="M541" s="66"/>
      <c r="N541" s="66"/>
      <c r="O541" s="66"/>
      <c r="P541" s="66"/>
      <c r="Q541" s="66"/>
      <c r="R541" s="66"/>
      <c r="S541" s="66"/>
      <c r="T541" s="66"/>
      <c r="U541" s="66"/>
      <c r="V541" s="66"/>
      <c r="W541" s="66"/>
      <c r="X541" s="66"/>
      <c r="Y541" s="66"/>
      <c r="Z541" s="66"/>
      <c r="AA541" s="66"/>
      <c r="AB541" s="66"/>
      <c r="AC541" s="66"/>
    </row>
    <row r="542">
      <c r="A542" s="66"/>
      <c r="B542" s="66"/>
      <c r="C542" s="66"/>
      <c r="D542" s="66"/>
      <c r="E542" s="15"/>
      <c r="F542" s="66"/>
      <c r="G542" s="18"/>
      <c r="H542" s="15"/>
      <c r="I542" s="18"/>
      <c r="J542" s="22"/>
      <c r="K542" s="108"/>
      <c r="L542" s="66"/>
      <c r="M542" s="66"/>
      <c r="N542" s="66"/>
      <c r="O542" s="66"/>
      <c r="P542" s="66"/>
      <c r="Q542" s="66"/>
      <c r="R542" s="66"/>
      <c r="S542" s="66"/>
      <c r="T542" s="66"/>
      <c r="U542" s="66"/>
      <c r="V542" s="66"/>
      <c r="W542" s="66"/>
      <c r="X542" s="66"/>
      <c r="Y542" s="66"/>
      <c r="Z542" s="66"/>
      <c r="AA542" s="66"/>
      <c r="AB542" s="66"/>
      <c r="AC542" s="66"/>
    </row>
    <row r="543">
      <c r="A543" s="66"/>
      <c r="B543" s="66"/>
      <c r="C543" s="66"/>
      <c r="D543" s="66"/>
      <c r="E543" s="15"/>
      <c r="F543" s="66"/>
      <c r="G543" s="18"/>
      <c r="H543" s="15"/>
      <c r="I543" s="18"/>
      <c r="J543" s="22"/>
      <c r="K543" s="108"/>
      <c r="L543" s="66"/>
      <c r="M543" s="66"/>
      <c r="N543" s="66"/>
      <c r="O543" s="66"/>
      <c r="P543" s="66"/>
      <c r="Q543" s="66"/>
      <c r="R543" s="66"/>
      <c r="S543" s="66"/>
      <c r="T543" s="66"/>
      <c r="U543" s="66"/>
      <c r="V543" s="66"/>
      <c r="W543" s="66"/>
      <c r="X543" s="66"/>
      <c r="Y543" s="66"/>
      <c r="Z543" s="66"/>
      <c r="AA543" s="66"/>
      <c r="AB543" s="66"/>
      <c r="AC543" s="66"/>
    </row>
    <row r="544">
      <c r="A544" s="66"/>
      <c r="B544" s="66"/>
      <c r="C544" s="66"/>
      <c r="D544" s="66"/>
      <c r="E544" s="15"/>
      <c r="F544" s="66"/>
      <c r="G544" s="18"/>
      <c r="H544" s="15"/>
      <c r="I544" s="18"/>
      <c r="J544" s="22"/>
      <c r="K544" s="108"/>
      <c r="L544" s="66"/>
      <c r="M544" s="66"/>
      <c r="N544" s="66"/>
      <c r="O544" s="66"/>
      <c r="P544" s="66"/>
      <c r="Q544" s="66"/>
      <c r="R544" s="66"/>
      <c r="S544" s="66"/>
      <c r="T544" s="66"/>
      <c r="U544" s="66"/>
      <c r="V544" s="66"/>
      <c r="W544" s="66"/>
      <c r="X544" s="66"/>
      <c r="Y544" s="66"/>
      <c r="Z544" s="66"/>
      <c r="AA544" s="66"/>
      <c r="AB544" s="66"/>
      <c r="AC544" s="66"/>
    </row>
  </sheetData>
  <conditionalFormatting sqref="E3:E59 I3:I59">
    <cfRule type="expression" dxfId="4" priority="1">
      <formula>AND($E3&lt;&gt;"",(($E3-$H3)/365*12)&lt;1)</formula>
    </cfRule>
  </conditionalFormatting>
  <conditionalFormatting sqref="J3:J59">
    <cfRule type="cellIs" dxfId="5" priority="2" operator="between">
      <formula>75</formula>
      <formula>90</formula>
    </cfRule>
  </conditionalFormatting>
  <conditionalFormatting sqref="J3:J59">
    <cfRule type="cellIs" dxfId="6" priority="3" operator="between">
      <formula>50</formula>
      <formula>75</formula>
    </cfRule>
  </conditionalFormatting>
  <conditionalFormatting sqref="J3:J59">
    <cfRule type="cellIs" dxfId="7" priority="4" operator="between">
      <formula>1</formula>
      <formula>50</formula>
    </cfRule>
  </conditionalFormatting>
  <conditionalFormatting sqref="I3:I59">
    <cfRule type="colorScale" priority="5">
      <colorScale>
        <cfvo type="min"/>
        <cfvo type="percentile" val="50"/>
        <cfvo type="max"/>
        <color rgb="FFB6D7A8"/>
        <color rgb="FFFFE599"/>
        <color rgb="FFEA9999"/>
      </colorScale>
    </cfRule>
  </conditionalFormatting>
  <conditionalFormatting sqref="J3:J59">
    <cfRule type="cellIs" dxfId="8" priority="6" operator="between">
      <formula>90</formula>
      <formula>100</formula>
    </cfRule>
  </conditionalFormatting>
  <conditionalFormatting sqref="G3:G59">
    <cfRule type="expression" dxfId="9" priority="7">
      <formula>MATCH(A3,INDIRECT("'Xbox Game Studios'!A:A"),0)</formula>
    </cfRule>
  </conditionalFormatting>
  <conditionalFormatting sqref="G3:G59">
    <cfRule type="expression" dxfId="9" priority="8">
      <formula>MATCH(A3,INDIRECT("'EA Play'!A:A"),0)</formula>
    </cfRule>
  </conditionalFormatting>
  <conditionalFormatting sqref="G3:G59">
    <cfRule type="expression" dxfId="10" priority="9">
      <formula>AND(D3="Active",OR(AND(G3&gt;10.5,G3&lt;13),AND(G3&gt;22.5,G3&lt;25),AND(G3&gt;34.5,G3&lt;37),AND(G3&gt;46.5,G3&lt;49),AND(G3&gt;58.5,G3&lt;61)),)</formula>
    </cfRule>
  </conditionalFormatting>
  <conditionalFormatting sqref="B1">
    <cfRule type="cellIs" dxfId="4" priority="10" operator="equal">
      <formula>"Xbox"</formula>
    </cfRule>
  </conditionalFormatting>
  <conditionalFormatting sqref="J2:K59 L2 O2">
    <cfRule type="containsBlanks" dxfId="11" priority="11">
      <formula>LEN(TRIM(J2))=0</formula>
    </cfRule>
  </conditionalFormatting>
  <conditionalFormatting sqref="O2">
    <cfRule type="containsText" dxfId="11" priority="12" operator="containsText" text="RP">
      <formula>NOT(ISERROR(SEARCH(("RP"),(O2))))</formula>
    </cfRule>
  </conditionalFormatting>
  <conditionalFormatting sqref="O2">
    <cfRule type="containsText" dxfId="12" priority="13" operator="containsText" text="NR">
      <formula>NOT(ISERROR(SEARCH(("NR"),(O2))))</formula>
    </cfRule>
  </conditionalFormatting>
  <conditionalFormatting sqref="A1:A2 D1:D59">
    <cfRule type="expression" dxfId="13" priority="14">
      <formula>$D1="Coming Soon"</formula>
    </cfRule>
  </conditionalFormatting>
  <conditionalFormatting sqref="A1:A2 D1:D59">
    <cfRule type="expression" dxfId="7" priority="15">
      <formula>$D1="Removed"</formula>
    </cfRule>
  </conditionalFormatting>
  <conditionalFormatting sqref="A1:A2 D1:D59">
    <cfRule type="expression" dxfId="10" priority="16">
      <formula>$D1="Leaving Soon"</formula>
    </cfRule>
  </conditionalFormatting>
  <conditionalFormatting sqref="J1:J544">
    <cfRule type="cellIs" dxfId="5" priority="17" operator="between">
      <formula>75</formula>
      <formula>100</formula>
    </cfRule>
  </conditionalFormatting>
  <conditionalFormatting sqref="J1:J544">
    <cfRule type="cellIs" dxfId="6" priority="18" operator="between">
      <formula>50</formula>
      <formula>74</formula>
    </cfRule>
  </conditionalFormatting>
  <conditionalFormatting sqref="J1:J544">
    <cfRule type="cellIs" dxfId="7" priority="19" operator="between">
      <formula>1</formula>
      <formula>49</formula>
    </cfRule>
  </conditionalFormatting>
  <conditionalFormatting sqref="A1:A2 C1:C2">
    <cfRule type="expression" dxfId="7" priority="20">
      <formula>$C1="Removed"</formula>
    </cfRule>
  </conditionalFormatting>
  <conditionalFormatting sqref="A1:A2">
    <cfRule type="expression" dxfId="6" priority="21">
      <formula>MATCH(A1,INDIRECT("'Xbox Game Studios'!A:A"),0)</formula>
    </cfRule>
  </conditionalFormatting>
  <conditionalFormatting sqref="A1:A2 C1:C2">
    <cfRule type="expression" dxfId="10" priority="22">
      <formula>$C1="Leaving Soon"</formula>
    </cfRule>
  </conditionalFormatting>
  <hyperlinks>
    <hyperlink r:id="rId1" ref="C1"/>
  </hyperlinks>
  <drawing r:id="rId2"/>
  <tableParts count="2">
    <tablePart r:id="rId5"/>
    <tablePart r:id="rId6"/>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6BDC6"/>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outlineLevelCol="2"/>
  <cols>
    <col customWidth="1" min="1" max="1" width="45.0"/>
    <col customWidth="1" min="2" max="2" width="14.13"/>
    <col customWidth="1" min="3" max="3" width="12.13"/>
    <col customWidth="1" min="4" max="4" width="15.75"/>
    <col customWidth="1" min="5" max="5" width="8.63"/>
    <col customWidth="1" min="6" max="6" width="11.0"/>
    <col customWidth="1" min="7" max="7" width="9.63"/>
    <col customWidth="1" min="8" max="8" width="9.75"/>
    <col customWidth="1" min="9" max="9" width="7.75"/>
    <col customWidth="1" min="10" max="10" width="11.25"/>
    <col customWidth="1" min="11" max="11" width="12.63"/>
    <col customWidth="1" min="12" max="12" width="36.88"/>
    <col customWidth="1" min="13" max="15" width="10.63"/>
  </cols>
  <sheetData>
    <row r="1">
      <c r="A1" s="1" t="s">
        <v>0</v>
      </c>
      <c r="B1" s="3" t="s">
        <v>2</v>
      </c>
      <c r="C1" s="4" t="s">
        <v>3</v>
      </c>
      <c r="D1" s="3" t="s">
        <v>4</v>
      </c>
      <c r="E1" s="3" t="s">
        <v>5</v>
      </c>
      <c r="F1" s="4" t="s">
        <v>6</v>
      </c>
      <c r="G1" s="5" t="s">
        <v>7</v>
      </c>
      <c r="H1" s="7" t="s">
        <v>8</v>
      </c>
      <c r="I1" s="7" t="s">
        <v>9</v>
      </c>
      <c r="J1" s="7" t="s">
        <v>10</v>
      </c>
      <c r="K1" s="7" t="s">
        <v>11</v>
      </c>
      <c r="L1" s="7" t="s">
        <v>12</v>
      </c>
      <c r="M1" s="2" t="s">
        <v>13</v>
      </c>
      <c r="N1" s="2" t="s">
        <v>14</v>
      </c>
      <c r="O1" s="2" t="s">
        <v>15</v>
      </c>
    </row>
    <row r="2">
      <c r="A2" s="12" t="str">
        <f>IFERROR(__xludf.DUMMYFUNCTION("SORT(FILTER('Master List'!A2:L1071, REGEXMATCH('Master List'!B2:B1071, ""Xbox""), NOT(REGEXMATCH('Master List'!D2:D1071, ""Removed"")) ), 10, false)"),"NHL 94 Rewind")</f>
        <v>NHL 94 Rewind</v>
      </c>
      <c r="B2" s="13" t="str">
        <f>IFERROR(__xludf.DUMMYFUNCTION("""COMPUTED_VALUE"""),"Xbox")</f>
        <v>Xbox</v>
      </c>
      <c r="C2" s="14"/>
      <c r="D2" s="14" t="str">
        <f>IFERROR(__xludf.DUMMYFUNCTION("""COMPUTED_VALUE"""),"Active")</f>
        <v>Active</v>
      </c>
      <c r="E2" s="15">
        <f>IFERROR(__xludf.DUMMYFUNCTION("""COMPUTED_VALUE"""),44168.0)</f>
        <v>44168</v>
      </c>
      <c r="F2" s="16"/>
      <c r="G2" s="18">
        <f>IFERROR(__xludf.DUMMYFUNCTION("""COMPUTED_VALUE"""),70.1)</f>
        <v>70.1</v>
      </c>
      <c r="H2" s="15">
        <f>IFERROR(__xludf.DUMMYFUNCTION("""COMPUTED_VALUE"""),44134.0)</f>
        <v>44134</v>
      </c>
      <c r="I2" s="18">
        <f>IFERROR(__xludf.DUMMYFUNCTION("""COMPUTED_VALUE"""),0.09166666666666666)</f>
        <v>0.09166666667</v>
      </c>
      <c r="J2" s="22">
        <f>IFERROR(__xludf.DUMMYFUNCTION("""COMPUTED_VALUE"""),100.0)</f>
        <v>100</v>
      </c>
      <c r="K2" s="22">
        <f>IFERROR(__xludf.DUMMYFUNCTION("""COMPUTED_VALUE"""),14.5)</f>
        <v>14.5</v>
      </c>
      <c r="L2" s="26" t="str">
        <f>IFERROR(__xludf.DUMMYFUNCTION("""COMPUTED_VALUE"""),"Sports")</f>
        <v>Sports</v>
      </c>
      <c r="M2" s="13" t="b">
        <f>NOT(ISNA(VLOOKUP(A2,PC!A:A,1,FALSE)))</f>
        <v>0</v>
      </c>
      <c r="N2" s="13" t="b">
        <f>NOT(ISNA(VLOOKUP(A2,'Game Pass Premium'!A:A,1,FALSE)))</f>
        <v>1</v>
      </c>
      <c r="O2" s="13" t="b">
        <f>NOT(ISNA(VLOOKUP(A2,'Game Pass Essential'!A:A,1,FALSE)))</f>
        <v>0</v>
      </c>
    </row>
    <row r="3">
      <c r="A3" s="12" t="str">
        <f>IFERROR(__xludf.DUMMYFUNCTION("""COMPUTED_VALUE"""),"GoldenEye 007 (2023)")</f>
        <v>GoldenEye 007 (2023)</v>
      </c>
      <c r="B3" s="13" t="str">
        <f>IFERROR(__xludf.DUMMYFUNCTION("""COMPUTED_VALUE"""),"Xbox")</f>
        <v>Xbox</v>
      </c>
      <c r="C3" s="14" t="str">
        <f>IFERROR(__xludf.DUMMYFUNCTION("""COMPUTED_VALUE"""),"Yes")</f>
        <v>Yes</v>
      </c>
      <c r="D3" s="14" t="str">
        <f>IFERROR(__xludf.DUMMYFUNCTION("""COMPUTED_VALUE"""),"Active")</f>
        <v>Active</v>
      </c>
      <c r="E3" s="15">
        <f>IFERROR(__xludf.DUMMYFUNCTION("""COMPUTED_VALUE"""),44953.0)</f>
        <v>44953</v>
      </c>
      <c r="F3" s="16"/>
      <c r="G3" s="18">
        <f>IFERROR(__xludf.DUMMYFUNCTION("""COMPUTED_VALUE"""),44.300000000000004)</f>
        <v>44.3</v>
      </c>
      <c r="H3" s="15">
        <f>IFERROR(__xludf.DUMMYFUNCTION("""COMPUTED_VALUE"""),44953.0)</f>
        <v>44953</v>
      </c>
      <c r="I3" s="18">
        <f>IFERROR(__xludf.DUMMYFUNCTION("""COMPUTED_VALUE"""),0.0)</f>
        <v>0</v>
      </c>
      <c r="J3" s="22">
        <f>IFERROR(__xludf.DUMMYFUNCTION("""COMPUTED_VALUE"""),96.0)</f>
        <v>96</v>
      </c>
      <c r="K3" s="22">
        <f>IFERROR(__xludf.DUMMYFUNCTION("""COMPUTED_VALUE"""),10.0)</f>
        <v>10</v>
      </c>
      <c r="L3" s="26" t="str">
        <f>IFERROR(__xludf.DUMMYFUNCTION("""COMPUTED_VALUE"""),"Shooter")</f>
        <v>Shooter</v>
      </c>
      <c r="M3" s="13" t="b">
        <f>NOT(ISNA(VLOOKUP(A3,PC!A:A,1,FALSE)))</f>
        <v>0</v>
      </c>
      <c r="N3" s="13" t="b">
        <f>NOT(ISNA(VLOOKUP(A3,'Game Pass Premium'!A:A,1,FALSE)))</f>
        <v>1</v>
      </c>
      <c r="O3" s="13" t="b">
        <f>NOT(ISNA(VLOOKUP(A3,'Game Pass Essential'!A:A,1,FALSE)))</f>
        <v>0</v>
      </c>
    </row>
    <row r="4">
      <c r="A4" s="12" t="str">
        <f>IFERROR(__xludf.DUMMYFUNCTION("""COMPUTED_VALUE"""),"Mass Effect 2: Digital Deluxe Edition")</f>
        <v>Mass Effect 2: Digital Deluxe Edition</v>
      </c>
      <c r="B4" s="13" t="str">
        <f>IFERROR(__xludf.DUMMYFUNCTION("""COMPUTED_VALUE"""),"Xbox / PC")</f>
        <v>Xbox / PC</v>
      </c>
      <c r="C4" s="14"/>
      <c r="D4" s="14" t="str">
        <f>IFERROR(__xludf.DUMMYFUNCTION("""COMPUTED_VALUE"""),"Active")</f>
        <v>Active</v>
      </c>
      <c r="E4" s="15">
        <f>IFERROR(__xludf.DUMMYFUNCTION("""COMPUTED_VALUE"""),44145.0)</f>
        <v>44145</v>
      </c>
      <c r="F4" s="16"/>
      <c r="G4" s="18">
        <f>IFERROR(__xludf.DUMMYFUNCTION("""COMPUTED_VALUE"""),70.86666666666667)</f>
        <v>70.86666667</v>
      </c>
      <c r="H4" s="15">
        <f>IFERROR(__xludf.DUMMYFUNCTION("""COMPUTED_VALUE"""),40204.0)</f>
        <v>40204</v>
      </c>
      <c r="I4" s="18">
        <f>IFERROR(__xludf.DUMMYFUNCTION("""COMPUTED_VALUE"""),10.78888888888889)</f>
        <v>10.78888889</v>
      </c>
      <c r="J4" s="22">
        <f>IFERROR(__xludf.DUMMYFUNCTION("""COMPUTED_VALUE"""),96.0)</f>
        <v>96</v>
      </c>
      <c r="K4" s="22">
        <f>IFERROR(__xludf.DUMMYFUNCTION("""COMPUTED_VALUE"""),24.5)</f>
        <v>24.5</v>
      </c>
      <c r="L4" s="26" t="str">
        <f>IFERROR(__xludf.DUMMYFUNCTION("""COMPUTED_VALUE"""),"RPG")</f>
        <v>RPG</v>
      </c>
      <c r="M4" s="13" t="b">
        <f>NOT(ISNA(VLOOKUP(A4,PC!A:A,1,FALSE)))</f>
        <v>1</v>
      </c>
      <c r="N4" s="13" t="b">
        <f>NOT(ISNA(VLOOKUP(A4,'Game Pass Premium'!A:A,1,FALSE)))</f>
        <v>1</v>
      </c>
      <c r="O4" s="13" t="b">
        <f>NOT(ISNA(VLOOKUP(A4,'Game Pass Essential'!A:A,1,FALSE)))</f>
        <v>0</v>
      </c>
    </row>
    <row r="5">
      <c r="A5" s="12" t="str">
        <f>IFERROR(__xludf.DUMMYFUNCTION("""COMPUTED_VALUE"""),"Persona 5 Royal")</f>
        <v>Persona 5 Royal</v>
      </c>
      <c r="B5" s="13" t="str">
        <f>IFERROR(__xludf.DUMMYFUNCTION("""COMPUTED_VALUE"""),"Xbox / PC")</f>
        <v>Xbox / PC</v>
      </c>
      <c r="C5" s="14" t="str">
        <f>IFERROR(__xludf.DUMMYFUNCTION("""COMPUTED_VALUE"""),"Touch Controls")</f>
        <v>Touch Controls</v>
      </c>
      <c r="D5" s="14" t="str">
        <f>IFERROR(__xludf.DUMMYFUNCTION("""COMPUTED_VALUE"""),"Active")</f>
        <v>Active</v>
      </c>
      <c r="E5" s="15">
        <f>IFERROR(__xludf.DUMMYFUNCTION("""COMPUTED_VALUE"""),46182.0)</f>
        <v>46182</v>
      </c>
      <c r="F5" s="16"/>
      <c r="G5" s="18">
        <f>IFERROR(__xludf.DUMMYFUNCTION("""COMPUTED_VALUE"""),3.9000000000000004)</f>
        <v>3.9</v>
      </c>
      <c r="H5" s="15">
        <f>IFERROR(__xludf.DUMMYFUNCTION("""COMPUTED_VALUE"""),43921.0)</f>
        <v>43921</v>
      </c>
      <c r="I5" s="18">
        <f>IFERROR(__xludf.DUMMYFUNCTION("""COMPUTED_VALUE"""),6.191666666666666)</f>
        <v>6.191666667</v>
      </c>
      <c r="J5" s="22">
        <f>IFERROR(__xludf.DUMMYFUNCTION("""COMPUTED_VALUE"""),95.0)</f>
        <v>95</v>
      </c>
      <c r="K5" s="22">
        <f>IFERROR(__xludf.DUMMYFUNCTION("""COMPUTED_VALUE"""),101.0)</f>
        <v>101</v>
      </c>
      <c r="L5" s="26" t="str">
        <f>IFERROR(__xludf.DUMMYFUNCTION("""COMPUTED_VALUE"""),"RPG")</f>
        <v>RPG</v>
      </c>
      <c r="M5" s="13" t="b">
        <f>NOT(ISNA(VLOOKUP(A5,PC!A:A,1,FALSE)))</f>
        <v>1</v>
      </c>
      <c r="N5" s="13" t="b">
        <f>NOT(ISNA(VLOOKUP(A5,'Game Pass Premium'!A:A,1,FALSE)))</f>
        <v>1</v>
      </c>
      <c r="O5" s="13" t="b">
        <f>NOT(ISNA(VLOOKUP(A5,'Game Pass Essential'!A:A,1,FALSE)))</f>
        <v>0</v>
      </c>
    </row>
    <row r="6">
      <c r="A6" s="12" t="str">
        <f>IFERROR(__xludf.DUMMYFUNCTION("""COMPUTED_VALUE"""),"Hades II")</f>
        <v>Hades II</v>
      </c>
      <c r="B6" s="13" t="str">
        <f>IFERROR(__xludf.DUMMYFUNCTION("""COMPUTED_VALUE"""),"Xbox / PC")</f>
        <v>Xbox / PC</v>
      </c>
      <c r="C6" s="14" t="str">
        <f>IFERROR(__xludf.DUMMYFUNCTION("""COMPUTED_VALUE"""),"Yes")</f>
        <v>Yes</v>
      </c>
      <c r="D6" s="14" t="str">
        <f>IFERROR(__xludf.DUMMYFUNCTION("""COMPUTED_VALUE"""),"Active")</f>
        <v>Active</v>
      </c>
      <c r="E6" s="15">
        <f>IFERROR(__xludf.DUMMYFUNCTION("""COMPUTED_VALUE"""),46126.0)</f>
        <v>46126</v>
      </c>
      <c r="F6" s="16"/>
      <c r="G6" s="18">
        <f>IFERROR(__xludf.DUMMYFUNCTION("""COMPUTED_VALUE"""),5.733333333333333)</f>
        <v>5.733333333</v>
      </c>
      <c r="H6" s="15">
        <f>IFERROR(__xludf.DUMMYFUNCTION("""COMPUTED_VALUE"""),45925.0)</f>
        <v>45925</v>
      </c>
      <c r="I6" s="18">
        <f>IFERROR(__xludf.DUMMYFUNCTION("""COMPUTED_VALUE"""),0.5527777777777778)</f>
        <v>0.5527777778</v>
      </c>
      <c r="J6" s="22">
        <f>IFERROR(__xludf.DUMMYFUNCTION("""COMPUTED_VALUE"""),95.0)</f>
        <v>95</v>
      </c>
      <c r="K6" s="22">
        <f>IFERROR(__xludf.DUMMYFUNCTION("""COMPUTED_VALUE"""),22.0)</f>
        <v>22</v>
      </c>
      <c r="L6" s="26" t="str">
        <f>IFERROR(__xludf.DUMMYFUNCTION("""COMPUTED_VALUE"""),"RPG")</f>
        <v>RPG</v>
      </c>
      <c r="M6" s="13" t="b">
        <f>NOT(ISNA(VLOOKUP(A6,PC!A:A,1,FALSE)))</f>
        <v>1</v>
      </c>
      <c r="N6" s="13" t="b">
        <f>NOT(ISNA(VLOOKUP(A6,'Game Pass Premium'!A:A,1,FALSE)))</f>
        <v>1</v>
      </c>
      <c r="O6" s="13" t="b">
        <f>NOT(ISNA(VLOOKUP(A6,'Game Pass Essential'!A:A,1,FALSE)))</f>
        <v>0</v>
      </c>
    </row>
    <row r="7">
      <c r="A7" s="12" t="str">
        <f>IFERROR(__xludf.DUMMYFUNCTION("""COMPUTED_VALUE"""),"Portal 2")</f>
        <v>Portal 2</v>
      </c>
      <c r="B7" s="13" t="str">
        <f>IFERROR(__xludf.DUMMYFUNCTION("""COMPUTED_VALUE"""),"XB360/OG Xbox")</f>
        <v>XB360/OG Xbox</v>
      </c>
      <c r="C7" s="14"/>
      <c r="D7" s="14" t="str">
        <f>IFERROR(__xludf.DUMMYFUNCTION("""COMPUTED_VALUE"""),"GwG Permanent")</f>
        <v>GwG Permanent</v>
      </c>
      <c r="E7" s="15">
        <f>IFERROR(__xludf.DUMMYFUNCTION("""COMPUTED_VALUE"""),44819.0)</f>
        <v>44819</v>
      </c>
      <c r="F7" s="16">
        <f>IFERROR(__xludf.DUMMYFUNCTION("""COMPUTED_VALUE"""),44834.0)</f>
        <v>44834</v>
      </c>
      <c r="G7" s="18">
        <f>IFERROR(__xludf.DUMMYFUNCTION("""COMPUTED_VALUE"""),0.5)</f>
        <v>0.5</v>
      </c>
      <c r="H7" s="15">
        <f>IFERROR(__xludf.DUMMYFUNCTION("""COMPUTED_VALUE"""),40652.0)</f>
        <v>40652</v>
      </c>
      <c r="I7" s="18">
        <f>IFERROR(__xludf.DUMMYFUNCTION("""COMPUTED_VALUE"""),11.405555555555555)</f>
        <v>11.40555556</v>
      </c>
      <c r="J7" s="22">
        <f>IFERROR(__xludf.DUMMYFUNCTION("""COMPUTED_VALUE"""),95.0)</f>
        <v>95</v>
      </c>
      <c r="K7" s="22">
        <f>IFERROR(__xludf.DUMMYFUNCTION("""COMPUTED_VALUE"""),9.0)</f>
        <v>9</v>
      </c>
      <c r="L7" s="26" t="str">
        <f>IFERROR(__xludf.DUMMYFUNCTION("""COMPUTED_VALUE"""),"Puzzle")</f>
        <v>Puzzle</v>
      </c>
      <c r="M7" s="13" t="b">
        <f>NOT(ISNA(VLOOKUP(A7,PC!A:A,1,FALSE)))</f>
        <v>0</v>
      </c>
      <c r="N7" s="13" t="b">
        <f>NOT(ISNA(VLOOKUP(A7,'Game Pass Premium'!A:A,1,FALSE)))</f>
        <v>0</v>
      </c>
      <c r="O7" s="13" t="b">
        <f>NOT(ISNA(VLOOKUP(A7,'Game Pass Essential'!A:A,1,FALSE)))</f>
        <v>0</v>
      </c>
    </row>
    <row r="8">
      <c r="A8" s="12" t="str">
        <f>IFERROR(__xludf.DUMMYFUNCTION("""COMPUTED_VALUE"""),"Quake")</f>
        <v>Quake</v>
      </c>
      <c r="B8" s="13" t="str">
        <f>IFERROR(__xludf.DUMMYFUNCTION("""COMPUTED_VALUE"""),"Xbox / PC")</f>
        <v>Xbox / PC</v>
      </c>
      <c r="C8" s="14" t="str">
        <f>IFERROR(__xludf.DUMMYFUNCTION("""COMPUTED_VALUE"""),"M+KB")</f>
        <v>M+KB</v>
      </c>
      <c r="D8" s="14" t="str">
        <f>IFERROR(__xludf.DUMMYFUNCTION("""COMPUTED_VALUE"""),"Active")</f>
        <v>Active</v>
      </c>
      <c r="E8" s="15">
        <f>IFERROR(__xludf.DUMMYFUNCTION("""COMPUTED_VALUE"""),44427.0)</f>
        <v>44427</v>
      </c>
      <c r="F8" s="16"/>
      <c r="G8" s="18">
        <f>IFERROR(__xludf.DUMMYFUNCTION("""COMPUTED_VALUE"""),61.56666666666666)</f>
        <v>61.56666667</v>
      </c>
      <c r="H8" s="15">
        <f>IFERROR(__xludf.DUMMYFUNCTION("""COMPUTED_VALUE"""),35269.0)</f>
        <v>35269</v>
      </c>
      <c r="I8" s="18">
        <f>IFERROR(__xludf.DUMMYFUNCTION("""COMPUTED_VALUE"""),25.072222222222223)</f>
        <v>25.07222222</v>
      </c>
      <c r="J8" s="22">
        <f>IFERROR(__xludf.DUMMYFUNCTION("""COMPUTED_VALUE"""),94.0)</f>
        <v>94</v>
      </c>
      <c r="K8" s="22">
        <f>IFERROR(__xludf.DUMMYFUNCTION("""COMPUTED_VALUE"""),5.5)</f>
        <v>5.5</v>
      </c>
      <c r="L8" s="26" t="str">
        <f>IFERROR(__xludf.DUMMYFUNCTION("""COMPUTED_VALUE"""),"Shooter")</f>
        <v>Shooter</v>
      </c>
      <c r="M8" s="13" t="b">
        <f>NOT(ISNA(VLOOKUP(A8,PC!A:A,1,FALSE)))</f>
        <v>1</v>
      </c>
      <c r="N8" s="13" t="b">
        <f>NOT(ISNA(VLOOKUP(A8,'Game Pass Premium'!A:A,1,FALSE)))</f>
        <v>1</v>
      </c>
      <c r="O8" s="13" t="b">
        <f>NOT(ISNA(VLOOKUP(A8,'Game Pass Essential'!A:A,1,FALSE)))</f>
        <v>0</v>
      </c>
    </row>
    <row r="9">
      <c r="A9" s="12" t="str">
        <f>IFERROR(__xludf.DUMMYFUNCTION("""COMPUTED_VALUE"""),"The Elder Scrolls IV: Oblivion")</f>
        <v>The Elder Scrolls IV: Oblivion</v>
      </c>
      <c r="B9" s="13" t="str">
        <f>IFERROR(__xludf.DUMMYFUNCTION("""COMPUTED_VALUE"""),"Xbox / PC")</f>
        <v>Xbox / PC</v>
      </c>
      <c r="C9" s="14" t="str">
        <f>IFERROR(__xludf.DUMMYFUNCTION("""COMPUTED_VALUE"""),"Yes")</f>
        <v>Yes</v>
      </c>
      <c r="D9" s="14" t="str">
        <f>IFERROR(__xludf.DUMMYFUNCTION("""COMPUTED_VALUE"""),"Active")</f>
        <v>Active</v>
      </c>
      <c r="E9" s="15">
        <f>IFERROR(__xludf.DUMMYFUNCTION("""COMPUTED_VALUE"""),43282.0)</f>
        <v>43282</v>
      </c>
      <c r="F9" s="16"/>
      <c r="G9" s="18">
        <f>IFERROR(__xludf.DUMMYFUNCTION("""COMPUTED_VALUE"""),99.16666666666667)</f>
        <v>99.16666667</v>
      </c>
      <c r="H9" s="15">
        <f>IFERROR(__xludf.DUMMYFUNCTION("""COMPUTED_VALUE"""),38796.0)</f>
        <v>38796</v>
      </c>
      <c r="I9" s="18">
        <f>IFERROR(__xludf.DUMMYFUNCTION("""COMPUTED_VALUE"""),12.280555555555555)</f>
        <v>12.28055556</v>
      </c>
      <c r="J9" s="22">
        <f>IFERROR(__xludf.DUMMYFUNCTION("""COMPUTED_VALUE"""),94.0)</f>
        <v>94</v>
      </c>
      <c r="K9" s="22">
        <f>IFERROR(__xludf.DUMMYFUNCTION("""COMPUTED_VALUE"""),27.5)</f>
        <v>27.5</v>
      </c>
      <c r="L9" s="26" t="str">
        <f>IFERROR(__xludf.DUMMYFUNCTION("""COMPUTED_VALUE"""),"RPG")</f>
        <v>RPG</v>
      </c>
      <c r="M9" s="13" t="b">
        <f>NOT(ISNA(VLOOKUP(A9,PC!A:A,1,FALSE)))</f>
        <v>1</v>
      </c>
      <c r="N9" s="13" t="b">
        <f>NOT(ISNA(VLOOKUP(A9,'Game Pass Premium'!A:A,1,FALSE)))</f>
        <v>1</v>
      </c>
      <c r="O9" s="13" t="b">
        <f>NOT(ISNA(VLOOKUP(A9,'Game Pass Essential'!A:A,1,FALSE)))</f>
        <v>0</v>
      </c>
    </row>
    <row r="10">
      <c r="A10" s="12" t="str">
        <f>IFERROR(__xludf.DUMMYFUNCTION("""COMPUTED_VALUE"""),"Gears of War")</f>
        <v>Gears of War</v>
      </c>
      <c r="B10" s="13" t="str">
        <f>IFERROR(__xludf.DUMMYFUNCTION("""COMPUTED_VALUE"""),"Xbox")</f>
        <v>Xbox</v>
      </c>
      <c r="C10" s="14"/>
      <c r="D10" s="14" t="str">
        <f>IFERROR(__xludf.DUMMYFUNCTION("""COMPUTED_VALUE"""),"Active")</f>
        <v>Active</v>
      </c>
      <c r="E10" s="15">
        <f>IFERROR(__xludf.DUMMYFUNCTION("""COMPUTED_VALUE"""),42887.0)</f>
        <v>42887</v>
      </c>
      <c r="F10" s="16"/>
      <c r="G10" s="18">
        <f>IFERROR(__xludf.DUMMYFUNCTION("""COMPUTED_VALUE"""),112.16666666666666)</f>
        <v>112.1666667</v>
      </c>
      <c r="H10" s="15">
        <f>IFERROR(__xludf.DUMMYFUNCTION("""COMPUTED_VALUE"""),39028.0)</f>
        <v>39028</v>
      </c>
      <c r="I10" s="18">
        <f>IFERROR(__xludf.DUMMYFUNCTION("""COMPUTED_VALUE"""),10.566666666666666)</f>
        <v>10.56666667</v>
      </c>
      <c r="J10" s="22">
        <f>IFERROR(__xludf.DUMMYFUNCTION("""COMPUTED_VALUE"""),94.0)</f>
        <v>94</v>
      </c>
      <c r="K10" s="22">
        <f>IFERROR(__xludf.DUMMYFUNCTION("""COMPUTED_VALUE"""),9.0)</f>
        <v>9</v>
      </c>
      <c r="L10" s="26" t="str">
        <f>IFERROR(__xludf.DUMMYFUNCTION("""COMPUTED_VALUE"""),"Shooter")</f>
        <v>Shooter</v>
      </c>
      <c r="M10" s="13" t="b">
        <f>NOT(ISNA(VLOOKUP(A10,PC!A:A,1,FALSE)))</f>
        <v>0</v>
      </c>
      <c r="N10" s="13" t="b">
        <f>NOT(ISNA(VLOOKUP(A10,'Game Pass Premium'!A:A,1,FALSE)))</f>
        <v>1</v>
      </c>
      <c r="O10" s="13" t="b">
        <f>NOT(ISNA(VLOOKUP(A10,'Game Pass Essential'!A:A,1,FALSE)))</f>
        <v>0</v>
      </c>
    </row>
    <row r="11">
      <c r="A11" s="12" t="str">
        <f>IFERROR(__xludf.DUMMYFUNCTION("""COMPUTED_VALUE"""),"Battlefield 3")</f>
        <v>Battlefield 3</v>
      </c>
      <c r="B11" s="13" t="str">
        <f>IFERROR(__xludf.DUMMYFUNCTION("""COMPUTED_VALUE"""),"XB360/OG Xbox")</f>
        <v>XB360/OG Xbox</v>
      </c>
      <c r="C11" s="14"/>
      <c r="D11" s="14" t="str">
        <f>IFERROR(__xludf.DUMMYFUNCTION("""COMPUTED_VALUE"""),"GwG Permanent")</f>
        <v>GwG Permanent</v>
      </c>
      <c r="E11" s="15">
        <f>IFERROR(__xludf.DUMMYFUNCTION("""COMPUTED_VALUE"""),42994.0)</f>
        <v>42994</v>
      </c>
      <c r="F11" s="16">
        <f>IFERROR(__xludf.DUMMYFUNCTION("""COMPUTED_VALUE"""),43008.0)</f>
        <v>43008</v>
      </c>
      <c r="G11" s="18">
        <f>IFERROR(__xludf.DUMMYFUNCTION("""COMPUTED_VALUE"""),0.4666666666666667)</f>
        <v>0.4666666667</v>
      </c>
      <c r="H11" s="15">
        <f>IFERROR(__xludf.DUMMYFUNCTION("""COMPUTED_VALUE"""),40841.0)</f>
        <v>40841</v>
      </c>
      <c r="I11" s="18">
        <f>IFERROR(__xludf.DUMMYFUNCTION("""COMPUTED_VALUE"""),5.891666666666667)</f>
        <v>5.891666667</v>
      </c>
      <c r="J11" s="22">
        <f>IFERROR(__xludf.DUMMYFUNCTION("""COMPUTED_VALUE"""),94.0)</f>
        <v>94</v>
      </c>
      <c r="K11" s="22">
        <f>IFERROR(__xludf.DUMMYFUNCTION("""COMPUTED_VALUE"""),7.0)</f>
        <v>7</v>
      </c>
      <c r="L11" s="26" t="str">
        <f>IFERROR(__xludf.DUMMYFUNCTION("""COMPUTED_VALUE"""),"Shooter")</f>
        <v>Shooter</v>
      </c>
      <c r="M11" s="13" t="b">
        <f>NOT(ISNA(VLOOKUP(A11,PC!A:A,1,FALSE)))</f>
        <v>0</v>
      </c>
      <c r="N11" s="13" t="b">
        <f>NOT(ISNA(VLOOKUP(A11,'Game Pass Premium'!A:A,1,FALSE)))</f>
        <v>0</v>
      </c>
      <c r="O11" s="13" t="b">
        <f>NOT(ISNA(VLOOKUP(A11,'Game Pass Essential'!A:A,1,FALSE)))</f>
        <v>0</v>
      </c>
    </row>
    <row r="12">
      <c r="A12" s="12" t="str">
        <f>IFERROR(__xludf.DUMMYFUNCTION("""COMPUTED_VALUE"""),"BioShock Infinite")</f>
        <v>BioShock Infinite</v>
      </c>
      <c r="B12" s="13" t="str">
        <f>IFERROR(__xludf.DUMMYFUNCTION("""COMPUTED_VALUE"""),"XB360/OG Xbox")</f>
        <v>XB360/OG Xbox</v>
      </c>
      <c r="C12" s="14"/>
      <c r="D12" s="14" t="str">
        <f>IFERROR(__xludf.DUMMYFUNCTION("""COMPUTED_VALUE"""),"GwG Permanent")</f>
        <v>GwG Permanent</v>
      </c>
      <c r="E12" s="15">
        <f>IFERROR(__xludf.DUMMYFUNCTION("""COMPUTED_VALUE"""),42079.0)</f>
        <v>42079</v>
      </c>
      <c r="F12" s="16">
        <f>IFERROR(__xludf.DUMMYFUNCTION("""COMPUTED_VALUE"""),42094.0)</f>
        <v>42094</v>
      </c>
      <c r="G12" s="18">
        <f>IFERROR(__xludf.DUMMYFUNCTION("""COMPUTED_VALUE"""),0.4666666666666667)</f>
        <v>0.4666666667</v>
      </c>
      <c r="H12" s="15">
        <f>IFERROR(__xludf.DUMMYFUNCTION("""COMPUTED_VALUE"""),41359.0)</f>
        <v>41359</v>
      </c>
      <c r="I12" s="18">
        <f>IFERROR(__xludf.DUMMYFUNCTION("""COMPUTED_VALUE"""),1.9722222222222223)</f>
        <v>1.972222222</v>
      </c>
      <c r="J12" s="22">
        <f>IFERROR(__xludf.DUMMYFUNCTION("""COMPUTED_VALUE"""),94.0)</f>
        <v>94</v>
      </c>
      <c r="K12" s="22">
        <f>IFERROR(__xludf.DUMMYFUNCTION("""COMPUTED_VALUE"""),11.0)</f>
        <v>11</v>
      </c>
      <c r="L12" s="26" t="str">
        <f>IFERROR(__xludf.DUMMYFUNCTION("""COMPUTED_VALUE"""),"Action-Adventure")</f>
        <v>Action-Adventure</v>
      </c>
      <c r="M12" s="13" t="b">
        <f>NOT(ISNA(VLOOKUP(A12,PC!A:A,1,FALSE)))</f>
        <v>0</v>
      </c>
      <c r="N12" s="13" t="b">
        <f>NOT(ISNA(VLOOKUP(A12,'Game Pass Premium'!A:A,1,FALSE)))</f>
        <v>0</v>
      </c>
      <c r="O12" s="13" t="b">
        <f>NOT(ISNA(VLOOKUP(A12,'Game Pass Essential'!A:A,1,FALSE)))</f>
        <v>0</v>
      </c>
    </row>
    <row r="13">
      <c r="A13" s="12" t="str">
        <f>IFERROR(__xludf.DUMMYFUNCTION("""COMPUTED_VALUE"""),"Halo 3")</f>
        <v>Halo 3</v>
      </c>
      <c r="B13" s="13" t="str">
        <f>IFERROR(__xludf.DUMMYFUNCTION("""COMPUTED_VALUE"""),"XB360/OG Xbox")</f>
        <v>XB360/OG Xbox</v>
      </c>
      <c r="C13" s="14"/>
      <c r="D13" s="14" t="str">
        <f>IFERROR(__xludf.DUMMYFUNCTION("""COMPUTED_VALUE"""),"GwG Permanent")</f>
        <v>GwG Permanent</v>
      </c>
      <c r="E13" s="15">
        <f>IFERROR(__xludf.DUMMYFUNCTION("""COMPUTED_VALUE"""),41563.0)</f>
        <v>41563</v>
      </c>
      <c r="F13" s="16">
        <f>IFERROR(__xludf.DUMMYFUNCTION("""COMPUTED_VALUE"""),41578.0)</f>
        <v>41578</v>
      </c>
      <c r="G13" s="18">
        <f>IFERROR(__xludf.DUMMYFUNCTION("""COMPUTED_VALUE"""),0.4666666666666667)</f>
        <v>0.4666666667</v>
      </c>
      <c r="H13" s="15">
        <f>IFERROR(__xludf.DUMMYFUNCTION("""COMPUTED_VALUE"""),39350.0)</f>
        <v>39350</v>
      </c>
      <c r="I13" s="18">
        <f>IFERROR(__xludf.DUMMYFUNCTION("""COMPUTED_VALUE"""),6.058333333333334)</f>
        <v>6.058333333</v>
      </c>
      <c r="J13" s="22">
        <f>IFERROR(__xludf.DUMMYFUNCTION("""COMPUTED_VALUE"""),94.0)</f>
        <v>94</v>
      </c>
      <c r="K13" s="22">
        <f>IFERROR(__xludf.DUMMYFUNCTION("""COMPUTED_VALUE"""),12.0)</f>
        <v>12</v>
      </c>
      <c r="L13" s="26" t="str">
        <f>IFERROR(__xludf.DUMMYFUNCTION("""COMPUTED_VALUE"""),"Shooter")</f>
        <v>Shooter</v>
      </c>
      <c r="M13" s="13" t="b">
        <f>NOT(ISNA(VLOOKUP(A13,PC!A:A,1,FALSE)))</f>
        <v>1</v>
      </c>
      <c r="N13" s="13" t="b">
        <f>NOT(ISNA(VLOOKUP(A13,'Game Pass Premium'!A:A,1,FALSE)))</f>
        <v>1</v>
      </c>
      <c r="O13" s="13" t="b">
        <f>NOT(ISNA(VLOOKUP(A13,'Game Pass Essential'!A:A,1,FALSE)))</f>
        <v>0</v>
      </c>
    </row>
    <row r="14">
      <c r="A14" s="12" t="str">
        <f>IFERROR(__xludf.DUMMYFUNCTION("""COMPUTED_VALUE"""),"Hades")</f>
        <v>Hades</v>
      </c>
      <c r="B14" s="13" t="str">
        <f>IFERROR(__xludf.DUMMYFUNCTION("""COMPUTED_VALUE"""),"Xbox / PC")</f>
        <v>Xbox / PC</v>
      </c>
      <c r="C14" s="14" t="str">
        <f>IFERROR(__xludf.DUMMYFUNCTION("""COMPUTED_VALUE"""),"Touch Controls")</f>
        <v>Touch Controls</v>
      </c>
      <c r="D14" s="14" t="str">
        <f>IFERROR(__xludf.DUMMYFUNCTION("""COMPUTED_VALUE"""),"Active")</f>
        <v>Active</v>
      </c>
      <c r="E14" s="15">
        <f>IFERROR(__xludf.DUMMYFUNCTION("""COMPUTED_VALUE"""),45919.0)</f>
        <v>45919</v>
      </c>
      <c r="F14" s="16"/>
      <c r="G14" s="18">
        <f>IFERROR(__xludf.DUMMYFUNCTION("""COMPUTED_VALUE"""),12.566666666666666)</f>
        <v>12.56666667</v>
      </c>
      <c r="H14" s="15">
        <f>IFERROR(__xludf.DUMMYFUNCTION("""COMPUTED_VALUE"""),43441.0)</f>
        <v>43441</v>
      </c>
      <c r="I14" s="18">
        <f>IFERROR(__xludf.DUMMYFUNCTION("""COMPUTED_VALUE"""),6.783333333333333)</f>
        <v>6.783333333</v>
      </c>
      <c r="J14" s="22">
        <f>IFERROR(__xludf.DUMMYFUNCTION("""COMPUTED_VALUE"""),93.5)</f>
        <v>93.5</v>
      </c>
      <c r="K14" s="22">
        <f>IFERROR(__xludf.DUMMYFUNCTION("""COMPUTED_VALUE"""),21.0)</f>
        <v>21</v>
      </c>
      <c r="L14" s="26" t="str">
        <f>IFERROR(__xludf.DUMMYFUNCTION("""COMPUTED_VALUE"""),"RPG")</f>
        <v>RPG</v>
      </c>
      <c r="M14" s="13" t="b">
        <f>NOT(ISNA(VLOOKUP(A14,PC!A:A,1,FALSE)))</f>
        <v>1</v>
      </c>
      <c r="N14" s="13" t="b">
        <f>NOT(ISNA(VLOOKUP(A14,'Game Pass Premium'!A:A,1,FALSE)))</f>
        <v>1</v>
      </c>
      <c r="O14" s="13" t="b">
        <f>NOT(ISNA(VLOOKUP(A14,'Game Pass Essential'!A:A,1,FALSE)))</f>
        <v>1</v>
      </c>
    </row>
    <row r="15">
      <c r="A15" s="12" t="str">
        <f>IFERROR(__xludf.DUMMYFUNCTION("""COMPUTED_VALUE"""),"Blue Prince")</f>
        <v>Blue Prince</v>
      </c>
      <c r="B15" s="13" t="str">
        <f>IFERROR(__xludf.DUMMYFUNCTION("""COMPUTED_VALUE"""),"Xbox / PC")</f>
        <v>Xbox / PC</v>
      </c>
      <c r="C15" s="14" t="str">
        <f>IFERROR(__xludf.DUMMYFUNCTION("""COMPUTED_VALUE"""),"Yes")</f>
        <v>Yes</v>
      </c>
      <c r="D15" s="14" t="str">
        <f>IFERROR(__xludf.DUMMYFUNCTION("""COMPUTED_VALUE"""),"Active")</f>
        <v>Active</v>
      </c>
      <c r="E15" s="15">
        <f>IFERROR(__xludf.DUMMYFUNCTION("""COMPUTED_VALUE"""),45757.0)</f>
        <v>45757</v>
      </c>
      <c r="F15" s="16"/>
      <c r="G15" s="18">
        <f>IFERROR(__xludf.DUMMYFUNCTION("""COMPUTED_VALUE"""),17.866666666666667)</f>
        <v>17.86666667</v>
      </c>
      <c r="H15" s="15">
        <f>IFERROR(__xludf.DUMMYFUNCTION("""COMPUTED_VALUE"""),45757.0)</f>
        <v>45757</v>
      </c>
      <c r="I15" s="18">
        <f>IFERROR(__xludf.DUMMYFUNCTION("""COMPUTED_VALUE"""),0.0)</f>
        <v>0</v>
      </c>
      <c r="J15" s="22">
        <f>IFERROR(__xludf.DUMMYFUNCTION("""COMPUTED_VALUE"""),93.0)</f>
        <v>93</v>
      </c>
      <c r="K15" s="22">
        <f>IFERROR(__xludf.DUMMYFUNCTION("""COMPUTED_VALUE"""),14.0)</f>
        <v>14</v>
      </c>
      <c r="L15" s="26" t="str">
        <f>IFERROR(__xludf.DUMMYFUNCTION("""COMPUTED_VALUE"""),"Action-Adventure")</f>
        <v>Action-Adventure</v>
      </c>
      <c r="M15" s="13" t="b">
        <f>NOT(ISNA(VLOOKUP(A15,PC!A:A,1,FALSE)))</f>
        <v>1</v>
      </c>
      <c r="N15" s="13" t="b">
        <f>NOT(ISNA(VLOOKUP(A15,'Game Pass Premium'!A:A,1,FALSE)))</f>
        <v>0</v>
      </c>
      <c r="O15" s="13" t="b">
        <f>NOT(ISNA(VLOOKUP(A15,'Game Pass Essential'!A:A,1,FALSE)))</f>
        <v>0</v>
      </c>
    </row>
    <row r="16">
      <c r="A16" s="12" t="str">
        <f>IFERROR(__xludf.DUMMYFUNCTION("""COMPUTED_VALUE"""),"Inside")</f>
        <v>Inside</v>
      </c>
      <c r="B16" s="13" t="str">
        <f>IFERROR(__xludf.DUMMYFUNCTION("""COMPUTED_VALUE"""),"Xbox / PC")</f>
        <v>Xbox / PC</v>
      </c>
      <c r="C16" s="14" t="str">
        <f>IFERROR(__xludf.DUMMYFUNCTION("""COMPUTED_VALUE"""),"Yes")</f>
        <v>Yes</v>
      </c>
      <c r="D16" s="14" t="str">
        <f>IFERROR(__xludf.DUMMYFUNCTION("""COMPUTED_VALUE"""),"Active")</f>
        <v>Active</v>
      </c>
      <c r="E16" s="15">
        <f>IFERROR(__xludf.DUMMYFUNCTION("""COMPUTED_VALUE"""),44763.0)</f>
        <v>44763</v>
      </c>
      <c r="F16" s="16"/>
      <c r="G16" s="18">
        <f>IFERROR(__xludf.DUMMYFUNCTION("""COMPUTED_VALUE"""),50.5)</f>
        <v>50.5</v>
      </c>
      <c r="H16" s="15">
        <f>IFERROR(__xludf.DUMMYFUNCTION("""COMPUTED_VALUE"""),42550.0)</f>
        <v>42550</v>
      </c>
      <c r="I16" s="18">
        <f>IFERROR(__xludf.DUMMYFUNCTION("""COMPUTED_VALUE"""),6.061111111111111)</f>
        <v>6.061111111</v>
      </c>
      <c r="J16" s="22">
        <f>IFERROR(__xludf.DUMMYFUNCTION("""COMPUTED_VALUE"""),93.0)</f>
        <v>93</v>
      </c>
      <c r="K16" s="22">
        <f>IFERROR(__xludf.DUMMYFUNCTION("""COMPUTED_VALUE"""),3.5)</f>
        <v>3.5</v>
      </c>
      <c r="L16" s="26" t="str">
        <f>IFERROR(__xludf.DUMMYFUNCTION("""COMPUTED_VALUE"""),"Platformer")</f>
        <v>Platformer</v>
      </c>
      <c r="M16" s="13" t="b">
        <f>NOT(ISNA(VLOOKUP(A16,PC!A:A,1,FALSE)))</f>
        <v>1</v>
      </c>
      <c r="N16" s="13" t="b">
        <f>NOT(ISNA(VLOOKUP(A16,'Game Pass Premium'!A:A,1,FALSE)))</f>
        <v>1</v>
      </c>
      <c r="O16" s="13" t="b">
        <f>NOT(ISNA(VLOOKUP(A16,'Game Pass Essential'!A:A,1,FALSE)))</f>
        <v>1</v>
      </c>
    </row>
    <row r="17">
      <c r="A17" s="12" t="str">
        <f>IFERROR(__xludf.DUMMYFUNCTION("""COMPUTED_VALUE"""),"Mass Effect 3: N7 Digital Deluxe Edition")</f>
        <v>Mass Effect 3: N7 Digital Deluxe Edition</v>
      </c>
      <c r="B17" s="13" t="str">
        <f>IFERROR(__xludf.DUMMYFUNCTION("""COMPUTED_VALUE"""),"Xbox / PC")</f>
        <v>Xbox / PC</v>
      </c>
      <c r="C17" s="14"/>
      <c r="D17" s="14" t="str">
        <f>IFERROR(__xludf.DUMMYFUNCTION("""COMPUTED_VALUE"""),"Active")</f>
        <v>Active</v>
      </c>
      <c r="E17" s="15">
        <f>IFERROR(__xludf.DUMMYFUNCTION("""COMPUTED_VALUE"""),44145.0)</f>
        <v>44145</v>
      </c>
      <c r="F17" s="16"/>
      <c r="G17" s="18">
        <f>IFERROR(__xludf.DUMMYFUNCTION("""COMPUTED_VALUE"""),70.86666666666667)</f>
        <v>70.86666667</v>
      </c>
      <c r="H17" s="15">
        <f>IFERROR(__xludf.DUMMYFUNCTION("""COMPUTED_VALUE"""),40974.0)</f>
        <v>40974</v>
      </c>
      <c r="I17" s="18">
        <f>IFERROR(__xludf.DUMMYFUNCTION("""COMPUTED_VALUE"""),8.677777777777777)</f>
        <v>8.677777778</v>
      </c>
      <c r="J17" s="22">
        <f>IFERROR(__xludf.DUMMYFUNCTION("""COMPUTED_VALUE"""),93.0)</f>
        <v>93</v>
      </c>
      <c r="K17" s="22">
        <f>IFERROR(__xludf.DUMMYFUNCTION("""COMPUTED_VALUE"""),24.0)</f>
        <v>24</v>
      </c>
      <c r="L17" s="26" t="str">
        <f>IFERROR(__xludf.DUMMYFUNCTION("""COMPUTED_VALUE"""),"Shooter")</f>
        <v>Shooter</v>
      </c>
      <c r="M17" s="13" t="b">
        <f>NOT(ISNA(VLOOKUP(A17,PC!A:A,1,FALSE)))</f>
        <v>1</v>
      </c>
      <c r="N17" s="13" t="b">
        <f>NOT(ISNA(VLOOKUP(A17,'Game Pass Premium'!A:A,1,FALSE)))</f>
        <v>1</v>
      </c>
      <c r="O17" s="13" t="b">
        <f>NOT(ISNA(VLOOKUP(A17,'Game Pass Essential'!A:A,1,FALSE)))</f>
        <v>0</v>
      </c>
    </row>
    <row r="18">
      <c r="A18" s="12" t="str">
        <f>IFERROR(__xludf.DUMMYFUNCTION("""COMPUTED_VALUE"""),"Fallout 3: Game of the Year Edition")</f>
        <v>Fallout 3: Game of the Year Edition</v>
      </c>
      <c r="B18" s="13" t="str">
        <f>IFERROR(__xludf.DUMMYFUNCTION("""COMPUTED_VALUE"""),"Xbox / PC")</f>
        <v>Xbox / PC</v>
      </c>
      <c r="C18" s="14" t="str">
        <f>IFERROR(__xludf.DUMMYFUNCTION("""COMPUTED_VALUE"""),"Yes")</f>
        <v>Yes</v>
      </c>
      <c r="D18" s="14" t="str">
        <f>IFERROR(__xludf.DUMMYFUNCTION("""COMPUTED_VALUE"""),"Active")</f>
        <v>Active</v>
      </c>
      <c r="E18" s="15">
        <f>IFERROR(__xludf.DUMMYFUNCTION("""COMPUTED_VALUE"""),43282.0)</f>
        <v>43282</v>
      </c>
      <c r="F18" s="16"/>
      <c r="G18" s="18">
        <f>IFERROR(__xludf.DUMMYFUNCTION("""COMPUTED_VALUE"""),99.16666666666667)</f>
        <v>99.16666667</v>
      </c>
      <c r="H18" s="15">
        <f>IFERROR(__xludf.DUMMYFUNCTION("""COMPUTED_VALUE"""),39749.0)</f>
        <v>39749</v>
      </c>
      <c r="I18" s="18">
        <f>IFERROR(__xludf.DUMMYFUNCTION("""COMPUTED_VALUE"""),9.675)</f>
        <v>9.675</v>
      </c>
      <c r="J18" s="22">
        <f>IFERROR(__xludf.DUMMYFUNCTION("""COMPUTED_VALUE"""),93.0)</f>
        <v>93</v>
      </c>
      <c r="K18" s="22">
        <f>IFERROR(__xludf.DUMMYFUNCTION("""COMPUTED_VALUE"""),22.5)</f>
        <v>22.5</v>
      </c>
      <c r="L18" s="26" t="str">
        <f>IFERROR(__xludf.DUMMYFUNCTION("""COMPUTED_VALUE"""),"Shooter")</f>
        <v>Shooter</v>
      </c>
      <c r="M18" s="13" t="b">
        <f>NOT(ISNA(VLOOKUP(A18,PC!A:A,1,FALSE)))</f>
        <v>1</v>
      </c>
      <c r="N18" s="13" t="b">
        <f>NOT(ISNA(VLOOKUP(A18,'Game Pass Premium'!A:A,1,FALSE)))</f>
        <v>1</v>
      </c>
      <c r="O18" s="13" t="b">
        <f>NOT(ISNA(VLOOKUP(A18,'Game Pass Essential'!A:A,1,FALSE)))</f>
        <v>0</v>
      </c>
    </row>
    <row r="19">
      <c r="A19" s="12" t="str">
        <f>IFERROR(__xludf.DUMMYFUNCTION("""COMPUTED_VALUE"""),"Gears of War 2")</f>
        <v>Gears of War 2</v>
      </c>
      <c r="B19" s="13" t="str">
        <f>IFERROR(__xludf.DUMMYFUNCTION("""COMPUTED_VALUE"""),"Xbox")</f>
        <v>Xbox</v>
      </c>
      <c r="C19" s="14" t="str">
        <f>IFERROR(__xludf.DUMMYFUNCTION("""COMPUTED_VALUE"""),"Yes")</f>
        <v>Yes</v>
      </c>
      <c r="D19" s="14" t="str">
        <f>IFERROR(__xludf.DUMMYFUNCTION("""COMPUTED_VALUE"""),"Active")</f>
        <v>Active</v>
      </c>
      <c r="E19" s="15">
        <f>IFERROR(__xludf.DUMMYFUNCTION("""COMPUTED_VALUE"""),42887.0)</f>
        <v>42887</v>
      </c>
      <c r="F19" s="16"/>
      <c r="G19" s="18">
        <f>IFERROR(__xludf.DUMMYFUNCTION("""COMPUTED_VALUE"""),112.16666666666666)</f>
        <v>112.1666667</v>
      </c>
      <c r="H19" s="15">
        <f>IFERROR(__xludf.DUMMYFUNCTION("""COMPUTED_VALUE"""),39759.0)</f>
        <v>39759</v>
      </c>
      <c r="I19" s="18">
        <f>IFERROR(__xludf.DUMMYFUNCTION("""COMPUTED_VALUE"""),8.566666666666666)</f>
        <v>8.566666667</v>
      </c>
      <c r="J19" s="22">
        <f>IFERROR(__xludf.DUMMYFUNCTION("""COMPUTED_VALUE"""),93.0)</f>
        <v>93</v>
      </c>
      <c r="K19" s="22">
        <f>IFERROR(__xludf.DUMMYFUNCTION("""COMPUTED_VALUE"""),10.0)</f>
        <v>10</v>
      </c>
      <c r="L19" s="26" t="str">
        <f>IFERROR(__xludf.DUMMYFUNCTION("""COMPUTED_VALUE"""),"Shooter")</f>
        <v>Shooter</v>
      </c>
      <c r="M19" s="13" t="b">
        <f>NOT(ISNA(VLOOKUP(A19,PC!A:A,1,FALSE)))</f>
        <v>0</v>
      </c>
      <c r="N19" s="13" t="b">
        <f>NOT(ISNA(VLOOKUP(A19,'Game Pass Premium'!A:A,1,FALSE)))</f>
        <v>1</v>
      </c>
      <c r="O19" s="13" t="b">
        <f>NOT(ISNA(VLOOKUP(A19,'Game Pass Essential'!A:A,1,FALSE)))</f>
        <v>0</v>
      </c>
    </row>
    <row r="20">
      <c r="A20" s="12" t="str">
        <f>IFERROR(__xludf.DUMMYFUNCTION("""COMPUTED_VALUE"""),"Forza Horizon 6")</f>
        <v>Forza Horizon 6</v>
      </c>
      <c r="B20" s="13" t="str">
        <f>IFERROR(__xludf.DUMMYFUNCTION("""COMPUTED_VALUE"""),"Xbox / PC")</f>
        <v>Xbox / PC</v>
      </c>
      <c r="C20" s="14" t="str">
        <f>IFERROR(__xludf.DUMMYFUNCTION("""COMPUTED_VALUE"""),"Yes")</f>
        <v>Yes</v>
      </c>
      <c r="D20" s="14" t="str">
        <f>IFERROR(__xludf.DUMMYFUNCTION("""COMPUTED_VALUE"""),"Active")</f>
        <v>Active</v>
      </c>
      <c r="E20" s="15">
        <f>IFERROR(__xludf.DUMMYFUNCTION("""COMPUTED_VALUE"""),46161.0)</f>
        <v>46161</v>
      </c>
      <c r="F20" s="16"/>
      <c r="G20" s="18">
        <f>IFERROR(__xludf.DUMMYFUNCTION("""COMPUTED_VALUE"""),4.566666666666666)</f>
        <v>4.566666667</v>
      </c>
      <c r="H20" s="15">
        <f>IFERROR(__xludf.DUMMYFUNCTION("""COMPUTED_VALUE"""),46161.0)</f>
        <v>46161</v>
      </c>
      <c r="I20" s="18">
        <f>IFERROR(__xludf.DUMMYFUNCTION("""COMPUTED_VALUE"""),0.0)</f>
        <v>0</v>
      </c>
      <c r="J20" s="22">
        <f>IFERROR(__xludf.DUMMYFUNCTION("""COMPUTED_VALUE"""),92.0)</f>
        <v>92</v>
      </c>
      <c r="K20" s="22">
        <f>IFERROR(__xludf.DUMMYFUNCTION("""COMPUTED_VALUE"""),17.0)</f>
        <v>17</v>
      </c>
      <c r="L20" s="26" t="str">
        <f>IFERROR(__xludf.DUMMYFUNCTION("""COMPUTED_VALUE"""),"Racing")</f>
        <v>Racing</v>
      </c>
      <c r="M20" s="13" t="b">
        <f>NOT(ISNA(VLOOKUP(A20,PC!A:A,1,FALSE)))</f>
        <v>1</v>
      </c>
      <c r="N20" s="13" t="b">
        <f>NOT(ISNA(VLOOKUP(A20,'Game Pass Premium'!A:A,1,FALSE)))</f>
        <v>0</v>
      </c>
      <c r="O20" s="13" t="b">
        <f>NOT(ISNA(VLOOKUP(A20,'Game Pass Essential'!A:A,1,FALSE)))</f>
        <v>0</v>
      </c>
    </row>
    <row r="21">
      <c r="A21" s="12" t="str">
        <f>IFERROR(__xludf.DUMMYFUNCTION("""COMPUTED_VALUE"""),"Rayman Legends")</f>
        <v>Rayman Legends</v>
      </c>
      <c r="B21" s="13" t="str">
        <f>IFERROR(__xludf.DUMMYFUNCTION("""COMPUTED_VALUE"""),"Xbox / PC")</f>
        <v>Xbox / PC</v>
      </c>
      <c r="C21" s="14" t="str">
        <f>IFERROR(__xludf.DUMMYFUNCTION("""COMPUTED_VALUE"""),"Yes")</f>
        <v>Yes</v>
      </c>
      <c r="D21" s="14" t="str">
        <f>IFERROR(__xludf.DUMMYFUNCTION("""COMPUTED_VALUE"""),"Active")</f>
        <v>Active</v>
      </c>
      <c r="E21" s="15">
        <f>IFERROR(__xludf.DUMMYFUNCTION("""COMPUTED_VALUE"""),45931.0)</f>
        <v>45931</v>
      </c>
      <c r="F21" s="16"/>
      <c r="G21" s="18">
        <f>IFERROR(__xludf.DUMMYFUNCTION("""COMPUTED_VALUE"""),12.166666666666666)</f>
        <v>12.16666667</v>
      </c>
      <c r="H21" s="15">
        <f>IFERROR(__xludf.DUMMYFUNCTION("""COMPUTED_VALUE"""),41520.0)</f>
        <v>41520</v>
      </c>
      <c r="I21" s="18">
        <f>IFERROR(__xludf.DUMMYFUNCTION("""COMPUTED_VALUE"""),12.077777777777778)</f>
        <v>12.07777778</v>
      </c>
      <c r="J21" s="22">
        <f>IFERROR(__xludf.DUMMYFUNCTION("""COMPUTED_VALUE"""),92.0)</f>
        <v>92</v>
      </c>
      <c r="K21" s="22">
        <f>IFERROR(__xludf.DUMMYFUNCTION("""COMPUTED_VALUE"""),10.0)</f>
        <v>10</v>
      </c>
      <c r="L21" s="26" t="str">
        <f>IFERROR(__xludf.DUMMYFUNCTION("""COMPUTED_VALUE"""),"Platformer")</f>
        <v>Platformer</v>
      </c>
      <c r="M21" s="13" t="b">
        <f>NOT(ISNA(VLOOKUP(A21,PC!A:A,1,FALSE)))</f>
        <v>1</v>
      </c>
      <c r="N21" s="13" t="b">
        <f>NOT(ISNA(VLOOKUP(A21,'Game Pass Premium'!A:A,1,FALSE)))</f>
        <v>0</v>
      </c>
      <c r="O21" s="13" t="b">
        <f>NOT(ISNA(VLOOKUP(A21,'Game Pass Essential'!A:A,1,FALSE)))</f>
        <v>0</v>
      </c>
    </row>
    <row r="22">
      <c r="A22" s="12" t="str">
        <f>IFERROR(__xludf.DUMMYFUNCTION("""COMPUTED_VALUE"""),"Oystron")</f>
        <v>Oystron</v>
      </c>
      <c r="B22" s="13" t="str">
        <f>IFERROR(__xludf.DUMMYFUNCTION("""COMPUTED_VALUE"""),"Xbox / PC")</f>
        <v>Xbox / PC</v>
      </c>
      <c r="C22" s="14" t="str">
        <f>IFERROR(__xludf.DUMMYFUNCTION("""COMPUTED_VALUE"""),"Yes")</f>
        <v>Yes</v>
      </c>
      <c r="D22" s="14" t="str">
        <f>IFERROR(__xludf.DUMMYFUNCTION("""COMPUTED_VALUE"""),"Active")</f>
        <v>Active</v>
      </c>
      <c r="E22" s="15">
        <f>IFERROR(__xludf.DUMMYFUNCTION("""COMPUTED_VALUE"""),45883.0)</f>
        <v>45883</v>
      </c>
      <c r="F22" s="16"/>
      <c r="G22" s="18">
        <f>IFERROR(__xludf.DUMMYFUNCTION("""COMPUTED_VALUE"""),13.733333333333333)</f>
        <v>13.73333333</v>
      </c>
      <c r="H22" s="15">
        <f>IFERROR(__xludf.DUMMYFUNCTION("""COMPUTED_VALUE"""),35431.0)</f>
        <v>35431</v>
      </c>
      <c r="I22" s="18">
        <f>IFERROR(__xludf.DUMMYFUNCTION("""COMPUTED_VALUE"""),28.619444444444444)</f>
        <v>28.61944444</v>
      </c>
      <c r="J22" s="22">
        <f>IFERROR(__xludf.DUMMYFUNCTION("""COMPUTED_VALUE"""),92.0)</f>
        <v>92</v>
      </c>
      <c r="K22" s="22"/>
      <c r="L22" s="26" t="str">
        <f>IFERROR(__xludf.DUMMYFUNCTION("""COMPUTED_VALUE"""),"Action")</f>
        <v>Action</v>
      </c>
      <c r="M22" s="13" t="b">
        <f>NOT(ISNA(VLOOKUP(A22,PC!A:A,1,FALSE)))</f>
        <v>1</v>
      </c>
      <c r="N22" s="13" t="b">
        <f>NOT(ISNA(VLOOKUP(A22,'Game Pass Premium'!A:A,1,FALSE)))</f>
        <v>1</v>
      </c>
      <c r="O22" s="13" t="b">
        <f>NOT(ISNA(VLOOKUP(A22,'Game Pass Essential'!A:A,1,FALSE)))</f>
        <v>0</v>
      </c>
    </row>
    <row r="23">
      <c r="A23" s="12" t="str">
        <f>IFERROR(__xludf.DUMMYFUNCTION("""COMPUTED_VALUE"""),"Microsoft Flight Simulator (2020): Game of the Year Edition")</f>
        <v>Microsoft Flight Simulator (2020): Game of the Year Edition</v>
      </c>
      <c r="B23" s="13" t="str">
        <f>IFERROR(__xludf.DUMMYFUNCTION("""COMPUTED_VALUE"""),"Xbox / PC")</f>
        <v>Xbox / PC</v>
      </c>
      <c r="C23" s="14" t="str">
        <f>IFERROR(__xludf.DUMMYFUNCTION("""COMPUTED_VALUE"""),"Yes")</f>
        <v>Yes</v>
      </c>
      <c r="D23" s="14" t="str">
        <f>IFERROR(__xludf.DUMMYFUNCTION("""COMPUTED_VALUE"""),"Active")</f>
        <v>Active</v>
      </c>
      <c r="E23" s="15">
        <f>IFERROR(__xludf.DUMMYFUNCTION("""COMPUTED_VALUE"""),44061.0)</f>
        <v>44061</v>
      </c>
      <c r="F23" s="16"/>
      <c r="G23" s="18">
        <f>IFERROR(__xludf.DUMMYFUNCTION("""COMPUTED_VALUE"""),73.60000000000001)</f>
        <v>73.6</v>
      </c>
      <c r="H23" s="15">
        <f>IFERROR(__xludf.DUMMYFUNCTION("""COMPUTED_VALUE"""),44061.0)</f>
        <v>44061</v>
      </c>
      <c r="I23" s="18">
        <f>IFERROR(__xludf.DUMMYFUNCTION("""COMPUTED_VALUE"""),0.0)</f>
        <v>0</v>
      </c>
      <c r="J23" s="22">
        <f>IFERROR(__xludf.DUMMYFUNCTION("""COMPUTED_VALUE"""),92.0)</f>
        <v>92</v>
      </c>
      <c r="K23" s="22">
        <f>IFERROR(__xludf.DUMMYFUNCTION("""COMPUTED_VALUE"""),41.5)</f>
        <v>41.5</v>
      </c>
      <c r="L23" s="26" t="str">
        <f>IFERROR(__xludf.DUMMYFUNCTION("""COMPUTED_VALUE"""),"Flight")</f>
        <v>Flight</v>
      </c>
      <c r="M23" s="13" t="b">
        <f>NOT(ISNA(VLOOKUP(A23,PC!A:A,1,FALSE)))</f>
        <v>1</v>
      </c>
      <c r="N23" s="13" t="b">
        <f>NOT(ISNA(VLOOKUP(A23,'Game Pass Premium'!A:A,1,FALSE)))</f>
        <v>1</v>
      </c>
      <c r="O23" s="13" t="b">
        <f>NOT(ISNA(VLOOKUP(A23,'Game Pass Essential'!A:A,1,FALSE)))</f>
        <v>0</v>
      </c>
    </row>
    <row r="24">
      <c r="A24" s="12" t="str">
        <f>IFERROR(__xludf.DUMMYFUNCTION("""COMPUTED_VALUE"""),"Clair Obscur: Expedition 33")</f>
        <v>Clair Obscur: Expedition 33</v>
      </c>
      <c r="B24" s="13" t="str">
        <f>IFERROR(__xludf.DUMMYFUNCTION("""COMPUTED_VALUE"""),"Xbox / PC")</f>
        <v>Xbox / PC</v>
      </c>
      <c r="C24" s="14" t="str">
        <f>IFERROR(__xludf.DUMMYFUNCTION("""COMPUTED_VALUE"""),"Yes")</f>
        <v>Yes</v>
      </c>
      <c r="D24" s="14" t="str">
        <f>IFERROR(__xludf.DUMMYFUNCTION("""COMPUTED_VALUE"""),"Leaving Soon")</f>
        <v>Leaving Soon</v>
      </c>
      <c r="E24" s="15">
        <f>IFERROR(__xludf.DUMMYFUNCTION("""COMPUTED_VALUE"""),45771.0)</f>
        <v>45771</v>
      </c>
      <c r="F24" s="16">
        <f>IFERROR(__xludf.DUMMYFUNCTION("""COMPUTED_VALUE"""),46310.0)</f>
        <v>46310</v>
      </c>
      <c r="G24" s="18">
        <f>IFERROR(__xludf.DUMMYFUNCTION("""COMPUTED_VALUE"""),17.700000000000003)</f>
        <v>17.7</v>
      </c>
      <c r="H24" s="15">
        <f>IFERROR(__xludf.DUMMYFUNCTION("""COMPUTED_VALUE"""),45771.0)</f>
        <v>45771</v>
      </c>
      <c r="I24" s="18">
        <f>IFERROR(__xludf.DUMMYFUNCTION("""COMPUTED_VALUE"""),0.0)</f>
        <v>0</v>
      </c>
      <c r="J24" s="22">
        <f>IFERROR(__xludf.DUMMYFUNCTION("""COMPUTED_VALUE"""),92.0)</f>
        <v>92</v>
      </c>
      <c r="K24" s="22">
        <f>IFERROR(__xludf.DUMMYFUNCTION("""COMPUTED_VALUE"""),26.0)</f>
        <v>26</v>
      </c>
      <c r="L24" s="26" t="str">
        <f>IFERROR(__xludf.DUMMYFUNCTION("""COMPUTED_VALUE"""),"RPG")</f>
        <v>RPG</v>
      </c>
      <c r="M24" s="13" t="b">
        <f>NOT(ISNA(VLOOKUP(A24,PC!A:A,1,FALSE)))</f>
        <v>1</v>
      </c>
      <c r="N24" s="13" t="b">
        <f>NOT(ISNA(VLOOKUP(A24,'Game Pass Premium'!A:A,1,FALSE)))</f>
        <v>1</v>
      </c>
      <c r="O24" s="13" t="b">
        <f>NOT(ISNA(VLOOKUP(A24,'Game Pass Essential'!A:A,1,FALSE)))</f>
        <v>0</v>
      </c>
    </row>
    <row r="25">
      <c r="A25" s="12" t="str">
        <f>IFERROR(__xludf.DUMMYFUNCTION("""COMPUTED_VALUE"""),"Castlevania: Symphony of the Night")</f>
        <v>Castlevania: Symphony of the Night</v>
      </c>
      <c r="B25" s="13" t="str">
        <f>IFERROR(__xludf.DUMMYFUNCTION("""COMPUTED_VALUE"""),"XB360/OG Xbox")</f>
        <v>XB360/OG Xbox</v>
      </c>
      <c r="C25" s="14"/>
      <c r="D25" s="14" t="str">
        <f>IFERROR(__xludf.DUMMYFUNCTION("""COMPUTED_VALUE"""),"GwG Permanent")</f>
        <v>GwG Permanent</v>
      </c>
      <c r="E25" s="15">
        <f>IFERROR(__xludf.DUMMYFUNCTION("""COMPUTED_VALUE"""),43647.0)</f>
        <v>43647</v>
      </c>
      <c r="F25" s="16">
        <f>IFERROR(__xludf.DUMMYFUNCTION("""COMPUTED_VALUE"""),43661.0)</f>
        <v>43661</v>
      </c>
      <c r="G25" s="18">
        <f>IFERROR(__xludf.DUMMYFUNCTION("""COMPUTED_VALUE"""),0.4666666666666667)</f>
        <v>0.4666666667</v>
      </c>
      <c r="H25" s="15">
        <f>IFERROR(__xludf.DUMMYFUNCTION("""COMPUTED_VALUE"""),35509.0)</f>
        <v>35509</v>
      </c>
      <c r="I25" s="18">
        <f>IFERROR(__xludf.DUMMYFUNCTION("""COMPUTED_VALUE"""),22.280555555555555)</f>
        <v>22.28055556</v>
      </c>
      <c r="J25" s="22">
        <f>IFERROR(__xludf.DUMMYFUNCTION("""COMPUTED_VALUE"""),92.0)</f>
        <v>92</v>
      </c>
      <c r="K25" s="22">
        <f>IFERROR(__xludf.DUMMYFUNCTION("""COMPUTED_VALUE"""),7.0)</f>
        <v>7</v>
      </c>
      <c r="L25" s="26" t="str">
        <f>IFERROR(__xludf.DUMMYFUNCTION("""COMPUTED_VALUE"""),"Action-Adventure")</f>
        <v>Action-Adventure</v>
      </c>
      <c r="M25" s="13" t="b">
        <f>NOT(ISNA(VLOOKUP(A25,PC!A:A,1,FALSE)))</f>
        <v>0</v>
      </c>
      <c r="N25" s="13" t="b">
        <f>NOT(ISNA(VLOOKUP(A25,'Game Pass Premium'!A:A,1,FALSE)))</f>
        <v>0</v>
      </c>
      <c r="O25" s="13" t="b">
        <f>NOT(ISNA(VLOOKUP(A25,'Game Pass Essential'!A:A,1,FALSE)))</f>
        <v>0</v>
      </c>
    </row>
    <row r="26">
      <c r="A26" s="12" t="str">
        <f>IFERROR(__xludf.DUMMYFUNCTION("""COMPUTED_VALUE"""),"Forza Horizon 5")</f>
        <v>Forza Horizon 5</v>
      </c>
      <c r="B26" s="13" t="str">
        <f>IFERROR(__xludf.DUMMYFUNCTION("""COMPUTED_VALUE"""),"Xbox / PC")</f>
        <v>Xbox / PC</v>
      </c>
      <c r="C26" s="14" t="str">
        <f>IFERROR(__xludf.DUMMYFUNCTION("""COMPUTED_VALUE"""),"Yes")</f>
        <v>Yes</v>
      </c>
      <c r="D26" s="14" t="str">
        <f>IFERROR(__xludf.DUMMYFUNCTION("""COMPUTED_VALUE"""),"Active")</f>
        <v>Active</v>
      </c>
      <c r="E26" s="15">
        <f>IFERROR(__xludf.DUMMYFUNCTION("""COMPUTED_VALUE"""),44509.0)</f>
        <v>44509</v>
      </c>
      <c r="F26" s="16"/>
      <c r="G26" s="18">
        <f>IFERROR(__xludf.DUMMYFUNCTION("""COMPUTED_VALUE"""),58.9)</f>
        <v>58.9</v>
      </c>
      <c r="H26" s="15">
        <f>IFERROR(__xludf.DUMMYFUNCTION("""COMPUTED_VALUE"""),44509.0)</f>
        <v>44509</v>
      </c>
      <c r="I26" s="18">
        <f>IFERROR(__xludf.DUMMYFUNCTION("""COMPUTED_VALUE"""),0.0)</f>
        <v>0</v>
      </c>
      <c r="J26" s="22">
        <f>IFERROR(__xludf.DUMMYFUNCTION("""COMPUTED_VALUE"""),91.5)</f>
        <v>91.5</v>
      </c>
      <c r="K26" s="22">
        <f>IFERROR(__xludf.DUMMYFUNCTION("""COMPUTED_VALUE"""),17.0)</f>
        <v>17</v>
      </c>
      <c r="L26" s="26" t="str">
        <f>IFERROR(__xludf.DUMMYFUNCTION("""COMPUTED_VALUE"""),"Racing")</f>
        <v>Racing</v>
      </c>
      <c r="M26" s="13" t="b">
        <f>NOT(ISNA(VLOOKUP(A26,PC!A:A,1,FALSE)))</f>
        <v>1</v>
      </c>
      <c r="N26" s="13" t="b">
        <f>NOT(ISNA(VLOOKUP(A26,'Game Pass Premium'!A:A,1,FALSE)))</f>
        <v>1</v>
      </c>
      <c r="O26" s="13" t="b">
        <f>NOT(ISNA(VLOOKUP(A26,'Game Pass Essential'!A:A,1,FALSE)))</f>
        <v>0</v>
      </c>
    </row>
    <row r="27">
      <c r="A27" s="12" t="str">
        <f>IFERROR(__xludf.DUMMYFUNCTION("""COMPUTED_VALUE"""),"Disco Elysium")</f>
        <v>Disco Elysium</v>
      </c>
      <c r="B27" s="13" t="str">
        <f>IFERROR(__xludf.DUMMYFUNCTION("""COMPUTED_VALUE"""),"Xbox / PC")</f>
        <v>Xbox / PC</v>
      </c>
      <c r="C27" s="14" t="str">
        <f>IFERROR(__xludf.DUMMYFUNCTION("""COMPUTED_VALUE"""),"Yes")</f>
        <v>Yes</v>
      </c>
      <c r="D27" s="14" t="str">
        <f>IFERROR(__xludf.DUMMYFUNCTION("""COMPUTED_VALUE"""),"Active")</f>
        <v>Active</v>
      </c>
      <c r="E27" s="15">
        <f>IFERROR(__xludf.DUMMYFUNCTION("""COMPUTED_VALUE"""),46100.0)</f>
        <v>46100</v>
      </c>
      <c r="F27" s="16"/>
      <c r="G27" s="18">
        <f>IFERROR(__xludf.DUMMYFUNCTION("""COMPUTED_VALUE"""),6.566666666666667)</f>
        <v>6.566666667</v>
      </c>
      <c r="H27" s="15">
        <f>IFERROR(__xludf.DUMMYFUNCTION("""COMPUTED_VALUE"""),43753.0)</f>
        <v>43753</v>
      </c>
      <c r="I27" s="18">
        <f>IFERROR(__xludf.DUMMYFUNCTION("""COMPUTED_VALUE"""),6.427777777777778)</f>
        <v>6.427777778</v>
      </c>
      <c r="J27" s="22">
        <f>IFERROR(__xludf.DUMMYFUNCTION("""COMPUTED_VALUE"""),91.0)</f>
        <v>91</v>
      </c>
      <c r="K27" s="22">
        <f>IFERROR(__xludf.DUMMYFUNCTION("""COMPUTED_VALUE"""),23.0)</f>
        <v>23</v>
      </c>
      <c r="L27" s="26" t="str">
        <f>IFERROR(__xludf.DUMMYFUNCTION("""COMPUTED_VALUE"""),"RPG")</f>
        <v>RPG</v>
      </c>
      <c r="M27" s="13" t="b">
        <f>NOT(ISNA(VLOOKUP(A27,PC!A:A,1,FALSE)))</f>
        <v>1</v>
      </c>
      <c r="N27" s="13" t="b">
        <f>NOT(ISNA(VLOOKUP(A27,'Game Pass Premium'!A:A,1,FALSE)))</f>
        <v>1</v>
      </c>
      <c r="O27" s="13" t="b">
        <f>NOT(ISNA(VLOOKUP(A27,'Game Pass Essential'!A:A,1,FALSE)))</f>
        <v>0</v>
      </c>
    </row>
    <row r="28">
      <c r="A28" s="12" t="str">
        <f>IFERROR(__xludf.DUMMYFUNCTION("""COMPUTED_VALUE"""),"Conquests of the Longbow: The Legend of Robin Hood")</f>
        <v>Conquests of the Longbow: The Legend of Robin Hood</v>
      </c>
      <c r="B28" s="13" t="str">
        <f>IFERROR(__xludf.DUMMYFUNCTION("""COMPUTED_VALUE"""),"Xbox / PC")</f>
        <v>Xbox / PC</v>
      </c>
      <c r="C28" s="14" t="str">
        <f>IFERROR(__xludf.DUMMYFUNCTION("""COMPUTED_VALUE"""),"Yes")</f>
        <v>Yes</v>
      </c>
      <c r="D28" s="14" t="str">
        <f>IFERROR(__xludf.DUMMYFUNCTION("""COMPUTED_VALUE"""),"Active")</f>
        <v>Active</v>
      </c>
      <c r="E28" s="15">
        <f>IFERROR(__xludf.DUMMYFUNCTION("""COMPUTED_VALUE"""),45798.0)</f>
        <v>45798</v>
      </c>
      <c r="F28" s="16"/>
      <c r="G28" s="18">
        <f>IFERROR(__xludf.DUMMYFUNCTION("""COMPUTED_VALUE"""),16.5)</f>
        <v>16.5</v>
      </c>
      <c r="H28" s="15">
        <f>IFERROR(__xludf.DUMMYFUNCTION("""COMPUTED_VALUE"""),33616.0)</f>
        <v>33616</v>
      </c>
      <c r="I28" s="18">
        <f>IFERROR(__xludf.DUMMYFUNCTION("""COMPUTED_VALUE"""),33.355555555555554)</f>
        <v>33.35555556</v>
      </c>
      <c r="J28" s="22">
        <f>IFERROR(__xludf.DUMMYFUNCTION("""COMPUTED_VALUE"""),91.0)</f>
        <v>91</v>
      </c>
      <c r="K28" s="22">
        <f>IFERROR(__xludf.DUMMYFUNCTION("""COMPUTED_VALUE"""),6.0)</f>
        <v>6</v>
      </c>
      <c r="L28" s="26" t="str">
        <f>IFERROR(__xludf.DUMMYFUNCTION("""COMPUTED_VALUE"""),"Action‑Adventure")</f>
        <v>Action‑Adventure</v>
      </c>
      <c r="M28" s="13" t="b">
        <f>NOT(ISNA(VLOOKUP(A28,PC!A:A,1,FALSE)))</f>
        <v>1</v>
      </c>
      <c r="N28" s="13" t="b">
        <f>NOT(ISNA(VLOOKUP(A28,'Game Pass Premium'!A:A,1,FALSE)))</f>
        <v>1</v>
      </c>
      <c r="O28" s="13" t="b">
        <f>NOT(ISNA(VLOOKUP(A28,'Game Pass Essential'!A:A,1,FALSE)))</f>
        <v>0</v>
      </c>
    </row>
    <row r="29">
      <c r="A29" s="12" t="str">
        <f>IFERROR(__xludf.DUMMYFUNCTION("""COMPUTED_VALUE"""),"Resident Evil 2 (2019)")</f>
        <v>Resident Evil 2 (2019)</v>
      </c>
      <c r="B29" s="13" t="str">
        <f>IFERROR(__xludf.DUMMYFUNCTION("""COMPUTED_VALUE"""),"Xbox / PC")</f>
        <v>Xbox / PC</v>
      </c>
      <c r="C29" s="14" t="str">
        <f>IFERROR(__xludf.DUMMYFUNCTION("""COMPUTED_VALUE"""),"Yes")</f>
        <v>Yes</v>
      </c>
      <c r="D29" s="14" t="str">
        <f>IFERROR(__xludf.DUMMYFUNCTION("""COMPUTED_VALUE"""),"Active")</f>
        <v>Active</v>
      </c>
      <c r="E29" s="15">
        <f>IFERROR(__xludf.DUMMYFUNCTION("""COMPUTED_VALUE"""),45307.0)</f>
        <v>45307</v>
      </c>
      <c r="F29" s="16"/>
      <c r="G29" s="18">
        <f>IFERROR(__xludf.DUMMYFUNCTION("""COMPUTED_VALUE"""),32.66666666666667)</f>
        <v>32.66666667</v>
      </c>
      <c r="H29" s="15">
        <f>IFERROR(__xludf.DUMMYFUNCTION("""COMPUTED_VALUE"""),43480.0)</f>
        <v>43480</v>
      </c>
      <c r="I29" s="18">
        <f>IFERROR(__xludf.DUMMYFUNCTION("""COMPUTED_VALUE"""),5.002777777777778)</f>
        <v>5.002777778</v>
      </c>
      <c r="J29" s="22">
        <f>IFERROR(__xludf.DUMMYFUNCTION("""COMPUTED_VALUE"""),91.0)</f>
        <v>91</v>
      </c>
      <c r="K29" s="22">
        <f>IFERROR(__xludf.DUMMYFUNCTION("""COMPUTED_VALUE"""),9.0)</f>
        <v>9</v>
      </c>
      <c r="L29" s="26" t="str">
        <f>IFERROR(__xludf.DUMMYFUNCTION("""COMPUTED_VALUE"""),"Shooter")</f>
        <v>Shooter</v>
      </c>
      <c r="M29" s="13" t="b">
        <f>NOT(ISNA(VLOOKUP(A29,PC!A:A,1,FALSE)))</f>
        <v>1</v>
      </c>
      <c r="N29" s="13" t="b">
        <f>NOT(ISNA(VLOOKUP(A29,'Game Pass Premium'!A:A,1,FALSE)))</f>
        <v>1</v>
      </c>
      <c r="O29" s="13" t="b">
        <f>NOT(ISNA(VLOOKUP(A29,'Game Pass Essential'!A:A,1,FALSE)))</f>
        <v>0</v>
      </c>
    </row>
    <row r="30">
      <c r="A30" s="12" t="str">
        <f>IFERROR(__xludf.DUMMYFUNCTION("""COMPUTED_VALUE"""),"Halo: Reach")</f>
        <v>Halo: Reach</v>
      </c>
      <c r="B30" s="13" t="str">
        <f>IFERROR(__xludf.DUMMYFUNCTION("""COMPUTED_VALUE"""),"Xbox / PC")</f>
        <v>Xbox / PC</v>
      </c>
      <c r="C30" s="14"/>
      <c r="D30" s="14" t="str">
        <f>IFERROR(__xludf.DUMMYFUNCTION("""COMPUTED_VALUE"""),"Active")</f>
        <v>Active</v>
      </c>
      <c r="E30" s="15">
        <f>IFERROR(__xludf.DUMMYFUNCTION("""COMPUTED_VALUE"""),43802.0)</f>
        <v>43802</v>
      </c>
      <c r="F30" s="16"/>
      <c r="G30" s="18">
        <f>IFERROR(__xludf.DUMMYFUNCTION("""COMPUTED_VALUE"""),82.1)</f>
        <v>82.1</v>
      </c>
      <c r="H30" s="15">
        <f>IFERROR(__xludf.DUMMYFUNCTION("""COMPUTED_VALUE"""),40435.0)</f>
        <v>40435</v>
      </c>
      <c r="I30" s="18">
        <f>IFERROR(__xludf.DUMMYFUNCTION("""COMPUTED_VALUE"""),9.219444444444445)</f>
        <v>9.219444444</v>
      </c>
      <c r="J30" s="22">
        <f>IFERROR(__xludf.DUMMYFUNCTION("""COMPUTED_VALUE"""),91.0)</f>
        <v>91</v>
      </c>
      <c r="K30" s="22">
        <f>IFERROR(__xludf.DUMMYFUNCTION("""COMPUTED_VALUE"""),8.0)</f>
        <v>8</v>
      </c>
      <c r="L30" s="26" t="str">
        <f>IFERROR(__xludf.DUMMYFUNCTION("""COMPUTED_VALUE"""),"Shooter")</f>
        <v>Shooter</v>
      </c>
      <c r="M30" s="13" t="b">
        <f>NOT(ISNA(VLOOKUP(A30,PC!A:A,1,FALSE)))</f>
        <v>1</v>
      </c>
      <c r="N30" s="13" t="b">
        <f>NOT(ISNA(VLOOKUP(A30,'Game Pass Premium'!A:A,1,FALSE)))</f>
        <v>1</v>
      </c>
      <c r="O30" s="13" t="b">
        <f>NOT(ISNA(VLOOKUP(A30,'Game Pass Essential'!A:A,1,FALSE)))</f>
        <v>0</v>
      </c>
    </row>
    <row r="31">
      <c r="A31" s="12" t="str">
        <f>IFERROR(__xludf.DUMMYFUNCTION("""COMPUTED_VALUE"""),"Gears of War 3")</f>
        <v>Gears of War 3</v>
      </c>
      <c r="B31" s="13" t="str">
        <f>IFERROR(__xludf.DUMMYFUNCTION("""COMPUTED_VALUE"""),"Xbox")</f>
        <v>Xbox</v>
      </c>
      <c r="C31" s="14" t="str">
        <f>IFERROR(__xludf.DUMMYFUNCTION("""COMPUTED_VALUE"""),"Yes")</f>
        <v>Yes</v>
      </c>
      <c r="D31" s="14" t="str">
        <f>IFERROR(__xludf.DUMMYFUNCTION("""COMPUTED_VALUE"""),"Active")</f>
        <v>Active</v>
      </c>
      <c r="E31" s="15">
        <f>IFERROR(__xludf.DUMMYFUNCTION("""COMPUTED_VALUE"""),42887.0)</f>
        <v>42887</v>
      </c>
      <c r="F31" s="16"/>
      <c r="G31" s="18">
        <f>IFERROR(__xludf.DUMMYFUNCTION("""COMPUTED_VALUE"""),112.16666666666666)</f>
        <v>112.1666667</v>
      </c>
      <c r="H31" s="15">
        <f>IFERROR(__xludf.DUMMYFUNCTION("""COMPUTED_VALUE"""),40806.0)</f>
        <v>40806</v>
      </c>
      <c r="I31" s="18">
        <f>IFERROR(__xludf.DUMMYFUNCTION("""COMPUTED_VALUE"""),5.697222222222222)</f>
        <v>5.697222222</v>
      </c>
      <c r="J31" s="22">
        <f>IFERROR(__xludf.DUMMYFUNCTION("""COMPUTED_VALUE"""),91.0)</f>
        <v>91</v>
      </c>
      <c r="K31" s="22">
        <f>IFERROR(__xludf.DUMMYFUNCTION("""COMPUTED_VALUE"""),9.5)</f>
        <v>9.5</v>
      </c>
      <c r="L31" s="26" t="str">
        <f>IFERROR(__xludf.DUMMYFUNCTION("""COMPUTED_VALUE"""),"Shooter")</f>
        <v>Shooter</v>
      </c>
      <c r="M31" s="13" t="b">
        <f>NOT(ISNA(VLOOKUP(A31,PC!A:A,1,FALSE)))</f>
        <v>0</v>
      </c>
      <c r="N31" s="13" t="b">
        <f>NOT(ISNA(VLOOKUP(A31,'Game Pass Premium'!A:A,1,FALSE)))</f>
        <v>1</v>
      </c>
      <c r="O31" s="13" t="b">
        <f>NOT(ISNA(VLOOKUP(A31,'Game Pass Essential'!A:A,1,FALSE)))</f>
        <v>0</v>
      </c>
    </row>
    <row r="32">
      <c r="A32" s="12" t="str">
        <f>IFERROR(__xludf.DUMMYFUNCTION("""COMPUTED_VALUE"""),"Dragon Age: Origins")</f>
        <v>Dragon Age: Origins</v>
      </c>
      <c r="B32" s="13" t="str">
        <f>IFERROR(__xludf.DUMMYFUNCTION("""COMPUTED_VALUE"""),"XB360/OG Xbox")</f>
        <v>XB360/OG Xbox</v>
      </c>
      <c r="C32" s="14"/>
      <c r="D32" s="14" t="str">
        <f>IFERROR(__xludf.DUMMYFUNCTION("""COMPUTED_VALUE"""),"GwG Permanent")</f>
        <v>GwG Permanent</v>
      </c>
      <c r="E32" s="15">
        <f>IFERROR(__xludf.DUMMYFUNCTION("""COMPUTED_VALUE"""),42902.0)</f>
        <v>42902</v>
      </c>
      <c r="F32" s="16">
        <f>IFERROR(__xludf.DUMMYFUNCTION("""COMPUTED_VALUE"""),42916.0)</f>
        <v>42916</v>
      </c>
      <c r="G32" s="18">
        <f>IFERROR(__xludf.DUMMYFUNCTION("""COMPUTED_VALUE"""),0.4666666666666667)</f>
        <v>0.4666666667</v>
      </c>
      <c r="H32" s="15">
        <f>IFERROR(__xludf.DUMMYFUNCTION("""COMPUTED_VALUE"""),40120.0)</f>
        <v>40120</v>
      </c>
      <c r="I32" s="18">
        <f>IFERROR(__xludf.DUMMYFUNCTION("""COMPUTED_VALUE"""),7.6194444444444445)</f>
        <v>7.619444444</v>
      </c>
      <c r="J32" s="22">
        <f>IFERROR(__xludf.DUMMYFUNCTION("""COMPUTED_VALUE"""),91.0)</f>
        <v>91</v>
      </c>
      <c r="K32" s="22">
        <f>IFERROR(__xludf.DUMMYFUNCTION("""COMPUTED_VALUE"""),63.0)</f>
        <v>63</v>
      </c>
      <c r="L32" s="26" t="str">
        <f>IFERROR(__xludf.DUMMYFUNCTION("""COMPUTED_VALUE"""),"RPG")</f>
        <v>RPG</v>
      </c>
      <c r="M32" s="13" t="b">
        <f>NOT(ISNA(VLOOKUP(A32,PC!A:A,1,FALSE)))</f>
        <v>0</v>
      </c>
      <c r="N32" s="13" t="b">
        <f>NOT(ISNA(VLOOKUP(A32,'Game Pass Premium'!A:A,1,FALSE)))</f>
        <v>0</v>
      </c>
      <c r="O32" s="13" t="b">
        <f>NOT(ISNA(VLOOKUP(A32,'Game Pass Essential'!A:A,1,FALSE)))</f>
        <v>0</v>
      </c>
    </row>
    <row r="33">
      <c r="A33" s="12" t="str">
        <f>IFERROR(__xludf.DUMMYFUNCTION("""COMPUTED_VALUE"""),"Borderlands 2")</f>
        <v>Borderlands 2</v>
      </c>
      <c r="B33" s="13" t="str">
        <f>IFERROR(__xludf.DUMMYFUNCTION("""COMPUTED_VALUE"""),"XB360/OG Xbox")</f>
        <v>XB360/OG Xbox</v>
      </c>
      <c r="C33" s="14"/>
      <c r="D33" s="14" t="str">
        <f>IFERROR(__xludf.DUMMYFUNCTION("""COMPUTED_VALUE"""),"GwG Permanent")</f>
        <v>GwG Permanent</v>
      </c>
      <c r="E33" s="15">
        <f>IFERROR(__xludf.DUMMYFUNCTION("""COMPUTED_VALUE"""),42795.0)</f>
        <v>42795</v>
      </c>
      <c r="F33" s="16">
        <f>IFERROR(__xludf.DUMMYFUNCTION("""COMPUTED_VALUE"""),42809.0)</f>
        <v>42809</v>
      </c>
      <c r="G33" s="18">
        <f>IFERROR(__xludf.DUMMYFUNCTION("""COMPUTED_VALUE"""),0.4666666666666667)</f>
        <v>0.4666666667</v>
      </c>
      <c r="H33" s="15">
        <f>IFERROR(__xludf.DUMMYFUNCTION("""COMPUTED_VALUE"""),41170.0)</f>
        <v>41170</v>
      </c>
      <c r="I33" s="18">
        <f>IFERROR(__xludf.DUMMYFUNCTION("""COMPUTED_VALUE"""),4.4527777777777775)</f>
        <v>4.452777778</v>
      </c>
      <c r="J33" s="22">
        <f>IFERROR(__xludf.DUMMYFUNCTION("""COMPUTED_VALUE"""),91.0)</f>
        <v>91</v>
      </c>
      <c r="K33" s="22">
        <f>IFERROR(__xludf.DUMMYFUNCTION("""COMPUTED_VALUE"""),25.0)</f>
        <v>25</v>
      </c>
      <c r="L33" s="26" t="str">
        <f>IFERROR(__xludf.DUMMYFUNCTION("""COMPUTED_VALUE"""),"Shooter")</f>
        <v>Shooter</v>
      </c>
      <c r="M33" s="13" t="b">
        <f>NOT(ISNA(VLOOKUP(A33,PC!A:A,1,FALSE)))</f>
        <v>0</v>
      </c>
      <c r="N33" s="13" t="b">
        <f>NOT(ISNA(VLOOKUP(A33,'Game Pass Premium'!A:A,1,FALSE)))</f>
        <v>0</v>
      </c>
      <c r="O33" s="13" t="b">
        <f>NOT(ISNA(VLOOKUP(A33,'Game Pass Essential'!A:A,1,FALSE)))</f>
        <v>0</v>
      </c>
    </row>
    <row r="34">
      <c r="A34" s="12" t="str">
        <f>IFERROR(__xludf.DUMMYFUNCTION("""COMPUTED_VALUE"""),"Gears of War 2")</f>
        <v>Gears of War 2</v>
      </c>
      <c r="B34" s="13" t="str">
        <f>IFERROR(__xludf.DUMMYFUNCTION("""COMPUTED_VALUE"""),"XB360/OG Xbox")</f>
        <v>XB360/OG Xbox</v>
      </c>
      <c r="C34" s="14"/>
      <c r="D34" s="14" t="str">
        <f>IFERROR(__xludf.DUMMYFUNCTION("""COMPUTED_VALUE"""),"GwG Permanent")</f>
        <v>GwG Permanent</v>
      </c>
      <c r="E34" s="15">
        <f>IFERROR(__xludf.DUMMYFUNCTION("""COMPUTED_VALUE"""),42416.0)</f>
        <v>42416</v>
      </c>
      <c r="F34" s="16">
        <f>IFERROR(__xludf.DUMMYFUNCTION("""COMPUTED_VALUE"""),42429.0)</f>
        <v>42429</v>
      </c>
      <c r="G34" s="18">
        <f>IFERROR(__xludf.DUMMYFUNCTION("""COMPUTED_VALUE"""),0.4333333333333333)</f>
        <v>0.4333333333</v>
      </c>
      <c r="H34" s="15">
        <f>IFERROR(__xludf.DUMMYFUNCTION("""COMPUTED_VALUE"""),39759.0)</f>
        <v>39759</v>
      </c>
      <c r="I34" s="18">
        <f>IFERROR(__xludf.DUMMYFUNCTION("""COMPUTED_VALUE"""),7.275)</f>
        <v>7.275</v>
      </c>
      <c r="J34" s="22">
        <f>IFERROR(__xludf.DUMMYFUNCTION("""COMPUTED_VALUE"""),91.0)</f>
        <v>91</v>
      </c>
      <c r="K34" s="22">
        <f>IFERROR(__xludf.DUMMYFUNCTION("""COMPUTED_VALUE"""),9.0)</f>
        <v>9</v>
      </c>
      <c r="L34" s="26" t="str">
        <f>IFERROR(__xludf.DUMMYFUNCTION("""COMPUTED_VALUE"""),"Shooter")</f>
        <v>Shooter</v>
      </c>
      <c r="M34" s="13" t="b">
        <f>NOT(ISNA(VLOOKUP(A34,PC!A:A,1,FALSE)))</f>
        <v>0</v>
      </c>
      <c r="N34" s="13" t="b">
        <f>NOT(ISNA(VLOOKUP(A34,'Game Pass Premium'!A:A,1,FALSE)))</f>
        <v>1</v>
      </c>
      <c r="O34" s="13" t="b">
        <f>NOT(ISNA(VLOOKUP(A34,'Game Pass Essential'!A:A,1,FALSE)))</f>
        <v>0</v>
      </c>
    </row>
    <row r="35">
      <c r="A35" s="12" t="str">
        <f>IFERROR(__xludf.DUMMYFUNCTION("""COMPUTED_VALUE"""),"Halo: Reach")</f>
        <v>Halo: Reach</v>
      </c>
      <c r="B35" s="13" t="str">
        <f>IFERROR(__xludf.DUMMYFUNCTION("""COMPUTED_VALUE"""),"XB360/OG Xbox")</f>
        <v>XB360/OG Xbox</v>
      </c>
      <c r="C35" s="14"/>
      <c r="D35" s="14" t="str">
        <f>IFERROR(__xludf.DUMMYFUNCTION("""COMPUTED_VALUE"""),"GwG Permanent")</f>
        <v>GwG Permanent</v>
      </c>
      <c r="E35" s="15">
        <f>IFERROR(__xludf.DUMMYFUNCTION("""COMPUTED_VALUE"""),41898.0)</f>
        <v>41898</v>
      </c>
      <c r="F35" s="16">
        <f>IFERROR(__xludf.DUMMYFUNCTION("""COMPUTED_VALUE"""),41912.0)</f>
        <v>41912</v>
      </c>
      <c r="G35" s="18">
        <f>IFERROR(__xludf.DUMMYFUNCTION("""COMPUTED_VALUE"""),0.4666666666666667)</f>
        <v>0.4666666667</v>
      </c>
      <c r="H35" s="15">
        <f>IFERROR(__xludf.DUMMYFUNCTION("""COMPUTED_VALUE"""),40435.0)</f>
        <v>40435</v>
      </c>
      <c r="I35" s="18">
        <f>IFERROR(__xludf.DUMMYFUNCTION("""COMPUTED_VALUE"""),4.0055555555555555)</f>
        <v>4.005555556</v>
      </c>
      <c r="J35" s="22">
        <f>IFERROR(__xludf.DUMMYFUNCTION("""COMPUTED_VALUE"""),91.0)</f>
        <v>91</v>
      </c>
      <c r="K35" s="22">
        <f>IFERROR(__xludf.DUMMYFUNCTION("""COMPUTED_VALUE"""),12.0)</f>
        <v>12</v>
      </c>
      <c r="L35" s="26" t="str">
        <f>IFERROR(__xludf.DUMMYFUNCTION("""COMPUTED_VALUE"""),"Shooter")</f>
        <v>Shooter</v>
      </c>
      <c r="M35" s="13" t="b">
        <f>NOT(ISNA(VLOOKUP(A35,PC!A:A,1,FALSE)))</f>
        <v>1</v>
      </c>
      <c r="N35" s="13" t="b">
        <f>NOT(ISNA(VLOOKUP(A35,'Game Pass Premium'!A:A,1,FALSE)))</f>
        <v>1</v>
      </c>
      <c r="O35" s="13" t="b">
        <f>NOT(ISNA(VLOOKUP(A35,'Game Pass Essential'!A:A,1,FALSE)))</f>
        <v>0</v>
      </c>
    </row>
    <row r="36">
      <c r="A36" s="12" t="str">
        <f>IFERROR(__xludf.DUMMYFUNCTION("""COMPUTED_VALUE"""),"Dishonored")</f>
        <v>Dishonored</v>
      </c>
      <c r="B36" s="13" t="str">
        <f>IFERROR(__xludf.DUMMYFUNCTION("""COMPUTED_VALUE"""),"XB360/OG Xbox")</f>
        <v>XB360/OG Xbox</v>
      </c>
      <c r="C36" s="14"/>
      <c r="D36" s="14" t="str">
        <f>IFERROR(__xludf.DUMMYFUNCTION("""COMPUTED_VALUE"""),"GwG Permanent")</f>
        <v>GwG Permanent</v>
      </c>
      <c r="E36" s="15">
        <f>IFERROR(__xludf.DUMMYFUNCTION("""COMPUTED_VALUE"""),41867.0)</f>
        <v>41867</v>
      </c>
      <c r="F36" s="16">
        <f>IFERROR(__xludf.DUMMYFUNCTION("""COMPUTED_VALUE"""),41882.0)</f>
        <v>41882</v>
      </c>
      <c r="G36" s="18">
        <f>IFERROR(__xludf.DUMMYFUNCTION("""COMPUTED_VALUE"""),0.4666666666666667)</f>
        <v>0.4666666667</v>
      </c>
      <c r="H36" s="15">
        <f>IFERROR(__xludf.DUMMYFUNCTION("""COMPUTED_VALUE"""),41191.0)</f>
        <v>41191</v>
      </c>
      <c r="I36" s="18">
        <f>IFERROR(__xludf.DUMMYFUNCTION("""COMPUTED_VALUE"""),1.8527777777777779)</f>
        <v>1.852777778</v>
      </c>
      <c r="J36" s="22">
        <f>IFERROR(__xludf.DUMMYFUNCTION("""COMPUTED_VALUE"""),91.0)</f>
        <v>91</v>
      </c>
      <c r="K36" s="22">
        <f>IFERROR(__xludf.DUMMYFUNCTION("""COMPUTED_VALUE"""),13.0)</f>
        <v>13</v>
      </c>
      <c r="L36" s="26" t="str">
        <f>IFERROR(__xludf.DUMMYFUNCTION("""COMPUTED_VALUE"""),"Action-Adventure")</f>
        <v>Action-Adventure</v>
      </c>
      <c r="M36" s="13" t="b">
        <f>NOT(ISNA(VLOOKUP(A36,PC!A:A,1,FALSE)))</f>
        <v>0</v>
      </c>
      <c r="N36" s="13" t="b">
        <f>NOT(ISNA(VLOOKUP(A36,'Game Pass Premium'!A:A,1,FALSE)))</f>
        <v>0</v>
      </c>
      <c r="O36" s="13" t="b">
        <f>NOT(ISNA(VLOOKUP(A36,'Game Pass Essential'!A:A,1,FALSE)))</f>
        <v>0</v>
      </c>
    </row>
    <row r="37">
      <c r="A37" s="12" t="str">
        <f>IFERROR(__xludf.DUMMYFUNCTION("""COMPUTED_VALUE"""),"Gears of War")</f>
        <v>Gears of War</v>
      </c>
      <c r="B37" s="13" t="str">
        <f>IFERROR(__xludf.DUMMYFUNCTION("""COMPUTED_VALUE"""),"XB360/OG Xbox")</f>
        <v>XB360/OG Xbox</v>
      </c>
      <c r="C37" s="14"/>
      <c r="D37" s="14" t="str">
        <f>IFERROR(__xludf.DUMMYFUNCTION("""COMPUTED_VALUE"""),"GwG Permanent")</f>
        <v>GwG Permanent</v>
      </c>
      <c r="E37" s="15">
        <f>IFERROR(__xludf.DUMMYFUNCTION("""COMPUTED_VALUE"""),41609.0)</f>
        <v>41609</v>
      </c>
      <c r="F37" s="16">
        <f>IFERROR(__xludf.DUMMYFUNCTION("""COMPUTED_VALUE"""),41623.0)</f>
        <v>41623</v>
      </c>
      <c r="G37" s="18">
        <f>IFERROR(__xludf.DUMMYFUNCTION("""COMPUTED_VALUE"""),0.4666666666666667)</f>
        <v>0.4666666667</v>
      </c>
      <c r="H37" s="15">
        <f>IFERROR(__xludf.DUMMYFUNCTION("""COMPUTED_VALUE"""),39028.0)</f>
        <v>39028</v>
      </c>
      <c r="I37" s="18">
        <f>IFERROR(__xludf.DUMMYFUNCTION("""COMPUTED_VALUE"""),7.066666666666666)</f>
        <v>7.066666667</v>
      </c>
      <c r="J37" s="22">
        <f>IFERROR(__xludf.DUMMYFUNCTION("""COMPUTED_VALUE"""),91.0)</f>
        <v>91</v>
      </c>
      <c r="K37" s="22">
        <f>IFERROR(__xludf.DUMMYFUNCTION("""COMPUTED_VALUE"""),9.0)</f>
        <v>9</v>
      </c>
      <c r="L37" s="26" t="str">
        <f>IFERROR(__xludf.DUMMYFUNCTION("""COMPUTED_VALUE"""),"Shooter")</f>
        <v>Shooter</v>
      </c>
      <c r="M37" s="13" t="b">
        <f>NOT(ISNA(VLOOKUP(A37,PC!A:A,1,FALSE)))</f>
        <v>0</v>
      </c>
      <c r="N37" s="13" t="b">
        <f>NOT(ISNA(VLOOKUP(A37,'Game Pass Premium'!A:A,1,FALSE)))</f>
        <v>1</v>
      </c>
      <c r="O37" s="13" t="b">
        <f>NOT(ISNA(VLOOKUP(A37,'Game Pass Essential'!A:A,1,FALSE)))</f>
        <v>0</v>
      </c>
    </row>
    <row r="38">
      <c r="A38" s="12" t="str">
        <f>IFERROR(__xludf.DUMMYFUNCTION("""COMPUTED_VALUE"""),"Starsand Island")</f>
        <v>Starsand Island</v>
      </c>
      <c r="B38" s="13" t="str">
        <f>IFERROR(__xludf.DUMMYFUNCTION("""COMPUTED_VALUE"""),"Xbox / PC")</f>
        <v>Xbox / PC</v>
      </c>
      <c r="C38" s="14" t="str">
        <f>IFERROR(__xludf.DUMMYFUNCTION("""COMPUTED_VALUE"""),"Yes")</f>
        <v>Yes</v>
      </c>
      <c r="D38" s="14" t="str">
        <f>IFERROR(__xludf.DUMMYFUNCTION("""COMPUTED_VALUE"""),"Active")</f>
        <v>Active</v>
      </c>
      <c r="E38" s="15">
        <f>IFERROR(__xludf.DUMMYFUNCTION("""COMPUTED_VALUE"""),46064.0)</f>
        <v>46064</v>
      </c>
      <c r="F38" s="16"/>
      <c r="G38" s="18">
        <f>IFERROR(__xludf.DUMMYFUNCTION("""COMPUTED_VALUE"""),7.833333333333334)</f>
        <v>7.833333333</v>
      </c>
      <c r="H38" s="15">
        <f>IFERROR(__xludf.DUMMYFUNCTION("""COMPUTED_VALUE"""),46065.0)</f>
        <v>46065</v>
      </c>
      <c r="I38" s="18">
        <f>IFERROR(__xludf.DUMMYFUNCTION("""COMPUTED_VALUE"""),-0.002777777777777778)</f>
        <v>-0.002777777778</v>
      </c>
      <c r="J38" s="22">
        <f>IFERROR(__xludf.DUMMYFUNCTION("""COMPUTED_VALUE"""),90.0)</f>
        <v>90</v>
      </c>
      <c r="K38" s="22">
        <f>IFERROR(__xludf.DUMMYFUNCTION("""COMPUTED_VALUE"""),66.0)</f>
        <v>66</v>
      </c>
      <c r="L38" s="26" t="str">
        <f>IFERROR(__xludf.DUMMYFUNCTION("""COMPUTED_VALUE"""),"Action-Adventure")</f>
        <v>Action-Adventure</v>
      </c>
      <c r="M38" s="13" t="b">
        <f>NOT(ISNA(VLOOKUP(A38,PC!A:A,1,FALSE)))</f>
        <v>1</v>
      </c>
      <c r="N38" s="13" t="b">
        <f>NOT(ISNA(VLOOKUP(A38,'Game Pass Premium'!A:A,1,FALSE)))</f>
        <v>1</v>
      </c>
      <c r="O38" s="13" t="b">
        <f>NOT(ISNA(VLOOKUP(A38,'Game Pass Essential'!A:A,1,FALSE)))</f>
        <v>0</v>
      </c>
    </row>
    <row r="39">
      <c r="A39" s="12" t="str">
        <f>IFERROR(__xludf.DUMMYFUNCTION("""COMPUTED_VALUE"""),"Dome Keeper")</f>
        <v>Dome Keeper</v>
      </c>
      <c r="B39" s="13" t="str">
        <f>IFERROR(__xludf.DUMMYFUNCTION("""COMPUTED_VALUE"""),"Xbox / PC")</f>
        <v>Xbox / PC</v>
      </c>
      <c r="C39" s="14" t="str">
        <f>IFERROR(__xludf.DUMMYFUNCTION("""COMPUTED_VALUE"""),"Yes")</f>
        <v>Yes</v>
      </c>
      <c r="D39" s="14" t="str">
        <f>IFERROR(__xludf.DUMMYFUNCTION("""COMPUTED_VALUE"""),"Active")</f>
        <v>Active</v>
      </c>
      <c r="E39" s="15">
        <f>IFERROR(__xludf.DUMMYFUNCTION("""COMPUTED_VALUE"""),46000.0)</f>
        <v>46000</v>
      </c>
      <c r="F39" s="16"/>
      <c r="G39" s="18">
        <f>IFERROR(__xludf.DUMMYFUNCTION("""COMPUTED_VALUE"""),9.899999999999999)</f>
        <v>9.9</v>
      </c>
      <c r="H39" s="15">
        <f>IFERROR(__xludf.DUMMYFUNCTION("""COMPUTED_VALUE"""),44831.0)</f>
        <v>44831</v>
      </c>
      <c r="I39" s="18">
        <f>IFERROR(__xludf.DUMMYFUNCTION("""COMPUTED_VALUE"""),3.2)</f>
        <v>3.2</v>
      </c>
      <c r="J39" s="22">
        <f>IFERROR(__xludf.DUMMYFUNCTION("""COMPUTED_VALUE"""),90.0)</f>
        <v>90</v>
      </c>
      <c r="K39" s="22">
        <f>IFERROR(__xludf.DUMMYFUNCTION("""COMPUTED_VALUE"""),5.0)</f>
        <v>5</v>
      </c>
      <c r="L39" s="26" t="str">
        <f>IFERROR(__xludf.DUMMYFUNCTION("""COMPUTED_VALUE"""),"Action")</f>
        <v>Action</v>
      </c>
      <c r="M39" s="13" t="b">
        <f>NOT(ISNA(VLOOKUP(A39,PC!A:A,1,FALSE)))</f>
        <v>1</v>
      </c>
      <c r="N39" s="13" t="b">
        <f>NOT(ISNA(VLOOKUP(A39,'Game Pass Premium'!A:A,1,FALSE)))</f>
        <v>1</v>
      </c>
      <c r="O39" s="13" t="b">
        <f>NOT(ISNA(VLOOKUP(A39,'Game Pass Essential'!A:A,1,FALSE)))</f>
        <v>0</v>
      </c>
    </row>
    <row r="40">
      <c r="A40" s="12" t="str">
        <f>IFERROR(__xludf.DUMMYFUNCTION("""COMPUTED_VALUE"""),"Assassin's Creed II")</f>
        <v>Assassin's Creed II</v>
      </c>
      <c r="B40" s="13" t="str">
        <f>IFERROR(__xludf.DUMMYFUNCTION("""COMPUTED_VALUE"""),"Xbox / PC")</f>
        <v>Xbox / PC</v>
      </c>
      <c r="C40" s="14"/>
      <c r="D40" s="14" t="str">
        <f>IFERROR(__xludf.DUMMYFUNCTION("""COMPUTED_VALUE"""),"Active")</f>
        <v>Active</v>
      </c>
      <c r="E40" s="15">
        <f>IFERROR(__xludf.DUMMYFUNCTION("""COMPUTED_VALUE"""),45931.0)</f>
        <v>45931</v>
      </c>
      <c r="F40" s="16"/>
      <c r="G40" s="18">
        <f>IFERROR(__xludf.DUMMYFUNCTION("""COMPUTED_VALUE"""),12.166666666666666)</f>
        <v>12.16666667</v>
      </c>
      <c r="H40" s="15">
        <f>IFERROR(__xludf.DUMMYFUNCTION("""COMPUTED_VALUE"""),40134.0)</f>
        <v>40134</v>
      </c>
      <c r="I40" s="18">
        <f>IFERROR(__xludf.DUMMYFUNCTION("""COMPUTED_VALUE"""),15.872222222222222)</f>
        <v>15.87222222</v>
      </c>
      <c r="J40" s="22">
        <f>IFERROR(__xludf.DUMMYFUNCTION("""COMPUTED_VALUE"""),90.0)</f>
        <v>90</v>
      </c>
      <c r="K40" s="22">
        <f>IFERROR(__xludf.DUMMYFUNCTION("""COMPUTED_VALUE"""),19.0)</f>
        <v>19</v>
      </c>
      <c r="L40" s="26" t="str">
        <f>IFERROR(__xludf.DUMMYFUNCTION("""COMPUTED_VALUE"""),"Action-Adventure")</f>
        <v>Action-Adventure</v>
      </c>
      <c r="M40" s="13" t="b">
        <f>NOT(ISNA(VLOOKUP(A40,PC!A:A,1,FALSE)))</f>
        <v>1</v>
      </c>
      <c r="N40" s="13" t="b">
        <f>NOT(ISNA(VLOOKUP(A40,'Game Pass Premium'!A:A,1,FALSE)))</f>
        <v>0</v>
      </c>
      <c r="O40" s="13" t="b">
        <f>NOT(ISNA(VLOOKUP(A40,'Game Pass Essential'!A:A,1,FALSE)))</f>
        <v>0</v>
      </c>
    </row>
    <row r="41">
      <c r="A41" s="12" t="str">
        <f>IFERROR(__xludf.DUMMYFUNCTION("""COMPUTED_VALUE"""),"Hollow Knight: Silksong")</f>
        <v>Hollow Knight: Silksong</v>
      </c>
      <c r="B41" s="13" t="str">
        <f>IFERROR(__xludf.DUMMYFUNCTION("""COMPUTED_VALUE"""),"Xbox / PC")</f>
        <v>Xbox / PC</v>
      </c>
      <c r="C41" s="14" t="str">
        <f>IFERROR(__xludf.DUMMYFUNCTION("""COMPUTED_VALUE"""),"Yes")</f>
        <v>Yes</v>
      </c>
      <c r="D41" s="14" t="str">
        <f>IFERROR(__xludf.DUMMYFUNCTION("""COMPUTED_VALUE"""),"Active")</f>
        <v>Active</v>
      </c>
      <c r="E41" s="15">
        <f>IFERROR(__xludf.DUMMYFUNCTION("""COMPUTED_VALUE"""),45904.0)</f>
        <v>45904</v>
      </c>
      <c r="F41" s="16"/>
      <c r="G41" s="18">
        <f>IFERROR(__xludf.DUMMYFUNCTION("""COMPUTED_VALUE"""),13.066666666666666)</f>
        <v>13.06666667</v>
      </c>
      <c r="H41" s="15">
        <f>IFERROR(__xludf.DUMMYFUNCTION("""COMPUTED_VALUE"""),45904.0)</f>
        <v>45904</v>
      </c>
      <c r="I41" s="18">
        <f>IFERROR(__xludf.DUMMYFUNCTION("""COMPUTED_VALUE"""),0.0)</f>
        <v>0</v>
      </c>
      <c r="J41" s="22">
        <f>IFERROR(__xludf.DUMMYFUNCTION("""COMPUTED_VALUE"""),90.0)</f>
        <v>90</v>
      </c>
      <c r="K41" s="22">
        <f>IFERROR(__xludf.DUMMYFUNCTION("""COMPUTED_VALUE"""),28.0)</f>
        <v>28</v>
      </c>
      <c r="L41" s="26" t="str">
        <f>IFERROR(__xludf.DUMMYFUNCTION("""COMPUTED_VALUE"""),"Metroidvania")</f>
        <v>Metroidvania</v>
      </c>
      <c r="M41" s="13" t="b">
        <f>NOT(ISNA(VLOOKUP(A41,PC!A:A,1,FALSE)))</f>
        <v>1</v>
      </c>
      <c r="N41" s="13" t="b">
        <f>NOT(ISNA(VLOOKUP(A41,'Game Pass Premium'!A:A,1,FALSE)))</f>
        <v>1</v>
      </c>
      <c r="O41" s="13" t="b">
        <f>NOT(ISNA(VLOOKUP(A41,'Game Pass Essential'!A:A,1,FALSE)))</f>
        <v>0</v>
      </c>
    </row>
    <row r="42">
      <c r="A42" s="12" t="str">
        <f>IFERROR(__xludf.DUMMYFUNCTION("""COMPUTED_VALUE"""),"Freddy Pharkas: Frontier Pharmacist")</f>
        <v>Freddy Pharkas: Frontier Pharmacist</v>
      </c>
      <c r="B42" s="13" t="str">
        <f>IFERROR(__xludf.DUMMYFUNCTION("""COMPUTED_VALUE"""),"Xbox / PC")</f>
        <v>Xbox / PC</v>
      </c>
      <c r="C42" s="14" t="str">
        <f>IFERROR(__xludf.DUMMYFUNCTION("""COMPUTED_VALUE"""),"Yes")</f>
        <v>Yes</v>
      </c>
      <c r="D42" s="14" t="str">
        <f>IFERROR(__xludf.DUMMYFUNCTION("""COMPUTED_VALUE"""),"Active")</f>
        <v>Active</v>
      </c>
      <c r="E42" s="15">
        <f>IFERROR(__xludf.DUMMYFUNCTION("""COMPUTED_VALUE"""),45798.0)</f>
        <v>45798</v>
      </c>
      <c r="F42" s="16"/>
      <c r="G42" s="18">
        <f>IFERROR(__xludf.DUMMYFUNCTION("""COMPUTED_VALUE"""),16.5)</f>
        <v>16.5</v>
      </c>
      <c r="H42" s="15">
        <f>IFERROR(__xludf.DUMMYFUNCTION("""COMPUTED_VALUE"""),34121.0)</f>
        <v>34121</v>
      </c>
      <c r="I42" s="18">
        <f>IFERROR(__xludf.DUMMYFUNCTION("""COMPUTED_VALUE"""),31.97222222222222)</f>
        <v>31.97222222</v>
      </c>
      <c r="J42" s="22">
        <f>IFERROR(__xludf.DUMMYFUNCTION("""COMPUTED_VALUE"""),90.0)</f>
        <v>90</v>
      </c>
      <c r="K42" s="22">
        <f>IFERROR(__xludf.DUMMYFUNCTION("""COMPUTED_VALUE"""),17.0)</f>
        <v>17</v>
      </c>
      <c r="L42" s="26" t="str">
        <f>IFERROR(__xludf.DUMMYFUNCTION("""COMPUTED_VALUE"""),"Adventure")</f>
        <v>Adventure</v>
      </c>
      <c r="M42" s="13" t="b">
        <f>NOT(ISNA(VLOOKUP(A42,PC!A:A,1,FALSE)))</f>
        <v>1</v>
      </c>
      <c r="N42" s="13" t="b">
        <f>NOT(ISNA(VLOOKUP(A42,'Game Pass Premium'!A:A,1,FALSE)))</f>
        <v>1</v>
      </c>
      <c r="O42" s="13" t="b">
        <f>NOT(ISNA(VLOOKUP(A42,'Game Pass Essential'!A:A,1,FALSE)))</f>
        <v>0</v>
      </c>
    </row>
    <row r="43">
      <c r="A43" s="12" t="str">
        <f>IFERROR(__xludf.DUMMYFUNCTION("""COMPUTED_VALUE"""),"Monster Train 2")</f>
        <v>Monster Train 2</v>
      </c>
      <c r="B43" s="13" t="str">
        <f>IFERROR(__xludf.DUMMYFUNCTION("""COMPUTED_VALUE"""),"Xbox / PC")</f>
        <v>Xbox / PC</v>
      </c>
      <c r="C43" s="14" t="str">
        <f>IFERROR(__xludf.DUMMYFUNCTION("""COMPUTED_VALUE"""),"Yes")</f>
        <v>Yes</v>
      </c>
      <c r="D43" s="14" t="str">
        <f>IFERROR(__xludf.DUMMYFUNCTION("""COMPUTED_VALUE"""),"Active")</f>
        <v>Active</v>
      </c>
      <c r="E43" s="15">
        <f>IFERROR(__xludf.DUMMYFUNCTION("""COMPUTED_VALUE"""),45798.0)</f>
        <v>45798</v>
      </c>
      <c r="F43" s="16"/>
      <c r="G43" s="18">
        <f>IFERROR(__xludf.DUMMYFUNCTION("""COMPUTED_VALUE"""),16.5)</f>
        <v>16.5</v>
      </c>
      <c r="H43" s="15">
        <f>IFERROR(__xludf.DUMMYFUNCTION("""COMPUTED_VALUE"""),45798.0)</f>
        <v>45798</v>
      </c>
      <c r="I43" s="18">
        <f>IFERROR(__xludf.DUMMYFUNCTION("""COMPUTED_VALUE"""),0.0)</f>
        <v>0</v>
      </c>
      <c r="J43" s="22">
        <f>IFERROR(__xludf.DUMMYFUNCTION("""COMPUTED_VALUE"""),90.0)</f>
        <v>90</v>
      </c>
      <c r="K43" s="22">
        <f>IFERROR(__xludf.DUMMYFUNCTION("""COMPUTED_VALUE"""),6.0)</f>
        <v>6</v>
      </c>
      <c r="L43" s="26" t="str">
        <f>IFERROR(__xludf.DUMMYFUNCTION("""COMPUTED_VALUE"""),"Card Battle")</f>
        <v>Card Battle</v>
      </c>
      <c r="M43" s="13" t="b">
        <f>NOT(ISNA(VLOOKUP(A43,PC!A:A,1,FALSE)))</f>
        <v>1</v>
      </c>
      <c r="N43" s="13" t="b">
        <f>NOT(ISNA(VLOOKUP(A43,'Game Pass Premium'!A:A,1,FALSE)))</f>
        <v>1</v>
      </c>
      <c r="O43" s="13" t="b">
        <f>NOT(ISNA(VLOOKUP(A43,'Game Pass Essential'!A:A,1,FALSE)))</f>
        <v>0</v>
      </c>
    </row>
    <row r="44">
      <c r="A44" s="12" t="str">
        <f>IFERROR(__xludf.DUMMYFUNCTION("""COMPUTED_VALUE"""),"Diablo III: Reaper of Souls - Ultimate Evil Edition")</f>
        <v>Diablo III: Reaper of Souls - Ultimate Evil Edition</v>
      </c>
      <c r="B44" s="13" t="str">
        <f>IFERROR(__xludf.DUMMYFUNCTION("""COMPUTED_VALUE"""),"Xbox / PC")</f>
        <v>Xbox / PC</v>
      </c>
      <c r="C44" s="14"/>
      <c r="D44" s="14" t="str">
        <f>IFERROR(__xludf.DUMMYFUNCTION("""COMPUTED_VALUE"""),"Active")</f>
        <v>Active</v>
      </c>
      <c r="E44" s="15">
        <f>IFERROR(__xludf.DUMMYFUNCTION("""COMPUTED_VALUE"""),45755.0)</f>
        <v>45755</v>
      </c>
      <c r="F44" s="16"/>
      <c r="G44" s="18">
        <f>IFERROR(__xludf.DUMMYFUNCTION("""COMPUTED_VALUE"""),17.933333333333334)</f>
        <v>17.93333333</v>
      </c>
      <c r="H44" s="15">
        <f>IFERROR(__xludf.DUMMYFUNCTION("""COMPUTED_VALUE"""),41870.0)</f>
        <v>41870</v>
      </c>
      <c r="I44" s="18">
        <f>IFERROR(__xludf.DUMMYFUNCTION("""COMPUTED_VALUE"""),10.636111111111111)</f>
        <v>10.63611111</v>
      </c>
      <c r="J44" s="22">
        <f>IFERROR(__xludf.DUMMYFUNCTION("""COMPUTED_VALUE"""),90.0)</f>
        <v>90</v>
      </c>
      <c r="K44" s="22">
        <f>IFERROR(__xludf.DUMMYFUNCTION("""COMPUTED_VALUE"""),19.0)</f>
        <v>19</v>
      </c>
      <c r="L44" s="26" t="str">
        <f>IFERROR(__xludf.DUMMYFUNCTION("""COMPUTED_VALUE"""),"RPG")</f>
        <v>RPG</v>
      </c>
      <c r="M44" s="13" t="b">
        <f>NOT(ISNA(VLOOKUP(A44,PC!A:A,1,FALSE)))</f>
        <v>1</v>
      </c>
      <c r="N44" s="13" t="b">
        <f>NOT(ISNA(VLOOKUP(A44,'Game Pass Premium'!A:A,1,FALSE)))</f>
        <v>1</v>
      </c>
      <c r="O44" s="13" t="b">
        <f>NOT(ISNA(VLOOKUP(A44,'Game Pass Essential'!A:A,1,FALSE)))</f>
        <v>0</v>
      </c>
    </row>
    <row r="45">
      <c r="A45" s="12" t="str">
        <f>IFERROR(__xludf.DUMMYFUNCTION("""COMPUTED_VALUE"""),"Balatro")</f>
        <v>Balatro</v>
      </c>
      <c r="B45" s="13" t="str">
        <f>IFERROR(__xludf.DUMMYFUNCTION("""COMPUTED_VALUE"""),"Xbox / PC")</f>
        <v>Xbox / PC</v>
      </c>
      <c r="C45" s="14" t="str">
        <f>IFERROR(__xludf.DUMMYFUNCTION("""COMPUTED_VALUE"""),"Yes")</f>
        <v>Yes</v>
      </c>
      <c r="D45" s="14" t="str">
        <f>IFERROR(__xludf.DUMMYFUNCTION("""COMPUTED_VALUE"""),"Active")</f>
        <v>Active</v>
      </c>
      <c r="E45" s="15">
        <f>IFERROR(__xludf.DUMMYFUNCTION("""COMPUTED_VALUE"""),45712.0)</f>
        <v>45712</v>
      </c>
      <c r="F45" s="16"/>
      <c r="G45" s="18">
        <f>IFERROR(__xludf.DUMMYFUNCTION("""COMPUTED_VALUE"""),19.4)</f>
        <v>19.4</v>
      </c>
      <c r="H45" s="15">
        <f>IFERROR(__xludf.DUMMYFUNCTION("""COMPUTED_VALUE"""),45616.0)</f>
        <v>45616</v>
      </c>
      <c r="I45" s="18">
        <f>IFERROR(__xludf.DUMMYFUNCTION("""COMPUTED_VALUE"""),0.2611111111111111)</f>
        <v>0.2611111111</v>
      </c>
      <c r="J45" s="22">
        <f>IFERROR(__xludf.DUMMYFUNCTION("""COMPUTED_VALUE"""),90.0)</f>
        <v>90</v>
      </c>
      <c r="K45" s="22">
        <f>IFERROR(__xludf.DUMMYFUNCTION("""COMPUTED_VALUE"""),7.0)</f>
        <v>7</v>
      </c>
      <c r="L45" s="26" t="str">
        <f>IFERROR(__xludf.DUMMYFUNCTION("""COMPUTED_VALUE"""),"Card Battle")</f>
        <v>Card Battle</v>
      </c>
      <c r="M45" s="13" t="b">
        <f>NOT(ISNA(VLOOKUP(A45,PC!A:A,1,FALSE)))</f>
        <v>1</v>
      </c>
      <c r="N45" s="13" t="b">
        <f>NOT(ISNA(VLOOKUP(A45,'Game Pass Premium'!A:A,1,FALSE)))</f>
        <v>1</v>
      </c>
      <c r="O45" s="13" t="b">
        <f>NOT(ISNA(VLOOKUP(A45,'Game Pass Essential'!A:A,1,FALSE)))</f>
        <v>0</v>
      </c>
    </row>
    <row r="46">
      <c r="A46" s="12" t="str">
        <f>IFERROR(__xludf.DUMMYFUNCTION("""COMPUTED_VALUE"""),"Dead Space 2")</f>
        <v>Dead Space 2</v>
      </c>
      <c r="B46" s="13" t="str">
        <f>IFERROR(__xludf.DUMMYFUNCTION("""COMPUTED_VALUE"""),"Xbox / PC")</f>
        <v>Xbox / PC</v>
      </c>
      <c r="C46" s="14" t="str">
        <f>IFERROR(__xludf.DUMMYFUNCTION("""COMPUTED_VALUE"""),"Yes")</f>
        <v>Yes</v>
      </c>
      <c r="D46" s="14" t="str">
        <f>IFERROR(__xludf.DUMMYFUNCTION("""COMPUTED_VALUE"""),"Active")</f>
        <v>Active</v>
      </c>
      <c r="E46" s="15">
        <f>IFERROR(__xludf.DUMMYFUNCTION("""COMPUTED_VALUE"""),44145.0)</f>
        <v>44145</v>
      </c>
      <c r="F46" s="16"/>
      <c r="G46" s="18">
        <f>IFERROR(__xludf.DUMMYFUNCTION("""COMPUTED_VALUE"""),70.86666666666667)</f>
        <v>70.86666667</v>
      </c>
      <c r="H46" s="15">
        <f>IFERROR(__xludf.DUMMYFUNCTION("""COMPUTED_VALUE"""),40568.0)</f>
        <v>40568</v>
      </c>
      <c r="I46" s="18">
        <f>IFERROR(__xludf.DUMMYFUNCTION("""COMPUTED_VALUE"""),9.791666666666666)</f>
        <v>9.791666667</v>
      </c>
      <c r="J46" s="22">
        <f>IFERROR(__xludf.DUMMYFUNCTION("""COMPUTED_VALUE"""),90.0)</f>
        <v>90</v>
      </c>
      <c r="K46" s="22">
        <f>IFERROR(__xludf.DUMMYFUNCTION("""COMPUTED_VALUE"""),9.0)</f>
        <v>9</v>
      </c>
      <c r="L46" s="26" t="str">
        <f>IFERROR(__xludf.DUMMYFUNCTION("""COMPUTED_VALUE"""),"Shooter")</f>
        <v>Shooter</v>
      </c>
      <c r="M46" s="13" t="b">
        <f>NOT(ISNA(VLOOKUP(A46,PC!A:A,1,FALSE)))</f>
        <v>1</v>
      </c>
      <c r="N46" s="13" t="b">
        <f>NOT(ISNA(VLOOKUP(A46,'Game Pass Premium'!A:A,1,FALSE)))</f>
        <v>1</v>
      </c>
      <c r="O46" s="13" t="b">
        <f>NOT(ISNA(VLOOKUP(A46,'Game Pass Essential'!A:A,1,FALSE)))</f>
        <v>0</v>
      </c>
    </row>
    <row r="47">
      <c r="A47" s="12" t="str">
        <f>IFERROR(__xludf.DUMMYFUNCTION("""COMPUTED_VALUE"""),"The Bard's Tale ARPG: Remastered and Resnarkled")</f>
        <v>The Bard's Tale ARPG: Remastered and Resnarkled</v>
      </c>
      <c r="B47" s="13" t="str">
        <f>IFERROR(__xludf.DUMMYFUNCTION("""COMPUTED_VALUE"""),"Xbox / PC")</f>
        <v>Xbox / PC</v>
      </c>
      <c r="C47" s="14" t="str">
        <f>IFERROR(__xludf.DUMMYFUNCTION("""COMPUTED_VALUE"""),"Touch Controls")</f>
        <v>Touch Controls</v>
      </c>
      <c r="D47" s="14" t="str">
        <f>IFERROR(__xludf.DUMMYFUNCTION("""COMPUTED_VALUE"""),"Active")</f>
        <v>Active</v>
      </c>
      <c r="E47" s="15">
        <f>IFERROR(__xludf.DUMMYFUNCTION("""COMPUTED_VALUE"""),44000.0)</f>
        <v>44000</v>
      </c>
      <c r="F47" s="16"/>
      <c r="G47" s="18">
        <f>IFERROR(__xludf.DUMMYFUNCTION("""COMPUTED_VALUE"""),75.6)</f>
        <v>75.6</v>
      </c>
      <c r="H47" s="15">
        <f>IFERROR(__xludf.DUMMYFUNCTION("""COMPUTED_VALUE"""),44000.0)</f>
        <v>44000</v>
      </c>
      <c r="I47" s="18">
        <f>IFERROR(__xludf.DUMMYFUNCTION("""COMPUTED_VALUE"""),0.0)</f>
        <v>0</v>
      </c>
      <c r="J47" s="22">
        <f>IFERROR(__xludf.DUMMYFUNCTION("""COMPUTED_VALUE"""),90.0)</f>
        <v>90</v>
      </c>
      <c r="K47" s="22">
        <f>IFERROR(__xludf.DUMMYFUNCTION("""COMPUTED_VALUE"""),14.0)</f>
        <v>14</v>
      </c>
      <c r="L47" s="26" t="str">
        <f>IFERROR(__xludf.DUMMYFUNCTION("""COMPUTED_VALUE"""),"RPG")</f>
        <v>RPG</v>
      </c>
      <c r="M47" s="13" t="b">
        <f>NOT(ISNA(VLOOKUP(A47,PC!A:A,1,FALSE)))</f>
        <v>1</v>
      </c>
      <c r="N47" s="13" t="b">
        <f>NOT(ISNA(VLOOKUP(A47,'Game Pass Premium'!A:A,1,FALSE)))</f>
        <v>1</v>
      </c>
      <c r="O47" s="13" t="b">
        <f>NOT(ISNA(VLOOKUP(A47,'Game Pass Essential'!A:A,1,FALSE)))</f>
        <v>0</v>
      </c>
    </row>
    <row r="48">
      <c r="A48" s="12" t="str">
        <f>IFERROR(__xludf.DUMMYFUNCTION("""COMPUTED_VALUE"""),"Ori and the Will of the Wisps")</f>
        <v>Ori and the Will of the Wisps</v>
      </c>
      <c r="B48" s="13" t="str">
        <f>IFERROR(__xludf.DUMMYFUNCTION("""COMPUTED_VALUE"""),"Xbox / PC")</f>
        <v>Xbox / PC</v>
      </c>
      <c r="C48" s="14" t="str">
        <f>IFERROR(__xludf.DUMMYFUNCTION("""COMPUTED_VALUE"""),"Yes")</f>
        <v>Yes</v>
      </c>
      <c r="D48" s="14" t="str">
        <f>IFERROR(__xludf.DUMMYFUNCTION("""COMPUTED_VALUE"""),"Active")</f>
        <v>Active</v>
      </c>
      <c r="E48" s="15">
        <f>IFERROR(__xludf.DUMMYFUNCTION("""COMPUTED_VALUE"""),43901.0)</f>
        <v>43901</v>
      </c>
      <c r="F48" s="16"/>
      <c r="G48" s="18">
        <f>IFERROR(__xludf.DUMMYFUNCTION("""COMPUTED_VALUE"""),78.83333333333334)</f>
        <v>78.83333333</v>
      </c>
      <c r="H48" s="15">
        <f>IFERROR(__xludf.DUMMYFUNCTION("""COMPUTED_VALUE"""),43901.0)</f>
        <v>43901</v>
      </c>
      <c r="I48" s="18">
        <f>IFERROR(__xludf.DUMMYFUNCTION("""COMPUTED_VALUE"""),0.0)</f>
        <v>0</v>
      </c>
      <c r="J48" s="22">
        <f>IFERROR(__xludf.DUMMYFUNCTION("""COMPUTED_VALUE"""),90.0)</f>
        <v>90</v>
      </c>
      <c r="K48" s="22">
        <f>IFERROR(__xludf.DUMMYFUNCTION("""COMPUTED_VALUE"""),11.0)</f>
        <v>11</v>
      </c>
      <c r="L48" s="26" t="str">
        <f>IFERROR(__xludf.DUMMYFUNCTION("""COMPUTED_VALUE"""),"Platformer")</f>
        <v>Platformer</v>
      </c>
      <c r="M48" s="13" t="b">
        <f>NOT(ISNA(VLOOKUP(A48,PC!A:A,1,FALSE)))</f>
        <v>1</v>
      </c>
      <c r="N48" s="13" t="b">
        <f>NOT(ISNA(VLOOKUP(A48,'Game Pass Premium'!A:A,1,FALSE)))</f>
        <v>1</v>
      </c>
      <c r="O48" s="13" t="b">
        <f>NOT(ISNA(VLOOKUP(A48,'Game Pass Essential'!A:A,1,FALSE)))</f>
        <v>1</v>
      </c>
    </row>
    <row r="49">
      <c r="A49" s="12" t="str">
        <f>IFERROR(__xludf.DUMMYFUNCTION("""COMPUTED_VALUE"""),"Mass Effect")</f>
        <v>Mass Effect</v>
      </c>
      <c r="B49" s="13" t="str">
        <f>IFERROR(__xludf.DUMMYFUNCTION("""COMPUTED_VALUE"""),"Xbox / PC")</f>
        <v>Xbox / PC</v>
      </c>
      <c r="C49" s="14"/>
      <c r="D49" s="14" t="str">
        <f>IFERROR(__xludf.DUMMYFUNCTION("""COMPUTED_VALUE"""),"Active")</f>
        <v>Active</v>
      </c>
      <c r="E49" s="15">
        <f>IFERROR(__xludf.DUMMYFUNCTION("""COMPUTED_VALUE"""),43070.0)</f>
        <v>43070</v>
      </c>
      <c r="F49" s="16"/>
      <c r="G49" s="18">
        <f>IFERROR(__xludf.DUMMYFUNCTION("""COMPUTED_VALUE"""),106.16666666666666)</f>
        <v>106.1666667</v>
      </c>
      <c r="H49" s="15">
        <f>IFERROR(__xludf.DUMMYFUNCTION("""COMPUTED_VALUE"""),39406.0)</f>
        <v>39406</v>
      </c>
      <c r="I49" s="18">
        <f>IFERROR(__xludf.DUMMYFUNCTION("""COMPUTED_VALUE"""),10.030555555555555)</f>
        <v>10.03055556</v>
      </c>
      <c r="J49" s="22">
        <f>IFERROR(__xludf.DUMMYFUNCTION("""COMPUTED_VALUE"""),90.0)</f>
        <v>90</v>
      </c>
      <c r="K49" s="22">
        <f>IFERROR(__xludf.DUMMYFUNCTION("""COMPUTED_VALUE"""),17.0)</f>
        <v>17</v>
      </c>
      <c r="L49" s="26" t="str">
        <f>IFERROR(__xludf.DUMMYFUNCTION("""COMPUTED_VALUE"""),"Shooter")</f>
        <v>Shooter</v>
      </c>
      <c r="M49" s="13" t="b">
        <f>NOT(ISNA(VLOOKUP(A49,PC!A:A,1,FALSE)))</f>
        <v>1</v>
      </c>
      <c r="N49" s="13" t="b">
        <f>NOT(ISNA(VLOOKUP(A49,'Game Pass Premium'!A:A,1,FALSE)))</f>
        <v>1</v>
      </c>
      <c r="O49" s="13" t="b">
        <f>NOT(ISNA(VLOOKUP(A49,'Game Pass Essential'!A:A,1,FALSE)))</f>
        <v>0</v>
      </c>
    </row>
    <row r="50">
      <c r="A50" s="12" t="str">
        <f>IFERROR(__xludf.DUMMYFUNCTION("""COMPUTED_VALUE"""),"Dead Space 2")</f>
        <v>Dead Space 2</v>
      </c>
      <c r="B50" s="13" t="str">
        <f>IFERROR(__xludf.DUMMYFUNCTION("""COMPUTED_VALUE"""),"XB360/OG Xbox")</f>
        <v>XB360/OG Xbox</v>
      </c>
      <c r="C50" s="14"/>
      <c r="D50" s="14" t="str">
        <f>IFERROR(__xludf.DUMMYFUNCTION("""COMPUTED_VALUE"""),"GwG Permanent")</f>
        <v>GwG Permanent</v>
      </c>
      <c r="E50" s="15">
        <f>IFERROR(__xludf.DUMMYFUNCTION("""COMPUTED_VALUE"""),43206.0)</f>
        <v>43206</v>
      </c>
      <c r="F50" s="16">
        <f>IFERROR(__xludf.DUMMYFUNCTION("""COMPUTED_VALUE"""),43220.0)</f>
        <v>43220</v>
      </c>
      <c r="G50" s="18">
        <f>IFERROR(__xludf.DUMMYFUNCTION("""COMPUTED_VALUE"""),0.4666666666666667)</f>
        <v>0.4666666667</v>
      </c>
      <c r="H50" s="15">
        <f>IFERROR(__xludf.DUMMYFUNCTION("""COMPUTED_VALUE"""),40568.0)</f>
        <v>40568</v>
      </c>
      <c r="I50" s="18">
        <f>IFERROR(__xludf.DUMMYFUNCTION("""COMPUTED_VALUE"""),7.225)</f>
        <v>7.225</v>
      </c>
      <c r="J50" s="22">
        <f>IFERROR(__xludf.DUMMYFUNCTION("""COMPUTED_VALUE"""),90.0)</f>
        <v>90</v>
      </c>
      <c r="K50" s="22">
        <f>IFERROR(__xludf.DUMMYFUNCTION("""COMPUTED_VALUE"""),9.0)</f>
        <v>9</v>
      </c>
      <c r="L50" s="26" t="str">
        <f>IFERROR(__xludf.DUMMYFUNCTION("""COMPUTED_VALUE"""),"Action-Adventure")</f>
        <v>Action-Adventure</v>
      </c>
      <c r="M50" s="13" t="b">
        <f>NOT(ISNA(VLOOKUP(A50,PC!A:A,1,FALSE)))</f>
        <v>1</v>
      </c>
      <c r="N50" s="13" t="b">
        <f>NOT(ISNA(VLOOKUP(A50,'Game Pass Premium'!A:A,1,FALSE)))</f>
        <v>1</v>
      </c>
      <c r="O50" s="13" t="b">
        <f>NOT(ISNA(VLOOKUP(A50,'Game Pass Essential'!A:A,1,FALSE)))</f>
        <v>0</v>
      </c>
    </row>
    <row r="51">
      <c r="A51" s="12" t="str">
        <f>IFERROR(__xludf.DUMMYFUNCTION("""COMPUTED_VALUE"""),"NiGHTS into Dreams")</f>
        <v>NiGHTS into Dreams</v>
      </c>
      <c r="B51" s="13" t="str">
        <f>IFERROR(__xludf.DUMMYFUNCTION("""COMPUTED_VALUE"""),"XB360/OG Xbox")</f>
        <v>XB360/OG Xbox</v>
      </c>
      <c r="C51" s="14"/>
      <c r="D51" s="14" t="str">
        <f>IFERROR(__xludf.DUMMYFUNCTION("""COMPUTED_VALUE"""),"GwG Permanent")</f>
        <v>GwG Permanent</v>
      </c>
      <c r="E51" s="15">
        <f>IFERROR(__xludf.DUMMYFUNCTION("""COMPUTED_VALUE"""),43040.0)</f>
        <v>43040</v>
      </c>
      <c r="F51" s="16">
        <f>IFERROR(__xludf.DUMMYFUNCTION("""COMPUTED_VALUE"""),43054.0)</f>
        <v>43054</v>
      </c>
      <c r="G51" s="18">
        <f>IFERROR(__xludf.DUMMYFUNCTION("""COMPUTED_VALUE"""),0.4666666666666667)</f>
        <v>0.4666666667</v>
      </c>
      <c r="H51" s="15">
        <f>IFERROR(__xludf.DUMMYFUNCTION("""COMPUTED_VALUE"""),33503.0)</f>
        <v>33503</v>
      </c>
      <c r="I51" s="18">
        <f>IFERROR(__xludf.DUMMYFUNCTION("""COMPUTED_VALUE"""),26.108333333333334)</f>
        <v>26.10833333</v>
      </c>
      <c r="J51" s="22">
        <f>IFERROR(__xludf.DUMMYFUNCTION("""COMPUTED_VALUE"""),90.0)</f>
        <v>90</v>
      </c>
      <c r="K51" s="22">
        <f>IFERROR(__xludf.DUMMYFUNCTION("""COMPUTED_VALUE"""),4.0)</f>
        <v>4</v>
      </c>
      <c r="L51" s="26" t="str">
        <f>IFERROR(__xludf.DUMMYFUNCTION("""COMPUTED_VALUE"""),"Platformer")</f>
        <v>Platformer</v>
      </c>
      <c r="M51" s="13" t="b">
        <f>NOT(ISNA(VLOOKUP(A51,PC!A:A,1,FALSE)))</f>
        <v>0</v>
      </c>
      <c r="N51" s="13" t="b">
        <f>NOT(ISNA(VLOOKUP(A51,'Game Pass Premium'!A:A,1,FALSE)))</f>
        <v>0</v>
      </c>
      <c r="O51" s="13" t="b">
        <f>NOT(ISNA(VLOOKUP(A51,'Game Pass Essential'!A:A,1,FALSE)))</f>
        <v>0</v>
      </c>
    </row>
    <row r="52">
      <c r="A52" s="12" t="str">
        <f>IFERROR(__xludf.DUMMYFUNCTION("""COMPUTED_VALUE"""),"Bayonetta")</f>
        <v>Bayonetta</v>
      </c>
      <c r="B52" s="13" t="str">
        <f>IFERROR(__xludf.DUMMYFUNCTION("""COMPUTED_VALUE"""),"XB360/OG Xbox")</f>
        <v>XB360/OG Xbox</v>
      </c>
      <c r="C52" s="14"/>
      <c r="D52" s="14" t="str">
        <f>IFERROR(__xludf.DUMMYFUNCTION("""COMPUTED_VALUE"""),"GwG Permanent")</f>
        <v>GwG Permanent</v>
      </c>
      <c r="E52" s="15">
        <f>IFERROR(__xludf.DUMMYFUNCTION("""COMPUTED_VALUE"""),42948.0)</f>
        <v>42948</v>
      </c>
      <c r="F52" s="16">
        <f>IFERROR(__xludf.DUMMYFUNCTION("""COMPUTED_VALUE"""),42962.0)</f>
        <v>42962</v>
      </c>
      <c r="G52" s="18">
        <f>IFERROR(__xludf.DUMMYFUNCTION("""COMPUTED_VALUE"""),0.4666666666666667)</f>
        <v>0.4666666667</v>
      </c>
      <c r="H52" s="15">
        <f>IFERROR(__xludf.DUMMYFUNCTION("""COMPUTED_VALUE"""),40183.0)</f>
        <v>40183</v>
      </c>
      <c r="I52" s="18">
        <f>IFERROR(__xludf.DUMMYFUNCTION("""COMPUTED_VALUE"""),7.572222222222222)</f>
        <v>7.572222222</v>
      </c>
      <c r="J52" s="22">
        <f>IFERROR(__xludf.DUMMYFUNCTION("""COMPUTED_VALUE"""),90.0)</f>
        <v>90</v>
      </c>
      <c r="K52" s="22">
        <f>IFERROR(__xludf.DUMMYFUNCTION("""COMPUTED_VALUE"""),12.0)</f>
        <v>12</v>
      </c>
      <c r="L52" s="26" t="str">
        <f>IFERROR(__xludf.DUMMYFUNCTION("""COMPUTED_VALUE"""),"Action‑Adventure")</f>
        <v>Action‑Adventure</v>
      </c>
      <c r="M52" s="13" t="b">
        <f>NOT(ISNA(VLOOKUP(A52,PC!A:A,1,FALSE)))</f>
        <v>0</v>
      </c>
      <c r="N52" s="13" t="b">
        <f>NOT(ISNA(VLOOKUP(A52,'Game Pass Premium'!A:A,1,FALSE)))</f>
        <v>0</v>
      </c>
      <c r="O52" s="13" t="b">
        <f>NOT(ISNA(VLOOKUP(A52,'Game Pass Essential'!A:A,1,FALSE)))</f>
        <v>0</v>
      </c>
    </row>
    <row r="53">
      <c r="A53" s="12" t="str">
        <f>IFERROR(__xludf.DUMMYFUNCTION("""COMPUTED_VALUE"""),"Super Street Fighter IV: Arcade Edition")</f>
        <v>Super Street Fighter IV: Arcade Edition</v>
      </c>
      <c r="B53" s="13" t="str">
        <f>IFERROR(__xludf.DUMMYFUNCTION("""COMPUTED_VALUE"""),"XB360/OG Xbox")</f>
        <v>XB360/OG Xbox</v>
      </c>
      <c r="C53" s="14"/>
      <c r="D53" s="14" t="str">
        <f>IFERROR(__xludf.DUMMYFUNCTION("""COMPUTED_VALUE"""),"GwG Permanent")</f>
        <v>GwG Permanent</v>
      </c>
      <c r="E53" s="15">
        <f>IFERROR(__xludf.DUMMYFUNCTION("""COMPUTED_VALUE"""),41806.0)</f>
        <v>41806</v>
      </c>
      <c r="F53" s="16">
        <f>IFERROR(__xludf.DUMMYFUNCTION("""COMPUTED_VALUE"""),41820.0)</f>
        <v>41820</v>
      </c>
      <c r="G53" s="18">
        <f>IFERROR(__xludf.DUMMYFUNCTION("""COMPUTED_VALUE"""),0.4666666666666667)</f>
        <v>0.4666666667</v>
      </c>
      <c r="H53" s="15">
        <f>IFERROR(__xludf.DUMMYFUNCTION("""COMPUTED_VALUE"""),40660.0)</f>
        <v>40660</v>
      </c>
      <c r="I53" s="18">
        <f>IFERROR(__xludf.DUMMYFUNCTION("""COMPUTED_VALUE"""),3.136111111111111)</f>
        <v>3.136111111</v>
      </c>
      <c r="J53" s="22">
        <f>IFERROR(__xludf.DUMMYFUNCTION("""COMPUTED_VALUE"""),90.0)</f>
        <v>90</v>
      </c>
      <c r="K53" s="22">
        <f>IFERROR(__xludf.DUMMYFUNCTION("""COMPUTED_VALUE"""),8.0)</f>
        <v>8</v>
      </c>
      <c r="L53" s="26" t="str">
        <f>IFERROR(__xludf.DUMMYFUNCTION("""COMPUTED_VALUE"""),"Fighting")</f>
        <v>Fighting</v>
      </c>
      <c r="M53" s="13" t="b">
        <f>NOT(ISNA(VLOOKUP(A53,PC!A:A,1,FALSE)))</f>
        <v>0</v>
      </c>
      <c r="N53" s="13" t="b">
        <f>NOT(ISNA(VLOOKUP(A53,'Game Pass Premium'!A:A,1,FALSE)))</f>
        <v>0</v>
      </c>
      <c r="O53" s="13" t="b">
        <f>NOT(ISNA(VLOOKUP(A53,'Game Pass Essential'!A:A,1,FALSE)))</f>
        <v>0</v>
      </c>
    </row>
    <row r="54">
      <c r="A54" s="12" t="str">
        <f>IFERROR(__xludf.DUMMYFUNCTION("""COMPUTED_VALUE"""),"Assassin's Creed II")</f>
        <v>Assassin's Creed II</v>
      </c>
      <c r="B54" s="13" t="str">
        <f>IFERROR(__xludf.DUMMYFUNCTION("""COMPUTED_VALUE"""),"XB360/OG Xbox")</f>
        <v>XB360/OG Xbox</v>
      </c>
      <c r="C54" s="14"/>
      <c r="D54" s="14" t="str">
        <f>IFERROR(__xludf.DUMMYFUNCTION("""COMPUTED_VALUE"""),"GwG Permanent")</f>
        <v>GwG Permanent</v>
      </c>
      <c r="E54" s="15">
        <f>IFERROR(__xludf.DUMMYFUNCTION("""COMPUTED_VALUE"""),41471.0)</f>
        <v>41471</v>
      </c>
      <c r="F54" s="16">
        <f>IFERROR(__xludf.DUMMYFUNCTION("""COMPUTED_VALUE"""),41486.0)</f>
        <v>41486</v>
      </c>
      <c r="G54" s="18">
        <f>IFERROR(__xludf.DUMMYFUNCTION("""COMPUTED_VALUE"""),0.4666666666666667)</f>
        <v>0.4666666667</v>
      </c>
      <c r="H54" s="15">
        <f>IFERROR(__xludf.DUMMYFUNCTION("""COMPUTED_VALUE"""),40134.0)</f>
        <v>40134</v>
      </c>
      <c r="I54" s="18">
        <f>IFERROR(__xludf.DUMMYFUNCTION("""COMPUTED_VALUE"""),3.6638888888888888)</f>
        <v>3.663888889</v>
      </c>
      <c r="J54" s="22">
        <f>IFERROR(__xludf.DUMMYFUNCTION("""COMPUTED_VALUE"""),90.0)</f>
        <v>90</v>
      </c>
      <c r="K54" s="22">
        <f>IFERROR(__xludf.DUMMYFUNCTION("""COMPUTED_VALUE"""),19.0)</f>
        <v>19</v>
      </c>
      <c r="L54" s="26" t="str">
        <f>IFERROR(__xludf.DUMMYFUNCTION("""COMPUTED_VALUE"""),"Action-Adventure")</f>
        <v>Action-Adventure</v>
      </c>
      <c r="M54" s="13" t="b">
        <f>NOT(ISNA(VLOOKUP(A54,PC!A:A,1,FALSE)))</f>
        <v>1</v>
      </c>
      <c r="N54" s="13" t="b">
        <f>NOT(ISNA(VLOOKUP(A54,'Game Pass Premium'!A:A,1,FALSE)))</f>
        <v>0</v>
      </c>
      <c r="O54" s="13" t="b">
        <f>NOT(ISNA(VLOOKUP(A54,'Game Pass Essential'!A:A,1,FALSE)))</f>
        <v>0</v>
      </c>
    </row>
    <row r="55">
      <c r="A55" s="12" t="str">
        <f>IFERROR(__xludf.DUMMYFUNCTION("""COMPUTED_VALUE"""),"Like a Dragon: Infinite Wealth")</f>
        <v>Like a Dragon: Infinite Wealth</v>
      </c>
      <c r="B55" s="13" t="str">
        <f>IFERROR(__xludf.DUMMYFUNCTION("""COMPUTED_VALUE"""),"Xbox / PC")</f>
        <v>Xbox / PC</v>
      </c>
      <c r="C55" s="14" t="str">
        <f>IFERROR(__xludf.DUMMYFUNCTION("""COMPUTED_VALUE"""),"Yes")</f>
        <v>Yes</v>
      </c>
      <c r="D55" s="14" t="str">
        <f>IFERROR(__xludf.DUMMYFUNCTION("""COMPUTED_VALUE"""),"Active")</f>
        <v>Active</v>
      </c>
      <c r="E55" s="15">
        <f>IFERROR(__xludf.DUMMYFUNCTION("""COMPUTED_VALUE"""),46105.0)</f>
        <v>46105</v>
      </c>
      <c r="F55" s="16"/>
      <c r="G55" s="18">
        <f>IFERROR(__xludf.DUMMYFUNCTION("""COMPUTED_VALUE"""),6.4)</f>
        <v>6.4</v>
      </c>
      <c r="H55" s="15">
        <f>IFERROR(__xludf.DUMMYFUNCTION("""COMPUTED_VALUE"""),45317.0)</f>
        <v>45317</v>
      </c>
      <c r="I55" s="18">
        <f>IFERROR(__xludf.DUMMYFUNCTION("""COMPUTED_VALUE"""),2.161111111111111)</f>
        <v>2.161111111</v>
      </c>
      <c r="J55" s="22">
        <f>IFERROR(__xludf.DUMMYFUNCTION("""COMPUTED_VALUE"""),89.0)</f>
        <v>89</v>
      </c>
      <c r="K55" s="22">
        <f>IFERROR(__xludf.DUMMYFUNCTION("""COMPUTED_VALUE"""),45.0)</f>
        <v>45</v>
      </c>
      <c r="L55" s="26" t="str">
        <f>IFERROR(__xludf.DUMMYFUNCTION("""COMPUTED_VALUE"""),"RPG")</f>
        <v>RPG</v>
      </c>
      <c r="M55" s="13" t="b">
        <f>NOT(ISNA(VLOOKUP(A55,PC!A:A,1,FALSE)))</f>
        <v>1</v>
      </c>
      <c r="N55" s="13" t="b">
        <f>NOT(ISNA(VLOOKUP(A55,'Game Pass Premium'!A:A,1,FALSE)))</f>
        <v>1</v>
      </c>
      <c r="O55" s="13" t="b">
        <f>NOT(ISNA(VLOOKUP(A55,'Game Pass Essential'!A:A,1,FALSE)))</f>
        <v>0</v>
      </c>
    </row>
    <row r="56">
      <c r="A56" s="12" t="str">
        <f>IFERROR(__xludf.DUMMYFUNCTION("""COMPUTED_VALUE"""),"Assassin's Creed Brotherhood")</f>
        <v>Assassin's Creed Brotherhood</v>
      </c>
      <c r="B56" s="13" t="str">
        <f>IFERROR(__xludf.DUMMYFUNCTION("""COMPUTED_VALUE"""),"Xbox / PC")</f>
        <v>Xbox / PC</v>
      </c>
      <c r="C56" s="14"/>
      <c r="D56" s="14" t="str">
        <f>IFERROR(__xludf.DUMMYFUNCTION("""COMPUTED_VALUE"""),"Active")</f>
        <v>Active</v>
      </c>
      <c r="E56" s="15">
        <f>IFERROR(__xludf.DUMMYFUNCTION("""COMPUTED_VALUE"""),45931.0)</f>
        <v>45931</v>
      </c>
      <c r="F56" s="16"/>
      <c r="G56" s="18">
        <f>IFERROR(__xludf.DUMMYFUNCTION("""COMPUTED_VALUE"""),12.166666666666666)</f>
        <v>12.16666667</v>
      </c>
      <c r="H56" s="15">
        <f>IFERROR(__xludf.DUMMYFUNCTION("""COMPUTED_VALUE"""),40498.0)</f>
        <v>40498</v>
      </c>
      <c r="I56" s="18">
        <f>IFERROR(__xludf.DUMMYFUNCTION("""COMPUTED_VALUE"""),14.875)</f>
        <v>14.875</v>
      </c>
      <c r="J56" s="22">
        <f>IFERROR(__xludf.DUMMYFUNCTION("""COMPUTED_VALUE"""),89.0)</f>
        <v>89</v>
      </c>
      <c r="K56" s="22">
        <f>IFERROR(__xludf.DUMMYFUNCTION("""COMPUTED_VALUE"""),15.0)</f>
        <v>15</v>
      </c>
      <c r="L56" s="26" t="str">
        <f>IFERROR(__xludf.DUMMYFUNCTION("""COMPUTED_VALUE"""),"Action-Adventure")</f>
        <v>Action-Adventure</v>
      </c>
      <c r="M56" s="13" t="b">
        <f>NOT(ISNA(VLOOKUP(A56,PC!A:A,1,FALSE)))</f>
        <v>1</v>
      </c>
      <c r="N56" s="13" t="b">
        <f>NOT(ISNA(VLOOKUP(A56,'Game Pass Premium'!A:A,1,FALSE)))</f>
        <v>0</v>
      </c>
      <c r="O56" s="13" t="b">
        <f>NOT(ISNA(VLOOKUP(A56,'Game Pass Essential'!A:A,1,FALSE)))</f>
        <v>0</v>
      </c>
    </row>
    <row r="57">
      <c r="A57" s="12" t="str">
        <f>IFERROR(__xludf.DUMMYFUNCTION("""COMPUTED_VALUE"""),"Gabriel Knight: Sins of the Fathers")</f>
        <v>Gabriel Knight: Sins of the Fathers</v>
      </c>
      <c r="B57" s="13" t="str">
        <f>IFERROR(__xludf.DUMMYFUNCTION("""COMPUTED_VALUE"""),"Xbox / PC")</f>
        <v>Xbox / PC</v>
      </c>
      <c r="C57" s="14" t="str">
        <f>IFERROR(__xludf.DUMMYFUNCTION("""COMPUTED_VALUE"""),"Yes")</f>
        <v>Yes</v>
      </c>
      <c r="D57" s="14" t="str">
        <f>IFERROR(__xludf.DUMMYFUNCTION("""COMPUTED_VALUE"""),"Active")</f>
        <v>Active</v>
      </c>
      <c r="E57" s="15">
        <f>IFERROR(__xludf.DUMMYFUNCTION("""COMPUTED_VALUE"""),45859.0)</f>
        <v>45859</v>
      </c>
      <c r="F57" s="16"/>
      <c r="G57" s="18">
        <f>IFERROR(__xludf.DUMMYFUNCTION("""COMPUTED_VALUE"""),14.5)</f>
        <v>14.5</v>
      </c>
      <c r="H57" s="15">
        <f>IFERROR(__xludf.DUMMYFUNCTION("""COMPUTED_VALUE"""),34320.0)</f>
        <v>34320</v>
      </c>
      <c r="I57" s="18">
        <f>IFERROR(__xludf.DUMMYFUNCTION("""COMPUTED_VALUE"""),31.594444444444445)</f>
        <v>31.59444444</v>
      </c>
      <c r="J57" s="22">
        <f>IFERROR(__xludf.DUMMYFUNCTION("""COMPUTED_VALUE"""),89.0)</f>
        <v>89</v>
      </c>
      <c r="K57" s="22">
        <f>IFERROR(__xludf.DUMMYFUNCTION("""COMPUTED_VALUE"""),11.0)</f>
        <v>11</v>
      </c>
      <c r="L57" s="26" t="str">
        <f>IFERROR(__xludf.DUMMYFUNCTION("""COMPUTED_VALUE"""),"Action-Adventure")</f>
        <v>Action-Adventure</v>
      </c>
      <c r="M57" s="13" t="b">
        <f>NOT(ISNA(VLOOKUP(A57,PC!A:A,1,FALSE)))</f>
        <v>1</v>
      </c>
      <c r="N57" s="13" t="b">
        <f>NOT(ISNA(VLOOKUP(A57,'Game Pass Premium'!A:A,1,FALSE)))</f>
        <v>1</v>
      </c>
      <c r="O57" s="13" t="b">
        <f>NOT(ISNA(VLOOKUP(A57,'Game Pass Essential'!A:A,1,FALSE)))</f>
        <v>0</v>
      </c>
    </row>
    <row r="58">
      <c r="A58" s="12" t="str">
        <f>IFERROR(__xludf.DUMMYFUNCTION("""COMPUTED_VALUE"""),"Hi-Fi RUSH")</f>
        <v>Hi-Fi RUSH</v>
      </c>
      <c r="B58" s="13" t="str">
        <f>IFERROR(__xludf.DUMMYFUNCTION("""COMPUTED_VALUE"""),"Xbox / PC")</f>
        <v>Xbox / PC</v>
      </c>
      <c r="C58" s="14" t="str">
        <f>IFERROR(__xludf.DUMMYFUNCTION("""COMPUTED_VALUE"""),"Yes")</f>
        <v>Yes</v>
      </c>
      <c r="D58" s="14" t="str">
        <f>IFERROR(__xludf.DUMMYFUNCTION("""COMPUTED_VALUE"""),"Active")</f>
        <v>Active</v>
      </c>
      <c r="E58" s="15">
        <f>IFERROR(__xludf.DUMMYFUNCTION("""COMPUTED_VALUE"""),44951.0)</f>
        <v>44951</v>
      </c>
      <c r="F58" s="16"/>
      <c r="G58" s="18">
        <f>IFERROR(__xludf.DUMMYFUNCTION("""COMPUTED_VALUE"""),44.36666666666667)</f>
        <v>44.36666667</v>
      </c>
      <c r="H58" s="15">
        <f>IFERROR(__xludf.DUMMYFUNCTION("""COMPUTED_VALUE"""),44951.0)</f>
        <v>44951</v>
      </c>
      <c r="I58" s="18">
        <f>IFERROR(__xludf.DUMMYFUNCTION("""COMPUTED_VALUE"""),0.0)</f>
        <v>0</v>
      </c>
      <c r="J58" s="22">
        <f>IFERROR(__xludf.DUMMYFUNCTION("""COMPUTED_VALUE"""),89.0)</f>
        <v>89</v>
      </c>
      <c r="K58" s="22">
        <f>IFERROR(__xludf.DUMMYFUNCTION("""COMPUTED_VALUE"""),10.0)</f>
        <v>10</v>
      </c>
      <c r="L58" s="26" t="str">
        <f>IFERROR(__xludf.DUMMYFUNCTION("""COMPUTED_VALUE"""),"Action-Adventure")</f>
        <v>Action-Adventure</v>
      </c>
      <c r="M58" s="13" t="b">
        <f>NOT(ISNA(VLOOKUP(A58,PC!A:A,1,FALSE)))</f>
        <v>1</v>
      </c>
      <c r="N58" s="13" t="b">
        <f>NOT(ISNA(VLOOKUP(A58,'Game Pass Premium'!A:A,1,FALSE)))</f>
        <v>1</v>
      </c>
      <c r="O58" s="13" t="b">
        <f>NOT(ISNA(VLOOKUP(A58,'Game Pass Essential'!A:A,1,FALSE)))</f>
        <v>0</v>
      </c>
    </row>
    <row r="59">
      <c r="A59" s="12" t="str">
        <f>IFERROR(__xludf.DUMMYFUNCTION("""COMPUTED_VALUE"""),"DEATHLOOP")</f>
        <v>DEATHLOOP</v>
      </c>
      <c r="B59" s="13" t="str">
        <f>IFERROR(__xludf.DUMMYFUNCTION("""COMPUTED_VALUE"""),"Xbox / PC")</f>
        <v>Xbox / PC</v>
      </c>
      <c r="C59" s="14" t="str">
        <f>IFERROR(__xludf.DUMMYFUNCTION("""COMPUTED_VALUE"""),"Yes")</f>
        <v>Yes</v>
      </c>
      <c r="D59" s="14" t="str">
        <f>IFERROR(__xludf.DUMMYFUNCTION("""COMPUTED_VALUE"""),"Active")</f>
        <v>Active</v>
      </c>
      <c r="E59" s="15">
        <f>IFERROR(__xludf.DUMMYFUNCTION("""COMPUTED_VALUE"""),44824.0)</f>
        <v>44824</v>
      </c>
      <c r="F59" s="16"/>
      <c r="G59" s="18">
        <f>IFERROR(__xludf.DUMMYFUNCTION("""COMPUTED_VALUE"""),48.53333333333333)</f>
        <v>48.53333333</v>
      </c>
      <c r="H59" s="15">
        <f>IFERROR(__xludf.DUMMYFUNCTION("""COMPUTED_VALUE"""),44453.0)</f>
        <v>44453</v>
      </c>
      <c r="I59" s="18">
        <f>IFERROR(__xludf.DUMMYFUNCTION("""COMPUTED_VALUE"""),1.0166666666666666)</f>
        <v>1.016666667</v>
      </c>
      <c r="J59" s="22">
        <f>IFERROR(__xludf.DUMMYFUNCTION("""COMPUTED_VALUE"""),89.0)</f>
        <v>89</v>
      </c>
      <c r="K59" s="22">
        <f>IFERROR(__xludf.DUMMYFUNCTION("""COMPUTED_VALUE"""),16.0)</f>
        <v>16</v>
      </c>
      <c r="L59" s="26" t="str">
        <f>IFERROR(__xludf.DUMMYFUNCTION("""COMPUTED_VALUE"""),"Shooter")</f>
        <v>Shooter</v>
      </c>
      <c r="M59" s="13" t="b">
        <f>NOT(ISNA(VLOOKUP(A59,PC!A:A,1,FALSE)))</f>
        <v>1</v>
      </c>
      <c r="N59" s="13" t="b">
        <f>NOT(ISNA(VLOOKUP(A59,'Game Pass Premium'!A:A,1,FALSE)))</f>
        <v>1</v>
      </c>
      <c r="O59" s="13" t="b">
        <f>NOT(ISNA(VLOOKUP(A59,'Game Pass Essential'!A:A,1,FALSE)))</f>
        <v>0</v>
      </c>
    </row>
    <row r="60">
      <c r="A60" s="12" t="str">
        <f>IFERROR(__xludf.DUMMYFUNCTION("""COMPUTED_VALUE"""),"Stardew Valley")</f>
        <v>Stardew Valley</v>
      </c>
      <c r="B60" s="13" t="str">
        <f>IFERROR(__xludf.DUMMYFUNCTION("""COMPUTED_VALUE"""),"Xbox / PC")</f>
        <v>Xbox / PC</v>
      </c>
      <c r="C60" s="14" t="str">
        <f>IFERROR(__xludf.DUMMYFUNCTION("""COMPUTED_VALUE"""),"Touch Controls")</f>
        <v>Touch Controls</v>
      </c>
      <c r="D60" s="14" t="str">
        <f>IFERROR(__xludf.DUMMYFUNCTION("""COMPUTED_VALUE"""),"Active")</f>
        <v>Active</v>
      </c>
      <c r="E60" s="15">
        <f>IFERROR(__xludf.DUMMYFUNCTION("""COMPUTED_VALUE"""),44532.0)</f>
        <v>44532</v>
      </c>
      <c r="F60" s="16"/>
      <c r="G60" s="18">
        <f>IFERROR(__xludf.DUMMYFUNCTION("""COMPUTED_VALUE"""),58.133333333333326)</f>
        <v>58.13333333</v>
      </c>
      <c r="H60" s="15">
        <f>IFERROR(__xludf.DUMMYFUNCTION("""COMPUTED_VALUE"""),42426.0)</f>
        <v>42426</v>
      </c>
      <c r="I60" s="18">
        <f>IFERROR(__xludf.DUMMYFUNCTION("""COMPUTED_VALUE"""),5.766666666666667)</f>
        <v>5.766666667</v>
      </c>
      <c r="J60" s="22">
        <f>IFERROR(__xludf.DUMMYFUNCTION("""COMPUTED_VALUE"""),89.0)</f>
        <v>89</v>
      </c>
      <c r="K60" s="22">
        <f>IFERROR(__xludf.DUMMYFUNCTION("""COMPUTED_VALUE"""),52.5)</f>
        <v>52.5</v>
      </c>
      <c r="L60" s="26" t="str">
        <f>IFERROR(__xludf.DUMMYFUNCTION("""COMPUTED_VALUE"""),"RPG")</f>
        <v>RPG</v>
      </c>
      <c r="M60" s="13" t="b">
        <f>NOT(ISNA(VLOOKUP(A60,PC!A:A,1,FALSE)))</f>
        <v>1</v>
      </c>
      <c r="N60" s="13" t="b">
        <f>NOT(ISNA(VLOOKUP(A60,'Game Pass Premium'!A:A,1,FALSE)))</f>
        <v>1</v>
      </c>
      <c r="O60" s="13" t="b">
        <f>NOT(ISNA(VLOOKUP(A60,'Game Pass Essential'!A:A,1,FALSE)))</f>
        <v>1</v>
      </c>
    </row>
    <row r="61">
      <c r="A61" s="12" t="str">
        <f>IFERROR(__xludf.DUMMYFUNCTION("""COMPUTED_VALUE"""),"Psychonauts 2")</f>
        <v>Psychonauts 2</v>
      </c>
      <c r="B61" s="13" t="str">
        <f>IFERROR(__xludf.DUMMYFUNCTION("""COMPUTED_VALUE"""),"Xbox / PC")</f>
        <v>Xbox / PC</v>
      </c>
      <c r="C61" s="14" t="str">
        <f>IFERROR(__xludf.DUMMYFUNCTION("""COMPUTED_VALUE"""),"Touch Controls")</f>
        <v>Touch Controls</v>
      </c>
      <c r="D61" s="14" t="str">
        <f>IFERROR(__xludf.DUMMYFUNCTION("""COMPUTED_VALUE"""),"Active")</f>
        <v>Active</v>
      </c>
      <c r="E61" s="15">
        <f>IFERROR(__xludf.DUMMYFUNCTION("""COMPUTED_VALUE"""),44433.0)</f>
        <v>44433</v>
      </c>
      <c r="F61" s="16"/>
      <c r="G61" s="18">
        <f>IFERROR(__xludf.DUMMYFUNCTION("""COMPUTED_VALUE"""),61.36666666666667)</f>
        <v>61.36666667</v>
      </c>
      <c r="H61" s="15">
        <f>IFERROR(__xludf.DUMMYFUNCTION("""COMPUTED_VALUE"""),44433.0)</f>
        <v>44433</v>
      </c>
      <c r="I61" s="18">
        <f>IFERROR(__xludf.DUMMYFUNCTION("""COMPUTED_VALUE"""),0.0)</f>
        <v>0</v>
      </c>
      <c r="J61" s="22">
        <f>IFERROR(__xludf.DUMMYFUNCTION("""COMPUTED_VALUE"""),89.0)</f>
        <v>89</v>
      </c>
      <c r="K61" s="22">
        <f>IFERROR(__xludf.DUMMYFUNCTION("""COMPUTED_VALUE"""),14.0)</f>
        <v>14</v>
      </c>
      <c r="L61" s="26" t="str">
        <f>IFERROR(__xludf.DUMMYFUNCTION("""COMPUTED_VALUE"""),"Platformer")</f>
        <v>Platformer</v>
      </c>
      <c r="M61" s="13" t="b">
        <f>NOT(ISNA(VLOOKUP(A61,PC!A:A,1,FALSE)))</f>
        <v>1</v>
      </c>
      <c r="N61" s="13" t="b">
        <f>NOT(ISNA(VLOOKUP(A61,'Game Pass Premium'!A:A,1,FALSE)))</f>
        <v>1</v>
      </c>
      <c r="O61" s="13" t="b">
        <f>NOT(ISNA(VLOOKUP(A61,'Game Pass Essential'!A:A,1,FALSE)))</f>
        <v>1</v>
      </c>
    </row>
    <row r="62">
      <c r="A62" s="12" t="str">
        <f>IFERROR(__xludf.DUMMYFUNCTION("""COMPUTED_VALUE"""),"Quake II")</f>
        <v>Quake II</v>
      </c>
      <c r="B62" s="13" t="str">
        <f>IFERROR(__xludf.DUMMYFUNCTION("""COMPUTED_VALUE"""),"Xbox / PC")</f>
        <v>Xbox / PC</v>
      </c>
      <c r="C62" s="14" t="str">
        <f>IFERROR(__xludf.DUMMYFUNCTION("""COMPUTED_VALUE"""),"M+KB")</f>
        <v>M+KB</v>
      </c>
      <c r="D62" s="14" t="str">
        <f>IFERROR(__xludf.DUMMYFUNCTION("""COMPUTED_VALUE"""),"Active")</f>
        <v>Active</v>
      </c>
      <c r="E62" s="15">
        <f>IFERROR(__xludf.DUMMYFUNCTION("""COMPUTED_VALUE"""),44427.0)</f>
        <v>44427</v>
      </c>
      <c r="F62" s="16"/>
      <c r="G62" s="18">
        <f>IFERROR(__xludf.DUMMYFUNCTION("""COMPUTED_VALUE"""),61.56666666666666)</f>
        <v>61.56666667</v>
      </c>
      <c r="H62" s="15">
        <f>IFERROR(__xludf.DUMMYFUNCTION("""COMPUTED_VALUE"""),35773.0)</f>
        <v>35773</v>
      </c>
      <c r="I62" s="18">
        <f>IFERROR(__xludf.DUMMYFUNCTION("""COMPUTED_VALUE"""),23.694444444444443)</f>
        <v>23.69444444</v>
      </c>
      <c r="J62" s="22">
        <f>IFERROR(__xludf.DUMMYFUNCTION("""COMPUTED_VALUE"""),89.0)</f>
        <v>89</v>
      </c>
      <c r="K62" s="22">
        <f>IFERROR(__xludf.DUMMYFUNCTION("""COMPUTED_VALUE"""),8.0)</f>
        <v>8</v>
      </c>
      <c r="L62" s="26" t="str">
        <f>IFERROR(__xludf.DUMMYFUNCTION("""COMPUTED_VALUE"""),"Shooter")</f>
        <v>Shooter</v>
      </c>
      <c r="M62" s="13" t="b">
        <f>NOT(ISNA(VLOOKUP(A62,PC!A:A,1,FALSE)))</f>
        <v>1</v>
      </c>
      <c r="N62" s="13" t="b">
        <f>NOT(ISNA(VLOOKUP(A62,'Game Pass Premium'!A:A,1,FALSE)))</f>
        <v>1</v>
      </c>
      <c r="O62" s="13" t="b">
        <f>NOT(ISNA(VLOOKUP(A62,'Game Pass Essential'!A:A,1,FALSE)))</f>
        <v>0</v>
      </c>
    </row>
    <row r="63">
      <c r="A63" s="12" t="str">
        <f>IFERROR(__xludf.DUMMYFUNCTION("""COMPUTED_VALUE"""),"Dead Space")</f>
        <v>Dead Space</v>
      </c>
      <c r="B63" s="13" t="str">
        <f>IFERROR(__xludf.DUMMYFUNCTION("""COMPUTED_VALUE"""),"Xbox / PC")</f>
        <v>Xbox / PC</v>
      </c>
      <c r="C63" s="14" t="str">
        <f>IFERROR(__xludf.DUMMYFUNCTION("""COMPUTED_VALUE"""),"Yes")</f>
        <v>Yes</v>
      </c>
      <c r="D63" s="14" t="str">
        <f>IFERROR(__xludf.DUMMYFUNCTION("""COMPUTED_VALUE"""),"Active")</f>
        <v>Active</v>
      </c>
      <c r="E63" s="15">
        <f>IFERROR(__xludf.DUMMYFUNCTION("""COMPUTED_VALUE"""),44145.0)</f>
        <v>44145</v>
      </c>
      <c r="F63" s="16"/>
      <c r="G63" s="18">
        <f>IFERROR(__xludf.DUMMYFUNCTION("""COMPUTED_VALUE"""),70.86666666666667)</f>
        <v>70.86666667</v>
      </c>
      <c r="H63" s="15">
        <f>IFERROR(__xludf.DUMMYFUNCTION("""COMPUTED_VALUE"""),39735.0)</f>
        <v>39735</v>
      </c>
      <c r="I63" s="18">
        <f>IFERROR(__xludf.DUMMYFUNCTION("""COMPUTED_VALUE"""),12.072222222222223)</f>
        <v>12.07222222</v>
      </c>
      <c r="J63" s="22">
        <f>IFERROR(__xludf.DUMMYFUNCTION("""COMPUTED_VALUE"""),89.0)</f>
        <v>89</v>
      </c>
      <c r="K63" s="22">
        <f>IFERROR(__xludf.DUMMYFUNCTION("""COMPUTED_VALUE"""),11.0)</f>
        <v>11</v>
      </c>
      <c r="L63" s="26" t="str">
        <f>IFERROR(__xludf.DUMMYFUNCTION("""COMPUTED_VALUE"""),"Action")</f>
        <v>Action</v>
      </c>
      <c r="M63" s="13" t="b">
        <f>NOT(ISNA(VLOOKUP(A63,PC!A:A,1,FALSE)))</f>
        <v>1</v>
      </c>
      <c r="N63" s="13" t="b">
        <f>NOT(ISNA(VLOOKUP(A63,'Game Pass Premium'!A:A,1,FALSE)))</f>
        <v>1</v>
      </c>
      <c r="O63" s="13" t="b">
        <f>NOT(ISNA(VLOOKUP(A63,'Game Pass Essential'!A:A,1,FALSE)))</f>
        <v>0</v>
      </c>
    </row>
    <row r="64">
      <c r="A64" s="12" t="str">
        <f>IFERROR(__xludf.DUMMYFUNCTION("""COMPUTED_VALUE"""),"Peggle")</f>
        <v>Peggle</v>
      </c>
      <c r="B64" s="13" t="str">
        <f>IFERROR(__xludf.DUMMYFUNCTION("""COMPUTED_VALUE"""),"Xbox / PC")</f>
        <v>Xbox / PC</v>
      </c>
      <c r="C64" s="14"/>
      <c r="D64" s="14" t="str">
        <f>IFERROR(__xludf.DUMMYFUNCTION("""COMPUTED_VALUE"""),"Active")</f>
        <v>Active</v>
      </c>
      <c r="E64" s="15">
        <f>IFERROR(__xludf.DUMMYFUNCTION("""COMPUTED_VALUE"""),44145.0)</f>
        <v>44145</v>
      </c>
      <c r="F64" s="16"/>
      <c r="G64" s="18">
        <f>IFERROR(__xludf.DUMMYFUNCTION("""COMPUTED_VALUE"""),70.86666666666667)</f>
        <v>70.86666667</v>
      </c>
      <c r="H64" s="15">
        <f>IFERROR(__xludf.DUMMYFUNCTION("""COMPUTED_VALUE"""),39183.0)</f>
        <v>39183</v>
      </c>
      <c r="I64" s="18">
        <f>IFERROR(__xludf.DUMMYFUNCTION("""COMPUTED_VALUE"""),13.580555555555556)</f>
        <v>13.58055556</v>
      </c>
      <c r="J64" s="22">
        <f>IFERROR(__xludf.DUMMYFUNCTION("""COMPUTED_VALUE"""),89.0)</f>
        <v>89</v>
      </c>
      <c r="K64" s="22">
        <f>IFERROR(__xludf.DUMMYFUNCTION("""COMPUTED_VALUE"""),4.0)</f>
        <v>4</v>
      </c>
      <c r="L64" s="26" t="str">
        <f>IFERROR(__xludf.DUMMYFUNCTION("""COMPUTED_VALUE"""),"Puzzle")</f>
        <v>Puzzle</v>
      </c>
      <c r="M64" s="13" t="b">
        <f>NOT(ISNA(VLOOKUP(A64,PC!A:A,1,FALSE)))</f>
        <v>1</v>
      </c>
      <c r="N64" s="13" t="b">
        <f>NOT(ISNA(VLOOKUP(A64,'Game Pass Premium'!A:A,1,FALSE)))</f>
        <v>1</v>
      </c>
      <c r="O64" s="13" t="b">
        <f>NOT(ISNA(VLOOKUP(A64,'Game Pass Essential'!A:A,1,FALSE)))</f>
        <v>0</v>
      </c>
    </row>
    <row r="65">
      <c r="A65" s="12" t="str">
        <f>IFERROR(__xludf.DUMMYFUNCTION("""COMPUTED_VALUE"""),"Peggle 2")</f>
        <v>Peggle 2</v>
      </c>
      <c r="B65" s="13" t="str">
        <f>IFERROR(__xludf.DUMMYFUNCTION("""COMPUTED_VALUE"""),"Xbox")</f>
        <v>Xbox</v>
      </c>
      <c r="C65" s="14" t="str">
        <f>IFERROR(__xludf.DUMMYFUNCTION("""COMPUTED_VALUE"""),"Touch Controls")</f>
        <v>Touch Controls</v>
      </c>
      <c r="D65" s="14" t="str">
        <f>IFERROR(__xludf.DUMMYFUNCTION("""COMPUTED_VALUE"""),"Active")</f>
        <v>Active</v>
      </c>
      <c r="E65" s="15">
        <f>IFERROR(__xludf.DUMMYFUNCTION("""COMPUTED_VALUE"""),44145.0)</f>
        <v>44145</v>
      </c>
      <c r="F65" s="16"/>
      <c r="G65" s="18">
        <f>IFERROR(__xludf.DUMMYFUNCTION("""COMPUTED_VALUE"""),70.86666666666667)</f>
        <v>70.86666667</v>
      </c>
      <c r="H65" s="15">
        <f>IFERROR(__xludf.DUMMYFUNCTION("""COMPUTED_VALUE"""),41529.0)</f>
        <v>41529</v>
      </c>
      <c r="I65" s="18">
        <f>IFERROR(__xludf.DUMMYFUNCTION("""COMPUTED_VALUE"""),7.161111111111111)</f>
        <v>7.161111111</v>
      </c>
      <c r="J65" s="22">
        <f>IFERROR(__xludf.DUMMYFUNCTION("""COMPUTED_VALUE"""),89.0)</f>
        <v>89</v>
      </c>
      <c r="K65" s="22">
        <f>IFERROR(__xludf.DUMMYFUNCTION("""COMPUTED_VALUE"""),6.0)</f>
        <v>6</v>
      </c>
      <c r="L65" s="26" t="str">
        <f>IFERROR(__xludf.DUMMYFUNCTION("""COMPUTED_VALUE"""),"Puzzle")</f>
        <v>Puzzle</v>
      </c>
      <c r="M65" s="13" t="b">
        <f>NOT(ISNA(VLOOKUP(A65,PC!A:A,1,FALSE)))</f>
        <v>0</v>
      </c>
      <c r="N65" s="13" t="b">
        <f>NOT(ISNA(VLOOKUP(A65,'Game Pass Premium'!A:A,1,FALSE)))</f>
        <v>1</v>
      </c>
      <c r="O65" s="13" t="b">
        <f>NOT(ISNA(VLOOKUP(A65,'Game Pass Essential'!A:A,1,FALSE)))</f>
        <v>0</v>
      </c>
    </row>
    <row r="66">
      <c r="A66" s="12" t="str">
        <f>IFERROR(__xludf.DUMMYFUNCTION("""COMPUTED_VALUE"""),"Plants vs. Zombies: Game of the Year Edition")</f>
        <v>Plants vs. Zombies: Game of the Year Edition</v>
      </c>
      <c r="B66" s="13" t="str">
        <f>IFERROR(__xludf.DUMMYFUNCTION("""COMPUTED_VALUE"""),"Xbox / PC")</f>
        <v>Xbox / PC</v>
      </c>
      <c r="C66" s="14"/>
      <c r="D66" s="14" t="str">
        <f>IFERROR(__xludf.DUMMYFUNCTION("""COMPUTED_VALUE"""),"Active")</f>
        <v>Active</v>
      </c>
      <c r="E66" s="15">
        <f>IFERROR(__xludf.DUMMYFUNCTION("""COMPUTED_VALUE"""),44145.0)</f>
        <v>44145</v>
      </c>
      <c r="F66" s="16"/>
      <c r="G66" s="18">
        <f>IFERROR(__xludf.DUMMYFUNCTION("""COMPUTED_VALUE"""),70.86666666666667)</f>
        <v>70.86666667</v>
      </c>
      <c r="H66" s="15">
        <f>IFERROR(__xludf.DUMMYFUNCTION("""COMPUTED_VALUE"""),39938.0)</f>
        <v>39938</v>
      </c>
      <c r="I66" s="18">
        <f>IFERROR(__xludf.DUMMYFUNCTION("""COMPUTED_VALUE"""),11.51388888888889)</f>
        <v>11.51388889</v>
      </c>
      <c r="J66" s="22">
        <f>IFERROR(__xludf.DUMMYFUNCTION("""COMPUTED_VALUE"""),89.0)</f>
        <v>89</v>
      </c>
      <c r="K66" s="22">
        <f>IFERROR(__xludf.DUMMYFUNCTION("""COMPUTED_VALUE"""),8.0)</f>
        <v>8</v>
      </c>
      <c r="L66" s="26" t="str">
        <f>IFERROR(__xludf.DUMMYFUNCTION("""COMPUTED_VALUE"""),"Strategy")</f>
        <v>Strategy</v>
      </c>
      <c r="M66" s="13" t="b">
        <f>NOT(ISNA(VLOOKUP(A66,PC!A:A,1,FALSE)))</f>
        <v>1</v>
      </c>
      <c r="N66" s="13" t="b">
        <f>NOT(ISNA(VLOOKUP(A66,'Game Pass Premium'!A:A,1,FALSE)))</f>
        <v>1</v>
      </c>
      <c r="O66" s="13" t="b">
        <f>NOT(ISNA(VLOOKUP(A66,'Game Pass Essential'!A:A,1,FALSE)))</f>
        <v>0</v>
      </c>
    </row>
    <row r="67">
      <c r="A67" s="12" t="str">
        <f>IFERROR(__xludf.DUMMYFUNCTION("""COMPUTED_VALUE"""),"Hollow Knight: Voidheart Edition")</f>
        <v>Hollow Knight: Voidheart Edition</v>
      </c>
      <c r="B67" s="13" t="str">
        <f>IFERROR(__xludf.DUMMYFUNCTION("""COMPUTED_VALUE"""),"Xbox / PC")</f>
        <v>Xbox / PC</v>
      </c>
      <c r="C67" s="14" t="str">
        <f>IFERROR(__xludf.DUMMYFUNCTION("""COMPUTED_VALUE"""),"Yes")</f>
        <v>Yes</v>
      </c>
      <c r="D67" s="14" t="str">
        <f>IFERROR(__xludf.DUMMYFUNCTION("""COMPUTED_VALUE"""),"Active")</f>
        <v>Active</v>
      </c>
      <c r="E67" s="15">
        <f>IFERROR(__xludf.DUMMYFUNCTION("""COMPUTED_VALUE"""),43625.0)</f>
        <v>43625</v>
      </c>
      <c r="F67" s="16"/>
      <c r="G67" s="18">
        <f>IFERROR(__xludf.DUMMYFUNCTION("""COMPUTED_VALUE"""),87.9)</f>
        <v>87.9</v>
      </c>
      <c r="H67" s="15">
        <f>IFERROR(__xludf.DUMMYFUNCTION("""COMPUTED_VALUE"""),42790.0)</f>
        <v>42790</v>
      </c>
      <c r="I67" s="18">
        <f>IFERROR(__xludf.DUMMYFUNCTION("""COMPUTED_VALUE"""),2.2916666666666665)</f>
        <v>2.291666667</v>
      </c>
      <c r="J67" s="22">
        <f>IFERROR(__xludf.DUMMYFUNCTION("""COMPUTED_VALUE"""),89.0)</f>
        <v>89</v>
      </c>
      <c r="K67" s="22">
        <f>IFERROR(__xludf.DUMMYFUNCTION("""COMPUTED_VALUE"""),25.0)</f>
        <v>25</v>
      </c>
      <c r="L67" s="26" t="str">
        <f>IFERROR(__xludf.DUMMYFUNCTION("""COMPUTED_VALUE"""),"Platformer")</f>
        <v>Platformer</v>
      </c>
      <c r="M67" s="13" t="b">
        <f>NOT(ISNA(VLOOKUP(A67,PC!A:A,1,FALSE)))</f>
        <v>1</v>
      </c>
      <c r="N67" s="13" t="b">
        <f>NOT(ISNA(VLOOKUP(A67,'Game Pass Premium'!A:A,1,FALSE)))</f>
        <v>1</v>
      </c>
      <c r="O67" s="13" t="b">
        <f>NOT(ISNA(VLOOKUP(A67,'Game Pass Essential'!A:A,1,FALSE)))</f>
        <v>0</v>
      </c>
    </row>
    <row r="68">
      <c r="A68" s="12" t="str">
        <f>IFERROR(__xludf.DUMMYFUNCTION("""COMPUTED_VALUE"""),"The Walking Dead: The Complete First Season")</f>
        <v>The Walking Dead: The Complete First Season</v>
      </c>
      <c r="B68" s="13" t="str">
        <f>IFERROR(__xludf.DUMMYFUNCTION("""COMPUTED_VALUE"""),"Xbox / PC")</f>
        <v>Xbox / PC</v>
      </c>
      <c r="C68" s="14" t="str">
        <f>IFERROR(__xludf.DUMMYFUNCTION("""COMPUTED_VALUE"""),"Touch Controls")</f>
        <v>Touch Controls</v>
      </c>
      <c r="D68" s="14" t="str">
        <f>IFERROR(__xludf.DUMMYFUNCTION("""COMPUTED_VALUE"""),"Active")</f>
        <v>Active</v>
      </c>
      <c r="E68" s="15">
        <f>IFERROR(__xludf.DUMMYFUNCTION("""COMPUTED_VALUE"""),43503.0)</f>
        <v>43503</v>
      </c>
      <c r="F68" s="16"/>
      <c r="G68" s="18">
        <f>IFERROR(__xludf.DUMMYFUNCTION("""COMPUTED_VALUE"""),91.96666666666667)</f>
        <v>91.96666667</v>
      </c>
      <c r="H68" s="15">
        <f>IFERROR(__xludf.DUMMYFUNCTION("""COMPUTED_VALUE"""),43074.0)</f>
        <v>43074</v>
      </c>
      <c r="I68" s="18">
        <f>IFERROR(__xludf.DUMMYFUNCTION("""COMPUTED_VALUE"""),1.1722222222222223)</f>
        <v>1.172222222</v>
      </c>
      <c r="J68" s="22">
        <f>IFERROR(__xludf.DUMMYFUNCTION("""COMPUTED_VALUE"""),89.0)</f>
        <v>89</v>
      </c>
      <c r="K68" s="22">
        <f>IFERROR(__xludf.DUMMYFUNCTION("""COMPUTED_VALUE"""),13.0)</f>
        <v>13</v>
      </c>
      <c r="L68" s="26" t="str">
        <f>IFERROR(__xludf.DUMMYFUNCTION("""COMPUTED_VALUE"""),"Shooter")</f>
        <v>Shooter</v>
      </c>
      <c r="M68" s="13" t="b">
        <f>NOT(ISNA(VLOOKUP(A68,PC!A:A,1,FALSE)))</f>
        <v>1</v>
      </c>
      <c r="N68" s="13" t="b">
        <f>NOT(ISNA(VLOOKUP(A68,'Game Pass Premium'!A:A,1,FALSE)))</f>
        <v>1</v>
      </c>
      <c r="O68" s="13" t="b">
        <f>NOT(ISNA(VLOOKUP(A68,'Game Pass Essential'!A:A,1,FALSE)))</f>
        <v>0</v>
      </c>
    </row>
    <row r="69">
      <c r="A69" s="12" t="str">
        <f>IFERROR(__xludf.DUMMYFUNCTION("""COMPUTED_VALUE"""),"Fable II")</f>
        <v>Fable II</v>
      </c>
      <c r="B69" s="13" t="str">
        <f>IFERROR(__xludf.DUMMYFUNCTION("""COMPUTED_VALUE"""),"Xbox")</f>
        <v>Xbox</v>
      </c>
      <c r="C69" s="14" t="str">
        <f>IFERROR(__xludf.DUMMYFUNCTION("""COMPUTED_VALUE"""),"Touch Controls")</f>
        <v>Touch Controls</v>
      </c>
      <c r="D69" s="14" t="str">
        <f>IFERROR(__xludf.DUMMYFUNCTION("""COMPUTED_VALUE"""),"Active")</f>
        <v>Active</v>
      </c>
      <c r="E69" s="15">
        <f>IFERROR(__xludf.DUMMYFUNCTION("""COMPUTED_VALUE"""),42979.0)</f>
        <v>42979</v>
      </c>
      <c r="F69" s="16"/>
      <c r="G69" s="18">
        <f>IFERROR(__xludf.DUMMYFUNCTION("""COMPUTED_VALUE"""),109.16666666666666)</f>
        <v>109.1666667</v>
      </c>
      <c r="H69" s="15">
        <f>IFERROR(__xludf.DUMMYFUNCTION("""COMPUTED_VALUE"""),39742.0)</f>
        <v>39742</v>
      </c>
      <c r="I69" s="18">
        <f>IFERROR(__xludf.DUMMYFUNCTION("""COMPUTED_VALUE"""),8.86111111111111)</f>
        <v>8.861111111</v>
      </c>
      <c r="J69" s="22">
        <f>IFERROR(__xludf.DUMMYFUNCTION("""COMPUTED_VALUE"""),89.0)</f>
        <v>89</v>
      </c>
      <c r="K69" s="22">
        <f>IFERROR(__xludf.DUMMYFUNCTION("""COMPUTED_VALUE"""),13.0)</f>
        <v>13</v>
      </c>
      <c r="L69" s="26" t="str">
        <f>IFERROR(__xludf.DUMMYFUNCTION("""COMPUTED_VALUE"""),"Adventure")</f>
        <v>Adventure</v>
      </c>
      <c r="M69" s="13" t="b">
        <f>NOT(ISNA(VLOOKUP(A69,PC!A:A,1,FALSE)))</f>
        <v>0</v>
      </c>
      <c r="N69" s="13" t="b">
        <f>NOT(ISNA(VLOOKUP(A69,'Game Pass Premium'!A:A,1,FALSE)))</f>
        <v>1</v>
      </c>
      <c r="O69" s="13" t="b">
        <f>NOT(ISNA(VLOOKUP(A69,'Game Pass Essential'!A:A,1,FALSE)))</f>
        <v>0</v>
      </c>
    </row>
    <row r="70">
      <c r="A70" s="12" t="str">
        <f>IFERROR(__xludf.DUMMYFUNCTION("""COMPUTED_VALUE"""),"Star Wars Jedi Knight: Jedi Academy")</f>
        <v>Star Wars Jedi Knight: Jedi Academy</v>
      </c>
      <c r="B70" s="13" t="str">
        <f>IFERROR(__xludf.DUMMYFUNCTION("""COMPUTED_VALUE"""),"XB360/OG Xbox")</f>
        <v>XB360/OG Xbox</v>
      </c>
      <c r="C70" s="14"/>
      <c r="D70" s="14" t="str">
        <f>IFERROR(__xludf.DUMMYFUNCTION("""COMPUTED_VALUE"""),"GwG Permanent")</f>
        <v>GwG Permanent</v>
      </c>
      <c r="E70" s="15">
        <f>IFERROR(__xludf.DUMMYFUNCTION("""COMPUTED_VALUE"""),43512.0)</f>
        <v>43512</v>
      </c>
      <c r="F70" s="16">
        <f>IFERROR(__xludf.DUMMYFUNCTION("""COMPUTED_VALUE"""),43524.0)</f>
        <v>43524</v>
      </c>
      <c r="G70" s="18">
        <f>IFERROR(__xludf.DUMMYFUNCTION("""COMPUTED_VALUE"""),0.4)</f>
        <v>0.4</v>
      </c>
      <c r="H70" s="15">
        <f>IFERROR(__xludf.DUMMYFUNCTION("""COMPUTED_VALUE"""),37880.0)</f>
        <v>37880</v>
      </c>
      <c r="I70" s="18">
        <f>IFERROR(__xludf.DUMMYFUNCTION("""COMPUTED_VALUE"""),15.416666666666666)</f>
        <v>15.41666667</v>
      </c>
      <c r="J70" s="22">
        <f>IFERROR(__xludf.DUMMYFUNCTION("""COMPUTED_VALUE"""),89.0)</f>
        <v>89</v>
      </c>
      <c r="K70" s="22">
        <f>IFERROR(__xludf.DUMMYFUNCTION("""COMPUTED_VALUE"""),12.0)</f>
        <v>12</v>
      </c>
      <c r="L70" s="26" t="str">
        <f>IFERROR(__xludf.DUMMYFUNCTION("""COMPUTED_VALUE"""),"Shooter")</f>
        <v>Shooter</v>
      </c>
      <c r="M70" s="13" t="b">
        <f>NOT(ISNA(VLOOKUP(A70,PC!A:A,1,FALSE)))</f>
        <v>0</v>
      </c>
      <c r="N70" s="13" t="b">
        <f>NOT(ISNA(VLOOKUP(A70,'Game Pass Premium'!A:A,1,FALSE)))</f>
        <v>0</v>
      </c>
      <c r="O70" s="13" t="b">
        <f>NOT(ISNA(VLOOKUP(A70,'Game Pass Essential'!A:A,1,FALSE)))</f>
        <v>0</v>
      </c>
    </row>
    <row r="71">
      <c r="A71" s="12" t="str">
        <f>IFERROR(__xludf.DUMMYFUNCTION("""COMPUTED_VALUE"""),"Spelunky")</f>
        <v>Spelunky</v>
      </c>
      <c r="B71" s="13" t="str">
        <f>IFERROR(__xludf.DUMMYFUNCTION("""COMPUTED_VALUE"""),"XB360/OG Xbox")</f>
        <v>XB360/OG Xbox</v>
      </c>
      <c r="C71" s="14"/>
      <c r="D71" s="14" t="str">
        <f>IFERROR(__xludf.DUMMYFUNCTION("""COMPUTED_VALUE"""),"GwG Permanent")</f>
        <v>GwG Permanent</v>
      </c>
      <c r="E71" s="15">
        <f>IFERROR(__xludf.DUMMYFUNCTION("""COMPUTED_VALUE"""),42583.0)</f>
        <v>42583</v>
      </c>
      <c r="F71" s="16">
        <f>IFERROR(__xludf.DUMMYFUNCTION("""COMPUTED_VALUE"""),42597.0)</f>
        <v>42597</v>
      </c>
      <c r="G71" s="18">
        <f>IFERROR(__xludf.DUMMYFUNCTION("""COMPUTED_VALUE"""),0.4666666666666667)</f>
        <v>0.4666666667</v>
      </c>
      <c r="H71" s="15">
        <f>IFERROR(__xludf.DUMMYFUNCTION("""COMPUTED_VALUE"""),41262.0)</f>
        <v>41262</v>
      </c>
      <c r="I71" s="18">
        <f>IFERROR(__xludf.DUMMYFUNCTION("""COMPUTED_VALUE"""),3.6166666666666667)</f>
        <v>3.616666667</v>
      </c>
      <c r="J71" s="22">
        <f>IFERROR(__xludf.DUMMYFUNCTION("""COMPUTED_VALUE"""),89.0)</f>
        <v>89</v>
      </c>
      <c r="K71" s="22">
        <f>IFERROR(__xludf.DUMMYFUNCTION("""COMPUTED_VALUE"""),6.0)</f>
        <v>6</v>
      </c>
      <c r="L71" s="26" t="str">
        <f>IFERROR(__xludf.DUMMYFUNCTION("""COMPUTED_VALUE"""),"Platformer")</f>
        <v>Platformer</v>
      </c>
      <c r="M71" s="13" t="b">
        <f>NOT(ISNA(VLOOKUP(A71,PC!A:A,1,FALSE)))</f>
        <v>0</v>
      </c>
      <c r="N71" s="13" t="b">
        <f>NOT(ISNA(VLOOKUP(A71,'Game Pass Premium'!A:A,1,FALSE)))</f>
        <v>0</v>
      </c>
      <c r="O71" s="13" t="b">
        <f>NOT(ISNA(VLOOKUP(A71,'Game Pass Essential'!A:A,1,FALSE)))</f>
        <v>0</v>
      </c>
    </row>
    <row r="72">
      <c r="A72" s="12" t="str">
        <f>IFERROR(__xludf.DUMMYFUNCTION("""COMPUTED_VALUE"""),"XCOM: Enemy Unknown")</f>
        <v>XCOM: Enemy Unknown</v>
      </c>
      <c r="B72" s="13" t="str">
        <f>IFERROR(__xludf.DUMMYFUNCTION("""COMPUTED_VALUE"""),"XB360/OG Xbox")</f>
        <v>XB360/OG Xbox</v>
      </c>
      <c r="C72" s="14"/>
      <c r="D72" s="14" t="str">
        <f>IFERROR(__xludf.DUMMYFUNCTION("""COMPUTED_VALUE"""),"GwG Permanent")</f>
        <v>GwG Permanent</v>
      </c>
      <c r="E72" s="15">
        <f>IFERROR(__xludf.DUMMYFUNCTION("""COMPUTED_VALUE"""),42537.0)</f>
        <v>42537</v>
      </c>
      <c r="F72" s="16">
        <f>IFERROR(__xludf.DUMMYFUNCTION("""COMPUTED_VALUE"""),42551.0)</f>
        <v>42551</v>
      </c>
      <c r="G72" s="18">
        <f>IFERROR(__xludf.DUMMYFUNCTION("""COMPUTED_VALUE"""),0.4666666666666667)</f>
        <v>0.4666666667</v>
      </c>
      <c r="H72" s="15">
        <f>IFERROR(__xludf.DUMMYFUNCTION("""COMPUTED_VALUE"""),41191.0)</f>
        <v>41191</v>
      </c>
      <c r="I72" s="18">
        <f>IFERROR(__xludf.DUMMYFUNCTION("""COMPUTED_VALUE"""),3.686111111111111)</f>
        <v>3.686111111</v>
      </c>
      <c r="J72" s="22">
        <f>IFERROR(__xludf.DUMMYFUNCTION("""COMPUTED_VALUE"""),89.0)</f>
        <v>89</v>
      </c>
      <c r="K72" s="22">
        <f>IFERROR(__xludf.DUMMYFUNCTION("""COMPUTED_VALUE"""),40.0)</f>
        <v>40</v>
      </c>
      <c r="L72" s="26" t="str">
        <f>IFERROR(__xludf.DUMMYFUNCTION("""COMPUTED_VALUE"""),"Strategy")</f>
        <v>Strategy</v>
      </c>
      <c r="M72" s="13" t="b">
        <f>NOT(ISNA(VLOOKUP(A72,PC!A:A,1,FALSE)))</f>
        <v>0</v>
      </c>
      <c r="N72" s="13" t="b">
        <f>NOT(ISNA(VLOOKUP(A72,'Game Pass Premium'!A:A,1,FALSE)))</f>
        <v>0</v>
      </c>
      <c r="O72" s="13" t="b">
        <f>NOT(ISNA(VLOOKUP(A72,'Game Pass Essential'!A:A,1,FALSE)))</f>
        <v>0</v>
      </c>
    </row>
    <row r="73">
      <c r="A73" s="12" t="str">
        <f>IFERROR(__xludf.DUMMYFUNCTION("""COMPUTED_VALUE"""),"Dead Space")</f>
        <v>Dead Space</v>
      </c>
      <c r="B73" s="13" t="str">
        <f>IFERROR(__xludf.DUMMYFUNCTION("""COMPUTED_VALUE"""),"XB360/OG Xbox")</f>
        <v>XB360/OG Xbox</v>
      </c>
      <c r="C73" s="14"/>
      <c r="D73" s="14" t="str">
        <f>IFERROR(__xludf.DUMMYFUNCTION("""COMPUTED_VALUE"""),"GwG Permanent")</f>
        <v>GwG Permanent</v>
      </c>
      <c r="E73" s="15">
        <f>IFERROR(__xludf.DUMMYFUNCTION("""COMPUTED_VALUE"""),42461.0)</f>
        <v>42461</v>
      </c>
      <c r="F73" s="16">
        <f>IFERROR(__xludf.DUMMYFUNCTION("""COMPUTED_VALUE"""),42475.0)</f>
        <v>42475</v>
      </c>
      <c r="G73" s="18">
        <f>IFERROR(__xludf.DUMMYFUNCTION("""COMPUTED_VALUE"""),0.4666666666666667)</f>
        <v>0.4666666667</v>
      </c>
      <c r="H73" s="15">
        <f>IFERROR(__xludf.DUMMYFUNCTION("""COMPUTED_VALUE"""),39735.0)</f>
        <v>39735</v>
      </c>
      <c r="I73" s="18">
        <f>IFERROR(__xludf.DUMMYFUNCTION("""COMPUTED_VALUE"""),7.463888888888889)</f>
        <v>7.463888889</v>
      </c>
      <c r="J73" s="22">
        <f>IFERROR(__xludf.DUMMYFUNCTION("""COMPUTED_VALUE"""),89.0)</f>
        <v>89</v>
      </c>
      <c r="K73" s="22">
        <f>IFERROR(__xludf.DUMMYFUNCTION("""COMPUTED_VALUE"""),12.0)</f>
        <v>12</v>
      </c>
      <c r="L73" s="26" t="str">
        <f>IFERROR(__xludf.DUMMYFUNCTION("""COMPUTED_VALUE"""),"Action-Adventure")</f>
        <v>Action-Adventure</v>
      </c>
      <c r="M73" s="13" t="b">
        <f>NOT(ISNA(VLOOKUP(A73,PC!A:A,1,FALSE)))</f>
        <v>1</v>
      </c>
      <c r="N73" s="13" t="b">
        <f>NOT(ISNA(VLOOKUP(A73,'Game Pass Premium'!A:A,1,FALSE)))</f>
        <v>1</v>
      </c>
      <c r="O73" s="13" t="b">
        <f>NOT(ISNA(VLOOKUP(A73,'Game Pass Essential'!A:A,1,FALSE)))</f>
        <v>0</v>
      </c>
    </row>
    <row r="74">
      <c r="A74" s="12" t="str">
        <f>IFERROR(__xludf.DUMMYFUNCTION("""COMPUTED_VALUE"""),"Deus Ex: Human Revolution")</f>
        <v>Deus Ex: Human Revolution</v>
      </c>
      <c r="B74" s="13" t="str">
        <f>IFERROR(__xludf.DUMMYFUNCTION("""COMPUTED_VALUE"""),"XB360/OG Xbox")</f>
        <v>XB360/OG Xbox</v>
      </c>
      <c r="C74" s="14"/>
      <c r="D74" s="14" t="str">
        <f>IFERROR(__xludf.DUMMYFUNCTION("""COMPUTED_VALUE"""),"GwG Permanent")</f>
        <v>GwG Permanent</v>
      </c>
      <c r="E74" s="15">
        <f>IFERROR(__xludf.DUMMYFUNCTION("""COMPUTED_VALUE"""),42385.0)</f>
        <v>42385</v>
      </c>
      <c r="F74" s="16">
        <f>IFERROR(__xludf.DUMMYFUNCTION("""COMPUTED_VALUE"""),42400.0)</f>
        <v>42400</v>
      </c>
      <c r="G74" s="18">
        <f>IFERROR(__xludf.DUMMYFUNCTION("""COMPUTED_VALUE"""),0.4666666666666667)</f>
        <v>0.4666666667</v>
      </c>
      <c r="H74" s="15">
        <f>IFERROR(__xludf.DUMMYFUNCTION("""COMPUTED_VALUE"""),40778.0)</f>
        <v>40778</v>
      </c>
      <c r="I74" s="18">
        <f>IFERROR(__xludf.DUMMYFUNCTION("""COMPUTED_VALUE"""),4.397222222222222)</f>
        <v>4.397222222</v>
      </c>
      <c r="J74" s="22">
        <f>IFERROR(__xludf.DUMMYFUNCTION("""COMPUTED_VALUE"""),89.0)</f>
        <v>89</v>
      </c>
      <c r="K74" s="22">
        <f>IFERROR(__xludf.DUMMYFUNCTION("""COMPUTED_VALUE"""),20.0)</f>
        <v>20</v>
      </c>
      <c r="L74" s="26" t="str">
        <f>IFERROR(__xludf.DUMMYFUNCTION("""COMPUTED_VALUE"""),"Action-Adventure")</f>
        <v>Action-Adventure</v>
      </c>
      <c r="M74" s="13" t="b">
        <f>NOT(ISNA(VLOOKUP(A74,PC!A:A,1,FALSE)))</f>
        <v>0</v>
      </c>
      <c r="N74" s="13" t="b">
        <f>NOT(ISNA(VLOOKUP(A74,'Game Pass Premium'!A:A,1,FALSE)))</f>
        <v>0</v>
      </c>
      <c r="O74" s="13" t="b">
        <f>NOT(ISNA(VLOOKUP(A74,'Game Pass Essential'!A:A,1,FALSE)))</f>
        <v>0</v>
      </c>
    </row>
    <row r="75">
      <c r="A75" s="12" t="str">
        <f>IFERROR(__xludf.DUMMYFUNCTION("""COMPUTED_VALUE"""),"Dark Souls")</f>
        <v>Dark Souls</v>
      </c>
      <c r="B75" s="13" t="str">
        <f>IFERROR(__xludf.DUMMYFUNCTION("""COMPUTED_VALUE"""),"XB360/OG Xbox")</f>
        <v>XB360/OG Xbox</v>
      </c>
      <c r="C75" s="14"/>
      <c r="D75" s="14" t="str">
        <f>IFERROR(__xludf.DUMMYFUNCTION("""COMPUTED_VALUE"""),"GwG Permanent")</f>
        <v>GwG Permanent</v>
      </c>
      <c r="E75" s="15">
        <f>IFERROR(__xludf.DUMMYFUNCTION("""COMPUTED_VALUE"""),41791.0)</f>
        <v>41791</v>
      </c>
      <c r="F75" s="16">
        <f>IFERROR(__xludf.DUMMYFUNCTION("""COMPUTED_VALUE"""),41805.0)</f>
        <v>41805</v>
      </c>
      <c r="G75" s="18">
        <f>IFERROR(__xludf.DUMMYFUNCTION("""COMPUTED_VALUE"""),0.4666666666666667)</f>
        <v>0.4666666667</v>
      </c>
      <c r="H75" s="15">
        <f>IFERROR(__xludf.DUMMYFUNCTION("""COMPUTED_VALUE"""),40823.0)</f>
        <v>40823</v>
      </c>
      <c r="I75" s="18">
        <f>IFERROR(__xludf.DUMMYFUNCTION("""COMPUTED_VALUE"""),2.65)</f>
        <v>2.65</v>
      </c>
      <c r="J75" s="22">
        <f>IFERROR(__xludf.DUMMYFUNCTION("""COMPUTED_VALUE"""),89.0)</f>
        <v>89</v>
      </c>
      <c r="K75" s="22">
        <f>IFERROR(__xludf.DUMMYFUNCTION("""COMPUTED_VALUE"""),45.0)</f>
        <v>45</v>
      </c>
      <c r="L75" s="26" t="str">
        <f>IFERROR(__xludf.DUMMYFUNCTION("""COMPUTED_VALUE"""),"Action-Adventure")</f>
        <v>Action-Adventure</v>
      </c>
      <c r="M75" s="13" t="b">
        <f>NOT(ISNA(VLOOKUP(A75,PC!A:A,1,FALSE)))</f>
        <v>0</v>
      </c>
      <c r="N75" s="13" t="b">
        <f>NOT(ISNA(VLOOKUP(A75,'Game Pass Premium'!A:A,1,FALSE)))</f>
        <v>0</v>
      </c>
      <c r="O75" s="13" t="b">
        <f>NOT(ISNA(VLOOKUP(A75,'Game Pass Essential'!A:A,1,FALSE)))</f>
        <v>0</v>
      </c>
    </row>
    <row r="76">
      <c r="A76" s="12" t="str">
        <f>IFERROR(__xludf.DUMMYFUNCTION("""COMPUTED_VALUE"""),"It Takes Two")</f>
        <v>It Takes Two</v>
      </c>
      <c r="B76" s="13" t="str">
        <f>IFERROR(__xludf.DUMMYFUNCTION("""COMPUTED_VALUE"""),"Xbox / PC")</f>
        <v>Xbox / PC</v>
      </c>
      <c r="C76" s="14" t="str">
        <f>IFERROR(__xludf.DUMMYFUNCTION("""COMPUTED_VALUE"""),"Yes")</f>
        <v>Yes</v>
      </c>
      <c r="D76" s="14" t="str">
        <f>IFERROR(__xludf.DUMMYFUNCTION("""COMPUTED_VALUE"""),"Active")</f>
        <v>Active</v>
      </c>
      <c r="E76" s="15">
        <f>IFERROR(__xludf.DUMMYFUNCTION("""COMPUTED_VALUE"""),44504.0)</f>
        <v>44504</v>
      </c>
      <c r="F76" s="16"/>
      <c r="G76" s="18">
        <f>IFERROR(__xludf.DUMMYFUNCTION("""COMPUTED_VALUE"""),59.06666666666667)</f>
        <v>59.06666667</v>
      </c>
      <c r="H76" s="15">
        <f>IFERROR(__xludf.DUMMYFUNCTION("""COMPUTED_VALUE"""),44281.0)</f>
        <v>44281</v>
      </c>
      <c r="I76" s="18">
        <f>IFERROR(__xludf.DUMMYFUNCTION("""COMPUTED_VALUE"""),0.6055555555555555)</f>
        <v>0.6055555556</v>
      </c>
      <c r="J76" s="22">
        <f>IFERROR(__xludf.DUMMYFUNCTION("""COMPUTED_VALUE"""),88.5)</f>
        <v>88.5</v>
      </c>
      <c r="K76" s="22">
        <f>IFERROR(__xludf.DUMMYFUNCTION("""COMPUTED_VALUE"""),12.0)</f>
        <v>12</v>
      </c>
      <c r="L76" s="26" t="str">
        <f>IFERROR(__xludf.DUMMYFUNCTION("""COMPUTED_VALUE"""),"Platformer")</f>
        <v>Platformer</v>
      </c>
      <c r="M76" s="13" t="b">
        <f>NOT(ISNA(VLOOKUP(A76,PC!A:A,1,FALSE)))</f>
        <v>1</v>
      </c>
      <c r="N76" s="13" t="b">
        <f>NOT(ISNA(VLOOKUP(A76,'Game Pass Premium'!A:A,1,FALSE)))</f>
        <v>1</v>
      </c>
      <c r="O76" s="13" t="b">
        <f>NOT(ISNA(VLOOKUP(A76,'Game Pass Essential'!A:A,1,FALSE)))</f>
        <v>0</v>
      </c>
    </row>
    <row r="77">
      <c r="A77" s="12" t="str">
        <f>IFERROR(__xludf.DUMMYFUNCTION("""COMPUTED_VALUE"""),"Denshattack!")</f>
        <v>Denshattack!</v>
      </c>
      <c r="B77" s="13" t="str">
        <f>IFERROR(__xludf.DUMMYFUNCTION("""COMPUTED_VALUE"""),"Xbox / PC")</f>
        <v>Xbox / PC</v>
      </c>
      <c r="C77" s="14" t="str">
        <f>IFERROR(__xludf.DUMMYFUNCTION("""COMPUTED_VALUE"""),"Yes")</f>
        <v>Yes</v>
      </c>
      <c r="D77" s="14" t="str">
        <f>IFERROR(__xludf.DUMMYFUNCTION("""COMPUTED_VALUE"""),"Active")</f>
        <v>Active</v>
      </c>
      <c r="E77" s="15">
        <f>IFERROR(__xludf.DUMMYFUNCTION("""COMPUTED_VALUE"""),46218.0)</f>
        <v>46218</v>
      </c>
      <c r="F77" s="16"/>
      <c r="G77" s="18">
        <f>IFERROR(__xludf.DUMMYFUNCTION("""COMPUTED_VALUE"""),2.7)</f>
        <v>2.7</v>
      </c>
      <c r="H77" s="15">
        <f>IFERROR(__xludf.DUMMYFUNCTION("""COMPUTED_VALUE"""),45853.0)</f>
        <v>45853</v>
      </c>
      <c r="I77" s="18">
        <f>IFERROR(__xludf.DUMMYFUNCTION("""COMPUTED_VALUE"""),1.0)</f>
        <v>1</v>
      </c>
      <c r="J77" s="22">
        <f>IFERROR(__xludf.DUMMYFUNCTION("""COMPUTED_VALUE"""),88.0)</f>
        <v>88</v>
      </c>
      <c r="K77" s="22">
        <f>IFERROR(__xludf.DUMMYFUNCTION("""COMPUTED_VALUE"""),9.0)</f>
        <v>9</v>
      </c>
      <c r="L77" s="26" t="str">
        <f>IFERROR(__xludf.DUMMYFUNCTION("""COMPUTED_VALUE"""),"Action-Adventure")</f>
        <v>Action-Adventure</v>
      </c>
      <c r="M77" s="13" t="b">
        <f>NOT(ISNA(VLOOKUP(A77,PC!A:A,1,FALSE)))</f>
        <v>1</v>
      </c>
      <c r="N77" s="13" t="b">
        <f>NOT(ISNA(VLOOKUP(A77,'Game Pass Premium'!A:A,1,FALSE)))</f>
        <v>0</v>
      </c>
      <c r="O77" s="13" t="b">
        <f>NOT(ISNA(VLOOKUP(A77,'Game Pass Essential'!A:A,1,FALSE)))</f>
        <v>0</v>
      </c>
    </row>
    <row r="78">
      <c r="A78" s="12" t="str">
        <f>IFERROR(__xludf.DUMMYFUNCTION("""COMPUTED_VALUE"""),"Kingdom Come: Deliverance II")</f>
        <v>Kingdom Come: Deliverance II</v>
      </c>
      <c r="B78" s="13" t="str">
        <f>IFERROR(__xludf.DUMMYFUNCTION("""COMPUTED_VALUE"""),"Xbox / PC")</f>
        <v>Xbox / PC</v>
      </c>
      <c r="C78" s="14" t="str">
        <f>IFERROR(__xludf.DUMMYFUNCTION("""COMPUTED_VALUE"""),"Yes")</f>
        <v>Yes</v>
      </c>
      <c r="D78" s="14" t="str">
        <f>IFERROR(__xludf.DUMMYFUNCTION("""COMPUTED_VALUE"""),"Active")</f>
        <v>Active</v>
      </c>
      <c r="E78" s="15">
        <f>IFERROR(__xludf.DUMMYFUNCTION("""COMPUTED_VALUE"""),46084.0)</f>
        <v>46084</v>
      </c>
      <c r="F78" s="16"/>
      <c r="G78" s="18">
        <f>IFERROR(__xludf.DUMMYFUNCTION("""COMPUTED_VALUE"""),7.1)</f>
        <v>7.1</v>
      </c>
      <c r="H78" s="15">
        <f>IFERROR(__xludf.DUMMYFUNCTION("""COMPUTED_VALUE"""),45699.0)</f>
        <v>45699</v>
      </c>
      <c r="I78" s="18">
        <f>IFERROR(__xludf.DUMMYFUNCTION("""COMPUTED_VALUE"""),1.0611111111111111)</f>
        <v>1.061111111</v>
      </c>
      <c r="J78" s="22">
        <f>IFERROR(__xludf.DUMMYFUNCTION("""COMPUTED_VALUE"""),88.0)</f>
        <v>88</v>
      </c>
      <c r="K78" s="22">
        <f>IFERROR(__xludf.DUMMYFUNCTION("""COMPUTED_VALUE"""),40.0)</f>
        <v>40</v>
      </c>
      <c r="L78" s="26" t="str">
        <f>IFERROR(__xludf.DUMMYFUNCTION("""COMPUTED_VALUE"""),"Action-Adventure")</f>
        <v>Action-Adventure</v>
      </c>
      <c r="M78" s="13" t="b">
        <f>NOT(ISNA(VLOOKUP(A78,PC!A:A,1,FALSE)))</f>
        <v>1</v>
      </c>
      <c r="N78" s="13" t="b">
        <f>NOT(ISNA(VLOOKUP(A78,'Game Pass Premium'!A:A,1,FALSE)))</f>
        <v>1</v>
      </c>
      <c r="O78" s="13" t="b">
        <f>NOT(ISNA(VLOOKUP(A78,'Game Pass Essential'!A:A,1,FALSE)))</f>
        <v>0</v>
      </c>
    </row>
    <row r="79">
      <c r="A79" s="12" t="str">
        <f>IFERROR(__xludf.DUMMYFUNCTION("""COMPUTED_VALUE"""),"The Talos Principle 2: Road to Elysium")</f>
        <v>The Talos Principle 2: Road to Elysium</v>
      </c>
      <c r="B79" s="13" t="str">
        <f>IFERROR(__xludf.DUMMYFUNCTION("""COMPUTED_VALUE"""),"Xbox / PC")</f>
        <v>Xbox / PC</v>
      </c>
      <c r="C79" s="14"/>
      <c r="D79" s="14" t="str">
        <f>IFERROR(__xludf.DUMMYFUNCTION("""COMPUTED_VALUE"""),"Active")</f>
        <v>Active</v>
      </c>
      <c r="E79" s="15">
        <f>IFERROR(__xludf.DUMMYFUNCTION("""COMPUTED_VALUE"""),46049.0)</f>
        <v>46049</v>
      </c>
      <c r="F79" s="16"/>
      <c r="G79" s="18">
        <f>IFERROR(__xludf.DUMMYFUNCTION("""COMPUTED_VALUE"""),8.3)</f>
        <v>8.3</v>
      </c>
      <c r="H79" s="15">
        <f>IFERROR(__xludf.DUMMYFUNCTION("""COMPUTED_VALUE"""),45457.0)</f>
        <v>45457</v>
      </c>
      <c r="I79" s="18">
        <f>IFERROR(__xludf.DUMMYFUNCTION("""COMPUTED_VALUE"""),1.6194444444444445)</f>
        <v>1.619444444</v>
      </c>
      <c r="J79" s="22">
        <f>IFERROR(__xludf.DUMMYFUNCTION("""COMPUTED_VALUE"""),88.0)</f>
        <v>88</v>
      </c>
      <c r="K79" s="22">
        <f>IFERROR(__xludf.DUMMYFUNCTION("""COMPUTED_VALUE"""),20.0)</f>
        <v>20</v>
      </c>
      <c r="L79" s="26" t="str">
        <f>IFERROR(__xludf.DUMMYFUNCTION("""COMPUTED_VALUE"""),"Action-Adventure")</f>
        <v>Action-Adventure</v>
      </c>
      <c r="M79" s="13" t="b">
        <f>NOT(ISNA(VLOOKUP(A79,PC!A:A,1,FALSE)))</f>
        <v>1</v>
      </c>
      <c r="N79" s="13" t="b">
        <f>NOT(ISNA(VLOOKUP(A79,'Game Pass Premium'!A:A,1,FALSE)))</f>
        <v>1</v>
      </c>
      <c r="O79" s="13" t="b">
        <f>NOT(ISNA(VLOOKUP(A79,'Game Pass Essential'!A:A,1,FALSE)))</f>
        <v>0</v>
      </c>
    </row>
    <row r="80">
      <c r="A80" s="12" t="str">
        <f>IFERROR(__xludf.DUMMYFUNCTION("""COMPUTED_VALUE"""),"Halls of Torment")</f>
        <v>Halls of Torment</v>
      </c>
      <c r="B80" s="13" t="str">
        <f>IFERROR(__xludf.DUMMYFUNCTION("""COMPUTED_VALUE"""),"Xbox / PC")</f>
        <v>Xbox / PC</v>
      </c>
      <c r="C80" s="14" t="str">
        <f>IFERROR(__xludf.DUMMYFUNCTION("""COMPUTED_VALUE"""),"Yes")</f>
        <v>Yes</v>
      </c>
      <c r="D80" s="14" t="str">
        <f>IFERROR(__xludf.DUMMYFUNCTION("""COMPUTED_VALUE"""),"Active")</f>
        <v>Active</v>
      </c>
      <c r="E80" s="15">
        <f>IFERROR(__xludf.DUMMYFUNCTION("""COMPUTED_VALUE"""),45958.0)</f>
        <v>45958</v>
      </c>
      <c r="F80" s="16"/>
      <c r="G80" s="18">
        <f>IFERROR(__xludf.DUMMYFUNCTION("""COMPUTED_VALUE"""),11.266666666666666)</f>
        <v>11.26666667</v>
      </c>
      <c r="H80" s="15">
        <f>IFERROR(__xludf.DUMMYFUNCTION("""COMPUTED_VALUE"""),45559.0)</f>
        <v>45559</v>
      </c>
      <c r="I80" s="18">
        <f>IFERROR(__xludf.DUMMYFUNCTION("""COMPUTED_VALUE"""),1.0944444444444446)</f>
        <v>1.094444444</v>
      </c>
      <c r="J80" s="22">
        <f>IFERROR(__xludf.DUMMYFUNCTION("""COMPUTED_VALUE"""),88.0)</f>
        <v>88</v>
      </c>
      <c r="K80" s="22">
        <f>IFERROR(__xludf.DUMMYFUNCTION("""COMPUTED_VALUE"""),12.0)</f>
        <v>12</v>
      </c>
      <c r="L80" s="26" t="str">
        <f>IFERROR(__xludf.DUMMYFUNCTION("""COMPUTED_VALUE"""),"Shoot-'Em-Up")</f>
        <v>Shoot-'Em-Up</v>
      </c>
      <c r="M80" s="13" t="b">
        <f>NOT(ISNA(VLOOKUP(A80,PC!A:A,1,FALSE)))</f>
        <v>1</v>
      </c>
      <c r="N80" s="13" t="b">
        <f>NOT(ISNA(VLOOKUP(A80,'Game Pass Premium'!A:A,1,FALSE)))</f>
        <v>1</v>
      </c>
      <c r="O80" s="13" t="b">
        <f>NOT(ISNA(VLOOKUP(A80,'Game Pass Essential'!A:A,1,FALSE)))</f>
        <v>0</v>
      </c>
    </row>
    <row r="81">
      <c r="A81" s="12" t="str">
        <f>IFERROR(__xludf.DUMMYFUNCTION("""COMPUTED_VALUE"""),"Assassin's Creed IV Black Flag")</f>
        <v>Assassin's Creed IV Black Flag</v>
      </c>
      <c r="B81" s="13" t="str">
        <f>IFERROR(__xludf.DUMMYFUNCTION("""COMPUTED_VALUE"""),"Xbox / PC")</f>
        <v>Xbox / PC</v>
      </c>
      <c r="C81" s="14" t="str">
        <f>IFERROR(__xludf.DUMMYFUNCTION("""COMPUTED_VALUE"""),"Yes")</f>
        <v>Yes</v>
      </c>
      <c r="D81" s="14" t="str">
        <f>IFERROR(__xludf.DUMMYFUNCTION("""COMPUTED_VALUE"""),"Active")</f>
        <v>Active</v>
      </c>
      <c r="E81" s="15">
        <f>IFERROR(__xludf.DUMMYFUNCTION("""COMPUTED_VALUE"""),45931.0)</f>
        <v>45931</v>
      </c>
      <c r="F81" s="16"/>
      <c r="G81" s="18">
        <f>IFERROR(__xludf.DUMMYFUNCTION("""COMPUTED_VALUE"""),12.166666666666666)</f>
        <v>12.16666667</v>
      </c>
      <c r="H81" s="15">
        <f>IFERROR(__xludf.DUMMYFUNCTION("""COMPUTED_VALUE"""),41576.0)</f>
        <v>41576</v>
      </c>
      <c r="I81" s="18">
        <f>IFERROR(__xludf.DUMMYFUNCTION("""COMPUTED_VALUE"""),11.922222222222222)</f>
        <v>11.92222222</v>
      </c>
      <c r="J81" s="22">
        <f>IFERROR(__xludf.DUMMYFUNCTION("""COMPUTED_VALUE"""),88.0)</f>
        <v>88</v>
      </c>
      <c r="K81" s="22">
        <f>IFERROR(__xludf.DUMMYFUNCTION("""COMPUTED_VALUE"""),24.0)</f>
        <v>24</v>
      </c>
      <c r="L81" s="26" t="str">
        <f>IFERROR(__xludf.DUMMYFUNCTION("""COMPUTED_VALUE"""),"Action-Adventure")</f>
        <v>Action-Adventure</v>
      </c>
      <c r="M81" s="13" t="b">
        <f>NOT(ISNA(VLOOKUP(A81,PC!A:A,1,FALSE)))</f>
        <v>1</v>
      </c>
      <c r="N81" s="13" t="b">
        <f>NOT(ISNA(VLOOKUP(A81,'Game Pass Premium'!A:A,1,FALSE)))</f>
        <v>0</v>
      </c>
      <c r="O81" s="13" t="b">
        <f>NOT(ISNA(VLOOKUP(A81,'Game Pass Essential'!A:A,1,FALSE)))</f>
        <v>0</v>
      </c>
    </row>
    <row r="82">
      <c r="A82" s="12" t="str">
        <f>IFERROR(__xludf.DUMMYFUNCTION("""COMPUTED_VALUE"""),"Far Cry 3")</f>
        <v>Far Cry 3</v>
      </c>
      <c r="B82" s="13" t="str">
        <f>IFERROR(__xludf.DUMMYFUNCTION("""COMPUTED_VALUE"""),"Xbox / PC")</f>
        <v>Xbox / PC</v>
      </c>
      <c r="C82" s="14" t="str">
        <f>IFERROR(__xludf.DUMMYFUNCTION("""COMPUTED_VALUE"""),"Yes")</f>
        <v>Yes</v>
      </c>
      <c r="D82" s="14" t="str">
        <f>IFERROR(__xludf.DUMMYFUNCTION("""COMPUTED_VALUE"""),"Active")</f>
        <v>Active</v>
      </c>
      <c r="E82" s="15">
        <f>IFERROR(__xludf.DUMMYFUNCTION("""COMPUTED_VALUE"""),45931.0)</f>
        <v>45931</v>
      </c>
      <c r="F82" s="16"/>
      <c r="G82" s="18">
        <f>IFERROR(__xludf.DUMMYFUNCTION("""COMPUTED_VALUE"""),12.166666666666666)</f>
        <v>12.16666667</v>
      </c>
      <c r="H82" s="15">
        <f>IFERROR(__xludf.DUMMYFUNCTION("""COMPUTED_VALUE"""),41247.0)</f>
        <v>41247</v>
      </c>
      <c r="I82" s="18">
        <f>IFERROR(__xludf.DUMMYFUNCTION("""COMPUTED_VALUE"""),12.825)</f>
        <v>12.825</v>
      </c>
      <c r="J82" s="22">
        <f>IFERROR(__xludf.DUMMYFUNCTION("""COMPUTED_VALUE"""),88.0)</f>
        <v>88</v>
      </c>
      <c r="K82" s="22">
        <f>IFERROR(__xludf.DUMMYFUNCTION("""COMPUTED_VALUE"""),16.0)</f>
        <v>16</v>
      </c>
      <c r="L82" s="26" t="str">
        <f>IFERROR(__xludf.DUMMYFUNCTION("""COMPUTED_VALUE"""),"Action-Adventure")</f>
        <v>Action-Adventure</v>
      </c>
      <c r="M82" s="13" t="b">
        <f>NOT(ISNA(VLOOKUP(A82,PC!A:A,1,FALSE)))</f>
        <v>1</v>
      </c>
      <c r="N82" s="13" t="b">
        <f>NOT(ISNA(VLOOKUP(A82,'Game Pass Premium'!A:A,1,FALSE)))</f>
        <v>0</v>
      </c>
      <c r="O82" s="13" t="b">
        <f>NOT(ISNA(VLOOKUP(A82,'Game Pass Essential'!A:A,1,FALSE)))</f>
        <v>0</v>
      </c>
    </row>
    <row r="83">
      <c r="A83" s="12" t="str">
        <f>IFERROR(__xludf.DUMMYFUNCTION("""COMPUTED_VALUE"""),"Abiotic Factor")</f>
        <v>Abiotic Factor</v>
      </c>
      <c r="B83" s="13" t="str">
        <f>IFERROR(__xludf.DUMMYFUNCTION("""COMPUTED_VALUE"""),"Xbox / PC")</f>
        <v>Xbox / PC</v>
      </c>
      <c r="C83" s="14" t="str">
        <f>IFERROR(__xludf.DUMMYFUNCTION("""COMPUTED_VALUE"""),"Yes")</f>
        <v>Yes</v>
      </c>
      <c r="D83" s="14" t="str">
        <f>IFERROR(__xludf.DUMMYFUNCTION("""COMPUTED_VALUE"""),"Active")</f>
        <v>Active</v>
      </c>
      <c r="E83" s="15">
        <f>IFERROR(__xludf.DUMMYFUNCTION("""COMPUTED_VALUE"""),45860.0)</f>
        <v>45860</v>
      </c>
      <c r="F83" s="16"/>
      <c r="G83" s="18">
        <f>IFERROR(__xludf.DUMMYFUNCTION("""COMPUTED_VALUE"""),14.466666666666665)</f>
        <v>14.46666667</v>
      </c>
      <c r="H83" s="15">
        <f>IFERROR(__xludf.DUMMYFUNCTION("""COMPUTED_VALUE"""),45860.0)</f>
        <v>45860</v>
      </c>
      <c r="I83" s="18">
        <f>IFERROR(__xludf.DUMMYFUNCTION("""COMPUTED_VALUE"""),0.0)</f>
        <v>0</v>
      </c>
      <c r="J83" s="22">
        <f>IFERROR(__xludf.DUMMYFUNCTION("""COMPUTED_VALUE"""),88.0)</f>
        <v>88</v>
      </c>
      <c r="K83" s="22">
        <f>IFERROR(__xludf.DUMMYFUNCTION("""COMPUTED_VALUE"""),33.0)</f>
        <v>33</v>
      </c>
      <c r="L83" s="26" t="str">
        <f>IFERROR(__xludf.DUMMYFUNCTION("""COMPUTED_VALUE"""),"Survival")</f>
        <v>Survival</v>
      </c>
      <c r="M83" s="13" t="b">
        <f>NOT(ISNA(VLOOKUP(A83,PC!A:A,1,FALSE)))</f>
        <v>1</v>
      </c>
      <c r="N83" s="13" t="b">
        <f>NOT(ISNA(VLOOKUP(A83,'Game Pass Premium'!A:A,1,FALSE)))</f>
        <v>1</v>
      </c>
      <c r="O83" s="13" t="b">
        <f>NOT(ISNA(VLOOKUP(A83,'Game Pass Essential'!A:A,1,FALSE)))</f>
        <v>0</v>
      </c>
    </row>
    <row r="84">
      <c r="A84" s="12" t="str">
        <f>IFERROR(__xludf.DUMMYFUNCTION("""COMPUTED_VALUE"""),"Quest for Glory: So You Want to Be a Hero")</f>
        <v>Quest for Glory: So You Want to Be a Hero</v>
      </c>
      <c r="B84" s="13" t="str">
        <f>IFERROR(__xludf.DUMMYFUNCTION("""COMPUTED_VALUE"""),"Xbox / PC")</f>
        <v>Xbox / PC</v>
      </c>
      <c r="C84" s="14" t="str">
        <f>IFERROR(__xludf.DUMMYFUNCTION("""COMPUTED_VALUE"""),"Yes")</f>
        <v>Yes</v>
      </c>
      <c r="D84" s="14" t="str">
        <f>IFERROR(__xludf.DUMMYFUNCTION("""COMPUTED_VALUE"""),"Active")</f>
        <v>Active</v>
      </c>
      <c r="E84" s="15">
        <f>IFERROR(__xludf.DUMMYFUNCTION("""COMPUTED_VALUE"""),45798.0)</f>
        <v>45798</v>
      </c>
      <c r="F84" s="16"/>
      <c r="G84" s="18">
        <f>IFERROR(__xludf.DUMMYFUNCTION("""COMPUTED_VALUE"""),16.5)</f>
        <v>16.5</v>
      </c>
      <c r="H84" s="15">
        <f>IFERROR(__xludf.DUMMYFUNCTION("""COMPUTED_VALUE"""),32782.0)</f>
        <v>32782</v>
      </c>
      <c r="I84" s="18">
        <f>IFERROR(__xludf.DUMMYFUNCTION("""COMPUTED_VALUE"""),35.638888888888886)</f>
        <v>35.63888889</v>
      </c>
      <c r="J84" s="22">
        <f>IFERROR(__xludf.DUMMYFUNCTION("""COMPUTED_VALUE"""),88.0)</f>
        <v>88</v>
      </c>
      <c r="K84" s="22">
        <f>IFERROR(__xludf.DUMMYFUNCTION("""COMPUTED_VALUE"""),7.0)</f>
        <v>7</v>
      </c>
      <c r="L84" s="26" t="str">
        <f>IFERROR(__xludf.DUMMYFUNCTION("""COMPUTED_VALUE"""),"Action‑Adventure")</f>
        <v>Action‑Adventure</v>
      </c>
      <c r="M84" s="13" t="b">
        <f>NOT(ISNA(VLOOKUP(A84,PC!A:A,1,FALSE)))</f>
        <v>1</v>
      </c>
      <c r="N84" s="13" t="b">
        <f>NOT(ISNA(VLOOKUP(A84,'Game Pass Premium'!A:A,1,FALSE)))</f>
        <v>1</v>
      </c>
      <c r="O84" s="13" t="b">
        <f>NOT(ISNA(VLOOKUP(A84,'Game Pass Essential'!A:A,1,FALSE)))</f>
        <v>0</v>
      </c>
    </row>
    <row r="85">
      <c r="A85" s="12" t="str">
        <f>IFERROR(__xludf.DUMMYFUNCTION("""COMPUTED_VALUE"""),"Minecraft: Preview")</f>
        <v>Minecraft: Preview</v>
      </c>
      <c r="B85" s="13" t="str">
        <f>IFERROR(__xludf.DUMMYFUNCTION("""COMPUTED_VALUE"""),"Xbox / PC")</f>
        <v>Xbox / PC</v>
      </c>
      <c r="C85" s="14"/>
      <c r="D85" s="14" t="str">
        <f>IFERROR(__xludf.DUMMYFUNCTION("""COMPUTED_VALUE"""),"Active")</f>
        <v>Active</v>
      </c>
      <c r="E85" s="15">
        <f>IFERROR(__xludf.DUMMYFUNCTION("""COMPUTED_VALUE"""),45368.0)</f>
        <v>45368</v>
      </c>
      <c r="F85" s="16"/>
      <c r="G85" s="18">
        <f>IFERROR(__xludf.DUMMYFUNCTION("""COMPUTED_VALUE"""),30.633333333333333)</f>
        <v>30.63333333</v>
      </c>
      <c r="H85" s="15">
        <f>IFERROR(__xludf.DUMMYFUNCTION("""COMPUTED_VALUE"""),40865.0)</f>
        <v>40865</v>
      </c>
      <c r="I85" s="18">
        <f>IFERROR(__xludf.DUMMYFUNCTION("""COMPUTED_VALUE"""),12.330555555555556)</f>
        <v>12.33055556</v>
      </c>
      <c r="J85" s="22">
        <f>IFERROR(__xludf.DUMMYFUNCTION("""COMPUTED_VALUE"""),88.0)</f>
        <v>88</v>
      </c>
      <c r="K85" s="22">
        <f>IFERROR(__xludf.DUMMYFUNCTION("""COMPUTED_VALUE"""),116.0)</f>
        <v>116</v>
      </c>
      <c r="L85" s="26" t="str">
        <f>IFERROR(__xludf.DUMMYFUNCTION("""COMPUTED_VALUE"""),"Action-Adventure")</f>
        <v>Action-Adventure</v>
      </c>
      <c r="M85" s="13" t="b">
        <f>NOT(ISNA(VLOOKUP(A85,PC!A:A,1,FALSE)))</f>
        <v>1</v>
      </c>
      <c r="N85" s="13" t="b">
        <f>NOT(ISNA(VLOOKUP(A85,'Game Pass Premium'!A:A,1,FALSE)))</f>
        <v>1</v>
      </c>
      <c r="O85" s="13" t="b">
        <f>NOT(ISNA(VLOOKUP(A85,'Game Pass Essential'!A:A,1,FALSE)))</f>
        <v>0</v>
      </c>
    </row>
    <row r="86">
      <c r="A86" s="12" t="str">
        <f>IFERROR(__xludf.DUMMYFUNCTION("""COMPUTED_VALUE"""),"Dead Space (2023)")</f>
        <v>Dead Space (2023)</v>
      </c>
      <c r="B86" s="13" t="str">
        <f>IFERROR(__xludf.DUMMYFUNCTION("""COMPUTED_VALUE"""),"Xbox / PC")</f>
        <v>Xbox / PC</v>
      </c>
      <c r="C86" s="14" t="str">
        <f>IFERROR(__xludf.DUMMYFUNCTION("""COMPUTED_VALUE"""),"Yes")</f>
        <v>Yes</v>
      </c>
      <c r="D86" s="14" t="str">
        <f>IFERROR(__xludf.DUMMYFUNCTION("""COMPUTED_VALUE"""),"Active")</f>
        <v>Active</v>
      </c>
      <c r="E86" s="15">
        <f>IFERROR(__xludf.DUMMYFUNCTION("""COMPUTED_VALUE"""),45225.0)</f>
        <v>45225</v>
      </c>
      <c r="F86" s="16"/>
      <c r="G86" s="18">
        <f>IFERROR(__xludf.DUMMYFUNCTION("""COMPUTED_VALUE"""),35.333333333333336)</f>
        <v>35.33333333</v>
      </c>
      <c r="H86" s="15">
        <f>IFERROR(__xludf.DUMMYFUNCTION("""COMPUTED_VALUE"""),44953.0)</f>
        <v>44953</v>
      </c>
      <c r="I86" s="18">
        <f>IFERROR(__xludf.DUMMYFUNCTION("""COMPUTED_VALUE"""),0.7472222222222222)</f>
        <v>0.7472222222</v>
      </c>
      <c r="J86" s="22">
        <f>IFERROR(__xludf.DUMMYFUNCTION("""COMPUTED_VALUE"""),88.0)</f>
        <v>88</v>
      </c>
      <c r="K86" s="22">
        <f>IFERROR(__xludf.DUMMYFUNCTION("""COMPUTED_VALUE"""),12.0)</f>
        <v>12</v>
      </c>
      <c r="L86" s="26" t="str">
        <f>IFERROR(__xludf.DUMMYFUNCTION("""COMPUTED_VALUE"""),"Shooter")</f>
        <v>Shooter</v>
      </c>
      <c r="M86" s="13" t="b">
        <f>NOT(ISNA(VLOOKUP(A86,PC!A:A,1,FALSE)))</f>
        <v>1</v>
      </c>
      <c r="N86" s="13" t="b">
        <f>NOT(ISNA(VLOOKUP(A86,'Game Pass Premium'!A:A,1,FALSE)))</f>
        <v>1</v>
      </c>
      <c r="O86" s="13" t="b">
        <f>NOT(ISNA(VLOOKUP(A86,'Game Pass Essential'!A:A,1,FALSE)))</f>
        <v>0</v>
      </c>
    </row>
    <row r="87">
      <c r="A87" s="12" t="str">
        <f>IFERROR(__xludf.DUMMYFUNCTION("""COMPUTED_VALUE"""),"Mass Effect: Legendary Edition")</f>
        <v>Mass Effect: Legendary Edition</v>
      </c>
      <c r="B87" s="13" t="str">
        <f>IFERROR(__xludf.DUMMYFUNCTION("""COMPUTED_VALUE"""),"Xbox / PC")</f>
        <v>Xbox / PC</v>
      </c>
      <c r="C87" s="14" t="str">
        <f>IFERROR(__xludf.DUMMYFUNCTION("""COMPUTED_VALUE"""),"Yes")</f>
        <v>Yes</v>
      </c>
      <c r="D87" s="14" t="str">
        <f>IFERROR(__xludf.DUMMYFUNCTION("""COMPUTED_VALUE"""),"Active")</f>
        <v>Active</v>
      </c>
      <c r="E87" s="15">
        <f>IFERROR(__xludf.DUMMYFUNCTION("""COMPUTED_VALUE"""),44567.0)</f>
        <v>44567</v>
      </c>
      <c r="F87" s="16"/>
      <c r="G87" s="18">
        <f>IFERROR(__xludf.DUMMYFUNCTION("""COMPUTED_VALUE"""),57.0)</f>
        <v>57</v>
      </c>
      <c r="H87" s="15">
        <f>IFERROR(__xludf.DUMMYFUNCTION("""COMPUTED_VALUE"""),44330.0)</f>
        <v>44330</v>
      </c>
      <c r="I87" s="18">
        <f>IFERROR(__xludf.DUMMYFUNCTION("""COMPUTED_VALUE"""),0.6444444444444445)</f>
        <v>0.6444444444</v>
      </c>
      <c r="J87" s="22">
        <f>IFERROR(__xludf.DUMMYFUNCTION("""COMPUTED_VALUE"""),88.0)</f>
        <v>88</v>
      </c>
      <c r="K87" s="22">
        <f>IFERROR(__xludf.DUMMYFUNCTION("""COMPUTED_VALUE"""),106.0)</f>
        <v>106</v>
      </c>
      <c r="L87" s="26" t="str">
        <f>IFERROR(__xludf.DUMMYFUNCTION("""COMPUTED_VALUE"""),"Shooter")</f>
        <v>Shooter</v>
      </c>
      <c r="M87" s="13" t="b">
        <f>NOT(ISNA(VLOOKUP(A87,PC!A:A,1,FALSE)))</f>
        <v>1</v>
      </c>
      <c r="N87" s="13" t="b">
        <f>NOT(ISNA(VLOOKUP(A87,'Game Pass Premium'!A:A,1,FALSE)))</f>
        <v>1</v>
      </c>
      <c r="O87" s="13" t="b">
        <f>NOT(ISNA(VLOOKUP(A87,'Game Pass Essential'!A:A,1,FALSE)))</f>
        <v>0</v>
      </c>
    </row>
    <row r="88">
      <c r="A88" s="12" t="str">
        <f>IFERROR(__xludf.DUMMYFUNCTION("""COMPUTED_VALUE"""),"Crimson Skies: High Road to Revenge")</f>
        <v>Crimson Skies: High Road to Revenge</v>
      </c>
      <c r="B88" s="13" t="str">
        <f>IFERROR(__xludf.DUMMYFUNCTION("""COMPUTED_VALUE"""),"Xbox / PC")</f>
        <v>Xbox / PC</v>
      </c>
      <c r="C88" s="14" t="str">
        <f>IFERROR(__xludf.DUMMYFUNCTION("""COMPUTED_VALUE"""),"Touch Controls")</f>
        <v>Touch Controls</v>
      </c>
      <c r="D88" s="14" t="str">
        <f>IFERROR(__xludf.DUMMYFUNCTION("""COMPUTED_VALUE"""),"Active")</f>
        <v>Active</v>
      </c>
      <c r="E88" s="15">
        <f>IFERROR(__xludf.DUMMYFUNCTION("""COMPUTED_VALUE"""),44403.0)</f>
        <v>44403</v>
      </c>
      <c r="F88" s="16"/>
      <c r="G88" s="18">
        <f>IFERROR(__xludf.DUMMYFUNCTION("""COMPUTED_VALUE"""),62.333333333333336)</f>
        <v>62.33333333</v>
      </c>
      <c r="H88" s="15">
        <f>IFERROR(__xludf.DUMMYFUNCTION("""COMPUTED_VALUE"""),37915.0)</f>
        <v>37915</v>
      </c>
      <c r="I88" s="18">
        <f>IFERROR(__xludf.DUMMYFUNCTION("""COMPUTED_VALUE"""),17.76388888888889)</f>
        <v>17.76388889</v>
      </c>
      <c r="J88" s="22">
        <f>IFERROR(__xludf.DUMMYFUNCTION("""COMPUTED_VALUE"""),88.0)</f>
        <v>88</v>
      </c>
      <c r="K88" s="22">
        <f>IFERROR(__xludf.DUMMYFUNCTION("""COMPUTED_VALUE"""),8.0)</f>
        <v>8</v>
      </c>
      <c r="L88" s="26" t="str">
        <f>IFERROR(__xludf.DUMMYFUNCTION("""COMPUTED_VALUE"""),"Flight")</f>
        <v>Flight</v>
      </c>
      <c r="M88" s="13" t="b">
        <f>NOT(ISNA(VLOOKUP(A88,PC!A:A,1,FALSE)))</f>
        <v>1</v>
      </c>
      <c r="N88" s="13" t="b">
        <f>NOT(ISNA(VLOOKUP(A88,'Game Pass Premium'!A:A,1,FALSE)))</f>
        <v>1</v>
      </c>
      <c r="O88" s="13" t="b">
        <f>NOT(ISNA(VLOOKUP(A88,'Game Pass Essential'!A:A,1,FALSE)))</f>
        <v>0</v>
      </c>
    </row>
    <row r="89">
      <c r="A89" s="12" t="str">
        <f>IFERROR(__xludf.DUMMYFUNCTION("""COMPUTED_VALUE"""),"DOOM 3")</f>
        <v>DOOM 3</v>
      </c>
      <c r="B89" s="13" t="str">
        <f>IFERROR(__xludf.DUMMYFUNCTION("""COMPUTED_VALUE"""),"Xbox / PC")</f>
        <v>Xbox / PC</v>
      </c>
      <c r="C89" s="14" t="str">
        <f>IFERROR(__xludf.DUMMYFUNCTION("""COMPUTED_VALUE"""),"Yes")</f>
        <v>Yes</v>
      </c>
      <c r="D89" s="14" t="str">
        <f>IFERROR(__xludf.DUMMYFUNCTION("""COMPUTED_VALUE"""),"Active")</f>
        <v>Active</v>
      </c>
      <c r="E89" s="15">
        <f>IFERROR(__xludf.DUMMYFUNCTION("""COMPUTED_VALUE"""),44267.0)</f>
        <v>44267</v>
      </c>
      <c r="F89" s="16"/>
      <c r="G89" s="18">
        <f>IFERROR(__xludf.DUMMYFUNCTION("""COMPUTED_VALUE"""),66.8)</f>
        <v>66.8</v>
      </c>
      <c r="H89" s="15">
        <f>IFERROR(__xludf.DUMMYFUNCTION("""COMPUTED_VALUE"""),38202.0)</f>
        <v>38202</v>
      </c>
      <c r="I89" s="18">
        <f>IFERROR(__xludf.DUMMYFUNCTION("""COMPUTED_VALUE"""),16.608333333333334)</f>
        <v>16.60833333</v>
      </c>
      <c r="J89" s="22">
        <f>IFERROR(__xludf.DUMMYFUNCTION("""COMPUTED_VALUE"""),88.0)</f>
        <v>88</v>
      </c>
      <c r="K89" s="22">
        <f>IFERROR(__xludf.DUMMYFUNCTION("""COMPUTED_VALUE"""),11.0)</f>
        <v>11</v>
      </c>
      <c r="L89" s="26" t="str">
        <f>IFERROR(__xludf.DUMMYFUNCTION("""COMPUTED_VALUE"""),"Shooter")</f>
        <v>Shooter</v>
      </c>
      <c r="M89" s="13" t="b">
        <f>NOT(ISNA(VLOOKUP(A89,PC!A:A,1,FALSE)))</f>
        <v>1</v>
      </c>
      <c r="N89" s="13" t="b">
        <f>NOT(ISNA(VLOOKUP(A89,'Game Pass Premium'!A:A,1,FALSE)))</f>
        <v>1</v>
      </c>
      <c r="O89" s="13" t="b">
        <f>NOT(ISNA(VLOOKUP(A89,'Game Pass Essential'!A:A,1,FALSE)))</f>
        <v>0</v>
      </c>
    </row>
    <row r="90">
      <c r="A90" s="12" t="str">
        <f>IFERROR(__xludf.DUMMYFUNCTION("""COMPUTED_VALUE"""),"The Elder Scrolls III: Morrowind")</f>
        <v>The Elder Scrolls III: Morrowind</v>
      </c>
      <c r="B90" s="13" t="str">
        <f>IFERROR(__xludf.DUMMYFUNCTION("""COMPUTED_VALUE"""),"Xbox / PC")</f>
        <v>Xbox / PC</v>
      </c>
      <c r="C90" s="14" t="str">
        <f>IFERROR(__xludf.DUMMYFUNCTION("""COMPUTED_VALUE"""),"Yes")</f>
        <v>Yes</v>
      </c>
      <c r="D90" s="14" t="str">
        <f>IFERROR(__xludf.DUMMYFUNCTION("""COMPUTED_VALUE"""),"Active")</f>
        <v>Active</v>
      </c>
      <c r="E90" s="15">
        <f>IFERROR(__xludf.DUMMYFUNCTION("""COMPUTED_VALUE"""),44267.0)</f>
        <v>44267</v>
      </c>
      <c r="F90" s="16"/>
      <c r="G90" s="18">
        <f>IFERROR(__xludf.DUMMYFUNCTION("""COMPUTED_VALUE"""),66.8)</f>
        <v>66.8</v>
      </c>
      <c r="H90" s="15">
        <f>IFERROR(__xludf.DUMMYFUNCTION("""COMPUTED_VALUE"""),37377.0)</f>
        <v>37377</v>
      </c>
      <c r="I90" s="18">
        <f>IFERROR(__xludf.DUMMYFUNCTION("""COMPUTED_VALUE"""),18.863888888888887)</f>
        <v>18.86388889</v>
      </c>
      <c r="J90" s="22">
        <f>IFERROR(__xludf.DUMMYFUNCTION("""COMPUTED_VALUE"""),88.0)</f>
        <v>88</v>
      </c>
      <c r="K90" s="22">
        <f>IFERROR(__xludf.DUMMYFUNCTION("""COMPUTED_VALUE"""),44.5)</f>
        <v>44.5</v>
      </c>
      <c r="L90" s="26" t="str">
        <f>IFERROR(__xludf.DUMMYFUNCTION("""COMPUTED_VALUE"""),"RPG")</f>
        <v>RPG</v>
      </c>
      <c r="M90" s="13" t="b">
        <f>NOT(ISNA(VLOOKUP(A90,PC!A:A,1,FALSE)))</f>
        <v>1</v>
      </c>
      <c r="N90" s="13" t="b">
        <f>NOT(ISNA(VLOOKUP(A90,'Game Pass Premium'!A:A,1,FALSE)))</f>
        <v>1</v>
      </c>
      <c r="O90" s="13" t="b">
        <f>NOT(ISNA(VLOOKUP(A90,'Game Pass Essential'!A:A,1,FALSE)))</f>
        <v>0</v>
      </c>
    </row>
    <row r="91">
      <c r="A91" s="12" t="str">
        <f>IFERROR(__xludf.DUMMYFUNCTION("""COMPUTED_VALUE"""),"Pillars of Eternity II: Deadfire - Ultimate Edition")</f>
        <v>Pillars of Eternity II: Deadfire - Ultimate Edition</v>
      </c>
      <c r="B91" s="13" t="str">
        <f>IFERROR(__xludf.DUMMYFUNCTION("""COMPUTED_VALUE"""),"Xbox / PC")</f>
        <v>Xbox / PC</v>
      </c>
      <c r="C91" s="14" t="str">
        <f>IFERROR(__xludf.DUMMYFUNCTION("""COMPUTED_VALUE"""),"Touch Controls")</f>
        <v>Touch Controls</v>
      </c>
      <c r="D91" s="14" t="str">
        <f>IFERROR(__xludf.DUMMYFUNCTION("""COMPUTED_VALUE"""),"Active")</f>
        <v>Active</v>
      </c>
      <c r="E91" s="15">
        <f>IFERROR(__xludf.DUMMYFUNCTION("""COMPUTED_VALUE"""),44245.0)</f>
        <v>44245</v>
      </c>
      <c r="F91" s="16"/>
      <c r="G91" s="18">
        <f>IFERROR(__xludf.DUMMYFUNCTION("""COMPUTED_VALUE"""),67.60000000000001)</f>
        <v>67.6</v>
      </c>
      <c r="H91" s="15">
        <f>IFERROR(__xludf.DUMMYFUNCTION("""COMPUTED_VALUE"""),43228.0)</f>
        <v>43228</v>
      </c>
      <c r="I91" s="18">
        <f>IFERROR(__xludf.DUMMYFUNCTION("""COMPUTED_VALUE"""),2.7777777777777777)</f>
        <v>2.777777778</v>
      </c>
      <c r="J91" s="22">
        <f>IFERROR(__xludf.DUMMYFUNCTION("""COMPUTED_VALUE"""),88.0)</f>
        <v>88</v>
      </c>
      <c r="K91" s="22">
        <f>IFERROR(__xludf.DUMMYFUNCTION("""COMPUTED_VALUE"""),42.0)</f>
        <v>42</v>
      </c>
      <c r="L91" s="26" t="str">
        <f>IFERROR(__xludf.DUMMYFUNCTION("""COMPUTED_VALUE"""),"RPG")</f>
        <v>RPG</v>
      </c>
      <c r="M91" s="13" t="b">
        <f>NOT(ISNA(VLOOKUP(A91,PC!A:A,1,FALSE)))</f>
        <v>1</v>
      </c>
      <c r="N91" s="13" t="b">
        <f>NOT(ISNA(VLOOKUP(A91,'Game Pass Premium'!A:A,1,FALSE)))</f>
        <v>1</v>
      </c>
      <c r="O91" s="13" t="b">
        <f>NOT(ISNA(VLOOKUP(A91,'Game Pass Essential'!A:A,1,FALSE)))</f>
        <v>0</v>
      </c>
    </row>
    <row r="92">
      <c r="A92" s="12" t="str">
        <f>IFERROR(__xludf.DUMMYFUNCTION("""COMPUTED_VALUE"""),"DOOM Eternal")</f>
        <v>DOOM Eternal</v>
      </c>
      <c r="B92" s="13" t="str">
        <f>IFERROR(__xludf.DUMMYFUNCTION("""COMPUTED_VALUE"""),"Xbox / PC")</f>
        <v>Xbox / PC</v>
      </c>
      <c r="C92" s="14" t="str">
        <f>IFERROR(__xludf.DUMMYFUNCTION("""COMPUTED_VALUE"""),"Yes")</f>
        <v>Yes</v>
      </c>
      <c r="D92" s="14" t="str">
        <f>IFERROR(__xludf.DUMMYFUNCTION("""COMPUTED_VALUE"""),"Active")</f>
        <v>Active</v>
      </c>
      <c r="E92" s="15">
        <f>IFERROR(__xludf.DUMMYFUNCTION("""COMPUTED_VALUE"""),44105.0)</f>
        <v>44105</v>
      </c>
      <c r="F92" s="16"/>
      <c r="G92" s="18">
        <f>IFERROR(__xludf.DUMMYFUNCTION("""COMPUTED_VALUE"""),72.16666666666667)</f>
        <v>72.16666667</v>
      </c>
      <c r="H92" s="15">
        <f>IFERROR(__xludf.DUMMYFUNCTION("""COMPUTED_VALUE"""),43910.0)</f>
        <v>43910</v>
      </c>
      <c r="I92" s="18">
        <f>IFERROR(__xludf.DUMMYFUNCTION("""COMPUTED_VALUE"""),0.5305555555555556)</f>
        <v>0.5305555556</v>
      </c>
      <c r="J92" s="22">
        <f>IFERROR(__xludf.DUMMYFUNCTION("""COMPUTED_VALUE"""),88.0)</f>
        <v>88</v>
      </c>
      <c r="K92" s="22">
        <f>IFERROR(__xludf.DUMMYFUNCTION("""COMPUTED_VALUE"""),13.5)</f>
        <v>13.5</v>
      </c>
      <c r="L92" s="26" t="str">
        <f>IFERROR(__xludf.DUMMYFUNCTION("""COMPUTED_VALUE"""),"Shooter")</f>
        <v>Shooter</v>
      </c>
      <c r="M92" s="13" t="b">
        <f>NOT(ISNA(VLOOKUP(A92,PC!A:A,1,FALSE)))</f>
        <v>1</v>
      </c>
      <c r="N92" s="13" t="b">
        <f>NOT(ISNA(VLOOKUP(A92,'Game Pass Premium'!A:A,1,FALSE)))</f>
        <v>1</v>
      </c>
      <c r="O92" s="13" t="b">
        <f>NOT(ISNA(VLOOKUP(A92,'Game Pass Essential'!A:A,1,FALSE)))</f>
        <v>1</v>
      </c>
    </row>
    <row r="93">
      <c r="A93" s="12" t="str">
        <f>IFERROR(__xludf.DUMMYFUNCTION("""COMPUTED_VALUE"""),"Halo 3")</f>
        <v>Halo 3</v>
      </c>
      <c r="B93" s="13" t="str">
        <f>IFERROR(__xludf.DUMMYFUNCTION("""COMPUTED_VALUE"""),"Xbox / PC")</f>
        <v>Xbox / PC</v>
      </c>
      <c r="C93" s="14"/>
      <c r="D93" s="14" t="str">
        <f>IFERROR(__xludf.DUMMYFUNCTION("""COMPUTED_VALUE"""),"Active")</f>
        <v>Active</v>
      </c>
      <c r="E93" s="15">
        <f>IFERROR(__xludf.DUMMYFUNCTION("""COMPUTED_VALUE"""),44026.0)</f>
        <v>44026</v>
      </c>
      <c r="F93" s="16"/>
      <c r="G93" s="18">
        <f>IFERROR(__xludf.DUMMYFUNCTION("""COMPUTED_VALUE"""),74.73333333333333)</f>
        <v>74.73333333</v>
      </c>
      <c r="H93" s="15">
        <f>IFERROR(__xludf.DUMMYFUNCTION("""COMPUTED_VALUE"""),39350.0)</f>
        <v>39350</v>
      </c>
      <c r="I93" s="18">
        <f>IFERROR(__xludf.DUMMYFUNCTION("""COMPUTED_VALUE"""),12.802777777777777)</f>
        <v>12.80277778</v>
      </c>
      <c r="J93" s="22">
        <f>IFERROR(__xludf.DUMMYFUNCTION("""COMPUTED_VALUE"""),88.0)</f>
        <v>88</v>
      </c>
      <c r="K93" s="22">
        <f>IFERROR(__xludf.DUMMYFUNCTION("""COMPUTED_VALUE"""),9.0)</f>
        <v>9</v>
      </c>
      <c r="L93" s="26" t="str">
        <f>IFERROR(__xludf.DUMMYFUNCTION("""COMPUTED_VALUE"""),"Shooter")</f>
        <v>Shooter</v>
      </c>
      <c r="M93" s="13" t="b">
        <f>NOT(ISNA(VLOOKUP(A93,PC!A:A,1,FALSE)))</f>
        <v>1</v>
      </c>
      <c r="N93" s="13" t="b">
        <f>NOT(ISNA(VLOOKUP(A93,'Game Pass Premium'!A:A,1,FALSE)))</f>
        <v>1</v>
      </c>
      <c r="O93" s="13" t="b">
        <f>NOT(ISNA(VLOOKUP(A93,'Game Pass Essential'!A:A,1,FALSE)))</f>
        <v>0</v>
      </c>
    </row>
    <row r="94">
      <c r="A94" s="12" t="str">
        <f>IFERROR(__xludf.DUMMYFUNCTION("""COMPUTED_VALUE"""),"Dishonored 2")</f>
        <v>Dishonored 2</v>
      </c>
      <c r="B94" s="13" t="str">
        <f>IFERROR(__xludf.DUMMYFUNCTION("""COMPUTED_VALUE"""),"Xbox / PC")</f>
        <v>Xbox / PC</v>
      </c>
      <c r="C94" s="14" t="str">
        <f>IFERROR(__xludf.DUMMYFUNCTION("""COMPUTED_VALUE"""),"Yes")</f>
        <v>Yes</v>
      </c>
      <c r="D94" s="14" t="str">
        <f>IFERROR(__xludf.DUMMYFUNCTION("""COMPUTED_VALUE"""),"Active")</f>
        <v>Active</v>
      </c>
      <c r="E94" s="15">
        <f>IFERROR(__xludf.DUMMYFUNCTION("""COMPUTED_VALUE"""),43741.0)</f>
        <v>43741</v>
      </c>
      <c r="F94" s="16"/>
      <c r="G94" s="18">
        <f>IFERROR(__xludf.DUMMYFUNCTION("""COMPUTED_VALUE"""),84.10000000000001)</f>
        <v>84.1</v>
      </c>
      <c r="H94" s="15">
        <f>IFERROR(__xludf.DUMMYFUNCTION("""COMPUTED_VALUE"""),42685.0)</f>
        <v>42685</v>
      </c>
      <c r="I94" s="18">
        <f>IFERROR(__xludf.DUMMYFUNCTION("""COMPUTED_VALUE"""),2.8944444444444444)</f>
        <v>2.894444444</v>
      </c>
      <c r="J94" s="22">
        <f>IFERROR(__xludf.DUMMYFUNCTION("""COMPUTED_VALUE"""),88.0)</f>
        <v>88</v>
      </c>
      <c r="K94" s="22">
        <f>IFERROR(__xludf.DUMMYFUNCTION("""COMPUTED_VALUE"""),12.5)</f>
        <v>12.5</v>
      </c>
      <c r="L94" s="26" t="str">
        <f>IFERROR(__xludf.DUMMYFUNCTION("""COMPUTED_VALUE"""),"Action-Adventure")</f>
        <v>Action-Adventure</v>
      </c>
      <c r="M94" s="13" t="b">
        <f>NOT(ISNA(VLOOKUP(A94,PC!A:A,1,FALSE)))</f>
        <v>1</v>
      </c>
      <c r="N94" s="13" t="b">
        <f>NOT(ISNA(VLOOKUP(A94,'Game Pass Premium'!A:A,1,FALSE)))</f>
        <v>1</v>
      </c>
      <c r="O94" s="13" t="b">
        <f>NOT(ISNA(VLOOKUP(A94,'Game Pass Essential'!A:A,1,FALSE)))</f>
        <v>1</v>
      </c>
    </row>
    <row r="95">
      <c r="A95" s="12" t="str">
        <f>IFERROR(__xludf.DUMMYFUNCTION("""COMPUTED_VALUE"""),"Wolfenstein II: The New Colossus")</f>
        <v>Wolfenstein II: The New Colossus</v>
      </c>
      <c r="B95" s="13" t="str">
        <f>IFERROR(__xludf.DUMMYFUNCTION("""COMPUTED_VALUE"""),"Xbox / PC")</f>
        <v>Xbox / PC</v>
      </c>
      <c r="C95" s="14" t="str">
        <f>IFERROR(__xludf.DUMMYFUNCTION("""COMPUTED_VALUE"""),"Yes")</f>
        <v>Yes</v>
      </c>
      <c r="D95" s="14" t="str">
        <f>IFERROR(__xludf.DUMMYFUNCTION("""COMPUTED_VALUE"""),"Active")</f>
        <v>Active</v>
      </c>
      <c r="E95" s="15">
        <f>IFERROR(__xludf.DUMMYFUNCTION("""COMPUTED_VALUE"""),43587.0)</f>
        <v>43587</v>
      </c>
      <c r="F95" s="16"/>
      <c r="G95" s="18">
        <f>IFERROR(__xludf.DUMMYFUNCTION("""COMPUTED_VALUE"""),89.13333333333334)</f>
        <v>89.13333333</v>
      </c>
      <c r="H95" s="15">
        <f>IFERROR(__xludf.DUMMYFUNCTION("""COMPUTED_VALUE"""),43035.0)</f>
        <v>43035</v>
      </c>
      <c r="I95" s="18">
        <f>IFERROR(__xludf.DUMMYFUNCTION("""COMPUTED_VALUE"""),1.5138888888888888)</f>
        <v>1.513888889</v>
      </c>
      <c r="J95" s="22">
        <f>IFERROR(__xludf.DUMMYFUNCTION("""COMPUTED_VALUE"""),88.0)</f>
        <v>88</v>
      </c>
      <c r="K95" s="22">
        <f>IFERROR(__xludf.DUMMYFUNCTION("""COMPUTED_VALUE"""),10.5)</f>
        <v>10.5</v>
      </c>
      <c r="L95" s="26" t="str">
        <f>IFERROR(__xludf.DUMMYFUNCTION("""COMPUTED_VALUE"""),"Shooter")</f>
        <v>Shooter</v>
      </c>
      <c r="M95" s="13" t="b">
        <f>NOT(ISNA(VLOOKUP(A95,PC!A:A,1,FALSE)))</f>
        <v>1</v>
      </c>
      <c r="N95" s="13" t="b">
        <f>NOT(ISNA(VLOOKUP(A95,'Game Pass Premium'!A:A,1,FALSE)))</f>
        <v>1</v>
      </c>
      <c r="O95" s="13" t="b">
        <f>NOT(ISNA(VLOOKUP(A95,'Game Pass Essential'!A:A,1,FALSE)))</f>
        <v>0</v>
      </c>
    </row>
    <row r="96">
      <c r="A96" s="12" t="str">
        <f>IFERROR(__xludf.DUMMYFUNCTION("""COMPUTED_VALUE"""),"Minecraft")</f>
        <v>Minecraft</v>
      </c>
      <c r="B96" s="13" t="str">
        <f>IFERROR(__xludf.DUMMYFUNCTION("""COMPUTED_VALUE"""),"Xbox / PC")</f>
        <v>Xbox / PC</v>
      </c>
      <c r="C96" s="14"/>
      <c r="D96" s="14" t="str">
        <f>IFERROR(__xludf.DUMMYFUNCTION("""COMPUTED_VALUE"""),"Active")</f>
        <v>Active</v>
      </c>
      <c r="E96" s="15">
        <f>IFERROR(__xludf.DUMMYFUNCTION("""COMPUTED_VALUE"""),43559.0)</f>
        <v>43559</v>
      </c>
      <c r="F96" s="16"/>
      <c r="G96" s="18">
        <f>IFERROR(__xludf.DUMMYFUNCTION("""COMPUTED_VALUE"""),90.06666666666666)</f>
        <v>90.06666667</v>
      </c>
      <c r="H96" s="15">
        <f>IFERROR(__xludf.DUMMYFUNCTION("""COMPUTED_VALUE"""),40865.0)</f>
        <v>40865</v>
      </c>
      <c r="I96" s="18">
        <f>IFERROR(__xludf.DUMMYFUNCTION("""COMPUTED_VALUE"""),7.377777777777778)</f>
        <v>7.377777778</v>
      </c>
      <c r="J96" s="22">
        <f>IFERROR(__xludf.DUMMYFUNCTION("""COMPUTED_VALUE"""),88.0)</f>
        <v>88</v>
      </c>
      <c r="K96" s="22">
        <f>IFERROR(__xludf.DUMMYFUNCTION("""COMPUTED_VALUE"""),116.0)</f>
        <v>116</v>
      </c>
      <c r="L96" s="26" t="str">
        <f>IFERROR(__xludf.DUMMYFUNCTION("""COMPUTED_VALUE"""),"Action-Adventure")</f>
        <v>Action-Adventure</v>
      </c>
      <c r="M96" s="13" t="b">
        <f>NOT(ISNA(VLOOKUP(A96,PC!A:A,1,FALSE)))</f>
        <v>1</v>
      </c>
      <c r="N96" s="13" t="b">
        <f>NOT(ISNA(VLOOKUP(A96,'Game Pass Premium'!A:A,1,FALSE)))</f>
        <v>1</v>
      </c>
      <c r="O96" s="13" t="b">
        <f>NOT(ISNA(VLOOKUP(A96,'Game Pass Essential'!A:A,1,FALSE)))</f>
        <v>0</v>
      </c>
    </row>
    <row r="97">
      <c r="A97" s="12" t="str">
        <f>IFERROR(__xludf.DUMMYFUNCTION("""COMPUTED_VALUE"""),"Fallout 4")</f>
        <v>Fallout 4</v>
      </c>
      <c r="B97" s="13" t="str">
        <f>IFERROR(__xludf.DUMMYFUNCTION("""COMPUTED_VALUE"""),"Xbox / PC")</f>
        <v>Xbox / PC</v>
      </c>
      <c r="C97" s="14" t="str">
        <f>IFERROR(__xludf.DUMMYFUNCTION("""COMPUTED_VALUE"""),"Yes")</f>
        <v>Yes</v>
      </c>
      <c r="D97" s="14" t="str">
        <f>IFERROR(__xludf.DUMMYFUNCTION("""COMPUTED_VALUE"""),"Active")</f>
        <v>Active</v>
      </c>
      <c r="E97" s="15">
        <f>IFERROR(__xludf.DUMMYFUNCTION("""COMPUTED_VALUE"""),43538.0)</f>
        <v>43538</v>
      </c>
      <c r="F97" s="16"/>
      <c r="G97" s="18">
        <f>IFERROR(__xludf.DUMMYFUNCTION("""COMPUTED_VALUE"""),90.73333333333333)</f>
        <v>90.73333333</v>
      </c>
      <c r="H97" s="15">
        <f>IFERROR(__xludf.DUMMYFUNCTION("""COMPUTED_VALUE"""),42318.0)</f>
        <v>42318</v>
      </c>
      <c r="I97" s="18">
        <f>IFERROR(__xludf.DUMMYFUNCTION("""COMPUTED_VALUE"""),3.3444444444444446)</f>
        <v>3.344444444</v>
      </c>
      <c r="J97" s="22">
        <f>IFERROR(__xludf.DUMMYFUNCTION("""COMPUTED_VALUE"""),88.0)</f>
        <v>88</v>
      </c>
      <c r="K97" s="22">
        <f>IFERROR(__xludf.DUMMYFUNCTION("""COMPUTED_VALUE"""),26.5)</f>
        <v>26.5</v>
      </c>
      <c r="L97" s="26" t="str">
        <f>IFERROR(__xludf.DUMMYFUNCTION("""COMPUTED_VALUE"""),"Shooter")</f>
        <v>Shooter</v>
      </c>
      <c r="M97" s="13" t="b">
        <f>NOT(ISNA(VLOOKUP(A97,PC!A:A,1,FALSE)))</f>
        <v>1</v>
      </c>
      <c r="N97" s="13" t="b">
        <f>NOT(ISNA(VLOOKUP(A97,'Game Pass Premium'!A:A,1,FALSE)))</f>
        <v>1</v>
      </c>
      <c r="O97" s="13" t="b">
        <f>NOT(ISNA(VLOOKUP(A97,'Game Pass Essential'!A:A,1,FALSE)))</f>
        <v>1</v>
      </c>
    </row>
    <row r="98">
      <c r="A98" s="12" t="str">
        <f>IFERROR(__xludf.DUMMYFUNCTION("""COMPUTED_VALUE"""),"Ori and the Blind Forest: Definitive Edition")</f>
        <v>Ori and the Blind Forest: Definitive Edition</v>
      </c>
      <c r="B98" s="13" t="str">
        <f>IFERROR(__xludf.DUMMYFUNCTION("""COMPUTED_VALUE"""),"Xbox / PC")</f>
        <v>Xbox / PC</v>
      </c>
      <c r="C98" s="14" t="str">
        <f>IFERROR(__xludf.DUMMYFUNCTION("""COMPUTED_VALUE"""),"Yes")</f>
        <v>Yes</v>
      </c>
      <c r="D98" s="14" t="str">
        <f>IFERROR(__xludf.DUMMYFUNCTION("""COMPUTED_VALUE"""),"Active")</f>
        <v>Active</v>
      </c>
      <c r="E98" s="15">
        <f>IFERROR(__xludf.DUMMYFUNCTION("""COMPUTED_VALUE"""),43454.0)</f>
        <v>43454</v>
      </c>
      <c r="F98" s="16"/>
      <c r="G98" s="18">
        <f>IFERROR(__xludf.DUMMYFUNCTION("""COMPUTED_VALUE"""),93.53333333333333)</f>
        <v>93.53333333</v>
      </c>
      <c r="H98" s="15">
        <f>IFERROR(__xludf.DUMMYFUNCTION("""COMPUTED_VALUE"""),42074.0)</f>
        <v>42074</v>
      </c>
      <c r="I98" s="18">
        <f>IFERROR(__xludf.DUMMYFUNCTION("""COMPUTED_VALUE"""),3.775)</f>
        <v>3.775</v>
      </c>
      <c r="J98" s="22">
        <f>IFERROR(__xludf.DUMMYFUNCTION("""COMPUTED_VALUE"""),88.0)</f>
        <v>88</v>
      </c>
      <c r="K98" s="22">
        <f>IFERROR(__xludf.DUMMYFUNCTION("""COMPUTED_VALUE"""),8.5)</f>
        <v>8.5</v>
      </c>
      <c r="L98" s="26" t="str">
        <f>IFERROR(__xludf.DUMMYFUNCTION("""COMPUTED_VALUE"""),"Platformer")</f>
        <v>Platformer</v>
      </c>
      <c r="M98" s="13" t="b">
        <f>NOT(ISNA(VLOOKUP(A98,PC!A:A,1,FALSE)))</f>
        <v>1</v>
      </c>
      <c r="N98" s="13" t="b">
        <f>NOT(ISNA(VLOOKUP(A98,'Game Pass Premium'!A:A,1,FALSE)))</f>
        <v>1</v>
      </c>
      <c r="O98" s="13" t="b">
        <f>NOT(ISNA(VLOOKUP(A98,'Game Pass Essential'!A:A,1,FALSE)))</f>
        <v>0</v>
      </c>
    </row>
    <row r="99">
      <c r="A99" s="12" t="str">
        <f>IFERROR(__xludf.DUMMYFUNCTION("""COMPUTED_VALUE"""),"Hellblade: Senua's Sacrifice")</f>
        <v>Hellblade: Senua's Sacrifice</v>
      </c>
      <c r="B99" s="13" t="str">
        <f>IFERROR(__xludf.DUMMYFUNCTION("""COMPUTED_VALUE"""),"Xbox / PC")</f>
        <v>Xbox / PC</v>
      </c>
      <c r="C99" s="14" t="str">
        <f>IFERROR(__xludf.DUMMYFUNCTION("""COMPUTED_VALUE"""),"Touch Controls")</f>
        <v>Touch Controls</v>
      </c>
      <c r="D99" s="14" t="str">
        <f>IFERROR(__xludf.DUMMYFUNCTION("""COMPUTED_VALUE"""),"Active")</f>
        <v>Active</v>
      </c>
      <c r="E99" s="15">
        <f>IFERROR(__xludf.DUMMYFUNCTION("""COMPUTED_VALUE"""),43451.0)</f>
        <v>43451</v>
      </c>
      <c r="F99" s="16"/>
      <c r="G99" s="18">
        <f>IFERROR(__xludf.DUMMYFUNCTION("""COMPUTED_VALUE"""),93.63333333333334)</f>
        <v>93.63333333</v>
      </c>
      <c r="H99" s="15">
        <f>IFERROR(__xludf.DUMMYFUNCTION("""COMPUTED_VALUE"""),42955.0)</f>
        <v>42955</v>
      </c>
      <c r="I99" s="18">
        <f>IFERROR(__xludf.DUMMYFUNCTION("""COMPUTED_VALUE"""),1.3583333333333334)</f>
        <v>1.358333333</v>
      </c>
      <c r="J99" s="22">
        <f>IFERROR(__xludf.DUMMYFUNCTION("""COMPUTED_VALUE"""),88.0)</f>
        <v>88</v>
      </c>
      <c r="K99" s="22">
        <f>IFERROR(__xludf.DUMMYFUNCTION("""COMPUTED_VALUE"""),7.5)</f>
        <v>7.5</v>
      </c>
      <c r="L99" s="26" t="str">
        <f>IFERROR(__xludf.DUMMYFUNCTION("""COMPUTED_VALUE"""),"Action-Adventure")</f>
        <v>Action-Adventure</v>
      </c>
      <c r="M99" s="13" t="b">
        <f>NOT(ISNA(VLOOKUP(A99,PC!A:A,1,FALSE)))</f>
        <v>1</v>
      </c>
      <c r="N99" s="13" t="b">
        <f>NOT(ISNA(VLOOKUP(A99,'Game Pass Premium'!A:A,1,FALSE)))</f>
        <v>1</v>
      </c>
      <c r="O99" s="13" t="b">
        <f>NOT(ISNA(VLOOKUP(A99,'Game Pass Essential'!A:A,1,FALSE)))</f>
        <v>1</v>
      </c>
    </row>
    <row r="100">
      <c r="A100" s="12" t="str">
        <f>IFERROR(__xludf.DUMMYFUNCTION("""COMPUTED_VALUE"""),"Super Meat Boy")</f>
        <v>Super Meat Boy</v>
      </c>
      <c r="B100" s="13" t="str">
        <f>IFERROR(__xludf.DUMMYFUNCTION("""COMPUTED_VALUE"""),"XB360/OG Xbox")</f>
        <v>XB360/OG Xbox</v>
      </c>
      <c r="C100" s="14"/>
      <c r="D100" s="14" t="str">
        <f>IFERROR(__xludf.DUMMYFUNCTION("""COMPUTED_VALUE"""),"GwG Permanent")</f>
        <v>GwG Permanent</v>
      </c>
      <c r="E100" s="15">
        <f>IFERROR(__xludf.DUMMYFUNCTION("""COMPUTED_VALUE"""),44713.0)</f>
        <v>44713</v>
      </c>
      <c r="F100" s="16">
        <f>IFERROR(__xludf.DUMMYFUNCTION("""COMPUTED_VALUE"""),44727.0)</f>
        <v>44727</v>
      </c>
      <c r="G100" s="18">
        <f>IFERROR(__xludf.DUMMYFUNCTION("""COMPUTED_VALUE"""),0.4666666666666667)</f>
        <v>0.4666666667</v>
      </c>
      <c r="H100" s="15">
        <f>IFERROR(__xludf.DUMMYFUNCTION("""COMPUTED_VALUE"""),40471.0)</f>
        <v>40471</v>
      </c>
      <c r="I100" s="18">
        <f>IFERROR(__xludf.DUMMYFUNCTION("""COMPUTED_VALUE"""),11.613888888888889)</f>
        <v>11.61388889</v>
      </c>
      <c r="J100" s="22">
        <f>IFERROR(__xludf.DUMMYFUNCTION("""COMPUTED_VALUE"""),88.0)</f>
        <v>88</v>
      </c>
      <c r="K100" s="22">
        <f>IFERROR(__xludf.DUMMYFUNCTION("""COMPUTED_VALUE"""),9.0)</f>
        <v>9</v>
      </c>
      <c r="L100" s="26" t="str">
        <f>IFERROR(__xludf.DUMMYFUNCTION("""COMPUTED_VALUE"""),"Platformer")</f>
        <v>Platformer</v>
      </c>
      <c r="M100" s="13" t="b">
        <f>NOT(ISNA(VLOOKUP(A100,PC!A:A,1,FALSE)))</f>
        <v>0</v>
      </c>
      <c r="N100" s="13" t="b">
        <f>NOT(ISNA(VLOOKUP(A100,'Game Pass Premium'!A:A,1,FALSE)))</f>
        <v>0</v>
      </c>
      <c r="O100" s="13" t="b">
        <f>NOT(ISNA(VLOOKUP(A100,'Game Pass Essential'!A:A,1,FALSE)))</f>
        <v>0</v>
      </c>
    </row>
    <row r="101">
      <c r="A101" s="12" t="str">
        <f>IFERROR(__xludf.DUMMYFUNCTION("""COMPUTED_VALUE"""),"Tom Clancy's Ghost Recon Advanced Warfighter 2")</f>
        <v>Tom Clancy's Ghost Recon Advanced Warfighter 2</v>
      </c>
      <c r="B101" s="13" t="str">
        <f>IFERROR(__xludf.DUMMYFUNCTION("""COMPUTED_VALUE"""),"XB360/OG Xbox")</f>
        <v>XB360/OG Xbox</v>
      </c>
      <c r="C101" s="14"/>
      <c r="D101" s="14" t="str">
        <f>IFERROR(__xludf.DUMMYFUNCTION("""COMPUTED_VALUE"""),"GwG Permanent")</f>
        <v>GwG Permanent</v>
      </c>
      <c r="E101" s="15">
        <f>IFERROR(__xludf.DUMMYFUNCTION("""COMPUTED_VALUE"""),43571.0)</f>
        <v>43571</v>
      </c>
      <c r="F101" s="16">
        <f>IFERROR(__xludf.DUMMYFUNCTION("""COMPUTED_VALUE"""),43585.0)</f>
        <v>43585</v>
      </c>
      <c r="G101" s="18">
        <f>IFERROR(__xludf.DUMMYFUNCTION("""COMPUTED_VALUE"""),0.4666666666666667)</f>
        <v>0.4666666667</v>
      </c>
      <c r="H101" s="15">
        <f>IFERROR(__xludf.DUMMYFUNCTION("""COMPUTED_VALUE"""),39147.0)</f>
        <v>39147</v>
      </c>
      <c r="I101" s="18">
        <f>IFERROR(__xludf.DUMMYFUNCTION("""COMPUTED_VALUE"""),12.11111111111111)</f>
        <v>12.11111111</v>
      </c>
      <c r="J101" s="22">
        <f>IFERROR(__xludf.DUMMYFUNCTION("""COMPUTED_VALUE"""),88.0)</f>
        <v>88</v>
      </c>
      <c r="K101" s="22">
        <f>IFERROR(__xludf.DUMMYFUNCTION("""COMPUTED_VALUE"""),5.5)</f>
        <v>5.5</v>
      </c>
      <c r="L101" s="26" t="str">
        <f>IFERROR(__xludf.DUMMYFUNCTION("""COMPUTED_VALUE"""),"Shooter")</f>
        <v>Shooter</v>
      </c>
      <c r="M101" s="13" t="b">
        <f>NOT(ISNA(VLOOKUP(A101,PC!A:A,1,FALSE)))</f>
        <v>0</v>
      </c>
      <c r="N101" s="13" t="b">
        <f>NOT(ISNA(VLOOKUP(A101,'Game Pass Premium'!A:A,1,FALSE)))</f>
        <v>0</v>
      </c>
      <c r="O101" s="13" t="b">
        <f>NOT(ISNA(VLOOKUP(A101,'Game Pass Essential'!A:A,1,FALSE)))</f>
        <v>0</v>
      </c>
    </row>
    <row r="102">
      <c r="A102" s="12" t="str">
        <f>IFERROR(__xludf.DUMMYFUNCTION("""COMPUTED_VALUE"""),"Star Wars Republic Commando")</f>
        <v>Star Wars Republic Commando</v>
      </c>
      <c r="B102" s="13" t="str">
        <f>IFERROR(__xludf.DUMMYFUNCTION("""COMPUTED_VALUE"""),"XB360/OG Xbox")</f>
        <v>XB360/OG Xbox</v>
      </c>
      <c r="C102" s="14"/>
      <c r="D102" s="14" t="str">
        <f>IFERROR(__xludf.DUMMYFUNCTION("""COMPUTED_VALUE"""),"GwG Permanent")</f>
        <v>GwG Permanent</v>
      </c>
      <c r="E102" s="15">
        <f>IFERROR(__xludf.DUMMYFUNCTION("""COMPUTED_VALUE"""),43525.0)</f>
        <v>43525</v>
      </c>
      <c r="F102" s="16">
        <f>IFERROR(__xludf.DUMMYFUNCTION("""COMPUTED_VALUE"""),43539.0)</f>
        <v>43539</v>
      </c>
      <c r="G102" s="18">
        <f>IFERROR(__xludf.DUMMYFUNCTION("""COMPUTED_VALUE"""),0.4666666666666667)</f>
        <v>0.4666666667</v>
      </c>
      <c r="H102" s="15">
        <f>IFERROR(__xludf.DUMMYFUNCTION("""COMPUTED_VALUE"""),38379.0)</f>
        <v>38379</v>
      </c>
      <c r="I102" s="18">
        <f>IFERROR(__xludf.DUMMYFUNCTION("""COMPUTED_VALUE"""),14.094444444444445)</f>
        <v>14.09444444</v>
      </c>
      <c r="J102" s="22">
        <f>IFERROR(__xludf.DUMMYFUNCTION("""COMPUTED_VALUE"""),88.0)</f>
        <v>88</v>
      </c>
      <c r="K102" s="22">
        <f>IFERROR(__xludf.DUMMYFUNCTION("""COMPUTED_VALUE"""),9.0)</f>
        <v>9</v>
      </c>
      <c r="L102" s="26" t="str">
        <f>IFERROR(__xludf.DUMMYFUNCTION("""COMPUTED_VALUE"""),"Shooter")</f>
        <v>Shooter</v>
      </c>
      <c r="M102" s="13" t="b">
        <f>NOT(ISNA(VLOOKUP(A102,PC!A:A,1,FALSE)))</f>
        <v>0</v>
      </c>
      <c r="N102" s="13" t="b">
        <f>NOT(ISNA(VLOOKUP(A102,'Game Pass Premium'!A:A,1,FALSE)))</f>
        <v>0</v>
      </c>
      <c r="O102" s="13" t="b">
        <f>NOT(ISNA(VLOOKUP(A102,'Game Pass Essential'!A:A,1,FALSE)))</f>
        <v>0</v>
      </c>
    </row>
    <row r="103">
      <c r="A103" s="12" t="str">
        <f>IFERROR(__xludf.DUMMYFUNCTION("""COMPUTED_VALUE"""),"Far Cry 2")</f>
        <v>Far Cry 2</v>
      </c>
      <c r="B103" s="13" t="str">
        <f>IFERROR(__xludf.DUMMYFUNCTION("""COMPUTED_VALUE"""),"XB360/OG Xbox")</f>
        <v>XB360/OG Xbox</v>
      </c>
      <c r="C103" s="14"/>
      <c r="D103" s="14" t="str">
        <f>IFERROR(__xludf.DUMMYFUNCTION("""COMPUTED_VALUE"""),"GwG Permanent")</f>
        <v>GwG Permanent</v>
      </c>
      <c r="E103" s="15">
        <f>IFERROR(__xludf.DUMMYFUNCTION("""COMPUTED_VALUE"""),43481.0)</f>
        <v>43481</v>
      </c>
      <c r="F103" s="16">
        <f>IFERROR(__xludf.DUMMYFUNCTION("""COMPUTED_VALUE"""),43496.0)</f>
        <v>43496</v>
      </c>
      <c r="G103" s="18">
        <f>IFERROR(__xludf.DUMMYFUNCTION("""COMPUTED_VALUE"""),0.4666666666666667)</f>
        <v>0.4666666667</v>
      </c>
      <c r="H103" s="15">
        <f>IFERROR(__xludf.DUMMYFUNCTION("""COMPUTED_VALUE"""),39742.0)</f>
        <v>39742</v>
      </c>
      <c r="I103" s="18">
        <f>IFERROR(__xludf.DUMMYFUNCTION("""COMPUTED_VALUE"""),10.23611111111111)</f>
        <v>10.23611111</v>
      </c>
      <c r="J103" s="22">
        <f>IFERROR(__xludf.DUMMYFUNCTION("""COMPUTED_VALUE"""),88.0)</f>
        <v>88</v>
      </c>
      <c r="K103" s="22">
        <f>IFERROR(__xludf.DUMMYFUNCTION("""COMPUTED_VALUE"""),10.5)</f>
        <v>10.5</v>
      </c>
      <c r="L103" s="26" t="str">
        <f>IFERROR(__xludf.DUMMYFUNCTION("""COMPUTED_VALUE"""),"Shooter")</f>
        <v>Shooter</v>
      </c>
      <c r="M103" s="13" t="b">
        <f>NOT(ISNA(VLOOKUP(A103,PC!A:A,1,FALSE)))</f>
        <v>0</v>
      </c>
      <c r="N103" s="13" t="b">
        <f>NOT(ISNA(VLOOKUP(A103,'Game Pass Premium'!A:A,1,FALSE)))</f>
        <v>0</v>
      </c>
      <c r="O103" s="13" t="b">
        <f>NOT(ISNA(VLOOKUP(A103,'Game Pass Essential'!A:A,1,FALSE)))</f>
        <v>0</v>
      </c>
    </row>
    <row r="104">
      <c r="A104" s="12" t="str">
        <f>IFERROR(__xludf.DUMMYFUNCTION("""COMPUTED_VALUE"""),"Rayman Origins")</f>
        <v>Rayman Origins</v>
      </c>
      <c r="B104" s="13" t="str">
        <f>IFERROR(__xludf.DUMMYFUNCTION("""COMPUTED_VALUE"""),"XB360/OG Xbox")</f>
        <v>XB360/OG Xbox</v>
      </c>
      <c r="C104" s="14"/>
      <c r="D104" s="14" t="str">
        <f>IFERROR(__xludf.DUMMYFUNCTION("""COMPUTED_VALUE"""),"GwG Permanent")</f>
        <v>GwG Permanent</v>
      </c>
      <c r="E104" s="15">
        <f>IFERROR(__xludf.DUMMYFUNCTION("""COMPUTED_VALUE"""),42751.0)</f>
        <v>42751</v>
      </c>
      <c r="F104" s="16">
        <f>IFERROR(__xludf.DUMMYFUNCTION("""COMPUTED_VALUE"""),42766.0)</f>
        <v>42766</v>
      </c>
      <c r="G104" s="18">
        <f>IFERROR(__xludf.DUMMYFUNCTION("""COMPUTED_VALUE"""),0.4666666666666667)</f>
        <v>0.4666666667</v>
      </c>
      <c r="H104" s="15">
        <f>IFERROR(__xludf.DUMMYFUNCTION("""COMPUTED_VALUE"""),40876.0)</f>
        <v>40876</v>
      </c>
      <c r="I104" s="18">
        <f>IFERROR(__xludf.DUMMYFUNCTION("""COMPUTED_VALUE"""),5.1305555555555555)</f>
        <v>5.130555556</v>
      </c>
      <c r="J104" s="22">
        <f>IFERROR(__xludf.DUMMYFUNCTION("""COMPUTED_VALUE"""),88.0)</f>
        <v>88</v>
      </c>
      <c r="K104" s="22">
        <f>IFERROR(__xludf.DUMMYFUNCTION("""COMPUTED_VALUE"""),10.0)</f>
        <v>10</v>
      </c>
      <c r="L104" s="26" t="str">
        <f>IFERROR(__xludf.DUMMYFUNCTION("""COMPUTED_VALUE"""),"Platformer")</f>
        <v>Platformer</v>
      </c>
      <c r="M104" s="13" t="b">
        <f>NOT(ISNA(VLOOKUP(A104,PC!A:A,1,FALSE)))</f>
        <v>0</v>
      </c>
      <c r="N104" s="13" t="b">
        <f>NOT(ISNA(VLOOKUP(A104,'Game Pass Premium'!A:A,1,FALSE)))</f>
        <v>0</v>
      </c>
      <c r="O104" s="13" t="b">
        <f>NOT(ISNA(VLOOKUP(A104,'Game Pass Essential'!A:A,1,FALSE)))</f>
        <v>0</v>
      </c>
    </row>
    <row r="105">
      <c r="A105" s="12" t="str">
        <f>IFERROR(__xludf.DUMMYFUNCTION("""COMPUTED_VALUE"""),"Burnout Paradise")</f>
        <v>Burnout Paradise</v>
      </c>
      <c r="B105" s="13" t="str">
        <f>IFERROR(__xludf.DUMMYFUNCTION("""COMPUTED_VALUE"""),"XB360/OG Xbox")</f>
        <v>XB360/OG Xbox</v>
      </c>
      <c r="C105" s="14"/>
      <c r="D105" s="14" t="str">
        <f>IFERROR(__xludf.DUMMYFUNCTION("""COMPUTED_VALUE"""),"GwG Permanent")</f>
        <v>GwG Permanent</v>
      </c>
      <c r="E105" s="15">
        <f>IFERROR(__xludf.DUMMYFUNCTION("""COMPUTED_VALUE"""),42720.0)</f>
        <v>42720</v>
      </c>
      <c r="F105" s="16">
        <f>IFERROR(__xludf.DUMMYFUNCTION("""COMPUTED_VALUE"""),42735.0)</f>
        <v>42735</v>
      </c>
      <c r="G105" s="18">
        <f>IFERROR(__xludf.DUMMYFUNCTION("""COMPUTED_VALUE"""),0.4666666666666667)</f>
        <v>0.4666666667</v>
      </c>
      <c r="H105" s="15">
        <f>IFERROR(__xludf.DUMMYFUNCTION("""COMPUTED_VALUE"""),39469.0)</f>
        <v>39469</v>
      </c>
      <c r="I105" s="18">
        <f>IFERROR(__xludf.DUMMYFUNCTION("""COMPUTED_VALUE"""),8.9)</f>
        <v>8.9</v>
      </c>
      <c r="J105" s="22">
        <f>IFERROR(__xludf.DUMMYFUNCTION("""COMPUTED_VALUE"""),88.0)</f>
        <v>88</v>
      </c>
      <c r="K105" s="22">
        <f>IFERROR(__xludf.DUMMYFUNCTION("""COMPUTED_VALUE"""),10.0)</f>
        <v>10</v>
      </c>
      <c r="L105" s="26" t="str">
        <f>IFERROR(__xludf.DUMMYFUNCTION("""COMPUTED_VALUE"""),"Racing")</f>
        <v>Racing</v>
      </c>
      <c r="M105" s="13" t="b">
        <f>NOT(ISNA(VLOOKUP(A105,PC!A:A,1,FALSE)))</f>
        <v>0</v>
      </c>
      <c r="N105" s="13" t="b">
        <f>NOT(ISNA(VLOOKUP(A105,'Game Pass Premium'!A:A,1,FALSE)))</f>
        <v>0</v>
      </c>
      <c r="O105" s="13" t="b">
        <f>NOT(ISNA(VLOOKUP(A105,'Game Pass Essential'!A:A,1,FALSE)))</f>
        <v>0</v>
      </c>
    </row>
    <row r="106">
      <c r="A106" s="12" t="str">
        <f>IFERROR(__xludf.DUMMYFUNCTION("""COMPUTED_VALUE"""),"Super Meat Boy")</f>
        <v>Super Meat Boy</v>
      </c>
      <c r="B106" s="13" t="str">
        <f>IFERROR(__xludf.DUMMYFUNCTION("""COMPUTED_VALUE"""),"XB360/OG Xbox")</f>
        <v>XB360/OG Xbox</v>
      </c>
      <c r="C106" s="14"/>
      <c r="D106" s="14" t="str">
        <f>IFERROR(__xludf.DUMMYFUNCTION("""COMPUTED_VALUE"""),"GwG Permanent")</f>
        <v>GwG Permanent</v>
      </c>
      <c r="E106" s="15">
        <f>IFERROR(__xludf.DUMMYFUNCTION("""COMPUTED_VALUE"""),42522.0)</f>
        <v>42522</v>
      </c>
      <c r="F106" s="16">
        <f>IFERROR(__xludf.DUMMYFUNCTION("""COMPUTED_VALUE"""),42536.0)</f>
        <v>42536</v>
      </c>
      <c r="G106" s="18">
        <f>IFERROR(__xludf.DUMMYFUNCTION("""COMPUTED_VALUE"""),0.4666666666666667)</f>
        <v>0.4666666667</v>
      </c>
      <c r="H106" s="15">
        <f>IFERROR(__xludf.DUMMYFUNCTION("""COMPUTED_VALUE"""),40471.0)</f>
        <v>40471</v>
      </c>
      <c r="I106" s="18">
        <f>IFERROR(__xludf.DUMMYFUNCTION("""COMPUTED_VALUE"""),5.613888888888889)</f>
        <v>5.613888889</v>
      </c>
      <c r="J106" s="22">
        <f>IFERROR(__xludf.DUMMYFUNCTION("""COMPUTED_VALUE"""),88.0)</f>
        <v>88</v>
      </c>
      <c r="K106" s="22">
        <f>IFERROR(__xludf.DUMMYFUNCTION("""COMPUTED_VALUE"""),6.0)</f>
        <v>6</v>
      </c>
      <c r="L106" s="26" t="str">
        <f>IFERROR(__xludf.DUMMYFUNCTION("""COMPUTED_VALUE"""),"Platformer")</f>
        <v>Platformer</v>
      </c>
      <c r="M106" s="13" t="b">
        <f>NOT(ISNA(VLOOKUP(A106,PC!A:A,1,FALSE)))</f>
        <v>0</v>
      </c>
      <c r="N106" s="13" t="b">
        <f>NOT(ISNA(VLOOKUP(A106,'Game Pass Premium'!A:A,1,FALSE)))</f>
        <v>0</v>
      </c>
      <c r="O106" s="13" t="b">
        <f>NOT(ISNA(VLOOKUP(A106,'Game Pass Essential'!A:A,1,FALSE)))</f>
        <v>0</v>
      </c>
    </row>
    <row r="107">
      <c r="A107" s="12" t="str">
        <f>IFERROR(__xludf.DUMMYFUNCTION("""COMPUTED_VALUE"""),"Assassin's Creed IV: Black Flag")</f>
        <v>Assassin's Creed IV: Black Flag</v>
      </c>
      <c r="B107" s="13" t="str">
        <f>IFERROR(__xludf.DUMMYFUNCTION("""COMPUTED_VALUE"""),"XB360/OG Xbox")</f>
        <v>XB360/OG Xbox</v>
      </c>
      <c r="C107" s="14"/>
      <c r="D107" s="14" t="str">
        <f>IFERROR(__xludf.DUMMYFUNCTION("""COMPUTED_VALUE"""),"GwG Permanent")</f>
        <v>GwG Permanent</v>
      </c>
      <c r="E107" s="15">
        <f>IFERROR(__xludf.DUMMYFUNCTION("""COMPUTED_VALUE"""),42110.0)</f>
        <v>42110</v>
      </c>
      <c r="F107" s="16">
        <f>IFERROR(__xludf.DUMMYFUNCTION("""COMPUTED_VALUE"""),42124.0)</f>
        <v>42124</v>
      </c>
      <c r="G107" s="18">
        <f>IFERROR(__xludf.DUMMYFUNCTION("""COMPUTED_VALUE"""),0.4666666666666667)</f>
        <v>0.4666666667</v>
      </c>
      <c r="H107" s="15">
        <f>IFERROR(__xludf.DUMMYFUNCTION("""COMPUTED_VALUE"""),41576.0)</f>
        <v>41576</v>
      </c>
      <c r="I107" s="18">
        <f>IFERROR(__xludf.DUMMYFUNCTION("""COMPUTED_VALUE"""),1.4638888888888888)</f>
        <v>1.463888889</v>
      </c>
      <c r="J107" s="22">
        <f>IFERROR(__xludf.DUMMYFUNCTION("""COMPUTED_VALUE"""),88.0)</f>
        <v>88</v>
      </c>
      <c r="K107" s="22">
        <f>IFERROR(__xludf.DUMMYFUNCTION("""COMPUTED_VALUE"""),22.0)</f>
        <v>22</v>
      </c>
      <c r="L107" s="26" t="str">
        <f>IFERROR(__xludf.DUMMYFUNCTION("""COMPUTED_VALUE"""),"Action-Adventure")</f>
        <v>Action-Adventure</v>
      </c>
      <c r="M107" s="13" t="b">
        <f>NOT(ISNA(VLOOKUP(A107,PC!A:A,1,FALSE)))</f>
        <v>0</v>
      </c>
      <c r="N107" s="13" t="b">
        <f>NOT(ISNA(VLOOKUP(A107,'Game Pass Premium'!A:A,1,FALSE)))</f>
        <v>0</v>
      </c>
      <c r="O107" s="13" t="b">
        <f>NOT(ISNA(VLOOKUP(A107,'Game Pass Essential'!A:A,1,FALSE)))</f>
        <v>0</v>
      </c>
    </row>
    <row r="108">
      <c r="A108" s="12" t="str">
        <f>IFERROR(__xludf.DUMMYFUNCTION("""COMPUTED_VALUE"""),"The Witcher 2: Assassins of Kings")</f>
        <v>The Witcher 2: Assassins of Kings</v>
      </c>
      <c r="B108" s="13" t="str">
        <f>IFERROR(__xludf.DUMMYFUNCTION("""COMPUTED_VALUE"""),"XB360/OG Xbox")</f>
        <v>XB360/OG Xbox</v>
      </c>
      <c r="C108" s="14"/>
      <c r="D108" s="14" t="str">
        <f>IFERROR(__xludf.DUMMYFUNCTION("""COMPUTED_VALUE"""),"GwG Permanent")</f>
        <v>GwG Permanent</v>
      </c>
      <c r="E108" s="15">
        <f>IFERROR(__xludf.DUMMYFUNCTION("""COMPUTED_VALUE"""),42020.0)</f>
        <v>42020</v>
      </c>
      <c r="F108" s="16">
        <f>IFERROR(__xludf.DUMMYFUNCTION("""COMPUTED_VALUE"""),42035.0)</f>
        <v>42035</v>
      </c>
      <c r="G108" s="18">
        <f>IFERROR(__xludf.DUMMYFUNCTION("""COMPUTED_VALUE"""),0.4666666666666667)</f>
        <v>0.4666666667</v>
      </c>
      <c r="H108" s="15">
        <f>IFERROR(__xludf.DUMMYFUNCTION("""COMPUTED_VALUE"""),40680.0)</f>
        <v>40680</v>
      </c>
      <c r="I108" s="18">
        <f>IFERROR(__xludf.DUMMYFUNCTION("""COMPUTED_VALUE"""),3.6638888888888888)</f>
        <v>3.663888889</v>
      </c>
      <c r="J108" s="22">
        <f>IFERROR(__xludf.DUMMYFUNCTION("""COMPUTED_VALUE"""),88.0)</f>
        <v>88</v>
      </c>
      <c r="K108" s="22">
        <f>IFERROR(__xludf.DUMMYFUNCTION("""COMPUTED_VALUE"""),40.0)</f>
        <v>40</v>
      </c>
      <c r="L108" s="26" t="str">
        <f>IFERROR(__xludf.DUMMYFUNCTION("""COMPUTED_VALUE"""),"RPG")</f>
        <v>RPG</v>
      </c>
      <c r="M108" s="13" t="b">
        <f>NOT(ISNA(VLOOKUP(A108,PC!A:A,1,FALSE)))</f>
        <v>0</v>
      </c>
      <c r="N108" s="13" t="b">
        <f>NOT(ISNA(VLOOKUP(A108,'Game Pass Premium'!A:A,1,FALSE)))</f>
        <v>0</v>
      </c>
      <c r="O108" s="13" t="b">
        <f>NOT(ISNA(VLOOKUP(A108,'Game Pass Essential'!A:A,1,FALSE)))</f>
        <v>0</v>
      </c>
    </row>
    <row r="109">
      <c r="A109" s="12" t="str">
        <f>IFERROR(__xludf.DUMMYFUNCTION("""COMPUTED_VALUE"""),"Battlefield: Bad Company 2")</f>
        <v>Battlefield: Bad Company 2</v>
      </c>
      <c r="B109" s="13" t="str">
        <f>IFERROR(__xludf.DUMMYFUNCTION("""COMPUTED_VALUE"""),"XB360/OG Xbox")</f>
        <v>XB360/OG Xbox</v>
      </c>
      <c r="C109" s="14"/>
      <c r="D109" s="14" t="str">
        <f>IFERROR(__xludf.DUMMYFUNCTION("""COMPUTED_VALUE"""),"GwG Permanent")</f>
        <v>GwG Permanent</v>
      </c>
      <c r="E109" s="15">
        <f>IFERROR(__xludf.DUMMYFUNCTION("""COMPUTED_VALUE"""),41913.0)</f>
        <v>41913</v>
      </c>
      <c r="F109" s="16">
        <f>IFERROR(__xludf.DUMMYFUNCTION("""COMPUTED_VALUE"""),41927.0)</f>
        <v>41927</v>
      </c>
      <c r="G109" s="18">
        <f>IFERROR(__xludf.DUMMYFUNCTION("""COMPUTED_VALUE"""),0.4666666666666667)</f>
        <v>0.4666666667</v>
      </c>
      <c r="H109" s="15">
        <f>IFERROR(__xludf.DUMMYFUNCTION("""COMPUTED_VALUE"""),40239.0)</f>
        <v>40239</v>
      </c>
      <c r="I109" s="18">
        <f>IFERROR(__xludf.DUMMYFUNCTION("""COMPUTED_VALUE"""),4.580555555555556)</f>
        <v>4.580555556</v>
      </c>
      <c r="J109" s="22">
        <f>IFERROR(__xludf.DUMMYFUNCTION("""COMPUTED_VALUE"""),88.0)</f>
        <v>88</v>
      </c>
      <c r="K109" s="22">
        <f>IFERROR(__xludf.DUMMYFUNCTION("""COMPUTED_VALUE"""),8.0)</f>
        <v>8</v>
      </c>
      <c r="L109" s="26" t="str">
        <f>IFERROR(__xludf.DUMMYFUNCTION("""COMPUTED_VALUE"""),"Shooter")</f>
        <v>Shooter</v>
      </c>
      <c r="M109" s="13" t="b">
        <f>NOT(ISNA(VLOOKUP(A109,PC!A:A,1,FALSE)))</f>
        <v>0</v>
      </c>
      <c r="N109" s="13" t="b">
        <f>NOT(ISNA(VLOOKUP(A109,'Game Pass Premium'!A:A,1,FALSE)))</f>
        <v>0</v>
      </c>
      <c r="O109" s="13" t="b">
        <f>NOT(ISNA(VLOOKUP(A109,'Game Pass Essential'!A:A,1,FALSE)))</f>
        <v>0</v>
      </c>
    </row>
    <row r="110">
      <c r="A110" s="12" t="str">
        <f>IFERROR(__xludf.DUMMYFUNCTION("""COMPUTED_VALUE"""),"Psychonauts")</f>
        <v>Psychonauts</v>
      </c>
      <c r="B110" s="13" t="str">
        <f>IFERROR(__xludf.DUMMYFUNCTION("""COMPUTED_VALUE"""),"Xbox / PC")</f>
        <v>Xbox / PC</v>
      </c>
      <c r="C110" s="14" t="str">
        <f>IFERROR(__xludf.DUMMYFUNCTION("""COMPUTED_VALUE"""),"Touch Controls")</f>
        <v>Touch Controls</v>
      </c>
      <c r="D110" s="14" t="str">
        <f>IFERROR(__xludf.DUMMYFUNCTION("""COMPUTED_VALUE"""),"Active")</f>
        <v>Active</v>
      </c>
      <c r="E110" s="15">
        <f>IFERROR(__xludf.DUMMYFUNCTION("""COMPUTED_VALUE"""),44329.0)</f>
        <v>44329</v>
      </c>
      <c r="F110" s="16"/>
      <c r="G110" s="18">
        <f>IFERROR(__xludf.DUMMYFUNCTION("""COMPUTED_VALUE"""),64.76666666666667)</f>
        <v>64.76666667</v>
      </c>
      <c r="H110" s="15">
        <f>IFERROR(__xludf.DUMMYFUNCTION("""COMPUTED_VALUE"""),38461.0)</f>
        <v>38461</v>
      </c>
      <c r="I110" s="18">
        <f>IFERROR(__xludf.DUMMYFUNCTION("""COMPUTED_VALUE"""),16.066666666666666)</f>
        <v>16.06666667</v>
      </c>
      <c r="J110" s="22">
        <f>IFERROR(__xludf.DUMMYFUNCTION("""COMPUTED_VALUE"""),87.5)</f>
        <v>87.5</v>
      </c>
      <c r="K110" s="22">
        <f>IFERROR(__xludf.DUMMYFUNCTION("""COMPUTED_VALUE"""),12.5)</f>
        <v>12.5</v>
      </c>
      <c r="L110" s="26" t="str">
        <f>IFERROR(__xludf.DUMMYFUNCTION("""COMPUTED_VALUE"""),"Platformer")</f>
        <v>Platformer</v>
      </c>
      <c r="M110" s="13" t="b">
        <f>NOT(ISNA(VLOOKUP(A110,PC!A:A,1,FALSE)))</f>
        <v>1</v>
      </c>
      <c r="N110" s="13" t="b">
        <f>NOT(ISNA(VLOOKUP(A110,'Game Pass Premium'!A:A,1,FALSE)))</f>
        <v>1</v>
      </c>
      <c r="O110" s="13" t="b">
        <f>NOT(ISNA(VLOOKUP(A110,'Game Pass Essential'!A:A,1,FALSE)))</f>
        <v>0</v>
      </c>
    </row>
    <row r="111">
      <c r="A111" s="12" t="str">
        <f>IFERROR(__xludf.DUMMYFUNCTION("""COMPUTED_VALUE"""),"Final Fantasy VI")</f>
        <v>Final Fantasy VI</v>
      </c>
      <c r="B111" s="13" t="str">
        <f>IFERROR(__xludf.DUMMYFUNCTION("""COMPUTED_VALUE"""),"Xbox / PC")</f>
        <v>Xbox / PC</v>
      </c>
      <c r="C111" s="14" t="str">
        <f>IFERROR(__xludf.DUMMYFUNCTION("""COMPUTED_VALUE"""),"Yes")</f>
        <v>Yes</v>
      </c>
      <c r="D111" s="14" t="str">
        <f>IFERROR(__xludf.DUMMYFUNCTION("""COMPUTED_VALUE"""),"Active")</f>
        <v>Active</v>
      </c>
      <c r="E111" s="15">
        <f>IFERROR(__xludf.DUMMYFUNCTION("""COMPUTED_VALUE"""),46175.0)</f>
        <v>46175</v>
      </c>
      <c r="F111" s="16"/>
      <c r="G111" s="18">
        <f>IFERROR(__xludf.DUMMYFUNCTION("""COMPUTED_VALUE"""),4.133333333333333)</f>
        <v>4.133333333</v>
      </c>
      <c r="H111" s="15">
        <f>IFERROR(__xludf.DUMMYFUNCTION("""COMPUTED_VALUE"""),45561.0)</f>
        <v>45561</v>
      </c>
      <c r="I111" s="18">
        <f>IFERROR(__xludf.DUMMYFUNCTION("""COMPUTED_VALUE"""),1.6833333333333333)</f>
        <v>1.683333333</v>
      </c>
      <c r="J111" s="22">
        <f>IFERROR(__xludf.DUMMYFUNCTION("""COMPUTED_VALUE"""),87.0)</f>
        <v>87</v>
      </c>
      <c r="K111" s="22">
        <f>IFERROR(__xludf.DUMMYFUNCTION("""COMPUTED_VALUE"""),36.0)</f>
        <v>36</v>
      </c>
      <c r="L111" s="26" t="str">
        <f>IFERROR(__xludf.DUMMYFUNCTION("""COMPUTED_VALUE"""),"RPG")</f>
        <v>RPG</v>
      </c>
      <c r="M111" s="13" t="b">
        <f>NOT(ISNA(VLOOKUP(A111,PC!A:A,1,FALSE)))</f>
        <v>1</v>
      </c>
      <c r="N111" s="13" t="b">
        <f>NOT(ISNA(VLOOKUP(A111,'Game Pass Premium'!A:A,1,FALSE)))</f>
        <v>1</v>
      </c>
      <c r="O111" s="13" t="b">
        <f>NOT(ISNA(VLOOKUP(A111,'Game Pass Essential'!A:A,1,FALSE)))</f>
        <v>0</v>
      </c>
    </row>
    <row r="112">
      <c r="A112" s="12" t="str">
        <f>IFERROR(__xludf.DUMMYFUNCTION("""COMPUTED_VALUE"""),"Absolum")</f>
        <v>Absolum</v>
      </c>
      <c r="B112" s="13" t="str">
        <f>IFERROR(__xludf.DUMMYFUNCTION("""COMPUTED_VALUE"""),"Xbox / PC")</f>
        <v>Xbox / PC</v>
      </c>
      <c r="C112" s="14" t="str">
        <f>IFERROR(__xludf.DUMMYFUNCTION("""COMPUTED_VALUE"""),"Yes")</f>
        <v>Yes</v>
      </c>
      <c r="D112" s="14" t="str">
        <f>IFERROR(__xludf.DUMMYFUNCTION("""COMPUTED_VALUE"""),"Active")</f>
        <v>Active</v>
      </c>
      <c r="E112" s="15">
        <f>IFERROR(__xludf.DUMMYFUNCTION("""COMPUTED_VALUE"""),46106.0)</f>
        <v>46106</v>
      </c>
      <c r="F112" s="16"/>
      <c r="G112" s="18">
        <f>IFERROR(__xludf.DUMMYFUNCTION("""COMPUTED_VALUE"""),6.366666666666667)</f>
        <v>6.366666667</v>
      </c>
      <c r="H112" s="15">
        <f>IFERROR(__xludf.DUMMYFUNCTION("""COMPUTED_VALUE"""),45939.0)</f>
        <v>45939</v>
      </c>
      <c r="I112" s="18">
        <f>IFERROR(__xludf.DUMMYFUNCTION("""COMPUTED_VALUE"""),0.46111111111111114)</f>
        <v>0.4611111111</v>
      </c>
      <c r="J112" s="22">
        <f>IFERROR(__xludf.DUMMYFUNCTION("""COMPUTED_VALUE"""),87.0)</f>
        <v>87</v>
      </c>
      <c r="K112" s="22">
        <f>IFERROR(__xludf.DUMMYFUNCTION("""COMPUTED_VALUE"""),9.0)</f>
        <v>9</v>
      </c>
      <c r="L112" s="26" t="str">
        <f>IFERROR(__xludf.DUMMYFUNCTION("""COMPUTED_VALUE"""),"Beat-’Em-Up")</f>
        <v>Beat-’Em-Up</v>
      </c>
      <c r="M112" s="13" t="b">
        <f>NOT(ISNA(VLOOKUP(A112,PC!A:A,1,FALSE)))</f>
        <v>1</v>
      </c>
      <c r="N112" s="13" t="b">
        <f>NOT(ISNA(VLOOKUP(A112,'Game Pass Premium'!A:A,1,FALSE)))</f>
        <v>1</v>
      </c>
      <c r="O112" s="13" t="b">
        <f>NOT(ISNA(VLOOKUP(A112,'Game Pass Essential'!A:A,1,FALSE)))</f>
        <v>0</v>
      </c>
    </row>
    <row r="113">
      <c r="A113" s="12" t="str">
        <f>IFERROR(__xludf.DUMMYFUNCTION("""COMPUTED_VALUE"""),"Minishoot' Adventures")</f>
        <v>Minishoot' Adventures</v>
      </c>
      <c r="B113" s="13" t="str">
        <f>IFERROR(__xludf.DUMMYFUNCTION("""COMPUTED_VALUE"""),"Xbox / PC")</f>
        <v>Xbox / PC</v>
      </c>
      <c r="C113" s="14" t="str">
        <f>IFERROR(__xludf.DUMMYFUNCTION("""COMPUTED_VALUE"""),"Yes")</f>
        <v>Yes</v>
      </c>
      <c r="D113" s="14" t="str">
        <f>IFERROR(__xludf.DUMMYFUNCTION("""COMPUTED_VALUE"""),"Active")</f>
        <v>Active</v>
      </c>
      <c r="E113" s="15">
        <f>IFERROR(__xludf.DUMMYFUNCTION("""COMPUTED_VALUE"""),46084.0)</f>
        <v>46084</v>
      </c>
      <c r="F113" s="16"/>
      <c r="G113" s="18">
        <f>IFERROR(__xludf.DUMMYFUNCTION("""COMPUTED_VALUE"""),7.1)</f>
        <v>7.1</v>
      </c>
      <c r="H113" s="15">
        <f>IFERROR(__xludf.DUMMYFUNCTION("""COMPUTED_VALUE"""),45384.0)</f>
        <v>45384</v>
      </c>
      <c r="I113" s="18">
        <f>IFERROR(__xludf.DUMMYFUNCTION("""COMPUTED_VALUE"""),1.9194444444444445)</f>
        <v>1.919444444</v>
      </c>
      <c r="J113" s="22">
        <f>IFERROR(__xludf.DUMMYFUNCTION("""COMPUTED_VALUE"""),87.0)</f>
        <v>87</v>
      </c>
      <c r="K113" s="22">
        <f>IFERROR(__xludf.DUMMYFUNCTION("""COMPUTED_VALUE"""),8.0)</f>
        <v>8</v>
      </c>
      <c r="L113" s="26" t="str">
        <f>IFERROR(__xludf.DUMMYFUNCTION("""COMPUTED_VALUE"""),"Strategy")</f>
        <v>Strategy</v>
      </c>
      <c r="M113" s="13" t="b">
        <f>NOT(ISNA(VLOOKUP(A113,PC!A:A,1,FALSE)))</f>
        <v>1</v>
      </c>
      <c r="N113" s="13" t="b">
        <f>NOT(ISNA(VLOOKUP(A113,'Game Pass Premium'!A:A,1,FALSE)))</f>
        <v>1</v>
      </c>
      <c r="O113" s="13" t="b">
        <f>NOT(ISNA(VLOOKUP(A113,'Game Pass Essential'!A:A,1,FALSE)))</f>
        <v>0</v>
      </c>
    </row>
    <row r="114">
      <c r="A114" s="12" t="str">
        <f>IFERROR(__xludf.DUMMYFUNCTION("""COMPUTED_VALUE"""),"MechWarrior 2: 31st Century Combat")</f>
        <v>MechWarrior 2: 31st Century Combat</v>
      </c>
      <c r="B114" s="13" t="str">
        <f>IFERROR(__xludf.DUMMYFUNCTION("""COMPUTED_VALUE"""),"Xbox / PC")</f>
        <v>Xbox / PC</v>
      </c>
      <c r="C114" s="14" t="str">
        <f>IFERROR(__xludf.DUMMYFUNCTION("""COMPUTED_VALUE"""),"Yes")</f>
        <v>Yes</v>
      </c>
      <c r="D114" s="14" t="str">
        <f>IFERROR(__xludf.DUMMYFUNCTION("""COMPUTED_VALUE"""),"Active")</f>
        <v>Active</v>
      </c>
      <c r="E114" s="15">
        <f>IFERROR(__xludf.DUMMYFUNCTION("""COMPUTED_VALUE"""),45798.0)</f>
        <v>45798</v>
      </c>
      <c r="F114" s="16"/>
      <c r="G114" s="18">
        <f>IFERROR(__xludf.DUMMYFUNCTION("""COMPUTED_VALUE"""),16.5)</f>
        <v>16.5</v>
      </c>
      <c r="H114" s="15">
        <f>IFERROR(__xludf.DUMMYFUNCTION("""COMPUTED_VALUE"""),34904.0)</f>
        <v>34904</v>
      </c>
      <c r="I114" s="18">
        <f>IFERROR(__xludf.DUMMYFUNCTION("""COMPUTED_VALUE"""),29.825)</f>
        <v>29.825</v>
      </c>
      <c r="J114" s="22">
        <f>IFERROR(__xludf.DUMMYFUNCTION("""COMPUTED_VALUE"""),87.0)</f>
        <v>87</v>
      </c>
      <c r="K114" s="22">
        <f>IFERROR(__xludf.DUMMYFUNCTION("""COMPUTED_VALUE"""),20.0)</f>
        <v>20</v>
      </c>
      <c r="L114" s="26" t="str">
        <f>IFERROR(__xludf.DUMMYFUNCTION("""COMPUTED_VALUE"""),"Shooter")</f>
        <v>Shooter</v>
      </c>
      <c r="M114" s="13" t="b">
        <f>NOT(ISNA(VLOOKUP(A114,PC!A:A,1,FALSE)))</f>
        <v>1</v>
      </c>
      <c r="N114" s="13" t="b">
        <f>NOT(ISNA(VLOOKUP(A114,'Game Pass Premium'!A:A,1,FALSE)))</f>
        <v>1</v>
      </c>
      <c r="O114" s="13" t="b">
        <f>NOT(ISNA(VLOOKUP(A114,'Game Pass Essential'!A:A,1,FALSE)))</f>
        <v>0</v>
      </c>
    </row>
    <row r="115">
      <c r="A115" s="12" t="str">
        <f>IFERROR(__xludf.DUMMYFUNCTION("""COMPUTED_VALUE"""),"Pentiment")</f>
        <v>Pentiment</v>
      </c>
      <c r="B115" s="13" t="str">
        <f>IFERROR(__xludf.DUMMYFUNCTION("""COMPUTED_VALUE"""),"Xbox / PC")</f>
        <v>Xbox / PC</v>
      </c>
      <c r="C115" s="14" t="str">
        <f>IFERROR(__xludf.DUMMYFUNCTION("""COMPUTED_VALUE"""),"Touch Controls, M+KB")</f>
        <v>Touch Controls, M+KB</v>
      </c>
      <c r="D115" s="14" t="str">
        <f>IFERROR(__xludf.DUMMYFUNCTION("""COMPUTED_VALUE"""),"Active")</f>
        <v>Active</v>
      </c>
      <c r="E115" s="15">
        <f>IFERROR(__xludf.DUMMYFUNCTION("""COMPUTED_VALUE"""),44880.0)</f>
        <v>44880</v>
      </c>
      <c r="F115" s="16"/>
      <c r="G115" s="18">
        <f>IFERROR(__xludf.DUMMYFUNCTION("""COMPUTED_VALUE"""),46.7)</f>
        <v>46.7</v>
      </c>
      <c r="H115" s="15">
        <f>IFERROR(__xludf.DUMMYFUNCTION("""COMPUTED_VALUE"""),44880.0)</f>
        <v>44880</v>
      </c>
      <c r="I115" s="18">
        <f>IFERROR(__xludf.DUMMYFUNCTION("""COMPUTED_VALUE"""),0.0)</f>
        <v>0</v>
      </c>
      <c r="J115" s="22">
        <f>IFERROR(__xludf.DUMMYFUNCTION("""COMPUTED_VALUE"""),87.0)</f>
        <v>87</v>
      </c>
      <c r="K115" s="22">
        <f>IFERROR(__xludf.DUMMYFUNCTION("""COMPUTED_VALUE"""),18.5)</f>
        <v>18.5</v>
      </c>
      <c r="L115" s="26" t="str">
        <f>IFERROR(__xludf.DUMMYFUNCTION("""COMPUTED_VALUE"""),"Adventure")</f>
        <v>Adventure</v>
      </c>
      <c r="M115" s="13" t="b">
        <f>NOT(ISNA(VLOOKUP(A115,PC!A:A,1,FALSE)))</f>
        <v>1</v>
      </c>
      <c r="N115" s="13" t="b">
        <f>NOT(ISNA(VLOOKUP(A115,'Game Pass Premium'!A:A,1,FALSE)))</f>
        <v>1</v>
      </c>
      <c r="O115" s="13" t="b">
        <f>NOT(ISNA(VLOOKUP(A115,'Game Pass Essential'!A:A,1,FALSE)))</f>
        <v>0</v>
      </c>
    </row>
    <row r="116">
      <c r="A116" s="12" t="str">
        <f>IFERROR(__xludf.DUMMYFUNCTION("""COMPUTED_VALUE"""),"Assassin's Creed Odyssey")</f>
        <v>Assassin's Creed Odyssey</v>
      </c>
      <c r="B116" s="13" t="str">
        <f>IFERROR(__xludf.DUMMYFUNCTION("""COMPUTED_VALUE"""),"Xbox / PC")</f>
        <v>Xbox / PC</v>
      </c>
      <c r="C116" s="14" t="str">
        <f>IFERROR(__xludf.DUMMYFUNCTION("""COMPUTED_VALUE"""),"Touch Controls")</f>
        <v>Touch Controls</v>
      </c>
      <c r="D116" s="14" t="str">
        <f>IFERROR(__xludf.DUMMYFUNCTION("""COMPUTED_VALUE"""),"Active")</f>
        <v>Active</v>
      </c>
      <c r="E116" s="15">
        <f>IFERROR(__xludf.DUMMYFUNCTION("""COMPUTED_VALUE"""),44819.0)</f>
        <v>44819</v>
      </c>
      <c r="F116" s="16"/>
      <c r="G116" s="18">
        <f>IFERROR(__xludf.DUMMYFUNCTION("""COMPUTED_VALUE"""),48.7)</f>
        <v>48.7</v>
      </c>
      <c r="H116" s="15">
        <f>IFERROR(__xludf.DUMMYFUNCTION("""COMPUTED_VALUE"""),43375.0)</f>
        <v>43375</v>
      </c>
      <c r="I116" s="18">
        <f>IFERROR(__xludf.DUMMYFUNCTION("""COMPUTED_VALUE"""),3.952777777777778)</f>
        <v>3.952777778</v>
      </c>
      <c r="J116" s="22">
        <f>IFERROR(__xludf.DUMMYFUNCTION("""COMPUTED_VALUE"""),87.0)</f>
        <v>87</v>
      </c>
      <c r="K116" s="22">
        <f>IFERROR(__xludf.DUMMYFUNCTION("""COMPUTED_VALUE"""),44.5)</f>
        <v>44.5</v>
      </c>
      <c r="L116" s="26" t="str">
        <f>IFERROR(__xludf.DUMMYFUNCTION("""COMPUTED_VALUE"""),"RPG")</f>
        <v>RPG</v>
      </c>
      <c r="M116" s="13" t="b">
        <f>NOT(ISNA(VLOOKUP(A116,PC!A:A,1,FALSE)))</f>
        <v>1</v>
      </c>
      <c r="N116" s="13" t="b">
        <f>NOT(ISNA(VLOOKUP(A116,'Game Pass Premium'!A:A,1,FALSE)))</f>
        <v>1</v>
      </c>
      <c r="O116" s="13" t="b">
        <f>NOT(ISNA(VLOOKUP(A116,'Game Pass Essential'!A:A,1,FALSE)))</f>
        <v>0</v>
      </c>
    </row>
    <row r="117">
      <c r="A117" s="12" t="str">
        <f>IFERROR(__xludf.DUMMYFUNCTION("""COMPUTED_VALUE"""),"Vampire Survivors")</f>
        <v>Vampire Survivors</v>
      </c>
      <c r="B117" s="13" t="str">
        <f>IFERROR(__xludf.DUMMYFUNCTION("""COMPUTED_VALUE"""),"Xbox / PC")</f>
        <v>Xbox / PC</v>
      </c>
      <c r="C117" s="14" t="str">
        <f>IFERROR(__xludf.DUMMYFUNCTION("""COMPUTED_VALUE"""),"Yes")</f>
        <v>Yes</v>
      </c>
      <c r="D117" s="14" t="str">
        <f>IFERROR(__xludf.DUMMYFUNCTION("""COMPUTED_VALUE"""),"Active")</f>
        <v>Active</v>
      </c>
      <c r="E117" s="15">
        <f>IFERROR(__xludf.DUMMYFUNCTION("""COMPUTED_VALUE"""),44700.0)</f>
        <v>44700</v>
      </c>
      <c r="F117" s="16"/>
      <c r="G117" s="18">
        <f>IFERROR(__xludf.DUMMYFUNCTION("""COMPUTED_VALUE"""),52.56666666666666)</f>
        <v>52.56666667</v>
      </c>
      <c r="H117" s="15">
        <f>IFERROR(__xludf.DUMMYFUNCTION("""COMPUTED_VALUE"""),44547.0)</f>
        <v>44547</v>
      </c>
      <c r="I117" s="18">
        <f>IFERROR(__xludf.DUMMYFUNCTION("""COMPUTED_VALUE"""),0.4222222222222222)</f>
        <v>0.4222222222</v>
      </c>
      <c r="J117" s="22">
        <f>IFERROR(__xludf.DUMMYFUNCTION("""COMPUTED_VALUE"""),87.0)</f>
        <v>87</v>
      </c>
      <c r="K117" s="22">
        <f>IFERROR(__xludf.DUMMYFUNCTION("""COMPUTED_VALUE"""),4.5)</f>
        <v>4.5</v>
      </c>
      <c r="L117" s="26" t="str">
        <f>IFERROR(__xludf.DUMMYFUNCTION("""COMPUTED_VALUE"""),"Action")</f>
        <v>Action</v>
      </c>
      <c r="M117" s="13" t="b">
        <f>NOT(ISNA(VLOOKUP(A117,PC!A:A,1,FALSE)))</f>
        <v>1</v>
      </c>
      <c r="N117" s="13" t="b">
        <f>NOT(ISNA(VLOOKUP(A117,'Game Pass Premium'!A:A,1,FALSE)))</f>
        <v>1</v>
      </c>
      <c r="O117" s="13" t="b">
        <f>NOT(ISNA(VLOOKUP(A117,'Game Pass Essential'!A:A,1,FALSE)))</f>
        <v>1</v>
      </c>
    </row>
    <row r="118">
      <c r="A118" s="12" t="str">
        <f>IFERROR(__xludf.DUMMYFUNCTION("""COMPUTED_VALUE"""),"Halo 4")</f>
        <v>Halo 4</v>
      </c>
      <c r="B118" s="13" t="str">
        <f>IFERROR(__xludf.DUMMYFUNCTION("""COMPUTED_VALUE"""),"Xbox / PC")</f>
        <v>Xbox / PC</v>
      </c>
      <c r="C118" s="14"/>
      <c r="D118" s="14" t="str">
        <f>IFERROR(__xludf.DUMMYFUNCTION("""COMPUTED_VALUE"""),"Active")</f>
        <v>Active</v>
      </c>
      <c r="E118" s="15">
        <f>IFERROR(__xludf.DUMMYFUNCTION("""COMPUTED_VALUE"""),44152.0)</f>
        <v>44152</v>
      </c>
      <c r="F118" s="16"/>
      <c r="G118" s="18">
        <f>IFERROR(__xludf.DUMMYFUNCTION("""COMPUTED_VALUE"""),70.63333333333333)</f>
        <v>70.63333333</v>
      </c>
      <c r="H118" s="15">
        <f>IFERROR(__xludf.DUMMYFUNCTION("""COMPUTED_VALUE"""),41218.0)</f>
        <v>41218</v>
      </c>
      <c r="I118" s="18">
        <f>IFERROR(__xludf.DUMMYFUNCTION("""COMPUTED_VALUE"""),8.033333333333333)</f>
        <v>8.033333333</v>
      </c>
      <c r="J118" s="22">
        <f>IFERROR(__xludf.DUMMYFUNCTION("""COMPUTED_VALUE"""),87.0)</f>
        <v>87</v>
      </c>
      <c r="K118" s="22">
        <f>IFERROR(__xludf.DUMMYFUNCTION("""COMPUTED_VALUE"""),8.0)</f>
        <v>8</v>
      </c>
      <c r="L118" s="26" t="str">
        <f>IFERROR(__xludf.DUMMYFUNCTION("""COMPUTED_VALUE"""),"Shooter")</f>
        <v>Shooter</v>
      </c>
      <c r="M118" s="13" t="b">
        <f>NOT(ISNA(VLOOKUP(A118,PC!A:A,1,FALSE)))</f>
        <v>1</v>
      </c>
      <c r="N118" s="13" t="b">
        <f>NOT(ISNA(VLOOKUP(A118,'Game Pass Premium'!A:A,1,FALSE)))</f>
        <v>1</v>
      </c>
      <c r="O118" s="13" t="b">
        <f>NOT(ISNA(VLOOKUP(A118,'Game Pass Essential'!A:A,1,FALSE)))</f>
        <v>0</v>
      </c>
    </row>
    <row r="119">
      <c r="A119" s="12" t="str">
        <f>IFERROR(__xludf.DUMMYFUNCTION("""COMPUTED_VALUE"""),"Battlefield 1: Revolution")</f>
        <v>Battlefield 1: Revolution</v>
      </c>
      <c r="B119" s="13" t="str">
        <f>IFERROR(__xludf.DUMMYFUNCTION("""COMPUTED_VALUE"""),"Xbox / PC")</f>
        <v>Xbox / PC</v>
      </c>
      <c r="C119" s="14" t="str">
        <f>IFERROR(__xludf.DUMMYFUNCTION("""COMPUTED_VALUE"""),"Yes")</f>
        <v>Yes</v>
      </c>
      <c r="D119" s="14" t="str">
        <f>IFERROR(__xludf.DUMMYFUNCTION("""COMPUTED_VALUE"""),"Active")</f>
        <v>Active</v>
      </c>
      <c r="E119" s="15">
        <f>IFERROR(__xludf.DUMMYFUNCTION("""COMPUTED_VALUE"""),44145.0)</f>
        <v>44145</v>
      </c>
      <c r="F119" s="16"/>
      <c r="G119" s="18">
        <f>IFERROR(__xludf.DUMMYFUNCTION("""COMPUTED_VALUE"""),70.86666666666667)</f>
        <v>70.86666667</v>
      </c>
      <c r="H119" s="15">
        <f>IFERROR(__xludf.DUMMYFUNCTION("""COMPUTED_VALUE"""),42664.0)</f>
        <v>42664</v>
      </c>
      <c r="I119" s="18">
        <f>IFERROR(__xludf.DUMMYFUNCTION("""COMPUTED_VALUE"""),4.052777777777778)</f>
        <v>4.052777778</v>
      </c>
      <c r="J119" s="22">
        <f>IFERROR(__xludf.DUMMYFUNCTION("""COMPUTED_VALUE"""),87.0)</f>
        <v>87</v>
      </c>
      <c r="K119" s="22">
        <f>IFERROR(__xludf.DUMMYFUNCTION("""COMPUTED_VALUE"""),6.5)</f>
        <v>6.5</v>
      </c>
      <c r="L119" s="26" t="str">
        <f>IFERROR(__xludf.DUMMYFUNCTION("""COMPUTED_VALUE"""),"Shooter")</f>
        <v>Shooter</v>
      </c>
      <c r="M119" s="13" t="b">
        <f>NOT(ISNA(VLOOKUP(A119,PC!A:A,1,FALSE)))</f>
        <v>1</v>
      </c>
      <c r="N119" s="13" t="b">
        <f>NOT(ISNA(VLOOKUP(A119,'Game Pass Premium'!A:A,1,FALSE)))</f>
        <v>1</v>
      </c>
      <c r="O119" s="13" t="b">
        <f>NOT(ISNA(VLOOKUP(A119,'Game Pass Essential'!A:A,1,FALSE)))</f>
        <v>0</v>
      </c>
    </row>
    <row r="120">
      <c r="A120" s="12" t="str">
        <f>IFERROR(__xludf.DUMMYFUNCTION("""COMPUTED_VALUE"""),"Titanfall 2: Ultimate Edition")</f>
        <v>Titanfall 2: Ultimate Edition</v>
      </c>
      <c r="B120" s="13" t="str">
        <f>IFERROR(__xludf.DUMMYFUNCTION("""COMPUTED_VALUE"""),"Xbox / PC")</f>
        <v>Xbox / PC</v>
      </c>
      <c r="C120" s="14"/>
      <c r="D120" s="14" t="str">
        <f>IFERROR(__xludf.DUMMYFUNCTION("""COMPUTED_VALUE"""),"Active")</f>
        <v>Active</v>
      </c>
      <c r="E120" s="15">
        <f>IFERROR(__xludf.DUMMYFUNCTION("""COMPUTED_VALUE"""),44145.0)</f>
        <v>44145</v>
      </c>
      <c r="F120" s="16"/>
      <c r="G120" s="18">
        <f>IFERROR(__xludf.DUMMYFUNCTION("""COMPUTED_VALUE"""),70.86666666666667)</f>
        <v>70.86666667</v>
      </c>
      <c r="H120" s="15">
        <f>IFERROR(__xludf.DUMMYFUNCTION("""COMPUTED_VALUE"""),42671.0)</f>
        <v>42671</v>
      </c>
      <c r="I120" s="18">
        <f>IFERROR(__xludf.DUMMYFUNCTION("""COMPUTED_VALUE"""),4.033333333333333)</f>
        <v>4.033333333</v>
      </c>
      <c r="J120" s="22">
        <f>IFERROR(__xludf.DUMMYFUNCTION("""COMPUTED_VALUE"""),87.0)</f>
        <v>87</v>
      </c>
      <c r="K120" s="22">
        <f>IFERROR(__xludf.DUMMYFUNCTION("""COMPUTED_VALUE"""),6.0)</f>
        <v>6</v>
      </c>
      <c r="L120" s="26" t="str">
        <f>IFERROR(__xludf.DUMMYFUNCTION("""COMPUTED_VALUE"""),"Shooter")</f>
        <v>Shooter</v>
      </c>
      <c r="M120" s="13" t="b">
        <f>NOT(ISNA(VLOOKUP(A120,PC!A:A,1,FALSE)))</f>
        <v>1</v>
      </c>
      <c r="N120" s="13" t="b">
        <f>NOT(ISNA(VLOOKUP(A120,'Game Pass Premium'!A:A,1,FALSE)))</f>
        <v>1</v>
      </c>
      <c r="O120" s="13" t="b">
        <f>NOT(ISNA(VLOOKUP(A120,'Game Pass Essential'!A:A,1,FALSE)))</f>
        <v>0</v>
      </c>
    </row>
    <row r="121">
      <c r="A121" s="12" t="str">
        <f>IFERROR(__xludf.DUMMYFUNCTION("""COMPUTED_VALUE"""),"DOOM (2016)")</f>
        <v>DOOM (2016)</v>
      </c>
      <c r="B121" s="13" t="str">
        <f>IFERROR(__xludf.DUMMYFUNCTION("""COMPUTED_VALUE"""),"Xbox")</f>
        <v>Xbox</v>
      </c>
      <c r="C121" s="14" t="str">
        <f>IFERROR(__xludf.DUMMYFUNCTION("""COMPUTED_VALUE"""),"Yes")</f>
        <v>Yes</v>
      </c>
      <c r="D121" s="14" t="str">
        <f>IFERROR(__xludf.DUMMYFUNCTION("""COMPUTED_VALUE"""),"Active")</f>
        <v>Active</v>
      </c>
      <c r="E121" s="15">
        <f>IFERROR(__xludf.DUMMYFUNCTION("""COMPUTED_VALUE"""),43322.0)</f>
        <v>43322</v>
      </c>
      <c r="F121" s="16"/>
      <c r="G121" s="18">
        <f>IFERROR(__xludf.DUMMYFUNCTION("""COMPUTED_VALUE"""),97.86666666666666)</f>
        <v>97.86666667</v>
      </c>
      <c r="H121" s="15">
        <f>IFERROR(__xludf.DUMMYFUNCTION("""COMPUTED_VALUE"""),42503.0)</f>
        <v>42503</v>
      </c>
      <c r="I121" s="18">
        <f>IFERROR(__xludf.DUMMYFUNCTION("""COMPUTED_VALUE"""),2.2416666666666667)</f>
        <v>2.241666667</v>
      </c>
      <c r="J121" s="22">
        <f>IFERROR(__xludf.DUMMYFUNCTION("""COMPUTED_VALUE"""),87.0)</f>
        <v>87</v>
      </c>
      <c r="K121" s="22">
        <f>IFERROR(__xludf.DUMMYFUNCTION("""COMPUTED_VALUE"""),11.5)</f>
        <v>11.5</v>
      </c>
      <c r="L121" s="26" t="str">
        <f>IFERROR(__xludf.DUMMYFUNCTION("""COMPUTED_VALUE"""),"Shooter")</f>
        <v>Shooter</v>
      </c>
      <c r="M121" s="13" t="b">
        <f>NOT(ISNA(VLOOKUP(A121,PC!A:A,1,FALSE)))</f>
        <v>0</v>
      </c>
      <c r="N121" s="13" t="b">
        <f>NOT(ISNA(VLOOKUP(A121,'Game Pass Premium'!A:A,1,FALSE)))</f>
        <v>1</v>
      </c>
      <c r="O121" s="13" t="b">
        <f>NOT(ISNA(VLOOKUP(A121,'Game Pass Essential'!A:A,1,FALSE)))</f>
        <v>1</v>
      </c>
    </row>
    <row r="122">
      <c r="A122" s="12" t="str">
        <f>IFERROR(__xludf.DUMMYFUNCTION("""COMPUTED_VALUE"""),"Portal: Still Alive")</f>
        <v>Portal: Still Alive</v>
      </c>
      <c r="B122" s="13" t="str">
        <f>IFERROR(__xludf.DUMMYFUNCTION("""COMPUTED_VALUE"""),"XB360/OG Xbox")</f>
        <v>XB360/OG Xbox</v>
      </c>
      <c r="C122" s="14"/>
      <c r="D122" s="14" t="str">
        <f>IFERROR(__xludf.DUMMYFUNCTION("""COMPUTED_VALUE"""),"GwG Permanent")</f>
        <v>GwG Permanent</v>
      </c>
      <c r="E122" s="15">
        <f>IFERROR(__xludf.DUMMYFUNCTION("""COMPUTED_VALUE"""),43617.0)</f>
        <v>43617</v>
      </c>
      <c r="F122" s="16">
        <f>IFERROR(__xludf.DUMMYFUNCTION("""COMPUTED_VALUE"""),43631.0)</f>
        <v>43631</v>
      </c>
      <c r="G122" s="18">
        <f>IFERROR(__xludf.DUMMYFUNCTION("""COMPUTED_VALUE"""),0.4666666666666667)</f>
        <v>0.4666666667</v>
      </c>
      <c r="H122" s="15">
        <f>IFERROR(__xludf.DUMMYFUNCTION("""COMPUTED_VALUE"""),39603.0)</f>
        <v>39603</v>
      </c>
      <c r="I122" s="18">
        <f>IFERROR(__xludf.DUMMYFUNCTION("""COMPUTED_VALUE"""),10.991666666666667)</f>
        <v>10.99166667</v>
      </c>
      <c r="J122" s="22">
        <f>IFERROR(__xludf.DUMMYFUNCTION("""COMPUTED_VALUE"""),87.0)</f>
        <v>87</v>
      </c>
      <c r="K122" s="22">
        <f>IFERROR(__xludf.DUMMYFUNCTION("""COMPUTED_VALUE"""),3.0)</f>
        <v>3</v>
      </c>
      <c r="L122" s="26" t="str">
        <f>IFERROR(__xludf.DUMMYFUNCTION("""COMPUTED_VALUE"""),"Shooter")</f>
        <v>Shooter</v>
      </c>
      <c r="M122" s="13" t="b">
        <f>NOT(ISNA(VLOOKUP(A122,PC!A:A,1,FALSE)))</f>
        <v>0</v>
      </c>
      <c r="N122" s="13" t="b">
        <f>NOT(ISNA(VLOOKUP(A122,'Game Pass Premium'!A:A,1,FALSE)))</f>
        <v>0</v>
      </c>
      <c r="O122" s="13" t="b">
        <f>NOT(ISNA(VLOOKUP(A122,'Game Pass Essential'!A:A,1,FALSE)))</f>
        <v>0</v>
      </c>
    </row>
    <row r="123">
      <c r="A123" s="12" t="str">
        <f>IFERROR(__xludf.DUMMYFUNCTION("""COMPUTED_VALUE"""),"Sonic &amp; All-Stars Racing Transformed")</f>
        <v>Sonic &amp; All-Stars Racing Transformed</v>
      </c>
      <c r="B123" s="13" t="str">
        <f>IFERROR(__xludf.DUMMYFUNCTION("""COMPUTED_VALUE"""),"XB360/OG Xbox")</f>
        <v>XB360/OG Xbox</v>
      </c>
      <c r="C123" s="14"/>
      <c r="D123" s="14" t="str">
        <f>IFERROR(__xludf.DUMMYFUNCTION("""COMPUTED_VALUE"""),"GwG Permanent")</f>
        <v>GwG Permanent</v>
      </c>
      <c r="E123" s="15">
        <f>IFERROR(__xludf.DUMMYFUNCTION("""COMPUTED_VALUE"""),43252.0)</f>
        <v>43252</v>
      </c>
      <c r="F123" s="16">
        <f>IFERROR(__xludf.DUMMYFUNCTION("""COMPUTED_VALUE"""),43266.0)</f>
        <v>43266</v>
      </c>
      <c r="G123" s="18">
        <f>IFERROR(__xludf.DUMMYFUNCTION("""COMPUTED_VALUE"""),0.4666666666666667)</f>
        <v>0.4666666667</v>
      </c>
      <c r="H123" s="15">
        <f>IFERROR(__xludf.DUMMYFUNCTION("""COMPUTED_VALUE"""),41196.0)</f>
        <v>41196</v>
      </c>
      <c r="I123" s="18">
        <f>IFERROR(__xludf.DUMMYFUNCTION("""COMPUTED_VALUE"""),5.6305555555555555)</f>
        <v>5.630555556</v>
      </c>
      <c r="J123" s="22">
        <f>IFERROR(__xludf.DUMMYFUNCTION("""COMPUTED_VALUE"""),87.0)</f>
        <v>87</v>
      </c>
      <c r="K123" s="22">
        <f>IFERROR(__xludf.DUMMYFUNCTION("""COMPUTED_VALUE"""),8.0)</f>
        <v>8</v>
      </c>
      <c r="L123" s="26" t="str">
        <f>IFERROR(__xludf.DUMMYFUNCTION("""COMPUTED_VALUE"""),"Racing")</f>
        <v>Racing</v>
      </c>
      <c r="M123" s="13" t="b">
        <f>NOT(ISNA(VLOOKUP(A123,PC!A:A,1,FALSE)))</f>
        <v>0</v>
      </c>
      <c r="N123" s="13" t="b">
        <f>NOT(ISNA(VLOOKUP(A123,'Game Pass Premium'!A:A,1,FALSE)))</f>
        <v>0</v>
      </c>
      <c r="O123" s="13" t="b">
        <f>NOT(ISNA(VLOOKUP(A123,'Game Pass Essential'!A:A,1,FALSE)))</f>
        <v>0</v>
      </c>
    </row>
    <row r="124">
      <c r="A124" s="12" t="str">
        <f>IFERROR(__xludf.DUMMYFUNCTION("""COMPUTED_VALUE"""),"Medal of Honor: Airborne")</f>
        <v>Medal of Honor: Airborne</v>
      </c>
      <c r="B124" s="13" t="str">
        <f>IFERROR(__xludf.DUMMYFUNCTION("""COMPUTED_VALUE"""),"XB360/OG Xbox")</f>
        <v>XB360/OG Xbox</v>
      </c>
      <c r="C124" s="14"/>
      <c r="D124" s="14" t="str">
        <f>IFERROR(__xludf.DUMMYFUNCTION("""COMPUTED_VALUE"""),"GwG Permanent")</f>
        <v>GwG Permanent</v>
      </c>
      <c r="E124" s="15">
        <f>IFERROR(__xludf.DUMMYFUNCTION("""COMPUTED_VALUE"""),43024.0)</f>
        <v>43024</v>
      </c>
      <c r="F124" s="16">
        <f>IFERROR(__xludf.DUMMYFUNCTION("""COMPUTED_VALUE"""),43039.0)</f>
        <v>43039</v>
      </c>
      <c r="G124" s="18">
        <f>IFERROR(__xludf.DUMMYFUNCTION("""COMPUTED_VALUE"""),0.4666666666666667)</f>
        <v>0.4666666667</v>
      </c>
      <c r="H124" s="15">
        <f>IFERROR(__xludf.DUMMYFUNCTION("""COMPUTED_VALUE"""),39235.0)</f>
        <v>39235</v>
      </c>
      <c r="I124" s="18">
        <f>IFERROR(__xludf.DUMMYFUNCTION("""COMPUTED_VALUE"""),10.372222222222222)</f>
        <v>10.37222222</v>
      </c>
      <c r="J124" s="22">
        <f>IFERROR(__xludf.DUMMYFUNCTION("""COMPUTED_VALUE"""),87.0)</f>
        <v>87</v>
      </c>
      <c r="K124" s="22">
        <f>IFERROR(__xludf.DUMMYFUNCTION("""COMPUTED_VALUE"""),6.0)</f>
        <v>6</v>
      </c>
      <c r="L124" s="26" t="str">
        <f>IFERROR(__xludf.DUMMYFUNCTION("""COMPUTED_VALUE"""),"Shooter")</f>
        <v>Shooter</v>
      </c>
      <c r="M124" s="13" t="b">
        <f>NOT(ISNA(VLOOKUP(A124,PC!A:A,1,FALSE)))</f>
        <v>1</v>
      </c>
      <c r="N124" s="13" t="b">
        <f>NOT(ISNA(VLOOKUP(A124,'Game Pass Premium'!A:A,1,FALSE)))</f>
        <v>1</v>
      </c>
      <c r="O124" s="13" t="b">
        <f>NOT(ISNA(VLOOKUP(A124,'Game Pass Essential'!A:A,1,FALSE)))</f>
        <v>0</v>
      </c>
    </row>
    <row r="125">
      <c r="A125" s="12" t="str">
        <f>IFERROR(__xludf.DUMMYFUNCTION("""COMPUTED_VALUE"""),"Gears of War 3")</f>
        <v>Gears of War 3</v>
      </c>
      <c r="B125" s="13" t="str">
        <f>IFERROR(__xludf.DUMMYFUNCTION("""COMPUTED_VALUE"""),"XB360/OG Xbox")</f>
        <v>XB360/OG Xbox</v>
      </c>
      <c r="C125" s="14"/>
      <c r="D125" s="14" t="str">
        <f>IFERROR(__xludf.DUMMYFUNCTION("""COMPUTED_VALUE"""),"GwG Permanent")</f>
        <v>GwG Permanent</v>
      </c>
      <c r="E125" s="15">
        <f>IFERROR(__xludf.DUMMYFUNCTION("""COMPUTED_VALUE"""),42201.0)</f>
        <v>42201</v>
      </c>
      <c r="F125" s="16">
        <f>IFERROR(__xludf.DUMMYFUNCTION("""COMPUTED_VALUE"""),42216.0)</f>
        <v>42216</v>
      </c>
      <c r="G125" s="18">
        <f>IFERROR(__xludf.DUMMYFUNCTION("""COMPUTED_VALUE"""),0.4666666666666667)</f>
        <v>0.4666666667</v>
      </c>
      <c r="H125" s="15">
        <f>IFERROR(__xludf.DUMMYFUNCTION("""COMPUTED_VALUE"""),40806.0)</f>
        <v>40806</v>
      </c>
      <c r="I125" s="18">
        <f>IFERROR(__xludf.DUMMYFUNCTION("""COMPUTED_VALUE"""),3.8222222222222224)</f>
        <v>3.822222222</v>
      </c>
      <c r="J125" s="22">
        <f>IFERROR(__xludf.DUMMYFUNCTION("""COMPUTED_VALUE"""),87.0)</f>
        <v>87</v>
      </c>
      <c r="K125" s="22">
        <f>IFERROR(__xludf.DUMMYFUNCTION("""COMPUTED_VALUE"""),10.0)</f>
        <v>10</v>
      </c>
      <c r="L125" s="26" t="str">
        <f>IFERROR(__xludf.DUMMYFUNCTION("""COMPUTED_VALUE"""),"Shooter")</f>
        <v>Shooter</v>
      </c>
      <c r="M125" s="13" t="b">
        <f>NOT(ISNA(VLOOKUP(A125,PC!A:A,1,FALSE)))</f>
        <v>0</v>
      </c>
      <c r="N125" s="13" t="b">
        <f>NOT(ISNA(VLOOKUP(A125,'Game Pass Premium'!A:A,1,FALSE)))</f>
        <v>1</v>
      </c>
      <c r="O125" s="13" t="b">
        <f>NOT(ISNA(VLOOKUP(A125,'Game Pass Essential'!A:A,1,FALSE)))</f>
        <v>0</v>
      </c>
    </row>
    <row r="126">
      <c r="A126" s="12" t="str">
        <f>IFERROR(__xludf.DUMMYFUNCTION("""COMPUTED_VALUE"""),"Mixtape")</f>
        <v>Mixtape</v>
      </c>
      <c r="B126" s="13" t="str">
        <f>IFERROR(__xludf.DUMMYFUNCTION("""COMPUTED_VALUE"""),"Xbox / PC")</f>
        <v>Xbox / PC</v>
      </c>
      <c r="C126" s="14" t="str">
        <f>IFERROR(__xludf.DUMMYFUNCTION("""COMPUTED_VALUE"""),"Yes")</f>
        <v>Yes</v>
      </c>
      <c r="D126" s="14" t="str">
        <f>IFERROR(__xludf.DUMMYFUNCTION("""COMPUTED_VALUE"""),"Active")</f>
        <v>Active</v>
      </c>
      <c r="E126" s="15">
        <f>IFERROR(__xludf.DUMMYFUNCTION("""COMPUTED_VALUE"""),46149.0)</f>
        <v>46149</v>
      </c>
      <c r="F126" s="16"/>
      <c r="G126" s="18">
        <f>IFERROR(__xludf.DUMMYFUNCTION("""COMPUTED_VALUE"""),4.966666666666667)</f>
        <v>4.966666667</v>
      </c>
      <c r="H126" s="15">
        <f>IFERROR(__xludf.DUMMYFUNCTION("""COMPUTED_VALUE"""),46148.0)</f>
        <v>46148</v>
      </c>
      <c r="I126" s="18">
        <f>IFERROR(__xludf.DUMMYFUNCTION("""COMPUTED_VALUE"""),0.002777777777777778)</f>
        <v>0.002777777778</v>
      </c>
      <c r="J126" s="22">
        <f>IFERROR(__xludf.DUMMYFUNCTION("""COMPUTED_VALUE"""),86.0)</f>
        <v>86</v>
      </c>
      <c r="K126" s="22">
        <f>IFERROR(__xludf.DUMMYFUNCTION("""COMPUTED_VALUE"""),3.0)</f>
        <v>3</v>
      </c>
      <c r="L126" s="26" t="str">
        <f>IFERROR(__xludf.DUMMYFUNCTION("""COMPUTED_VALUE"""),"Adventure")</f>
        <v>Adventure</v>
      </c>
      <c r="M126" s="13" t="b">
        <f>NOT(ISNA(VLOOKUP(A126,PC!A:A,1,FALSE)))</f>
        <v>1</v>
      </c>
      <c r="N126" s="13" t="b">
        <f>NOT(ISNA(VLOOKUP(A126,'Game Pass Premium'!A:A,1,FALSE)))</f>
        <v>0</v>
      </c>
      <c r="O126" s="13" t="b">
        <f>NOT(ISNA(VLOOKUP(A126,'Game Pass Essential'!A:A,1,FALSE)))</f>
        <v>0</v>
      </c>
    </row>
    <row r="127">
      <c r="A127" s="12" t="str">
        <f>IFERROR(__xludf.DUMMYFUNCTION("""COMPUTED_VALUE"""),"Resident Evil 7: Biohazard")</f>
        <v>Resident Evil 7: Biohazard</v>
      </c>
      <c r="B127" s="13" t="str">
        <f>IFERROR(__xludf.DUMMYFUNCTION("""COMPUTED_VALUE"""),"Xbox / PC")</f>
        <v>Xbox / PC</v>
      </c>
      <c r="C127" s="14" t="str">
        <f>IFERROR(__xludf.DUMMYFUNCTION("""COMPUTED_VALUE"""),"Yes")</f>
        <v>Yes</v>
      </c>
      <c r="D127" s="14" t="str">
        <f>IFERROR(__xludf.DUMMYFUNCTION("""COMPUTED_VALUE"""),"Active")</f>
        <v>Active</v>
      </c>
      <c r="E127" s="15">
        <f>IFERROR(__xludf.DUMMYFUNCTION("""COMPUTED_VALUE"""),46112.0)</f>
        <v>46112</v>
      </c>
      <c r="F127" s="16"/>
      <c r="G127" s="18">
        <f>IFERROR(__xludf.DUMMYFUNCTION("""COMPUTED_VALUE"""),6.200000000000001)</f>
        <v>6.2</v>
      </c>
      <c r="H127" s="15">
        <f>IFERROR(__xludf.DUMMYFUNCTION("""COMPUTED_VALUE"""),42759.0)</f>
        <v>42759</v>
      </c>
      <c r="I127" s="18">
        <f>IFERROR(__xludf.DUMMYFUNCTION("""COMPUTED_VALUE"""),9.183333333333334)</f>
        <v>9.183333333</v>
      </c>
      <c r="J127" s="22">
        <f>IFERROR(__xludf.DUMMYFUNCTION("""COMPUTED_VALUE"""),86.0)</f>
        <v>86</v>
      </c>
      <c r="K127" s="22">
        <f>IFERROR(__xludf.DUMMYFUNCTION("""COMPUTED_VALUE"""),9.0)</f>
        <v>9</v>
      </c>
      <c r="L127" s="26" t="str">
        <f>IFERROR(__xludf.DUMMYFUNCTION("""COMPUTED_VALUE"""),"Action-Adventure")</f>
        <v>Action-Adventure</v>
      </c>
      <c r="M127" s="13" t="b">
        <f>NOT(ISNA(VLOOKUP(A127,PC!A:A,1,FALSE)))</f>
        <v>1</v>
      </c>
      <c r="N127" s="13" t="b">
        <f>NOT(ISNA(VLOOKUP(A127,'Game Pass Premium'!A:A,1,FALSE)))</f>
        <v>1</v>
      </c>
      <c r="O127" s="13" t="b">
        <f>NOT(ISNA(VLOOKUP(A127,'Game Pass Essential'!A:A,1,FALSE)))</f>
        <v>0</v>
      </c>
    </row>
    <row r="128">
      <c r="A128" s="12" t="str">
        <f>IFERROR(__xludf.DUMMYFUNCTION("""COMPUTED_VALUE"""),"1000xResist")</f>
        <v>1000xResist</v>
      </c>
      <c r="B128" s="13" t="str">
        <f>IFERROR(__xludf.DUMMYFUNCTION("""COMPUTED_VALUE"""),"Xbox / PC")</f>
        <v>Xbox / PC</v>
      </c>
      <c r="C128" s="14" t="str">
        <f>IFERROR(__xludf.DUMMYFUNCTION("""COMPUTED_VALUE"""),"Yes")</f>
        <v>Yes</v>
      </c>
      <c r="D128" s="14" t="str">
        <f>IFERROR(__xludf.DUMMYFUNCTION("""COMPUTED_VALUE"""),"Active")</f>
        <v>Active</v>
      </c>
      <c r="E128" s="15">
        <f>IFERROR(__xludf.DUMMYFUNCTION("""COMPUTED_VALUE"""),45965.0)</f>
        <v>45965</v>
      </c>
      <c r="F128" s="16"/>
      <c r="G128" s="18">
        <f>IFERROR(__xludf.DUMMYFUNCTION("""COMPUTED_VALUE"""),11.066666666666666)</f>
        <v>11.06666667</v>
      </c>
      <c r="H128" s="15">
        <f>IFERROR(__xludf.DUMMYFUNCTION("""COMPUTED_VALUE"""),45786.0)</f>
        <v>45786</v>
      </c>
      <c r="I128" s="18">
        <f>IFERROR(__xludf.DUMMYFUNCTION("""COMPUTED_VALUE"""),0.4861111111111111)</f>
        <v>0.4861111111</v>
      </c>
      <c r="J128" s="22">
        <f>IFERROR(__xludf.DUMMYFUNCTION("""COMPUTED_VALUE"""),86.0)</f>
        <v>86</v>
      </c>
      <c r="K128" s="22">
        <f>IFERROR(__xludf.DUMMYFUNCTION("""COMPUTED_VALUE"""),11.0)</f>
        <v>11</v>
      </c>
      <c r="L128" s="26" t="str">
        <f>IFERROR(__xludf.DUMMYFUNCTION("""COMPUTED_VALUE"""),"Action-Adventure")</f>
        <v>Action-Adventure</v>
      </c>
      <c r="M128" s="13" t="b">
        <f>NOT(ISNA(VLOOKUP(A128,PC!A:A,1,FALSE)))</f>
        <v>1</v>
      </c>
      <c r="N128" s="13" t="b">
        <f>NOT(ISNA(VLOOKUP(A128,'Game Pass Premium'!A:A,1,FALSE)))</f>
        <v>0</v>
      </c>
      <c r="O128" s="13" t="b">
        <f>NOT(ISNA(VLOOKUP(A128,'Game Pass Essential'!A:A,1,FALSE)))</f>
        <v>0</v>
      </c>
    </row>
    <row r="129">
      <c r="A129" s="12" t="str">
        <f>IFERROR(__xludf.DUMMYFUNCTION("""COMPUTED_VALUE"""),"Prince of Persia: The Lost Crown")</f>
        <v>Prince of Persia: The Lost Crown</v>
      </c>
      <c r="B129" s="13" t="str">
        <f>IFERROR(__xludf.DUMMYFUNCTION("""COMPUTED_VALUE"""),"Xbox / PC")</f>
        <v>Xbox / PC</v>
      </c>
      <c r="C129" s="14" t="str">
        <f>IFERROR(__xludf.DUMMYFUNCTION("""COMPUTED_VALUE"""),"Yes")</f>
        <v>Yes</v>
      </c>
      <c r="D129" s="14" t="str">
        <f>IFERROR(__xludf.DUMMYFUNCTION("""COMPUTED_VALUE"""),"Active")</f>
        <v>Active</v>
      </c>
      <c r="E129" s="15">
        <f>IFERROR(__xludf.DUMMYFUNCTION("""COMPUTED_VALUE"""),45931.0)</f>
        <v>45931</v>
      </c>
      <c r="F129" s="16"/>
      <c r="G129" s="18">
        <f>IFERROR(__xludf.DUMMYFUNCTION("""COMPUTED_VALUE"""),12.166666666666666)</f>
        <v>12.16666667</v>
      </c>
      <c r="H129" s="15">
        <f>IFERROR(__xludf.DUMMYFUNCTION("""COMPUTED_VALUE"""),45309.0)</f>
        <v>45309</v>
      </c>
      <c r="I129" s="18">
        <f>IFERROR(__xludf.DUMMYFUNCTION("""COMPUTED_VALUE"""),1.7027777777777777)</f>
        <v>1.702777778</v>
      </c>
      <c r="J129" s="22">
        <f>IFERROR(__xludf.DUMMYFUNCTION("""COMPUTED_VALUE"""),86.0)</f>
        <v>86</v>
      </c>
      <c r="K129" s="22">
        <f>IFERROR(__xludf.DUMMYFUNCTION("""COMPUTED_VALUE"""),17.0)</f>
        <v>17</v>
      </c>
      <c r="L129" s="26" t="str">
        <f>IFERROR(__xludf.DUMMYFUNCTION("""COMPUTED_VALUE"""),"Metroidvania")</f>
        <v>Metroidvania</v>
      </c>
      <c r="M129" s="13" t="b">
        <f>NOT(ISNA(VLOOKUP(A129,PC!A:A,1,FALSE)))</f>
        <v>1</v>
      </c>
      <c r="N129" s="13" t="b">
        <f>NOT(ISNA(VLOOKUP(A129,'Game Pass Premium'!A:A,1,FALSE)))</f>
        <v>0</v>
      </c>
      <c r="O129" s="13" t="b">
        <f>NOT(ISNA(VLOOKUP(A129,'Game Pass Essential'!A:A,1,FALSE)))</f>
        <v>0</v>
      </c>
    </row>
    <row r="130">
      <c r="A130" s="12" t="str">
        <f>IFERROR(__xludf.DUMMYFUNCTION("""COMPUTED_VALUE"""),"Zork I: The Great Underground")</f>
        <v>Zork I: The Great Underground</v>
      </c>
      <c r="B130" s="13" t="str">
        <f>IFERROR(__xludf.DUMMYFUNCTION("""COMPUTED_VALUE"""),"Xbox / PC")</f>
        <v>Xbox / PC</v>
      </c>
      <c r="C130" s="14" t="str">
        <f>IFERROR(__xludf.DUMMYFUNCTION("""COMPUTED_VALUE"""),"Yes")</f>
        <v>Yes</v>
      </c>
      <c r="D130" s="14" t="str">
        <f>IFERROR(__xludf.DUMMYFUNCTION("""COMPUTED_VALUE"""),"Active")</f>
        <v>Active</v>
      </c>
      <c r="E130" s="15">
        <f>IFERROR(__xludf.DUMMYFUNCTION("""COMPUTED_VALUE"""),45798.0)</f>
        <v>45798</v>
      </c>
      <c r="F130" s="16"/>
      <c r="G130" s="18">
        <f>IFERROR(__xludf.DUMMYFUNCTION("""COMPUTED_VALUE"""),16.5)</f>
        <v>16.5</v>
      </c>
      <c r="H130" s="15">
        <f>IFERROR(__xludf.DUMMYFUNCTION("""COMPUTED_VALUE"""),29342.0)</f>
        <v>29342</v>
      </c>
      <c r="I130" s="18">
        <f>IFERROR(__xludf.DUMMYFUNCTION("""COMPUTED_VALUE"""),45.05555555555556)</f>
        <v>45.05555556</v>
      </c>
      <c r="J130" s="22">
        <f>IFERROR(__xludf.DUMMYFUNCTION("""COMPUTED_VALUE"""),86.0)</f>
        <v>86</v>
      </c>
      <c r="K130" s="22">
        <f>IFERROR(__xludf.DUMMYFUNCTION("""COMPUTED_VALUE"""),4.0)</f>
        <v>4</v>
      </c>
      <c r="L130" s="26" t="str">
        <f>IFERROR(__xludf.DUMMYFUNCTION("""COMPUTED_VALUE"""),"Action‑Adventure")</f>
        <v>Action‑Adventure</v>
      </c>
      <c r="M130" s="13" t="b">
        <f>NOT(ISNA(VLOOKUP(A130,PC!A:A,1,FALSE)))</f>
        <v>1</v>
      </c>
      <c r="N130" s="13" t="b">
        <f>NOT(ISNA(VLOOKUP(A130,'Game Pass Premium'!A:A,1,FALSE)))</f>
        <v>1</v>
      </c>
      <c r="O130" s="13" t="b">
        <f>NOT(ISNA(VLOOKUP(A130,'Game Pass Essential'!A:A,1,FALSE)))</f>
        <v>0</v>
      </c>
    </row>
    <row r="131">
      <c r="A131" s="12" t="str">
        <f>IFERROR(__xludf.DUMMYFUNCTION("""COMPUTED_VALUE"""),"Warhammer 40,000: Rogue Trader")</f>
        <v>Warhammer 40,000: Rogue Trader</v>
      </c>
      <c r="B131" s="13" t="str">
        <f>IFERROR(__xludf.DUMMYFUNCTION("""COMPUTED_VALUE"""),"Xbox / PC")</f>
        <v>Xbox / PC</v>
      </c>
      <c r="C131" s="14" t="str">
        <f>IFERROR(__xludf.DUMMYFUNCTION("""COMPUTED_VALUE"""),"Yes")</f>
        <v>Yes</v>
      </c>
      <c r="D131" s="14" t="str">
        <f>IFERROR(__xludf.DUMMYFUNCTION("""COMPUTED_VALUE"""),"Active")</f>
        <v>Active</v>
      </c>
      <c r="E131" s="15">
        <f>IFERROR(__xludf.DUMMYFUNCTION("""COMPUTED_VALUE"""),45708.0)</f>
        <v>45708</v>
      </c>
      <c r="F131" s="16"/>
      <c r="G131" s="18">
        <f>IFERROR(__xludf.DUMMYFUNCTION("""COMPUTED_VALUE"""),19.53333333333333)</f>
        <v>19.53333333</v>
      </c>
      <c r="H131" s="15">
        <f>IFERROR(__xludf.DUMMYFUNCTION("""COMPUTED_VALUE"""),45559.0)</f>
        <v>45559</v>
      </c>
      <c r="I131" s="18">
        <f>IFERROR(__xludf.DUMMYFUNCTION("""COMPUTED_VALUE"""),0.40555555555555556)</f>
        <v>0.4055555556</v>
      </c>
      <c r="J131" s="22">
        <f>IFERROR(__xludf.DUMMYFUNCTION("""COMPUTED_VALUE"""),86.0)</f>
        <v>86</v>
      </c>
      <c r="K131" s="22">
        <f>IFERROR(__xludf.DUMMYFUNCTION("""COMPUTED_VALUE"""),65.0)</f>
        <v>65</v>
      </c>
      <c r="L131" s="26" t="str">
        <f>IFERROR(__xludf.DUMMYFUNCTION("""COMPUTED_VALUE"""),"RPG")</f>
        <v>RPG</v>
      </c>
      <c r="M131" s="13" t="b">
        <f>NOT(ISNA(VLOOKUP(A131,PC!A:A,1,FALSE)))</f>
        <v>1</v>
      </c>
      <c r="N131" s="13" t="b">
        <f>NOT(ISNA(VLOOKUP(A131,'Game Pass Premium'!A:A,1,FALSE)))</f>
        <v>1</v>
      </c>
      <c r="O131" s="13" t="b">
        <f>NOT(ISNA(VLOOKUP(A131,'Game Pass Essential'!A:A,1,FALSE)))</f>
        <v>0</v>
      </c>
    </row>
    <row r="132">
      <c r="A132" s="12" t="str">
        <f>IFERROR(__xludf.DUMMYFUNCTION("""COMPUTED_VALUE"""),"Indiana Jones and the Great Circle")</f>
        <v>Indiana Jones and the Great Circle</v>
      </c>
      <c r="B132" s="13" t="str">
        <f>IFERROR(__xludf.DUMMYFUNCTION("""COMPUTED_VALUE"""),"Xbox / PC")</f>
        <v>Xbox / PC</v>
      </c>
      <c r="C132" s="14" t="str">
        <f>IFERROR(__xludf.DUMMYFUNCTION("""COMPUTED_VALUE"""),"Yes")</f>
        <v>Yes</v>
      </c>
      <c r="D132" s="14" t="str">
        <f>IFERROR(__xludf.DUMMYFUNCTION("""COMPUTED_VALUE"""),"Active")</f>
        <v>Active</v>
      </c>
      <c r="E132" s="15">
        <f>IFERROR(__xludf.DUMMYFUNCTION("""COMPUTED_VALUE"""),45635.0)</f>
        <v>45635</v>
      </c>
      <c r="F132" s="16"/>
      <c r="G132" s="18">
        <f>IFERROR(__xludf.DUMMYFUNCTION("""COMPUTED_VALUE"""),21.9)</f>
        <v>21.9</v>
      </c>
      <c r="H132" s="15">
        <f>IFERROR(__xludf.DUMMYFUNCTION("""COMPUTED_VALUE"""),45635.0)</f>
        <v>45635</v>
      </c>
      <c r="I132" s="18">
        <f>IFERROR(__xludf.DUMMYFUNCTION("""COMPUTED_VALUE"""),0.0)</f>
        <v>0</v>
      </c>
      <c r="J132" s="22">
        <f>IFERROR(__xludf.DUMMYFUNCTION("""COMPUTED_VALUE"""),86.0)</f>
        <v>86</v>
      </c>
      <c r="K132" s="22">
        <f>IFERROR(__xludf.DUMMYFUNCTION("""COMPUTED_VALUE"""),15.0)</f>
        <v>15</v>
      </c>
      <c r="L132" s="26" t="str">
        <f>IFERROR(__xludf.DUMMYFUNCTION("""COMPUTED_VALUE"""),"Action-Adventure")</f>
        <v>Action-Adventure</v>
      </c>
      <c r="M132" s="13" t="b">
        <f>NOT(ISNA(VLOOKUP(A132,PC!A:A,1,FALSE)))</f>
        <v>1</v>
      </c>
      <c r="N132" s="13" t="b">
        <f>NOT(ISNA(VLOOKUP(A132,'Game Pass Premium'!A:A,1,FALSE)))</f>
        <v>1</v>
      </c>
      <c r="O132" s="13" t="b">
        <f>NOT(ISNA(VLOOKUP(A132,'Game Pass Essential'!A:A,1,FALSE)))</f>
        <v>0</v>
      </c>
    </row>
    <row r="133">
      <c r="A133" s="12" t="str">
        <f>IFERROR(__xludf.DUMMYFUNCTION("""COMPUTED_VALUE"""),"Diablo IV")</f>
        <v>Diablo IV</v>
      </c>
      <c r="B133" s="13" t="str">
        <f>IFERROR(__xludf.DUMMYFUNCTION("""COMPUTED_VALUE"""),"Xbox / PC")</f>
        <v>Xbox / PC</v>
      </c>
      <c r="C133" s="14"/>
      <c r="D133" s="14" t="str">
        <f>IFERROR(__xludf.DUMMYFUNCTION("""COMPUTED_VALUE"""),"Active")</f>
        <v>Active</v>
      </c>
      <c r="E133" s="15">
        <f>IFERROR(__xludf.DUMMYFUNCTION("""COMPUTED_VALUE"""),45379.0)</f>
        <v>45379</v>
      </c>
      <c r="F133" s="16"/>
      <c r="G133" s="18">
        <f>IFERROR(__xludf.DUMMYFUNCTION("""COMPUTED_VALUE"""),30.266666666666666)</f>
        <v>30.26666667</v>
      </c>
      <c r="H133" s="15">
        <f>IFERROR(__xludf.DUMMYFUNCTION("""COMPUTED_VALUE"""),45078.0)</f>
        <v>45078</v>
      </c>
      <c r="I133" s="18">
        <f>IFERROR(__xludf.DUMMYFUNCTION("""COMPUTED_VALUE"""),0.825)</f>
        <v>0.825</v>
      </c>
      <c r="J133" s="22">
        <f>IFERROR(__xludf.DUMMYFUNCTION("""COMPUTED_VALUE"""),86.0)</f>
        <v>86</v>
      </c>
      <c r="K133" s="22">
        <f>IFERROR(__xludf.DUMMYFUNCTION("""COMPUTED_VALUE"""),27.0)</f>
        <v>27</v>
      </c>
      <c r="L133" s="26" t="str">
        <f>IFERROR(__xludf.DUMMYFUNCTION("""COMPUTED_VALUE"""),"RPG")</f>
        <v>RPG</v>
      </c>
      <c r="M133" s="13" t="b">
        <f>NOT(ISNA(VLOOKUP(A133,PC!A:A,1,FALSE)))</f>
        <v>1</v>
      </c>
      <c r="N133" s="13" t="b">
        <f>NOT(ISNA(VLOOKUP(A133,'Game Pass Premium'!A:A,1,FALSE)))</f>
        <v>1</v>
      </c>
      <c r="O133" s="13" t="b">
        <f>NOT(ISNA(VLOOKUP(A133,'Game Pass Essential'!A:A,1,FALSE)))</f>
        <v>0</v>
      </c>
    </row>
    <row r="134">
      <c r="A134" s="12" t="str">
        <f>IFERROR(__xludf.DUMMYFUNCTION("""COMPUTED_VALUE"""),"Skate")</f>
        <v>Skate</v>
      </c>
      <c r="B134" s="13" t="str">
        <f>IFERROR(__xludf.DUMMYFUNCTION("""COMPUTED_VALUE"""),"Xbox")</f>
        <v>Xbox</v>
      </c>
      <c r="C134" s="14" t="str">
        <f>IFERROR(__xludf.DUMMYFUNCTION("""COMPUTED_VALUE"""),"Touch Controls")</f>
        <v>Touch Controls</v>
      </c>
      <c r="D134" s="14" t="str">
        <f>IFERROR(__xludf.DUMMYFUNCTION("""COMPUTED_VALUE"""),"Active")</f>
        <v>Active</v>
      </c>
      <c r="E134" s="15">
        <f>IFERROR(__xludf.DUMMYFUNCTION("""COMPUTED_VALUE"""),44413.0)</f>
        <v>44413</v>
      </c>
      <c r="F134" s="16"/>
      <c r="G134" s="18">
        <f>IFERROR(__xludf.DUMMYFUNCTION("""COMPUTED_VALUE"""),62.03333333333333)</f>
        <v>62.03333333</v>
      </c>
      <c r="H134" s="15">
        <f>IFERROR(__xludf.DUMMYFUNCTION("""COMPUTED_VALUE"""),39339.0)</f>
        <v>39339</v>
      </c>
      <c r="I134" s="18">
        <f>IFERROR(__xludf.DUMMYFUNCTION("""COMPUTED_VALUE"""),13.891666666666667)</f>
        <v>13.89166667</v>
      </c>
      <c r="J134" s="22">
        <f>IFERROR(__xludf.DUMMYFUNCTION("""COMPUTED_VALUE"""),86.0)</f>
        <v>86</v>
      </c>
      <c r="K134" s="22">
        <f>IFERROR(__xludf.DUMMYFUNCTION("""COMPUTED_VALUE"""),11.5)</f>
        <v>11.5</v>
      </c>
      <c r="L134" s="26" t="str">
        <f>IFERROR(__xludf.DUMMYFUNCTION("""COMPUTED_VALUE"""),"Sports")</f>
        <v>Sports</v>
      </c>
      <c r="M134" s="13" t="b">
        <f>NOT(ISNA(VLOOKUP(A134,PC!A:A,1,FALSE)))</f>
        <v>0</v>
      </c>
      <c r="N134" s="13" t="b">
        <f>NOT(ISNA(VLOOKUP(A134,'Game Pass Premium'!A:A,1,FALSE)))</f>
        <v>1</v>
      </c>
      <c r="O134" s="13" t="b">
        <f>NOT(ISNA(VLOOKUP(A134,'Game Pass Essential'!A:A,1,FALSE)))</f>
        <v>0</v>
      </c>
    </row>
    <row r="135">
      <c r="A135" s="12" t="str">
        <f>IFERROR(__xludf.DUMMYFUNCTION("""COMPUTED_VALUE"""),"Dragon Age: Inquisition - Game of the Year Edition")</f>
        <v>Dragon Age: Inquisition - Game of the Year Edition</v>
      </c>
      <c r="B135" s="13" t="str">
        <f>IFERROR(__xludf.DUMMYFUNCTION("""COMPUTED_VALUE"""),"Xbox / PC")</f>
        <v>Xbox / PC</v>
      </c>
      <c r="C135" s="14" t="str">
        <f>IFERROR(__xludf.DUMMYFUNCTION("""COMPUTED_VALUE"""),"Yes")</f>
        <v>Yes</v>
      </c>
      <c r="D135" s="14" t="str">
        <f>IFERROR(__xludf.DUMMYFUNCTION("""COMPUTED_VALUE"""),"Active")</f>
        <v>Active</v>
      </c>
      <c r="E135" s="15">
        <f>IFERROR(__xludf.DUMMYFUNCTION("""COMPUTED_VALUE"""),44145.0)</f>
        <v>44145</v>
      </c>
      <c r="F135" s="16"/>
      <c r="G135" s="18">
        <f>IFERROR(__xludf.DUMMYFUNCTION("""COMPUTED_VALUE"""),70.86666666666667)</f>
        <v>70.86666667</v>
      </c>
      <c r="H135" s="15">
        <f>IFERROR(__xludf.DUMMYFUNCTION("""COMPUTED_VALUE"""),41961.0)</f>
        <v>41961</v>
      </c>
      <c r="I135" s="18">
        <f>IFERROR(__xludf.DUMMYFUNCTION("""COMPUTED_VALUE"""),5.977777777777778)</f>
        <v>5.977777778</v>
      </c>
      <c r="J135" s="22">
        <f>IFERROR(__xludf.DUMMYFUNCTION("""COMPUTED_VALUE"""),86.0)</f>
        <v>86</v>
      </c>
      <c r="K135" s="22">
        <f>IFERROR(__xludf.DUMMYFUNCTION("""COMPUTED_VALUE"""),46.5)</f>
        <v>46.5</v>
      </c>
      <c r="L135" s="26" t="str">
        <f>IFERROR(__xludf.DUMMYFUNCTION("""COMPUTED_VALUE"""),"RPG")</f>
        <v>RPG</v>
      </c>
      <c r="M135" s="13" t="b">
        <f>NOT(ISNA(VLOOKUP(A135,PC!A:A,1,FALSE)))</f>
        <v>1</v>
      </c>
      <c r="N135" s="13" t="b">
        <f>NOT(ISNA(VLOOKUP(A135,'Game Pass Premium'!A:A,1,FALSE)))</f>
        <v>1</v>
      </c>
      <c r="O135" s="13" t="b">
        <f>NOT(ISNA(VLOOKUP(A135,'Game Pass Essential'!A:A,1,FALSE)))</f>
        <v>0</v>
      </c>
    </row>
    <row r="136">
      <c r="A136" s="12" t="str">
        <f>IFERROR(__xludf.DUMMYFUNCTION("""COMPUTED_VALUE"""),"Dragon Age: Origins - Ultimate Edition")</f>
        <v>Dragon Age: Origins - Ultimate Edition</v>
      </c>
      <c r="B136" s="13" t="str">
        <f>IFERROR(__xludf.DUMMYFUNCTION("""COMPUTED_VALUE"""),"Xbox / PC")</f>
        <v>Xbox / PC</v>
      </c>
      <c r="C136" s="14" t="str">
        <f>IFERROR(__xludf.DUMMYFUNCTION("""COMPUTED_VALUE"""),"Touch Controls")</f>
        <v>Touch Controls</v>
      </c>
      <c r="D136" s="14" t="str">
        <f>IFERROR(__xludf.DUMMYFUNCTION("""COMPUTED_VALUE"""),"Active")</f>
        <v>Active</v>
      </c>
      <c r="E136" s="15">
        <f>IFERROR(__xludf.DUMMYFUNCTION("""COMPUTED_VALUE"""),44145.0)</f>
        <v>44145</v>
      </c>
      <c r="F136" s="16"/>
      <c r="G136" s="18">
        <f>IFERROR(__xludf.DUMMYFUNCTION("""COMPUTED_VALUE"""),70.86666666666667)</f>
        <v>70.86666667</v>
      </c>
      <c r="H136" s="15">
        <f>IFERROR(__xludf.DUMMYFUNCTION("""COMPUTED_VALUE"""),40120.0)</f>
        <v>40120</v>
      </c>
      <c r="I136" s="18">
        <f>IFERROR(__xludf.DUMMYFUNCTION("""COMPUTED_VALUE"""),11.019444444444444)</f>
        <v>11.01944444</v>
      </c>
      <c r="J136" s="22">
        <f>IFERROR(__xludf.DUMMYFUNCTION("""COMPUTED_VALUE"""),86.0)</f>
        <v>86</v>
      </c>
      <c r="K136" s="22">
        <f>IFERROR(__xludf.DUMMYFUNCTION("""COMPUTED_VALUE"""),40.5)</f>
        <v>40.5</v>
      </c>
      <c r="L136" s="26" t="str">
        <f>IFERROR(__xludf.DUMMYFUNCTION("""COMPUTED_VALUE"""),"RPG")</f>
        <v>RPG</v>
      </c>
      <c r="M136" s="13" t="b">
        <f>NOT(ISNA(VLOOKUP(A136,PC!A:A,1,FALSE)))</f>
        <v>1</v>
      </c>
      <c r="N136" s="13" t="b">
        <f>NOT(ISNA(VLOOKUP(A136,'Game Pass Premium'!A:A,1,FALSE)))</f>
        <v>1</v>
      </c>
      <c r="O136" s="13" t="b">
        <f>NOT(ISNA(VLOOKUP(A136,'Game Pass Essential'!A:A,1,FALSE)))</f>
        <v>0</v>
      </c>
    </row>
    <row r="137">
      <c r="A137" s="12" t="str">
        <f>IFERROR(__xludf.DUMMYFUNCTION("""COMPUTED_VALUE"""),"Fight Night: Champion")</f>
        <v>Fight Night: Champion</v>
      </c>
      <c r="B137" s="13" t="str">
        <f>IFERROR(__xludf.DUMMYFUNCTION("""COMPUTED_VALUE"""),"Xbox")</f>
        <v>Xbox</v>
      </c>
      <c r="C137" s="14"/>
      <c r="D137" s="14" t="str">
        <f>IFERROR(__xludf.DUMMYFUNCTION("""COMPUTED_VALUE"""),"Active")</f>
        <v>Active</v>
      </c>
      <c r="E137" s="15">
        <f>IFERROR(__xludf.DUMMYFUNCTION("""COMPUTED_VALUE"""),44145.0)</f>
        <v>44145</v>
      </c>
      <c r="F137" s="16"/>
      <c r="G137" s="18">
        <f>IFERROR(__xludf.DUMMYFUNCTION("""COMPUTED_VALUE"""),70.86666666666667)</f>
        <v>70.86666667</v>
      </c>
      <c r="H137" s="15">
        <f>IFERROR(__xludf.DUMMYFUNCTION("""COMPUTED_VALUE"""),40603.0)</f>
        <v>40603</v>
      </c>
      <c r="I137" s="18">
        <f>IFERROR(__xludf.DUMMYFUNCTION("""COMPUTED_VALUE"""),9.691666666666666)</f>
        <v>9.691666667</v>
      </c>
      <c r="J137" s="22">
        <f>IFERROR(__xludf.DUMMYFUNCTION("""COMPUTED_VALUE"""),86.0)</f>
        <v>86</v>
      </c>
      <c r="K137" s="22">
        <f>IFERROR(__xludf.DUMMYFUNCTION("""COMPUTED_VALUE"""),4.5)</f>
        <v>4.5</v>
      </c>
      <c r="L137" s="26" t="str">
        <f>IFERROR(__xludf.DUMMYFUNCTION("""COMPUTED_VALUE"""),"Boxing")</f>
        <v>Boxing</v>
      </c>
      <c r="M137" s="13" t="b">
        <f>NOT(ISNA(VLOOKUP(A137,PC!A:A,1,FALSE)))</f>
        <v>0</v>
      </c>
      <c r="N137" s="13" t="b">
        <f>NOT(ISNA(VLOOKUP(A137,'Game Pass Premium'!A:A,1,FALSE)))</f>
        <v>1</v>
      </c>
      <c r="O137" s="13" t="b">
        <f>NOT(ISNA(VLOOKUP(A137,'Game Pass Essential'!A:A,1,FALSE)))</f>
        <v>0</v>
      </c>
    </row>
    <row r="138">
      <c r="A138" s="12" t="str">
        <f>IFERROR(__xludf.DUMMYFUNCTION("""COMPUTED_VALUE"""),"Wasteland 3")</f>
        <v>Wasteland 3</v>
      </c>
      <c r="B138" s="13" t="str">
        <f>IFERROR(__xludf.DUMMYFUNCTION("""COMPUTED_VALUE"""),"Xbox / PC")</f>
        <v>Xbox / PC</v>
      </c>
      <c r="C138" s="14" t="str">
        <f>IFERROR(__xludf.DUMMYFUNCTION("""COMPUTED_VALUE"""),"Touch Controls")</f>
        <v>Touch Controls</v>
      </c>
      <c r="D138" s="14" t="str">
        <f>IFERROR(__xludf.DUMMYFUNCTION("""COMPUTED_VALUE"""),"Active")</f>
        <v>Active</v>
      </c>
      <c r="E138" s="15">
        <f>IFERROR(__xludf.DUMMYFUNCTION("""COMPUTED_VALUE"""),44071.0)</f>
        <v>44071</v>
      </c>
      <c r="F138" s="16"/>
      <c r="G138" s="18">
        <f>IFERROR(__xludf.DUMMYFUNCTION("""COMPUTED_VALUE"""),73.26666666666667)</f>
        <v>73.26666667</v>
      </c>
      <c r="H138" s="15">
        <f>IFERROR(__xludf.DUMMYFUNCTION("""COMPUTED_VALUE"""),44071.0)</f>
        <v>44071</v>
      </c>
      <c r="I138" s="18">
        <f>IFERROR(__xludf.DUMMYFUNCTION("""COMPUTED_VALUE"""),0.0)</f>
        <v>0</v>
      </c>
      <c r="J138" s="22">
        <f>IFERROR(__xludf.DUMMYFUNCTION("""COMPUTED_VALUE"""),86.0)</f>
        <v>86</v>
      </c>
      <c r="K138" s="22">
        <f>IFERROR(__xludf.DUMMYFUNCTION("""COMPUTED_VALUE"""),36.5)</f>
        <v>36.5</v>
      </c>
      <c r="L138" s="26" t="str">
        <f>IFERROR(__xludf.DUMMYFUNCTION("""COMPUTED_VALUE"""),"RPG")</f>
        <v>RPG</v>
      </c>
      <c r="M138" s="13" t="b">
        <f>NOT(ISNA(VLOOKUP(A138,PC!A:A,1,FALSE)))</f>
        <v>1</v>
      </c>
      <c r="N138" s="13" t="b">
        <f>NOT(ISNA(VLOOKUP(A138,'Game Pass Premium'!A:A,1,FALSE)))</f>
        <v>1</v>
      </c>
      <c r="O138" s="13" t="b">
        <f>NOT(ISNA(VLOOKUP(A138,'Game Pass Essential'!A:A,1,FALSE)))</f>
        <v>0</v>
      </c>
    </row>
    <row r="139">
      <c r="A139" s="12" t="str">
        <f>IFERROR(__xludf.DUMMYFUNCTION("""COMPUTED_VALUE"""),"Pillars of Eternity: Definitive Edition")</f>
        <v>Pillars of Eternity: Definitive Edition</v>
      </c>
      <c r="B139" s="13" t="str">
        <f>IFERROR(__xludf.DUMMYFUNCTION("""COMPUTED_VALUE"""),"Xbox / PC")</f>
        <v>Xbox / PC</v>
      </c>
      <c r="C139" s="14" t="str">
        <f>IFERROR(__xludf.DUMMYFUNCTION("""COMPUTED_VALUE"""),"Touch Controls")</f>
        <v>Touch Controls</v>
      </c>
      <c r="D139" s="14" t="str">
        <f>IFERROR(__xludf.DUMMYFUNCTION("""COMPUTED_VALUE"""),"Active")</f>
        <v>Active</v>
      </c>
      <c r="E139" s="15">
        <f>IFERROR(__xludf.DUMMYFUNCTION("""COMPUTED_VALUE"""),43818.0)</f>
        <v>43818</v>
      </c>
      <c r="F139" s="16"/>
      <c r="G139" s="18">
        <f>IFERROR(__xludf.DUMMYFUNCTION("""COMPUTED_VALUE"""),81.56666666666666)</f>
        <v>81.56666667</v>
      </c>
      <c r="H139" s="15">
        <f>IFERROR(__xludf.DUMMYFUNCTION("""COMPUTED_VALUE"""),42089.0)</f>
        <v>42089</v>
      </c>
      <c r="I139" s="18">
        <f>IFERROR(__xludf.DUMMYFUNCTION("""COMPUTED_VALUE"""),4.730555555555555)</f>
        <v>4.730555556</v>
      </c>
      <c r="J139" s="22">
        <f>IFERROR(__xludf.DUMMYFUNCTION("""COMPUTED_VALUE"""),86.0)</f>
        <v>86</v>
      </c>
      <c r="K139" s="22">
        <f>IFERROR(__xludf.DUMMYFUNCTION("""COMPUTED_VALUE"""),35.5)</f>
        <v>35.5</v>
      </c>
      <c r="L139" s="26" t="str">
        <f>IFERROR(__xludf.DUMMYFUNCTION("""COMPUTED_VALUE"""),"RPG")</f>
        <v>RPG</v>
      </c>
      <c r="M139" s="13" t="b">
        <f>NOT(ISNA(VLOOKUP(A139,PC!A:A,1,FALSE)))</f>
        <v>1</v>
      </c>
      <c r="N139" s="13" t="b">
        <f>NOT(ISNA(VLOOKUP(A139,'Game Pass Premium'!A:A,1,FALSE)))</f>
        <v>1</v>
      </c>
      <c r="O139" s="13" t="b">
        <f>NOT(ISNA(VLOOKUP(A139,'Game Pass Essential'!A:A,1,FALSE)))</f>
        <v>0</v>
      </c>
    </row>
    <row r="140">
      <c r="A140" s="12" t="str">
        <f>IFERROR(__xludf.DUMMYFUNCTION("""COMPUTED_VALUE"""),"Killer Instinct (2013): Anniversary Edition")</f>
        <v>Killer Instinct (2013): Anniversary Edition</v>
      </c>
      <c r="B140" s="13" t="str">
        <f>IFERROR(__xludf.DUMMYFUNCTION("""COMPUTED_VALUE"""),"Xbox / PC")</f>
        <v>Xbox / PC</v>
      </c>
      <c r="C140" s="14" t="str">
        <f>IFERROR(__xludf.DUMMYFUNCTION("""COMPUTED_VALUE"""),"Touch Controls")</f>
        <v>Touch Controls</v>
      </c>
      <c r="D140" s="14" t="str">
        <f>IFERROR(__xludf.DUMMYFUNCTION("""COMPUTED_VALUE"""),"Active")</f>
        <v>Active</v>
      </c>
      <c r="E140" s="15">
        <f>IFERROR(__xludf.DUMMYFUNCTION("""COMPUTED_VALUE"""),43671.0)</f>
        <v>43671</v>
      </c>
      <c r="F140" s="16"/>
      <c r="G140" s="18">
        <f>IFERROR(__xludf.DUMMYFUNCTION("""COMPUTED_VALUE"""),86.36666666666666)</f>
        <v>86.36666667</v>
      </c>
      <c r="H140" s="15">
        <f>IFERROR(__xludf.DUMMYFUNCTION("""COMPUTED_VALUE"""),41600.0)</f>
        <v>41600</v>
      </c>
      <c r="I140" s="18">
        <f>IFERROR(__xludf.DUMMYFUNCTION("""COMPUTED_VALUE"""),5.675)</f>
        <v>5.675</v>
      </c>
      <c r="J140" s="22">
        <f>IFERROR(__xludf.DUMMYFUNCTION("""COMPUTED_VALUE"""),86.0)</f>
        <v>86</v>
      </c>
      <c r="K140" s="22">
        <f>IFERROR(__xludf.DUMMYFUNCTION("""COMPUTED_VALUE"""),2.0)</f>
        <v>2</v>
      </c>
      <c r="L140" s="26" t="str">
        <f>IFERROR(__xludf.DUMMYFUNCTION("""COMPUTED_VALUE"""),"Fighting")</f>
        <v>Fighting</v>
      </c>
      <c r="M140" s="13" t="b">
        <f>NOT(ISNA(VLOOKUP(A140,PC!A:A,1,FALSE)))</f>
        <v>1</v>
      </c>
      <c r="N140" s="13" t="b">
        <f>NOT(ISNA(VLOOKUP(A140,'Game Pass Premium'!A:A,1,FALSE)))</f>
        <v>1</v>
      </c>
      <c r="O140" s="13" t="b">
        <f>NOT(ISNA(VLOOKUP(A140,'Game Pass Essential'!A:A,1,FALSE)))</f>
        <v>0</v>
      </c>
    </row>
    <row r="141">
      <c r="A141" s="12" t="str">
        <f>IFERROR(__xludf.DUMMYFUNCTION("""COMPUTED_VALUE"""),"LEGO Star Wars II: The Original Trilogy")</f>
        <v>LEGO Star Wars II: The Original Trilogy</v>
      </c>
      <c r="B141" s="13" t="str">
        <f>IFERROR(__xludf.DUMMYFUNCTION("""COMPUTED_VALUE"""),"XB360/OG Xbox")</f>
        <v>XB360/OG Xbox</v>
      </c>
      <c r="C141" s="14"/>
      <c r="D141" s="14" t="str">
        <f>IFERROR(__xludf.DUMMYFUNCTION("""COMPUTED_VALUE"""),"GwG Permanent")</f>
        <v>GwG Permanent</v>
      </c>
      <c r="E141" s="15">
        <f>IFERROR(__xludf.DUMMYFUNCTION("""COMPUTED_VALUE"""),43846.0)</f>
        <v>43846</v>
      </c>
      <c r="F141" s="16">
        <f>IFERROR(__xludf.DUMMYFUNCTION("""COMPUTED_VALUE"""),43861.0)</f>
        <v>43861</v>
      </c>
      <c r="G141" s="18">
        <f>IFERROR(__xludf.DUMMYFUNCTION("""COMPUTED_VALUE"""),0.4666666666666667)</f>
        <v>0.4666666667</v>
      </c>
      <c r="H141" s="15">
        <f>IFERROR(__xludf.DUMMYFUNCTION("""COMPUTED_VALUE"""),38971.0)</f>
        <v>38971</v>
      </c>
      <c r="I141" s="18">
        <f>IFERROR(__xludf.DUMMYFUNCTION("""COMPUTED_VALUE"""),13.347222222222221)</f>
        <v>13.34722222</v>
      </c>
      <c r="J141" s="22">
        <f>IFERROR(__xludf.DUMMYFUNCTION("""COMPUTED_VALUE"""),86.0)</f>
        <v>86</v>
      </c>
      <c r="K141" s="22">
        <f>IFERROR(__xludf.DUMMYFUNCTION("""COMPUTED_VALUE"""),8.0)</f>
        <v>8</v>
      </c>
      <c r="L141" s="26" t="str">
        <f>IFERROR(__xludf.DUMMYFUNCTION("""COMPUTED_VALUE"""),"Action-Adventure")</f>
        <v>Action-Adventure</v>
      </c>
      <c r="M141" s="13" t="b">
        <f>NOT(ISNA(VLOOKUP(A141,PC!A:A,1,FALSE)))</f>
        <v>0</v>
      </c>
      <c r="N141" s="13" t="b">
        <f>NOT(ISNA(VLOOKUP(A141,'Game Pass Premium'!A:A,1,FALSE)))</f>
        <v>0</v>
      </c>
      <c r="O141" s="13" t="b">
        <f>NOT(ISNA(VLOOKUP(A141,'Game Pass Essential'!A:A,1,FALSE)))</f>
        <v>0</v>
      </c>
    </row>
    <row r="142">
      <c r="A142" s="12" t="str">
        <f>IFERROR(__xludf.DUMMYFUNCTION("""COMPUTED_VALUE"""),"Tekken Tag Tournament 2")</f>
        <v>Tekken Tag Tournament 2</v>
      </c>
      <c r="B142" s="13" t="str">
        <f>IFERROR(__xludf.DUMMYFUNCTION("""COMPUTED_VALUE"""),"XB360/OG Xbox")</f>
        <v>XB360/OG Xbox</v>
      </c>
      <c r="C142" s="14"/>
      <c r="D142" s="14" t="str">
        <f>IFERROR(__xludf.DUMMYFUNCTION("""COMPUTED_VALUE"""),"GwG Permanent")</f>
        <v>GwG Permanent</v>
      </c>
      <c r="E142" s="15">
        <f>IFERROR(__xludf.DUMMYFUNCTION("""COMPUTED_VALUE"""),43724.0)</f>
        <v>43724</v>
      </c>
      <c r="F142" s="16">
        <f>IFERROR(__xludf.DUMMYFUNCTION("""COMPUTED_VALUE"""),43738.0)</f>
        <v>43738</v>
      </c>
      <c r="G142" s="18">
        <f>IFERROR(__xludf.DUMMYFUNCTION("""COMPUTED_VALUE"""),0.4666666666666667)</f>
        <v>0.4666666667</v>
      </c>
      <c r="H142" s="15">
        <f>IFERROR(__xludf.DUMMYFUNCTION("""COMPUTED_VALUE"""),41163.0)</f>
        <v>41163</v>
      </c>
      <c r="I142" s="18">
        <f>IFERROR(__xludf.DUMMYFUNCTION("""COMPUTED_VALUE"""),7.013888888888889)</f>
        <v>7.013888889</v>
      </c>
      <c r="J142" s="22">
        <f>IFERROR(__xludf.DUMMYFUNCTION("""COMPUTED_VALUE"""),86.0)</f>
        <v>86</v>
      </c>
      <c r="K142" s="22">
        <f>IFERROR(__xludf.DUMMYFUNCTION("""COMPUTED_VALUE"""),5.0)</f>
        <v>5</v>
      </c>
      <c r="L142" s="26" t="str">
        <f>IFERROR(__xludf.DUMMYFUNCTION("""COMPUTED_VALUE"""),"Fighting")</f>
        <v>Fighting</v>
      </c>
      <c r="M142" s="13" t="b">
        <f>NOT(ISNA(VLOOKUP(A142,PC!A:A,1,FALSE)))</f>
        <v>0</v>
      </c>
      <c r="N142" s="13" t="b">
        <f>NOT(ISNA(VLOOKUP(A142,'Game Pass Premium'!A:A,1,FALSE)))</f>
        <v>0</v>
      </c>
      <c r="O142" s="13" t="b">
        <f>NOT(ISNA(VLOOKUP(A142,'Game Pass Essential'!A:A,1,FALSE)))</f>
        <v>0</v>
      </c>
    </row>
    <row r="143">
      <c r="A143" s="12" t="str">
        <f>IFERROR(__xludf.DUMMYFUNCTION("""COMPUTED_VALUE"""),"Vanquish")</f>
        <v>Vanquish</v>
      </c>
      <c r="B143" s="13" t="str">
        <f>IFERROR(__xludf.DUMMYFUNCTION("""COMPUTED_VALUE"""),"XB360/OG Xbox")</f>
        <v>XB360/OG Xbox</v>
      </c>
      <c r="C143" s="14"/>
      <c r="D143" s="14" t="str">
        <f>IFERROR(__xludf.DUMMYFUNCTION("""COMPUTED_VALUE"""),"GwG Permanent")</f>
        <v>GwG Permanent</v>
      </c>
      <c r="E143" s="15">
        <f>IFERROR(__xludf.DUMMYFUNCTION("""COMPUTED_VALUE"""),43236.0)</f>
        <v>43236</v>
      </c>
      <c r="F143" s="16">
        <f>IFERROR(__xludf.DUMMYFUNCTION("""COMPUTED_VALUE"""),43251.0)</f>
        <v>43251</v>
      </c>
      <c r="G143" s="18">
        <f>IFERROR(__xludf.DUMMYFUNCTION("""COMPUTED_VALUE"""),0.4666666666666667)</f>
        <v>0.4666666667</v>
      </c>
      <c r="H143" s="15">
        <f>IFERROR(__xludf.DUMMYFUNCTION("""COMPUTED_VALUE"""),40470.0)</f>
        <v>40470</v>
      </c>
      <c r="I143" s="18">
        <f>IFERROR(__xludf.DUMMYFUNCTION("""COMPUTED_VALUE"""),7.575)</f>
        <v>7.575</v>
      </c>
      <c r="J143" s="22">
        <f>IFERROR(__xludf.DUMMYFUNCTION("""COMPUTED_VALUE"""),86.0)</f>
        <v>86</v>
      </c>
      <c r="K143" s="22">
        <f>IFERROR(__xludf.DUMMYFUNCTION("""COMPUTED_VALUE"""),6.0)</f>
        <v>6</v>
      </c>
      <c r="L143" s="26" t="str">
        <f>IFERROR(__xludf.DUMMYFUNCTION("""COMPUTED_VALUE"""),"Shooter")</f>
        <v>Shooter</v>
      </c>
      <c r="M143" s="13" t="b">
        <f>NOT(ISNA(VLOOKUP(A143,PC!A:A,1,FALSE)))</f>
        <v>0</v>
      </c>
      <c r="N143" s="13" t="b">
        <f>NOT(ISNA(VLOOKUP(A143,'Game Pass Premium'!A:A,1,FALSE)))</f>
        <v>0</v>
      </c>
      <c r="O143" s="13" t="b">
        <f>NOT(ISNA(VLOOKUP(A143,'Game Pass Essential'!A:A,1,FALSE)))</f>
        <v>0</v>
      </c>
    </row>
    <row r="144">
      <c r="A144" s="12" t="str">
        <f>IFERROR(__xludf.DUMMYFUNCTION("""COMPUTED_VALUE"""),"Sega Vintage Collection: Streets of Rage")</f>
        <v>Sega Vintage Collection: Streets of Rage</v>
      </c>
      <c r="B144" s="13" t="str">
        <f>IFERROR(__xludf.DUMMYFUNCTION("""COMPUTED_VALUE"""),"XB360/OG Xbox")</f>
        <v>XB360/OG Xbox</v>
      </c>
      <c r="C144" s="14"/>
      <c r="D144" s="14" t="str">
        <f>IFERROR(__xludf.DUMMYFUNCTION("""COMPUTED_VALUE"""),"GwG Permanent")</f>
        <v>GwG Permanent</v>
      </c>
      <c r="E144" s="15">
        <f>IFERROR(__xludf.DUMMYFUNCTION("""COMPUTED_VALUE"""),43221.0)</f>
        <v>43221</v>
      </c>
      <c r="F144" s="16">
        <f>IFERROR(__xludf.DUMMYFUNCTION("""COMPUTED_VALUE"""),43235.0)</f>
        <v>43235</v>
      </c>
      <c r="G144" s="18">
        <f>IFERROR(__xludf.DUMMYFUNCTION("""COMPUTED_VALUE"""),0.4666666666666667)</f>
        <v>0.4666666667</v>
      </c>
      <c r="H144" s="15">
        <f>IFERROR(__xludf.DUMMYFUNCTION("""COMPUTED_VALUE"""),41514.0)</f>
        <v>41514</v>
      </c>
      <c r="I144" s="18">
        <f>IFERROR(__xludf.DUMMYFUNCTION("""COMPUTED_VALUE"""),4.675)</f>
        <v>4.675</v>
      </c>
      <c r="J144" s="22">
        <f>IFERROR(__xludf.DUMMYFUNCTION("""COMPUTED_VALUE"""),86.0)</f>
        <v>86</v>
      </c>
      <c r="K144" s="22">
        <f>IFERROR(__xludf.DUMMYFUNCTION("""COMPUTED_VALUE"""),2.0)</f>
        <v>2</v>
      </c>
      <c r="L144" s="26" t="str">
        <f>IFERROR(__xludf.DUMMYFUNCTION("""COMPUTED_VALUE"""),"Compilation")</f>
        <v>Compilation</v>
      </c>
      <c r="M144" s="13" t="b">
        <f>NOT(ISNA(VLOOKUP(A144,PC!A:A,1,FALSE)))</f>
        <v>0</v>
      </c>
      <c r="N144" s="13" t="b">
        <f>NOT(ISNA(VLOOKUP(A144,'Game Pass Premium'!A:A,1,FALSE)))</f>
        <v>0</v>
      </c>
      <c r="O144" s="13" t="b">
        <f>NOT(ISNA(VLOOKUP(A144,'Game Pass Essential'!A:A,1,FALSE)))</f>
        <v>0</v>
      </c>
    </row>
    <row r="145">
      <c r="A145" s="12" t="str">
        <f>IFERROR(__xludf.DUMMYFUNCTION("""COMPUTED_VALUE"""),"The Secret of Monkey Island: Special Edition")</f>
        <v>The Secret of Monkey Island: Special Edition</v>
      </c>
      <c r="B145" s="13" t="str">
        <f>IFERROR(__xludf.DUMMYFUNCTION("""COMPUTED_VALUE"""),"XB360/OG Xbox")</f>
        <v>XB360/OG Xbox</v>
      </c>
      <c r="C145" s="14"/>
      <c r="D145" s="14" t="str">
        <f>IFERROR(__xludf.DUMMYFUNCTION("""COMPUTED_VALUE"""),"GwG Permanent")</f>
        <v>GwG Permanent</v>
      </c>
      <c r="E145" s="15">
        <f>IFERROR(__xludf.DUMMYFUNCTION("""COMPUTED_VALUE"""),42675.0)</f>
        <v>42675</v>
      </c>
      <c r="F145" s="16">
        <f>IFERROR(__xludf.DUMMYFUNCTION("""COMPUTED_VALUE"""),42689.0)</f>
        <v>42689</v>
      </c>
      <c r="G145" s="18">
        <f>IFERROR(__xludf.DUMMYFUNCTION("""COMPUTED_VALUE"""),0.4666666666666667)</f>
        <v>0.4666666667</v>
      </c>
      <c r="H145" s="15">
        <f>IFERROR(__xludf.DUMMYFUNCTION("""COMPUTED_VALUE"""),40374.0)</f>
        <v>40374</v>
      </c>
      <c r="I145" s="18">
        <f>IFERROR(__xludf.DUMMYFUNCTION("""COMPUTED_VALUE"""),6.294444444444444)</f>
        <v>6.294444444</v>
      </c>
      <c r="J145" s="22">
        <f>IFERROR(__xludf.DUMMYFUNCTION("""COMPUTED_VALUE"""),86.0)</f>
        <v>86</v>
      </c>
      <c r="K145" s="22">
        <f>IFERROR(__xludf.DUMMYFUNCTION("""COMPUTED_VALUE"""),7.0)</f>
        <v>7</v>
      </c>
      <c r="L145" s="26" t="str">
        <f>IFERROR(__xludf.DUMMYFUNCTION("""COMPUTED_VALUE"""),"Adventure")</f>
        <v>Adventure</v>
      </c>
      <c r="M145" s="13" t="b">
        <f>NOT(ISNA(VLOOKUP(A145,PC!A:A,1,FALSE)))</f>
        <v>0</v>
      </c>
      <c r="N145" s="13" t="b">
        <f>NOT(ISNA(VLOOKUP(A145,'Game Pass Premium'!A:A,1,FALSE)))</f>
        <v>0</v>
      </c>
      <c r="O145" s="13" t="b">
        <f>NOT(ISNA(VLOOKUP(A145,'Game Pass Essential'!A:A,1,FALSE)))</f>
        <v>0</v>
      </c>
    </row>
    <row r="146">
      <c r="A146" s="12" t="str">
        <f>IFERROR(__xludf.DUMMYFUNCTION("""COMPUTED_VALUE"""),"Forza Horizon")</f>
        <v>Forza Horizon</v>
      </c>
      <c r="B146" s="13" t="str">
        <f>IFERROR(__xludf.DUMMYFUNCTION("""COMPUTED_VALUE"""),"XB360/OG Xbox")</f>
        <v>XB360/OG Xbox</v>
      </c>
      <c r="C146" s="14"/>
      <c r="D146" s="14" t="str">
        <f>IFERROR(__xludf.DUMMYFUNCTION("""COMPUTED_VALUE"""),"GwG Permanent")</f>
        <v>GwG Permanent</v>
      </c>
      <c r="E146" s="15">
        <f>IFERROR(__xludf.DUMMYFUNCTION("""COMPUTED_VALUE"""),42614.0)</f>
        <v>42614</v>
      </c>
      <c r="F146" s="16">
        <f>IFERROR(__xludf.DUMMYFUNCTION("""COMPUTED_VALUE"""),42628.0)</f>
        <v>42628</v>
      </c>
      <c r="G146" s="18">
        <f>IFERROR(__xludf.DUMMYFUNCTION("""COMPUTED_VALUE"""),0.4666666666666667)</f>
        <v>0.4666666667</v>
      </c>
      <c r="H146" s="15">
        <f>IFERROR(__xludf.DUMMYFUNCTION("""COMPUTED_VALUE"""),41205.0)</f>
        <v>41205</v>
      </c>
      <c r="I146" s="18">
        <f>IFERROR(__xludf.DUMMYFUNCTION("""COMPUTED_VALUE"""),3.8555555555555556)</f>
        <v>3.855555556</v>
      </c>
      <c r="J146" s="22">
        <f>IFERROR(__xludf.DUMMYFUNCTION("""COMPUTED_VALUE"""),86.0)</f>
        <v>86</v>
      </c>
      <c r="K146" s="22">
        <f>IFERROR(__xludf.DUMMYFUNCTION("""COMPUTED_VALUE"""),16.0)</f>
        <v>16</v>
      </c>
      <c r="L146" s="26" t="str">
        <f>IFERROR(__xludf.DUMMYFUNCTION("""COMPUTED_VALUE"""),"Racing")</f>
        <v>Racing</v>
      </c>
      <c r="M146" s="13" t="b">
        <f>NOT(ISNA(VLOOKUP(A146,PC!A:A,1,FALSE)))</f>
        <v>0</v>
      </c>
      <c r="N146" s="13" t="b">
        <f>NOT(ISNA(VLOOKUP(A146,'Game Pass Premium'!A:A,1,FALSE)))</f>
        <v>0</v>
      </c>
      <c r="O146" s="13" t="b">
        <f>NOT(ISNA(VLOOKUP(A146,'Game Pass Essential'!A:A,1,FALSE)))</f>
        <v>0</v>
      </c>
    </row>
    <row r="147">
      <c r="A147" s="12" t="str">
        <f>IFERROR(__xludf.DUMMYFUNCTION("""COMPUTED_VALUE"""),"Beyond Good &amp; Evil HD")</f>
        <v>Beyond Good &amp; Evil HD</v>
      </c>
      <c r="B147" s="13" t="str">
        <f>IFERROR(__xludf.DUMMYFUNCTION("""COMPUTED_VALUE"""),"XB360/OG Xbox")</f>
        <v>XB360/OG Xbox</v>
      </c>
      <c r="C147" s="14"/>
      <c r="D147" s="14" t="str">
        <f>IFERROR(__xludf.DUMMYFUNCTION("""COMPUTED_VALUE"""),"GwG Permanent")</f>
        <v>GwG Permanent</v>
      </c>
      <c r="E147" s="15">
        <f>IFERROR(__xludf.DUMMYFUNCTION("""COMPUTED_VALUE"""),42598.0)</f>
        <v>42598</v>
      </c>
      <c r="F147" s="16">
        <f>IFERROR(__xludf.DUMMYFUNCTION("""COMPUTED_VALUE"""),42613.0)</f>
        <v>42613</v>
      </c>
      <c r="G147" s="18">
        <f>IFERROR(__xludf.DUMMYFUNCTION("""COMPUTED_VALUE"""),0.4666666666666667)</f>
        <v>0.4666666667</v>
      </c>
      <c r="H147" s="15">
        <f>IFERROR(__xludf.DUMMYFUNCTION("""COMPUTED_VALUE"""),40880.0)</f>
        <v>40880</v>
      </c>
      <c r="I147" s="18">
        <f>IFERROR(__xludf.DUMMYFUNCTION("""COMPUTED_VALUE"""),4.7027777777777775)</f>
        <v>4.702777778</v>
      </c>
      <c r="J147" s="22">
        <f>IFERROR(__xludf.DUMMYFUNCTION("""COMPUTED_VALUE"""),86.0)</f>
        <v>86</v>
      </c>
      <c r="K147" s="22">
        <f>IFERROR(__xludf.DUMMYFUNCTION("""COMPUTED_VALUE"""),18.0)</f>
        <v>18</v>
      </c>
      <c r="L147" s="26" t="str">
        <f>IFERROR(__xludf.DUMMYFUNCTION("""COMPUTED_VALUE"""),"Action-Adventure")</f>
        <v>Action-Adventure</v>
      </c>
      <c r="M147" s="13" t="b">
        <f>NOT(ISNA(VLOOKUP(A147,PC!A:A,1,FALSE)))</f>
        <v>0</v>
      </c>
      <c r="N147" s="13" t="b">
        <f>NOT(ISNA(VLOOKUP(A147,'Game Pass Premium'!A:A,1,FALSE)))</f>
        <v>0</v>
      </c>
      <c r="O147" s="13" t="b">
        <f>NOT(ISNA(VLOOKUP(A147,'Game Pass Essential'!A:A,1,FALSE)))</f>
        <v>0</v>
      </c>
    </row>
    <row r="148">
      <c r="A148" s="12" t="str">
        <f>IFERROR(__xludf.DUMMYFUNCTION("""COMPUTED_VALUE"""),"Saints Row IV")</f>
        <v>Saints Row IV</v>
      </c>
      <c r="B148" s="13" t="str">
        <f>IFERROR(__xludf.DUMMYFUNCTION("""COMPUTED_VALUE"""),"XB360/OG Xbox")</f>
        <v>XB360/OG Xbox</v>
      </c>
      <c r="C148" s="14"/>
      <c r="D148" s="14" t="str">
        <f>IFERROR(__xludf.DUMMYFUNCTION("""COMPUTED_VALUE"""),"GwG Permanent")</f>
        <v>GwG Permanent</v>
      </c>
      <c r="E148" s="15">
        <f>IFERROR(__xludf.DUMMYFUNCTION("""COMPUTED_VALUE"""),42476.0)</f>
        <v>42476</v>
      </c>
      <c r="F148" s="16">
        <f>IFERROR(__xludf.DUMMYFUNCTION("""COMPUTED_VALUE"""),42490.0)</f>
        <v>42490</v>
      </c>
      <c r="G148" s="18">
        <f>IFERROR(__xludf.DUMMYFUNCTION("""COMPUTED_VALUE"""),0.4666666666666667)</f>
        <v>0.4666666667</v>
      </c>
      <c r="H148" s="15">
        <f>IFERROR(__xludf.DUMMYFUNCTION("""COMPUTED_VALUE"""),41506.0)</f>
        <v>41506</v>
      </c>
      <c r="I148" s="18">
        <f>IFERROR(__xludf.DUMMYFUNCTION("""COMPUTED_VALUE"""),2.6555555555555554)</f>
        <v>2.655555556</v>
      </c>
      <c r="J148" s="22">
        <f>IFERROR(__xludf.DUMMYFUNCTION("""COMPUTED_VALUE"""),86.0)</f>
        <v>86</v>
      </c>
      <c r="K148" s="22">
        <f>IFERROR(__xludf.DUMMYFUNCTION("""COMPUTED_VALUE"""),15.0)</f>
        <v>15</v>
      </c>
      <c r="L148" s="26" t="str">
        <f>IFERROR(__xludf.DUMMYFUNCTION("""COMPUTED_VALUE"""),"Action-Adventure")</f>
        <v>Action-Adventure</v>
      </c>
      <c r="M148" s="13" t="b">
        <f>NOT(ISNA(VLOOKUP(A148,PC!A:A,1,FALSE)))</f>
        <v>0</v>
      </c>
      <c r="N148" s="13" t="b">
        <f>NOT(ISNA(VLOOKUP(A148,'Game Pass Premium'!A:A,1,FALSE)))</f>
        <v>0</v>
      </c>
      <c r="O148" s="13" t="b">
        <f>NOT(ISNA(VLOOKUP(A148,'Game Pass Essential'!A:A,1,FALSE)))</f>
        <v>0</v>
      </c>
    </row>
    <row r="149">
      <c r="A149" s="12" t="str">
        <f>IFERROR(__xludf.DUMMYFUNCTION("""COMPUTED_VALUE"""),"The Walking Dead: The Complete First Season")</f>
        <v>The Walking Dead: The Complete First Season</v>
      </c>
      <c r="B149" s="13" t="str">
        <f>IFERROR(__xludf.DUMMYFUNCTION("""COMPUTED_VALUE"""),"XB360/OG Xbox")</f>
        <v>XB360/OG Xbox</v>
      </c>
      <c r="C149" s="14"/>
      <c r="D149" s="14" t="str">
        <f>IFERROR(__xludf.DUMMYFUNCTION("""COMPUTED_VALUE"""),"GwG Permanent")</f>
        <v>GwG Permanent</v>
      </c>
      <c r="E149" s="15">
        <f>IFERROR(__xludf.DUMMYFUNCTION("""COMPUTED_VALUE"""),42293.0)</f>
        <v>42293</v>
      </c>
      <c r="F149" s="16">
        <f>IFERROR(__xludf.DUMMYFUNCTION("""COMPUTED_VALUE"""),42308.0)</f>
        <v>42308</v>
      </c>
      <c r="G149" s="18">
        <f>IFERROR(__xludf.DUMMYFUNCTION("""COMPUTED_VALUE"""),0.4666666666666667)</f>
        <v>0.4666666667</v>
      </c>
      <c r="H149" s="15">
        <f>IFERROR(__xludf.DUMMYFUNCTION("""COMPUTED_VALUE"""),41022.0)</f>
        <v>41022</v>
      </c>
      <c r="I149" s="18">
        <f>IFERROR(__xludf.DUMMYFUNCTION("""COMPUTED_VALUE"""),3.4805555555555556)</f>
        <v>3.480555556</v>
      </c>
      <c r="J149" s="22">
        <f>IFERROR(__xludf.DUMMYFUNCTION("""COMPUTED_VALUE"""),86.0)</f>
        <v>86</v>
      </c>
      <c r="K149" s="22">
        <f>IFERROR(__xludf.DUMMYFUNCTION("""COMPUTED_VALUE"""),8.0)</f>
        <v>8</v>
      </c>
      <c r="L149" s="26" t="str">
        <f>IFERROR(__xludf.DUMMYFUNCTION("""COMPUTED_VALUE"""),"Adventure")</f>
        <v>Adventure</v>
      </c>
      <c r="M149" s="13" t="b">
        <f>NOT(ISNA(VLOOKUP(A149,PC!A:A,1,FALSE)))</f>
        <v>1</v>
      </c>
      <c r="N149" s="13" t="b">
        <f>NOT(ISNA(VLOOKUP(A149,'Game Pass Premium'!A:A,1,FALSE)))</f>
        <v>1</v>
      </c>
      <c r="O149" s="13" t="b">
        <f>NOT(ISNA(VLOOKUP(A149,'Game Pass Essential'!A:A,1,FALSE)))</f>
        <v>0</v>
      </c>
    </row>
    <row r="150">
      <c r="A150" s="12" t="str">
        <f>IFERROR(__xludf.DUMMYFUNCTION("""COMPUTED_VALUE"""),"Just Cause 2")</f>
        <v>Just Cause 2</v>
      </c>
      <c r="B150" s="13" t="str">
        <f>IFERROR(__xludf.DUMMYFUNCTION("""COMPUTED_VALUE"""),"XB360/OG Xbox")</f>
        <v>XB360/OG Xbox</v>
      </c>
      <c r="C150" s="14"/>
      <c r="D150" s="14" t="str">
        <f>IFERROR(__xludf.DUMMYFUNCTION("""COMPUTED_VALUE"""),"GwG Permanent")</f>
        <v>GwG Permanent</v>
      </c>
      <c r="E150" s="15">
        <f>IFERROR(__xludf.DUMMYFUNCTION("""COMPUTED_VALUE"""),42156.0)</f>
        <v>42156</v>
      </c>
      <c r="F150" s="16">
        <f>IFERROR(__xludf.DUMMYFUNCTION("""COMPUTED_VALUE"""),42170.0)</f>
        <v>42170</v>
      </c>
      <c r="G150" s="18">
        <f>IFERROR(__xludf.DUMMYFUNCTION("""COMPUTED_VALUE"""),0.4666666666666667)</f>
        <v>0.4666666667</v>
      </c>
      <c r="H150" s="15">
        <f>IFERROR(__xludf.DUMMYFUNCTION("""COMPUTED_VALUE"""),40260.0)</f>
        <v>40260</v>
      </c>
      <c r="I150" s="18">
        <f>IFERROR(__xludf.DUMMYFUNCTION("""COMPUTED_VALUE"""),5.188888888888889)</f>
        <v>5.188888889</v>
      </c>
      <c r="J150" s="22">
        <f>IFERROR(__xludf.DUMMYFUNCTION("""COMPUTED_VALUE"""),86.0)</f>
        <v>86</v>
      </c>
      <c r="K150" s="22">
        <f>IFERROR(__xludf.DUMMYFUNCTION("""COMPUTED_VALUE"""),25.0)</f>
        <v>25</v>
      </c>
      <c r="L150" s="26" t="str">
        <f>IFERROR(__xludf.DUMMYFUNCTION("""COMPUTED_VALUE"""),"Action-Adventure")</f>
        <v>Action-Adventure</v>
      </c>
      <c r="M150" s="13" t="b">
        <f>NOT(ISNA(VLOOKUP(A150,PC!A:A,1,FALSE)))</f>
        <v>0</v>
      </c>
      <c r="N150" s="13" t="b">
        <f>NOT(ISNA(VLOOKUP(A150,'Game Pass Premium'!A:A,1,FALSE)))</f>
        <v>0</v>
      </c>
      <c r="O150" s="13" t="b">
        <f>NOT(ISNA(VLOOKUP(A150,'Game Pass Essential'!A:A,1,FALSE)))</f>
        <v>0</v>
      </c>
    </row>
    <row r="151">
      <c r="A151" s="12" t="str">
        <f>IFERROR(__xludf.DUMMYFUNCTION("""COMPUTED_VALUE"""),"Tomb Raider")</f>
        <v>Tomb Raider</v>
      </c>
      <c r="B151" s="13" t="str">
        <f>IFERROR(__xludf.DUMMYFUNCTION("""COMPUTED_VALUE"""),"XB360/OG Xbox")</f>
        <v>XB360/OG Xbox</v>
      </c>
      <c r="C151" s="14"/>
      <c r="D151" s="14" t="str">
        <f>IFERROR(__xludf.DUMMYFUNCTION("""COMPUTED_VALUE"""),"GwG Permanent")</f>
        <v>GwG Permanent</v>
      </c>
      <c r="E151" s="15">
        <f>IFERROR(__xludf.DUMMYFUNCTION("""COMPUTED_VALUE"""),42064.0)</f>
        <v>42064</v>
      </c>
      <c r="F151" s="16">
        <f>IFERROR(__xludf.DUMMYFUNCTION("""COMPUTED_VALUE"""),42078.0)</f>
        <v>42078</v>
      </c>
      <c r="G151" s="18">
        <f>IFERROR(__xludf.DUMMYFUNCTION("""COMPUTED_VALUE"""),0.4666666666666667)</f>
        <v>0.4666666667</v>
      </c>
      <c r="H151" s="15">
        <f>IFERROR(__xludf.DUMMYFUNCTION("""COMPUTED_VALUE"""),41338.0)</f>
        <v>41338</v>
      </c>
      <c r="I151" s="18">
        <f>IFERROR(__xludf.DUMMYFUNCTION("""COMPUTED_VALUE"""),1.988888888888889)</f>
        <v>1.988888889</v>
      </c>
      <c r="J151" s="22">
        <f>IFERROR(__xludf.DUMMYFUNCTION("""COMPUTED_VALUE"""),86.0)</f>
        <v>86</v>
      </c>
      <c r="K151" s="22">
        <f>IFERROR(__xludf.DUMMYFUNCTION("""COMPUTED_VALUE"""),12.0)</f>
        <v>12</v>
      </c>
      <c r="L151" s="26" t="str">
        <f>IFERROR(__xludf.DUMMYFUNCTION("""COMPUTED_VALUE"""),"Action-Adventure")</f>
        <v>Action-Adventure</v>
      </c>
      <c r="M151" s="13" t="b">
        <f>NOT(ISNA(VLOOKUP(A151,PC!A:A,1,FALSE)))</f>
        <v>0</v>
      </c>
      <c r="N151" s="13" t="b">
        <f>NOT(ISNA(VLOOKUP(A151,'Game Pass Premium'!A:A,1,FALSE)))</f>
        <v>0</v>
      </c>
      <c r="O151" s="13" t="b">
        <f>NOT(ISNA(VLOOKUP(A151,'Game Pass Essential'!A:A,1,FALSE)))</f>
        <v>0</v>
      </c>
    </row>
    <row r="152">
      <c r="A152" s="12" t="str">
        <f>IFERROR(__xludf.DUMMYFUNCTION("""COMPUTED_VALUE"""),"BattleBlock Theater")</f>
        <v>BattleBlock Theater</v>
      </c>
      <c r="B152" s="13" t="str">
        <f>IFERROR(__xludf.DUMMYFUNCTION("""COMPUTED_VALUE"""),"XB360/OG Xbox")</f>
        <v>XB360/OG Xbox</v>
      </c>
      <c r="C152" s="14"/>
      <c r="D152" s="14" t="str">
        <f>IFERROR(__xludf.DUMMYFUNCTION("""COMPUTED_VALUE"""),"GwG Permanent")</f>
        <v>GwG Permanent</v>
      </c>
      <c r="E152" s="15">
        <f>IFERROR(__xludf.DUMMYFUNCTION("""COMPUTED_VALUE"""),41836.0)</f>
        <v>41836</v>
      </c>
      <c r="F152" s="16">
        <f>IFERROR(__xludf.DUMMYFUNCTION("""COMPUTED_VALUE"""),41851.0)</f>
        <v>41851</v>
      </c>
      <c r="G152" s="18">
        <f>IFERROR(__xludf.DUMMYFUNCTION("""COMPUTED_VALUE"""),0.4666666666666667)</f>
        <v>0.4666666667</v>
      </c>
      <c r="H152" s="15">
        <f>IFERROR(__xludf.DUMMYFUNCTION("""COMPUTED_VALUE"""),41367.0)</f>
        <v>41367</v>
      </c>
      <c r="I152" s="18">
        <f>IFERROR(__xludf.DUMMYFUNCTION("""COMPUTED_VALUE"""),1.2861111111111112)</f>
        <v>1.286111111</v>
      </c>
      <c r="J152" s="22">
        <f>IFERROR(__xludf.DUMMYFUNCTION("""COMPUTED_VALUE"""),86.0)</f>
        <v>86</v>
      </c>
      <c r="K152" s="22">
        <f>IFERROR(__xludf.DUMMYFUNCTION("""COMPUTED_VALUE"""),8.0)</f>
        <v>8</v>
      </c>
      <c r="L152" s="26" t="str">
        <f>IFERROR(__xludf.DUMMYFUNCTION("""COMPUTED_VALUE"""),"Platformer")</f>
        <v>Platformer</v>
      </c>
      <c r="M152" s="13" t="b">
        <f>NOT(ISNA(VLOOKUP(A152,PC!A:A,1,FALSE)))</f>
        <v>0</v>
      </c>
      <c r="N152" s="13" t="b">
        <f>NOT(ISNA(VLOOKUP(A152,'Game Pass Premium'!A:A,1,FALSE)))</f>
        <v>0</v>
      </c>
      <c r="O152" s="13" t="b">
        <f>NOT(ISNA(VLOOKUP(A152,'Game Pass Essential'!A:A,1,FALSE)))</f>
        <v>0</v>
      </c>
    </row>
    <row r="153">
      <c r="A153" s="12" t="str">
        <f>IFERROR(__xludf.DUMMYFUNCTION("""COMPUTED_VALUE"""),"Might &amp; Magic: Clash of Heroes")</f>
        <v>Might &amp; Magic: Clash of Heroes</v>
      </c>
      <c r="B153" s="13" t="str">
        <f>IFERROR(__xludf.DUMMYFUNCTION("""COMPUTED_VALUE"""),"XB360/OG Xbox")</f>
        <v>XB360/OG Xbox</v>
      </c>
      <c r="C153" s="14"/>
      <c r="D153" s="14" t="str">
        <f>IFERROR(__xludf.DUMMYFUNCTION("""COMPUTED_VALUE"""),"GwG Permanent")</f>
        <v>GwG Permanent</v>
      </c>
      <c r="E153" s="15">
        <f>IFERROR(__xludf.DUMMYFUNCTION("""COMPUTED_VALUE"""),41548.0)</f>
        <v>41548</v>
      </c>
      <c r="F153" s="16">
        <f>IFERROR(__xludf.DUMMYFUNCTION("""COMPUTED_VALUE"""),41562.0)</f>
        <v>41562</v>
      </c>
      <c r="G153" s="18">
        <f>IFERROR(__xludf.DUMMYFUNCTION("""COMPUTED_VALUE"""),0.4666666666666667)</f>
        <v>0.4666666667</v>
      </c>
      <c r="H153" s="15">
        <f>IFERROR(__xludf.DUMMYFUNCTION("""COMPUTED_VALUE"""),40016.0)</f>
        <v>40016</v>
      </c>
      <c r="I153" s="18">
        <f>IFERROR(__xludf.DUMMYFUNCTION("""COMPUTED_VALUE"""),4.191666666666666)</f>
        <v>4.191666667</v>
      </c>
      <c r="J153" s="22">
        <f>IFERROR(__xludf.DUMMYFUNCTION("""COMPUTED_VALUE"""),86.0)</f>
        <v>86</v>
      </c>
      <c r="K153" s="22">
        <f>IFERROR(__xludf.DUMMYFUNCTION("""COMPUTED_VALUE"""),20.0)</f>
        <v>20</v>
      </c>
      <c r="L153" s="26" t="str">
        <f>IFERROR(__xludf.DUMMYFUNCTION("""COMPUTED_VALUE"""),"Puzzle")</f>
        <v>Puzzle</v>
      </c>
      <c r="M153" s="13" t="b">
        <f>NOT(ISNA(VLOOKUP(A153,PC!A:A,1,FALSE)))</f>
        <v>0</v>
      </c>
      <c r="N153" s="13" t="b">
        <f>NOT(ISNA(VLOOKUP(A153,'Game Pass Premium'!A:A,1,FALSE)))</f>
        <v>0</v>
      </c>
      <c r="O153" s="13" t="b">
        <f>NOT(ISNA(VLOOKUP(A153,'Game Pass Essential'!A:A,1,FALSE)))</f>
        <v>0</v>
      </c>
    </row>
    <row r="154">
      <c r="A154" s="12" t="str">
        <f>IFERROR(__xludf.DUMMYFUNCTION("""COMPUTED_VALUE"""),"Defense Grid: The Awakening")</f>
        <v>Defense Grid: The Awakening</v>
      </c>
      <c r="B154" s="13" t="str">
        <f>IFERROR(__xludf.DUMMYFUNCTION("""COMPUTED_VALUE"""),"XB360/OG Xbox")</f>
        <v>XB360/OG Xbox</v>
      </c>
      <c r="C154" s="14"/>
      <c r="D154" s="14" t="str">
        <f>IFERROR(__xludf.DUMMYFUNCTION("""COMPUTED_VALUE"""),"GwG Permanent")</f>
        <v>GwG Permanent</v>
      </c>
      <c r="E154" s="15">
        <f>IFERROR(__xludf.DUMMYFUNCTION("""COMPUTED_VALUE"""),41456.0)</f>
        <v>41456</v>
      </c>
      <c r="F154" s="16">
        <f>IFERROR(__xludf.DUMMYFUNCTION("""COMPUTED_VALUE"""),41470.0)</f>
        <v>41470</v>
      </c>
      <c r="G154" s="18">
        <f>IFERROR(__xludf.DUMMYFUNCTION("""COMPUTED_VALUE"""),0.4666666666666667)</f>
        <v>0.4666666667</v>
      </c>
      <c r="H154" s="15">
        <f>IFERROR(__xludf.DUMMYFUNCTION("""COMPUTED_VALUE"""),39903.0)</f>
        <v>39903</v>
      </c>
      <c r="I154" s="18">
        <f>IFERROR(__xludf.DUMMYFUNCTION("""COMPUTED_VALUE"""),4.252777777777778)</f>
        <v>4.252777778</v>
      </c>
      <c r="J154" s="22">
        <f>IFERROR(__xludf.DUMMYFUNCTION("""COMPUTED_VALUE"""),86.0)</f>
        <v>86</v>
      </c>
      <c r="K154" s="22">
        <f>IFERROR(__xludf.DUMMYFUNCTION("""COMPUTED_VALUE"""),10.0)</f>
        <v>10</v>
      </c>
      <c r="L154" s="26" t="str">
        <f>IFERROR(__xludf.DUMMYFUNCTION("""COMPUTED_VALUE"""),"Strategy")</f>
        <v>Strategy</v>
      </c>
      <c r="M154" s="13" t="b">
        <f>NOT(ISNA(VLOOKUP(A154,PC!A:A,1,FALSE)))</f>
        <v>0</v>
      </c>
      <c r="N154" s="13" t="b">
        <f>NOT(ISNA(VLOOKUP(A154,'Game Pass Premium'!A:A,1,FALSE)))</f>
        <v>0</v>
      </c>
      <c r="O154" s="13" t="b">
        <f>NOT(ISNA(VLOOKUP(A154,'Game Pass Essential'!A:A,1,FALSE)))</f>
        <v>0</v>
      </c>
    </row>
    <row r="155">
      <c r="A155" s="12" t="str">
        <f>IFERROR(__xludf.DUMMYFUNCTION("""COMPUTED_VALUE"""),"Buckshot Roulette")</f>
        <v>Buckshot Roulette</v>
      </c>
      <c r="B155" s="13" t="str">
        <f>IFERROR(__xludf.DUMMYFUNCTION("""COMPUTED_VALUE"""),"Xbox / PC")</f>
        <v>Xbox / PC</v>
      </c>
      <c r="C155" s="14" t="str">
        <f>IFERROR(__xludf.DUMMYFUNCTION("""COMPUTED_VALUE"""),"Yes")</f>
        <v>Yes</v>
      </c>
      <c r="D155" s="14" t="str">
        <f>IFERROR(__xludf.DUMMYFUNCTION("""COMPUTED_VALUE"""),"Active")</f>
        <v>Active</v>
      </c>
      <c r="E155" s="15">
        <f>IFERROR(__xludf.DUMMYFUNCTION("""COMPUTED_VALUE"""),46211.0)</f>
        <v>46211</v>
      </c>
      <c r="F155" s="16"/>
      <c r="G155" s="18">
        <f>IFERROR(__xludf.DUMMYFUNCTION("""COMPUTED_VALUE"""),2.933333333333333)</f>
        <v>2.933333333</v>
      </c>
      <c r="H155" s="15">
        <f>IFERROR(__xludf.DUMMYFUNCTION("""COMPUTED_VALUE"""),45288.0)</f>
        <v>45288</v>
      </c>
      <c r="I155" s="18">
        <f>IFERROR(__xludf.DUMMYFUNCTION("""COMPUTED_VALUE"""),2.5277777777777777)</f>
        <v>2.527777778</v>
      </c>
      <c r="J155" s="22">
        <f>IFERROR(__xludf.DUMMYFUNCTION("""COMPUTED_VALUE"""),85.0)</f>
        <v>85</v>
      </c>
      <c r="K155" s="22">
        <f>IFERROR(__xludf.DUMMYFUNCTION("""COMPUTED_VALUE"""),1.0)</f>
        <v>1</v>
      </c>
      <c r="L155" s="26" t="str">
        <f>IFERROR(__xludf.DUMMYFUNCTION("""COMPUTED_VALUE"""),"Strategy")</f>
        <v>Strategy</v>
      </c>
      <c r="M155" s="13" t="b">
        <f>NOT(ISNA(VLOOKUP(A155,PC!A:A,1,FALSE)))</f>
        <v>1</v>
      </c>
      <c r="N155" s="13" t="b">
        <f>NOT(ISNA(VLOOKUP(A155,'Game Pass Premium'!A:A,1,FALSE)))</f>
        <v>1</v>
      </c>
      <c r="O155" s="13" t="b">
        <f>NOT(ISNA(VLOOKUP(A155,'Game Pass Essential'!A:A,1,FALSE)))</f>
        <v>0</v>
      </c>
    </row>
    <row r="156">
      <c r="A156" s="12" t="str">
        <f>IFERROR(__xludf.DUMMYFUNCTION("""COMPUTED_VALUE"""),"TerraTech Legion")</f>
        <v>TerraTech Legion</v>
      </c>
      <c r="B156" s="13" t="str">
        <f>IFERROR(__xludf.DUMMYFUNCTION("""COMPUTED_VALUE"""),"Xbox / PC")</f>
        <v>Xbox / PC</v>
      </c>
      <c r="C156" s="14" t="str">
        <f>IFERROR(__xludf.DUMMYFUNCTION("""COMPUTED_VALUE"""),"Yes")</f>
        <v>Yes</v>
      </c>
      <c r="D156" s="14" t="str">
        <f>IFERROR(__xludf.DUMMYFUNCTION("""COMPUTED_VALUE"""),"Active")</f>
        <v>Active</v>
      </c>
      <c r="E156" s="15">
        <f>IFERROR(__xludf.DUMMYFUNCTION("""COMPUTED_VALUE"""),46142.0)</f>
        <v>46142</v>
      </c>
      <c r="F156" s="16"/>
      <c r="G156" s="18">
        <f>IFERROR(__xludf.DUMMYFUNCTION("""COMPUTED_VALUE"""),5.2)</f>
        <v>5.2</v>
      </c>
      <c r="H156" s="15">
        <f>IFERROR(__xludf.DUMMYFUNCTION("""COMPUTED_VALUE"""),46142.0)</f>
        <v>46142</v>
      </c>
      <c r="I156" s="18">
        <f>IFERROR(__xludf.DUMMYFUNCTION("""COMPUTED_VALUE"""),0.0)</f>
        <v>0</v>
      </c>
      <c r="J156" s="22">
        <f>IFERROR(__xludf.DUMMYFUNCTION("""COMPUTED_VALUE"""),85.0)</f>
        <v>85</v>
      </c>
      <c r="K156" s="22">
        <f>IFERROR(__xludf.DUMMYFUNCTION("""COMPUTED_VALUE"""),4.0)</f>
        <v>4</v>
      </c>
      <c r="L156" s="26" t="str">
        <f>IFERROR(__xludf.DUMMYFUNCTION("""COMPUTED_VALUE"""),"Action-Adventure")</f>
        <v>Action-Adventure</v>
      </c>
      <c r="M156" s="13" t="b">
        <f>NOT(ISNA(VLOOKUP(A156,PC!A:A,1,FALSE)))</f>
        <v>1</v>
      </c>
      <c r="N156" s="13" t="b">
        <f>NOT(ISNA(VLOOKUP(A156,'Game Pass Premium'!A:A,1,FALSE)))</f>
        <v>0</v>
      </c>
      <c r="O156" s="13" t="b">
        <f>NOT(ISNA(VLOOKUP(A156,'Game Pass Essential'!A:A,1,FALSE)))</f>
        <v>0</v>
      </c>
    </row>
    <row r="157">
      <c r="A157" s="12" t="str">
        <f>IFERROR(__xludf.DUMMYFUNCTION("""COMPUTED_VALUE"""),"Dice A Million")</f>
        <v>Dice A Million</v>
      </c>
      <c r="B157" s="13" t="str">
        <f>IFERROR(__xludf.DUMMYFUNCTION("""COMPUTED_VALUE"""),"Xbox / PC")</f>
        <v>Xbox / PC</v>
      </c>
      <c r="C157" s="14" t="str">
        <f>IFERROR(__xludf.DUMMYFUNCTION("""COMPUTED_VALUE"""),"Yes")</f>
        <v>Yes</v>
      </c>
      <c r="D157" s="14" t="str">
        <f>IFERROR(__xludf.DUMMYFUNCTION("""COMPUTED_VALUE"""),"Active")</f>
        <v>Active</v>
      </c>
      <c r="E157" s="15">
        <f>IFERROR(__xludf.DUMMYFUNCTION("""COMPUTED_VALUE"""),46078.0)</f>
        <v>46078</v>
      </c>
      <c r="F157" s="16"/>
      <c r="G157" s="18">
        <f>IFERROR(__xludf.DUMMYFUNCTION("""COMPUTED_VALUE"""),7.366666666666667)</f>
        <v>7.366666667</v>
      </c>
      <c r="H157" s="15">
        <f>IFERROR(__xludf.DUMMYFUNCTION("""COMPUTED_VALUE"""),46078.0)</f>
        <v>46078</v>
      </c>
      <c r="I157" s="18">
        <f>IFERROR(__xludf.DUMMYFUNCTION("""COMPUTED_VALUE"""),0.0)</f>
        <v>0</v>
      </c>
      <c r="J157" s="22">
        <f>IFERROR(__xludf.DUMMYFUNCTION("""COMPUTED_VALUE"""),85.0)</f>
        <v>85</v>
      </c>
      <c r="K157" s="22">
        <f>IFERROR(__xludf.DUMMYFUNCTION("""COMPUTED_VALUE"""),5.0)</f>
        <v>5</v>
      </c>
      <c r="L157" s="26" t="str">
        <f>IFERROR(__xludf.DUMMYFUNCTION("""COMPUTED_VALUE"""),"Strategy")</f>
        <v>Strategy</v>
      </c>
      <c r="M157" s="13" t="b">
        <f>NOT(ISNA(VLOOKUP(A157,PC!A:A,1,FALSE)))</f>
        <v>1</v>
      </c>
      <c r="N157" s="13" t="b">
        <f>NOT(ISNA(VLOOKUP(A157,'Game Pass Premium'!A:A,1,FALSE)))</f>
        <v>1</v>
      </c>
      <c r="O157" s="13" t="b">
        <f>NOT(ISNA(VLOOKUP(A157,'Game Pass Essential'!A:A,1,FALSE)))</f>
        <v>0</v>
      </c>
    </row>
    <row r="158">
      <c r="A158" s="12" t="str">
        <f>IFERROR(__xludf.DUMMYFUNCTION("""COMPUTED_VALUE"""),"Death Stranding: Director's Cut")</f>
        <v>Death Stranding: Director's Cut</v>
      </c>
      <c r="B158" s="13" t="str">
        <f>IFERROR(__xludf.DUMMYFUNCTION("""COMPUTED_VALUE"""),"Xbox / PC")</f>
        <v>Xbox / PC</v>
      </c>
      <c r="C158" s="14" t="str">
        <f>IFERROR(__xludf.DUMMYFUNCTION("""COMPUTED_VALUE"""),"Yes")</f>
        <v>Yes</v>
      </c>
      <c r="D158" s="14" t="str">
        <f>IFERROR(__xludf.DUMMYFUNCTION("""COMPUTED_VALUE"""),"Active")</f>
        <v>Active</v>
      </c>
      <c r="E158" s="15">
        <f>IFERROR(__xludf.DUMMYFUNCTION("""COMPUTED_VALUE"""),46043.0)</f>
        <v>46043</v>
      </c>
      <c r="F158" s="16"/>
      <c r="G158" s="18">
        <f>IFERROR(__xludf.DUMMYFUNCTION("""COMPUTED_VALUE"""),8.5)</f>
        <v>8.5</v>
      </c>
      <c r="H158" s="15">
        <f>IFERROR(__xludf.DUMMYFUNCTION("""COMPUTED_VALUE"""),44217.0)</f>
        <v>44217</v>
      </c>
      <c r="I158" s="18">
        <f>IFERROR(__xludf.DUMMYFUNCTION("""COMPUTED_VALUE"""),5.0)</f>
        <v>5</v>
      </c>
      <c r="J158" s="22">
        <f>IFERROR(__xludf.DUMMYFUNCTION("""COMPUTED_VALUE"""),85.0)</f>
        <v>85</v>
      </c>
      <c r="K158" s="22">
        <f>IFERROR(__xludf.DUMMYFUNCTION("""COMPUTED_VALUE"""),38.0)</f>
        <v>38</v>
      </c>
      <c r="L158" s="26" t="str">
        <f>IFERROR(__xludf.DUMMYFUNCTION("""COMPUTED_VALUE"""),"Action-Adventure")</f>
        <v>Action-Adventure</v>
      </c>
      <c r="M158" s="13" t="b">
        <f>NOT(ISNA(VLOOKUP(A158,PC!A:A,1,FALSE)))</f>
        <v>1</v>
      </c>
      <c r="N158" s="13" t="b">
        <f>NOT(ISNA(VLOOKUP(A158,'Game Pass Premium'!A:A,1,FALSE)))</f>
        <v>1</v>
      </c>
      <c r="O158" s="13" t="b">
        <f>NOT(ISNA(VLOOKUP(A158,'Game Pass Essential'!A:A,1,FALSE)))</f>
        <v>0</v>
      </c>
    </row>
    <row r="159">
      <c r="A159" s="12" t="str">
        <f>IFERROR(__xludf.DUMMYFUNCTION("""COMPUTED_VALUE"""),"Ice Hockey")</f>
        <v>Ice Hockey</v>
      </c>
      <c r="B159" s="13" t="str">
        <f>IFERROR(__xludf.DUMMYFUNCTION("""COMPUTED_VALUE"""),"Xbox / PC")</f>
        <v>Xbox / PC</v>
      </c>
      <c r="C159" s="14" t="str">
        <f>IFERROR(__xludf.DUMMYFUNCTION("""COMPUTED_VALUE"""),"Yes")</f>
        <v>Yes</v>
      </c>
      <c r="D159" s="14" t="str">
        <f>IFERROR(__xludf.DUMMYFUNCTION("""COMPUTED_VALUE"""),"Active")</f>
        <v>Active</v>
      </c>
      <c r="E159" s="15">
        <f>IFERROR(__xludf.DUMMYFUNCTION("""COMPUTED_VALUE"""),45945.0)</f>
        <v>45945</v>
      </c>
      <c r="F159" s="16"/>
      <c r="G159" s="18">
        <f>IFERROR(__xludf.DUMMYFUNCTION("""COMPUTED_VALUE"""),11.7)</f>
        <v>11.7</v>
      </c>
      <c r="H159" s="15">
        <f>IFERROR(__xludf.DUMMYFUNCTION("""COMPUTED_VALUE"""),29921.0)</f>
        <v>29921</v>
      </c>
      <c r="I159" s="18">
        <f>IFERROR(__xludf.DUMMYFUNCTION("""COMPUTED_VALUE"""),43.87222222222222)</f>
        <v>43.87222222</v>
      </c>
      <c r="J159" s="22">
        <f>IFERROR(__xludf.DUMMYFUNCTION("""COMPUTED_VALUE"""),85.0)</f>
        <v>85</v>
      </c>
      <c r="K159" s="22">
        <f>IFERROR(__xludf.DUMMYFUNCTION("""COMPUTED_VALUE"""),1.0)</f>
        <v>1</v>
      </c>
      <c r="L159" s="26" t="str">
        <f>IFERROR(__xludf.DUMMYFUNCTION("""COMPUTED_VALUE"""),"Sports")</f>
        <v>Sports</v>
      </c>
      <c r="M159" s="13" t="b">
        <f>NOT(ISNA(VLOOKUP(A159,PC!A:A,1,FALSE)))</f>
        <v>1</v>
      </c>
      <c r="N159" s="13" t="b">
        <f>NOT(ISNA(VLOOKUP(A159,'Game Pass Premium'!A:A,1,FALSE)))</f>
        <v>1</v>
      </c>
      <c r="O159" s="13" t="b">
        <f>NOT(ISNA(VLOOKUP(A159,'Game Pass Essential'!A:A,1,FALSE)))</f>
        <v>0</v>
      </c>
    </row>
    <row r="160">
      <c r="A160" s="12" t="str">
        <f>IFERROR(__xludf.DUMMYFUNCTION("""COMPUTED_VALUE"""),"South Park: The Stick of Truth")</f>
        <v>South Park: The Stick of Truth</v>
      </c>
      <c r="B160" s="13" t="str">
        <f>IFERROR(__xludf.DUMMYFUNCTION("""COMPUTED_VALUE"""),"Xbox / PC")</f>
        <v>Xbox / PC</v>
      </c>
      <c r="C160" s="14" t="str">
        <f>IFERROR(__xludf.DUMMYFUNCTION("""COMPUTED_VALUE"""),"Yes")</f>
        <v>Yes</v>
      </c>
      <c r="D160" s="14" t="str">
        <f>IFERROR(__xludf.DUMMYFUNCTION("""COMPUTED_VALUE"""),"Active")</f>
        <v>Active</v>
      </c>
      <c r="E160" s="15">
        <f>IFERROR(__xludf.DUMMYFUNCTION("""COMPUTED_VALUE"""),45931.0)</f>
        <v>45931</v>
      </c>
      <c r="F160" s="16"/>
      <c r="G160" s="18">
        <f>IFERROR(__xludf.DUMMYFUNCTION("""COMPUTED_VALUE"""),12.166666666666666)</f>
        <v>12.16666667</v>
      </c>
      <c r="H160" s="15">
        <f>IFERROR(__xludf.DUMMYFUNCTION("""COMPUTED_VALUE"""),41702.0)</f>
        <v>41702</v>
      </c>
      <c r="I160" s="18">
        <f>IFERROR(__xludf.DUMMYFUNCTION("""COMPUTED_VALUE"""),11.575)</f>
        <v>11.575</v>
      </c>
      <c r="J160" s="22">
        <f>IFERROR(__xludf.DUMMYFUNCTION("""COMPUTED_VALUE"""),85.0)</f>
        <v>85</v>
      </c>
      <c r="K160" s="22">
        <f>IFERROR(__xludf.DUMMYFUNCTION("""COMPUTED_VALUE"""),12.0)</f>
        <v>12</v>
      </c>
      <c r="L160" s="26" t="str">
        <f>IFERROR(__xludf.DUMMYFUNCTION("""COMPUTED_VALUE"""),"RPG")</f>
        <v>RPG</v>
      </c>
      <c r="M160" s="13" t="b">
        <f>NOT(ISNA(VLOOKUP(A160,PC!A:A,1,FALSE)))</f>
        <v>1</v>
      </c>
      <c r="N160" s="13" t="b">
        <f>NOT(ISNA(VLOOKUP(A160,'Game Pass Premium'!A:A,1,FALSE)))</f>
        <v>0</v>
      </c>
      <c r="O160" s="13" t="b">
        <f>NOT(ISNA(VLOOKUP(A160,'Game Pass Essential'!A:A,1,FALSE)))</f>
        <v>0</v>
      </c>
    </row>
    <row r="161">
      <c r="A161" s="12" t="str">
        <f>IFERROR(__xludf.DUMMYFUNCTION("""COMPUTED_VALUE"""),"Crash Bandicoot 4: It's About Time")</f>
        <v>Crash Bandicoot 4: It's About Time</v>
      </c>
      <c r="B161" s="13" t="str">
        <f>IFERROR(__xludf.DUMMYFUNCTION("""COMPUTED_VALUE"""),"Xbox / PC")</f>
        <v>Xbox / PC</v>
      </c>
      <c r="C161" s="14"/>
      <c r="D161" s="14" t="str">
        <f>IFERROR(__xludf.DUMMYFUNCTION("""COMPUTED_VALUE"""),"Active")</f>
        <v>Active</v>
      </c>
      <c r="E161" s="15">
        <f>IFERROR(__xludf.DUMMYFUNCTION("""COMPUTED_VALUE"""),45825.0)</f>
        <v>45825</v>
      </c>
      <c r="F161" s="16"/>
      <c r="G161" s="18">
        <f>IFERROR(__xludf.DUMMYFUNCTION("""COMPUTED_VALUE"""),15.633333333333333)</f>
        <v>15.63333333</v>
      </c>
      <c r="H161" s="15">
        <f>IFERROR(__xludf.DUMMYFUNCTION("""COMPUTED_VALUE"""),44106.0)</f>
        <v>44106</v>
      </c>
      <c r="I161" s="18">
        <f>IFERROR(__xludf.DUMMYFUNCTION("""COMPUTED_VALUE"""),4.708333333333333)</f>
        <v>4.708333333</v>
      </c>
      <c r="J161" s="22">
        <f>IFERROR(__xludf.DUMMYFUNCTION("""COMPUTED_VALUE"""),85.0)</f>
        <v>85</v>
      </c>
      <c r="K161" s="22">
        <f>IFERROR(__xludf.DUMMYFUNCTION("""COMPUTED_VALUE"""),10.0)</f>
        <v>10</v>
      </c>
      <c r="L161" s="26" t="str">
        <f>IFERROR(__xludf.DUMMYFUNCTION("""COMPUTED_VALUE"""),"Plaformer")</f>
        <v>Plaformer</v>
      </c>
      <c r="M161" s="13" t="b">
        <f>NOT(ISNA(VLOOKUP(A161,PC!A:A,1,FALSE)))</f>
        <v>1</v>
      </c>
      <c r="N161" s="13" t="b">
        <f>NOT(ISNA(VLOOKUP(A161,'Game Pass Premium'!A:A,1,FALSE)))</f>
        <v>1</v>
      </c>
      <c r="O161" s="13" t="b">
        <f>NOT(ISNA(VLOOKUP(A161,'Game Pass Essential'!A:A,1,FALSE)))</f>
        <v>0</v>
      </c>
    </row>
    <row r="162">
      <c r="A162" s="12" t="str">
        <f>IFERROR(__xludf.DUMMYFUNCTION("""COMPUTED_VALUE"""),"Symphonia (2024)")</f>
        <v>Symphonia (2024)</v>
      </c>
      <c r="B162" s="13" t="str">
        <f>IFERROR(__xludf.DUMMYFUNCTION("""COMPUTED_VALUE"""),"Xbox / PC")</f>
        <v>Xbox / PC</v>
      </c>
      <c r="C162" s="14" t="str">
        <f>IFERROR(__xludf.DUMMYFUNCTION("""COMPUTED_VALUE"""),"Yes")</f>
        <v>Yes</v>
      </c>
      <c r="D162" s="14" t="str">
        <f>IFERROR(__xludf.DUMMYFUNCTION("""COMPUTED_VALUE"""),"Active")</f>
        <v>Active</v>
      </c>
      <c r="E162" s="15">
        <f>IFERROR(__xludf.DUMMYFUNCTION("""COMPUTED_VALUE"""),45811.0)</f>
        <v>45811</v>
      </c>
      <c r="F162" s="16"/>
      <c r="G162" s="18">
        <f>IFERROR(__xludf.DUMMYFUNCTION("""COMPUTED_VALUE"""),16.099999999999998)</f>
        <v>16.1</v>
      </c>
      <c r="H162" s="15">
        <f>IFERROR(__xludf.DUMMYFUNCTION("""COMPUTED_VALUE"""),45631.0)</f>
        <v>45631</v>
      </c>
      <c r="I162" s="18">
        <f>IFERROR(__xludf.DUMMYFUNCTION("""COMPUTED_VALUE"""),0.49444444444444446)</f>
        <v>0.4944444444</v>
      </c>
      <c r="J162" s="22">
        <f>IFERROR(__xludf.DUMMYFUNCTION("""COMPUTED_VALUE"""),85.0)</f>
        <v>85</v>
      </c>
      <c r="K162" s="22">
        <f>IFERROR(__xludf.DUMMYFUNCTION("""COMPUTED_VALUE"""),5.0)</f>
        <v>5</v>
      </c>
      <c r="L162" s="26" t="str">
        <f>IFERROR(__xludf.DUMMYFUNCTION("""COMPUTED_VALUE"""),"Platformer")</f>
        <v>Platformer</v>
      </c>
      <c r="M162" s="13" t="b">
        <f>NOT(ISNA(VLOOKUP(A162,PC!A:A,1,FALSE)))</f>
        <v>1</v>
      </c>
      <c r="N162" s="13" t="b">
        <f>NOT(ISNA(VLOOKUP(A162,'Game Pass Premium'!A:A,1,FALSE)))</f>
        <v>1</v>
      </c>
      <c r="O162" s="13" t="b">
        <f>NOT(ISNA(VLOOKUP(A162,'Game Pass Essential'!A:A,1,FALSE)))</f>
        <v>0</v>
      </c>
    </row>
    <row r="163">
      <c r="A163" s="12" t="str">
        <f>IFERROR(__xludf.DUMMYFUNCTION("""COMPUTED_VALUE"""),"DOOM: The Dark Ages")</f>
        <v>DOOM: The Dark Ages</v>
      </c>
      <c r="B163" s="13" t="str">
        <f>IFERROR(__xludf.DUMMYFUNCTION("""COMPUTED_VALUE"""),"Xbox / PC")</f>
        <v>Xbox / PC</v>
      </c>
      <c r="C163" s="14" t="str">
        <f>IFERROR(__xludf.DUMMYFUNCTION("""COMPUTED_VALUE"""),"Yes")</f>
        <v>Yes</v>
      </c>
      <c r="D163" s="14" t="str">
        <f>IFERROR(__xludf.DUMMYFUNCTION("""COMPUTED_VALUE"""),"Active")</f>
        <v>Active</v>
      </c>
      <c r="E163" s="15">
        <f>IFERROR(__xludf.DUMMYFUNCTION("""COMPUTED_VALUE"""),45792.0)</f>
        <v>45792</v>
      </c>
      <c r="F163" s="16"/>
      <c r="G163" s="18">
        <f>IFERROR(__xludf.DUMMYFUNCTION("""COMPUTED_VALUE"""),16.7)</f>
        <v>16.7</v>
      </c>
      <c r="H163" s="15">
        <f>IFERROR(__xludf.DUMMYFUNCTION("""COMPUTED_VALUE"""),45792.0)</f>
        <v>45792</v>
      </c>
      <c r="I163" s="18">
        <f>IFERROR(__xludf.DUMMYFUNCTION("""COMPUTED_VALUE"""),0.0)</f>
        <v>0</v>
      </c>
      <c r="J163" s="22">
        <f>IFERROR(__xludf.DUMMYFUNCTION("""COMPUTED_VALUE"""),85.0)</f>
        <v>85</v>
      </c>
      <c r="K163" s="22">
        <f>IFERROR(__xludf.DUMMYFUNCTION("""COMPUTED_VALUE"""),13.0)</f>
        <v>13</v>
      </c>
      <c r="L163" s="26" t="str">
        <f>IFERROR(__xludf.DUMMYFUNCTION("""COMPUTED_VALUE"""),"Shooter")</f>
        <v>Shooter</v>
      </c>
      <c r="M163" s="13" t="b">
        <f>NOT(ISNA(VLOOKUP(A163,PC!A:A,1,FALSE)))</f>
        <v>1</v>
      </c>
      <c r="N163" s="13" t="b">
        <f>NOT(ISNA(VLOOKUP(A163,'Game Pass Premium'!A:A,1,FALSE)))</f>
        <v>0</v>
      </c>
      <c r="O163" s="13" t="b">
        <f>NOT(ISNA(VLOOKUP(A163,'Game Pass Essential'!A:A,1,FALSE)))</f>
        <v>0</v>
      </c>
    </row>
    <row r="164">
      <c r="A164" s="12" t="str">
        <f>IFERROR(__xludf.DUMMYFUNCTION("""COMPUTED_VALUE"""),"Far Cry 4")</f>
        <v>Far Cry 4</v>
      </c>
      <c r="B164" s="13" t="str">
        <f>IFERROR(__xludf.DUMMYFUNCTION("""COMPUTED_VALUE"""),"Xbox / PC")</f>
        <v>Xbox / PC</v>
      </c>
      <c r="C164" s="14" t="str">
        <f>IFERROR(__xludf.DUMMYFUNCTION("""COMPUTED_VALUE"""),"Yes")</f>
        <v>Yes</v>
      </c>
      <c r="D164" s="14" t="str">
        <f>IFERROR(__xludf.DUMMYFUNCTION("""COMPUTED_VALUE"""),"Active")</f>
        <v>Active</v>
      </c>
      <c r="E164" s="15">
        <f>IFERROR(__xludf.DUMMYFUNCTION("""COMPUTED_VALUE"""),45777.0)</f>
        <v>45777</v>
      </c>
      <c r="F164" s="16"/>
      <c r="G164" s="18">
        <f>IFERROR(__xludf.DUMMYFUNCTION("""COMPUTED_VALUE"""),17.2)</f>
        <v>17.2</v>
      </c>
      <c r="H164" s="15">
        <f>IFERROR(__xludf.DUMMYFUNCTION("""COMPUTED_VALUE"""),41961.0)</f>
        <v>41961</v>
      </c>
      <c r="I164" s="18">
        <f>IFERROR(__xludf.DUMMYFUNCTION("""COMPUTED_VALUE"""),10.45)</f>
        <v>10.45</v>
      </c>
      <c r="J164" s="22">
        <f>IFERROR(__xludf.DUMMYFUNCTION("""COMPUTED_VALUE"""),85.0)</f>
        <v>85</v>
      </c>
      <c r="K164" s="22">
        <f>IFERROR(__xludf.DUMMYFUNCTION("""COMPUTED_VALUE"""),18.0)</f>
        <v>18</v>
      </c>
      <c r="L164" s="26" t="str">
        <f>IFERROR(__xludf.DUMMYFUNCTION("""COMPUTED_VALUE"""),"Shooter")</f>
        <v>Shooter</v>
      </c>
      <c r="M164" s="13" t="b">
        <f>NOT(ISNA(VLOOKUP(A164,PC!A:A,1,FALSE)))</f>
        <v>1</v>
      </c>
      <c r="N164" s="13" t="b">
        <f>NOT(ISNA(VLOOKUP(A164,'Game Pass Premium'!A:A,1,FALSE)))</f>
        <v>1</v>
      </c>
      <c r="O164" s="13" t="b">
        <f>NOT(ISNA(VLOOKUP(A164,'Game Pass Essential'!A:A,1,FALSE)))</f>
        <v>0</v>
      </c>
    </row>
    <row r="165">
      <c r="A165" s="12" t="str">
        <f>IFERROR(__xludf.DUMMYFUNCTION("""COMPUTED_VALUE"""),"Inscryption")</f>
        <v>Inscryption</v>
      </c>
      <c r="B165" s="13" t="str">
        <f>IFERROR(__xludf.DUMMYFUNCTION("""COMPUTED_VALUE"""),"Xbox / PC")</f>
        <v>Xbox / PC</v>
      </c>
      <c r="C165" s="14" t="str">
        <f>IFERROR(__xludf.DUMMYFUNCTION("""COMPUTED_VALUE"""),"Yes")</f>
        <v>Yes</v>
      </c>
      <c r="D165" s="14" t="str">
        <f>IFERROR(__xludf.DUMMYFUNCTION("""COMPUTED_VALUE"""),"Active")</f>
        <v>Active</v>
      </c>
      <c r="E165" s="15">
        <f>IFERROR(__xludf.DUMMYFUNCTION("""COMPUTED_VALUE"""),45575.0)</f>
        <v>45575</v>
      </c>
      <c r="F165" s="16"/>
      <c r="G165" s="18">
        <f>IFERROR(__xludf.DUMMYFUNCTION("""COMPUTED_VALUE"""),23.866666666666667)</f>
        <v>23.86666667</v>
      </c>
      <c r="H165" s="15">
        <f>IFERROR(__xludf.DUMMYFUNCTION("""COMPUTED_VALUE"""),44488.0)</f>
        <v>44488</v>
      </c>
      <c r="I165" s="18">
        <f>IFERROR(__xludf.DUMMYFUNCTION("""COMPUTED_VALUE"""),2.975)</f>
        <v>2.975</v>
      </c>
      <c r="J165" s="22">
        <f>IFERROR(__xludf.DUMMYFUNCTION("""COMPUTED_VALUE"""),85.0)</f>
        <v>85</v>
      </c>
      <c r="K165" s="22">
        <f>IFERROR(__xludf.DUMMYFUNCTION("""COMPUTED_VALUE"""),13.0)</f>
        <v>13</v>
      </c>
      <c r="L165" s="26" t="str">
        <f>IFERROR(__xludf.DUMMYFUNCTION("""COMPUTED_VALUE"""),"Card Battle")</f>
        <v>Card Battle</v>
      </c>
      <c r="M165" s="13" t="b">
        <f>NOT(ISNA(VLOOKUP(A165,PC!A:A,1,FALSE)))</f>
        <v>1</v>
      </c>
      <c r="N165" s="13" t="b">
        <f>NOT(ISNA(VLOOKUP(A165,'Game Pass Premium'!A:A,1,FALSE)))</f>
        <v>1</v>
      </c>
      <c r="O165" s="13" t="b">
        <f>NOT(ISNA(VLOOKUP(A165,'Game Pass Essential'!A:A,1,FALSE)))</f>
        <v>0</v>
      </c>
    </row>
    <row r="166">
      <c r="A166" s="12" t="str">
        <f>IFERROR(__xludf.DUMMYFUNCTION("""COMPUTED_VALUE"""),"Star Wars Jedi: Survivor")</f>
        <v>Star Wars Jedi: Survivor</v>
      </c>
      <c r="B166" s="13" t="str">
        <f>IFERROR(__xludf.DUMMYFUNCTION("""COMPUTED_VALUE"""),"Xbox / PC")</f>
        <v>Xbox / PC</v>
      </c>
      <c r="C166" s="14"/>
      <c r="D166" s="14" t="str">
        <f>IFERROR(__xludf.DUMMYFUNCTION("""COMPUTED_VALUE"""),"Active")</f>
        <v>Active</v>
      </c>
      <c r="E166" s="15">
        <f>IFERROR(__xludf.DUMMYFUNCTION("""COMPUTED_VALUE"""),45407.0)</f>
        <v>45407</v>
      </c>
      <c r="F166" s="16"/>
      <c r="G166" s="18">
        <f>IFERROR(__xludf.DUMMYFUNCTION("""COMPUTED_VALUE"""),29.366666666666667)</f>
        <v>29.36666667</v>
      </c>
      <c r="H166" s="15">
        <f>IFERROR(__xludf.DUMMYFUNCTION("""COMPUTED_VALUE"""),45044.0)</f>
        <v>45044</v>
      </c>
      <c r="I166" s="18">
        <f>IFERROR(__xludf.DUMMYFUNCTION("""COMPUTED_VALUE"""),0.9916666666666667)</f>
        <v>0.9916666667</v>
      </c>
      <c r="J166" s="22">
        <f>IFERROR(__xludf.DUMMYFUNCTION("""COMPUTED_VALUE"""),85.0)</f>
        <v>85</v>
      </c>
      <c r="K166" s="22">
        <f>IFERROR(__xludf.DUMMYFUNCTION("""COMPUTED_VALUE"""),20.0)</f>
        <v>20</v>
      </c>
      <c r="L166" s="26" t="str">
        <f>IFERROR(__xludf.DUMMYFUNCTION("""COMPUTED_VALUE"""),"Action-Adventure")</f>
        <v>Action-Adventure</v>
      </c>
      <c r="M166" s="13" t="b">
        <f>NOT(ISNA(VLOOKUP(A166,PC!A:A,1,FALSE)))</f>
        <v>1</v>
      </c>
      <c r="N166" s="13" t="b">
        <f>NOT(ISNA(VLOOKUP(A166,'Game Pass Premium'!A:A,1,FALSE)))</f>
        <v>1</v>
      </c>
      <c r="O166" s="13" t="b">
        <f>NOT(ISNA(VLOOKUP(A166,'Game Pass Essential'!A:A,1,FALSE)))</f>
        <v>0</v>
      </c>
    </row>
    <row r="167">
      <c r="A167" s="12" t="str">
        <f>IFERROR(__xludf.DUMMYFUNCTION("""COMPUTED_VALUE"""),"Control: Ultimate Edition")</f>
        <v>Control: Ultimate Edition</v>
      </c>
      <c r="B167" s="13" t="str">
        <f>IFERROR(__xludf.DUMMYFUNCTION("""COMPUTED_VALUE"""),"Xbox / PC")</f>
        <v>Xbox / PC</v>
      </c>
      <c r="C167" s="14" t="str">
        <f>IFERROR(__xludf.DUMMYFUNCTION("""COMPUTED_VALUE"""),"Yes")</f>
        <v>Yes</v>
      </c>
      <c r="D167" s="14" t="str">
        <f>IFERROR(__xludf.DUMMYFUNCTION("""COMPUTED_VALUE"""),"Active")</f>
        <v>Active</v>
      </c>
      <c r="E167" s="15">
        <f>IFERROR(__xludf.DUMMYFUNCTION("""COMPUTED_VALUE"""),45364.0)</f>
        <v>45364</v>
      </c>
      <c r="F167" s="16"/>
      <c r="G167" s="18">
        <f>IFERROR(__xludf.DUMMYFUNCTION("""COMPUTED_VALUE"""),30.76666666666667)</f>
        <v>30.76666667</v>
      </c>
      <c r="H167" s="15">
        <f>IFERROR(__xludf.DUMMYFUNCTION("""COMPUTED_VALUE"""),44229.0)</f>
        <v>44229</v>
      </c>
      <c r="I167" s="18">
        <f>IFERROR(__xludf.DUMMYFUNCTION("""COMPUTED_VALUE"""),3.113888888888889)</f>
        <v>3.113888889</v>
      </c>
      <c r="J167" s="22">
        <f>IFERROR(__xludf.DUMMYFUNCTION("""COMPUTED_VALUE"""),85.0)</f>
        <v>85</v>
      </c>
      <c r="K167" s="22">
        <f>IFERROR(__xludf.DUMMYFUNCTION("""COMPUTED_VALUE"""),13.0)</f>
        <v>13</v>
      </c>
      <c r="L167" s="26" t="str">
        <f>IFERROR(__xludf.DUMMYFUNCTION("""COMPUTED_VALUE"""),"Action")</f>
        <v>Action</v>
      </c>
      <c r="M167" s="13" t="b">
        <f>NOT(ISNA(VLOOKUP(A167,PC!A:A,1,FALSE)))</f>
        <v>1</v>
      </c>
      <c r="N167" s="13" t="b">
        <f>NOT(ISNA(VLOOKUP(A167,'Game Pass Premium'!A:A,1,FALSE)))</f>
        <v>1</v>
      </c>
      <c r="O167" s="13" t="b">
        <f>NOT(ISNA(VLOOKUP(A167,'Game Pass Essential'!A:A,1,FALSE)))</f>
        <v>0</v>
      </c>
    </row>
    <row r="168">
      <c r="A168" s="12" t="str">
        <f>IFERROR(__xludf.DUMMYFUNCTION("""COMPUTED_VALUE"""),"Forza Motorsport (2023)")</f>
        <v>Forza Motorsport (2023)</v>
      </c>
      <c r="B168" s="13" t="str">
        <f>IFERROR(__xludf.DUMMYFUNCTION("""COMPUTED_VALUE"""),"Xbox / PC")</f>
        <v>Xbox / PC</v>
      </c>
      <c r="C168" s="14" t="str">
        <f>IFERROR(__xludf.DUMMYFUNCTION("""COMPUTED_VALUE"""),"Yes")</f>
        <v>Yes</v>
      </c>
      <c r="D168" s="14" t="str">
        <f>IFERROR(__xludf.DUMMYFUNCTION("""COMPUTED_VALUE"""),"Active")</f>
        <v>Active</v>
      </c>
      <c r="E168" s="15">
        <f>IFERROR(__xludf.DUMMYFUNCTION("""COMPUTED_VALUE"""),45209.0)</f>
        <v>45209</v>
      </c>
      <c r="F168" s="16"/>
      <c r="G168" s="18">
        <f>IFERROR(__xludf.DUMMYFUNCTION("""COMPUTED_VALUE"""),35.86666666666667)</f>
        <v>35.86666667</v>
      </c>
      <c r="H168" s="15">
        <f>IFERROR(__xludf.DUMMYFUNCTION("""COMPUTED_VALUE"""),45209.0)</f>
        <v>45209</v>
      </c>
      <c r="I168" s="18">
        <f>IFERROR(__xludf.DUMMYFUNCTION("""COMPUTED_VALUE"""),0.0)</f>
        <v>0</v>
      </c>
      <c r="J168" s="22">
        <f>IFERROR(__xludf.DUMMYFUNCTION("""COMPUTED_VALUE"""),85.0)</f>
        <v>85</v>
      </c>
      <c r="K168" s="22">
        <f>IFERROR(__xludf.DUMMYFUNCTION("""COMPUTED_VALUE"""),8.0)</f>
        <v>8</v>
      </c>
      <c r="L168" s="26" t="str">
        <f>IFERROR(__xludf.DUMMYFUNCTION("""COMPUTED_VALUE"""),"Racing")</f>
        <v>Racing</v>
      </c>
      <c r="M168" s="13" t="b">
        <f>NOT(ISNA(VLOOKUP(A168,PC!A:A,1,FALSE)))</f>
        <v>1</v>
      </c>
      <c r="N168" s="13" t="b">
        <f>NOT(ISNA(VLOOKUP(A168,'Game Pass Premium'!A:A,1,FALSE)))</f>
        <v>1</v>
      </c>
      <c r="O168" s="13" t="b">
        <f>NOT(ISNA(VLOOKUP(A168,'Game Pass Essential'!A:A,1,FALSE)))</f>
        <v>0</v>
      </c>
    </row>
    <row r="169">
      <c r="A169" s="12" t="str">
        <f>IFERROR(__xludf.DUMMYFUNCTION("""COMPUTED_VALUE"""),"Limbo")</f>
        <v>Limbo</v>
      </c>
      <c r="B169" s="13" t="str">
        <f>IFERROR(__xludf.DUMMYFUNCTION("""COMPUTED_VALUE"""),"Xbox / PC")</f>
        <v>Xbox / PC</v>
      </c>
      <c r="C169" s="14" t="str">
        <f>IFERROR(__xludf.DUMMYFUNCTION("""COMPUTED_VALUE"""),"Yes")</f>
        <v>Yes</v>
      </c>
      <c r="D169" s="14" t="str">
        <f>IFERROR(__xludf.DUMMYFUNCTION("""COMPUTED_VALUE"""),"Active")</f>
        <v>Active</v>
      </c>
      <c r="E169" s="15">
        <f>IFERROR(__xludf.DUMMYFUNCTION("""COMPUTED_VALUE"""),45147.0)</f>
        <v>45147</v>
      </c>
      <c r="F169" s="16"/>
      <c r="G169" s="18">
        <f>IFERROR(__xludf.DUMMYFUNCTION("""COMPUTED_VALUE"""),37.9)</f>
        <v>37.9</v>
      </c>
      <c r="H169" s="15">
        <f>IFERROR(__xludf.DUMMYFUNCTION("""COMPUTED_VALUE"""),40380.0)</f>
        <v>40380</v>
      </c>
      <c r="I169" s="18">
        <f>IFERROR(__xludf.DUMMYFUNCTION("""COMPUTED_VALUE"""),13.05)</f>
        <v>13.05</v>
      </c>
      <c r="J169" s="22">
        <f>IFERROR(__xludf.DUMMYFUNCTION("""COMPUTED_VALUE"""),85.0)</f>
        <v>85</v>
      </c>
      <c r="K169" s="22">
        <f>IFERROR(__xludf.DUMMYFUNCTION("""COMPUTED_VALUE"""),3.5)</f>
        <v>3.5</v>
      </c>
      <c r="L169" s="26" t="str">
        <f>IFERROR(__xludf.DUMMYFUNCTION("""COMPUTED_VALUE"""),"Platformer")</f>
        <v>Platformer</v>
      </c>
      <c r="M169" s="13" t="b">
        <f>NOT(ISNA(VLOOKUP(A169,PC!A:A,1,FALSE)))</f>
        <v>1</v>
      </c>
      <c r="N169" s="13" t="b">
        <f>NOT(ISNA(VLOOKUP(A169,'Game Pass Premium'!A:A,1,FALSE)))</f>
        <v>1</v>
      </c>
      <c r="O169" s="13" t="b">
        <f>NOT(ISNA(VLOOKUP(A169,'Game Pass Essential'!A:A,1,FALSE)))</f>
        <v>1</v>
      </c>
    </row>
    <row r="170">
      <c r="A170" s="12" t="str">
        <f>IFERROR(__xludf.DUMMYFUNCTION("""COMPUTED_VALUE"""),"Wolfenstein 3D")</f>
        <v>Wolfenstein 3D</v>
      </c>
      <c r="B170" s="13" t="str">
        <f>IFERROR(__xludf.DUMMYFUNCTION("""COMPUTED_VALUE"""),"Xbox / PC")</f>
        <v>Xbox / PC</v>
      </c>
      <c r="C170" s="14" t="str">
        <f>IFERROR(__xludf.DUMMYFUNCTION("""COMPUTED_VALUE"""),"Yes")</f>
        <v>Yes</v>
      </c>
      <c r="D170" s="14" t="str">
        <f>IFERROR(__xludf.DUMMYFUNCTION("""COMPUTED_VALUE"""),"Active")</f>
        <v>Active</v>
      </c>
      <c r="E170" s="15">
        <f>IFERROR(__xludf.DUMMYFUNCTION("""COMPUTED_VALUE"""),44791.0)</f>
        <v>44791</v>
      </c>
      <c r="F170" s="16"/>
      <c r="G170" s="18">
        <f>IFERROR(__xludf.DUMMYFUNCTION("""COMPUTED_VALUE"""),49.60000000000001)</f>
        <v>49.6</v>
      </c>
      <c r="H170" s="15">
        <f>IFERROR(__xludf.DUMMYFUNCTION("""COMPUTED_VALUE"""),33729.0)</f>
        <v>33729</v>
      </c>
      <c r="I170" s="18">
        <f>IFERROR(__xludf.DUMMYFUNCTION("""COMPUTED_VALUE"""),30.28611111111111)</f>
        <v>30.28611111</v>
      </c>
      <c r="J170" s="22">
        <f>IFERROR(__xludf.DUMMYFUNCTION("""COMPUTED_VALUE"""),85.0)</f>
        <v>85</v>
      </c>
      <c r="K170" s="22">
        <f>IFERROR(__xludf.DUMMYFUNCTION("""COMPUTED_VALUE"""),6.5)</f>
        <v>6.5</v>
      </c>
      <c r="L170" s="26" t="str">
        <f>IFERROR(__xludf.DUMMYFUNCTION("""COMPUTED_VALUE"""),"Shooter")</f>
        <v>Shooter</v>
      </c>
      <c r="M170" s="13" t="b">
        <f>NOT(ISNA(VLOOKUP(A170,PC!A:A,1,FALSE)))</f>
        <v>1</v>
      </c>
      <c r="N170" s="13" t="b">
        <f>NOT(ISNA(VLOOKUP(A170,'Game Pass Premium'!A:A,1,FALSE)))</f>
        <v>1</v>
      </c>
      <c r="O170" s="13" t="b">
        <f>NOT(ISNA(VLOOKUP(A170,'Game Pass Essential'!A:A,1,FALSE)))</f>
        <v>0</v>
      </c>
    </row>
    <row r="171">
      <c r="A171" s="12" t="str">
        <f>IFERROR(__xludf.DUMMYFUNCTION("""COMPUTED_VALUE"""),"Roboquest (2020)")</f>
        <v>Roboquest (2020)</v>
      </c>
      <c r="B171" s="13" t="str">
        <f>IFERROR(__xludf.DUMMYFUNCTION("""COMPUTED_VALUE"""),"Xbox / PC")</f>
        <v>Xbox / PC</v>
      </c>
      <c r="C171" s="14"/>
      <c r="D171" s="14" t="str">
        <f>IFERROR(__xludf.DUMMYFUNCTION("""COMPUTED_VALUE"""),"Active")</f>
        <v>Active</v>
      </c>
      <c r="E171" s="15">
        <f>IFERROR(__xludf.DUMMYFUNCTION("""COMPUTED_VALUE"""),44614.0)</f>
        <v>44614</v>
      </c>
      <c r="F171" s="16"/>
      <c r="G171" s="18">
        <f>IFERROR(__xludf.DUMMYFUNCTION("""COMPUTED_VALUE"""),55.46666666666666)</f>
        <v>55.46666667</v>
      </c>
      <c r="H171" s="15">
        <f>IFERROR(__xludf.DUMMYFUNCTION("""COMPUTED_VALUE"""),44063.0)</f>
        <v>44063</v>
      </c>
      <c r="I171" s="18">
        <f>IFERROR(__xludf.DUMMYFUNCTION("""COMPUTED_VALUE"""),1.5055555555555555)</f>
        <v>1.505555556</v>
      </c>
      <c r="J171" s="22">
        <f>IFERROR(__xludf.DUMMYFUNCTION("""COMPUTED_VALUE"""),85.0)</f>
        <v>85</v>
      </c>
      <c r="K171" s="22">
        <f>IFERROR(__xludf.DUMMYFUNCTION("""COMPUTED_VALUE"""),6.0)</f>
        <v>6</v>
      </c>
      <c r="L171" s="26" t="str">
        <f>IFERROR(__xludf.DUMMYFUNCTION("""COMPUTED_VALUE"""),"Shooter")</f>
        <v>Shooter</v>
      </c>
      <c r="M171" s="13" t="b">
        <f>NOT(ISNA(VLOOKUP(A171,PC!A:A,1,FALSE)))</f>
        <v>1</v>
      </c>
      <c r="N171" s="13" t="b">
        <f>NOT(ISNA(VLOOKUP(A171,'Game Pass Premium'!A:A,1,FALSE)))</f>
        <v>1</v>
      </c>
      <c r="O171" s="13" t="b">
        <f>NOT(ISNA(VLOOKUP(A171,'Game Pass Essential'!A:A,1,FALSE)))</f>
        <v>0</v>
      </c>
    </row>
    <row r="172">
      <c r="A172" s="12" t="str">
        <f>IFERROR(__xludf.DUMMYFUNCTION("""COMPUTED_VALUE"""),"Among Us")</f>
        <v>Among Us</v>
      </c>
      <c r="B172" s="13" t="str">
        <f>IFERROR(__xludf.DUMMYFUNCTION("""COMPUTED_VALUE"""),"Xbox / PC")</f>
        <v>Xbox / PC</v>
      </c>
      <c r="C172" s="14" t="str">
        <f>IFERROR(__xludf.DUMMYFUNCTION("""COMPUTED_VALUE"""),"Touch Controls")</f>
        <v>Touch Controls</v>
      </c>
      <c r="D172" s="14" t="str">
        <f>IFERROR(__xludf.DUMMYFUNCTION("""COMPUTED_VALUE"""),"Active")</f>
        <v>Active</v>
      </c>
      <c r="E172" s="15">
        <f>IFERROR(__xludf.DUMMYFUNCTION("""COMPUTED_VALUE"""),44182.0)</f>
        <v>44182</v>
      </c>
      <c r="F172" s="16"/>
      <c r="G172" s="18">
        <f>IFERROR(__xludf.DUMMYFUNCTION("""COMPUTED_VALUE"""),69.63333333333334)</f>
        <v>69.63333333</v>
      </c>
      <c r="H172" s="15">
        <f>IFERROR(__xludf.DUMMYFUNCTION("""COMPUTED_VALUE"""),43267.0)</f>
        <v>43267</v>
      </c>
      <c r="I172" s="18">
        <f>IFERROR(__xludf.DUMMYFUNCTION("""COMPUTED_VALUE"""),2.5027777777777778)</f>
        <v>2.502777778</v>
      </c>
      <c r="J172" s="22">
        <f>IFERROR(__xludf.DUMMYFUNCTION("""COMPUTED_VALUE"""),85.0)</f>
        <v>85</v>
      </c>
      <c r="K172" s="22">
        <f>IFERROR(__xludf.DUMMYFUNCTION("""COMPUTED_VALUE"""),14.0)</f>
        <v>14</v>
      </c>
      <c r="L172" s="26" t="str">
        <f>IFERROR(__xludf.DUMMYFUNCTION("""COMPUTED_VALUE"""),"Strategy")</f>
        <v>Strategy</v>
      </c>
      <c r="M172" s="13" t="b">
        <f>NOT(ISNA(VLOOKUP(A172,PC!A:A,1,FALSE)))</f>
        <v>1</v>
      </c>
      <c r="N172" s="13" t="b">
        <f>NOT(ISNA(VLOOKUP(A172,'Game Pass Premium'!A:A,1,FALSE)))</f>
        <v>1</v>
      </c>
      <c r="O172" s="13" t="b">
        <f>NOT(ISNA(VLOOKUP(A172,'Game Pass Essential'!A:A,1,FALSE)))</f>
        <v>1</v>
      </c>
    </row>
    <row r="173">
      <c r="A173" s="12" t="str">
        <f>IFERROR(__xludf.DUMMYFUNCTION("""COMPUTED_VALUE"""),"The Outer Worlds")</f>
        <v>The Outer Worlds</v>
      </c>
      <c r="B173" s="13" t="str">
        <f>IFERROR(__xludf.DUMMYFUNCTION("""COMPUTED_VALUE"""),"Xbox / PC")</f>
        <v>Xbox / PC</v>
      </c>
      <c r="C173" s="14" t="str">
        <f>IFERROR(__xludf.DUMMYFUNCTION("""COMPUTED_VALUE"""),"Yes")</f>
        <v>Yes</v>
      </c>
      <c r="D173" s="14" t="str">
        <f>IFERROR(__xludf.DUMMYFUNCTION("""COMPUTED_VALUE"""),"Active")</f>
        <v>Active</v>
      </c>
      <c r="E173" s="15">
        <f>IFERROR(__xludf.DUMMYFUNCTION("""COMPUTED_VALUE"""),43763.0)</f>
        <v>43763</v>
      </c>
      <c r="F173" s="16"/>
      <c r="G173" s="18">
        <f>IFERROR(__xludf.DUMMYFUNCTION("""COMPUTED_VALUE"""),83.36666666666666)</f>
        <v>83.36666667</v>
      </c>
      <c r="H173" s="15">
        <f>IFERROR(__xludf.DUMMYFUNCTION("""COMPUTED_VALUE"""),43763.0)</f>
        <v>43763</v>
      </c>
      <c r="I173" s="18">
        <f>IFERROR(__xludf.DUMMYFUNCTION("""COMPUTED_VALUE"""),0.0)</f>
        <v>0</v>
      </c>
      <c r="J173" s="22">
        <f>IFERROR(__xludf.DUMMYFUNCTION("""COMPUTED_VALUE"""),85.0)</f>
        <v>85</v>
      </c>
      <c r="K173" s="22">
        <f>IFERROR(__xludf.DUMMYFUNCTION("""COMPUTED_VALUE"""),12.0)</f>
        <v>12</v>
      </c>
      <c r="L173" s="26" t="str">
        <f>IFERROR(__xludf.DUMMYFUNCTION("""COMPUTED_VALUE"""),"Shooter")</f>
        <v>Shooter</v>
      </c>
      <c r="M173" s="13" t="b">
        <f>NOT(ISNA(VLOOKUP(A173,PC!A:A,1,FALSE)))</f>
        <v>1</v>
      </c>
      <c r="N173" s="13" t="b">
        <f>NOT(ISNA(VLOOKUP(A173,'Game Pass Premium'!A:A,1,FALSE)))</f>
        <v>1</v>
      </c>
      <c r="O173" s="13" t="b">
        <f>NOT(ISNA(VLOOKUP(A173,'Game Pass Essential'!A:A,1,FALSE)))</f>
        <v>0</v>
      </c>
    </row>
    <row r="174">
      <c r="A174" s="12" t="str">
        <f>IFERROR(__xludf.DUMMYFUNCTION("""COMPUTED_VALUE"""),"Killer Instinct Classic")</f>
        <v>Killer Instinct Classic</v>
      </c>
      <c r="B174" s="13" t="str">
        <f>IFERROR(__xludf.DUMMYFUNCTION("""COMPUTED_VALUE"""),"Xbox")</f>
        <v>Xbox</v>
      </c>
      <c r="C174" s="14"/>
      <c r="D174" s="14" t="str">
        <f>IFERROR(__xludf.DUMMYFUNCTION("""COMPUTED_VALUE"""),"Active")</f>
        <v>Active</v>
      </c>
      <c r="E174" s="15">
        <f>IFERROR(__xludf.DUMMYFUNCTION("""COMPUTED_VALUE"""),43671.0)</f>
        <v>43671</v>
      </c>
      <c r="F174" s="16"/>
      <c r="G174" s="18">
        <f>IFERROR(__xludf.DUMMYFUNCTION("""COMPUTED_VALUE"""),86.36666666666666)</f>
        <v>86.36666667</v>
      </c>
      <c r="H174" s="15">
        <f>IFERROR(__xludf.DUMMYFUNCTION("""COMPUTED_VALUE"""),34635.0)</f>
        <v>34635</v>
      </c>
      <c r="I174" s="18">
        <f>IFERROR(__xludf.DUMMYFUNCTION("""COMPUTED_VALUE"""),24.741666666666667)</f>
        <v>24.74166667</v>
      </c>
      <c r="J174" s="22">
        <f>IFERROR(__xludf.DUMMYFUNCTION("""COMPUTED_VALUE"""),85.0)</f>
        <v>85</v>
      </c>
      <c r="K174" s="22">
        <f>IFERROR(__xludf.DUMMYFUNCTION("""COMPUTED_VALUE"""),1.0)</f>
        <v>1</v>
      </c>
      <c r="L174" s="26" t="str">
        <f>IFERROR(__xludf.DUMMYFUNCTION("""COMPUTED_VALUE"""),"Fighting")</f>
        <v>Fighting</v>
      </c>
      <c r="M174" s="13" t="b">
        <f>NOT(ISNA(VLOOKUP(A174,PC!A:A,1,FALSE)))</f>
        <v>0</v>
      </c>
      <c r="N174" s="13" t="b">
        <f>NOT(ISNA(VLOOKUP(A174,'Game Pass Premium'!A:A,1,FALSE)))</f>
        <v>1</v>
      </c>
      <c r="O174" s="13" t="b">
        <f>NOT(ISNA(VLOOKUP(A174,'Game Pass Essential'!A:A,1,FALSE)))</f>
        <v>0</v>
      </c>
    </row>
    <row r="175">
      <c r="A175" s="12" t="str">
        <f>IFERROR(__xludf.DUMMYFUNCTION("""COMPUTED_VALUE"""),"Batman: Arkham Knight")</f>
        <v>Batman: Arkham Knight</v>
      </c>
      <c r="B175" s="13" t="str">
        <f>IFERROR(__xludf.DUMMYFUNCTION("""COMPUTED_VALUE"""),"Xbox / PC")</f>
        <v>Xbox / PC</v>
      </c>
      <c r="C175" s="14" t="str">
        <f>IFERROR(__xludf.DUMMYFUNCTION("""COMPUTED_VALUE"""),"Yes")</f>
        <v>Yes</v>
      </c>
      <c r="D175" s="14" t="str">
        <f>IFERROR(__xludf.DUMMYFUNCTION("""COMPUTED_VALUE"""),"Active")</f>
        <v>Active</v>
      </c>
      <c r="E175" s="15">
        <f>IFERROR(__xludf.DUMMYFUNCTION("""COMPUTED_VALUE"""),43625.0)</f>
        <v>43625</v>
      </c>
      <c r="F175" s="16"/>
      <c r="G175" s="18">
        <f>IFERROR(__xludf.DUMMYFUNCTION("""COMPUTED_VALUE"""),87.9)</f>
        <v>87.9</v>
      </c>
      <c r="H175" s="15">
        <f>IFERROR(__xludf.DUMMYFUNCTION("""COMPUTED_VALUE"""),42178.0)</f>
        <v>42178</v>
      </c>
      <c r="I175" s="18">
        <f>IFERROR(__xludf.DUMMYFUNCTION("""COMPUTED_VALUE"""),3.9611111111111112)</f>
        <v>3.961111111</v>
      </c>
      <c r="J175" s="22">
        <f>IFERROR(__xludf.DUMMYFUNCTION("""COMPUTED_VALUE"""),85.0)</f>
        <v>85</v>
      </c>
      <c r="K175" s="22">
        <f>IFERROR(__xludf.DUMMYFUNCTION("""COMPUTED_VALUE"""),16.5)</f>
        <v>16.5</v>
      </c>
      <c r="L175" s="26" t="str">
        <f>IFERROR(__xludf.DUMMYFUNCTION("""COMPUTED_VALUE"""),"Action-Adventure")</f>
        <v>Action-Adventure</v>
      </c>
      <c r="M175" s="13" t="b">
        <f>NOT(ISNA(VLOOKUP(A175,PC!A:A,1,FALSE)))</f>
        <v>1</v>
      </c>
      <c r="N175" s="13" t="b">
        <f>NOT(ISNA(VLOOKUP(A175,'Game Pass Premium'!A:A,1,FALSE)))</f>
        <v>1</v>
      </c>
      <c r="O175" s="13" t="b">
        <f>NOT(ISNA(VLOOKUP(A175,'Game Pass Essential'!A:A,1,FALSE)))</f>
        <v>1</v>
      </c>
    </row>
    <row r="176">
      <c r="A176" s="12" t="str">
        <f>IFERROR(__xludf.DUMMYFUNCTION("""COMPUTED_VALUE"""),"Halo: The Master Chief Collection")</f>
        <v>Halo: The Master Chief Collection</v>
      </c>
      <c r="B176" s="13" t="str">
        <f>IFERROR(__xludf.DUMMYFUNCTION("""COMPUTED_VALUE"""),"Xbox / PC")</f>
        <v>Xbox / PC</v>
      </c>
      <c r="C176" s="14" t="str">
        <f>IFERROR(__xludf.DUMMYFUNCTION("""COMPUTED_VALUE"""),"Yes")</f>
        <v>Yes</v>
      </c>
      <c r="D176" s="14" t="str">
        <f>IFERROR(__xludf.DUMMYFUNCTION("""COMPUTED_VALUE"""),"Active")</f>
        <v>Active</v>
      </c>
      <c r="E176" s="15">
        <f>IFERROR(__xludf.DUMMYFUNCTION("""COMPUTED_VALUE"""),43344.0)</f>
        <v>43344</v>
      </c>
      <c r="F176" s="16"/>
      <c r="G176" s="18">
        <f>IFERROR(__xludf.DUMMYFUNCTION("""COMPUTED_VALUE"""),97.16666666666666)</f>
        <v>97.16666667</v>
      </c>
      <c r="H176" s="15">
        <f>IFERROR(__xludf.DUMMYFUNCTION("""COMPUTED_VALUE"""),41954.0)</f>
        <v>41954</v>
      </c>
      <c r="I176" s="18">
        <f>IFERROR(__xludf.DUMMYFUNCTION("""COMPUTED_VALUE"""),3.8055555555555554)</f>
        <v>3.805555556</v>
      </c>
      <c r="J176" s="22">
        <f>IFERROR(__xludf.DUMMYFUNCTION("""COMPUTED_VALUE"""),85.0)</f>
        <v>85</v>
      </c>
      <c r="K176" s="22">
        <f>IFERROR(__xludf.DUMMYFUNCTION("""COMPUTED_VALUE"""),52.5)</f>
        <v>52.5</v>
      </c>
      <c r="L176" s="26" t="str">
        <f>IFERROR(__xludf.DUMMYFUNCTION("""COMPUTED_VALUE"""),"Shooter")</f>
        <v>Shooter</v>
      </c>
      <c r="M176" s="13" t="b">
        <f>NOT(ISNA(VLOOKUP(A176,PC!A:A,1,FALSE)))</f>
        <v>1</v>
      </c>
      <c r="N176" s="13" t="b">
        <f>NOT(ISNA(VLOOKUP(A176,'Game Pass Premium'!A:A,1,FALSE)))</f>
        <v>1</v>
      </c>
      <c r="O176" s="13" t="b">
        <f>NOT(ISNA(VLOOKUP(A176,'Game Pass Essential'!A:A,1,FALSE)))</f>
        <v>0</v>
      </c>
    </row>
    <row r="177">
      <c r="A177" s="12" t="str">
        <f>IFERROR(__xludf.DUMMYFUNCTION("""COMPUTED_VALUE"""),"A Plague Tale: Requiem")</f>
        <v>A Plague Tale: Requiem</v>
      </c>
      <c r="B177" s="13" t="str">
        <f>IFERROR(__xludf.DUMMYFUNCTION("""COMPUTED_VALUE"""),"Xbox / PC")</f>
        <v>Xbox / PC</v>
      </c>
      <c r="C177" s="14" t="str">
        <f>IFERROR(__xludf.DUMMYFUNCTION("""COMPUTED_VALUE"""),"Yes")</f>
        <v>Yes</v>
      </c>
      <c r="D177" s="14" t="str">
        <f>IFERROR(__xludf.DUMMYFUNCTION("""COMPUTED_VALUE"""),"Leaving Soon")</f>
        <v>Leaving Soon</v>
      </c>
      <c r="E177" s="15">
        <f>IFERROR(__xludf.DUMMYFUNCTION("""COMPUTED_VALUE"""),44852.0)</f>
        <v>44852</v>
      </c>
      <c r="F177" s="16">
        <f>IFERROR(__xludf.DUMMYFUNCTION("""COMPUTED_VALUE"""),46310.0)</f>
        <v>46310</v>
      </c>
      <c r="G177" s="18">
        <f>IFERROR(__xludf.DUMMYFUNCTION("""COMPUTED_VALUE"""),47.9)</f>
        <v>47.9</v>
      </c>
      <c r="H177" s="15">
        <f>IFERROR(__xludf.DUMMYFUNCTION("""COMPUTED_VALUE"""),44852.0)</f>
        <v>44852</v>
      </c>
      <c r="I177" s="18">
        <f>IFERROR(__xludf.DUMMYFUNCTION("""COMPUTED_VALUE"""),0.0)</f>
        <v>0</v>
      </c>
      <c r="J177" s="22">
        <f>IFERROR(__xludf.DUMMYFUNCTION("""COMPUTED_VALUE"""),85.0)</f>
        <v>85</v>
      </c>
      <c r="K177" s="22">
        <f>IFERROR(__xludf.DUMMYFUNCTION("""COMPUTED_VALUE"""),15.0)</f>
        <v>15</v>
      </c>
      <c r="L177" s="26" t="str">
        <f>IFERROR(__xludf.DUMMYFUNCTION("""COMPUTED_VALUE"""),"Action-Adventure")</f>
        <v>Action-Adventure</v>
      </c>
      <c r="M177" s="13" t="b">
        <f>NOT(ISNA(VLOOKUP(A177,PC!A:A,1,FALSE)))</f>
        <v>1</v>
      </c>
      <c r="N177" s="13" t="b">
        <f>NOT(ISNA(VLOOKUP(A177,'Game Pass Premium'!A:A,1,FALSE)))</f>
        <v>1</v>
      </c>
      <c r="O177" s="13" t="b">
        <f>NOT(ISNA(VLOOKUP(A177,'Game Pass Essential'!A:A,1,FALSE)))</f>
        <v>0</v>
      </c>
    </row>
    <row r="178">
      <c r="A178" s="12" t="str">
        <f>IFERROR(__xludf.DUMMYFUNCTION("""COMPUTED_VALUE"""),"Resident Evil Code: Veronica X")</f>
        <v>Resident Evil Code: Veronica X</v>
      </c>
      <c r="B178" s="13" t="str">
        <f>IFERROR(__xludf.DUMMYFUNCTION("""COMPUTED_VALUE"""),"XB360/OG Xbox")</f>
        <v>XB360/OG Xbox</v>
      </c>
      <c r="C178" s="14"/>
      <c r="D178" s="14" t="str">
        <f>IFERROR(__xludf.DUMMYFUNCTION("""COMPUTED_VALUE"""),"GwG Permanent")</f>
        <v>GwG Permanent</v>
      </c>
      <c r="E178" s="15">
        <f>IFERROR(__xludf.DUMMYFUNCTION("""COMPUTED_VALUE"""),44485.0)</f>
        <v>44485</v>
      </c>
      <c r="F178" s="16">
        <f>IFERROR(__xludf.DUMMYFUNCTION("""COMPUTED_VALUE"""),44500.0)</f>
        <v>44500</v>
      </c>
      <c r="G178" s="18">
        <f>IFERROR(__xludf.DUMMYFUNCTION("""COMPUTED_VALUE"""),0.4666666666666667)</f>
        <v>0.4666666667</v>
      </c>
      <c r="H178" s="15">
        <f>IFERROR(__xludf.DUMMYFUNCTION("""COMPUTED_VALUE"""),37327.0)</f>
        <v>37327</v>
      </c>
      <c r="I178" s="18">
        <f>IFERROR(__xludf.DUMMYFUNCTION("""COMPUTED_VALUE"""),19.594444444444445)</f>
        <v>19.59444444</v>
      </c>
      <c r="J178" s="22">
        <f>IFERROR(__xludf.DUMMYFUNCTION("""COMPUTED_VALUE"""),85.0)</f>
        <v>85</v>
      </c>
      <c r="K178" s="22">
        <f>IFERROR(__xludf.DUMMYFUNCTION("""COMPUTED_VALUE"""),11.5)</f>
        <v>11.5</v>
      </c>
      <c r="L178" s="26" t="str">
        <f>IFERROR(__xludf.DUMMYFUNCTION("""COMPUTED_VALUE"""),"Survival")</f>
        <v>Survival</v>
      </c>
      <c r="M178" s="13" t="b">
        <f>NOT(ISNA(VLOOKUP(A178,PC!A:A,1,FALSE)))</f>
        <v>0</v>
      </c>
      <c r="N178" s="13" t="b">
        <f>NOT(ISNA(VLOOKUP(A178,'Game Pass Premium'!A:A,1,FALSE)))</f>
        <v>0</v>
      </c>
      <c r="O178" s="13" t="b">
        <f>NOT(ISNA(VLOOKUP(A178,'Game Pass Essential'!A:A,1,FALSE)))</f>
        <v>0</v>
      </c>
    </row>
    <row r="179">
      <c r="A179" s="12" t="str">
        <f>IFERROR(__xludf.DUMMYFUNCTION("""COMPUTED_VALUE"""),"Metal Gear Rising: Revengeance")</f>
        <v>Metal Gear Rising: Revengeance</v>
      </c>
      <c r="B179" s="13" t="str">
        <f>IFERROR(__xludf.DUMMYFUNCTION("""COMPUTED_VALUE"""),"XB360/OG Xbox")</f>
        <v>XB360/OG Xbox</v>
      </c>
      <c r="C179" s="14"/>
      <c r="D179" s="14" t="str">
        <f>IFERROR(__xludf.DUMMYFUNCTION("""COMPUTED_VALUE"""),"GwG Permanent")</f>
        <v>GwG Permanent</v>
      </c>
      <c r="E179" s="15">
        <f>IFERROR(__xludf.DUMMYFUNCTION("""COMPUTED_VALUE"""),43540.0)</f>
        <v>43540</v>
      </c>
      <c r="F179" s="16">
        <f>IFERROR(__xludf.DUMMYFUNCTION("""COMPUTED_VALUE"""),43555.0)</f>
        <v>43555</v>
      </c>
      <c r="G179" s="18">
        <f>IFERROR(__xludf.DUMMYFUNCTION("""COMPUTED_VALUE"""),0.4666666666666667)</f>
        <v>0.4666666667</v>
      </c>
      <c r="H179" s="15">
        <f>IFERROR(__xludf.DUMMYFUNCTION("""COMPUTED_VALUE"""),41324.0)</f>
        <v>41324</v>
      </c>
      <c r="I179" s="18">
        <f>IFERROR(__xludf.DUMMYFUNCTION("""COMPUTED_VALUE"""),6.075)</f>
        <v>6.075</v>
      </c>
      <c r="J179" s="22">
        <f>IFERROR(__xludf.DUMMYFUNCTION("""COMPUTED_VALUE"""),85.0)</f>
        <v>85</v>
      </c>
      <c r="K179" s="22">
        <f>IFERROR(__xludf.DUMMYFUNCTION("""COMPUTED_VALUE"""),5.0)</f>
        <v>5</v>
      </c>
      <c r="L179" s="26" t="str">
        <f>IFERROR(__xludf.DUMMYFUNCTION("""COMPUTED_VALUE"""),"Action-Adventure")</f>
        <v>Action-Adventure</v>
      </c>
      <c r="M179" s="13" t="b">
        <f>NOT(ISNA(VLOOKUP(A179,PC!A:A,1,FALSE)))</f>
        <v>0</v>
      </c>
      <c r="N179" s="13" t="b">
        <f>NOT(ISNA(VLOOKUP(A179,'Game Pass Premium'!A:A,1,FALSE)))</f>
        <v>0</v>
      </c>
      <c r="O179" s="13" t="b">
        <f>NOT(ISNA(VLOOKUP(A179,'Game Pass Essential'!A:A,1,FALSE)))</f>
        <v>0</v>
      </c>
    </row>
    <row r="180">
      <c r="A180" s="12" t="str">
        <f>IFERROR(__xludf.DUMMYFUNCTION("""COMPUTED_VALUE"""),"Assassin's Creed III")</f>
        <v>Assassin's Creed III</v>
      </c>
      <c r="B180" s="13" t="str">
        <f>IFERROR(__xludf.DUMMYFUNCTION("""COMPUTED_VALUE"""),"XB360/OG Xbox")</f>
        <v>XB360/OG Xbox</v>
      </c>
      <c r="C180" s="14"/>
      <c r="D180" s="14" t="str">
        <f>IFERROR(__xludf.DUMMYFUNCTION("""COMPUTED_VALUE"""),"GwG Permanent")</f>
        <v>GwG Permanent</v>
      </c>
      <c r="E180" s="15">
        <f>IFERROR(__xludf.DUMMYFUNCTION("""COMPUTED_VALUE"""),42887.0)</f>
        <v>42887</v>
      </c>
      <c r="F180" s="16">
        <f>IFERROR(__xludf.DUMMYFUNCTION("""COMPUTED_VALUE"""),42901.0)</f>
        <v>42901</v>
      </c>
      <c r="G180" s="18">
        <f>IFERROR(__xludf.DUMMYFUNCTION("""COMPUTED_VALUE"""),0.4666666666666667)</f>
        <v>0.4666666667</v>
      </c>
      <c r="H180" s="15">
        <f>IFERROR(__xludf.DUMMYFUNCTION("""COMPUTED_VALUE"""),41235.0)</f>
        <v>41235</v>
      </c>
      <c r="I180" s="18">
        <f>IFERROR(__xludf.DUMMYFUNCTION("""COMPUTED_VALUE"""),4.525)</f>
        <v>4.525</v>
      </c>
      <c r="J180" s="22">
        <f>IFERROR(__xludf.DUMMYFUNCTION("""COMPUTED_VALUE"""),85.0)</f>
        <v>85</v>
      </c>
      <c r="K180" s="22">
        <f>IFERROR(__xludf.DUMMYFUNCTION("""COMPUTED_VALUE"""),19.0)</f>
        <v>19</v>
      </c>
      <c r="L180" s="26" t="str">
        <f>IFERROR(__xludf.DUMMYFUNCTION("""COMPUTED_VALUE"""),"Action-Adventure")</f>
        <v>Action-Adventure</v>
      </c>
      <c r="M180" s="13" t="b">
        <f>NOT(ISNA(VLOOKUP(A180,PC!A:A,1,FALSE)))</f>
        <v>0</v>
      </c>
      <c r="N180" s="13" t="b">
        <f>NOT(ISNA(VLOOKUP(A180,'Game Pass Premium'!A:A,1,FALSE)))</f>
        <v>0</v>
      </c>
      <c r="O180" s="13" t="b">
        <f>NOT(ISNA(VLOOKUP(A180,'Game Pass Essential'!A:A,1,FALSE)))</f>
        <v>0</v>
      </c>
    </row>
    <row r="181">
      <c r="A181" s="12" t="str">
        <f>IFERROR(__xludf.DUMMYFUNCTION("""COMPUTED_VALUE"""),"Darksiders")</f>
        <v>Darksiders</v>
      </c>
      <c r="B181" s="13" t="str">
        <f>IFERROR(__xludf.DUMMYFUNCTION("""COMPUTED_VALUE"""),"XB360/OG Xbox")</f>
        <v>XB360/OG Xbox</v>
      </c>
      <c r="C181" s="14"/>
      <c r="D181" s="14" t="str">
        <f>IFERROR(__xludf.DUMMYFUNCTION("""COMPUTED_VALUE"""),"GwG Permanent")</f>
        <v>GwG Permanent</v>
      </c>
      <c r="E181" s="15">
        <f>IFERROR(__xludf.DUMMYFUNCTION("""COMPUTED_VALUE"""),42826.0)</f>
        <v>42826</v>
      </c>
      <c r="F181" s="16">
        <f>IFERROR(__xludf.DUMMYFUNCTION("""COMPUTED_VALUE"""),42840.0)</f>
        <v>42840</v>
      </c>
      <c r="G181" s="18">
        <f>IFERROR(__xludf.DUMMYFUNCTION("""COMPUTED_VALUE"""),0.4666666666666667)</f>
        <v>0.4666666667</v>
      </c>
      <c r="H181" s="15">
        <f>IFERROR(__xludf.DUMMYFUNCTION("""COMPUTED_VALUE"""),40183.0)</f>
        <v>40183</v>
      </c>
      <c r="I181" s="18">
        <f>IFERROR(__xludf.DUMMYFUNCTION("""COMPUTED_VALUE"""),7.238888888888889)</f>
        <v>7.238888889</v>
      </c>
      <c r="J181" s="22">
        <f>IFERROR(__xludf.DUMMYFUNCTION("""COMPUTED_VALUE"""),85.0)</f>
        <v>85</v>
      </c>
      <c r="K181" s="22">
        <f>IFERROR(__xludf.DUMMYFUNCTION("""COMPUTED_VALUE"""),14.0)</f>
        <v>14</v>
      </c>
      <c r="L181" s="26" t="str">
        <f>IFERROR(__xludf.DUMMYFUNCTION("""COMPUTED_VALUE"""),"Action-Adventure")</f>
        <v>Action-Adventure</v>
      </c>
      <c r="M181" s="13" t="b">
        <f>NOT(ISNA(VLOOKUP(A181,PC!A:A,1,FALSE)))</f>
        <v>0</v>
      </c>
      <c r="N181" s="13" t="b">
        <f>NOT(ISNA(VLOOKUP(A181,'Game Pass Premium'!A:A,1,FALSE)))</f>
        <v>0</v>
      </c>
      <c r="O181" s="13" t="b">
        <f>NOT(ISNA(VLOOKUP(A181,'Game Pass Essential'!A:A,1,FALSE)))</f>
        <v>0</v>
      </c>
    </row>
    <row r="182">
      <c r="A182" s="12" t="str">
        <f>IFERROR(__xludf.DUMMYFUNCTION("""COMPUTED_VALUE"""),"Borderlands")</f>
        <v>Borderlands</v>
      </c>
      <c r="B182" s="13" t="str">
        <f>IFERROR(__xludf.DUMMYFUNCTION("""COMPUTED_VALUE"""),"XB360/OG Xbox")</f>
        <v>XB360/OG Xbox</v>
      </c>
      <c r="C182" s="14"/>
      <c r="D182" s="14" t="str">
        <f>IFERROR(__xludf.DUMMYFUNCTION("""COMPUTED_VALUE"""),"GwG Permanent")</f>
        <v>GwG Permanent</v>
      </c>
      <c r="E182" s="15">
        <f>IFERROR(__xludf.DUMMYFUNCTION("""COMPUTED_VALUE"""),42445.0)</f>
        <v>42445</v>
      </c>
      <c r="F182" s="16">
        <f>IFERROR(__xludf.DUMMYFUNCTION("""COMPUTED_VALUE"""),42460.0)</f>
        <v>42460</v>
      </c>
      <c r="G182" s="18">
        <f>IFERROR(__xludf.DUMMYFUNCTION("""COMPUTED_VALUE"""),0.4666666666666667)</f>
        <v>0.4666666667</v>
      </c>
      <c r="H182" s="15">
        <f>IFERROR(__xludf.DUMMYFUNCTION("""COMPUTED_VALUE"""),40106.0)</f>
        <v>40106</v>
      </c>
      <c r="I182" s="18">
        <f>IFERROR(__xludf.DUMMYFUNCTION("""COMPUTED_VALUE"""),6.405555555555556)</f>
        <v>6.405555556</v>
      </c>
      <c r="J182" s="22">
        <f>IFERROR(__xludf.DUMMYFUNCTION("""COMPUTED_VALUE"""),85.0)</f>
        <v>85</v>
      </c>
      <c r="K182" s="22">
        <f>IFERROR(__xludf.DUMMYFUNCTION("""COMPUTED_VALUE"""),20.0)</f>
        <v>20</v>
      </c>
      <c r="L182" s="26" t="str">
        <f>IFERROR(__xludf.DUMMYFUNCTION("""COMPUTED_VALUE"""),"Shooter")</f>
        <v>Shooter</v>
      </c>
      <c r="M182" s="13" t="b">
        <f>NOT(ISNA(VLOOKUP(A182,PC!A:A,1,FALSE)))</f>
        <v>0</v>
      </c>
      <c r="N182" s="13" t="b">
        <f>NOT(ISNA(VLOOKUP(A182,'Game Pass Premium'!A:A,1,FALSE)))</f>
        <v>0</v>
      </c>
      <c r="O182" s="13" t="b">
        <f>NOT(ISNA(VLOOKUP(A182,'Game Pass Essential'!A:A,1,FALSE)))</f>
        <v>0</v>
      </c>
    </row>
    <row r="183">
      <c r="A183" s="12" t="str">
        <f>IFERROR(__xludf.DUMMYFUNCTION("""COMPUTED_VALUE"""),"Brothers: A Tale of Two Sons")</f>
        <v>Brothers: A Tale of Two Sons</v>
      </c>
      <c r="B183" s="13" t="str">
        <f>IFERROR(__xludf.DUMMYFUNCTION("""COMPUTED_VALUE"""),"XB360/OG Xbox")</f>
        <v>XB360/OG Xbox</v>
      </c>
      <c r="C183" s="14"/>
      <c r="D183" s="14" t="str">
        <f>IFERROR(__xludf.DUMMYFUNCTION("""COMPUTED_VALUE"""),"GwG Permanent")</f>
        <v>GwG Permanent</v>
      </c>
      <c r="E183" s="15">
        <f>IFERROR(__xludf.DUMMYFUNCTION("""COMPUTED_VALUE"""),42036.0)</f>
        <v>42036</v>
      </c>
      <c r="F183" s="16">
        <f>IFERROR(__xludf.DUMMYFUNCTION("""COMPUTED_VALUE"""),42050.0)</f>
        <v>42050</v>
      </c>
      <c r="G183" s="18">
        <f>IFERROR(__xludf.DUMMYFUNCTION("""COMPUTED_VALUE"""),0.4666666666666667)</f>
        <v>0.4666666667</v>
      </c>
      <c r="H183" s="15">
        <f>IFERROR(__xludf.DUMMYFUNCTION("""COMPUTED_VALUE"""),41493.0)</f>
        <v>41493</v>
      </c>
      <c r="I183" s="18">
        <f>IFERROR(__xludf.DUMMYFUNCTION("""COMPUTED_VALUE"""),1.4833333333333334)</f>
        <v>1.483333333</v>
      </c>
      <c r="J183" s="22">
        <f>IFERROR(__xludf.DUMMYFUNCTION("""COMPUTED_VALUE"""),85.0)</f>
        <v>85</v>
      </c>
      <c r="K183" s="22">
        <f>IFERROR(__xludf.DUMMYFUNCTION("""COMPUTED_VALUE"""),3.0)</f>
        <v>3</v>
      </c>
      <c r="L183" s="26" t="str">
        <f>IFERROR(__xludf.DUMMYFUNCTION("""COMPUTED_VALUE"""),"Adventure")</f>
        <v>Adventure</v>
      </c>
      <c r="M183" s="13" t="b">
        <f>NOT(ISNA(VLOOKUP(A183,PC!A:A,1,FALSE)))</f>
        <v>0</v>
      </c>
      <c r="N183" s="13" t="b">
        <f>NOT(ISNA(VLOOKUP(A183,'Game Pass Premium'!A:A,1,FALSE)))</f>
        <v>0</v>
      </c>
      <c r="O183" s="13" t="b">
        <f>NOT(ISNA(VLOOKUP(A183,'Game Pass Essential'!A:A,1,FALSE)))</f>
        <v>0</v>
      </c>
    </row>
    <row r="184">
      <c r="A184" s="12" t="str">
        <f>IFERROR(__xludf.DUMMYFUNCTION("""COMPUTED_VALUE"""),"Red Faction: Guerrilla")</f>
        <v>Red Faction: Guerrilla</v>
      </c>
      <c r="B184" s="13" t="str">
        <f>IFERROR(__xludf.DUMMYFUNCTION("""COMPUTED_VALUE"""),"XB360/OG Xbox")</f>
        <v>XB360/OG Xbox</v>
      </c>
      <c r="C184" s="14"/>
      <c r="D184" s="14" t="str">
        <f>IFERROR(__xludf.DUMMYFUNCTION("""COMPUTED_VALUE"""),"GwG Permanent")</f>
        <v>GwG Permanent</v>
      </c>
      <c r="E184" s="15">
        <f>IFERROR(__xludf.DUMMYFUNCTION("""COMPUTED_VALUE"""),41959.0)</f>
        <v>41959</v>
      </c>
      <c r="F184" s="16">
        <f>IFERROR(__xludf.DUMMYFUNCTION("""COMPUTED_VALUE"""),41973.0)</f>
        <v>41973</v>
      </c>
      <c r="G184" s="18">
        <f>IFERROR(__xludf.DUMMYFUNCTION("""COMPUTED_VALUE"""),0.4666666666666667)</f>
        <v>0.4666666667</v>
      </c>
      <c r="H184" s="15">
        <f>IFERROR(__xludf.DUMMYFUNCTION("""COMPUTED_VALUE"""),39966.0)</f>
        <v>39966</v>
      </c>
      <c r="I184" s="18">
        <f>IFERROR(__xludf.DUMMYFUNCTION("""COMPUTED_VALUE"""),5.455555555555556)</f>
        <v>5.455555556</v>
      </c>
      <c r="J184" s="22">
        <f>IFERROR(__xludf.DUMMYFUNCTION("""COMPUTED_VALUE"""),85.0)</f>
        <v>85</v>
      </c>
      <c r="K184" s="22">
        <f>IFERROR(__xludf.DUMMYFUNCTION("""COMPUTED_VALUE"""),14.0)</f>
        <v>14</v>
      </c>
      <c r="L184" s="26" t="str">
        <f>IFERROR(__xludf.DUMMYFUNCTION("""COMPUTED_VALUE"""),"Action-Adventure")</f>
        <v>Action-Adventure</v>
      </c>
      <c r="M184" s="13" t="b">
        <f>NOT(ISNA(VLOOKUP(A184,PC!A:A,1,FALSE)))</f>
        <v>0</v>
      </c>
      <c r="N184" s="13" t="b">
        <f>NOT(ISNA(VLOOKUP(A184,'Game Pass Premium'!A:A,1,FALSE)))</f>
        <v>0</v>
      </c>
      <c r="O184" s="13" t="b">
        <f>NOT(ISNA(VLOOKUP(A184,'Game Pass Essential'!A:A,1,FALSE)))</f>
        <v>0</v>
      </c>
    </row>
    <row r="185">
      <c r="A185" s="12" t="str">
        <f>IFERROR(__xludf.DUMMYFUNCTION("""COMPUTED_VALUE"""),"Dust: An Elysian Tail")</f>
        <v>Dust: An Elysian Tail</v>
      </c>
      <c r="B185" s="13" t="str">
        <f>IFERROR(__xludf.DUMMYFUNCTION("""COMPUTED_VALUE"""),"XB360/OG Xbox")</f>
        <v>XB360/OG Xbox</v>
      </c>
      <c r="C185" s="14"/>
      <c r="D185" s="14" t="str">
        <f>IFERROR(__xludf.DUMMYFUNCTION("""COMPUTED_VALUE"""),"GwG Permanent")</f>
        <v>GwG Permanent</v>
      </c>
      <c r="E185" s="15">
        <f>IFERROR(__xludf.DUMMYFUNCTION("""COMPUTED_VALUE"""),41760.0)</f>
        <v>41760</v>
      </c>
      <c r="F185" s="16">
        <f>IFERROR(__xludf.DUMMYFUNCTION("""COMPUTED_VALUE"""),41774.0)</f>
        <v>41774</v>
      </c>
      <c r="G185" s="18">
        <f>IFERROR(__xludf.DUMMYFUNCTION("""COMPUTED_VALUE"""),0.4666666666666667)</f>
        <v>0.4666666667</v>
      </c>
      <c r="H185" s="15">
        <f>IFERROR(__xludf.DUMMYFUNCTION("""COMPUTED_VALUE"""),41136.0)</f>
        <v>41136</v>
      </c>
      <c r="I185" s="18">
        <f>IFERROR(__xludf.DUMMYFUNCTION("""COMPUTED_VALUE"""),1.711111111111111)</f>
        <v>1.711111111</v>
      </c>
      <c r="J185" s="22">
        <f>IFERROR(__xludf.DUMMYFUNCTION("""COMPUTED_VALUE"""),85.0)</f>
        <v>85</v>
      </c>
      <c r="K185" s="22">
        <f>IFERROR(__xludf.DUMMYFUNCTION("""COMPUTED_VALUE"""),8.0)</f>
        <v>8</v>
      </c>
      <c r="L185" s="26" t="str">
        <f>IFERROR(__xludf.DUMMYFUNCTION("""COMPUTED_VALUE"""),"Action-Adventure")</f>
        <v>Action-Adventure</v>
      </c>
      <c r="M185" s="13" t="b">
        <f>NOT(ISNA(VLOOKUP(A185,PC!A:A,1,FALSE)))</f>
        <v>0</v>
      </c>
      <c r="N185" s="13" t="b">
        <f>NOT(ISNA(VLOOKUP(A185,'Game Pass Premium'!A:A,1,FALSE)))</f>
        <v>0</v>
      </c>
      <c r="O185" s="13" t="b">
        <f>NOT(ISNA(VLOOKUP(A185,'Game Pass Essential'!A:A,1,FALSE)))</f>
        <v>0</v>
      </c>
    </row>
    <row r="186">
      <c r="A186" s="12" t="str">
        <f>IFERROR(__xludf.DUMMYFUNCTION("""COMPUTED_VALUE"""),"Assassin's Creed Origins")</f>
        <v>Assassin's Creed Origins</v>
      </c>
      <c r="B186" s="13" t="str">
        <f>IFERROR(__xludf.DUMMYFUNCTION("""COMPUTED_VALUE"""),"Xbox / PC")</f>
        <v>Xbox / PC</v>
      </c>
      <c r="C186" s="14" t="str">
        <f>IFERROR(__xludf.DUMMYFUNCTION("""COMPUTED_VALUE"""),"Touch Controls")</f>
        <v>Touch Controls</v>
      </c>
      <c r="D186" s="14" t="str">
        <f>IFERROR(__xludf.DUMMYFUNCTION("""COMPUTED_VALUE"""),"Active")</f>
        <v>Active</v>
      </c>
      <c r="E186" s="15">
        <f>IFERROR(__xludf.DUMMYFUNCTION("""COMPUTED_VALUE"""),44719.0)</f>
        <v>44719</v>
      </c>
      <c r="F186" s="16"/>
      <c r="G186" s="18">
        <f>IFERROR(__xludf.DUMMYFUNCTION("""COMPUTED_VALUE"""),51.96666666666667)</f>
        <v>51.96666667</v>
      </c>
      <c r="H186" s="15">
        <f>IFERROR(__xludf.DUMMYFUNCTION("""COMPUTED_VALUE"""),43035.0)</f>
        <v>43035</v>
      </c>
      <c r="I186" s="18">
        <f>IFERROR(__xludf.DUMMYFUNCTION("""COMPUTED_VALUE"""),4.611111111111111)</f>
        <v>4.611111111</v>
      </c>
      <c r="J186" s="22">
        <f>IFERROR(__xludf.DUMMYFUNCTION("""COMPUTED_VALUE"""),84.5)</f>
        <v>84.5</v>
      </c>
      <c r="K186" s="22">
        <f>IFERROR(__xludf.DUMMYFUNCTION("""COMPUTED_VALUE"""),30.0)</f>
        <v>30</v>
      </c>
      <c r="L186" s="26" t="str">
        <f>IFERROR(__xludf.DUMMYFUNCTION("""COMPUTED_VALUE"""),"RPG")</f>
        <v>RPG</v>
      </c>
      <c r="M186" s="13" t="b">
        <f>NOT(ISNA(VLOOKUP(A186,PC!A:A,1,FALSE)))</f>
        <v>1</v>
      </c>
      <c r="N186" s="13" t="b">
        <f>NOT(ISNA(VLOOKUP(A186,'Game Pass Premium'!A:A,1,FALSE)))</f>
        <v>1</v>
      </c>
      <c r="O186" s="13" t="b">
        <f>NOT(ISNA(VLOOKUP(A186,'Game Pass Essential'!A:A,1,FALSE)))</f>
        <v>0</v>
      </c>
    </row>
    <row r="187">
      <c r="A187" s="12" t="str">
        <f>IFERROR(__xludf.DUMMYFUNCTION("""COMPUTED_VALUE"""),"Shape of Dreams")</f>
        <v>Shape of Dreams</v>
      </c>
      <c r="B187" s="13" t="str">
        <f>IFERROR(__xludf.DUMMYFUNCTION("""COMPUTED_VALUE"""),"Xbox / PC")</f>
        <v>Xbox / PC</v>
      </c>
      <c r="C187" s="14" t="str">
        <f>IFERROR(__xludf.DUMMYFUNCTION("""COMPUTED_VALUE"""),"Yes")</f>
        <v>Yes</v>
      </c>
      <c r="D187" s="14" t="str">
        <f>IFERROR(__xludf.DUMMYFUNCTION("""COMPUTED_VALUE"""),"Active")</f>
        <v>Active</v>
      </c>
      <c r="E187" s="15">
        <f>IFERROR(__xludf.DUMMYFUNCTION("""COMPUTED_VALUE"""),46282.0)</f>
        <v>46282</v>
      </c>
      <c r="F187" s="16"/>
      <c r="G187" s="18">
        <f>IFERROR(__xludf.DUMMYFUNCTION("""COMPUTED_VALUE"""),0.6333333333333333)</f>
        <v>0.6333333333</v>
      </c>
      <c r="H187" s="15">
        <f>IFERROR(__xludf.DUMMYFUNCTION("""COMPUTED_VALUE"""),45910.0)</f>
        <v>45910</v>
      </c>
      <c r="I187" s="18">
        <f>IFERROR(__xludf.DUMMYFUNCTION("""COMPUTED_VALUE"""),1.0194444444444444)</f>
        <v>1.019444444</v>
      </c>
      <c r="J187" s="22">
        <f>IFERROR(__xludf.DUMMYFUNCTION("""COMPUTED_VALUE"""),84.0)</f>
        <v>84</v>
      </c>
      <c r="K187" s="22">
        <f>IFERROR(__xludf.DUMMYFUNCTION("""COMPUTED_VALUE"""),9.0)</f>
        <v>9</v>
      </c>
      <c r="L187" s="26" t="str">
        <f>IFERROR(__xludf.DUMMYFUNCTION("""COMPUTED_VALUE"""),"RPG")</f>
        <v>RPG</v>
      </c>
      <c r="M187" s="13" t="b">
        <f>NOT(ISNA(VLOOKUP(A187,PC!A:A,1,FALSE)))</f>
        <v>1</v>
      </c>
      <c r="N187" s="13" t="b">
        <f>NOT(ISNA(VLOOKUP(A187,'Game Pass Premium'!A:A,1,FALSE)))</f>
        <v>0</v>
      </c>
      <c r="O187" s="13" t="b">
        <f>NOT(ISNA(VLOOKUP(A187,'Game Pass Essential'!A:A,1,FALSE)))</f>
        <v>0</v>
      </c>
    </row>
    <row r="188">
      <c r="A188" s="12" t="str">
        <f>IFERROR(__xludf.DUMMYFUNCTION("""COMPUTED_VALUE"""),"Remnant II")</f>
        <v>Remnant II</v>
      </c>
      <c r="B188" s="13" t="str">
        <f>IFERROR(__xludf.DUMMYFUNCTION("""COMPUTED_VALUE"""),"Xbox / PC")</f>
        <v>Xbox / PC</v>
      </c>
      <c r="C188" s="14" t="str">
        <f>IFERROR(__xludf.DUMMYFUNCTION("""COMPUTED_VALUE"""),"Yes")</f>
        <v>Yes</v>
      </c>
      <c r="D188" s="14" t="str">
        <f>IFERROR(__xludf.DUMMYFUNCTION("""COMPUTED_VALUE"""),"Active")</f>
        <v>Active</v>
      </c>
      <c r="E188" s="15">
        <f>IFERROR(__xludf.DUMMYFUNCTION("""COMPUTED_VALUE"""),46162.0)</f>
        <v>46162</v>
      </c>
      <c r="F188" s="16"/>
      <c r="G188" s="18">
        <f>IFERROR(__xludf.DUMMYFUNCTION("""COMPUTED_VALUE"""),4.533333333333333)</f>
        <v>4.533333333</v>
      </c>
      <c r="H188" s="15">
        <f>IFERROR(__xludf.DUMMYFUNCTION("""COMPUTED_VALUE"""),45132.0)</f>
        <v>45132</v>
      </c>
      <c r="I188" s="18">
        <f>IFERROR(__xludf.DUMMYFUNCTION("""COMPUTED_VALUE"""),2.8194444444444446)</f>
        <v>2.819444444</v>
      </c>
      <c r="J188" s="22">
        <f>IFERROR(__xludf.DUMMYFUNCTION("""COMPUTED_VALUE"""),84.0)</f>
        <v>84</v>
      </c>
      <c r="K188" s="22">
        <f>IFERROR(__xludf.DUMMYFUNCTION("""COMPUTED_VALUE"""),18.0)</f>
        <v>18</v>
      </c>
      <c r="L188" s="26" t="str">
        <f>IFERROR(__xludf.DUMMYFUNCTION("""COMPUTED_VALUE"""),"RPG")</f>
        <v>RPG</v>
      </c>
      <c r="M188" s="13" t="b">
        <f>NOT(ISNA(VLOOKUP(A188,PC!A:A,1,FALSE)))</f>
        <v>1</v>
      </c>
      <c r="N188" s="13" t="b">
        <f>NOT(ISNA(VLOOKUP(A188,'Game Pass Premium'!A:A,1,FALSE)))</f>
        <v>1</v>
      </c>
      <c r="O188" s="13" t="b">
        <f>NOT(ISNA(VLOOKUP(A188,'Game Pass Essential'!A:A,1,FALSE)))</f>
        <v>0</v>
      </c>
    </row>
    <row r="189">
      <c r="A189" s="12" t="str">
        <f>IFERROR(__xludf.DUMMYFUNCTION("""COMPUTED_VALUE"""),"Beyond Zork: The Coconut of Quendor")</f>
        <v>Beyond Zork: The Coconut of Quendor</v>
      </c>
      <c r="B189" s="13" t="str">
        <f>IFERROR(__xludf.DUMMYFUNCTION("""COMPUTED_VALUE"""),"Xbox / PC")</f>
        <v>Xbox / PC</v>
      </c>
      <c r="C189" s="14" t="str">
        <f>IFERROR(__xludf.DUMMYFUNCTION("""COMPUTED_VALUE"""),"Yes")</f>
        <v>Yes</v>
      </c>
      <c r="D189" s="14" t="str">
        <f>IFERROR(__xludf.DUMMYFUNCTION("""COMPUTED_VALUE"""),"Active")</f>
        <v>Active</v>
      </c>
      <c r="E189" s="15">
        <f>IFERROR(__xludf.DUMMYFUNCTION("""COMPUTED_VALUE"""),46072.0)</f>
        <v>46072</v>
      </c>
      <c r="F189" s="16"/>
      <c r="G189" s="18">
        <f>IFERROR(__xludf.DUMMYFUNCTION("""COMPUTED_VALUE"""),7.566666666666666)</f>
        <v>7.566666667</v>
      </c>
      <c r="H189" s="15">
        <f>IFERROR(__xludf.DUMMYFUNCTION("""COMPUTED_VALUE"""),32051.0)</f>
        <v>32051</v>
      </c>
      <c r="I189" s="18">
        <f>IFERROR(__xludf.DUMMYFUNCTION("""COMPUTED_VALUE"""),38.38333333333333)</f>
        <v>38.38333333</v>
      </c>
      <c r="J189" s="22">
        <f>IFERROR(__xludf.DUMMYFUNCTION("""COMPUTED_VALUE"""),84.0)</f>
        <v>84</v>
      </c>
      <c r="K189" s="22">
        <f>IFERROR(__xludf.DUMMYFUNCTION("""COMPUTED_VALUE"""),1.0)</f>
        <v>1</v>
      </c>
      <c r="L189" s="26" t="str">
        <f>IFERROR(__xludf.DUMMYFUNCTION("""COMPUTED_VALUE"""),"Action-Adventure")</f>
        <v>Action-Adventure</v>
      </c>
      <c r="M189" s="13" t="b">
        <f>NOT(ISNA(VLOOKUP(A189,PC!A:A,1,FALSE)))</f>
        <v>1</v>
      </c>
      <c r="N189" s="13" t="b">
        <f>NOT(ISNA(VLOOKUP(A189,'Game Pass Premium'!A:A,1,FALSE)))</f>
        <v>1</v>
      </c>
      <c r="O189" s="13" t="b">
        <f>NOT(ISNA(VLOOKUP(A189,'Game Pass Essential'!A:A,1,FALSE)))</f>
        <v>0</v>
      </c>
    </row>
    <row r="190">
      <c r="A190" s="12" t="str">
        <f>IFERROR(__xludf.DUMMYFUNCTION("""COMPUTED_VALUE"""),"Ninja Gaiden: Ragebound")</f>
        <v>Ninja Gaiden: Ragebound</v>
      </c>
      <c r="B190" s="13" t="str">
        <f>IFERROR(__xludf.DUMMYFUNCTION("""COMPUTED_VALUE"""),"Xbox / PC")</f>
        <v>Xbox / PC</v>
      </c>
      <c r="C190" s="14" t="str">
        <f>IFERROR(__xludf.DUMMYFUNCTION("""COMPUTED_VALUE"""),"Yes")</f>
        <v>Yes</v>
      </c>
      <c r="D190" s="14" t="str">
        <f>IFERROR(__xludf.DUMMYFUNCTION("""COMPUTED_VALUE"""),"Active")</f>
        <v>Active</v>
      </c>
      <c r="E190" s="15">
        <f>IFERROR(__xludf.DUMMYFUNCTION("""COMPUTED_VALUE"""),46043.0)</f>
        <v>46043</v>
      </c>
      <c r="F190" s="16"/>
      <c r="G190" s="18">
        <f>IFERROR(__xludf.DUMMYFUNCTION("""COMPUTED_VALUE"""),8.5)</f>
        <v>8.5</v>
      </c>
      <c r="H190" s="15">
        <f>IFERROR(__xludf.DUMMYFUNCTION("""COMPUTED_VALUE"""),45869.0)</f>
        <v>45869</v>
      </c>
      <c r="I190" s="18">
        <f>IFERROR(__xludf.DUMMYFUNCTION("""COMPUTED_VALUE"""),0.475)</f>
        <v>0.475</v>
      </c>
      <c r="J190" s="22">
        <f>IFERROR(__xludf.DUMMYFUNCTION("""COMPUTED_VALUE"""),84.0)</f>
        <v>84</v>
      </c>
      <c r="K190" s="22">
        <f>IFERROR(__xludf.DUMMYFUNCTION("""COMPUTED_VALUE"""),6.0)</f>
        <v>6</v>
      </c>
      <c r="L190" s="26" t="str">
        <f>IFERROR(__xludf.DUMMYFUNCTION("""COMPUTED_VALUE"""),"Action-Adventure")</f>
        <v>Action-Adventure</v>
      </c>
      <c r="M190" s="13" t="b">
        <f>NOT(ISNA(VLOOKUP(A190,PC!A:A,1,FALSE)))</f>
        <v>1</v>
      </c>
      <c r="N190" s="13" t="b">
        <f>NOT(ISNA(VLOOKUP(A190,'Game Pass Premium'!A:A,1,FALSE)))</f>
        <v>1</v>
      </c>
      <c r="O190" s="13" t="b">
        <f>NOT(ISNA(VLOOKUP(A190,'Game Pass Essential'!A:A,1,FALSE)))</f>
        <v>0</v>
      </c>
    </row>
    <row r="191">
      <c r="A191" s="12" t="str">
        <f>IFERROR(__xludf.DUMMYFUNCTION("""COMPUTED_VALUE"""),"Resident Evil Village")</f>
        <v>Resident Evil Village</v>
      </c>
      <c r="B191" s="13" t="str">
        <f>IFERROR(__xludf.DUMMYFUNCTION("""COMPUTED_VALUE"""),"Xbox / PC")</f>
        <v>Xbox / PC</v>
      </c>
      <c r="C191" s="14" t="str">
        <f>IFERROR(__xludf.DUMMYFUNCTION("""COMPUTED_VALUE"""),"Yes")</f>
        <v>Yes</v>
      </c>
      <c r="D191" s="14" t="str">
        <f>IFERROR(__xludf.DUMMYFUNCTION("""COMPUTED_VALUE"""),"Active")</f>
        <v>Active</v>
      </c>
      <c r="E191" s="15">
        <f>IFERROR(__xludf.DUMMYFUNCTION("""COMPUTED_VALUE"""),46042.0)</f>
        <v>46042</v>
      </c>
      <c r="F191" s="16"/>
      <c r="G191" s="18">
        <f>IFERROR(__xludf.DUMMYFUNCTION("""COMPUTED_VALUE"""),8.533333333333333)</f>
        <v>8.533333333</v>
      </c>
      <c r="H191" s="15">
        <f>IFERROR(__xludf.DUMMYFUNCTION("""COMPUTED_VALUE"""),44323.0)</f>
        <v>44323</v>
      </c>
      <c r="I191" s="18">
        <f>IFERROR(__xludf.DUMMYFUNCTION("""COMPUTED_VALUE"""),4.7027777777777775)</f>
        <v>4.702777778</v>
      </c>
      <c r="J191" s="22">
        <f>IFERROR(__xludf.DUMMYFUNCTION("""COMPUTED_VALUE"""),84.0)</f>
        <v>84</v>
      </c>
      <c r="K191" s="22">
        <f>IFERROR(__xludf.DUMMYFUNCTION("""COMPUTED_VALUE"""),9.0)</f>
        <v>9</v>
      </c>
      <c r="L191" s="26" t="str">
        <f>IFERROR(__xludf.DUMMYFUNCTION("""COMPUTED_VALUE"""),"Action-Adventure")</f>
        <v>Action-Adventure</v>
      </c>
      <c r="M191" s="13" t="b">
        <f>NOT(ISNA(VLOOKUP(A191,PC!A:A,1,FALSE)))</f>
        <v>1</v>
      </c>
      <c r="N191" s="13" t="b">
        <f>NOT(ISNA(VLOOKUP(A191,'Game Pass Premium'!A:A,1,FALSE)))</f>
        <v>1</v>
      </c>
      <c r="O191" s="13" t="b">
        <f>NOT(ISNA(VLOOKUP(A191,'Game Pass Essential'!A:A,1,FALSE)))</f>
        <v>0</v>
      </c>
    </row>
    <row r="192">
      <c r="A192" s="12" t="str">
        <f>IFERROR(__xludf.DUMMYFUNCTION("""COMPUTED_VALUE"""),"Ball x Pit")</f>
        <v>Ball x Pit</v>
      </c>
      <c r="B192" s="13" t="str">
        <f>IFERROR(__xludf.DUMMYFUNCTION("""COMPUTED_VALUE"""),"Xbox / PC")</f>
        <v>Xbox / PC</v>
      </c>
      <c r="C192" s="14" t="str">
        <f>IFERROR(__xludf.DUMMYFUNCTION("""COMPUTED_VALUE"""),"Yes")</f>
        <v>Yes</v>
      </c>
      <c r="D192" s="14" t="str">
        <f>IFERROR(__xludf.DUMMYFUNCTION("""COMPUTED_VALUE"""),"Active")</f>
        <v>Active</v>
      </c>
      <c r="E192" s="15">
        <f>IFERROR(__xludf.DUMMYFUNCTION("""COMPUTED_VALUE"""),45945.0)</f>
        <v>45945</v>
      </c>
      <c r="F192" s="16"/>
      <c r="G192" s="18">
        <f>IFERROR(__xludf.DUMMYFUNCTION("""COMPUTED_VALUE"""),11.7)</f>
        <v>11.7</v>
      </c>
      <c r="H192" s="15">
        <f>IFERROR(__xludf.DUMMYFUNCTION("""COMPUTED_VALUE"""),45945.0)</f>
        <v>45945</v>
      </c>
      <c r="I192" s="18">
        <f>IFERROR(__xludf.DUMMYFUNCTION("""COMPUTED_VALUE"""),0.0)</f>
        <v>0</v>
      </c>
      <c r="J192" s="22">
        <f>IFERROR(__xludf.DUMMYFUNCTION("""COMPUTED_VALUE"""),84.0)</f>
        <v>84</v>
      </c>
      <c r="K192" s="22">
        <f>IFERROR(__xludf.DUMMYFUNCTION("""COMPUTED_VALUE"""),19.0)</f>
        <v>19</v>
      </c>
      <c r="L192" s="26" t="str">
        <f>IFERROR(__xludf.DUMMYFUNCTION("""COMPUTED_VALUE"""),"Shoot-'Em-Up")</f>
        <v>Shoot-'Em-Up</v>
      </c>
      <c r="M192" s="13" t="b">
        <f>NOT(ISNA(VLOOKUP(A192,PC!A:A,1,FALSE)))</f>
        <v>1</v>
      </c>
      <c r="N192" s="13" t="b">
        <f>NOT(ISNA(VLOOKUP(A192,'Game Pass Premium'!A:A,1,FALSE)))</f>
        <v>1</v>
      </c>
      <c r="O192" s="13" t="b">
        <f>NOT(ISNA(VLOOKUP(A192,'Game Pass Essential'!A:A,1,FALSE)))</f>
        <v>0</v>
      </c>
    </row>
    <row r="193">
      <c r="A193" s="12" t="str">
        <f>IFERROR(__xludf.DUMMYFUNCTION("""COMPUTED_VALUE"""),"Hogwarts Legacy")</f>
        <v>Hogwarts Legacy</v>
      </c>
      <c r="B193" s="13" t="str">
        <f>IFERROR(__xludf.DUMMYFUNCTION("""COMPUTED_VALUE"""),"Xbox / PC")</f>
        <v>Xbox / PC</v>
      </c>
      <c r="C193" s="14" t="str">
        <f>IFERROR(__xludf.DUMMYFUNCTION("""COMPUTED_VALUE"""),"Yes")</f>
        <v>Yes</v>
      </c>
      <c r="D193" s="14" t="str">
        <f>IFERROR(__xludf.DUMMYFUNCTION("""COMPUTED_VALUE"""),"Active")</f>
        <v>Active</v>
      </c>
      <c r="E193" s="15">
        <f>IFERROR(__xludf.DUMMYFUNCTION("""COMPUTED_VALUE"""),45931.0)</f>
        <v>45931</v>
      </c>
      <c r="F193" s="16"/>
      <c r="G193" s="18">
        <f>IFERROR(__xludf.DUMMYFUNCTION("""COMPUTED_VALUE"""),12.166666666666666)</f>
        <v>12.16666667</v>
      </c>
      <c r="H193" s="15">
        <f>IFERROR(__xludf.DUMMYFUNCTION("""COMPUTED_VALUE"""),44964.0)</f>
        <v>44964</v>
      </c>
      <c r="I193" s="18">
        <f>IFERROR(__xludf.DUMMYFUNCTION("""COMPUTED_VALUE"""),2.65)</f>
        <v>2.65</v>
      </c>
      <c r="J193" s="22">
        <f>IFERROR(__xludf.DUMMYFUNCTION("""COMPUTED_VALUE"""),84.0)</f>
        <v>84</v>
      </c>
      <c r="K193" s="22">
        <f>IFERROR(__xludf.DUMMYFUNCTION("""COMPUTED_VALUE"""),27.0)</f>
        <v>27</v>
      </c>
      <c r="L193" s="26" t="str">
        <f>IFERROR(__xludf.DUMMYFUNCTION("""COMPUTED_VALUE"""),"Action-Adventure")</f>
        <v>Action-Adventure</v>
      </c>
      <c r="M193" s="13" t="b">
        <f>NOT(ISNA(VLOOKUP(A193,PC!A:A,1,FALSE)))</f>
        <v>1</v>
      </c>
      <c r="N193" s="13" t="b">
        <f>NOT(ISNA(VLOOKUP(A193,'Game Pass Premium'!A:A,1,FALSE)))</f>
        <v>1</v>
      </c>
      <c r="O193" s="13" t="b">
        <f>NOT(ISNA(VLOOKUP(A193,'Game Pass Essential'!A:A,1,FALSE)))</f>
        <v>0</v>
      </c>
    </row>
    <row r="194">
      <c r="A194" s="12" t="str">
        <f>IFERROR(__xludf.DUMMYFUNCTION("""COMPUTED_VALUE"""),"The Alters")</f>
        <v>The Alters</v>
      </c>
      <c r="B194" s="13" t="str">
        <f>IFERROR(__xludf.DUMMYFUNCTION("""COMPUTED_VALUE"""),"Xbox / PC")</f>
        <v>Xbox / PC</v>
      </c>
      <c r="C194" s="14" t="str">
        <f>IFERROR(__xludf.DUMMYFUNCTION("""COMPUTED_VALUE"""),"Yes")</f>
        <v>Yes</v>
      </c>
      <c r="D194" s="14" t="str">
        <f>IFERROR(__xludf.DUMMYFUNCTION("""COMPUTED_VALUE"""),"Active")</f>
        <v>Active</v>
      </c>
      <c r="E194" s="15">
        <f>IFERROR(__xludf.DUMMYFUNCTION("""COMPUTED_VALUE"""),45821.0)</f>
        <v>45821</v>
      </c>
      <c r="F194" s="16"/>
      <c r="G194" s="18">
        <f>IFERROR(__xludf.DUMMYFUNCTION("""COMPUTED_VALUE"""),15.766666666666666)</f>
        <v>15.76666667</v>
      </c>
      <c r="H194" s="15">
        <f>IFERROR(__xludf.DUMMYFUNCTION("""COMPUTED_VALUE"""),45821.0)</f>
        <v>45821</v>
      </c>
      <c r="I194" s="18">
        <f>IFERROR(__xludf.DUMMYFUNCTION("""COMPUTED_VALUE"""),0.0)</f>
        <v>0</v>
      </c>
      <c r="J194" s="22">
        <f>IFERROR(__xludf.DUMMYFUNCTION("""COMPUTED_VALUE"""),84.0)</f>
        <v>84</v>
      </c>
      <c r="K194" s="22">
        <f>IFERROR(__xludf.DUMMYFUNCTION("""COMPUTED_VALUE"""),19.0)</f>
        <v>19</v>
      </c>
      <c r="L194" s="26" t="str">
        <f>IFERROR(__xludf.DUMMYFUNCTION("""COMPUTED_VALUE"""),"Survival")</f>
        <v>Survival</v>
      </c>
      <c r="M194" s="13" t="b">
        <f>NOT(ISNA(VLOOKUP(A194,PC!A:A,1,FALSE)))</f>
        <v>1</v>
      </c>
      <c r="N194" s="13" t="b">
        <f>NOT(ISNA(VLOOKUP(A194,'Game Pass Premium'!A:A,1,FALSE)))</f>
        <v>1</v>
      </c>
      <c r="O194" s="13" t="b">
        <f>NOT(ISNA(VLOOKUP(A194,'Game Pass Essential'!A:A,1,FALSE)))</f>
        <v>0</v>
      </c>
    </row>
    <row r="195">
      <c r="A195" s="12" t="str">
        <f>IFERROR(__xludf.DUMMYFUNCTION("""COMPUTED_VALUE"""),"Kingdom: Two Crowns")</f>
        <v>Kingdom: Two Crowns</v>
      </c>
      <c r="B195" s="13" t="str">
        <f>IFERROR(__xludf.DUMMYFUNCTION("""COMPUTED_VALUE"""),"Xbox / PC")</f>
        <v>Xbox / PC</v>
      </c>
      <c r="C195" s="14" t="str">
        <f>IFERROR(__xludf.DUMMYFUNCTION("""COMPUTED_VALUE"""),"Yes")</f>
        <v>Yes</v>
      </c>
      <c r="D195" s="14" t="str">
        <f>IFERROR(__xludf.DUMMYFUNCTION("""COMPUTED_VALUE"""),"Active")</f>
        <v>Active</v>
      </c>
      <c r="E195" s="15">
        <f>IFERROR(__xludf.DUMMYFUNCTION("""COMPUTED_VALUE"""),45701.0)</f>
        <v>45701</v>
      </c>
      <c r="F195" s="16"/>
      <c r="G195" s="18">
        <f>IFERROR(__xludf.DUMMYFUNCTION("""COMPUTED_VALUE"""),19.766666666666666)</f>
        <v>19.76666667</v>
      </c>
      <c r="H195" s="15">
        <f>IFERROR(__xludf.DUMMYFUNCTION("""COMPUTED_VALUE"""),43445.0)</f>
        <v>43445</v>
      </c>
      <c r="I195" s="18">
        <f>IFERROR(__xludf.DUMMYFUNCTION("""COMPUTED_VALUE"""),6.1722222222222225)</f>
        <v>6.172222222</v>
      </c>
      <c r="J195" s="22">
        <f>IFERROR(__xludf.DUMMYFUNCTION("""COMPUTED_VALUE"""),84.0)</f>
        <v>84</v>
      </c>
      <c r="K195" s="22">
        <f>IFERROR(__xludf.DUMMYFUNCTION("""COMPUTED_VALUE"""),28.5)</f>
        <v>28.5</v>
      </c>
      <c r="L195" s="26" t="str">
        <f>IFERROR(__xludf.DUMMYFUNCTION("""COMPUTED_VALUE"""),"Strategy")</f>
        <v>Strategy</v>
      </c>
      <c r="M195" s="13" t="b">
        <f>NOT(ISNA(VLOOKUP(A195,PC!A:A,1,FALSE)))</f>
        <v>1</v>
      </c>
      <c r="N195" s="13" t="b">
        <f>NOT(ISNA(VLOOKUP(A195,'Game Pass Premium'!A:A,1,FALSE)))</f>
        <v>0</v>
      </c>
      <c r="O195" s="13" t="b">
        <f>NOT(ISNA(VLOOKUP(A195,'Game Pass Essential'!A:A,1,FALSE)))</f>
        <v>0</v>
      </c>
    </row>
    <row r="196">
      <c r="A196" s="12" t="str">
        <f>IFERROR(__xludf.DUMMYFUNCTION("""COMPUTED_VALUE"""),"Age of Mythology: Retold")</f>
        <v>Age of Mythology: Retold</v>
      </c>
      <c r="B196" s="13" t="str">
        <f>IFERROR(__xludf.DUMMYFUNCTION("""COMPUTED_VALUE"""),"Xbox / PC")</f>
        <v>Xbox / PC</v>
      </c>
      <c r="C196" s="14" t="str">
        <f>IFERROR(__xludf.DUMMYFUNCTION("""COMPUTED_VALUE"""),"Yes")</f>
        <v>Yes</v>
      </c>
      <c r="D196" s="14" t="str">
        <f>IFERROR(__xludf.DUMMYFUNCTION("""COMPUTED_VALUE"""),"Active")</f>
        <v>Active</v>
      </c>
      <c r="E196" s="15">
        <f>IFERROR(__xludf.DUMMYFUNCTION("""COMPUTED_VALUE"""),45539.0)</f>
        <v>45539</v>
      </c>
      <c r="F196" s="16"/>
      <c r="G196" s="18">
        <f>IFERROR(__xludf.DUMMYFUNCTION("""COMPUTED_VALUE"""),25.06666666666667)</f>
        <v>25.06666667</v>
      </c>
      <c r="H196" s="15">
        <f>IFERROR(__xludf.DUMMYFUNCTION("""COMPUTED_VALUE"""),45539.0)</f>
        <v>45539</v>
      </c>
      <c r="I196" s="18">
        <f>IFERROR(__xludf.DUMMYFUNCTION("""COMPUTED_VALUE"""),0.0)</f>
        <v>0</v>
      </c>
      <c r="J196" s="22">
        <f>IFERROR(__xludf.DUMMYFUNCTION("""COMPUTED_VALUE"""),84.0)</f>
        <v>84</v>
      </c>
      <c r="K196" s="22">
        <f>IFERROR(__xludf.DUMMYFUNCTION("""COMPUTED_VALUE"""),21.0)</f>
        <v>21</v>
      </c>
      <c r="L196" s="26" t="str">
        <f>IFERROR(__xludf.DUMMYFUNCTION("""COMPUTED_VALUE"""),"Strategy")</f>
        <v>Strategy</v>
      </c>
      <c r="M196" s="13" t="b">
        <f>NOT(ISNA(VLOOKUP(A196,PC!A:A,1,FALSE)))</f>
        <v>1</v>
      </c>
      <c r="N196" s="13" t="b">
        <f>NOT(ISNA(VLOOKUP(A196,'Game Pass Premium'!A:A,1,FALSE)))</f>
        <v>1</v>
      </c>
      <c r="O196" s="13" t="b">
        <f>NOT(ISNA(VLOOKUP(A196,'Game Pass Essential'!A:A,1,FALSE)))</f>
        <v>0</v>
      </c>
    </row>
    <row r="197">
      <c r="A197" s="12" t="str">
        <f>IFERROR(__xludf.DUMMYFUNCTION("""COMPUTED_VALUE"""),"Starfield")</f>
        <v>Starfield</v>
      </c>
      <c r="B197" s="13" t="str">
        <f>IFERROR(__xludf.DUMMYFUNCTION("""COMPUTED_VALUE"""),"Xbox / PC")</f>
        <v>Xbox / PC</v>
      </c>
      <c r="C197" s="14" t="str">
        <f>IFERROR(__xludf.DUMMYFUNCTION("""COMPUTED_VALUE"""),"Yes")</f>
        <v>Yes</v>
      </c>
      <c r="D197" s="14" t="str">
        <f>IFERROR(__xludf.DUMMYFUNCTION("""COMPUTED_VALUE"""),"Active")</f>
        <v>Active</v>
      </c>
      <c r="E197" s="15">
        <f>IFERROR(__xludf.DUMMYFUNCTION("""COMPUTED_VALUE"""),45175.0)</f>
        <v>45175</v>
      </c>
      <c r="F197" s="16"/>
      <c r="G197" s="18">
        <f>IFERROR(__xludf.DUMMYFUNCTION("""COMPUTED_VALUE"""),37.0)</f>
        <v>37</v>
      </c>
      <c r="H197" s="15">
        <f>IFERROR(__xludf.DUMMYFUNCTION("""COMPUTED_VALUE"""),45175.0)</f>
        <v>45175</v>
      </c>
      <c r="I197" s="18">
        <f>IFERROR(__xludf.DUMMYFUNCTION("""COMPUTED_VALUE"""),0.0)</f>
        <v>0</v>
      </c>
      <c r="J197" s="22">
        <f>IFERROR(__xludf.DUMMYFUNCTION("""COMPUTED_VALUE"""),84.0)</f>
        <v>84</v>
      </c>
      <c r="K197" s="22">
        <f>IFERROR(__xludf.DUMMYFUNCTION("""COMPUTED_VALUE"""),20.0)</f>
        <v>20</v>
      </c>
      <c r="L197" s="26" t="str">
        <f>IFERROR(__xludf.DUMMYFUNCTION("""COMPUTED_VALUE"""),"RPG")</f>
        <v>RPG</v>
      </c>
      <c r="M197" s="13" t="b">
        <f>NOT(ISNA(VLOOKUP(A197,PC!A:A,1,FALSE)))</f>
        <v>1</v>
      </c>
      <c r="N197" s="13" t="b">
        <f>NOT(ISNA(VLOOKUP(A197,'Game Pass Premium'!A:A,1,FALSE)))</f>
        <v>1</v>
      </c>
      <c r="O197" s="13" t="b">
        <f>NOT(ISNA(VLOOKUP(A197,'Game Pass Essential'!A:A,1,FALSE)))</f>
        <v>0</v>
      </c>
    </row>
    <row r="198">
      <c r="A198" s="12" t="str">
        <f>IFERROR(__xludf.DUMMYFUNCTION("""COMPUTED_VALUE"""),"Battlefield 3: Premium Edition")</f>
        <v>Battlefield 3: Premium Edition</v>
      </c>
      <c r="B198" s="13" t="str">
        <f>IFERROR(__xludf.DUMMYFUNCTION("""COMPUTED_VALUE"""),"Xbox / PC")</f>
        <v>Xbox / PC</v>
      </c>
      <c r="C198" s="14"/>
      <c r="D198" s="14" t="str">
        <f>IFERROR(__xludf.DUMMYFUNCTION("""COMPUTED_VALUE"""),"Active")</f>
        <v>Active</v>
      </c>
      <c r="E198" s="15">
        <f>IFERROR(__xludf.DUMMYFUNCTION("""COMPUTED_VALUE"""),44145.0)</f>
        <v>44145</v>
      </c>
      <c r="F198" s="16"/>
      <c r="G198" s="18">
        <f>IFERROR(__xludf.DUMMYFUNCTION("""COMPUTED_VALUE"""),70.86666666666667)</f>
        <v>70.86666667</v>
      </c>
      <c r="H198" s="15">
        <f>IFERROR(__xludf.DUMMYFUNCTION("""COMPUTED_VALUE"""),40841.0)</f>
        <v>40841</v>
      </c>
      <c r="I198" s="18">
        <f>IFERROR(__xludf.DUMMYFUNCTION("""COMPUTED_VALUE"""),9.041666666666666)</f>
        <v>9.041666667</v>
      </c>
      <c r="J198" s="22">
        <f>IFERROR(__xludf.DUMMYFUNCTION("""COMPUTED_VALUE"""),84.0)</f>
        <v>84</v>
      </c>
      <c r="K198" s="22">
        <f>IFERROR(__xludf.DUMMYFUNCTION("""COMPUTED_VALUE"""),6.0)</f>
        <v>6</v>
      </c>
      <c r="L198" s="26" t="str">
        <f>IFERROR(__xludf.DUMMYFUNCTION("""COMPUTED_VALUE"""),"Shooter")</f>
        <v>Shooter</v>
      </c>
      <c r="M198" s="13" t="b">
        <f>NOT(ISNA(VLOOKUP(A198,PC!A:A,1,FALSE)))</f>
        <v>1</v>
      </c>
      <c r="N198" s="13" t="b">
        <f>NOT(ISNA(VLOOKUP(A198,'Game Pass Premium'!A:A,1,FALSE)))</f>
        <v>1</v>
      </c>
      <c r="O198" s="13" t="b">
        <f>NOT(ISNA(VLOOKUP(A198,'Game Pass Essential'!A:A,1,FALSE)))</f>
        <v>0</v>
      </c>
    </row>
    <row r="199">
      <c r="A199" s="12" t="str">
        <f>IFERROR(__xludf.DUMMYFUNCTION("""COMPUTED_VALUE"""),"Crysis 2: Maximum Edition")</f>
        <v>Crysis 2: Maximum Edition</v>
      </c>
      <c r="B199" s="13" t="str">
        <f>IFERROR(__xludf.DUMMYFUNCTION("""COMPUTED_VALUE"""),"Xbox / PC")</f>
        <v>Xbox / PC</v>
      </c>
      <c r="C199" s="14"/>
      <c r="D199" s="14" t="str">
        <f>IFERROR(__xludf.DUMMYFUNCTION("""COMPUTED_VALUE"""),"Active")</f>
        <v>Active</v>
      </c>
      <c r="E199" s="15">
        <f>IFERROR(__xludf.DUMMYFUNCTION("""COMPUTED_VALUE"""),44145.0)</f>
        <v>44145</v>
      </c>
      <c r="F199" s="16"/>
      <c r="G199" s="18">
        <f>IFERROR(__xludf.DUMMYFUNCTION("""COMPUTED_VALUE"""),70.86666666666667)</f>
        <v>70.86666667</v>
      </c>
      <c r="H199" s="15">
        <f>IFERROR(__xludf.DUMMYFUNCTION("""COMPUTED_VALUE"""),40624.0)</f>
        <v>40624</v>
      </c>
      <c r="I199" s="18">
        <f>IFERROR(__xludf.DUMMYFUNCTION("""COMPUTED_VALUE"""),9.633333333333333)</f>
        <v>9.633333333</v>
      </c>
      <c r="J199" s="22">
        <f>IFERROR(__xludf.DUMMYFUNCTION("""COMPUTED_VALUE"""),84.0)</f>
        <v>84</v>
      </c>
      <c r="K199" s="22">
        <f>IFERROR(__xludf.DUMMYFUNCTION("""COMPUTED_VALUE"""),9.0)</f>
        <v>9</v>
      </c>
      <c r="L199" s="26" t="str">
        <f>IFERROR(__xludf.DUMMYFUNCTION("""COMPUTED_VALUE"""),"Shooter")</f>
        <v>Shooter</v>
      </c>
      <c r="M199" s="13" t="b">
        <f>NOT(ISNA(VLOOKUP(A199,PC!A:A,1,FALSE)))</f>
        <v>1</v>
      </c>
      <c r="N199" s="13" t="b">
        <f>NOT(ISNA(VLOOKUP(A199,'Game Pass Premium'!A:A,1,FALSE)))</f>
        <v>1</v>
      </c>
      <c r="O199" s="13" t="b">
        <f>NOT(ISNA(VLOOKUP(A199,'Game Pass Essential'!A:A,1,FALSE)))</f>
        <v>0</v>
      </c>
    </row>
    <row r="200">
      <c r="A200" s="12" t="str">
        <f>IFERROR(__xludf.DUMMYFUNCTION("""COMPUTED_VALUE"""),"Deep Rock Galactic")</f>
        <v>Deep Rock Galactic</v>
      </c>
      <c r="B200" s="13" t="str">
        <f>IFERROR(__xludf.DUMMYFUNCTION("""COMPUTED_VALUE"""),"Xbox / PC")</f>
        <v>Xbox / PC</v>
      </c>
      <c r="C200" s="14" t="str">
        <f>IFERROR(__xludf.DUMMYFUNCTION("""COMPUTED_VALUE"""),"M+KB")</f>
        <v>M+KB</v>
      </c>
      <c r="D200" s="14" t="str">
        <f>IFERROR(__xludf.DUMMYFUNCTION("""COMPUTED_VALUE"""),"Active")</f>
        <v>Active</v>
      </c>
      <c r="E200" s="15">
        <f>IFERROR(__xludf.DUMMYFUNCTION("""COMPUTED_VALUE"""),44140.0)</f>
        <v>44140</v>
      </c>
      <c r="F200" s="16"/>
      <c r="G200" s="18">
        <f>IFERROR(__xludf.DUMMYFUNCTION("""COMPUTED_VALUE"""),71.03333333333333)</f>
        <v>71.03333333</v>
      </c>
      <c r="H200" s="15">
        <f>IFERROR(__xludf.DUMMYFUNCTION("""COMPUTED_VALUE"""),43964.0)</f>
        <v>43964</v>
      </c>
      <c r="I200" s="18">
        <f>IFERROR(__xludf.DUMMYFUNCTION("""COMPUTED_VALUE"""),0.4777777777777778)</f>
        <v>0.4777777778</v>
      </c>
      <c r="J200" s="22">
        <f>IFERROR(__xludf.DUMMYFUNCTION("""COMPUTED_VALUE"""),84.0)</f>
        <v>84</v>
      </c>
      <c r="K200" s="22">
        <f>IFERROR(__xludf.DUMMYFUNCTION("""COMPUTED_VALUE"""),119.0)</f>
        <v>119</v>
      </c>
      <c r="L200" s="26" t="str">
        <f>IFERROR(__xludf.DUMMYFUNCTION("""COMPUTED_VALUE"""),"Shooter")</f>
        <v>Shooter</v>
      </c>
      <c r="M200" s="13" t="b">
        <f>NOT(ISNA(VLOOKUP(A200,PC!A:A,1,FALSE)))</f>
        <v>1</v>
      </c>
      <c r="N200" s="13" t="b">
        <f>NOT(ISNA(VLOOKUP(A200,'Game Pass Premium'!A:A,1,FALSE)))</f>
        <v>1</v>
      </c>
      <c r="O200" s="13" t="b">
        <f>NOT(ISNA(VLOOKUP(A200,'Game Pass Essential'!A:A,1,FALSE)))</f>
        <v>1</v>
      </c>
    </row>
    <row r="201">
      <c r="A201" s="12" t="str">
        <f>IFERROR(__xludf.DUMMYFUNCTION("""COMPUTED_VALUE"""),"Day of the Tentacle Remastered")</f>
        <v>Day of the Tentacle Remastered</v>
      </c>
      <c r="B201" s="13" t="str">
        <f>IFERROR(__xludf.DUMMYFUNCTION("""COMPUTED_VALUE"""),"Xbox / PC")</f>
        <v>Xbox / PC</v>
      </c>
      <c r="C201" s="14"/>
      <c r="D201" s="14" t="str">
        <f>IFERROR(__xludf.DUMMYFUNCTION("""COMPUTED_VALUE"""),"Active")</f>
        <v>Active</v>
      </c>
      <c r="E201" s="15">
        <f>IFERROR(__xludf.DUMMYFUNCTION("""COMPUTED_VALUE"""),44133.0)</f>
        <v>44133</v>
      </c>
      <c r="F201" s="16"/>
      <c r="G201" s="18">
        <f>IFERROR(__xludf.DUMMYFUNCTION("""COMPUTED_VALUE"""),71.23333333333333)</f>
        <v>71.23333333</v>
      </c>
      <c r="H201" s="15">
        <f>IFERROR(__xludf.DUMMYFUNCTION("""COMPUTED_VALUE"""),42451.0)</f>
        <v>42451</v>
      </c>
      <c r="I201" s="18">
        <f>IFERROR(__xludf.DUMMYFUNCTION("""COMPUTED_VALUE"""),4.602777777777778)</f>
        <v>4.602777778</v>
      </c>
      <c r="J201" s="22">
        <f>IFERROR(__xludf.DUMMYFUNCTION("""COMPUTED_VALUE"""),84.0)</f>
        <v>84</v>
      </c>
      <c r="K201" s="22">
        <f>IFERROR(__xludf.DUMMYFUNCTION("""COMPUTED_VALUE"""),4.5)</f>
        <v>4.5</v>
      </c>
      <c r="L201" s="26" t="str">
        <f>IFERROR(__xludf.DUMMYFUNCTION("""COMPUTED_VALUE"""),"Adventure")</f>
        <v>Adventure</v>
      </c>
      <c r="M201" s="13" t="b">
        <f>NOT(ISNA(VLOOKUP(A201,PC!A:A,1,FALSE)))</f>
        <v>1</v>
      </c>
      <c r="N201" s="13" t="b">
        <f>NOT(ISNA(VLOOKUP(A201,'Game Pass Premium'!A:A,1,FALSE)))</f>
        <v>1</v>
      </c>
      <c r="O201" s="13" t="b">
        <f>NOT(ISNA(VLOOKUP(A201,'Game Pass Essential'!A:A,1,FALSE)))</f>
        <v>0</v>
      </c>
    </row>
    <row r="202">
      <c r="A202" s="12" t="str">
        <f>IFERROR(__xludf.DUMMYFUNCTION("""COMPUTED_VALUE"""),"Age of Empires II: Definitive Edition")</f>
        <v>Age of Empires II: Definitive Edition</v>
      </c>
      <c r="B202" s="13" t="str">
        <f>IFERROR(__xludf.DUMMYFUNCTION("""COMPUTED_VALUE"""),"Xbox / PC")</f>
        <v>Xbox / PC</v>
      </c>
      <c r="C202" s="14"/>
      <c r="D202" s="14" t="str">
        <f>IFERROR(__xludf.DUMMYFUNCTION("""COMPUTED_VALUE"""),"Active")</f>
        <v>Active</v>
      </c>
      <c r="E202" s="15">
        <f>IFERROR(__xludf.DUMMYFUNCTION("""COMPUTED_VALUE"""),43783.0)</f>
        <v>43783</v>
      </c>
      <c r="F202" s="16"/>
      <c r="G202" s="18">
        <f>IFERROR(__xludf.DUMMYFUNCTION("""COMPUTED_VALUE"""),82.73333333333333)</f>
        <v>82.73333333</v>
      </c>
      <c r="H202" s="15">
        <f>IFERROR(__xludf.DUMMYFUNCTION("""COMPUTED_VALUE"""),43783.0)</f>
        <v>43783</v>
      </c>
      <c r="I202" s="18">
        <f>IFERROR(__xludf.DUMMYFUNCTION("""COMPUTED_VALUE"""),0.0)</f>
        <v>0</v>
      </c>
      <c r="J202" s="22">
        <f>IFERROR(__xludf.DUMMYFUNCTION("""COMPUTED_VALUE"""),84.0)</f>
        <v>84</v>
      </c>
      <c r="K202" s="22">
        <f>IFERROR(__xludf.DUMMYFUNCTION("""COMPUTED_VALUE"""),35.5)</f>
        <v>35.5</v>
      </c>
      <c r="L202" s="26" t="str">
        <f>IFERROR(__xludf.DUMMYFUNCTION("""COMPUTED_VALUE"""),"Strategy")</f>
        <v>Strategy</v>
      </c>
      <c r="M202" s="13" t="b">
        <f>NOT(ISNA(VLOOKUP(A202,PC!A:A,1,FALSE)))</f>
        <v>1</v>
      </c>
      <c r="N202" s="13" t="b">
        <f>NOT(ISNA(VLOOKUP(A202,'Game Pass Premium'!A:A,1,FALSE)))</f>
        <v>1</v>
      </c>
      <c r="O202" s="13" t="b">
        <f>NOT(ISNA(VLOOKUP(A202,'Game Pass Essential'!A:A,1,FALSE)))</f>
        <v>0</v>
      </c>
    </row>
    <row r="203">
      <c r="A203" s="12" t="str">
        <f>IFERROR(__xludf.DUMMYFUNCTION("""COMPUTED_VALUE"""),"Fallout: New Vegas - Ultimate Edition")</f>
        <v>Fallout: New Vegas - Ultimate Edition</v>
      </c>
      <c r="B203" s="13" t="str">
        <f>IFERROR(__xludf.DUMMYFUNCTION("""COMPUTED_VALUE"""),"Xbox / PC")</f>
        <v>Xbox / PC</v>
      </c>
      <c r="C203" s="14" t="str">
        <f>IFERROR(__xludf.DUMMYFUNCTION("""COMPUTED_VALUE"""),"Yes")</f>
        <v>Yes</v>
      </c>
      <c r="D203" s="14" t="str">
        <f>IFERROR(__xludf.DUMMYFUNCTION("""COMPUTED_VALUE"""),"Active")</f>
        <v>Active</v>
      </c>
      <c r="E203" s="15">
        <f>IFERROR(__xludf.DUMMYFUNCTION("""COMPUTED_VALUE"""),43755.0)</f>
        <v>43755</v>
      </c>
      <c r="F203" s="16"/>
      <c r="G203" s="18">
        <f>IFERROR(__xludf.DUMMYFUNCTION("""COMPUTED_VALUE"""),83.63333333333333)</f>
        <v>83.63333333</v>
      </c>
      <c r="H203" s="15">
        <f>IFERROR(__xludf.DUMMYFUNCTION("""COMPUTED_VALUE"""),40470.0)</f>
        <v>40470</v>
      </c>
      <c r="I203" s="18">
        <f>IFERROR(__xludf.DUMMYFUNCTION("""COMPUTED_VALUE"""),8.994444444444444)</f>
        <v>8.994444444</v>
      </c>
      <c r="J203" s="22">
        <f>IFERROR(__xludf.DUMMYFUNCTION("""COMPUTED_VALUE"""),84.0)</f>
        <v>84</v>
      </c>
      <c r="K203" s="22">
        <f>IFERROR(__xludf.DUMMYFUNCTION("""COMPUTED_VALUE"""),27.5)</f>
        <v>27.5</v>
      </c>
      <c r="L203" s="26" t="str">
        <f>IFERROR(__xludf.DUMMYFUNCTION("""COMPUTED_VALUE"""),"Shooter")</f>
        <v>Shooter</v>
      </c>
      <c r="M203" s="13" t="b">
        <f>NOT(ISNA(VLOOKUP(A203,PC!A:A,1,FALSE)))</f>
        <v>1</v>
      </c>
      <c r="N203" s="13" t="b">
        <f>NOT(ISNA(VLOOKUP(A203,'Game Pass Premium'!A:A,1,FALSE)))</f>
        <v>1</v>
      </c>
      <c r="O203" s="13" t="b">
        <f>NOT(ISNA(VLOOKUP(A203,'Game Pass Essential'!A:A,1,FALSE)))</f>
        <v>0</v>
      </c>
    </row>
    <row r="204">
      <c r="A204" s="12" t="str">
        <f>IFERROR(__xludf.DUMMYFUNCTION("""COMPUTED_VALUE"""),"Rare Replay")</f>
        <v>Rare Replay</v>
      </c>
      <c r="B204" s="13" t="str">
        <f>IFERROR(__xludf.DUMMYFUNCTION("""COMPUTED_VALUE"""),"Xbox")</f>
        <v>Xbox</v>
      </c>
      <c r="C204" s="14"/>
      <c r="D204" s="14" t="str">
        <f>IFERROR(__xludf.DUMMYFUNCTION("""COMPUTED_VALUE"""),"Active")</f>
        <v>Active</v>
      </c>
      <c r="E204" s="15">
        <f>IFERROR(__xludf.DUMMYFUNCTION("""COMPUTED_VALUE"""),43636.0)</f>
        <v>43636</v>
      </c>
      <c r="F204" s="16"/>
      <c r="G204" s="18">
        <f>IFERROR(__xludf.DUMMYFUNCTION("""COMPUTED_VALUE"""),87.53333333333333)</f>
        <v>87.53333333</v>
      </c>
      <c r="H204" s="15">
        <f>IFERROR(__xludf.DUMMYFUNCTION("""COMPUTED_VALUE"""),42220.0)</f>
        <v>42220</v>
      </c>
      <c r="I204" s="18">
        <f>IFERROR(__xludf.DUMMYFUNCTION("""COMPUTED_VALUE"""),3.8777777777777778)</f>
        <v>3.877777778</v>
      </c>
      <c r="J204" s="22">
        <f>IFERROR(__xludf.DUMMYFUNCTION("""COMPUTED_VALUE"""),84.0)</f>
        <v>84</v>
      </c>
      <c r="K204" s="22">
        <f>IFERROR(__xludf.DUMMYFUNCTION("""COMPUTED_VALUE"""),44.0)</f>
        <v>44</v>
      </c>
      <c r="L204" s="26" t="str">
        <f>IFERROR(__xludf.DUMMYFUNCTION("""COMPUTED_VALUE"""),"Compilation")</f>
        <v>Compilation</v>
      </c>
      <c r="M204" s="13" t="b">
        <f>NOT(ISNA(VLOOKUP(A204,PC!A:A,1,FALSE)))</f>
        <v>0</v>
      </c>
      <c r="N204" s="13" t="b">
        <f>NOT(ISNA(VLOOKUP(A204,'Game Pass Premium'!A:A,1,FALSE)))</f>
        <v>1</v>
      </c>
      <c r="O204" s="13" t="b">
        <f>NOT(ISNA(VLOOKUP(A204,'Game Pass Essential'!A:A,1,FALSE)))</f>
        <v>0</v>
      </c>
    </row>
    <row r="205">
      <c r="A205" s="12" t="str">
        <f>IFERROR(__xludf.DUMMYFUNCTION("""COMPUTED_VALUE"""),"Moonlighter")</f>
        <v>Moonlighter</v>
      </c>
      <c r="B205" s="13" t="str">
        <f>IFERROR(__xludf.DUMMYFUNCTION("""COMPUTED_VALUE"""),"Xbox / PC")</f>
        <v>Xbox / PC</v>
      </c>
      <c r="C205" s="14" t="str">
        <f>IFERROR(__xludf.DUMMYFUNCTION("""COMPUTED_VALUE"""),"Yes")</f>
        <v>Yes</v>
      </c>
      <c r="D205" s="14" t="str">
        <f>IFERROR(__xludf.DUMMYFUNCTION("""COMPUTED_VALUE"""),"Active")</f>
        <v>Active</v>
      </c>
      <c r="E205" s="15">
        <f>IFERROR(__xludf.DUMMYFUNCTION("""COMPUTED_VALUE"""),43625.0)</f>
        <v>43625</v>
      </c>
      <c r="F205" s="16"/>
      <c r="G205" s="18">
        <f>IFERROR(__xludf.DUMMYFUNCTION("""COMPUTED_VALUE"""),87.9)</f>
        <v>87.9</v>
      </c>
      <c r="H205" s="15">
        <f>IFERROR(__xludf.DUMMYFUNCTION("""COMPUTED_VALUE"""),43249.0)</f>
        <v>43249</v>
      </c>
      <c r="I205" s="18">
        <f>IFERROR(__xludf.DUMMYFUNCTION("""COMPUTED_VALUE"""),1.0277777777777777)</f>
        <v>1.027777778</v>
      </c>
      <c r="J205" s="22">
        <f>IFERROR(__xludf.DUMMYFUNCTION("""COMPUTED_VALUE"""),84.0)</f>
        <v>84</v>
      </c>
      <c r="K205" s="22">
        <f>IFERROR(__xludf.DUMMYFUNCTION("""COMPUTED_VALUE"""),14.0)</f>
        <v>14</v>
      </c>
      <c r="L205" s="26" t="str">
        <f>IFERROR(__xludf.DUMMYFUNCTION("""COMPUTED_VALUE"""),"RPG")</f>
        <v>RPG</v>
      </c>
      <c r="M205" s="13" t="b">
        <f>NOT(ISNA(VLOOKUP(A205,PC!A:A,1,FALSE)))</f>
        <v>1</v>
      </c>
      <c r="N205" s="13" t="b">
        <f>NOT(ISNA(VLOOKUP(A205,'Game Pass Premium'!A:A,1,FALSE)))</f>
        <v>1</v>
      </c>
      <c r="O205" s="13" t="b">
        <f>NOT(ISNA(VLOOKUP(A205,'Game Pass Essential'!A:A,1,FALSE)))</f>
        <v>0</v>
      </c>
    </row>
    <row r="206">
      <c r="A206" s="12" t="str">
        <f>IFERROR(__xludf.DUMMYFUNCTION("""COMPUTED_VALUE"""),"Gears of War 4")</f>
        <v>Gears of War 4</v>
      </c>
      <c r="B206" s="13" t="str">
        <f>IFERROR(__xludf.DUMMYFUNCTION("""COMPUTED_VALUE"""),"Xbox / PC")</f>
        <v>Xbox / PC</v>
      </c>
      <c r="C206" s="14" t="str">
        <f>IFERROR(__xludf.DUMMYFUNCTION("""COMPUTED_VALUE"""),"Yes")</f>
        <v>Yes</v>
      </c>
      <c r="D206" s="14" t="str">
        <f>IFERROR(__xludf.DUMMYFUNCTION("""COMPUTED_VALUE"""),"Active")</f>
        <v>Active</v>
      </c>
      <c r="E206" s="15">
        <f>IFERROR(__xludf.DUMMYFUNCTION("""COMPUTED_VALUE"""),43070.0)</f>
        <v>43070</v>
      </c>
      <c r="F206" s="16"/>
      <c r="G206" s="18">
        <f>IFERROR(__xludf.DUMMYFUNCTION("""COMPUTED_VALUE"""),106.16666666666666)</f>
        <v>106.1666667</v>
      </c>
      <c r="H206" s="15">
        <f>IFERROR(__xludf.DUMMYFUNCTION("""COMPUTED_VALUE"""),42650.0)</f>
        <v>42650</v>
      </c>
      <c r="I206" s="18">
        <f>IFERROR(__xludf.DUMMYFUNCTION("""COMPUTED_VALUE"""),1.15)</f>
        <v>1.15</v>
      </c>
      <c r="J206" s="22">
        <f>IFERROR(__xludf.DUMMYFUNCTION("""COMPUTED_VALUE"""),84.0)</f>
        <v>84</v>
      </c>
      <c r="K206" s="22">
        <f>IFERROR(__xludf.DUMMYFUNCTION("""COMPUTED_VALUE"""),9.0)</f>
        <v>9</v>
      </c>
      <c r="L206" s="26" t="str">
        <f>IFERROR(__xludf.DUMMYFUNCTION("""COMPUTED_VALUE"""),"Shooter")</f>
        <v>Shooter</v>
      </c>
      <c r="M206" s="13" t="b">
        <f>NOT(ISNA(VLOOKUP(A206,PC!A:A,1,FALSE)))</f>
        <v>1</v>
      </c>
      <c r="N206" s="13" t="b">
        <f>NOT(ISNA(VLOOKUP(A206,'Game Pass Premium'!A:A,1,FALSE)))</f>
        <v>1</v>
      </c>
      <c r="O206" s="13" t="b">
        <f>NOT(ISNA(VLOOKUP(A206,'Game Pass Essential'!A:A,1,FALSE)))</f>
        <v>0</v>
      </c>
    </row>
    <row r="207">
      <c r="A207" s="12" t="str">
        <f>IFERROR(__xludf.DUMMYFUNCTION("""COMPUTED_VALUE"""),"Halo 5: Guardians")</f>
        <v>Halo 5: Guardians</v>
      </c>
      <c r="B207" s="13" t="str">
        <f>IFERROR(__xludf.DUMMYFUNCTION("""COMPUTED_VALUE"""),"Xbox")</f>
        <v>Xbox</v>
      </c>
      <c r="C207" s="14" t="str">
        <f>IFERROR(__xludf.DUMMYFUNCTION("""COMPUTED_VALUE"""),"Yes")</f>
        <v>Yes</v>
      </c>
      <c r="D207" s="14" t="str">
        <f>IFERROR(__xludf.DUMMYFUNCTION("""COMPUTED_VALUE"""),"Active")</f>
        <v>Active</v>
      </c>
      <c r="E207" s="15">
        <f>IFERROR(__xludf.DUMMYFUNCTION("""COMPUTED_VALUE"""),42887.0)</f>
        <v>42887</v>
      </c>
      <c r="F207" s="16"/>
      <c r="G207" s="18">
        <f>IFERROR(__xludf.DUMMYFUNCTION("""COMPUTED_VALUE"""),112.16666666666666)</f>
        <v>112.1666667</v>
      </c>
      <c r="H207" s="15">
        <f>IFERROR(__xludf.DUMMYFUNCTION("""COMPUTED_VALUE"""),42304.0)</f>
        <v>42304</v>
      </c>
      <c r="I207" s="18">
        <f>IFERROR(__xludf.DUMMYFUNCTION("""COMPUTED_VALUE"""),1.5944444444444446)</f>
        <v>1.594444444</v>
      </c>
      <c r="J207" s="22">
        <f>IFERROR(__xludf.DUMMYFUNCTION("""COMPUTED_VALUE"""),84.0)</f>
        <v>84</v>
      </c>
      <c r="K207" s="22">
        <f>IFERROR(__xludf.DUMMYFUNCTION("""COMPUTED_VALUE"""),8.0)</f>
        <v>8</v>
      </c>
      <c r="L207" s="26" t="str">
        <f>IFERROR(__xludf.DUMMYFUNCTION("""COMPUTED_VALUE"""),"Shooter")</f>
        <v>Shooter</v>
      </c>
      <c r="M207" s="13" t="b">
        <f>NOT(ISNA(VLOOKUP(A207,PC!A:A,1,FALSE)))</f>
        <v>0</v>
      </c>
      <c r="N207" s="13" t="b">
        <f>NOT(ISNA(VLOOKUP(A207,'Game Pass Premium'!A:A,1,FALSE)))</f>
        <v>1</v>
      </c>
      <c r="O207" s="13" t="b">
        <f>NOT(ISNA(VLOOKUP(A207,'Game Pass Essential'!A:A,1,FALSE)))</f>
        <v>1</v>
      </c>
    </row>
    <row r="208">
      <c r="A208" s="12" t="str">
        <f>IFERROR(__xludf.DUMMYFUNCTION("""COMPUTED_VALUE"""),"Terraria")</f>
        <v>Terraria</v>
      </c>
      <c r="B208" s="13" t="str">
        <f>IFERROR(__xludf.DUMMYFUNCTION("""COMPUTED_VALUE"""),"Xbox")</f>
        <v>Xbox</v>
      </c>
      <c r="C208" s="14" t="str">
        <f>IFERROR(__xludf.DUMMYFUNCTION("""COMPUTED_VALUE"""),"M+KB")</f>
        <v>M+KB</v>
      </c>
      <c r="D208" s="14" t="str">
        <f>IFERROR(__xludf.DUMMYFUNCTION("""COMPUTED_VALUE"""),"Active")</f>
        <v>Active</v>
      </c>
      <c r="E208" s="15">
        <f>IFERROR(__xludf.DUMMYFUNCTION("""COMPUTED_VALUE"""),42887.0)</f>
        <v>42887</v>
      </c>
      <c r="F208" s="16"/>
      <c r="G208" s="18">
        <f>IFERROR(__xludf.DUMMYFUNCTION("""COMPUTED_VALUE"""),112.16666666666666)</f>
        <v>112.1666667</v>
      </c>
      <c r="H208" s="15">
        <f>IFERROR(__xludf.DUMMYFUNCTION("""COMPUTED_VALUE"""),40679.0)</f>
        <v>40679</v>
      </c>
      <c r="I208" s="18">
        <f>IFERROR(__xludf.DUMMYFUNCTION("""COMPUTED_VALUE"""),6.041666666666667)</f>
        <v>6.041666667</v>
      </c>
      <c r="J208" s="22">
        <f>IFERROR(__xludf.DUMMYFUNCTION("""COMPUTED_VALUE"""),84.0)</f>
        <v>84</v>
      </c>
      <c r="K208" s="22">
        <f>IFERROR(__xludf.DUMMYFUNCTION("""COMPUTED_VALUE"""),94.0)</f>
        <v>94</v>
      </c>
      <c r="L208" s="26" t="str">
        <f>IFERROR(__xludf.DUMMYFUNCTION("""COMPUTED_VALUE"""),"Platformer")</f>
        <v>Platformer</v>
      </c>
      <c r="M208" s="13" t="b">
        <f>NOT(ISNA(VLOOKUP(A208,PC!A:A,1,FALSE)))</f>
        <v>0</v>
      </c>
      <c r="N208" s="13" t="b">
        <f>NOT(ISNA(VLOOKUP(A208,'Game Pass Premium'!A:A,1,FALSE)))</f>
        <v>1</v>
      </c>
      <c r="O208" s="13" t="b">
        <f>NOT(ISNA(VLOOKUP(A208,'Game Pass Essential'!A:A,1,FALSE)))</f>
        <v>0</v>
      </c>
    </row>
    <row r="209">
      <c r="A209" s="12" t="str">
        <f>IFERROR(__xludf.DUMMYFUNCTION("""COMPUTED_VALUE"""),"Viva Piñata")</f>
        <v>Viva Piñata</v>
      </c>
      <c r="B209" s="13" t="str">
        <f>IFERROR(__xludf.DUMMYFUNCTION("""COMPUTED_VALUE"""),"Xbox")</f>
        <v>Xbox</v>
      </c>
      <c r="C209" s="14" t="str">
        <f>IFERROR(__xludf.DUMMYFUNCTION("""COMPUTED_VALUE"""),"Touch Controls")</f>
        <v>Touch Controls</v>
      </c>
      <c r="D209" s="14" t="str">
        <f>IFERROR(__xludf.DUMMYFUNCTION("""COMPUTED_VALUE"""),"Active")</f>
        <v>Active</v>
      </c>
      <c r="E209" s="15">
        <f>IFERROR(__xludf.DUMMYFUNCTION("""COMPUTED_VALUE"""),42887.0)</f>
        <v>42887</v>
      </c>
      <c r="F209" s="16"/>
      <c r="G209" s="18">
        <f>IFERROR(__xludf.DUMMYFUNCTION("""COMPUTED_VALUE"""),112.16666666666666)</f>
        <v>112.1666667</v>
      </c>
      <c r="H209" s="15">
        <f>IFERROR(__xludf.DUMMYFUNCTION("""COMPUTED_VALUE"""),39030.0)</f>
        <v>39030</v>
      </c>
      <c r="I209" s="18">
        <f>IFERROR(__xludf.DUMMYFUNCTION("""COMPUTED_VALUE"""),10.561111111111112)</f>
        <v>10.56111111</v>
      </c>
      <c r="J209" s="22">
        <f>IFERROR(__xludf.DUMMYFUNCTION("""COMPUTED_VALUE"""),84.0)</f>
        <v>84</v>
      </c>
      <c r="K209" s="22">
        <f>IFERROR(__xludf.DUMMYFUNCTION("""COMPUTED_VALUE"""),19.0)</f>
        <v>19</v>
      </c>
      <c r="L209" s="26" t="str">
        <f>IFERROR(__xludf.DUMMYFUNCTION("""COMPUTED_VALUE"""),"Simulation")</f>
        <v>Simulation</v>
      </c>
      <c r="M209" s="13" t="b">
        <f>NOT(ISNA(VLOOKUP(A209,PC!A:A,1,FALSE)))</f>
        <v>0</v>
      </c>
      <c r="N209" s="13" t="b">
        <f>NOT(ISNA(VLOOKUP(A209,'Game Pass Premium'!A:A,1,FALSE)))</f>
        <v>1</v>
      </c>
      <c r="O209" s="13" t="b">
        <f>NOT(ISNA(VLOOKUP(A209,'Game Pass Essential'!A:A,1,FALSE)))</f>
        <v>0</v>
      </c>
    </row>
    <row r="210">
      <c r="A210" s="12" t="str">
        <f>IFERROR(__xludf.DUMMYFUNCTION("""COMPUTED_VALUE"""),"Monaco: What's Yours is Mine")</f>
        <v>Monaco: What's Yours is Mine</v>
      </c>
      <c r="B210" s="13" t="str">
        <f>IFERROR(__xludf.DUMMYFUNCTION("""COMPUTED_VALUE"""),"XB360/OG Xbox")</f>
        <v>XB360/OG Xbox</v>
      </c>
      <c r="C210" s="14"/>
      <c r="D210" s="14" t="str">
        <f>IFERROR(__xludf.DUMMYFUNCTION("""COMPUTED_VALUE"""),"GwG Permanent")</f>
        <v>GwG Permanent</v>
      </c>
      <c r="E210" s="15">
        <f>IFERROR(__xludf.DUMMYFUNCTION("""COMPUTED_VALUE"""),44788.0)</f>
        <v>44788</v>
      </c>
      <c r="F210" s="16">
        <f>IFERROR(__xludf.DUMMYFUNCTION("""COMPUTED_VALUE"""),44804.0)</f>
        <v>44804</v>
      </c>
      <c r="G210" s="18">
        <f>IFERROR(__xludf.DUMMYFUNCTION("""COMPUTED_VALUE"""),0.5)</f>
        <v>0.5</v>
      </c>
      <c r="H210" s="15">
        <f>IFERROR(__xludf.DUMMYFUNCTION("""COMPUTED_VALUE"""),41388.0)</f>
        <v>41388</v>
      </c>
      <c r="I210" s="18">
        <f>IFERROR(__xludf.DUMMYFUNCTION("""COMPUTED_VALUE"""),9.308333333333334)</f>
        <v>9.308333333</v>
      </c>
      <c r="J210" s="22">
        <f>IFERROR(__xludf.DUMMYFUNCTION("""COMPUTED_VALUE"""),84.0)</f>
        <v>84</v>
      </c>
      <c r="K210" s="22">
        <f>IFERROR(__xludf.DUMMYFUNCTION("""COMPUTED_VALUE"""),8.0)</f>
        <v>8</v>
      </c>
      <c r="L210" s="26" t="str">
        <f>IFERROR(__xludf.DUMMYFUNCTION("""COMPUTED_VALUE"""),"Stealth")</f>
        <v>Stealth</v>
      </c>
      <c r="M210" s="13" t="b">
        <f>NOT(ISNA(VLOOKUP(A210,PC!A:A,1,FALSE)))</f>
        <v>0</v>
      </c>
      <c r="N210" s="13" t="b">
        <f>NOT(ISNA(VLOOKUP(A210,'Game Pass Premium'!A:A,1,FALSE)))</f>
        <v>0</v>
      </c>
      <c r="O210" s="13" t="b">
        <f>NOT(ISNA(VLOOKUP(A210,'Game Pass Essential'!A:A,1,FALSE)))</f>
        <v>0</v>
      </c>
    </row>
    <row r="211">
      <c r="A211" s="12" t="str">
        <f>IFERROR(__xludf.DUMMYFUNCTION("""COMPUTED_VALUE"""),"Radiant Silvergun")</f>
        <v>Radiant Silvergun</v>
      </c>
      <c r="B211" s="13" t="str">
        <f>IFERROR(__xludf.DUMMYFUNCTION("""COMPUTED_VALUE"""),"XB360/OG Xbox")</f>
        <v>XB360/OG Xbox</v>
      </c>
      <c r="C211" s="14"/>
      <c r="D211" s="14" t="str">
        <f>IFERROR(__xludf.DUMMYFUNCTION("""COMPUTED_VALUE"""),"GwG Permanent")</f>
        <v>GwG Permanent</v>
      </c>
      <c r="E211" s="15">
        <f>IFERROR(__xludf.DUMMYFUNCTION("""COMPUTED_VALUE"""),44562.0)</f>
        <v>44562</v>
      </c>
      <c r="F211" s="16">
        <f>IFERROR(__xludf.DUMMYFUNCTION("""COMPUTED_VALUE"""),44576.0)</f>
        <v>44576</v>
      </c>
      <c r="G211" s="18">
        <f>IFERROR(__xludf.DUMMYFUNCTION("""COMPUTED_VALUE"""),0.4666666666666667)</f>
        <v>0.4666666667</v>
      </c>
      <c r="H211" s="15">
        <f>IFERROR(__xludf.DUMMYFUNCTION("""COMPUTED_VALUE"""),41720.0)</f>
        <v>41720</v>
      </c>
      <c r="I211" s="18">
        <f>IFERROR(__xludf.DUMMYFUNCTION("""COMPUTED_VALUE"""),7.775)</f>
        <v>7.775</v>
      </c>
      <c r="J211" s="22">
        <f>IFERROR(__xludf.DUMMYFUNCTION("""COMPUTED_VALUE"""),84.0)</f>
        <v>84</v>
      </c>
      <c r="K211" s="22">
        <f>IFERROR(__xludf.DUMMYFUNCTION("""COMPUTED_VALUE"""),3.0)</f>
        <v>3</v>
      </c>
      <c r="L211" s="26" t="str">
        <f>IFERROR(__xludf.DUMMYFUNCTION("""COMPUTED_VALUE"""),"Shooter")</f>
        <v>Shooter</v>
      </c>
      <c r="M211" s="13" t="b">
        <f>NOT(ISNA(VLOOKUP(A211,PC!A:A,1,FALSE)))</f>
        <v>0</v>
      </c>
      <c r="N211" s="13" t="b">
        <f>NOT(ISNA(VLOOKUP(A211,'Game Pass Premium'!A:A,1,FALSE)))</f>
        <v>0</v>
      </c>
      <c r="O211" s="13" t="b">
        <f>NOT(ISNA(VLOOKUP(A211,'Game Pass Essential'!A:A,1,FALSE)))</f>
        <v>0</v>
      </c>
    </row>
    <row r="212">
      <c r="A212" s="12" t="str">
        <f>IFERROR(__xludf.DUMMYFUNCTION("""COMPUTED_VALUE"""),"Garou: Mark of the Wolves")</f>
        <v>Garou: Mark of the Wolves</v>
      </c>
      <c r="B212" s="13" t="str">
        <f>IFERROR(__xludf.DUMMYFUNCTION("""COMPUTED_VALUE"""),"XB360/OG Xbox")</f>
        <v>XB360/OG Xbox</v>
      </c>
      <c r="C212" s="14"/>
      <c r="D212" s="14" t="str">
        <f>IFERROR(__xludf.DUMMYFUNCTION("""COMPUTED_VALUE"""),"GwG Permanent")</f>
        <v>GwG Permanent</v>
      </c>
      <c r="E212" s="15">
        <f>IFERROR(__xludf.DUMMYFUNCTION("""COMPUTED_VALUE"""),44424.0)</f>
        <v>44424</v>
      </c>
      <c r="F212" s="16">
        <f>IFERROR(__xludf.DUMMYFUNCTION("""COMPUTED_VALUE"""),44439.0)</f>
        <v>44439</v>
      </c>
      <c r="G212" s="18">
        <f>IFERROR(__xludf.DUMMYFUNCTION("""COMPUTED_VALUE"""),0.4666666666666667)</f>
        <v>0.4666666667</v>
      </c>
      <c r="H212" s="15">
        <f>IFERROR(__xludf.DUMMYFUNCTION("""COMPUTED_VALUE"""),42130.0)</f>
        <v>42130</v>
      </c>
      <c r="I212" s="18">
        <f>IFERROR(__xludf.DUMMYFUNCTION("""COMPUTED_VALUE"""),6.277777777777778)</f>
        <v>6.277777778</v>
      </c>
      <c r="J212" s="22">
        <f>IFERROR(__xludf.DUMMYFUNCTION("""COMPUTED_VALUE"""),84.0)</f>
        <v>84</v>
      </c>
      <c r="K212" s="22">
        <f>IFERROR(__xludf.DUMMYFUNCTION("""COMPUTED_VALUE"""),1.0)</f>
        <v>1</v>
      </c>
      <c r="L212" s="26" t="str">
        <f>IFERROR(__xludf.DUMMYFUNCTION("""COMPUTED_VALUE"""),"Fighting")</f>
        <v>Fighting</v>
      </c>
      <c r="M212" s="13" t="b">
        <f>NOT(ISNA(VLOOKUP(A212,PC!A:A,1,FALSE)))</f>
        <v>0</v>
      </c>
      <c r="N212" s="13" t="b">
        <f>NOT(ISNA(VLOOKUP(A212,'Game Pass Premium'!A:A,1,FALSE)))</f>
        <v>0</v>
      </c>
      <c r="O212" s="13" t="b">
        <f>NOT(ISNA(VLOOKUP(A212,'Game Pass Essential'!A:A,1,FALSE)))</f>
        <v>0</v>
      </c>
    </row>
    <row r="213">
      <c r="A213" s="12" t="str">
        <f>IFERROR(__xludf.DUMMYFUNCTION("""COMPUTED_VALUE"""),"MX Unleashed")</f>
        <v>MX Unleashed</v>
      </c>
      <c r="B213" s="13" t="str">
        <f>IFERROR(__xludf.DUMMYFUNCTION("""COMPUTED_VALUE"""),"XB360/OG Xbox")</f>
        <v>XB360/OG Xbox</v>
      </c>
      <c r="C213" s="14"/>
      <c r="D213" s="14" t="str">
        <f>IFERROR(__xludf.DUMMYFUNCTION("""COMPUTED_VALUE"""),"GwG Permanent")</f>
        <v>GwG Permanent</v>
      </c>
      <c r="E213" s="15">
        <f>IFERROR(__xludf.DUMMYFUNCTION("""COMPUTED_VALUE"""),44044.0)</f>
        <v>44044</v>
      </c>
      <c r="F213" s="16">
        <f>IFERROR(__xludf.DUMMYFUNCTION("""COMPUTED_VALUE"""),44058.0)</f>
        <v>44058</v>
      </c>
      <c r="G213" s="18">
        <f>IFERROR(__xludf.DUMMYFUNCTION("""COMPUTED_VALUE"""),0.4666666666666667)</f>
        <v>0.4666666667</v>
      </c>
      <c r="H213" s="15">
        <f>IFERROR(__xludf.DUMMYFUNCTION("""COMPUTED_VALUE"""),38034.0)</f>
        <v>38034</v>
      </c>
      <c r="I213" s="18">
        <f>IFERROR(__xludf.DUMMYFUNCTION("""COMPUTED_VALUE"""),16.455555555555556)</f>
        <v>16.45555556</v>
      </c>
      <c r="J213" s="22">
        <f>IFERROR(__xludf.DUMMYFUNCTION("""COMPUTED_VALUE"""),84.0)</f>
        <v>84</v>
      </c>
      <c r="K213" s="22">
        <f>IFERROR(__xludf.DUMMYFUNCTION("""COMPUTED_VALUE"""),10.0)</f>
        <v>10</v>
      </c>
      <c r="L213" s="26" t="str">
        <f>IFERROR(__xludf.DUMMYFUNCTION("""COMPUTED_VALUE"""),"Racing")</f>
        <v>Racing</v>
      </c>
      <c r="M213" s="13" t="b">
        <f>NOT(ISNA(VLOOKUP(A213,PC!A:A,1,FALSE)))</f>
        <v>0</v>
      </c>
      <c r="N213" s="13" t="b">
        <f>NOT(ISNA(VLOOKUP(A213,'Game Pass Premium'!A:A,1,FALSE)))</f>
        <v>0</v>
      </c>
      <c r="O213" s="13" t="b">
        <f>NOT(ISNA(VLOOKUP(A213,'Game Pass Essential'!A:A,1,FALSE)))</f>
        <v>0</v>
      </c>
    </row>
    <row r="214">
      <c r="A214" s="12" t="str">
        <f>IFERROR(__xludf.DUMMYFUNCTION("""COMPUTED_VALUE"""),"Lara Croft and the Guardian of Light")</f>
        <v>Lara Croft and the Guardian of Light</v>
      </c>
      <c r="B214" s="13" t="str">
        <f>IFERROR(__xludf.DUMMYFUNCTION("""COMPUTED_VALUE"""),"XB360/OG Xbox")</f>
        <v>XB360/OG Xbox</v>
      </c>
      <c r="C214" s="14"/>
      <c r="D214" s="14" t="str">
        <f>IFERROR(__xludf.DUMMYFUNCTION("""COMPUTED_VALUE"""),"GwG Permanent")</f>
        <v>GwG Permanent</v>
      </c>
      <c r="E214" s="15">
        <f>IFERROR(__xludf.DUMMYFUNCTION("""COMPUTED_VALUE"""),43466.0)</f>
        <v>43466</v>
      </c>
      <c r="F214" s="16">
        <f>IFERROR(__xludf.DUMMYFUNCTION("""COMPUTED_VALUE"""),43480.0)</f>
        <v>43480</v>
      </c>
      <c r="G214" s="18">
        <f>IFERROR(__xludf.DUMMYFUNCTION("""COMPUTED_VALUE"""),0.4666666666666667)</f>
        <v>0.4666666667</v>
      </c>
      <c r="H214" s="15">
        <f>IFERROR(__xludf.DUMMYFUNCTION("""COMPUTED_VALUE"""),40269.0)</f>
        <v>40269</v>
      </c>
      <c r="I214" s="18">
        <f>IFERROR(__xludf.DUMMYFUNCTION("""COMPUTED_VALUE"""),8.75)</f>
        <v>8.75</v>
      </c>
      <c r="J214" s="22">
        <f>IFERROR(__xludf.DUMMYFUNCTION("""COMPUTED_VALUE"""),84.0)</f>
        <v>84</v>
      </c>
      <c r="K214" s="22">
        <f>IFERROR(__xludf.DUMMYFUNCTION("""COMPUTED_VALUE"""),6.0)</f>
        <v>6</v>
      </c>
      <c r="L214" s="26" t="str">
        <f>IFERROR(__xludf.DUMMYFUNCTION("""COMPUTED_VALUE"""),"Action-Adventure")</f>
        <v>Action-Adventure</v>
      </c>
      <c r="M214" s="13" t="b">
        <f>NOT(ISNA(VLOOKUP(A214,PC!A:A,1,FALSE)))</f>
        <v>0</v>
      </c>
      <c r="N214" s="13" t="b">
        <f>NOT(ISNA(VLOOKUP(A214,'Game Pass Premium'!A:A,1,FALSE)))</f>
        <v>0</v>
      </c>
      <c r="O214" s="13" t="b">
        <f>NOT(ISNA(VLOOKUP(A214,'Game Pass Essential'!A:A,1,FALSE)))</f>
        <v>0</v>
      </c>
    </row>
    <row r="215">
      <c r="A215" s="12" t="str">
        <f>IFERROR(__xludf.DUMMYFUNCTION("""COMPUTED_VALUE"""),"Child of Eden")</f>
        <v>Child of Eden</v>
      </c>
      <c r="B215" s="13" t="str">
        <f>IFERROR(__xludf.DUMMYFUNCTION("""COMPUTED_VALUE"""),"XB360/OG Xbox")</f>
        <v>XB360/OG Xbox</v>
      </c>
      <c r="C215" s="14"/>
      <c r="D215" s="14" t="str">
        <f>IFERROR(__xludf.DUMMYFUNCTION("""COMPUTED_VALUE"""),"GwG Permanent")</f>
        <v>GwG Permanent</v>
      </c>
      <c r="E215" s="15">
        <f>IFERROR(__xludf.DUMMYFUNCTION("""COMPUTED_VALUE"""),43070.0)</f>
        <v>43070</v>
      </c>
      <c r="F215" s="16">
        <f>IFERROR(__xludf.DUMMYFUNCTION("""COMPUTED_VALUE"""),43084.0)</f>
        <v>43084</v>
      </c>
      <c r="G215" s="18">
        <f>IFERROR(__xludf.DUMMYFUNCTION("""COMPUTED_VALUE"""),0.4666666666666667)</f>
        <v>0.4666666667</v>
      </c>
      <c r="H215" s="15">
        <f>IFERROR(__xludf.DUMMYFUNCTION("""COMPUTED_VALUE"""),40708.0)</f>
        <v>40708</v>
      </c>
      <c r="I215" s="18">
        <f>IFERROR(__xludf.DUMMYFUNCTION("""COMPUTED_VALUE"""),6.463888888888889)</f>
        <v>6.463888889</v>
      </c>
      <c r="J215" s="22">
        <f>IFERROR(__xludf.DUMMYFUNCTION("""COMPUTED_VALUE"""),84.0)</f>
        <v>84</v>
      </c>
      <c r="K215" s="22">
        <f>IFERROR(__xludf.DUMMYFUNCTION("""COMPUTED_VALUE"""),3.0)</f>
        <v>3</v>
      </c>
      <c r="L215" s="26" t="str">
        <f>IFERROR(__xludf.DUMMYFUNCTION("""COMPUTED_VALUE"""),"Shooter")</f>
        <v>Shooter</v>
      </c>
      <c r="M215" s="13" t="b">
        <f>NOT(ISNA(VLOOKUP(A215,PC!A:A,1,FALSE)))</f>
        <v>0</v>
      </c>
      <c r="N215" s="13" t="b">
        <f>NOT(ISNA(VLOOKUP(A215,'Game Pass Premium'!A:A,1,FALSE)))</f>
        <v>0</v>
      </c>
      <c r="O215" s="13" t="b">
        <f>NOT(ISNA(VLOOKUP(A215,'Game Pass Essential'!A:A,1,FALSE)))</f>
        <v>0</v>
      </c>
    </row>
    <row r="216">
      <c r="A216" s="12" t="str">
        <f>IFERROR(__xludf.DUMMYFUNCTION("""COMPUTED_VALUE"""),"DiRT 3")</f>
        <v>DiRT 3</v>
      </c>
      <c r="B216" s="13" t="str">
        <f>IFERROR(__xludf.DUMMYFUNCTION("""COMPUTED_VALUE"""),"XB360/OG Xbox")</f>
        <v>XB360/OG Xbox</v>
      </c>
      <c r="C216" s="14"/>
      <c r="D216" s="14" t="str">
        <f>IFERROR(__xludf.DUMMYFUNCTION("""COMPUTED_VALUE"""),"GwG Permanent")</f>
        <v>GwG Permanent</v>
      </c>
      <c r="E216" s="15">
        <f>IFERROR(__xludf.DUMMYFUNCTION("""COMPUTED_VALUE"""),42309.0)</f>
        <v>42309</v>
      </c>
      <c r="F216" s="16">
        <f>IFERROR(__xludf.DUMMYFUNCTION("""COMPUTED_VALUE"""),42323.0)</f>
        <v>42323</v>
      </c>
      <c r="G216" s="18">
        <f>IFERROR(__xludf.DUMMYFUNCTION("""COMPUTED_VALUE"""),0.4666666666666667)</f>
        <v>0.4666666667</v>
      </c>
      <c r="H216" s="15">
        <f>IFERROR(__xludf.DUMMYFUNCTION("""COMPUTED_VALUE"""),40687.0)</f>
        <v>40687</v>
      </c>
      <c r="I216" s="18">
        <f>IFERROR(__xludf.DUMMYFUNCTION("""COMPUTED_VALUE"""),4.436111111111111)</f>
        <v>4.436111111</v>
      </c>
      <c r="J216" s="22">
        <f>IFERROR(__xludf.DUMMYFUNCTION("""COMPUTED_VALUE"""),84.0)</f>
        <v>84</v>
      </c>
      <c r="K216" s="22">
        <f>IFERROR(__xludf.DUMMYFUNCTION("""COMPUTED_VALUE"""),8.0)</f>
        <v>8</v>
      </c>
      <c r="L216" s="26" t="str">
        <f>IFERROR(__xludf.DUMMYFUNCTION("""COMPUTED_VALUE"""),"Racing")</f>
        <v>Racing</v>
      </c>
      <c r="M216" s="13" t="b">
        <f>NOT(ISNA(VLOOKUP(A216,PC!A:A,1,FALSE)))</f>
        <v>0</v>
      </c>
      <c r="N216" s="13" t="b">
        <f>NOT(ISNA(VLOOKUP(A216,'Game Pass Premium'!A:A,1,FALSE)))</f>
        <v>0</v>
      </c>
      <c r="O216" s="13" t="b">
        <f>NOT(ISNA(VLOOKUP(A216,'Game Pass Essential'!A:A,1,FALSE)))</f>
        <v>0</v>
      </c>
    </row>
    <row r="217">
      <c r="A217" s="12" t="str">
        <f>IFERROR(__xludf.DUMMYFUNCTION("""COMPUTED_VALUE"""),"Plants vs. Zombies")</f>
        <v>Plants vs. Zombies</v>
      </c>
      <c r="B217" s="13" t="str">
        <f>IFERROR(__xludf.DUMMYFUNCTION("""COMPUTED_VALUE"""),"XB360/OG Xbox")</f>
        <v>XB360/OG Xbox</v>
      </c>
      <c r="C217" s="14"/>
      <c r="D217" s="14" t="str">
        <f>IFERROR(__xludf.DUMMYFUNCTION("""COMPUTED_VALUE"""),"GwG Permanent")</f>
        <v>GwG Permanent</v>
      </c>
      <c r="E217" s="15">
        <f>IFERROR(__xludf.DUMMYFUNCTION("""COMPUTED_VALUE"""),42186.0)</f>
        <v>42186</v>
      </c>
      <c r="F217" s="16">
        <f>IFERROR(__xludf.DUMMYFUNCTION("""COMPUTED_VALUE"""),42200.0)</f>
        <v>42200</v>
      </c>
      <c r="G217" s="18">
        <f>IFERROR(__xludf.DUMMYFUNCTION("""COMPUTED_VALUE"""),0.4666666666666667)</f>
        <v>0.4666666667</v>
      </c>
      <c r="H217" s="15">
        <f>IFERROR(__xludf.DUMMYFUNCTION("""COMPUTED_VALUE"""),39938.0)</f>
        <v>39938</v>
      </c>
      <c r="I217" s="18">
        <f>IFERROR(__xludf.DUMMYFUNCTION("""COMPUTED_VALUE"""),6.155555555555556)</f>
        <v>6.155555556</v>
      </c>
      <c r="J217" s="22">
        <f>IFERROR(__xludf.DUMMYFUNCTION("""COMPUTED_VALUE"""),84.0)</f>
        <v>84</v>
      </c>
      <c r="K217" s="22">
        <f>IFERROR(__xludf.DUMMYFUNCTION("""COMPUTED_VALUE"""),6.0)</f>
        <v>6</v>
      </c>
      <c r="L217" s="26" t="str">
        <f>IFERROR(__xludf.DUMMYFUNCTION("""COMPUTED_VALUE"""),"Strategy")</f>
        <v>Strategy</v>
      </c>
      <c r="M217" s="13" t="b">
        <f>NOT(ISNA(VLOOKUP(A217,PC!A:A,1,FALSE)))</f>
        <v>0</v>
      </c>
      <c r="N217" s="13" t="b">
        <f>NOT(ISNA(VLOOKUP(A217,'Game Pass Premium'!A:A,1,FALSE)))</f>
        <v>0</v>
      </c>
      <c r="O217" s="13" t="b">
        <f>NOT(ISNA(VLOOKUP(A217,'Game Pass Essential'!A:A,1,FALSE)))</f>
        <v>0</v>
      </c>
    </row>
    <row r="218">
      <c r="A218" s="12" t="str">
        <f>IFERROR(__xludf.DUMMYFUNCTION("""COMPUTED_VALUE"""),"Darksiders II")</f>
        <v>Darksiders II</v>
      </c>
      <c r="B218" s="13" t="str">
        <f>IFERROR(__xludf.DUMMYFUNCTION("""COMPUTED_VALUE"""),"XB360/OG Xbox")</f>
        <v>XB360/OG Xbox</v>
      </c>
      <c r="C218" s="14"/>
      <c r="D218" s="14" t="str">
        <f>IFERROR(__xludf.DUMMYFUNCTION("""COMPUTED_VALUE"""),"GwG Permanent")</f>
        <v>GwG Permanent</v>
      </c>
      <c r="E218" s="15">
        <f>IFERROR(__xludf.DUMMYFUNCTION("""COMPUTED_VALUE"""),41928.0)</f>
        <v>41928</v>
      </c>
      <c r="F218" s="16">
        <f>IFERROR(__xludf.DUMMYFUNCTION("""COMPUTED_VALUE"""),41943.0)</f>
        <v>41943</v>
      </c>
      <c r="G218" s="18">
        <f>IFERROR(__xludf.DUMMYFUNCTION("""COMPUTED_VALUE"""),0.4666666666666667)</f>
        <v>0.4666666667</v>
      </c>
      <c r="H218" s="15">
        <f>IFERROR(__xludf.DUMMYFUNCTION("""COMPUTED_VALUE"""),41135.0)</f>
        <v>41135</v>
      </c>
      <c r="I218" s="18">
        <f>IFERROR(__xludf.DUMMYFUNCTION("""COMPUTED_VALUE"""),2.172222222222222)</f>
        <v>2.172222222</v>
      </c>
      <c r="J218" s="22">
        <f>IFERROR(__xludf.DUMMYFUNCTION("""COMPUTED_VALUE"""),84.0)</f>
        <v>84</v>
      </c>
      <c r="K218" s="22">
        <f>IFERROR(__xludf.DUMMYFUNCTION("""COMPUTED_VALUE"""),22.0)</f>
        <v>22</v>
      </c>
      <c r="L218" s="26" t="str">
        <f>IFERROR(__xludf.DUMMYFUNCTION("""COMPUTED_VALUE"""),"Action-Adventure")</f>
        <v>Action-Adventure</v>
      </c>
      <c r="M218" s="13" t="b">
        <f>NOT(ISNA(VLOOKUP(A218,PC!A:A,1,FALSE)))</f>
        <v>0</v>
      </c>
      <c r="N218" s="13" t="b">
        <f>NOT(ISNA(VLOOKUP(A218,'Game Pass Premium'!A:A,1,FALSE)))</f>
        <v>0</v>
      </c>
      <c r="O218" s="13" t="b">
        <f>NOT(ISNA(VLOOKUP(A218,'Game Pass Essential'!A:A,1,FALSE)))</f>
        <v>0</v>
      </c>
    </row>
    <row r="219">
      <c r="A219" s="12" t="str">
        <f>IFERROR(__xludf.DUMMYFUNCTION("""COMPUTED_VALUE"""),"Monaco: What's Yours Is Mine")</f>
        <v>Monaco: What's Yours Is Mine</v>
      </c>
      <c r="B219" s="13" t="str">
        <f>IFERROR(__xludf.DUMMYFUNCTION("""COMPUTED_VALUE"""),"XB360/OG Xbox")</f>
        <v>XB360/OG Xbox</v>
      </c>
      <c r="C219" s="14"/>
      <c r="D219" s="14" t="str">
        <f>IFERROR(__xludf.DUMMYFUNCTION("""COMPUTED_VALUE"""),"GwG Permanent")</f>
        <v>GwG Permanent</v>
      </c>
      <c r="E219" s="15">
        <f>IFERROR(__xludf.DUMMYFUNCTION("""COMPUTED_VALUE"""),41883.0)</f>
        <v>41883</v>
      </c>
      <c r="F219" s="16">
        <f>IFERROR(__xludf.DUMMYFUNCTION("""COMPUTED_VALUE"""),41897.0)</f>
        <v>41897</v>
      </c>
      <c r="G219" s="18">
        <f>IFERROR(__xludf.DUMMYFUNCTION("""COMPUTED_VALUE"""),0.4666666666666667)</f>
        <v>0.4666666667</v>
      </c>
      <c r="H219" s="15">
        <f>IFERROR(__xludf.DUMMYFUNCTION("""COMPUTED_VALUE"""),41388.0)</f>
        <v>41388</v>
      </c>
      <c r="I219" s="18">
        <f>IFERROR(__xludf.DUMMYFUNCTION("""COMPUTED_VALUE"""),1.3527777777777779)</f>
        <v>1.352777778</v>
      </c>
      <c r="J219" s="22">
        <f>IFERROR(__xludf.DUMMYFUNCTION("""COMPUTED_VALUE"""),84.0)</f>
        <v>84</v>
      </c>
      <c r="K219" s="22">
        <f>IFERROR(__xludf.DUMMYFUNCTION("""COMPUTED_VALUE"""),8.0)</f>
        <v>8</v>
      </c>
      <c r="L219" s="26" t="str">
        <f>IFERROR(__xludf.DUMMYFUNCTION("""COMPUTED_VALUE"""),"Stealth")</f>
        <v>Stealth</v>
      </c>
      <c r="M219" s="13" t="b">
        <f>NOT(ISNA(VLOOKUP(A219,PC!A:A,1,FALSE)))</f>
        <v>0</v>
      </c>
      <c r="N219" s="13" t="b">
        <f>NOT(ISNA(VLOOKUP(A219,'Game Pass Premium'!A:A,1,FALSE)))</f>
        <v>0</v>
      </c>
      <c r="O219" s="13" t="b">
        <f>NOT(ISNA(VLOOKUP(A219,'Game Pass Essential'!A:A,1,FALSE)))</f>
        <v>0</v>
      </c>
    </row>
    <row r="220">
      <c r="A220" s="12" t="str">
        <f>IFERROR(__xludf.DUMMYFUNCTION("""COMPUTED_VALUE"""),"Saints Row: The Third")</f>
        <v>Saints Row: The Third</v>
      </c>
      <c r="B220" s="13" t="str">
        <f>IFERROR(__xludf.DUMMYFUNCTION("""COMPUTED_VALUE"""),"XB360/OG Xbox")</f>
        <v>XB360/OG Xbox</v>
      </c>
      <c r="C220" s="14"/>
      <c r="D220" s="14" t="str">
        <f>IFERROR(__xludf.DUMMYFUNCTION("""COMPUTED_VALUE"""),"GwG Permanent")</f>
        <v>GwG Permanent</v>
      </c>
      <c r="E220" s="15">
        <f>IFERROR(__xludf.DUMMYFUNCTION("""COMPUTED_VALUE"""),41775.0)</f>
        <v>41775</v>
      </c>
      <c r="F220" s="16">
        <f>IFERROR(__xludf.DUMMYFUNCTION("""COMPUTED_VALUE"""),41790.0)</f>
        <v>41790</v>
      </c>
      <c r="G220" s="18">
        <f>IFERROR(__xludf.DUMMYFUNCTION("""COMPUTED_VALUE"""),0.4666666666666667)</f>
        <v>0.4666666667</v>
      </c>
      <c r="H220" s="15">
        <f>IFERROR(__xludf.DUMMYFUNCTION("""COMPUTED_VALUE"""),40862.0)</f>
        <v>40862</v>
      </c>
      <c r="I220" s="18">
        <f>IFERROR(__xludf.DUMMYFUNCTION("""COMPUTED_VALUE"""),2.5027777777777778)</f>
        <v>2.502777778</v>
      </c>
      <c r="J220" s="22">
        <f>IFERROR(__xludf.DUMMYFUNCTION("""COMPUTED_VALUE"""),84.0)</f>
        <v>84</v>
      </c>
      <c r="K220" s="22">
        <f>IFERROR(__xludf.DUMMYFUNCTION("""COMPUTED_VALUE"""),15.0)</f>
        <v>15</v>
      </c>
      <c r="L220" s="26" t="str">
        <f>IFERROR(__xludf.DUMMYFUNCTION("""COMPUTED_VALUE"""),"Action-Adventure")</f>
        <v>Action-Adventure</v>
      </c>
      <c r="M220" s="13" t="b">
        <f>NOT(ISNA(VLOOKUP(A220,PC!A:A,1,FALSE)))</f>
        <v>0</v>
      </c>
      <c r="N220" s="13" t="b">
        <f>NOT(ISNA(VLOOKUP(A220,'Game Pass Premium'!A:A,1,FALSE)))</f>
        <v>0</v>
      </c>
      <c r="O220" s="13" t="b">
        <f>NOT(ISNA(VLOOKUP(A220,'Game Pass Essential'!A:A,1,FALSE)))</f>
        <v>0</v>
      </c>
    </row>
    <row r="221">
      <c r="A221" s="12" t="str">
        <f>IFERROR(__xludf.DUMMYFUNCTION("""COMPUTED_VALUE"""),"Lara Croft and the Guardian of Light")</f>
        <v>Lara Croft and the Guardian of Light</v>
      </c>
      <c r="B221" s="13" t="str">
        <f>IFERROR(__xludf.DUMMYFUNCTION("""COMPUTED_VALUE"""),"XB360/OG Xbox")</f>
        <v>XB360/OG Xbox</v>
      </c>
      <c r="C221" s="14"/>
      <c r="D221" s="14" t="str">
        <f>IFERROR(__xludf.DUMMYFUNCTION("""COMPUTED_VALUE"""),"GwG Permanent")</f>
        <v>GwG Permanent</v>
      </c>
      <c r="E221" s="15">
        <f>IFERROR(__xludf.DUMMYFUNCTION("""COMPUTED_VALUE"""),41655.0)</f>
        <v>41655</v>
      </c>
      <c r="F221" s="16">
        <f>IFERROR(__xludf.DUMMYFUNCTION("""COMPUTED_VALUE"""),41670.0)</f>
        <v>41670</v>
      </c>
      <c r="G221" s="18">
        <f>IFERROR(__xludf.DUMMYFUNCTION("""COMPUTED_VALUE"""),0.4666666666666667)</f>
        <v>0.4666666667</v>
      </c>
      <c r="H221" s="15">
        <f>IFERROR(__xludf.DUMMYFUNCTION("""COMPUTED_VALUE"""),40269.0)</f>
        <v>40269</v>
      </c>
      <c r="I221" s="18">
        <f>IFERROR(__xludf.DUMMYFUNCTION("""COMPUTED_VALUE"""),3.7916666666666665)</f>
        <v>3.791666667</v>
      </c>
      <c r="J221" s="22">
        <f>IFERROR(__xludf.DUMMYFUNCTION("""COMPUTED_VALUE"""),84.0)</f>
        <v>84</v>
      </c>
      <c r="K221" s="22">
        <f>IFERROR(__xludf.DUMMYFUNCTION("""COMPUTED_VALUE"""),7.0)</f>
        <v>7</v>
      </c>
      <c r="L221" s="26" t="str">
        <f>IFERROR(__xludf.DUMMYFUNCTION("""COMPUTED_VALUE"""),"Action-Adventure")</f>
        <v>Action-Adventure</v>
      </c>
      <c r="M221" s="13" t="b">
        <f>NOT(ISNA(VLOOKUP(A221,PC!A:A,1,FALSE)))</f>
        <v>0</v>
      </c>
      <c r="N221" s="13" t="b">
        <f>NOT(ISNA(VLOOKUP(A221,'Game Pass Premium'!A:A,1,FALSE)))</f>
        <v>0</v>
      </c>
      <c r="O221" s="13" t="b">
        <f>NOT(ISNA(VLOOKUP(A221,'Game Pass Essential'!A:A,1,FALSE)))</f>
        <v>0</v>
      </c>
    </row>
    <row r="222">
      <c r="A222" s="12" t="str">
        <f>IFERROR(__xludf.DUMMYFUNCTION("""COMPUTED_VALUE"""),"Tunic")</f>
        <v>Tunic</v>
      </c>
      <c r="B222" s="13" t="str">
        <f>IFERROR(__xludf.DUMMYFUNCTION("""COMPUTED_VALUE"""),"Xbox / PC")</f>
        <v>Xbox / PC</v>
      </c>
      <c r="C222" s="14" t="str">
        <f>IFERROR(__xludf.DUMMYFUNCTION("""COMPUTED_VALUE"""),"Yes")</f>
        <v>Yes</v>
      </c>
      <c r="D222" s="14" t="str">
        <f>IFERROR(__xludf.DUMMYFUNCTION("""COMPUTED_VALUE"""),"Active")</f>
        <v>Active</v>
      </c>
      <c r="E222" s="15">
        <f>IFERROR(__xludf.DUMMYFUNCTION("""COMPUTED_VALUE"""),44636.0)</f>
        <v>44636</v>
      </c>
      <c r="F222" s="16"/>
      <c r="G222" s="18">
        <f>IFERROR(__xludf.DUMMYFUNCTION("""COMPUTED_VALUE"""),54.666666666666664)</f>
        <v>54.66666667</v>
      </c>
      <c r="H222" s="15">
        <f>IFERROR(__xludf.DUMMYFUNCTION("""COMPUTED_VALUE"""),44636.0)</f>
        <v>44636</v>
      </c>
      <c r="I222" s="18">
        <f>IFERROR(__xludf.DUMMYFUNCTION("""COMPUTED_VALUE"""),0.0)</f>
        <v>0</v>
      </c>
      <c r="J222" s="22">
        <f>IFERROR(__xludf.DUMMYFUNCTION("""COMPUTED_VALUE"""),83.5)</f>
        <v>83.5</v>
      </c>
      <c r="K222" s="22">
        <f>IFERROR(__xludf.DUMMYFUNCTION("""COMPUTED_VALUE"""),12.0)</f>
        <v>12</v>
      </c>
      <c r="L222" s="26" t="str">
        <f>IFERROR(__xludf.DUMMYFUNCTION("""COMPUTED_VALUE"""),"Action-Adventure")</f>
        <v>Action-Adventure</v>
      </c>
      <c r="M222" s="13" t="b">
        <f>NOT(ISNA(VLOOKUP(A222,PC!A:A,1,FALSE)))</f>
        <v>1</v>
      </c>
      <c r="N222" s="13" t="b">
        <f>NOT(ISNA(VLOOKUP(A222,'Game Pass Premium'!A:A,1,FALSE)))</f>
        <v>1</v>
      </c>
      <c r="O222" s="13" t="b">
        <f>NOT(ISNA(VLOOKUP(A222,'Game Pass Essential'!A:A,1,FALSE)))</f>
        <v>1</v>
      </c>
    </row>
    <row r="223">
      <c r="A223" s="12" t="str">
        <f>IFERROR(__xludf.DUMMYFUNCTION("""COMPUTED_VALUE"""),"Halo: Infinite")</f>
        <v>Halo: Infinite</v>
      </c>
      <c r="B223" s="13" t="str">
        <f>IFERROR(__xludf.DUMMYFUNCTION("""COMPUTED_VALUE"""),"Xbox / PC")</f>
        <v>Xbox / PC</v>
      </c>
      <c r="C223" s="14" t="str">
        <f>IFERROR(__xludf.DUMMYFUNCTION("""COMPUTED_VALUE"""),"M+KB")</f>
        <v>M+KB</v>
      </c>
      <c r="D223" s="14" t="str">
        <f>IFERROR(__xludf.DUMMYFUNCTION("""COMPUTED_VALUE"""),"Active")</f>
        <v>Active</v>
      </c>
      <c r="E223" s="15">
        <f>IFERROR(__xludf.DUMMYFUNCTION("""COMPUTED_VALUE"""),44538.0)</f>
        <v>44538</v>
      </c>
      <c r="F223" s="16"/>
      <c r="G223" s="18">
        <f>IFERROR(__xludf.DUMMYFUNCTION("""COMPUTED_VALUE"""),57.93333333333333)</f>
        <v>57.93333333</v>
      </c>
      <c r="H223" s="15">
        <f>IFERROR(__xludf.DUMMYFUNCTION("""COMPUTED_VALUE"""),44538.0)</f>
        <v>44538</v>
      </c>
      <c r="I223" s="18">
        <f>IFERROR(__xludf.DUMMYFUNCTION("""COMPUTED_VALUE"""),0.0)</f>
        <v>0</v>
      </c>
      <c r="J223" s="22">
        <f>IFERROR(__xludf.DUMMYFUNCTION("""COMPUTED_VALUE"""),83.5)</f>
        <v>83.5</v>
      </c>
      <c r="K223" s="22">
        <f>IFERROR(__xludf.DUMMYFUNCTION("""COMPUTED_VALUE"""),10.0)</f>
        <v>10</v>
      </c>
      <c r="L223" s="26" t="str">
        <f>IFERROR(__xludf.DUMMYFUNCTION("""COMPUTED_VALUE"""),"Shooter")</f>
        <v>Shooter</v>
      </c>
      <c r="M223" s="13" t="b">
        <f>NOT(ISNA(VLOOKUP(A223,PC!A:A,1,FALSE)))</f>
        <v>1</v>
      </c>
      <c r="N223" s="13" t="b">
        <f>NOT(ISNA(VLOOKUP(A223,'Game Pass Premium'!A:A,1,FALSE)))</f>
        <v>1</v>
      </c>
      <c r="O223" s="13" t="b">
        <f>NOT(ISNA(VLOOKUP(A223,'Game Pass Essential'!A:A,1,FALSE)))</f>
        <v>0</v>
      </c>
    </row>
    <row r="224">
      <c r="A224" s="12" t="str">
        <f>IFERROR(__xludf.DUMMYFUNCTION("""COMPUTED_VALUE"""),"Vampire Crawlers: The Turbo Wildcard from Vampire Survivors")</f>
        <v>Vampire Crawlers: The Turbo Wildcard from Vampire Survivors</v>
      </c>
      <c r="B224" s="13" t="str">
        <f>IFERROR(__xludf.DUMMYFUNCTION("""COMPUTED_VALUE"""),"Xbox / PC")</f>
        <v>Xbox / PC</v>
      </c>
      <c r="C224" s="14" t="str">
        <f>IFERROR(__xludf.DUMMYFUNCTION("""COMPUTED_VALUE"""),"Yes")</f>
        <v>Yes</v>
      </c>
      <c r="D224" s="14" t="str">
        <f>IFERROR(__xludf.DUMMYFUNCTION("""COMPUTED_VALUE"""),"Active")</f>
        <v>Active</v>
      </c>
      <c r="E224" s="15">
        <f>IFERROR(__xludf.DUMMYFUNCTION("""COMPUTED_VALUE"""),46133.0)</f>
        <v>46133</v>
      </c>
      <c r="F224" s="16"/>
      <c r="G224" s="18">
        <f>IFERROR(__xludf.DUMMYFUNCTION("""COMPUTED_VALUE"""),5.5)</f>
        <v>5.5</v>
      </c>
      <c r="H224" s="15">
        <f>IFERROR(__xludf.DUMMYFUNCTION("""COMPUTED_VALUE"""),46133.0)</f>
        <v>46133</v>
      </c>
      <c r="I224" s="18">
        <f>IFERROR(__xludf.DUMMYFUNCTION("""COMPUTED_VALUE"""),0.0)</f>
        <v>0</v>
      </c>
      <c r="J224" s="22">
        <f>IFERROR(__xludf.DUMMYFUNCTION("""COMPUTED_VALUE"""),83.0)</f>
        <v>83</v>
      </c>
      <c r="K224" s="22">
        <f>IFERROR(__xludf.DUMMYFUNCTION("""COMPUTED_VALUE"""),14.0)</f>
        <v>14</v>
      </c>
      <c r="L224" s="26" t="str">
        <f>IFERROR(__xludf.DUMMYFUNCTION("""COMPUTED_VALUE"""),"Card Battle")</f>
        <v>Card Battle</v>
      </c>
      <c r="M224" s="13" t="b">
        <f>NOT(ISNA(VLOOKUP(A224,PC!A:A,1,FALSE)))</f>
        <v>1</v>
      </c>
      <c r="N224" s="13" t="b">
        <f>NOT(ISNA(VLOOKUP(A224,'Game Pass Premium'!A:A,1,FALSE)))</f>
        <v>0</v>
      </c>
      <c r="O224" s="13" t="b">
        <f>NOT(ISNA(VLOOKUP(A224,'Game Pass Essential'!A:A,1,FALSE)))</f>
        <v>0</v>
      </c>
    </row>
    <row r="225">
      <c r="A225" s="12" t="str">
        <f>IFERROR(__xludf.DUMMYFUNCTION("""COMPUTED_VALUE"""),"Planet of Lana II: Children of the Leaf")</f>
        <v>Planet of Lana II: Children of the Leaf</v>
      </c>
      <c r="B225" s="13" t="str">
        <f>IFERROR(__xludf.DUMMYFUNCTION("""COMPUTED_VALUE"""),"Xbox / PC")</f>
        <v>Xbox / PC</v>
      </c>
      <c r="C225" s="14" t="str">
        <f>IFERROR(__xludf.DUMMYFUNCTION("""COMPUTED_VALUE"""),"Yes")</f>
        <v>Yes</v>
      </c>
      <c r="D225" s="14" t="str">
        <f>IFERROR(__xludf.DUMMYFUNCTION("""COMPUTED_VALUE"""),"Active")</f>
        <v>Active</v>
      </c>
      <c r="E225" s="15">
        <f>IFERROR(__xludf.DUMMYFUNCTION("""COMPUTED_VALUE"""),46086.0)</f>
        <v>46086</v>
      </c>
      <c r="F225" s="16"/>
      <c r="G225" s="18">
        <f>IFERROR(__xludf.DUMMYFUNCTION("""COMPUTED_VALUE"""),7.033333333333333)</f>
        <v>7.033333333</v>
      </c>
      <c r="H225" s="15">
        <f>IFERROR(__xludf.DUMMYFUNCTION("""COMPUTED_VALUE"""),46086.0)</f>
        <v>46086</v>
      </c>
      <c r="I225" s="18">
        <f>IFERROR(__xludf.DUMMYFUNCTION("""COMPUTED_VALUE"""),0.0)</f>
        <v>0</v>
      </c>
      <c r="J225" s="22">
        <f>IFERROR(__xludf.DUMMYFUNCTION("""COMPUTED_VALUE"""),83.0)</f>
        <v>83</v>
      </c>
      <c r="K225" s="22">
        <f>IFERROR(__xludf.DUMMYFUNCTION("""COMPUTED_VALUE"""),6.0)</f>
        <v>6</v>
      </c>
      <c r="L225" s="26" t="str">
        <f>IFERROR(__xludf.DUMMYFUNCTION("""COMPUTED_VALUE"""),"Action-Adventure")</f>
        <v>Action-Adventure</v>
      </c>
      <c r="M225" s="13" t="b">
        <f>NOT(ISNA(VLOOKUP(A225,PC!A:A,1,FALSE)))</f>
        <v>1</v>
      </c>
      <c r="N225" s="13" t="b">
        <f>NOT(ISNA(VLOOKUP(A225,'Game Pass Premium'!A:A,1,FALSE)))</f>
        <v>1</v>
      </c>
      <c r="O225" s="13" t="b">
        <f>NOT(ISNA(VLOOKUP(A225,'Game Pass Essential'!A:A,1,FALSE)))</f>
        <v>0</v>
      </c>
    </row>
    <row r="226">
      <c r="A226" s="12" t="str">
        <f>IFERROR(__xludf.DUMMYFUNCTION("""COMPUTED_VALUE"""),"Stampede")</f>
        <v>Stampede</v>
      </c>
      <c r="B226" s="13" t="str">
        <f>IFERROR(__xludf.DUMMYFUNCTION("""COMPUTED_VALUE"""),"Xbox / PC")</f>
        <v>Xbox / PC</v>
      </c>
      <c r="C226" s="14" t="str">
        <f>IFERROR(__xludf.DUMMYFUNCTION("""COMPUTED_VALUE"""),"Yes")</f>
        <v>Yes</v>
      </c>
      <c r="D226" s="14" t="str">
        <f>IFERROR(__xludf.DUMMYFUNCTION("""COMPUTED_VALUE"""),"Active")</f>
        <v>Active</v>
      </c>
      <c r="E226" s="15">
        <f>IFERROR(__xludf.DUMMYFUNCTION("""COMPUTED_VALUE"""),46072.0)</f>
        <v>46072</v>
      </c>
      <c r="F226" s="16"/>
      <c r="G226" s="18">
        <f>IFERROR(__xludf.DUMMYFUNCTION("""COMPUTED_VALUE"""),7.566666666666666)</f>
        <v>7.566666667</v>
      </c>
      <c r="H226" s="15">
        <f>IFERROR(__xludf.DUMMYFUNCTION("""COMPUTED_VALUE"""),29921.0)</f>
        <v>29921</v>
      </c>
      <c r="I226" s="18">
        <f>IFERROR(__xludf.DUMMYFUNCTION("""COMPUTED_VALUE"""),44.21666666666667)</f>
        <v>44.21666667</v>
      </c>
      <c r="J226" s="22">
        <f>IFERROR(__xludf.DUMMYFUNCTION("""COMPUTED_VALUE"""),83.0)</f>
        <v>83</v>
      </c>
      <c r="K226" s="22"/>
      <c r="L226" s="26" t="str">
        <f>IFERROR(__xludf.DUMMYFUNCTION("""COMPUTED_VALUE"""),"Action")</f>
        <v>Action</v>
      </c>
      <c r="M226" s="13" t="b">
        <f>NOT(ISNA(VLOOKUP(A226,PC!A:A,1,FALSE)))</f>
        <v>1</v>
      </c>
      <c r="N226" s="13" t="b">
        <f>NOT(ISNA(VLOOKUP(A226,'Game Pass Premium'!A:A,1,FALSE)))</f>
        <v>1</v>
      </c>
      <c r="O226" s="13" t="b">
        <f>NOT(ISNA(VLOOKUP(A226,'Game Pass Essential'!A:A,1,FALSE)))</f>
        <v>0</v>
      </c>
    </row>
    <row r="227">
      <c r="A227" s="12" t="str">
        <f>IFERROR(__xludf.DUMMYFUNCTION("""COMPUTED_VALUE"""),"BlazBlue Entropy Effect X")</f>
        <v>BlazBlue Entropy Effect X</v>
      </c>
      <c r="B227" s="13" t="str">
        <f>IFERROR(__xludf.DUMMYFUNCTION("""COMPUTED_VALUE"""),"Xbox / PC")</f>
        <v>Xbox / PC</v>
      </c>
      <c r="C227" s="14" t="str">
        <f>IFERROR(__xludf.DUMMYFUNCTION("""COMPUTED_VALUE"""),"Yes")</f>
        <v>Yes</v>
      </c>
      <c r="D227" s="14" t="str">
        <f>IFERROR(__xludf.DUMMYFUNCTION("""COMPUTED_VALUE"""),"Active")</f>
        <v>Active</v>
      </c>
      <c r="E227" s="15">
        <f>IFERROR(__xludf.DUMMYFUNCTION("""COMPUTED_VALUE"""),46065.0)</f>
        <v>46065</v>
      </c>
      <c r="F227" s="16"/>
      <c r="G227" s="18">
        <f>IFERROR(__xludf.DUMMYFUNCTION("""COMPUTED_VALUE"""),7.800000000000001)</f>
        <v>7.8</v>
      </c>
      <c r="H227" s="15">
        <f>IFERROR(__xludf.DUMMYFUNCTION("""COMPUTED_VALUE"""),46065.0)</f>
        <v>46065</v>
      </c>
      <c r="I227" s="18">
        <f>IFERROR(__xludf.DUMMYFUNCTION("""COMPUTED_VALUE"""),0.0)</f>
        <v>0</v>
      </c>
      <c r="J227" s="22">
        <f>IFERROR(__xludf.DUMMYFUNCTION("""COMPUTED_VALUE"""),83.0)</f>
        <v>83</v>
      </c>
      <c r="K227" s="22">
        <f>IFERROR(__xludf.DUMMYFUNCTION("""COMPUTED_VALUE"""),13.0)</f>
        <v>13</v>
      </c>
      <c r="L227" s="26" t="str">
        <f>IFERROR(__xludf.DUMMYFUNCTION("""COMPUTED_VALUE"""),"Action-Adventure")</f>
        <v>Action-Adventure</v>
      </c>
      <c r="M227" s="13" t="b">
        <f>NOT(ISNA(VLOOKUP(A227,PC!A:A,1,FALSE)))</f>
        <v>1</v>
      </c>
      <c r="N227" s="13" t="b">
        <f>NOT(ISNA(VLOOKUP(A227,'Game Pass Premium'!A:A,1,FALSE)))</f>
        <v>1</v>
      </c>
      <c r="O227" s="13" t="b">
        <f>NOT(ISNA(VLOOKUP(A227,'Game Pass Essential'!A:A,1,FALSE)))</f>
        <v>0</v>
      </c>
    </row>
    <row r="228">
      <c r="A228" s="12" t="str">
        <f>IFERROR(__xludf.DUMMYFUNCTION("""COMPUTED_VALUE"""),"Drop Duchy")</f>
        <v>Drop Duchy</v>
      </c>
      <c r="B228" s="13" t="str">
        <f>IFERROR(__xludf.DUMMYFUNCTION("""COMPUTED_VALUE"""),"Xbox / PC")</f>
        <v>Xbox / PC</v>
      </c>
      <c r="C228" s="14" t="str">
        <f>IFERROR(__xludf.DUMMYFUNCTION("""COMPUTED_VALUE"""),"Yes")</f>
        <v>Yes</v>
      </c>
      <c r="D228" s="14" t="str">
        <f>IFERROR(__xludf.DUMMYFUNCTION("""COMPUTED_VALUE"""),"Active")</f>
        <v>Active</v>
      </c>
      <c r="E228" s="15">
        <f>IFERROR(__xludf.DUMMYFUNCTION("""COMPUTED_VALUE"""),46050.0)</f>
        <v>46050</v>
      </c>
      <c r="F228" s="16"/>
      <c r="G228" s="18">
        <f>IFERROR(__xludf.DUMMYFUNCTION("""COMPUTED_VALUE"""),8.266666666666666)</f>
        <v>8.266666667</v>
      </c>
      <c r="H228" s="15">
        <f>IFERROR(__xludf.DUMMYFUNCTION("""COMPUTED_VALUE"""),46050.0)</f>
        <v>46050</v>
      </c>
      <c r="I228" s="18">
        <f>IFERROR(__xludf.DUMMYFUNCTION("""COMPUTED_VALUE"""),0.0)</f>
        <v>0</v>
      </c>
      <c r="J228" s="22">
        <f>IFERROR(__xludf.DUMMYFUNCTION("""COMPUTED_VALUE"""),83.0)</f>
        <v>83</v>
      </c>
      <c r="K228" s="22">
        <f>IFERROR(__xludf.DUMMYFUNCTION("""COMPUTED_VALUE"""),5.0)</f>
        <v>5</v>
      </c>
      <c r="L228" s="26" t="str">
        <f>IFERROR(__xludf.DUMMYFUNCTION("""COMPUTED_VALUE"""),"Action-Adventure")</f>
        <v>Action-Adventure</v>
      </c>
      <c r="M228" s="13" t="b">
        <f>NOT(ISNA(VLOOKUP(A228,PC!A:A,1,FALSE)))</f>
        <v>1</v>
      </c>
      <c r="N228" s="13" t="b">
        <f>NOT(ISNA(VLOOKUP(A228,'Game Pass Premium'!A:A,1,FALSE)))</f>
        <v>1</v>
      </c>
      <c r="O228" s="13" t="b">
        <f>NOT(ISNA(VLOOKUP(A228,'Game Pass Essential'!A:A,1,FALSE)))</f>
        <v>0</v>
      </c>
    </row>
    <row r="229">
      <c r="A229" s="12" t="str">
        <f>IFERROR(__xludf.DUMMYFUNCTION("""COMPUTED_VALUE"""),"MIO: Memories in Orbit")</f>
        <v>MIO: Memories in Orbit</v>
      </c>
      <c r="B229" s="13" t="str">
        <f>IFERROR(__xludf.DUMMYFUNCTION("""COMPUTED_VALUE"""),"Xbox / PC")</f>
        <v>Xbox / PC</v>
      </c>
      <c r="C229" s="14" t="str">
        <f>IFERROR(__xludf.DUMMYFUNCTION("""COMPUTED_VALUE"""),"Yes")</f>
        <v>Yes</v>
      </c>
      <c r="D229" s="14" t="str">
        <f>IFERROR(__xludf.DUMMYFUNCTION("""COMPUTED_VALUE"""),"Active")</f>
        <v>Active</v>
      </c>
      <c r="E229" s="15">
        <f>IFERROR(__xludf.DUMMYFUNCTION("""COMPUTED_VALUE"""),46042.0)</f>
        <v>46042</v>
      </c>
      <c r="F229" s="16"/>
      <c r="G229" s="18">
        <f>IFERROR(__xludf.DUMMYFUNCTION("""COMPUTED_VALUE"""),8.533333333333333)</f>
        <v>8.533333333</v>
      </c>
      <c r="H229" s="15">
        <f>IFERROR(__xludf.DUMMYFUNCTION("""COMPUTED_VALUE"""),46042.0)</f>
        <v>46042</v>
      </c>
      <c r="I229" s="18">
        <f>IFERROR(__xludf.DUMMYFUNCTION("""COMPUTED_VALUE"""),0.0)</f>
        <v>0</v>
      </c>
      <c r="J229" s="22">
        <f>IFERROR(__xludf.DUMMYFUNCTION("""COMPUTED_VALUE"""),83.0)</f>
        <v>83</v>
      </c>
      <c r="K229" s="22">
        <f>IFERROR(__xludf.DUMMYFUNCTION("""COMPUTED_VALUE"""),16.0)</f>
        <v>16</v>
      </c>
      <c r="L229" s="26" t="str">
        <f>IFERROR(__xludf.DUMMYFUNCTION("""COMPUTED_VALUE"""),"Action-Adventure")</f>
        <v>Action-Adventure</v>
      </c>
      <c r="M229" s="13" t="b">
        <f>NOT(ISNA(VLOOKUP(A229,PC!A:A,1,FALSE)))</f>
        <v>1</v>
      </c>
      <c r="N229" s="13" t="b">
        <f>NOT(ISNA(VLOOKUP(A229,'Game Pass Premium'!A:A,1,FALSE)))</f>
        <v>1</v>
      </c>
      <c r="O229" s="13" t="b">
        <f>NOT(ISNA(VLOOKUP(A229,'Game Pass Essential'!A:A,1,FALSE)))</f>
        <v>0</v>
      </c>
    </row>
    <row r="230">
      <c r="A230" s="12" t="str">
        <f>IFERROR(__xludf.DUMMYFUNCTION("""COMPUTED_VALUE"""),"Mortal Kombat 1")</f>
        <v>Mortal Kombat 1</v>
      </c>
      <c r="B230" s="13" t="str">
        <f>IFERROR(__xludf.DUMMYFUNCTION("""COMPUTED_VALUE"""),"Xbox / PC")</f>
        <v>Xbox / PC</v>
      </c>
      <c r="C230" s="14" t="str">
        <f>IFERROR(__xludf.DUMMYFUNCTION("""COMPUTED_VALUE"""),"Yes")</f>
        <v>Yes</v>
      </c>
      <c r="D230" s="14" t="str">
        <f>IFERROR(__xludf.DUMMYFUNCTION("""COMPUTED_VALUE"""),"Active")</f>
        <v>Active</v>
      </c>
      <c r="E230" s="15">
        <f>IFERROR(__xludf.DUMMYFUNCTION("""COMPUTED_VALUE"""),46001.0)</f>
        <v>46001</v>
      </c>
      <c r="F230" s="16"/>
      <c r="G230" s="18">
        <f>IFERROR(__xludf.DUMMYFUNCTION("""COMPUTED_VALUE"""),9.866666666666667)</f>
        <v>9.866666667</v>
      </c>
      <c r="H230" s="15">
        <f>IFERROR(__xludf.DUMMYFUNCTION("""COMPUTED_VALUE"""),45188.0)</f>
        <v>45188</v>
      </c>
      <c r="I230" s="18">
        <f>IFERROR(__xludf.DUMMYFUNCTION("""COMPUTED_VALUE"""),2.225)</f>
        <v>2.225</v>
      </c>
      <c r="J230" s="22">
        <f>IFERROR(__xludf.DUMMYFUNCTION("""COMPUTED_VALUE"""),83.0)</f>
        <v>83</v>
      </c>
      <c r="K230" s="22">
        <f>IFERROR(__xludf.DUMMYFUNCTION("""COMPUTED_VALUE"""),7.0)</f>
        <v>7</v>
      </c>
      <c r="L230" s="26" t="str">
        <f>IFERROR(__xludf.DUMMYFUNCTION("""COMPUTED_VALUE"""),"Action-Adventure")</f>
        <v>Action-Adventure</v>
      </c>
      <c r="M230" s="13" t="b">
        <f>NOT(ISNA(VLOOKUP(A230,PC!A:A,1,FALSE)))</f>
        <v>1</v>
      </c>
      <c r="N230" s="13" t="b">
        <f>NOT(ISNA(VLOOKUP(A230,'Game Pass Premium'!A:A,1,FALSE)))</f>
        <v>1</v>
      </c>
      <c r="O230" s="13" t="b">
        <f>NOT(ISNA(VLOOKUP(A230,'Game Pass Essential'!A:A,1,FALSE)))</f>
        <v>0</v>
      </c>
    </row>
    <row r="231">
      <c r="A231" s="12" t="str">
        <f>IFERROR(__xludf.DUMMYFUNCTION("""COMPUTED_VALUE"""),"The Outer Worlds 2")</f>
        <v>The Outer Worlds 2</v>
      </c>
      <c r="B231" s="13" t="str">
        <f>IFERROR(__xludf.DUMMYFUNCTION("""COMPUTED_VALUE"""),"Xbox / PC")</f>
        <v>Xbox / PC</v>
      </c>
      <c r="C231" s="14" t="str">
        <f>IFERROR(__xludf.DUMMYFUNCTION("""COMPUTED_VALUE"""),"Yes")</f>
        <v>Yes</v>
      </c>
      <c r="D231" s="14" t="str">
        <f>IFERROR(__xludf.DUMMYFUNCTION("""COMPUTED_VALUE"""),"Active")</f>
        <v>Active</v>
      </c>
      <c r="E231" s="15">
        <f>IFERROR(__xludf.DUMMYFUNCTION("""COMPUTED_VALUE"""),45959.0)</f>
        <v>45959</v>
      </c>
      <c r="F231" s="16"/>
      <c r="G231" s="18">
        <f>IFERROR(__xludf.DUMMYFUNCTION("""COMPUTED_VALUE"""),11.233333333333334)</f>
        <v>11.23333333</v>
      </c>
      <c r="H231" s="15">
        <f>IFERROR(__xludf.DUMMYFUNCTION("""COMPUTED_VALUE"""),45959.0)</f>
        <v>45959</v>
      </c>
      <c r="I231" s="18">
        <f>IFERROR(__xludf.DUMMYFUNCTION("""COMPUTED_VALUE"""),0.0)</f>
        <v>0</v>
      </c>
      <c r="J231" s="22">
        <f>IFERROR(__xludf.DUMMYFUNCTION("""COMPUTED_VALUE"""),83.0)</f>
        <v>83</v>
      </c>
      <c r="K231" s="22">
        <f>IFERROR(__xludf.DUMMYFUNCTION("""COMPUTED_VALUE"""),16.0)</f>
        <v>16</v>
      </c>
      <c r="L231" s="26" t="str">
        <f>IFERROR(__xludf.DUMMYFUNCTION("""COMPUTED_VALUE"""),"RPG")</f>
        <v>RPG</v>
      </c>
      <c r="M231" s="13" t="b">
        <f>NOT(ISNA(VLOOKUP(A231,PC!A:A,1,FALSE)))</f>
        <v>1</v>
      </c>
      <c r="N231" s="13" t="b">
        <f>NOT(ISNA(VLOOKUP(A231,'Game Pass Premium'!A:A,1,FALSE)))</f>
        <v>0</v>
      </c>
      <c r="O231" s="13" t="b">
        <f>NOT(ISNA(VLOOKUP(A231,'Game Pass Essential'!A:A,1,FALSE)))</f>
        <v>0</v>
      </c>
    </row>
    <row r="232">
      <c r="A232" s="12" t="str">
        <f>IFERROR(__xludf.DUMMYFUNCTION("""COMPUTED_VALUE"""),"Caesar III")</f>
        <v>Caesar III</v>
      </c>
      <c r="B232" s="13" t="str">
        <f>IFERROR(__xludf.DUMMYFUNCTION("""COMPUTED_VALUE"""),"Xbox / PC")</f>
        <v>Xbox / PC</v>
      </c>
      <c r="C232" s="14" t="str">
        <f>IFERROR(__xludf.DUMMYFUNCTION("""COMPUTED_VALUE"""),"Yes")</f>
        <v>Yes</v>
      </c>
      <c r="D232" s="14" t="str">
        <f>IFERROR(__xludf.DUMMYFUNCTION("""COMPUTED_VALUE"""),"Active")</f>
        <v>Active</v>
      </c>
      <c r="E232" s="15">
        <f>IFERROR(__xludf.DUMMYFUNCTION("""COMPUTED_VALUE"""),45883.0)</f>
        <v>45883</v>
      </c>
      <c r="F232" s="16"/>
      <c r="G232" s="18">
        <f>IFERROR(__xludf.DUMMYFUNCTION("""COMPUTED_VALUE"""),13.733333333333333)</f>
        <v>13.73333333</v>
      </c>
      <c r="H232" s="15">
        <f>IFERROR(__xludf.DUMMYFUNCTION("""COMPUTED_VALUE"""),36068.0)</f>
        <v>36068</v>
      </c>
      <c r="I232" s="18">
        <f>IFERROR(__xludf.DUMMYFUNCTION("""COMPUTED_VALUE"""),26.872222222222224)</f>
        <v>26.87222222</v>
      </c>
      <c r="J232" s="22">
        <f>IFERROR(__xludf.DUMMYFUNCTION("""COMPUTED_VALUE"""),83.0)</f>
        <v>83</v>
      </c>
      <c r="K232" s="22">
        <f>IFERROR(__xludf.DUMMYFUNCTION("""COMPUTED_VALUE"""),35.0)</f>
        <v>35</v>
      </c>
      <c r="L232" s="26" t="str">
        <f>IFERROR(__xludf.DUMMYFUNCTION("""COMPUTED_VALUE"""),"Strategy")</f>
        <v>Strategy</v>
      </c>
      <c r="M232" s="13" t="b">
        <f>NOT(ISNA(VLOOKUP(A232,PC!A:A,1,FALSE)))</f>
        <v>1</v>
      </c>
      <c r="N232" s="13" t="b">
        <f>NOT(ISNA(VLOOKUP(A232,'Game Pass Premium'!A:A,1,FALSE)))</f>
        <v>1</v>
      </c>
      <c r="O232" s="13" t="b">
        <f>NOT(ISNA(VLOOKUP(A232,'Game Pass Essential'!A:A,1,FALSE)))</f>
        <v>0</v>
      </c>
    </row>
    <row r="233">
      <c r="A233" s="12" t="str">
        <f>IFERROR(__xludf.DUMMYFUNCTION("""COMPUTED_VALUE"""),"H.E.R.O.")</f>
        <v>H.E.R.O.</v>
      </c>
      <c r="B233" s="13" t="str">
        <f>IFERROR(__xludf.DUMMYFUNCTION("""COMPUTED_VALUE"""),"Xbox / PC")</f>
        <v>Xbox / PC</v>
      </c>
      <c r="C233" s="14" t="str">
        <f>IFERROR(__xludf.DUMMYFUNCTION("""COMPUTED_VALUE"""),"Yes")</f>
        <v>Yes</v>
      </c>
      <c r="D233" s="14" t="str">
        <f>IFERROR(__xludf.DUMMYFUNCTION("""COMPUTED_VALUE"""),"Active")</f>
        <v>Active</v>
      </c>
      <c r="E233" s="15">
        <f>IFERROR(__xludf.DUMMYFUNCTION("""COMPUTED_VALUE"""),45798.0)</f>
        <v>45798</v>
      </c>
      <c r="F233" s="16"/>
      <c r="G233" s="18">
        <f>IFERROR(__xludf.DUMMYFUNCTION("""COMPUTED_VALUE"""),16.5)</f>
        <v>16.5</v>
      </c>
      <c r="H233" s="15">
        <f>IFERROR(__xludf.DUMMYFUNCTION("""COMPUTED_VALUE"""),30764.0)</f>
        <v>30764</v>
      </c>
      <c r="I233" s="18">
        <f>IFERROR(__xludf.DUMMYFUNCTION("""COMPUTED_VALUE"""),41.16111111111111)</f>
        <v>41.16111111</v>
      </c>
      <c r="J233" s="22">
        <f>IFERROR(__xludf.DUMMYFUNCTION("""COMPUTED_VALUE"""),83.0)</f>
        <v>83</v>
      </c>
      <c r="K233" s="22"/>
      <c r="L233" s="26" t="str">
        <f>IFERROR(__xludf.DUMMYFUNCTION("""COMPUTED_VALUE"""),"Action‑Adventure")</f>
        <v>Action‑Adventure</v>
      </c>
      <c r="M233" s="13" t="b">
        <f>NOT(ISNA(VLOOKUP(A233,PC!A:A,1,FALSE)))</f>
        <v>1</v>
      </c>
      <c r="N233" s="13" t="b">
        <f>NOT(ISNA(VLOOKUP(A233,'Game Pass Premium'!A:A,1,FALSE)))</f>
        <v>1</v>
      </c>
      <c r="O233" s="13" t="b">
        <f>NOT(ISNA(VLOOKUP(A233,'Game Pass Essential'!A:A,1,FALSE)))</f>
        <v>0</v>
      </c>
    </row>
    <row r="234">
      <c r="A234" s="12" t="str">
        <f>IFERROR(__xludf.DUMMYFUNCTION("""COMPUTED_VALUE"""),"Space Quest 2")</f>
        <v>Space Quest 2</v>
      </c>
      <c r="B234" s="13" t="str">
        <f>IFERROR(__xludf.DUMMYFUNCTION("""COMPUTED_VALUE"""),"Xbox / PC")</f>
        <v>Xbox / PC</v>
      </c>
      <c r="C234" s="14" t="str">
        <f>IFERROR(__xludf.DUMMYFUNCTION("""COMPUTED_VALUE"""),"Yes")</f>
        <v>Yes</v>
      </c>
      <c r="D234" s="14" t="str">
        <f>IFERROR(__xludf.DUMMYFUNCTION("""COMPUTED_VALUE"""),"Active")</f>
        <v>Active</v>
      </c>
      <c r="E234" s="15">
        <f>IFERROR(__xludf.DUMMYFUNCTION("""COMPUTED_VALUE"""),45798.0)</f>
        <v>45798</v>
      </c>
      <c r="F234" s="16"/>
      <c r="G234" s="18">
        <f>IFERROR(__xludf.DUMMYFUNCTION("""COMPUTED_VALUE"""),16.5)</f>
        <v>16.5</v>
      </c>
      <c r="H234" s="15">
        <f>IFERROR(__xludf.DUMMYFUNCTION("""COMPUTED_VALUE"""),32082.0)</f>
        <v>32082</v>
      </c>
      <c r="I234" s="18">
        <f>IFERROR(__xludf.DUMMYFUNCTION("""COMPUTED_VALUE"""),37.55555555555556)</f>
        <v>37.55555556</v>
      </c>
      <c r="J234" s="22">
        <f>IFERROR(__xludf.DUMMYFUNCTION("""COMPUTED_VALUE"""),83.0)</f>
        <v>83</v>
      </c>
      <c r="K234" s="22">
        <f>IFERROR(__xludf.DUMMYFUNCTION("""COMPUTED_VALUE"""),3.0)</f>
        <v>3</v>
      </c>
      <c r="L234" s="26" t="str">
        <f>IFERROR(__xludf.DUMMYFUNCTION("""COMPUTED_VALUE"""),"Action‑Adventure")</f>
        <v>Action‑Adventure</v>
      </c>
      <c r="M234" s="13" t="b">
        <f>NOT(ISNA(VLOOKUP(A234,PC!A:A,1,FALSE)))</f>
        <v>1</v>
      </c>
      <c r="N234" s="13" t="b">
        <f>NOT(ISNA(VLOOKUP(A234,'Game Pass Premium'!A:A,1,FALSE)))</f>
        <v>1</v>
      </c>
      <c r="O234" s="13" t="b">
        <f>NOT(ISNA(VLOOKUP(A234,'Game Pass Essential'!A:A,1,FALSE)))</f>
        <v>0</v>
      </c>
    </row>
    <row r="235">
      <c r="A235" s="12" t="str">
        <f>IFERROR(__xludf.DUMMYFUNCTION("""COMPUTED_VALUE"""),"Warhammer: Vermintide 2")</f>
        <v>Warhammer: Vermintide 2</v>
      </c>
      <c r="B235" s="13" t="str">
        <f>IFERROR(__xludf.DUMMYFUNCTION("""COMPUTED_VALUE"""),"Xbox")</f>
        <v>Xbox</v>
      </c>
      <c r="C235" s="14" t="str">
        <f>IFERROR(__xludf.DUMMYFUNCTION("""COMPUTED_VALUE"""),"Yes")</f>
        <v>Yes</v>
      </c>
      <c r="D235" s="14" t="str">
        <f>IFERROR(__xludf.DUMMYFUNCTION("""COMPUTED_VALUE"""),"Active")</f>
        <v>Active</v>
      </c>
      <c r="E235" s="15">
        <f>IFERROR(__xludf.DUMMYFUNCTION("""COMPUTED_VALUE"""),45790.0)</f>
        <v>45790</v>
      </c>
      <c r="F235" s="16"/>
      <c r="G235" s="18">
        <f>IFERROR(__xludf.DUMMYFUNCTION("""COMPUTED_VALUE"""),16.766666666666666)</f>
        <v>16.76666667</v>
      </c>
      <c r="H235" s="15">
        <f>IFERROR(__xludf.DUMMYFUNCTION("""COMPUTED_VALUE"""),43167.0)</f>
        <v>43167</v>
      </c>
      <c r="I235" s="18">
        <f>IFERROR(__xludf.DUMMYFUNCTION("""COMPUTED_VALUE"""),7.180555555555555)</f>
        <v>7.180555556</v>
      </c>
      <c r="J235" s="22">
        <f>IFERROR(__xludf.DUMMYFUNCTION("""COMPUTED_VALUE"""),83.0)</f>
        <v>83</v>
      </c>
      <c r="K235" s="22">
        <f>IFERROR(__xludf.DUMMYFUNCTION("""COMPUTED_VALUE"""),20.0)</f>
        <v>20</v>
      </c>
      <c r="L235" s="26" t="str">
        <f>IFERROR(__xludf.DUMMYFUNCTION("""COMPUTED_VALUE"""),"Shooter")</f>
        <v>Shooter</v>
      </c>
      <c r="M235" s="13" t="b">
        <f>NOT(ISNA(VLOOKUP(A235,PC!A:A,1,FALSE)))</f>
        <v>0</v>
      </c>
      <c r="N235" s="13" t="b">
        <f>NOT(ISNA(VLOOKUP(A235,'Game Pass Premium'!A:A,1,FALSE)))</f>
        <v>1</v>
      </c>
      <c r="O235" s="13" t="b">
        <f>NOT(ISNA(VLOOKUP(A235,'Game Pass Essential'!A:A,1,FALSE)))</f>
        <v>1</v>
      </c>
    </row>
    <row r="236">
      <c r="A236" s="12" t="str">
        <f>IFERROR(__xludf.DUMMYFUNCTION("""COMPUTED_VALUE"""),"EA Sports College Football 25")</f>
        <v>EA Sports College Football 25</v>
      </c>
      <c r="B236" s="13" t="str">
        <f>IFERROR(__xludf.DUMMYFUNCTION("""COMPUTED_VALUE"""),"Xbox")</f>
        <v>Xbox</v>
      </c>
      <c r="C236" s="14" t="str">
        <f>IFERROR(__xludf.DUMMYFUNCTION("""COMPUTED_VALUE"""),"Yes")</f>
        <v>Yes</v>
      </c>
      <c r="D236" s="14" t="str">
        <f>IFERROR(__xludf.DUMMYFUNCTION("""COMPUTED_VALUE"""),"Active")</f>
        <v>Active</v>
      </c>
      <c r="E236" s="15">
        <f>IFERROR(__xludf.DUMMYFUNCTION("""COMPUTED_VALUE"""),45743.0)</f>
        <v>45743</v>
      </c>
      <c r="F236" s="16"/>
      <c r="G236" s="18">
        <f>IFERROR(__xludf.DUMMYFUNCTION("""COMPUTED_VALUE"""),18.299999999999997)</f>
        <v>18.3</v>
      </c>
      <c r="H236" s="15">
        <f>IFERROR(__xludf.DUMMYFUNCTION("""COMPUTED_VALUE"""),45492.0)</f>
        <v>45492</v>
      </c>
      <c r="I236" s="18">
        <f>IFERROR(__xludf.DUMMYFUNCTION("""COMPUTED_VALUE"""),0.6888888888888889)</f>
        <v>0.6888888889</v>
      </c>
      <c r="J236" s="22">
        <f>IFERROR(__xludf.DUMMYFUNCTION("""COMPUTED_VALUE"""),83.0)</f>
        <v>83</v>
      </c>
      <c r="K236" s="22">
        <f>IFERROR(__xludf.DUMMYFUNCTION("""COMPUTED_VALUE"""),11.0)</f>
        <v>11</v>
      </c>
      <c r="L236" s="26" t="str">
        <f>IFERROR(__xludf.DUMMYFUNCTION("""COMPUTED_VALUE"""),"Sports")</f>
        <v>Sports</v>
      </c>
      <c r="M236" s="13" t="b">
        <f>NOT(ISNA(VLOOKUP(A236,PC!A:A,1,FALSE)))</f>
        <v>0</v>
      </c>
      <c r="N236" s="13" t="b">
        <f>NOT(ISNA(VLOOKUP(A236,'Game Pass Premium'!A:A,1,FALSE)))</f>
        <v>0</v>
      </c>
      <c r="O236" s="13" t="b">
        <f>NOT(ISNA(VLOOKUP(A236,'Game Pass Essential'!A:A,1,FALSE)))</f>
        <v>0</v>
      </c>
    </row>
    <row r="237">
      <c r="A237" s="12" t="str">
        <f>IFERROR(__xludf.DUMMYFUNCTION("""COMPUTED_VALUE"""),"Crash Team Racing: Nitro-Fueled")</f>
        <v>Crash Team Racing: Nitro-Fueled</v>
      </c>
      <c r="B237" s="13" t="str">
        <f>IFERROR(__xludf.DUMMYFUNCTION("""COMPUTED_VALUE"""),"Xbox")</f>
        <v>Xbox</v>
      </c>
      <c r="C237" s="14"/>
      <c r="D237" s="14" t="str">
        <f>IFERROR(__xludf.DUMMYFUNCTION("""COMPUTED_VALUE"""),"Active")</f>
        <v>Active</v>
      </c>
      <c r="E237" s="15">
        <f>IFERROR(__xludf.DUMMYFUNCTION("""COMPUTED_VALUE"""),45630.0)</f>
        <v>45630</v>
      </c>
      <c r="F237" s="16"/>
      <c r="G237" s="18">
        <f>IFERROR(__xludf.DUMMYFUNCTION("""COMPUTED_VALUE"""),22.066666666666666)</f>
        <v>22.06666667</v>
      </c>
      <c r="H237" s="15">
        <f>IFERROR(__xludf.DUMMYFUNCTION("""COMPUTED_VALUE"""),43637.0)</f>
        <v>43637</v>
      </c>
      <c r="I237" s="18">
        <f>IFERROR(__xludf.DUMMYFUNCTION("""COMPUTED_VALUE"""),5.4527777777777775)</f>
        <v>5.452777778</v>
      </c>
      <c r="J237" s="22">
        <f>IFERROR(__xludf.DUMMYFUNCTION("""COMPUTED_VALUE"""),83.0)</f>
        <v>83</v>
      </c>
      <c r="K237" s="22">
        <f>IFERROR(__xludf.DUMMYFUNCTION("""COMPUTED_VALUE"""),6.0)</f>
        <v>6</v>
      </c>
      <c r="L237" s="26" t="str">
        <f>IFERROR(__xludf.DUMMYFUNCTION("""COMPUTED_VALUE"""),"Racing")</f>
        <v>Racing</v>
      </c>
      <c r="M237" s="13" t="b">
        <f>NOT(ISNA(VLOOKUP(A237,PC!A:A,1,FALSE)))</f>
        <v>0</v>
      </c>
      <c r="N237" s="13" t="b">
        <f>NOT(ISNA(VLOOKUP(A237,'Game Pass Premium'!A:A,1,FALSE)))</f>
        <v>1</v>
      </c>
      <c r="O237" s="13" t="b">
        <f>NOT(ISNA(VLOOKUP(A237,'Game Pass Essential'!A:A,1,FALSE)))</f>
        <v>1</v>
      </c>
    </row>
    <row r="238">
      <c r="A238" s="12" t="str">
        <f>IFERROR(__xludf.DUMMYFUNCTION("""COMPUTED_VALUE"""),"Nine Sols")</f>
        <v>Nine Sols</v>
      </c>
      <c r="B238" s="13" t="str">
        <f>IFERROR(__xludf.DUMMYFUNCTION("""COMPUTED_VALUE"""),"Xbox / PC")</f>
        <v>Xbox / PC</v>
      </c>
      <c r="C238" s="14" t="str">
        <f>IFERROR(__xludf.DUMMYFUNCTION("""COMPUTED_VALUE"""),"Yes")</f>
        <v>Yes</v>
      </c>
      <c r="D238" s="14" t="str">
        <f>IFERROR(__xludf.DUMMYFUNCTION("""COMPUTED_VALUE"""),"Active")</f>
        <v>Active</v>
      </c>
      <c r="E238" s="15">
        <f>IFERROR(__xludf.DUMMYFUNCTION("""COMPUTED_VALUE"""),45622.0)</f>
        <v>45622</v>
      </c>
      <c r="F238" s="16"/>
      <c r="G238" s="18">
        <f>IFERROR(__xludf.DUMMYFUNCTION("""COMPUTED_VALUE"""),22.333333333333336)</f>
        <v>22.33333333</v>
      </c>
      <c r="H238" s="15">
        <f>IFERROR(__xludf.DUMMYFUNCTION("""COMPUTED_VALUE"""),45440.0)</f>
        <v>45440</v>
      </c>
      <c r="I238" s="18">
        <f>IFERROR(__xludf.DUMMYFUNCTION("""COMPUTED_VALUE"""),0.49444444444444446)</f>
        <v>0.4944444444</v>
      </c>
      <c r="J238" s="22">
        <f>IFERROR(__xludf.DUMMYFUNCTION("""COMPUTED_VALUE"""),83.0)</f>
        <v>83</v>
      </c>
      <c r="K238" s="22">
        <f>IFERROR(__xludf.DUMMYFUNCTION("""COMPUTED_VALUE"""),21.0)</f>
        <v>21</v>
      </c>
      <c r="L238" s="26" t="str">
        <f>IFERROR(__xludf.DUMMYFUNCTION("""COMPUTED_VALUE"""),"Platformer")</f>
        <v>Platformer</v>
      </c>
      <c r="M238" s="13" t="b">
        <f>NOT(ISNA(VLOOKUP(A238,PC!A:A,1,FALSE)))</f>
        <v>1</v>
      </c>
      <c r="N238" s="13" t="b">
        <f>NOT(ISNA(VLOOKUP(A238,'Game Pass Premium'!A:A,1,FALSE)))</f>
        <v>1</v>
      </c>
      <c r="O238" s="13" t="b">
        <f>NOT(ISNA(VLOOKUP(A238,'Game Pass Essential'!A:A,1,FALSE)))</f>
        <v>0</v>
      </c>
    </row>
    <row r="239">
      <c r="A239" s="12" t="str">
        <f>IFERROR(__xludf.DUMMYFUNCTION("""COMPUTED_VALUE"""),"Call of Duty: Black Ops 6")</f>
        <v>Call of Duty: Black Ops 6</v>
      </c>
      <c r="B239" s="13" t="str">
        <f>IFERROR(__xludf.DUMMYFUNCTION("""COMPUTED_VALUE"""),"Xbox / PC")</f>
        <v>Xbox / PC</v>
      </c>
      <c r="C239" s="14" t="str">
        <f>IFERROR(__xludf.DUMMYFUNCTION("""COMPUTED_VALUE"""),"Yes")</f>
        <v>Yes</v>
      </c>
      <c r="D239" s="14" t="str">
        <f>IFERROR(__xludf.DUMMYFUNCTION("""COMPUTED_VALUE"""),"Active")</f>
        <v>Active</v>
      </c>
      <c r="E239" s="15">
        <f>IFERROR(__xludf.DUMMYFUNCTION("""COMPUTED_VALUE"""),45590.0)</f>
        <v>45590</v>
      </c>
      <c r="F239" s="16"/>
      <c r="G239" s="18">
        <f>IFERROR(__xludf.DUMMYFUNCTION("""COMPUTED_VALUE"""),23.366666666666667)</f>
        <v>23.36666667</v>
      </c>
      <c r="H239" s="15">
        <f>IFERROR(__xludf.DUMMYFUNCTION("""COMPUTED_VALUE"""),45590.0)</f>
        <v>45590</v>
      </c>
      <c r="I239" s="18">
        <f>IFERROR(__xludf.DUMMYFUNCTION("""COMPUTED_VALUE"""),0.0)</f>
        <v>0</v>
      </c>
      <c r="J239" s="22">
        <f>IFERROR(__xludf.DUMMYFUNCTION("""COMPUTED_VALUE"""),83.0)</f>
        <v>83</v>
      </c>
      <c r="K239" s="22">
        <f>IFERROR(__xludf.DUMMYFUNCTION("""COMPUTED_VALUE"""),9.0)</f>
        <v>9</v>
      </c>
      <c r="L239" s="26" t="str">
        <f>IFERROR(__xludf.DUMMYFUNCTION("""COMPUTED_VALUE"""),"Shooter")</f>
        <v>Shooter</v>
      </c>
      <c r="M239" s="13" t="b">
        <f>NOT(ISNA(VLOOKUP(A239,PC!A:A,1,FALSE)))</f>
        <v>1</v>
      </c>
      <c r="N239" s="13" t="b">
        <f>NOT(ISNA(VLOOKUP(A239,'Game Pass Premium'!A:A,1,FALSE)))</f>
        <v>1</v>
      </c>
      <c r="O239" s="13" t="b">
        <f>NOT(ISNA(VLOOKUP(A239,'Game Pass Essential'!A:A,1,FALSE)))</f>
        <v>0</v>
      </c>
    </row>
    <row r="240">
      <c r="A240" s="12" t="str">
        <f>IFERROR(__xludf.DUMMYFUNCTION("""COMPUTED_VALUE"""),"Halo 3: ODST")</f>
        <v>Halo 3: ODST</v>
      </c>
      <c r="B240" s="13" t="str">
        <f>IFERROR(__xludf.DUMMYFUNCTION("""COMPUTED_VALUE"""),"Xbox / PC")</f>
        <v>Xbox / PC</v>
      </c>
      <c r="C240" s="14" t="str">
        <f>IFERROR(__xludf.DUMMYFUNCTION("""COMPUTED_VALUE"""),"Yes")</f>
        <v>Yes</v>
      </c>
      <c r="D240" s="14" t="str">
        <f>IFERROR(__xludf.DUMMYFUNCTION("""COMPUTED_VALUE"""),"Active")</f>
        <v>Active</v>
      </c>
      <c r="E240" s="15">
        <f>IFERROR(__xludf.DUMMYFUNCTION("""COMPUTED_VALUE"""),44096.0)</f>
        <v>44096</v>
      </c>
      <c r="F240" s="16"/>
      <c r="G240" s="18">
        <f>IFERROR(__xludf.DUMMYFUNCTION("""COMPUTED_VALUE"""),72.46666666666667)</f>
        <v>72.46666667</v>
      </c>
      <c r="H240" s="15">
        <f>IFERROR(__xludf.DUMMYFUNCTION("""COMPUTED_VALUE"""),40078.0)</f>
        <v>40078</v>
      </c>
      <c r="I240" s="18">
        <f>IFERROR(__xludf.DUMMYFUNCTION("""COMPUTED_VALUE"""),11.0)</f>
        <v>11</v>
      </c>
      <c r="J240" s="22">
        <f>IFERROR(__xludf.DUMMYFUNCTION("""COMPUTED_VALUE"""),83.0)</f>
        <v>83</v>
      </c>
      <c r="K240" s="22">
        <f>IFERROR(__xludf.DUMMYFUNCTION("""COMPUTED_VALUE"""),7.0)</f>
        <v>7</v>
      </c>
      <c r="L240" s="26" t="str">
        <f>IFERROR(__xludf.DUMMYFUNCTION("""COMPUTED_VALUE"""),"Shooter")</f>
        <v>Shooter</v>
      </c>
      <c r="M240" s="13" t="b">
        <f>NOT(ISNA(VLOOKUP(A240,PC!A:A,1,FALSE)))</f>
        <v>1</v>
      </c>
      <c r="N240" s="13" t="b">
        <f>NOT(ISNA(VLOOKUP(A240,'Game Pass Premium'!A:A,1,FALSE)))</f>
        <v>1</v>
      </c>
      <c r="O240" s="13" t="b">
        <f>NOT(ISNA(VLOOKUP(A240,'Game Pass Essential'!A:A,1,FALSE)))</f>
        <v>0</v>
      </c>
    </row>
    <row r="241">
      <c r="A241" s="12" t="str">
        <f>IFERROR(__xludf.DUMMYFUNCTION("""COMPUTED_VALUE"""),"Overcooked! 2")</f>
        <v>Overcooked! 2</v>
      </c>
      <c r="B241" s="13" t="str">
        <f>IFERROR(__xludf.DUMMYFUNCTION("""COMPUTED_VALUE"""),"Xbox / PC")</f>
        <v>Xbox / PC</v>
      </c>
      <c r="C241" s="14" t="str">
        <f>IFERROR(__xludf.DUMMYFUNCTION("""COMPUTED_VALUE"""),"Touch Controls")</f>
        <v>Touch Controls</v>
      </c>
      <c r="D241" s="14" t="str">
        <f>IFERROR(__xludf.DUMMYFUNCTION("""COMPUTED_VALUE"""),"Active")</f>
        <v>Active</v>
      </c>
      <c r="E241" s="15">
        <f>IFERROR(__xludf.DUMMYFUNCTION("""COMPUTED_VALUE"""),43811.0)</f>
        <v>43811</v>
      </c>
      <c r="F241" s="16"/>
      <c r="G241" s="18">
        <f>IFERROR(__xludf.DUMMYFUNCTION("""COMPUTED_VALUE"""),81.8)</f>
        <v>81.8</v>
      </c>
      <c r="H241" s="15">
        <f>IFERROR(__xludf.DUMMYFUNCTION("""COMPUTED_VALUE"""),43319.0)</f>
        <v>43319</v>
      </c>
      <c r="I241" s="18">
        <f>IFERROR(__xludf.DUMMYFUNCTION("""COMPUTED_VALUE"""),1.3472222222222223)</f>
        <v>1.347222222</v>
      </c>
      <c r="J241" s="22">
        <f>IFERROR(__xludf.DUMMYFUNCTION("""COMPUTED_VALUE"""),83.0)</f>
        <v>83</v>
      </c>
      <c r="K241" s="22">
        <f>IFERROR(__xludf.DUMMYFUNCTION("""COMPUTED_VALUE"""),6.5)</f>
        <v>6.5</v>
      </c>
      <c r="L241" s="26" t="str">
        <f>IFERROR(__xludf.DUMMYFUNCTION("""COMPUTED_VALUE"""),"Simulation")</f>
        <v>Simulation</v>
      </c>
      <c r="M241" s="13" t="b">
        <f>NOT(ISNA(VLOOKUP(A241,PC!A:A,1,FALSE)))</f>
        <v>1</v>
      </c>
      <c r="N241" s="13" t="b">
        <f>NOT(ISNA(VLOOKUP(A241,'Game Pass Premium'!A:A,1,FALSE)))</f>
        <v>1</v>
      </c>
      <c r="O241" s="13" t="b">
        <f>NOT(ISNA(VLOOKUP(A241,'Game Pass Essential'!A:A,1,FALSE)))</f>
        <v>1</v>
      </c>
    </row>
    <row r="242">
      <c r="A242" s="12" t="str">
        <f>IFERROR(__xludf.DUMMYFUNCTION("""COMPUTED_VALUE"""),"Gears 5: Game of the Year Edition")</f>
        <v>Gears 5: Game of the Year Edition</v>
      </c>
      <c r="B242" s="13" t="str">
        <f>IFERROR(__xludf.DUMMYFUNCTION("""COMPUTED_VALUE"""),"Xbox / PC")</f>
        <v>Xbox / PC</v>
      </c>
      <c r="C242" s="14" t="str">
        <f>IFERROR(__xludf.DUMMYFUNCTION("""COMPUTED_VALUE"""),"Touch Controls")</f>
        <v>Touch Controls</v>
      </c>
      <c r="D242" s="14" t="str">
        <f>IFERROR(__xludf.DUMMYFUNCTION("""COMPUTED_VALUE"""),"Active")</f>
        <v>Active</v>
      </c>
      <c r="E242" s="15">
        <f>IFERROR(__xludf.DUMMYFUNCTION("""COMPUTED_VALUE"""),43718.0)</f>
        <v>43718</v>
      </c>
      <c r="F242" s="16"/>
      <c r="G242" s="18">
        <f>IFERROR(__xludf.DUMMYFUNCTION("""COMPUTED_VALUE"""),84.86666666666666)</f>
        <v>84.86666667</v>
      </c>
      <c r="H242" s="15">
        <f>IFERROR(__xludf.DUMMYFUNCTION("""COMPUTED_VALUE"""),43718.0)</f>
        <v>43718</v>
      </c>
      <c r="I242" s="18">
        <f>IFERROR(__xludf.DUMMYFUNCTION("""COMPUTED_VALUE"""),0.0)</f>
        <v>0</v>
      </c>
      <c r="J242" s="22">
        <f>IFERROR(__xludf.DUMMYFUNCTION("""COMPUTED_VALUE"""),83.0)</f>
        <v>83</v>
      </c>
      <c r="K242" s="22">
        <f>IFERROR(__xludf.DUMMYFUNCTION("""COMPUTED_VALUE"""),10.5)</f>
        <v>10.5</v>
      </c>
      <c r="L242" s="26" t="str">
        <f>IFERROR(__xludf.DUMMYFUNCTION("""COMPUTED_VALUE"""),"Action")</f>
        <v>Action</v>
      </c>
      <c r="M242" s="13" t="b">
        <f>NOT(ISNA(VLOOKUP(A242,PC!A:A,1,FALSE)))</f>
        <v>1</v>
      </c>
      <c r="N242" s="13" t="b">
        <f>NOT(ISNA(VLOOKUP(A242,'Game Pass Premium'!A:A,1,FALSE)))</f>
        <v>1</v>
      </c>
      <c r="O242" s="13" t="b">
        <f>NOT(ISNA(VLOOKUP(A242,'Game Pass Essential'!A:A,1,FALSE)))</f>
        <v>1</v>
      </c>
    </row>
    <row r="243">
      <c r="A243" s="12" t="str">
        <f>IFERROR(__xludf.DUMMYFUNCTION("""COMPUTED_VALUE"""),"Prey")</f>
        <v>Prey</v>
      </c>
      <c r="B243" s="13" t="str">
        <f>IFERROR(__xludf.DUMMYFUNCTION("""COMPUTED_VALUE"""),"Xbox / PC")</f>
        <v>Xbox / PC</v>
      </c>
      <c r="C243" s="14" t="str">
        <f>IFERROR(__xludf.DUMMYFUNCTION("""COMPUTED_VALUE"""),"Yes")</f>
        <v>Yes</v>
      </c>
      <c r="D243" s="14" t="str">
        <f>IFERROR(__xludf.DUMMYFUNCTION("""COMPUTED_VALUE"""),"Active")</f>
        <v>Active</v>
      </c>
      <c r="E243" s="15">
        <f>IFERROR(__xludf.DUMMYFUNCTION("""COMPUTED_VALUE"""),43566.0)</f>
        <v>43566</v>
      </c>
      <c r="F243" s="16"/>
      <c r="G243" s="18">
        <f>IFERROR(__xludf.DUMMYFUNCTION("""COMPUTED_VALUE"""),89.83333333333333)</f>
        <v>89.83333333</v>
      </c>
      <c r="H243" s="15">
        <f>IFERROR(__xludf.DUMMYFUNCTION("""COMPUTED_VALUE"""),42860.0)</f>
        <v>42860</v>
      </c>
      <c r="I243" s="18">
        <f>IFERROR(__xludf.DUMMYFUNCTION("""COMPUTED_VALUE"""),1.9333333333333333)</f>
        <v>1.933333333</v>
      </c>
      <c r="J243" s="22">
        <f>IFERROR(__xludf.DUMMYFUNCTION("""COMPUTED_VALUE"""),83.0)</f>
        <v>83</v>
      </c>
      <c r="K243" s="22">
        <f>IFERROR(__xludf.DUMMYFUNCTION("""COMPUTED_VALUE"""),16.0)</f>
        <v>16</v>
      </c>
      <c r="L243" s="26" t="str">
        <f>IFERROR(__xludf.DUMMYFUNCTION("""COMPUTED_VALUE"""),"Shooter")</f>
        <v>Shooter</v>
      </c>
      <c r="M243" s="13" t="b">
        <f>NOT(ISNA(VLOOKUP(A243,PC!A:A,1,FALSE)))</f>
        <v>1</v>
      </c>
      <c r="N243" s="13" t="b">
        <f>NOT(ISNA(VLOOKUP(A243,'Game Pass Premium'!A:A,1,FALSE)))</f>
        <v>1</v>
      </c>
      <c r="O243" s="13" t="b">
        <f>NOT(ISNA(VLOOKUP(A243,'Game Pass Essential'!A:A,1,FALSE)))</f>
        <v>0</v>
      </c>
    </row>
    <row r="244">
      <c r="A244" s="12" t="str">
        <f>IFERROR(__xludf.DUMMYFUNCTION("""COMPUTED_VALUE"""),"The Walking Dead: Season Two")</f>
        <v>The Walking Dead: Season Two</v>
      </c>
      <c r="B244" s="13" t="str">
        <f>IFERROR(__xludf.DUMMYFUNCTION("""COMPUTED_VALUE"""),"Xbox / PC")</f>
        <v>Xbox / PC</v>
      </c>
      <c r="C244" s="14" t="str">
        <f>IFERROR(__xludf.DUMMYFUNCTION("""COMPUTED_VALUE"""),"Touch Controls")</f>
        <v>Touch Controls</v>
      </c>
      <c r="D244" s="14" t="str">
        <f>IFERROR(__xludf.DUMMYFUNCTION("""COMPUTED_VALUE"""),"Active")</f>
        <v>Active</v>
      </c>
      <c r="E244" s="15">
        <f>IFERROR(__xludf.DUMMYFUNCTION("""COMPUTED_VALUE"""),43524.0)</f>
        <v>43524</v>
      </c>
      <c r="F244" s="16"/>
      <c r="G244" s="18">
        <f>IFERROR(__xludf.DUMMYFUNCTION("""COMPUTED_VALUE"""),91.26666666666667)</f>
        <v>91.26666667</v>
      </c>
      <c r="H244" s="15">
        <f>IFERROR(__xludf.DUMMYFUNCTION("""COMPUTED_VALUE"""),41625.0)</f>
        <v>41625</v>
      </c>
      <c r="I244" s="18">
        <f>IFERROR(__xludf.DUMMYFUNCTION("""COMPUTED_VALUE"""),5.197222222222222)</f>
        <v>5.197222222</v>
      </c>
      <c r="J244" s="22">
        <f>IFERROR(__xludf.DUMMYFUNCTION("""COMPUTED_VALUE"""),83.0)</f>
        <v>83</v>
      </c>
      <c r="K244" s="22">
        <f>IFERROR(__xludf.DUMMYFUNCTION("""COMPUTED_VALUE"""),9.5)</f>
        <v>9.5</v>
      </c>
      <c r="L244" s="26" t="str">
        <f>IFERROR(__xludf.DUMMYFUNCTION("""COMPUTED_VALUE"""),"Adventure")</f>
        <v>Adventure</v>
      </c>
      <c r="M244" s="13" t="b">
        <f>NOT(ISNA(VLOOKUP(A244,PC!A:A,1,FALSE)))</f>
        <v>1</v>
      </c>
      <c r="N244" s="13" t="b">
        <f>NOT(ISNA(VLOOKUP(A244,'Game Pass Premium'!A:A,1,FALSE)))</f>
        <v>1</v>
      </c>
      <c r="O244" s="13" t="b">
        <f>NOT(ISNA(VLOOKUP(A244,'Game Pass Essential'!A:A,1,FALSE)))</f>
        <v>0</v>
      </c>
    </row>
    <row r="245">
      <c r="A245" s="12" t="str">
        <f>IFERROR(__xludf.DUMMYFUNCTION("""COMPUTED_VALUE"""),"Cities: Skylines - Remastered")</f>
        <v>Cities: Skylines - Remastered</v>
      </c>
      <c r="B245" s="13" t="str">
        <f>IFERROR(__xludf.DUMMYFUNCTION("""COMPUTED_VALUE"""),"Xbox / PC")</f>
        <v>Xbox / PC</v>
      </c>
      <c r="C245" s="14" t="str">
        <f>IFERROR(__xludf.DUMMYFUNCTION("""COMPUTED_VALUE"""),"M+KB")</f>
        <v>M+KB</v>
      </c>
      <c r="D245" s="14" t="str">
        <f>IFERROR(__xludf.DUMMYFUNCTION("""COMPUTED_VALUE"""),"Active")</f>
        <v>Active</v>
      </c>
      <c r="E245" s="15">
        <f>IFERROR(__xludf.DUMMYFUNCTION("""COMPUTED_VALUE"""),43191.0)</f>
        <v>43191</v>
      </c>
      <c r="F245" s="16"/>
      <c r="G245" s="18">
        <f>IFERROR(__xludf.DUMMYFUNCTION("""COMPUTED_VALUE"""),102.16666666666667)</f>
        <v>102.1666667</v>
      </c>
      <c r="H245" s="15">
        <f>IFERROR(__xludf.DUMMYFUNCTION("""COMPUTED_VALUE"""),42073.0)</f>
        <v>42073</v>
      </c>
      <c r="I245" s="18">
        <f>IFERROR(__xludf.DUMMYFUNCTION("""COMPUTED_VALUE"""),3.058333333333333)</f>
        <v>3.058333333</v>
      </c>
      <c r="J245" s="22">
        <f>IFERROR(__xludf.DUMMYFUNCTION("""COMPUTED_VALUE"""),83.0)</f>
        <v>83</v>
      </c>
      <c r="K245" s="22">
        <f>IFERROR(__xludf.DUMMYFUNCTION("""COMPUTED_VALUE"""),25.5)</f>
        <v>25.5</v>
      </c>
      <c r="L245" s="26" t="str">
        <f>IFERROR(__xludf.DUMMYFUNCTION("""COMPUTED_VALUE"""),"Simulation")</f>
        <v>Simulation</v>
      </c>
      <c r="M245" s="13" t="b">
        <f>NOT(ISNA(VLOOKUP(A245,PC!A:A,1,FALSE)))</f>
        <v>1</v>
      </c>
      <c r="N245" s="13" t="b">
        <f>NOT(ISNA(VLOOKUP(A245,'Game Pass Premium'!A:A,1,FALSE)))</f>
        <v>1</v>
      </c>
      <c r="O245" s="13" t="b">
        <f>NOT(ISNA(VLOOKUP(A245,'Game Pass Essential'!A:A,1,FALSE)))</f>
        <v>1</v>
      </c>
    </row>
    <row r="246">
      <c r="A246" s="12" t="str">
        <f>IFERROR(__xludf.DUMMYFUNCTION("""COMPUTED_VALUE"""),"theHunter: Call of the Wild")</f>
        <v>theHunter: Call of the Wild</v>
      </c>
      <c r="B246" s="13" t="str">
        <f>IFERROR(__xludf.DUMMYFUNCTION("""COMPUTED_VALUE"""),"Xbox / PC")</f>
        <v>Xbox / PC</v>
      </c>
      <c r="C246" s="14" t="str">
        <f>IFERROR(__xludf.DUMMYFUNCTION("""COMPUTED_VALUE"""),"Yes")</f>
        <v>Yes</v>
      </c>
      <c r="D246" s="14" t="str">
        <f>IFERROR(__xludf.DUMMYFUNCTION("""COMPUTED_VALUE"""),"Active")</f>
        <v>Active</v>
      </c>
      <c r="E246" s="15">
        <f>IFERROR(__xludf.DUMMYFUNCTION("""COMPUTED_VALUE"""),43191.0)</f>
        <v>43191</v>
      </c>
      <c r="F246" s="16"/>
      <c r="G246" s="18">
        <f>IFERROR(__xludf.DUMMYFUNCTION("""COMPUTED_VALUE"""),102.16666666666667)</f>
        <v>102.1666667</v>
      </c>
      <c r="H246" s="15">
        <f>IFERROR(__xludf.DUMMYFUNCTION("""COMPUTED_VALUE"""),42781.0)</f>
        <v>42781</v>
      </c>
      <c r="I246" s="18">
        <f>IFERROR(__xludf.DUMMYFUNCTION("""COMPUTED_VALUE"""),1.1277777777777778)</f>
        <v>1.127777778</v>
      </c>
      <c r="J246" s="22">
        <f>IFERROR(__xludf.DUMMYFUNCTION("""COMPUTED_VALUE"""),83.0)</f>
        <v>83</v>
      </c>
      <c r="K246" s="22">
        <f>IFERROR(__xludf.DUMMYFUNCTION("""COMPUTED_VALUE"""),20.5)</f>
        <v>20.5</v>
      </c>
      <c r="L246" s="26" t="str">
        <f>IFERROR(__xludf.DUMMYFUNCTION("""COMPUTED_VALUE"""),"Shooter")</f>
        <v>Shooter</v>
      </c>
      <c r="M246" s="13" t="b">
        <f>NOT(ISNA(VLOOKUP(A246,PC!A:A,1,FALSE)))</f>
        <v>1</v>
      </c>
      <c r="N246" s="13" t="b">
        <f>NOT(ISNA(VLOOKUP(A246,'Game Pass Premium'!A:A,1,FALSE)))</f>
        <v>1</v>
      </c>
      <c r="O246" s="13" t="b">
        <f>NOT(ISNA(VLOOKUP(A246,'Game Pass Essential'!A:A,1,FALSE)))</f>
        <v>0</v>
      </c>
    </row>
    <row r="247">
      <c r="A247" s="12" t="str">
        <f>IFERROR(__xludf.DUMMYFUNCTION("""COMPUTED_VALUE"""),"Torchlight")</f>
        <v>Torchlight</v>
      </c>
      <c r="B247" s="13" t="str">
        <f>IFERROR(__xludf.DUMMYFUNCTION("""COMPUTED_VALUE"""),"XB360/OG Xbox")</f>
        <v>XB360/OG Xbox</v>
      </c>
      <c r="C247" s="14"/>
      <c r="D247" s="14" t="str">
        <f>IFERROR(__xludf.DUMMYFUNCTION("""COMPUTED_VALUE"""),"GwG Permanent")</f>
        <v>GwG Permanent</v>
      </c>
      <c r="E247" s="15">
        <f>IFERROR(__xludf.DUMMYFUNCTION("""COMPUTED_VALUE"""),44758.0)</f>
        <v>44758</v>
      </c>
      <c r="F247" s="16">
        <f>IFERROR(__xludf.DUMMYFUNCTION("""COMPUTED_VALUE"""),44773.0)</f>
        <v>44773</v>
      </c>
      <c r="G247" s="18">
        <f>IFERROR(__xludf.DUMMYFUNCTION("""COMPUTED_VALUE"""),0.4666666666666667)</f>
        <v>0.4666666667</v>
      </c>
      <c r="H247" s="15">
        <f>IFERROR(__xludf.DUMMYFUNCTION("""COMPUTED_VALUE"""),40113.0)</f>
        <v>40113</v>
      </c>
      <c r="I247" s="18">
        <f>IFERROR(__xludf.DUMMYFUNCTION("""COMPUTED_VALUE"""),12.719444444444445)</f>
        <v>12.71944444</v>
      </c>
      <c r="J247" s="22">
        <f>IFERROR(__xludf.DUMMYFUNCTION("""COMPUTED_VALUE"""),83.0)</f>
        <v>83</v>
      </c>
      <c r="K247" s="22">
        <f>IFERROR(__xludf.DUMMYFUNCTION("""COMPUTED_VALUE"""),14.0)</f>
        <v>14</v>
      </c>
      <c r="L247" s="26" t="str">
        <f>IFERROR(__xludf.DUMMYFUNCTION("""COMPUTED_VALUE"""),"RPG")</f>
        <v>RPG</v>
      </c>
      <c r="M247" s="13" t="b">
        <f>NOT(ISNA(VLOOKUP(A247,PC!A:A,1,FALSE)))</f>
        <v>0</v>
      </c>
      <c r="N247" s="13" t="b">
        <f>NOT(ISNA(VLOOKUP(A247,'Game Pass Premium'!A:A,1,FALSE)))</f>
        <v>0</v>
      </c>
      <c r="O247" s="13" t="b">
        <f>NOT(ISNA(VLOOKUP(A247,'Game Pass Essential'!A:A,1,FALSE)))</f>
        <v>0</v>
      </c>
    </row>
    <row r="248">
      <c r="A248" s="12" t="str">
        <f>IFERROR(__xludf.DUMMYFUNCTION("""COMPUTED_VALUE"""),"Injustice: Gods Among Us")</f>
        <v>Injustice: Gods Among Us</v>
      </c>
      <c r="B248" s="13" t="str">
        <f>IFERROR(__xludf.DUMMYFUNCTION("""COMPUTED_VALUE"""),"XB360/OG Xbox")</f>
        <v>XB360/OG Xbox</v>
      </c>
      <c r="C248" s="14"/>
      <c r="D248" s="14" t="str">
        <f>IFERROR(__xludf.DUMMYFUNCTION("""COMPUTED_VALUE"""),"GwG Permanent")</f>
        <v>GwG Permanent</v>
      </c>
      <c r="E248" s="15">
        <f>IFERROR(__xludf.DUMMYFUNCTION("""COMPUTED_VALUE"""),44363.0)</f>
        <v>44363</v>
      </c>
      <c r="F248" s="16">
        <f>IFERROR(__xludf.DUMMYFUNCTION("""COMPUTED_VALUE"""),44377.0)</f>
        <v>44377</v>
      </c>
      <c r="G248" s="18">
        <f>IFERROR(__xludf.DUMMYFUNCTION("""COMPUTED_VALUE"""),0.4666666666666667)</f>
        <v>0.4666666667</v>
      </c>
      <c r="H248" s="15">
        <f>IFERROR(__xludf.DUMMYFUNCTION("""COMPUTED_VALUE"""),41380.0)</f>
        <v>41380</v>
      </c>
      <c r="I248" s="18">
        <f>IFERROR(__xludf.DUMMYFUNCTION("""COMPUTED_VALUE"""),8.166666666666666)</f>
        <v>8.166666667</v>
      </c>
      <c r="J248" s="22">
        <f>IFERROR(__xludf.DUMMYFUNCTION("""COMPUTED_VALUE"""),83.0)</f>
        <v>83</v>
      </c>
      <c r="K248" s="22">
        <f>IFERROR(__xludf.DUMMYFUNCTION("""COMPUTED_VALUE"""),5.0)</f>
        <v>5</v>
      </c>
      <c r="L248" s="26" t="str">
        <f>IFERROR(__xludf.DUMMYFUNCTION("""COMPUTED_VALUE"""),"Fighting")</f>
        <v>Fighting</v>
      </c>
      <c r="M248" s="13" t="b">
        <f>NOT(ISNA(VLOOKUP(A248,PC!A:A,1,FALSE)))</f>
        <v>0</v>
      </c>
      <c r="N248" s="13" t="b">
        <f>NOT(ISNA(VLOOKUP(A248,'Game Pass Premium'!A:A,1,FALSE)))</f>
        <v>0</v>
      </c>
      <c r="O248" s="13" t="b">
        <f>NOT(ISNA(VLOOKUP(A248,'Game Pass Essential'!A:A,1,FALSE)))</f>
        <v>0</v>
      </c>
    </row>
    <row r="249">
      <c r="A249" s="12" t="str">
        <f>IFERROR(__xludf.DUMMYFUNCTION("""COMPUTED_VALUE"""),"Hard Corps: Uprising")</f>
        <v>Hard Corps: Uprising</v>
      </c>
      <c r="B249" s="13" t="str">
        <f>IFERROR(__xludf.DUMMYFUNCTION("""COMPUTED_VALUE"""),"XB360/OG Xbox")</f>
        <v>XB360/OG Xbox</v>
      </c>
      <c r="C249" s="14"/>
      <c r="D249" s="14" t="str">
        <f>IFERROR(__xludf.DUMMYFUNCTION("""COMPUTED_VALUE"""),"GwG Permanent")</f>
        <v>GwG Permanent</v>
      </c>
      <c r="E249" s="15">
        <f>IFERROR(__xludf.DUMMYFUNCTION("""COMPUTED_VALUE"""),44302.0)</f>
        <v>44302</v>
      </c>
      <c r="F249" s="16">
        <f>IFERROR(__xludf.DUMMYFUNCTION("""COMPUTED_VALUE"""),44316.0)</f>
        <v>44316</v>
      </c>
      <c r="G249" s="18">
        <f>IFERROR(__xludf.DUMMYFUNCTION("""COMPUTED_VALUE"""),0.4666666666666667)</f>
        <v>0.4666666667</v>
      </c>
      <c r="H249" s="15">
        <f>IFERROR(__xludf.DUMMYFUNCTION("""COMPUTED_VALUE"""),40590.0)</f>
        <v>40590</v>
      </c>
      <c r="I249" s="18">
        <f>IFERROR(__xludf.DUMMYFUNCTION("""COMPUTED_VALUE"""),10.166666666666666)</f>
        <v>10.16666667</v>
      </c>
      <c r="J249" s="22">
        <f>IFERROR(__xludf.DUMMYFUNCTION("""COMPUTED_VALUE"""),83.0)</f>
        <v>83</v>
      </c>
      <c r="K249" s="22">
        <f>IFERROR(__xludf.DUMMYFUNCTION("""COMPUTED_VALUE"""),3.0)</f>
        <v>3</v>
      </c>
      <c r="L249" s="26" t="str">
        <f>IFERROR(__xludf.DUMMYFUNCTION("""COMPUTED_VALUE"""),"Action")</f>
        <v>Action</v>
      </c>
      <c r="M249" s="13" t="b">
        <f>NOT(ISNA(VLOOKUP(A249,PC!A:A,1,FALSE)))</f>
        <v>0</v>
      </c>
      <c r="N249" s="13" t="b">
        <f>NOT(ISNA(VLOOKUP(A249,'Game Pass Premium'!A:A,1,FALSE)))</f>
        <v>0</v>
      </c>
      <c r="O249" s="13" t="b">
        <f>NOT(ISNA(VLOOKUP(A249,'Game Pass Essential'!A:A,1,FALSE)))</f>
        <v>0</v>
      </c>
    </row>
    <row r="250">
      <c r="A250" s="12" t="str">
        <f>IFERROR(__xludf.DUMMYFUNCTION("""COMPUTED_VALUE"""),"Earth Defense Force 2025")</f>
        <v>Earth Defense Force 2025</v>
      </c>
      <c r="B250" s="13" t="str">
        <f>IFERROR(__xludf.DUMMYFUNCTION("""COMPUTED_VALUE"""),"XB360/OG Xbox")</f>
        <v>XB360/OG Xbox</v>
      </c>
      <c r="C250" s="14"/>
      <c r="D250" s="14" t="str">
        <f>IFERROR(__xludf.DUMMYFUNCTION("""COMPUTED_VALUE"""),"GwG Permanent")</f>
        <v>GwG Permanent</v>
      </c>
      <c r="E250" s="15">
        <f>IFERROR(__xludf.DUMMYFUNCTION("""COMPUTED_VALUE"""),43709.0)</f>
        <v>43709</v>
      </c>
      <c r="F250" s="16">
        <f>IFERROR(__xludf.DUMMYFUNCTION("""COMPUTED_VALUE"""),43723.0)</f>
        <v>43723</v>
      </c>
      <c r="G250" s="18">
        <f>IFERROR(__xludf.DUMMYFUNCTION("""COMPUTED_VALUE"""),0.4666666666666667)</f>
        <v>0.4666666667</v>
      </c>
      <c r="H250" s="15">
        <f>IFERROR(__xludf.DUMMYFUNCTION("""COMPUTED_VALUE"""),41464.0)</f>
        <v>41464</v>
      </c>
      <c r="I250" s="18">
        <f>IFERROR(__xludf.DUMMYFUNCTION("""COMPUTED_VALUE"""),6.144444444444445)</f>
        <v>6.144444444</v>
      </c>
      <c r="J250" s="22">
        <f>IFERROR(__xludf.DUMMYFUNCTION("""COMPUTED_VALUE"""),83.0)</f>
        <v>83</v>
      </c>
      <c r="K250" s="22">
        <f>IFERROR(__xludf.DUMMYFUNCTION("""COMPUTED_VALUE"""),15.0)</f>
        <v>15</v>
      </c>
      <c r="L250" s="26" t="str">
        <f>IFERROR(__xludf.DUMMYFUNCTION("""COMPUTED_VALUE"""),"Shooter")</f>
        <v>Shooter</v>
      </c>
      <c r="M250" s="13" t="b">
        <f>NOT(ISNA(VLOOKUP(A250,PC!A:A,1,FALSE)))</f>
        <v>0</v>
      </c>
      <c r="N250" s="13" t="b">
        <f>NOT(ISNA(VLOOKUP(A250,'Game Pass Premium'!A:A,1,FALSE)))</f>
        <v>0</v>
      </c>
      <c r="O250" s="13" t="b">
        <f>NOT(ISNA(VLOOKUP(A250,'Game Pass Essential'!A:A,1,FALSE)))</f>
        <v>0</v>
      </c>
    </row>
    <row r="251">
      <c r="A251" s="12" t="str">
        <f>IFERROR(__xludf.DUMMYFUNCTION("""COMPUTED_VALUE"""),"Castlevania: Lords of Shadow")</f>
        <v>Castlevania: Lords of Shadow</v>
      </c>
      <c r="B251" s="13" t="str">
        <f>IFERROR(__xludf.DUMMYFUNCTION("""COMPUTED_VALUE"""),"XB360/OG Xbox")</f>
        <v>XB360/OG Xbox</v>
      </c>
      <c r="C251" s="14"/>
      <c r="D251" s="14" t="str">
        <f>IFERROR(__xludf.DUMMYFUNCTION("""COMPUTED_VALUE"""),"GwG Permanent")</f>
        <v>GwG Permanent</v>
      </c>
      <c r="E251" s="15">
        <f>IFERROR(__xludf.DUMMYFUNCTION("""COMPUTED_VALUE"""),43693.0)</f>
        <v>43693</v>
      </c>
      <c r="F251" s="16">
        <f>IFERROR(__xludf.DUMMYFUNCTION("""COMPUTED_VALUE"""),43708.0)</f>
        <v>43708</v>
      </c>
      <c r="G251" s="18">
        <f>IFERROR(__xludf.DUMMYFUNCTION("""COMPUTED_VALUE"""),0.4666666666666667)</f>
        <v>0.4666666667</v>
      </c>
      <c r="H251" s="15">
        <f>IFERROR(__xludf.DUMMYFUNCTION("""COMPUTED_VALUE"""),40458.0)</f>
        <v>40458</v>
      </c>
      <c r="I251" s="18">
        <f>IFERROR(__xludf.DUMMYFUNCTION("""COMPUTED_VALUE"""),8.858333333333333)</f>
        <v>8.858333333</v>
      </c>
      <c r="J251" s="22">
        <f>IFERROR(__xludf.DUMMYFUNCTION("""COMPUTED_VALUE"""),83.0)</f>
        <v>83</v>
      </c>
      <c r="K251" s="22">
        <f>IFERROR(__xludf.DUMMYFUNCTION("""COMPUTED_VALUE"""),19.0)</f>
        <v>19</v>
      </c>
      <c r="L251" s="26" t="str">
        <f>IFERROR(__xludf.DUMMYFUNCTION("""COMPUTED_VALUE"""),"Action-Adventure")</f>
        <v>Action-Adventure</v>
      </c>
      <c r="M251" s="13" t="b">
        <f>NOT(ISNA(VLOOKUP(A251,PC!A:A,1,FALSE)))</f>
        <v>0</v>
      </c>
      <c r="N251" s="13" t="b">
        <f>NOT(ISNA(VLOOKUP(A251,'Game Pass Premium'!A:A,1,FALSE)))</f>
        <v>0</v>
      </c>
      <c r="O251" s="13" t="b">
        <f>NOT(ISNA(VLOOKUP(A251,'Game Pass Essential'!A:A,1,FALSE)))</f>
        <v>0</v>
      </c>
    </row>
    <row r="252">
      <c r="A252" s="12" t="str">
        <f>IFERROR(__xludf.DUMMYFUNCTION("""COMPUTED_VALUE"""),"Torchlight")</f>
        <v>Torchlight</v>
      </c>
      <c r="B252" s="13" t="str">
        <f>IFERROR(__xludf.DUMMYFUNCTION("""COMPUTED_VALUE"""),"XB360/OG Xbox")</f>
        <v>XB360/OG Xbox</v>
      </c>
      <c r="C252" s="14"/>
      <c r="D252" s="14" t="str">
        <f>IFERROR(__xludf.DUMMYFUNCTION("""COMPUTED_VALUE"""),"GwG Permanent")</f>
        <v>GwG Permanent</v>
      </c>
      <c r="E252" s="15">
        <f>IFERROR(__xludf.DUMMYFUNCTION("""COMPUTED_VALUE"""),43678.0)</f>
        <v>43678</v>
      </c>
      <c r="F252" s="16">
        <f>IFERROR(__xludf.DUMMYFUNCTION("""COMPUTED_VALUE"""),43692.0)</f>
        <v>43692</v>
      </c>
      <c r="G252" s="18">
        <f>IFERROR(__xludf.DUMMYFUNCTION("""COMPUTED_VALUE"""),0.4666666666666667)</f>
        <v>0.4666666667</v>
      </c>
      <c r="H252" s="15">
        <f>IFERROR(__xludf.DUMMYFUNCTION("""COMPUTED_VALUE"""),40113.0)</f>
        <v>40113</v>
      </c>
      <c r="I252" s="18">
        <f>IFERROR(__xludf.DUMMYFUNCTION("""COMPUTED_VALUE"""),9.761111111111111)</f>
        <v>9.761111111</v>
      </c>
      <c r="J252" s="22">
        <f>IFERROR(__xludf.DUMMYFUNCTION("""COMPUTED_VALUE"""),83.0)</f>
        <v>83</v>
      </c>
      <c r="K252" s="22">
        <f>IFERROR(__xludf.DUMMYFUNCTION("""COMPUTED_VALUE"""),14.0)</f>
        <v>14</v>
      </c>
      <c r="L252" s="26" t="str">
        <f>IFERROR(__xludf.DUMMYFUNCTION("""COMPUTED_VALUE"""),"RPG")</f>
        <v>RPG</v>
      </c>
      <c r="M252" s="13" t="b">
        <f>NOT(ISNA(VLOOKUP(A252,PC!A:A,1,FALSE)))</f>
        <v>0</v>
      </c>
      <c r="N252" s="13" t="b">
        <f>NOT(ISNA(VLOOKUP(A252,'Game Pass Premium'!A:A,1,FALSE)))</f>
        <v>0</v>
      </c>
      <c r="O252" s="13" t="b">
        <f>NOT(ISNA(VLOOKUP(A252,'Game Pass Essential'!A:A,1,FALSE)))</f>
        <v>0</v>
      </c>
    </row>
    <row r="253">
      <c r="A253" s="12" t="str">
        <f>IFERROR(__xludf.DUMMYFUNCTION("""COMPUTED_VALUE"""),"Hitman: Blood Money")</f>
        <v>Hitman: Blood Money</v>
      </c>
      <c r="B253" s="13" t="str">
        <f>IFERROR(__xludf.DUMMYFUNCTION("""COMPUTED_VALUE"""),"XB360/OG Xbox")</f>
        <v>XB360/OG Xbox</v>
      </c>
      <c r="C253" s="14"/>
      <c r="D253" s="14" t="str">
        <f>IFERROR(__xludf.DUMMYFUNCTION("""COMPUTED_VALUE"""),"GwG Permanent")</f>
        <v>GwG Permanent</v>
      </c>
      <c r="E253" s="15">
        <f>IFERROR(__xludf.DUMMYFUNCTION("""COMPUTED_VALUE"""),43389.0)</f>
        <v>43389</v>
      </c>
      <c r="F253" s="16">
        <f>IFERROR(__xludf.DUMMYFUNCTION("""COMPUTED_VALUE"""),43404.0)</f>
        <v>43404</v>
      </c>
      <c r="G253" s="18">
        <f>IFERROR(__xludf.DUMMYFUNCTION("""COMPUTED_VALUE"""),0.4666666666666667)</f>
        <v>0.4666666667</v>
      </c>
      <c r="H253" s="15">
        <f>IFERROR(__xludf.DUMMYFUNCTION("""COMPUTED_VALUE"""),38867.0)</f>
        <v>38867</v>
      </c>
      <c r="I253" s="18">
        <f>IFERROR(__xludf.DUMMYFUNCTION("""COMPUTED_VALUE"""),12.377777777777778)</f>
        <v>12.37777778</v>
      </c>
      <c r="J253" s="22">
        <f>IFERROR(__xludf.DUMMYFUNCTION("""COMPUTED_VALUE"""),83.0)</f>
        <v>83</v>
      </c>
      <c r="K253" s="22">
        <f>IFERROR(__xludf.DUMMYFUNCTION("""COMPUTED_VALUE"""),12.0)</f>
        <v>12</v>
      </c>
      <c r="L253" s="26" t="str">
        <f>IFERROR(__xludf.DUMMYFUNCTION("""COMPUTED_VALUE"""),"Action-Adventure")</f>
        <v>Action-Adventure</v>
      </c>
      <c r="M253" s="13" t="b">
        <f>NOT(ISNA(VLOOKUP(A253,PC!A:A,1,FALSE)))</f>
        <v>0</v>
      </c>
      <c r="N253" s="13" t="b">
        <f>NOT(ISNA(VLOOKUP(A253,'Game Pass Premium'!A:A,1,FALSE)))</f>
        <v>0</v>
      </c>
      <c r="O253" s="13" t="b">
        <f>NOT(ISNA(VLOOKUP(A253,'Game Pass Essential'!A:A,1,FALSE)))</f>
        <v>0</v>
      </c>
    </row>
    <row r="254">
      <c r="A254" s="12" t="str">
        <f>IFERROR(__xludf.DUMMYFUNCTION("""COMPUTED_VALUE"""),"Virtua Fighter 5 Final Showdown")</f>
        <v>Virtua Fighter 5 Final Showdown</v>
      </c>
      <c r="B254" s="13" t="str">
        <f>IFERROR(__xludf.DUMMYFUNCTION("""COMPUTED_VALUE"""),"XB360/OG Xbox")</f>
        <v>XB360/OG Xbox</v>
      </c>
      <c r="C254" s="14"/>
      <c r="D254" s="14" t="str">
        <f>IFERROR(__xludf.DUMMYFUNCTION("""COMPUTED_VALUE"""),"GwG Permanent")</f>
        <v>GwG Permanent</v>
      </c>
      <c r="E254" s="15">
        <f>IFERROR(__xludf.DUMMYFUNCTION("""COMPUTED_VALUE"""),43282.0)</f>
        <v>43282</v>
      </c>
      <c r="F254" s="16">
        <f>IFERROR(__xludf.DUMMYFUNCTION("""COMPUTED_VALUE"""),43296.0)</f>
        <v>43296</v>
      </c>
      <c r="G254" s="18">
        <f>IFERROR(__xludf.DUMMYFUNCTION("""COMPUTED_VALUE"""),0.4666666666666667)</f>
        <v>0.4666666667</v>
      </c>
      <c r="H254" s="15">
        <f>IFERROR(__xludf.DUMMYFUNCTION("""COMPUTED_VALUE"""),41149.0)</f>
        <v>41149</v>
      </c>
      <c r="I254" s="18">
        <f>IFERROR(__xludf.DUMMYFUNCTION("""COMPUTED_VALUE"""),5.841666666666667)</f>
        <v>5.841666667</v>
      </c>
      <c r="J254" s="22">
        <f>IFERROR(__xludf.DUMMYFUNCTION("""COMPUTED_VALUE"""),83.0)</f>
        <v>83</v>
      </c>
      <c r="K254" s="22">
        <f>IFERROR(__xludf.DUMMYFUNCTION("""COMPUTED_VALUE"""),1.0)</f>
        <v>1</v>
      </c>
      <c r="L254" s="26" t="str">
        <f>IFERROR(__xludf.DUMMYFUNCTION("""COMPUTED_VALUE"""),"Fighting")</f>
        <v>Fighting</v>
      </c>
      <c r="M254" s="13" t="b">
        <f>NOT(ISNA(VLOOKUP(A254,PC!A:A,1,FALSE)))</f>
        <v>0</v>
      </c>
      <c r="N254" s="13" t="b">
        <f>NOT(ISNA(VLOOKUP(A254,'Game Pass Premium'!A:A,1,FALSE)))</f>
        <v>0</v>
      </c>
      <c r="O254" s="13" t="b">
        <f>NOT(ISNA(VLOOKUP(A254,'Game Pass Essential'!A:A,1,FALSE)))</f>
        <v>0</v>
      </c>
    </row>
    <row r="255">
      <c r="A255" s="12" t="str">
        <f>IFERROR(__xludf.DUMMYFUNCTION("""COMPUTED_VALUE"""),"Star Wars: The Force Unleashed")</f>
        <v>Star Wars: The Force Unleashed</v>
      </c>
      <c r="B255" s="13" t="str">
        <f>IFERROR(__xludf.DUMMYFUNCTION("""COMPUTED_VALUE"""),"XB360/OG Xbox")</f>
        <v>XB360/OG Xbox</v>
      </c>
      <c r="C255" s="14"/>
      <c r="D255" s="14" t="str">
        <f>IFERROR(__xludf.DUMMYFUNCTION("""COMPUTED_VALUE"""),"GwG Permanent")</f>
        <v>GwG Permanent</v>
      </c>
      <c r="E255" s="15">
        <f>IFERROR(__xludf.DUMMYFUNCTION("""COMPUTED_VALUE"""),42782.0)</f>
        <v>42782</v>
      </c>
      <c r="F255" s="16">
        <f>IFERROR(__xludf.DUMMYFUNCTION("""COMPUTED_VALUE"""),42794.0)</f>
        <v>42794</v>
      </c>
      <c r="G255" s="18">
        <f>IFERROR(__xludf.DUMMYFUNCTION("""COMPUTED_VALUE"""),0.4)</f>
        <v>0.4</v>
      </c>
      <c r="H255" s="15">
        <f>IFERROR(__xludf.DUMMYFUNCTION("""COMPUTED_VALUE"""),39707.0)</f>
        <v>39707</v>
      </c>
      <c r="I255" s="18">
        <f>IFERROR(__xludf.DUMMYFUNCTION("""COMPUTED_VALUE"""),8.416666666666666)</f>
        <v>8.416666667</v>
      </c>
      <c r="J255" s="22">
        <f>IFERROR(__xludf.DUMMYFUNCTION("""COMPUTED_VALUE"""),83.0)</f>
        <v>83</v>
      </c>
      <c r="K255" s="22">
        <f>IFERROR(__xludf.DUMMYFUNCTION("""COMPUTED_VALUE"""),10.0)</f>
        <v>10</v>
      </c>
      <c r="L255" s="26" t="str">
        <f>IFERROR(__xludf.DUMMYFUNCTION("""COMPUTED_VALUE"""),"Action-Adventure")</f>
        <v>Action-Adventure</v>
      </c>
      <c r="M255" s="13" t="b">
        <f>NOT(ISNA(VLOOKUP(A255,PC!A:A,1,FALSE)))</f>
        <v>0</v>
      </c>
      <c r="N255" s="13" t="b">
        <f>NOT(ISNA(VLOOKUP(A255,'Game Pass Premium'!A:A,1,FALSE)))</f>
        <v>0</v>
      </c>
      <c r="O255" s="13" t="b">
        <f>NOT(ISNA(VLOOKUP(A255,'Game Pass Essential'!A:A,1,FALSE)))</f>
        <v>0</v>
      </c>
    </row>
    <row r="256">
      <c r="A256" s="12" t="str">
        <f>IFERROR(__xludf.DUMMYFUNCTION("""COMPUTED_VALUE"""),"Terraria")</f>
        <v>Terraria</v>
      </c>
      <c r="B256" s="13" t="str">
        <f>IFERROR(__xludf.DUMMYFUNCTION("""COMPUTED_VALUE"""),"XB360/OG Xbox")</f>
        <v>XB360/OG Xbox</v>
      </c>
      <c r="C256" s="14"/>
      <c r="D256" s="14" t="str">
        <f>IFERROR(__xludf.DUMMYFUNCTION("""COMPUTED_VALUE"""),"GwG Permanent")</f>
        <v>GwG Permanent</v>
      </c>
      <c r="E256" s="15">
        <f>IFERROR(__xludf.DUMMYFUNCTION("""COMPUTED_VALUE"""),42095.0)</f>
        <v>42095</v>
      </c>
      <c r="F256" s="16">
        <f>IFERROR(__xludf.DUMMYFUNCTION("""COMPUTED_VALUE"""),42109.0)</f>
        <v>42109</v>
      </c>
      <c r="G256" s="18">
        <f>IFERROR(__xludf.DUMMYFUNCTION("""COMPUTED_VALUE"""),0.4666666666666667)</f>
        <v>0.4666666667</v>
      </c>
      <c r="H256" s="15">
        <f>IFERROR(__xludf.DUMMYFUNCTION("""COMPUTED_VALUE"""),40679.0)</f>
        <v>40679</v>
      </c>
      <c r="I256" s="18">
        <f>IFERROR(__xludf.DUMMYFUNCTION("""COMPUTED_VALUE"""),3.875)</f>
        <v>3.875</v>
      </c>
      <c r="J256" s="22">
        <f>IFERROR(__xludf.DUMMYFUNCTION("""COMPUTED_VALUE"""),83.0)</f>
        <v>83</v>
      </c>
      <c r="K256" s="22">
        <f>IFERROR(__xludf.DUMMYFUNCTION("""COMPUTED_VALUE"""),29.0)</f>
        <v>29</v>
      </c>
      <c r="L256" s="26" t="str">
        <f>IFERROR(__xludf.DUMMYFUNCTION("""COMPUTED_VALUE"""),"Sandbox")</f>
        <v>Sandbox</v>
      </c>
      <c r="M256" s="13" t="b">
        <f>NOT(ISNA(VLOOKUP(A256,PC!A:A,1,FALSE)))</f>
        <v>0</v>
      </c>
      <c r="N256" s="13" t="b">
        <f>NOT(ISNA(VLOOKUP(A256,'Game Pass Premium'!A:A,1,FALSE)))</f>
        <v>1</v>
      </c>
      <c r="O256" s="13" t="b">
        <f>NOT(ISNA(VLOOKUP(A256,'Game Pass Essential'!A:A,1,FALSE)))</f>
        <v>0</v>
      </c>
    </row>
    <row r="257">
      <c r="A257" s="12" t="str">
        <f>IFERROR(__xludf.DUMMYFUNCTION("""COMPUTED_VALUE"""),"Hitman: Absolution")</f>
        <v>Hitman: Absolution</v>
      </c>
      <c r="B257" s="13" t="str">
        <f>IFERROR(__xludf.DUMMYFUNCTION("""COMPUTED_VALUE"""),"XB360/OG Xbox")</f>
        <v>XB360/OG Xbox</v>
      </c>
      <c r="C257" s="14"/>
      <c r="D257" s="14" t="str">
        <f>IFERROR(__xludf.DUMMYFUNCTION("""COMPUTED_VALUE"""),"GwG Permanent")</f>
        <v>GwG Permanent</v>
      </c>
      <c r="E257" s="15">
        <f>IFERROR(__xludf.DUMMYFUNCTION("""COMPUTED_VALUE"""),41730.0)</f>
        <v>41730</v>
      </c>
      <c r="F257" s="16">
        <f>IFERROR(__xludf.DUMMYFUNCTION("""COMPUTED_VALUE"""),41744.0)</f>
        <v>41744</v>
      </c>
      <c r="G257" s="18">
        <f>IFERROR(__xludf.DUMMYFUNCTION("""COMPUTED_VALUE"""),0.4666666666666667)</f>
        <v>0.4666666667</v>
      </c>
      <c r="H257" s="15">
        <f>IFERROR(__xludf.DUMMYFUNCTION("""COMPUTED_VALUE"""),41233.0)</f>
        <v>41233</v>
      </c>
      <c r="I257" s="18">
        <f>IFERROR(__xludf.DUMMYFUNCTION("""COMPUTED_VALUE"""),1.363888888888889)</f>
        <v>1.363888889</v>
      </c>
      <c r="J257" s="22">
        <f>IFERROR(__xludf.DUMMYFUNCTION("""COMPUTED_VALUE"""),83.0)</f>
        <v>83</v>
      </c>
      <c r="K257" s="22">
        <f>IFERROR(__xludf.DUMMYFUNCTION("""COMPUTED_VALUE"""),15.0)</f>
        <v>15</v>
      </c>
      <c r="L257" s="26" t="str">
        <f>IFERROR(__xludf.DUMMYFUNCTION("""COMPUTED_VALUE"""),"Action-Adventure")</f>
        <v>Action-Adventure</v>
      </c>
      <c r="M257" s="13" t="b">
        <f>NOT(ISNA(VLOOKUP(A257,PC!A:A,1,FALSE)))</f>
        <v>0</v>
      </c>
      <c r="N257" s="13" t="b">
        <f>NOT(ISNA(VLOOKUP(A257,'Game Pass Premium'!A:A,1,FALSE)))</f>
        <v>0</v>
      </c>
      <c r="O257" s="13" t="b">
        <f>NOT(ISNA(VLOOKUP(A257,'Game Pass Essential'!A:A,1,FALSE)))</f>
        <v>0</v>
      </c>
    </row>
    <row r="258">
      <c r="A258" s="12" t="str">
        <f>IFERROR(__xludf.DUMMYFUNCTION("""COMPUTED_VALUE"""),"Dishonored: Death of the Outsider")</f>
        <v>Dishonored: Death of the Outsider</v>
      </c>
      <c r="B258" s="13" t="str">
        <f>IFERROR(__xludf.DUMMYFUNCTION("""COMPUTED_VALUE"""),"Xbox / PC")</f>
        <v>Xbox / PC</v>
      </c>
      <c r="C258" s="14" t="str">
        <f>IFERROR(__xludf.DUMMYFUNCTION("""COMPUTED_VALUE"""),"Yes")</f>
        <v>Yes</v>
      </c>
      <c r="D258" s="14" t="str">
        <f>IFERROR(__xludf.DUMMYFUNCTION("""COMPUTED_VALUE"""),"Active")</f>
        <v>Active</v>
      </c>
      <c r="E258" s="15">
        <f>IFERROR(__xludf.DUMMYFUNCTION("""COMPUTED_VALUE"""),44360.0)</f>
        <v>44360</v>
      </c>
      <c r="F258" s="16"/>
      <c r="G258" s="18">
        <f>IFERROR(__xludf.DUMMYFUNCTION("""COMPUTED_VALUE"""),63.766666666666666)</f>
        <v>63.76666667</v>
      </c>
      <c r="H258" s="15">
        <f>IFERROR(__xludf.DUMMYFUNCTION("""COMPUTED_VALUE"""),42993.0)</f>
        <v>42993</v>
      </c>
      <c r="I258" s="18">
        <f>IFERROR(__xludf.DUMMYFUNCTION("""COMPUTED_VALUE"""),3.7444444444444445)</f>
        <v>3.744444444</v>
      </c>
      <c r="J258" s="22">
        <f>IFERROR(__xludf.DUMMYFUNCTION("""COMPUTED_VALUE"""),82.5)</f>
        <v>82.5</v>
      </c>
      <c r="K258" s="22">
        <f>IFERROR(__xludf.DUMMYFUNCTION("""COMPUTED_VALUE"""),6.5)</f>
        <v>6.5</v>
      </c>
      <c r="L258" s="26" t="str">
        <f>IFERROR(__xludf.DUMMYFUNCTION("""COMPUTED_VALUE"""),"Action-Adventure")</f>
        <v>Action-Adventure</v>
      </c>
      <c r="M258" s="13" t="b">
        <f>NOT(ISNA(VLOOKUP(A258,PC!A:A,1,FALSE)))</f>
        <v>1</v>
      </c>
      <c r="N258" s="13" t="b">
        <f>NOT(ISNA(VLOOKUP(A258,'Game Pass Premium'!A:A,1,FALSE)))</f>
        <v>1</v>
      </c>
      <c r="O258" s="13" t="b">
        <f>NOT(ISNA(VLOOKUP(A258,'Game Pass Essential'!A:A,1,FALSE)))</f>
        <v>0</v>
      </c>
    </row>
    <row r="259">
      <c r="A259" s="12" t="str">
        <f>IFERROR(__xludf.DUMMYFUNCTION("""COMPUTED_VALUE"""),"Conker: Live &amp; Reloaded")</f>
        <v>Conker: Live &amp; Reloaded</v>
      </c>
      <c r="B259" s="13" t="str">
        <f>IFERROR(__xludf.DUMMYFUNCTION("""COMPUTED_VALUE"""),"Xbox / PC")</f>
        <v>Xbox / PC</v>
      </c>
      <c r="C259" s="14" t="str">
        <f>IFERROR(__xludf.DUMMYFUNCTION("""COMPUTED_VALUE"""),"Yes")</f>
        <v>Yes</v>
      </c>
      <c r="D259" s="14" t="str">
        <f>IFERROR(__xludf.DUMMYFUNCTION("""COMPUTED_VALUE"""),"Active")</f>
        <v>Active</v>
      </c>
      <c r="E259" s="15">
        <f>IFERROR(__xludf.DUMMYFUNCTION("""COMPUTED_VALUE"""),46225.0)</f>
        <v>46225</v>
      </c>
      <c r="F259" s="16"/>
      <c r="G259" s="18">
        <f>IFERROR(__xludf.DUMMYFUNCTION("""COMPUTED_VALUE"""),2.466666666666667)</f>
        <v>2.466666667</v>
      </c>
      <c r="H259" s="15">
        <f>IFERROR(__xludf.DUMMYFUNCTION("""COMPUTED_VALUE"""),38673.0)</f>
        <v>38673</v>
      </c>
      <c r="I259" s="18">
        <f>IFERROR(__xludf.DUMMYFUNCTION("""COMPUTED_VALUE"""),20.680555555555557)</f>
        <v>20.68055556</v>
      </c>
      <c r="J259" s="22">
        <f>IFERROR(__xludf.DUMMYFUNCTION("""COMPUTED_VALUE"""),82.0)</f>
        <v>82</v>
      </c>
      <c r="K259" s="22">
        <f>IFERROR(__xludf.DUMMYFUNCTION("""COMPUTED_VALUE"""),11.0)</f>
        <v>11</v>
      </c>
      <c r="L259" s="26" t="str">
        <f>IFERROR(__xludf.DUMMYFUNCTION("""COMPUTED_VALUE"""),"Action-Adventure")</f>
        <v>Action-Adventure</v>
      </c>
      <c r="M259" s="13" t="b">
        <f>NOT(ISNA(VLOOKUP(A259,PC!A:A,1,FALSE)))</f>
        <v>1</v>
      </c>
      <c r="N259" s="13" t="b">
        <f>NOT(ISNA(VLOOKUP(A259,'Game Pass Premium'!A:A,1,FALSE)))</f>
        <v>1</v>
      </c>
      <c r="O259" s="13" t="b">
        <f>NOT(ISNA(VLOOKUP(A259,'Game Pass Essential'!A:A,1,FALSE)))</f>
        <v>0</v>
      </c>
    </row>
    <row r="260">
      <c r="A260" s="12" t="str">
        <f>IFERROR(__xludf.DUMMYFUNCTION("""COMPUTED_VALUE"""),"Ascend to Zero")</f>
        <v>Ascend to Zero</v>
      </c>
      <c r="B260" s="13" t="str">
        <f>IFERROR(__xludf.DUMMYFUNCTION("""COMPUTED_VALUE"""),"Xbox / PC")</f>
        <v>Xbox / PC</v>
      </c>
      <c r="C260" s="14" t="str">
        <f>IFERROR(__xludf.DUMMYFUNCTION("""COMPUTED_VALUE"""),"Yes")</f>
        <v>Yes</v>
      </c>
      <c r="D260" s="14" t="str">
        <f>IFERROR(__xludf.DUMMYFUNCTION("""COMPUTED_VALUE"""),"Active")</f>
        <v>Active</v>
      </c>
      <c r="E260" s="15">
        <f>IFERROR(__xludf.DUMMYFUNCTION("""COMPUTED_VALUE"""),46216.0)</f>
        <v>46216</v>
      </c>
      <c r="F260" s="16"/>
      <c r="G260" s="18">
        <f>IFERROR(__xludf.DUMMYFUNCTION("""COMPUTED_VALUE"""),2.7666666666666666)</f>
        <v>2.766666667</v>
      </c>
      <c r="H260" s="15">
        <f>IFERROR(__xludf.DUMMYFUNCTION("""COMPUTED_VALUE"""),46216.0)</f>
        <v>46216</v>
      </c>
      <c r="I260" s="18">
        <f>IFERROR(__xludf.DUMMYFUNCTION("""COMPUTED_VALUE"""),0.0)</f>
        <v>0</v>
      </c>
      <c r="J260" s="22">
        <f>IFERROR(__xludf.DUMMYFUNCTION("""COMPUTED_VALUE"""),82.0)</f>
        <v>82</v>
      </c>
      <c r="K260" s="22">
        <f>IFERROR(__xludf.DUMMYFUNCTION("""COMPUTED_VALUE"""),13.0)</f>
        <v>13</v>
      </c>
      <c r="L260" s="26" t="str">
        <f>IFERROR(__xludf.DUMMYFUNCTION("""COMPUTED_VALUE"""),"Action-Adventure")</f>
        <v>Action-Adventure</v>
      </c>
      <c r="M260" s="13" t="b">
        <f>NOT(ISNA(VLOOKUP(A260,PC!A:A,1,FALSE)))</f>
        <v>1</v>
      </c>
      <c r="N260" s="13" t="b">
        <f>NOT(ISNA(VLOOKUP(A260,'Game Pass Premium'!A:A,1,FALSE)))</f>
        <v>0</v>
      </c>
      <c r="O260" s="13" t="b">
        <f>NOT(ISNA(VLOOKUP(A260,'Game Pass Essential'!A:A,1,FALSE)))</f>
        <v>0</v>
      </c>
    </row>
    <row r="261">
      <c r="A261" s="12" t="str">
        <f>IFERROR(__xludf.DUMMYFUNCTION("""COMPUTED_VALUE"""),"The Outer Worlds: Spacer’s Choice Edition")</f>
        <v>The Outer Worlds: Spacer’s Choice Edition</v>
      </c>
      <c r="B261" s="13" t="str">
        <f>IFERROR(__xludf.DUMMYFUNCTION("""COMPUTED_VALUE"""),"Xbox / PC")</f>
        <v>Xbox / PC</v>
      </c>
      <c r="C261" s="14" t="str">
        <f>IFERROR(__xludf.DUMMYFUNCTION("""COMPUTED_VALUE"""),"Yes")</f>
        <v>Yes</v>
      </c>
      <c r="D261" s="14" t="str">
        <f>IFERROR(__xludf.DUMMYFUNCTION("""COMPUTED_VALUE"""),"Active")</f>
        <v>Active</v>
      </c>
      <c r="E261" s="15">
        <f>IFERROR(__xludf.DUMMYFUNCTION("""COMPUTED_VALUE"""),46169.0)</f>
        <v>46169</v>
      </c>
      <c r="F261" s="16"/>
      <c r="G261" s="18">
        <f>IFERROR(__xludf.DUMMYFUNCTION("""COMPUTED_VALUE"""),4.3)</f>
        <v>4.3</v>
      </c>
      <c r="H261" s="15">
        <f>IFERROR(__xludf.DUMMYFUNCTION("""COMPUTED_VALUE"""),44992.0)</f>
        <v>44992</v>
      </c>
      <c r="I261" s="18">
        <f>IFERROR(__xludf.DUMMYFUNCTION("""COMPUTED_VALUE"""),3.2222222222222223)</f>
        <v>3.222222222</v>
      </c>
      <c r="J261" s="22">
        <f>IFERROR(__xludf.DUMMYFUNCTION("""COMPUTED_VALUE"""),82.0)</f>
        <v>82</v>
      </c>
      <c r="K261" s="22">
        <f>IFERROR(__xludf.DUMMYFUNCTION("""COMPUTED_VALUE"""),13.0)</f>
        <v>13</v>
      </c>
      <c r="L261" s="26" t="str">
        <f>IFERROR(__xludf.DUMMYFUNCTION("""COMPUTED_VALUE"""),"RPG")</f>
        <v>RPG</v>
      </c>
      <c r="M261" s="13" t="b">
        <f>NOT(ISNA(VLOOKUP(A261,PC!A:A,1,FALSE)))</f>
        <v>1</v>
      </c>
      <c r="N261" s="13" t="b">
        <f>NOT(ISNA(VLOOKUP(A261,'Game Pass Premium'!A:A,1,FALSE)))</f>
        <v>1</v>
      </c>
      <c r="O261" s="13" t="b">
        <f>NOT(ISNA(VLOOKUP(A261,'Game Pass Essential'!A:A,1,FALSE)))</f>
        <v>0</v>
      </c>
    </row>
    <row r="262">
      <c r="A262" s="12" t="str">
        <f>IFERROR(__xludf.DUMMYFUNCTION("""COMPUTED_VALUE"""),"Black Jacket")</f>
        <v>Black Jacket</v>
      </c>
      <c r="B262" s="13" t="str">
        <f>IFERROR(__xludf.DUMMYFUNCTION("""COMPUTED_VALUE"""),"Xbox / PC")</f>
        <v>Xbox / PC</v>
      </c>
      <c r="C262" s="14" t="str">
        <f>IFERROR(__xludf.DUMMYFUNCTION("""COMPUTED_VALUE"""),"Yes")</f>
        <v>Yes</v>
      </c>
      <c r="D262" s="14" t="str">
        <f>IFERROR(__xludf.DUMMYFUNCTION("""COMPUTED_VALUE"""),"Active")</f>
        <v>Active</v>
      </c>
      <c r="E262" s="15">
        <f>IFERROR(__xludf.DUMMYFUNCTION("""COMPUTED_VALUE"""),46154.0)</f>
        <v>46154</v>
      </c>
      <c r="F262" s="16"/>
      <c r="G262" s="18">
        <f>IFERROR(__xludf.DUMMYFUNCTION("""COMPUTED_VALUE"""),4.800000000000001)</f>
        <v>4.8</v>
      </c>
      <c r="H262" s="15">
        <f>IFERROR(__xludf.DUMMYFUNCTION("""COMPUTED_VALUE"""),46154.0)</f>
        <v>46154</v>
      </c>
      <c r="I262" s="18">
        <f>IFERROR(__xludf.DUMMYFUNCTION("""COMPUTED_VALUE"""),0.0)</f>
        <v>0</v>
      </c>
      <c r="J262" s="22">
        <f>IFERROR(__xludf.DUMMYFUNCTION("""COMPUTED_VALUE"""),82.0)</f>
        <v>82</v>
      </c>
      <c r="K262" s="22">
        <f>IFERROR(__xludf.DUMMYFUNCTION("""COMPUTED_VALUE"""),6.0)</f>
        <v>6</v>
      </c>
      <c r="L262" s="26" t="str">
        <f>IFERROR(__xludf.DUMMYFUNCTION("""COMPUTED_VALUE"""),"Roguelike Card Game")</f>
        <v>Roguelike Card Game</v>
      </c>
      <c r="M262" s="13" t="b">
        <f>NOT(ISNA(VLOOKUP(A262,PC!A:A,1,FALSE)))</f>
        <v>1</v>
      </c>
      <c r="N262" s="13" t="b">
        <f>NOT(ISNA(VLOOKUP(A262,'Game Pass Premium'!A:A,1,FALSE)))</f>
        <v>0</v>
      </c>
      <c r="O262" s="13" t="b">
        <f>NOT(ISNA(VLOOKUP(A262,'Game Pass Essential'!A:A,1,FALSE)))</f>
        <v>0</v>
      </c>
    </row>
    <row r="263">
      <c r="A263" s="12" t="str">
        <f>IFERROR(__xludf.DUMMYFUNCTION("""COMPUTED_VALUE"""),"Final Fantasy V")</f>
        <v>Final Fantasy V</v>
      </c>
      <c r="B263" s="13" t="str">
        <f>IFERROR(__xludf.DUMMYFUNCTION("""COMPUTED_VALUE"""),"Xbox / PC")</f>
        <v>Xbox / PC</v>
      </c>
      <c r="C263" s="14" t="str">
        <f>IFERROR(__xludf.DUMMYFUNCTION("""COMPUTED_VALUE"""),"Yes")</f>
        <v>Yes</v>
      </c>
      <c r="D263" s="14" t="str">
        <f>IFERROR(__xludf.DUMMYFUNCTION("""COMPUTED_VALUE"""),"Active")</f>
        <v>Active</v>
      </c>
      <c r="E263" s="15">
        <f>IFERROR(__xludf.DUMMYFUNCTION("""COMPUTED_VALUE"""),46147.0)</f>
        <v>46147</v>
      </c>
      <c r="F263" s="16"/>
      <c r="G263" s="18">
        <f>IFERROR(__xludf.DUMMYFUNCTION("""COMPUTED_VALUE"""),5.033333333333333)</f>
        <v>5.033333333</v>
      </c>
      <c r="H263" s="15">
        <f>IFERROR(__xludf.DUMMYFUNCTION("""COMPUTED_VALUE"""),39027.0)</f>
        <v>39027</v>
      </c>
      <c r="I263" s="18">
        <f>IFERROR(__xludf.DUMMYFUNCTION("""COMPUTED_VALUE"""),19.497222222222224)</f>
        <v>19.49722222</v>
      </c>
      <c r="J263" s="22">
        <f>IFERROR(__xludf.DUMMYFUNCTION("""COMPUTED_VALUE"""),82.0)</f>
        <v>82</v>
      </c>
      <c r="K263" s="22">
        <f>IFERROR(__xludf.DUMMYFUNCTION("""COMPUTED_VALUE"""),31.0)</f>
        <v>31</v>
      </c>
      <c r="L263" s="26" t="str">
        <f>IFERROR(__xludf.DUMMYFUNCTION("""COMPUTED_VALUE"""),"RPG")</f>
        <v>RPG</v>
      </c>
      <c r="M263" s="13" t="b">
        <f>NOT(ISNA(VLOOKUP(A263,PC!A:A,1,FALSE)))</f>
        <v>1</v>
      </c>
      <c r="N263" s="13" t="b">
        <f>NOT(ISNA(VLOOKUP(A263,'Game Pass Premium'!A:A,1,FALSE)))</f>
        <v>1</v>
      </c>
      <c r="O263" s="13" t="b">
        <f>NOT(ISNA(VLOOKUP(A263,'Game Pass Essential'!A:A,1,FALSE)))</f>
        <v>0</v>
      </c>
    </row>
    <row r="264">
      <c r="A264" s="12" t="str">
        <f>IFERROR(__xludf.DUMMYFUNCTION("""COMPUTED_VALUE"""),"inKonbini: One Store. Many Stories ")</f>
        <v>inKonbini: One Store. Many Stories </v>
      </c>
      <c r="B264" s="13" t="str">
        <f>IFERROR(__xludf.DUMMYFUNCTION("""COMPUTED_VALUE"""),"Xbox / PC")</f>
        <v>Xbox / PC</v>
      </c>
      <c r="C264" s="14" t="str">
        <f>IFERROR(__xludf.DUMMYFUNCTION("""COMPUTED_VALUE"""),"Yes")</f>
        <v>Yes</v>
      </c>
      <c r="D264" s="14" t="str">
        <f>IFERROR(__xludf.DUMMYFUNCTION("""COMPUTED_VALUE"""),"Active")</f>
        <v>Active</v>
      </c>
      <c r="E264" s="15">
        <f>IFERROR(__xludf.DUMMYFUNCTION("""COMPUTED_VALUE"""),46142.0)</f>
        <v>46142</v>
      </c>
      <c r="F264" s="16"/>
      <c r="G264" s="18">
        <f>IFERROR(__xludf.DUMMYFUNCTION("""COMPUTED_VALUE"""),5.2)</f>
        <v>5.2</v>
      </c>
      <c r="H264" s="15">
        <f>IFERROR(__xludf.DUMMYFUNCTION("""COMPUTED_VALUE"""),46142.0)</f>
        <v>46142</v>
      </c>
      <c r="I264" s="18">
        <f>IFERROR(__xludf.DUMMYFUNCTION("""COMPUTED_VALUE"""),0.0)</f>
        <v>0</v>
      </c>
      <c r="J264" s="22">
        <f>IFERROR(__xludf.DUMMYFUNCTION("""COMPUTED_VALUE"""),82.0)</f>
        <v>82</v>
      </c>
      <c r="K264" s="22">
        <f>IFERROR(__xludf.DUMMYFUNCTION("""COMPUTED_VALUE"""),7.0)</f>
        <v>7</v>
      </c>
      <c r="L264" s="26" t="str">
        <f>IFERROR(__xludf.DUMMYFUNCTION("""COMPUTED_VALUE"""),"Action-Adventure")</f>
        <v>Action-Adventure</v>
      </c>
      <c r="M264" s="13" t="b">
        <f>NOT(ISNA(VLOOKUP(A264,PC!A:A,1,FALSE)))</f>
        <v>1</v>
      </c>
      <c r="N264" s="13" t="b">
        <f>NOT(ISNA(VLOOKUP(A264,'Game Pass Premium'!A:A,1,FALSE)))</f>
        <v>0</v>
      </c>
      <c r="O264" s="13" t="b">
        <f>NOT(ISNA(VLOOKUP(A264,'Game Pass Essential'!A:A,1,FALSE)))</f>
        <v>0</v>
      </c>
    </row>
    <row r="265">
      <c r="A265" s="12" t="str">
        <f>IFERROR(__xludf.DUMMYFUNCTION("""COMPUTED_VALUE"""),"EA Sports College Football 26")</f>
        <v>EA Sports College Football 26</v>
      </c>
      <c r="B265" s="13" t="str">
        <f>IFERROR(__xludf.DUMMYFUNCTION("""COMPUTED_VALUE"""),"Xbox")</f>
        <v>Xbox</v>
      </c>
      <c r="C265" s="14" t="str">
        <f>IFERROR(__xludf.DUMMYFUNCTION("""COMPUTED_VALUE"""),"Yes")</f>
        <v>Yes</v>
      </c>
      <c r="D265" s="14" t="str">
        <f>IFERROR(__xludf.DUMMYFUNCTION("""COMPUTED_VALUE"""),"Active")</f>
        <v>Active</v>
      </c>
      <c r="E265" s="15">
        <f>IFERROR(__xludf.DUMMYFUNCTION("""COMPUTED_VALUE"""),46072.0)</f>
        <v>46072</v>
      </c>
      <c r="F265" s="16"/>
      <c r="G265" s="18">
        <f>IFERROR(__xludf.DUMMYFUNCTION("""COMPUTED_VALUE"""),7.566666666666666)</f>
        <v>7.566666667</v>
      </c>
      <c r="H265" s="15">
        <f>IFERROR(__xludf.DUMMYFUNCTION("""COMPUTED_VALUE"""),45856.0)</f>
        <v>45856</v>
      </c>
      <c r="I265" s="18">
        <f>IFERROR(__xludf.DUMMYFUNCTION("""COMPUTED_VALUE"""),0.5861111111111111)</f>
        <v>0.5861111111</v>
      </c>
      <c r="J265" s="22">
        <f>IFERROR(__xludf.DUMMYFUNCTION("""COMPUTED_VALUE"""),82.0)</f>
        <v>82</v>
      </c>
      <c r="K265" s="22">
        <f>IFERROR(__xludf.DUMMYFUNCTION("""COMPUTED_VALUE"""),6.0)</f>
        <v>6</v>
      </c>
      <c r="L265" s="26" t="str">
        <f>IFERROR(__xludf.DUMMYFUNCTION("""COMPUTED_VALUE"""),"Sports")</f>
        <v>Sports</v>
      </c>
      <c r="M265" s="13" t="b">
        <f>NOT(ISNA(VLOOKUP(A265,PC!A:A,1,FALSE)))</f>
        <v>0</v>
      </c>
      <c r="N265" s="13" t="b">
        <f>NOT(ISNA(VLOOKUP(A265,'Game Pass Premium'!A:A,1,FALSE)))</f>
        <v>0</v>
      </c>
      <c r="O265" s="13" t="b">
        <f>NOT(ISNA(VLOOKUP(A265,'Game Pass Essential'!A:A,1,FALSE)))</f>
        <v>0</v>
      </c>
    </row>
    <row r="266">
      <c r="A266" s="12" t="str">
        <f>IFERROR(__xludf.DUMMYFUNCTION("""COMPUTED_VALUE"""),"Warhammer 40,000: Space Marine II")</f>
        <v>Warhammer 40,000: Space Marine II</v>
      </c>
      <c r="B266" s="13" t="str">
        <f>IFERROR(__xludf.DUMMYFUNCTION("""COMPUTED_VALUE"""),"Xbox / PC")</f>
        <v>Xbox / PC</v>
      </c>
      <c r="C266" s="14" t="str">
        <f>IFERROR(__xludf.DUMMYFUNCTION("""COMPUTED_VALUE"""),"Yes")</f>
        <v>Yes</v>
      </c>
      <c r="D266" s="14" t="str">
        <f>IFERROR(__xludf.DUMMYFUNCTION("""COMPUTED_VALUE"""),"Active")</f>
        <v>Active</v>
      </c>
      <c r="E266" s="15">
        <f>IFERROR(__xludf.DUMMYFUNCTION("""COMPUTED_VALUE"""),46051.0)</f>
        <v>46051</v>
      </c>
      <c r="F266" s="16"/>
      <c r="G266" s="18">
        <f>IFERROR(__xludf.DUMMYFUNCTION("""COMPUTED_VALUE"""),8.233333333333334)</f>
        <v>8.233333333</v>
      </c>
      <c r="H266" s="15">
        <f>IFERROR(__xludf.DUMMYFUNCTION("""COMPUTED_VALUE"""),45540.0)</f>
        <v>45540</v>
      </c>
      <c r="I266" s="18">
        <f>IFERROR(__xludf.DUMMYFUNCTION("""COMPUTED_VALUE"""),1.4)</f>
        <v>1.4</v>
      </c>
      <c r="J266" s="22">
        <f>IFERROR(__xludf.DUMMYFUNCTION("""COMPUTED_VALUE"""),82.0)</f>
        <v>82</v>
      </c>
      <c r="K266" s="22">
        <f>IFERROR(__xludf.DUMMYFUNCTION("""COMPUTED_VALUE"""),9.0)</f>
        <v>9</v>
      </c>
      <c r="L266" s="26" t="str">
        <f>IFERROR(__xludf.DUMMYFUNCTION("""COMPUTED_VALUE"""),"Shooter")</f>
        <v>Shooter</v>
      </c>
      <c r="M266" s="13" t="b">
        <f>NOT(ISNA(VLOOKUP(A266,PC!A:A,1,FALSE)))</f>
        <v>1</v>
      </c>
      <c r="N266" s="13" t="b">
        <f>NOT(ISNA(VLOOKUP(A266,'Game Pass Premium'!A:A,1,FALSE)))</f>
        <v>1</v>
      </c>
      <c r="O266" s="13" t="b">
        <f>NOT(ISNA(VLOOKUP(A266,'Game Pass Essential'!A:A,1,FALSE)))</f>
        <v>0</v>
      </c>
    </row>
    <row r="267">
      <c r="A267" s="12" t="str">
        <f>IFERROR(__xludf.DUMMYFUNCTION("""COMPUTED_VALUE"""),"Death Howl")</f>
        <v>Death Howl</v>
      </c>
      <c r="B267" s="13" t="str">
        <f>IFERROR(__xludf.DUMMYFUNCTION("""COMPUTED_VALUE"""),"Xbox / PC")</f>
        <v>Xbox / PC</v>
      </c>
      <c r="C267" s="14" t="str">
        <f>IFERROR(__xludf.DUMMYFUNCTION("""COMPUTED_VALUE"""),"Yes")</f>
        <v>Yes</v>
      </c>
      <c r="D267" s="14" t="str">
        <f>IFERROR(__xludf.DUMMYFUNCTION("""COMPUTED_VALUE"""),"Active")</f>
        <v>Active</v>
      </c>
      <c r="E267" s="15">
        <f>IFERROR(__xludf.DUMMYFUNCTION("""COMPUTED_VALUE"""),46000.0)</f>
        <v>46000</v>
      </c>
      <c r="F267" s="16"/>
      <c r="G267" s="18">
        <f>IFERROR(__xludf.DUMMYFUNCTION("""COMPUTED_VALUE"""),9.899999999999999)</f>
        <v>9.9</v>
      </c>
      <c r="H267" s="15">
        <f>IFERROR(__xludf.DUMMYFUNCTION("""COMPUTED_VALUE"""),46000.0)</f>
        <v>46000</v>
      </c>
      <c r="I267" s="18">
        <f>IFERROR(__xludf.DUMMYFUNCTION("""COMPUTED_VALUE"""),0.0)</f>
        <v>0</v>
      </c>
      <c r="J267" s="22">
        <f>IFERROR(__xludf.DUMMYFUNCTION("""COMPUTED_VALUE"""),82.0)</f>
        <v>82</v>
      </c>
      <c r="K267" s="22">
        <f>IFERROR(__xludf.DUMMYFUNCTION("""COMPUTED_VALUE"""),25.0)</f>
        <v>25</v>
      </c>
      <c r="L267" s="26" t="str">
        <f>IFERROR(__xludf.DUMMYFUNCTION("""COMPUTED_VALUE"""),"Adventure")</f>
        <v>Adventure</v>
      </c>
      <c r="M267" s="13" t="b">
        <f>NOT(ISNA(VLOOKUP(A267,PC!A:A,1,FALSE)))</f>
        <v>1</v>
      </c>
      <c r="N267" s="13" t="b">
        <f>NOT(ISNA(VLOOKUP(A267,'Game Pass Premium'!A:A,1,FALSE)))</f>
        <v>1</v>
      </c>
      <c r="O267" s="13" t="b">
        <f>NOT(ISNA(VLOOKUP(A267,'Game Pass Essential'!A:A,1,FALSE)))</f>
        <v>0</v>
      </c>
    </row>
    <row r="268">
      <c r="A268" s="12" t="str">
        <f>IFERROR(__xludf.DUMMYFUNCTION("""COMPUTED_VALUE"""),"Voidtrain")</f>
        <v>Voidtrain</v>
      </c>
      <c r="B268" s="13" t="str">
        <f>IFERROR(__xludf.DUMMYFUNCTION("""COMPUTED_VALUE"""),"Xbox / PC")</f>
        <v>Xbox / PC</v>
      </c>
      <c r="C268" s="14" t="str">
        <f>IFERROR(__xludf.DUMMYFUNCTION("""COMPUTED_VALUE"""),"Yes")</f>
        <v>Yes</v>
      </c>
      <c r="D268" s="14" t="str">
        <f>IFERROR(__xludf.DUMMYFUNCTION("""COMPUTED_VALUE"""),"Active")</f>
        <v>Active</v>
      </c>
      <c r="E268" s="15">
        <f>IFERROR(__xludf.DUMMYFUNCTION("""COMPUTED_VALUE"""),45968.0)</f>
        <v>45968</v>
      </c>
      <c r="F268" s="16"/>
      <c r="G268" s="18">
        <f>IFERROR(__xludf.DUMMYFUNCTION("""COMPUTED_VALUE"""),10.966666666666667)</f>
        <v>10.96666667</v>
      </c>
      <c r="H268" s="15">
        <f>IFERROR(__xludf.DUMMYFUNCTION("""COMPUTED_VALUE"""),45968.0)</f>
        <v>45968</v>
      </c>
      <c r="I268" s="18">
        <f>IFERROR(__xludf.DUMMYFUNCTION("""COMPUTED_VALUE"""),0.0)</f>
        <v>0</v>
      </c>
      <c r="J268" s="22">
        <f>IFERROR(__xludf.DUMMYFUNCTION("""COMPUTED_VALUE"""),82.0)</f>
        <v>82</v>
      </c>
      <c r="K268" s="22">
        <f>IFERROR(__xludf.DUMMYFUNCTION("""COMPUTED_VALUE"""),19.0)</f>
        <v>19</v>
      </c>
      <c r="L268" s="26" t="str">
        <f>IFERROR(__xludf.DUMMYFUNCTION("""COMPUTED_VALUE"""),"Shooter")</f>
        <v>Shooter</v>
      </c>
      <c r="M268" s="13" t="b">
        <f>NOT(ISNA(VLOOKUP(A268,PC!A:A,1,FALSE)))</f>
        <v>1</v>
      </c>
      <c r="N268" s="13" t="b">
        <f>NOT(ISNA(VLOOKUP(A268,'Game Pass Premium'!A:A,1,FALSE)))</f>
        <v>1</v>
      </c>
      <c r="O268" s="13" t="b">
        <f>NOT(ISNA(VLOOKUP(A268,'Game Pass Essential'!A:A,1,FALSE)))</f>
        <v>0</v>
      </c>
    </row>
    <row r="269">
      <c r="A269" s="12" t="str">
        <f>IFERROR(__xludf.DUMMYFUNCTION("""COMPUTED_VALUE"""),"PowerWash Simulator 2")</f>
        <v>PowerWash Simulator 2</v>
      </c>
      <c r="B269" s="13" t="str">
        <f>IFERROR(__xludf.DUMMYFUNCTION("""COMPUTED_VALUE"""),"Xbox / PC")</f>
        <v>Xbox / PC</v>
      </c>
      <c r="C269" s="14" t="str">
        <f>IFERROR(__xludf.DUMMYFUNCTION("""COMPUTED_VALUE"""),"Yes")</f>
        <v>Yes</v>
      </c>
      <c r="D269" s="14" t="str">
        <f>IFERROR(__xludf.DUMMYFUNCTION("""COMPUTED_VALUE"""),"Active")</f>
        <v>Active</v>
      </c>
      <c r="E269" s="15">
        <f>IFERROR(__xludf.DUMMYFUNCTION("""COMPUTED_VALUE"""),45953.0)</f>
        <v>45953</v>
      </c>
      <c r="F269" s="16"/>
      <c r="G269" s="18">
        <f>IFERROR(__xludf.DUMMYFUNCTION("""COMPUTED_VALUE"""),11.433333333333334)</f>
        <v>11.43333333</v>
      </c>
      <c r="H269" s="15">
        <f>IFERROR(__xludf.DUMMYFUNCTION("""COMPUTED_VALUE"""),45953.0)</f>
        <v>45953</v>
      </c>
      <c r="I269" s="18">
        <f>IFERROR(__xludf.DUMMYFUNCTION("""COMPUTED_VALUE"""),0.0)</f>
        <v>0</v>
      </c>
      <c r="J269" s="22">
        <f>IFERROR(__xludf.DUMMYFUNCTION("""COMPUTED_VALUE"""),82.0)</f>
        <v>82</v>
      </c>
      <c r="K269" s="22">
        <f>IFERROR(__xludf.DUMMYFUNCTION("""COMPUTED_VALUE"""),37.0)</f>
        <v>37</v>
      </c>
      <c r="L269" s="26" t="str">
        <f>IFERROR(__xludf.DUMMYFUNCTION("""COMPUTED_VALUE"""),"Simulation")</f>
        <v>Simulation</v>
      </c>
      <c r="M269" s="13" t="b">
        <f>NOT(ISNA(VLOOKUP(A269,PC!A:A,1,FALSE)))</f>
        <v>1</v>
      </c>
      <c r="N269" s="13" t="b">
        <f>NOT(ISNA(VLOOKUP(A269,'Game Pass Premium'!A:A,1,FALSE)))</f>
        <v>1</v>
      </c>
      <c r="O269" s="13" t="b">
        <f>NOT(ISNA(VLOOKUP(A269,'Game Pass Essential'!A:A,1,FALSE)))</f>
        <v>0</v>
      </c>
    </row>
    <row r="270">
      <c r="A270" s="12" t="str">
        <f>IFERROR(__xludf.DUMMYFUNCTION("""COMPUTED_VALUE"""),"Ninja Gaiden 4")</f>
        <v>Ninja Gaiden 4</v>
      </c>
      <c r="B270" s="13" t="str">
        <f>IFERROR(__xludf.DUMMYFUNCTION("""COMPUTED_VALUE"""),"Xbox / PC")</f>
        <v>Xbox / PC</v>
      </c>
      <c r="C270" s="14" t="str">
        <f>IFERROR(__xludf.DUMMYFUNCTION("""COMPUTED_VALUE"""),"Yes")</f>
        <v>Yes</v>
      </c>
      <c r="D270" s="14" t="str">
        <f>IFERROR(__xludf.DUMMYFUNCTION("""COMPUTED_VALUE"""),"Active")</f>
        <v>Active</v>
      </c>
      <c r="E270" s="15">
        <f>IFERROR(__xludf.DUMMYFUNCTION("""COMPUTED_VALUE"""),45951.0)</f>
        <v>45951</v>
      </c>
      <c r="F270" s="16"/>
      <c r="G270" s="18">
        <f>IFERROR(__xludf.DUMMYFUNCTION("""COMPUTED_VALUE"""),11.5)</f>
        <v>11.5</v>
      </c>
      <c r="H270" s="15">
        <f>IFERROR(__xludf.DUMMYFUNCTION("""COMPUTED_VALUE"""),45951.0)</f>
        <v>45951</v>
      </c>
      <c r="I270" s="18">
        <f>IFERROR(__xludf.DUMMYFUNCTION("""COMPUTED_VALUE"""),0.0)</f>
        <v>0</v>
      </c>
      <c r="J270" s="22">
        <f>IFERROR(__xludf.DUMMYFUNCTION("""COMPUTED_VALUE"""),82.0)</f>
        <v>82</v>
      </c>
      <c r="K270" s="22">
        <f>IFERROR(__xludf.DUMMYFUNCTION("""COMPUTED_VALUE"""),12.0)</f>
        <v>12</v>
      </c>
      <c r="L270" s="26" t="str">
        <f>IFERROR(__xludf.DUMMYFUNCTION("""COMPUTED_VALUE"""),"Action-Adventure")</f>
        <v>Action-Adventure</v>
      </c>
      <c r="M270" s="13" t="b">
        <f>NOT(ISNA(VLOOKUP(A270,PC!A:A,1,FALSE)))</f>
        <v>1</v>
      </c>
      <c r="N270" s="13" t="b">
        <f>NOT(ISNA(VLOOKUP(A270,'Game Pass Premium'!A:A,1,FALSE)))</f>
        <v>1</v>
      </c>
      <c r="O270" s="13" t="b">
        <f>NOT(ISNA(VLOOKUP(A270,'Game Pass Essential'!A:A,1,FALSE)))</f>
        <v>0</v>
      </c>
    </row>
    <row r="271">
      <c r="A271" s="12" t="str">
        <f>IFERROR(__xludf.DUMMYFUNCTION("""COMPUTED_VALUE"""),"Child of Light")</f>
        <v>Child of Light</v>
      </c>
      <c r="B271" s="13" t="str">
        <f>IFERROR(__xludf.DUMMYFUNCTION("""COMPUTED_VALUE"""),"Xbox / PC")</f>
        <v>Xbox / PC</v>
      </c>
      <c r="C271" s="14" t="str">
        <f>IFERROR(__xludf.DUMMYFUNCTION("""COMPUTED_VALUE"""),"Yes")</f>
        <v>Yes</v>
      </c>
      <c r="D271" s="14" t="str">
        <f>IFERROR(__xludf.DUMMYFUNCTION("""COMPUTED_VALUE"""),"Active")</f>
        <v>Active</v>
      </c>
      <c r="E271" s="15">
        <f>IFERROR(__xludf.DUMMYFUNCTION("""COMPUTED_VALUE"""),45931.0)</f>
        <v>45931</v>
      </c>
      <c r="F271" s="16"/>
      <c r="G271" s="18">
        <f>IFERROR(__xludf.DUMMYFUNCTION("""COMPUTED_VALUE"""),12.166666666666666)</f>
        <v>12.16666667</v>
      </c>
      <c r="H271" s="15">
        <f>IFERROR(__xludf.DUMMYFUNCTION("""COMPUTED_VALUE"""),41758.0)</f>
        <v>41758</v>
      </c>
      <c r="I271" s="18">
        <f>IFERROR(__xludf.DUMMYFUNCTION("""COMPUTED_VALUE"""),11.422222222222222)</f>
        <v>11.42222222</v>
      </c>
      <c r="J271" s="22">
        <f>IFERROR(__xludf.DUMMYFUNCTION("""COMPUTED_VALUE"""),82.0)</f>
        <v>82</v>
      </c>
      <c r="K271" s="22">
        <f>IFERROR(__xludf.DUMMYFUNCTION("""COMPUTED_VALUE"""),11.0)</f>
        <v>11</v>
      </c>
      <c r="L271" s="26" t="str">
        <f>IFERROR(__xludf.DUMMYFUNCTION("""COMPUTED_VALUE"""),"RPG")</f>
        <v>RPG</v>
      </c>
      <c r="M271" s="13" t="b">
        <f>NOT(ISNA(VLOOKUP(A271,PC!A:A,1,FALSE)))</f>
        <v>1</v>
      </c>
      <c r="N271" s="13" t="b">
        <f>NOT(ISNA(VLOOKUP(A271,'Game Pass Premium'!A:A,1,FALSE)))</f>
        <v>0</v>
      </c>
      <c r="O271" s="13" t="b">
        <f>NOT(ISNA(VLOOKUP(A271,'Game Pass Essential'!A:A,1,FALSE)))</f>
        <v>0</v>
      </c>
    </row>
    <row r="272">
      <c r="A272" s="12" t="str">
        <f>IFERROR(__xludf.DUMMYFUNCTION("""COMPUTED_VALUE"""),"Dragon Age: The Veilguard")</f>
        <v>Dragon Age: The Veilguard</v>
      </c>
      <c r="B272" s="13" t="str">
        <f>IFERROR(__xludf.DUMMYFUNCTION("""COMPUTED_VALUE"""),"Xbox / PC")</f>
        <v>Xbox / PC</v>
      </c>
      <c r="C272" s="14" t="str">
        <f>IFERROR(__xludf.DUMMYFUNCTION("""COMPUTED_VALUE"""),"Yes")</f>
        <v>Yes</v>
      </c>
      <c r="D272" s="14" t="str">
        <f>IFERROR(__xludf.DUMMYFUNCTION("""COMPUTED_VALUE"""),"Active")</f>
        <v>Active</v>
      </c>
      <c r="E272" s="15">
        <f>IFERROR(__xludf.DUMMYFUNCTION("""COMPUTED_VALUE"""),45897.0)</f>
        <v>45897</v>
      </c>
      <c r="F272" s="16"/>
      <c r="G272" s="18">
        <f>IFERROR(__xludf.DUMMYFUNCTION("""COMPUTED_VALUE"""),13.266666666666667)</f>
        <v>13.26666667</v>
      </c>
      <c r="H272" s="15">
        <f>IFERROR(__xludf.DUMMYFUNCTION("""COMPUTED_VALUE"""),45596.0)</f>
        <v>45596</v>
      </c>
      <c r="I272" s="18">
        <f>IFERROR(__xludf.DUMMYFUNCTION("""COMPUTED_VALUE"""),0.8277777777777777)</f>
        <v>0.8277777778</v>
      </c>
      <c r="J272" s="22">
        <f>IFERROR(__xludf.DUMMYFUNCTION("""COMPUTED_VALUE"""),82.0)</f>
        <v>82</v>
      </c>
      <c r="K272" s="22">
        <f>IFERROR(__xludf.DUMMYFUNCTION("""COMPUTED_VALUE"""),29.0)</f>
        <v>29</v>
      </c>
      <c r="L272" s="26" t="str">
        <f>IFERROR(__xludf.DUMMYFUNCTION("""COMPUTED_VALUE"""),"RPG")</f>
        <v>RPG</v>
      </c>
      <c r="M272" s="13" t="b">
        <f>NOT(ISNA(VLOOKUP(A272,PC!A:A,1,FALSE)))</f>
        <v>1</v>
      </c>
      <c r="N272" s="13" t="b">
        <f>NOT(ISNA(VLOOKUP(A272,'Game Pass Premium'!A:A,1,FALSE)))</f>
        <v>0</v>
      </c>
      <c r="O272" s="13" t="b">
        <f>NOT(ISNA(VLOOKUP(A272,'Game Pass Essential'!A:A,1,FALSE)))</f>
        <v>0</v>
      </c>
    </row>
    <row r="273">
      <c r="A273" s="12" t="str">
        <f>IFERROR(__xludf.DUMMYFUNCTION("""COMPUTED_VALUE"""),"Heretic + Hexen")</f>
        <v>Heretic + Hexen</v>
      </c>
      <c r="B273" s="13" t="str">
        <f>IFERROR(__xludf.DUMMYFUNCTION("""COMPUTED_VALUE"""),"Xbox / PC")</f>
        <v>Xbox / PC</v>
      </c>
      <c r="C273" s="14" t="str">
        <f>IFERROR(__xludf.DUMMYFUNCTION("""COMPUTED_VALUE"""),"Yes")</f>
        <v>Yes</v>
      </c>
      <c r="D273" s="14" t="str">
        <f>IFERROR(__xludf.DUMMYFUNCTION("""COMPUTED_VALUE"""),"Active")</f>
        <v>Active</v>
      </c>
      <c r="E273" s="15">
        <f>IFERROR(__xludf.DUMMYFUNCTION("""COMPUTED_VALUE"""),45876.0)</f>
        <v>45876</v>
      </c>
      <c r="F273" s="16"/>
      <c r="G273" s="18">
        <f>IFERROR(__xludf.DUMMYFUNCTION("""COMPUTED_VALUE"""),13.966666666666669)</f>
        <v>13.96666667</v>
      </c>
      <c r="H273" s="15">
        <f>IFERROR(__xludf.DUMMYFUNCTION("""COMPUTED_VALUE"""),45876.0)</f>
        <v>45876</v>
      </c>
      <c r="I273" s="18">
        <f>IFERROR(__xludf.DUMMYFUNCTION("""COMPUTED_VALUE"""),0.0)</f>
        <v>0</v>
      </c>
      <c r="J273" s="22">
        <f>IFERROR(__xludf.DUMMYFUNCTION("""COMPUTED_VALUE"""),82.0)</f>
        <v>82</v>
      </c>
      <c r="K273" s="22">
        <f>IFERROR(__xludf.DUMMYFUNCTION("""COMPUTED_VALUE"""),27.0)</f>
        <v>27</v>
      </c>
      <c r="L273" s="26" t="str">
        <f>IFERROR(__xludf.DUMMYFUNCTION("""COMPUTED_VALUE"""),"Compilation")</f>
        <v>Compilation</v>
      </c>
      <c r="M273" s="13" t="b">
        <f>NOT(ISNA(VLOOKUP(A273,PC!A:A,1,FALSE)))</f>
        <v>1</v>
      </c>
      <c r="N273" s="13" t="b">
        <f>NOT(ISNA(VLOOKUP(A273,'Game Pass Premium'!A:A,1,FALSE)))</f>
        <v>1</v>
      </c>
      <c r="O273" s="13" t="b">
        <f>NOT(ISNA(VLOOKUP(A273,'Game Pass Essential'!A:A,1,FALSE)))</f>
        <v>0</v>
      </c>
    </row>
    <row r="274">
      <c r="A274" s="12" t="str">
        <f>IFERROR(__xludf.DUMMYFUNCTION("""COMPUTED_VALUE"""),"Tony Hawk's Pro Skater 3 + 4")</f>
        <v>Tony Hawk's Pro Skater 3 + 4</v>
      </c>
      <c r="B274" s="13" t="str">
        <f>IFERROR(__xludf.DUMMYFUNCTION("""COMPUTED_VALUE"""),"Xbox / PC")</f>
        <v>Xbox / PC</v>
      </c>
      <c r="C274" s="14" t="str">
        <f>IFERROR(__xludf.DUMMYFUNCTION("""COMPUTED_VALUE"""),"Yes")</f>
        <v>Yes</v>
      </c>
      <c r="D274" s="14" t="str">
        <f>IFERROR(__xludf.DUMMYFUNCTION("""COMPUTED_VALUE"""),"Active")</f>
        <v>Active</v>
      </c>
      <c r="E274" s="15">
        <f>IFERROR(__xludf.DUMMYFUNCTION("""COMPUTED_VALUE"""),45849.0)</f>
        <v>45849</v>
      </c>
      <c r="F274" s="16"/>
      <c r="G274" s="18">
        <f>IFERROR(__xludf.DUMMYFUNCTION("""COMPUTED_VALUE"""),14.833333333333334)</f>
        <v>14.83333333</v>
      </c>
      <c r="H274" s="15">
        <f>IFERROR(__xludf.DUMMYFUNCTION("""COMPUTED_VALUE"""),45849.0)</f>
        <v>45849</v>
      </c>
      <c r="I274" s="18">
        <f>IFERROR(__xludf.DUMMYFUNCTION("""COMPUTED_VALUE"""),0.0)</f>
        <v>0</v>
      </c>
      <c r="J274" s="22">
        <f>IFERROR(__xludf.DUMMYFUNCTION("""COMPUTED_VALUE"""),82.0)</f>
        <v>82</v>
      </c>
      <c r="K274" s="22">
        <f>IFERROR(__xludf.DUMMYFUNCTION("""COMPUTED_VALUE"""),18.0)</f>
        <v>18</v>
      </c>
      <c r="L274" s="26" t="str">
        <f>IFERROR(__xludf.DUMMYFUNCTION("""COMPUTED_VALUE"""),"Skating")</f>
        <v>Skating</v>
      </c>
      <c r="M274" s="13" t="b">
        <f>NOT(ISNA(VLOOKUP(A274,PC!A:A,1,FALSE)))</f>
        <v>1</v>
      </c>
      <c r="N274" s="13" t="b">
        <f>NOT(ISNA(VLOOKUP(A274,'Game Pass Premium'!A:A,1,FALSE)))</f>
        <v>1</v>
      </c>
      <c r="O274" s="13" t="b">
        <f>NOT(ISNA(VLOOKUP(A274,'Game Pass Essential'!A:A,1,FALSE)))</f>
        <v>0</v>
      </c>
    </row>
    <row r="275">
      <c r="A275" s="12" t="str">
        <f>IFERROR(__xludf.DUMMYFUNCTION("""COMPUTED_VALUE"""),"Tom Clancy's The Division 2")</f>
        <v>Tom Clancy's The Division 2</v>
      </c>
      <c r="B275" s="13" t="str">
        <f>IFERROR(__xludf.DUMMYFUNCTION("""COMPUTED_VALUE"""),"Xbox / PC")</f>
        <v>Xbox / PC</v>
      </c>
      <c r="C275" s="14" t="str">
        <f>IFERROR(__xludf.DUMMYFUNCTION("""COMPUTED_VALUE"""),"Yes")</f>
        <v>Yes</v>
      </c>
      <c r="D275" s="14" t="str">
        <f>IFERROR(__xludf.DUMMYFUNCTION("""COMPUTED_VALUE"""),"Active")</f>
        <v>Active</v>
      </c>
      <c r="E275" s="15">
        <f>IFERROR(__xludf.DUMMYFUNCTION("""COMPUTED_VALUE"""),45804.0)</f>
        <v>45804</v>
      </c>
      <c r="F275" s="16"/>
      <c r="G275" s="18">
        <f>IFERROR(__xludf.DUMMYFUNCTION("""COMPUTED_VALUE"""),16.3)</f>
        <v>16.3</v>
      </c>
      <c r="H275" s="15">
        <f>IFERROR(__xludf.DUMMYFUNCTION("""COMPUTED_VALUE"""),43536.0)</f>
        <v>43536</v>
      </c>
      <c r="I275" s="18">
        <f>IFERROR(__xludf.DUMMYFUNCTION("""COMPUTED_VALUE"""),6.208333333333333)</f>
        <v>6.208333333</v>
      </c>
      <c r="J275" s="22">
        <f>IFERROR(__xludf.DUMMYFUNCTION("""COMPUTED_VALUE"""),82.0)</f>
        <v>82</v>
      </c>
      <c r="K275" s="22">
        <f>IFERROR(__xludf.DUMMYFUNCTION("""COMPUTED_VALUE"""),26.0)</f>
        <v>26</v>
      </c>
      <c r="L275" s="26" t="str">
        <f>IFERROR(__xludf.DUMMYFUNCTION("""COMPUTED_VALUE"""),"Shooter")</f>
        <v>Shooter</v>
      </c>
      <c r="M275" s="13" t="b">
        <f>NOT(ISNA(VLOOKUP(A275,PC!A:A,1,FALSE)))</f>
        <v>1</v>
      </c>
      <c r="N275" s="13" t="b">
        <f>NOT(ISNA(VLOOKUP(A275,'Game Pass Premium'!A:A,1,FALSE)))</f>
        <v>1</v>
      </c>
      <c r="O275" s="13" t="b">
        <f>NOT(ISNA(VLOOKUP(A275,'Game Pass Essential'!A:A,1,FALSE)))</f>
        <v>0</v>
      </c>
    </row>
    <row r="276">
      <c r="A276" s="12" t="str">
        <f>IFERROR(__xludf.DUMMYFUNCTION("""COMPUTED_VALUE"""),"Caesar II")</f>
        <v>Caesar II</v>
      </c>
      <c r="B276" s="13" t="str">
        <f>IFERROR(__xludf.DUMMYFUNCTION("""COMPUTED_VALUE"""),"Xbox / PC")</f>
        <v>Xbox / PC</v>
      </c>
      <c r="C276" s="14" t="str">
        <f>IFERROR(__xludf.DUMMYFUNCTION("""COMPUTED_VALUE"""),"Yes")</f>
        <v>Yes</v>
      </c>
      <c r="D276" s="14" t="str">
        <f>IFERROR(__xludf.DUMMYFUNCTION("""COMPUTED_VALUE"""),"Active")</f>
        <v>Active</v>
      </c>
      <c r="E276" s="15">
        <f>IFERROR(__xludf.DUMMYFUNCTION("""COMPUTED_VALUE"""),45798.0)</f>
        <v>45798</v>
      </c>
      <c r="F276" s="16"/>
      <c r="G276" s="18">
        <f>IFERROR(__xludf.DUMMYFUNCTION("""COMPUTED_VALUE"""),16.5)</f>
        <v>16.5</v>
      </c>
      <c r="H276" s="15">
        <f>IFERROR(__xludf.DUMMYFUNCTION("""COMPUTED_VALUE"""),34956.0)</f>
        <v>34956</v>
      </c>
      <c r="I276" s="18">
        <f>IFERROR(__xludf.DUMMYFUNCTION("""COMPUTED_VALUE"""),29.68611111111111)</f>
        <v>29.68611111</v>
      </c>
      <c r="J276" s="22">
        <f>IFERROR(__xludf.DUMMYFUNCTION("""COMPUTED_VALUE"""),82.0)</f>
        <v>82</v>
      </c>
      <c r="K276" s="22">
        <f>IFERROR(__xludf.DUMMYFUNCTION("""COMPUTED_VALUE"""),7.0)</f>
        <v>7</v>
      </c>
      <c r="L276" s="26" t="str">
        <f>IFERROR(__xludf.DUMMYFUNCTION("""COMPUTED_VALUE"""),"Strategy")</f>
        <v>Strategy</v>
      </c>
      <c r="M276" s="13" t="b">
        <f>NOT(ISNA(VLOOKUP(A276,PC!A:A,1,FALSE)))</f>
        <v>1</v>
      </c>
      <c r="N276" s="13" t="b">
        <f>NOT(ISNA(VLOOKUP(A276,'Game Pass Premium'!A:A,1,FALSE)))</f>
        <v>1</v>
      </c>
      <c r="O276" s="13" t="b">
        <f>NOT(ISNA(VLOOKUP(A276,'Game Pass Essential'!A:A,1,FALSE)))</f>
        <v>0</v>
      </c>
    </row>
    <row r="277">
      <c r="A277" s="12" t="str">
        <f>IFERROR(__xludf.DUMMYFUNCTION("""COMPUTED_VALUE"""),"Pitfall II: Lost Caverns")</f>
        <v>Pitfall II: Lost Caverns</v>
      </c>
      <c r="B277" s="13" t="str">
        <f>IFERROR(__xludf.DUMMYFUNCTION("""COMPUTED_VALUE"""),"Xbox / PC")</f>
        <v>Xbox / PC</v>
      </c>
      <c r="C277" s="14" t="str">
        <f>IFERROR(__xludf.DUMMYFUNCTION("""COMPUTED_VALUE"""),"Yes")</f>
        <v>Yes</v>
      </c>
      <c r="D277" s="14" t="str">
        <f>IFERROR(__xludf.DUMMYFUNCTION("""COMPUTED_VALUE"""),"Active")</f>
        <v>Active</v>
      </c>
      <c r="E277" s="15">
        <f>IFERROR(__xludf.DUMMYFUNCTION("""COMPUTED_VALUE"""),45798.0)</f>
        <v>45798</v>
      </c>
      <c r="F277" s="16"/>
      <c r="G277" s="18">
        <f>IFERROR(__xludf.DUMMYFUNCTION("""COMPUTED_VALUE"""),16.5)</f>
        <v>16.5</v>
      </c>
      <c r="H277" s="15">
        <f>IFERROR(__xludf.DUMMYFUNCTION("""COMPUTED_VALUE"""),30575.0)</f>
        <v>30575</v>
      </c>
      <c r="I277" s="18">
        <f>IFERROR(__xludf.DUMMYFUNCTION("""COMPUTED_VALUE"""),41.68055555555556)</f>
        <v>41.68055556</v>
      </c>
      <c r="J277" s="22">
        <f>IFERROR(__xludf.DUMMYFUNCTION("""COMPUTED_VALUE"""),82.0)</f>
        <v>82</v>
      </c>
      <c r="K277" s="22"/>
      <c r="L277" s="26" t="str">
        <f>IFERROR(__xludf.DUMMYFUNCTION("""COMPUTED_VALUE"""),"Platformer")</f>
        <v>Platformer</v>
      </c>
      <c r="M277" s="13" t="b">
        <f>NOT(ISNA(VLOOKUP(A277,PC!A:A,1,FALSE)))</f>
        <v>1</v>
      </c>
      <c r="N277" s="13" t="b">
        <f>NOT(ISNA(VLOOKUP(A277,'Game Pass Premium'!A:A,1,FALSE)))</f>
        <v>1</v>
      </c>
      <c r="O277" s="13" t="b">
        <f>NOT(ISNA(VLOOKUP(A277,'Game Pass Essential'!A:A,1,FALSE)))</f>
        <v>0</v>
      </c>
    </row>
    <row r="278">
      <c r="A278" s="12" t="str">
        <f>IFERROR(__xludf.DUMMYFUNCTION("""COMPUTED_VALUE"""),"The Elder Scrolls IV: Oblivion - Remastered")</f>
        <v>The Elder Scrolls IV: Oblivion - Remastered</v>
      </c>
      <c r="B278" s="13" t="str">
        <f>IFERROR(__xludf.DUMMYFUNCTION("""COMPUTED_VALUE"""),"Xbox / PC")</f>
        <v>Xbox / PC</v>
      </c>
      <c r="C278" s="14" t="str">
        <f>IFERROR(__xludf.DUMMYFUNCTION("""COMPUTED_VALUE"""),"Yes")</f>
        <v>Yes</v>
      </c>
      <c r="D278" s="14" t="str">
        <f>IFERROR(__xludf.DUMMYFUNCTION("""COMPUTED_VALUE"""),"Active")</f>
        <v>Active</v>
      </c>
      <c r="E278" s="15">
        <f>IFERROR(__xludf.DUMMYFUNCTION("""COMPUTED_VALUE"""),45769.0)</f>
        <v>45769</v>
      </c>
      <c r="F278" s="16"/>
      <c r="G278" s="18">
        <f>IFERROR(__xludf.DUMMYFUNCTION("""COMPUTED_VALUE"""),17.466666666666665)</f>
        <v>17.46666667</v>
      </c>
      <c r="H278" s="15">
        <f>IFERROR(__xludf.DUMMYFUNCTION("""COMPUTED_VALUE"""),45769.0)</f>
        <v>45769</v>
      </c>
      <c r="I278" s="18">
        <f>IFERROR(__xludf.DUMMYFUNCTION("""COMPUTED_VALUE"""),0.0)</f>
        <v>0</v>
      </c>
      <c r="J278" s="22">
        <f>IFERROR(__xludf.DUMMYFUNCTION("""COMPUTED_VALUE"""),82.0)</f>
        <v>82</v>
      </c>
      <c r="K278" s="22">
        <f>IFERROR(__xludf.DUMMYFUNCTION("""COMPUTED_VALUE"""),14.0)</f>
        <v>14</v>
      </c>
      <c r="L278" s="26" t="str">
        <f>IFERROR(__xludf.DUMMYFUNCTION("""COMPUTED_VALUE"""),"RPG")</f>
        <v>RPG</v>
      </c>
      <c r="M278" s="13" t="b">
        <f>NOT(ISNA(VLOOKUP(A278,PC!A:A,1,FALSE)))</f>
        <v>1</v>
      </c>
      <c r="N278" s="13" t="b">
        <f>NOT(ISNA(VLOOKUP(A278,'Game Pass Premium'!A:A,1,FALSE)))</f>
        <v>1</v>
      </c>
      <c r="O278" s="13" t="b">
        <f>NOT(ISNA(VLOOKUP(A278,'Game Pass Essential'!A:A,1,FALSE)))</f>
        <v>0</v>
      </c>
    </row>
    <row r="279">
      <c r="A279" s="12" t="str">
        <f>IFERROR(__xludf.DUMMYFUNCTION("""COMPUTED_VALUE"""),"Spyro Reignited Trilogy")</f>
        <v>Spyro Reignited Trilogy</v>
      </c>
      <c r="B279" s="13" t="str">
        <f>IFERROR(__xludf.DUMMYFUNCTION("""COMPUTED_VALUE"""),"Xbox / PC")</f>
        <v>Xbox / PC</v>
      </c>
      <c r="C279" s="14"/>
      <c r="D279" s="14" t="str">
        <f>IFERROR(__xludf.DUMMYFUNCTION("""COMPUTED_VALUE"""),"Active")</f>
        <v>Active</v>
      </c>
      <c r="E279" s="15">
        <f>IFERROR(__xludf.DUMMYFUNCTION("""COMPUTED_VALUE"""),45608.0)</f>
        <v>45608</v>
      </c>
      <c r="F279" s="16"/>
      <c r="G279" s="18">
        <f>IFERROR(__xludf.DUMMYFUNCTION("""COMPUTED_VALUE"""),22.799999999999997)</f>
        <v>22.8</v>
      </c>
      <c r="H279" s="15">
        <f>IFERROR(__xludf.DUMMYFUNCTION("""COMPUTED_VALUE"""),43417.0)</f>
        <v>43417</v>
      </c>
      <c r="I279" s="18">
        <f>IFERROR(__xludf.DUMMYFUNCTION("""COMPUTED_VALUE"""),5.997222222222222)</f>
        <v>5.997222222</v>
      </c>
      <c r="J279" s="22">
        <f>IFERROR(__xludf.DUMMYFUNCTION("""COMPUTED_VALUE"""),82.0)</f>
        <v>82</v>
      </c>
      <c r="K279" s="22">
        <f>IFERROR(__xludf.DUMMYFUNCTION("""COMPUTED_VALUE"""),17.0)</f>
        <v>17</v>
      </c>
      <c r="L279" s="26" t="str">
        <f>IFERROR(__xludf.DUMMYFUNCTION("""COMPUTED_VALUE"""),"Platformer")</f>
        <v>Platformer</v>
      </c>
      <c r="M279" s="13" t="b">
        <f>NOT(ISNA(VLOOKUP(A279,PC!A:A,1,FALSE)))</f>
        <v>1</v>
      </c>
      <c r="N279" s="13" t="b">
        <f>NOT(ISNA(VLOOKUP(A279,'Game Pass Premium'!A:A,1,FALSE)))</f>
        <v>1</v>
      </c>
      <c r="O279" s="13" t="b">
        <f>NOT(ISNA(VLOOKUP(A279,'Game Pass Essential'!A:A,1,FALSE)))</f>
        <v>0</v>
      </c>
    </row>
    <row r="280">
      <c r="A280" s="12" t="str">
        <f>IFERROR(__xludf.DUMMYFUNCTION("""COMPUTED_VALUE"""),"DOOM + DOOM II: Enhanced")</f>
        <v>DOOM + DOOM II: Enhanced</v>
      </c>
      <c r="B280" s="13" t="str">
        <f>IFERROR(__xludf.DUMMYFUNCTION("""COMPUTED_VALUE"""),"Xbox / PC")</f>
        <v>Xbox / PC</v>
      </c>
      <c r="C280" s="14" t="str">
        <f>IFERROR(__xludf.DUMMYFUNCTION("""COMPUTED_VALUE"""),"Yes")</f>
        <v>Yes</v>
      </c>
      <c r="D280" s="14" t="str">
        <f>IFERROR(__xludf.DUMMYFUNCTION("""COMPUTED_VALUE"""),"Active")</f>
        <v>Active</v>
      </c>
      <c r="E280" s="15">
        <f>IFERROR(__xludf.DUMMYFUNCTION("""COMPUTED_VALUE"""),45512.0)</f>
        <v>45512</v>
      </c>
      <c r="F280" s="16"/>
      <c r="G280" s="18">
        <f>IFERROR(__xludf.DUMMYFUNCTION("""COMPUTED_VALUE"""),25.93333333333333)</f>
        <v>25.93333333</v>
      </c>
      <c r="H280" s="15">
        <f>IFERROR(__xludf.DUMMYFUNCTION("""COMPUTED_VALUE"""),45512.0)</f>
        <v>45512</v>
      </c>
      <c r="I280" s="18">
        <f>IFERROR(__xludf.DUMMYFUNCTION("""COMPUTED_VALUE"""),0.0)</f>
        <v>0</v>
      </c>
      <c r="J280" s="22">
        <f>IFERROR(__xludf.DUMMYFUNCTION("""COMPUTED_VALUE"""),82.0)</f>
        <v>82</v>
      </c>
      <c r="K280" s="22">
        <f>IFERROR(__xludf.DUMMYFUNCTION("""COMPUTED_VALUE"""),12.0)</f>
        <v>12</v>
      </c>
      <c r="L280" s="26" t="str">
        <f>IFERROR(__xludf.DUMMYFUNCTION("""COMPUTED_VALUE"""),"Shooter")</f>
        <v>Shooter</v>
      </c>
      <c r="M280" s="13" t="b">
        <f>NOT(ISNA(VLOOKUP(A280,PC!A:A,1,FALSE)))</f>
        <v>1</v>
      </c>
      <c r="N280" s="13" t="b">
        <f>NOT(ISNA(VLOOKUP(A280,'Game Pass Premium'!A:A,1,FALSE)))</f>
        <v>1</v>
      </c>
      <c r="O280" s="13" t="b">
        <f>NOT(ISNA(VLOOKUP(A280,'Game Pass Essential'!A:A,1,FALSE)))</f>
        <v>0</v>
      </c>
    </row>
    <row r="281">
      <c r="A281" s="12" t="str">
        <f>IFERROR(__xludf.DUMMYFUNCTION("""COMPUTED_VALUE"""),"Superhot: Mind Control Delete")</f>
        <v>Superhot: Mind Control Delete</v>
      </c>
      <c r="B281" s="13" t="str">
        <f>IFERROR(__xludf.DUMMYFUNCTION("""COMPUTED_VALUE"""),"Xbox / PC")</f>
        <v>Xbox / PC</v>
      </c>
      <c r="C281" s="14" t="str">
        <f>IFERROR(__xludf.DUMMYFUNCTION("""COMPUTED_VALUE"""),"Yes")</f>
        <v>Yes</v>
      </c>
      <c r="D281" s="14" t="str">
        <f>IFERROR(__xludf.DUMMYFUNCTION("""COMPUTED_VALUE"""),"Active")</f>
        <v>Active</v>
      </c>
      <c r="E281" s="15">
        <f>IFERROR(__xludf.DUMMYFUNCTION("""COMPUTED_VALUE"""),45384.0)</f>
        <v>45384</v>
      </c>
      <c r="F281" s="16"/>
      <c r="G281" s="18">
        <f>IFERROR(__xludf.DUMMYFUNCTION("""COMPUTED_VALUE"""),30.133333333333333)</f>
        <v>30.13333333</v>
      </c>
      <c r="H281" s="15">
        <f>IFERROR(__xludf.DUMMYFUNCTION("""COMPUTED_VALUE"""),44028.0)</f>
        <v>44028</v>
      </c>
      <c r="I281" s="18">
        <f>IFERROR(__xludf.DUMMYFUNCTION("""COMPUTED_VALUE"""),3.7111111111111112)</f>
        <v>3.711111111</v>
      </c>
      <c r="J281" s="22">
        <f>IFERROR(__xludf.DUMMYFUNCTION("""COMPUTED_VALUE"""),82.0)</f>
        <v>82</v>
      </c>
      <c r="K281" s="22">
        <f>IFERROR(__xludf.DUMMYFUNCTION("""COMPUTED_VALUE"""),5.5)</f>
        <v>5.5</v>
      </c>
      <c r="L281" s="26" t="str">
        <f>IFERROR(__xludf.DUMMYFUNCTION("""COMPUTED_VALUE"""),"Shooter")</f>
        <v>Shooter</v>
      </c>
      <c r="M281" s="13" t="b">
        <f>NOT(ISNA(VLOOKUP(A281,PC!A:A,1,FALSE)))</f>
        <v>1</v>
      </c>
      <c r="N281" s="13" t="b">
        <f>NOT(ISNA(VLOOKUP(A281,'Game Pass Premium'!A:A,1,FALSE)))</f>
        <v>1</v>
      </c>
      <c r="O281" s="13" t="b">
        <f>NOT(ISNA(VLOOKUP(A281,'Game Pass Essential'!A:A,1,FALSE)))</f>
        <v>1</v>
      </c>
    </row>
    <row r="282">
      <c r="A282" s="119" t="str">
        <f>IFERROR(__xludf.DUMMYFUNCTION("""COMPUTED_VALUE"""),"Clone Drone in the Danger Zone")</f>
        <v>Clone Drone in the Danger Zone</v>
      </c>
      <c r="B282" s="13" t="str">
        <f>IFERROR(__xludf.DUMMYFUNCTION("""COMPUTED_VALUE"""),"Xbox / PC")</f>
        <v>Xbox / PC</v>
      </c>
      <c r="C282" s="14" t="str">
        <f>IFERROR(__xludf.DUMMYFUNCTION("""COMPUTED_VALUE"""),"Yes")</f>
        <v>Yes</v>
      </c>
      <c r="D282" s="14" t="str">
        <f>IFERROR(__xludf.DUMMYFUNCTION("""COMPUTED_VALUE"""),"Active")</f>
        <v>Active</v>
      </c>
      <c r="E282" s="15">
        <f>IFERROR(__xludf.DUMMYFUNCTION("""COMPUTED_VALUE"""),45265.0)</f>
        <v>45265</v>
      </c>
      <c r="F282" s="16"/>
      <c r="G282" s="18">
        <f>IFERROR(__xludf.DUMMYFUNCTION("""COMPUTED_VALUE"""),34.03333333333333)</f>
        <v>34.03333333</v>
      </c>
      <c r="H282" s="15">
        <f>IFERROR(__xludf.DUMMYFUNCTION("""COMPUTED_VALUE"""),42702.0)</f>
        <v>42702</v>
      </c>
      <c r="I282" s="18">
        <f>IFERROR(__xludf.DUMMYFUNCTION("""COMPUTED_VALUE"""),7.019444444444445)</f>
        <v>7.019444444</v>
      </c>
      <c r="J282" s="22">
        <f>IFERROR(__xludf.DUMMYFUNCTION("""COMPUTED_VALUE"""),82.0)</f>
        <v>82</v>
      </c>
      <c r="K282" s="22">
        <f>IFERROR(__xludf.DUMMYFUNCTION("""COMPUTED_VALUE"""),2.0)</f>
        <v>2</v>
      </c>
      <c r="L282" s="26" t="str">
        <f>IFERROR(__xludf.DUMMYFUNCTION("""COMPUTED_VALUE"""),"Action")</f>
        <v>Action</v>
      </c>
      <c r="M282" s="13" t="b">
        <f>NOT(ISNA(VLOOKUP(A282,PC!A:A,1,FALSE)))</f>
        <v>1</v>
      </c>
      <c r="N282" s="13" t="b">
        <f>NOT(ISNA(VLOOKUP(A282,'Game Pass Premium'!A:A,1,FALSE)))</f>
        <v>1</v>
      </c>
      <c r="O282" s="13" t="b">
        <f>NOT(ISNA(VLOOKUP(A282,'Game Pass Essential'!A:A,1,FALSE)))</f>
        <v>0</v>
      </c>
    </row>
    <row r="283">
      <c r="A283" s="12" t="str">
        <f>IFERROR(__xludf.DUMMYFUNCTION("""COMPUTED_VALUE"""),"Stacking")</f>
        <v>Stacking</v>
      </c>
      <c r="B283" s="13" t="str">
        <f>IFERROR(__xludf.DUMMYFUNCTION("""COMPUTED_VALUE"""),"Xbox")</f>
        <v>Xbox</v>
      </c>
      <c r="C283" s="14" t="str">
        <f>IFERROR(__xludf.DUMMYFUNCTION("""COMPUTED_VALUE"""),"Yes")</f>
        <v>Yes</v>
      </c>
      <c r="D283" s="14" t="str">
        <f>IFERROR(__xludf.DUMMYFUNCTION("""COMPUTED_VALUE"""),"Active")</f>
        <v>Active</v>
      </c>
      <c r="E283" s="15">
        <f>IFERROR(__xludf.DUMMYFUNCTION("""COMPUTED_VALUE"""),45085.0)</f>
        <v>45085</v>
      </c>
      <c r="F283" s="16"/>
      <c r="G283" s="18">
        <f>IFERROR(__xludf.DUMMYFUNCTION("""COMPUTED_VALUE"""),39.93333333333334)</f>
        <v>39.93333333</v>
      </c>
      <c r="H283" s="15">
        <f>IFERROR(__xludf.DUMMYFUNCTION("""COMPUTED_VALUE"""),40582.0)</f>
        <v>40582</v>
      </c>
      <c r="I283" s="18">
        <f>IFERROR(__xludf.DUMMYFUNCTION("""COMPUTED_VALUE"""),12.333333333333334)</f>
        <v>12.33333333</v>
      </c>
      <c r="J283" s="22">
        <f>IFERROR(__xludf.DUMMYFUNCTION("""COMPUTED_VALUE"""),82.0)</f>
        <v>82</v>
      </c>
      <c r="K283" s="22">
        <f>IFERROR(__xludf.DUMMYFUNCTION("""COMPUTED_VALUE"""),4.0)</f>
        <v>4</v>
      </c>
      <c r="L283" s="26" t="str">
        <f>IFERROR(__xludf.DUMMYFUNCTION("""COMPUTED_VALUE"""),"Adventure")</f>
        <v>Adventure</v>
      </c>
      <c r="M283" s="13" t="b">
        <f>NOT(ISNA(VLOOKUP(A283,PC!A:A,1,FALSE)))</f>
        <v>0</v>
      </c>
      <c r="N283" s="13" t="b">
        <f>NOT(ISNA(VLOOKUP(A283,'Game Pass Premium'!A:A,1,FALSE)))</f>
        <v>1</v>
      </c>
      <c r="O283" s="13" t="b">
        <f>NOT(ISNA(VLOOKUP(A283,'Game Pass Essential'!A:A,1,FALSE)))</f>
        <v>0</v>
      </c>
    </row>
    <row r="284">
      <c r="A284" s="12" t="str">
        <f>IFERROR(__xludf.DUMMYFUNCTION("""COMPUTED_VALUE"""),"Iron Brigade")</f>
        <v>Iron Brigade</v>
      </c>
      <c r="B284" s="13" t="str">
        <f>IFERROR(__xludf.DUMMYFUNCTION("""COMPUTED_VALUE"""),"Xbox")</f>
        <v>Xbox</v>
      </c>
      <c r="C284" s="14"/>
      <c r="D284" s="14" t="str">
        <f>IFERROR(__xludf.DUMMYFUNCTION("""COMPUTED_VALUE"""),"Active")</f>
        <v>Active</v>
      </c>
      <c r="E284" s="15">
        <f>IFERROR(__xludf.DUMMYFUNCTION("""COMPUTED_VALUE"""),45022.0)</f>
        <v>45022</v>
      </c>
      <c r="F284" s="16"/>
      <c r="G284" s="18">
        <f>IFERROR(__xludf.DUMMYFUNCTION("""COMPUTED_VALUE"""),42.0)</f>
        <v>42</v>
      </c>
      <c r="H284" s="15">
        <f>IFERROR(__xludf.DUMMYFUNCTION("""COMPUTED_VALUE"""),40716.0)</f>
        <v>40716</v>
      </c>
      <c r="I284" s="18">
        <f>IFERROR(__xludf.DUMMYFUNCTION("""COMPUTED_VALUE"""),11.78888888888889)</f>
        <v>11.78888889</v>
      </c>
      <c r="J284" s="22">
        <f>IFERROR(__xludf.DUMMYFUNCTION("""COMPUTED_VALUE"""),82.0)</f>
        <v>82</v>
      </c>
      <c r="K284" s="22">
        <f>IFERROR(__xludf.DUMMYFUNCTION("""COMPUTED_VALUE"""),6.5)</f>
        <v>6.5</v>
      </c>
      <c r="L284" s="26" t="str">
        <f>IFERROR(__xludf.DUMMYFUNCTION("""COMPUTED_VALUE"""),"Shooter")</f>
        <v>Shooter</v>
      </c>
      <c r="M284" s="13" t="b">
        <f>NOT(ISNA(VLOOKUP(A284,PC!A:A,1,FALSE)))</f>
        <v>0</v>
      </c>
      <c r="N284" s="13" t="b">
        <f>NOT(ISNA(VLOOKUP(A284,'Game Pass Premium'!A:A,1,FALSE)))</f>
        <v>1</v>
      </c>
      <c r="O284" s="13" t="b">
        <f>NOT(ISNA(VLOOKUP(A284,'Game Pass Essential'!A:A,1,FALSE)))</f>
        <v>0</v>
      </c>
    </row>
    <row r="285">
      <c r="A285" s="12" t="str">
        <f>IFERROR(__xludf.DUMMYFUNCTION("""COMPUTED_VALUE"""),"Chivalry II")</f>
        <v>Chivalry II</v>
      </c>
      <c r="B285" s="13" t="str">
        <f>IFERROR(__xludf.DUMMYFUNCTION("""COMPUTED_VALUE"""),"Xbox / PC")</f>
        <v>Xbox / PC</v>
      </c>
      <c r="C285" s="14" t="str">
        <f>IFERROR(__xludf.DUMMYFUNCTION("""COMPUTED_VALUE"""),"Yes")</f>
        <v>Yes</v>
      </c>
      <c r="D285" s="14" t="str">
        <f>IFERROR(__xludf.DUMMYFUNCTION("""COMPUTED_VALUE"""),"Active")</f>
        <v>Active</v>
      </c>
      <c r="E285" s="15">
        <f>IFERROR(__xludf.DUMMYFUNCTION("""COMPUTED_VALUE"""),44838.0)</f>
        <v>44838</v>
      </c>
      <c r="F285" s="16"/>
      <c r="G285" s="18">
        <f>IFERROR(__xludf.DUMMYFUNCTION("""COMPUTED_VALUE"""),48.06666666666666)</f>
        <v>48.06666667</v>
      </c>
      <c r="H285" s="15">
        <f>IFERROR(__xludf.DUMMYFUNCTION("""COMPUTED_VALUE"""),44355.0)</f>
        <v>44355</v>
      </c>
      <c r="I285" s="18">
        <f>IFERROR(__xludf.DUMMYFUNCTION("""COMPUTED_VALUE"""),1.3222222222222222)</f>
        <v>1.322222222</v>
      </c>
      <c r="J285" s="22">
        <f>IFERROR(__xludf.DUMMYFUNCTION("""COMPUTED_VALUE"""),82.0)</f>
        <v>82</v>
      </c>
      <c r="K285" s="22">
        <f>IFERROR(__xludf.DUMMYFUNCTION("""COMPUTED_VALUE"""),42.5)</f>
        <v>42.5</v>
      </c>
      <c r="L285" s="26" t="str">
        <f>IFERROR(__xludf.DUMMYFUNCTION("""COMPUTED_VALUE"""),"Action")</f>
        <v>Action</v>
      </c>
      <c r="M285" s="13" t="b">
        <f>NOT(ISNA(VLOOKUP(A285,PC!A:A,1,FALSE)))</f>
        <v>1</v>
      </c>
      <c r="N285" s="13" t="b">
        <f>NOT(ISNA(VLOOKUP(A285,'Game Pass Premium'!A:A,1,FALSE)))</f>
        <v>1</v>
      </c>
      <c r="O285" s="13" t="b">
        <f>NOT(ISNA(VLOOKUP(A285,'Game Pass Essential'!A:A,1,FALSE)))</f>
        <v>1</v>
      </c>
    </row>
    <row r="286">
      <c r="A286" s="12" t="str">
        <f>IFERROR(__xludf.DUMMYFUNCTION("""COMPUTED_VALUE"""),"Ni no Kuni: Wrath of the White Witch - Remastered")</f>
        <v>Ni no Kuni: Wrath of the White Witch - Remastered</v>
      </c>
      <c r="B286" s="13" t="str">
        <f>IFERROR(__xludf.DUMMYFUNCTION("""COMPUTED_VALUE"""),"Xbox / PC")</f>
        <v>Xbox / PC</v>
      </c>
      <c r="C286" s="14" t="str">
        <f>IFERROR(__xludf.DUMMYFUNCTION("""COMPUTED_VALUE"""),"Touch Controls")</f>
        <v>Touch Controls</v>
      </c>
      <c r="D286" s="14" t="str">
        <f>IFERROR(__xludf.DUMMYFUNCTION("""COMPUTED_VALUE"""),"Active")</f>
        <v>Active</v>
      </c>
      <c r="E286" s="15">
        <f>IFERROR(__xludf.DUMMYFUNCTION("""COMPUTED_VALUE"""),44819.0)</f>
        <v>44819</v>
      </c>
      <c r="F286" s="16"/>
      <c r="G286" s="18">
        <f>IFERROR(__xludf.DUMMYFUNCTION("""COMPUTED_VALUE"""),48.7)</f>
        <v>48.7</v>
      </c>
      <c r="H286" s="15">
        <f>IFERROR(__xludf.DUMMYFUNCTION("""COMPUTED_VALUE"""),43728.0)</f>
        <v>43728</v>
      </c>
      <c r="I286" s="18">
        <f>IFERROR(__xludf.DUMMYFUNCTION("""COMPUTED_VALUE"""),2.986111111111111)</f>
        <v>2.986111111</v>
      </c>
      <c r="J286" s="22">
        <f>IFERROR(__xludf.DUMMYFUNCTION("""COMPUTED_VALUE"""),82.0)</f>
        <v>82</v>
      </c>
      <c r="K286" s="22">
        <f>IFERROR(__xludf.DUMMYFUNCTION("""COMPUTED_VALUE"""),44.5)</f>
        <v>44.5</v>
      </c>
      <c r="L286" s="26" t="str">
        <f>IFERROR(__xludf.DUMMYFUNCTION("""COMPUTED_VALUE"""),"RPG")</f>
        <v>RPG</v>
      </c>
      <c r="M286" s="13" t="b">
        <f>NOT(ISNA(VLOOKUP(A286,PC!A:A,1,FALSE)))</f>
        <v>1</v>
      </c>
      <c r="N286" s="13" t="b">
        <f>NOT(ISNA(VLOOKUP(A286,'Game Pass Premium'!A:A,1,FALSE)))</f>
        <v>1</v>
      </c>
      <c r="O286" s="13" t="b">
        <f>NOT(ISNA(VLOOKUP(A286,'Game Pass Essential'!A:A,1,FALSE)))</f>
        <v>0</v>
      </c>
    </row>
    <row r="287">
      <c r="A287" s="12" t="str">
        <f>IFERROR(__xludf.DUMMYFUNCTION("""COMPUTED_VALUE"""),"DiRT Rally 2.0")</f>
        <v>DiRT Rally 2.0</v>
      </c>
      <c r="B287" s="13" t="str">
        <f>IFERROR(__xludf.DUMMYFUNCTION("""COMPUTED_VALUE"""),"Xbox")</f>
        <v>Xbox</v>
      </c>
      <c r="C287" s="14"/>
      <c r="D287" s="14" t="str">
        <f>IFERROR(__xludf.DUMMYFUNCTION("""COMPUTED_VALUE"""),"Active")</f>
        <v>Active</v>
      </c>
      <c r="E287" s="15">
        <f>IFERROR(__xludf.DUMMYFUNCTION("""COMPUTED_VALUE"""),44418.0)</f>
        <v>44418</v>
      </c>
      <c r="F287" s="16"/>
      <c r="G287" s="18">
        <f>IFERROR(__xludf.DUMMYFUNCTION("""COMPUTED_VALUE"""),61.866666666666674)</f>
        <v>61.86666667</v>
      </c>
      <c r="H287" s="15">
        <f>IFERROR(__xludf.DUMMYFUNCTION("""COMPUTED_VALUE"""),43522.0)</f>
        <v>43522</v>
      </c>
      <c r="I287" s="18">
        <f>IFERROR(__xludf.DUMMYFUNCTION("""COMPUTED_VALUE"""),2.4555555555555557)</f>
        <v>2.455555556</v>
      </c>
      <c r="J287" s="22">
        <f>IFERROR(__xludf.DUMMYFUNCTION("""COMPUTED_VALUE"""),82.0)</f>
        <v>82</v>
      </c>
      <c r="K287" s="22">
        <f>IFERROR(__xludf.DUMMYFUNCTION("""COMPUTED_VALUE"""),10.0)</f>
        <v>10</v>
      </c>
      <c r="L287" s="26" t="str">
        <f>IFERROR(__xludf.DUMMYFUNCTION("""COMPUTED_VALUE"""),"Racing")</f>
        <v>Racing</v>
      </c>
      <c r="M287" s="13" t="b">
        <f>NOT(ISNA(VLOOKUP(A287,PC!A:A,1,FALSE)))</f>
        <v>0</v>
      </c>
      <c r="N287" s="13" t="b">
        <f>NOT(ISNA(VLOOKUP(A287,'Game Pass Premium'!A:A,1,FALSE)))</f>
        <v>1</v>
      </c>
      <c r="O287" s="13" t="b">
        <f>NOT(ISNA(VLOOKUP(A287,'Game Pass Essential'!A:A,1,FALSE)))</f>
        <v>0</v>
      </c>
    </row>
    <row r="288">
      <c r="A288" s="12" t="str">
        <f>IFERROR(__xludf.DUMMYFUNCTION("""COMPUTED_VALUE"""),"EA Sports UFC 4")</f>
        <v>EA Sports UFC 4</v>
      </c>
      <c r="B288" s="13" t="str">
        <f>IFERROR(__xludf.DUMMYFUNCTION("""COMPUTED_VALUE"""),"Xbox")</f>
        <v>Xbox</v>
      </c>
      <c r="C288" s="14"/>
      <c r="D288" s="14" t="str">
        <f>IFERROR(__xludf.DUMMYFUNCTION("""COMPUTED_VALUE"""),"Active")</f>
        <v>Active</v>
      </c>
      <c r="E288" s="15">
        <f>IFERROR(__xludf.DUMMYFUNCTION("""COMPUTED_VALUE"""),44385.0)</f>
        <v>44385</v>
      </c>
      <c r="F288" s="16"/>
      <c r="G288" s="18">
        <f>IFERROR(__xludf.DUMMYFUNCTION("""COMPUTED_VALUE"""),62.93333333333334)</f>
        <v>62.93333333</v>
      </c>
      <c r="H288" s="15">
        <f>IFERROR(__xludf.DUMMYFUNCTION("""COMPUTED_VALUE"""),44057.0)</f>
        <v>44057</v>
      </c>
      <c r="I288" s="18">
        <f>IFERROR(__xludf.DUMMYFUNCTION("""COMPUTED_VALUE"""),0.9)</f>
        <v>0.9</v>
      </c>
      <c r="J288" s="22">
        <f>IFERROR(__xludf.DUMMYFUNCTION("""COMPUTED_VALUE"""),82.0)</f>
        <v>82</v>
      </c>
      <c r="K288" s="22">
        <f>IFERROR(__xludf.DUMMYFUNCTION("""COMPUTED_VALUE"""),12.0)</f>
        <v>12</v>
      </c>
      <c r="L288" s="26" t="str">
        <f>IFERROR(__xludf.DUMMYFUNCTION("""COMPUTED_VALUE"""),"Sports")</f>
        <v>Sports</v>
      </c>
      <c r="M288" s="13" t="b">
        <f>NOT(ISNA(VLOOKUP(A288,PC!A:A,1,FALSE)))</f>
        <v>0</v>
      </c>
      <c r="N288" s="13" t="b">
        <f>NOT(ISNA(VLOOKUP(A288,'Game Pass Premium'!A:A,1,FALSE)))</f>
        <v>1</v>
      </c>
      <c r="O288" s="13" t="b">
        <f>NOT(ISNA(VLOOKUP(A288,'Game Pass Essential'!A:A,1,FALSE)))</f>
        <v>0</v>
      </c>
    </row>
    <row r="289">
      <c r="A289" s="12" t="str">
        <f>IFERROR(__xludf.DUMMYFUNCTION("""COMPUTED_VALUE"""),"Wreckfest")</f>
        <v>Wreckfest</v>
      </c>
      <c r="B289" s="13" t="str">
        <f>IFERROR(__xludf.DUMMYFUNCTION("""COMPUTED_VALUE"""),"Xbox / PC")</f>
        <v>Xbox / PC</v>
      </c>
      <c r="C289" s="14" t="str">
        <f>IFERROR(__xludf.DUMMYFUNCTION("""COMPUTED_VALUE"""),"Touch Controls")</f>
        <v>Touch Controls</v>
      </c>
      <c r="D289" s="14" t="str">
        <f>IFERROR(__xludf.DUMMYFUNCTION("""COMPUTED_VALUE"""),"Active")</f>
        <v>Active</v>
      </c>
      <c r="E289" s="15">
        <f>IFERROR(__xludf.DUMMYFUNCTION("""COMPUTED_VALUE"""),44245.0)</f>
        <v>44245</v>
      </c>
      <c r="F289" s="16"/>
      <c r="G289" s="18">
        <f>IFERROR(__xludf.DUMMYFUNCTION("""COMPUTED_VALUE"""),67.60000000000001)</f>
        <v>67.6</v>
      </c>
      <c r="H289" s="15">
        <f>IFERROR(__xludf.DUMMYFUNCTION("""COMPUTED_VALUE"""),43265.0)</f>
        <v>43265</v>
      </c>
      <c r="I289" s="18">
        <f>IFERROR(__xludf.DUMMYFUNCTION("""COMPUTED_VALUE"""),2.6777777777777776)</f>
        <v>2.677777778</v>
      </c>
      <c r="J289" s="22">
        <f>IFERROR(__xludf.DUMMYFUNCTION("""COMPUTED_VALUE"""),82.0)</f>
        <v>82</v>
      </c>
      <c r="K289" s="22">
        <f>IFERROR(__xludf.DUMMYFUNCTION("""COMPUTED_VALUE"""),19.5)</f>
        <v>19.5</v>
      </c>
      <c r="L289" s="26" t="str">
        <f>IFERROR(__xludf.DUMMYFUNCTION("""COMPUTED_VALUE"""),"Racing")</f>
        <v>Racing</v>
      </c>
      <c r="M289" s="13" t="b">
        <f>NOT(ISNA(VLOOKUP(A289,PC!A:A,1,FALSE)))</f>
        <v>1</v>
      </c>
      <c r="N289" s="13" t="b">
        <f>NOT(ISNA(VLOOKUP(A289,'Game Pass Premium'!A:A,1,FALSE)))</f>
        <v>1</v>
      </c>
      <c r="O289" s="13" t="b">
        <f>NOT(ISNA(VLOOKUP(A289,'Game Pass Essential'!A:A,1,FALSE)))</f>
        <v>1</v>
      </c>
    </row>
    <row r="290">
      <c r="A290" s="12" t="str">
        <f>IFERROR(__xludf.DUMMYFUNCTION("""COMPUTED_VALUE"""),"The Elder Scrolls V: Skyrim Special Edition")</f>
        <v>The Elder Scrolls V: Skyrim Special Edition</v>
      </c>
      <c r="B290" s="13" t="str">
        <f>IFERROR(__xludf.DUMMYFUNCTION("""COMPUTED_VALUE"""),"Xbox / PC")</f>
        <v>Xbox / PC</v>
      </c>
      <c r="C290" s="14" t="str">
        <f>IFERROR(__xludf.DUMMYFUNCTION("""COMPUTED_VALUE"""),"Yes")</f>
        <v>Yes</v>
      </c>
      <c r="D290" s="14" t="str">
        <f>IFERROR(__xludf.DUMMYFUNCTION("""COMPUTED_VALUE"""),"Active")</f>
        <v>Active</v>
      </c>
      <c r="E290" s="15">
        <f>IFERROR(__xludf.DUMMYFUNCTION("""COMPUTED_VALUE"""),44180.0)</f>
        <v>44180</v>
      </c>
      <c r="F290" s="16"/>
      <c r="G290" s="18">
        <f>IFERROR(__xludf.DUMMYFUNCTION("""COMPUTED_VALUE"""),69.7)</f>
        <v>69.7</v>
      </c>
      <c r="H290" s="15">
        <f>IFERROR(__xludf.DUMMYFUNCTION("""COMPUTED_VALUE"""),42671.0)</f>
        <v>42671</v>
      </c>
      <c r="I290" s="18">
        <f>IFERROR(__xludf.DUMMYFUNCTION("""COMPUTED_VALUE"""),4.1305555555555555)</f>
        <v>4.130555556</v>
      </c>
      <c r="J290" s="22">
        <f>IFERROR(__xludf.DUMMYFUNCTION("""COMPUTED_VALUE"""),82.0)</f>
        <v>82</v>
      </c>
      <c r="K290" s="22">
        <f>IFERROR(__xludf.DUMMYFUNCTION("""COMPUTED_VALUE"""),25.5)</f>
        <v>25.5</v>
      </c>
      <c r="L290" s="26" t="str">
        <f>IFERROR(__xludf.DUMMYFUNCTION("""COMPUTED_VALUE"""),"RPG")</f>
        <v>RPG</v>
      </c>
      <c r="M290" s="13" t="b">
        <f>NOT(ISNA(VLOOKUP(A290,PC!A:A,1,FALSE)))</f>
        <v>1</v>
      </c>
      <c r="N290" s="13" t="b">
        <f>NOT(ISNA(VLOOKUP(A290,'Game Pass Premium'!A:A,1,FALSE)))</f>
        <v>1</v>
      </c>
      <c r="O290" s="13" t="b">
        <f>NOT(ISNA(VLOOKUP(A290,'Game Pass Essential'!A:A,1,FALSE)))</f>
        <v>0</v>
      </c>
    </row>
    <row r="291">
      <c r="A291" s="12" t="str">
        <f>IFERROR(__xludf.DUMMYFUNCTION("""COMPUTED_VALUE"""),"Monster Sanctuary")</f>
        <v>Monster Sanctuary</v>
      </c>
      <c r="B291" s="13" t="str">
        <f>IFERROR(__xludf.DUMMYFUNCTION("""COMPUTED_VALUE"""),"Xbox / PC")</f>
        <v>Xbox / PC</v>
      </c>
      <c r="C291" s="14" t="str">
        <f>IFERROR(__xludf.DUMMYFUNCTION("""COMPUTED_VALUE"""),"Touch Controls")</f>
        <v>Touch Controls</v>
      </c>
      <c r="D291" s="14" t="str">
        <f>IFERROR(__xludf.DUMMYFUNCTION("""COMPUTED_VALUE"""),"Active")</f>
        <v>Active</v>
      </c>
      <c r="E291" s="15">
        <f>IFERROR(__xludf.DUMMYFUNCTION("""COMPUTED_VALUE"""),44173.0)</f>
        <v>44173</v>
      </c>
      <c r="F291" s="16"/>
      <c r="G291" s="18">
        <f>IFERROR(__xludf.DUMMYFUNCTION("""COMPUTED_VALUE"""),69.93333333333334)</f>
        <v>69.93333333</v>
      </c>
      <c r="H291" s="15">
        <f>IFERROR(__xludf.DUMMYFUNCTION("""COMPUTED_VALUE"""),43705.0)</f>
        <v>43705</v>
      </c>
      <c r="I291" s="18">
        <f>IFERROR(__xludf.DUMMYFUNCTION("""COMPUTED_VALUE"""),1.2777777777777777)</f>
        <v>1.277777778</v>
      </c>
      <c r="J291" s="22">
        <f>IFERROR(__xludf.DUMMYFUNCTION("""COMPUTED_VALUE"""),82.0)</f>
        <v>82</v>
      </c>
      <c r="K291" s="22">
        <f>IFERROR(__xludf.DUMMYFUNCTION("""COMPUTED_VALUE"""),27.0)</f>
        <v>27</v>
      </c>
      <c r="L291" s="26" t="str">
        <f>IFERROR(__xludf.DUMMYFUNCTION("""COMPUTED_VALUE"""),"Platformer")</f>
        <v>Platformer</v>
      </c>
      <c r="M291" s="13" t="b">
        <f>NOT(ISNA(VLOOKUP(A291,PC!A:A,1,FALSE)))</f>
        <v>1</v>
      </c>
      <c r="N291" s="13" t="b">
        <f>NOT(ISNA(VLOOKUP(A291,'Game Pass Premium'!A:A,1,FALSE)))</f>
        <v>1</v>
      </c>
      <c r="O291" s="13" t="b">
        <f>NOT(ISNA(VLOOKUP(A291,'Game Pass Essential'!A:A,1,FALSE)))</f>
        <v>1</v>
      </c>
    </row>
    <row r="292">
      <c r="A292" s="12" t="str">
        <f>IFERROR(__xludf.DUMMYFUNCTION("""COMPUTED_VALUE"""),"SSX")</f>
        <v>SSX</v>
      </c>
      <c r="B292" s="13" t="str">
        <f>IFERROR(__xludf.DUMMYFUNCTION("""COMPUTED_VALUE"""),"Xbox")</f>
        <v>Xbox</v>
      </c>
      <c r="C292" s="14"/>
      <c r="D292" s="14" t="str">
        <f>IFERROR(__xludf.DUMMYFUNCTION("""COMPUTED_VALUE"""),"Active")</f>
        <v>Active</v>
      </c>
      <c r="E292" s="15">
        <f>IFERROR(__xludf.DUMMYFUNCTION("""COMPUTED_VALUE"""),44145.0)</f>
        <v>44145</v>
      </c>
      <c r="F292" s="16"/>
      <c r="G292" s="18">
        <f>IFERROR(__xludf.DUMMYFUNCTION("""COMPUTED_VALUE"""),70.86666666666667)</f>
        <v>70.86666667</v>
      </c>
      <c r="H292" s="15">
        <f>IFERROR(__xludf.DUMMYFUNCTION("""COMPUTED_VALUE"""),40967.0)</f>
        <v>40967</v>
      </c>
      <c r="I292" s="18">
        <f>IFERROR(__xludf.DUMMYFUNCTION("""COMPUTED_VALUE"""),8.7)</f>
        <v>8.7</v>
      </c>
      <c r="J292" s="22">
        <f>IFERROR(__xludf.DUMMYFUNCTION("""COMPUTED_VALUE"""),82.0)</f>
        <v>82</v>
      </c>
      <c r="K292" s="22">
        <f>IFERROR(__xludf.DUMMYFUNCTION("""COMPUTED_VALUE"""),11.5)</f>
        <v>11.5</v>
      </c>
      <c r="L292" s="26" t="str">
        <f>IFERROR(__xludf.DUMMYFUNCTION("""COMPUTED_VALUE"""),"Sports")</f>
        <v>Sports</v>
      </c>
      <c r="M292" s="13" t="b">
        <f>NOT(ISNA(VLOOKUP(A292,PC!A:A,1,FALSE)))</f>
        <v>0</v>
      </c>
      <c r="N292" s="13" t="b">
        <f>NOT(ISNA(VLOOKUP(A292,'Game Pass Premium'!A:A,1,FALSE)))</f>
        <v>1</v>
      </c>
      <c r="O292" s="13" t="b">
        <f>NOT(ISNA(VLOOKUP(A292,'Game Pass Essential'!A:A,1,FALSE)))</f>
        <v>0</v>
      </c>
    </row>
    <row r="293">
      <c r="A293" s="12" t="str">
        <f>IFERROR(__xludf.DUMMYFUNCTION("""COMPUTED_VALUE"""),"Brütal Legend")</f>
        <v>Brütal Legend</v>
      </c>
      <c r="B293" s="13" t="str">
        <f>IFERROR(__xludf.DUMMYFUNCTION("""COMPUTED_VALUE"""),"Xbox")</f>
        <v>Xbox</v>
      </c>
      <c r="C293" s="14"/>
      <c r="D293" s="14" t="str">
        <f>IFERROR(__xludf.DUMMYFUNCTION("""COMPUTED_VALUE"""),"Active")</f>
        <v>Active</v>
      </c>
      <c r="E293" s="15">
        <f>IFERROR(__xludf.DUMMYFUNCTION("""COMPUTED_VALUE"""),44112.0)</f>
        <v>44112</v>
      </c>
      <c r="F293" s="16"/>
      <c r="G293" s="18">
        <f>IFERROR(__xludf.DUMMYFUNCTION("""COMPUTED_VALUE"""),71.93333333333334)</f>
        <v>71.93333333</v>
      </c>
      <c r="H293" s="15">
        <f>IFERROR(__xludf.DUMMYFUNCTION("""COMPUTED_VALUE"""),40099.0)</f>
        <v>40099</v>
      </c>
      <c r="I293" s="18">
        <f>IFERROR(__xludf.DUMMYFUNCTION("""COMPUTED_VALUE"""),10.98611111111111)</f>
        <v>10.98611111</v>
      </c>
      <c r="J293" s="22">
        <f>IFERROR(__xludf.DUMMYFUNCTION("""COMPUTED_VALUE"""),82.0)</f>
        <v>82</v>
      </c>
      <c r="K293" s="22">
        <f>IFERROR(__xludf.DUMMYFUNCTION("""COMPUTED_VALUE"""),9.0)</f>
        <v>9</v>
      </c>
      <c r="L293" s="26" t="str">
        <f>IFERROR(__xludf.DUMMYFUNCTION("""COMPUTED_VALUE"""),"Action-Adventure")</f>
        <v>Action-Adventure</v>
      </c>
      <c r="M293" s="13" t="b">
        <f>NOT(ISNA(VLOOKUP(A293,PC!A:A,1,FALSE)))</f>
        <v>0</v>
      </c>
      <c r="N293" s="13" t="b">
        <f>NOT(ISNA(VLOOKUP(A293,'Game Pass Premium'!A:A,1,FALSE)))</f>
        <v>1</v>
      </c>
      <c r="O293" s="13" t="b">
        <f>NOT(ISNA(VLOOKUP(A293,'Game Pass Essential'!A:A,1,FALSE)))</f>
        <v>0</v>
      </c>
    </row>
    <row r="294">
      <c r="A294" s="12" t="str">
        <f>IFERROR(__xludf.DUMMYFUNCTION("""COMPUTED_VALUE"""),"Gears of War: Ultimate Edition")</f>
        <v>Gears of War: Ultimate Edition</v>
      </c>
      <c r="B294" s="13" t="str">
        <f>IFERROR(__xludf.DUMMYFUNCTION("""COMPUTED_VALUE"""),"Xbox / PC")</f>
        <v>Xbox / PC</v>
      </c>
      <c r="C294" s="14" t="str">
        <f>IFERROR(__xludf.DUMMYFUNCTION("""COMPUTED_VALUE"""),"Yes")</f>
        <v>Yes</v>
      </c>
      <c r="D294" s="14" t="str">
        <f>IFERROR(__xludf.DUMMYFUNCTION("""COMPUTED_VALUE"""),"Active")</f>
        <v>Active</v>
      </c>
      <c r="E294" s="15">
        <f>IFERROR(__xludf.DUMMYFUNCTION("""COMPUTED_VALUE"""),42887.0)</f>
        <v>42887</v>
      </c>
      <c r="F294" s="16"/>
      <c r="G294" s="18">
        <f>IFERROR(__xludf.DUMMYFUNCTION("""COMPUTED_VALUE"""),112.16666666666666)</f>
        <v>112.1666667</v>
      </c>
      <c r="H294" s="15">
        <f>IFERROR(__xludf.DUMMYFUNCTION("""COMPUTED_VALUE"""),39028.0)</f>
        <v>39028</v>
      </c>
      <c r="I294" s="18">
        <f>IFERROR(__xludf.DUMMYFUNCTION("""COMPUTED_VALUE"""),10.566666666666666)</f>
        <v>10.56666667</v>
      </c>
      <c r="J294" s="22">
        <f>IFERROR(__xludf.DUMMYFUNCTION("""COMPUTED_VALUE"""),82.0)</f>
        <v>82</v>
      </c>
      <c r="K294" s="22">
        <f>IFERROR(__xludf.DUMMYFUNCTION("""COMPUTED_VALUE"""),9.0)</f>
        <v>9</v>
      </c>
      <c r="L294" s="26" t="str">
        <f>IFERROR(__xludf.DUMMYFUNCTION("""COMPUTED_VALUE"""),"Shooter")</f>
        <v>Shooter</v>
      </c>
      <c r="M294" s="13" t="b">
        <f>NOT(ISNA(VLOOKUP(A294,PC!A:A,1,FALSE)))</f>
        <v>1</v>
      </c>
      <c r="N294" s="13" t="b">
        <f>NOT(ISNA(VLOOKUP(A294,'Game Pass Premium'!A:A,1,FALSE)))</f>
        <v>1</v>
      </c>
      <c r="O294" s="13" t="b">
        <f>NOT(ISNA(VLOOKUP(A294,'Game Pass Essential'!A:A,1,FALSE)))</f>
        <v>0</v>
      </c>
    </row>
    <row r="295">
      <c r="A295" s="12" t="str">
        <f>IFERROR(__xludf.DUMMYFUNCTION("""COMPUTED_VALUE"""),"Viva Piñata: Trouble in Paradise")</f>
        <v>Viva Piñata: Trouble in Paradise</v>
      </c>
      <c r="B295" s="13" t="str">
        <f>IFERROR(__xludf.DUMMYFUNCTION("""COMPUTED_VALUE"""),"Xbox")</f>
        <v>Xbox</v>
      </c>
      <c r="C295" s="14" t="str">
        <f>IFERROR(__xludf.DUMMYFUNCTION("""COMPUTED_VALUE"""),"Touch Controls")</f>
        <v>Touch Controls</v>
      </c>
      <c r="D295" s="14" t="str">
        <f>IFERROR(__xludf.DUMMYFUNCTION("""COMPUTED_VALUE"""),"Active")</f>
        <v>Active</v>
      </c>
      <c r="E295" s="15">
        <f>IFERROR(__xludf.DUMMYFUNCTION("""COMPUTED_VALUE"""),42887.0)</f>
        <v>42887</v>
      </c>
      <c r="F295" s="16"/>
      <c r="G295" s="18">
        <f>IFERROR(__xludf.DUMMYFUNCTION("""COMPUTED_VALUE"""),112.16666666666666)</f>
        <v>112.1666667</v>
      </c>
      <c r="H295" s="15">
        <f>IFERROR(__xludf.DUMMYFUNCTION("""COMPUTED_VALUE"""),39693.0)</f>
        <v>39693</v>
      </c>
      <c r="I295" s="18">
        <f>IFERROR(__xludf.DUMMYFUNCTION("""COMPUTED_VALUE"""),8.747222222222222)</f>
        <v>8.747222222</v>
      </c>
      <c r="J295" s="22">
        <f>IFERROR(__xludf.DUMMYFUNCTION("""COMPUTED_VALUE"""),82.0)</f>
        <v>82</v>
      </c>
      <c r="K295" s="22">
        <f>IFERROR(__xludf.DUMMYFUNCTION("""COMPUTED_VALUE"""),26.5)</f>
        <v>26.5</v>
      </c>
      <c r="L295" s="26" t="str">
        <f>IFERROR(__xludf.DUMMYFUNCTION("""COMPUTED_VALUE"""),"Simulation")</f>
        <v>Simulation</v>
      </c>
      <c r="M295" s="13" t="b">
        <f>NOT(ISNA(VLOOKUP(A295,PC!A:A,1,FALSE)))</f>
        <v>0</v>
      </c>
      <c r="N295" s="13" t="b">
        <f>NOT(ISNA(VLOOKUP(A295,'Game Pass Premium'!A:A,1,FALSE)))</f>
        <v>1</v>
      </c>
      <c r="O295" s="13" t="b">
        <f>NOT(ISNA(VLOOKUP(A295,'Game Pass Essential'!A:A,1,FALSE)))</f>
        <v>0</v>
      </c>
    </row>
    <row r="296">
      <c r="A296" s="12" t="str">
        <f>IFERROR(__xludf.DUMMYFUNCTION("""COMPUTED_VALUE"""),"Donut County")</f>
        <v>Donut County</v>
      </c>
      <c r="B296" s="13" t="str">
        <f>IFERROR(__xludf.DUMMYFUNCTION("""COMPUTED_VALUE"""),"Xbox / PC")</f>
        <v>Xbox / PC</v>
      </c>
      <c r="C296" s="14" t="str">
        <f>IFERROR(__xludf.DUMMYFUNCTION("""COMPUTED_VALUE"""),"Touch Controls")</f>
        <v>Touch Controls</v>
      </c>
      <c r="D296" s="14" t="str">
        <f>IFERROR(__xludf.DUMMYFUNCTION("""COMPUTED_VALUE"""),"Leaving Soon")</f>
        <v>Leaving Soon</v>
      </c>
      <c r="E296" s="15">
        <f>IFERROR(__xludf.DUMMYFUNCTION("""COMPUTED_VALUE"""),45582.0)</f>
        <v>45582</v>
      </c>
      <c r="F296" s="16">
        <f>IFERROR(__xludf.DUMMYFUNCTION("""COMPUTED_VALUE"""),46310.0)</f>
        <v>46310</v>
      </c>
      <c r="G296" s="18">
        <f>IFERROR(__xludf.DUMMYFUNCTION("""COMPUTED_VALUE"""),23.933333333333334)</f>
        <v>23.93333333</v>
      </c>
      <c r="H296" s="15">
        <f>IFERROR(__xludf.DUMMYFUNCTION("""COMPUTED_VALUE"""),43340.0)</f>
        <v>43340</v>
      </c>
      <c r="I296" s="18">
        <f>IFERROR(__xludf.DUMMYFUNCTION("""COMPUTED_VALUE"""),6.136111111111111)</f>
        <v>6.136111111</v>
      </c>
      <c r="J296" s="22">
        <f>IFERROR(__xludf.DUMMYFUNCTION("""COMPUTED_VALUE"""),82.0)</f>
        <v>82</v>
      </c>
      <c r="K296" s="22">
        <f>IFERROR(__xludf.DUMMYFUNCTION("""COMPUTED_VALUE"""),2.0)</f>
        <v>2</v>
      </c>
      <c r="L296" s="26" t="str">
        <f>IFERROR(__xludf.DUMMYFUNCTION("""COMPUTED_VALUE"""),"Action")</f>
        <v>Action</v>
      </c>
      <c r="M296" s="13" t="b">
        <f>NOT(ISNA(VLOOKUP(A296,PC!A:A,1,FALSE)))</f>
        <v>1</v>
      </c>
      <c r="N296" s="13" t="b">
        <f>NOT(ISNA(VLOOKUP(A296,'Game Pass Premium'!A:A,1,FALSE)))</f>
        <v>1</v>
      </c>
      <c r="O296" s="13" t="b">
        <f>NOT(ISNA(VLOOKUP(A296,'Game Pass Essential'!A:A,1,FALSE)))</f>
        <v>0</v>
      </c>
    </row>
    <row r="297">
      <c r="A297" s="12" t="str">
        <f>IFERROR(__xludf.DUMMYFUNCTION("""COMPUTED_VALUE"""),"Saints Row 2")</f>
        <v>Saints Row 2</v>
      </c>
      <c r="B297" s="13" t="str">
        <f>IFERROR(__xludf.DUMMYFUNCTION("""COMPUTED_VALUE"""),"XB360/OG Xbox")</f>
        <v>XB360/OG Xbox</v>
      </c>
      <c r="C297" s="14"/>
      <c r="D297" s="14" t="str">
        <f>IFERROR(__xludf.DUMMYFUNCTION("""COMPUTED_VALUE"""),"GwG Permanent")</f>
        <v>GwG Permanent</v>
      </c>
      <c r="E297" s="15">
        <f>IFERROR(__xludf.DUMMYFUNCTION("""COMPUTED_VALUE"""),44774.0)</f>
        <v>44774</v>
      </c>
      <c r="F297" s="16">
        <f>IFERROR(__xludf.DUMMYFUNCTION("""COMPUTED_VALUE"""),44788.0)</f>
        <v>44788</v>
      </c>
      <c r="G297" s="18">
        <f>IFERROR(__xludf.DUMMYFUNCTION("""COMPUTED_VALUE"""),0.4666666666666667)</f>
        <v>0.4666666667</v>
      </c>
      <c r="H297" s="15">
        <f>IFERROR(__xludf.DUMMYFUNCTION("""COMPUTED_VALUE"""),39735.0)</f>
        <v>39735</v>
      </c>
      <c r="I297" s="18">
        <f>IFERROR(__xludf.DUMMYFUNCTION("""COMPUTED_VALUE"""),13.797222222222222)</f>
        <v>13.79722222</v>
      </c>
      <c r="J297" s="22">
        <f>IFERROR(__xludf.DUMMYFUNCTION("""COMPUTED_VALUE"""),82.0)</f>
        <v>82</v>
      </c>
      <c r="K297" s="22">
        <f>IFERROR(__xludf.DUMMYFUNCTION("""COMPUTED_VALUE"""),20.0)</f>
        <v>20</v>
      </c>
      <c r="L297" s="26" t="str">
        <f>IFERROR(__xludf.DUMMYFUNCTION("""COMPUTED_VALUE"""),"Action-Adventure")</f>
        <v>Action-Adventure</v>
      </c>
      <c r="M297" s="13" t="b">
        <f>NOT(ISNA(VLOOKUP(A297,PC!A:A,1,FALSE)))</f>
        <v>0</v>
      </c>
      <c r="N297" s="13" t="b">
        <f>NOT(ISNA(VLOOKUP(A297,'Game Pass Premium'!A:A,1,FALSE)))</f>
        <v>0</v>
      </c>
      <c r="O297" s="13" t="b">
        <f>NOT(ISNA(VLOOKUP(A297,'Game Pass Essential'!A:A,1,FALSE)))</f>
        <v>0</v>
      </c>
    </row>
    <row r="298">
      <c r="A298" s="12" t="str">
        <f>IFERROR(__xludf.DUMMYFUNCTION("""COMPUTED_VALUE"""),"Orcs Must Die!")</f>
        <v>Orcs Must Die!</v>
      </c>
      <c r="B298" s="13" t="str">
        <f>IFERROR(__xludf.DUMMYFUNCTION("""COMPUTED_VALUE"""),"XB360/OG Xbox")</f>
        <v>XB360/OG Xbox</v>
      </c>
      <c r="C298" s="14"/>
      <c r="D298" s="14" t="str">
        <f>IFERROR(__xludf.DUMMYFUNCTION("""COMPUTED_VALUE"""),"GwG Permanent")</f>
        <v>GwG Permanent</v>
      </c>
      <c r="E298" s="15">
        <f>IFERROR(__xludf.DUMMYFUNCTION("""COMPUTED_VALUE"""),44531.0)</f>
        <v>44531</v>
      </c>
      <c r="F298" s="16">
        <f>IFERROR(__xludf.DUMMYFUNCTION("""COMPUTED_VALUE"""),44545.0)</f>
        <v>44545</v>
      </c>
      <c r="G298" s="18">
        <f>IFERROR(__xludf.DUMMYFUNCTION("""COMPUTED_VALUE"""),0.4666666666666667)</f>
        <v>0.4666666667</v>
      </c>
      <c r="H298" s="15">
        <f>IFERROR(__xludf.DUMMYFUNCTION("""COMPUTED_VALUE"""),40737.0)</f>
        <v>40737</v>
      </c>
      <c r="I298" s="18">
        <f>IFERROR(__xludf.DUMMYFUNCTION("""COMPUTED_VALUE"""),10.383333333333333)</f>
        <v>10.38333333</v>
      </c>
      <c r="J298" s="22">
        <f>IFERROR(__xludf.DUMMYFUNCTION("""COMPUTED_VALUE"""),82.0)</f>
        <v>82</v>
      </c>
      <c r="K298" s="22">
        <f>IFERROR(__xludf.DUMMYFUNCTION("""COMPUTED_VALUE"""),8.0)</f>
        <v>8</v>
      </c>
      <c r="L298" s="26" t="str">
        <f>IFERROR(__xludf.DUMMYFUNCTION("""COMPUTED_VALUE"""),"Action-Adventure")</f>
        <v>Action-Adventure</v>
      </c>
      <c r="M298" s="13" t="b">
        <f>NOT(ISNA(VLOOKUP(A298,PC!A:A,1,FALSE)))</f>
        <v>0</v>
      </c>
      <c r="N298" s="13" t="b">
        <f>NOT(ISNA(VLOOKUP(A298,'Game Pass Premium'!A:A,1,FALSE)))</f>
        <v>0</v>
      </c>
      <c r="O298" s="13" t="b">
        <f>NOT(ISNA(VLOOKUP(A298,'Game Pass Essential'!A:A,1,FALSE)))</f>
        <v>0</v>
      </c>
    </row>
    <row r="299">
      <c r="A299" s="12" t="str">
        <f>IFERROR(__xludf.DUMMYFUNCTION("""COMPUTED_VALUE"""),"Conker: Live &amp; Reloaded")</f>
        <v>Conker: Live &amp; Reloaded</v>
      </c>
      <c r="B299" s="13" t="str">
        <f>IFERROR(__xludf.DUMMYFUNCTION("""COMPUTED_VALUE"""),"XB360/OG Xbox")</f>
        <v>XB360/OG Xbox</v>
      </c>
      <c r="C299" s="14"/>
      <c r="D299" s="14" t="str">
        <f>IFERROR(__xludf.DUMMYFUNCTION("""COMPUTED_VALUE"""),"GwG Permanent")</f>
        <v>GwG Permanent</v>
      </c>
      <c r="E299" s="15">
        <f>IFERROR(__xludf.DUMMYFUNCTION("""COMPUTED_VALUE"""),44378.0)</f>
        <v>44378</v>
      </c>
      <c r="F299" s="16">
        <f>IFERROR(__xludf.DUMMYFUNCTION("""COMPUTED_VALUE"""),44392.0)</f>
        <v>44392</v>
      </c>
      <c r="G299" s="18">
        <f>IFERROR(__xludf.DUMMYFUNCTION("""COMPUTED_VALUE"""),0.4666666666666667)</f>
        <v>0.4666666667</v>
      </c>
      <c r="H299" s="15">
        <f>IFERROR(__xludf.DUMMYFUNCTION("""COMPUTED_VALUE"""),38673.0)</f>
        <v>38673</v>
      </c>
      <c r="I299" s="18">
        <f>IFERROR(__xludf.DUMMYFUNCTION("""COMPUTED_VALUE"""),15.622222222222222)</f>
        <v>15.62222222</v>
      </c>
      <c r="J299" s="22">
        <f>IFERROR(__xludf.DUMMYFUNCTION("""COMPUTED_VALUE"""),82.0)</f>
        <v>82</v>
      </c>
      <c r="K299" s="22">
        <f>IFERROR(__xludf.DUMMYFUNCTION("""COMPUTED_VALUE"""),10.0)</f>
        <v>10</v>
      </c>
      <c r="L299" s="26" t="str">
        <f>IFERROR(__xludf.DUMMYFUNCTION("""COMPUTED_VALUE"""),"Action-Adventure")</f>
        <v>Action-Adventure</v>
      </c>
      <c r="M299" s="13" t="b">
        <f>NOT(ISNA(VLOOKUP(A299,PC!A:A,1,FALSE)))</f>
        <v>1</v>
      </c>
      <c r="N299" s="13" t="b">
        <f>NOT(ISNA(VLOOKUP(A299,'Game Pass Premium'!A:A,1,FALSE)))</f>
        <v>1</v>
      </c>
      <c r="O299" s="13" t="b">
        <f>NOT(ISNA(VLOOKUP(A299,'Game Pass Essential'!A:A,1,FALSE)))</f>
        <v>0</v>
      </c>
    </row>
    <row r="300">
      <c r="A300" s="12" t="str">
        <f>IFERROR(__xludf.DUMMYFUNCTION("""COMPUTED_VALUE"""),"Armed and Dangerous")</f>
        <v>Armed and Dangerous</v>
      </c>
      <c r="B300" s="13" t="str">
        <f>IFERROR(__xludf.DUMMYFUNCTION("""COMPUTED_VALUE"""),"XB360/OG Xbox")</f>
        <v>XB360/OG Xbox</v>
      </c>
      <c r="C300" s="14"/>
      <c r="D300" s="14" t="str">
        <f>IFERROR(__xludf.DUMMYFUNCTION("""COMPUTED_VALUE"""),"GwG Permanent")</f>
        <v>GwG Permanent</v>
      </c>
      <c r="E300" s="15">
        <f>IFERROR(__xludf.DUMMYFUNCTION("""COMPUTED_VALUE"""),44090.0)</f>
        <v>44090</v>
      </c>
      <c r="F300" s="16">
        <f>IFERROR(__xludf.DUMMYFUNCTION("""COMPUTED_VALUE"""),44104.0)</f>
        <v>44104</v>
      </c>
      <c r="G300" s="18">
        <f>IFERROR(__xludf.DUMMYFUNCTION("""COMPUTED_VALUE"""),0.4666666666666667)</f>
        <v>0.4666666667</v>
      </c>
      <c r="H300" s="15">
        <f>IFERROR(__xludf.DUMMYFUNCTION("""COMPUTED_VALUE"""),37957.0)</f>
        <v>37957</v>
      </c>
      <c r="I300" s="18">
        <f>IFERROR(__xludf.DUMMYFUNCTION("""COMPUTED_VALUE"""),16.788888888888888)</f>
        <v>16.78888889</v>
      </c>
      <c r="J300" s="22">
        <f>IFERROR(__xludf.DUMMYFUNCTION("""COMPUTED_VALUE"""),82.0)</f>
        <v>82</v>
      </c>
      <c r="K300" s="22">
        <f>IFERROR(__xludf.DUMMYFUNCTION("""COMPUTED_VALUE"""),8.0)</f>
        <v>8</v>
      </c>
      <c r="L300" s="26" t="str">
        <f>IFERROR(__xludf.DUMMYFUNCTION("""COMPUTED_VALUE"""),"Shooter")</f>
        <v>Shooter</v>
      </c>
      <c r="M300" s="13" t="b">
        <f>NOT(ISNA(VLOOKUP(A300,PC!A:A,1,FALSE)))</f>
        <v>0</v>
      </c>
      <c r="N300" s="13" t="b">
        <f>NOT(ISNA(VLOOKUP(A300,'Game Pass Premium'!A:A,1,FALSE)))</f>
        <v>0</v>
      </c>
      <c r="O300" s="13" t="b">
        <f>NOT(ISNA(VLOOKUP(A300,'Game Pass Essential'!A:A,1,FALSE)))</f>
        <v>0</v>
      </c>
    </row>
    <row r="301">
      <c r="A301" s="12" t="str">
        <f>IFERROR(__xludf.DUMMYFUNCTION("""COMPUTED_VALUE"""),"Saints Row 2")</f>
        <v>Saints Row 2</v>
      </c>
      <c r="B301" s="13" t="str">
        <f>IFERROR(__xludf.DUMMYFUNCTION("""COMPUTED_VALUE"""),"XB360/OG Xbox")</f>
        <v>XB360/OG Xbox</v>
      </c>
      <c r="C301" s="14"/>
      <c r="D301" s="14" t="str">
        <f>IFERROR(__xludf.DUMMYFUNCTION("""COMPUTED_VALUE"""),"GwG Permanent")</f>
        <v>GwG Permanent</v>
      </c>
      <c r="E301" s="15">
        <f>IFERROR(__xludf.DUMMYFUNCTION("""COMPUTED_VALUE"""),44013.0)</f>
        <v>44013</v>
      </c>
      <c r="F301" s="16">
        <f>IFERROR(__xludf.DUMMYFUNCTION("""COMPUTED_VALUE"""),44027.0)</f>
        <v>44027</v>
      </c>
      <c r="G301" s="18">
        <f>IFERROR(__xludf.DUMMYFUNCTION("""COMPUTED_VALUE"""),0.4666666666666667)</f>
        <v>0.4666666667</v>
      </c>
      <c r="H301" s="15">
        <f>IFERROR(__xludf.DUMMYFUNCTION("""COMPUTED_VALUE"""),39735.0)</f>
        <v>39735</v>
      </c>
      <c r="I301" s="18">
        <f>IFERROR(__xludf.DUMMYFUNCTION("""COMPUTED_VALUE"""),11.713888888888889)</f>
        <v>11.71388889</v>
      </c>
      <c r="J301" s="22">
        <f>IFERROR(__xludf.DUMMYFUNCTION("""COMPUTED_VALUE"""),82.0)</f>
        <v>82</v>
      </c>
      <c r="K301" s="22">
        <f>IFERROR(__xludf.DUMMYFUNCTION("""COMPUTED_VALUE"""),20.0)</f>
        <v>20</v>
      </c>
      <c r="L301" s="26" t="str">
        <f>IFERROR(__xludf.DUMMYFUNCTION("""COMPUTED_VALUE"""),"Action-Adventure")</f>
        <v>Action-Adventure</v>
      </c>
      <c r="M301" s="13" t="b">
        <f>NOT(ISNA(VLOOKUP(A301,PC!A:A,1,FALSE)))</f>
        <v>0</v>
      </c>
      <c r="N301" s="13" t="b">
        <f>NOT(ISNA(VLOOKUP(A301,'Game Pass Premium'!A:A,1,FALSE)))</f>
        <v>0</v>
      </c>
      <c r="O301" s="13" t="b">
        <f>NOT(ISNA(VLOOKUP(A301,'Game Pass Essential'!A:A,1,FALSE)))</f>
        <v>0</v>
      </c>
    </row>
    <row r="302">
      <c r="A302" s="12" t="str">
        <f>IFERROR(__xludf.DUMMYFUNCTION("""COMPUTED_VALUE"""),"Sine Mora")</f>
        <v>Sine Mora</v>
      </c>
      <c r="B302" s="13" t="str">
        <f>IFERROR(__xludf.DUMMYFUNCTION("""COMPUTED_VALUE"""),"XB360/OG Xbox")</f>
        <v>XB360/OG Xbox</v>
      </c>
      <c r="C302" s="14"/>
      <c r="D302" s="14" t="str">
        <f>IFERROR(__xludf.DUMMYFUNCTION("""COMPUTED_VALUE"""),"GwG Permanent")</f>
        <v>GwG Permanent</v>
      </c>
      <c r="E302" s="15">
        <f>IFERROR(__xludf.DUMMYFUNCTION("""COMPUTED_VALUE"""),43998.0)</f>
        <v>43998</v>
      </c>
      <c r="F302" s="16">
        <f>IFERROR(__xludf.DUMMYFUNCTION("""COMPUTED_VALUE"""),44012.0)</f>
        <v>44012</v>
      </c>
      <c r="G302" s="18">
        <f>IFERROR(__xludf.DUMMYFUNCTION("""COMPUTED_VALUE"""),0.4666666666666667)</f>
        <v>0.4666666667</v>
      </c>
      <c r="H302" s="15">
        <f>IFERROR(__xludf.DUMMYFUNCTION("""COMPUTED_VALUE"""),41222.0)</f>
        <v>41222</v>
      </c>
      <c r="I302" s="18">
        <f>IFERROR(__xludf.DUMMYFUNCTION("""COMPUTED_VALUE"""),7.602777777777778)</f>
        <v>7.602777778</v>
      </c>
      <c r="J302" s="22">
        <f>IFERROR(__xludf.DUMMYFUNCTION("""COMPUTED_VALUE"""),82.0)</f>
        <v>82</v>
      </c>
      <c r="K302" s="22">
        <f>IFERROR(__xludf.DUMMYFUNCTION("""COMPUTED_VALUE"""),3.0)</f>
        <v>3</v>
      </c>
      <c r="L302" s="26" t="str">
        <f>IFERROR(__xludf.DUMMYFUNCTION("""COMPUTED_VALUE"""),"Shooter")</f>
        <v>Shooter</v>
      </c>
      <c r="M302" s="13" t="b">
        <f>NOT(ISNA(VLOOKUP(A302,PC!A:A,1,FALSE)))</f>
        <v>0</v>
      </c>
      <c r="N302" s="13" t="b">
        <f>NOT(ISNA(VLOOKUP(A302,'Game Pass Premium'!A:A,1,FALSE)))</f>
        <v>0</v>
      </c>
      <c r="O302" s="13" t="b">
        <f>NOT(ISNA(VLOOKUP(A302,'Game Pass Essential'!A:A,1,FALSE)))</f>
        <v>0</v>
      </c>
    </row>
    <row r="303">
      <c r="A303" s="12" t="str">
        <f>IFERROR(__xludf.DUMMYFUNCTION("""COMPUTED_VALUE"""),"Tekken 6")</f>
        <v>Tekken 6</v>
      </c>
      <c r="B303" s="13" t="str">
        <f>IFERROR(__xludf.DUMMYFUNCTION("""COMPUTED_VALUE"""),"XB360/OG Xbox")</f>
        <v>XB360/OG Xbox</v>
      </c>
      <c r="C303" s="14"/>
      <c r="D303" s="14" t="str">
        <f>IFERROR(__xludf.DUMMYFUNCTION("""COMPUTED_VALUE"""),"GwG Permanent")</f>
        <v>GwG Permanent</v>
      </c>
      <c r="E303" s="15">
        <f>IFERROR(__xludf.DUMMYFUNCTION("""COMPUTED_VALUE"""),43831.0)</f>
        <v>43831</v>
      </c>
      <c r="F303" s="16">
        <f>IFERROR(__xludf.DUMMYFUNCTION("""COMPUTED_VALUE"""),43845.0)</f>
        <v>43845</v>
      </c>
      <c r="G303" s="18">
        <f>IFERROR(__xludf.DUMMYFUNCTION("""COMPUTED_VALUE"""),0.4666666666666667)</f>
        <v>0.4666666667</v>
      </c>
      <c r="H303" s="15">
        <f>IFERROR(__xludf.DUMMYFUNCTION("""COMPUTED_VALUE"""),40113.0)</f>
        <v>40113</v>
      </c>
      <c r="I303" s="18">
        <f>IFERROR(__xludf.DUMMYFUNCTION("""COMPUTED_VALUE"""),10.177777777777777)</f>
        <v>10.17777778</v>
      </c>
      <c r="J303" s="22">
        <f>IFERROR(__xludf.DUMMYFUNCTION("""COMPUTED_VALUE"""),82.0)</f>
        <v>82</v>
      </c>
      <c r="K303" s="22">
        <f>IFERROR(__xludf.DUMMYFUNCTION("""COMPUTED_VALUE"""),5.0)</f>
        <v>5</v>
      </c>
      <c r="L303" s="26" t="str">
        <f>IFERROR(__xludf.DUMMYFUNCTION("""COMPUTED_VALUE"""),"Fighting")</f>
        <v>Fighting</v>
      </c>
      <c r="M303" s="13" t="b">
        <f>NOT(ISNA(VLOOKUP(A303,PC!A:A,1,FALSE)))</f>
        <v>0</v>
      </c>
      <c r="N303" s="13" t="b">
        <f>NOT(ISNA(VLOOKUP(A303,'Game Pass Premium'!A:A,1,FALSE)))</f>
        <v>0</v>
      </c>
      <c r="O303" s="13" t="b">
        <f>NOT(ISNA(VLOOKUP(A303,'Game Pass Essential'!A:A,1,FALSE)))</f>
        <v>0</v>
      </c>
    </row>
    <row r="304">
      <c r="A304" s="12" t="str">
        <f>IFERROR(__xludf.DUMMYFUNCTION("""COMPUTED_VALUE"""),"Star Wars: Battlefront II")</f>
        <v>Star Wars: Battlefront II</v>
      </c>
      <c r="B304" s="13" t="str">
        <f>IFERROR(__xludf.DUMMYFUNCTION("""COMPUTED_VALUE"""),"XB360/OG Xbox")</f>
        <v>XB360/OG Xbox</v>
      </c>
      <c r="C304" s="14"/>
      <c r="D304" s="14" t="str">
        <f>IFERROR(__xludf.DUMMYFUNCTION("""COMPUTED_VALUE"""),"GwG Permanent")</f>
        <v>GwG Permanent</v>
      </c>
      <c r="E304" s="15">
        <f>IFERROR(__xludf.DUMMYFUNCTION("""COMPUTED_VALUE"""),43556.0)</f>
        <v>43556</v>
      </c>
      <c r="F304" s="16">
        <f>IFERROR(__xludf.DUMMYFUNCTION("""COMPUTED_VALUE"""),43570.0)</f>
        <v>43570</v>
      </c>
      <c r="G304" s="18">
        <f>IFERROR(__xludf.DUMMYFUNCTION("""COMPUTED_VALUE"""),0.4666666666666667)</f>
        <v>0.4666666667</v>
      </c>
      <c r="H304" s="15">
        <f>IFERROR(__xludf.DUMMYFUNCTION("""COMPUTED_VALUE"""),43056.0)</f>
        <v>43056</v>
      </c>
      <c r="I304" s="18">
        <f>IFERROR(__xludf.DUMMYFUNCTION("""COMPUTED_VALUE"""),1.3722222222222222)</f>
        <v>1.372222222</v>
      </c>
      <c r="J304" s="22">
        <f>IFERROR(__xludf.DUMMYFUNCTION("""COMPUTED_VALUE"""),82.0)</f>
        <v>82</v>
      </c>
      <c r="K304" s="22">
        <f>IFERROR(__xludf.DUMMYFUNCTION("""COMPUTED_VALUE"""),7.5)</f>
        <v>7.5</v>
      </c>
      <c r="L304" s="26" t="str">
        <f>IFERROR(__xludf.DUMMYFUNCTION("""COMPUTED_VALUE"""),"Shooter")</f>
        <v>Shooter</v>
      </c>
      <c r="M304" s="13" t="b">
        <f>NOT(ISNA(VLOOKUP(A304,PC!A:A,1,FALSE)))</f>
        <v>0</v>
      </c>
      <c r="N304" s="13" t="b">
        <f>NOT(ISNA(VLOOKUP(A304,'Game Pass Premium'!A:A,1,FALSE)))</f>
        <v>0</v>
      </c>
      <c r="O304" s="13" t="b">
        <f>NOT(ISNA(VLOOKUP(A304,'Game Pass Essential'!A:A,1,FALSE)))</f>
        <v>0</v>
      </c>
    </row>
    <row r="305">
      <c r="A305" s="12" t="str">
        <f>IFERROR(__xludf.DUMMYFUNCTION("""COMPUTED_VALUE"""),"Dragon Age II")</f>
        <v>Dragon Age II</v>
      </c>
      <c r="B305" s="13" t="str">
        <f>IFERROR(__xludf.DUMMYFUNCTION("""COMPUTED_VALUE"""),"XB360/OG Xbox")</f>
        <v>XB360/OG Xbox</v>
      </c>
      <c r="C305" s="14"/>
      <c r="D305" s="14" t="str">
        <f>IFERROR(__xludf.DUMMYFUNCTION("""COMPUTED_VALUE"""),"GwG Permanent")</f>
        <v>GwG Permanent</v>
      </c>
      <c r="E305" s="15">
        <f>IFERROR(__xludf.DUMMYFUNCTION("""COMPUTED_VALUE"""),43435.0)</f>
        <v>43435</v>
      </c>
      <c r="F305" s="16">
        <f>IFERROR(__xludf.DUMMYFUNCTION("""COMPUTED_VALUE"""),43449.0)</f>
        <v>43449</v>
      </c>
      <c r="G305" s="18">
        <f>IFERROR(__xludf.DUMMYFUNCTION("""COMPUTED_VALUE"""),0.4666666666666667)</f>
        <v>0.4666666667</v>
      </c>
      <c r="H305" s="15">
        <f>IFERROR(__xludf.DUMMYFUNCTION("""COMPUTED_VALUE"""),40610.0)</f>
        <v>40610</v>
      </c>
      <c r="I305" s="18">
        <f>IFERROR(__xludf.DUMMYFUNCTION("""COMPUTED_VALUE"""),7.730555555555555)</f>
        <v>7.730555556</v>
      </c>
      <c r="J305" s="22">
        <f>IFERROR(__xludf.DUMMYFUNCTION("""COMPUTED_VALUE"""),82.0)</f>
        <v>82</v>
      </c>
      <c r="K305" s="22">
        <f>IFERROR(__xludf.DUMMYFUNCTION("""COMPUTED_VALUE"""),27.0)</f>
        <v>27</v>
      </c>
      <c r="L305" s="26" t="str">
        <f>IFERROR(__xludf.DUMMYFUNCTION("""COMPUTED_VALUE"""),"RPG")</f>
        <v>RPG</v>
      </c>
      <c r="M305" s="13" t="b">
        <f>NOT(ISNA(VLOOKUP(A305,PC!A:A,1,FALSE)))</f>
        <v>1</v>
      </c>
      <c r="N305" s="13" t="b">
        <f>NOT(ISNA(VLOOKUP(A305,'Game Pass Premium'!A:A,1,FALSE)))</f>
        <v>1</v>
      </c>
      <c r="O305" s="13" t="b">
        <f>NOT(ISNA(VLOOKUP(A305,'Game Pass Essential'!A:A,1,FALSE)))</f>
        <v>0</v>
      </c>
    </row>
    <row r="306">
      <c r="A306" s="12" t="str">
        <f>IFERROR(__xludf.DUMMYFUNCTION("""COMPUTED_VALUE"""),"Tom Clancy's Splinter Cell: Conviction")</f>
        <v>Tom Clancy's Splinter Cell: Conviction</v>
      </c>
      <c r="B306" s="13" t="str">
        <f>IFERROR(__xludf.DUMMYFUNCTION("""COMPUTED_VALUE"""),"XB360/OG Xbox")</f>
        <v>XB360/OG Xbox</v>
      </c>
      <c r="C306" s="14"/>
      <c r="D306" s="14" t="str">
        <f>IFERROR(__xludf.DUMMYFUNCTION("""COMPUTED_VALUE"""),"GwG Permanent")</f>
        <v>GwG Permanent</v>
      </c>
      <c r="E306" s="15">
        <f>IFERROR(__xludf.DUMMYFUNCTION("""COMPUTED_VALUE"""),43297.0)</f>
        <v>43297</v>
      </c>
      <c r="F306" s="16">
        <f>IFERROR(__xludf.DUMMYFUNCTION("""COMPUTED_VALUE"""),43312.0)</f>
        <v>43312</v>
      </c>
      <c r="G306" s="18">
        <f>IFERROR(__xludf.DUMMYFUNCTION("""COMPUTED_VALUE"""),0.4666666666666667)</f>
        <v>0.4666666667</v>
      </c>
      <c r="H306" s="15">
        <f>IFERROR(__xludf.DUMMYFUNCTION("""COMPUTED_VALUE"""),40270.0)</f>
        <v>40270</v>
      </c>
      <c r="I306" s="18">
        <f>IFERROR(__xludf.DUMMYFUNCTION("""COMPUTED_VALUE"""),8.28888888888889)</f>
        <v>8.288888889</v>
      </c>
      <c r="J306" s="22">
        <f>IFERROR(__xludf.DUMMYFUNCTION("""COMPUTED_VALUE"""),82.0)</f>
        <v>82</v>
      </c>
      <c r="K306" s="22">
        <f>IFERROR(__xludf.DUMMYFUNCTION("""COMPUTED_VALUE"""),8.0)</f>
        <v>8</v>
      </c>
      <c r="L306" s="26" t="str">
        <f>IFERROR(__xludf.DUMMYFUNCTION("""COMPUTED_VALUE"""),"Shooter")</f>
        <v>Shooter</v>
      </c>
      <c r="M306" s="13" t="b">
        <f>NOT(ISNA(VLOOKUP(A306,PC!A:A,1,FALSE)))</f>
        <v>0</v>
      </c>
      <c r="N306" s="13" t="b">
        <f>NOT(ISNA(VLOOKUP(A306,'Game Pass Premium'!A:A,1,FALSE)))</f>
        <v>0</v>
      </c>
      <c r="O306" s="13" t="b">
        <f>NOT(ISNA(VLOOKUP(A306,'Game Pass Essential'!A:A,1,FALSE)))</f>
        <v>0</v>
      </c>
    </row>
    <row r="307">
      <c r="A307" s="12" t="str">
        <f>IFERROR(__xludf.DUMMYFUNCTION("""COMPUTED_VALUE"""),"Split/Second")</f>
        <v>Split/Second</v>
      </c>
      <c r="B307" s="13" t="str">
        <f>IFERROR(__xludf.DUMMYFUNCTION("""COMPUTED_VALUE"""),"XB360/OG Xbox")</f>
        <v>XB360/OG Xbox</v>
      </c>
      <c r="C307" s="14"/>
      <c r="D307" s="14" t="str">
        <f>IFERROR(__xludf.DUMMYFUNCTION("""COMPUTED_VALUE"""),"GwG Permanent")</f>
        <v>GwG Permanent</v>
      </c>
      <c r="E307" s="15">
        <f>IFERROR(__xludf.DUMMYFUNCTION("""COMPUTED_VALUE"""),43132.0)</f>
        <v>43132</v>
      </c>
      <c r="F307" s="16">
        <f>IFERROR(__xludf.DUMMYFUNCTION("""COMPUTED_VALUE"""),43146.0)</f>
        <v>43146</v>
      </c>
      <c r="G307" s="18">
        <f>IFERROR(__xludf.DUMMYFUNCTION("""COMPUTED_VALUE"""),0.4666666666666667)</f>
        <v>0.4666666667</v>
      </c>
      <c r="H307" s="15">
        <f>IFERROR(__xludf.DUMMYFUNCTION("""COMPUTED_VALUE"""),40316.0)</f>
        <v>40316</v>
      </c>
      <c r="I307" s="18">
        <f>IFERROR(__xludf.DUMMYFUNCTION("""COMPUTED_VALUE"""),7.7027777777777775)</f>
        <v>7.702777778</v>
      </c>
      <c r="J307" s="22">
        <f>IFERROR(__xludf.DUMMYFUNCTION("""COMPUTED_VALUE"""),82.0)</f>
        <v>82</v>
      </c>
      <c r="K307" s="22">
        <f>IFERROR(__xludf.DUMMYFUNCTION("""COMPUTED_VALUE"""),7.0)</f>
        <v>7</v>
      </c>
      <c r="L307" s="26" t="str">
        <f>IFERROR(__xludf.DUMMYFUNCTION("""COMPUTED_VALUE"""),"Racing")</f>
        <v>Racing</v>
      </c>
      <c r="M307" s="13" t="b">
        <f>NOT(ISNA(VLOOKUP(A307,PC!A:A,1,FALSE)))</f>
        <v>0</v>
      </c>
      <c r="N307" s="13" t="b">
        <f>NOT(ISNA(VLOOKUP(A307,'Game Pass Premium'!A:A,1,FALSE)))</f>
        <v>0</v>
      </c>
      <c r="O307" s="13" t="b">
        <f>NOT(ISNA(VLOOKUP(A307,'Game Pass Essential'!A:A,1,FALSE)))</f>
        <v>0</v>
      </c>
    </row>
    <row r="308">
      <c r="A308" s="12" t="str">
        <f>IFERROR(__xludf.DUMMYFUNCTION("""COMPUTED_VALUE"""),"Rayman 3 HD")</f>
        <v>Rayman 3 HD</v>
      </c>
      <c r="B308" s="13" t="str">
        <f>IFERROR(__xludf.DUMMYFUNCTION("""COMPUTED_VALUE"""),"XB360/OG Xbox")</f>
        <v>XB360/OG Xbox</v>
      </c>
      <c r="C308" s="14"/>
      <c r="D308" s="14" t="str">
        <f>IFERROR(__xludf.DUMMYFUNCTION("""COMPUTED_VALUE"""),"GwG Permanent")</f>
        <v>GwG Permanent</v>
      </c>
      <c r="E308" s="15">
        <f>IFERROR(__xludf.DUMMYFUNCTION("""COMPUTED_VALUE"""),43009.0)</f>
        <v>43009</v>
      </c>
      <c r="F308" s="16">
        <f>IFERROR(__xludf.DUMMYFUNCTION("""COMPUTED_VALUE"""),43023.0)</f>
        <v>43023</v>
      </c>
      <c r="G308" s="18">
        <f>IFERROR(__xludf.DUMMYFUNCTION("""COMPUTED_VALUE"""),0.4666666666666667)</f>
        <v>0.4666666667</v>
      </c>
      <c r="H308" s="15">
        <f>IFERROR(__xludf.DUMMYFUNCTION("""COMPUTED_VALUE"""),41180.0)</f>
        <v>41180</v>
      </c>
      <c r="I308" s="18">
        <f>IFERROR(__xludf.DUMMYFUNCTION("""COMPUTED_VALUE"""),5.008333333333334)</f>
        <v>5.008333333</v>
      </c>
      <c r="J308" s="22">
        <f>IFERROR(__xludf.DUMMYFUNCTION("""COMPUTED_VALUE"""),82.0)</f>
        <v>82</v>
      </c>
      <c r="K308" s="22">
        <f>IFERROR(__xludf.DUMMYFUNCTION("""COMPUTED_VALUE"""),5.0)</f>
        <v>5</v>
      </c>
      <c r="L308" s="26" t="str">
        <f>IFERROR(__xludf.DUMMYFUNCTION("""COMPUTED_VALUE"""),"Platformer")</f>
        <v>Platformer</v>
      </c>
      <c r="M308" s="13" t="b">
        <f>NOT(ISNA(VLOOKUP(A308,PC!A:A,1,FALSE)))</f>
        <v>0</v>
      </c>
      <c r="N308" s="13" t="b">
        <f>NOT(ISNA(VLOOKUP(A308,'Game Pass Premium'!A:A,1,FALSE)))</f>
        <v>0</v>
      </c>
      <c r="O308" s="13" t="b">
        <f>NOT(ISNA(VLOOKUP(A308,'Game Pass Essential'!A:A,1,FALSE)))</f>
        <v>0</v>
      </c>
    </row>
    <row r="309">
      <c r="A309" s="12" t="str">
        <f>IFERROR(__xludf.DUMMYFUNCTION("""COMPUTED_VALUE"""),"F1 2013")</f>
        <v>F1 2013</v>
      </c>
      <c r="B309" s="13" t="str">
        <f>IFERROR(__xludf.DUMMYFUNCTION("""COMPUTED_VALUE"""),"XB360/OG Xbox")</f>
        <v>XB360/OG Xbox</v>
      </c>
      <c r="C309" s="14"/>
      <c r="D309" s="14" t="str">
        <f>IFERROR(__xludf.DUMMYFUNCTION("""COMPUTED_VALUE"""),"GwG Permanent")</f>
        <v>GwG Permanent</v>
      </c>
      <c r="E309" s="15">
        <f>IFERROR(__xludf.DUMMYFUNCTION("""COMPUTED_VALUE"""),42140.0)</f>
        <v>42140</v>
      </c>
      <c r="F309" s="16">
        <f>IFERROR(__xludf.DUMMYFUNCTION("""COMPUTED_VALUE"""),42155.0)</f>
        <v>42155</v>
      </c>
      <c r="G309" s="18">
        <f>IFERROR(__xludf.DUMMYFUNCTION("""COMPUTED_VALUE"""),0.4666666666666667)</f>
        <v>0.4666666667</v>
      </c>
      <c r="H309" s="15">
        <f>IFERROR(__xludf.DUMMYFUNCTION("""COMPUTED_VALUE"""),41516.0)</f>
        <v>41516</v>
      </c>
      <c r="I309" s="18">
        <f>IFERROR(__xludf.DUMMYFUNCTION("""COMPUTED_VALUE"""),1.711111111111111)</f>
        <v>1.711111111</v>
      </c>
      <c r="J309" s="22">
        <f>IFERROR(__xludf.DUMMYFUNCTION("""COMPUTED_VALUE"""),82.0)</f>
        <v>82</v>
      </c>
      <c r="K309" s="22">
        <f>IFERROR(__xludf.DUMMYFUNCTION("""COMPUTED_VALUE"""),6.0)</f>
        <v>6</v>
      </c>
      <c r="L309" s="26" t="str">
        <f>IFERROR(__xludf.DUMMYFUNCTION("""COMPUTED_VALUE"""),"Racing")</f>
        <v>Racing</v>
      </c>
      <c r="M309" s="13" t="b">
        <f>NOT(ISNA(VLOOKUP(A309,PC!A:A,1,FALSE)))</f>
        <v>0</v>
      </c>
      <c r="N309" s="13" t="b">
        <f>NOT(ISNA(VLOOKUP(A309,'Game Pass Premium'!A:A,1,FALSE)))</f>
        <v>0</v>
      </c>
      <c r="O309" s="13" t="b">
        <f>NOT(ISNA(VLOOKUP(A309,'Game Pass Essential'!A:A,1,FALSE)))</f>
        <v>0</v>
      </c>
    </row>
    <row r="310">
      <c r="A310" s="12" t="str">
        <f>IFERROR(__xludf.DUMMYFUNCTION("""COMPUTED_VALUE"""),"SSX")</f>
        <v>SSX</v>
      </c>
      <c r="B310" s="13" t="str">
        <f>IFERROR(__xludf.DUMMYFUNCTION("""COMPUTED_VALUE"""),"XB360/OG Xbox")</f>
        <v>XB360/OG Xbox</v>
      </c>
      <c r="C310" s="14"/>
      <c r="D310" s="14" t="str">
        <f>IFERROR(__xludf.DUMMYFUNCTION("""COMPUTED_VALUE"""),"GwG Permanent")</f>
        <v>GwG Permanent</v>
      </c>
      <c r="E310" s="15">
        <f>IFERROR(__xludf.DUMMYFUNCTION("""COMPUTED_VALUE"""),41989.0)</f>
        <v>41989</v>
      </c>
      <c r="F310" s="16">
        <f>IFERROR(__xludf.DUMMYFUNCTION("""COMPUTED_VALUE"""),42004.0)</f>
        <v>42004</v>
      </c>
      <c r="G310" s="18">
        <f>IFERROR(__xludf.DUMMYFUNCTION("""COMPUTED_VALUE"""),0.4666666666666667)</f>
        <v>0.4666666667</v>
      </c>
      <c r="H310" s="15">
        <f>IFERROR(__xludf.DUMMYFUNCTION("""COMPUTED_VALUE"""),40967.0)</f>
        <v>40967</v>
      </c>
      <c r="I310" s="18">
        <f>IFERROR(__xludf.DUMMYFUNCTION("""COMPUTED_VALUE"""),2.8)</f>
        <v>2.8</v>
      </c>
      <c r="J310" s="22">
        <f>IFERROR(__xludf.DUMMYFUNCTION("""COMPUTED_VALUE"""),82.0)</f>
        <v>82</v>
      </c>
      <c r="K310" s="22">
        <f>IFERROR(__xludf.DUMMYFUNCTION("""COMPUTED_VALUE"""),12.0)</f>
        <v>12</v>
      </c>
      <c r="L310" s="26" t="str">
        <f>IFERROR(__xludf.DUMMYFUNCTION("""COMPUTED_VALUE"""),"Sports")</f>
        <v>Sports</v>
      </c>
      <c r="M310" s="13" t="b">
        <f>NOT(ISNA(VLOOKUP(A310,PC!A:A,1,FALSE)))</f>
        <v>0</v>
      </c>
      <c r="N310" s="13" t="b">
        <f>NOT(ISNA(VLOOKUP(A310,'Game Pass Premium'!A:A,1,FALSE)))</f>
        <v>1</v>
      </c>
      <c r="O310" s="13" t="b">
        <f>NOT(ISNA(VLOOKUP(A310,'Game Pass Essential'!A:A,1,FALSE)))</f>
        <v>0</v>
      </c>
    </row>
    <row r="311">
      <c r="A311" s="12" t="str">
        <f>IFERROR(__xludf.DUMMYFUNCTION("""COMPUTED_VALUE"""),"Iron Brigade")</f>
        <v>Iron Brigade</v>
      </c>
      <c r="B311" s="13" t="str">
        <f>IFERROR(__xludf.DUMMYFUNCTION("""COMPUTED_VALUE"""),"XB360/OG Xbox")</f>
        <v>XB360/OG Xbox</v>
      </c>
      <c r="C311" s="14"/>
      <c r="D311" s="14" t="str">
        <f>IFERROR(__xludf.DUMMYFUNCTION("""COMPUTED_VALUE"""),"GwG Permanent")</f>
        <v>GwG Permanent</v>
      </c>
      <c r="E311" s="15">
        <f>IFERROR(__xludf.DUMMYFUNCTION("""COMPUTED_VALUE"""),41594.0)</f>
        <v>41594</v>
      </c>
      <c r="F311" s="16">
        <f>IFERROR(__xludf.DUMMYFUNCTION("""COMPUTED_VALUE"""),41608.0)</f>
        <v>41608</v>
      </c>
      <c r="G311" s="18">
        <f>IFERROR(__xludf.DUMMYFUNCTION("""COMPUTED_VALUE"""),0.4666666666666667)</f>
        <v>0.4666666667</v>
      </c>
      <c r="H311" s="15">
        <f>IFERROR(__xludf.DUMMYFUNCTION("""COMPUTED_VALUE"""),40736.0)</f>
        <v>40736</v>
      </c>
      <c r="I311" s="18">
        <f>IFERROR(__xludf.DUMMYFUNCTION("""COMPUTED_VALUE"""),2.3444444444444446)</f>
        <v>2.344444444</v>
      </c>
      <c r="J311" s="22">
        <f>IFERROR(__xludf.DUMMYFUNCTION("""COMPUTED_VALUE"""),82.0)</f>
        <v>82</v>
      </c>
      <c r="K311" s="22">
        <f>IFERROR(__xludf.DUMMYFUNCTION("""COMPUTED_VALUE"""),7.0)</f>
        <v>7</v>
      </c>
      <c r="L311" s="26" t="str">
        <f>IFERROR(__xludf.DUMMYFUNCTION("""COMPUTED_VALUE"""),"Strategy")</f>
        <v>Strategy</v>
      </c>
      <c r="M311" s="13" t="b">
        <f>NOT(ISNA(VLOOKUP(A311,PC!A:A,1,FALSE)))</f>
        <v>0</v>
      </c>
      <c r="N311" s="13" t="b">
        <f>NOT(ISNA(VLOOKUP(A311,'Game Pass Premium'!A:A,1,FALSE)))</f>
        <v>1</v>
      </c>
      <c r="O311" s="13" t="b">
        <f>NOT(ISNA(VLOOKUP(A311,'Game Pass Essential'!A:A,1,FALSE)))</f>
        <v>0</v>
      </c>
    </row>
    <row r="312">
      <c r="A312" s="12" t="str">
        <f>IFERROR(__xludf.DUMMYFUNCTION("""COMPUTED_VALUE"""),"Crackdown")</f>
        <v>Crackdown</v>
      </c>
      <c r="B312" s="13" t="str">
        <f>IFERROR(__xludf.DUMMYFUNCTION("""COMPUTED_VALUE"""),"XB360/OG Xbox")</f>
        <v>XB360/OG Xbox</v>
      </c>
      <c r="C312" s="14"/>
      <c r="D312" s="14" t="str">
        <f>IFERROR(__xludf.DUMMYFUNCTION("""COMPUTED_VALUE"""),"GwG Permanent")</f>
        <v>GwG Permanent</v>
      </c>
      <c r="E312" s="15">
        <f>IFERROR(__xludf.DUMMYFUNCTION("""COMPUTED_VALUE"""),41487.0)</f>
        <v>41487</v>
      </c>
      <c r="F312" s="16">
        <f>IFERROR(__xludf.DUMMYFUNCTION("""COMPUTED_VALUE"""),41501.0)</f>
        <v>41501</v>
      </c>
      <c r="G312" s="18">
        <f>IFERROR(__xludf.DUMMYFUNCTION("""COMPUTED_VALUE"""),0.4666666666666667)</f>
        <v>0.4666666667</v>
      </c>
      <c r="H312" s="15">
        <f>IFERROR(__xludf.DUMMYFUNCTION("""COMPUTED_VALUE"""),39133.0)</f>
        <v>39133</v>
      </c>
      <c r="I312" s="18">
        <f>IFERROR(__xludf.DUMMYFUNCTION("""COMPUTED_VALUE"""),6.447222222222222)</f>
        <v>6.447222222</v>
      </c>
      <c r="J312" s="22">
        <f>IFERROR(__xludf.DUMMYFUNCTION("""COMPUTED_VALUE"""),82.0)</f>
        <v>82</v>
      </c>
      <c r="K312" s="22">
        <f>IFERROR(__xludf.DUMMYFUNCTION("""COMPUTED_VALUE"""),12.0)</f>
        <v>12</v>
      </c>
      <c r="L312" s="26" t="str">
        <f>IFERROR(__xludf.DUMMYFUNCTION("""COMPUTED_VALUE"""),"Action-Adventure")</f>
        <v>Action-Adventure</v>
      </c>
      <c r="M312" s="13" t="b">
        <f>NOT(ISNA(VLOOKUP(A312,PC!A:A,1,FALSE)))</f>
        <v>0</v>
      </c>
      <c r="N312" s="13" t="b">
        <f>NOT(ISNA(VLOOKUP(A312,'Game Pass Premium'!A:A,1,FALSE)))</f>
        <v>0</v>
      </c>
      <c r="O312" s="13" t="b">
        <f>NOT(ISNA(VLOOKUP(A312,'Game Pass Essential'!A:A,1,FALSE)))</f>
        <v>0</v>
      </c>
    </row>
    <row r="313">
      <c r="A313" s="12" t="str">
        <f>IFERROR(__xludf.DUMMYFUNCTION("""COMPUTED_VALUE"""),"Super Mega Baseball 3")</f>
        <v>Super Mega Baseball 3</v>
      </c>
      <c r="B313" s="13" t="str">
        <f>IFERROR(__xludf.DUMMYFUNCTION("""COMPUTED_VALUE"""),"Xbox / PC")</f>
        <v>Xbox / PC</v>
      </c>
      <c r="C313" s="14" t="str">
        <f>IFERROR(__xludf.DUMMYFUNCTION("""COMPUTED_VALUE"""),"Touch Controls")</f>
        <v>Touch Controls</v>
      </c>
      <c r="D313" s="14" t="str">
        <f>IFERROR(__xludf.DUMMYFUNCTION("""COMPUTED_VALUE"""),"Active")</f>
        <v>Active</v>
      </c>
      <c r="E313" s="15">
        <f>IFERROR(__xludf.DUMMYFUNCTION("""COMPUTED_VALUE"""),44616.0)</f>
        <v>44616</v>
      </c>
      <c r="F313" s="16"/>
      <c r="G313" s="18">
        <f>IFERROR(__xludf.DUMMYFUNCTION("""COMPUTED_VALUE"""),55.39999999999999)</f>
        <v>55.4</v>
      </c>
      <c r="H313" s="15">
        <f>IFERROR(__xludf.DUMMYFUNCTION("""COMPUTED_VALUE"""),43964.0)</f>
        <v>43964</v>
      </c>
      <c r="I313" s="18">
        <f>IFERROR(__xludf.DUMMYFUNCTION("""COMPUTED_VALUE"""),1.7805555555555554)</f>
        <v>1.780555556</v>
      </c>
      <c r="J313" s="22">
        <f>IFERROR(__xludf.DUMMYFUNCTION("""COMPUTED_VALUE"""),81.5)</f>
        <v>81.5</v>
      </c>
      <c r="K313" s="22">
        <f>IFERROR(__xludf.DUMMYFUNCTION("""COMPUTED_VALUE"""),24.0)</f>
        <v>24</v>
      </c>
      <c r="L313" s="26" t="str">
        <f>IFERROR(__xludf.DUMMYFUNCTION("""COMPUTED_VALUE"""),"Sports")</f>
        <v>Sports</v>
      </c>
      <c r="M313" s="13" t="b">
        <f>NOT(ISNA(VLOOKUP(A313,PC!A:A,1,FALSE)))</f>
        <v>1</v>
      </c>
      <c r="N313" s="13" t="b">
        <f>NOT(ISNA(VLOOKUP(A313,'Game Pass Premium'!A:A,1,FALSE)))</f>
        <v>1</v>
      </c>
      <c r="O313" s="13" t="b">
        <f>NOT(ISNA(VLOOKUP(A313,'Game Pass Essential'!A:A,1,FALSE)))</f>
        <v>0</v>
      </c>
    </row>
    <row r="314">
      <c r="A314" s="12" t="str">
        <f>IFERROR(__xludf.DUMMYFUNCTION("""COMPUTED_VALUE"""),"The Planet Crafter")</f>
        <v>The Planet Crafter</v>
      </c>
      <c r="B314" s="13" t="str">
        <f>IFERROR(__xludf.DUMMYFUNCTION("""COMPUTED_VALUE"""),"Xbox / PC")</f>
        <v>Xbox / PC</v>
      </c>
      <c r="C314" s="14" t="str">
        <f>IFERROR(__xludf.DUMMYFUNCTION("""COMPUTED_VALUE"""),"Yes")</f>
        <v>Yes</v>
      </c>
      <c r="D314" s="14" t="str">
        <f>IFERROR(__xludf.DUMMYFUNCTION("""COMPUTED_VALUE"""),"Active")</f>
        <v>Active</v>
      </c>
      <c r="E314" s="15">
        <f>IFERROR(__xludf.DUMMYFUNCTION("""COMPUTED_VALUE"""),46224.0)</f>
        <v>46224</v>
      </c>
      <c r="F314" s="16"/>
      <c r="G314" s="18">
        <f>IFERROR(__xludf.DUMMYFUNCTION("""COMPUTED_VALUE"""),2.5)</f>
        <v>2.5</v>
      </c>
      <c r="H314" s="15">
        <f>IFERROR(__xludf.DUMMYFUNCTION("""COMPUTED_VALUE"""),44644.0)</f>
        <v>44644</v>
      </c>
      <c r="I314" s="18">
        <f>IFERROR(__xludf.DUMMYFUNCTION("""COMPUTED_VALUE"""),4.325)</f>
        <v>4.325</v>
      </c>
      <c r="J314" s="22">
        <f>IFERROR(__xludf.DUMMYFUNCTION("""COMPUTED_VALUE"""),81.0)</f>
        <v>81</v>
      </c>
      <c r="K314" s="22">
        <f>IFERROR(__xludf.DUMMYFUNCTION("""COMPUTED_VALUE"""),35.0)</f>
        <v>35</v>
      </c>
      <c r="L314" s="26" t="str">
        <f>IFERROR(__xludf.DUMMYFUNCTION("""COMPUTED_VALUE"""),"Sandbox")</f>
        <v>Sandbox</v>
      </c>
      <c r="M314" s="13" t="b">
        <f>NOT(ISNA(VLOOKUP(A314,PC!A:A,1,FALSE)))</f>
        <v>1</v>
      </c>
      <c r="N314" s="13" t="b">
        <f>NOT(ISNA(VLOOKUP(A314,'Game Pass Premium'!A:A,1,FALSE)))</f>
        <v>1</v>
      </c>
      <c r="O314" s="13" t="b">
        <f>NOT(ISNA(VLOOKUP(A314,'Game Pass Essential'!A:A,1,FALSE)))</f>
        <v>0</v>
      </c>
    </row>
    <row r="315">
      <c r="A315" s="12" t="str">
        <f>IFERROR(__xludf.DUMMYFUNCTION("""COMPUTED_VALUE"""),"Jurassic World Evolution 3")</f>
        <v>Jurassic World Evolution 3</v>
      </c>
      <c r="B315" s="13" t="str">
        <f>IFERROR(__xludf.DUMMYFUNCTION("""COMPUTED_VALUE"""),"Xbox / PC")</f>
        <v>Xbox / PC</v>
      </c>
      <c r="C315" s="14" t="str">
        <f>IFERROR(__xludf.DUMMYFUNCTION("""COMPUTED_VALUE"""),"Yes")</f>
        <v>Yes</v>
      </c>
      <c r="D315" s="14" t="str">
        <f>IFERROR(__xludf.DUMMYFUNCTION("""COMPUTED_VALUE"""),"Active")</f>
        <v>Active</v>
      </c>
      <c r="E315" s="15">
        <f>IFERROR(__xludf.DUMMYFUNCTION("""COMPUTED_VALUE"""),46175.0)</f>
        <v>46175</v>
      </c>
      <c r="F315" s="16"/>
      <c r="G315" s="18">
        <f>IFERROR(__xludf.DUMMYFUNCTION("""COMPUTED_VALUE"""),4.133333333333333)</f>
        <v>4.133333333</v>
      </c>
      <c r="H315" s="15">
        <f>IFERROR(__xludf.DUMMYFUNCTION("""COMPUTED_VALUE"""),45951.0)</f>
        <v>45951</v>
      </c>
      <c r="I315" s="18">
        <f>IFERROR(__xludf.DUMMYFUNCTION("""COMPUTED_VALUE"""),0.6138888888888889)</f>
        <v>0.6138888889</v>
      </c>
      <c r="J315" s="22">
        <f>IFERROR(__xludf.DUMMYFUNCTION("""COMPUTED_VALUE"""),81.0)</f>
        <v>81</v>
      </c>
      <c r="K315" s="22">
        <f>IFERROR(__xludf.DUMMYFUNCTION("""COMPUTED_VALUE"""),20.0)</f>
        <v>20</v>
      </c>
      <c r="L315" s="26" t="str">
        <f>IFERROR(__xludf.DUMMYFUNCTION("""COMPUTED_VALUE"""),"Simulation")</f>
        <v>Simulation</v>
      </c>
      <c r="M315" s="13" t="b">
        <f>NOT(ISNA(VLOOKUP(A315,PC!A:A,1,FALSE)))</f>
        <v>1</v>
      </c>
      <c r="N315" s="13" t="b">
        <f>NOT(ISNA(VLOOKUP(A315,'Game Pass Premium'!A:A,1,FALSE)))</f>
        <v>1</v>
      </c>
      <c r="O315" s="13" t="b">
        <f>NOT(ISNA(VLOOKUP(A315,'Game Pass Essential'!A:A,1,FALSE)))</f>
        <v>0</v>
      </c>
    </row>
    <row r="316">
      <c r="A316" s="12" t="str">
        <f>IFERROR(__xludf.DUMMYFUNCTION("""COMPUTED_VALUE"""),"Escape Simulator")</f>
        <v>Escape Simulator</v>
      </c>
      <c r="B316" s="13" t="str">
        <f>IFERROR(__xludf.DUMMYFUNCTION("""COMPUTED_VALUE"""),"Xbox / PC")</f>
        <v>Xbox / PC</v>
      </c>
      <c r="C316" s="14" t="str">
        <f>IFERROR(__xludf.DUMMYFUNCTION("""COMPUTED_VALUE"""),"Yes")</f>
        <v>Yes</v>
      </c>
      <c r="D316" s="14" t="str">
        <f>IFERROR(__xludf.DUMMYFUNCTION("""COMPUTED_VALUE"""),"Active")</f>
        <v>Active</v>
      </c>
      <c r="E316" s="15">
        <f>IFERROR(__xludf.DUMMYFUNCTION("""COMPUTED_VALUE"""),46168.0)</f>
        <v>46168</v>
      </c>
      <c r="F316" s="16"/>
      <c r="G316" s="18">
        <f>IFERROR(__xludf.DUMMYFUNCTION("""COMPUTED_VALUE"""),4.333333333333333)</f>
        <v>4.333333333</v>
      </c>
      <c r="H316" s="15">
        <f>IFERROR(__xludf.DUMMYFUNCTION("""COMPUTED_VALUE"""),44491.0)</f>
        <v>44491</v>
      </c>
      <c r="I316" s="18">
        <f>IFERROR(__xludf.DUMMYFUNCTION("""COMPUTED_VALUE"""),4.594444444444444)</f>
        <v>4.594444444</v>
      </c>
      <c r="J316" s="22">
        <f>IFERROR(__xludf.DUMMYFUNCTION("""COMPUTED_VALUE"""),81.0)</f>
        <v>81</v>
      </c>
      <c r="K316" s="22">
        <f>IFERROR(__xludf.DUMMYFUNCTION("""COMPUTED_VALUE"""),6.0)</f>
        <v>6</v>
      </c>
      <c r="L316" s="26" t="str">
        <f>IFERROR(__xludf.DUMMYFUNCTION("""COMPUTED_VALUE"""),"Puzzle")</f>
        <v>Puzzle</v>
      </c>
      <c r="M316" s="13" t="b">
        <f>NOT(ISNA(VLOOKUP(A316,PC!A:A,1,FALSE)))</f>
        <v>1</v>
      </c>
      <c r="N316" s="13" t="b">
        <f>NOT(ISNA(VLOOKUP(A316,'Game Pass Premium'!A:A,1,FALSE)))</f>
        <v>1</v>
      </c>
      <c r="O316" s="13" t="b">
        <f>NOT(ISNA(VLOOKUP(A316,'Game Pass Essential'!A:A,1,FALSE)))</f>
        <v>0</v>
      </c>
    </row>
    <row r="317">
      <c r="A317" s="12" t="str">
        <f>IFERROR(__xludf.DUMMYFUNCTION("""COMPUTED_VALUE"""),"Luna Abyss")</f>
        <v>Luna Abyss</v>
      </c>
      <c r="B317" s="13" t="str">
        <f>IFERROR(__xludf.DUMMYFUNCTION("""COMPUTED_VALUE"""),"Xbox / PC")</f>
        <v>Xbox / PC</v>
      </c>
      <c r="C317" s="14" t="str">
        <f>IFERROR(__xludf.DUMMYFUNCTION("""COMPUTED_VALUE"""),"Yes")</f>
        <v>Yes</v>
      </c>
      <c r="D317" s="14" t="str">
        <f>IFERROR(__xludf.DUMMYFUNCTION("""COMPUTED_VALUE"""),"Active")</f>
        <v>Active</v>
      </c>
      <c r="E317" s="15">
        <f>IFERROR(__xludf.DUMMYFUNCTION("""COMPUTED_VALUE"""),46163.0)</f>
        <v>46163</v>
      </c>
      <c r="F317" s="16"/>
      <c r="G317" s="18">
        <f>IFERROR(__xludf.DUMMYFUNCTION("""COMPUTED_VALUE"""),4.5)</f>
        <v>4.5</v>
      </c>
      <c r="H317" s="15">
        <f>IFERROR(__xludf.DUMMYFUNCTION("""COMPUTED_VALUE"""),46163.0)</f>
        <v>46163</v>
      </c>
      <c r="I317" s="18">
        <f>IFERROR(__xludf.DUMMYFUNCTION("""COMPUTED_VALUE"""),0.0)</f>
        <v>0</v>
      </c>
      <c r="J317" s="22">
        <f>IFERROR(__xludf.DUMMYFUNCTION("""COMPUTED_VALUE"""),81.0)</f>
        <v>81</v>
      </c>
      <c r="K317" s="22">
        <f>IFERROR(__xludf.DUMMYFUNCTION("""COMPUTED_VALUE"""),8.0)</f>
        <v>8</v>
      </c>
      <c r="L317" s="26" t="str">
        <f>IFERROR(__xludf.DUMMYFUNCTION("""COMPUTED_VALUE"""),"Shooter")</f>
        <v>Shooter</v>
      </c>
      <c r="M317" s="13" t="b">
        <f>NOT(ISNA(VLOOKUP(A317,PC!A:A,1,FALSE)))</f>
        <v>1</v>
      </c>
      <c r="N317" s="13" t="b">
        <f>NOT(ISNA(VLOOKUP(A317,'Game Pass Premium'!A:A,1,FALSE)))</f>
        <v>0</v>
      </c>
      <c r="O317" s="13" t="b">
        <f>NOT(ISNA(VLOOKUP(A317,'Game Pass Essential'!A:A,1,FALSE)))</f>
        <v>0</v>
      </c>
    </row>
    <row r="318">
      <c r="A318" s="12" t="str">
        <f>IFERROR(__xludf.DUMMYFUNCTION("""COMPUTED_VALUE"""),"Tiny Bookshop")</f>
        <v>Tiny Bookshop</v>
      </c>
      <c r="B318" s="13" t="str">
        <f>IFERROR(__xludf.DUMMYFUNCTION("""COMPUTED_VALUE"""),"Xbox / PC")</f>
        <v>Xbox / PC</v>
      </c>
      <c r="C318" s="14" t="str">
        <f>IFERROR(__xludf.DUMMYFUNCTION("""COMPUTED_VALUE"""),"Yes")</f>
        <v>Yes</v>
      </c>
      <c r="D318" s="14" t="str">
        <f>IFERROR(__xludf.DUMMYFUNCTION("""COMPUTED_VALUE"""),"Active")</f>
        <v>Active</v>
      </c>
      <c r="E318" s="15">
        <f>IFERROR(__xludf.DUMMYFUNCTION("""COMPUTED_VALUE"""),46122.0)</f>
        <v>46122</v>
      </c>
      <c r="F318" s="16"/>
      <c r="G318" s="18">
        <f>IFERROR(__xludf.DUMMYFUNCTION("""COMPUTED_VALUE"""),5.866666666666666)</f>
        <v>5.866666667</v>
      </c>
      <c r="H318" s="15">
        <f>IFERROR(__xludf.DUMMYFUNCTION("""COMPUTED_VALUE"""),45876.0)</f>
        <v>45876</v>
      </c>
      <c r="I318" s="18">
        <f>IFERROR(__xludf.DUMMYFUNCTION("""COMPUTED_VALUE"""),0.675)</f>
        <v>0.675</v>
      </c>
      <c r="J318" s="22">
        <f>IFERROR(__xludf.DUMMYFUNCTION("""COMPUTED_VALUE"""),81.0)</f>
        <v>81</v>
      </c>
      <c r="K318" s="22">
        <f>IFERROR(__xludf.DUMMYFUNCTION("""COMPUTED_VALUE"""),16.0)</f>
        <v>16</v>
      </c>
      <c r="L318" s="26" t="str">
        <f>IFERROR(__xludf.DUMMYFUNCTION("""COMPUTED_VALUE"""),"Tycoon")</f>
        <v>Tycoon</v>
      </c>
      <c r="M318" s="13" t="b">
        <f>NOT(ISNA(VLOOKUP(A318,PC!A:A,1,FALSE)))</f>
        <v>1</v>
      </c>
      <c r="N318" s="13" t="b">
        <f>NOT(ISNA(VLOOKUP(A318,'Game Pass Premium'!A:A,1,FALSE)))</f>
        <v>1</v>
      </c>
      <c r="O318" s="13" t="b">
        <f>NOT(ISNA(VLOOKUP(A318,'Game Pass Essential'!A:A,1,FALSE)))</f>
        <v>0</v>
      </c>
    </row>
    <row r="319">
      <c r="A319" s="12" t="str">
        <f>IFERROR(__xludf.DUMMYFUNCTION("""COMPUTED_VALUE"""),"Marvel Cosmic Invasion")</f>
        <v>Marvel Cosmic Invasion</v>
      </c>
      <c r="B319" s="13" t="str">
        <f>IFERROR(__xludf.DUMMYFUNCTION("""COMPUTED_VALUE"""),"Xbox / PC")</f>
        <v>Xbox / PC</v>
      </c>
      <c r="C319" s="14" t="str">
        <f>IFERROR(__xludf.DUMMYFUNCTION("""COMPUTED_VALUE"""),"Yes")</f>
        <v>Yes</v>
      </c>
      <c r="D319" s="14" t="str">
        <f>IFERROR(__xludf.DUMMYFUNCTION("""COMPUTED_VALUE"""),"Active")</f>
        <v>Active</v>
      </c>
      <c r="E319" s="15">
        <f>IFERROR(__xludf.DUMMYFUNCTION("""COMPUTED_VALUE"""),45992.0)</f>
        <v>45992</v>
      </c>
      <c r="F319" s="16"/>
      <c r="G319" s="18">
        <f>IFERROR(__xludf.DUMMYFUNCTION("""COMPUTED_VALUE"""),10.166666666666666)</f>
        <v>10.16666667</v>
      </c>
      <c r="H319" s="15">
        <f>IFERROR(__xludf.DUMMYFUNCTION("""COMPUTED_VALUE"""),45992.0)</f>
        <v>45992</v>
      </c>
      <c r="I319" s="18">
        <f>IFERROR(__xludf.DUMMYFUNCTION("""COMPUTED_VALUE"""),0.0)</f>
        <v>0</v>
      </c>
      <c r="J319" s="22">
        <f>IFERROR(__xludf.DUMMYFUNCTION("""COMPUTED_VALUE"""),81.0)</f>
        <v>81</v>
      </c>
      <c r="K319" s="22">
        <f>IFERROR(__xludf.DUMMYFUNCTION("""COMPUTED_VALUE"""),4.0)</f>
        <v>4</v>
      </c>
      <c r="L319" s="26" t="str">
        <f>IFERROR(__xludf.DUMMYFUNCTION("""COMPUTED_VALUE"""),"Beat ’em up")</f>
        <v>Beat ’em up</v>
      </c>
      <c r="M319" s="13" t="b">
        <f>NOT(ISNA(VLOOKUP(A319,PC!A:A,1,FALSE)))</f>
        <v>1</v>
      </c>
      <c r="N319" s="13" t="b">
        <f>NOT(ISNA(VLOOKUP(A319,'Game Pass Premium'!A:A,1,FALSE)))</f>
        <v>1</v>
      </c>
      <c r="O319" s="13" t="b">
        <f>NOT(ISNA(VLOOKUP(A319,'Game Pass Essential'!A:A,1,FALSE)))</f>
        <v>0</v>
      </c>
    </row>
    <row r="320">
      <c r="A320" s="12" t="str">
        <f>IFERROR(__xludf.DUMMYFUNCTION("""COMPUTED_VALUE"""),"Great God Grove")</f>
        <v>Great God Grove</v>
      </c>
      <c r="B320" s="13" t="str">
        <f>IFERROR(__xludf.DUMMYFUNCTION("""COMPUTED_VALUE"""),"Xbox / PC")</f>
        <v>Xbox / PC</v>
      </c>
      <c r="C320" s="14" t="str">
        <f>IFERROR(__xludf.DUMMYFUNCTION("""COMPUTED_VALUE"""),"Yes")</f>
        <v>Yes</v>
      </c>
      <c r="D320" s="14" t="str">
        <f>IFERROR(__xludf.DUMMYFUNCTION("""COMPUTED_VALUE"""),"Active")</f>
        <v>Active</v>
      </c>
      <c r="E320" s="15">
        <f>IFERROR(__xludf.DUMMYFUNCTION("""COMPUTED_VALUE"""),45972.0)</f>
        <v>45972</v>
      </c>
      <c r="F320" s="16"/>
      <c r="G320" s="18">
        <f>IFERROR(__xludf.DUMMYFUNCTION("""COMPUTED_VALUE"""),10.833333333333334)</f>
        <v>10.83333333</v>
      </c>
      <c r="H320" s="15">
        <f>IFERROR(__xludf.DUMMYFUNCTION("""COMPUTED_VALUE"""),45611.0)</f>
        <v>45611</v>
      </c>
      <c r="I320" s="18">
        <f>IFERROR(__xludf.DUMMYFUNCTION("""COMPUTED_VALUE"""),0.9888888888888889)</f>
        <v>0.9888888889</v>
      </c>
      <c r="J320" s="22">
        <f>IFERROR(__xludf.DUMMYFUNCTION("""COMPUTED_VALUE"""),81.0)</f>
        <v>81</v>
      </c>
      <c r="K320" s="22">
        <f>IFERROR(__xludf.DUMMYFUNCTION("""COMPUTED_VALUE"""),6.0)</f>
        <v>6</v>
      </c>
      <c r="L320" s="26" t="str">
        <f>IFERROR(__xludf.DUMMYFUNCTION("""COMPUTED_VALUE"""),"Action-Adventure")</f>
        <v>Action-Adventure</v>
      </c>
      <c r="M320" s="13" t="b">
        <f>NOT(ISNA(VLOOKUP(A320,PC!A:A,1,FALSE)))</f>
        <v>1</v>
      </c>
      <c r="N320" s="13" t="b">
        <f>NOT(ISNA(VLOOKUP(A320,'Game Pass Premium'!A:A,1,FALSE)))</f>
        <v>1</v>
      </c>
      <c r="O320" s="13" t="b">
        <f>NOT(ISNA(VLOOKUP(A320,'Game Pass Essential'!A:A,1,FALSE)))</f>
        <v>0</v>
      </c>
    </row>
    <row r="321">
      <c r="A321" s="12" t="str">
        <f>IFERROR(__xludf.DUMMYFUNCTION("""COMPUTED_VALUE"""),"Moonsweeper")</f>
        <v>Moonsweeper</v>
      </c>
      <c r="B321" s="13" t="str">
        <f>IFERROR(__xludf.DUMMYFUNCTION("""COMPUTED_VALUE"""),"Xbox / PC")</f>
        <v>Xbox / PC</v>
      </c>
      <c r="C321" s="14" t="str">
        <f>IFERROR(__xludf.DUMMYFUNCTION("""COMPUTED_VALUE"""),"Yes")</f>
        <v>Yes</v>
      </c>
      <c r="D321" s="14" t="str">
        <f>IFERROR(__xludf.DUMMYFUNCTION("""COMPUTED_VALUE"""),"Active")</f>
        <v>Active</v>
      </c>
      <c r="E321" s="15">
        <f>IFERROR(__xludf.DUMMYFUNCTION("""COMPUTED_VALUE"""),45945.0)</f>
        <v>45945</v>
      </c>
      <c r="F321" s="16"/>
      <c r="G321" s="18">
        <f>IFERROR(__xludf.DUMMYFUNCTION("""COMPUTED_VALUE"""),11.7)</f>
        <v>11.7</v>
      </c>
      <c r="H321" s="15">
        <f>IFERROR(__xludf.DUMMYFUNCTION("""COMPUTED_VALUE"""),30529.0)</f>
        <v>30529</v>
      </c>
      <c r="I321" s="18">
        <f>IFERROR(__xludf.DUMMYFUNCTION("""COMPUTED_VALUE"""),42.205555555555556)</f>
        <v>42.20555556</v>
      </c>
      <c r="J321" s="22">
        <f>IFERROR(__xludf.DUMMYFUNCTION("""COMPUTED_VALUE"""),81.0)</f>
        <v>81</v>
      </c>
      <c r="K321" s="22"/>
      <c r="L321" s="26" t="str">
        <f>IFERROR(__xludf.DUMMYFUNCTION("""COMPUTED_VALUE"""),"Action-Adventure")</f>
        <v>Action-Adventure</v>
      </c>
      <c r="M321" s="13" t="b">
        <f>NOT(ISNA(VLOOKUP(A321,PC!A:A,1,FALSE)))</f>
        <v>1</v>
      </c>
      <c r="N321" s="13" t="b">
        <f>NOT(ISNA(VLOOKUP(A321,'Game Pass Premium'!A:A,1,FALSE)))</f>
        <v>1</v>
      </c>
      <c r="O321" s="13" t="b">
        <f>NOT(ISNA(VLOOKUP(A321,'Game Pass Essential'!A:A,1,FALSE)))</f>
        <v>0</v>
      </c>
    </row>
    <row r="322">
      <c r="A322" s="12" t="str">
        <f>IFERROR(__xludf.DUMMYFUNCTION("""COMPUTED_VALUE"""),"Trackmania Turbo")</f>
        <v>Trackmania Turbo</v>
      </c>
      <c r="B322" s="13" t="str">
        <f>IFERROR(__xludf.DUMMYFUNCTION("""COMPUTED_VALUE"""),"Xbox / PC")</f>
        <v>Xbox / PC</v>
      </c>
      <c r="C322" s="14" t="str">
        <f>IFERROR(__xludf.DUMMYFUNCTION("""COMPUTED_VALUE"""),"Yes")</f>
        <v>Yes</v>
      </c>
      <c r="D322" s="14" t="str">
        <f>IFERROR(__xludf.DUMMYFUNCTION("""COMPUTED_VALUE"""),"Active")</f>
        <v>Active</v>
      </c>
      <c r="E322" s="15">
        <f>IFERROR(__xludf.DUMMYFUNCTION("""COMPUTED_VALUE"""),45931.0)</f>
        <v>45931</v>
      </c>
      <c r="F322" s="16"/>
      <c r="G322" s="18">
        <f>IFERROR(__xludf.DUMMYFUNCTION("""COMPUTED_VALUE"""),12.166666666666666)</f>
        <v>12.16666667</v>
      </c>
      <c r="H322" s="15">
        <f>IFERROR(__xludf.DUMMYFUNCTION("""COMPUTED_VALUE"""),42451.0)</f>
        <v>42451</v>
      </c>
      <c r="I322" s="18">
        <f>IFERROR(__xludf.DUMMYFUNCTION("""COMPUTED_VALUE"""),9.525)</f>
        <v>9.525</v>
      </c>
      <c r="J322" s="22">
        <f>IFERROR(__xludf.DUMMYFUNCTION("""COMPUTED_VALUE"""),81.0)</f>
        <v>81</v>
      </c>
      <c r="K322" s="22">
        <f>IFERROR(__xludf.DUMMYFUNCTION("""COMPUTED_VALUE"""),13.0)</f>
        <v>13</v>
      </c>
      <c r="L322" s="26" t="str">
        <f>IFERROR(__xludf.DUMMYFUNCTION("""COMPUTED_VALUE"""),"Racing")</f>
        <v>Racing</v>
      </c>
      <c r="M322" s="13" t="b">
        <f>NOT(ISNA(VLOOKUP(A322,PC!A:A,1,FALSE)))</f>
        <v>1</v>
      </c>
      <c r="N322" s="13" t="b">
        <f>NOT(ISNA(VLOOKUP(A322,'Game Pass Premium'!A:A,1,FALSE)))</f>
        <v>0</v>
      </c>
      <c r="O322" s="13" t="b">
        <f>NOT(ISNA(VLOOKUP(A322,'Game Pass Essential'!A:A,1,FALSE)))</f>
        <v>0</v>
      </c>
    </row>
    <row r="323">
      <c r="A323" s="12" t="str">
        <f>IFERROR(__xludf.DUMMYFUNCTION("""COMPUTED_VALUE"""),"Uno")</f>
        <v>Uno</v>
      </c>
      <c r="B323" s="13" t="str">
        <f>IFERROR(__xludf.DUMMYFUNCTION("""COMPUTED_VALUE"""),"Xbox / PC")</f>
        <v>Xbox / PC</v>
      </c>
      <c r="C323" s="14" t="str">
        <f>IFERROR(__xludf.DUMMYFUNCTION("""COMPUTED_VALUE"""),"Yes")</f>
        <v>Yes</v>
      </c>
      <c r="D323" s="14" t="str">
        <f>IFERROR(__xludf.DUMMYFUNCTION("""COMPUTED_VALUE"""),"Active")</f>
        <v>Active</v>
      </c>
      <c r="E323" s="15">
        <f>IFERROR(__xludf.DUMMYFUNCTION("""COMPUTED_VALUE"""),45931.0)</f>
        <v>45931</v>
      </c>
      <c r="F323" s="16"/>
      <c r="G323" s="18">
        <f>IFERROR(__xludf.DUMMYFUNCTION("""COMPUTED_VALUE"""),12.166666666666666)</f>
        <v>12.16666667</v>
      </c>
      <c r="H323" s="15">
        <f>IFERROR(__xludf.DUMMYFUNCTION("""COMPUTED_VALUE"""),38846.0)</f>
        <v>38846</v>
      </c>
      <c r="I323" s="18">
        <f>IFERROR(__xludf.DUMMYFUNCTION("""COMPUTED_VALUE"""),19.394444444444446)</f>
        <v>19.39444444</v>
      </c>
      <c r="J323" s="22">
        <f>IFERROR(__xludf.DUMMYFUNCTION("""COMPUTED_VALUE"""),81.0)</f>
        <v>81</v>
      </c>
      <c r="K323" s="22">
        <f>IFERROR(__xludf.DUMMYFUNCTION("""COMPUTED_VALUE"""),3.0)</f>
        <v>3</v>
      </c>
      <c r="L323" s="26" t="str">
        <f>IFERROR(__xludf.DUMMYFUNCTION("""COMPUTED_VALUE"""),"Board")</f>
        <v>Board</v>
      </c>
      <c r="M323" s="13" t="b">
        <f>NOT(ISNA(VLOOKUP(A323,PC!A:A,1,FALSE)))</f>
        <v>1</v>
      </c>
      <c r="N323" s="13" t="b">
        <f>NOT(ISNA(VLOOKUP(A323,'Game Pass Premium'!A:A,1,FALSE)))</f>
        <v>0</v>
      </c>
      <c r="O323" s="13" t="b">
        <f>NOT(ISNA(VLOOKUP(A323,'Game Pass Essential'!A:A,1,FALSE)))</f>
        <v>0</v>
      </c>
    </row>
    <row r="324">
      <c r="A324" s="12" t="str">
        <f>IFERROR(__xludf.DUMMYFUNCTION("""COMPUTED_VALUE"""),"The Rogue Prince of Persia")</f>
        <v>The Rogue Prince of Persia</v>
      </c>
      <c r="B324" s="13" t="str">
        <f>IFERROR(__xludf.DUMMYFUNCTION("""COMPUTED_VALUE"""),"Xbox / PC")</f>
        <v>Xbox / PC</v>
      </c>
      <c r="C324" s="14" t="str">
        <f>IFERROR(__xludf.DUMMYFUNCTION("""COMPUTED_VALUE"""),"Yes")</f>
        <v>Yes</v>
      </c>
      <c r="D324" s="14" t="str">
        <f>IFERROR(__xludf.DUMMYFUNCTION("""COMPUTED_VALUE"""),"Active")</f>
        <v>Active</v>
      </c>
      <c r="E324" s="15">
        <f>IFERROR(__xludf.DUMMYFUNCTION("""COMPUTED_VALUE"""),45889.0)</f>
        <v>45889</v>
      </c>
      <c r="F324" s="16"/>
      <c r="G324" s="18">
        <f>IFERROR(__xludf.DUMMYFUNCTION("""COMPUTED_VALUE"""),13.533333333333333)</f>
        <v>13.53333333</v>
      </c>
      <c r="H324" s="15">
        <f>IFERROR(__xludf.DUMMYFUNCTION("""COMPUTED_VALUE"""),45889.0)</f>
        <v>45889</v>
      </c>
      <c r="I324" s="18">
        <f>IFERROR(__xludf.DUMMYFUNCTION("""COMPUTED_VALUE"""),0.0)</f>
        <v>0</v>
      </c>
      <c r="J324" s="22">
        <f>IFERROR(__xludf.DUMMYFUNCTION("""COMPUTED_VALUE"""),81.0)</f>
        <v>81</v>
      </c>
      <c r="K324" s="22">
        <f>IFERROR(__xludf.DUMMYFUNCTION("""COMPUTED_VALUE"""),8.0)</f>
        <v>8</v>
      </c>
      <c r="L324" s="26" t="str">
        <f>IFERROR(__xludf.DUMMYFUNCTION("""COMPUTED_VALUE"""),"Platformer")</f>
        <v>Platformer</v>
      </c>
      <c r="M324" s="13" t="b">
        <f>NOT(ISNA(VLOOKUP(A324,PC!A:A,1,FALSE)))</f>
        <v>1</v>
      </c>
      <c r="N324" s="13" t="b">
        <f>NOT(ISNA(VLOOKUP(A324,'Game Pass Premium'!A:A,1,FALSE)))</f>
        <v>0</v>
      </c>
      <c r="O324" s="13" t="b">
        <f>NOT(ISNA(VLOOKUP(A324,'Game Pass Essential'!A:A,1,FALSE)))</f>
        <v>0</v>
      </c>
    </row>
    <row r="325">
      <c r="A325" s="12" t="str">
        <f>IFERROR(__xludf.DUMMYFUNCTION("""COMPUTED_VALUE"""),"Anno 1800")</f>
        <v>Anno 1800</v>
      </c>
      <c r="B325" s="13" t="str">
        <f>IFERROR(__xludf.DUMMYFUNCTION("""COMPUTED_VALUE"""),"Xbox / PC")</f>
        <v>Xbox / PC</v>
      </c>
      <c r="C325" s="14" t="str">
        <f>IFERROR(__xludf.DUMMYFUNCTION("""COMPUTED_VALUE"""),"Yes")</f>
        <v>Yes</v>
      </c>
      <c r="D325" s="14" t="str">
        <f>IFERROR(__xludf.DUMMYFUNCTION("""COMPUTED_VALUE"""),"Active")</f>
        <v>Active</v>
      </c>
      <c r="E325" s="15">
        <f>IFERROR(__xludf.DUMMYFUNCTION("""COMPUTED_VALUE"""),45778.0)</f>
        <v>45778</v>
      </c>
      <c r="F325" s="16"/>
      <c r="G325" s="18">
        <f>IFERROR(__xludf.DUMMYFUNCTION("""COMPUTED_VALUE"""),17.166666666666668)</f>
        <v>17.16666667</v>
      </c>
      <c r="H325" s="15">
        <f>IFERROR(__xludf.DUMMYFUNCTION("""COMPUTED_VALUE"""),43571.0)</f>
        <v>43571</v>
      </c>
      <c r="I325" s="18">
        <f>IFERROR(__xludf.DUMMYFUNCTION("""COMPUTED_VALUE"""),6.041666666666667)</f>
        <v>6.041666667</v>
      </c>
      <c r="J325" s="22">
        <f>IFERROR(__xludf.DUMMYFUNCTION("""COMPUTED_VALUE"""),81.0)</f>
        <v>81</v>
      </c>
      <c r="K325" s="22">
        <f>IFERROR(__xludf.DUMMYFUNCTION("""COMPUTED_VALUE"""),15.0)</f>
        <v>15</v>
      </c>
      <c r="L325" s="26" t="str">
        <f>IFERROR(__xludf.DUMMYFUNCTION("""COMPUTED_VALUE"""),"Management")</f>
        <v>Management</v>
      </c>
      <c r="M325" s="13" t="b">
        <f>NOT(ISNA(VLOOKUP(A325,PC!A:A,1,FALSE)))</f>
        <v>1</v>
      </c>
      <c r="N325" s="13" t="b">
        <f>NOT(ISNA(VLOOKUP(A325,'Game Pass Premium'!A:A,1,FALSE)))</f>
        <v>1</v>
      </c>
      <c r="O325" s="13" t="b">
        <f>NOT(ISNA(VLOOKUP(A325,'Game Pass Essential'!A:A,1,FALSE)))</f>
        <v>0</v>
      </c>
    </row>
    <row r="326">
      <c r="A326" s="12" t="str">
        <f>IFERROR(__xludf.DUMMYFUNCTION("""COMPUTED_VALUE"""),"Avowed")</f>
        <v>Avowed</v>
      </c>
      <c r="B326" s="13" t="str">
        <f>IFERROR(__xludf.DUMMYFUNCTION("""COMPUTED_VALUE"""),"Xbox / PC")</f>
        <v>Xbox / PC</v>
      </c>
      <c r="C326" s="14" t="str">
        <f>IFERROR(__xludf.DUMMYFUNCTION("""COMPUTED_VALUE"""),"Yes")</f>
        <v>Yes</v>
      </c>
      <c r="D326" s="14" t="str">
        <f>IFERROR(__xludf.DUMMYFUNCTION("""COMPUTED_VALUE"""),"Active")</f>
        <v>Active</v>
      </c>
      <c r="E326" s="15">
        <f>IFERROR(__xludf.DUMMYFUNCTION("""COMPUTED_VALUE"""),45706.0)</f>
        <v>45706</v>
      </c>
      <c r="F326" s="16"/>
      <c r="G326" s="18">
        <f>IFERROR(__xludf.DUMMYFUNCTION("""COMPUTED_VALUE"""),19.6)</f>
        <v>19.6</v>
      </c>
      <c r="H326" s="15">
        <f>IFERROR(__xludf.DUMMYFUNCTION("""COMPUTED_VALUE"""),45706.0)</f>
        <v>45706</v>
      </c>
      <c r="I326" s="18">
        <f>IFERROR(__xludf.DUMMYFUNCTION("""COMPUTED_VALUE"""),0.0)</f>
        <v>0</v>
      </c>
      <c r="J326" s="22">
        <f>IFERROR(__xludf.DUMMYFUNCTION("""COMPUTED_VALUE"""),81.0)</f>
        <v>81</v>
      </c>
      <c r="K326" s="22">
        <f>IFERROR(__xludf.DUMMYFUNCTION("""COMPUTED_VALUE"""),17.0)</f>
        <v>17</v>
      </c>
      <c r="L326" s="26" t="str">
        <f>IFERROR(__xludf.DUMMYFUNCTION("""COMPUTED_VALUE"""),"RPG")</f>
        <v>RPG</v>
      </c>
      <c r="M326" s="13" t="b">
        <f>NOT(ISNA(VLOOKUP(A326,PC!A:A,1,FALSE)))</f>
        <v>1</v>
      </c>
      <c r="N326" s="13" t="b">
        <f>NOT(ISNA(VLOOKUP(A326,'Game Pass Premium'!A:A,1,FALSE)))</f>
        <v>1</v>
      </c>
      <c r="O326" s="13" t="b">
        <f>NOT(ISNA(VLOOKUP(A326,'Game Pass Essential'!A:A,1,FALSE)))</f>
        <v>0</v>
      </c>
    </row>
    <row r="327">
      <c r="A327" s="12" t="str">
        <f>IFERROR(__xludf.DUMMYFUNCTION("""COMPUTED_VALUE"""),"Ni no Kuni II: Revenant Kingdom - The Prince's Edition")</f>
        <v>Ni no Kuni II: Revenant Kingdom - The Prince's Edition</v>
      </c>
      <c r="B327" s="13" t="str">
        <f>IFERROR(__xludf.DUMMYFUNCTION("""COMPUTED_VALUE"""),"Xbox / PC")</f>
        <v>Xbox / PC</v>
      </c>
      <c r="C327" s="14"/>
      <c r="D327" s="14" t="str">
        <f>IFERROR(__xludf.DUMMYFUNCTION("""COMPUTED_VALUE"""),"Active")</f>
        <v>Active</v>
      </c>
      <c r="E327" s="15">
        <f>IFERROR(__xludf.DUMMYFUNCTION("""COMPUTED_VALUE"""),45006.0)</f>
        <v>45006</v>
      </c>
      <c r="F327" s="16"/>
      <c r="G327" s="18">
        <f>IFERROR(__xludf.DUMMYFUNCTION("""COMPUTED_VALUE"""),42.5)</f>
        <v>42.5</v>
      </c>
      <c r="H327" s="15">
        <f>IFERROR(__xludf.DUMMYFUNCTION("""COMPUTED_VALUE"""),43182.0)</f>
        <v>43182</v>
      </c>
      <c r="I327" s="18">
        <f>IFERROR(__xludf.DUMMYFUNCTION("""COMPUTED_VALUE"""),4.9944444444444445)</f>
        <v>4.994444444</v>
      </c>
      <c r="J327" s="22">
        <f>IFERROR(__xludf.DUMMYFUNCTION("""COMPUTED_VALUE"""),81.0)</f>
        <v>81</v>
      </c>
      <c r="K327" s="22">
        <f>IFERROR(__xludf.DUMMYFUNCTION("""COMPUTED_VALUE"""),39.0)</f>
        <v>39</v>
      </c>
      <c r="L327" s="26" t="str">
        <f>IFERROR(__xludf.DUMMYFUNCTION("""COMPUTED_VALUE"""),"RPG")</f>
        <v>RPG</v>
      </c>
      <c r="M327" s="13" t="b">
        <f>NOT(ISNA(VLOOKUP(A327,PC!A:A,1,FALSE)))</f>
        <v>1</v>
      </c>
      <c r="N327" s="13" t="b">
        <f>NOT(ISNA(VLOOKUP(A327,'Game Pass Premium'!A:A,1,FALSE)))</f>
        <v>1</v>
      </c>
      <c r="O327" s="13" t="b">
        <f>NOT(ISNA(VLOOKUP(A327,'Game Pass Essential'!A:A,1,FALSE)))</f>
        <v>0</v>
      </c>
    </row>
    <row r="328">
      <c r="A328" s="12" t="str">
        <f>IFERROR(__xludf.DUMMYFUNCTION("""COMPUTED_VALUE"""),"Immortals Fenyx Rising")</f>
        <v>Immortals Fenyx Rising</v>
      </c>
      <c r="B328" s="13" t="str">
        <f>IFERROR(__xludf.DUMMYFUNCTION("""COMPUTED_VALUE"""),"Xbox / PC")</f>
        <v>Xbox / PC</v>
      </c>
      <c r="C328" s="14" t="str">
        <f>IFERROR(__xludf.DUMMYFUNCTION("""COMPUTED_VALUE"""),"Touch Controls")</f>
        <v>Touch Controls</v>
      </c>
      <c r="D328" s="14" t="str">
        <f>IFERROR(__xludf.DUMMYFUNCTION("""COMPUTED_VALUE"""),"Active")</f>
        <v>Active</v>
      </c>
      <c r="E328" s="15">
        <f>IFERROR(__xludf.DUMMYFUNCTION("""COMPUTED_VALUE"""),44803.0)</f>
        <v>44803</v>
      </c>
      <c r="F328" s="16"/>
      <c r="G328" s="18">
        <f>IFERROR(__xludf.DUMMYFUNCTION("""COMPUTED_VALUE"""),49.199999999999996)</f>
        <v>49.2</v>
      </c>
      <c r="H328" s="15">
        <f>IFERROR(__xludf.DUMMYFUNCTION("""COMPUTED_VALUE"""),44168.0)</f>
        <v>44168</v>
      </c>
      <c r="I328" s="18">
        <f>IFERROR(__xludf.DUMMYFUNCTION("""COMPUTED_VALUE"""),1.7416666666666667)</f>
        <v>1.741666667</v>
      </c>
      <c r="J328" s="22">
        <f>IFERROR(__xludf.DUMMYFUNCTION("""COMPUTED_VALUE"""),81.0)</f>
        <v>81</v>
      </c>
      <c r="K328" s="22">
        <f>IFERROR(__xludf.DUMMYFUNCTION("""COMPUTED_VALUE"""),25.5)</f>
        <v>25.5</v>
      </c>
      <c r="L328" s="26" t="str">
        <f>IFERROR(__xludf.DUMMYFUNCTION("""COMPUTED_VALUE"""),"RPG")</f>
        <v>RPG</v>
      </c>
      <c r="M328" s="13" t="b">
        <f>NOT(ISNA(VLOOKUP(A328,PC!A:A,1,FALSE)))</f>
        <v>1</v>
      </c>
      <c r="N328" s="13" t="b">
        <f>NOT(ISNA(VLOOKUP(A328,'Game Pass Premium'!A:A,1,FALSE)))</f>
        <v>1</v>
      </c>
      <c r="O328" s="13" t="b">
        <f>NOT(ISNA(VLOOKUP(A328,'Game Pass Essential'!A:A,1,FALSE)))</f>
        <v>0</v>
      </c>
    </row>
    <row r="329">
      <c r="A329" s="12" t="str">
        <f>IFERROR(__xludf.DUMMYFUNCTION("""COMPUTED_VALUE"""),"Age of Empires IV: Anniversary Edition")</f>
        <v>Age of Empires IV: Anniversary Edition</v>
      </c>
      <c r="B329" s="13" t="str">
        <f>IFERROR(__xludf.DUMMYFUNCTION("""COMPUTED_VALUE"""),"Xbox / PC")</f>
        <v>Xbox / PC</v>
      </c>
      <c r="C329" s="14" t="str">
        <f>IFERROR(__xludf.DUMMYFUNCTION("""COMPUTED_VALUE"""),"Yes")</f>
        <v>Yes</v>
      </c>
      <c r="D329" s="14" t="str">
        <f>IFERROR(__xludf.DUMMYFUNCTION("""COMPUTED_VALUE"""),"Active")</f>
        <v>Active</v>
      </c>
      <c r="E329" s="15">
        <f>IFERROR(__xludf.DUMMYFUNCTION("""COMPUTED_VALUE"""),44497.0)</f>
        <v>44497</v>
      </c>
      <c r="F329" s="16"/>
      <c r="G329" s="18">
        <f>IFERROR(__xludf.DUMMYFUNCTION("""COMPUTED_VALUE"""),59.266666666666666)</f>
        <v>59.26666667</v>
      </c>
      <c r="H329" s="15">
        <f>IFERROR(__xludf.DUMMYFUNCTION("""COMPUTED_VALUE"""),44497.0)</f>
        <v>44497</v>
      </c>
      <c r="I329" s="18">
        <f>IFERROR(__xludf.DUMMYFUNCTION("""COMPUTED_VALUE"""),0.0)</f>
        <v>0</v>
      </c>
      <c r="J329" s="22">
        <f>IFERROR(__xludf.DUMMYFUNCTION("""COMPUTED_VALUE"""),81.0)</f>
        <v>81</v>
      </c>
      <c r="K329" s="22">
        <f>IFERROR(__xludf.DUMMYFUNCTION("""COMPUTED_VALUE"""),24.5)</f>
        <v>24.5</v>
      </c>
      <c r="L329" s="26" t="str">
        <f>IFERROR(__xludf.DUMMYFUNCTION("""COMPUTED_VALUE"""),"Real-Time Strategy")</f>
        <v>Real-Time Strategy</v>
      </c>
      <c r="M329" s="13" t="b">
        <f>NOT(ISNA(VLOOKUP(A329,PC!A:A,1,FALSE)))</f>
        <v>1</v>
      </c>
      <c r="N329" s="13" t="b">
        <f>NOT(ISNA(VLOOKUP(A329,'Game Pass Premium'!A:A,1,FALSE)))</f>
        <v>1</v>
      </c>
      <c r="O329" s="13" t="b">
        <f>NOT(ISNA(VLOOKUP(A329,'Game Pass Essential'!A:A,1,FALSE)))</f>
        <v>0</v>
      </c>
    </row>
    <row r="330">
      <c r="A330" s="12" t="str">
        <f>IFERROR(__xludf.DUMMYFUNCTION("""COMPUTED_VALUE"""),"The Evil Within 2")</f>
        <v>The Evil Within 2</v>
      </c>
      <c r="B330" s="13" t="str">
        <f>IFERROR(__xludf.DUMMYFUNCTION("""COMPUTED_VALUE"""),"Xbox / PC")</f>
        <v>Xbox / PC</v>
      </c>
      <c r="C330" s="14" t="str">
        <f>IFERROR(__xludf.DUMMYFUNCTION("""COMPUTED_VALUE"""),"Yes")</f>
        <v>Yes</v>
      </c>
      <c r="D330" s="14" t="str">
        <f>IFERROR(__xludf.DUMMYFUNCTION("""COMPUTED_VALUE"""),"Active")</f>
        <v>Active</v>
      </c>
      <c r="E330" s="15">
        <f>IFERROR(__xludf.DUMMYFUNCTION("""COMPUTED_VALUE"""),44360.0)</f>
        <v>44360</v>
      </c>
      <c r="F330" s="16"/>
      <c r="G330" s="18">
        <f>IFERROR(__xludf.DUMMYFUNCTION("""COMPUTED_VALUE"""),63.766666666666666)</f>
        <v>63.76666667</v>
      </c>
      <c r="H330" s="15">
        <f>IFERROR(__xludf.DUMMYFUNCTION("""COMPUTED_VALUE"""),43021.0)</f>
        <v>43021</v>
      </c>
      <c r="I330" s="18">
        <f>IFERROR(__xludf.DUMMYFUNCTION("""COMPUTED_VALUE"""),3.6666666666666665)</f>
        <v>3.666666667</v>
      </c>
      <c r="J330" s="22">
        <f>IFERROR(__xludf.DUMMYFUNCTION("""COMPUTED_VALUE"""),81.0)</f>
        <v>81</v>
      </c>
      <c r="K330" s="22">
        <f>IFERROR(__xludf.DUMMYFUNCTION("""COMPUTED_VALUE"""),13.5)</f>
        <v>13.5</v>
      </c>
      <c r="L330" s="26" t="str">
        <f>IFERROR(__xludf.DUMMYFUNCTION("""COMPUTED_VALUE"""),"Shooter")</f>
        <v>Shooter</v>
      </c>
      <c r="M330" s="13" t="b">
        <f>NOT(ISNA(VLOOKUP(A330,PC!A:A,1,FALSE)))</f>
        <v>1</v>
      </c>
      <c r="N330" s="13" t="b">
        <f>NOT(ISNA(VLOOKUP(A330,'Game Pass Premium'!A:A,1,FALSE)))</f>
        <v>1</v>
      </c>
      <c r="O330" s="13" t="b">
        <f>NOT(ISNA(VLOOKUP(A330,'Game Pass Essential'!A:A,1,FALSE)))</f>
        <v>0</v>
      </c>
    </row>
    <row r="331">
      <c r="A331" s="12" t="str">
        <f>IFERROR(__xludf.DUMMYFUNCTION("""COMPUTED_VALUE"""),"SnowRunner")</f>
        <v>SnowRunner</v>
      </c>
      <c r="B331" s="13" t="str">
        <f>IFERROR(__xludf.DUMMYFUNCTION("""COMPUTED_VALUE"""),"Xbox / PC")</f>
        <v>Xbox / PC</v>
      </c>
      <c r="C331" s="14" t="str">
        <f>IFERROR(__xludf.DUMMYFUNCTION("""COMPUTED_VALUE"""),"Yes")</f>
        <v>Yes</v>
      </c>
      <c r="D331" s="14" t="str">
        <f>IFERROR(__xludf.DUMMYFUNCTION("""COMPUTED_VALUE"""),"Active")</f>
        <v>Active</v>
      </c>
      <c r="E331" s="15">
        <f>IFERROR(__xludf.DUMMYFUNCTION("""COMPUTED_VALUE"""),44334.0)</f>
        <v>44334</v>
      </c>
      <c r="F331" s="16"/>
      <c r="G331" s="18">
        <f>IFERROR(__xludf.DUMMYFUNCTION("""COMPUTED_VALUE"""),64.60000000000001)</f>
        <v>64.6</v>
      </c>
      <c r="H331" s="15">
        <f>IFERROR(__xludf.DUMMYFUNCTION("""COMPUTED_VALUE"""),43949.0)</f>
        <v>43949</v>
      </c>
      <c r="I331" s="18">
        <f>IFERROR(__xludf.DUMMYFUNCTION("""COMPUTED_VALUE"""),1.0555555555555556)</f>
        <v>1.055555556</v>
      </c>
      <c r="J331" s="22">
        <f>IFERROR(__xludf.DUMMYFUNCTION("""COMPUTED_VALUE"""),81.0)</f>
        <v>81</v>
      </c>
      <c r="K331" s="22">
        <f>IFERROR(__xludf.DUMMYFUNCTION("""COMPUTED_VALUE"""),90.0)</f>
        <v>90</v>
      </c>
      <c r="L331" s="26" t="str">
        <f>IFERROR(__xludf.DUMMYFUNCTION("""COMPUTED_VALUE"""),"Racing")</f>
        <v>Racing</v>
      </c>
      <c r="M331" s="13" t="b">
        <f>NOT(ISNA(VLOOKUP(A331,PC!A:A,1,FALSE)))</f>
        <v>1</v>
      </c>
      <c r="N331" s="13" t="b">
        <f>NOT(ISNA(VLOOKUP(A331,'Game Pass Premium'!A:A,1,FALSE)))</f>
        <v>1</v>
      </c>
      <c r="O331" s="13" t="b">
        <f>NOT(ISNA(VLOOKUP(A331,'Game Pass Essential'!A:A,1,FALSE)))</f>
        <v>0</v>
      </c>
    </row>
    <row r="332">
      <c r="A332" s="12" t="str">
        <f>IFERROR(__xludf.DUMMYFUNCTION("""COMPUTED_VALUE"""),"Battlefield 4: Premium Edition")</f>
        <v>Battlefield 4: Premium Edition</v>
      </c>
      <c r="B332" s="13" t="str">
        <f>IFERROR(__xludf.DUMMYFUNCTION("""COMPUTED_VALUE"""),"Xbox / PC")</f>
        <v>Xbox / PC</v>
      </c>
      <c r="C332" s="14" t="str">
        <f>IFERROR(__xludf.DUMMYFUNCTION("""COMPUTED_VALUE"""),"Yes")</f>
        <v>Yes</v>
      </c>
      <c r="D332" s="14" t="str">
        <f>IFERROR(__xludf.DUMMYFUNCTION("""COMPUTED_VALUE"""),"Active")</f>
        <v>Active</v>
      </c>
      <c r="E332" s="15">
        <f>IFERROR(__xludf.DUMMYFUNCTION("""COMPUTED_VALUE"""),44145.0)</f>
        <v>44145</v>
      </c>
      <c r="F332" s="16"/>
      <c r="G332" s="18">
        <f>IFERROR(__xludf.DUMMYFUNCTION("""COMPUTED_VALUE"""),70.86666666666667)</f>
        <v>70.86666667</v>
      </c>
      <c r="H332" s="15">
        <f>IFERROR(__xludf.DUMMYFUNCTION("""COMPUTED_VALUE"""),41576.0)</f>
        <v>41576</v>
      </c>
      <c r="I332" s="18">
        <f>IFERROR(__xludf.DUMMYFUNCTION("""COMPUTED_VALUE"""),7.030555555555556)</f>
        <v>7.030555556</v>
      </c>
      <c r="J332" s="22">
        <f>IFERROR(__xludf.DUMMYFUNCTION("""COMPUTED_VALUE"""),81.0)</f>
        <v>81</v>
      </c>
      <c r="K332" s="22">
        <f>IFERROR(__xludf.DUMMYFUNCTION("""COMPUTED_VALUE"""),6.0)</f>
        <v>6</v>
      </c>
      <c r="L332" s="26" t="str">
        <f>IFERROR(__xludf.DUMMYFUNCTION("""COMPUTED_VALUE"""),"Shooter")</f>
        <v>Shooter</v>
      </c>
      <c r="M332" s="13" t="b">
        <f>NOT(ISNA(VLOOKUP(A332,PC!A:A,1,FALSE)))</f>
        <v>1</v>
      </c>
      <c r="N332" s="13" t="b">
        <f>NOT(ISNA(VLOOKUP(A332,'Game Pass Premium'!A:A,1,FALSE)))</f>
        <v>1</v>
      </c>
      <c r="O332" s="13" t="b">
        <f>NOT(ISNA(VLOOKUP(A332,'Game Pass Essential'!A:A,1,FALSE)))</f>
        <v>0</v>
      </c>
    </row>
    <row r="333">
      <c r="A333" s="12" t="str">
        <f>IFERROR(__xludf.DUMMYFUNCTION("""COMPUTED_VALUE"""),"Crysis")</f>
        <v>Crysis</v>
      </c>
      <c r="B333" s="13" t="str">
        <f>IFERROR(__xludf.DUMMYFUNCTION("""COMPUTED_VALUE"""),"Xbox / PC")</f>
        <v>Xbox / PC</v>
      </c>
      <c r="C333" s="14"/>
      <c r="D333" s="14" t="str">
        <f>IFERROR(__xludf.DUMMYFUNCTION("""COMPUTED_VALUE"""),"Active")</f>
        <v>Active</v>
      </c>
      <c r="E333" s="15">
        <f>IFERROR(__xludf.DUMMYFUNCTION("""COMPUTED_VALUE"""),44145.0)</f>
        <v>44145</v>
      </c>
      <c r="F333" s="16"/>
      <c r="G333" s="18">
        <f>IFERROR(__xludf.DUMMYFUNCTION("""COMPUTED_VALUE"""),70.86666666666667)</f>
        <v>70.86666667</v>
      </c>
      <c r="H333" s="15">
        <f>IFERROR(__xludf.DUMMYFUNCTION("""COMPUTED_VALUE"""),39399.0)</f>
        <v>39399</v>
      </c>
      <c r="I333" s="18">
        <f>IFERROR(__xludf.DUMMYFUNCTION("""COMPUTED_VALUE"""),12.991666666666667)</f>
        <v>12.99166667</v>
      </c>
      <c r="J333" s="22">
        <f>IFERROR(__xludf.DUMMYFUNCTION("""COMPUTED_VALUE"""),81.0)</f>
        <v>81</v>
      </c>
      <c r="K333" s="22">
        <f>IFERROR(__xludf.DUMMYFUNCTION("""COMPUTED_VALUE"""),10.0)</f>
        <v>10</v>
      </c>
      <c r="L333" s="26" t="str">
        <f>IFERROR(__xludf.DUMMYFUNCTION("""COMPUTED_VALUE"""),"Shooter")</f>
        <v>Shooter</v>
      </c>
      <c r="M333" s="13" t="b">
        <f>NOT(ISNA(VLOOKUP(A333,PC!A:A,1,FALSE)))</f>
        <v>1</v>
      </c>
      <c r="N333" s="13" t="b">
        <f>NOT(ISNA(VLOOKUP(A333,'Game Pass Premium'!A:A,1,FALSE)))</f>
        <v>1</v>
      </c>
      <c r="O333" s="13" t="b">
        <f>NOT(ISNA(VLOOKUP(A333,'Game Pass Essential'!A:A,1,FALSE)))</f>
        <v>0</v>
      </c>
    </row>
    <row r="334">
      <c r="A334" s="12" t="str">
        <f>IFERROR(__xludf.DUMMYFUNCTION("""COMPUTED_VALUE"""),"Star Wars Jedi: Fallen Order")</f>
        <v>Star Wars Jedi: Fallen Order</v>
      </c>
      <c r="B334" s="13" t="str">
        <f>IFERROR(__xludf.DUMMYFUNCTION("""COMPUTED_VALUE"""),"Xbox / PC")</f>
        <v>Xbox / PC</v>
      </c>
      <c r="C334" s="14" t="str">
        <f>IFERROR(__xludf.DUMMYFUNCTION("""COMPUTED_VALUE"""),"Yes")</f>
        <v>Yes</v>
      </c>
      <c r="D334" s="14" t="str">
        <f>IFERROR(__xludf.DUMMYFUNCTION("""COMPUTED_VALUE"""),"Active")</f>
        <v>Active</v>
      </c>
      <c r="E334" s="15">
        <f>IFERROR(__xludf.DUMMYFUNCTION("""COMPUTED_VALUE"""),44145.0)</f>
        <v>44145</v>
      </c>
      <c r="F334" s="16"/>
      <c r="G334" s="18">
        <f>IFERROR(__xludf.DUMMYFUNCTION("""COMPUTED_VALUE"""),70.86666666666667)</f>
        <v>70.86666667</v>
      </c>
      <c r="H334" s="15">
        <f>IFERROR(__xludf.DUMMYFUNCTION("""COMPUTED_VALUE"""),43784.0)</f>
        <v>43784</v>
      </c>
      <c r="I334" s="18">
        <f>IFERROR(__xludf.DUMMYFUNCTION("""COMPUTED_VALUE"""),0.9861111111111112)</f>
        <v>0.9861111111</v>
      </c>
      <c r="J334" s="22">
        <f>IFERROR(__xludf.DUMMYFUNCTION("""COMPUTED_VALUE"""),81.0)</f>
        <v>81</v>
      </c>
      <c r="K334" s="22">
        <f>IFERROR(__xludf.DUMMYFUNCTION("""COMPUTED_VALUE"""),24.0)</f>
        <v>24</v>
      </c>
      <c r="L334" s="26" t="str">
        <f>IFERROR(__xludf.DUMMYFUNCTION("""COMPUTED_VALUE"""),"Action-Adventure")</f>
        <v>Action-Adventure</v>
      </c>
      <c r="M334" s="13" t="b">
        <f>NOT(ISNA(VLOOKUP(A334,PC!A:A,1,FALSE)))</f>
        <v>1</v>
      </c>
      <c r="N334" s="13" t="b">
        <f>NOT(ISNA(VLOOKUP(A334,'Game Pass Premium'!A:A,1,FALSE)))</f>
        <v>1</v>
      </c>
      <c r="O334" s="13" t="b">
        <f>NOT(ISNA(VLOOKUP(A334,'Game Pass Essential'!A:A,1,FALSE)))</f>
        <v>0</v>
      </c>
    </row>
    <row r="335">
      <c r="A335" s="12" t="str">
        <f>IFERROR(__xludf.DUMMYFUNCTION("""COMPUTED_VALUE"""),"Unravel Two")</f>
        <v>Unravel Two</v>
      </c>
      <c r="B335" s="13" t="str">
        <f>IFERROR(__xludf.DUMMYFUNCTION("""COMPUTED_VALUE"""),"Xbox / PC")</f>
        <v>Xbox / PC</v>
      </c>
      <c r="C335" s="14" t="str">
        <f>IFERROR(__xludf.DUMMYFUNCTION("""COMPUTED_VALUE"""),"Yes")</f>
        <v>Yes</v>
      </c>
      <c r="D335" s="14" t="str">
        <f>IFERROR(__xludf.DUMMYFUNCTION("""COMPUTED_VALUE"""),"Active")</f>
        <v>Active</v>
      </c>
      <c r="E335" s="15">
        <f>IFERROR(__xludf.DUMMYFUNCTION("""COMPUTED_VALUE"""),44145.0)</f>
        <v>44145</v>
      </c>
      <c r="F335" s="16"/>
      <c r="G335" s="18">
        <f>IFERROR(__xludf.DUMMYFUNCTION("""COMPUTED_VALUE"""),70.86666666666667)</f>
        <v>70.86666667</v>
      </c>
      <c r="H335" s="15">
        <f>IFERROR(__xludf.DUMMYFUNCTION("""COMPUTED_VALUE"""),43260.0)</f>
        <v>43260</v>
      </c>
      <c r="I335" s="18">
        <f>IFERROR(__xludf.DUMMYFUNCTION("""COMPUTED_VALUE"""),2.4194444444444443)</f>
        <v>2.419444444</v>
      </c>
      <c r="J335" s="22">
        <f>IFERROR(__xludf.DUMMYFUNCTION("""COMPUTED_VALUE"""),81.0)</f>
        <v>81</v>
      </c>
      <c r="K335" s="22">
        <f>IFERROR(__xludf.DUMMYFUNCTION("""COMPUTED_VALUE"""),5.0)</f>
        <v>5</v>
      </c>
      <c r="L335" s="26" t="str">
        <f>IFERROR(__xludf.DUMMYFUNCTION("""COMPUTED_VALUE"""),"Platformer")</f>
        <v>Platformer</v>
      </c>
      <c r="M335" s="13" t="b">
        <f>NOT(ISNA(VLOOKUP(A335,PC!A:A,1,FALSE)))</f>
        <v>1</v>
      </c>
      <c r="N335" s="13" t="b">
        <f>NOT(ISNA(VLOOKUP(A335,'Game Pass Premium'!A:A,1,FALSE)))</f>
        <v>1</v>
      </c>
      <c r="O335" s="13" t="b">
        <f>NOT(ISNA(VLOOKUP(A335,'Game Pass Essential'!A:A,1,FALSE)))</f>
        <v>0</v>
      </c>
    </row>
    <row r="336">
      <c r="A336" s="12" t="str">
        <f>IFERROR(__xludf.DUMMYFUNCTION("""COMPUTED_VALUE"""),"Gears Tactics")</f>
        <v>Gears Tactics</v>
      </c>
      <c r="B336" s="13" t="str">
        <f>IFERROR(__xludf.DUMMYFUNCTION("""COMPUTED_VALUE"""),"Xbox / PC")</f>
        <v>Xbox / PC</v>
      </c>
      <c r="C336" s="14" t="str">
        <f>IFERROR(__xludf.DUMMYFUNCTION("""COMPUTED_VALUE"""),"M+KB")</f>
        <v>M+KB</v>
      </c>
      <c r="D336" s="14" t="str">
        <f>IFERROR(__xludf.DUMMYFUNCTION("""COMPUTED_VALUE"""),"Active")</f>
        <v>Active</v>
      </c>
      <c r="E336" s="15">
        <f>IFERROR(__xludf.DUMMYFUNCTION("""COMPUTED_VALUE"""),43949.0)</f>
        <v>43949</v>
      </c>
      <c r="F336" s="16"/>
      <c r="G336" s="18">
        <f>IFERROR(__xludf.DUMMYFUNCTION("""COMPUTED_VALUE"""),77.26666666666667)</f>
        <v>77.26666667</v>
      </c>
      <c r="H336" s="15">
        <f>IFERROR(__xludf.DUMMYFUNCTION("""COMPUTED_VALUE"""),43949.0)</f>
        <v>43949</v>
      </c>
      <c r="I336" s="18">
        <f>IFERROR(__xludf.DUMMYFUNCTION("""COMPUTED_VALUE"""),0.0)</f>
        <v>0</v>
      </c>
      <c r="J336" s="22">
        <f>IFERROR(__xludf.DUMMYFUNCTION("""COMPUTED_VALUE"""),81.0)</f>
        <v>81</v>
      </c>
      <c r="K336" s="22">
        <f>IFERROR(__xludf.DUMMYFUNCTION("""COMPUTED_VALUE"""),22.5)</f>
        <v>22.5</v>
      </c>
      <c r="L336" s="26" t="str">
        <f>IFERROR(__xludf.DUMMYFUNCTION("""COMPUTED_VALUE"""),"Strategy")</f>
        <v>Strategy</v>
      </c>
      <c r="M336" s="13" t="b">
        <f>NOT(ISNA(VLOOKUP(A336,PC!A:A,1,FALSE)))</f>
        <v>1</v>
      </c>
      <c r="N336" s="13" t="b">
        <f>NOT(ISNA(VLOOKUP(A336,'Game Pass Premium'!A:A,1,FALSE)))</f>
        <v>1</v>
      </c>
      <c r="O336" s="13" t="b">
        <f>NOT(ISNA(VLOOKUP(A336,'Game Pass Essential'!A:A,1,FALSE)))</f>
        <v>0</v>
      </c>
    </row>
    <row r="337">
      <c r="A337" s="12" t="str">
        <f>IFERROR(__xludf.DUMMYFUNCTION("""COMPUTED_VALUE"""),"Torment: Tides of Numenera")</f>
        <v>Torment: Tides of Numenera</v>
      </c>
      <c r="B337" s="13" t="str">
        <f>IFERROR(__xludf.DUMMYFUNCTION("""COMPUTED_VALUE"""),"Xbox / PC")</f>
        <v>Xbox / PC</v>
      </c>
      <c r="C337" s="14" t="str">
        <f>IFERROR(__xludf.DUMMYFUNCTION("""COMPUTED_VALUE"""),"Touch Controls")</f>
        <v>Touch Controls</v>
      </c>
      <c r="D337" s="14" t="str">
        <f>IFERROR(__xludf.DUMMYFUNCTION("""COMPUTED_VALUE"""),"Active")</f>
        <v>Active</v>
      </c>
      <c r="E337" s="15">
        <f>IFERROR(__xludf.DUMMYFUNCTION("""COMPUTED_VALUE"""),43643.0)</f>
        <v>43643</v>
      </c>
      <c r="F337" s="16"/>
      <c r="G337" s="18">
        <f>IFERROR(__xludf.DUMMYFUNCTION("""COMPUTED_VALUE"""),87.30000000000001)</f>
        <v>87.3</v>
      </c>
      <c r="H337" s="15">
        <f>IFERROR(__xludf.DUMMYFUNCTION("""COMPUTED_VALUE"""),42794.0)</f>
        <v>42794</v>
      </c>
      <c r="I337" s="18">
        <f>IFERROR(__xludf.DUMMYFUNCTION("""COMPUTED_VALUE"""),2.3305555555555557)</f>
        <v>2.330555556</v>
      </c>
      <c r="J337" s="22">
        <f>IFERROR(__xludf.DUMMYFUNCTION("""COMPUTED_VALUE"""),81.0)</f>
        <v>81</v>
      </c>
      <c r="K337" s="22">
        <f>IFERROR(__xludf.DUMMYFUNCTION("""COMPUTED_VALUE"""),26.0)</f>
        <v>26</v>
      </c>
      <c r="L337" s="26" t="str">
        <f>IFERROR(__xludf.DUMMYFUNCTION("""COMPUTED_VALUE"""),"RPG")</f>
        <v>RPG</v>
      </c>
      <c r="M337" s="13" t="b">
        <f>NOT(ISNA(VLOOKUP(A337,PC!A:A,1,FALSE)))</f>
        <v>1</v>
      </c>
      <c r="N337" s="13" t="b">
        <f>NOT(ISNA(VLOOKUP(A337,'Game Pass Premium'!A:A,1,FALSE)))</f>
        <v>1</v>
      </c>
      <c r="O337" s="13" t="b">
        <f>NOT(ISNA(VLOOKUP(A337,'Game Pass Essential'!A:A,1,FALSE)))</f>
        <v>0</v>
      </c>
    </row>
    <row r="338">
      <c r="A338" s="12" t="str">
        <f>IFERROR(__xludf.DUMMYFUNCTION("""COMPUTED_VALUE"""),"RAGE")</f>
        <v>RAGE</v>
      </c>
      <c r="B338" s="13" t="str">
        <f>IFERROR(__xludf.DUMMYFUNCTION("""COMPUTED_VALUE"""),"Xbox")</f>
        <v>Xbox</v>
      </c>
      <c r="C338" s="14" t="str">
        <f>IFERROR(__xludf.DUMMYFUNCTION("""COMPUTED_VALUE"""),"Yes")</f>
        <v>Yes</v>
      </c>
      <c r="D338" s="14" t="str">
        <f>IFERROR(__xludf.DUMMYFUNCTION("""COMPUTED_VALUE"""),"Active")</f>
        <v>Active</v>
      </c>
      <c r="E338" s="15">
        <f>IFERROR(__xludf.DUMMYFUNCTION("""COMPUTED_VALUE"""),43313.0)</f>
        <v>43313</v>
      </c>
      <c r="F338" s="16"/>
      <c r="G338" s="18">
        <f>IFERROR(__xludf.DUMMYFUNCTION("""COMPUTED_VALUE"""),98.16666666666666)</f>
        <v>98.16666667</v>
      </c>
      <c r="H338" s="15">
        <f>IFERROR(__xludf.DUMMYFUNCTION("""COMPUTED_VALUE"""),40820.0)</f>
        <v>40820</v>
      </c>
      <c r="I338" s="18">
        <f>IFERROR(__xludf.DUMMYFUNCTION("""COMPUTED_VALUE"""),6.825)</f>
        <v>6.825</v>
      </c>
      <c r="J338" s="22">
        <f>IFERROR(__xludf.DUMMYFUNCTION("""COMPUTED_VALUE"""),81.0)</f>
        <v>81</v>
      </c>
      <c r="K338" s="22">
        <f>IFERROR(__xludf.DUMMYFUNCTION("""COMPUTED_VALUE"""),11.0)</f>
        <v>11</v>
      </c>
      <c r="L338" s="26" t="str">
        <f>IFERROR(__xludf.DUMMYFUNCTION("""COMPUTED_VALUE"""),"Shooter")</f>
        <v>Shooter</v>
      </c>
      <c r="M338" s="13" t="b">
        <f>NOT(ISNA(VLOOKUP(A338,PC!A:A,1,FALSE)))</f>
        <v>0</v>
      </c>
      <c r="N338" s="13" t="b">
        <f>NOT(ISNA(VLOOKUP(A338,'Game Pass Premium'!A:A,1,FALSE)))</f>
        <v>1</v>
      </c>
      <c r="O338" s="13" t="b">
        <f>NOT(ISNA(VLOOKUP(A338,'Game Pass Essential'!A:A,1,FALSE)))</f>
        <v>0</v>
      </c>
    </row>
    <row r="339">
      <c r="A339" s="12" t="str">
        <f>IFERROR(__xludf.DUMMYFUNCTION("""COMPUTED_VALUE"""),"Halo Wars: Definitive Edition")</f>
        <v>Halo Wars: Definitive Edition</v>
      </c>
      <c r="B339" s="13" t="str">
        <f>IFERROR(__xludf.DUMMYFUNCTION("""COMPUTED_VALUE"""),"Xbox / PC")</f>
        <v>Xbox / PC</v>
      </c>
      <c r="C339" s="14" t="str">
        <f>IFERROR(__xludf.DUMMYFUNCTION("""COMPUTED_VALUE"""),"Touch Controls")</f>
        <v>Touch Controls</v>
      </c>
      <c r="D339" s="14" t="str">
        <f>IFERROR(__xludf.DUMMYFUNCTION("""COMPUTED_VALUE"""),"Active")</f>
        <v>Active</v>
      </c>
      <c r="E339" s="15">
        <f>IFERROR(__xludf.DUMMYFUNCTION("""COMPUTED_VALUE"""),43040.0)</f>
        <v>43040</v>
      </c>
      <c r="F339" s="16"/>
      <c r="G339" s="18">
        <f>IFERROR(__xludf.DUMMYFUNCTION("""COMPUTED_VALUE"""),107.16666666666666)</f>
        <v>107.1666667</v>
      </c>
      <c r="H339" s="15">
        <f>IFERROR(__xludf.DUMMYFUNCTION("""COMPUTED_VALUE"""),39870.0)</f>
        <v>39870</v>
      </c>
      <c r="I339" s="18">
        <f>IFERROR(__xludf.DUMMYFUNCTION("""COMPUTED_VALUE"""),8.680555555555555)</f>
        <v>8.680555556</v>
      </c>
      <c r="J339" s="22">
        <f>IFERROR(__xludf.DUMMYFUNCTION("""COMPUTED_VALUE"""),81.0)</f>
        <v>81</v>
      </c>
      <c r="K339" s="22">
        <f>IFERROR(__xludf.DUMMYFUNCTION("""COMPUTED_VALUE"""),9.0)</f>
        <v>9</v>
      </c>
      <c r="L339" s="26" t="str">
        <f>IFERROR(__xludf.DUMMYFUNCTION("""COMPUTED_VALUE"""),"RPG")</f>
        <v>RPG</v>
      </c>
      <c r="M339" s="13" t="b">
        <f>NOT(ISNA(VLOOKUP(A339,PC!A:A,1,FALSE)))</f>
        <v>1</v>
      </c>
      <c r="N339" s="13" t="b">
        <f>NOT(ISNA(VLOOKUP(A339,'Game Pass Premium'!A:A,1,FALSE)))</f>
        <v>1</v>
      </c>
      <c r="O339" s="13" t="b">
        <f>NOT(ISNA(VLOOKUP(A339,'Game Pass Essential'!A:A,1,FALSE)))</f>
        <v>0</v>
      </c>
    </row>
    <row r="340">
      <c r="A340" s="12" t="str">
        <f>IFERROR(__xludf.DUMMYFUNCTION("""COMPUTED_VALUE"""),"Perfect Dark Zero")</f>
        <v>Perfect Dark Zero</v>
      </c>
      <c r="B340" s="13" t="str">
        <f>IFERROR(__xludf.DUMMYFUNCTION("""COMPUTED_VALUE"""),"Xbox")</f>
        <v>Xbox</v>
      </c>
      <c r="C340" s="14" t="str">
        <f>IFERROR(__xludf.DUMMYFUNCTION("""COMPUTED_VALUE"""),"Yes")</f>
        <v>Yes</v>
      </c>
      <c r="D340" s="14" t="str">
        <f>IFERROR(__xludf.DUMMYFUNCTION("""COMPUTED_VALUE"""),"Active")</f>
        <v>Active</v>
      </c>
      <c r="E340" s="15">
        <f>IFERROR(__xludf.DUMMYFUNCTION("""COMPUTED_VALUE"""),42887.0)</f>
        <v>42887</v>
      </c>
      <c r="F340" s="16"/>
      <c r="G340" s="18">
        <f>IFERROR(__xludf.DUMMYFUNCTION("""COMPUTED_VALUE"""),112.16666666666666)</f>
        <v>112.1666667</v>
      </c>
      <c r="H340" s="15">
        <f>IFERROR(__xludf.DUMMYFUNCTION("""COMPUTED_VALUE"""),38875.0)</f>
        <v>38875</v>
      </c>
      <c r="I340" s="18">
        <f>IFERROR(__xludf.DUMMYFUNCTION("""COMPUTED_VALUE"""),10.983333333333333)</f>
        <v>10.98333333</v>
      </c>
      <c r="J340" s="22">
        <f>IFERROR(__xludf.DUMMYFUNCTION("""COMPUTED_VALUE"""),81.0)</f>
        <v>81</v>
      </c>
      <c r="K340" s="22">
        <f>IFERROR(__xludf.DUMMYFUNCTION("""COMPUTED_VALUE"""),8.0)</f>
        <v>8</v>
      </c>
      <c r="L340" s="26" t="str">
        <f>IFERROR(__xludf.DUMMYFUNCTION("""COMPUTED_VALUE"""),"Shooter")</f>
        <v>Shooter</v>
      </c>
      <c r="M340" s="13" t="b">
        <f>NOT(ISNA(VLOOKUP(A340,PC!A:A,1,FALSE)))</f>
        <v>0</v>
      </c>
      <c r="N340" s="13" t="b">
        <f>NOT(ISNA(VLOOKUP(A340,'Game Pass Premium'!A:A,1,FALSE)))</f>
        <v>1</v>
      </c>
      <c r="O340" s="13" t="b">
        <f>NOT(ISNA(VLOOKUP(A340,'Game Pass Essential'!A:A,1,FALSE)))</f>
        <v>0</v>
      </c>
    </row>
    <row r="341">
      <c r="A341" s="12" t="str">
        <f>IFERROR(__xludf.DUMMYFUNCTION("""COMPUTED_VALUE"""),"Sunset Overdrive")</f>
        <v>Sunset Overdrive</v>
      </c>
      <c r="B341" s="13" t="str">
        <f>IFERROR(__xludf.DUMMYFUNCTION("""COMPUTED_VALUE"""),"Xbox / PC")</f>
        <v>Xbox / PC</v>
      </c>
      <c r="C341" s="14"/>
      <c r="D341" s="14" t="str">
        <f>IFERROR(__xludf.DUMMYFUNCTION("""COMPUTED_VALUE"""),"Active")</f>
        <v>Active</v>
      </c>
      <c r="E341" s="15">
        <f>IFERROR(__xludf.DUMMYFUNCTION("""COMPUTED_VALUE"""),42887.0)</f>
        <v>42887</v>
      </c>
      <c r="F341" s="16"/>
      <c r="G341" s="18">
        <f>IFERROR(__xludf.DUMMYFUNCTION("""COMPUTED_VALUE"""),112.16666666666666)</f>
        <v>112.1666667</v>
      </c>
      <c r="H341" s="15">
        <f>IFERROR(__xludf.DUMMYFUNCTION("""COMPUTED_VALUE"""),41940.0)</f>
        <v>41940</v>
      </c>
      <c r="I341" s="18">
        <f>IFERROR(__xludf.DUMMYFUNCTION("""COMPUTED_VALUE"""),2.591666666666667)</f>
        <v>2.591666667</v>
      </c>
      <c r="J341" s="22">
        <f>IFERROR(__xludf.DUMMYFUNCTION("""COMPUTED_VALUE"""),81.0)</f>
        <v>81</v>
      </c>
      <c r="K341" s="22">
        <f>IFERROR(__xludf.DUMMYFUNCTION("""COMPUTED_VALUE"""),10.0)</f>
        <v>10</v>
      </c>
      <c r="L341" s="26" t="str">
        <f>IFERROR(__xludf.DUMMYFUNCTION("""COMPUTED_VALUE"""),"Shooter")</f>
        <v>Shooter</v>
      </c>
      <c r="M341" s="13" t="b">
        <f>NOT(ISNA(VLOOKUP(A341,PC!A:A,1,FALSE)))</f>
        <v>1</v>
      </c>
      <c r="N341" s="13" t="b">
        <f>NOT(ISNA(VLOOKUP(A341,'Game Pass Premium'!A:A,1,FALSE)))</f>
        <v>1</v>
      </c>
      <c r="O341" s="13" t="b">
        <f>NOT(ISNA(VLOOKUP(A341,'Game Pass Essential'!A:A,1,FALSE)))</f>
        <v>0</v>
      </c>
    </row>
    <row r="342">
      <c r="A342" s="12" t="str">
        <f>IFERROR(__xludf.DUMMYFUNCTION("""COMPUTED_VALUE"""),"Assassin's Creed")</f>
        <v>Assassin's Creed</v>
      </c>
      <c r="B342" s="13" t="str">
        <f>IFERROR(__xludf.DUMMYFUNCTION("""COMPUTED_VALUE"""),"XB360/OG Xbox")</f>
        <v>XB360/OG Xbox</v>
      </c>
      <c r="C342" s="14"/>
      <c r="D342" s="14" t="str">
        <f>IFERROR(__xludf.DUMMYFUNCTION("""COMPUTED_VALUE"""),"GwG Permanent")</f>
        <v>GwG Permanent</v>
      </c>
      <c r="E342" s="15">
        <f>IFERROR(__xludf.DUMMYFUNCTION("""COMPUTED_VALUE"""),43405.0)</f>
        <v>43405</v>
      </c>
      <c r="F342" s="16">
        <f>IFERROR(__xludf.DUMMYFUNCTION("""COMPUTED_VALUE"""),43419.0)</f>
        <v>43419</v>
      </c>
      <c r="G342" s="18">
        <f>IFERROR(__xludf.DUMMYFUNCTION("""COMPUTED_VALUE"""),0.4666666666666667)</f>
        <v>0.4666666667</v>
      </c>
      <c r="H342" s="15">
        <f>IFERROR(__xludf.DUMMYFUNCTION("""COMPUTED_VALUE"""),39399.0)</f>
        <v>39399</v>
      </c>
      <c r="I342" s="18">
        <f>IFERROR(__xludf.DUMMYFUNCTION("""COMPUTED_VALUE"""),10.966666666666667)</f>
        <v>10.96666667</v>
      </c>
      <c r="J342" s="22">
        <f>IFERROR(__xludf.DUMMYFUNCTION("""COMPUTED_VALUE"""),81.0)</f>
        <v>81</v>
      </c>
      <c r="K342" s="22">
        <f>IFERROR(__xludf.DUMMYFUNCTION("""COMPUTED_VALUE"""),15.0)</f>
        <v>15</v>
      </c>
      <c r="L342" s="26" t="str">
        <f>IFERROR(__xludf.DUMMYFUNCTION("""COMPUTED_VALUE"""),"Action-Adventure")</f>
        <v>Action-Adventure</v>
      </c>
      <c r="M342" s="13" t="b">
        <f>NOT(ISNA(VLOOKUP(A342,PC!A:A,1,FALSE)))</f>
        <v>0</v>
      </c>
      <c r="N342" s="13" t="b">
        <f>NOT(ISNA(VLOOKUP(A342,'Game Pass Premium'!A:A,1,FALSE)))</f>
        <v>0</v>
      </c>
      <c r="O342" s="13" t="b">
        <f>NOT(ISNA(VLOOKUP(A342,'Game Pass Essential'!A:A,1,FALSE)))</f>
        <v>0</v>
      </c>
    </row>
    <row r="343">
      <c r="A343" s="12" t="str">
        <f>IFERROR(__xludf.DUMMYFUNCTION("""COMPUTED_VALUE"""),"Tom Clancy's Rainbow Six: Vegas 2")</f>
        <v>Tom Clancy's Rainbow Six: Vegas 2</v>
      </c>
      <c r="B343" s="13" t="str">
        <f>IFERROR(__xludf.DUMMYFUNCTION("""COMPUTED_VALUE"""),"XB360/OG Xbox")</f>
        <v>XB360/OG Xbox</v>
      </c>
      <c r="C343" s="14"/>
      <c r="D343" s="14" t="str">
        <f>IFERROR(__xludf.DUMMYFUNCTION("""COMPUTED_VALUE"""),"GwG Permanent")</f>
        <v>GwG Permanent</v>
      </c>
      <c r="E343" s="15">
        <f>IFERROR(__xludf.DUMMYFUNCTION("""COMPUTED_VALUE"""),42552.0)</f>
        <v>42552</v>
      </c>
      <c r="F343" s="16">
        <f>IFERROR(__xludf.DUMMYFUNCTION("""COMPUTED_VALUE"""),42566.0)</f>
        <v>42566</v>
      </c>
      <c r="G343" s="18">
        <f>IFERROR(__xludf.DUMMYFUNCTION("""COMPUTED_VALUE"""),0.4666666666666667)</f>
        <v>0.4666666667</v>
      </c>
      <c r="H343" s="15">
        <f>IFERROR(__xludf.DUMMYFUNCTION("""COMPUTED_VALUE"""),39525.0)</f>
        <v>39525</v>
      </c>
      <c r="I343" s="18">
        <f>IFERROR(__xludf.DUMMYFUNCTION("""COMPUTED_VALUE"""),8.286111111111111)</f>
        <v>8.286111111</v>
      </c>
      <c r="J343" s="22">
        <f>IFERROR(__xludf.DUMMYFUNCTION("""COMPUTED_VALUE"""),81.0)</f>
        <v>81</v>
      </c>
      <c r="K343" s="22">
        <f>IFERROR(__xludf.DUMMYFUNCTION("""COMPUTED_VALUE"""),10.0)</f>
        <v>10</v>
      </c>
      <c r="L343" s="26" t="str">
        <f>IFERROR(__xludf.DUMMYFUNCTION("""COMPUTED_VALUE"""),"Shooter")</f>
        <v>Shooter</v>
      </c>
      <c r="M343" s="13" t="b">
        <f>NOT(ISNA(VLOOKUP(A343,PC!A:A,1,FALSE)))</f>
        <v>0</v>
      </c>
      <c r="N343" s="13" t="b">
        <f>NOT(ISNA(VLOOKUP(A343,'Game Pass Premium'!A:A,1,FALSE)))</f>
        <v>0</v>
      </c>
      <c r="O343" s="13" t="b">
        <f>NOT(ISNA(VLOOKUP(A343,'Game Pass Essential'!A:A,1,FALSE)))</f>
        <v>0</v>
      </c>
    </row>
    <row r="344">
      <c r="A344" s="12" t="str">
        <f>IFERROR(__xludf.DUMMYFUNCTION("""COMPUTED_VALUE"""),"Metro 2033")</f>
        <v>Metro 2033</v>
      </c>
      <c r="B344" s="13" t="str">
        <f>IFERROR(__xludf.DUMMYFUNCTION("""COMPUTED_VALUE"""),"XB360/OG Xbox")</f>
        <v>XB360/OG Xbox</v>
      </c>
      <c r="C344" s="14"/>
      <c r="D344" s="14" t="str">
        <f>IFERROR(__xludf.DUMMYFUNCTION("""COMPUTED_VALUE"""),"GwG Permanent")</f>
        <v>GwG Permanent</v>
      </c>
      <c r="E344" s="15">
        <f>IFERROR(__xludf.DUMMYFUNCTION("""COMPUTED_VALUE"""),42217.0)</f>
        <v>42217</v>
      </c>
      <c r="F344" s="16">
        <f>IFERROR(__xludf.DUMMYFUNCTION("""COMPUTED_VALUE"""),42231.0)</f>
        <v>42231</v>
      </c>
      <c r="G344" s="18">
        <f>IFERROR(__xludf.DUMMYFUNCTION("""COMPUTED_VALUE"""),0.4666666666666667)</f>
        <v>0.4666666667</v>
      </c>
      <c r="H344" s="15">
        <f>IFERROR(__xludf.DUMMYFUNCTION("""COMPUTED_VALUE"""),40253.0)</f>
        <v>40253</v>
      </c>
      <c r="I344" s="18">
        <f>IFERROR(__xludf.DUMMYFUNCTION("""COMPUTED_VALUE"""),5.375)</f>
        <v>5.375</v>
      </c>
      <c r="J344" s="22">
        <f>IFERROR(__xludf.DUMMYFUNCTION("""COMPUTED_VALUE"""),81.0)</f>
        <v>81</v>
      </c>
      <c r="K344" s="22">
        <f>IFERROR(__xludf.DUMMYFUNCTION("""COMPUTED_VALUE"""),10.0)</f>
        <v>10</v>
      </c>
      <c r="L344" s="26" t="str">
        <f>IFERROR(__xludf.DUMMYFUNCTION("""COMPUTED_VALUE"""),"Shooter")</f>
        <v>Shooter</v>
      </c>
      <c r="M344" s="13" t="b">
        <f>NOT(ISNA(VLOOKUP(A344,PC!A:A,1,FALSE)))</f>
        <v>0</v>
      </c>
      <c r="N344" s="13" t="b">
        <f>NOT(ISNA(VLOOKUP(A344,'Game Pass Premium'!A:A,1,FALSE)))</f>
        <v>0</v>
      </c>
      <c r="O344" s="13" t="b">
        <f>NOT(ISNA(VLOOKUP(A344,'Game Pass Essential'!A:A,1,FALSE)))</f>
        <v>0</v>
      </c>
    </row>
    <row r="345">
      <c r="A345" s="12" t="str">
        <f>IFERROR(__xludf.DUMMYFUNCTION("""COMPUTED_VALUE"""),"Gears of War: Judgment")</f>
        <v>Gears of War: Judgment</v>
      </c>
      <c r="B345" s="13" t="str">
        <f>IFERROR(__xludf.DUMMYFUNCTION("""COMPUTED_VALUE"""),"XB360/OG Xbox")</f>
        <v>XB360/OG Xbox</v>
      </c>
      <c r="C345" s="14"/>
      <c r="D345" s="14" t="str">
        <f>IFERROR(__xludf.DUMMYFUNCTION("""COMPUTED_VALUE"""),"GwG Permanent")</f>
        <v>GwG Permanent</v>
      </c>
      <c r="E345" s="15">
        <f>IFERROR(__xludf.DUMMYFUNCTION("""COMPUTED_VALUE"""),42095.0)</f>
        <v>42095</v>
      </c>
      <c r="F345" s="16">
        <f>IFERROR(__xludf.DUMMYFUNCTION("""COMPUTED_VALUE"""),42109.0)</f>
        <v>42109</v>
      </c>
      <c r="G345" s="18">
        <f>IFERROR(__xludf.DUMMYFUNCTION("""COMPUTED_VALUE"""),0.4666666666666667)</f>
        <v>0.4666666667</v>
      </c>
      <c r="H345" s="15">
        <f>IFERROR(__xludf.DUMMYFUNCTION("""COMPUTED_VALUE"""),41352.0)</f>
        <v>41352</v>
      </c>
      <c r="I345" s="18">
        <f>IFERROR(__xludf.DUMMYFUNCTION("""COMPUTED_VALUE"""),2.033333333333333)</f>
        <v>2.033333333</v>
      </c>
      <c r="J345" s="22">
        <f>IFERROR(__xludf.DUMMYFUNCTION("""COMPUTED_VALUE"""),81.0)</f>
        <v>81</v>
      </c>
      <c r="K345" s="22">
        <f>IFERROR(__xludf.DUMMYFUNCTION("""COMPUTED_VALUE"""),8.0)</f>
        <v>8</v>
      </c>
      <c r="L345" s="26" t="str">
        <f>IFERROR(__xludf.DUMMYFUNCTION("""COMPUTED_VALUE"""),"Shooter")</f>
        <v>Shooter</v>
      </c>
      <c r="M345" s="13" t="b">
        <f>NOT(ISNA(VLOOKUP(A345,PC!A:A,1,FALSE)))</f>
        <v>0</v>
      </c>
      <c r="N345" s="13" t="b">
        <f>NOT(ISNA(VLOOKUP(A345,'Game Pass Premium'!A:A,1,FALSE)))</f>
        <v>1</v>
      </c>
      <c r="O345" s="13" t="b">
        <f>NOT(ISNA(VLOOKUP(A345,'Game Pass Essential'!A:A,1,FALSE)))</f>
        <v>0</v>
      </c>
    </row>
    <row r="346">
      <c r="A346" s="12" t="str">
        <f>IFERROR(__xludf.DUMMYFUNCTION("""COMPUTED_VALUE"""),"The Royal Writ")</f>
        <v>The Royal Writ</v>
      </c>
      <c r="B346" s="13" t="str">
        <f>IFERROR(__xludf.DUMMYFUNCTION("""COMPUTED_VALUE"""),"Xbox / PC")</f>
        <v>Xbox / PC</v>
      </c>
      <c r="C346" s="14" t="str">
        <f>IFERROR(__xludf.DUMMYFUNCTION("""COMPUTED_VALUE"""),"Yes")</f>
        <v>Yes</v>
      </c>
      <c r="D346" s="14" t="str">
        <f>IFERROR(__xludf.DUMMYFUNCTION("""COMPUTED_VALUE"""),"Active")</f>
        <v>Active</v>
      </c>
      <c r="E346" s="15">
        <f>IFERROR(__xludf.DUMMYFUNCTION("""COMPUTED_VALUE"""),46275.0)</f>
        <v>46275</v>
      </c>
      <c r="F346" s="16"/>
      <c r="G346" s="18">
        <f>IFERROR(__xludf.DUMMYFUNCTION("""COMPUTED_VALUE"""),0.8666666666666666)</f>
        <v>0.8666666667</v>
      </c>
      <c r="H346" s="15">
        <f>IFERROR(__xludf.DUMMYFUNCTION("""COMPUTED_VALUE"""),45876.0)</f>
        <v>45876</v>
      </c>
      <c r="I346" s="18">
        <f>IFERROR(__xludf.DUMMYFUNCTION("""COMPUTED_VALUE"""),1.0916666666666666)</f>
        <v>1.091666667</v>
      </c>
      <c r="J346" s="22">
        <f>IFERROR(__xludf.DUMMYFUNCTION("""COMPUTED_VALUE"""),80.0)</f>
        <v>80</v>
      </c>
      <c r="K346" s="22">
        <f>IFERROR(__xludf.DUMMYFUNCTION("""COMPUTED_VALUE"""),5.0)</f>
        <v>5</v>
      </c>
      <c r="L346" s="26" t="str">
        <f>IFERROR(__xludf.DUMMYFUNCTION("""COMPUTED_VALUE"""),"Card Battle")</f>
        <v>Card Battle</v>
      </c>
      <c r="M346" s="13" t="b">
        <f>NOT(ISNA(VLOOKUP(A346,PC!A:A,1,FALSE)))</f>
        <v>1</v>
      </c>
      <c r="N346" s="13" t="b">
        <f>NOT(ISNA(VLOOKUP(A346,'Game Pass Premium'!A:A,1,FALSE)))</f>
        <v>0</v>
      </c>
      <c r="O346" s="13" t="b">
        <f>NOT(ISNA(VLOOKUP(A346,'Game Pass Essential'!A:A,1,FALSE)))</f>
        <v>0</v>
      </c>
    </row>
    <row r="347">
      <c r="A347" s="12" t="str">
        <f>IFERROR(__xludf.DUMMYFUNCTION("""COMPUTED_VALUE"""),"Halo: Campaign Evolved")</f>
        <v>Halo: Campaign Evolved</v>
      </c>
      <c r="B347" s="13" t="str">
        <f>IFERROR(__xludf.DUMMYFUNCTION("""COMPUTED_VALUE"""),"Xbox / PC")</f>
        <v>Xbox / PC</v>
      </c>
      <c r="C347" s="14" t="str">
        <f>IFERROR(__xludf.DUMMYFUNCTION("""COMPUTED_VALUE"""),"Yes")</f>
        <v>Yes</v>
      </c>
      <c r="D347" s="14" t="str">
        <f>IFERROR(__xludf.DUMMYFUNCTION("""COMPUTED_VALUE"""),"Active")</f>
        <v>Active</v>
      </c>
      <c r="E347" s="15">
        <f>IFERROR(__xludf.DUMMYFUNCTION("""COMPUTED_VALUE"""),46231.0)</f>
        <v>46231</v>
      </c>
      <c r="F347" s="16"/>
      <c r="G347" s="18">
        <f>IFERROR(__xludf.DUMMYFUNCTION("""COMPUTED_VALUE"""),2.2666666666666666)</f>
        <v>2.266666667</v>
      </c>
      <c r="H347" s="15">
        <f>IFERROR(__xludf.DUMMYFUNCTION("""COMPUTED_VALUE"""),46231.0)</f>
        <v>46231</v>
      </c>
      <c r="I347" s="18">
        <f>IFERROR(__xludf.DUMMYFUNCTION("""COMPUTED_VALUE"""),0.0)</f>
        <v>0</v>
      </c>
      <c r="J347" s="22">
        <f>IFERROR(__xludf.DUMMYFUNCTION("""COMPUTED_VALUE"""),80.0)</f>
        <v>80</v>
      </c>
      <c r="K347" s="22">
        <f>IFERROR(__xludf.DUMMYFUNCTION("""COMPUTED_VALUE"""),9.0)</f>
        <v>9</v>
      </c>
      <c r="L347" s="26" t="str">
        <f>IFERROR(__xludf.DUMMYFUNCTION("""COMPUTED_VALUE"""),"Shooter")</f>
        <v>Shooter</v>
      </c>
      <c r="M347" s="13" t="b">
        <f>NOT(ISNA(VLOOKUP(A347,PC!A:A,1,FALSE)))</f>
        <v>1</v>
      </c>
      <c r="N347" s="13" t="b">
        <f>NOT(ISNA(VLOOKUP(A347,'Game Pass Premium'!A:A,1,FALSE)))</f>
        <v>0</v>
      </c>
      <c r="O347" s="13" t="b">
        <f>NOT(ISNA(VLOOKUP(A347,'Game Pass Essential'!A:A,1,FALSE)))</f>
        <v>0</v>
      </c>
    </row>
    <row r="348">
      <c r="A348" s="12" t="str">
        <f>IFERROR(__xludf.DUMMYFUNCTION("""COMPUTED_VALUE"""),"Shift at Midnight")</f>
        <v>Shift at Midnight</v>
      </c>
      <c r="B348" s="13" t="str">
        <f>IFERROR(__xludf.DUMMYFUNCTION("""COMPUTED_VALUE"""),"Xbox / PC")</f>
        <v>Xbox / PC</v>
      </c>
      <c r="C348" s="14" t="str">
        <f>IFERROR(__xludf.DUMMYFUNCTION("""COMPUTED_VALUE"""),"Yes")</f>
        <v>Yes</v>
      </c>
      <c r="D348" s="14" t="str">
        <f>IFERROR(__xludf.DUMMYFUNCTION("""COMPUTED_VALUE"""),"Active")</f>
        <v>Active</v>
      </c>
      <c r="E348" s="15">
        <f>IFERROR(__xludf.DUMMYFUNCTION("""COMPUTED_VALUE"""),46225.0)</f>
        <v>46225</v>
      </c>
      <c r="F348" s="16"/>
      <c r="G348" s="18">
        <f>IFERROR(__xludf.DUMMYFUNCTION("""COMPUTED_VALUE"""),2.466666666666667)</f>
        <v>2.466666667</v>
      </c>
      <c r="H348" s="15">
        <f>IFERROR(__xludf.DUMMYFUNCTION("""COMPUTED_VALUE"""),46225.0)</f>
        <v>46225</v>
      </c>
      <c r="I348" s="18">
        <f>IFERROR(__xludf.DUMMYFUNCTION("""COMPUTED_VALUE"""),0.0)</f>
        <v>0</v>
      </c>
      <c r="J348" s="22">
        <f>IFERROR(__xludf.DUMMYFUNCTION("""COMPUTED_VALUE"""),80.0)</f>
        <v>80</v>
      </c>
      <c r="K348" s="22">
        <f>IFERROR(__xludf.DUMMYFUNCTION("""COMPUTED_VALUE"""),5.0)</f>
        <v>5</v>
      </c>
      <c r="L348" s="26" t="str">
        <f>IFERROR(__xludf.DUMMYFUNCTION("""COMPUTED_VALUE"""),"Horror")</f>
        <v>Horror</v>
      </c>
      <c r="M348" s="13" t="b">
        <f>NOT(ISNA(VLOOKUP(A348,PC!A:A,1,FALSE)))</f>
        <v>1</v>
      </c>
      <c r="N348" s="13" t="b">
        <f>NOT(ISNA(VLOOKUP(A348,'Game Pass Premium'!A:A,1,FALSE)))</f>
        <v>0</v>
      </c>
      <c r="O348" s="13" t="b">
        <f>NOT(ISNA(VLOOKUP(A348,'Game Pass Essential'!A:A,1,FALSE)))</f>
        <v>0</v>
      </c>
    </row>
    <row r="349">
      <c r="A349" s="12" t="str">
        <f>IFERROR(__xludf.DUMMYFUNCTION("""COMPUTED_VALUE"""),"FixForce")</f>
        <v>FixForce</v>
      </c>
      <c r="B349" s="13" t="str">
        <f>IFERROR(__xludf.DUMMYFUNCTION("""COMPUTED_VALUE"""),"Xbox / PC")</f>
        <v>Xbox / PC</v>
      </c>
      <c r="C349" s="14" t="str">
        <f>IFERROR(__xludf.DUMMYFUNCTION("""COMPUTED_VALUE"""),"Yes")</f>
        <v>Yes</v>
      </c>
      <c r="D349" s="14" t="str">
        <f>IFERROR(__xludf.DUMMYFUNCTION("""COMPUTED_VALUE"""),"Active")</f>
        <v>Active</v>
      </c>
      <c r="E349" s="15">
        <f>IFERROR(__xludf.DUMMYFUNCTION("""COMPUTED_VALUE"""),46220.0)</f>
        <v>46220</v>
      </c>
      <c r="F349" s="16"/>
      <c r="G349" s="18">
        <f>IFERROR(__xludf.DUMMYFUNCTION("""COMPUTED_VALUE"""),2.6333333333333333)</f>
        <v>2.633333333</v>
      </c>
      <c r="H349" s="15">
        <f>IFERROR(__xludf.DUMMYFUNCTION("""COMPUTED_VALUE"""),46220.0)</f>
        <v>46220</v>
      </c>
      <c r="I349" s="18">
        <f>IFERROR(__xludf.DUMMYFUNCTION("""COMPUTED_VALUE"""),0.0)</f>
        <v>0</v>
      </c>
      <c r="J349" s="22">
        <f>IFERROR(__xludf.DUMMYFUNCTION("""COMPUTED_VALUE"""),80.0)</f>
        <v>80</v>
      </c>
      <c r="K349" s="22"/>
      <c r="L349" s="26" t="str">
        <f>IFERROR(__xludf.DUMMYFUNCTION("""COMPUTED_VALUE"""),"Platformer")</f>
        <v>Platformer</v>
      </c>
      <c r="M349" s="13" t="b">
        <f>NOT(ISNA(VLOOKUP(A349,PC!A:A,1,FALSE)))</f>
        <v>1</v>
      </c>
      <c r="N349" s="13" t="b">
        <f>NOT(ISNA(VLOOKUP(A349,'Game Pass Premium'!A:A,1,FALSE)))</f>
        <v>1</v>
      </c>
      <c r="O349" s="13" t="b">
        <f>NOT(ISNA(VLOOKUP(A349,'Game Pass Essential'!A:A,1,FALSE)))</f>
        <v>0</v>
      </c>
    </row>
    <row r="350">
      <c r="A350" s="12" t="str">
        <f>IFERROR(__xludf.DUMMYFUNCTION("""COMPUTED_VALUE"""),"Abyssus")</f>
        <v>Abyssus</v>
      </c>
      <c r="B350" s="13" t="str">
        <f>IFERROR(__xludf.DUMMYFUNCTION("""COMPUTED_VALUE"""),"Xbox / PC")</f>
        <v>Xbox / PC</v>
      </c>
      <c r="C350" s="14" t="str">
        <f>IFERROR(__xludf.DUMMYFUNCTION("""COMPUTED_VALUE"""),"Yes")</f>
        <v>Yes</v>
      </c>
      <c r="D350" s="14" t="str">
        <f>IFERROR(__xludf.DUMMYFUNCTION("""COMPUTED_VALUE"""),"Active")</f>
        <v>Active</v>
      </c>
      <c r="E350" s="15">
        <f>IFERROR(__xludf.DUMMYFUNCTION("""COMPUTED_VALUE"""),46198.0)</f>
        <v>46198</v>
      </c>
      <c r="F350" s="16"/>
      <c r="G350" s="18">
        <f>IFERROR(__xludf.DUMMYFUNCTION("""COMPUTED_VALUE"""),3.3666666666666667)</f>
        <v>3.366666667</v>
      </c>
      <c r="H350" s="15">
        <f>IFERROR(__xludf.DUMMYFUNCTION("""COMPUTED_VALUE"""),46198.0)</f>
        <v>46198</v>
      </c>
      <c r="I350" s="18">
        <f>IFERROR(__xludf.DUMMYFUNCTION("""COMPUTED_VALUE"""),0.0)</f>
        <v>0</v>
      </c>
      <c r="J350" s="22">
        <f>IFERROR(__xludf.DUMMYFUNCTION("""COMPUTED_VALUE"""),80.0)</f>
        <v>80</v>
      </c>
      <c r="K350" s="22">
        <f>IFERROR(__xludf.DUMMYFUNCTION("""COMPUTED_VALUE"""),25.0)</f>
        <v>25</v>
      </c>
      <c r="L350" s="26" t="str">
        <f>IFERROR(__xludf.DUMMYFUNCTION("""COMPUTED_VALUE"""),"Shooter")</f>
        <v>Shooter</v>
      </c>
      <c r="M350" s="13" t="b">
        <f>NOT(ISNA(VLOOKUP(A350,PC!A:A,1,FALSE)))</f>
        <v>1</v>
      </c>
      <c r="N350" s="13" t="b">
        <f>NOT(ISNA(VLOOKUP(A350,'Game Pass Premium'!A:A,1,FALSE)))</f>
        <v>1</v>
      </c>
      <c r="O350" s="13" t="b">
        <f>NOT(ISNA(VLOOKUP(A350,'Game Pass Essential'!A:A,1,FALSE)))</f>
        <v>0</v>
      </c>
    </row>
    <row r="351">
      <c r="A351" s="12" t="str">
        <f>IFERROR(__xludf.DUMMYFUNCTION("""COMPUTED_VALUE"""),"Wo Long: Fallen Dynasty")</f>
        <v>Wo Long: Fallen Dynasty</v>
      </c>
      <c r="B351" s="13" t="str">
        <f>IFERROR(__xludf.DUMMYFUNCTION("""COMPUTED_VALUE"""),"Xbox / PC")</f>
        <v>Xbox / PC</v>
      </c>
      <c r="C351" s="14" t="str">
        <f>IFERROR(__xludf.DUMMYFUNCTION("""COMPUTED_VALUE"""),"Yes")</f>
        <v>Yes</v>
      </c>
      <c r="D351" s="14" t="str">
        <f>IFERROR(__xludf.DUMMYFUNCTION("""COMPUTED_VALUE"""),"Active")</f>
        <v>Active</v>
      </c>
      <c r="E351" s="15">
        <f>IFERROR(__xludf.DUMMYFUNCTION("""COMPUTED_VALUE"""),46180.0)</f>
        <v>46180</v>
      </c>
      <c r="F351" s="16"/>
      <c r="G351" s="18">
        <f>IFERROR(__xludf.DUMMYFUNCTION("""COMPUTED_VALUE"""),3.966666666666667)</f>
        <v>3.966666667</v>
      </c>
      <c r="H351" s="15">
        <f>IFERROR(__xludf.DUMMYFUNCTION("""COMPUTED_VALUE"""),44988.0)</f>
        <v>44988</v>
      </c>
      <c r="I351" s="18">
        <f>IFERROR(__xludf.DUMMYFUNCTION("""COMPUTED_VALUE"""),3.261111111111111)</f>
        <v>3.261111111</v>
      </c>
      <c r="J351" s="22">
        <f>IFERROR(__xludf.DUMMYFUNCTION("""COMPUTED_VALUE"""),80.0)</f>
        <v>80</v>
      </c>
      <c r="K351" s="22">
        <f>IFERROR(__xludf.DUMMYFUNCTION("""COMPUTED_VALUE"""),29.0)</f>
        <v>29</v>
      </c>
      <c r="L351" s="26" t="str">
        <f>IFERROR(__xludf.DUMMYFUNCTION("""COMPUTED_VALUE"""),"Action")</f>
        <v>Action</v>
      </c>
      <c r="M351" s="13" t="b">
        <f>NOT(ISNA(VLOOKUP(A351,PC!A:A,1,FALSE)))</f>
        <v>1</v>
      </c>
      <c r="N351" s="13" t="b">
        <f>NOT(ISNA(VLOOKUP(A351,'Game Pass Premium'!A:A,1,FALSE)))</f>
        <v>1</v>
      </c>
      <c r="O351" s="13" t="b">
        <f>NOT(ISNA(VLOOKUP(A351,'Game Pass Essential'!A:A,1,FALSE)))</f>
        <v>0</v>
      </c>
    </row>
    <row r="352">
      <c r="A352" s="12" t="str">
        <f>IFERROR(__xludf.DUMMYFUNCTION("""COMPUTED_VALUE"""),"Escape the Backrooms")</f>
        <v>Escape the Backrooms</v>
      </c>
      <c r="B352" s="13" t="str">
        <f>IFERROR(__xludf.DUMMYFUNCTION("""COMPUTED_VALUE"""),"Xbox / PC")</f>
        <v>Xbox / PC</v>
      </c>
      <c r="C352" s="14" t="str">
        <f>IFERROR(__xludf.DUMMYFUNCTION("""COMPUTED_VALUE"""),"Yes")</f>
        <v>Yes</v>
      </c>
      <c r="D352" s="14" t="str">
        <f>IFERROR(__xludf.DUMMYFUNCTION("""COMPUTED_VALUE"""),"Active")</f>
        <v>Active</v>
      </c>
      <c r="E352" s="15">
        <f>IFERROR(__xludf.DUMMYFUNCTION("""COMPUTED_VALUE"""),46170.0)</f>
        <v>46170</v>
      </c>
      <c r="F352" s="16"/>
      <c r="G352" s="18">
        <f>IFERROR(__xludf.DUMMYFUNCTION("""COMPUTED_VALUE"""),4.266666666666667)</f>
        <v>4.266666667</v>
      </c>
      <c r="H352" s="15">
        <f>IFERROR(__xludf.DUMMYFUNCTION("""COMPUTED_VALUE"""),45953.0)</f>
        <v>45953</v>
      </c>
      <c r="I352" s="18">
        <f>IFERROR(__xludf.DUMMYFUNCTION("""COMPUTED_VALUE"""),0.5972222222222222)</f>
        <v>0.5972222222</v>
      </c>
      <c r="J352" s="22">
        <f>IFERROR(__xludf.DUMMYFUNCTION("""COMPUTED_VALUE"""),80.0)</f>
        <v>80</v>
      </c>
      <c r="K352" s="22">
        <f>IFERROR(__xludf.DUMMYFUNCTION("""COMPUTED_VALUE"""),9.0)</f>
        <v>9</v>
      </c>
      <c r="L352" s="26" t="str">
        <f>IFERROR(__xludf.DUMMYFUNCTION("""COMPUTED_VALUE"""),"Survival")</f>
        <v>Survival</v>
      </c>
      <c r="M352" s="13" t="b">
        <f>NOT(ISNA(VLOOKUP(A352,PC!A:A,1,FALSE)))</f>
        <v>1</v>
      </c>
      <c r="N352" s="13" t="b">
        <f>NOT(ISNA(VLOOKUP(A352,'Game Pass Premium'!A:A,1,FALSE)))</f>
        <v>1</v>
      </c>
      <c r="O352" s="13" t="b">
        <f>NOT(ISNA(VLOOKUP(A352,'Game Pass Essential'!A:A,1,FALSE)))</f>
        <v>0</v>
      </c>
    </row>
    <row r="353">
      <c r="A353" s="12" t="str">
        <f>IFERROR(__xludf.DUMMYFUNCTION("""COMPUTED_VALUE"""),"Crashout Crew")</f>
        <v>Crashout Crew</v>
      </c>
      <c r="B353" s="13" t="str">
        <f>IFERROR(__xludf.DUMMYFUNCTION("""COMPUTED_VALUE"""),"Xbox / PC")</f>
        <v>Xbox / PC</v>
      </c>
      <c r="C353" s="14" t="str">
        <f>IFERROR(__xludf.DUMMYFUNCTION("""COMPUTED_VALUE"""),"Yes")</f>
        <v>Yes</v>
      </c>
      <c r="D353" s="14" t="str">
        <f>IFERROR(__xludf.DUMMYFUNCTION("""COMPUTED_VALUE"""),"Active")</f>
        <v>Active</v>
      </c>
      <c r="E353" s="15">
        <f>IFERROR(__xludf.DUMMYFUNCTION("""COMPUTED_VALUE"""),46170.0)</f>
        <v>46170</v>
      </c>
      <c r="F353" s="16"/>
      <c r="G353" s="18">
        <f>IFERROR(__xludf.DUMMYFUNCTION("""COMPUTED_VALUE"""),4.266666666666667)</f>
        <v>4.266666667</v>
      </c>
      <c r="H353" s="15">
        <f>IFERROR(__xludf.DUMMYFUNCTION("""COMPUTED_VALUE"""),46170.0)</f>
        <v>46170</v>
      </c>
      <c r="I353" s="18">
        <f>IFERROR(__xludf.DUMMYFUNCTION("""COMPUTED_VALUE"""),0.0)</f>
        <v>0</v>
      </c>
      <c r="J353" s="22">
        <f>IFERROR(__xludf.DUMMYFUNCTION("""COMPUTED_VALUE"""),80.0)</f>
        <v>80</v>
      </c>
      <c r="K353" s="22">
        <f>IFERROR(__xludf.DUMMYFUNCTION("""COMPUTED_VALUE"""),12.0)</f>
        <v>12</v>
      </c>
      <c r="L353" s="26" t="str">
        <f>IFERROR(__xludf.DUMMYFUNCTION("""COMPUTED_VALUE"""),"Action-Adventure")</f>
        <v>Action-Adventure</v>
      </c>
      <c r="M353" s="13" t="b">
        <f>NOT(ISNA(VLOOKUP(A353,PC!A:A,1,FALSE)))</f>
        <v>1</v>
      </c>
      <c r="N353" s="13" t="b">
        <f>NOT(ISNA(VLOOKUP(A353,'Game Pass Premium'!A:A,1,FALSE)))</f>
        <v>0</v>
      </c>
      <c r="O353" s="13" t="b">
        <f>NOT(ISNA(VLOOKUP(A353,'Game Pass Essential'!A:A,1,FALSE)))</f>
        <v>0</v>
      </c>
    </row>
    <row r="354">
      <c r="A354" s="12" t="str">
        <f>IFERROR(__xludf.DUMMYFUNCTION("""COMPUTED_VALUE"""),"Elite Dangerous")</f>
        <v>Elite Dangerous</v>
      </c>
      <c r="B354" s="13" t="str">
        <f>IFERROR(__xludf.DUMMYFUNCTION("""COMPUTED_VALUE"""),"Xbox")</f>
        <v>Xbox</v>
      </c>
      <c r="C354" s="14" t="str">
        <f>IFERROR(__xludf.DUMMYFUNCTION("""COMPUTED_VALUE"""),"Yes")</f>
        <v>Yes</v>
      </c>
      <c r="D354" s="14" t="str">
        <f>IFERROR(__xludf.DUMMYFUNCTION("""COMPUTED_VALUE"""),"Active")</f>
        <v>Active</v>
      </c>
      <c r="E354" s="15">
        <f>IFERROR(__xludf.DUMMYFUNCTION("""COMPUTED_VALUE"""),46154.0)</f>
        <v>46154</v>
      </c>
      <c r="F354" s="16"/>
      <c r="G354" s="18">
        <f>IFERROR(__xludf.DUMMYFUNCTION("""COMPUTED_VALUE"""),4.800000000000001)</f>
        <v>4.8</v>
      </c>
      <c r="H354" s="15">
        <f>IFERROR(__xludf.DUMMYFUNCTION("""COMPUTED_VALUE"""),41989.0)</f>
        <v>41989</v>
      </c>
      <c r="I354" s="18">
        <f>IFERROR(__xludf.DUMMYFUNCTION("""COMPUTED_VALUE"""),11.405555555555555)</f>
        <v>11.40555556</v>
      </c>
      <c r="J354" s="22">
        <f>IFERROR(__xludf.DUMMYFUNCTION("""COMPUTED_VALUE"""),80.0)</f>
        <v>80</v>
      </c>
      <c r="K354" s="22">
        <f>IFERROR(__xludf.DUMMYFUNCTION("""COMPUTED_VALUE"""),113.0)</f>
        <v>113</v>
      </c>
      <c r="L354" s="26" t="str">
        <f>IFERROR(__xludf.DUMMYFUNCTION("""COMPUTED_VALUE"""),"Space Simulation")</f>
        <v>Space Simulation</v>
      </c>
      <c r="M354" s="13" t="b">
        <f>NOT(ISNA(VLOOKUP(A354,PC!A:A,1,FALSE)))</f>
        <v>0</v>
      </c>
      <c r="N354" s="13" t="b">
        <f>NOT(ISNA(VLOOKUP(A354,'Game Pass Premium'!A:A,1,FALSE)))</f>
        <v>1</v>
      </c>
      <c r="O354" s="13" t="b">
        <f>NOT(ISNA(VLOOKUP(A354,'Game Pass Essential'!A:A,1,FALSE)))</f>
        <v>0</v>
      </c>
    </row>
    <row r="355">
      <c r="A355" s="12" t="str">
        <f>IFERROR(__xludf.DUMMYFUNCTION("""COMPUTED_VALUE"""),"Call of Duty: Modern Warfare (2019)")</f>
        <v>Call of Duty: Modern Warfare (2019)</v>
      </c>
      <c r="B355" s="13" t="str">
        <f>IFERROR(__xludf.DUMMYFUNCTION("""COMPUTED_VALUE"""),"Xbox / PC")</f>
        <v>Xbox / PC</v>
      </c>
      <c r="C355" s="14" t="str">
        <f>IFERROR(__xludf.DUMMYFUNCTION("""COMPUTED_VALUE"""),"Yes")</f>
        <v>Yes</v>
      </c>
      <c r="D355" s="14" t="str">
        <f>IFERROR(__xludf.DUMMYFUNCTION("""COMPUTED_VALUE"""),"Active")</f>
        <v>Active</v>
      </c>
      <c r="E355" s="15">
        <f>IFERROR(__xludf.DUMMYFUNCTION("""COMPUTED_VALUE"""),46129.0)</f>
        <v>46129</v>
      </c>
      <c r="F355" s="16"/>
      <c r="G355" s="18">
        <f>IFERROR(__xludf.DUMMYFUNCTION("""COMPUTED_VALUE"""),5.633333333333333)</f>
        <v>5.633333333</v>
      </c>
      <c r="H355" s="15">
        <f>IFERROR(__xludf.DUMMYFUNCTION("""COMPUTED_VALUE"""),43763.0)</f>
        <v>43763</v>
      </c>
      <c r="I355" s="18">
        <f>IFERROR(__xludf.DUMMYFUNCTION("""COMPUTED_VALUE"""),6.477777777777778)</f>
        <v>6.477777778</v>
      </c>
      <c r="J355" s="22">
        <f>IFERROR(__xludf.DUMMYFUNCTION("""COMPUTED_VALUE"""),80.0)</f>
        <v>80</v>
      </c>
      <c r="K355" s="22">
        <f>IFERROR(__xludf.DUMMYFUNCTION("""COMPUTED_VALUE"""),6.0)</f>
        <v>6</v>
      </c>
      <c r="L355" s="26" t="str">
        <f>IFERROR(__xludf.DUMMYFUNCTION("""COMPUTED_VALUE"""),"Shooter")</f>
        <v>Shooter</v>
      </c>
      <c r="M355" s="13" t="b">
        <f>NOT(ISNA(VLOOKUP(A355,PC!A:A,1,FALSE)))</f>
        <v>1</v>
      </c>
      <c r="N355" s="13" t="b">
        <f>NOT(ISNA(VLOOKUP(A355,'Game Pass Premium'!A:A,1,FALSE)))</f>
        <v>1</v>
      </c>
      <c r="O355" s="13" t="b">
        <f>NOT(ISNA(VLOOKUP(A355,'Game Pass Essential'!A:A,1,FALSE)))</f>
        <v>0</v>
      </c>
    </row>
    <row r="356">
      <c r="A356" s="12" t="str">
        <f>IFERROR(__xludf.DUMMYFUNCTION("""COMPUTED_VALUE"""),"Barbie Horse Trails")</f>
        <v>Barbie Horse Trails</v>
      </c>
      <c r="B356" s="13" t="str">
        <f>IFERROR(__xludf.DUMMYFUNCTION("""COMPUTED_VALUE"""),"Xbox / PC")</f>
        <v>Xbox / PC</v>
      </c>
      <c r="C356" s="14" t="str">
        <f>IFERROR(__xludf.DUMMYFUNCTION("""COMPUTED_VALUE"""),"Yes")</f>
        <v>Yes</v>
      </c>
      <c r="D356" s="14" t="str">
        <f>IFERROR(__xludf.DUMMYFUNCTION("""COMPUTED_VALUE"""),"Active")</f>
        <v>Active</v>
      </c>
      <c r="E356" s="15">
        <f>IFERROR(__xludf.DUMMYFUNCTION("""COMPUTED_VALUE"""),46114.0)</f>
        <v>46114</v>
      </c>
      <c r="F356" s="16"/>
      <c r="G356" s="18">
        <f>IFERROR(__xludf.DUMMYFUNCTION("""COMPUTED_VALUE"""),6.133333333333333)</f>
        <v>6.133333333</v>
      </c>
      <c r="H356" s="15">
        <f>IFERROR(__xludf.DUMMYFUNCTION("""COMPUTED_VALUE"""),39734.0)</f>
        <v>39734</v>
      </c>
      <c r="I356" s="18">
        <f>IFERROR(__xludf.DUMMYFUNCTION("""COMPUTED_VALUE"""),17.469444444444445)</f>
        <v>17.46944444</v>
      </c>
      <c r="J356" s="22">
        <f>IFERROR(__xludf.DUMMYFUNCTION("""COMPUTED_VALUE"""),80.0)</f>
        <v>80</v>
      </c>
      <c r="K356" s="22">
        <f>IFERROR(__xludf.DUMMYFUNCTION("""COMPUTED_VALUE"""),6.0)</f>
        <v>6</v>
      </c>
      <c r="L356" s="26" t="str">
        <f>IFERROR(__xludf.DUMMYFUNCTION("""COMPUTED_VALUE"""),"Action-Adventure")</f>
        <v>Action-Adventure</v>
      </c>
      <c r="M356" s="13" t="b">
        <f>NOT(ISNA(VLOOKUP(A356,PC!A:A,1,FALSE)))</f>
        <v>1</v>
      </c>
      <c r="N356" s="13" t="b">
        <f>NOT(ISNA(VLOOKUP(A356,'Game Pass Premium'!A:A,1,FALSE)))</f>
        <v>1</v>
      </c>
      <c r="O356" s="13" t="b">
        <f>NOT(ISNA(VLOOKUP(A356,'Game Pass Essential'!A:A,1,FALSE)))</f>
        <v>0</v>
      </c>
    </row>
    <row r="357">
      <c r="A357" s="12" t="str">
        <f>IFERROR(__xludf.DUMMYFUNCTION("""COMPUTED_VALUE"""),"DreamWorks Gabby's Dollhouse: Ready to Party")</f>
        <v>DreamWorks Gabby's Dollhouse: Ready to Party</v>
      </c>
      <c r="B357" s="13" t="str">
        <f>IFERROR(__xludf.DUMMYFUNCTION("""COMPUTED_VALUE"""),"Xbox / PC")</f>
        <v>Xbox / PC</v>
      </c>
      <c r="C357" s="14" t="str">
        <f>IFERROR(__xludf.DUMMYFUNCTION("""COMPUTED_VALUE"""),"Yes")</f>
        <v>Yes</v>
      </c>
      <c r="D357" s="14" t="str">
        <f>IFERROR(__xludf.DUMMYFUNCTION("""COMPUTED_VALUE"""),"Active")</f>
        <v>Active</v>
      </c>
      <c r="E357" s="15">
        <f>IFERROR(__xludf.DUMMYFUNCTION("""COMPUTED_VALUE"""),46098.0)</f>
        <v>46098</v>
      </c>
      <c r="F357" s="16"/>
      <c r="G357" s="18">
        <f>IFERROR(__xludf.DUMMYFUNCTION("""COMPUTED_VALUE"""),6.633333333333334)</f>
        <v>6.633333333</v>
      </c>
      <c r="H357" s="15">
        <f>IFERROR(__xludf.DUMMYFUNCTION("""COMPUTED_VALUE"""),45919.0)</f>
        <v>45919</v>
      </c>
      <c r="I357" s="18">
        <f>IFERROR(__xludf.DUMMYFUNCTION("""COMPUTED_VALUE"""),0.49444444444444446)</f>
        <v>0.4944444444</v>
      </c>
      <c r="J357" s="22">
        <f>IFERROR(__xludf.DUMMYFUNCTION("""COMPUTED_VALUE"""),80.0)</f>
        <v>80</v>
      </c>
      <c r="K357" s="22">
        <f>IFERROR(__xludf.DUMMYFUNCTION("""COMPUTED_VALUE"""),3.0)</f>
        <v>3</v>
      </c>
      <c r="L357" s="26" t="str">
        <f>IFERROR(__xludf.DUMMYFUNCTION("""COMPUTED_VALUE"""),"Action-Adventure")</f>
        <v>Action-Adventure</v>
      </c>
      <c r="M357" s="13" t="b">
        <f>NOT(ISNA(VLOOKUP(A357,PC!A:A,1,FALSE)))</f>
        <v>1</v>
      </c>
      <c r="N357" s="13" t="b">
        <f>NOT(ISNA(VLOOKUP(A357,'Game Pass Premium'!A:A,1,FALSE)))</f>
        <v>1</v>
      </c>
      <c r="O357" s="13" t="b">
        <f>NOT(ISNA(VLOOKUP(A357,'Game Pass Essential'!A:A,1,FALSE)))</f>
        <v>0</v>
      </c>
    </row>
    <row r="358">
      <c r="A358" s="12" t="str">
        <f>IFERROR(__xludf.DUMMYFUNCTION("""COMPUTED_VALUE"""),"F1 25")</f>
        <v>F1 25</v>
      </c>
      <c r="B358" s="13" t="str">
        <f>IFERROR(__xludf.DUMMYFUNCTION("""COMPUTED_VALUE"""),"Xbox / PC")</f>
        <v>Xbox / PC</v>
      </c>
      <c r="C358" s="14" t="str">
        <f>IFERROR(__xludf.DUMMYFUNCTION("""COMPUTED_VALUE"""),"Yes")</f>
        <v>Yes</v>
      </c>
      <c r="D358" s="14" t="str">
        <f>IFERROR(__xludf.DUMMYFUNCTION("""COMPUTED_VALUE"""),"Active")</f>
        <v>Active</v>
      </c>
      <c r="E358" s="15">
        <f>IFERROR(__xludf.DUMMYFUNCTION("""COMPUTED_VALUE"""),46085.0)</f>
        <v>46085</v>
      </c>
      <c r="F358" s="16"/>
      <c r="G358" s="18">
        <f>IFERROR(__xludf.DUMMYFUNCTION("""COMPUTED_VALUE"""),7.066666666666666)</f>
        <v>7.066666667</v>
      </c>
      <c r="H358" s="15">
        <f>IFERROR(__xludf.DUMMYFUNCTION("""COMPUTED_VALUE"""),46085.0)</f>
        <v>46085</v>
      </c>
      <c r="I358" s="18">
        <f>IFERROR(__xludf.DUMMYFUNCTION("""COMPUTED_VALUE"""),0.0)</f>
        <v>0</v>
      </c>
      <c r="J358" s="22">
        <f>IFERROR(__xludf.DUMMYFUNCTION("""COMPUTED_VALUE"""),80.0)</f>
        <v>80</v>
      </c>
      <c r="K358" s="22">
        <f>IFERROR(__xludf.DUMMYFUNCTION("""COMPUTED_VALUE"""),6.0)</f>
        <v>6</v>
      </c>
      <c r="L358" s="26" t="str">
        <f>IFERROR(__xludf.DUMMYFUNCTION("""COMPUTED_VALUE"""),"Racing")</f>
        <v>Racing</v>
      </c>
      <c r="M358" s="13" t="b">
        <f>NOT(ISNA(VLOOKUP(A358,PC!A:A,1,FALSE)))</f>
        <v>1</v>
      </c>
      <c r="N358" s="13" t="b">
        <f>NOT(ISNA(VLOOKUP(A358,'Game Pass Premium'!A:A,1,FALSE)))</f>
        <v>0</v>
      </c>
      <c r="O358" s="13" t="b">
        <f>NOT(ISNA(VLOOKUP(A358,'Game Pass Essential'!A:A,1,FALSE)))</f>
        <v>0</v>
      </c>
    </row>
    <row r="359">
      <c r="A359" s="12" t="str">
        <f>IFERROR(__xludf.DUMMYFUNCTION("""COMPUTED_VALUE"""),"Diablo II: Resurrected")</f>
        <v>Diablo II: Resurrected</v>
      </c>
      <c r="B359" s="13" t="str">
        <f>IFERROR(__xludf.DUMMYFUNCTION("""COMPUTED_VALUE"""),"Xbox / PC")</f>
        <v>Xbox / PC</v>
      </c>
      <c r="C359" s="14" t="str">
        <f>IFERROR(__xludf.DUMMYFUNCTION("""COMPUTED_VALUE"""),"Yes")</f>
        <v>Yes</v>
      </c>
      <c r="D359" s="14" t="str">
        <f>IFERROR(__xludf.DUMMYFUNCTION("""COMPUTED_VALUE"""),"Active")</f>
        <v>Active</v>
      </c>
      <c r="E359" s="15">
        <f>IFERROR(__xludf.DUMMYFUNCTION("""COMPUTED_VALUE"""),46064.0)</f>
        <v>46064</v>
      </c>
      <c r="F359" s="16"/>
      <c r="G359" s="18">
        <f>IFERROR(__xludf.DUMMYFUNCTION("""COMPUTED_VALUE"""),7.833333333333334)</f>
        <v>7.833333333</v>
      </c>
      <c r="H359" s="15">
        <f>IFERROR(__xludf.DUMMYFUNCTION("""COMPUTED_VALUE"""),44462.0)</f>
        <v>44462</v>
      </c>
      <c r="I359" s="18">
        <f>IFERROR(__xludf.DUMMYFUNCTION("""COMPUTED_VALUE"""),4.383333333333334)</f>
        <v>4.383333333</v>
      </c>
      <c r="J359" s="22">
        <f>IFERROR(__xludf.DUMMYFUNCTION("""COMPUTED_VALUE"""),80.0)</f>
        <v>80</v>
      </c>
      <c r="K359" s="22">
        <f>IFERROR(__xludf.DUMMYFUNCTION("""COMPUTED_VALUE"""),22.0)</f>
        <v>22</v>
      </c>
      <c r="L359" s="26" t="str">
        <f>IFERROR(__xludf.DUMMYFUNCTION("""COMPUTED_VALUE"""),"RPG")</f>
        <v>RPG</v>
      </c>
      <c r="M359" s="13" t="b">
        <f>NOT(ISNA(VLOOKUP(A359,PC!A:A,1,FALSE)))</f>
        <v>1</v>
      </c>
      <c r="N359" s="13" t="b">
        <f>NOT(ISNA(VLOOKUP(A359,'Game Pass Premium'!A:A,1,FALSE)))</f>
        <v>1</v>
      </c>
      <c r="O359" s="13" t="b">
        <f>NOT(ISNA(VLOOKUP(A359,'Game Pass Essential'!A:A,1,FALSE)))</f>
        <v>0</v>
      </c>
    </row>
    <row r="360">
      <c r="A360" s="12" t="str">
        <f>IFERROR(__xludf.DUMMYFUNCTION("""COMPUTED_VALUE"""),"Like A Dragon: Pirate Yakuza in Hawaii")</f>
        <v>Like A Dragon: Pirate Yakuza in Hawaii</v>
      </c>
      <c r="B360" s="13" t="str">
        <f>IFERROR(__xludf.DUMMYFUNCTION("""COMPUTED_VALUE"""),"Xbox / PC")</f>
        <v>Xbox / PC</v>
      </c>
      <c r="C360" s="14" t="str">
        <f>IFERROR(__xludf.DUMMYFUNCTION("""COMPUTED_VALUE"""),"Yes")</f>
        <v>Yes</v>
      </c>
      <c r="D360" s="14" t="str">
        <f>IFERROR(__xludf.DUMMYFUNCTION("""COMPUTED_VALUE"""),"Active")</f>
        <v>Active</v>
      </c>
      <c r="E360" s="15">
        <f>IFERROR(__xludf.DUMMYFUNCTION("""COMPUTED_VALUE"""),46055.0)</f>
        <v>46055</v>
      </c>
      <c r="F360" s="16"/>
      <c r="G360" s="18">
        <f>IFERROR(__xludf.DUMMYFUNCTION("""COMPUTED_VALUE"""),8.133333333333333)</f>
        <v>8.133333333</v>
      </c>
      <c r="H360" s="15">
        <f>IFERROR(__xludf.DUMMYFUNCTION("""COMPUTED_VALUE"""),45709.0)</f>
        <v>45709</v>
      </c>
      <c r="I360" s="18">
        <f>IFERROR(__xludf.DUMMYFUNCTION("""COMPUTED_VALUE"""),0.9472222222222222)</f>
        <v>0.9472222222</v>
      </c>
      <c r="J360" s="22">
        <f>IFERROR(__xludf.DUMMYFUNCTION("""COMPUTED_VALUE"""),80.0)</f>
        <v>80</v>
      </c>
      <c r="K360" s="22">
        <f>IFERROR(__xludf.DUMMYFUNCTION("""COMPUTED_VALUE"""),35.0)</f>
        <v>35</v>
      </c>
      <c r="L360" s="26" t="str">
        <f>IFERROR(__xludf.DUMMYFUNCTION("""COMPUTED_VALUE"""),"Action-Adventure")</f>
        <v>Action-Adventure</v>
      </c>
      <c r="M360" s="13" t="b">
        <f>NOT(ISNA(VLOOKUP(A360,PC!A:A,1,FALSE)))</f>
        <v>1</v>
      </c>
      <c r="N360" s="13" t="b">
        <f>NOT(ISNA(VLOOKUP(A360,'Game Pass Premium'!A:A,1,FALSE)))</f>
        <v>1</v>
      </c>
      <c r="O360" s="13" t="b">
        <f>NOT(ISNA(VLOOKUP(A360,'Game Pass Essential'!A:A,1,FALSE)))</f>
        <v>0</v>
      </c>
    </row>
    <row r="361">
      <c r="A361" s="12" t="str">
        <f>IFERROR(__xludf.DUMMYFUNCTION("""COMPUTED_VALUE"""),"INDIKA")</f>
        <v>INDIKA</v>
      </c>
      <c r="B361" s="13" t="str">
        <f>IFERROR(__xludf.DUMMYFUNCTION("""COMPUTED_VALUE"""),"Xbox / PC")</f>
        <v>Xbox / PC</v>
      </c>
      <c r="C361" s="14" t="str">
        <f>IFERROR(__xludf.DUMMYFUNCTION("""COMPUTED_VALUE"""),"Yes")</f>
        <v>Yes</v>
      </c>
      <c r="D361" s="14" t="str">
        <f>IFERROR(__xludf.DUMMYFUNCTION("""COMPUTED_VALUE"""),"Active")</f>
        <v>Active</v>
      </c>
      <c r="E361" s="15">
        <f>IFERROR(__xludf.DUMMYFUNCTION("""COMPUTED_VALUE"""),46055.0)</f>
        <v>46055</v>
      </c>
      <c r="F361" s="16"/>
      <c r="G361" s="18">
        <f>IFERROR(__xludf.DUMMYFUNCTION("""COMPUTED_VALUE"""),8.133333333333333)</f>
        <v>8.133333333</v>
      </c>
      <c r="H361" s="15">
        <f>IFERROR(__xludf.DUMMYFUNCTION("""COMPUTED_VALUE"""),45414.0)</f>
        <v>45414</v>
      </c>
      <c r="I361" s="18">
        <f>IFERROR(__xludf.DUMMYFUNCTION("""COMPUTED_VALUE"""),1.75)</f>
        <v>1.75</v>
      </c>
      <c r="J361" s="22">
        <f>IFERROR(__xludf.DUMMYFUNCTION("""COMPUTED_VALUE"""),80.0)</f>
        <v>80</v>
      </c>
      <c r="K361" s="22">
        <f>IFERROR(__xludf.DUMMYFUNCTION("""COMPUTED_VALUE"""),4.0)</f>
        <v>4</v>
      </c>
      <c r="L361" s="26" t="str">
        <f>IFERROR(__xludf.DUMMYFUNCTION("""COMPUTED_VALUE"""),"Action-Adventure")</f>
        <v>Action-Adventure</v>
      </c>
      <c r="M361" s="13" t="b">
        <f>NOT(ISNA(VLOOKUP(A361,PC!A:A,1,FALSE)))</f>
        <v>1</v>
      </c>
      <c r="N361" s="13" t="b">
        <f>NOT(ISNA(VLOOKUP(A361,'Game Pass Premium'!A:A,1,FALSE)))</f>
        <v>1</v>
      </c>
      <c r="O361" s="13" t="b">
        <f>NOT(ISNA(VLOOKUP(A361,'Game Pass Essential'!A:A,1,FALSE)))</f>
        <v>0</v>
      </c>
    </row>
    <row r="362">
      <c r="A362" s="12" t="str">
        <f>IFERROR(__xludf.DUMMYFUNCTION("""COMPUTED_VALUE"""),"Ultimate Sheep Raccoon")</f>
        <v>Ultimate Sheep Raccoon</v>
      </c>
      <c r="B362" s="13" t="str">
        <f>IFERROR(__xludf.DUMMYFUNCTION("""COMPUTED_VALUE"""),"Xbox / PC")</f>
        <v>Xbox / PC</v>
      </c>
      <c r="C362" s="14" t="str">
        <f>IFERROR(__xludf.DUMMYFUNCTION("""COMPUTED_VALUE"""),"Yes")</f>
        <v>Yes</v>
      </c>
      <c r="D362" s="14" t="str">
        <f>IFERROR(__xludf.DUMMYFUNCTION("""COMPUTED_VALUE"""),"Active")</f>
        <v>Active</v>
      </c>
      <c r="E362" s="15">
        <f>IFERROR(__xludf.DUMMYFUNCTION("""COMPUTED_VALUE"""),46000.0)</f>
        <v>46000</v>
      </c>
      <c r="F362" s="16"/>
      <c r="G362" s="18">
        <f>IFERROR(__xludf.DUMMYFUNCTION("""COMPUTED_VALUE"""),9.899999999999999)</f>
        <v>9.9</v>
      </c>
      <c r="H362" s="15">
        <f>IFERROR(__xludf.DUMMYFUNCTION("""COMPUTED_VALUE"""),46000.0)</f>
        <v>46000</v>
      </c>
      <c r="I362" s="18">
        <f>IFERROR(__xludf.DUMMYFUNCTION("""COMPUTED_VALUE"""),0.0)</f>
        <v>0</v>
      </c>
      <c r="J362" s="22">
        <f>IFERROR(__xludf.DUMMYFUNCTION("""COMPUTED_VALUE"""),80.0)</f>
        <v>80</v>
      </c>
      <c r="K362" s="22"/>
      <c r="L362" s="26" t="str">
        <f>IFERROR(__xludf.DUMMYFUNCTION("""COMPUTED_VALUE"""),"Racing")</f>
        <v>Racing</v>
      </c>
      <c r="M362" s="13" t="b">
        <f>NOT(ISNA(VLOOKUP(A362,PC!A:A,1,FALSE)))</f>
        <v>1</v>
      </c>
      <c r="N362" s="13" t="b">
        <f>NOT(ISNA(VLOOKUP(A362,'Game Pass Premium'!A:A,1,FALSE)))</f>
        <v>1</v>
      </c>
      <c r="O362" s="13" t="b">
        <f>NOT(ISNA(VLOOKUP(A362,'Game Pass Essential'!A:A,1,FALSE)))</f>
        <v>0</v>
      </c>
    </row>
    <row r="363">
      <c r="A363" s="12" t="str">
        <f>IFERROR(__xludf.DUMMYFUNCTION("""COMPUTED_VALUE"""),"Total Chaos (2025)")</f>
        <v>Total Chaos (2025)</v>
      </c>
      <c r="B363" s="13" t="str">
        <f>IFERROR(__xludf.DUMMYFUNCTION("""COMPUTED_VALUE"""),"Xbox / PC")</f>
        <v>Xbox / PC</v>
      </c>
      <c r="C363" s="14" t="str">
        <f>IFERROR(__xludf.DUMMYFUNCTION("""COMPUTED_VALUE"""),"Yes")</f>
        <v>Yes</v>
      </c>
      <c r="D363" s="14" t="str">
        <f>IFERROR(__xludf.DUMMYFUNCTION("""COMPUTED_VALUE"""),"Active")</f>
        <v>Active</v>
      </c>
      <c r="E363" s="15">
        <f>IFERROR(__xludf.DUMMYFUNCTION("""COMPUTED_VALUE"""),45981.0)</f>
        <v>45981</v>
      </c>
      <c r="F363" s="16"/>
      <c r="G363" s="18">
        <f>IFERROR(__xludf.DUMMYFUNCTION("""COMPUTED_VALUE"""),10.533333333333333)</f>
        <v>10.53333333</v>
      </c>
      <c r="H363" s="15">
        <f>IFERROR(__xludf.DUMMYFUNCTION("""COMPUTED_VALUE"""),45981.0)</f>
        <v>45981</v>
      </c>
      <c r="I363" s="18">
        <f>IFERROR(__xludf.DUMMYFUNCTION("""COMPUTED_VALUE"""),0.0)</f>
        <v>0</v>
      </c>
      <c r="J363" s="22">
        <f>IFERROR(__xludf.DUMMYFUNCTION("""COMPUTED_VALUE"""),80.0)</f>
        <v>80</v>
      </c>
      <c r="K363" s="22">
        <f>IFERROR(__xludf.DUMMYFUNCTION("""COMPUTED_VALUE"""),11.0)</f>
        <v>11</v>
      </c>
      <c r="L363" s="26" t="str">
        <f>IFERROR(__xludf.DUMMYFUNCTION("""COMPUTED_VALUE"""),"Action-Adventure")</f>
        <v>Action-Adventure</v>
      </c>
      <c r="M363" s="13" t="b">
        <f>NOT(ISNA(VLOOKUP(A363,PC!A:A,1,FALSE)))</f>
        <v>1</v>
      </c>
      <c r="N363" s="13" t="b">
        <f>NOT(ISNA(VLOOKUP(A363,'Game Pass Premium'!A:A,1,FALSE)))</f>
        <v>0</v>
      </c>
      <c r="O363" s="13" t="b">
        <f>NOT(ISNA(VLOOKUP(A363,'Game Pass Essential'!A:A,1,FALSE)))</f>
        <v>0</v>
      </c>
    </row>
    <row r="364">
      <c r="A364" s="12" t="str">
        <f>IFERROR(__xludf.DUMMYFUNCTION("""COMPUTED_VALUE"""),"Egging On")</f>
        <v>Egging On</v>
      </c>
      <c r="B364" s="13" t="str">
        <f>IFERROR(__xludf.DUMMYFUNCTION("""COMPUTED_VALUE"""),"Xbox / PC")</f>
        <v>Xbox / PC</v>
      </c>
      <c r="C364" s="14" t="str">
        <f>IFERROR(__xludf.DUMMYFUNCTION("""COMPUTED_VALUE"""),"Yes")</f>
        <v>Yes</v>
      </c>
      <c r="D364" s="14" t="str">
        <f>IFERROR(__xludf.DUMMYFUNCTION("""COMPUTED_VALUE"""),"Active")</f>
        <v>Active</v>
      </c>
      <c r="E364" s="15">
        <f>IFERROR(__xludf.DUMMYFUNCTION("""COMPUTED_VALUE"""),45967.0)</f>
        <v>45967</v>
      </c>
      <c r="F364" s="16"/>
      <c r="G364" s="18">
        <f>IFERROR(__xludf.DUMMYFUNCTION("""COMPUTED_VALUE"""),11.0)</f>
        <v>11</v>
      </c>
      <c r="H364" s="15">
        <f>IFERROR(__xludf.DUMMYFUNCTION("""COMPUTED_VALUE"""),45967.0)</f>
        <v>45967</v>
      </c>
      <c r="I364" s="18">
        <f>IFERROR(__xludf.DUMMYFUNCTION("""COMPUTED_VALUE"""),0.0)</f>
        <v>0</v>
      </c>
      <c r="J364" s="22">
        <f>IFERROR(__xludf.DUMMYFUNCTION("""COMPUTED_VALUE"""),80.0)</f>
        <v>80</v>
      </c>
      <c r="K364" s="22">
        <f>IFERROR(__xludf.DUMMYFUNCTION("""COMPUTED_VALUE"""),8.0)</f>
        <v>8</v>
      </c>
      <c r="L364" s="26" t="str">
        <f>IFERROR(__xludf.DUMMYFUNCTION("""COMPUTED_VALUE"""),"Platformer")</f>
        <v>Platformer</v>
      </c>
      <c r="M364" s="13" t="b">
        <f>NOT(ISNA(VLOOKUP(A364,PC!A:A,1,FALSE)))</f>
        <v>1</v>
      </c>
      <c r="N364" s="13" t="b">
        <f>NOT(ISNA(VLOOKUP(A364,'Game Pass Premium'!A:A,1,FALSE)))</f>
        <v>1</v>
      </c>
      <c r="O364" s="13" t="b">
        <f>NOT(ISNA(VLOOKUP(A364,'Game Pass Essential'!A:A,1,FALSE)))</f>
        <v>0</v>
      </c>
    </row>
    <row r="365">
      <c r="A365" s="12" t="str">
        <f>IFERROR(__xludf.DUMMYFUNCTION("""COMPUTED_VALUE"""),"Keeper (2025)")</f>
        <v>Keeper (2025)</v>
      </c>
      <c r="B365" s="13" t="str">
        <f>IFERROR(__xludf.DUMMYFUNCTION("""COMPUTED_VALUE"""),"Xbox / PC")</f>
        <v>Xbox / PC</v>
      </c>
      <c r="C365" s="14" t="str">
        <f>IFERROR(__xludf.DUMMYFUNCTION("""COMPUTED_VALUE"""),"Yes")</f>
        <v>Yes</v>
      </c>
      <c r="D365" s="14" t="str">
        <f>IFERROR(__xludf.DUMMYFUNCTION("""COMPUTED_VALUE"""),"Active")</f>
        <v>Active</v>
      </c>
      <c r="E365" s="15">
        <f>IFERROR(__xludf.DUMMYFUNCTION("""COMPUTED_VALUE"""),45947.0)</f>
        <v>45947</v>
      </c>
      <c r="F365" s="16"/>
      <c r="G365" s="18">
        <f>IFERROR(__xludf.DUMMYFUNCTION("""COMPUTED_VALUE"""),11.633333333333333)</f>
        <v>11.63333333</v>
      </c>
      <c r="H365" s="15">
        <f>IFERROR(__xludf.DUMMYFUNCTION("""COMPUTED_VALUE"""),45947.0)</f>
        <v>45947</v>
      </c>
      <c r="I365" s="18">
        <f>IFERROR(__xludf.DUMMYFUNCTION("""COMPUTED_VALUE"""),0.0)</f>
        <v>0</v>
      </c>
      <c r="J365" s="22">
        <f>IFERROR(__xludf.DUMMYFUNCTION("""COMPUTED_VALUE"""),80.0)</f>
        <v>80</v>
      </c>
      <c r="K365" s="22">
        <f>IFERROR(__xludf.DUMMYFUNCTION("""COMPUTED_VALUE"""),5.0)</f>
        <v>5</v>
      </c>
      <c r="L365" s="26" t="str">
        <f>IFERROR(__xludf.DUMMYFUNCTION("""COMPUTED_VALUE"""),"Action-Adventure")</f>
        <v>Action-Adventure</v>
      </c>
      <c r="M365" s="13" t="b">
        <f>NOT(ISNA(VLOOKUP(A365,PC!A:A,1,FALSE)))</f>
        <v>1</v>
      </c>
      <c r="N365" s="13" t="b">
        <f>NOT(ISNA(VLOOKUP(A365,'Game Pass Premium'!A:A,1,FALSE)))</f>
        <v>1</v>
      </c>
      <c r="O365" s="13" t="b">
        <f>NOT(ISNA(VLOOKUP(A365,'Game Pass Essential'!A:A,1,FALSE)))</f>
        <v>0</v>
      </c>
    </row>
    <row r="366">
      <c r="A366" s="12" t="str">
        <f>IFERROR(__xludf.DUMMYFUNCTION("""COMPUTED_VALUE"""),"Assassin's Creed Revelations")</f>
        <v>Assassin's Creed Revelations</v>
      </c>
      <c r="B366" s="13" t="str">
        <f>IFERROR(__xludf.DUMMYFUNCTION("""COMPUTED_VALUE"""),"Xbox / PC")</f>
        <v>Xbox / PC</v>
      </c>
      <c r="C366" s="14"/>
      <c r="D366" s="14" t="str">
        <f>IFERROR(__xludf.DUMMYFUNCTION("""COMPUTED_VALUE"""),"Active")</f>
        <v>Active</v>
      </c>
      <c r="E366" s="15">
        <f>IFERROR(__xludf.DUMMYFUNCTION("""COMPUTED_VALUE"""),45931.0)</f>
        <v>45931</v>
      </c>
      <c r="F366" s="16"/>
      <c r="G366" s="18">
        <f>IFERROR(__xludf.DUMMYFUNCTION("""COMPUTED_VALUE"""),12.166666666666666)</f>
        <v>12.16666667</v>
      </c>
      <c r="H366" s="15">
        <f>IFERROR(__xludf.DUMMYFUNCTION("""COMPUTED_VALUE"""),40862.0)</f>
        <v>40862</v>
      </c>
      <c r="I366" s="18">
        <f>IFERROR(__xludf.DUMMYFUNCTION("""COMPUTED_VALUE"""),13.877777777777778)</f>
        <v>13.87777778</v>
      </c>
      <c r="J366" s="22">
        <f>IFERROR(__xludf.DUMMYFUNCTION("""COMPUTED_VALUE"""),80.0)</f>
        <v>80</v>
      </c>
      <c r="K366" s="22">
        <f>IFERROR(__xludf.DUMMYFUNCTION("""COMPUTED_VALUE"""),13.0)</f>
        <v>13</v>
      </c>
      <c r="L366" s="26" t="str">
        <f>IFERROR(__xludf.DUMMYFUNCTION("""COMPUTED_VALUE"""),"Action-Adventure")</f>
        <v>Action-Adventure</v>
      </c>
      <c r="M366" s="13" t="b">
        <f>NOT(ISNA(VLOOKUP(A366,PC!A:A,1,FALSE)))</f>
        <v>1</v>
      </c>
      <c r="N366" s="13" t="b">
        <f>NOT(ISNA(VLOOKUP(A366,'Game Pass Premium'!A:A,1,FALSE)))</f>
        <v>0</v>
      </c>
      <c r="O366" s="13" t="b">
        <f>NOT(ISNA(VLOOKUP(A366,'Game Pass Essential'!A:A,1,FALSE)))</f>
        <v>0</v>
      </c>
    </row>
    <row r="367">
      <c r="A367" s="12" t="str">
        <f>IFERROR(__xludf.DUMMYFUNCTION("""COMPUTED_VALUE"""),"Far Cry 3: Blood Dragon")</f>
        <v>Far Cry 3: Blood Dragon</v>
      </c>
      <c r="B367" s="13" t="str">
        <f>IFERROR(__xludf.DUMMYFUNCTION("""COMPUTED_VALUE"""),"Xbox / PC")</f>
        <v>Xbox / PC</v>
      </c>
      <c r="C367" s="14" t="str">
        <f>IFERROR(__xludf.DUMMYFUNCTION("""COMPUTED_VALUE"""),"Yes")</f>
        <v>Yes</v>
      </c>
      <c r="D367" s="14" t="str">
        <f>IFERROR(__xludf.DUMMYFUNCTION("""COMPUTED_VALUE"""),"Active")</f>
        <v>Active</v>
      </c>
      <c r="E367" s="15">
        <f>IFERROR(__xludf.DUMMYFUNCTION("""COMPUTED_VALUE"""),45931.0)</f>
        <v>45931</v>
      </c>
      <c r="F367" s="16"/>
      <c r="G367" s="18">
        <f>IFERROR(__xludf.DUMMYFUNCTION("""COMPUTED_VALUE"""),12.166666666666666)</f>
        <v>12.16666667</v>
      </c>
      <c r="H367" s="15">
        <f>IFERROR(__xludf.DUMMYFUNCTION("""COMPUTED_VALUE"""),41395.0)</f>
        <v>41395</v>
      </c>
      <c r="I367" s="18">
        <f>IFERROR(__xludf.DUMMYFUNCTION("""COMPUTED_VALUE"""),12.416666666666666)</f>
        <v>12.41666667</v>
      </c>
      <c r="J367" s="22">
        <f>IFERROR(__xludf.DUMMYFUNCTION("""COMPUTED_VALUE"""),80.0)</f>
        <v>80</v>
      </c>
      <c r="K367" s="22">
        <f>IFERROR(__xludf.DUMMYFUNCTION("""COMPUTED_VALUE"""),5.0)</f>
        <v>5</v>
      </c>
      <c r="L367" s="26" t="str">
        <f>IFERROR(__xludf.DUMMYFUNCTION("""COMPUTED_VALUE"""),"Action-Adventure")</f>
        <v>Action-Adventure</v>
      </c>
      <c r="M367" s="13" t="b">
        <f>NOT(ISNA(VLOOKUP(A367,PC!A:A,1,FALSE)))</f>
        <v>1</v>
      </c>
      <c r="N367" s="13" t="b">
        <f>NOT(ISNA(VLOOKUP(A367,'Game Pass Premium'!A:A,1,FALSE)))</f>
        <v>0</v>
      </c>
      <c r="O367" s="13" t="b">
        <f>NOT(ISNA(VLOOKUP(A367,'Game Pass Essential'!A:A,1,FALSE)))</f>
        <v>0</v>
      </c>
    </row>
    <row r="368">
      <c r="A368" s="12" t="str">
        <f>IFERROR(__xludf.DUMMYFUNCTION("""COMPUTED_VALUE"""),"Tom Clancy's The Division")</f>
        <v>Tom Clancy's The Division</v>
      </c>
      <c r="B368" s="13" t="str">
        <f>IFERROR(__xludf.DUMMYFUNCTION("""COMPUTED_VALUE"""),"Xbox / PC")</f>
        <v>Xbox / PC</v>
      </c>
      <c r="C368" s="14" t="str">
        <f>IFERROR(__xludf.DUMMYFUNCTION("""COMPUTED_VALUE"""),"Yes")</f>
        <v>Yes</v>
      </c>
      <c r="D368" s="14" t="str">
        <f>IFERROR(__xludf.DUMMYFUNCTION("""COMPUTED_VALUE"""),"Active")</f>
        <v>Active</v>
      </c>
      <c r="E368" s="15">
        <f>IFERROR(__xludf.DUMMYFUNCTION("""COMPUTED_VALUE"""),45931.0)</f>
        <v>45931</v>
      </c>
      <c r="F368" s="16"/>
      <c r="G368" s="18">
        <f>IFERROR(__xludf.DUMMYFUNCTION("""COMPUTED_VALUE"""),12.166666666666666)</f>
        <v>12.16666667</v>
      </c>
      <c r="H368" s="15">
        <f>IFERROR(__xludf.DUMMYFUNCTION("""COMPUTED_VALUE"""),42437.0)</f>
        <v>42437</v>
      </c>
      <c r="I368" s="18">
        <f>IFERROR(__xludf.DUMMYFUNCTION("""COMPUTED_VALUE"""),9.563888888888888)</f>
        <v>9.563888889</v>
      </c>
      <c r="J368" s="22">
        <f>IFERROR(__xludf.DUMMYFUNCTION("""COMPUTED_VALUE"""),80.0)</f>
        <v>80</v>
      </c>
      <c r="K368" s="22">
        <f>IFERROR(__xludf.DUMMYFUNCTION("""COMPUTED_VALUE"""),24.0)</f>
        <v>24</v>
      </c>
      <c r="L368" s="26" t="str">
        <f>IFERROR(__xludf.DUMMYFUNCTION("""COMPUTED_VALUE"""),"Shooter")</f>
        <v>Shooter</v>
      </c>
      <c r="M368" s="13" t="b">
        <f>NOT(ISNA(VLOOKUP(A368,PC!A:A,1,FALSE)))</f>
        <v>1</v>
      </c>
      <c r="N368" s="13" t="b">
        <f>NOT(ISNA(VLOOKUP(A368,'Game Pass Premium'!A:A,1,FALSE)))</f>
        <v>0</v>
      </c>
      <c r="O368" s="13" t="b">
        <f>NOT(ISNA(VLOOKUP(A368,'Game Pass Essential'!A:A,1,FALSE)))</f>
        <v>0</v>
      </c>
    </row>
    <row r="369">
      <c r="A369" s="12" t="str">
        <f>IFERROR(__xludf.DUMMYFUNCTION("""COMPUTED_VALUE"""),"Watch_Dogs")</f>
        <v>Watch_Dogs</v>
      </c>
      <c r="B369" s="13" t="str">
        <f>IFERROR(__xludf.DUMMYFUNCTION("""COMPUTED_VALUE"""),"Xbox / PC")</f>
        <v>Xbox / PC</v>
      </c>
      <c r="C369" s="14" t="str">
        <f>IFERROR(__xludf.DUMMYFUNCTION("""COMPUTED_VALUE"""),"Yes")</f>
        <v>Yes</v>
      </c>
      <c r="D369" s="14" t="str">
        <f>IFERROR(__xludf.DUMMYFUNCTION("""COMPUTED_VALUE"""),"Active")</f>
        <v>Active</v>
      </c>
      <c r="E369" s="15">
        <f>IFERROR(__xludf.DUMMYFUNCTION("""COMPUTED_VALUE"""),45931.0)</f>
        <v>45931</v>
      </c>
      <c r="F369" s="16"/>
      <c r="G369" s="18">
        <f>IFERROR(__xludf.DUMMYFUNCTION("""COMPUTED_VALUE"""),12.166666666666666)</f>
        <v>12.16666667</v>
      </c>
      <c r="H369" s="15">
        <f>IFERROR(__xludf.DUMMYFUNCTION("""COMPUTED_VALUE"""),41786.0)</f>
        <v>41786</v>
      </c>
      <c r="I369" s="18">
        <f>IFERROR(__xludf.DUMMYFUNCTION("""COMPUTED_VALUE"""),11.344444444444445)</f>
        <v>11.34444444</v>
      </c>
      <c r="J369" s="22">
        <f>IFERROR(__xludf.DUMMYFUNCTION("""COMPUTED_VALUE"""),80.0)</f>
        <v>80</v>
      </c>
      <c r="K369" s="22">
        <f>IFERROR(__xludf.DUMMYFUNCTION("""COMPUTED_VALUE"""),20.0)</f>
        <v>20</v>
      </c>
      <c r="L369" s="26" t="str">
        <f>IFERROR(__xludf.DUMMYFUNCTION("""COMPUTED_VALUE"""),"Action-Adventure")</f>
        <v>Action-Adventure</v>
      </c>
      <c r="M369" s="13" t="b">
        <f>NOT(ISNA(VLOOKUP(A369,PC!A:A,1,FALSE)))</f>
        <v>1</v>
      </c>
      <c r="N369" s="13" t="b">
        <f>NOT(ISNA(VLOOKUP(A369,'Game Pass Premium'!A:A,1,FALSE)))</f>
        <v>0</v>
      </c>
      <c r="O369" s="13" t="b">
        <f>NOT(ISNA(VLOOKUP(A369,'Game Pass Essential'!A:A,1,FALSE)))</f>
        <v>0</v>
      </c>
    </row>
    <row r="370">
      <c r="A370" s="12" t="str">
        <f>IFERROR(__xludf.DUMMYFUNCTION("""COMPUTED_VALUE"""),"Wheel of Fortune")</f>
        <v>Wheel of Fortune</v>
      </c>
      <c r="B370" s="13" t="str">
        <f>IFERROR(__xludf.DUMMYFUNCTION("""COMPUTED_VALUE"""),"Xbox")</f>
        <v>Xbox</v>
      </c>
      <c r="C370" s="14" t="str">
        <f>IFERROR(__xludf.DUMMYFUNCTION("""COMPUTED_VALUE"""),"Yes")</f>
        <v>Yes</v>
      </c>
      <c r="D370" s="14" t="str">
        <f>IFERROR(__xludf.DUMMYFUNCTION("""COMPUTED_VALUE"""),"Active")</f>
        <v>Active</v>
      </c>
      <c r="E370" s="15">
        <f>IFERROR(__xludf.DUMMYFUNCTION("""COMPUTED_VALUE"""),45931.0)</f>
        <v>45931</v>
      </c>
      <c r="F370" s="16"/>
      <c r="G370" s="18">
        <f>IFERROR(__xludf.DUMMYFUNCTION("""COMPUTED_VALUE"""),12.166666666666666)</f>
        <v>12.16666667</v>
      </c>
      <c r="H370" s="15">
        <f>IFERROR(__xludf.DUMMYFUNCTION("""COMPUTED_VALUE"""),43046.0)</f>
        <v>43046</v>
      </c>
      <c r="I370" s="18">
        <f>IFERROR(__xludf.DUMMYFUNCTION("""COMPUTED_VALUE"""),7.9)</f>
        <v>7.9</v>
      </c>
      <c r="J370" s="22">
        <f>IFERROR(__xludf.DUMMYFUNCTION("""COMPUTED_VALUE"""),80.0)</f>
        <v>80</v>
      </c>
      <c r="K370" s="22">
        <f>IFERROR(__xludf.DUMMYFUNCTION("""COMPUTED_VALUE"""),2.0)</f>
        <v>2</v>
      </c>
      <c r="L370" s="26" t="str">
        <f>IFERROR(__xludf.DUMMYFUNCTION("""COMPUTED_VALUE"""),"Trivia")</f>
        <v>Trivia</v>
      </c>
      <c r="M370" s="13" t="b">
        <f>NOT(ISNA(VLOOKUP(A370,PC!A:A,1,FALSE)))</f>
        <v>0</v>
      </c>
      <c r="N370" s="13" t="b">
        <f>NOT(ISNA(VLOOKUP(A370,'Game Pass Premium'!A:A,1,FALSE)))</f>
        <v>0</v>
      </c>
      <c r="O370" s="13" t="b">
        <f>NOT(ISNA(VLOOKUP(A370,'Game Pass Essential'!A:A,1,FALSE)))</f>
        <v>0</v>
      </c>
    </row>
    <row r="371">
      <c r="A371" s="12" t="str">
        <f>IFERROR(__xludf.DUMMYFUNCTION("""COMPUTED_VALUE"""),"Wobbly Life")</f>
        <v>Wobbly Life</v>
      </c>
      <c r="B371" s="13" t="str">
        <f>IFERROR(__xludf.DUMMYFUNCTION("""COMPUTED_VALUE"""),"Xbox / PC")</f>
        <v>Xbox / PC</v>
      </c>
      <c r="C371" s="14" t="str">
        <f>IFERROR(__xludf.DUMMYFUNCTION("""COMPUTED_VALUE"""),"Yes")</f>
        <v>Yes</v>
      </c>
      <c r="D371" s="14" t="str">
        <f>IFERROR(__xludf.DUMMYFUNCTION("""COMPUTED_VALUE"""),"Active")</f>
        <v>Active</v>
      </c>
      <c r="E371" s="15">
        <f>IFERROR(__xludf.DUMMYFUNCTION("""COMPUTED_VALUE"""),45918.0)</f>
        <v>45918</v>
      </c>
      <c r="F371" s="16"/>
      <c r="G371" s="18">
        <f>IFERROR(__xludf.DUMMYFUNCTION("""COMPUTED_VALUE"""),12.600000000000001)</f>
        <v>12.6</v>
      </c>
      <c r="H371" s="15">
        <f>IFERROR(__xludf.DUMMYFUNCTION("""COMPUTED_VALUE"""),45898.0)</f>
        <v>45898</v>
      </c>
      <c r="I371" s="18">
        <f>IFERROR(__xludf.DUMMYFUNCTION("""COMPUTED_VALUE"""),0.05277777777777778)</f>
        <v>0.05277777778</v>
      </c>
      <c r="J371" s="22">
        <f>IFERROR(__xludf.DUMMYFUNCTION("""COMPUTED_VALUE"""),80.0)</f>
        <v>80</v>
      </c>
      <c r="K371" s="22">
        <f>IFERROR(__xludf.DUMMYFUNCTION("""COMPUTED_VALUE"""),3.0)</f>
        <v>3</v>
      </c>
      <c r="L371" s="26" t="str">
        <f>IFERROR(__xludf.DUMMYFUNCTION("""COMPUTED_VALUE"""),"Action-Adventure")</f>
        <v>Action-Adventure</v>
      </c>
      <c r="M371" s="13" t="b">
        <f>NOT(ISNA(VLOOKUP(A371,PC!A:A,1,FALSE)))</f>
        <v>1</v>
      </c>
      <c r="N371" s="13" t="b">
        <f>NOT(ISNA(VLOOKUP(A371,'Game Pass Premium'!A:A,1,FALSE)))</f>
        <v>1</v>
      </c>
      <c r="O371" s="13" t="b">
        <f>NOT(ISNA(VLOOKUP(A371,'Game Pass Essential'!A:A,1,FALSE)))</f>
        <v>0</v>
      </c>
    </row>
    <row r="372">
      <c r="A372" s="12" t="str">
        <f>IFERROR(__xludf.DUMMYFUNCTION("""COMPUTED_VALUE"""),"Climber 5")</f>
        <v>Climber 5</v>
      </c>
      <c r="B372" s="13" t="str">
        <f>IFERROR(__xludf.DUMMYFUNCTION("""COMPUTED_VALUE"""),"Xbox / PC")</f>
        <v>Xbox / PC</v>
      </c>
      <c r="C372" s="14" t="str">
        <f>IFERROR(__xludf.DUMMYFUNCTION("""COMPUTED_VALUE"""),"Yes")</f>
        <v>Yes</v>
      </c>
      <c r="D372" s="14" t="str">
        <f>IFERROR(__xludf.DUMMYFUNCTION("""COMPUTED_VALUE"""),"Active")</f>
        <v>Active</v>
      </c>
      <c r="E372" s="15">
        <f>IFERROR(__xludf.DUMMYFUNCTION("""COMPUTED_VALUE"""),45883.0)</f>
        <v>45883</v>
      </c>
      <c r="F372" s="16"/>
      <c r="G372" s="18">
        <f>IFERROR(__xludf.DUMMYFUNCTION("""COMPUTED_VALUE"""),13.733333333333333)</f>
        <v>13.73333333</v>
      </c>
      <c r="H372" s="15">
        <f>IFERROR(__xludf.DUMMYFUNCTION("""COMPUTED_VALUE"""),31048.0)</f>
        <v>31048</v>
      </c>
      <c r="I372" s="18">
        <f>IFERROR(__xludf.DUMMYFUNCTION("""COMPUTED_VALUE"""),40.61944444444445)</f>
        <v>40.61944444</v>
      </c>
      <c r="J372" s="22">
        <f>IFERROR(__xludf.DUMMYFUNCTION("""COMPUTED_VALUE"""),80.0)</f>
        <v>80</v>
      </c>
      <c r="K372" s="22"/>
      <c r="L372" s="26" t="str">
        <f>IFERROR(__xludf.DUMMYFUNCTION("""COMPUTED_VALUE"""),"Action")</f>
        <v>Action</v>
      </c>
      <c r="M372" s="13" t="b">
        <f>NOT(ISNA(VLOOKUP(A372,PC!A:A,1,FALSE)))</f>
        <v>1</v>
      </c>
      <c r="N372" s="13" t="b">
        <f>NOT(ISNA(VLOOKUP(A372,'Game Pass Premium'!A:A,1,FALSE)))</f>
        <v>1</v>
      </c>
      <c r="O372" s="13" t="b">
        <f>NOT(ISNA(VLOOKUP(A372,'Game Pass Essential'!A:A,1,FALSE)))</f>
        <v>0</v>
      </c>
    </row>
    <row r="373">
      <c r="A373" s="12" t="str">
        <f>IFERROR(__xludf.DUMMYFUNCTION("""COMPUTED_VALUE"""),"Kaboom!")</f>
        <v>Kaboom!</v>
      </c>
      <c r="B373" s="13" t="str">
        <f>IFERROR(__xludf.DUMMYFUNCTION("""COMPUTED_VALUE"""),"Xbox / PC")</f>
        <v>Xbox / PC</v>
      </c>
      <c r="C373" s="14" t="str">
        <f>IFERROR(__xludf.DUMMYFUNCTION("""COMPUTED_VALUE"""),"Yes")</f>
        <v>Yes</v>
      </c>
      <c r="D373" s="14" t="str">
        <f>IFERROR(__xludf.DUMMYFUNCTION("""COMPUTED_VALUE"""),"Active")</f>
        <v>Active</v>
      </c>
      <c r="E373" s="15">
        <f>IFERROR(__xludf.DUMMYFUNCTION("""COMPUTED_VALUE"""),45798.0)</f>
        <v>45798</v>
      </c>
      <c r="F373" s="16"/>
      <c r="G373" s="18">
        <f>IFERROR(__xludf.DUMMYFUNCTION("""COMPUTED_VALUE"""),16.5)</f>
        <v>16.5</v>
      </c>
      <c r="H373" s="15">
        <f>IFERROR(__xludf.DUMMYFUNCTION("""COMPUTED_VALUE"""),29768.0)</f>
        <v>29768</v>
      </c>
      <c r="I373" s="18">
        <f>IFERROR(__xludf.DUMMYFUNCTION("""COMPUTED_VALUE"""),43.888888888888886)</f>
        <v>43.88888889</v>
      </c>
      <c r="J373" s="22">
        <f>IFERROR(__xludf.DUMMYFUNCTION("""COMPUTED_VALUE"""),80.0)</f>
        <v>80</v>
      </c>
      <c r="K373" s="22"/>
      <c r="L373" s="26" t="str">
        <f>IFERROR(__xludf.DUMMYFUNCTION("""COMPUTED_VALUE"""),"Action‑Adventure")</f>
        <v>Action‑Adventure</v>
      </c>
      <c r="M373" s="13" t="b">
        <f>NOT(ISNA(VLOOKUP(A373,PC!A:A,1,FALSE)))</f>
        <v>1</v>
      </c>
      <c r="N373" s="13" t="b">
        <f>NOT(ISNA(VLOOKUP(A373,'Game Pass Premium'!A:A,1,FALSE)))</f>
        <v>1</v>
      </c>
      <c r="O373" s="13" t="b">
        <f>NOT(ISNA(VLOOKUP(A373,'Game Pass Essential'!A:A,1,FALSE)))</f>
        <v>0</v>
      </c>
    </row>
    <row r="374">
      <c r="A374" s="12" t="str">
        <f>IFERROR(__xludf.DUMMYFUNCTION("""COMPUTED_VALUE"""),"DREDGE")</f>
        <v>DREDGE</v>
      </c>
      <c r="B374" s="13" t="str">
        <f>IFERROR(__xludf.DUMMYFUNCTION("""COMPUTED_VALUE"""),"Xbox / PC")</f>
        <v>Xbox / PC</v>
      </c>
      <c r="C374" s="14" t="str">
        <f>IFERROR(__xludf.DUMMYFUNCTION("""COMPUTED_VALUE"""),"Yes")</f>
        <v>Yes</v>
      </c>
      <c r="D374" s="14" t="str">
        <f>IFERROR(__xludf.DUMMYFUNCTION("""COMPUTED_VALUE"""),"Active")</f>
        <v>Active</v>
      </c>
      <c r="E374" s="15">
        <f>IFERROR(__xludf.DUMMYFUNCTION("""COMPUTED_VALUE"""),45783.0)</f>
        <v>45783</v>
      </c>
      <c r="F374" s="16"/>
      <c r="G374" s="18">
        <f>IFERROR(__xludf.DUMMYFUNCTION("""COMPUTED_VALUE"""),17.0)</f>
        <v>17</v>
      </c>
      <c r="H374" s="15">
        <f>IFERROR(__xludf.DUMMYFUNCTION("""COMPUTED_VALUE"""),45015.0)</f>
        <v>45015</v>
      </c>
      <c r="I374" s="18">
        <f>IFERROR(__xludf.DUMMYFUNCTION("""COMPUTED_VALUE"""),2.1)</f>
        <v>2.1</v>
      </c>
      <c r="J374" s="22">
        <f>IFERROR(__xludf.DUMMYFUNCTION("""COMPUTED_VALUE"""),80.0)</f>
        <v>80</v>
      </c>
      <c r="K374" s="22">
        <f>IFERROR(__xludf.DUMMYFUNCTION("""COMPUTED_VALUE"""),10.0)</f>
        <v>10</v>
      </c>
      <c r="L374" s="26" t="str">
        <f>IFERROR(__xludf.DUMMYFUNCTION("""COMPUTED_VALUE"""),"Action-Adventure")</f>
        <v>Action-Adventure</v>
      </c>
      <c r="M374" s="13" t="b">
        <f>NOT(ISNA(VLOOKUP(A374,PC!A:A,1,FALSE)))</f>
        <v>1</v>
      </c>
      <c r="N374" s="13" t="b">
        <f>NOT(ISNA(VLOOKUP(A374,'Game Pass Premium'!A:A,1,FALSE)))</f>
        <v>1</v>
      </c>
      <c r="O374" s="13" t="b">
        <f>NOT(ISNA(VLOOKUP(A374,'Game Pass Essential'!A:A,1,FALSE)))</f>
        <v>0</v>
      </c>
    </row>
    <row r="375">
      <c r="A375" s="12" t="str">
        <f>IFERROR(__xludf.DUMMYFUNCTION("""COMPUTED_VALUE"""),"Ninja Gaiden II: Black")</f>
        <v>Ninja Gaiden II: Black</v>
      </c>
      <c r="B375" s="13" t="str">
        <f>IFERROR(__xludf.DUMMYFUNCTION("""COMPUTED_VALUE"""),"Xbox / PC")</f>
        <v>Xbox / PC</v>
      </c>
      <c r="C375" s="14" t="str">
        <f>IFERROR(__xludf.DUMMYFUNCTION("""COMPUTED_VALUE"""),"Yes")</f>
        <v>Yes</v>
      </c>
      <c r="D375" s="14" t="str">
        <f>IFERROR(__xludf.DUMMYFUNCTION("""COMPUTED_VALUE"""),"Active")</f>
        <v>Active</v>
      </c>
      <c r="E375" s="15">
        <f>IFERROR(__xludf.DUMMYFUNCTION("""COMPUTED_VALUE"""),45680.0)</f>
        <v>45680</v>
      </c>
      <c r="F375" s="16"/>
      <c r="G375" s="18">
        <f>IFERROR(__xludf.DUMMYFUNCTION("""COMPUTED_VALUE"""),20.433333333333334)</f>
        <v>20.43333333</v>
      </c>
      <c r="H375" s="15">
        <f>IFERROR(__xludf.DUMMYFUNCTION("""COMPUTED_VALUE"""),45680.0)</f>
        <v>45680</v>
      </c>
      <c r="I375" s="18">
        <f>IFERROR(__xludf.DUMMYFUNCTION("""COMPUTED_VALUE"""),0.0)</f>
        <v>0</v>
      </c>
      <c r="J375" s="22">
        <f>IFERROR(__xludf.DUMMYFUNCTION("""COMPUTED_VALUE"""),80.0)</f>
        <v>80</v>
      </c>
      <c r="K375" s="22">
        <f>IFERROR(__xludf.DUMMYFUNCTION("""COMPUTED_VALUE"""),10.0)</f>
        <v>10</v>
      </c>
      <c r="L375" s="26" t="str">
        <f>IFERROR(__xludf.DUMMYFUNCTION("""COMPUTED_VALUE"""),"Action-Adventure")</f>
        <v>Action-Adventure</v>
      </c>
      <c r="M375" s="13" t="b">
        <f>NOT(ISNA(VLOOKUP(A375,PC!A:A,1,FALSE)))</f>
        <v>1</v>
      </c>
      <c r="N375" s="13" t="b">
        <f>NOT(ISNA(VLOOKUP(A375,'Game Pass Premium'!A:A,1,FALSE)))</f>
        <v>1</v>
      </c>
      <c r="O375" s="13" t="b">
        <f>NOT(ISNA(VLOOKUP(A375,'Game Pass Essential'!A:A,1,FALSE)))</f>
        <v>0</v>
      </c>
    </row>
    <row r="376">
      <c r="A376" s="12" t="str">
        <f>IFERROR(__xludf.DUMMYFUNCTION("""COMPUTED_VALUE"""),"EA Sports WRC")</f>
        <v>EA Sports WRC</v>
      </c>
      <c r="B376" s="13" t="str">
        <f>IFERROR(__xludf.DUMMYFUNCTION("""COMPUTED_VALUE"""),"Xbox / PC")</f>
        <v>Xbox / PC</v>
      </c>
      <c r="C376" s="14" t="str">
        <f>IFERROR(__xludf.DUMMYFUNCTION("""COMPUTED_VALUE"""),"Yes")</f>
        <v>Yes</v>
      </c>
      <c r="D376" s="14" t="str">
        <f>IFERROR(__xludf.DUMMYFUNCTION("""COMPUTED_VALUE"""),"Active")</f>
        <v>Active</v>
      </c>
      <c r="E376" s="15">
        <f>IFERROR(__xludf.DUMMYFUNCTION("""COMPUTED_VALUE"""),45631.0)</f>
        <v>45631</v>
      </c>
      <c r="F376" s="16"/>
      <c r="G376" s="18">
        <f>IFERROR(__xludf.DUMMYFUNCTION("""COMPUTED_VALUE"""),22.03333333333333)</f>
        <v>22.03333333</v>
      </c>
      <c r="H376" s="15">
        <f>IFERROR(__xludf.DUMMYFUNCTION("""COMPUTED_VALUE"""),45233.0)</f>
        <v>45233</v>
      </c>
      <c r="I376" s="18">
        <f>IFERROR(__xludf.DUMMYFUNCTION("""COMPUTED_VALUE"""),1.0888888888888888)</f>
        <v>1.088888889</v>
      </c>
      <c r="J376" s="22">
        <f>IFERROR(__xludf.DUMMYFUNCTION("""COMPUTED_VALUE"""),80.0)</f>
        <v>80</v>
      </c>
      <c r="K376" s="22">
        <f>IFERROR(__xludf.DUMMYFUNCTION("""COMPUTED_VALUE"""),11.0)</f>
        <v>11</v>
      </c>
      <c r="L376" s="26" t="str">
        <f>IFERROR(__xludf.DUMMYFUNCTION("""COMPUTED_VALUE"""),"Racing")</f>
        <v>Racing</v>
      </c>
      <c r="M376" s="13" t="b">
        <f>NOT(ISNA(VLOOKUP(A376,PC!A:A,1,FALSE)))</f>
        <v>1</v>
      </c>
      <c r="N376" s="13" t="b">
        <f>NOT(ISNA(VLOOKUP(A376,'Game Pass Premium'!A:A,1,FALSE)))</f>
        <v>0</v>
      </c>
      <c r="O376" s="13" t="b">
        <f>NOT(ISNA(VLOOKUP(A376,'Game Pass Essential'!A:A,1,FALSE)))</f>
        <v>0</v>
      </c>
    </row>
    <row r="377">
      <c r="A377" s="12" t="str">
        <f>IFERROR(__xludf.DUMMYFUNCTION("""COMPUTED_VALUE"""),"Crash Bandicoot N. Sane Trilogy")</f>
        <v>Crash Bandicoot N. Sane Trilogy</v>
      </c>
      <c r="B377" s="13" t="str">
        <f>IFERROR(__xludf.DUMMYFUNCTION("""COMPUTED_VALUE"""),"Xbox / PC")</f>
        <v>Xbox / PC</v>
      </c>
      <c r="C377" s="14" t="str">
        <f>IFERROR(__xludf.DUMMYFUNCTION("""COMPUTED_VALUE"""),"Yes")</f>
        <v>Yes</v>
      </c>
      <c r="D377" s="14" t="str">
        <f>IFERROR(__xludf.DUMMYFUNCTION("""COMPUTED_VALUE"""),"Active")</f>
        <v>Active</v>
      </c>
      <c r="E377" s="15">
        <f>IFERROR(__xludf.DUMMYFUNCTION("""COMPUTED_VALUE"""),45512.0)</f>
        <v>45512</v>
      </c>
      <c r="F377" s="16"/>
      <c r="G377" s="18">
        <f>IFERROR(__xludf.DUMMYFUNCTION("""COMPUTED_VALUE"""),25.93333333333333)</f>
        <v>25.93333333</v>
      </c>
      <c r="H377" s="15">
        <f>IFERROR(__xludf.DUMMYFUNCTION("""COMPUTED_VALUE"""),42916.0)</f>
        <v>42916</v>
      </c>
      <c r="I377" s="18">
        <f>IFERROR(__xludf.DUMMYFUNCTION("""COMPUTED_VALUE"""),7.105555555555555)</f>
        <v>7.105555556</v>
      </c>
      <c r="J377" s="22">
        <f>IFERROR(__xludf.DUMMYFUNCTION("""COMPUTED_VALUE"""),80.0)</f>
        <v>80</v>
      </c>
      <c r="K377" s="22">
        <f>IFERROR(__xludf.DUMMYFUNCTION("""COMPUTED_VALUE"""),15.0)</f>
        <v>15</v>
      </c>
      <c r="L377" s="26" t="str">
        <f>IFERROR(__xludf.DUMMYFUNCTION("""COMPUTED_VALUE"""),"Platformer")</f>
        <v>Platformer</v>
      </c>
      <c r="M377" s="13" t="b">
        <f>NOT(ISNA(VLOOKUP(A377,PC!A:A,1,FALSE)))</f>
        <v>1</v>
      </c>
      <c r="N377" s="13" t="b">
        <f>NOT(ISNA(VLOOKUP(A377,'Game Pass Premium'!A:A,1,FALSE)))</f>
        <v>1</v>
      </c>
      <c r="O377" s="13" t="b">
        <f>NOT(ISNA(VLOOKUP(A377,'Game Pass Essential'!A:A,1,FALSE)))</f>
        <v>0</v>
      </c>
    </row>
    <row r="378">
      <c r="A378" s="12" t="str">
        <f>IFERROR(__xludf.DUMMYFUNCTION("""COMPUTED_VALUE"""),"Moving Out 2")</f>
        <v>Moving Out 2</v>
      </c>
      <c r="B378" s="13" t="str">
        <f>IFERROR(__xludf.DUMMYFUNCTION("""COMPUTED_VALUE"""),"Xbox / PC")</f>
        <v>Xbox / PC</v>
      </c>
      <c r="C378" s="14" t="str">
        <f>IFERROR(__xludf.DUMMYFUNCTION("""COMPUTED_VALUE"""),"Yes")</f>
        <v>Yes</v>
      </c>
      <c r="D378" s="14" t="str">
        <f>IFERROR(__xludf.DUMMYFUNCTION("""COMPUTED_VALUE"""),"Active")</f>
        <v>Active</v>
      </c>
      <c r="E378" s="15">
        <f>IFERROR(__xludf.DUMMYFUNCTION("""COMPUTED_VALUE"""),45440.0)</f>
        <v>45440</v>
      </c>
      <c r="F378" s="16"/>
      <c r="G378" s="18">
        <f>IFERROR(__xludf.DUMMYFUNCTION("""COMPUTED_VALUE"""),28.266666666666666)</f>
        <v>28.26666667</v>
      </c>
      <c r="H378" s="15">
        <f>IFERROR(__xludf.DUMMYFUNCTION("""COMPUTED_VALUE"""),45153.0)</f>
        <v>45153</v>
      </c>
      <c r="I378" s="18">
        <f>IFERROR(__xludf.DUMMYFUNCTION("""COMPUTED_VALUE"""),0.7861111111111111)</f>
        <v>0.7861111111</v>
      </c>
      <c r="J378" s="22">
        <f>IFERROR(__xludf.DUMMYFUNCTION("""COMPUTED_VALUE"""),80.0)</f>
        <v>80</v>
      </c>
      <c r="K378" s="22">
        <f>IFERROR(__xludf.DUMMYFUNCTION("""COMPUTED_VALUE"""),10.0)</f>
        <v>10</v>
      </c>
      <c r="L378" s="26" t="str">
        <f>IFERROR(__xludf.DUMMYFUNCTION("""COMPUTED_VALUE"""),"Simulation")</f>
        <v>Simulation</v>
      </c>
      <c r="M378" s="13" t="b">
        <f>NOT(ISNA(VLOOKUP(A378,PC!A:A,1,FALSE)))</f>
        <v>1</v>
      </c>
      <c r="N378" s="13" t="b">
        <f>NOT(ISNA(VLOOKUP(A378,'Game Pass Premium'!A:A,1,FALSE)))</f>
        <v>1</v>
      </c>
      <c r="O378" s="13" t="b">
        <f>NOT(ISNA(VLOOKUP(A378,'Game Pass Essential'!A:A,1,FALSE)))</f>
        <v>0</v>
      </c>
    </row>
    <row r="379">
      <c r="A379" s="12" t="str">
        <f>IFERROR(__xludf.DUMMYFUNCTION("""COMPUTED_VALUE"""),"Hellblade II: Senua’s Saga")</f>
        <v>Hellblade II: Senua’s Saga</v>
      </c>
      <c r="B379" s="13" t="str">
        <f>IFERROR(__xludf.DUMMYFUNCTION("""COMPUTED_VALUE"""),"Xbox / PC")</f>
        <v>Xbox / PC</v>
      </c>
      <c r="C379" s="14" t="str">
        <f>IFERROR(__xludf.DUMMYFUNCTION("""COMPUTED_VALUE"""),"Yes")</f>
        <v>Yes</v>
      </c>
      <c r="D379" s="14" t="str">
        <f>IFERROR(__xludf.DUMMYFUNCTION("""COMPUTED_VALUE"""),"Active")</f>
        <v>Active</v>
      </c>
      <c r="E379" s="15">
        <f>IFERROR(__xludf.DUMMYFUNCTION("""COMPUTED_VALUE"""),45433.0)</f>
        <v>45433</v>
      </c>
      <c r="F379" s="16"/>
      <c r="G379" s="18">
        <f>IFERROR(__xludf.DUMMYFUNCTION("""COMPUTED_VALUE"""),28.5)</f>
        <v>28.5</v>
      </c>
      <c r="H379" s="15">
        <f>IFERROR(__xludf.DUMMYFUNCTION("""COMPUTED_VALUE"""),45433.0)</f>
        <v>45433</v>
      </c>
      <c r="I379" s="18">
        <f>IFERROR(__xludf.DUMMYFUNCTION("""COMPUTED_VALUE"""),0.0)</f>
        <v>0</v>
      </c>
      <c r="J379" s="22">
        <f>IFERROR(__xludf.DUMMYFUNCTION("""COMPUTED_VALUE"""),80.0)</f>
        <v>80</v>
      </c>
      <c r="K379" s="22">
        <f>IFERROR(__xludf.DUMMYFUNCTION("""COMPUTED_VALUE"""),7.0)</f>
        <v>7</v>
      </c>
      <c r="L379" s="26" t="str">
        <f>IFERROR(__xludf.DUMMYFUNCTION("""COMPUTED_VALUE"""),"Action-Adventure")</f>
        <v>Action-Adventure</v>
      </c>
      <c r="M379" s="13" t="b">
        <f>NOT(ISNA(VLOOKUP(A379,PC!A:A,1,FALSE)))</f>
        <v>1</v>
      </c>
      <c r="N379" s="13" t="b">
        <f>NOT(ISNA(VLOOKUP(A379,'Game Pass Premium'!A:A,1,FALSE)))</f>
        <v>1</v>
      </c>
      <c r="O379" s="13" t="b">
        <f>NOT(ISNA(VLOOKUP(A379,'Game Pass Essential'!A:A,1,FALSE)))</f>
        <v>0</v>
      </c>
    </row>
    <row r="380">
      <c r="A380" s="12" t="str">
        <f>IFERROR(__xludf.DUMMYFUNCTION("""COMPUTED_VALUE"""),"Assassin's Creed Valhalla")</f>
        <v>Assassin's Creed Valhalla</v>
      </c>
      <c r="B380" s="13" t="str">
        <f>IFERROR(__xludf.DUMMYFUNCTION("""COMPUTED_VALUE"""),"Xbox / PC")</f>
        <v>Xbox / PC</v>
      </c>
      <c r="C380" s="14" t="str">
        <f>IFERROR(__xludf.DUMMYFUNCTION("""COMPUTED_VALUE"""),"Yes")</f>
        <v>Yes</v>
      </c>
      <c r="D380" s="14" t="str">
        <f>IFERROR(__xludf.DUMMYFUNCTION("""COMPUTED_VALUE"""),"Active")</f>
        <v>Active</v>
      </c>
      <c r="E380" s="15">
        <f>IFERROR(__xludf.DUMMYFUNCTION("""COMPUTED_VALUE"""),45300.0)</f>
        <v>45300</v>
      </c>
      <c r="F380" s="16"/>
      <c r="G380" s="18">
        <f>IFERROR(__xludf.DUMMYFUNCTION("""COMPUTED_VALUE"""),32.9)</f>
        <v>32.9</v>
      </c>
      <c r="H380" s="15">
        <f>IFERROR(__xludf.DUMMYFUNCTION("""COMPUTED_VALUE"""),44145.0)</f>
        <v>44145</v>
      </c>
      <c r="I380" s="18">
        <f>IFERROR(__xludf.DUMMYFUNCTION("""COMPUTED_VALUE"""),3.1638888888888888)</f>
        <v>3.163888889</v>
      </c>
      <c r="J380" s="22">
        <f>IFERROR(__xludf.DUMMYFUNCTION("""COMPUTED_VALUE"""),80.0)</f>
        <v>80</v>
      </c>
      <c r="K380" s="22">
        <f>IFERROR(__xludf.DUMMYFUNCTION("""COMPUTED_VALUE"""),61.0)</f>
        <v>61</v>
      </c>
      <c r="L380" s="26" t="str">
        <f>IFERROR(__xludf.DUMMYFUNCTION("""COMPUTED_VALUE"""),"RPG")</f>
        <v>RPG</v>
      </c>
      <c r="M380" s="13" t="b">
        <f>NOT(ISNA(VLOOKUP(A380,PC!A:A,1,FALSE)))</f>
        <v>1</v>
      </c>
      <c r="N380" s="13" t="b">
        <f>NOT(ISNA(VLOOKUP(A380,'Game Pass Premium'!A:A,1,FALSE)))</f>
        <v>1</v>
      </c>
      <c r="O380" s="13" t="b">
        <f>NOT(ISNA(VLOOKUP(A380,'Game Pass Essential'!A:A,1,FALSE)))</f>
        <v>0</v>
      </c>
    </row>
    <row r="381">
      <c r="A381" s="12" t="str">
        <f>IFERROR(__xludf.DUMMYFUNCTION("""COMPUTED_VALUE"""),"Wartales")</f>
        <v>Wartales</v>
      </c>
      <c r="B381" s="13" t="str">
        <f>IFERROR(__xludf.DUMMYFUNCTION("""COMPUTED_VALUE"""),"Xbox / PC")</f>
        <v>Xbox / PC</v>
      </c>
      <c r="C381" s="14" t="str">
        <f>IFERROR(__xludf.DUMMYFUNCTION("""COMPUTED_VALUE"""),"Yes")</f>
        <v>Yes</v>
      </c>
      <c r="D381" s="14" t="str">
        <f>IFERROR(__xludf.DUMMYFUNCTION("""COMPUTED_VALUE"""),"Active")</f>
        <v>Active</v>
      </c>
      <c r="E381" s="15">
        <f>IFERROR(__xludf.DUMMYFUNCTION("""COMPUTED_VALUE"""),45230.0)</f>
        <v>45230</v>
      </c>
      <c r="F381" s="16"/>
      <c r="G381" s="18">
        <f>IFERROR(__xludf.DUMMYFUNCTION("""COMPUTED_VALUE"""),35.199999999999996)</f>
        <v>35.2</v>
      </c>
      <c r="H381" s="15">
        <f>IFERROR(__xludf.DUMMYFUNCTION("""COMPUTED_VALUE"""),44531.0)</f>
        <v>44531</v>
      </c>
      <c r="I381" s="18">
        <f>IFERROR(__xludf.DUMMYFUNCTION("""COMPUTED_VALUE"""),1.913888888888889)</f>
        <v>1.913888889</v>
      </c>
      <c r="J381" s="22">
        <f>IFERROR(__xludf.DUMMYFUNCTION("""COMPUTED_VALUE"""),80.0)</f>
        <v>80</v>
      </c>
      <c r="K381" s="22">
        <f>IFERROR(__xludf.DUMMYFUNCTION("""COMPUTED_VALUE"""),38.0)</f>
        <v>38</v>
      </c>
      <c r="L381" s="26" t="str">
        <f>IFERROR(__xludf.DUMMYFUNCTION("""COMPUTED_VALUE"""),"RPG")</f>
        <v>RPG</v>
      </c>
      <c r="M381" s="13" t="b">
        <f>NOT(ISNA(VLOOKUP(A381,PC!A:A,1,FALSE)))</f>
        <v>1</v>
      </c>
      <c r="N381" s="13" t="b">
        <f>NOT(ISNA(VLOOKUP(A381,'Game Pass Premium'!A:A,1,FALSE)))</f>
        <v>1</v>
      </c>
      <c r="O381" s="13" t="b">
        <f>NOT(ISNA(VLOOKUP(A381,'Game Pass Essential'!A:A,1,FALSE)))</f>
        <v>0</v>
      </c>
    </row>
    <row r="382">
      <c r="A382" s="12" t="str">
        <f>IFERROR(__xludf.DUMMYFUNCTION("""COMPUTED_VALUE"""),"LEGO Star Wars: The Skywalker Saga")</f>
        <v>LEGO Star Wars: The Skywalker Saga</v>
      </c>
      <c r="B382" s="13" t="str">
        <f>IFERROR(__xludf.DUMMYFUNCTION("""COMPUTED_VALUE"""),"Xbox / PC")</f>
        <v>Xbox / PC</v>
      </c>
      <c r="C382" s="14" t="str">
        <f>IFERROR(__xludf.DUMMYFUNCTION("""COMPUTED_VALUE"""),"Yes")</f>
        <v>Yes</v>
      </c>
      <c r="D382" s="14" t="str">
        <f>IFERROR(__xludf.DUMMYFUNCTION("""COMPUTED_VALUE"""),"Active")</f>
        <v>Active</v>
      </c>
      <c r="E382" s="15">
        <f>IFERROR(__xludf.DUMMYFUNCTION("""COMPUTED_VALUE"""),44901.0)</f>
        <v>44901</v>
      </c>
      <c r="F382" s="16"/>
      <c r="G382" s="18">
        <f>IFERROR(__xludf.DUMMYFUNCTION("""COMPUTED_VALUE"""),46.0)</f>
        <v>46</v>
      </c>
      <c r="H382" s="15">
        <f>IFERROR(__xludf.DUMMYFUNCTION("""COMPUTED_VALUE"""),44656.0)</f>
        <v>44656</v>
      </c>
      <c r="I382" s="18">
        <f>IFERROR(__xludf.DUMMYFUNCTION("""COMPUTED_VALUE"""),0.6694444444444444)</f>
        <v>0.6694444444</v>
      </c>
      <c r="J382" s="22">
        <f>IFERROR(__xludf.DUMMYFUNCTION("""COMPUTED_VALUE"""),80.0)</f>
        <v>80</v>
      </c>
      <c r="K382" s="22">
        <f>IFERROR(__xludf.DUMMYFUNCTION("""COMPUTED_VALUE"""),19.0)</f>
        <v>19</v>
      </c>
      <c r="L382" s="26" t="str">
        <f>IFERROR(__xludf.DUMMYFUNCTION("""COMPUTED_VALUE"""),"Shooter")</f>
        <v>Shooter</v>
      </c>
      <c r="M382" s="13" t="b">
        <f>NOT(ISNA(VLOOKUP(A382,PC!A:A,1,FALSE)))</f>
        <v>1</v>
      </c>
      <c r="N382" s="13" t="b">
        <f>NOT(ISNA(VLOOKUP(A382,'Game Pass Premium'!A:A,1,FALSE)))</f>
        <v>1</v>
      </c>
      <c r="O382" s="13" t="b">
        <f>NOT(ISNA(VLOOKUP(A382,'Game Pass Essential'!A:A,1,FALSE)))</f>
        <v>0</v>
      </c>
    </row>
    <row r="383">
      <c r="A383" s="12" t="str">
        <f>IFERROR(__xludf.DUMMYFUNCTION("""COMPUTED_VALUE"""),"Far Cry 5")</f>
        <v>Far Cry 5</v>
      </c>
      <c r="B383" s="13" t="str">
        <f>IFERROR(__xludf.DUMMYFUNCTION("""COMPUTED_VALUE"""),"Xbox / PC")</f>
        <v>Xbox / PC</v>
      </c>
      <c r="C383" s="14" t="str">
        <f>IFERROR(__xludf.DUMMYFUNCTION("""COMPUTED_VALUE"""),"Yes")</f>
        <v>Yes</v>
      </c>
      <c r="D383" s="14" t="str">
        <f>IFERROR(__xludf.DUMMYFUNCTION("""COMPUTED_VALUE"""),"Active")</f>
        <v>Active</v>
      </c>
      <c r="E383" s="15">
        <f>IFERROR(__xludf.DUMMYFUNCTION("""COMPUTED_VALUE"""),44743.0)</f>
        <v>44743</v>
      </c>
      <c r="F383" s="16"/>
      <c r="G383" s="18">
        <f>IFERROR(__xludf.DUMMYFUNCTION("""COMPUTED_VALUE"""),51.16666666666667)</f>
        <v>51.16666667</v>
      </c>
      <c r="H383" s="15">
        <f>IFERROR(__xludf.DUMMYFUNCTION("""COMPUTED_VALUE"""),43186.0)</f>
        <v>43186</v>
      </c>
      <c r="I383" s="18">
        <f>IFERROR(__xludf.DUMMYFUNCTION("""COMPUTED_VALUE"""),4.261111111111111)</f>
        <v>4.261111111</v>
      </c>
      <c r="J383" s="22">
        <f>IFERROR(__xludf.DUMMYFUNCTION("""COMPUTED_VALUE"""),80.0)</f>
        <v>80</v>
      </c>
      <c r="K383" s="22">
        <f>IFERROR(__xludf.DUMMYFUNCTION("""COMPUTED_VALUE"""),18.0)</f>
        <v>18</v>
      </c>
      <c r="L383" s="26" t="str">
        <f>IFERROR(__xludf.DUMMYFUNCTION("""COMPUTED_VALUE"""),"Shooter")</f>
        <v>Shooter</v>
      </c>
      <c r="M383" s="13" t="b">
        <f>NOT(ISNA(VLOOKUP(A383,PC!A:A,1,FALSE)))</f>
        <v>1</v>
      </c>
      <c r="N383" s="13" t="b">
        <f>NOT(ISNA(VLOOKUP(A383,'Game Pass Premium'!A:A,1,FALSE)))</f>
        <v>1</v>
      </c>
      <c r="O383" s="13" t="b">
        <f>NOT(ISNA(VLOOKUP(A383,'Game Pass Essential'!A:A,1,FALSE)))</f>
        <v>0</v>
      </c>
    </row>
    <row r="384">
      <c r="A384" s="12" t="str">
        <f>IFERROR(__xludf.DUMMYFUNCTION("""COMPUTED_VALUE"""),"Plants vs. Zombies: Garden Warfare 2 - Deluxe Edition")</f>
        <v>Plants vs. Zombies: Garden Warfare 2 - Deluxe Edition</v>
      </c>
      <c r="B384" s="13" t="str">
        <f>IFERROR(__xludf.DUMMYFUNCTION("""COMPUTED_VALUE"""),"Xbox / PC")</f>
        <v>Xbox / PC</v>
      </c>
      <c r="C384" s="14" t="str">
        <f>IFERROR(__xludf.DUMMYFUNCTION("""COMPUTED_VALUE"""),"Yes")</f>
        <v>Yes</v>
      </c>
      <c r="D384" s="14" t="str">
        <f>IFERROR(__xludf.DUMMYFUNCTION("""COMPUTED_VALUE"""),"Active")</f>
        <v>Active</v>
      </c>
      <c r="E384" s="15">
        <f>IFERROR(__xludf.DUMMYFUNCTION("""COMPUTED_VALUE"""),44145.0)</f>
        <v>44145</v>
      </c>
      <c r="F384" s="16"/>
      <c r="G384" s="18">
        <f>IFERROR(__xludf.DUMMYFUNCTION("""COMPUTED_VALUE"""),70.86666666666667)</f>
        <v>70.86666667</v>
      </c>
      <c r="H384" s="15">
        <f>IFERROR(__xludf.DUMMYFUNCTION("""COMPUTED_VALUE"""),42423.0)</f>
        <v>42423</v>
      </c>
      <c r="I384" s="18">
        <f>IFERROR(__xludf.DUMMYFUNCTION("""COMPUTED_VALUE"""),4.713888888888889)</f>
        <v>4.713888889</v>
      </c>
      <c r="J384" s="22">
        <f>IFERROR(__xludf.DUMMYFUNCTION("""COMPUTED_VALUE"""),80.0)</f>
        <v>80</v>
      </c>
      <c r="K384" s="22">
        <f>IFERROR(__xludf.DUMMYFUNCTION("""COMPUTED_VALUE"""),12.5)</f>
        <v>12.5</v>
      </c>
      <c r="L384" s="26" t="str">
        <f>IFERROR(__xludf.DUMMYFUNCTION("""COMPUTED_VALUE"""),"Action")</f>
        <v>Action</v>
      </c>
      <c r="M384" s="13" t="b">
        <f>NOT(ISNA(VLOOKUP(A384,PC!A:A,1,FALSE)))</f>
        <v>1</v>
      </c>
      <c r="N384" s="13" t="b">
        <f>NOT(ISNA(VLOOKUP(A384,'Game Pass Premium'!A:A,1,FALSE)))</f>
        <v>1</v>
      </c>
      <c r="O384" s="13" t="b">
        <f>NOT(ISNA(VLOOKUP(A384,'Game Pass Essential'!A:A,1,FALSE)))</f>
        <v>0</v>
      </c>
    </row>
    <row r="385">
      <c r="A385" s="12" t="str">
        <f>IFERROR(__xludf.DUMMYFUNCTION("""COMPUTED_VALUE"""),"Skate 3")</f>
        <v>Skate 3</v>
      </c>
      <c r="B385" s="13" t="str">
        <f>IFERROR(__xludf.DUMMYFUNCTION("""COMPUTED_VALUE"""),"Xbox")</f>
        <v>Xbox</v>
      </c>
      <c r="C385" s="14" t="str">
        <f>IFERROR(__xludf.DUMMYFUNCTION("""COMPUTED_VALUE"""),"Yes")</f>
        <v>Yes</v>
      </c>
      <c r="D385" s="14" t="str">
        <f>IFERROR(__xludf.DUMMYFUNCTION("""COMPUTED_VALUE"""),"Active")</f>
        <v>Active</v>
      </c>
      <c r="E385" s="15">
        <f>IFERROR(__xludf.DUMMYFUNCTION("""COMPUTED_VALUE"""),44145.0)</f>
        <v>44145</v>
      </c>
      <c r="F385" s="16"/>
      <c r="G385" s="18">
        <f>IFERROR(__xludf.DUMMYFUNCTION("""COMPUTED_VALUE"""),70.86666666666667)</f>
        <v>70.86666667</v>
      </c>
      <c r="H385" s="15">
        <f>IFERROR(__xludf.DUMMYFUNCTION("""COMPUTED_VALUE"""),40309.0)</f>
        <v>40309</v>
      </c>
      <c r="I385" s="18">
        <f>IFERROR(__xludf.DUMMYFUNCTION("""COMPUTED_VALUE"""),10.497222222222222)</f>
        <v>10.49722222</v>
      </c>
      <c r="J385" s="22">
        <f>IFERROR(__xludf.DUMMYFUNCTION("""COMPUTED_VALUE"""),80.0)</f>
        <v>80</v>
      </c>
      <c r="K385" s="22">
        <f>IFERROR(__xludf.DUMMYFUNCTION("""COMPUTED_VALUE"""),9.0)</f>
        <v>9</v>
      </c>
      <c r="L385" s="26" t="str">
        <f>IFERROR(__xludf.DUMMYFUNCTION("""COMPUTED_VALUE"""),"Skateboarding")</f>
        <v>Skateboarding</v>
      </c>
      <c r="M385" s="13" t="b">
        <f>NOT(ISNA(VLOOKUP(A385,PC!A:A,1,FALSE)))</f>
        <v>0</v>
      </c>
      <c r="N385" s="13" t="b">
        <f>NOT(ISNA(VLOOKUP(A385,'Game Pass Premium'!A:A,1,FALSE)))</f>
        <v>1</v>
      </c>
      <c r="O385" s="13" t="b">
        <f>NOT(ISNA(VLOOKUP(A385,'Game Pass Essential'!A:A,1,FALSE)))</f>
        <v>0</v>
      </c>
    </row>
    <row r="386">
      <c r="A386" s="12" t="str">
        <f>IFERROR(__xludf.DUMMYFUNCTION("""COMPUTED_VALUE"""),"Grim Fandango Remastered")</f>
        <v>Grim Fandango Remastered</v>
      </c>
      <c r="B386" s="13" t="str">
        <f>IFERROR(__xludf.DUMMYFUNCTION("""COMPUTED_VALUE"""),"Xbox / PC")</f>
        <v>Xbox / PC</v>
      </c>
      <c r="C386" s="14"/>
      <c r="D386" s="14" t="str">
        <f>IFERROR(__xludf.DUMMYFUNCTION("""COMPUTED_VALUE"""),"Active")</f>
        <v>Active</v>
      </c>
      <c r="E386" s="15">
        <f>IFERROR(__xludf.DUMMYFUNCTION("""COMPUTED_VALUE"""),44133.0)</f>
        <v>44133</v>
      </c>
      <c r="F386" s="16"/>
      <c r="G386" s="18">
        <f>IFERROR(__xludf.DUMMYFUNCTION("""COMPUTED_VALUE"""),71.23333333333333)</f>
        <v>71.23333333</v>
      </c>
      <c r="H386" s="15">
        <f>IFERROR(__xludf.DUMMYFUNCTION("""COMPUTED_VALUE"""),42031.0)</f>
        <v>42031</v>
      </c>
      <c r="I386" s="18">
        <f>IFERROR(__xludf.DUMMYFUNCTION("""COMPUTED_VALUE"""),5.7555555555555555)</f>
        <v>5.755555556</v>
      </c>
      <c r="J386" s="22">
        <f>IFERROR(__xludf.DUMMYFUNCTION("""COMPUTED_VALUE"""),80.0)</f>
        <v>80</v>
      </c>
      <c r="K386" s="22">
        <f>IFERROR(__xludf.DUMMYFUNCTION("""COMPUTED_VALUE"""),11.0)</f>
        <v>11</v>
      </c>
      <c r="L386" s="26" t="str">
        <f>IFERROR(__xludf.DUMMYFUNCTION("""COMPUTED_VALUE"""),"Adventure")</f>
        <v>Adventure</v>
      </c>
      <c r="M386" s="13" t="b">
        <f>NOT(ISNA(VLOOKUP(A386,PC!A:A,1,FALSE)))</f>
        <v>1</v>
      </c>
      <c r="N386" s="13" t="b">
        <f>NOT(ISNA(VLOOKUP(A386,'Game Pass Premium'!A:A,1,FALSE)))</f>
        <v>1</v>
      </c>
      <c r="O386" s="13" t="b">
        <f>NOT(ISNA(VLOOKUP(A386,'Game Pass Essential'!A:A,1,FALSE)))</f>
        <v>0</v>
      </c>
    </row>
    <row r="387">
      <c r="A387" s="12" t="str">
        <f>IFERROR(__xludf.DUMMYFUNCTION("""COMPUTED_VALUE"""),"Tell Me Why")</f>
        <v>Tell Me Why</v>
      </c>
      <c r="B387" s="13" t="str">
        <f>IFERROR(__xludf.DUMMYFUNCTION("""COMPUTED_VALUE"""),"Xbox / PC")</f>
        <v>Xbox / PC</v>
      </c>
      <c r="C387" s="14" t="str">
        <f>IFERROR(__xludf.DUMMYFUNCTION("""COMPUTED_VALUE"""),"Touch Controls")</f>
        <v>Touch Controls</v>
      </c>
      <c r="D387" s="14" t="str">
        <f>IFERROR(__xludf.DUMMYFUNCTION("""COMPUTED_VALUE"""),"Active")</f>
        <v>Active</v>
      </c>
      <c r="E387" s="15">
        <f>IFERROR(__xludf.DUMMYFUNCTION("""COMPUTED_VALUE"""),44070.0)</f>
        <v>44070</v>
      </c>
      <c r="F387" s="16"/>
      <c r="G387" s="18">
        <f>IFERROR(__xludf.DUMMYFUNCTION("""COMPUTED_VALUE"""),73.3)</f>
        <v>73.3</v>
      </c>
      <c r="H387" s="15">
        <f>IFERROR(__xludf.DUMMYFUNCTION("""COMPUTED_VALUE"""),44070.0)</f>
        <v>44070</v>
      </c>
      <c r="I387" s="18">
        <f>IFERROR(__xludf.DUMMYFUNCTION("""COMPUTED_VALUE"""),0.0)</f>
        <v>0</v>
      </c>
      <c r="J387" s="22">
        <f>IFERROR(__xludf.DUMMYFUNCTION("""COMPUTED_VALUE"""),80.0)</f>
        <v>80</v>
      </c>
      <c r="K387" s="22">
        <f>IFERROR(__xludf.DUMMYFUNCTION("""COMPUTED_VALUE"""),9.0)</f>
        <v>9</v>
      </c>
      <c r="L387" s="26" t="str">
        <f>IFERROR(__xludf.DUMMYFUNCTION("""COMPUTED_VALUE"""),"Adventure")</f>
        <v>Adventure</v>
      </c>
      <c r="M387" s="13" t="b">
        <f>NOT(ISNA(VLOOKUP(A387,PC!A:A,1,FALSE)))</f>
        <v>1</v>
      </c>
      <c r="N387" s="13" t="b">
        <f>NOT(ISNA(VLOOKUP(A387,'Game Pass Premium'!A:A,1,FALSE)))</f>
        <v>1</v>
      </c>
      <c r="O387" s="13" t="b">
        <f>NOT(ISNA(VLOOKUP(A387,'Game Pass Essential'!A:A,1,FALSE)))</f>
        <v>0</v>
      </c>
    </row>
    <row r="388">
      <c r="A388" s="12" t="str">
        <f>IFERROR(__xludf.DUMMYFUNCTION("""COMPUTED_VALUE"""),"Wolfenstein: The New Order")</f>
        <v>Wolfenstein: The New Order</v>
      </c>
      <c r="B388" s="13" t="str">
        <f>IFERROR(__xludf.DUMMYFUNCTION("""COMPUTED_VALUE"""),"Xbox / PC")</f>
        <v>Xbox / PC</v>
      </c>
      <c r="C388" s="14" t="str">
        <f>IFERROR(__xludf.DUMMYFUNCTION("""COMPUTED_VALUE"""),"Yes")</f>
        <v>Yes</v>
      </c>
      <c r="D388" s="14" t="str">
        <f>IFERROR(__xludf.DUMMYFUNCTION("""COMPUTED_VALUE"""),"Active")</f>
        <v>Active</v>
      </c>
      <c r="E388" s="15">
        <f>IFERROR(__xludf.DUMMYFUNCTION("""COMPUTED_VALUE"""),43374.0)</f>
        <v>43374</v>
      </c>
      <c r="F388" s="16"/>
      <c r="G388" s="18">
        <f>IFERROR(__xludf.DUMMYFUNCTION("""COMPUTED_VALUE"""),96.16666666666667)</f>
        <v>96.16666667</v>
      </c>
      <c r="H388" s="15">
        <f>IFERROR(__xludf.DUMMYFUNCTION("""COMPUTED_VALUE"""),41779.0)</f>
        <v>41779</v>
      </c>
      <c r="I388" s="18">
        <f>IFERROR(__xludf.DUMMYFUNCTION("""COMPUTED_VALUE"""),4.363888888888889)</f>
        <v>4.363888889</v>
      </c>
      <c r="J388" s="22">
        <f>IFERROR(__xludf.DUMMYFUNCTION("""COMPUTED_VALUE"""),80.0)</f>
        <v>80</v>
      </c>
      <c r="K388" s="22">
        <f>IFERROR(__xludf.DUMMYFUNCTION("""COMPUTED_VALUE"""),11.5)</f>
        <v>11.5</v>
      </c>
      <c r="L388" s="26" t="str">
        <f>IFERROR(__xludf.DUMMYFUNCTION("""COMPUTED_VALUE"""),"Shooter")</f>
        <v>Shooter</v>
      </c>
      <c r="M388" s="13" t="b">
        <f>NOT(ISNA(VLOOKUP(A388,PC!A:A,1,FALSE)))</f>
        <v>1</v>
      </c>
      <c r="N388" s="13" t="b">
        <f>NOT(ISNA(VLOOKUP(A388,'Game Pass Premium'!A:A,1,FALSE)))</f>
        <v>1</v>
      </c>
      <c r="O388" s="13" t="b">
        <f>NOT(ISNA(VLOOKUP(A388,'Game Pass Essential'!A:A,1,FALSE)))</f>
        <v>0</v>
      </c>
    </row>
    <row r="389">
      <c r="A389" s="12" t="str">
        <f>IFERROR(__xludf.DUMMYFUNCTION("""COMPUTED_VALUE"""),"Fable III")</f>
        <v>Fable III</v>
      </c>
      <c r="B389" s="13" t="str">
        <f>IFERROR(__xludf.DUMMYFUNCTION("""COMPUTED_VALUE"""),"Xbox")</f>
        <v>Xbox</v>
      </c>
      <c r="C389" s="14" t="str">
        <f>IFERROR(__xludf.DUMMYFUNCTION("""COMPUTED_VALUE"""),"Touch Controls")</f>
        <v>Touch Controls</v>
      </c>
      <c r="D389" s="14" t="str">
        <f>IFERROR(__xludf.DUMMYFUNCTION("""COMPUTED_VALUE"""),"Active")</f>
        <v>Active</v>
      </c>
      <c r="E389" s="15">
        <f>IFERROR(__xludf.DUMMYFUNCTION("""COMPUTED_VALUE"""),42887.0)</f>
        <v>42887</v>
      </c>
      <c r="F389" s="16"/>
      <c r="G389" s="18">
        <f>IFERROR(__xludf.DUMMYFUNCTION("""COMPUTED_VALUE"""),112.16666666666666)</f>
        <v>112.1666667</v>
      </c>
      <c r="H389" s="15">
        <f>IFERROR(__xludf.DUMMYFUNCTION("""COMPUTED_VALUE"""),40477.0)</f>
        <v>40477</v>
      </c>
      <c r="I389" s="18">
        <f>IFERROR(__xludf.DUMMYFUNCTION("""COMPUTED_VALUE"""),6.597222222222222)</f>
        <v>6.597222222</v>
      </c>
      <c r="J389" s="22">
        <f>IFERROR(__xludf.DUMMYFUNCTION("""COMPUTED_VALUE"""),80.0)</f>
        <v>80</v>
      </c>
      <c r="K389" s="22">
        <f>IFERROR(__xludf.DUMMYFUNCTION("""COMPUTED_VALUE"""),12.5)</f>
        <v>12.5</v>
      </c>
      <c r="L389" s="26" t="str">
        <f>IFERROR(__xludf.DUMMYFUNCTION("""COMPUTED_VALUE"""),"Adventure")</f>
        <v>Adventure</v>
      </c>
      <c r="M389" s="13" t="b">
        <f>NOT(ISNA(VLOOKUP(A389,PC!A:A,1,FALSE)))</f>
        <v>0</v>
      </c>
      <c r="N389" s="13" t="b">
        <f>NOT(ISNA(VLOOKUP(A389,'Game Pass Premium'!A:A,1,FALSE)))</f>
        <v>1</v>
      </c>
      <c r="O389" s="13" t="b">
        <f>NOT(ISNA(VLOOKUP(A389,'Game Pass Essential'!A:A,1,FALSE)))</f>
        <v>0</v>
      </c>
    </row>
    <row r="390">
      <c r="A390" s="12" t="str">
        <f>IFERROR(__xludf.DUMMYFUNCTION("""COMPUTED_VALUE"""),"Samurai Shodown II")</f>
        <v>Samurai Shodown II</v>
      </c>
      <c r="B390" s="13" t="str">
        <f>IFERROR(__xludf.DUMMYFUNCTION("""COMPUTED_VALUE"""),"XB360/OG Xbox")</f>
        <v>XB360/OG Xbox</v>
      </c>
      <c r="C390" s="14"/>
      <c r="D390" s="14" t="str">
        <f>IFERROR(__xludf.DUMMYFUNCTION("""COMPUTED_VALUE"""),"GwG Permanent")</f>
        <v>GwG Permanent</v>
      </c>
      <c r="E390" s="15">
        <f>IFERROR(__xludf.DUMMYFUNCTION("""COMPUTED_VALUE"""),44455.0)</f>
        <v>44455</v>
      </c>
      <c r="F390" s="16">
        <f>IFERROR(__xludf.DUMMYFUNCTION("""COMPUTED_VALUE"""),44469.0)</f>
        <v>44469</v>
      </c>
      <c r="G390" s="18">
        <f>IFERROR(__xludf.DUMMYFUNCTION("""COMPUTED_VALUE"""),0.4666666666666667)</f>
        <v>0.4666666667</v>
      </c>
      <c r="H390" s="15">
        <f>IFERROR(__xludf.DUMMYFUNCTION("""COMPUTED_VALUE"""),34864.0)</f>
        <v>34864</v>
      </c>
      <c r="I390" s="18">
        <f>IFERROR(__xludf.DUMMYFUNCTION("""COMPUTED_VALUE"""),26.255555555555556)</f>
        <v>26.25555556</v>
      </c>
      <c r="J390" s="22">
        <f>IFERROR(__xludf.DUMMYFUNCTION("""COMPUTED_VALUE"""),80.0)</f>
        <v>80</v>
      </c>
      <c r="K390" s="22">
        <f>IFERROR(__xludf.DUMMYFUNCTION("""COMPUTED_VALUE"""),1.0)</f>
        <v>1</v>
      </c>
      <c r="L390" s="26" t="str">
        <f>IFERROR(__xludf.DUMMYFUNCTION("""COMPUTED_VALUE"""),"Fighting")</f>
        <v>Fighting</v>
      </c>
      <c r="M390" s="13" t="b">
        <f>NOT(ISNA(VLOOKUP(A390,PC!A:A,1,FALSE)))</f>
        <v>0</v>
      </c>
      <c r="N390" s="13" t="b">
        <f>NOT(ISNA(VLOOKUP(A390,'Game Pass Premium'!A:A,1,FALSE)))</f>
        <v>0</v>
      </c>
      <c r="O390" s="13" t="b">
        <f>NOT(ISNA(VLOOKUP(A390,'Game Pass Essential'!A:A,1,FALSE)))</f>
        <v>0</v>
      </c>
    </row>
    <row r="391">
      <c r="A391" s="12" t="str">
        <f>IFERROR(__xludf.DUMMYFUNCTION("""COMPUTED_VALUE"""),"Tropico 4")</f>
        <v>Tropico 4</v>
      </c>
      <c r="B391" s="13" t="str">
        <f>IFERROR(__xludf.DUMMYFUNCTION("""COMPUTED_VALUE"""),"XB360/OG Xbox")</f>
        <v>XB360/OG Xbox</v>
      </c>
      <c r="C391" s="14"/>
      <c r="D391" s="14" t="str">
        <f>IFERROR(__xludf.DUMMYFUNCTION("""COMPUTED_VALUE"""),"GwG Permanent")</f>
        <v>GwG Permanent</v>
      </c>
      <c r="E391" s="15">
        <f>IFERROR(__xludf.DUMMYFUNCTION("""COMPUTED_VALUE"""),44332.0)</f>
        <v>44332</v>
      </c>
      <c r="F391" s="16">
        <f>IFERROR(__xludf.DUMMYFUNCTION("""COMPUTED_VALUE"""),44347.0)</f>
        <v>44347</v>
      </c>
      <c r="G391" s="18">
        <f>IFERROR(__xludf.DUMMYFUNCTION("""COMPUTED_VALUE"""),0.4666666666666667)</f>
        <v>0.4666666667</v>
      </c>
      <c r="H391" s="15">
        <f>IFERROR(__xludf.DUMMYFUNCTION("""COMPUTED_VALUE"""),40777.0)</f>
        <v>40777</v>
      </c>
      <c r="I391" s="18">
        <f>IFERROR(__xludf.DUMMYFUNCTION("""COMPUTED_VALUE"""),9.733333333333333)</f>
        <v>9.733333333</v>
      </c>
      <c r="J391" s="22">
        <f>IFERROR(__xludf.DUMMYFUNCTION("""COMPUTED_VALUE"""),80.0)</f>
        <v>80</v>
      </c>
      <c r="K391" s="22">
        <f>IFERROR(__xludf.DUMMYFUNCTION("""COMPUTED_VALUE"""),20.0)</f>
        <v>20</v>
      </c>
      <c r="L391" s="26" t="str">
        <f>IFERROR(__xludf.DUMMYFUNCTION("""COMPUTED_VALUE"""),"Strategy")</f>
        <v>Strategy</v>
      </c>
      <c r="M391" s="13" t="b">
        <f>NOT(ISNA(VLOOKUP(A391,PC!A:A,1,FALSE)))</f>
        <v>0</v>
      </c>
      <c r="N391" s="13" t="b">
        <f>NOT(ISNA(VLOOKUP(A391,'Game Pass Premium'!A:A,1,FALSE)))</f>
        <v>0</v>
      </c>
      <c r="O391" s="13" t="b">
        <f>NOT(ISNA(VLOOKUP(A391,'Game Pass Essential'!A:A,1,FALSE)))</f>
        <v>0</v>
      </c>
    </row>
    <row r="392">
      <c r="A392" s="12" t="str">
        <f>IFERROR(__xludf.DUMMYFUNCTION("""COMPUTED_VALUE"""),"Metal Slug 3")</f>
        <v>Metal Slug 3</v>
      </c>
      <c r="B392" s="13" t="str">
        <f>IFERROR(__xludf.DUMMYFUNCTION("""COMPUTED_VALUE"""),"XB360/OG Xbox")</f>
        <v>XB360/OG Xbox</v>
      </c>
      <c r="C392" s="14"/>
      <c r="D392" s="14" t="str">
        <f>IFERROR(__xludf.DUMMYFUNCTION("""COMPUTED_VALUE"""),"GwG Permanent")</f>
        <v>GwG Permanent</v>
      </c>
      <c r="E392" s="15">
        <f>IFERROR(__xludf.DUMMYFUNCTION("""COMPUTED_VALUE"""),44256.0)</f>
        <v>44256</v>
      </c>
      <c r="F392" s="16">
        <f>IFERROR(__xludf.DUMMYFUNCTION("""COMPUTED_VALUE"""),44270.0)</f>
        <v>44270</v>
      </c>
      <c r="G392" s="18">
        <f>IFERROR(__xludf.DUMMYFUNCTION("""COMPUTED_VALUE"""),0.4666666666666667)</f>
        <v>0.4666666667</v>
      </c>
      <c r="H392" s="15">
        <f>IFERROR(__xludf.DUMMYFUNCTION("""COMPUTED_VALUE"""),38041.0)</f>
        <v>38041</v>
      </c>
      <c r="I392" s="18">
        <f>IFERROR(__xludf.DUMMYFUNCTION("""COMPUTED_VALUE"""),17.019444444444446)</f>
        <v>17.01944444</v>
      </c>
      <c r="J392" s="22">
        <f>IFERROR(__xludf.DUMMYFUNCTION("""COMPUTED_VALUE"""),80.0)</f>
        <v>80</v>
      </c>
      <c r="K392" s="22">
        <f>IFERROR(__xludf.DUMMYFUNCTION("""COMPUTED_VALUE"""),0.5)</f>
        <v>0.5</v>
      </c>
      <c r="L392" s="26" t="str">
        <f>IFERROR(__xludf.DUMMYFUNCTION("""COMPUTED_VALUE"""),"Shooter")</f>
        <v>Shooter</v>
      </c>
      <c r="M392" s="13" t="b">
        <f>NOT(ISNA(VLOOKUP(A392,PC!A:A,1,FALSE)))</f>
        <v>0</v>
      </c>
      <c r="N392" s="13" t="b">
        <f>NOT(ISNA(VLOOKUP(A392,'Game Pass Premium'!A:A,1,FALSE)))</f>
        <v>0</v>
      </c>
      <c r="O392" s="13" t="b">
        <f>NOT(ISNA(VLOOKUP(A392,'Game Pass Essential'!A:A,1,FALSE)))</f>
        <v>0</v>
      </c>
    </row>
    <row r="393">
      <c r="A393" s="12" t="str">
        <f>IFERROR(__xludf.DUMMYFUNCTION("""COMPUTED_VALUE"""),"Stacking")</f>
        <v>Stacking</v>
      </c>
      <c r="B393" s="13" t="str">
        <f>IFERROR(__xludf.DUMMYFUNCTION("""COMPUTED_VALUE"""),"XB360/OG Xbox")</f>
        <v>XB360/OG Xbox</v>
      </c>
      <c r="C393" s="14"/>
      <c r="D393" s="14" t="str">
        <f>IFERROR(__xludf.DUMMYFUNCTION("""COMPUTED_VALUE"""),"GwG Permanent")</f>
        <v>GwG Permanent</v>
      </c>
      <c r="E393" s="15">
        <f>IFERROR(__xludf.DUMMYFUNCTION("""COMPUTED_VALUE"""),44181.0)</f>
        <v>44181</v>
      </c>
      <c r="F393" s="16">
        <f>IFERROR(__xludf.DUMMYFUNCTION("""COMPUTED_VALUE"""),44196.0)</f>
        <v>44196</v>
      </c>
      <c r="G393" s="18">
        <f>IFERROR(__xludf.DUMMYFUNCTION("""COMPUTED_VALUE"""),0.4666666666666667)</f>
        <v>0.4666666667</v>
      </c>
      <c r="H393" s="15">
        <f>IFERROR(__xludf.DUMMYFUNCTION("""COMPUTED_VALUE"""),40582.0)</f>
        <v>40582</v>
      </c>
      <c r="I393" s="18">
        <f>IFERROR(__xludf.DUMMYFUNCTION("""COMPUTED_VALUE"""),9.855555555555556)</f>
        <v>9.855555556</v>
      </c>
      <c r="J393" s="22">
        <f>IFERROR(__xludf.DUMMYFUNCTION("""COMPUTED_VALUE"""),80.0)</f>
        <v>80</v>
      </c>
      <c r="K393" s="22">
        <f>IFERROR(__xludf.DUMMYFUNCTION("""COMPUTED_VALUE"""),4.0)</f>
        <v>4</v>
      </c>
      <c r="L393" s="26" t="str">
        <f>IFERROR(__xludf.DUMMYFUNCTION("""COMPUTED_VALUE"""),"Puzzle")</f>
        <v>Puzzle</v>
      </c>
      <c r="M393" s="13" t="b">
        <f>NOT(ISNA(VLOOKUP(A393,PC!A:A,1,FALSE)))</f>
        <v>0</v>
      </c>
      <c r="N393" s="13" t="b">
        <f>NOT(ISNA(VLOOKUP(A393,'Game Pass Premium'!A:A,1,FALSE)))</f>
        <v>1</v>
      </c>
      <c r="O393" s="13" t="b">
        <f>NOT(ISNA(VLOOKUP(A393,'Game Pass Essential'!A:A,1,FALSE)))</f>
        <v>0</v>
      </c>
    </row>
    <row r="394">
      <c r="A394" s="12" t="str">
        <f>IFERROR(__xludf.DUMMYFUNCTION("""COMPUTED_VALUE"""),"Costume Quest")</f>
        <v>Costume Quest</v>
      </c>
      <c r="B394" s="13" t="str">
        <f>IFERROR(__xludf.DUMMYFUNCTION("""COMPUTED_VALUE"""),"XB360/OG Xbox")</f>
        <v>XB360/OG Xbox</v>
      </c>
      <c r="C394" s="14"/>
      <c r="D394" s="14" t="str">
        <f>IFERROR(__xludf.DUMMYFUNCTION("""COMPUTED_VALUE"""),"GwG Permanent")</f>
        <v>GwG Permanent</v>
      </c>
      <c r="E394" s="15">
        <f>IFERROR(__xludf.DUMMYFUNCTION("""COMPUTED_VALUE"""),44120.0)</f>
        <v>44120</v>
      </c>
      <c r="F394" s="16">
        <f>IFERROR(__xludf.DUMMYFUNCTION("""COMPUTED_VALUE"""),44135.0)</f>
        <v>44135</v>
      </c>
      <c r="G394" s="18">
        <f>IFERROR(__xludf.DUMMYFUNCTION("""COMPUTED_VALUE"""),0.4666666666666667)</f>
        <v>0.4666666667</v>
      </c>
      <c r="H394" s="15">
        <f>IFERROR(__xludf.DUMMYFUNCTION("""COMPUTED_VALUE"""),40470.0)</f>
        <v>40470</v>
      </c>
      <c r="I394" s="18">
        <f>IFERROR(__xludf.DUMMYFUNCTION("""COMPUTED_VALUE"""),9.991666666666667)</f>
        <v>9.991666667</v>
      </c>
      <c r="J394" s="22">
        <f>IFERROR(__xludf.DUMMYFUNCTION("""COMPUTED_VALUE"""),80.0)</f>
        <v>80</v>
      </c>
      <c r="K394" s="22">
        <f>IFERROR(__xludf.DUMMYFUNCTION("""COMPUTED_VALUE"""),6.0)</f>
        <v>6</v>
      </c>
      <c r="L394" s="26" t="str">
        <f>IFERROR(__xludf.DUMMYFUNCTION("""COMPUTED_VALUE"""),"RPG")</f>
        <v>RPG</v>
      </c>
      <c r="M394" s="13" t="b">
        <f>NOT(ISNA(VLOOKUP(A394,PC!A:A,1,FALSE)))</f>
        <v>0</v>
      </c>
      <c r="N394" s="13" t="b">
        <f>NOT(ISNA(VLOOKUP(A394,'Game Pass Premium'!A:A,1,FALSE)))</f>
        <v>1</v>
      </c>
      <c r="O394" s="13" t="b">
        <f>NOT(ISNA(VLOOKUP(A394,'Game Pass Essential'!A:A,1,FALSE)))</f>
        <v>0</v>
      </c>
    </row>
    <row r="395">
      <c r="A395" s="12" t="str">
        <f>IFERROR(__xludf.DUMMYFUNCTION("""COMPUTED_VALUE"""),"Earth Defense Force 2017")</f>
        <v>Earth Defense Force 2017</v>
      </c>
      <c r="B395" s="13" t="str">
        <f>IFERROR(__xludf.DUMMYFUNCTION("""COMPUTED_VALUE"""),"XB360/OG Xbox")</f>
        <v>XB360/OG Xbox</v>
      </c>
      <c r="C395" s="14"/>
      <c r="D395" s="14" t="str">
        <f>IFERROR(__xludf.DUMMYFUNCTION("""COMPUTED_VALUE"""),"GwG Permanent")</f>
        <v>GwG Permanent</v>
      </c>
      <c r="E395" s="15">
        <f>IFERROR(__xludf.DUMMYFUNCTION("""COMPUTED_VALUE"""),43632.0)</f>
        <v>43632</v>
      </c>
      <c r="F395" s="16">
        <f>IFERROR(__xludf.DUMMYFUNCTION("""COMPUTED_VALUE"""),43646.0)</f>
        <v>43646</v>
      </c>
      <c r="G395" s="18">
        <f>IFERROR(__xludf.DUMMYFUNCTION("""COMPUTED_VALUE"""),0.4666666666666667)</f>
        <v>0.4666666667</v>
      </c>
      <c r="H395" s="15">
        <f>IFERROR(__xludf.DUMMYFUNCTION("""COMPUTED_VALUE"""),41023.0)</f>
        <v>41023</v>
      </c>
      <c r="I395" s="18">
        <f>IFERROR(__xludf.DUMMYFUNCTION("""COMPUTED_VALUE"""),7.144444444444445)</f>
        <v>7.144444444</v>
      </c>
      <c r="J395" s="22">
        <f>IFERROR(__xludf.DUMMYFUNCTION("""COMPUTED_VALUE"""),80.0)</f>
        <v>80</v>
      </c>
      <c r="K395" s="22">
        <f>IFERROR(__xludf.DUMMYFUNCTION("""COMPUTED_VALUE"""),8.0)</f>
        <v>8</v>
      </c>
      <c r="L395" s="26" t="str">
        <f>IFERROR(__xludf.DUMMYFUNCTION("""COMPUTED_VALUE"""),"Shooter")</f>
        <v>Shooter</v>
      </c>
      <c r="M395" s="13" t="b">
        <f>NOT(ISNA(VLOOKUP(A395,PC!A:A,1,FALSE)))</f>
        <v>0</v>
      </c>
      <c r="N395" s="13" t="b">
        <f>NOT(ISNA(VLOOKUP(A395,'Game Pass Premium'!A:A,1,FALSE)))</f>
        <v>0</v>
      </c>
      <c r="O395" s="13" t="b">
        <f>NOT(ISNA(VLOOKUP(A395,'Game Pass Essential'!A:A,1,FALSE)))</f>
        <v>0</v>
      </c>
    </row>
    <row r="396">
      <c r="A396" s="12" t="str">
        <f>IFERROR(__xludf.DUMMYFUNCTION("""COMPUTED_VALUE"""),"Dante's Inferno")</f>
        <v>Dante's Inferno</v>
      </c>
      <c r="B396" s="13" t="str">
        <f>IFERROR(__xludf.DUMMYFUNCTION("""COMPUTED_VALUE"""),"XB360/OG Xbox")</f>
        <v>XB360/OG Xbox</v>
      </c>
      <c r="C396" s="14"/>
      <c r="D396" s="14" t="str">
        <f>IFERROR(__xludf.DUMMYFUNCTION("""COMPUTED_VALUE"""),"GwG Permanent")</f>
        <v>GwG Permanent</v>
      </c>
      <c r="E396" s="15">
        <f>IFERROR(__xludf.DUMMYFUNCTION("""COMPUTED_VALUE"""),43420.0)</f>
        <v>43420</v>
      </c>
      <c r="F396" s="16">
        <f>IFERROR(__xludf.DUMMYFUNCTION("""COMPUTED_VALUE"""),43434.0)</f>
        <v>43434</v>
      </c>
      <c r="G396" s="18">
        <f>IFERROR(__xludf.DUMMYFUNCTION("""COMPUTED_VALUE"""),0.4666666666666667)</f>
        <v>0.4666666667</v>
      </c>
      <c r="H396" s="15">
        <f>IFERROR(__xludf.DUMMYFUNCTION("""COMPUTED_VALUE"""),40218.0)</f>
        <v>40218</v>
      </c>
      <c r="I396" s="18">
        <f>IFERROR(__xludf.DUMMYFUNCTION("""COMPUTED_VALUE"""),8.769444444444444)</f>
        <v>8.769444444</v>
      </c>
      <c r="J396" s="22">
        <f>IFERROR(__xludf.DUMMYFUNCTION("""COMPUTED_VALUE"""),80.0)</f>
        <v>80</v>
      </c>
      <c r="K396" s="22">
        <f>IFERROR(__xludf.DUMMYFUNCTION("""COMPUTED_VALUE"""),9.0)</f>
        <v>9</v>
      </c>
      <c r="L396" s="26" t="str">
        <f>IFERROR(__xludf.DUMMYFUNCTION("""COMPUTED_VALUE"""),"Action")</f>
        <v>Action</v>
      </c>
      <c r="M396" s="13" t="b">
        <f>NOT(ISNA(VLOOKUP(A396,PC!A:A,1,FALSE)))</f>
        <v>0</v>
      </c>
      <c r="N396" s="13" t="b">
        <f>NOT(ISNA(VLOOKUP(A396,'Game Pass Premium'!A:A,1,FALSE)))</f>
        <v>1</v>
      </c>
      <c r="O396" s="13" t="b">
        <f>NOT(ISNA(VLOOKUP(A396,'Game Pass Essential'!A:A,1,FALSE)))</f>
        <v>0</v>
      </c>
    </row>
    <row r="397">
      <c r="A397" s="12" t="str">
        <f>IFERROR(__xludf.DUMMYFUNCTION("""COMPUTED_VALUE"""),"LEGO Star Wars III: The Clone Wars")</f>
        <v>LEGO Star Wars III: The Clone Wars</v>
      </c>
      <c r="B397" s="13" t="str">
        <f>IFERROR(__xludf.DUMMYFUNCTION("""COMPUTED_VALUE"""),"XB360/OG Xbox")</f>
        <v>XB360/OG Xbox</v>
      </c>
      <c r="C397" s="14"/>
      <c r="D397" s="14" t="str">
        <f>IFERROR(__xludf.DUMMYFUNCTION("""COMPUTED_VALUE"""),"GwG Permanent")</f>
        <v>GwG Permanent</v>
      </c>
      <c r="E397" s="15">
        <f>IFERROR(__xludf.DUMMYFUNCTION("""COMPUTED_VALUE"""),43344.0)</f>
        <v>43344</v>
      </c>
      <c r="F397" s="16">
        <f>IFERROR(__xludf.DUMMYFUNCTION("""COMPUTED_VALUE"""),43358.0)</f>
        <v>43358</v>
      </c>
      <c r="G397" s="18">
        <f>IFERROR(__xludf.DUMMYFUNCTION("""COMPUTED_VALUE"""),0.4666666666666667)</f>
        <v>0.4666666667</v>
      </c>
      <c r="H397" s="15">
        <f>IFERROR(__xludf.DUMMYFUNCTION("""COMPUTED_VALUE"""),40782.0)</f>
        <v>40782</v>
      </c>
      <c r="I397" s="18">
        <f>IFERROR(__xludf.DUMMYFUNCTION("""COMPUTED_VALUE"""),7.011111111111111)</f>
        <v>7.011111111</v>
      </c>
      <c r="J397" s="22">
        <f>IFERROR(__xludf.DUMMYFUNCTION("""COMPUTED_VALUE"""),80.0)</f>
        <v>80</v>
      </c>
      <c r="K397" s="22">
        <f>IFERROR(__xludf.DUMMYFUNCTION("""COMPUTED_VALUE"""),7.0)</f>
        <v>7</v>
      </c>
      <c r="L397" s="26" t="str">
        <f>IFERROR(__xludf.DUMMYFUNCTION("""COMPUTED_VALUE"""),"Action-Adventure")</f>
        <v>Action-Adventure</v>
      </c>
      <c r="M397" s="13" t="b">
        <f>NOT(ISNA(VLOOKUP(A397,PC!A:A,1,FALSE)))</f>
        <v>0</v>
      </c>
      <c r="N397" s="13" t="b">
        <f>NOT(ISNA(VLOOKUP(A397,'Game Pass Premium'!A:A,1,FALSE)))</f>
        <v>0</v>
      </c>
      <c r="O397" s="13" t="b">
        <f>NOT(ISNA(VLOOKUP(A397,'Game Pass Essential'!A:A,1,FALSE)))</f>
        <v>0</v>
      </c>
    </row>
    <row r="398">
      <c r="A398" s="12" t="str">
        <f>IFERROR(__xludf.DUMMYFUNCTION("""COMPUTED_VALUE"""),"Lego Star Wars: The Complete Saga")</f>
        <v>Lego Star Wars: The Complete Saga</v>
      </c>
      <c r="B398" s="13" t="str">
        <f>IFERROR(__xludf.DUMMYFUNCTION("""COMPUTED_VALUE"""),"XB360/OG Xbox")</f>
        <v>XB360/OG Xbox</v>
      </c>
      <c r="C398" s="14"/>
      <c r="D398" s="14" t="str">
        <f>IFERROR(__xludf.DUMMYFUNCTION("""COMPUTED_VALUE"""),"GwG Permanent")</f>
        <v>GwG Permanent</v>
      </c>
      <c r="E398" s="15">
        <f>IFERROR(__xludf.DUMMYFUNCTION("""COMPUTED_VALUE"""),42871.0)</f>
        <v>42871</v>
      </c>
      <c r="F398" s="16">
        <f>IFERROR(__xludf.DUMMYFUNCTION("""COMPUTED_VALUE"""),42886.0)</f>
        <v>42886</v>
      </c>
      <c r="G398" s="18">
        <f>IFERROR(__xludf.DUMMYFUNCTION("""COMPUTED_VALUE"""),0.4666666666666667)</f>
        <v>0.4666666667</v>
      </c>
      <c r="H398" s="15">
        <f>IFERROR(__xludf.DUMMYFUNCTION("""COMPUTED_VALUE"""),39392.0)</f>
        <v>39392</v>
      </c>
      <c r="I398" s="18">
        <f>IFERROR(__xludf.DUMMYFUNCTION("""COMPUTED_VALUE"""),9.527777777777779)</f>
        <v>9.527777778</v>
      </c>
      <c r="J398" s="22">
        <f>IFERROR(__xludf.DUMMYFUNCTION("""COMPUTED_VALUE"""),80.0)</f>
        <v>80</v>
      </c>
      <c r="K398" s="22">
        <f>IFERROR(__xludf.DUMMYFUNCTION("""COMPUTED_VALUE"""),24.0)</f>
        <v>24</v>
      </c>
      <c r="L398" s="26" t="str">
        <f>IFERROR(__xludf.DUMMYFUNCTION("""COMPUTED_VALUE"""),"Action-Adventure")</f>
        <v>Action-Adventure</v>
      </c>
      <c r="M398" s="13" t="b">
        <f>NOT(ISNA(VLOOKUP(A398,PC!A:A,1,FALSE)))</f>
        <v>0</v>
      </c>
      <c r="N398" s="13" t="b">
        <f>NOT(ISNA(VLOOKUP(A398,'Game Pass Premium'!A:A,1,FALSE)))</f>
        <v>0</v>
      </c>
      <c r="O398" s="13" t="b">
        <f>NOT(ISNA(VLOOKUP(A398,'Game Pass Essential'!A:A,1,FALSE)))</f>
        <v>0</v>
      </c>
    </row>
    <row r="399">
      <c r="A399" s="12" t="str">
        <f>IFERROR(__xludf.DUMMYFUNCTION("""COMPUTED_VALUE"""),"Assassin's Creed Revelations")</f>
        <v>Assassin's Creed Revelations</v>
      </c>
      <c r="B399" s="13" t="str">
        <f>IFERROR(__xludf.DUMMYFUNCTION("""COMPUTED_VALUE"""),"XB360/OG Xbox")</f>
        <v>XB360/OG Xbox</v>
      </c>
      <c r="C399" s="14"/>
      <c r="D399" s="14" t="str">
        <f>IFERROR(__xludf.DUMMYFUNCTION("""COMPUTED_VALUE"""),"GwG Permanent")</f>
        <v>GwG Permanent</v>
      </c>
      <c r="E399" s="15">
        <f>IFERROR(__xludf.DUMMYFUNCTION("""COMPUTED_VALUE"""),42841.0)</f>
        <v>42841</v>
      </c>
      <c r="F399" s="16">
        <f>IFERROR(__xludf.DUMMYFUNCTION("""COMPUTED_VALUE"""),42855.0)</f>
        <v>42855</v>
      </c>
      <c r="G399" s="18">
        <f>IFERROR(__xludf.DUMMYFUNCTION("""COMPUTED_VALUE"""),0.4666666666666667)</f>
        <v>0.4666666667</v>
      </c>
      <c r="H399" s="15">
        <f>IFERROR(__xludf.DUMMYFUNCTION("""COMPUTED_VALUE"""),40862.0)</f>
        <v>40862</v>
      </c>
      <c r="I399" s="18">
        <f>IFERROR(__xludf.DUMMYFUNCTION("""COMPUTED_VALUE"""),5.419444444444444)</f>
        <v>5.419444444</v>
      </c>
      <c r="J399" s="22">
        <f>IFERROR(__xludf.DUMMYFUNCTION("""COMPUTED_VALUE"""),80.0)</f>
        <v>80</v>
      </c>
      <c r="K399" s="22">
        <f>IFERROR(__xludf.DUMMYFUNCTION("""COMPUTED_VALUE"""),13.0)</f>
        <v>13</v>
      </c>
      <c r="L399" s="26" t="str">
        <f>IFERROR(__xludf.DUMMYFUNCTION("""COMPUTED_VALUE"""),"Action-Adventure")</f>
        <v>Action-Adventure</v>
      </c>
      <c r="M399" s="13" t="b">
        <f>NOT(ISNA(VLOOKUP(A399,PC!A:A,1,FALSE)))</f>
        <v>1</v>
      </c>
      <c r="N399" s="13" t="b">
        <f>NOT(ISNA(VLOOKUP(A399,'Game Pass Premium'!A:A,1,FALSE)))</f>
        <v>0</v>
      </c>
      <c r="O399" s="13" t="b">
        <f>NOT(ISNA(VLOOKUP(A399,'Game Pass Essential'!A:A,1,FALSE)))</f>
        <v>0</v>
      </c>
    </row>
    <row r="400">
      <c r="A400" s="12" t="str">
        <f>IFERROR(__xludf.DUMMYFUNCTION("""COMPUTED_VALUE"""),"Far Cry 3: Blood Dragon")</f>
        <v>Far Cry 3: Blood Dragon</v>
      </c>
      <c r="B400" s="13" t="str">
        <f>IFERROR(__xludf.DUMMYFUNCTION("""COMPUTED_VALUE"""),"XB360/OG Xbox")</f>
        <v>XB360/OG Xbox</v>
      </c>
      <c r="C400" s="14"/>
      <c r="D400" s="14" t="str">
        <f>IFERROR(__xludf.DUMMYFUNCTION("""COMPUTED_VALUE"""),"GwG Permanent")</f>
        <v>GwG Permanent</v>
      </c>
      <c r="E400" s="15">
        <f>IFERROR(__xludf.DUMMYFUNCTION("""COMPUTED_VALUE"""),42690.0)</f>
        <v>42690</v>
      </c>
      <c r="F400" s="16">
        <f>IFERROR(__xludf.DUMMYFUNCTION("""COMPUTED_VALUE"""),42704.0)</f>
        <v>42704</v>
      </c>
      <c r="G400" s="18">
        <f>IFERROR(__xludf.DUMMYFUNCTION("""COMPUTED_VALUE"""),0.4666666666666667)</f>
        <v>0.4666666667</v>
      </c>
      <c r="H400" s="15">
        <f>IFERROR(__xludf.DUMMYFUNCTION("""COMPUTED_VALUE"""),41395.0)</f>
        <v>41395</v>
      </c>
      <c r="I400" s="18">
        <f>IFERROR(__xludf.DUMMYFUNCTION("""COMPUTED_VALUE"""),3.5416666666666665)</f>
        <v>3.541666667</v>
      </c>
      <c r="J400" s="22">
        <f>IFERROR(__xludf.DUMMYFUNCTION("""COMPUTED_VALUE"""),80.0)</f>
        <v>80</v>
      </c>
      <c r="K400" s="22">
        <f>IFERROR(__xludf.DUMMYFUNCTION("""COMPUTED_VALUE"""),5.0)</f>
        <v>5</v>
      </c>
      <c r="L400" s="26" t="str">
        <f>IFERROR(__xludf.DUMMYFUNCTION("""COMPUTED_VALUE"""),"Action-Adventure")</f>
        <v>Action-Adventure</v>
      </c>
      <c r="M400" s="13" t="b">
        <f>NOT(ISNA(VLOOKUP(A400,PC!A:A,1,FALSE)))</f>
        <v>1</v>
      </c>
      <c r="N400" s="13" t="b">
        <f>NOT(ISNA(VLOOKUP(A400,'Game Pass Premium'!A:A,1,FALSE)))</f>
        <v>0</v>
      </c>
      <c r="O400" s="13" t="b">
        <f>NOT(ISNA(VLOOKUP(A400,'Game Pass Essential'!A:A,1,FALSE)))</f>
        <v>0</v>
      </c>
    </row>
    <row r="401">
      <c r="A401" s="12" t="str">
        <f>IFERROR(__xludf.DUMMYFUNCTION("""COMPUTED_VALUE"""),"Grid 2")</f>
        <v>Grid 2</v>
      </c>
      <c r="B401" s="13" t="str">
        <f>IFERROR(__xludf.DUMMYFUNCTION("""COMPUTED_VALUE"""),"XB360/OG Xbox")</f>
        <v>XB360/OG Xbox</v>
      </c>
      <c r="C401" s="14"/>
      <c r="D401" s="14" t="str">
        <f>IFERROR(__xludf.DUMMYFUNCTION("""COMPUTED_VALUE"""),"GwG Permanent")</f>
        <v>GwG Permanent</v>
      </c>
      <c r="E401" s="15">
        <f>IFERROR(__xludf.DUMMYFUNCTION("""COMPUTED_VALUE"""),42491.0)</f>
        <v>42491</v>
      </c>
      <c r="F401" s="16">
        <f>IFERROR(__xludf.DUMMYFUNCTION("""COMPUTED_VALUE"""),42505.0)</f>
        <v>42505</v>
      </c>
      <c r="G401" s="18">
        <f>IFERROR(__xludf.DUMMYFUNCTION("""COMPUTED_VALUE"""),0.4666666666666667)</f>
        <v>0.4666666667</v>
      </c>
      <c r="H401" s="15">
        <f>IFERROR(__xludf.DUMMYFUNCTION("""COMPUTED_VALUE"""),41422.0)</f>
        <v>41422</v>
      </c>
      <c r="I401" s="18">
        <f>IFERROR(__xludf.DUMMYFUNCTION("""COMPUTED_VALUE"""),2.925)</f>
        <v>2.925</v>
      </c>
      <c r="J401" s="22">
        <f>IFERROR(__xludf.DUMMYFUNCTION("""COMPUTED_VALUE"""),80.0)</f>
        <v>80</v>
      </c>
      <c r="K401" s="22">
        <f>IFERROR(__xludf.DUMMYFUNCTION("""COMPUTED_VALUE"""),9.0)</f>
        <v>9</v>
      </c>
      <c r="L401" s="26" t="str">
        <f>IFERROR(__xludf.DUMMYFUNCTION("""COMPUTED_VALUE"""),"Racing")</f>
        <v>Racing</v>
      </c>
      <c r="M401" s="13" t="b">
        <f>NOT(ISNA(VLOOKUP(A401,PC!A:A,1,FALSE)))</f>
        <v>0</v>
      </c>
      <c r="N401" s="13" t="b">
        <f>NOT(ISNA(VLOOKUP(A401,'Game Pass Premium'!A:A,1,FALSE)))</f>
        <v>0</v>
      </c>
      <c r="O401" s="13" t="b">
        <f>NOT(ISNA(VLOOKUP(A401,'Game Pass Essential'!A:A,1,FALSE)))</f>
        <v>0</v>
      </c>
    </row>
    <row r="402">
      <c r="A402" s="12" t="str">
        <f>IFERROR(__xludf.DUMMYFUNCTION("""COMPUTED_VALUE"""),"Metro: Last Light")</f>
        <v>Metro: Last Light</v>
      </c>
      <c r="B402" s="13" t="str">
        <f>IFERROR(__xludf.DUMMYFUNCTION("""COMPUTED_VALUE"""),"XB360/OG Xbox")</f>
        <v>XB360/OG Xbox</v>
      </c>
      <c r="C402" s="14"/>
      <c r="D402" s="14" t="str">
        <f>IFERROR(__xludf.DUMMYFUNCTION("""COMPUTED_VALUE"""),"GwG Permanent")</f>
        <v>GwG Permanent</v>
      </c>
      <c r="E402" s="15">
        <f>IFERROR(__xludf.DUMMYFUNCTION("""COMPUTED_VALUE"""),42232.0)</f>
        <v>42232</v>
      </c>
      <c r="F402" s="16">
        <f>IFERROR(__xludf.DUMMYFUNCTION("""COMPUTED_VALUE"""),42247.0)</f>
        <v>42247</v>
      </c>
      <c r="G402" s="18">
        <f>IFERROR(__xludf.DUMMYFUNCTION("""COMPUTED_VALUE"""),0.4666666666666667)</f>
        <v>0.4666666667</v>
      </c>
      <c r="H402" s="15">
        <f>IFERROR(__xludf.DUMMYFUNCTION("""COMPUTED_VALUE"""),41408.0)</f>
        <v>41408</v>
      </c>
      <c r="I402" s="18">
        <f>IFERROR(__xludf.DUMMYFUNCTION("""COMPUTED_VALUE"""),2.2555555555555555)</f>
        <v>2.255555556</v>
      </c>
      <c r="J402" s="22">
        <f>IFERROR(__xludf.DUMMYFUNCTION("""COMPUTED_VALUE"""),80.0)</f>
        <v>80</v>
      </c>
      <c r="K402" s="22">
        <f>IFERROR(__xludf.DUMMYFUNCTION("""COMPUTED_VALUE"""),9.0)</f>
        <v>9</v>
      </c>
      <c r="L402" s="26" t="str">
        <f>IFERROR(__xludf.DUMMYFUNCTION("""COMPUTED_VALUE"""),"Shooter")</f>
        <v>Shooter</v>
      </c>
      <c r="M402" s="13" t="b">
        <f>NOT(ISNA(VLOOKUP(A402,PC!A:A,1,FALSE)))</f>
        <v>0</v>
      </c>
      <c r="N402" s="13" t="b">
        <f>NOT(ISNA(VLOOKUP(A402,'Game Pass Premium'!A:A,1,FALSE)))</f>
        <v>0</v>
      </c>
      <c r="O402" s="13" t="b">
        <f>NOT(ISNA(VLOOKUP(A402,'Game Pass Essential'!A:A,1,FALSE)))</f>
        <v>0</v>
      </c>
    </row>
    <row r="403">
      <c r="A403" s="12" t="str">
        <f>IFERROR(__xludf.DUMMYFUNCTION("""COMPUTED_VALUE"""),"Sid Meier's Civilization Revolution")</f>
        <v>Sid Meier's Civilization Revolution</v>
      </c>
      <c r="B403" s="13" t="str">
        <f>IFERROR(__xludf.DUMMYFUNCTION("""COMPUTED_VALUE"""),"XB360/OG Xbox")</f>
        <v>XB360/OG Xbox</v>
      </c>
      <c r="C403" s="14"/>
      <c r="D403" s="14" t="str">
        <f>IFERROR(__xludf.DUMMYFUNCTION("""COMPUTED_VALUE"""),"GwG Permanent")</f>
        <v>GwG Permanent</v>
      </c>
      <c r="E403" s="15">
        <f>IFERROR(__xludf.DUMMYFUNCTION("""COMPUTED_VALUE"""),41699.0)</f>
        <v>41699</v>
      </c>
      <c r="F403" s="16">
        <f>IFERROR(__xludf.DUMMYFUNCTION("""COMPUTED_VALUE"""),41713.0)</f>
        <v>41713</v>
      </c>
      <c r="G403" s="18">
        <f>IFERROR(__xludf.DUMMYFUNCTION("""COMPUTED_VALUE"""),0.4666666666666667)</f>
        <v>0.4666666667</v>
      </c>
      <c r="H403" s="15">
        <f>IFERROR(__xludf.DUMMYFUNCTION("""COMPUTED_VALUE"""),39630.0)</f>
        <v>39630</v>
      </c>
      <c r="I403" s="18">
        <f>IFERROR(__xludf.DUMMYFUNCTION("""COMPUTED_VALUE"""),5.666666666666667)</f>
        <v>5.666666667</v>
      </c>
      <c r="J403" s="22">
        <f>IFERROR(__xludf.DUMMYFUNCTION("""COMPUTED_VALUE"""),80.0)</f>
        <v>80</v>
      </c>
      <c r="K403" s="22">
        <f>IFERROR(__xludf.DUMMYFUNCTION("""COMPUTED_VALUE"""),30.0)</f>
        <v>30</v>
      </c>
      <c r="L403" s="26" t="str">
        <f>IFERROR(__xludf.DUMMYFUNCTION("""COMPUTED_VALUE"""),"Strategy")</f>
        <v>Strategy</v>
      </c>
      <c r="M403" s="13" t="b">
        <f>NOT(ISNA(VLOOKUP(A403,PC!A:A,1,FALSE)))</f>
        <v>0</v>
      </c>
      <c r="N403" s="13" t="b">
        <f>NOT(ISNA(VLOOKUP(A403,'Game Pass Premium'!A:A,1,FALSE)))</f>
        <v>0</v>
      </c>
      <c r="O403" s="13" t="b">
        <f>NOT(ISNA(VLOOKUP(A403,'Game Pass Essential'!A:A,1,FALSE)))</f>
        <v>0</v>
      </c>
    </row>
    <row r="404">
      <c r="A404" s="12" t="str">
        <f>IFERROR(__xludf.DUMMYFUNCTION("""COMPUTED_VALUE"""),"Sleeping Dogs")</f>
        <v>Sleeping Dogs</v>
      </c>
      <c r="B404" s="13" t="str">
        <f>IFERROR(__xludf.DUMMYFUNCTION("""COMPUTED_VALUE"""),"XB360/OG Xbox")</f>
        <v>XB360/OG Xbox</v>
      </c>
      <c r="C404" s="14"/>
      <c r="D404" s="14" t="str">
        <f>IFERROR(__xludf.DUMMYFUNCTION("""COMPUTED_VALUE"""),"GwG Permanent")</f>
        <v>GwG Permanent</v>
      </c>
      <c r="E404" s="15">
        <f>IFERROR(__xludf.DUMMYFUNCTION("""COMPUTED_VALUE"""),41640.0)</f>
        <v>41640</v>
      </c>
      <c r="F404" s="16">
        <f>IFERROR(__xludf.DUMMYFUNCTION("""COMPUTED_VALUE"""),41654.0)</f>
        <v>41654</v>
      </c>
      <c r="G404" s="18">
        <f>IFERROR(__xludf.DUMMYFUNCTION("""COMPUTED_VALUE"""),0.4666666666666667)</f>
        <v>0.4666666667</v>
      </c>
      <c r="H404" s="15">
        <f>IFERROR(__xludf.DUMMYFUNCTION("""COMPUTED_VALUE"""),41135.0)</f>
        <v>41135</v>
      </c>
      <c r="I404" s="18">
        <f>IFERROR(__xludf.DUMMYFUNCTION("""COMPUTED_VALUE"""),1.3805555555555555)</f>
        <v>1.380555556</v>
      </c>
      <c r="J404" s="22">
        <f>IFERROR(__xludf.DUMMYFUNCTION("""COMPUTED_VALUE"""),80.0)</f>
        <v>80</v>
      </c>
      <c r="K404" s="22">
        <f>IFERROR(__xludf.DUMMYFUNCTION("""COMPUTED_VALUE"""),17.0)</f>
        <v>17</v>
      </c>
      <c r="L404" s="26" t="str">
        <f>IFERROR(__xludf.DUMMYFUNCTION("""COMPUTED_VALUE"""),"Action-Adventure")</f>
        <v>Action-Adventure</v>
      </c>
      <c r="M404" s="13" t="b">
        <f>NOT(ISNA(VLOOKUP(A404,PC!A:A,1,FALSE)))</f>
        <v>0</v>
      </c>
      <c r="N404" s="13" t="b">
        <f>NOT(ISNA(VLOOKUP(A404,'Game Pass Premium'!A:A,1,FALSE)))</f>
        <v>0</v>
      </c>
      <c r="O404" s="13" t="b">
        <f>NOT(ISNA(VLOOKUP(A404,'Game Pass Essential'!A:A,1,FALSE)))</f>
        <v>0</v>
      </c>
    </row>
    <row r="405">
      <c r="A405" s="12" t="str">
        <f>IFERROR(__xludf.DUMMYFUNCTION("""COMPUTED_VALUE"""),"Tom Clancy's Rainbow Six: Vegas")</f>
        <v>Tom Clancy's Rainbow Six: Vegas</v>
      </c>
      <c r="B405" s="13" t="str">
        <f>IFERROR(__xludf.DUMMYFUNCTION("""COMPUTED_VALUE"""),"XB360/OG Xbox")</f>
        <v>XB360/OG Xbox</v>
      </c>
      <c r="C405" s="14"/>
      <c r="D405" s="14" t="str">
        <f>IFERROR(__xludf.DUMMYFUNCTION("""COMPUTED_VALUE"""),"GwG Permanent")</f>
        <v>GwG Permanent</v>
      </c>
      <c r="E405" s="15">
        <f>IFERROR(__xludf.DUMMYFUNCTION("""COMPUTED_VALUE"""),41533.0)</f>
        <v>41533</v>
      </c>
      <c r="F405" s="16">
        <f>IFERROR(__xludf.DUMMYFUNCTION("""COMPUTED_VALUE"""),41547.0)</f>
        <v>41547</v>
      </c>
      <c r="G405" s="18">
        <f>IFERROR(__xludf.DUMMYFUNCTION("""COMPUTED_VALUE"""),0.4666666666666667)</f>
        <v>0.4666666667</v>
      </c>
      <c r="H405" s="15">
        <f>IFERROR(__xludf.DUMMYFUNCTION("""COMPUTED_VALUE"""),39041.0)</f>
        <v>39041</v>
      </c>
      <c r="I405" s="18">
        <f>IFERROR(__xludf.DUMMYFUNCTION("""COMPUTED_VALUE"""),6.822222222222222)</f>
        <v>6.822222222</v>
      </c>
      <c r="J405" s="22">
        <f>IFERROR(__xludf.DUMMYFUNCTION("""COMPUTED_VALUE"""),80.0)</f>
        <v>80</v>
      </c>
      <c r="K405" s="22">
        <f>IFERROR(__xludf.DUMMYFUNCTION("""COMPUTED_VALUE"""),12.0)</f>
        <v>12</v>
      </c>
      <c r="L405" s="26" t="str">
        <f>IFERROR(__xludf.DUMMYFUNCTION("""COMPUTED_VALUE"""),"Shooter")</f>
        <v>Shooter</v>
      </c>
      <c r="M405" s="13" t="b">
        <f>NOT(ISNA(VLOOKUP(A405,PC!A:A,1,FALSE)))</f>
        <v>0</v>
      </c>
      <c r="N405" s="13" t="b">
        <f>NOT(ISNA(VLOOKUP(A405,'Game Pass Premium'!A:A,1,FALSE)))</f>
        <v>0</v>
      </c>
      <c r="O405" s="13" t="b">
        <f>NOT(ISNA(VLOOKUP(A405,'Game Pass Essential'!A:A,1,FALSE)))</f>
        <v>0</v>
      </c>
    </row>
    <row r="406">
      <c r="A406" s="12" t="str">
        <f>IFERROR(__xludf.DUMMYFUNCTION("""COMPUTED_VALUE"""),"Shadowrun Trilogy")</f>
        <v>Shadowrun Trilogy</v>
      </c>
      <c r="B406" s="13" t="str">
        <f>IFERROR(__xludf.DUMMYFUNCTION("""COMPUTED_VALUE"""),"Xbox / PC")</f>
        <v>Xbox / PC</v>
      </c>
      <c r="C406" s="14" t="str">
        <f>IFERROR(__xludf.DUMMYFUNCTION("""COMPUTED_VALUE"""),"Touch Controls")</f>
        <v>Touch Controls</v>
      </c>
      <c r="D406" s="14" t="str">
        <f>IFERROR(__xludf.DUMMYFUNCTION("""COMPUTED_VALUE"""),"Active")</f>
        <v>Active</v>
      </c>
      <c r="E406" s="15">
        <f>IFERROR(__xludf.DUMMYFUNCTION("""COMPUTED_VALUE"""),44733.0)</f>
        <v>44733</v>
      </c>
      <c r="F406" s="16"/>
      <c r="G406" s="18">
        <f>IFERROR(__xludf.DUMMYFUNCTION("""COMPUTED_VALUE"""),51.5)</f>
        <v>51.5</v>
      </c>
      <c r="H406" s="15">
        <f>IFERROR(__xludf.DUMMYFUNCTION("""COMPUTED_VALUE"""),42236.0)</f>
        <v>42236</v>
      </c>
      <c r="I406" s="18">
        <f>IFERROR(__xludf.DUMMYFUNCTION("""COMPUTED_VALUE"""),6.836111111111111)</f>
        <v>6.836111111</v>
      </c>
      <c r="J406" s="22">
        <f>IFERROR(__xludf.DUMMYFUNCTION("""COMPUTED_VALUE"""),79.33333333333333)</f>
        <v>79.33333333</v>
      </c>
      <c r="K406" s="22">
        <f>IFERROR(__xludf.DUMMYFUNCTION("""COMPUTED_VALUE"""),53.5)</f>
        <v>53.5</v>
      </c>
      <c r="L406" s="26" t="str">
        <f>IFERROR(__xludf.DUMMYFUNCTION("""COMPUTED_VALUE"""),"RPG")</f>
        <v>RPG</v>
      </c>
      <c r="M406" s="13" t="b">
        <f>NOT(ISNA(VLOOKUP(A406,PC!A:A,1,FALSE)))</f>
        <v>1</v>
      </c>
      <c r="N406" s="13" t="b">
        <f>NOT(ISNA(VLOOKUP(A406,'Game Pass Premium'!A:A,1,FALSE)))</f>
        <v>1</v>
      </c>
      <c r="O406" s="13" t="b">
        <f>NOT(ISNA(VLOOKUP(A406,'Game Pass Essential'!A:A,1,FALSE)))</f>
        <v>0</v>
      </c>
    </row>
    <row r="407">
      <c r="A407" s="12" t="str">
        <f>IFERROR(__xludf.DUMMYFUNCTION("""COMPUTED_VALUE"""),"DiRT 5")</f>
        <v>DiRT 5</v>
      </c>
      <c r="B407" s="13" t="str">
        <f>IFERROR(__xludf.DUMMYFUNCTION("""COMPUTED_VALUE"""),"Xbox / PC")</f>
        <v>Xbox / PC</v>
      </c>
      <c r="C407" s="14" t="str">
        <f>IFERROR(__xludf.DUMMYFUNCTION("""COMPUTED_VALUE"""),"Touch Controls")</f>
        <v>Touch Controls</v>
      </c>
      <c r="D407" s="14" t="str">
        <f>IFERROR(__xludf.DUMMYFUNCTION("""COMPUTED_VALUE"""),"Active")</f>
        <v>Active</v>
      </c>
      <c r="E407" s="15">
        <f>IFERROR(__xludf.DUMMYFUNCTION("""COMPUTED_VALUE"""),44252.0)</f>
        <v>44252</v>
      </c>
      <c r="F407" s="16"/>
      <c r="G407" s="18">
        <f>IFERROR(__xludf.DUMMYFUNCTION("""COMPUTED_VALUE"""),67.36666666666667)</f>
        <v>67.36666667</v>
      </c>
      <c r="H407" s="15">
        <f>IFERROR(__xludf.DUMMYFUNCTION("""COMPUTED_VALUE"""),44120.0)</f>
        <v>44120</v>
      </c>
      <c r="I407" s="18">
        <f>IFERROR(__xludf.DUMMYFUNCTION("""COMPUTED_VALUE"""),0.35833333333333334)</f>
        <v>0.3583333333</v>
      </c>
      <c r="J407" s="22">
        <f>IFERROR(__xludf.DUMMYFUNCTION("""COMPUTED_VALUE"""),79.33333333333333)</f>
        <v>79.33333333</v>
      </c>
      <c r="K407" s="22">
        <f>IFERROR(__xludf.DUMMYFUNCTION("""COMPUTED_VALUE"""),8.0)</f>
        <v>8</v>
      </c>
      <c r="L407" s="26" t="str">
        <f>IFERROR(__xludf.DUMMYFUNCTION("""COMPUTED_VALUE"""),"Racing")</f>
        <v>Racing</v>
      </c>
      <c r="M407" s="13" t="b">
        <f>NOT(ISNA(VLOOKUP(A407,PC!A:A,1,FALSE)))</f>
        <v>1</v>
      </c>
      <c r="N407" s="13" t="b">
        <f>NOT(ISNA(VLOOKUP(A407,'Game Pass Premium'!A:A,1,FALSE)))</f>
        <v>1</v>
      </c>
      <c r="O407" s="13" t="b">
        <f>NOT(ISNA(VLOOKUP(A407,'Game Pass Essential'!A:A,1,FALSE)))</f>
        <v>0</v>
      </c>
    </row>
    <row r="408">
      <c r="A408" s="12" t="str">
        <f>IFERROR(__xludf.DUMMYFUNCTION("""COMPUTED_VALUE"""),"Tamashika")</f>
        <v>Tamashika</v>
      </c>
      <c r="B408" s="13" t="str">
        <f>IFERROR(__xludf.DUMMYFUNCTION("""COMPUTED_VALUE"""),"Xbox / PC")</f>
        <v>Xbox / PC</v>
      </c>
      <c r="C408" s="14" t="str">
        <f>IFERROR(__xludf.DUMMYFUNCTION("""COMPUTED_VALUE"""),"Yes")</f>
        <v>Yes</v>
      </c>
      <c r="D408" s="14" t="str">
        <f>IFERROR(__xludf.DUMMYFUNCTION("""COMPUTED_VALUE"""),"Active")</f>
        <v>Active</v>
      </c>
      <c r="E408" s="15">
        <f>IFERROR(__xludf.DUMMYFUNCTION("""COMPUTED_VALUE"""),46212.0)</f>
        <v>46212</v>
      </c>
      <c r="F408" s="16"/>
      <c r="G408" s="18">
        <f>IFERROR(__xludf.DUMMYFUNCTION("""COMPUTED_VALUE"""),2.9)</f>
        <v>2.9</v>
      </c>
      <c r="H408" s="15">
        <f>IFERROR(__xludf.DUMMYFUNCTION("""COMPUTED_VALUE"""),46122.0)</f>
        <v>46122</v>
      </c>
      <c r="I408" s="18">
        <f>IFERROR(__xludf.DUMMYFUNCTION("""COMPUTED_VALUE"""),0.24722222222222223)</f>
        <v>0.2472222222</v>
      </c>
      <c r="J408" s="22">
        <f>IFERROR(__xludf.DUMMYFUNCTION("""COMPUTED_VALUE"""),79.0)</f>
        <v>79</v>
      </c>
      <c r="K408" s="22">
        <f>IFERROR(__xludf.DUMMYFUNCTION("""COMPUTED_VALUE"""),2.0)</f>
        <v>2</v>
      </c>
      <c r="L408" s="26" t="str">
        <f>IFERROR(__xludf.DUMMYFUNCTION("""COMPUTED_VALUE"""),"Shooter")</f>
        <v>Shooter</v>
      </c>
      <c r="M408" s="13" t="b">
        <f>NOT(ISNA(VLOOKUP(A408,PC!A:A,1,FALSE)))</f>
        <v>1</v>
      </c>
      <c r="N408" s="13" t="b">
        <f>NOT(ISNA(VLOOKUP(A408,'Game Pass Premium'!A:A,1,FALSE)))</f>
        <v>1</v>
      </c>
      <c r="O408" s="13" t="b">
        <f>NOT(ISNA(VLOOKUP(A408,'Game Pass Essential'!A:A,1,FALSE)))</f>
        <v>0</v>
      </c>
    </row>
    <row r="409">
      <c r="A409" s="12" t="str">
        <f>IFERROR(__xludf.DUMMYFUNCTION("""COMPUTED_VALUE"""),"MOTORSLICE")</f>
        <v>MOTORSLICE</v>
      </c>
      <c r="B409" s="13" t="str">
        <f>IFERROR(__xludf.DUMMYFUNCTION("""COMPUTED_VALUE"""),"Xbox / PC")</f>
        <v>Xbox / PC</v>
      </c>
      <c r="C409" s="14" t="str">
        <f>IFERROR(__xludf.DUMMYFUNCTION("""COMPUTED_VALUE"""),"Yes")</f>
        <v>Yes</v>
      </c>
      <c r="D409" s="14" t="str">
        <f>IFERROR(__xludf.DUMMYFUNCTION("""COMPUTED_VALUE"""),"Active")</f>
        <v>Active</v>
      </c>
      <c r="E409" s="15">
        <f>IFERROR(__xludf.DUMMYFUNCTION("""COMPUTED_VALUE"""),46147.0)</f>
        <v>46147</v>
      </c>
      <c r="F409" s="16"/>
      <c r="G409" s="18">
        <f>IFERROR(__xludf.DUMMYFUNCTION("""COMPUTED_VALUE"""),5.033333333333333)</f>
        <v>5.033333333</v>
      </c>
      <c r="H409" s="15">
        <f>IFERROR(__xludf.DUMMYFUNCTION("""COMPUTED_VALUE"""),46147.0)</f>
        <v>46147</v>
      </c>
      <c r="I409" s="18">
        <f>IFERROR(__xludf.DUMMYFUNCTION("""COMPUTED_VALUE"""),0.0)</f>
        <v>0</v>
      </c>
      <c r="J409" s="22">
        <f>IFERROR(__xludf.DUMMYFUNCTION("""COMPUTED_VALUE"""),79.0)</f>
        <v>79</v>
      </c>
      <c r="K409" s="22">
        <f>IFERROR(__xludf.DUMMYFUNCTION("""COMPUTED_VALUE"""),8.0)</f>
        <v>8</v>
      </c>
      <c r="L409" s="26" t="str">
        <f>IFERROR(__xludf.DUMMYFUNCTION("""COMPUTED_VALUE"""),"Action-Adventure")</f>
        <v>Action-Adventure</v>
      </c>
      <c r="M409" s="13" t="b">
        <f>NOT(ISNA(VLOOKUP(A409,PC!A:A,1,FALSE)))</f>
        <v>1</v>
      </c>
      <c r="N409" s="13" t="b">
        <f>NOT(ISNA(VLOOKUP(A409,'Game Pass Premium'!A:A,1,FALSE)))</f>
        <v>0</v>
      </c>
      <c r="O409" s="13" t="b">
        <f>NOT(ISNA(VLOOKUP(A409,'Game Pass Essential'!A:A,1,FALSE)))</f>
        <v>0</v>
      </c>
    </row>
    <row r="410">
      <c r="A410" s="12" t="str">
        <f>IFERROR(__xludf.DUMMYFUNCTION("""COMPUTED_VALUE"""),"Trepang2")</f>
        <v>Trepang2</v>
      </c>
      <c r="B410" s="13" t="str">
        <f>IFERROR(__xludf.DUMMYFUNCTION("""COMPUTED_VALUE"""),"Xbox / PC")</f>
        <v>Xbox / PC</v>
      </c>
      <c r="C410" s="14" t="str">
        <f>IFERROR(__xludf.DUMMYFUNCTION("""COMPUTED_VALUE"""),"Yes")</f>
        <v>Yes</v>
      </c>
      <c r="D410" s="14" t="str">
        <f>IFERROR(__xludf.DUMMYFUNCTION("""COMPUTED_VALUE"""),"Active")</f>
        <v>Active</v>
      </c>
      <c r="E410" s="15">
        <f>IFERROR(__xludf.DUMMYFUNCTION("""COMPUTED_VALUE"""),46141.0)</f>
        <v>46141</v>
      </c>
      <c r="F410" s="16"/>
      <c r="G410" s="18">
        <f>IFERROR(__xludf.DUMMYFUNCTION("""COMPUTED_VALUE"""),5.233333333333333)</f>
        <v>5.233333333</v>
      </c>
      <c r="H410" s="15">
        <f>IFERROR(__xludf.DUMMYFUNCTION("""COMPUTED_VALUE"""),45098.0)</f>
        <v>45098</v>
      </c>
      <c r="I410" s="18">
        <f>IFERROR(__xludf.DUMMYFUNCTION("""COMPUTED_VALUE"""),2.8555555555555556)</f>
        <v>2.855555556</v>
      </c>
      <c r="J410" s="22">
        <f>IFERROR(__xludf.DUMMYFUNCTION("""COMPUTED_VALUE"""),79.0)</f>
        <v>79</v>
      </c>
      <c r="K410" s="22">
        <f>IFERROR(__xludf.DUMMYFUNCTION("""COMPUTED_VALUE"""),5.0)</f>
        <v>5</v>
      </c>
      <c r="L410" s="26" t="str">
        <f>IFERROR(__xludf.DUMMYFUNCTION("""COMPUTED_VALUE"""),"Shooter")</f>
        <v>Shooter</v>
      </c>
      <c r="M410" s="13" t="b">
        <f>NOT(ISNA(VLOOKUP(A410,PC!A:A,1,FALSE)))</f>
        <v>1</v>
      </c>
      <c r="N410" s="13" t="b">
        <f>NOT(ISNA(VLOOKUP(A410,'Game Pass Premium'!A:A,1,FALSE)))</f>
        <v>1</v>
      </c>
      <c r="O410" s="13" t="b">
        <f>NOT(ISNA(VLOOKUP(A410,'Game Pass Essential'!A:A,1,FALSE)))</f>
        <v>0</v>
      </c>
    </row>
    <row r="411">
      <c r="A411" s="12" t="str">
        <f>IFERROR(__xludf.DUMMYFUNCTION("""COMPUTED_VALUE"""),"Little Nightmares: Enhanced Edition")</f>
        <v>Little Nightmares: Enhanced Edition</v>
      </c>
      <c r="B411" s="13" t="str">
        <f>IFERROR(__xludf.DUMMYFUNCTION("""COMPUTED_VALUE"""),"Xbox / PC")</f>
        <v>Xbox / PC</v>
      </c>
      <c r="C411" s="14" t="str">
        <f>IFERROR(__xludf.DUMMYFUNCTION("""COMPUTED_VALUE"""),"Yes")</f>
        <v>Yes</v>
      </c>
      <c r="D411" s="14" t="str">
        <f>IFERROR(__xludf.DUMMYFUNCTION("""COMPUTED_VALUE"""),"Active")</f>
        <v>Active</v>
      </c>
      <c r="E411" s="15">
        <f>IFERROR(__xludf.DUMMYFUNCTION("""COMPUTED_VALUE"""),46028.0)</f>
        <v>46028</v>
      </c>
      <c r="F411" s="16"/>
      <c r="G411" s="18">
        <f>IFERROR(__xludf.DUMMYFUNCTION("""COMPUTED_VALUE"""),9.0)</f>
        <v>9</v>
      </c>
      <c r="H411" s="15">
        <f>IFERROR(__xludf.DUMMYFUNCTION("""COMPUTED_VALUE"""),43238.0)</f>
        <v>43238</v>
      </c>
      <c r="I411" s="18">
        <f>IFERROR(__xludf.DUMMYFUNCTION("""COMPUTED_VALUE"""),7.633333333333334)</f>
        <v>7.633333333</v>
      </c>
      <c r="J411" s="22">
        <f>IFERROR(__xludf.DUMMYFUNCTION("""COMPUTED_VALUE"""),79.0)</f>
        <v>79</v>
      </c>
      <c r="K411" s="22">
        <f>IFERROR(__xludf.DUMMYFUNCTION("""COMPUTED_VALUE"""),4.0)</f>
        <v>4</v>
      </c>
      <c r="L411" s="26" t="str">
        <f>IFERROR(__xludf.DUMMYFUNCTION("""COMPUTED_VALUE"""),"Action-Adventure")</f>
        <v>Action-Adventure</v>
      </c>
      <c r="M411" s="13" t="b">
        <f>NOT(ISNA(VLOOKUP(A411,PC!A:A,1,FALSE)))</f>
        <v>1</v>
      </c>
      <c r="N411" s="13" t="b">
        <f>NOT(ISNA(VLOOKUP(A411,'Game Pass Premium'!A:A,1,FALSE)))</f>
        <v>1</v>
      </c>
      <c r="O411" s="13" t="b">
        <f>NOT(ISNA(VLOOKUP(A411,'Game Pass Essential'!A:A,1,FALSE)))</f>
        <v>0</v>
      </c>
    </row>
    <row r="412">
      <c r="A412" s="12" t="str">
        <f>IFERROR(__xludf.DUMMYFUNCTION("""COMPUTED_VALUE"""),"ROUTINE")</f>
        <v>ROUTINE</v>
      </c>
      <c r="B412" s="13" t="str">
        <f>IFERROR(__xludf.DUMMYFUNCTION("""COMPUTED_VALUE"""),"Xbox / PC")</f>
        <v>Xbox / PC</v>
      </c>
      <c r="C412" s="14" t="str">
        <f>IFERROR(__xludf.DUMMYFUNCTION("""COMPUTED_VALUE"""),"Yes")</f>
        <v>Yes</v>
      </c>
      <c r="D412" s="14" t="str">
        <f>IFERROR(__xludf.DUMMYFUNCTION("""COMPUTED_VALUE"""),"Active")</f>
        <v>Active</v>
      </c>
      <c r="E412" s="15">
        <f>IFERROR(__xludf.DUMMYFUNCTION("""COMPUTED_VALUE"""),45995.0)</f>
        <v>45995</v>
      </c>
      <c r="F412" s="16"/>
      <c r="G412" s="18">
        <f>IFERROR(__xludf.DUMMYFUNCTION("""COMPUTED_VALUE"""),10.066666666666666)</f>
        <v>10.06666667</v>
      </c>
      <c r="H412" s="15">
        <f>IFERROR(__xludf.DUMMYFUNCTION("""COMPUTED_VALUE"""),45995.0)</f>
        <v>45995</v>
      </c>
      <c r="I412" s="18">
        <f>IFERROR(__xludf.DUMMYFUNCTION("""COMPUTED_VALUE"""),0.0)</f>
        <v>0</v>
      </c>
      <c r="J412" s="22">
        <f>IFERROR(__xludf.DUMMYFUNCTION("""COMPUTED_VALUE"""),79.0)</f>
        <v>79</v>
      </c>
      <c r="K412" s="22">
        <f>IFERROR(__xludf.DUMMYFUNCTION("""COMPUTED_VALUE"""),6.0)</f>
        <v>6</v>
      </c>
      <c r="L412" s="26" t="str">
        <f>IFERROR(__xludf.DUMMYFUNCTION("""COMPUTED_VALUE"""),"Action-Adventure")</f>
        <v>Action-Adventure</v>
      </c>
      <c r="M412" s="13" t="b">
        <f>NOT(ISNA(VLOOKUP(A412,PC!A:A,1,FALSE)))</f>
        <v>1</v>
      </c>
      <c r="N412" s="13" t="b">
        <f>NOT(ISNA(VLOOKUP(A412,'Game Pass Premium'!A:A,1,FALSE)))</f>
        <v>1</v>
      </c>
      <c r="O412" s="13" t="b">
        <f>NOT(ISNA(VLOOKUP(A412,'Game Pass Essential'!A:A,1,FALSE)))</f>
        <v>0</v>
      </c>
    </row>
    <row r="413">
      <c r="A413" s="12" t="str">
        <f>IFERROR(__xludf.DUMMYFUNCTION("""COMPUTED_VALUE"""),"Trials Fusion")</f>
        <v>Trials Fusion</v>
      </c>
      <c r="B413" s="13" t="str">
        <f>IFERROR(__xludf.DUMMYFUNCTION("""COMPUTED_VALUE"""),"Xbox / PC")</f>
        <v>Xbox / PC</v>
      </c>
      <c r="C413" s="14" t="str">
        <f>IFERROR(__xludf.DUMMYFUNCTION("""COMPUTED_VALUE"""),"Yes")</f>
        <v>Yes</v>
      </c>
      <c r="D413" s="14" t="str">
        <f>IFERROR(__xludf.DUMMYFUNCTION("""COMPUTED_VALUE"""),"Active")</f>
        <v>Active</v>
      </c>
      <c r="E413" s="15">
        <f>IFERROR(__xludf.DUMMYFUNCTION("""COMPUTED_VALUE"""),45931.0)</f>
        <v>45931</v>
      </c>
      <c r="F413" s="16"/>
      <c r="G413" s="18">
        <f>IFERROR(__xludf.DUMMYFUNCTION("""COMPUTED_VALUE"""),12.166666666666666)</f>
        <v>12.16666667</v>
      </c>
      <c r="H413" s="15">
        <f>IFERROR(__xludf.DUMMYFUNCTION("""COMPUTED_VALUE"""),41744.0)</f>
        <v>41744</v>
      </c>
      <c r="I413" s="18">
        <f>IFERROR(__xludf.DUMMYFUNCTION("""COMPUTED_VALUE"""),11.46111111111111)</f>
        <v>11.46111111</v>
      </c>
      <c r="J413" s="22">
        <f>IFERROR(__xludf.DUMMYFUNCTION("""COMPUTED_VALUE"""),79.0)</f>
        <v>79</v>
      </c>
      <c r="K413" s="22">
        <f>IFERROR(__xludf.DUMMYFUNCTION("""COMPUTED_VALUE"""),7.0)</f>
        <v>7</v>
      </c>
      <c r="L413" s="26" t="str">
        <f>IFERROR(__xludf.DUMMYFUNCTION("""COMPUTED_VALUE"""),"Racing")</f>
        <v>Racing</v>
      </c>
      <c r="M413" s="13" t="b">
        <f>NOT(ISNA(VLOOKUP(A413,PC!A:A,1,FALSE)))</f>
        <v>1</v>
      </c>
      <c r="N413" s="13" t="b">
        <f>NOT(ISNA(VLOOKUP(A413,'Game Pass Premium'!A:A,1,FALSE)))</f>
        <v>0</v>
      </c>
      <c r="O413" s="13" t="b">
        <f>NOT(ISNA(VLOOKUP(A413,'Game Pass Essential'!A:A,1,FALSE)))</f>
        <v>0</v>
      </c>
    </row>
    <row r="414">
      <c r="A414" s="12" t="str">
        <f>IFERROR(__xludf.DUMMYFUNCTION("""COMPUTED_VALUE"""),"Trials Rising")</f>
        <v>Trials Rising</v>
      </c>
      <c r="B414" s="13" t="str">
        <f>IFERROR(__xludf.DUMMYFUNCTION("""COMPUTED_VALUE"""),"Xbox / PC")</f>
        <v>Xbox / PC</v>
      </c>
      <c r="C414" s="14" t="str">
        <f>IFERROR(__xludf.DUMMYFUNCTION("""COMPUTED_VALUE"""),"Yes")</f>
        <v>Yes</v>
      </c>
      <c r="D414" s="14" t="str">
        <f>IFERROR(__xludf.DUMMYFUNCTION("""COMPUTED_VALUE"""),"Active")</f>
        <v>Active</v>
      </c>
      <c r="E414" s="15">
        <f>IFERROR(__xludf.DUMMYFUNCTION("""COMPUTED_VALUE"""),45931.0)</f>
        <v>45931</v>
      </c>
      <c r="F414" s="16"/>
      <c r="G414" s="18">
        <f>IFERROR(__xludf.DUMMYFUNCTION("""COMPUTED_VALUE"""),12.166666666666666)</f>
        <v>12.16666667</v>
      </c>
      <c r="H414" s="15">
        <f>IFERROR(__xludf.DUMMYFUNCTION("""COMPUTED_VALUE"""),43522.0)</f>
        <v>43522</v>
      </c>
      <c r="I414" s="18">
        <f>IFERROR(__xludf.DUMMYFUNCTION("""COMPUTED_VALUE"""),6.597222222222222)</f>
        <v>6.597222222</v>
      </c>
      <c r="J414" s="22">
        <f>IFERROR(__xludf.DUMMYFUNCTION("""COMPUTED_VALUE"""),79.0)</f>
        <v>79</v>
      </c>
      <c r="K414" s="22">
        <f>IFERROR(__xludf.DUMMYFUNCTION("""COMPUTED_VALUE"""),18.0)</f>
        <v>18</v>
      </c>
      <c r="L414" s="26" t="str">
        <f>IFERROR(__xludf.DUMMYFUNCTION("""COMPUTED_VALUE"""),"Racing")</f>
        <v>Racing</v>
      </c>
      <c r="M414" s="13" t="b">
        <f>NOT(ISNA(VLOOKUP(A414,PC!A:A,1,FALSE)))</f>
        <v>1</v>
      </c>
      <c r="N414" s="13" t="b">
        <f>NOT(ISNA(VLOOKUP(A414,'Game Pass Premium'!A:A,1,FALSE)))</f>
        <v>0</v>
      </c>
      <c r="O414" s="13" t="b">
        <f>NOT(ISNA(VLOOKUP(A414,'Game Pass Essential'!A:A,1,FALSE)))</f>
        <v>0</v>
      </c>
    </row>
    <row r="415">
      <c r="A415" s="12" t="str">
        <f>IFERROR(__xludf.DUMMYFUNCTION("""COMPUTED_VALUE"""),"Gears of War: Reloaded")</f>
        <v>Gears of War: Reloaded</v>
      </c>
      <c r="B415" s="13" t="str">
        <f>IFERROR(__xludf.DUMMYFUNCTION("""COMPUTED_VALUE"""),"Xbox / PC")</f>
        <v>Xbox / PC</v>
      </c>
      <c r="C415" s="14" t="str">
        <f>IFERROR(__xludf.DUMMYFUNCTION("""COMPUTED_VALUE"""),"Yes")</f>
        <v>Yes</v>
      </c>
      <c r="D415" s="14" t="str">
        <f>IFERROR(__xludf.DUMMYFUNCTION("""COMPUTED_VALUE"""),"Active")</f>
        <v>Active</v>
      </c>
      <c r="E415" s="15">
        <f>IFERROR(__xludf.DUMMYFUNCTION("""COMPUTED_VALUE"""),45895.0)</f>
        <v>45895</v>
      </c>
      <c r="F415" s="16"/>
      <c r="G415" s="18">
        <f>IFERROR(__xludf.DUMMYFUNCTION("""COMPUTED_VALUE"""),13.333333333333334)</f>
        <v>13.33333333</v>
      </c>
      <c r="H415" s="15">
        <f>IFERROR(__xludf.DUMMYFUNCTION("""COMPUTED_VALUE"""),45895.0)</f>
        <v>45895</v>
      </c>
      <c r="I415" s="18">
        <f>IFERROR(__xludf.DUMMYFUNCTION("""COMPUTED_VALUE"""),0.0)</f>
        <v>0</v>
      </c>
      <c r="J415" s="22">
        <f>IFERROR(__xludf.DUMMYFUNCTION("""COMPUTED_VALUE"""),79.0)</f>
        <v>79</v>
      </c>
      <c r="K415" s="22">
        <f>IFERROR(__xludf.DUMMYFUNCTION("""COMPUTED_VALUE"""),7.0)</f>
        <v>7</v>
      </c>
      <c r="L415" s="26" t="str">
        <f>IFERROR(__xludf.DUMMYFUNCTION("""COMPUTED_VALUE"""),"Shooter")</f>
        <v>Shooter</v>
      </c>
      <c r="M415" s="13" t="b">
        <f>NOT(ISNA(VLOOKUP(A415,PC!A:A,1,FALSE)))</f>
        <v>1</v>
      </c>
      <c r="N415" s="13" t="b">
        <f>NOT(ISNA(VLOOKUP(A415,'Game Pass Premium'!A:A,1,FALSE)))</f>
        <v>0</v>
      </c>
      <c r="O415" s="13" t="b">
        <f>NOT(ISNA(VLOOKUP(A415,'Game Pass Essential'!A:A,1,FALSE)))</f>
        <v>0</v>
      </c>
    </row>
    <row r="416">
      <c r="A416" s="12" t="str">
        <f>IFERROR(__xludf.DUMMYFUNCTION("""COMPUTED_VALUE"""),"Conquests of Camelot: The Search for the Grail")</f>
        <v>Conquests of Camelot: The Search for the Grail</v>
      </c>
      <c r="B416" s="13" t="str">
        <f>IFERROR(__xludf.DUMMYFUNCTION("""COMPUTED_VALUE"""),"Xbox / PC")</f>
        <v>Xbox / PC</v>
      </c>
      <c r="C416" s="14" t="str">
        <f>IFERROR(__xludf.DUMMYFUNCTION("""COMPUTED_VALUE"""),"Yes")</f>
        <v>Yes</v>
      </c>
      <c r="D416" s="14" t="str">
        <f>IFERROR(__xludf.DUMMYFUNCTION("""COMPUTED_VALUE"""),"Active")</f>
        <v>Active</v>
      </c>
      <c r="E416" s="15">
        <f>IFERROR(__xludf.DUMMYFUNCTION("""COMPUTED_VALUE"""),45859.0)</f>
        <v>45859</v>
      </c>
      <c r="F416" s="16"/>
      <c r="G416" s="18">
        <f>IFERROR(__xludf.DUMMYFUNCTION("""COMPUTED_VALUE"""),14.5)</f>
        <v>14.5</v>
      </c>
      <c r="H416" s="15">
        <f>IFERROR(__xludf.DUMMYFUNCTION("""COMPUTED_VALUE"""),32933.0)</f>
        <v>32933</v>
      </c>
      <c r="I416" s="18">
        <f>IFERROR(__xludf.DUMMYFUNCTION("""COMPUTED_VALUE"""),35.388888888888886)</f>
        <v>35.38888889</v>
      </c>
      <c r="J416" s="22">
        <f>IFERROR(__xludf.DUMMYFUNCTION("""COMPUTED_VALUE"""),79.0)</f>
        <v>79</v>
      </c>
      <c r="K416" s="22">
        <f>IFERROR(__xludf.DUMMYFUNCTION("""COMPUTED_VALUE"""),4.0)</f>
        <v>4</v>
      </c>
      <c r="L416" s="26" t="str">
        <f>IFERROR(__xludf.DUMMYFUNCTION("""COMPUTED_VALUE"""),"Action-Adventure")</f>
        <v>Action-Adventure</v>
      </c>
      <c r="M416" s="13" t="b">
        <f>NOT(ISNA(VLOOKUP(A416,PC!A:A,1,FALSE)))</f>
        <v>1</v>
      </c>
      <c r="N416" s="13" t="b">
        <f>NOT(ISNA(VLOOKUP(A416,'Game Pass Premium'!A:A,1,FALSE)))</f>
        <v>1</v>
      </c>
      <c r="O416" s="13" t="b">
        <f>NOT(ISNA(VLOOKUP(A416,'Game Pass Essential'!A:A,1,FALSE)))</f>
        <v>0</v>
      </c>
    </row>
    <row r="417">
      <c r="A417" s="12" t="str">
        <f>IFERROR(__xludf.DUMMYFUNCTION("""COMPUTED_VALUE"""),"Call of Duty: WWII")</f>
        <v>Call of Duty: WWII</v>
      </c>
      <c r="B417" s="13" t="str">
        <f>IFERROR(__xludf.DUMMYFUNCTION("""COMPUTED_VALUE"""),"Xbox / PC")</f>
        <v>Xbox / PC</v>
      </c>
      <c r="C417" s="14"/>
      <c r="D417" s="14" t="str">
        <f>IFERROR(__xludf.DUMMYFUNCTION("""COMPUTED_VALUE"""),"Active")</f>
        <v>Active</v>
      </c>
      <c r="E417" s="15">
        <f>IFERROR(__xludf.DUMMYFUNCTION("""COMPUTED_VALUE"""),45838.0)</f>
        <v>45838</v>
      </c>
      <c r="F417" s="16"/>
      <c r="G417" s="18">
        <f>IFERROR(__xludf.DUMMYFUNCTION("""COMPUTED_VALUE"""),15.2)</f>
        <v>15.2</v>
      </c>
      <c r="H417" s="15">
        <f>IFERROR(__xludf.DUMMYFUNCTION("""COMPUTED_VALUE"""),43042.0)</f>
        <v>43042</v>
      </c>
      <c r="I417" s="18">
        <f>IFERROR(__xludf.DUMMYFUNCTION("""COMPUTED_VALUE"""),7.658333333333333)</f>
        <v>7.658333333</v>
      </c>
      <c r="J417" s="22">
        <f>IFERROR(__xludf.DUMMYFUNCTION("""COMPUTED_VALUE"""),79.0)</f>
        <v>79</v>
      </c>
      <c r="K417" s="22">
        <f>IFERROR(__xludf.DUMMYFUNCTION("""COMPUTED_VALUE"""),7.0)</f>
        <v>7</v>
      </c>
      <c r="L417" s="26" t="str">
        <f>IFERROR(__xludf.DUMMYFUNCTION("""COMPUTED_VALUE"""),"Shooter")</f>
        <v>Shooter</v>
      </c>
      <c r="M417" s="13" t="b">
        <f>NOT(ISNA(VLOOKUP(A417,PC!A:A,1,FALSE)))</f>
        <v>1</v>
      </c>
      <c r="N417" s="13" t="b">
        <f>NOT(ISNA(VLOOKUP(A417,'Game Pass Premium'!A:A,1,FALSE)))</f>
        <v>1</v>
      </c>
      <c r="O417" s="13" t="b">
        <f>NOT(ISNA(VLOOKUP(A417,'Game Pass Essential'!A:A,1,FALSE)))</f>
        <v>0</v>
      </c>
    </row>
    <row r="418">
      <c r="A418" s="12" t="str">
        <f>IFERROR(__xludf.DUMMYFUNCTION("""COMPUTED_VALUE"""),"33 Immortals")</f>
        <v>33 Immortals</v>
      </c>
      <c r="B418" s="13" t="str">
        <f>IFERROR(__xludf.DUMMYFUNCTION("""COMPUTED_VALUE"""),"Xbox / PC")</f>
        <v>Xbox / PC</v>
      </c>
      <c r="C418" s="14" t="str">
        <f>IFERROR(__xludf.DUMMYFUNCTION("""COMPUTED_VALUE"""),"Yes")</f>
        <v>Yes</v>
      </c>
      <c r="D418" s="14" t="str">
        <f>IFERROR(__xludf.DUMMYFUNCTION("""COMPUTED_VALUE"""),"Active")</f>
        <v>Active</v>
      </c>
      <c r="E418" s="15">
        <f>IFERROR(__xludf.DUMMYFUNCTION("""COMPUTED_VALUE"""),45734.0)</f>
        <v>45734</v>
      </c>
      <c r="F418" s="16"/>
      <c r="G418" s="18">
        <f>IFERROR(__xludf.DUMMYFUNCTION("""COMPUTED_VALUE"""),18.6)</f>
        <v>18.6</v>
      </c>
      <c r="H418" s="15">
        <f>IFERROR(__xludf.DUMMYFUNCTION("""COMPUTED_VALUE"""),45734.0)</f>
        <v>45734</v>
      </c>
      <c r="I418" s="18">
        <f>IFERROR(__xludf.DUMMYFUNCTION("""COMPUTED_VALUE"""),0.0)</f>
        <v>0</v>
      </c>
      <c r="J418" s="22">
        <f>IFERROR(__xludf.DUMMYFUNCTION("""COMPUTED_VALUE"""),79.0)</f>
        <v>79</v>
      </c>
      <c r="K418" s="22">
        <f>IFERROR(__xludf.DUMMYFUNCTION("""COMPUTED_VALUE"""),5.0)</f>
        <v>5</v>
      </c>
      <c r="L418" s="26" t="str">
        <f>IFERROR(__xludf.DUMMYFUNCTION("""COMPUTED_VALUE"""),"RPG")</f>
        <v>RPG</v>
      </c>
      <c r="M418" s="13" t="b">
        <f>NOT(ISNA(VLOOKUP(A418,PC!A:A,1,FALSE)))</f>
        <v>1</v>
      </c>
      <c r="N418" s="13" t="b">
        <f>NOT(ISNA(VLOOKUP(A418,'Game Pass Premium'!A:A,1,FALSE)))</f>
        <v>1</v>
      </c>
      <c r="O418" s="13" t="b">
        <f>NOT(ISNA(VLOOKUP(A418,'Game Pass Essential'!A:A,1,FALSE)))</f>
        <v>0</v>
      </c>
    </row>
    <row r="419">
      <c r="A419" s="12" t="str">
        <f>IFERROR(__xludf.DUMMYFUNCTION("""COMPUTED_VALUE"""),"Mechwarrior 5: Clans")</f>
        <v>Mechwarrior 5: Clans</v>
      </c>
      <c r="B419" s="13" t="str">
        <f>IFERROR(__xludf.DUMMYFUNCTION("""COMPUTED_VALUE"""),"Xbox / PC")</f>
        <v>Xbox / PC</v>
      </c>
      <c r="C419" s="14" t="str">
        <f>IFERROR(__xludf.DUMMYFUNCTION("""COMPUTED_VALUE"""),"Yes")</f>
        <v>Yes</v>
      </c>
      <c r="D419" s="14" t="str">
        <f>IFERROR(__xludf.DUMMYFUNCTION("""COMPUTED_VALUE"""),"Active")</f>
        <v>Active</v>
      </c>
      <c r="E419" s="15">
        <f>IFERROR(__xludf.DUMMYFUNCTION("""COMPUTED_VALUE"""),45582.0)</f>
        <v>45582</v>
      </c>
      <c r="F419" s="16"/>
      <c r="G419" s="18">
        <f>IFERROR(__xludf.DUMMYFUNCTION("""COMPUTED_VALUE"""),23.633333333333333)</f>
        <v>23.63333333</v>
      </c>
      <c r="H419" s="15">
        <f>IFERROR(__xludf.DUMMYFUNCTION("""COMPUTED_VALUE"""),45582.0)</f>
        <v>45582</v>
      </c>
      <c r="I419" s="18">
        <f>IFERROR(__xludf.DUMMYFUNCTION("""COMPUTED_VALUE"""),0.0)</f>
        <v>0</v>
      </c>
      <c r="J419" s="22">
        <f>IFERROR(__xludf.DUMMYFUNCTION("""COMPUTED_VALUE"""),79.0)</f>
        <v>79</v>
      </c>
      <c r="K419" s="22">
        <f>IFERROR(__xludf.DUMMYFUNCTION("""COMPUTED_VALUE"""),23.0)</f>
        <v>23</v>
      </c>
      <c r="L419" s="26" t="str">
        <f>IFERROR(__xludf.DUMMYFUNCTION("""COMPUTED_VALUE"""),"Simulation")</f>
        <v>Simulation</v>
      </c>
      <c r="M419" s="13" t="b">
        <f>NOT(ISNA(VLOOKUP(A419,PC!A:A,1,FALSE)))</f>
        <v>1</v>
      </c>
      <c r="N419" s="13" t="b">
        <f>NOT(ISNA(VLOOKUP(A419,'Game Pass Premium'!A:A,1,FALSE)))</f>
        <v>1</v>
      </c>
      <c r="O419" s="13" t="b">
        <f>NOT(ISNA(VLOOKUP(A419,'Game Pass Essential'!A:A,1,FALSE)))</f>
        <v>0</v>
      </c>
    </row>
    <row r="420">
      <c r="A420" s="12" t="str">
        <f>IFERROR(__xludf.DUMMYFUNCTION("""COMPUTED_VALUE"""),"Overwatch 2")</f>
        <v>Overwatch 2</v>
      </c>
      <c r="B420" s="13" t="str">
        <f>IFERROR(__xludf.DUMMYFUNCTION("""COMPUTED_VALUE"""),"Xbox / PC")</f>
        <v>Xbox / PC</v>
      </c>
      <c r="C420" s="14"/>
      <c r="D420" s="14" t="str">
        <f>IFERROR(__xludf.DUMMYFUNCTION("""COMPUTED_VALUE"""),"Active")</f>
        <v>Active</v>
      </c>
      <c r="E420" s="15">
        <f>IFERROR(__xludf.DUMMYFUNCTION("""COMPUTED_VALUE"""),45552.0)</f>
        <v>45552</v>
      </c>
      <c r="F420" s="16"/>
      <c r="G420" s="18">
        <f>IFERROR(__xludf.DUMMYFUNCTION("""COMPUTED_VALUE"""),24.633333333333333)</f>
        <v>24.63333333</v>
      </c>
      <c r="H420" s="15">
        <f>IFERROR(__xludf.DUMMYFUNCTION("""COMPUTED_VALUE"""),45148.0)</f>
        <v>45148</v>
      </c>
      <c r="I420" s="18">
        <f>IFERROR(__xludf.DUMMYFUNCTION("""COMPUTED_VALUE"""),1.1027777777777779)</f>
        <v>1.102777778</v>
      </c>
      <c r="J420" s="22">
        <f>IFERROR(__xludf.DUMMYFUNCTION("""COMPUTED_VALUE"""),79.0)</f>
        <v>79</v>
      </c>
      <c r="K420" s="22">
        <f>IFERROR(__xludf.DUMMYFUNCTION("""COMPUTED_VALUE"""),57.0)</f>
        <v>57</v>
      </c>
      <c r="L420" s="26" t="str">
        <f>IFERROR(__xludf.DUMMYFUNCTION("""COMPUTED_VALUE"""),"Shooter")</f>
        <v>Shooter</v>
      </c>
      <c r="M420" s="13" t="b">
        <f>NOT(ISNA(VLOOKUP(A420,PC!A:A,1,FALSE)))</f>
        <v>1</v>
      </c>
      <c r="N420" s="13" t="b">
        <f>NOT(ISNA(VLOOKUP(A420,'Game Pass Premium'!A:A,1,FALSE)))</f>
        <v>0</v>
      </c>
      <c r="O420" s="13" t="b">
        <f>NOT(ISNA(VLOOKUP(A420,'Game Pass Essential'!A:A,1,FALSE)))</f>
        <v>0</v>
      </c>
    </row>
    <row r="421">
      <c r="A421" s="12" t="str">
        <f>IFERROR(__xludf.DUMMYFUNCTION("""COMPUTED_VALUE"""),"Little Kitty, Big City")</f>
        <v>Little Kitty, Big City</v>
      </c>
      <c r="B421" s="13" t="str">
        <f>IFERROR(__xludf.DUMMYFUNCTION("""COMPUTED_VALUE"""),"Xbox / PC")</f>
        <v>Xbox / PC</v>
      </c>
      <c r="C421" s="14" t="str">
        <f>IFERROR(__xludf.DUMMYFUNCTION("""COMPUTED_VALUE"""),"Yes")</f>
        <v>Yes</v>
      </c>
      <c r="D421" s="14" t="str">
        <f>IFERROR(__xludf.DUMMYFUNCTION("""COMPUTED_VALUE"""),"Active")</f>
        <v>Active</v>
      </c>
      <c r="E421" s="15">
        <f>IFERROR(__xludf.DUMMYFUNCTION("""COMPUTED_VALUE"""),45421.0)</f>
        <v>45421</v>
      </c>
      <c r="F421" s="16"/>
      <c r="G421" s="18">
        <f>IFERROR(__xludf.DUMMYFUNCTION("""COMPUTED_VALUE"""),28.9)</f>
        <v>28.9</v>
      </c>
      <c r="H421" s="15">
        <f>IFERROR(__xludf.DUMMYFUNCTION("""COMPUTED_VALUE"""),45421.0)</f>
        <v>45421</v>
      </c>
      <c r="I421" s="18">
        <f>IFERROR(__xludf.DUMMYFUNCTION("""COMPUTED_VALUE"""),0.0)</f>
        <v>0</v>
      </c>
      <c r="J421" s="22">
        <f>IFERROR(__xludf.DUMMYFUNCTION("""COMPUTED_VALUE"""),79.0)</f>
        <v>79</v>
      </c>
      <c r="K421" s="22">
        <f>IFERROR(__xludf.DUMMYFUNCTION("""COMPUTED_VALUE"""),3.0)</f>
        <v>3</v>
      </c>
      <c r="L421" s="26" t="str">
        <f>IFERROR(__xludf.DUMMYFUNCTION("""COMPUTED_VALUE"""),"Action-Adventure")</f>
        <v>Action-Adventure</v>
      </c>
      <c r="M421" s="13" t="b">
        <f>NOT(ISNA(VLOOKUP(A421,PC!A:A,1,FALSE)))</f>
        <v>1</v>
      </c>
      <c r="N421" s="13" t="b">
        <f>NOT(ISNA(VLOOKUP(A421,'Game Pass Premium'!A:A,1,FALSE)))</f>
        <v>1</v>
      </c>
      <c r="O421" s="13" t="b">
        <f>NOT(ISNA(VLOOKUP(A421,'Game Pass Essential'!A:A,1,FALSE)))</f>
        <v>0</v>
      </c>
    </row>
    <row r="422">
      <c r="A422" s="12" t="str">
        <f>IFERROR(__xludf.DUMMYFUNCTION("""COMPUTED_VALUE"""),"Resident Evil 3")</f>
        <v>Resident Evil 3</v>
      </c>
      <c r="B422" s="13" t="str">
        <f>IFERROR(__xludf.DUMMYFUNCTION("""COMPUTED_VALUE"""),"Xbox / PC")</f>
        <v>Xbox / PC</v>
      </c>
      <c r="C422" s="14" t="str">
        <f>IFERROR(__xludf.DUMMYFUNCTION("""COMPUTED_VALUE"""),"Yes")</f>
        <v>Yes</v>
      </c>
      <c r="D422" s="14" t="str">
        <f>IFERROR(__xludf.DUMMYFUNCTION("""COMPUTED_VALUE"""),"Active")</f>
        <v>Active</v>
      </c>
      <c r="E422" s="15">
        <f>IFERROR(__xludf.DUMMYFUNCTION("""COMPUTED_VALUE"""),45335.0)</f>
        <v>45335</v>
      </c>
      <c r="F422" s="16"/>
      <c r="G422" s="18">
        <f>IFERROR(__xludf.DUMMYFUNCTION("""COMPUTED_VALUE"""),31.766666666666666)</f>
        <v>31.76666667</v>
      </c>
      <c r="H422" s="15">
        <f>IFERROR(__xludf.DUMMYFUNCTION("""COMPUTED_VALUE"""),43924.0)</f>
        <v>43924</v>
      </c>
      <c r="I422" s="18">
        <f>IFERROR(__xludf.DUMMYFUNCTION("""COMPUTED_VALUE"""),3.861111111111111)</f>
        <v>3.861111111</v>
      </c>
      <c r="J422" s="22">
        <f>IFERROR(__xludf.DUMMYFUNCTION("""COMPUTED_VALUE"""),79.0)</f>
        <v>79</v>
      </c>
      <c r="K422" s="22">
        <f>IFERROR(__xludf.DUMMYFUNCTION("""COMPUTED_VALUE"""),6.0)</f>
        <v>6</v>
      </c>
      <c r="L422" s="26" t="str">
        <f>IFERROR(__xludf.DUMMYFUNCTION("""COMPUTED_VALUE"""),"Shooter")</f>
        <v>Shooter</v>
      </c>
      <c r="M422" s="13" t="b">
        <f>NOT(ISNA(VLOOKUP(A422,PC!A:A,1,FALSE)))</f>
        <v>1</v>
      </c>
      <c r="N422" s="13" t="b">
        <f>NOT(ISNA(VLOOKUP(A422,'Game Pass Premium'!A:A,1,FALSE)))</f>
        <v>1</v>
      </c>
      <c r="O422" s="13" t="b">
        <f>NOT(ISNA(VLOOKUP(A422,'Game Pass Essential'!A:A,1,FALSE)))</f>
        <v>0</v>
      </c>
    </row>
    <row r="423">
      <c r="A423" s="12" t="str">
        <f>IFERROR(__xludf.DUMMYFUNCTION("""COMPUTED_VALUE"""),"Super Mega Baseball 4")</f>
        <v>Super Mega Baseball 4</v>
      </c>
      <c r="B423" s="13" t="str">
        <f>IFERROR(__xludf.DUMMYFUNCTION("""COMPUTED_VALUE"""),"Xbox / PC")</f>
        <v>Xbox / PC</v>
      </c>
      <c r="C423" s="14" t="str">
        <f>IFERROR(__xludf.DUMMYFUNCTION("""COMPUTED_VALUE"""),"Yes")</f>
        <v>Yes</v>
      </c>
      <c r="D423" s="14" t="str">
        <f>IFERROR(__xludf.DUMMYFUNCTION("""COMPUTED_VALUE"""),"Active")</f>
        <v>Active</v>
      </c>
      <c r="E423" s="15">
        <f>IFERROR(__xludf.DUMMYFUNCTION("""COMPUTED_VALUE"""),45302.0)</f>
        <v>45302</v>
      </c>
      <c r="F423" s="16"/>
      <c r="G423" s="18">
        <f>IFERROR(__xludf.DUMMYFUNCTION("""COMPUTED_VALUE"""),32.833333333333336)</f>
        <v>32.83333333</v>
      </c>
      <c r="H423" s="15">
        <f>IFERROR(__xludf.DUMMYFUNCTION("""COMPUTED_VALUE"""),45079.0)</f>
        <v>45079</v>
      </c>
      <c r="I423" s="18">
        <f>IFERROR(__xludf.DUMMYFUNCTION("""COMPUTED_VALUE"""),0.6083333333333333)</f>
        <v>0.6083333333</v>
      </c>
      <c r="J423" s="22">
        <f>IFERROR(__xludf.DUMMYFUNCTION("""COMPUTED_VALUE"""),79.0)</f>
        <v>79</v>
      </c>
      <c r="K423" s="22">
        <f>IFERROR(__xludf.DUMMYFUNCTION("""COMPUTED_VALUE"""),12.0)</f>
        <v>12</v>
      </c>
      <c r="L423" s="26" t="str">
        <f>IFERROR(__xludf.DUMMYFUNCTION("""COMPUTED_VALUE"""),"Sports")</f>
        <v>Sports</v>
      </c>
      <c r="M423" s="13" t="b">
        <f>NOT(ISNA(VLOOKUP(A423,PC!A:A,1,FALSE)))</f>
        <v>1</v>
      </c>
      <c r="N423" s="13" t="b">
        <f>NOT(ISNA(VLOOKUP(A423,'Game Pass Premium'!A:A,1,FALSE)))</f>
        <v>1</v>
      </c>
      <c r="O423" s="13" t="b">
        <f>NOT(ISNA(VLOOKUP(A423,'Game Pass Essential'!A:A,1,FALSE)))</f>
        <v>0</v>
      </c>
    </row>
    <row r="424">
      <c r="A424" s="12" t="str">
        <f>IFERROR(__xludf.DUMMYFUNCTION("""COMPUTED_VALUE"""),"Wild Hearts")</f>
        <v>Wild Hearts</v>
      </c>
      <c r="B424" s="13" t="str">
        <f>IFERROR(__xludf.DUMMYFUNCTION("""COMPUTED_VALUE"""),"Xbox / PC")</f>
        <v>Xbox / PC</v>
      </c>
      <c r="C424" s="14" t="str">
        <f>IFERROR(__xludf.DUMMYFUNCTION("""COMPUTED_VALUE"""),"Yes")</f>
        <v>Yes</v>
      </c>
      <c r="D424" s="14" t="str">
        <f>IFERROR(__xludf.DUMMYFUNCTION("""COMPUTED_VALUE"""),"Active")</f>
        <v>Active</v>
      </c>
      <c r="E424" s="15">
        <f>IFERROR(__xludf.DUMMYFUNCTION("""COMPUTED_VALUE"""),45239.0)</f>
        <v>45239</v>
      </c>
      <c r="F424" s="16"/>
      <c r="G424" s="18">
        <f>IFERROR(__xludf.DUMMYFUNCTION("""COMPUTED_VALUE"""),34.9)</f>
        <v>34.9</v>
      </c>
      <c r="H424" s="15">
        <f>IFERROR(__xludf.DUMMYFUNCTION("""COMPUTED_VALUE"""),44974.0)</f>
        <v>44974</v>
      </c>
      <c r="I424" s="18">
        <f>IFERROR(__xludf.DUMMYFUNCTION("""COMPUTED_VALUE"""),0.7277777777777777)</f>
        <v>0.7277777778</v>
      </c>
      <c r="J424" s="22">
        <f>IFERROR(__xludf.DUMMYFUNCTION("""COMPUTED_VALUE"""),79.0)</f>
        <v>79</v>
      </c>
      <c r="K424" s="22">
        <f>IFERROR(__xludf.DUMMYFUNCTION("""COMPUTED_VALUE"""),46.0)</f>
        <v>46</v>
      </c>
      <c r="L424" s="26" t="str">
        <f>IFERROR(__xludf.DUMMYFUNCTION("""COMPUTED_VALUE"""),"Action-Adventure")</f>
        <v>Action-Adventure</v>
      </c>
      <c r="M424" s="13" t="b">
        <f>NOT(ISNA(VLOOKUP(A424,PC!A:A,1,FALSE)))</f>
        <v>1</v>
      </c>
      <c r="N424" s="13" t="b">
        <f>NOT(ISNA(VLOOKUP(A424,'Game Pass Premium'!A:A,1,FALSE)))</f>
        <v>1</v>
      </c>
      <c r="O424" s="13" t="b">
        <f>NOT(ISNA(VLOOKUP(A424,'Game Pass Essential'!A:A,1,FALSE)))</f>
        <v>0</v>
      </c>
    </row>
    <row r="425">
      <c r="A425" s="12" t="str">
        <f>IFERROR(__xludf.DUMMYFUNCTION("""COMPUTED_VALUE"""),"Genesis Noir")</f>
        <v>Genesis Noir</v>
      </c>
      <c r="B425" s="13" t="str">
        <f>IFERROR(__xludf.DUMMYFUNCTION("""COMPUTED_VALUE"""),"Xbox / PC")</f>
        <v>Xbox / PC</v>
      </c>
      <c r="C425" s="14" t="str">
        <f>IFERROR(__xludf.DUMMYFUNCTION("""COMPUTED_VALUE"""),"Touch Controls")</f>
        <v>Touch Controls</v>
      </c>
      <c r="D425" s="14" t="str">
        <f>IFERROR(__xludf.DUMMYFUNCTION("""COMPUTED_VALUE"""),"Active")</f>
        <v>Active</v>
      </c>
      <c r="E425" s="15">
        <f>IFERROR(__xludf.DUMMYFUNCTION("""COMPUTED_VALUE"""),44280.0)</f>
        <v>44280</v>
      </c>
      <c r="F425" s="16"/>
      <c r="G425" s="18">
        <f>IFERROR(__xludf.DUMMYFUNCTION("""COMPUTED_VALUE"""),66.36666666666667)</f>
        <v>66.36666667</v>
      </c>
      <c r="H425" s="15">
        <f>IFERROR(__xludf.DUMMYFUNCTION("""COMPUTED_VALUE"""),44280.0)</f>
        <v>44280</v>
      </c>
      <c r="I425" s="18">
        <f>IFERROR(__xludf.DUMMYFUNCTION("""COMPUTED_VALUE"""),0.0)</f>
        <v>0</v>
      </c>
      <c r="J425" s="22">
        <f>IFERROR(__xludf.DUMMYFUNCTION("""COMPUTED_VALUE"""),79.0)</f>
        <v>79</v>
      </c>
      <c r="K425" s="22">
        <f>IFERROR(__xludf.DUMMYFUNCTION("""COMPUTED_VALUE"""),4.5)</f>
        <v>4.5</v>
      </c>
      <c r="L425" s="26" t="str">
        <f>IFERROR(__xludf.DUMMYFUNCTION("""COMPUTED_VALUE"""),"Adventure")</f>
        <v>Adventure</v>
      </c>
      <c r="M425" s="13" t="b">
        <f>NOT(ISNA(VLOOKUP(A425,PC!A:A,1,FALSE)))</f>
        <v>1</v>
      </c>
      <c r="N425" s="13" t="b">
        <f>NOT(ISNA(VLOOKUP(A425,'Game Pass Premium'!A:A,1,FALSE)))</f>
        <v>1</v>
      </c>
      <c r="O425" s="13" t="b">
        <f>NOT(ISNA(VLOOKUP(A425,'Game Pass Essential'!A:A,1,FALSE)))</f>
        <v>0</v>
      </c>
    </row>
    <row r="426">
      <c r="A426" s="12" t="str">
        <f>IFERROR(__xludf.DUMMYFUNCTION("""COMPUTED_VALUE"""),"A Way Out")</f>
        <v>A Way Out</v>
      </c>
      <c r="B426" s="13" t="str">
        <f>IFERROR(__xludf.DUMMYFUNCTION("""COMPUTED_VALUE"""),"Xbox / PC")</f>
        <v>Xbox / PC</v>
      </c>
      <c r="C426" s="14"/>
      <c r="D426" s="14" t="str">
        <f>IFERROR(__xludf.DUMMYFUNCTION("""COMPUTED_VALUE"""),"Active")</f>
        <v>Active</v>
      </c>
      <c r="E426" s="15">
        <f>IFERROR(__xludf.DUMMYFUNCTION("""COMPUTED_VALUE"""),44145.0)</f>
        <v>44145</v>
      </c>
      <c r="F426" s="16"/>
      <c r="G426" s="18">
        <f>IFERROR(__xludf.DUMMYFUNCTION("""COMPUTED_VALUE"""),70.86666666666667)</f>
        <v>70.86666667</v>
      </c>
      <c r="H426" s="15">
        <f>IFERROR(__xludf.DUMMYFUNCTION("""COMPUTED_VALUE"""),43182.0)</f>
        <v>43182</v>
      </c>
      <c r="I426" s="18">
        <f>IFERROR(__xludf.DUMMYFUNCTION("""COMPUTED_VALUE"""),2.6305555555555555)</f>
        <v>2.630555556</v>
      </c>
      <c r="J426" s="22">
        <f>IFERROR(__xludf.DUMMYFUNCTION("""COMPUTED_VALUE"""),79.0)</f>
        <v>79</v>
      </c>
      <c r="K426" s="22">
        <f>IFERROR(__xludf.DUMMYFUNCTION("""COMPUTED_VALUE"""),6.0)</f>
        <v>6</v>
      </c>
      <c r="L426" s="26" t="str">
        <f>IFERROR(__xludf.DUMMYFUNCTION("""COMPUTED_VALUE"""),"Action-Adventure")</f>
        <v>Action-Adventure</v>
      </c>
      <c r="M426" s="13" t="b">
        <f>NOT(ISNA(VLOOKUP(A426,PC!A:A,1,FALSE)))</f>
        <v>1</v>
      </c>
      <c r="N426" s="13" t="b">
        <f>NOT(ISNA(VLOOKUP(A426,'Game Pass Premium'!A:A,1,FALSE)))</f>
        <v>1</v>
      </c>
      <c r="O426" s="13" t="b">
        <f>NOT(ISNA(VLOOKUP(A426,'Game Pass Essential'!A:A,1,FALSE)))</f>
        <v>0</v>
      </c>
    </row>
    <row r="427">
      <c r="A427" s="12" t="str">
        <f>IFERROR(__xludf.DUMMYFUNCTION("""COMPUTED_VALUE"""),"Burnout: Paradise - Remastered")</f>
        <v>Burnout: Paradise - Remastered</v>
      </c>
      <c r="B427" s="13" t="str">
        <f>IFERROR(__xludf.DUMMYFUNCTION("""COMPUTED_VALUE"""),"Xbox / PC")</f>
        <v>Xbox / PC</v>
      </c>
      <c r="C427" s="14"/>
      <c r="D427" s="14" t="str">
        <f>IFERROR(__xludf.DUMMYFUNCTION("""COMPUTED_VALUE"""),"Active")</f>
        <v>Active</v>
      </c>
      <c r="E427" s="15">
        <f>IFERROR(__xludf.DUMMYFUNCTION("""COMPUTED_VALUE"""),44145.0)</f>
        <v>44145</v>
      </c>
      <c r="F427" s="16"/>
      <c r="G427" s="18">
        <f>IFERROR(__xludf.DUMMYFUNCTION("""COMPUTED_VALUE"""),70.86666666666667)</f>
        <v>70.86666667</v>
      </c>
      <c r="H427" s="15">
        <f>IFERROR(__xludf.DUMMYFUNCTION("""COMPUTED_VALUE"""),39469.0)</f>
        <v>39469</v>
      </c>
      <c r="I427" s="18">
        <f>IFERROR(__xludf.DUMMYFUNCTION("""COMPUTED_VALUE"""),12.8)</f>
        <v>12.8</v>
      </c>
      <c r="J427" s="22">
        <f>IFERROR(__xludf.DUMMYFUNCTION("""COMPUTED_VALUE"""),79.0)</f>
        <v>79</v>
      </c>
      <c r="K427" s="22">
        <f>IFERROR(__xludf.DUMMYFUNCTION("""COMPUTED_VALUE"""),10.5)</f>
        <v>10.5</v>
      </c>
      <c r="L427" s="26" t="str">
        <f>IFERROR(__xludf.DUMMYFUNCTION("""COMPUTED_VALUE"""),"Racing")</f>
        <v>Racing</v>
      </c>
      <c r="M427" s="13" t="b">
        <f>NOT(ISNA(VLOOKUP(A427,PC!A:A,1,FALSE)))</f>
        <v>1</v>
      </c>
      <c r="N427" s="13" t="b">
        <f>NOT(ISNA(VLOOKUP(A427,'Game Pass Premium'!A:A,1,FALSE)))</f>
        <v>1</v>
      </c>
      <c r="O427" s="13" t="b">
        <f>NOT(ISNA(VLOOKUP(A427,'Game Pass Essential'!A:A,1,FALSE)))</f>
        <v>0</v>
      </c>
    </row>
    <row r="428">
      <c r="A428" s="12" t="str">
        <f>IFERROR(__xludf.DUMMYFUNCTION("""COMPUTED_VALUE"""),"Dragon Age II")</f>
        <v>Dragon Age II</v>
      </c>
      <c r="B428" s="13" t="str">
        <f>IFERROR(__xludf.DUMMYFUNCTION("""COMPUTED_VALUE"""),"Xbox / PC")</f>
        <v>Xbox / PC</v>
      </c>
      <c r="C428" s="14" t="str">
        <f>IFERROR(__xludf.DUMMYFUNCTION("""COMPUTED_VALUE"""),"Touch Controls")</f>
        <v>Touch Controls</v>
      </c>
      <c r="D428" s="14" t="str">
        <f>IFERROR(__xludf.DUMMYFUNCTION("""COMPUTED_VALUE"""),"Active")</f>
        <v>Active</v>
      </c>
      <c r="E428" s="15">
        <f>IFERROR(__xludf.DUMMYFUNCTION("""COMPUTED_VALUE"""),44145.0)</f>
        <v>44145</v>
      </c>
      <c r="F428" s="16"/>
      <c r="G428" s="18">
        <f>IFERROR(__xludf.DUMMYFUNCTION("""COMPUTED_VALUE"""),70.86666666666667)</f>
        <v>70.86666667</v>
      </c>
      <c r="H428" s="15">
        <f>IFERROR(__xludf.DUMMYFUNCTION("""COMPUTED_VALUE"""),40610.0)</f>
        <v>40610</v>
      </c>
      <c r="I428" s="18">
        <f>IFERROR(__xludf.DUMMYFUNCTION("""COMPUTED_VALUE"""),9.672222222222222)</f>
        <v>9.672222222</v>
      </c>
      <c r="J428" s="22">
        <f>IFERROR(__xludf.DUMMYFUNCTION("""COMPUTED_VALUE"""),79.0)</f>
        <v>79</v>
      </c>
      <c r="K428" s="22">
        <f>IFERROR(__xludf.DUMMYFUNCTION("""COMPUTED_VALUE"""),26.5)</f>
        <v>26.5</v>
      </c>
      <c r="L428" s="26" t="str">
        <f>IFERROR(__xludf.DUMMYFUNCTION("""COMPUTED_VALUE"""),"RPG")</f>
        <v>RPG</v>
      </c>
      <c r="M428" s="13" t="b">
        <f>NOT(ISNA(VLOOKUP(A428,PC!A:A,1,FALSE)))</f>
        <v>1</v>
      </c>
      <c r="N428" s="13" t="b">
        <f>NOT(ISNA(VLOOKUP(A428,'Game Pass Premium'!A:A,1,FALSE)))</f>
        <v>1</v>
      </c>
      <c r="O428" s="13" t="b">
        <f>NOT(ISNA(VLOOKUP(A428,'Game Pass Essential'!A:A,1,FALSE)))</f>
        <v>0</v>
      </c>
    </row>
    <row r="429">
      <c r="A429" s="12" t="str">
        <f>IFERROR(__xludf.DUMMYFUNCTION("""COMPUTED_VALUE"""),"Mirror's Edge")</f>
        <v>Mirror's Edge</v>
      </c>
      <c r="B429" s="13" t="str">
        <f>IFERROR(__xludf.DUMMYFUNCTION("""COMPUTED_VALUE"""),"Xbox / PC")</f>
        <v>Xbox / PC</v>
      </c>
      <c r="C429" s="14"/>
      <c r="D429" s="14" t="str">
        <f>IFERROR(__xludf.DUMMYFUNCTION("""COMPUTED_VALUE"""),"Active")</f>
        <v>Active</v>
      </c>
      <c r="E429" s="15">
        <f>IFERROR(__xludf.DUMMYFUNCTION("""COMPUTED_VALUE"""),44145.0)</f>
        <v>44145</v>
      </c>
      <c r="F429" s="16"/>
      <c r="G429" s="18">
        <f>IFERROR(__xludf.DUMMYFUNCTION("""COMPUTED_VALUE"""),70.86666666666667)</f>
        <v>70.86666667</v>
      </c>
      <c r="H429" s="15">
        <f>IFERROR(__xludf.DUMMYFUNCTION("""COMPUTED_VALUE"""),40269.0)</f>
        <v>40269</v>
      </c>
      <c r="I429" s="18">
        <f>IFERROR(__xludf.DUMMYFUNCTION("""COMPUTED_VALUE"""),10.608333333333333)</f>
        <v>10.60833333</v>
      </c>
      <c r="J429" s="22">
        <f>IFERROR(__xludf.DUMMYFUNCTION("""COMPUTED_VALUE"""),79.0)</f>
        <v>79</v>
      </c>
      <c r="K429" s="22">
        <f>IFERROR(__xludf.DUMMYFUNCTION("""COMPUTED_VALUE"""),6.0)</f>
        <v>6</v>
      </c>
      <c r="L429" s="26" t="str">
        <f>IFERROR(__xludf.DUMMYFUNCTION("""COMPUTED_VALUE"""),"Platformer")</f>
        <v>Platformer</v>
      </c>
      <c r="M429" s="13" t="b">
        <f>NOT(ISNA(VLOOKUP(A429,PC!A:A,1,FALSE)))</f>
        <v>1</v>
      </c>
      <c r="N429" s="13" t="b">
        <f>NOT(ISNA(VLOOKUP(A429,'Game Pass Premium'!A:A,1,FALSE)))</f>
        <v>1</v>
      </c>
      <c r="O429" s="13" t="b">
        <f>NOT(ISNA(VLOOKUP(A429,'Game Pass Essential'!A:A,1,FALSE)))</f>
        <v>0</v>
      </c>
    </row>
    <row r="430">
      <c r="A430" s="12" t="str">
        <f>IFERROR(__xludf.DUMMYFUNCTION("""COMPUTED_VALUE"""),"Halo: Combat Evolved - Anniversary")</f>
        <v>Halo: Combat Evolved - Anniversary</v>
      </c>
      <c r="B430" s="13" t="str">
        <f>IFERROR(__xludf.DUMMYFUNCTION("""COMPUTED_VALUE"""),"Xbox / PC")</f>
        <v>Xbox / PC</v>
      </c>
      <c r="C430" s="14"/>
      <c r="D430" s="14" t="str">
        <f>IFERROR(__xludf.DUMMYFUNCTION("""COMPUTED_VALUE"""),"Active")</f>
        <v>Active</v>
      </c>
      <c r="E430" s="15">
        <f>IFERROR(__xludf.DUMMYFUNCTION("""COMPUTED_VALUE"""),43893.0)</f>
        <v>43893</v>
      </c>
      <c r="F430" s="16"/>
      <c r="G430" s="18">
        <f>IFERROR(__xludf.DUMMYFUNCTION("""COMPUTED_VALUE"""),79.1)</f>
        <v>79.1</v>
      </c>
      <c r="H430" s="15">
        <f>IFERROR(__xludf.DUMMYFUNCTION("""COMPUTED_VALUE"""),37210.0)</f>
        <v>37210</v>
      </c>
      <c r="I430" s="18">
        <f>IFERROR(__xludf.DUMMYFUNCTION("""COMPUTED_VALUE"""),18.3)</f>
        <v>18.3</v>
      </c>
      <c r="J430" s="22">
        <f>IFERROR(__xludf.DUMMYFUNCTION("""COMPUTED_VALUE"""),79.0)</f>
        <v>79</v>
      </c>
      <c r="K430" s="22">
        <f>IFERROR(__xludf.DUMMYFUNCTION("""COMPUTED_VALUE"""),10.0)</f>
        <v>10</v>
      </c>
      <c r="L430" s="26" t="str">
        <f>IFERROR(__xludf.DUMMYFUNCTION("""COMPUTED_VALUE"""),"Shooter")</f>
        <v>Shooter</v>
      </c>
      <c r="M430" s="13" t="b">
        <f>NOT(ISNA(VLOOKUP(A430,PC!A:A,1,FALSE)))</f>
        <v>1</v>
      </c>
      <c r="N430" s="13" t="b">
        <f>NOT(ISNA(VLOOKUP(A430,'Game Pass Premium'!A:A,1,FALSE)))</f>
        <v>1</v>
      </c>
      <c r="O430" s="13" t="b">
        <f>NOT(ISNA(VLOOKUP(A430,'Game Pass Essential'!A:A,1,FALSE)))</f>
        <v>0</v>
      </c>
    </row>
    <row r="431">
      <c r="A431" s="12" t="str">
        <f>IFERROR(__xludf.DUMMYFUNCTION("""COMPUTED_VALUE"""),"Perfect Dark")</f>
        <v>Perfect Dark</v>
      </c>
      <c r="B431" s="13" t="str">
        <f>IFERROR(__xludf.DUMMYFUNCTION("""COMPUTED_VALUE"""),"Xbox")</f>
        <v>Xbox</v>
      </c>
      <c r="C431" s="14" t="str">
        <f>IFERROR(__xludf.DUMMYFUNCTION("""COMPUTED_VALUE"""),"Yes")</f>
        <v>Yes</v>
      </c>
      <c r="D431" s="14" t="str">
        <f>IFERROR(__xludf.DUMMYFUNCTION("""COMPUTED_VALUE"""),"Active")</f>
        <v>Active</v>
      </c>
      <c r="E431" s="15">
        <f>IFERROR(__xludf.DUMMYFUNCTION("""COMPUTED_VALUE"""),43636.0)</f>
        <v>43636</v>
      </c>
      <c r="F431" s="16"/>
      <c r="G431" s="18">
        <f>IFERROR(__xludf.DUMMYFUNCTION("""COMPUTED_VALUE"""),87.53333333333333)</f>
        <v>87.53333333</v>
      </c>
      <c r="H431" s="15">
        <f>IFERROR(__xludf.DUMMYFUNCTION("""COMPUTED_VALUE"""),36766.0)</f>
        <v>36766</v>
      </c>
      <c r="I431" s="18">
        <f>IFERROR(__xludf.DUMMYFUNCTION("""COMPUTED_VALUE"""),18.81111111111111)</f>
        <v>18.81111111</v>
      </c>
      <c r="J431" s="22">
        <f>IFERROR(__xludf.DUMMYFUNCTION("""COMPUTED_VALUE"""),79.0)</f>
        <v>79</v>
      </c>
      <c r="K431" s="22">
        <f>IFERROR(__xludf.DUMMYFUNCTION("""COMPUTED_VALUE"""),9.0)</f>
        <v>9</v>
      </c>
      <c r="L431" s="26" t="str">
        <f>IFERROR(__xludf.DUMMYFUNCTION("""COMPUTED_VALUE"""),"Shooter")</f>
        <v>Shooter</v>
      </c>
      <c r="M431" s="13" t="b">
        <f>NOT(ISNA(VLOOKUP(A431,PC!A:A,1,FALSE)))</f>
        <v>0</v>
      </c>
      <c r="N431" s="13" t="b">
        <f>NOT(ISNA(VLOOKUP(A431,'Game Pass Premium'!A:A,1,FALSE)))</f>
        <v>1</v>
      </c>
      <c r="O431" s="13" t="b">
        <f>NOT(ISNA(VLOOKUP(A431,'Game Pass Essential'!A:A,1,FALSE)))</f>
        <v>0</v>
      </c>
    </row>
    <row r="432">
      <c r="A432" s="12" t="str">
        <f>IFERROR(__xludf.DUMMYFUNCTION("""COMPUTED_VALUE"""),"Halo Wars 2")</f>
        <v>Halo Wars 2</v>
      </c>
      <c r="B432" s="13" t="str">
        <f>IFERROR(__xludf.DUMMYFUNCTION("""COMPUTED_VALUE"""),"Xbox / PC")</f>
        <v>Xbox / PC</v>
      </c>
      <c r="C432" s="14" t="str">
        <f>IFERROR(__xludf.DUMMYFUNCTION("""COMPUTED_VALUE"""),"Touch Controls")</f>
        <v>Touch Controls</v>
      </c>
      <c r="D432" s="14" t="str">
        <f>IFERROR(__xludf.DUMMYFUNCTION("""COMPUTED_VALUE"""),"Active")</f>
        <v>Active</v>
      </c>
      <c r="E432" s="15">
        <f>IFERROR(__xludf.DUMMYFUNCTION("""COMPUTED_VALUE"""),43132.0)</f>
        <v>43132</v>
      </c>
      <c r="F432" s="16"/>
      <c r="G432" s="18">
        <f>IFERROR(__xludf.DUMMYFUNCTION("""COMPUTED_VALUE"""),104.16666666666666)</f>
        <v>104.1666667</v>
      </c>
      <c r="H432" s="15">
        <f>IFERROR(__xludf.DUMMYFUNCTION("""COMPUTED_VALUE"""),42783.0)</f>
        <v>42783</v>
      </c>
      <c r="I432" s="18">
        <f>IFERROR(__xludf.DUMMYFUNCTION("""COMPUTED_VALUE"""),0.9555555555555556)</f>
        <v>0.9555555556</v>
      </c>
      <c r="J432" s="22">
        <f>IFERROR(__xludf.DUMMYFUNCTION("""COMPUTED_VALUE"""),79.0)</f>
        <v>79</v>
      </c>
      <c r="K432" s="22">
        <f>IFERROR(__xludf.DUMMYFUNCTION("""COMPUTED_VALUE"""),8.0)</f>
        <v>8</v>
      </c>
      <c r="L432" s="26" t="str">
        <f>IFERROR(__xludf.DUMMYFUNCTION("""COMPUTED_VALUE"""),"Real-Time Strategy")</f>
        <v>Real-Time Strategy</v>
      </c>
      <c r="M432" s="13" t="b">
        <f>NOT(ISNA(VLOOKUP(A432,PC!A:A,1,FALSE)))</f>
        <v>1</v>
      </c>
      <c r="N432" s="13" t="b">
        <f>NOT(ISNA(VLOOKUP(A432,'Game Pass Premium'!A:A,1,FALSE)))</f>
        <v>1</v>
      </c>
      <c r="O432" s="13" t="b">
        <f>NOT(ISNA(VLOOKUP(A432,'Game Pass Essential'!A:A,1,FALSE)))</f>
        <v>1</v>
      </c>
    </row>
    <row r="433">
      <c r="A433" s="12" t="str">
        <f>IFERROR(__xludf.DUMMYFUNCTION("""COMPUTED_VALUE"""),"Banjo-Kazooie: Nuts &amp; Bolts")</f>
        <v>Banjo-Kazooie: Nuts &amp; Bolts</v>
      </c>
      <c r="B433" s="13" t="str">
        <f>IFERROR(__xludf.DUMMYFUNCTION("""COMPUTED_VALUE"""),"Xbox")</f>
        <v>Xbox</v>
      </c>
      <c r="C433" s="14" t="str">
        <f>IFERROR(__xludf.DUMMYFUNCTION("""COMPUTED_VALUE"""),"Yes")</f>
        <v>Yes</v>
      </c>
      <c r="D433" s="14" t="str">
        <f>IFERROR(__xludf.DUMMYFUNCTION("""COMPUTED_VALUE"""),"Active")</f>
        <v>Active</v>
      </c>
      <c r="E433" s="15">
        <f>IFERROR(__xludf.DUMMYFUNCTION("""COMPUTED_VALUE"""),42887.0)</f>
        <v>42887</v>
      </c>
      <c r="F433" s="16"/>
      <c r="G433" s="18">
        <f>IFERROR(__xludf.DUMMYFUNCTION("""COMPUTED_VALUE"""),112.16666666666666)</f>
        <v>112.1666667</v>
      </c>
      <c r="H433" s="15">
        <f>IFERROR(__xludf.DUMMYFUNCTION("""COMPUTED_VALUE"""),39763.0)</f>
        <v>39763</v>
      </c>
      <c r="I433" s="18">
        <f>IFERROR(__xludf.DUMMYFUNCTION("""COMPUTED_VALUE"""),8.555555555555555)</f>
        <v>8.555555556</v>
      </c>
      <c r="J433" s="22">
        <f>IFERROR(__xludf.DUMMYFUNCTION("""COMPUTED_VALUE"""),79.0)</f>
        <v>79</v>
      </c>
      <c r="K433" s="22">
        <f>IFERROR(__xludf.DUMMYFUNCTION("""COMPUTED_VALUE"""),15.5)</f>
        <v>15.5</v>
      </c>
      <c r="L433" s="26" t="str">
        <f>IFERROR(__xludf.DUMMYFUNCTION("""COMPUTED_VALUE"""),"Adventure")</f>
        <v>Adventure</v>
      </c>
      <c r="M433" s="13" t="b">
        <f>NOT(ISNA(VLOOKUP(A433,PC!A:A,1,FALSE)))</f>
        <v>0</v>
      </c>
      <c r="N433" s="13" t="b">
        <f>NOT(ISNA(VLOOKUP(A433,'Game Pass Premium'!A:A,1,FALSE)))</f>
        <v>1</v>
      </c>
      <c r="O433" s="13" t="b">
        <f>NOT(ISNA(VLOOKUP(A433,'Game Pass Essential'!A:A,1,FALSE)))</f>
        <v>0</v>
      </c>
    </row>
    <row r="434">
      <c r="A434" s="12" t="str">
        <f>IFERROR(__xludf.DUMMYFUNCTION("""COMPUTED_VALUE"""),"Gears of War: Judgment")</f>
        <v>Gears of War: Judgment</v>
      </c>
      <c r="B434" s="13" t="str">
        <f>IFERROR(__xludf.DUMMYFUNCTION("""COMPUTED_VALUE"""),"Xbox")</f>
        <v>Xbox</v>
      </c>
      <c r="C434" s="14" t="str">
        <f>IFERROR(__xludf.DUMMYFUNCTION("""COMPUTED_VALUE"""),"Yes")</f>
        <v>Yes</v>
      </c>
      <c r="D434" s="14" t="str">
        <f>IFERROR(__xludf.DUMMYFUNCTION("""COMPUTED_VALUE"""),"Active")</f>
        <v>Active</v>
      </c>
      <c r="E434" s="15">
        <f>IFERROR(__xludf.DUMMYFUNCTION("""COMPUTED_VALUE"""),42887.0)</f>
        <v>42887</v>
      </c>
      <c r="F434" s="16"/>
      <c r="G434" s="18">
        <f>IFERROR(__xludf.DUMMYFUNCTION("""COMPUTED_VALUE"""),112.16666666666666)</f>
        <v>112.1666667</v>
      </c>
      <c r="H434" s="15">
        <f>IFERROR(__xludf.DUMMYFUNCTION("""COMPUTED_VALUE"""),41352.0)</f>
        <v>41352</v>
      </c>
      <c r="I434" s="18">
        <f>IFERROR(__xludf.DUMMYFUNCTION("""COMPUTED_VALUE"""),4.2)</f>
        <v>4.2</v>
      </c>
      <c r="J434" s="22">
        <f>IFERROR(__xludf.DUMMYFUNCTION("""COMPUTED_VALUE"""),79.0)</f>
        <v>79</v>
      </c>
      <c r="K434" s="22">
        <f>IFERROR(__xludf.DUMMYFUNCTION("""COMPUTED_VALUE"""),7.0)</f>
        <v>7</v>
      </c>
      <c r="L434" s="26" t="str">
        <f>IFERROR(__xludf.DUMMYFUNCTION("""COMPUTED_VALUE"""),"Shooter")</f>
        <v>Shooter</v>
      </c>
      <c r="M434" s="13" t="b">
        <f>NOT(ISNA(VLOOKUP(A434,PC!A:A,1,FALSE)))</f>
        <v>0</v>
      </c>
      <c r="N434" s="13" t="b">
        <f>NOT(ISNA(VLOOKUP(A434,'Game Pass Premium'!A:A,1,FALSE)))</f>
        <v>1</v>
      </c>
      <c r="O434" s="13" t="b">
        <f>NOT(ISNA(VLOOKUP(A434,'Game Pass Essential'!A:A,1,FALSE)))</f>
        <v>0</v>
      </c>
    </row>
    <row r="435">
      <c r="A435" s="12" t="str">
        <f>IFERROR(__xludf.DUMMYFUNCTION("""COMPUTED_VALUE"""),"Kameo: Elements of Power")</f>
        <v>Kameo: Elements of Power</v>
      </c>
      <c r="B435" s="13" t="str">
        <f>IFERROR(__xludf.DUMMYFUNCTION("""COMPUTED_VALUE"""),"Xbox")</f>
        <v>Xbox</v>
      </c>
      <c r="C435" s="14" t="str">
        <f>IFERROR(__xludf.DUMMYFUNCTION("""COMPUTED_VALUE"""),"Yes")</f>
        <v>Yes</v>
      </c>
      <c r="D435" s="14" t="str">
        <f>IFERROR(__xludf.DUMMYFUNCTION("""COMPUTED_VALUE"""),"Active")</f>
        <v>Active</v>
      </c>
      <c r="E435" s="15">
        <f>IFERROR(__xludf.DUMMYFUNCTION("""COMPUTED_VALUE"""),42887.0)</f>
        <v>42887</v>
      </c>
      <c r="F435" s="16"/>
      <c r="G435" s="18">
        <f>IFERROR(__xludf.DUMMYFUNCTION("""COMPUTED_VALUE"""),112.16666666666666)</f>
        <v>112.1666667</v>
      </c>
      <c r="H435" s="15">
        <f>IFERROR(__xludf.DUMMYFUNCTION("""COMPUTED_VALUE"""),38670.0)</f>
        <v>38670</v>
      </c>
      <c r="I435" s="18">
        <f>IFERROR(__xludf.DUMMYFUNCTION("""COMPUTED_VALUE"""),11.547222222222222)</f>
        <v>11.54722222</v>
      </c>
      <c r="J435" s="22">
        <f>IFERROR(__xludf.DUMMYFUNCTION("""COMPUTED_VALUE"""),79.0)</f>
        <v>79</v>
      </c>
      <c r="K435" s="22">
        <f>IFERROR(__xludf.DUMMYFUNCTION("""COMPUTED_VALUE"""),9.5)</f>
        <v>9.5</v>
      </c>
      <c r="L435" s="26" t="str">
        <f>IFERROR(__xludf.DUMMYFUNCTION("""COMPUTED_VALUE"""),"Action-Adventure")</f>
        <v>Action-Adventure</v>
      </c>
      <c r="M435" s="13" t="b">
        <f>NOT(ISNA(VLOOKUP(A435,PC!A:A,1,FALSE)))</f>
        <v>0</v>
      </c>
      <c r="N435" s="13" t="b">
        <f>NOT(ISNA(VLOOKUP(A435,'Game Pass Premium'!A:A,1,FALSE)))</f>
        <v>1</v>
      </c>
      <c r="O435" s="13" t="b">
        <f>NOT(ISNA(VLOOKUP(A435,'Game Pass Essential'!A:A,1,FALSE)))</f>
        <v>0</v>
      </c>
    </row>
    <row r="436">
      <c r="A436" s="12" t="str">
        <f>IFERROR(__xludf.DUMMYFUNCTION("""COMPUTED_VALUE"""),"Pacific Drive")</f>
        <v>Pacific Drive</v>
      </c>
      <c r="B436" s="13" t="str">
        <f>IFERROR(__xludf.DUMMYFUNCTION("""COMPUTED_VALUE"""),"Xbox / PC")</f>
        <v>Xbox / PC</v>
      </c>
      <c r="C436" s="14" t="str">
        <f>IFERROR(__xludf.DUMMYFUNCTION("""COMPUTED_VALUE"""),"Yes")</f>
        <v>Yes</v>
      </c>
      <c r="D436" s="14" t="str">
        <f>IFERROR(__xludf.DUMMYFUNCTION("""COMPUTED_VALUE"""),"Leaving Soon")</f>
        <v>Leaving Soon</v>
      </c>
      <c r="E436" s="15">
        <f>IFERROR(__xludf.DUMMYFUNCTION("""COMPUTED_VALUE"""),45953.0)</f>
        <v>45953</v>
      </c>
      <c r="F436" s="16">
        <f>IFERROR(__xludf.DUMMYFUNCTION("""COMPUTED_VALUE"""),46310.0)</f>
        <v>46310</v>
      </c>
      <c r="G436" s="18">
        <f>IFERROR(__xludf.DUMMYFUNCTION("""COMPUTED_VALUE"""),11.733333333333333)</f>
        <v>11.73333333</v>
      </c>
      <c r="H436" s="15">
        <f>IFERROR(__xludf.DUMMYFUNCTION("""COMPUTED_VALUE"""),45343.0)</f>
        <v>45343</v>
      </c>
      <c r="I436" s="18">
        <f>IFERROR(__xludf.DUMMYFUNCTION("""COMPUTED_VALUE"""),1.6722222222222223)</f>
        <v>1.672222222</v>
      </c>
      <c r="J436" s="22">
        <f>IFERROR(__xludf.DUMMYFUNCTION("""COMPUTED_VALUE"""),79.0)</f>
        <v>79</v>
      </c>
      <c r="K436" s="22">
        <f>IFERROR(__xludf.DUMMYFUNCTION("""COMPUTED_VALUE"""),20.0)</f>
        <v>20</v>
      </c>
      <c r="L436" s="26" t="str">
        <f>IFERROR(__xludf.DUMMYFUNCTION("""COMPUTED_VALUE"""),"Racing")</f>
        <v>Racing</v>
      </c>
      <c r="M436" s="13" t="b">
        <f>NOT(ISNA(VLOOKUP(A436,PC!A:A,1,FALSE)))</f>
        <v>1</v>
      </c>
      <c r="N436" s="13" t="b">
        <f>NOT(ISNA(VLOOKUP(A436,'Game Pass Premium'!A:A,1,FALSE)))</f>
        <v>1</v>
      </c>
      <c r="O436" s="13" t="b">
        <f>NOT(ISNA(VLOOKUP(A436,'Game Pass Essential'!A:A,1,FALSE)))</f>
        <v>0</v>
      </c>
    </row>
    <row r="437">
      <c r="A437" s="12" t="str">
        <f>IFERROR(__xludf.DUMMYFUNCTION("""COMPUTED_VALUE"""),"Lego Batman")</f>
        <v>Lego Batman</v>
      </c>
      <c r="B437" s="13" t="str">
        <f>IFERROR(__xludf.DUMMYFUNCTION("""COMPUTED_VALUE"""),"XB360/OG Xbox")</f>
        <v>XB360/OG Xbox</v>
      </c>
      <c r="C437" s="14"/>
      <c r="D437" s="14" t="str">
        <f>IFERROR(__xludf.DUMMYFUNCTION("""COMPUTED_VALUE"""),"GwG Permanent")</f>
        <v>GwG Permanent</v>
      </c>
      <c r="E437" s="15">
        <f>IFERROR(__xludf.DUMMYFUNCTION("""COMPUTED_VALUE"""),44317.0)</f>
        <v>44317</v>
      </c>
      <c r="F437" s="16">
        <f>IFERROR(__xludf.DUMMYFUNCTION("""COMPUTED_VALUE"""),44331.0)</f>
        <v>44331</v>
      </c>
      <c r="G437" s="18">
        <f>IFERROR(__xludf.DUMMYFUNCTION("""COMPUTED_VALUE"""),0.4666666666666667)</f>
        <v>0.4666666667</v>
      </c>
      <c r="H437" s="15">
        <f>IFERROR(__xludf.DUMMYFUNCTION("""COMPUTED_VALUE"""),39741.0)</f>
        <v>39741</v>
      </c>
      <c r="I437" s="18">
        <f>IFERROR(__xludf.DUMMYFUNCTION("""COMPUTED_VALUE"""),12.530555555555555)</f>
        <v>12.53055556</v>
      </c>
      <c r="J437" s="22">
        <f>IFERROR(__xludf.DUMMYFUNCTION("""COMPUTED_VALUE"""),79.0)</f>
        <v>79</v>
      </c>
      <c r="K437" s="22">
        <f>IFERROR(__xludf.DUMMYFUNCTION("""COMPUTED_VALUE"""),10.0)</f>
        <v>10</v>
      </c>
      <c r="L437" s="26" t="str">
        <f>IFERROR(__xludf.DUMMYFUNCTION("""COMPUTED_VALUE"""),"Action-Adventure")</f>
        <v>Action-Adventure</v>
      </c>
      <c r="M437" s="13" t="b">
        <f>NOT(ISNA(VLOOKUP(A437,PC!A:A,1,FALSE)))</f>
        <v>0</v>
      </c>
      <c r="N437" s="13" t="b">
        <f>NOT(ISNA(VLOOKUP(A437,'Game Pass Premium'!A:A,1,FALSE)))</f>
        <v>0</v>
      </c>
      <c r="O437" s="13" t="b">
        <f>NOT(ISNA(VLOOKUP(A437,'Game Pass Essential'!A:A,1,FALSE)))</f>
        <v>0</v>
      </c>
    </row>
    <row r="438">
      <c r="A438" s="12" t="str">
        <f>IFERROR(__xludf.DUMMYFUNCTION("""COMPUTED_VALUE"""),"The King of Fighters XIII")</f>
        <v>The King of Fighters XIII</v>
      </c>
      <c r="B438" s="13" t="str">
        <f>IFERROR(__xludf.DUMMYFUNCTION("""COMPUTED_VALUE"""),"XB360/OG Xbox")</f>
        <v>XB360/OG Xbox</v>
      </c>
      <c r="C438" s="14"/>
      <c r="D438" s="14" t="str">
        <f>IFERROR(__xludf.DUMMYFUNCTION("""COMPUTED_VALUE"""),"GwG Permanent")</f>
        <v>GwG Permanent</v>
      </c>
      <c r="E438" s="15">
        <f>IFERROR(__xludf.DUMMYFUNCTION("""COMPUTED_VALUE"""),44197.0)</f>
        <v>44197</v>
      </c>
      <c r="F438" s="16">
        <f>IFERROR(__xludf.DUMMYFUNCTION("""COMPUTED_VALUE"""),44211.0)</f>
        <v>44211</v>
      </c>
      <c r="G438" s="18">
        <f>IFERROR(__xludf.DUMMYFUNCTION("""COMPUTED_VALUE"""),0.4666666666666667)</f>
        <v>0.4666666667</v>
      </c>
      <c r="H438" s="15">
        <f>IFERROR(__xludf.DUMMYFUNCTION("""COMPUTED_VALUE"""),40869.0)</f>
        <v>40869</v>
      </c>
      <c r="I438" s="18">
        <f>IFERROR(__xludf.DUMMYFUNCTION("""COMPUTED_VALUE"""),9.108333333333333)</f>
        <v>9.108333333</v>
      </c>
      <c r="J438" s="22">
        <f>IFERROR(__xludf.DUMMYFUNCTION("""COMPUTED_VALUE"""),79.0)</f>
        <v>79</v>
      </c>
      <c r="K438" s="22">
        <f>IFERROR(__xludf.DUMMYFUNCTION("""COMPUTED_VALUE"""),2.5)</f>
        <v>2.5</v>
      </c>
      <c r="L438" s="26" t="str">
        <f>IFERROR(__xludf.DUMMYFUNCTION("""COMPUTED_VALUE"""),"Fighting")</f>
        <v>Fighting</v>
      </c>
      <c r="M438" s="13" t="b">
        <f>NOT(ISNA(VLOOKUP(A438,PC!A:A,1,FALSE)))</f>
        <v>0</v>
      </c>
      <c r="N438" s="13" t="b">
        <f>NOT(ISNA(VLOOKUP(A438,'Game Pass Premium'!A:A,1,FALSE)))</f>
        <v>0</v>
      </c>
      <c r="O438" s="13" t="b">
        <f>NOT(ISNA(VLOOKUP(A438,'Game Pass Essential'!A:A,1,FALSE)))</f>
        <v>0</v>
      </c>
    </row>
    <row r="439">
      <c r="A439" s="12" t="str">
        <f>IFERROR(__xludf.DUMMYFUNCTION("""COMPUTED_VALUE"""),"Overlord II")</f>
        <v>Overlord II</v>
      </c>
      <c r="B439" s="13" t="str">
        <f>IFERROR(__xludf.DUMMYFUNCTION("""COMPUTED_VALUE"""),"XB360/OG Xbox")</f>
        <v>XB360/OG Xbox</v>
      </c>
      <c r="C439" s="14"/>
      <c r="D439" s="14" t="str">
        <f>IFERROR(__xludf.DUMMYFUNCTION("""COMPUTED_VALUE"""),"GwG Permanent")</f>
        <v>GwG Permanent</v>
      </c>
      <c r="E439" s="15">
        <f>IFERROR(__xludf.DUMMYFUNCTION("""COMPUTED_VALUE"""),43967.0)</f>
        <v>43967</v>
      </c>
      <c r="F439" s="16">
        <f>IFERROR(__xludf.DUMMYFUNCTION("""COMPUTED_VALUE"""),43982.0)</f>
        <v>43982</v>
      </c>
      <c r="G439" s="18">
        <f>IFERROR(__xludf.DUMMYFUNCTION("""COMPUTED_VALUE"""),0.4666666666666667)</f>
        <v>0.4666666667</v>
      </c>
      <c r="H439" s="15">
        <f>IFERROR(__xludf.DUMMYFUNCTION("""COMPUTED_VALUE"""),39987.0)</f>
        <v>39987</v>
      </c>
      <c r="I439" s="18">
        <f>IFERROR(__xludf.DUMMYFUNCTION("""COMPUTED_VALUE"""),10.897222222222222)</f>
        <v>10.89722222</v>
      </c>
      <c r="J439" s="22">
        <f>IFERROR(__xludf.DUMMYFUNCTION("""COMPUTED_VALUE"""),79.0)</f>
        <v>79</v>
      </c>
      <c r="K439" s="22">
        <f>IFERROR(__xludf.DUMMYFUNCTION("""COMPUTED_VALUE"""),9.0)</f>
        <v>9</v>
      </c>
      <c r="L439" s="26" t="str">
        <f>IFERROR(__xludf.DUMMYFUNCTION("""COMPUTED_VALUE"""),"Action-Adventure")</f>
        <v>Action-Adventure</v>
      </c>
      <c r="M439" s="13" t="b">
        <f>NOT(ISNA(VLOOKUP(A439,PC!A:A,1,FALSE)))</f>
        <v>0</v>
      </c>
      <c r="N439" s="13" t="b">
        <f>NOT(ISNA(VLOOKUP(A439,'Game Pass Premium'!A:A,1,FALSE)))</f>
        <v>0</v>
      </c>
      <c r="O439" s="13" t="b">
        <f>NOT(ISNA(VLOOKUP(A439,'Game Pass Essential'!A:A,1,FALSE)))</f>
        <v>0</v>
      </c>
    </row>
    <row r="440">
      <c r="A440" s="12" t="str">
        <f>IFERROR(__xludf.DUMMYFUNCTION("""COMPUTED_VALUE"""),"Mirror's Edge")</f>
        <v>Mirror's Edge</v>
      </c>
      <c r="B440" s="13" t="str">
        <f>IFERROR(__xludf.DUMMYFUNCTION("""COMPUTED_VALUE"""),"XB360/OG Xbox")</f>
        <v>XB360/OG Xbox</v>
      </c>
      <c r="C440" s="14"/>
      <c r="D440" s="14" t="str">
        <f>IFERROR(__xludf.DUMMYFUNCTION("""COMPUTED_VALUE"""),"GwG Permanent")</f>
        <v>GwG Permanent</v>
      </c>
      <c r="E440" s="15">
        <f>IFERROR(__xludf.DUMMYFUNCTION("""COMPUTED_VALUE"""),42629.0)</f>
        <v>42629</v>
      </c>
      <c r="F440" s="16">
        <f>IFERROR(__xludf.DUMMYFUNCTION("""COMPUTED_VALUE"""),42643.0)</f>
        <v>42643</v>
      </c>
      <c r="G440" s="18">
        <f>IFERROR(__xludf.DUMMYFUNCTION("""COMPUTED_VALUE"""),0.4666666666666667)</f>
        <v>0.4666666667</v>
      </c>
      <c r="H440" s="15">
        <f>IFERROR(__xludf.DUMMYFUNCTION("""COMPUTED_VALUE"""),39763.0)</f>
        <v>39763</v>
      </c>
      <c r="I440" s="18">
        <f>IFERROR(__xludf.DUMMYFUNCTION("""COMPUTED_VALUE"""),7.847222222222222)</f>
        <v>7.847222222</v>
      </c>
      <c r="J440" s="22">
        <f>IFERROR(__xludf.DUMMYFUNCTION("""COMPUTED_VALUE"""),79.0)</f>
        <v>79</v>
      </c>
      <c r="K440" s="22">
        <f>IFERROR(__xludf.DUMMYFUNCTION("""COMPUTED_VALUE"""),8.0)</f>
        <v>8</v>
      </c>
      <c r="L440" s="26" t="str">
        <f>IFERROR(__xludf.DUMMYFUNCTION("""COMPUTED_VALUE"""),"Action-Adventure")</f>
        <v>Action-Adventure</v>
      </c>
      <c r="M440" s="13" t="b">
        <f>NOT(ISNA(VLOOKUP(A440,PC!A:A,1,FALSE)))</f>
        <v>1</v>
      </c>
      <c r="N440" s="13" t="b">
        <f>NOT(ISNA(VLOOKUP(A440,'Game Pass Premium'!A:A,1,FALSE)))</f>
        <v>1</v>
      </c>
      <c r="O440" s="13" t="b">
        <f>NOT(ISNA(VLOOKUP(A440,'Game Pass Essential'!A:A,1,FALSE)))</f>
        <v>0</v>
      </c>
    </row>
    <row r="441">
      <c r="A441" s="12" t="str">
        <f>IFERROR(__xludf.DUMMYFUNCTION("""COMPUTED_VALUE"""),"Dead Rising 2")</f>
        <v>Dead Rising 2</v>
      </c>
      <c r="B441" s="13" t="str">
        <f>IFERROR(__xludf.DUMMYFUNCTION("""COMPUTED_VALUE"""),"XB360/OG Xbox")</f>
        <v>XB360/OG Xbox</v>
      </c>
      <c r="C441" s="14"/>
      <c r="D441" s="14" t="str">
        <f>IFERROR(__xludf.DUMMYFUNCTION("""COMPUTED_VALUE"""),"GwG Permanent")</f>
        <v>GwG Permanent</v>
      </c>
      <c r="E441" s="15">
        <f>IFERROR(__xludf.DUMMYFUNCTION("""COMPUTED_VALUE"""),41502.0)</f>
        <v>41502</v>
      </c>
      <c r="F441" s="16">
        <f>IFERROR(__xludf.DUMMYFUNCTION("""COMPUTED_VALUE"""),41517.0)</f>
        <v>41517</v>
      </c>
      <c r="G441" s="18">
        <f>IFERROR(__xludf.DUMMYFUNCTION("""COMPUTED_VALUE"""),0.4666666666666667)</f>
        <v>0.4666666667</v>
      </c>
      <c r="H441" s="15">
        <f>IFERROR(__xludf.DUMMYFUNCTION("""COMPUTED_VALUE"""),40786.0)</f>
        <v>40786</v>
      </c>
      <c r="I441" s="18">
        <f>IFERROR(__xludf.DUMMYFUNCTION("""COMPUTED_VALUE"""),1.961111111111111)</f>
        <v>1.961111111</v>
      </c>
      <c r="J441" s="22">
        <f>IFERROR(__xludf.DUMMYFUNCTION("""COMPUTED_VALUE"""),79.0)</f>
        <v>79</v>
      </c>
      <c r="K441" s="22">
        <f>IFERROR(__xludf.DUMMYFUNCTION("""COMPUTED_VALUE"""),18.0)</f>
        <v>18</v>
      </c>
      <c r="L441" s="26" t="str">
        <f>IFERROR(__xludf.DUMMYFUNCTION("""COMPUTED_VALUE"""),"Action")</f>
        <v>Action</v>
      </c>
      <c r="M441" s="13" t="b">
        <f>NOT(ISNA(VLOOKUP(A441,PC!A:A,1,FALSE)))</f>
        <v>0</v>
      </c>
      <c r="N441" s="13" t="b">
        <f>NOT(ISNA(VLOOKUP(A441,'Game Pass Premium'!A:A,1,FALSE)))</f>
        <v>0</v>
      </c>
      <c r="O441" s="13" t="b">
        <f>NOT(ISNA(VLOOKUP(A441,'Game Pass Essential'!A:A,1,FALSE)))</f>
        <v>0</v>
      </c>
    </row>
    <row r="442">
      <c r="A442" s="12" t="str">
        <f>IFERROR(__xludf.DUMMYFUNCTION("""COMPUTED_VALUE"""),"Star Wars Squadrons")</f>
        <v>Star Wars Squadrons</v>
      </c>
      <c r="B442" s="13" t="str">
        <f>IFERROR(__xludf.DUMMYFUNCTION("""COMPUTED_VALUE"""),"Xbox / PC")</f>
        <v>Xbox / PC</v>
      </c>
      <c r="C442" s="14" t="str">
        <f>IFERROR(__xludf.DUMMYFUNCTION("""COMPUTED_VALUE"""),"Touch Controls")</f>
        <v>Touch Controls</v>
      </c>
      <c r="D442" s="14" t="str">
        <f>IFERROR(__xludf.DUMMYFUNCTION("""COMPUTED_VALUE"""),"Active")</f>
        <v>Active</v>
      </c>
      <c r="E442" s="15">
        <f>IFERROR(__xludf.DUMMYFUNCTION("""COMPUTED_VALUE"""),44273.0)</f>
        <v>44273</v>
      </c>
      <c r="F442" s="16"/>
      <c r="G442" s="18">
        <f>IFERROR(__xludf.DUMMYFUNCTION("""COMPUTED_VALUE"""),66.6)</f>
        <v>66.6</v>
      </c>
      <c r="H442" s="15">
        <f>IFERROR(__xludf.DUMMYFUNCTION("""COMPUTED_VALUE"""),44106.0)</f>
        <v>44106</v>
      </c>
      <c r="I442" s="18">
        <f>IFERROR(__xludf.DUMMYFUNCTION("""COMPUTED_VALUE"""),0.46111111111111114)</f>
        <v>0.4611111111</v>
      </c>
      <c r="J442" s="22">
        <f>IFERROR(__xludf.DUMMYFUNCTION("""COMPUTED_VALUE"""),78.5)</f>
        <v>78.5</v>
      </c>
      <c r="K442" s="22">
        <f>IFERROR(__xludf.DUMMYFUNCTION("""COMPUTED_VALUE"""),9.0)</f>
        <v>9</v>
      </c>
      <c r="L442" s="26" t="str">
        <f>IFERROR(__xludf.DUMMYFUNCTION("""COMPUTED_VALUE"""),"Flight")</f>
        <v>Flight</v>
      </c>
      <c r="M442" s="13" t="b">
        <f>NOT(ISNA(VLOOKUP(A442,PC!A:A,1,FALSE)))</f>
        <v>1</v>
      </c>
      <c r="N442" s="13" t="b">
        <f>NOT(ISNA(VLOOKUP(A442,'Game Pass Premium'!A:A,1,FALSE)))</f>
        <v>1</v>
      </c>
      <c r="O442" s="13" t="b">
        <f>NOT(ISNA(VLOOKUP(A442,'Game Pass Essential'!A:A,1,FALSE)))</f>
        <v>0</v>
      </c>
    </row>
    <row r="443">
      <c r="A443" s="12" t="str">
        <f>IFERROR(__xludf.DUMMYFUNCTION("""COMPUTED_VALUE"""),"Dune: Awakening")</f>
        <v>Dune: Awakening</v>
      </c>
      <c r="B443" s="13" t="str">
        <f>IFERROR(__xludf.DUMMYFUNCTION("""COMPUTED_VALUE"""),"Xbox / PC")</f>
        <v>Xbox / PC</v>
      </c>
      <c r="C443" s="14" t="str">
        <f>IFERROR(__xludf.DUMMYFUNCTION("""COMPUTED_VALUE"""),"Yes")</f>
        <v>Yes</v>
      </c>
      <c r="D443" s="14" t="str">
        <f>IFERROR(__xludf.DUMMYFUNCTION("""COMPUTED_VALUE"""),"Active")</f>
        <v>Active</v>
      </c>
      <c r="E443" s="15">
        <f>IFERROR(__xludf.DUMMYFUNCTION("""COMPUTED_VALUE"""),46287.0)</f>
        <v>46287</v>
      </c>
      <c r="F443" s="16"/>
      <c r="G443" s="18">
        <f>IFERROR(__xludf.DUMMYFUNCTION("""COMPUTED_VALUE"""),0.4666666666666667)</f>
        <v>0.4666666667</v>
      </c>
      <c r="H443" s="15">
        <f>IFERROR(__xludf.DUMMYFUNCTION("""COMPUTED_VALUE"""),45818.0)</f>
        <v>45818</v>
      </c>
      <c r="I443" s="18">
        <f>IFERROR(__xludf.DUMMYFUNCTION("""COMPUTED_VALUE"""),1.2833333333333334)</f>
        <v>1.283333333</v>
      </c>
      <c r="J443" s="22">
        <f>IFERROR(__xludf.DUMMYFUNCTION("""COMPUTED_VALUE"""),78.0)</f>
        <v>78</v>
      </c>
      <c r="K443" s="22">
        <f>IFERROR(__xludf.DUMMYFUNCTION("""COMPUTED_VALUE"""),114.0)</f>
        <v>114</v>
      </c>
      <c r="L443" s="26" t="str">
        <f>IFERROR(__xludf.DUMMYFUNCTION("""COMPUTED_VALUE"""),"Action-Adventure")</f>
        <v>Action-Adventure</v>
      </c>
      <c r="M443" s="13" t="b">
        <f>NOT(ISNA(VLOOKUP(A443,PC!A:A,1,FALSE)))</f>
        <v>1</v>
      </c>
      <c r="N443" s="13" t="b">
        <f>NOT(ISNA(VLOOKUP(A443,'Game Pass Premium'!A:A,1,FALSE)))</f>
        <v>0</v>
      </c>
      <c r="O443" s="13" t="b">
        <f>NOT(ISNA(VLOOKUP(A443,'Game Pass Essential'!A:A,1,FALSE)))</f>
        <v>0</v>
      </c>
    </row>
    <row r="444">
      <c r="A444" s="12" t="str">
        <f>IFERROR(__xludf.DUMMYFUNCTION("""COMPUTED_VALUE"""),"Virtua Fighter 5 R.E.V.O. World Stage")</f>
        <v>Virtua Fighter 5 R.E.V.O. World Stage</v>
      </c>
      <c r="B444" s="13" t="str">
        <f>IFERROR(__xludf.DUMMYFUNCTION("""COMPUTED_VALUE"""),"Xbox / PC")</f>
        <v>Xbox / PC</v>
      </c>
      <c r="C444" s="14" t="str">
        <f>IFERROR(__xludf.DUMMYFUNCTION("""COMPUTED_VALUE"""),"Yes")</f>
        <v>Yes</v>
      </c>
      <c r="D444" s="14" t="str">
        <f>IFERROR(__xludf.DUMMYFUNCTION("""COMPUTED_VALUE"""),"Active")</f>
        <v>Active</v>
      </c>
      <c r="E444" s="15">
        <f>IFERROR(__xludf.DUMMYFUNCTION("""COMPUTED_VALUE"""),46275.0)</f>
        <v>46275</v>
      </c>
      <c r="F444" s="16"/>
      <c r="G444" s="18">
        <f>IFERROR(__xludf.DUMMYFUNCTION("""COMPUTED_VALUE"""),0.8666666666666666)</f>
        <v>0.8666666667</v>
      </c>
      <c r="H444" s="15">
        <f>IFERROR(__xludf.DUMMYFUNCTION("""COMPUTED_VALUE"""),45960.0)</f>
        <v>45960</v>
      </c>
      <c r="I444" s="18">
        <f>IFERROR(__xludf.DUMMYFUNCTION("""COMPUTED_VALUE"""),0.8611111111111112)</f>
        <v>0.8611111111</v>
      </c>
      <c r="J444" s="22">
        <f>IFERROR(__xludf.DUMMYFUNCTION("""COMPUTED_VALUE"""),78.0)</f>
        <v>78</v>
      </c>
      <c r="K444" s="22">
        <f>IFERROR(__xludf.DUMMYFUNCTION("""COMPUTED_VALUE"""),1.0)</f>
        <v>1</v>
      </c>
      <c r="L444" s="26" t="str">
        <f>IFERROR(__xludf.DUMMYFUNCTION("""COMPUTED_VALUE"""),"Fighting")</f>
        <v>Fighting</v>
      </c>
      <c r="M444" s="13" t="b">
        <f>NOT(ISNA(VLOOKUP(A444,PC!A:A,1,FALSE)))</f>
        <v>1</v>
      </c>
      <c r="N444" s="13" t="b">
        <f>NOT(ISNA(VLOOKUP(A444,'Game Pass Premium'!A:A,1,FALSE)))</f>
        <v>0</v>
      </c>
      <c r="O444" s="13" t="b">
        <f>NOT(ISNA(VLOOKUP(A444,'Game Pass Essential'!A:A,1,FALSE)))</f>
        <v>0</v>
      </c>
    </row>
    <row r="445">
      <c r="A445" s="12" t="str">
        <f>IFERROR(__xludf.DUMMYFUNCTION("""COMPUTED_VALUE"""),"Resonance: A Plague Tale Legacy")</f>
        <v>Resonance: A Plague Tale Legacy</v>
      </c>
      <c r="B445" s="13" t="str">
        <f>IFERROR(__xludf.DUMMYFUNCTION("""COMPUTED_VALUE"""),"Xbox / PC")</f>
        <v>Xbox / PC</v>
      </c>
      <c r="C445" s="14" t="str">
        <f>IFERROR(__xludf.DUMMYFUNCTION("""COMPUTED_VALUE"""),"Yes")</f>
        <v>Yes</v>
      </c>
      <c r="D445" s="14" t="str">
        <f>IFERROR(__xludf.DUMMYFUNCTION("""COMPUTED_VALUE"""),"Active")</f>
        <v>Active</v>
      </c>
      <c r="E445" s="15">
        <f>IFERROR(__xludf.DUMMYFUNCTION("""COMPUTED_VALUE"""),46261.0)</f>
        <v>46261</v>
      </c>
      <c r="F445" s="16"/>
      <c r="G445" s="18">
        <f>IFERROR(__xludf.DUMMYFUNCTION("""COMPUTED_VALUE"""),1.3)</f>
        <v>1.3</v>
      </c>
      <c r="H445" s="15">
        <f>IFERROR(__xludf.DUMMYFUNCTION("""COMPUTED_VALUE"""),46261.0)</f>
        <v>46261</v>
      </c>
      <c r="I445" s="18">
        <f>IFERROR(__xludf.DUMMYFUNCTION("""COMPUTED_VALUE"""),0.0)</f>
        <v>0</v>
      </c>
      <c r="J445" s="22">
        <f>IFERROR(__xludf.DUMMYFUNCTION("""COMPUTED_VALUE"""),78.0)</f>
        <v>78</v>
      </c>
      <c r="K445" s="22">
        <f>IFERROR(__xludf.DUMMYFUNCTION("""COMPUTED_VALUE"""),12.0)</f>
        <v>12</v>
      </c>
      <c r="L445" s="26" t="str">
        <f>IFERROR(__xludf.DUMMYFUNCTION("""COMPUTED_VALUE"""),"Action-Adventure")</f>
        <v>Action-Adventure</v>
      </c>
      <c r="M445" s="13" t="b">
        <f>NOT(ISNA(VLOOKUP(A445,PC!A:A,1,FALSE)))</f>
        <v>1</v>
      </c>
      <c r="N445" s="13" t="b">
        <f>NOT(ISNA(VLOOKUP(A445,'Game Pass Premium'!A:A,1,FALSE)))</f>
        <v>0</v>
      </c>
      <c r="O445" s="13" t="b">
        <f>NOT(ISNA(VLOOKUP(A445,'Game Pass Essential'!A:A,1,FALSE)))</f>
        <v>0</v>
      </c>
    </row>
    <row r="446">
      <c r="A446" s="12" t="str">
        <f>IFERROR(__xludf.DUMMYFUNCTION("""COMPUTED_VALUE"""),"Date Everything!")</f>
        <v>Date Everything!</v>
      </c>
      <c r="B446" s="13" t="str">
        <f>IFERROR(__xludf.DUMMYFUNCTION("""COMPUTED_VALUE"""),"Xbox / PC")</f>
        <v>Xbox / PC</v>
      </c>
      <c r="C446" s="14" t="str">
        <f>IFERROR(__xludf.DUMMYFUNCTION("""COMPUTED_VALUE"""),"Yes")</f>
        <v>Yes</v>
      </c>
      <c r="D446" s="14" t="str">
        <f>IFERROR(__xludf.DUMMYFUNCTION("""COMPUTED_VALUE"""),"Active")</f>
        <v>Active</v>
      </c>
      <c r="E446" s="15">
        <f>IFERROR(__xludf.DUMMYFUNCTION("""COMPUTED_VALUE"""),46245.0)</f>
        <v>46245</v>
      </c>
      <c r="F446" s="16"/>
      <c r="G446" s="18">
        <f>IFERROR(__xludf.DUMMYFUNCTION("""COMPUTED_VALUE"""),1.8333333333333335)</f>
        <v>1.833333333</v>
      </c>
      <c r="H446" s="15">
        <f>IFERROR(__xludf.DUMMYFUNCTION("""COMPUTED_VALUE"""),45825.0)</f>
        <v>45825</v>
      </c>
      <c r="I446" s="18">
        <f>IFERROR(__xludf.DUMMYFUNCTION("""COMPUTED_VALUE"""),1.15)</f>
        <v>1.15</v>
      </c>
      <c r="J446" s="22">
        <f>IFERROR(__xludf.DUMMYFUNCTION("""COMPUTED_VALUE"""),78.0)</f>
        <v>78</v>
      </c>
      <c r="K446" s="22">
        <f>IFERROR(__xludf.DUMMYFUNCTION("""COMPUTED_VALUE"""),15.0)</f>
        <v>15</v>
      </c>
      <c r="L446" s="26" t="str">
        <f>IFERROR(__xludf.DUMMYFUNCTION("""COMPUTED_VALUE"""),"Simulation")</f>
        <v>Simulation</v>
      </c>
      <c r="M446" s="13" t="b">
        <f>NOT(ISNA(VLOOKUP(A446,PC!A:A,1,FALSE)))</f>
        <v>1</v>
      </c>
      <c r="N446" s="13" t="b">
        <f>NOT(ISNA(VLOOKUP(A446,'Game Pass Premium'!A:A,1,FALSE)))</f>
        <v>0</v>
      </c>
      <c r="O446" s="13" t="b">
        <f>NOT(ISNA(VLOOKUP(A446,'Game Pass Essential'!A:A,1,FALSE)))</f>
        <v>0</v>
      </c>
    </row>
    <row r="447">
      <c r="A447" s="12" t="str">
        <f>IFERROR(__xludf.DUMMYFUNCTION("""COMPUTED_VALUE"""),"Mavrix by Matt Jones")</f>
        <v>Mavrix by Matt Jones</v>
      </c>
      <c r="B447" s="13" t="str">
        <f>IFERROR(__xludf.DUMMYFUNCTION("""COMPUTED_VALUE"""),"Xbox / PC")</f>
        <v>Xbox / PC</v>
      </c>
      <c r="C447" s="14" t="str">
        <f>IFERROR(__xludf.DUMMYFUNCTION("""COMPUTED_VALUE"""),"Yes")</f>
        <v>Yes</v>
      </c>
      <c r="D447" s="14" t="str">
        <f>IFERROR(__xludf.DUMMYFUNCTION("""COMPUTED_VALUE"""),"Active")</f>
        <v>Active</v>
      </c>
      <c r="E447" s="15">
        <f>IFERROR(__xludf.DUMMYFUNCTION("""COMPUTED_VALUE"""),46219.0)</f>
        <v>46219</v>
      </c>
      <c r="F447" s="16"/>
      <c r="G447" s="18">
        <f>IFERROR(__xludf.DUMMYFUNCTION("""COMPUTED_VALUE"""),2.6666666666666665)</f>
        <v>2.666666667</v>
      </c>
      <c r="H447" s="15">
        <f>IFERROR(__xludf.DUMMYFUNCTION("""COMPUTED_VALUE"""),46219.0)</f>
        <v>46219</v>
      </c>
      <c r="I447" s="18">
        <f>IFERROR(__xludf.DUMMYFUNCTION("""COMPUTED_VALUE"""),0.0)</f>
        <v>0</v>
      </c>
      <c r="J447" s="22">
        <f>IFERROR(__xludf.DUMMYFUNCTION("""COMPUTED_VALUE"""),78.0)</f>
        <v>78</v>
      </c>
      <c r="K447" s="22"/>
      <c r="L447" s="26" t="str">
        <f>IFERROR(__xludf.DUMMYFUNCTION("""COMPUTED_VALUE"""),"Racing")</f>
        <v>Racing</v>
      </c>
      <c r="M447" s="13" t="b">
        <f>NOT(ISNA(VLOOKUP(A447,PC!A:A,1,FALSE)))</f>
        <v>1</v>
      </c>
      <c r="N447" s="13" t="b">
        <f>NOT(ISNA(VLOOKUP(A447,'Game Pass Premium'!A:A,1,FALSE)))</f>
        <v>1</v>
      </c>
      <c r="O447" s="13" t="b">
        <f>NOT(ISNA(VLOOKUP(A447,'Game Pass Essential'!A:A,1,FALSE)))</f>
        <v>0</v>
      </c>
    </row>
    <row r="448">
      <c r="A448" s="12" t="str">
        <f>IFERROR(__xludf.DUMMYFUNCTION("""COMPUTED_VALUE"""),"Junkster")</f>
        <v>Junkster</v>
      </c>
      <c r="B448" s="13" t="str">
        <f>IFERROR(__xludf.DUMMYFUNCTION("""COMPUTED_VALUE"""),"Xbox / PC")</f>
        <v>Xbox / PC</v>
      </c>
      <c r="C448" s="14" t="str">
        <f>IFERROR(__xludf.DUMMYFUNCTION("""COMPUTED_VALUE"""),"Yes")</f>
        <v>Yes</v>
      </c>
      <c r="D448" s="14" t="str">
        <f>IFERROR(__xludf.DUMMYFUNCTION("""COMPUTED_VALUE"""),"Active")</f>
        <v>Active</v>
      </c>
      <c r="E448" s="15">
        <f>IFERROR(__xludf.DUMMYFUNCTION("""COMPUTED_VALUE"""),46189.0)</f>
        <v>46189</v>
      </c>
      <c r="F448" s="16"/>
      <c r="G448" s="18">
        <f>IFERROR(__xludf.DUMMYFUNCTION("""COMPUTED_VALUE"""),3.666666666666667)</f>
        <v>3.666666667</v>
      </c>
      <c r="H448" s="15">
        <f>IFERROR(__xludf.DUMMYFUNCTION("""COMPUTED_VALUE"""),46189.0)</f>
        <v>46189</v>
      </c>
      <c r="I448" s="18">
        <f>IFERROR(__xludf.DUMMYFUNCTION("""COMPUTED_VALUE"""),0.0)</f>
        <v>0</v>
      </c>
      <c r="J448" s="22">
        <f>IFERROR(__xludf.DUMMYFUNCTION("""COMPUTED_VALUE"""),78.0)</f>
        <v>78</v>
      </c>
      <c r="K448" s="22">
        <f>IFERROR(__xludf.DUMMYFUNCTION("""COMPUTED_VALUE"""),4.0)</f>
        <v>4</v>
      </c>
      <c r="L448" s="26" t="str">
        <f>IFERROR(__xludf.DUMMYFUNCTION("""COMPUTED_VALUE"""),"Action-Adventure")</f>
        <v>Action-Adventure</v>
      </c>
      <c r="M448" s="13" t="b">
        <f>NOT(ISNA(VLOOKUP(A448,PC!A:A,1,FALSE)))</f>
        <v>1</v>
      </c>
      <c r="N448" s="13" t="b">
        <f>NOT(ISNA(VLOOKUP(A448,'Game Pass Premium'!A:A,1,FALSE)))</f>
        <v>0</v>
      </c>
      <c r="O448" s="13" t="b">
        <f>NOT(ISNA(VLOOKUP(A448,'Game Pass Essential'!A:A,1,FALSE)))</f>
        <v>0</v>
      </c>
    </row>
    <row r="449">
      <c r="A449" s="12" t="str">
        <f>IFERROR(__xludf.DUMMYFUNCTION("""COMPUTED_VALUE"""),"Kabuto Park")</f>
        <v>Kabuto Park</v>
      </c>
      <c r="B449" s="13" t="str">
        <f>IFERROR(__xludf.DUMMYFUNCTION("""COMPUTED_VALUE"""),"Xbox / PC")</f>
        <v>Xbox / PC</v>
      </c>
      <c r="C449" s="14" t="str">
        <f>IFERROR(__xludf.DUMMYFUNCTION("""COMPUTED_VALUE"""),"Yes")</f>
        <v>Yes</v>
      </c>
      <c r="D449" s="14" t="str">
        <f>IFERROR(__xludf.DUMMYFUNCTION("""COMPUTED_VALUE"""),"Active")</f>
        <v>Active</v>
      </c>
      <c r="E449" s="15">
        <f>IFERROR(__xludf.DUMMYFUNCTION("""COMPUTED_VALUE"""),46170.0)</f>
        <v>46170</v>
      </c>
      <c r="F449" s="16"/>
      <c r="G449" s="18">
        <f>IFERROR(__xludf.DUMMYFUNCTION("""COMPUTED_VALUE"""),4.266666666666667)</f>
        <v>4.266666667</v>
      </c>
      <c r="H449" s="15">
        <f>IFERROR(__xludf.DUMMYFUNCTION("""COMPUTED_VALUE"""),46170.0)</f>
        <v>46170</v>
      </c>
      <c r="I449" s="18">
        <f>IFERROR(__xludf.DUMMYFUNCTION("""COMPUTED_VALUE"""),0.0)</f>
        <v>0</v>
      </c>
      <c r="J449" s="22">
        <f>IFERROR(__xludf.DUMMYFUNCTION("""COMPUTED_VALUE"""),78.0)</f>
        <v>78</v>
      </c>
      <c r="K449" s="22">
        <f>IFERROR(__xludf.DUMMYFUNCTION("""COMPUTED_VALUE"""),2.0)</f>
        <v>2</v>
      </c>
      <c r="L449" s="26" t="str">
        <f>IFERROR(__xludf.DUMMYFUNCTION("""COMPUTED_VALUE"""),"Simulation")</f>
        <v>Simulation</v>
      </c>
      <c r="M449" s="13" t="b">
        <f>NOT(ISNA(VLOOKUP(A449,PC!A:A,1,FALSE)))</f>
        <v>1</v>
      </c>
      <c r="N449" s="13" t="b">
        <f>NOT(ISNA(VLOOKUP(A449,'Game Pass Premium'!A:A,1,FALSE)))</f>
        <v>1</v>
      </c>
      <c r="O449" s="13" t="b">
        <f>NOT(ISNA(VLOOKUP(A449,'Game Pass Essential'!A:A,1,FALSE)))</f>
        <v>0</v>
      </c>
    </row>
    <row r="450">
      <c r="A450" s="12" t="str">
        <f>IFERROR(__xludf.DUMMYFUNCTION("""COMPUTED_VALUE"""),"Kingdom Come: Deliverance")</f>
        <v>Kingdom Come: Deliverance</v>
      </c>
      <c r="B450" s="13" t="str">
        <f>IFERROR(__xludf.DUMMYFUNCTION("""COMPUTED_VALUE"""),"Xbox / PC")</f>
        <v>Xbox / PC</v>
      </c>
      <c r="C450" s="14" t="str">
        <f>IFERROR(__xludf.DUMMYFUNCTION("""COMPUTED_VALUE"""),"Yes")</f>
        <v>Yes</v>
      </c>
      <c r="D450" s="14" t="str">
        <f>IFERROR(__xludf.DUMMYFUNCTION("""COMPUTED_VALUE"""),"Active")</f>
        <v>Active</v>
      </c>
      <c r="E450" s="15">
        <f>IFERROR(__xludf.DUMMYFUNCTION("""COMPUTED_VALUE"""),46066.0)</f>
        <v>46066</v>
      </c>
      <c r="F450" s="16"/>
      <c r="G450" s="18">
        <f>IFERROR(__xludf.DUMMYFUNCTION("""COMPUTED_VALUE"""),7.7666666666666675)</f>
        <v>7.766666667</v>
      </c>
      <c r="H450" s="15">
        <f>IFERROR(__xludf.DUMMYFUNCTION("""COMPUTED_VALUE"""),43144.0)</f>
        <v>43144</v>
      </c>
      <c r="I450" s="18">
        <f>IFERROR(__xludf.DUMMYFUNCTION("""COMPUTED_VALUE"""),8.0)</f>
        <v>8</v>
      </c>
      <c r="J450" s="22">
        <f>IFERROR(__xludf.DUMMYFUNCTION("""COMPUTED_VALUE"""),78.0)</f>
        <v>78</v>
      </c>
      <c r="K450" s="22">
        <f>IFERROR(__xludf.DUMMYFUNCTION("""COMPUTED_VALUE"""),50.0)</f>
        <v>50</v>
      </c>
      <c r="L450" s="26" t="str">
        <f>IFERROR(__xludf.DUMMYFUNCTION("""COMPUTED_VALUE"""),"Action-Adventure")</f>
        <v>Action-Adventure</v>
      </c>
      <c r="M450" s="13" t="b">
        <f>NOT(ISNA(VLOOKUP(A450,PC!A:A,1,FALSE)))</f>
        <v>1</v>
      </c>
      <c r="N450" s="13" t="b">
        <f>NOT(ISNA(VLOOKUP(A450,'Game Pass Premium'!A:A,1,FALSE)))</f>
        <v>1</v>
      </c>
      <c r="O450" s="13" t="b">
        <f>NOT(ISNA(VLOOKUP(A450,'Game Pass Essential'!A:A,1,FALSE)))</f>
        <v>0</v>
      </c>
    </row>
    <row r="451">
      <c r="A451" s="12" t="str">
        <f>IFERROR(__xludf.DUMMYFUNCTION("""COMPUTED_VALUE"""),"Banishers: Ghosts of New Eden")</f>
        <v>Banishers: Ghosts of New Eden</v>
      </c>
      <c r="B451" s="13" t="str">
        <f>IFERROR(__xludf.DUMMYFUNCTION("""COMPUTED_VALUE"""),"Xbox / PC")</f>
        <v>Xbox / PC</v>
      </c>
      <c r="C451" s="14" t="str">
        <f>IFERROR(__xludf.DUMMYFUNCTION("""COMPUTED_VALUE"""),"Yes")</f>
        <v>Yes</v>
      </c>
      <c r="D451" s="14" t="str">
        <f>IFERROR(__xludf.DUMMYFUNCTION("""COMPUTED_VALUE"""),"Active")</f>
        <v>Active</v>
      </c>
      <c r="E451" s="15">
        <f>IFERROR(__xludf.DUMMYFUNCTION("""COMPUTED_VALUE"""),45986.0)</f>
        <v>45986</v>
      </c>
      <c r="F451" s="16"/>
      <c r="G451" s="18">
        <f>IFERROR(__xludf.DUMMYFUNCTION("""COMPUTED_VALUE"""),10.366666666666667)</f>
        <v>10.36666667</v>
      </c>
      <c r="H451" s="15">
        <f>IFERROR(__xludf.DUMMYFUNCTION("""COMPUTED_VALUE"""),45335.0)</f>
        <v>45335</v>
      </c>
      <c r="I451" s="18">
        <f>IFERROR(__xludf.DUMMYFUNCTION("""COMPUTED_VALUE"""),1.7833333333333334)</f>
        <v>1.783333333</v>
      </c>
      <c r="J451" s="22">
        <f>IFERROR(__xludf.DUMMYFUNCTION("""COMPUTED_VALUE"""),78.0)</f>
        <v>78</v>
      </c>
      <c r="K451" s="22">
        <f>IFERROR(__xludf.DUMMYFUNCTION("""COMPUTED_VALUE"""),27.0)</f>
        <v>27</v>
      </c>
      <c r="L451" s="26" t="str">
        <f>IFERROR(__xludf.DUMMYFUNCTION("""COMPUTED_VALUE"""),"Action-Adventure")</f>
        <v>Action-Adventure</v>
      </c>
      <c r="M451" s="13" t="b">
        <f>NOT(ISNA(VLOOKUP(A451,PC!A:A,1,FALSE)))</f>
        <v>1</v>
      </c>
      <c r="N451" s="13" t="b">
        <f>NOT(ISNA(VLOOKUP(A451,'Game Pass Premium'!A:A,1,FALSE)))</f>
        <v>1</v>
      </c>
      <c r="O451" s="13" t="b">
        <f>NOT(ISNA(VLOOKUP(A451,'Game Pass Essential'!A:A,1,FALSE)))</f>
        <v>0</v>
      </c>
    </row>
    <row r="452">
      <c r="A452" s="12" t="str">
        <f>IFERROR(__xludf.DUMMYFUNCTION("""COMPUTED_VALUE"""),"The Colonel's Bequest")</f>
        <v>The Colonel's Bequest</v>
      </c>
      <c r="B452" s="13" t="str">
        <f>IFERROR(__xludf.DUMMYFUNCTION("""COMPUTED_VALUE"""),"Xbox / PC")</f>
        <v>Xbox / PC</v>
      </c>
      <c r="C452" s="14" t="str">
        <f>IFERROR(__xludf.DUMMYFUNCTION("""COMPUTED_VALUE"""),"Yes")</f>
        <v>Yes</v>
      </c>
      <c r="D452" s="14" t="str">
        <f>IFERROR(__xludf.DUMMYFUNCTION("""COMPUTED_VALUE"""),"Active")</f>
        <v>Active</v>
      </c>
      <c r="E452" s="15">
        <f>IFERROR(__xludf.DUMMYFUNCTION("""COMPUTED_VALUE"""),45883.0)</f>
        <v>45883</v>
      </c>
      <c r="F452" s="16"/>
      <c r="G452" s="18">
        <f>IFERROR(__xludf.DUMMYFUNCTION("""COMPUTED_VALUE"""),13.733333333333333)</f>
        <v>13.73333333</v>
      </c>
      <c r="H452" s="15">
        <f>IFERROR(__xludf.DUMMYFUNCTION("""COMPUTED_VALUE"""),32782.0)</f>
        <v>32782</v>
      </c>
      <c r="I452" s="18">
        <f>IFERROR(__xludf.DUMMYFUNCTION("""COMPUTED_VALUE"""),35.86944444444445)</f>
        <v>35.86944444</v>
      </c>
      <c r="J452" s="22">
        <f>IFERROR(__xludf.DUMMYFUNCTION("""COMPUTED_VALUE"""),78.0)</f>
        <v>78</v>
      </c>
      <c r="K452" s="22">
        <f>IFERROR(__xludf.DUMMYFUNCTION("""COMPUTED_VALUE"""),3.5)</f>
        <v>3.5</v>
      </c>
      <c r="L452" s="26" t="str">
        <f>IFERROR(__xludf.DUMMYFUNCTION("""COMPUTED_VALUE"""),"Action-Adventure")</f>
        <v>Action-Adventure</v>
      </c>
      <c r="M452" s="13" t="b">
        <f>NOT(ISNA(VLOOKUP(A452,PC!A:A,1,FALSE)))</f>
        <v>1</v>
      </c>
      <c r="N452" s="13" t="b">
        <f>NOT(ISNA(VLOOKUP(A452,'Game Pass Premium'!A:A,1,FALSE)))</f>
        <v>1</v>
      </c>
      <c r="O452" s="13" t="b">
        <f>NOT(ISNA(VLOOKUP(A452,'Game Pass Essential'!A:A,1,FALSE)))</f>
        <v>0</v>
      </c>
    </row>
    <row r="453">
      <c r="A453" s="12" t="str">
        <f>IFERROR(__xludf.DUMMYFUNCTION("""COMPUTED_VALUE"""),"Rematch")</f>
        <v>Rematch</v>
      </c>
      <c r="B453" s="13" t="str">
        <f>IFERROR(__xludf.DUMMYFUNCTION("""COMPUTED_VALUE"""),"Xbox / PC")</f>
        <v>Xbox / PC</v>
      </c>
      <c r="C453" s="14" t="str">
        <f>IFERROR(__xludf.DUMMYFUNCTION("""COMPUTED_VALUE"""),"Yes")</f>
        <v>Yes</v>
      </c>
      <c r="D453" s="14" t="str">
        <f>IFERROR(__xludf.DUMMYFUNCTION("""COMPUTED_VALUE"""),"Active")</f>
        <v>Active</v>
      </c>
      <c r="E453" s="15">
        <f>IFERROR(__xludf.DUMMYFUNCTION("""COMPUTED_VALUE"""),45827.0)</f>
        <v>45827</v>
      </c>
      <c r="F453" s="16"/>
      <c r="G453" s="18">
        <f>IFERROR(__xludf.DUMMYFUNCTION("""COMPUTED_VALUE"""),15.566666666666666)</f>
        <v>15.56666667</v>
      </c>
      <c r="H453" s="15">
        <f>IFERROR(__xludf.DUMMYFUNCTION("""COMPUTED_VALUE"""),45827.0)</f>
        <v>45827</v>
      </c>
      <c r="I453" s="18">
        <f>IFERROR(__xludf.DUMMYFUNCTION("""COMPUTED_VALUE"""),0.0)</f>
        <v>0</v>
      </c>
      <c r="J453" s="22">
        <f>IFERROR(__xludf.DUMMYFUNCTION("""COMPUTED_VALUE"""),78.0)</f>
        <v>78</v>
      </c>
      <c r="K453" s="22">
        <f>IFERROR(__xludf.DUMMYFUNCTION("""COMPUTED_VALUE"""),37.0)</f>
        <v>37</v>
      </c>
      <c r="L453" s="26" t="str">
        <f>IFERROR(__xludf.DUMMYFUNCTION("""COMPUTED_VALUE"""),"Sports")</f>
        <v>Sports</v>
      </c>
      <c r="M453" s="13" t="b">
        <f>NOT(ISNA(VLOOKUP(A453,PC!A:A,1,FALSE)))</f>
        <v>1</v>
      </c>
      <c r="N453" s="13" t="b">
        <f>NOT(ISNA(VLOOKUP(A453,'Game Pass Premium'!A:A,1,FALSE)))</f>
        <v>1</v>
      </c>
      <c r="O453" s="13" t="b">
        <f>NOT(ISNA(VLOOKUP(A453,'Game Pass Essential'!A:A,1,FALSE)))</f>
        <v>0</v>
      </c>
    </row>
    <row r="454">
      <c r="A454" s="12" t="str">
        <f>IFERROR(__xludf.DUMMYFUNCTION("""COMPUTED_VALUE"""),"Lost in Random: The Eternal Die")</f>
        <v>Lost in Random: The Eternal Die</v>
      </c>
      <c r="B454" s="13" t="str">
        <f>IFERROR(__xludf.DUMMYFUNCTION("""COMPUTED_VALUE"""),"Xbox / PC")</f>
        <v>Xbox / PC</v>
      </c>
      <c r="C454" s="14" t="str">
        <f>IFERROR(__xludf.DUMMYFUNCTION("""COMPUTED_VALUE"""),"Yes")</f>
        <v>Yes</v>
      </c>
      <c r="D454" s="14" t="str">
        <f>IFERROR(__xludf.DUMMYFUNCTION("""COMPUTED_VALUE"""),"Active")</f>
        <v>Active</v>
      </c>
      <c r="E454" s="15">
        <f>IFERROR(__xludf.DUMMYFUNCTION("""COMPUTED_VALUE"""),45825.0)</f>
        <v>45825</v>
      </c>
      <c r="F454" s="16"/>
      <c r="G454" s="18">
        <f>IFERROR(__xludf.DUMMYFUNCTION("""COMPUTED_VALUE"""),15.633333333333333)</f>
        <v>15.63333333</v>
      </c>
      <c r="H454" s="15">
        <f>IFERROR(__xludf.DUMMYFUNCTION("""COMPUTED_VALUE"""),45825.0)</f>
        <v>45825</v>
      </c>
      <c r="I454" s="18">
        <f>IFERROR(__xludf.DUMMYFUNCTION("""COMPUTED_VALUE"""),0.0)</f>
        <v>0</v>
      </c>
      <c r="J454" s="22">
        <f>IFERROR(__xludf.DUMMYFUNCTION("""COMPUTED_VALUE"""),78.0)</f>
        <v>78</v>
      </c>
      <c r="K454" s="22">
        <f>IFERROR(__xludf.DUMMYFUNCTION("""COMPUTED_VALUE"""),6.0)</f>
        <v>6</v>
      </c>
      <c r="L454" s="26" t="str">
        <f>IFERROR(__xludf.DUMMYFUNCTION("""COMPUTED_VALUE"""),"Action-Adventure")</f>
        <v>Action-Adventure</v>
      </c>
      <c r="M454" s="13" t="b">
        <f>NOT(ISNA(VLOOKUP(A454,PC!A:A,1,FALSE)))</f>
        <v>1</v>
      </c>
      <c r="N454" s="13" t="b">
        <f>NOT(ISNA(VLOOKUP(A454,'Game Pass Premium'!A:A,1,FALSE)))</f>
        <v>1</v>
      </c>
      <c r="O454" s="13" t="b">
        <f>NOT(ISNA(VLOOKUP(A454,'Game Pass Essential'!A:A,1,FALSE)))</f>
        <v>0</v>
      </c>
    </row>
    <row r="455">
      <c r="A455" s="12" t="str">
        <f>IFERROR(__xludf.DUMMYFUNCTION("""COMPUTED_VALUE"""),"Baldur's Gate: Enhanced Edition")</f>
        <v>Baldur's Gate: Enhanced Edition</v>
      </c>
      <c r="B455" s="13" t="str">
        <f>IFERROR(__xludf.DUMMYFUNCTION("""COMPUTED_VALUE"""),"Xbox / PC")</f>
        <v>Xbox / PC</v>
      </c>
      <c r="C455" s="14" t="str">
        <f>IFERROR(__xludf.DUMMYFUNCTION("""COMPUTED_VALUE"""),"Yes")</f>
        <v>Yes</v>
      </c>
      <c r="D455" s="14" t="str">
        <f>IFERROR(__xludf.DUMMYFUNCTION("""COMPUTED_VALUE"""),"Active")</f>
        <v>Active</v>
      </c>
      <c r="E455" s="15">
        <f>IFERROR(__xludf.DUMMYFUNCTION("""COMPUTED_VALUE"""),45813.0)</f>
        <v>45813</v>
      </c>
      <c r="F455" s="16"/>
      <c r="G455" s="18">
        <f>IFERROR(__xludf.DUMMYFUNCTION("""COMPUTED_VALUE"""),16.03333333333333)</f>
        <v>16.03333333</v>
      </c>
      <c r="H455" s="15">
        <f>IFERROR(__xludf.DUMMYFUNCTION("""COMPUTED_VALUE"""),41241.0)</f>
        <v>41241</v>
      </c>
      <c r="I455" s="18">
        <f>IFERROR(__xludf.DUMMYFUNCTION("""COMPUTED_VALUE"""),12.519444444444444)</f>
        <v>12.51944444</v>
      </c>
      <c r="J455" s="22">
        <f>IFERROR(__xludf.DUMMYFUNCTION("""COMPUTED_VALUE"""),78.0)</f>
        <v>78</v>
      </c>
      <c r="K455" s="22">
        <f>IFERROR(__xludf.DUMMYFUNCTION("""COMPUTED_VALUE"""),31.0)</f>
        <v>31</v>
      </c>
      <c r="L455" s="26" t="str">
        <f>IFERROR(__xludf.DUMMYFUNCTION("""COMPUTED_VALUE"""),"RPG")</f>
        <v>RPG</v>
      </c>
      <c r="M455" s="13" t="b">
        <f>NOT(ISNA(VLOOKUP(A455,PC!A:A,1,FALSE)))</f>
        <v>1</v>
      </c>
      <c r="N455" s="13" t="b">
        <f>NOT(ISNA(VLOOKUP(A455,'Game Pass Premium'!A:A,1,FALSE)))</f>
        <v>1</v>
      </c>
      <c r="O455" s="13" t="b">
        <f>NOT(ISNA(VLOOKUP(A455,'Game Pass Essential'!A:A,1,FALSE)))</f>
        <v>0</v>
      </c>
    </row>
    <row r="456">
      <c r="A456" s="12" t="str">
        <f>IFERROR(__xludf.DUMMYFUNCTION("""COMPUTED_VALUE"""),"Baldur's Gate II: Enhanced Edition")</f>
        <v>Baldur's Gate II: Enhanced Edition</v>
      </c>
      <c r="B456" s="13" t="str">
        <f>IFERROR(__xludf.DUMMYFUNCTION("""COMPUTED_VALUE"""),"Xbox / PC")</f>
        <v>Xbox / PC</v>
      </c>
      <c r="C456" s="14" t="str">
        <f>IFERROR(__xludf.DUMMYFUNCTION("""COMPUTED_VALUE"""),"Yes")</f>
        <v>Yes</v>
      </c>
      <c r="D456" s="14" t="str">
        <f>IFERROR(__xludf.DUMMYFUNCTION("""COMPUTED_VALUE"""),"Active")</f>
        <v>Active</v>
      </c>
      <c r="E456" s="15">
        <f>IFERROR(__xludf.DUMMYFUNCTION("""COMPUTED_VALUE"""),45813.0)</f>
        <v>45813</v>
      </c>
      <c r="F456" s="16"/>
      <c r="G456" s="18">
        <f>IFERROR(__xludf.DUMMYFUNCTION("""COMPUTED_VALUE"""),16.03333333333333)</f>
        <v>16.03333333</v>
      </c>
      <c r="H456" s="15">
        <f>IFERROR(__xludf.DUMMYFUNCTION("""COMPUTED_VALUE"""),41593.0)</f>
        <v>41593</v>
      </c>
      <c r="I456" s="18">
        <f>IFERROR(__xludf.DUMMYFUNCTION("""COMPUTED_VALUE"""),11.555555555555555)</f>
        <v>11.55555556</v>
      </c>
      <c r="J456" s="22">
        <f>IFERROR(__xludf.DUMMYFUNCTION("""COMPUTED_VALUE"""),78.0)</f>
        <v>78</v>
      </c>
      <c r="K456" s="22">
        <f>IFERROR(__xludf.DUMMYFUNCTION("""COMPUTED_VALUE"""),45.0)</f>
        <v>45</v>
      </c>
      <c r="L456" s="26" t="str">
        <f>IFERROR(__xludf.DUMMYFUNCTION("""COMPUTED_VALUE"""),"RPG")</f>
        <v>RPG</v>
      </c>
      <c r="M456" s="13" t="b">
        <f>NOT(ISNA(VLOOKUP(A456,PC!A:A,1,FALSE)))</f>
        <v>1</v>
      </c>
      <c r="N456" s="13" t="b">
        <f>NOT(ISNA(VLOOKUP(A456,'Game Pass Premium'!A:A,1,FALSE)))</f>
        <v>1</v>
      </c>
      <c r="O456" s="13" t="b">
        <f>NOT(ISNA(VLOOKUP(A456,'Game Pass Essential'!A:A,1,FALSE)))</f>
        <v>0</v>
      </c>
    </row>
    <row r="457">
      <c r="A457" s="12" t="str">
        <f>IFERROR(__xludf.DUMMYFUNCTION("""COMPUTED_VALUE"""),"Atlantis")</f>
        <v>Atlantis</v>
      </c>
      <c r="B457" s="13" t="str">
        <f>IFERROR(__xludf.DUMMYFUNCTION("""COMPUTED_VALUE"""),"Xbox / PC")</f>
        <v>Xbox / PC</v>
      </c>
      <c r="C457" s="14" t="str">
        <f>IFERROR(__xludf.DUMMYFUNCTION("""COMPUTED_VALUE"""),"Yes")</f>
        <v>Yes</v>
      </c>
      <c r="D457" s="14" t="str">
        <f>IFERROR(__xludf.DUMMYFUNCTION("""COMPUTED_VALUE"""),"Active")</f>
        <v>Active</v>
      </c>
      <c r="E457" s="15">
        <f>IFERROR(__xludf.DUMMYFUNCTION("""COMPUTED_VALUE"""),45798.0)</f>
        <v>45798</v>
      </c>
      <c r="F457" s="16"/>
      <c r="G457" s="18">
        <f>IFERROR(__xludf.DUMMYFUNCTION("""COMPUTED_VALUE"""),16.5)</f>
        <v>16.5</v>
      </c>
      <c r="H457" s="15">
        <f>IFERROR(__xludf.DUMMYFUNCTION("""COMPUTED_VALUE"""),32255.0)</f>
        <v>32255</v>
      </c>
      <c r="I457" s="18">
        <f>IFERROR(__xludf.DUMMYFUNCTION("""COMPUTED_VALUE"""),37.080555555555556)</f>
        <v>37.08055556</v>
      </c>
      <c r="J457" s="22">
        <f>IFERROR(__xludf.DUMMYFUNCTION("""COMPUTED_VALUE"""),78.0)</f>
        <v>78</v>
      </c>
      <c r="K457" s="22"/>
      <c r="L457" s="26" t="str">
        <f>IFERROR(__xludf.DUMMYFUNCTION("""COMPUTED_VALUE"""),"Shooter")</f>
        <v>Shooter</v>
      </c>
      <c r="M457" s="13" t="b">
        <f>NOT(ISNA(VLOOKUP(A457,PC!A:A,1,FALSE)))</f>
        <v>1</v>
      </c>
      <c r="N457" s="13" t="b">
        <f>NOT(ISNA(VLOOKUP(A457,'Game Pass Premium'!A:A,1,FALSE)))</f>
        <v>1</v>
      </c>
      <c r="O457" s="13" t="b">
        <f>NOT(ISNA(VLOOKUP(A457,'Game Pass Essential'!A:A,1,FALSE)))</f>
        <v>0</v>
      </c>
    </row>
    <row r="458">
      <c r="A458" s="12" t="str">
        <f>IFERROR(__xludf.DUMMYFUNCTION("""COMPUTED_VALUE"""),"River Raid")</f>
        <v>River Raid</v>
      </c>
      <c r="B458" s="13" t="str">
        <f>IFERROR(__xludf.DUMMYFUNCTION("""COMPUTED_VALUE"""),"Xbox / PC")</f>
        <v>Xbox / PC</v>
      </c>
      <c r="C458" s="14" t="str">
        <f>IFERROR(__xludf.DUMMYFUNCTION("""COMPUTED_VALUE"""),"Yes")</f>
        <v>Yes</v>
      </c>
      <c r="D458" s="14" t="str">
        <f>IFERROR(__xludf.DUMMYFUNCTION("""COMPUTED_VALUE"""),"Active")</f>
        <v>Active</v>
      </c>
      <c r="E458" s="15">
        <f>IFERROR(__xludf.DUMMYFUNCTION("""COMPUTED_VALUE"""),45798.0)</f>
        <v>45798</v>
      </c>
      <c r="F458" s="16"/>
      <c r="G458" s="18">
        <f>IFERROR(__xludf.DUMMYFUNCTION("""COMPUTED_VALUE"""),16.5)</f>
        <v>16.5</v>
      </c>
      <c r="H458" s="15">
        <f>IFERROR(__xludf.DUMMYFUNCTION("""COMPUTED_VALUE"""),30164.0)</f>
        <v>30164</v>
      </c>
      <c r="I458" s="18">
        <f>IFERROR(__xludf.DUMMYFUNCTION("""COMPUTED_VALUE"""),42.80555555555556)</f>
        <v>42.80555556</v>
      </c>
      <c r="J458" s="22">
        <f>IFERROR(__xludf.DUMMYFUNCTION("""COMPUTED_VALUE"""),78.0)</f>
        <v>78</v>
      </c>
      <c r="K458" s="22">
        <f>IFERROR(__xludf.DUMMYFUNCTION("""COMPUTED_VALUE"""),1.0)</f>
        <v>1</v>
      </c>
      <c r="L458" s="26" t="str">
        <f>IFERROR(__xludf.DUMMYFUNCTION("""COMPUTED_VALUE"""),"Shooter")</f>
        <v>Shooter</v>
      </c>
      <c r="M458" s="13" t="b">
        <f>NOT(ISNA(VLOOKUP(A458,PC!A:A,1,FALSE)))</f>
        <v>1</v>
      </c>
      <c r="N458" s="13" t="b">
        <f>NOT(ISNA(VLOOKUP(A458,'Game Pass Premium'!A:A,1,FALSE)))</f>
        <v>1</v>
      </c>
      <c r="O458" s="13" t="b">
        <f>NOT(ISNA(VLOOKUP(A458,'Game Pass Essential'!A:A,1,FALSE)))</f>
        <v>0</v>
      </c>
    </row>
    <row r="459">
      <c r="A459" s="12" t="str">
        <f>IFERROR(__xludf.DUMMYFUNCTION("""COMPUTED_VALUE"""),"EA Sports UFC 5")</f>
        <v>EA Sports UFC 5</v>
      </c>
      <c r="B459" s="13" t="str">
        <f>IFERROR(__xludf.DUMMYFUNCTION("""COMPUTED_VALUE"""),"Xbox")</f>
        <v>Xbox</v>
      </c>
      <c r="C459" s="14" t="str">
        <f>IFERROR(__xludf.DUMMYFUNCTION("""COMPUTED_VALUE"""),"Yes")</f>
        <v>Yes</v>
      </c>
      <c r="D459" s="14" t="str">
        <f>IFERROR(__xludf.DUMMYFUNCTION("""COMPUTED_VALUE"""),"Active")</f>
        <v>Active</v>
      </c>
      <c r="E459" s="15">
        <f>IFERROR(__xludf.DUMMYFUNCTION("""COMPUTED_VALUE"""),45671.0)</f>
        <v>45671</v>
      </c>
      <c r="F459" s="16"/>
      <c r="G459" s="18">
        <f>IFERROR(__xludf.DUMMYFUNCTION("""COMPUTED_VALUE"""),20.733333333333334)</f>
        <v>20.73333333</v>
      </c>
      <c r="H459" s="15">
        <f>IFERROR(__xludf.DUMMYFUNCTION("""COMPUTED_VALUE"""),45226.0)</f>
        <v>45226</v>
      </c>
      <c r="I459" s="18">
        <f>IFERROR(__xludf.DUMMYFUNCTION("""COMPUTED_VALUE"""),1.2138888888888888)</f>
        <v>1.213888889</v>
      </c>
      <c r="J459" s="22">
        <f>IFERROR(__xludf.DUMMYFUNCTION("""COMPUTED_VALUE"""),78.0)</f>
        <v>78</v>
      </c>
      <c r="K459" s="22">
        <f>IFERROR(__xludf.DUMMYFUNCTION("""COMPUTED_VALUE"""),14.0)</f>
        <v>14</v>
      </c>
      <c r="L459" s="26" t="str">
        <f>IFERROR(__xludf.DUMMYFUNCTION("""COMPUTED_VALUE"""),"Fighting")</f>
        <v>Fighting</v>
      </c>
      <c r="M459" s="13" t="b">
        <f>NOT(ISNA(VLOOKUP(A459,PC!A:A,1,FALSE)))</f>
        <v>0</v>
      </c>
      <c r="N459" s="13" t="b">
        <f>NOT(ISNA(VLOOKUP(A459,'Game Pass Premium'!A:A,1,FALSE)))</f>
        <v>0</v>
      </c>
      <c r="O459" s="13" t="b">
        <f>NOT(ISNA(VLOOKUP(A459,'Game Pass Essential'!A:A,1,FALSE)))</f>
        <v>0</v>
      </c>
    </row>
    <row r="460">
      <c r="A460" s="12" t="str">
        <f>IFERROR(__xludf.DUMMYFUNCTION("""COMPUTED_VALUE"""),"Microsoft Flight Simulator 2024")</f>
        <v>Microsoft Flight Simulator 2024</v>
      </c>
      <c r="B460" s="13" t="str">
        <f>IFERROR(__xludf.DUMMYFUNCTION("""COMPUTED_VALUE"""),"Xbox / PC")</f>
        <v>Xbox / PC</v>
      </c>
      <c r="C460" s="14" t="str">
        <f>IFERROR(__xludf.DUMMYFUNCTION("""COMPUTED_VALUE"""),"Yes")</f>
        <v>Yes</v>
      </c>
      <c r="D460" s="14" t="str">
        <f>IFERROR(__xludf.DUMMYFUNCTION("""COMPUTED_VALUE"""),"Active")</f>
        <v>Active</v>
      </c>
      <c r="E460" s="15">
        <f>IFERROR(__xludf.DUMMYFUNCTION("""COMPUTED_VALUE"""),45615.0)</f>
        <v>45615</v>
      </c>
      <c r="F460" s="16"/>
      <c r="G460" s="18">
        <f>IFERROR(__xludf.DUMMYFUNCTION("""COMPUTED_VALUE"""),22.566666666666666)</f>
        <v>22.56666667</v>
      </c>
      <c r="H460" s="15">
        <f>IFERROR(__xludf.DUMMYFUNCTION("""COMPUTED_VALUE"""),45615.0)</f>
        <v>45615</v>
      </c>
      <c r="I460" s="18">
        <f>IFERROR(__xludf.DUMMYFUNCTION("""COMPUTED_VALUE"""),0.0)</f>
        <v>0</v>
      </c>
      <c r="J460" s="22">
        <f>IFERROR(__xludf.DUMMYFUNCTION("""COMPUTED_VALUE"""),78.0)</f>
        <v>78</v>
      </c>
      <c r="K460" s="22">
        <f>IFERROR(__xludf.DUMMYFUNCTION("""COMPUTED_VALUE"""),50.0)</f>
        <v>50</v>
      </c>
      <c r="L460" s="26" t="str">
        <f>IFERROR(__xludf.DUMMYFUNCTION("""COMPUTED_VALUE"""),"Simulation")</f>
        <v>Simulation</v>
      </c>
      <c r="M460" s="13" t="b">
        <f>NOT(ISNA(VLOOKUP(A460,PC!A:A,1,FALSE)))</f>
        <v>1</v>
      </c>
      <c r="N460" s="13" t="b">
        <f>NOT(ISNA(VLOOKUP(A460,'Game Pass Premium'!A:A,1,FALSE)))</f>
        <v>1</v>
      </c>
      <c r="O460" s="13" t="b">
        <f>NOT(ISNA(VLOOKUP(A460,'Game Pass Essential'!A:A,1,FALSE)))</f>
        <v>0</v>
      </c>
    </row>
    <row r="461">
      <c r="A461" s="12" t="str">
        <f>IFERROR(__xludf.DUMMYFUNCTION("""COMPUTED_VALUE"""),"Palworld")</f>
        <v>Palworld</v>
      </c>
      <c r="B461" s="13" t="str">
        <f>IFERROR(__xludf.DUMMYFUNCTION("""COMPUTED_VALUE"""),"Xbox / PC")</f>
        <v>Xbox / PC</v>
      </c>
      <c r="C461" s="14" t="str">
        <f>IFERROR(__xludf.DUMMYFUNCTION("""COMPUTED_VALUE"""),"Yes")</f>
        <v>Yes</v>
      </c>
      <c r="D461" s="14" t="str">
        <f>IFERROR(__xludf.DUMMYFUNCTION("""COMPUTED_VALUE"""),"Active")</f>
        <v>Active</v>
      </c>
      <c r="E461" s="15">
        <f>IFERROR(__xludf.DUMMYFUNCTION("""COMPUTED_VALUE"""),45310.0)</f>
        <v>45310</v>
      </c>
      <c r="F461" s="16"/>
      <c r="G461" s="18">
        <f>IFERROR(__xludf.DUMMYFUNCTION("""COMPUTED_VALUE"""),32.56666666666667)</f>
        <v>32.56666667</v>
      </c>
      <c r="H461" s="15">
        <f>IFERROR(__xludf.DUMMYFUNCTION("""COMPUTED_VALUE"""),45310.0)</f>
        <v>45310</v>
      </c>
      <c r="I461" s="18">
        <f>IFERROR(__xludf.DUMMYFUNCTION("""COMPUTED_VALUE"""),0.0)</f>
        <v>0</v>
      </c>
      <c r="J461" s="22">
        <f>IFERROR(__xludf.DUMMYFUNCTION("""COMPUTED_VALUE"""),78.0)</f>
        <v>78</v>
      </c>
      <c r="K461" s="22">
        <f>IFERROR(__xludf.DUMMYFUNCTION("""COMPUTED_VALUE"""),31.0)</f>
        <v>31</v>
      </c>
      <c r="L461" s="26" t="str">
        <f>IFERROR(__xludf.DUMMYFUNCTION("""COMPUTED_VALUE"""),"Action")</f>
        <v>Action</v>
      </c>
      <c r="M461" s="13" t="b">
        <f>NOT(ISNA(VLOOKUP(A461,PC!A:A,1,FALSE)))</f>
        <v>1</v>
      </c>
      <c r="N461" s="13" t="b">
        <f>NOT(ISNA(VLOOKUP(A461,'Game Pass Premium'!A:A,1,FALSE)))</f>
        <v>1</v>
      </c>
      <c r="O461" s="13" t="b">
        <f>NOT(ISNA(VLOOKUP(A461,'Game Pass Essential'!A:A,1,FALSE)))</f>
        <v>0</v>
      </c>
    </row>
    <row r="462">
      <c r="A462" s="12" t="str">
        <f>IFERROR(__xludf.DUMMYFUNCTION("""COMPUTED_VALUE"""),"The Walking Dead: The Final Season")</f>
        <v>The Walking Dead: The Final Season</v>
      </c>
      <c r="B462" s="13" t="str">
        <f>IFERROR(__xludf.DUMMYFUNCTION("""COMPUTED_VALUE"""),"Xbox / PC")</f>
        <v>Xbox / PC</v>
      </c>
      <c r="C462" s="14" t="str">
        <f>IFERROR(__xludf.DUMMYFUNCTION("""COMPUTED_VALUE"""),"Yes")</f>
        <v>Yes</v>
      </c>
      <c r="D462" s="14" t="str">
        <f>IFERROR(__xludf.DUMMYFUNCTION("""COMPUTED_VALUE"""),"Active")</f>
        <v>Active</v>
      </c>
      <c r="E462" s="15">
        <f>IFERROR(__xludf.DUMMYFUNCTION("""COMPUTED_VALUE"""),44896.0)</f>
        <v>44896</v>
      </c>
      <c r="F462" s="16"/>
      <c r="G462" s="18">
        <f>IFERROR(__xludf.DUMMYFUNCTION("""COMPUTED_VALUE"""),46.16666666666667)</f>
        <v>46.16666667</v>
      </c>
      <c r="H462" s="15">
        <f>IFERROR(__xludf.DUMMYFUNCTION("""COMPUTED_VALUE"""),43325.0)</f>
        <v>43325</v>
      </c>
      <c r="I462" s="18">
        <f>IFERROR(__xludf.DUMMYFUNCTION("""COMPUTED_VALUE"""),4.3)</f>
        <v>4.3</v>
      </c>
      <c r="J462" s="22">
        <f>IFERROR(__xludf.DUMMYFUNCTION("""COMPUTED_VALUE"""),78.0)</f>
        <v>78</v>
      </c>
      <c r="K462" s="22">
        <f>IFERROR(__xludf.DUMMYFUNCTION("""COMPUTED_VALUE"""),10.0)</f>
        <v>10</v>
      </c>
      <c r="L462" s="26" t="str">
        <f>IFERROR(__xludf.DUMMYFUNCTION("""COMPUTED_VALUE"""),"Adventure")</f>
        <v>Adventure</v>
      </c>
      <c r="M462" s="13" t="b">
        <f>NOT(ISNA(VLOOKUP(A462,PC!A:A,1,FALSE)))</f>
        <v>1</v>
      </c>
      <c r="N462" s="13" t="b">
        <f>NOT(ISNA(VLOOKUP(A462,'Game Pass Premium'!A:A,1,FALSE)))</f>
        <v>1</v>
      </c>
      <c r="O462" s="13" t="b">
        <f>NOT(ISNA(VLOOKUP(A462,'Game Pass Essential'!A:A,1,FALSE)))</f>
        <v>0</v>
      </c>
    </row>
    <row r="463">
      <c r="A463" s="12" t="str">
        <f>IFERROR(__xludf.DUMMYFUNCTION("""COMPUTED_VALUE"""),"Warhammer 40,000: Darktide")</f>
        <v>Warhammer 40,000: Darktide</v>
      </c>
      <c r="B463" s="13" t="str">
        <f>IFERROR(__xludf.DUMMYFUNCTION("""COMPUTED_VALUE"""),"Xbox / PC")</f>
        <v>Xbox / PC</v>
      </c>
      <c r="C463" s="14" t="str">
        <f>IFERROR(__xludf.DUMMYFUNCTION("""COMPUTED_VALUE"""),"Yes")</f>
        <v>Yes</v>
      </c>
      <c r="D463" s="14" t="str">
        <f>IFERROR(__xludf.DUMMYFUNCTION("""COMPUTED_VALUE"""),"Active")</f>
        <v>Active</v>
      </c>
      <c r="E463" s="15">
        <f>IFERROR(__xludf.DUMMYFUNCTION("""COMPUTED_VALUE"""),44895.0)</f>
        <v>44895</v>
      </c>
      <c r="F463" s="16"/>
      <c r="G463" s="18">
        <f>IFERROR(__xludf.DUMMYFUNCTION("""COMPUTED_VALUE"""),46.2)</f>
        <v>46.2</v>
      </c>
      <c r="H463" s="15">
        <f>IFERROR(__xludf.DUMMYFUNCTION("""COMPUTED_VALUE"""),44895.0)</f>
        <v>44895</v>
      </c>
      <c r="I463" s="18">
        <f>IFERROR(__xludf.DUMMYFUNCTION("""COMPUTED_VALUE"""),0.0)</f>
        <v>0</v>
      </c>
      <c r="J463" s="22">
        <f>IFERROR(__xludf.DUMMYFUNCTION("""COMPUTED_VALUE"""),78.0)</f>
        <v>78</v>
      </c>
      <c r="K463" s="22">
        <f>IFERROR(__xludf.DUMMYFUNCTION("""COMPUTED_VALUE"""),41.0)</f>
        <v>41</v>
      </c>
      <c r="L463" s="26" t="str">
        <f>IFERROR(__xludf.DUMMYFUNCTION("""COMPUTED_VALUE"""),"Action")</f>
        <v>Action</v>
      </c>
      <c r="M463" s="13" t="b">
        <f>NOT(ISNA(VLOOKUP(A463,PC!A:A,1,FALSE)))</f>
        <v>1</v>
      </c>
      <c r="N463" s="13" t="b">
        <f>NOT(ISNA(VLOOKUP(A463,'Game Pass Premium'!A:A,1,FALSE)))</f>
        <v>1</v>
      </c>
      <c r="O463" s="13" t="b">
        <f>NOT(ISNA(VLOOKUP(A463,'Game Pass Essential'!A:A,1,FALSE)))</f>
        <v>1</v>
      </c>
    </row>
    <row r="464">
      <c r="A464" s="12" t="str">
        <f>IFERROR(__xludf.DUMMYFUNCTION("""COMPUTED_VALUE"""),"As Dusk Falls")</f>
        <v>As Dusk Falls</v>
      </c>
      <c r="B464" s="13" t="str">
        <f>IFERROR(__xludf.DUMMYFUNCTION("""COMPUTED_VALUE"""),"Xbox / PC")</f>
        <v>Xbox / PC</v>
      </c>
      <c r="C464" s="14" t="str">
        <f>IFERROR(__xludf.DUMMYFUNCTION("""COMPUTED_VALUE"""),"Touch Controls")</f>
        <v>Touch Controls</v>
      </c>
      <c r="D464" s="14" t="str">
        <f>IFERROR(__xludf.DUMMYFUNCTION("""COMPUTED_VALUE"""),"Active")</f>
        <v>Active</v>
      </c>
      <c r="E464" s="15">
        <f>IFERROR(__xludf.DUMMYFUNCTION("""COMPUTED_VALUE"""),44761.0)</f>
        <v>44761</v>
      </c>
      <c r="F464" s="16"/>
      <c r="G464" s="18">
        <f>IFERROR(__xludf.DUMMYFUNCTION("""COMPUTED_VALUE"""),50.56666666666666)</f>
        <v>50.56666667</v>
      </c>
      <c r="H464" s="15">
        <f>IFERROR(__xludf.DUMMYFUNCTION("""COMPUTED_VALUE"""),44761.0)</f>
        <v>44761</v>
      </c>
      <c r="I464" s="18">
        <f>IFERROR(__xludf.DUMMYFUNCTION("""COMPUTED_VALUE"""),0.0)</f>
        <v>0</v>
      </c>
      <c r="J464" s="22">
        <f>IFERROR(__xludf.DUMMYFUNCTION("""COMPUTED_VALUE"""),78.0)</f>
        <v>78</v>
      </c>
      <c r="K464" s="22">
        <f>IFERROR(__xludf.DUMMYFUNCTION("""COMPUTED_VALUE"""),6.0)</f>
        <v>6</v>
      </c>
      <c r="L464" s="26" t="str">
        <f>IFERROR(__xludf.DUMMYFUNCTION("""COMPUTED_VALUE"""),"Adventure")</f>
        <v>Adventure</v>
      </c>
      <c r="M464" s="13" t="b">
        <f>NOT(ISNA(VLOOKUP(A464,PC!A:A,1,FALSE)))</f>
        <v>1</v>
      </c>
      <c r="N464" s="13" t="b">
        <f>NOT(ISNA(VLOOKUP(A464,'Game Pass Premium'!A:A,1,FALSE)))</f>
        <v>1</v>
      </c>
      <c r="O464" s="13" t="b">
        <f>NOT(ISNA(VLOOKUP(A464,'Game Pass Essential'!A:A,1,FALSE)))</f>
        <v>0</v>
      </c>
    </row>
    <row r="465">
      <c r="A465" s="12" t="str">
        <f>IFERROR(__xludf.DUMMYFUNCTION("""COMPUTED_VALUE"""),"Watch_Dogs 2")</f>
        <v>Watch_Dogs 2</v>
      </c>
      <c r="B465" s="13" t="str">
        <f>IFERROR(__xludf.DUMMYFUNCTION("""COMPUTED_VALUE"""),"Xbox / PC")</f>
        <v>Xbox / PC</v>
      </c>
      <c r="C465" s="14" t="str">
        <f>IFERROR(__xludf.DUMMYFUNCTION("""COMPUTED_VALUE"""),"Yes")</f>
        <v>Yes</v>
      </c>
      <c r="D465" s="14" t="str">
        <f>IFERROR(__xludf.DUMMYFUNCTION("""COMPUTED_VALUE"""),"Active")</f>
        <v>Active</v>
      </c>
      <c r="E465" s="15">
        <f>IFERROR(__xludf.DUMMYFUNCTION("""COMPUTED_VALUE"""),44761.0)</f>
        <v>44761</v>
      </c>
      <c r="F465" s="16"/>
      <c r="G465" s="18">
        <f>IFERROR(__xludf.DUMMYFUNCTION("""COMPUTED_VALUE"""),50.56666666666666)</f>
        <v>50.56666667</v>
      </c>
      <c r="H465" s="15">
        <f>IFERROR(__xludf.DUMMYFUNCTION("""COMPUTED_VALUE"""),42689.0)</f>
        <v>42689</v>
      </c>
      <c r="I465" s="18">
        <f>IFERROR(__xludf.DUMMYFUNCTION("""COMPUTED_VALUE"""),5.677777777777778)</f>
        <v>5.677777778</v>
      </c>
      <c r="J465" s="22">
        <f>IFERROR(__xludf.DUMMYFUNCTION("""COMPUTED_VALUE"""),78.0)</f>
        <v>78</v>
      </c>
      <c r="K465" s="22">
        <f>IFERROR(__xludf.DUMMYFUNCTION("""COMPUTED_VALUE"""),19.0)</f>
        <v>19</v>
      </c>
      <c r="L465" s="26" t="str">
        <f>IFERROR(__xludf.DUMMYFUNCTION("""COMPUTED_VALUE"""),"Shooter")</f>
        <v>Shooter</v>
      </c>
      <c r="M465" s="13" t="b">
        <f>NOT(ISNA(VLOOKUP(A465,PC!A:A,1,FALSE)))</f>
        <v>1</v>
      </c>
      <c r="N465" s="13" t="b">
        <f>NOT(ISNA(VLOOKUP(A465,'Game Pass Premium'!A:A,1,FALSE)))</f>
        <v>1</v>
      </c>
      <c r="O465" s="13" t="b">
        <f>NOT(ISNA(VLOOKUP(A465,'Game Pass Essential'!A:A,1,FALSE)))</f>
        <v>0</v>
      </c>
    </row>
    <row r="466">
      <c r="A466" s="12" t="str">
        <f>IFERROR(__xludf.DUMMYFUNCTION("""COMPUTED_VALUE"""),"Battlefield V: Year Two Edition")</f>
        <v>Battlefield V: Year Two Edition</v>
      </c>
      <c r="B466" s="13" t="str">
        <f>IFERROR(__xludf.DUMMYFUNCTION("""COMPUTED_VALUE"""),"Xbox / PC")</f>
        <v>Xbox / PC</v>
      </c>
      <c r="C466" s="14" t="str">
        <f>IFERROR(__xludf.DUMMYFUNCTION("""COMPUTED_VALUE"""),"Yes")</f>
        <v>Yes</v>
      </c>
      <c r="D466" s="14" t="str">
        <f>IFERROR(__xludf.DUMMYFUNCTION("""COMPUTED_VALUE"""),"Active")</f>
        <v>Active</v>
      </c>
      <c r="E466" s="15">
        <f>IFERROR(__xludf.DUMMYFUNCTION("""COMPUTED_VALUE"""),44145.0)</f>
        <v>44145</v>
      </c>
      <c r="F466" s="16"/>
      <c r="G466" s="18">
        <f>IFERROR(__xludf.DUMMYFUNCTION("""COMPUTED_VALUE"""),70.86666666666667)</f>
        <v>70.86666667</v>
      </c>
      <c r="H466" s="15">
        <f>IFERROR(__xludf.DUMMYFUNCTION("""COMPUTED_VALUE"""),43419.0)</f>
        <v>43419</v>
      </c>
      <c r="I466" s="18">
        <f>IFERROR(__xludf.DUMMYFUNCTION("""COMPUTED_VALUE"""),1.9861111111111112)</f>
        <v>1.986111111</v>
      </c>
      <c r="J466" s="22">
        <f>IFERROR(__xludf.DUMMYFUNCTION("""COMPUTED_VALUE"""),78.0)</f>
        <v>78</v>
      </c>
      <c r="K466" s="22">
        <f>IFERROR(__xludf.DUMMYFUNCTION("""COMPUTED_VALUE"""),6.0)</f>
        <v>6</v>
      </c>
      <c r="L466" s="26" t="str">
        <f>IFERROR(__xludf.DUMMYFUNCTION("""COMPUTED_VALUE"""),"Shooter")</f>
        <v>Shooter</v>
      </c>
      <c r="M466" s="13" t="b">
        <f>NOT(ISNA(VLOOKUP(A466,PC!A:A,1,FALSE)))</f>
        <v>1</v>
      </c>
      <c r="N466" s="13" t="b">
        <f>NOT(ISNA(VLOOKUP(A466,'Game Pass Premium'!A:A,1,FALSE)))</f>
        <v>1</v>
      </c>
      <c r="O466" s="13" t="b">
        <f>NOT(ISNA(VLOOKUP(A466,'Game Pass Essential'!A:A,1,FALSE)))</f>
        <v>0</v>
      </c>
    </row>
    <row r="467">
      <c r="A467" s="12" t="str">
        <f>IFERROR(__xludf.DUMMYFUNCTION("""COMPUTED_VALUE"""),"Bejeweled 3")</f>
        <v>Bejeweled 3</v>
      </c>
      <c r="B467" s="13" t="str">
        <f>IFERROR(__xludf.DUMMYFUNCTION("""COMPUTED_VALUE"""),"Xbox")</f>
        <v>Xbox</v>
      </c>
      <c r="C467" s="14"/>
      <c r="D467" s="14" t="str">
        <f>IFERROR(__xludf.DUMMYFUNCTION("""COMPUTED_VALUE"""),"Active")</f>
        <v>Active</v>
      </c>
      <c r="E467" s="15">
        <f>IFERROR(__xludf.DUMMYFUNCTION("""COMPUTED_VALUE"""),44145.0)</f>
        <v>44145</v>
      </c>
      <c r="F467" s="16"/>
      <c r="G467" s="18">
        <f>IFERROR(__xludf.DUMMYFUNCTION("""COMPUTED_VALUE"""),70.86666666666667)</f>
        <v>70.86666667</v>
      </c>
      <c r="H467" s="15">
        <f>IFERROR(__xludf.DUMMYFUNCTION("""COMPUTED_VALUE"""),40519.0)</f>
        <v>40519</v>
      </c>
      <c r="I467" s="18">
        <f>IFERROR(__xludf.DUMMYFUNCTION("""COMPUTED_VALUE"""),9.925)</f>
        <v>9.925</v>
      </c>
      <c r="J467" s="22">
        <f>IFERROR(__xludf.DUMMYFUNCTION("""COMPUTED_VALUE"""),78.0)</f>
        <v>78</v>
      </c>
      <c r="K467" s="22">
        <f>IFERROR(__xludf.DUMMYFUNCTION("""COMPUTED_VALUE"""),4.5)</f>
        <v>4.5</v>
      </c>
      <c r="L467" s="26" t="str">
        <f>IFERROR(__xludf.DUMMYFUNCTION("""COMPUTED_VALUE"""),"Puzzle")</f>
        <v>Puzzle</v>
      </c>
      <c r="M467" s="13" t="b">
        <f>NOT(ISNA(VLOOKUP(A467,PC!A:A,1,FALSE)))</f>
        <v>0</v>
      </c>
      <c r="N467" s="13" t="b">
        <f>NOT(ISNA(VLOOKUP(A467,'Game Pass Premium'!A:A,1,FALSE)))</f>
        <v>1</v>
      </c>
      <c r="O467" s="13" t="b">
        <f>NOT(ISNA(VLOOKUP(A467,'Game Pass Essential'!A:A,1,FALSE)))</f>
        <v>0</v>
      </c>
    </row>
    <row r="468">
      <c r="A468" s="12" t="str">
        <f>IFERROR(__xludf.DUMMYFUNCTION("""COMPUTED_VALUE"""),"Dead Space 3")</f>
        <v>Dead Space 3</v>
      </c>
      <c r="B468" s="13" t="str">
        <f>IFERROR(__xludf.DUMMYFUNCTION("""COMPUTED_VALUE"""),"Xbox / PC")</f>
        <v>Xbox / PC</v>
      </c>
      <c r="C468" s="14" t="str">
        <f>IFERROR(__xludf.DUMMYFUNCTION("""COMPUTED_VALUE"""),"Yes")</f>
        <v>Yes</v>
      </c>
      <c r="D468" s="14" t="str">
        <f>IFERROR(__xludf.DUMMYFUNCTION("""COMPUTED_VALUE"""),"Active")</f>
        <v>Active</v>
      </c>
      <c r="E468" s="15">
        <f>IFERROR(__xludf.DUMMYFUNCTION("""COMPUTED_VALUE"""),44145.0)</f>
        <v>44145</v>
      </c>
      <c r="F468" s="16"/>
      <c r="G468" s="18">
        <f>IFERROR(__xludf.DUMMYFUNCTION("""COMPUTED_VALUE"""),70.86666666666667)</f>
        <v>70.86666667</v>
      </c>
      <c r="H468" s="15">
        <f>IFERROR(__xludf.DUMMYFUNCTION("""COMPUTED_VALUE"""),41310.0)</f>
        <v>41310</v>
      </c>
      <c r="I468" s="18">
        <f>IFERROR(__xludf.DUMMYFUNCTION("""COMPUTED_VALUE"""),7.763888888888889)</f>
        <v>7.763888889</v>
      </c>
      <c r="J468" s="22">
        <f>IFERROR(__xludf.DUMMYFUNCTION("""COMPUTED_VALUE"""),78.0)</f>
        <v>78</v>
      </c>
      <c r="K468" s="22">
        <f>IFERROR(__xludf.DUMMYFUNCTION("""COMPUTED_VALUE"""),13.0)</f>
        <v>13</v>
      </c>
      <c r="L468" s="26" t="str">
        <f>IFERROR(__xludf.DUMMYFUNCTION("""COMPUTED_VALUE"""),"Shooter")</f>
        <v>Shooter</v>
      </c>
      <c r="M468" s="13" t="b">
        <f>NOT(ISNA(VLOOKUP(A468,PC!A:A,1,FALSE)))</f>
        <v>1</v>
      </c>
      <c r="N468" s="13" t="b">
        <f>NOT(ISNA(VLOOKUP(A468,'Game Pass Premium'!A:A,1,FALSE)))</f>
        <v>1</v>
      </c>
      <c r="O468" s="13" t="b">
        <f>NOT(ISNA(VLOOKUP(A468,'Game Pass Essential'!A:A,1,FALSE)))</f>
        <v>0</v>
      </c>
    </row>
    <row r="469">
      <c r="A469" s="12" t="str">
        <f>IFERROR(__xludf.DUMMYFUNCTION("""COMPUTED_VALUE"""),"Zuma")</f>
        <v>Zuma</v>
      </c>
      <c r="B469" s="13" t="str">
        <f>IFERROR(__xludf.DUMMYFUNCTION("""COMPUTED_VALUE"""),"Xbox")</f>
        <v>Xbox</v>
      </c>
      <c r="C469" s="14"/>
      <c r="D469" s="14" t="str">
        <f>IFERROR(__xludf.DUMMYFUNCTION("""COMPUTED_VALUE"""),"Active")</f>
        <v>Active</v>
      </c>
      <c r="E469" s="15">
        <f>IFERROR(__xludf.DUMMYFUNCTION("""COMPUTED_VALUE"""),44145.0)</f>
        <v>44145</v>
      </c>
      <c r="F469" s="16"/>
      <c r="G469" s="18">
        <f>IFERROR(__xludf.DUMMYFUNCTION("""COMPUTED_VALUE"""),70.86666666666667)</f>
        <v>70.86666667</v>
      </c>
      <c r="H469" s="15">
        <f>IFERROR(__xludf.DUMMYFUNCTION("""COMPUTED_VALUE"""),37967.0)</f>
        <v>37967</v>
      </c>
      <c r="I469" s="18">
        <f>IFERROR(__xludf.DUMMYFUNCTION("""COMPUTED_VALUE"""),16.91111111111111)</f>
        <v>16.91111111</v>
      </c>
      <c r="J469" s="22">
        <f>IFERROR(__xludf.DUMMYFUNCTION("""COMPUTED_VALUE"""),78.0)</f>
        <v>78</v>
      </c>
      <c r="K469" s="22">
        <f>IFERROR(__xludf.DUMMYFUNCTION("""COMPUTED_VALUE"""),5.0)</f>
        <v>5</v>
      </c>
      <c r="L469" s="26" t="str">
        <f>IFERROR(__xludf.DUMMYFUNCTION("""COMPUTED_VALUE"""),"Puzzle")</f>
        <v>Puzzle</v>
      </c>
      <c r="M469" s="13" t="b">
        <f>NOT(ISNA(VLOOKUP(A469,PC!A:A,1,FALSE)))</f>
        <v>0</v>
      </c>
      <c r="N469" s="13" t="b">
        <f>NOT(ISNA(VLOOKUP(A469,'Game Pass Premium'!A:A,1,FALSE)))</f>
        <v>1</v>
      </c>
      <c r="O469" s="13" t="b">
        <f>NOT(ISNA(VLOOKUP(A469,'Game Pass Essential'!A:A,1,FALSE)))</f>
        <v>0</v>
      </c>
    </row>
    <row r="470">
      <c r="A470" s="12" t="str">
        <f>IFERROR(__xludf.DUMMYFUNCTION("""COMPUTED_VALUE"""),"State of Decay 2: Juggernaut Edition")</f>
        <v>State of Decay 2: Juggernaut Edition</v>
      </c>
      <c r="B470" s="13" t="str">
        <f>IFERROR(__xludf.DUMMYFUNCTION("""COMPUTED_VALUE"""),"Xbox / PC")</f>
        <v>Xbox / PC</v>
      </c>
      <c r="C470" s="14" t="str">
        <f>IFERROR(__xludf.DUMMYFUNCTION("""COMPUTED_VALUE"""),"M+KB")</f>
        <v>M+KB</v>
      </c>
      <c r="D470" s="14" t="str">
        <f>IFERROR(__xludf.DUMMYFUNCTION("""COMPUTED_VALUE"""),"Active")</f>
        <v>Active</v>
      </c>
      <c r="E470" s="15">
        <f>IFERROR(__xludf.DUMMYFUNCTION("""COMPUTED_VALUE"""),43242.0)</f>
        <v>43242</v>
      </c>
      <c r="F470" s="16"/>
      <c r="G470" s="18">
        <f>IFERROR(__xludf.DUMMYFUNCTION("""COMPUTED_VALUE"""),100.46666666666667)</f>
        <v>100.4666667</v>
      </c>
      <c r="H470" s="15">
        <f>IFERROR(__xludf.DUMMYFUNCTION("""COMPUTED_VALUE"""),43238.0)</f>
        <v>43238</v>
      </c>
      <c r="I470" s="18">
        <f>IFERROR(__xludf.DUMMYFUNCTION("""COMPUTED_VALUE"""),0.011111111111111112)</f>
        <v>0.01111111111</v>
      </c>
      <c r="J470" s="22">
        <f>IFERROR(__xludf.DUMMYFUNCTION("""COMPUTED_VALUE"""),78.0)</f>
        <v>78</v>
      </c>
      <c r="K470" s="22">
        <f>IFERROR(__xludf.DUMMYFUNCTION("""COMPUTED_VALUE"""),36.5)</f>
        <v>36.5</v>
      </c>
      <c r="L470" s="26" t="str">
        <f>IFERROR(__xludf.DUMMYFUNCTION("""COMPUTED_VALUE"""),"Action-Adventure")</f>
        <v>Action-Adventure</v>
      </c>
      <c r="M470" s="13" t="b">
        <f>NOT(ISNA(VLOOKUP(A470,PC!A:A,1,FALSE)))</f>
        <v>1</v>
      </c>
      <c r="N470" s="13" t="b">
        <f>NOT(ISNA(VLOOKUP(A470,'Game Pass Premium'!A:A,1,FALSE)))</f>
        <v>1</v>
      </c>
      <c r="O470" s="13" t="b">
        <f>NOT(ISNA(VLOOKUP(A470,'Game Pass Essential'!A:A,1,FALSE)))</f>
        <v>1</v>
      </c>
    </row>
    <row r="471">
      <c r="A471" s="12" t="str">
        <f>IFERROR(__xludf.DUMMYFUNCTION("""COMPUTED_VALUE"""),"Insanely Twisted Shadow Planet")</f>
        <v>Insanely Twisted Shadow Planet</v>
      </c>
      <c r="B471" s="13" t="str">
        <f>IFERROR(__xludf.DUMMYFUNCTION("""COMPUTED_VALUE"""),"XB360/OG Xbox")</f>
        <v>XB360/OG Xbox</v>
      </c>
      <c r="C471" s="14"/>
      <c r="D471" s="14" t="str">
        <f>IFERROR(__xludf.DUMMYFUNCTION("""COMPUTED_VALUE"""),"GwG Permanent")</f>
        <v>GwG Permanent</v>
      </c>
      <c r="E471" s="15">
        <f>IFERROR(__xludf.DUMMYFUNCTION("""COMPUTED_VALUE"""),44546.0)</f>
        <v>44546</v>
      </c>
      <c r="F471" s="16">
        <f>IFERROR(__xludf.DUMMYFUNCTION("""COMPUTED_VALUE"""),44561.0)</f>
        <v>44561</v>
      </c>
      <c r="G471" s="18">
        <f>IFERROR(__xludf.DUMMYFUNCTION("""COMPUTED_VALUE"""),0.4666666666666667)</f>
        <v>0.4666666667</v>
      </c>
      <c r="H471" s="15">
        <f>IFERROR(__xludf.DUMMYFUNCTION("""COMPUTED_VALUE"""),41038.0)</f>
        <v>41038</v>
      </c>
      <c r="I471" s="18">
        <f>IFERROR(__xludf.DUMMYFUNCTION("""COMPUTED_VALUE"""),9.602777777777778)</f>
        <v>9.602777778</v>
      </c>
      <c r="J471" s="22">
        <f>IFERROR(__xludf.DUMMYFUNCTION("""COMPUTED_VALUE"""),78.0)</f>
        <v>78</v>
      </c>
      <c r="K471" s="22">
        <f>IFERROR(__xludf.DUMMYFUNCTION("""COMPUTED_VALUE"""),5.0)</f>
        <v>5</v>
      </c>
      <c r="L471" s="26" t="str">
        <f>IFERROR(__xludf.DUMMYFUNCTION("""COMPUTED_VALUE"""),"Adventure")</f>
        <v>Adventure</v>
      </c>
      <c r="M471" s="13" t="b">
        <f>NOT(ISNA(VLOOKUP(A471,PC!A:A,1,FALSE)))</f>
        <v>0</v>
      </c>
      <c r="N471" s="13" t="b">
        <f>NOT(ISNA(VLOOKUP(A471,'Game Pass Premium'!A:A,1,FALSE)))</f>
        <v>0</v>
      </c>
      <c r="O471" s="13" t="b">
        <f>NOT(ISNA(VLOOKUP(A471,'Game Pass Essential'!A:A,1,FALSE)))</f>
        <v>0</v>
      </c>
    </row>
    <row r="472">
      <c r="A472" s="12" t="str">
        <f>IFERROR(__xludf.DUMMYFUNCTION("""COMPUTED_VALUE"""),"Lego Indiana Jones")</f>
        <v>Lego Indiana Jones</v>
      </c>
      <c r="B472" s="13" t="str">
        <f>IFERROR(__xludf.DUMMYFUNCTION("""COMPUTED_VALUE"""),"XB360/OG Xbox")</f>
        <v>XB360/OG Xbox</v>
      </c>
      <c r="C472" s="14"/>
      <c r="D472" s="14" t="str">
        <f>IFERROR(__xludf.DUMMYFUNCTION("""COMPUTED_VALUE"""),"GwG Permanent")</f>
        <v>GwG Permanent</v>
      </c>
      <c r="E472" s="15">
        <f>IFERROR(__xludf.DUMMYFUNCTION("""COMPUTED_VALUE"""),44151.0)</f>
        <v>44151</v>
      </c>
      <c r="F472" s="16">
        <f>IFERROR(__xludf.DUMMYFUNCTION("""COMPUTED_VALUE"""),44165.0)</f>
        <v>44165</v>
      </c>
      <c r="G472" s="18">
        <f>IFERROR(__xludf.DUMMYFUNCTION("""COMPUTED_VALUE"""),0.4666666666666667)</f>
        <v>0.4666666667</v>
      </c>
      <c r="H472" s="15">
        <f>IFERROR(__xludf.DUMMYFUNCTION("""COMPUTED_VALUE"""),39602.0)</f>
        <v>39602</v>
      </c>
      <c r="I472" s="18">
        <f>IFERROR(__xludf.DUMMYFUNCTION("""COMPUTED_VALUE"""),12.452777777777778)</f>
        <v>12.45277778</v>
      </c>
      <c r="J472" s="22">
        <f>IFERROR(__xludf.DUMMYFUNCTION("""COMPUTED_VALUE"""),78.0)</f>
        <v>78</v>
      </c>
      <c r="K472" s="22">
        <f>IFERROR(__xludf.DUMMYFUNCTION("""COMPUTED_VALUE"""),7.0)</f>
        <v>7</v>
      </c>
      <c r="L472" s="26" t="str">
        <f>IFERROR(__xludf.DUMMYFUNCTION("""COMPUTED_VALUE"""),"Action-Adventure")</f>
        <v>Action-Adventure</v>
      </c>
      <c r="M472" s="13" t="b">
        <f>NOT(ISNA(VLOOKUP(A472,PC!A:A,1,FALSE)))</f>
        <v>0</v>
      </c>
      <c r="N472" s="13" t="b">
        <f>NOT(ISNA(VLOOKUP(A472,'Game Pass Premium'!A:A,1,FALSE)))</f>
        <v>0</v>
      </c>
      <c r="O472" s="13" t="b">
        <f>NOT(ISNA(VLOOKUP(A472,'Game Pass Essential'!A:A,1,FALSE)))</f>
        <v>0</v>
      </c>
    </row>
    <row r="473">
      <c r="A473" s="12" t="str">
        <f>IFERROR(__xludf.DUMMYFUNCTION("""COMPUTED_VALUE"""),"Full Spectrum Warrior")</f>
        <v>Full Spectrum Warrior</v>
      </c>
      <c r="B473" s="13" t="str">
        <f>IFERROR(__xludf.DUMMYFUNCTION("""COMPUTED_VALUE"""),"XB360/OG Xbox")</f>
        <v>XB360/OG Xbox</v>
      </c>
      <c r="C473" s="14"/>
      <c r="D473" s="14" t="str">
        <f>IFERROR(__xludf.DUMMYFUNCTION("""COMPUTED_VALUE"""),"GwG Permanent")</f>
        <v>GwG Permanent</v>
      </c>
      <c r="E473" s="15">
        <f>IFERROR(__xludf.DUMMYFUNCTION("""COMPUTED_VALUE"""),44136.0)</f>
        <v>44136</v>
      </c>
      <c r="F473" s="16">
        <f>IFERROR(__xludf.DUMMYFUNCTION("""COMPUTED_VALUE"""),44150.0)</f>
        <v>44150</v>
      </c>
      <c r="G473" s="18">
        <f>IFERROR(__xludf.DUMMYFUNCTION("""COMPUTED_VALUE"""),0.4666666666666667)</f>
        <v>0.4666666667</v>
      </c>
      <c r="H473" s="15">
        <f>IFERROR(__xludf.DUMMYFUNCTION("""COMPUTED_VALUE"""),38139.0)</f>
        <v>38139</v>
      </c>
      <c r="I473" s="18">
        <f>IFERROR(__xludf.DUMMYFUNCTION("""COMPUTED_VALUE"""),16.416666666666668)</f>
        <v>16.41666667</v>
      </c>
      <c r="J473" s="22">
        <f>IFERROR(__xludf.DUMMYFUNCTION("""COMPUTED_VALUE"""),78.0)</f>
        <v>78</v>
      </c>
      <c r="K473" s="22">
        <f>IFERROR(__xludf.DUMMYFUNCTION("""COMPUTED_VALUE"""),10.0)</f>
        <v>10</v>
      </c>
      <c r="L473" s="26" t="str">
        <f>IFERROR(__xludf.DUMMYFUNCTION("""COMPUTED_VALUE"""),"Shooter")</f>
        <v>Shooter</v>
      </c>
      <c r="M473" s="13" t="b">
        <f>NOT(ISNA(VLOOKUP(A473,PC!A:A,1,FALSE)))</f>
        <v>0</v>
      </c>
      <c r="N473" s="13" t="b">
        <f>NOT(ISNA(VLOOKUP(A473,'Game Pass Premium'!A:A,1,FALSE)))</f>
        <v>0</v>
      </c>
      <c r="O473" s="13" t="b">
        <f>NOT(ISNA(VLOOKUP(A473,'Game Pass Essential'!A:A,1,FALSE)))</f>
        <v>0</v>
      </c>
    </row>
    <row r="474">
      <c r="A474" s="12" t="str">
        <f>IFERROR(__xludf.DUMMYFUNCTION("""COMPUTED_VALUE"""),"Sphinx and the Cursed Mummy")</f>
        <v>Sphinx and the Cursed Mummy</v>
      </c>
      <c r="B474" s="13" t="str">
        <f>IFERROR(__xludf.DUMMYFUNCTION("""COMPUTED_VALUE"""),"XB360/OG Xbox")</f>
        <v>XB360/OG Xbox</v>
      </c>
      <c r="C474" s="14"/>
      <c r="D474" s="14" t="str">
        <f>IFERROR(__xludf.DUMMYFUNCTION("""COMPUTED_VALUE"""),"GwG Permanent")</f>
        <v>GwG Permanent</v>
      </c>
      <c r="E474" s="15">
        <f>IFERROR(__xludf.DUMMYFUNCTION("""COMPUTED_VALUE"""),44105.0)</f>
        <v>44105</v>
      </c>
      <c r="F474" s="16">
        <f>IFERROR(__xludf.DUMMYFUNCTION("""COMPUTED_VALUE"""),44119.0)</f>
        <v>44119</v>
      </c>
      <c r="G474" s="18">
        <f>IFERROR(__xludf.DUMMYFUNCTION("""COMPUTED_VALUE"""),0.4666666666666667)</f>
        <v>0.4666666667</v>
      </c>
      <c r="H474" s="15">
        <f>IFERROR(__xludf.DUMMYFUNCTION("""COMPUTED_VALUE"""),37935.0)</f>
        <v>37935</v>
      </c>
      <c r="I474" s="18">
        <f>IFERROR(__xludf.DUMMYFUNCTION("""COMPUTED_VALUE"""),16.891666666666666)</f>
        <v>16.89166667</v>
      </c>
      <c r="J474" s="22">
        <f>IFERROR(__xludf.DUMMYFUNCTION("""COMPUTED_VALUE"""),78.0)</f>
        <v>78</v>
      </c>
      <c r="K474" s="22">
        <f>IFERROR(__xludf.DUMMYFUNCTION("""COMPUTED_VALUE"""),12.0)</f>
        <v>12</v>
      </c>
      <c r="L474" s="26" t="str">
        <f>IFERROR(__xludf.DUMMYFUNCTION("""COMPUTED_VALUE"""),"Action-Adventure")</f>
        <v>Action-Adventure</v>
      </c>
      <c r="M474" s="13" t="b">
        <f>NOT(ISNA(VLOOKUP(A474,PC!A:A,1,FALSE)))</f>
        <v>0</v>
      </c>
      <c r="N474" s="13" t="b">
        <f>NOT(ISNA(VLOOKUP(A474,'Game Pass Premium'!A:A,1,FALSE)))</f>
        <v>0</v>
      </c>
      <c r="O474" s="13" t="b">
        <f>NOT(ISNA(VLOOKUP(A474,'Game Pass Essential'!A:A,1,FALSE)))</f>
        <v>0</v>
      </c>
    </row>
    <row r="475">
      <c r="A475" s="12" t="str">
        <f>IFERROR(__xludf.DUMMYFUNCTION("""COMPUTED_VALUE"""),"Red Faction II")</f>
        <v>Red Faction II</v>
      </c>
      <c r="B475" s="13" t="str">
        <f>IFERROR(__xludf.DUMMYFUNCTION("""COMPUTED_VALUE"""),"XB360/OG Xbox")</f>
        <v>XB360/OG Xbox</v>
      </c>
      <c r="C475" s="14"/>
      <c r="D475" s="14" t="str">
        <f>IFERROR(__xludf.DUMMYFUNCTION("""COMPUTED_VALUE"""),"GwG Permanent")</f>
        <v>GwG Permanent</v>
      </c>
      <c r="E475" s="15">
        <f>IFERROR(__xludf.DUMMYFUNCTION("""COMPUTED_VALUE"""),44059.0)</f>
        <v>44059</v>
      </c>
      <c r="F475" s="16">
        <f>IFERROR(__xludf.DUMMYFUNCTION("""COMPUTED_VALUE"""),44074.0)</f>
        <v>44074</v>
      </c>
      <c r="G475" s="18">
        <f>IFERROR(__xludf.DUMMYFUNCTION("""COMPUTED_VALUE"""),0.4666666666666667)</f>
        <v>0.4666666667</v>
      </c>
      <c r="H475" s="15">
        <f>IFERROR(__xludf.DUMMYFUNCTION("""COMPUTED_VALUE"""),37726.0)</f>
        <v>37726</v>
      </c>
      <c r="I475" s="18">
        <f>IFERROR(__xludf.DUMMYFUNCTION("""COMPUTED_VALUE"""),17.336111111111112)</f>
        <v>17.33611111</v>
      </c>
      <c r="J475" s="22">
        <f>IFERROR(__xludf.DUMMYFUNCTION("""COMPUTED_VALUE"""),78.0)</f>
        <v>78</v>
      </c>
      <c r="K475" s="22">
        <f>IFERROR(__xludf.DUMMYFUNCTION("""COMPUTED_VALUE"""),4.5)</f>
        <v>4.5</v>
      </c>
      <c r="L475" s="26" t="str">
        <f>IFERROR(__xludf.DUMMYFUNCTION("""COMPUTED_VALUE"""),"Shooter")</f>
        <v>Shooter</v>
      </c>
      <c r="M475" s="13" t="b">
        <f>NOT(ISNA(VLOOKUP(A475,PC!A:A,1,FALSE)))</f>
        <v>0</v>
      </c>
      <c r="N475" s="13" t="b">
        <f>NOT(ISNA(VLOOKUP(A475,'Game Pass Premium'!A:A,1,FALSE)))</f>
        <v>0</v>
      </c>
      <c r="O475" s="13" t="b">
        <f>NOT(ISNA(VLOOKUP(A475,'Game Pass Essential'!A:A,1,FALSE)))</f>
        <v>0</v>
      </c>
    </row>
    <row r="476">
      <c r="A476" s="12" t="str">
        <f>IFERROR(__xludf.DUMMYFUNCTION("""COMPUTED_VALUE"""),"Destroy All Humans!")</f>
        <v>Destroy All Humans!</v>
      </c>
      <c r="B476" s="13" t="str">
        <f>IFERROR(__xludf.DUMMYFUNCTION("""COMPUTED_VALUE"""),"XB360/OG Xbox")</f>
        <v>XB360/OG Xbox</v>
      </c>
      <c r="C476" s="14"/>
      <c r="D476" s="14" t="str">
        <f>IFERROR(__xludf.DUMMYFUNCTION("""COMPUTED_VALUE"""),"GwG Permanent")</f>
        <v>GwG Permanent</v>
      </c>
      <c r="E476" s="15">
        <f>IFERROR(__xludf.DUMMYFUNCTION("""COMPUTED_VALUE"""),43983.0)</f>
        <v>43983</v>
      </c>
      <c r="F476" s="16">
        <f>IFERROR(__xludf.DUMMYFUNCTION("""COMPUTED_VALUE"""),43997.0)</f>
        <v>43997</v>
      </c>
      <c r="G476" s="18">
        <f>IFERROR(__xludf.DUMMYFUNCTION("""COMPUTED_VALUE"""),0.4666666666666667)</f>
        <v>0.4666666667</v>
      </c>
      <c r="H476" s="15">
        <f>IFERROR(__xludf.DUMMYFUNCTION("""COMPUTED_VALUE"""),38524.0)</f>
        <v>38524</v>
      </c>
      <c r="I476" s="18">
        <f>IFERROR(__xludf.DUMMYFUNCTION("""COMPUTED_VALUE"""),14.944444444444445)</f>
        <v>14.94444444</v>
      </c>
      <c r="J476" s="22">
        <f>IFERROR(__xludf.DUMMYFUNCTION("""COMPUTED_VALUE"""),78.0)</f>
        <v>78</v>
      </c>
      <c r="K476" s="22">
        <f>IFERROR(__xludf.DUMMYFUNCTION("""COMPUTED_VALUE"""),9.0)</f>
        <v>9</v>
      </c>
      <c r="L476" s="26" t="str">
        <f>IFERROR(__xludf.DUMMYFUNCTION("""COMPUTED_VALUE"""),"Action-Adventure")</f>
        <v>Action-Adventure</v>
      </c>
      <c r="M476" s="13" t="b">
        <f>NOT(ISNA(VLOOKUP(A476,PC!A:A,1,FALSE)))</f>
        <v>0</v>
      </c>
      <c r="N476" s="13" t="b">
        <f>NOT(ISNA(VLOOKUP(A476,'Game Pass Premium'!A:A,1,FALSE)))</f>
        <v>0</v>
      </c>
      <c r="O476" s="13" t="b">
        <f>NOT(ISNA(VLOOKUP(A476,'Game Pass Essential'!A:A,1,FALSE)))</f>
        <v>0</v>
      </c>
    </row>
    <row r="477">
      <c r="A477" s="12" t="str">
        <f>IFERROR(__xludf.DUMMYFUNCTION("""COMPUTED_VALUE"""),"Star Wars: Jedi Starfighter")</f>
        <v>Star Wars: Jedi Starfighter</v>
      </c>
      <c r="B477" s="13" t="str">
        <f>IFERROR(__xludf.DUMMYFUNCTION("""COMPUTED_VALUE"""),"XB360/OG Xbox")</f>
        <v>XB360/OG Xbox</v>
      </c>
      <c r="C477" s="14"/>
      <c r="D477" s="14" t="str">
        <f>IFERROR(__xludf.DUMMYFUNCTION("""COMPUTED_VALUE"""),"GwG Permanent")</f>
        <v>GwG Permanent</v>
      </c>
      <c r="E477" s="15">
        <f>IFERROR(__xludf.DUMMYFUNCTION("""COMPUTED_VALUE"""),43770.0)</f>
        <v>43770</v>
      </c>
      <c r="F477" s="16">
        <f>IFERROR(__xludf.DUMMYFUNCTION("""COMPUTED_VALUE"""),43784.0)</f>
        <v>43784</v>
      </c>
      <c r="G477" s="18">
        <f>IFERROR(__xludf.DUMMYFUNCTION("""COMPUTED_VALUE"""),0.4666666666666667)</f>
        <v>0.4666666667</v>
      </c>
      <c r="H477" s="15">
        <f>IFERROR(__xludf.DUMMYFUNCTION("""COMPUTED_VALUE"""),37308.0)</f>
        <v>37308</v>
      </c>
      <c r="I477" s="18">
        <f>IFERROR(__xludf.DUMMYFUNCTION("""COMPUTED_VALUE"""),17.694444444444443)</f>
        <v>17.69444444</v>
      </c>
      <c r="J477" s="22">
        <f>IFERROR(__xludf.DUMMYFUNCTION("""COMPUTED_VALUE"""),78.0)</f>
        <v>78</v>
      </c>
      <c r="K477" s="22">
        <f>IFERROR(__xludf.DUMMYFUNCTION("""COMPUTED_VALUE"""),6.0)</f>
        <v>6</v>
      </c>
      <c r="L477" s="26" t="str">
        <f>IFERROR(__xludf.DUMMYFUNCTION("""COMPUTED_VALUE"""),"Shooter")</f>
        <v>Shooter</v>
      </c>
      <c r="M477" s="13" t="b">
        <f>NOT(ISNA(VLOOKUP(A477,PC!A:A,1,FALSE)))</f>
        <v>0</v>
      </c>
      <c r="N477" s="13" t="b">
        <f>NOT(ISNA(VLOOKUP(A477,'Game Pass Premium'!A:A,1,FALSE)))</f>
        <v>0</v>
      </c>
      <c r="O477" s="13" t="b">
        <f>NOT(ISNA(VLOOKUP(A477,'Game Pass Essential'!A:A,1,FALSE)))</f>
        <v>0</v>
      </c>
    </row>
    <row r="478">
      <c r="A478" s="12" t="str">
        <f>IFERROR(__xludf.DUMMYFUNCTION("""COMPUTED_VALUE"""),"Quantum Conundrum")</f>
        <v>Quantum Conundrum</v>
      </c>
      <c r="B478" s="13" t="str">
        <f>IFERROR(__xludf.DUMMYFUNCTION("""COMPUTED_VALUE"""),"XB360/OG Xbox")</f>
        <v>XB360/OG Xbox</v>
      </c>
      <c r="C478" s="14"/>
      <c r="D478" s="14" t="str">
        <f>IFERROR(__xludf.DUMMYFUNCTION("""COMPUTED_VALUE"""),"GwG Permanent")</f>
        <v>GwG Permanent</v>
      </c>
      <c r="E478" s="15">
        <f>IFERROR(__xludf.DUMMYFUNCTION("""COMPUTED_VALUE"""),43175.0)</f>
        <v>43175</v>
      </c>
      <c r="F478" s="16">
        <f>IFERROR(__xludf.DUMMYFUNCTION("""COMPUTED_VALUE"""),43190.0)</f>
        <v>43190</v>
      </c>
      <c r="G478" s="18">
        <f>IFERROR(__xludf.DUMMYFUNCTION("""COMPUTED_VALUE"""),0.4666666666666667)</f>
        <v>0.4666666667</v>
      </c>
      <c r="H478" s="15">
        <f>IFERROR(__xludf.DUMMYFUNCTION("""COMPUTED_VALUE"""),41009.0)</f>
        <v>41009</v>
      </c>
      <c r="I478" s="18">
        <f>IFERROR(__xludf.DUMMYFUNCTION("""COMPUTED_VALUE"""),5.933333333333334)</f>
        <v>5.933333333</v>
      </c>
      <c r="J478" s="22">
        <f>IFERROR(__xludf.DUMMYFUNCTION("""COMPUTED_VALUE"""),78.0)</f>
        <v>78</v>
      </c>
      <c r="K478" s="22">
        <f>IFERROR(__xludf.DUMMYFUNCTION("""COMPUTED_VALUE"""),4.0)</f>
        <v>4</v>
      </c>
      <c r="L478" s="26" t="str">
        <f>IFERROR(__xludf.DUMMYFUNCTION("""COMPUTED_VALUE"""),"Puzzle")</f>
        <v>Puzzle</v>
      </c>
      <c r="M478" s="13" t="b">
        <f>NOT(ISNA(VLOOKUP(A478,PC!A:A,1,FALSE)))</f>
        <v>0</v>
      </c>
      <c r="N478" s="13" t="b">
        <f>NOT(ISNA(VLOOKUP(A478,'Game Pass Premium'!A:A,1,FALSE)))</f>
        <v>0</v>
      </c>
      <c r="O478" s="13" t="b">
        <f>NOT(ISNA(VLOOKUP(A478,'Game Pass Essential'!A:A,1,FALSE)))</f>
        <v>0</v>
      </c>
    </row>
    <row r="479">
      <c r="A479" s="12" t="str">
        <f>IFERROR(__xludf.DUMMYFUNCTION("""COMPUTED_VALUE"""),"Monkey Island 2 Special Edition: LeChuck's Revenge")</f>
        <v>Monkey Island 2 Special Edition: LeChuck's Revenge</v>
      </c>
      <c r="B479" s="13" t="str">
        <f>IFERROR(__xludf.DUMMYFUNCTION("""COMPUTED_VALUE"""),"XB360/OG Xbox")</f>
        <v>XB360/OG Xbox</v>
      </c>
      <c r="C479" s="14"/>
      <c r="D479" s="14" t="str">
        <f>IFERROR(__xludf.DUMMYFUNCTION("""COMPUTED_VALUE"""),"GwG Permanent")</f>
        <v>GwG Permanent</v>
      </c>
      <c r="E479" s="15">
        <f>IFERROR(__xludf.DUMMYFUNCTION("""COMPUTED_VALUE"""),42767.0)</f>
        <v>42767</v>
      </c>
      <c r="F479" s="16">
        <f>IFERROR(__xludf.DUMMYFUNCTION("""COMPUTED_VALUE"""),42781.0)</f>
        <v>42781</v>
      </c>
      <c r="G479" s="18">
        <f>IFERROR(__xludf.DUMMYFUNCTION("""COMPUTED_VALUE"""),0.4666666666666667)</f>
        <v>0.4666666667</v>
      </c>
      <c r="H479" s="15">
        <f>IFERROR(__xludf.DUMMYFUNCTION("""COMPUTED_VALUE"""),40374.0)</f>
        <v>40374</v>
      </c>
      <c r="I479" s="18">
        <f>IFERROR(__xludf.DUMMYFUNCTION("""COMPUTED_VALUE"""),6.544444444444444)</f>
        <v>6.544444444</v>
      </c>
      <c r="J479" s="22">
        <f>IFERROR(__xludf.DUMMYFUNCTION("""COMPUTED_VALUE"""),78.0)</f>
        <v>78</v>
      </c>
      <c r="K479" s="22">
        <f>IFERROR(__xludf.DUMMYFUNCTION("""COMPUTED_VALUE"""),8.0)</f>
        <v>8</v>
      </c>
      <c r="L479" s="26" t="str">
        <f>IFERROR(__xludf.DUMMYFUNCTION("""COMPUTED_VALUE"""),"Adventure")</f>
        <v>Adventure</v>
      </c>
      <c r="M479" s="13" t="b">
        <f>NOT(ISNA(VLOOKUP(A479,PC!A:A,1,FALSE)))</f>
        <v>0</v>
      </c>
      <c r="N479" s="13" t="b">
        <f>NOT(ISNA(VLOOKUP(A479,'Game Pass Premium'!A:A,1,FALSE)))</f>
        <v>0</v>
      </c>
      <c r="O479" s="13" t="b">
        <f>NOT(ISNA(VLOOKUP(A479,'Game Pass Essential'!A:A,1,FALSE)))</f>
        <v>0</v>
      </c>
    </row>
    <row r="480">
      <c r="A480" s="12" t="str">
        <f>IFERROR(__xludf.DUMMYFUNCTION("""COMPUTED_VALUE"""),"Outland")</f>
        <v>Outland</v>
      </c>
      <c r="B480" s="13" t="str">
        <f>IFERROR(__xludf.DUMMYFUNCTION("""COMPUTED_VALUE"""),"XB360/OG Xbox")</f>
        <v>XB360/OG Xbox</v>
      </c>
      <c r="C480" s="14"/>
      <c r="D480" s="14" t="str">
        <f>IFERROR(__xludf.DUMMYFUNCTION("""COMPUTED_VALUE"""),"GwG Permanent")</f>
        <v>GwG Permanent</v>
      </c>
      <c r="E480" s="15">
        <f>IFERROR(__xludf.DUMMYFUNCTION("""COMPUTED_VALUE"""),42705.0)</f>
        <v>42705</v>
      </c>
      <c r="F480" s="16">
        <f>IFERROR(__xludf.DUMMYFUNCTION("""COMPUTED_VALUE"""),42719.0)</f>
        <v>42719</v>
      </c>
      <c r="G480" s="18">
        <f>IFERROR(__xludf.DUMMYFUNCTION("""COMPUTED_VALUE"""),0.4666666666666667)</f>
        <v>0.4666666667</v>
      </c>
      <c r="H480" s="15">
        <f>IFERROR(__xludf.DUMMYFUNCTION("""COMPUTED_VALUE"""),40716.0)</f>
        <v>40716</v>
      </c>
      <c r="I480" s="18">
        <f>IFERROR(__xludf.DUMMYFUNCTION("""COMPUTED_VALUE"""),5.441666666666666)</f>
        <v>5.441666667</v>
      </c>
      <c r="J480" s="22">
        <f>IFERROR(__xludf.DUMMYFUNCTION("""COMPUTED_VALUE"""),78.0)</f>
        <v>78</v>
      </c>
      <c r="K480" s="22">
        <f>IFERROR(__xludf.DUMMYFUNCTION("""COMPUTED_VALUE"""),6.0)</f>
        <v>6</v>
      </c>
      <c r="L480" s="26" t="str">
        <f>IFERROR(__xludf.DUMMYFUNCTION("""COMPUTED_VALUE"""),"Platformer")</f>
        <v>Platformer</v>
      </c>
      <c r="M480" s="13" t="b">
        <f>NOT(ISNA(VLOOKUP(A480,PC!A:A,1,FALSE)))</f>
        <v>0</v>
      </c>
      <c r="N480" s="13" t="b">
        <f>NOT(ISNA(VLOOKUP(A480,'Game Pass Premium'!A:A,1,FALSE)))</f>
        <v>0</v>
      </c>
      <c r="O480" s="13" t="b">
        <f>NOT(ISNA(VLOOKUP(A480,'Game Pass Essential'!A:A,1,FALSE)))</f>
        <v>0</v>
      </c>
    </row>
    <row r="481">
      <c r="A481" s="12" t="str">
        <f>IFERROR(__xludf.DUMMYFUNCTION("""COMPUTED_VALUE"""),"Viva Piñata: Trouble in Paradise")</f>
        <v>Viva Piñata: Trouble in Paradise</v>
      </c>
      <c r="B481" s="13" t="str">
        <f>IFERROR(__xludf.DUMMYFUNCTION("""COMPUTED_VALUE"""),"XB360/OG Xbox")</f>
        <v>XB360/OG Xbox</v>
      </c>
      <c r="C481" s="14"/>
      <c r="D481" s="14" t="str">
        <f>IFERROR(__xludf.DUMMYFUNCTION("""COMPUTED_VALUE"""),"GwG Permanent")</f>
        <v>GwG Permanent</v>
      </c>
      <c r="E481" s="15">
        <f>IFERROR(__xludf.DUMMYFUNCTION("""COMPUTED_VALUE"""),41944.0)</f>
        <v>41944</v>
      </c>
      <c r="F481" s="16">
        <f>IFERROR(__xludf.DUMMYFUNCTION("""COMPUTED_VALUE"""),41958.0)</f>
        <v>41958</v>
      </c>
      <c r="G481" s="18">
        <f>IFERROR(__xludf.DUMMYFUNCTION("""COMPUTED_VALUE"""),0.4666666666666667)</f>
        <v>0.4666666667</v>
      </c>
      <c r="H481" s="15">
        <f>IFERROR(__xludf.DUMMYFUNCTION("""COMPUTED_VALUE"""),39742.0)</f>
        <v>39742</v>
      </c>
      <c r="I481" s="18">
        <f>IFERROR(__xludf.DUMMYFUNCTION("""COMPUTED_VALUE"""),6.027777777777778)</f>
        <v>6.027777778</v>
      </c>
      <c r="J481" s="22">
        <f>IFERROR(__xludf.DUMMYFUNCTION("""COMPUTED_VALUE"""),78.0)</f>
        <v>78</v>
      </c>
      <c r="K481" s="22">
        <f>IFERROR(__xludf.DUMMYFUNCTION("""COMPUTED_VALUE"""),18.0)</f>
        <v>18</v>
      </c>
      <c r="L481" s="26" t="str">
        <f>IFERROR(__xludf.DUMMYFUNCTION("""COMPUTED_VALUE"""),"Simulation")</f>
        <v>Simulation</v>
      </c>
      <c r="M481" s="13" t="b">
        <f>NOT(ISNA(VLOOKUP(A481,PC!A:A,1,FALSE)))</f>
        <v>0</v>
      </c>
      <c r="N481" s="13" t="b">
        <f>NOT(ISNA(VLOOKUP(A481,'Game Pass Premium'!A:A,1,FALSE)))</f>
        <v>1</v>
      </c>
      <c r="O481" s="13" t="b">
        <f>NOT(ISNA(VLOOKUP(A481,'Game Pass Essential'!A:A,1,FALSE)))</f>
        <v>0</v>
      </c>
    </row>
    <row r="482">
      <c r="A482" s="12" t="str">
        <f>IFERROR(__xludf.DUMMYFUNCTION("""COMPUTED_VALUE"""),"Charlie Murder")</f>
        <v>Charlie Murder</v>
      </c>
      <c r="B482" s="13" t="str">
        <f>IFERROR(__xludf.DUMMYFUNCTION("""COMPUTED_VALUE"""),"XB360/OG Xbox")</f>
        <v>XB360/OG Xbox</v>
      </c>
      <c r="C482" s="14"/>
      <c r="D482" s="14" t="str">
        <f>IFERROR(__xludf.DUMMYFUNCTION("""COMPUTED_VALUE"""),"GwG Permanent")</f>
        <v>GwG Permanent</v>
      </c>
      <c r="E482" s="15">
        <f>IFERROR(__xludf.DUMMYFUNCTION("""COMPUTED_VALUE"""),41806.0)</f>
        <v>41806</v>
      </c>
      <c r="F482" s="16">
        <f>IFERROR(__xludf.DUMMYFUNCTION("""COMPUTED_VALUE"""),41820.0)</f>
        <v>41820</v>
      </c>
      <c r="G482" s="18">
        <f>IFERROR(__xludf.DUMMYFUNCTION("""COMPUTED_VALUE"""),0.4666666666666667)</f>
        <v>0.4666666667</v>
      </c>
      <c r="H482" s="15">
        <f>IFERROR(__xludf.DUMMYFUNCTION("""COMPUTED_VALUE"""),41562.0)</f>
        <v>41562</v>
      </c>
      <c r="I482" s="18">
        <f>IFERROR(__xludf.DUMMYFUNCTION("""COMPUTED_VALUE"""),0.6694444444444444)</f>
        <v>0.6694444444</v>
      </c>
      <c r="J482" s="22">
        <f>IFERROR(__xludf.DUMMYFUNCTION("""COMPUTED_VALUE"""),78.0)</f>
        <v>78</v>
      </c>
      <c r="K482" s="22">
        <f>IFERROR(__xludf.DUMMYFUNCTION("""COMPUTED_VALUE"""),6.0)</f>
        <v>6</v>
      </c>
      <c r="L482" s="26" t="str">
        <f>IFERROR(__xludf.DUMMYFUNCTION("""COMPUTED_VALUE"""),"Beat-Em-Up")</f>
        <v>Beat-Em-Up</v>
      </c>
      <c r="M482" s="13" t="b">
        <f>NOT(ISNA(VLOOKUP(A482,PC!A:A,1,FALSE)))</f>
        <v>0</v>
      </c>
      <c r="N482" s="13" t="b">
        <f>NOT(ISNA(VLOOKUP(A482,'Game Pass Premium'!A:A,1,FALSE)))</f>
        <v>0</v>
      </c>
      <c r="O482" s="13" t="b">
        <f>NOT(ISNA(VLOOKUP(A482,'Game Pass Essential'!A:A,1,FALSE)))</f>
        <v>0</v>
      </c>
    </row>
    <row r="483">
      <c r="A483" s="12" t="str">
        <f>IFERROR(__xludf.DUMMYFUNCTION("""COMPUTED_VALUE"""),"Dungeon Defenders")</f>
        <v>Dungeon Defenders</v>
      </c>
      <c r="B483" s="13" t="str">
        <f>IFERROR(__xludf.DUMMYFUNCTION("""COMPUTED_VALUE"""),"XB360/OG Xbox")</f>
        <v>XB360/OG Xbox</v>
      </c>
      <c r="C483" s="14"/>
      <c r="D483" s="14" t="str">
        <f>IFERROR(__xludf.DUMMYFUNCTION("""COMPUTED_VALUE"""),"GwG Permanent")</f>
        <v>GwG Permanent</v>
      </c>
      <c r="E483" s="15">
        <f>IFERROR(__xludf.DUMMYFUNCTION("""COMPUTED_VALUE"""),41714.0)</f>
        <v>41714</v>
      </c>
      <c r="F483" s="16">
        <f>IFERROR(__xludf.DUMMYFUNCTION("""COMPUTED_VALUE"""),41729.0)</f>
        <v>41729</v>
      </c>
      <c r="G483" s="18">
        <f>IFERROR(__xludf.DUMMYFUNCTION("""COMPUTED_VALUE"""),0.4666666666666667)</f>
        <v>0.4666666667</v>
      </c>
      <c r="H483" s="15">
        <f>IFERROR(__xludf.DUMMYFUNCTION("""COMPUTED_VALUE"""),40835.0)</f>
        <v>40835</v>
      </c>
      <c r="I483" s="18">
        <f>IFERROR(__xludf.DUMMYFUNCTION("""COMPUTED_VALUE"""),2.408333333333333)</f>
        <v>2.408333333</v>
      </c>
      <c r="J483" s="22">
        <f>IFERROR(__xludf.DUMMYFUNCTION("""COMPUTED_VALUE"""),78.0)</f>
        <v>78</v>
      </c>
      <c r="K483" s="22">
        <f>IFERROR(__xludf.DUMMYFUNCTION("""COMPUTED_VALUE"""),20.0)</f>
        <v>20</v>
      </c>
      <c r="L483" s="26" t="str">
        <f>IFERROR(__xludf.DUMMYFUNCTION("""COMPUTED_VALUE"""),"Action")</f>
        <v>Action</v>
      </c>
      <c r="M483" s="13" t="b">
        <f>NOT(ISNA(VLOOKUP(A483,PC!A:A,1,FALSE)))</f>
        <v>0</v>
      </c>
      <c r="N483" s="13" t="b">
        <f>NOT(ISNA(VLOOKUP(A483,'Game Pass Premium'!A:A,1,FALSE)))</f>
        <v>0</v>
      </c>
      <c r="O483" s="13" t="b">
        <f>NOT(ISNA(VLOOKUP(A483,'Game Pass Essential'!A:A,1,FALSE)))</f>
        <v>0</v>
      </c>
    </row>
    <row r="484">
      <c r="A484" s="12" t="str">
        <f>IFERROR(__xludf.DUMMYFUNCTION("""COMPUTED_VALUE"""),"For Honor: Marching Fire Edition")</f>
        <v>For Honor: Marching Fire Edition</v>
      </c>
      <c r="B484" s="13" t="str">
        <f>IFERROR(__xludf.DUMMYFUNCTION("""COMPUTED_VALUE"""),"Xbox / PC")</f>
        <v>Xbox / PC</v>
      </c>
      <c r="C484" s="14" t="str">
        <f>IFERROR(__xludf.DUMMYFUNCTION("""COMPUTED_VALUE"""),"Yes")</f>
        <v>Yes</v>
      </c>
      <c r="D484" s="14" t="str">
        <f>IFERROR(__xludf.DUMMYFUNCTION("""COMPUTED_VALUE"""),"Active")</f>
        <v>Active</v>
      </c>
      <c r="E484" s="15">
        <f>IFERROR(__xludf.DUMMYFUNCTION("""COMPUTED_VALUE"""),44350.0)</f>
        <v>44350</v>
      </c>
      <c r="F484" s="16"/>
      <c r="G484" s="18">
        <f>IFERROR(__xludf.DUMMYFUNCTION("""COMPUTED_VALUE"""),64.1)</f>
        <v>64.1</v>
      </c>
      <c r="H484" s="15">
        <f>IFERROR(__xludf.DUMMYFUNCTION("""COMPUTED_VALUE"""),43083.0)</f>
        <v>43083</v>
      </c>
      <c r="I484" s="18">
        <f>IFERROR(__xludf.DUMMYFUNCTION("""COMPUTED_VALUE"""),3.4694444444444446)</f>
        <v>3.469444444</v>
      </c>
      <c r="J484" s="22">
        <f>IFERROR(__xludf.DUMMYFUNCTION("""COMPUTED_VALUE"""),77.5)</f>
        <v>77.5</v>
      </c>
      <c r="K484" s="22">
        <f>IFERROR(__xludf.DUMMYFUNCTION("""COMPUTED_VALUE"""),7.0)</f>
        <v>7</v>
      </c>
      <c r="L484" s="26" t="str">
        <f>IFERROR(__xludf.DUMMYFUNCTION("""COMPUTED_VALUE"""),"Action")</f>
        <v>Action</v>
      </c>
      <c r="M484" s="13" t="b">
        <f>NOT(ISNA(VLOOKUP(A484,PC!A:A,1,FALSE)))</f>
        <v>1</v>
      </c>
      <c r="N484" s="13" t="b">
        <f>NOT(ISNA(VLOOKUP(A484,'Game Pass Premium'!A:A,1,FALSE)))</f>
        <v>1</v>
      </c>
      <c r="O484" s="13" t="b">
        <f>NOT(ISNA(VLOOKUP(A484,'Game Pass Essential'!A:A,1,FALSE)))</f>
        <v>0</v>
      </c>
    </row>
    <row r="485">
      <c r="A485" s="12" t="str">
        <f>IFERROR(__xludf.DUMMYFUNCTION("""COMPUTED_VALUE"""),"Hell is Us")</f>
        <v>Hell is Us</v>
      </c>
      <c r="B485" s="13" t="str">
        <f>IFERROR(__xludf.DUMMYFUNCTION("""COMPUTED_VALUE"""),"Xbox / PC")</f>
        <v>Xbox / PC</v>
      </c>
      <c r="C485" s="14" t="str">
        <f>IFERROR(__xludf.DUMMYFUNCTION("""COMPUTED_VALUE"""),"Yes")</f>
        <v>Yes</v>
      </c>
      <c r="D485" s="14" t="str">
        <f>IFERROR(__xludf.DUMMYFUNCTION("""COMPUTED_VALUE"""),"Active")</f>
        <v>Active</v>
      </c>
      <c r="E485" s="15">
        <f>IFERROR(__xludf.DUMMYFUNCTION("""COMPUTED_VALUE"""),46226.0)</f>
        <v>46226</v>
      </c>
      <c r="F485" s="16"/>
      <c r="G485" s="18">
        <f>IFERROR(__xludf.DUMMYFUNCTION("""COMPUTED_VALUE"""),2.4333333333333336)</f>
        <v>2.433333333</v>
      </c>
      <c r="H485" s="15">
        <f>IFERROR(__xludf.DUMMYFUNCTION("""COMPUTED_VALUE"""),45904.0)</f>
        <v>45904</v>
      </c>
      <c r="I485" s="18">
        <f>IFERROR(__xludf.DUMMYFUNCTION("""COMPUTED_VALUE"""),0.8861111111111111)</f>
        <v>0.8861111111</v>
      </c>
      <c r="J485" s="22">
        <f>IFERROR(__xludf.DUMMYFUNCTION("""COMPUTED_VALUE"""),77.0)</f>
        <v>77</v>
      </c>
      <c r="K485" s="22">
        <f>IFERROR(__xludf.DUMMYFUNCTION("""COMPUTED_VALUE"""),18.0)</f>
        <v>18</v>
      </c>
      <c r="L485" s="26" t="str">
        <f>IFERROR(__xludf.DUMMYFUNCTION("""COMPUTED_VALUE"""),"Action-Adventure")</f>
        <v>Action-Adventure</v>
      </c>
      <c r="M485" s="13" t="b">
        <f>NOT(ISNA(VLOOKUP(A485,PC!A:A,1,FALSE)))</f>
        <v>1</v>
      </c>
      <c r="N485" s="13" t="b">
        <f>NOT(ISNA(VLOOKUP(A485,'Game Pass Premium'!A:A,1,FALSE)))</f>
        <v>1</v>
      </c>
      <c r="O485" s="13" t="b">
        <f>NOT(ISNA(VLOOKUP(A485,'Game Pass Essential'!A:A,1,FALSE)))</f>
        <v>0</v>
      </c>
    </row>
    <row r="486">
      <c r="A486" s="12" t="str">
        <f>IFERROR(__xludf.DUMMYFUNCTION("""COMPUTED_VALUE"""),"EA Sports FC 26")</f>
        <v>EA Sports FC 26</v>
      </c>
      <c r="B486" s="13" t="str">
        <f>IFERROR(__xludf.DUMMYFUNCTION("""COMPUTED_VALUE"""),"Xbox / PC")</f>
        <v>Xbox / PC</v>
      </c>
      <c r="C486" s="14" t="str">
        <f>IFERROR(__xludf.DUMMYFUNCTION("""COMPUTED_VALUE"""),"Yes")</f>
        <v>Yes</v>
      </c>
      <c r="D486" s="14" t="str">
        <f>IFERROR(__xludf.DUMMYFUNCTION("""COMPUTED_VALUE"""),"Active")</f>
        <v>Active</v>
      </c>
      <c r="E486" s="15">
        <f>IFERROR(__xludf.DUMMYFUNCTION("""COMPUTED_VALUE"""),46191.0)</f>
        <v>46191</v>
      </c>
      <c r="F486" s="16"/>
      <c r="G486" s="18">
        <f>IFERROR(__xludf.DUMMYFUNCTION("""COMPUTED_VALUE"""),3.5999999999999996)</f>
        <v>3.6</v>
      </c>
      <c r="H486" s="15">
        <f>IFERROR(__xludf.DUMMYFUNCTION("""COMPUTED_VALUE"""),45926.0)</f>
        <v>45926</v>
      </c>
      <c r="I486" s="18">
        <f>IFERROR(__xludf.DUMMYFUNCTION("""COMPUTED_VALUE"""),0.7277777777777777)</f>
        <v>0.7277777778</v>
      </c>
      <c r="J486" s="22">
        <f>IFERROR(__xludf.DUMMYFUNCTION("""COMPUTED_VALUE"""),77.0)</f>
        <v>77</v>
      </c>
      <c r="K486" s="22">
        <f>IFERROR(__xludf.DUMMYFUNCTION("""COMPUTED_VALUE"""),25.0)</f>
        <v>25</v>
      </c>
      <c r="L486" s="26" t="str">
        <f>IFERROR(__xludf.DUMMYFUNCTION("""COMPUTED_VALUE"""),"Sports")</f>
        <v>Sports</v>
      </c>
      <c r="M486" s="13" t="b">
        <f>NOT(ISNA(VLOOKUP(A486,PC!A:A,1,FALSE)))</f>
        <v>1</v>
      </c>
      <c r="N486" s="13" t="b">
        <f>NOT(ISNA(VLOOKUP(A486,'Game Pass Premium'!A:A,1,FALSE)))</f>
        <v>0</v>
      </c>
      <c r="O486" s="13" t="b">
        <f>NOT(ISNA(VLOOKUP(A486,'Game Pass Essential'!A:A,1,FALSE)))</f>
        <v>0</v>
      </c>
    </row>
    <row r="487">
      <c r="A487" s="12" t="str">
        <f>IFERROR(__xludf.DUMMYFUNCTION("""COMPUTED_VALUE"""),"The Long Dark")</f>
        <v>The Long Dark</v>
      </c>
      <c r="B487" s="13" t="str">
        <f>IFERROR(__xludf.DUMMYFUNCTION("""COMPUTED_VALUE"""),"Xbox / PC")</f>
        <v>Xbox / PC</v>
      </c>
      <c r="C487" s="14" t="str">
        <f>IFERROR(__xludf.DUMMYFUNCTION("""COMPUTED_VALUE"""),"Yes")</f>
        <v>Yes</v>
      </c>
      <c r="D487" s="14" t="str">
        <f>IFERROR(__xludf.DUMMYFUNCTION("""COMPUTED_VALUE"""),"Active")</f>
        <v>Active</v>
      </c>
      <c r="E487" s="15">
        <f>IFERROR(__xludf.DUMMYFUNCTION("""COMPUTED_VALUE"""),46111.0)</f>
        <v>46111</v>
      </c>
      <c r="F487" s="16"/>
      <c r="G487" s="18">
        <f>IFERROR(__xludf.DUMMYFUNCTION("""COMPUTED_VALUE"""),6.200000000000001)</f>
        <v>6.2</v>
      </c>
      <c r="H487" s="15">
        <f>IFERROR(__xludf.DUMMYFUNCTION("""COMPUTED_VALUE"""),42948.0)</f>
        <v>42948</v>
      </c>
      <c r="I487" s="18">
        <f>IFERROR(__xludf.DUMMYFUNCTION("""COMPUTED_VALUE"""),8.66388888888889)</f>
        <v>8.663888889</v>
      </c>
      <c r="J487" s="22">
        <f>IFERROR(__xludf.DUMMYFUNCTION("""COMPUTED_VALUE"""),77.0)</f>
        <v>77</v>
      </c>
      <c r="K487" s="22">
        <f>IFERROR(__xludf.DUMMYFUNCTION("""COMPUTED_VALUE"""),20.0)</f>
        <v>20</v>
      </c>
      <c r="L487" s="26" t="str">
        <f>IFERROR(__xludf.DUMMYFUNCTION("""COMPUTED_VALUE"""),"Action-Adventure")</f>
        <v>Action-Adventure</v>
      </c>
      <c r="M487" s="13" t="b">
        <f>NOT(ISNA(VLOOKUP(A487,PC!A:A,1,FALSE)))</f>
        <v>1</v>
      </c>
      <c r="N487" s="13" t="b">
        <f>NOT(ISNA(VLOOKUP(A487,'Game Pass Premium'!A:A,1,FALSE)))</f>
        <v>1</v>
      </c>
      <c r="O487" s="13" t="b">
        <f>NOT(ISNA(VLOOKUP(A487,'Game Pass Essential'!A:A,1,FALSE)))</f>
        <v>0</v>
      </c>
    </row>
    <row r="488">
      <c r="A488" s="12" t="str">
        <f>IFERROR(__xludf.DUMMYFUNCTION("""COMPUTED_VALUE"""),"Final Fantasy III")</f>
        <v>Final Fantasy III</v>
      </c>
      <c r="B488" s="13" t="str">
        <f>IFERROR(__xludf.DUMMYFUNCTION("""COMPUTED_VALUE"""),"Xbox / PC")</f>
        <v>Xbox / PC</v>
      </c>
      <c r="C488" s="14" t="str">
        <f>IFERROR(__xludf.DUMMYFUNCTION("""COMPUTED_VALUE"""),"Yes")</f>
        <v>Yes</v>
      </c>
      <c r="D488" s="14" t="str">
        <f>IFERROR(__xludf.DUMMYFUNCTION("""COMPUTED_VALUE"""),"Active")</f>
        <v>Active</v>
      </c>
      <c r="E488" s="15">
        <f>IFERROR(__xludf.DUMMYFUNCTION("""COMPUTED_VALUE"""),46084.0)</f>
        <v>46084</v>
      </c>
      <c r="F488" s="16"/>
      <c r="G488" s="18">
        <f>IFERROR(__xludf.DUMMYFUNCTION("""COMPUTED_VALUE"""),7.1)</f>
        <v>7.1</v>
      </c>
      <c r="H488" s="15">
        <f>IFERROR(__xludf.DUMMYFUNCTION("""COMPUTED_VALUE"""),33082.0)</f>
        <v>33082</v>
      </c>
      <c r="I488" s="18">
        <f>IFERROR(__xludf.DUMMYFUNCTION("""COMPUTED_VALUE"""),35.59722222222222)</f>
        <v>35.59722222</v>
      </c>
      <c r="J488" s="22">
        <f>IFERROR(__xludf.DUMMYFUNCTION("""COMPUTED_VALUE"""),77.0)</f>
        <v>77</v>
      </c>
      <c r="K488" s="22">
        <f>IFERROR(__xludf.DUMMYFUNCTION("""COMPUTED_VALUE"""),28.0)</f>
        <v>28</v>
      </c>
      <c r="L488" s="26" t="str">
        <f>IFERROR(__xludf.DUMMYFUNCTION("""COMPUTED_VALUE"""),"RPG")</f>
        <v>RPG</v>
      </c>
      <c r="M488" s="13" t="b">
        <f>NOT(ISNA(VLOOKUP(A488,PC!A:A,1,FALSE)))</f>
        <v>1</v>
      </c>
      <c r="N488" s="13" t="b">
        <f>NOT(ISNA(VLOOKUP(A488,'Game Pass Premium'!A:A,1,FALSE)))</f>
        <v>1</v>
      </c>
      <c r="O488" s="13" t="b">
        <f>NOT(ISNA(VLOOKUP(A488,'Game Pass Essential'!A:A,1,FALSE)))</f>
        <v>0</v>
      </c>
    </row>
    <row r="489">
      <c r="A489" s="12" t="str">
        <f>IFERROR(__xludf.DUMMYFUNCTION("""COMPUTED_VALUE"""),"Madden NFL 26")</f>
        <v>Madden NFL 26</v>
      </c>
      <c r="B489" s="13" t="str">
        <f>IFERROR(__xludf.DUMMYFUNCTION("""COMPUTED_VALUE"""),"Xbox / PC")</f>
        <v>Xbox / PC</v>
      </c>
      <c r="C489" s="14" t="str">
        <f>IFERROR(__xludf.DUMMYFUNCTION("""COMPUTED_VALUE"""),"Yes")</f>
        <v>Yes</v>
      </c>
      <c r="D489" s="14" t="str">
        <f>IFERROR(__xludf.DUMMYFUNCTION("""COMPUTED_VALUE"""),"Active")</f>
        <v>Active</v>
      </c>
      <c r="E489" s="15">
        <f>IFERROR(__xludf.DUMMYFUNCTION("""COMPUTED_VALUE"""),46058.0)</f>
        <v>46058</v>
      </c>
      <c r="F489" s="16"/>
      <c r="G489" s="18">
        <f>IFERROR(__xludf.DUMMYFUNCTION("""COMPUTED_VALUE"""),8.033333333333333)</f>
        <v>8.033333333</v>
      </c>
      <c r="H489" s="15">
        <f>IFERROR(__xludf.DUMMYFUNCTION("""COMPUTED_VALUE"""),45883.0)</f>
        <v>45883</v>
      </c>
      <c r="I489" s="18">
        <f>IFERROR(__xludf.DUMMYFUNCTION("""COMPUTED_VALUE"""),0.475)</f>
        <v>0.475</v>
      </c>
      <c r="J489" s="22">
        <f>IFERROR(__xludf.DUMMYFUNCTION("""COMPUTED_VALUE"""),77.0)</f>
        <v>77</v>
      </c>
      <c r="K489" s="22">
        <f>IFERROR(__xludf.DUMMYFUNCTION("""COMPUTED_VALUE"""),4.0)</f>
        <v>4</v>
      </c>
      <c r="L489" s="26" t="str">
        <f>IFERROR(__xludf.DUMMYFUNCTION("""COMPUTED_VALUE"""),"Sports")</f>
        <v>Sports</v>
      </c>
      <c r="M489" s="13" t="b">
        <f>NOT(ISNA(VLOOKUP(A489,PC!A:A,1,FALSE)))</f>
        <v>1</v>
      </c>
      <c r="N489" s="13" t="b">
        <f>NOT(ISNA(VLOOKUP(A489,'Game Pass Premium'!A:A,1,FALSE)))</f>
        <v>0</v>
      </c>
      <c r="O489" s="13" t="b">
        <f>NOT(ISNA(VLOOKUP(A489,'Game Pass Essential'!A:A,1,FALSE)))</f>
        <v>0</v>
      </c>
    </row>
    <row r="490">
      <c r="A490" s="12" t="str">
        <f>IFERROR(__xludf.DUMMYFUNCTION("""COMPUTED_VALUE"""),"Final Fantasy II")</f>
        <v>Final Fantasy II</v>
      </c>
      <c r="B490" s="13" t="str">
        <f>IFERROR(__xludf.DUMMYFUNCTION("""COMPUTED_VALUE"""),"Xbox / PC")</f>
        <v>Xbox / PC</v>
      </c>
      <c r="C490" s="14" t="str">
        <f>IFERROR(__xludf.DUMMYFUNCTION("""COMPUTED_VALUE"""),"Yes")</f>
        <v>Yes</v>
      </c>
      <c r="D490" s="14" t="str">
        <f>IFERROR(__xludf.DUMMYFUNCTION("""COMPUTED_VALUE"""),"Active")</f>
        <v>Active</v>
      </c>
      <c r="E490" s="15">
        <f>IFERROR(__xludf.DUMMYFUNCTION("""COMPUTED_VALUE"""),46056.0)</f>
        <v>46056</v>
      </c>
      <c r="F490" s="16"/>
      <c r="G490" s="18">
        <f>IFERROR(__xludf.DUMMYFUNCTION("""COMPUTED_VALUE"""),8.100000000000001)</f>
        <v>8.1</v>
      </c>
      <c r="H490" s="15">
        <f>IFERROR(__xludf.DUMMYFUNCTION("""COMPUTED_VALUE"""),44405.0)</f>
        <v>44405</v>
      </c>
      <c r="I490" s="18">
        <f>IFERROR(__xludf.DUMMYFUNCTION("""COMPUTED_VALUE"""),4.513888888888889)</f>
        <v>4.513888889</v>
      </c>
      <c r="J490" s="22">
        <f>IFERROR(__xludf.DUMMYFUNCTION("""COMPUTED_VALUE"""),77.0)</f>
        <v>77</v>
      </c>
      <c r="K490" s="22">
        <f>IFERROR(__xludf.DUMMYFUNCTION("""COMPUTED_VALUE"""),20.0)</f>
        <v>20</v>
      </c>
      <c r="L490" s="26" t="str">
        <f>IFERROR(__xludf.DUMMYFUNCTION("""COMPUTED_VALUE"""),"Action-Adventure")</f>
        <v>Action-Adventure</v>
      </c>
      <c r="M490" s="13" t="b">
        <f>NOT(ISNA(VLOOKUP(A490,PC!A:A,1,FALSE)))</f>
        <v>1</v>
      </c>
      <c r="N490" s="13" t="b">
        <f>NOT(ISNA(VLOOKUP(A490,'Game Pass Premium'!A:A,1,FALSE)))</f>
        <v>1</v>
      </c>
      <c r="O490" s="13" t="b">
        <f>NOT(ISNA(VLOOKUP(A490,'Game Pass Essential'!A:A,1,FALSE)))</f>
        <v>0</v>
      </c>
    </row>
    <row r="491">
      <c r="A491" s="12" t="str">
        <f>IFERROR(__xludf.DUMMYFUNCTION("""COMPUTED_VALUE"""),"Clover Pit")</f>
        <v>Clover Pit</v>
      </c>
      <c r="B491" s="13" t="str">
        <f>IFERROR(__xludf.DUMMYFUNCTION("""COMPUTED_VALUE"""),"Xbox / PC")</f>
        <v>Xbox / PC</v>
      </c>
      <c r="C491" s="14" t="str">
        <f>IFERROR(__xludf.DUMMYFUNCTION("""COMPUTED_VALUE"""),"Yes")</f>
        <v>Yes</v>
      </c>
      <c r="D491" s="14" t="str">
        <f>IFERROR(__xludf.DUMMYFUNCTION("""COMPUTED_VALUE"""),"Active")</f>
        <v>Active</v>
      </c>
      <c r="E491" s="15">
        <f>IFERROR(__xludf.DUMMYFUNCTION("""COMPUTED_VALUE"""),45981.0)</f>
        <v>45981</v>
      </c>
      <c r="F491" s="16"/>
      <c r="G491" s="18">
        <f>IFERROR(__xludf.DUMMYFUNCTION("""COMPUTED_VALUE"""),10.533333333333333)</f>
        <v>10.53333333</v>
      </c>
      <c r="H491" s="15">
        <f>IFERROR(__xludf.DUMMYFUNCTION("""COMPUTED_VALUE"""),45926.0)</f>
        <v>45926</v>
      </c>
      <c r="I491" s="18">
        <f>IFERROR(__xludf.DUMMYFUNCTION("""COMPUTED_VALUE"""),0.15)</f>
        <v>0.15</v>
      </c>
      <c r="J491" s="22">
        <f>IFERROR(__xludf.DUMMYFUNCTION("""COMPUTED_VALUE"""),77.0)</f>
        <v>77</v>
      </c>
      <c r="K491" s="22">
        <f>IFERROR(__xludf.DUMMYFUNCTION("""COMPUTED_VALUE"""),8.0)</f>
        <v>8</v>
      </c>
      <c r="L491" s="26" t="str">
        <f>IFERROR(__xludf.DUMMYFUNCTION("""COMPUTED_VALUE"""),"Action-Adventure")</f>
        <v>Action-Adventure</v>
      </c>
      <c r="M491" s="13" t="b">
        <f>NOT(ISNA(VLOOKUP(A491,PC!A:A,1,FALSE)))</f>
        <v>1</v>
      </c>
      <c r="N491" s="13" t="b">
        <f>NOT(ISNA(VLOOKUP(A491,'Game Pass Premium'!A:A,1,FALSE)))</f>
        <v>0</v>
      </c>
      <c r="O491" s="13" t="b">
        <f>NOT(ISNA(VLOOKUP(A491,'Game Pass Essential'!A:A,1,FALSE)))</f>
        <v>0</v>
      </c>
    </row>
    <row r="492">
      <c r="A492" s="12" t="str">
        <f>IFERROR(__xludf.DUMMYFUNCTION("""COMPUTED_VALUE"""),"Valiant Hearts: The Great War")</f>
        <v>Valiant Hearts: The Great War</v>
      </c>
      <c r="B492" s="13" t="str">
        <f>IFERROR(__xludf.DUMMYFUNCTION("""COMPUTED_VALUE"""),"Xbox / PC")</f>
        <v>Xbox / PC</v>
      </c>
      <c r="C492" s="14" t="str">
        <f>IFERROR(__xludf.DUMMYFUNCTION("""COMPUTED_VALUE"""),"Yes")</f>
        <v>Yes</v>
      </c>
      <c r="D492" s="14" t="str">
        <f>IFERROR(__xludf.DUMMYFUNCTION("""COMPUTED_VALUE"""),"Active")</f>
        <v>Active</v>
      </c>
      <c r="E492" s="15">
        <f>IFERROR(__xludf.DUMMYFUNCTION("""COMPUTED_VALUE"""),45931.0)</f>
        <v>45931</v>
      </c>
      <c r="F492" s="16"/>
      <c r="G492" s="18">
        <f>IFERROR(__xludf.DUMMYFUNCTION("""COMPUTED_VALUE"""),12.166666666666666)</f>
        <v>12.16666667</v>
      </c>
      <c r="H492" s="15">
        <f>IFERROR(__xludf.DUMMYFUNCTION("""COMPUTED_VALUE"""),41814.0)</f>
        <v>41814</v>
      </c>
      <c r="I492" s="18">
        <f>IFERROR(__xludf.DUMMYFUNCTION("""COMPUTED_VALUE"""),11.269444444444444)</f>
        <v>11.26944444</v>
      </c>
      <c r="J492" s="22">
        <f>IFERROR(__xludf.DUMMYFUNCTION("""COMPUTED_VALUE"""),77.0)</f>
        <v>77</v>
      </c>
      <c r="K492" s="22">
        <f>IFERROR(__xludf.DUMMYFUNCTION("""COMPUTED_VALUE"""),7.0)</f>
        <v>7</v>
      </c>
      <c r="L492" s="26" t="str">
        <f>IFERROR(__xludf.DUMMYFUNCTION("""COMPUTED_VALUE"""),"Platformer")</f>
        <v>Platformer</v>
      </c>
      <c r="M492" s="13" t="b">
        <f>NOT(ISNA(VLOOKUP(A492,PC!A:A,1,FALSE)))</f>
        <v>1</v>
      </c>
      <c r="N492" s="13" t="b">
        <f>NOT(ISNA(VLOOKUP(A492,'Game Pass Premium'!A:A,1,FALSE)))</f>
        <v>0</v>
      </c>
      <c r="O492" s="13" t="b">
        <f>NOT(ISNA(VLOOKUP(A492,'Game Pass Essential'!A:A,1,FALSE)))</f>
        <v>0</v>
      </c>
    </row>
    <row r="493">
      <c r="A493" s="12" t="str">
        <f>IFERROR(__xludf.DUMMYFUNCTION("""COMPUTED_VALUE"""),"RoadCraft")</f>
        <v>RoadCraft</v>
      </c>
      <c r="B493" s="13" t="str">
        <f>IFERROR(__xludf.DUMMYFUNCTION("""COMPUTED_VALUE"""),"Xbox / PC")</f>
        <v>Xbox / PC</v>
      </c>
      <c r="C493" s="14" t="str">
        <f>IFERROR(__xludf.DUMMYFUNCTION("""COMPUTED_VALUE"""),"Yes")</f>
        <v>Yes</v>
      </c>
      <c r="D493" s="14" t="str">
        <f>IFERROR(__xludf.DUMMYFUNCTION("""COMPUTED_VALUE"""),"Active")</f>
        <v>Active</v>
      </c>
      <c r="E493" s="15">
        <f>IFERROR(__xludf.DUMMYFUNCTION("""COMPUTED_VALUE"""),45916.0)</f>
        <v>45916</v>
      </c>
      <c r="F493" s="16"/>
      <c r="G493" s="18">
        <f>IFERROR(__xludf.DUMMYFUNCTION("""COMPUTED_VALUE"""),12.666666666666668)</f>
        <v>12.66666667</v>
      </c>
      <c r="H493" s="15">
        <f>IFERROR(__xludf.DUMMYFUNCTION("""COMPUTED_VALUE"""),45797.0)</f>
        <v>45797</v>
      </c>
      <c r="I493" s="18">
        <f>IFERROR(__xludf.DUMMYFUNCTION("""COMPUTED_VALUE"""),0.32222222222222224)</f>
        <v>0.3222222222</v>
      </c>
      <c r="J493" s="22">
        <f>IFERROR(__xludf.DUMMYFUNCTION("""COMPUTED_VALUE"""),77.0)</f>
        <v>77</v>
      </c>
      <c r="K493" s="22">
        <f>IFERROR(__xludf.DUMMYFUNCTION("""COMPUTED_VALUE"""),51.0)</f>
        <v>51</v>
      </c>
      <c r="L493" s="26" t="str">
        <f>IFERROR(__xludf.DUMMYFUNCTION("""COMPUTED_VALUE"""),"Racing")</f>
        <v>Racing</v>
      </c>
      <c r="M493" s="13" t="b">
        <f>NOT(ISNA(VLOOKUP(A493,PC!A:A,1,FALSE)))</f>
        <v>1</v>
      </c>
      <c r="N493" s="13" t="b">
        <f>NOT(ISNA(VLOOKUP(A493,'Game Pass Premium'!A:A,1,FALSE)))</f>
        <v>1</v>
      </c>
      <c r="O493" s="13" t="b">
        <f>NOT(ISNA(VLOOKUP(A493,'Game Pass Essential'!A:A,1,FALSE)))</f>
        <v>0</v>
      </c>
    </row>
    <row r="494">
      <c r="A494" s="12" t="str">
        <f>IFERROR(__xludf.DUMMYFUNCTION("""COMPUTED_VALUE"""),"Herdling")</f>
        <v>Herdling</v>
      </c>
      <c r="B494" s="13" t="str">
        <f>IFERROR(__xludf.DUMMYFUNCTION("""COMPUTED_VALUE"""),"Xbox / PC")</f>
        <v>Xbox / PC</v>
      </c>
      <c r="C494" s="14" t="str">
        <f>IFERROR(__xludf.DUMMYFUNCTION("""COMPUTED_VALUE"""),"Yes")</f>
        <v>Yes</v>
      </c>
      <c r="D494" s="14" t="str">
        <f>IFERROR(__xludf.DUMMYFUNCTION("""COMPUTED_VALUE"""),"Active")</f>
        <v>Active</v>
      </c>
      <c r="E494" s="15">
        <f>IFERROR(__xludf.DUMMYFUNCTION("""COMPUTED_VALUE"""),45890.0)</f>
        <v>45890</v>
      </c>
      <c r="F494" s="16"/>
      <c r="G494" s="18">
        <f>IFERROR(__xludf.DUMMYFUNCTION("""COMPUTED_VALUE"""),13.5)</f>
        <v>13.5</v>
      </c>
      <c r="H494" s="15">
        <f>IFERROR(__xludf.DUMMYFUNCTION("""COMPUTED_VALUE"""),45890.0)</f>
        <v>45890</v>
      </c>
      <c r="I494" s="18">
        <f>IFERROR(__xludf.DUMMYFUNCTION("""COMPUTED_VALUE"""),0.0)</f>
        <v>0</v>
      </c>
      <c r="J494" s="22">
        <f>IFERROR(__xludf.DUMMYFUNCTION("""COMPUTED_VALUE"""),77.0)</f>
        <v>77</v>
      </c>
      <c r="K494" s="22">
        <f>IFERROR(__xludf.DUMMYFUNCTION("""COMPUTED_VALUE"""),4.0)</f>
        <v>4</v>
      </c>
      <c r="L494" s="26" t="str">
        <f>IFERROR(__xludf.DUMMYFUNCTION("""COMPUTED_VALUE"""),"Action-Adventure")</f>
        <v>Action-Adventure</v>
      </c>
      <c r="M494" s="13" t="b">
        <f>NOT(ISNA(VLOOKUP(A494,PC!A:A,1,FALSE)))</f>
        <v>1</v>
      </c>
      <c r="N494" s="13" t="b">
        <f>NOT(ISNA(VLOOKUP(A494,'Game Pass Premium'!A:A,1,FALSE)))</f>
        <v>0</v>
      </c>
      <c r="O494" s="13" t="b">
        <f>NOT(ISNA(VLOOKUP(A494,'Game Pass Essential'!A:A,1,FALSE)))</f>
        <v>0</v>
      </c>
    </row>
    <row r="495">
      <c r="A495" s="12" t="str">
        <f>IFERROR(__xludf.DUMMYFUNCTION("""COMPUTED_VALUE"""),"Demon Attack")</f>
        <v>Demon Attack</v>
      </c>
      <c r="B495" s="13" t="str">
        <f>IFERROR(__xludf.DUMMYFUNCTION("""COMPUTED_VALUE"""),"Xbox / PC")</f>
        <v>Xbox / PC</v>
      </c>
      <c r="C495" s="14" t="str">
        <f>IFERROR(__xludf.DUMMYFUNCTION("""COMPUTED_VALUE"""),"Yes")</f>
        <v>Yes</v>
      </c>
      <c r="D495" s="14" t="str">
        <f>IFERROR(__xludf.DUMMYFUNCTION("""COMPUTED_VALUE"""),"Active")</f>
        <v>Active</v>
      </c>
      <c r="E495" s="15">
        <f>IFERROR(__xludf.DUMMYFUNCTION("""COMPUTED_VALUE"""),45798.0)</f>
        <v>45798</v>
      </c>
      <c r="F495" s="16"/>
      <c r="G495" s="18">
        <f>IFERROR(__xludf.DUMMYFUNCTION("""COMPUTED_VALUE"""),16.5)</f>
        <v>16.5</v>
      </c>
      <c r="H495" s="15">
        <f>IFERROR(__xludf.DUMMYFUNCTION("""COMPUTED_VALUE"""),32255.0)</f>
        <v>32255</v>
      </c>
      <c r="I495" s="18">
        <f>IFERROR(__xludf.DUMMYFUNCTION("""COMPUTED_VALUE"""),37.080555555555556)</f>
        <v>37.08055556</v>
      </c>
      <c r="J495" s="22">
        <f>IFERROR(__xludf.DUMMYFUNCTION("""COMPUTED_VALUE"""),77.0)</f>
        <v>77</v>
      </c>
      <c r="K495" s="22"/>
      <c r="L495" s="26" t="str">
        <f>IFERROR(__xludf.DUMMYFUNCTION("""COMPUTED_VALUE"""),"Shooter")</f>
        <v>Shooter</v>
      </c>
      <c r="M495" s="13" t="b">
        <f>NOT(ISNA(VLOOKUP(A495,PC!A:A,1,FALSE)))</f>
        <v>1</v>
      </c>
      <c r="N495" s="13" t="b">
        <f>NOT(ISNA(VLOOKUP(A495,'Game Pass Premium'!A:A,1,FALSE)))</f>
        <v>1</v>
      </c>
      <c r="O495" s="13" t="b">
        <f>NOT(ISNA(VLOOKUP(A495,'Game Pass Essential'!A:A,1,FALSE)))</f>
        <v>0</v>
      </c>
    </row>
    <row r="496">
      <c r="A496" s="12" t="str">
        <f>IFERROR(__xludf.DUMMYFUNCTION("""COMPUTED_VALUE"""),"Police Quest")</f>
        <v>Police Quest</v>
      </c>
      <c r="B496" s="13" t="str">
        <f>IFERROR(__xludf.DUMMYFUNCTION("""COMPUTED_VALUE"""),"Xbox / PC")</f>
        <v>Xbox / PC</v>
      </c>
      <c r="C496" s="14" t="str">
        <f>IFERROR(__xludf.DUMMYFUNCTION("""COMPUTED_VALUE"""),"Yes")</f>
        <v>Yes</v>
      </c>
      <c r="D496" s="14" t="str">
        <f>IFERROR(__xludf.DUMMYFUNCTION("""COMPUTED_VALUE"""),"Active")</f>
        <v>Active</v>
      </c>
      <c r="E496" s="15">
        <f>IFERROR(__xludf.DUMMYFUNCTION("""COMPUTED_VALUE"""),45798.0)</f>
        <v>45798</v>
      </c>
      <c r="F496" s="16"/>
      <c r="G496" s="18">
        <f>IFERROR(__xludf.DUMMYFUNCTION("""COMPUTED_VALUE"""),16.5)</f>
        <v>16.5</v>
      </c>
      <c r="H496" s="15">
        <f>IFERROR(__xludf.DUMMYFUNCTION("""COMPUTED_VALUE"""),31778.0)</f>
        <v>31778</v>
      </c>
      <c r="I496" s="18">
        <f>IFERROR(__xludf.DUMMYFUNCTION("""COMPUTED_VALUE"""),38.388888888888886)</f>
        <v>38.38888889</v>
      </c>
      <c r="J496" s="22">
        <f>IFERROR(__xludf.DUMMYFUNCTION("""COMPUTED_VALUE"""),77.0)</f>
        <v>77</v>
      </c>
      <c r="K496" s="22">
        <f>IFERROR(__xludf.DUMMYFUNCTION("""COMPUTED_VALUE"""),4.0)</f>
        <v>4</v>
      </c>
      <c r="L496" s="26" t="str">
        <f>IFERROR(__xludf.DUMMYFUNCTION("""COMPUTED_VALUE"""),"Adventure")</f>
        <v>Adventure</v>
      </c>
      <c r="M496" s="13" t="b">
        <f>NOT(ISNA(VLOOKUP(A496,PC!A:A,1,FALSE)))</f>
        <v>1</v>
      </c>
      <c r="N496" s="13" t="b">
        <f>NOT(ISNA(VLOOKUP(A496,'Game Pass Premium'!A:A,1,FALSE)))</f>
        <v>1</v>
      </c>
      <c r="O496" s="13" t="b">
        <f>NOT(ISNA(VLOOKUP(A496,'Game Pass Essential'!A:A,1,FALSE)))</f>
        <v>0</v>
      </c>
    </row>
    <row r="497">
      <c r="A497" s="12" t="str">
        <f>IFERROR(__xludf.DUMMYFUNCTION("""COMPUTED_VALUE"""),"South of Midnight")</f>
        <v>South of Midnight</v>
      </c>
      <c r="B497" s="13" t="str">
        <f>IFERROR(__xludf.DUMMYFUNCTION("""COMPUTED_VALUE"""),"Xbox / PC")</f>
        <v>Xbox / PC</v>
      </c>
      <c r="C497" s="14"/>
      <c r="D497" s="14" t="str">
        <f>IFERROR(__xludf.DUMMYFUNCTION("""COMPUTED_VALUE"""),"Active")</f>
        <v>Active</v>
      </c>
      <c r="E497" s="15">
        <f>IFERROR(__xludf.DUMMYFUNCTION("""COMPUTED_VALUE"""),45755.0)</f>
        <v>45755</v>
      </c>
      <c r="F497" s="16"/>
      <c r="G497" s="18">
        <f>IFERROR(__xludf.DUMMYFUNCTION("""COMPUTED_VALUE"""),17.933333333333334)</f>
        <v>17.93333333</v>
      </c>
      <c r="H497" s="15">
        <f>IFERROR(__xludf.DUMMYFUNCTION("""COMPUTED_VALUE"""),45755.0)</f>
        <v>45755</v>
      </c>
      <c r="I497" s="18">
        <f>IFERROR(__xludf.DUMMYFUNCTION("""COMPUTED_VALUE"""),0.0)</f>
        <v>0</v>
      </c>
      <c r="J497" s="22">
        <f>IFERROR(__xludf.DUMMYFUNCTION("""COMPUTED_VALUE"""),77.0)</f>
        <v>77</v>
      </c>
      <c r="K497" s="22">
        <f>IFERROR(__xludf.DUMMYFUNCTION("""COMPUTED_VALUE"""),10.0)</f>
        <v>10</v>
      </c>
      <c r="L497" s="26" t="str">
        <f>IFERROR(__xludf.DUMMYFUNCTION("""COMPUTED_VALUE"""),"Action-Adventure")</f>
        <v>Action-Adventure</v>
      </c>
      <c r="M497" s="13" t="b">
        <f>NOT(ISNA(VLOOKUP(A497,PC!A:A,1,FALSE)))</f>
        <v>1</v>
      </c>
      <c r="N497" s="13" t="b">
        <f>NOT(ISNA(VLOOKUP(A497,'Game Pass Premium'!A:A,1,FALSE)))</f>
        <v>1</v>
      </c>
      <c r="O497" s="13" t="b">
        <f>NOT(ISNA(VLOOKUP(A497,'Game Pass Essential'!A:A,1,FALSE)))</f>
        <v>0</v>
      </c>
    </row>
    <row r="498">
      <c r="A498" s="12" t="str">
        <f>IFERROR(__xludf.DUMMYFUNCTION("""COMPUTED_VALUE"""),"Riders Republic")</f>
        <v>Riders Republic</v>
      </c>
      <c r="B498" s="13" t="str">
        <f>IFERROR(__xludf.DUMMYFUNCTION("""COMPUTED_VALUE"""),"Xbox / PC")</f>
        <v>Xbox / PC</v>
      </c>
      <c r="C498" s="14" t="str">
        <f>IFERROR(__xludf.DUMMYFUNCTION("""COMPUTED_VALUE"""),"Yes")</f>
        <v>Yes</v>
      </c>
      <c r="D498" s="14" t="str">
        <f>IFERROR(__xludf.DUMMYFUNCTION("""COMPUTED_VALUE"""),"Active")</f>
        <v>Active</v>
      </c>
      <c r="E498" s="15">
        <f>IFERROR(__xludf.DUMMYFUNCTION("""COMPUTED_VALUE"""),45546.0)</f>
        <v>45546</v>
      </c>
      <c r="F498" s="16"/>
      <c r="G498" s="18">
        <f>IFERROR(__xludf.DUMMYFUNCTION("""COMPUTED_VALUE"""),24.833333333333336)</f>
        <v>24.83333333</v>
      </c>
      <c r="H498" s="15">
        <f>IFERROR(__xludf.DUMMYFUNCTION("""COMPUTED_VALUE"""),44497.0)</f>
        <v>44497</v>
      </c>
      <c r="I498" s="18">
        <f>IFERROR(__xludf.DUMMYFUNCTION("""COMPUTED_VALUE"""),2.8694444444444445)</f>
        <v>2.869444444</v>
      </c>
      <c r="J498" s="22">
        <f>IFERROR(__xludf.DUMMYFUNCTION("""COMPUTED_VALUE"""),77.0)</f>
        <v>77</v>
      </c>
      <c r="K498" s="22">
        <f>IFERROR(__xludf.DUMMYFUNCTION("""COMPUTED_VALUE"""),18.0)</f>
        <v>18</v>
      </c>
      <c r="L498" s="26" t="str">
        <f>IFERROR(__xludf.DUMMYFUNCTION("""COMPUTED_VALUE"""),"Sports")</f>
        <v>Sports</v>
      </c>
      <c r="M498" s="13" t="b">
        <f>NOT(ISNA(VLOOKUP(A498,PC!A:A,1,FALSE)))</f>
        <v>1</v>
      </c>
      <c r="N498" s="13" t="b">
        <f>NOT(ISNA(VLOOKUP(A498,'Game Pass Premium'!A:A,1,FALSE)))</f>
        <v>1</v>
      </c>
      <c r="O498" s="13" t="b">
        <f>NOT(ISNA(VLOOKUP(A498,'Game Pass Essential'!A:A,1,FALSE)))</f>
        <v>0</v>
      </c>
    </row>
    <row r="499">
      <c r="A499" s="12" t="str">
        <f>IFERROR(__xludf.DUMMYFUNCTION("""COMPUTED_VALUE"""),"Nickelodeon All-Star Brawl 2")</f>
        <v>Nickelodeon All-Star Brawl 2</v>
      </c>
      <c r="B499" s="13" t="str">
        <f>IFERROR(__xludf.DUMMYFUNCTION("""COMPUTED_VALUE"""),"Xbox / PC")</f>
        <v>Xbox / PC</v>
      </c>
      <c r="C499" s="14" t="str">
        <f>IFERROR(__xludf.DUMMYFUNCTION("""COMPUTED_VALUE"""),"Yes")</f>
        <v>Yes</v>
      </c>
      <c r="D499" s="14" t="str">
        <f>IFERROR(__xludf.DUMMYFUNCTION("""COMPUTED_VALUE"""),"Active")</f>
        <v>Active</v>
      </c>
      <c r="E499" s="15">
        <f>IFERROR(__xludf.DUMMYFUNCTION("""COMPUTED_VALUE"""),45476.0)</f>
        <v>45476</v>
      </c>
      <c r="F499" s="16"/>
      <c r="G499" s="18">
        <f>IFERROR(__xludf.DUMMYFUNCTION("""COMPUTED_VALUE"""),27.1)</f>
        <v>27.1</v>
      </c>
      <c r="H499" s="15">
        <f>IFERROR(__xludf.DUMMYFUNCTION("""COMPUTED_VALUE"""),45237.0)</f>
        <v>45237</v>
      </c>
      <c r="I499" s="18">
        <f>IFERROR(__xludf.DUMMYFUNCTION("""COMPUTED_VALUE"""),0.6555555555555556)</f>
        <v>0.6555555556</v>
      </c>
      <c r="J499" s="22">
        <f>IFERROR(__xludf.DUMMYFUNCTION("""COMPUTED_VALUE"""),77.0)</f>
        <v>77</v>
      </c>
      <c r="K499" s="22">
        <f>IFERROR(__xludf.DUMMYFUNCTION("""COMPUTED_VALUE"""),4.0)</f>
        <v>4</v>
      </c>
      <c r="L499" s="26" t="str">
        <f>IFERROR(__xludf.DUMMYFUNCTION("""COMPUTED_VALUE"""),"Fighting")</f>
        <v>Fighting</v>
      </c>
      <c r="M499" s="13" t="b">
        <f>NOT(ISNA(VLOOKUP(A499,PC!A:A,1,FALSE)))</f>
        <v>1</v>
      </c>
      <c r="N499" s="13" t="b">
        <f>NOT(ISNA(VLOOKUP(A499,'Game Pass Premium'!A:A,1,FALSE)))</f>
        <v>1</v>
      </c>
      <c r="O499" s="13" t="b">
        <f>NOT(ISNA(VLOOKUP(A499,'Game Pass Essential'!A:A,1,FALSE)))</f>
        <v>0</v>
      </c>
    </row>
    <row r="500">
      <c r="A500" s="12" t="str">
        <f>IFERROR(__xludf.DUMMYFUNCTION("""COMPUTED_VALUE"""),"Need for Speed: Unbound")</f>
        <v>Need for Speed: Unbound</v>
      </c>
      <c r="B500" s="13" t="str">
        <f>IFERROR(__xludf.DUMMYFUNCTION("""COMPUTED_VALUE"""),"Xbox / PC")</f>
        <v>Xbox / PC</v>
      </c>
      <c r="C500" s="14" t="str">
        <f>IFERROR(__xludf.DUMMYFUNCTION("""COMPUTED_VALUE"""),"Yes")</f>
        <v>Yes</v>
      </c>
      <c r="D500" s="14" t="str">
        <f>IFERROR(__xludf.DUMMYFUNCTION("""COMPUTED_VALUE"""),"Active")</f>
        <v>Active</v>
      </c>
      <c r="E500" s="15">
        <f>IFERROR(__xludf.DUMMYFUNCTION("""COMPUTED_VALUE"""),45099.0)</f>
        <v>45099</v>
      </c>
      <c r="F500" s="16"/>
      <c r="G500" s="18">
        <f>IFERROR(__xludf.DUMMYFUNCTION("""COMPUTED_VALUE"""),39.46666666666667)</f>
        <v>39.46666667</v>
      </c>
      <c r="H500" s="15">
        <f>IFERROR(__xludf.DUMMYFUNCTION("""COMPUTED_VALUE"""),44894.0)</f>
        <v>44894</v>
      </c>
      <c r="I500" s="18">
        <f>IFERROR(__xludf.DUMMYFUNCTION("""COMPUTED_VALUE"""),0.5638888888888889)</f>
        <v>0.5638888889</v>
      </c>
      <c r="J500" s="22">
        <f>IFERROR(__xludf.DUMMYFUNCTION("""COMPUTED_VALUE"""),77.0)</f>
        <v>77</v>
      </c>
      <c r="K500" s="22">
        <f>IFERROR(__xludf.DUMMYFUNCTION("""COMPUTED_VALUE"""),23.0)</f>
        <v>23</v>
      </c>
      <c r="L500" s="26" t="str">
        <f>IFERROR(__xludf.DUMMYFUNCTION("""COMPUTED_VALUE"""),"Racing")</f>
        <v>Racing</v>
      </c>
      <c r="M500" s="13" t="b">
        <f>NOT(ISNA(VLOOKUP(A500,PC!A:A,1,FALSE)))</f>
        <v>1</v>
      </c>
      <c r="N500" s="13" t="b">
        <f>NOT(ISNA(VLOOKUP(A500,'Game Pass Premium'!A:A,1,FALSE)))</f>
        <v>1</v>
      </c>
      <c r="O500" s="13" t="b">
        <f>NOT(ISNA(VLOOKUP(A500,'Game Pass Essential'!A:A,1,FALSE)))</f>
        <v>0</v>
      </c>
    </row>
    <row r="501">
      <c r="A501" s="12" t="str">
        <f>IFERROR(__xludf.DUMMYFUNCTION("""COMPUTED_VALUE"""),"Broken Age")</f>
        <v>Broken Age</v>
      </c>
      <c r="B501" s="13" t="str">
        <f>IFERROR(__xludf.DUMMYFUNCTION("""COMPUTED_VALUE"""),"Xbox / PC")</f>
        <v>Xbox / PC</v>
      </c>
      <c r="C501" s="14" t="str">
        <f>IFERROR(__xludf.DUMMYFUNCTION("""COMPUTED_VALUE"""),"Touch Controls")</f>
        <v>Touch Controls</v>
      </c>
      <c r="D501" s="14" t="str">
        <f>IFERROR(__xludf.DUMMYFUNCTION("""COMPUTED_VALUE"""),"Active")</f>
        <v>Active</v>
      </c>
      <c r="E501" s="15">
        <f>IFERROR(__xludf.DUMMYFUNCTION("""COMPUTED_VALUE"""),44546.0)</f>
        <v>44546</v>
      </c>
      <c r="F501" s="16"/>
      <c r="G501" s="18">
        <f>IFERROR(__xludf.DUMMYFUNCTION("""COMPUTED_VALUE"""),57.666666666666664)</f>
        <v>57.66666667</v>
      </c>
      <c r="H501" s="15">
        <f>IFERROR(__xludf.DUMMYFUNCTION("""COMPUTED_VALUE"""),41653.0)</f>
        <v>41653</v>
      </c>
      <c r="I501" s="18">
        <f>IFERROR(__xludf.DUMMYFUNCTION("""COMPUTED_VALUE"""),7.9222222222222225)</f>
        <v>7.922222222</v>
      </c>
      <c r="J501" s="22">
        <f>IFERROR(__xludf.DUMMYFUNCTION("""COMPUTED_VALUE"""),77.0)</f>
        <v>77</v>
      </c>
      <c r="K501" s="22">
        <f>IFERROR(__xludf.DUMMYFUNCTION("""COMPUTED_VALUE"""),10.0)</f>
        <v>10</v>
      </c>
      <c r="L501" s="26" t="str">
        <f>IFERROR(__xludf.DUMMYFUNCTION("""COMPUTED_VALUE"""),"Adventure")</f>
        <v>Adventure</v>
      </c>
      <c r="M501" s="13" t="b">
        <f>NOT(ISNA(VLOOKUP(A501,PC!A:A,1,FALSE)))</f>
        <v>1</v>
      </c>
      <c r="N501" s="13" t="b">
        <f>NOT(ISNA(VLOOKUP(A501,'Game Pass Premium'!A:A,1,FALSE)))</f>
        <v>1</v>
      </c>
      <c r="O501" s="13" t="b">
        <f>NOT(ISNA(VLOOKUP(A501,'Game Pass Essential'!A:A,1,FALSE)))</f>
        <v>0</v>
      </c>
    </row>
    <row r="502">
      <c r="A502" s="12" t="str">
        <f>IFERROR(__xludf.DUMMYFUNCTION("""COMPUTED_VALUE"""),"DOOM 64")</f>
        <v>DOOM 64</v>
      </c>
      <c r="B502" s="13" t="str">
        <f>IFERROR(__xludf.DUMMYFUNCTION("""COMPUTED_VALUE"""),"Xbox / PC")</f>
        <v>Xbox / PC</v>
      </c>
      <c r="C502" s="14" t="str">
        <f>IFERROR(__xludf.DUMMYFUNCTION("""COMPUTED_VALUE"""),"M+KB")</f>
        <v>M+KB</v>
      </c>
      <c r="D502" s="14" t="str">
        <f>IFERROR(__xludf.DUMMYFUNCTION("""COMPUTED_VALUE"""),"Active")</f>
        <v>Active</v>
      </c>
      <c r="E502" s="15">
        <f>IFERROR(__xludf.DUMMYFUNCTION("""COMPUTED_VALUE"""),44267.0)</f>
        <v>44267</v>
      </c>
      <c r="F502" s="16"/>
      <c r="G502" s="18">
        <f>IFERROR(__xludf.DUMMYFUNCTION("""COMPUTED_VALUE"""),66.8)</f>
        <v>66.8</v>
      </c>
      <c r="H502" s="15">
        <f>IFERROR(__xludf.DUMMYFUNCTION("""COMPUTED_VALUE"""),35520.0)</f>
        <v>35520</v>
      </c>
      <c r="I502" s="18">
        <f>IFERROR(__xludf.DUMMYFUNCTION("""COMPUTED_VALUE"""),23.95)</f>
        <v>23.95</v>
      </c>
      <c r="J502" s="22">
        <f>IFERROR(__xludf.DUMMYFUNCTION("""COMPUTED_VALUE"""),77.0)</f>
        <v>77</v>
      </c>
      <c r="K502" s="22">
        <f>IFERROR(__xludf.DUMMYFUNCTION("""COMPUTED_VALUE"""),7.0)</f>
        <v>7</v>
      </c>
      <c r="L502" s="26" t="str">
        <f>IFERROR(__xludf.DUMMYFUNCTION("""COMPUTED_VALUE"""),"Shooter")</f>
        <v>Shooter</v>
      </c>
      <c r="M502" s="13" t="b">
        <f>NOT(ISNA(VLOOKUP(A502,PC!A:A,1,FALSE)))</f>
        <v>1</v>
      </c>
      <c r="N502" s="13" t="b">
        <f>NOT(ISNA(VLOOKUP(A502,'Game Pass Premium'!A:A,1,FALSE)))</f>
        <v>1</v>
      </c>
      <c r="O502" s="13" t="b">
        <f>NOT(ISNA(VLOOKUP(A502,'Game Pass Essential'!A:A,1,FALSE)))</f>
        <v>0</v>
      </c>
    </row>
    <row r="503">
      <c r="A503" s="12" t="str">
        <f>IFERROR(__xludf.DUMMYFUNCTION("""COMPUTED_VALUE"""),"BLACK")</f>
        <v>BLACK</v>
      </c>
      <c r="B503" s="13" t="str">
        <f>IFERROR(__xludf.DUMMYFUNCTION("""COMPUTED_VALUE"""),"Xbox")</f>
        <v>Xbox</v>
      </c>
      <c r="C503" s="14"/>
      <c r="D503" s="14" t="str">
        <f>IFERROR(__xludf.DUMMYFUNCTION("""COMPUTED_VALUE"""),"Active")</f>
        <v>Active</v>
      </c>
      <c r="E503" s="15">
        <f>IFERROR(__xludf.DUMMYFUNCTION("""COMPUTED_VALUE"""),44145.0)</f>
        <v>44145</v>
      </c>
      <c r="F503" s="16"/>
      <c r="G503" s="18">
        <f>IFERROR(__xludf.DUMMYFUNCTION("""COMPUTED_VALUE"""),70.86666666666667)</f>
        <v>70.86666667</v>
      </c>
      <c r="H503" s="15">
        <f>IFERROR(__xludf.DUMMYFUNCTION("""COMPUTED_VALUE"""),38776.0)</f>
        <v>38776</v>
      </c>
      <c r="I503" s="18">
        <f>IFERROR(__xludf.DUMMYFUNCTION("""COMPUTED_VALUE"""),14.7)</f>
        <v>14.7</v>
      </c>
      <c r="J503" s="22">
        <f>IFERROR(__xludf.DUMMYFUNCTION("""COMPUTED_VALUE"""),77.0)</f>
        <v>77</v>
      </c>
      <c r="K503" s="22">
        <f>IFERROR(__xludf.DUMMYFUNCTION("""COMPUTED_VALUE"""),6.0)</f>
        <v>6</v>
      </c>
      <c r="L503" s="26" t="str">
        <f>IFERROR(__xludf.DUMMYFUNCTION("""COMPUTED_VALUE"""),"Shooter")</f>
        <v>Shooter</v>
      </c>
      <c r="M503" s="13" t="b">
        <f>NOT(ISNA(VLOOKUP(A503,PC!A:A,1,FALSE)))</f>
        <v>0</v>
      </c>
      <c r="N503" s="13" t="b">
        <f>NOT(ISNA(VLOOKUP(A503,'Game Pass Premium'!A:A,1,FALSE)))</f>
        <v>1</v>
      </c>
      <c r="O503" s="13" t="b">
        <f>NOT(ISNA(VLOOKUP(A503,'Game Pass Essential'!A:A,1,FALSE)))</f>
        <v>0</v>
      </c>
    </row>
    <row r="504">
      <c r="A504" s="12" t="str">
        <f>IFERROR(__xludf.DUMMYFUNCTION("""COMPUTED_VALUE"""),"Heavy Weapon")</f>
        <v>Heavy Weapon</v>
      </c>
      <c r="B504" s="13" t="str">
        <f>IFERROR(__xludf.DUMMYFUNCTION("""COMPUTED_VALUE"""),"Xbox")</f>
        <v>Xbox</v>
      </c>
      <c r="C504" s="14"/>
      <c r="D504" s="14" t="str">
        <f>IFERROR(__xludf.DUMMYFUNCTION("""COMPUTED_VALUE"""),"Active")</f>
        <v>Active</v>
      </c>
      <c r="E504" s="15">
        <f>IFERROR(__xludf.DUMMYFUNCTION("""COMPUTED_VALUE"""),44145.0)</f>
        <v>44145</v>
      </c>
      <c r="F504" s="16"/>
      <c r="G504" s="18">
        <f>IFERROR(__xludf.DUMMYFUNCTION("""COMPUTED_VALUE"""),70.86666666666667)</f>
        <v>70.86666667</v>
      </c>
      <c r="H504" s="15">
        <f>IFERROR(__xludf.DUMMYFUNCTION("""COMPUTED_VALUE"""),39099.0)</f>
        <v>39099</v>
      </c>
      <c r="I504" s="18">
        <f>IFERROR(__xludf.DUMMYFUNCTION("""COMPUTED_VALUE"""),13.813888888888888)</f>
        <v>13.81388889</v>
      </c>
      <c r="J504" s="22">
        <f>IFERROR(__xludf.DUMMYFUNCTION("""COMPUTED_VALUE"""),77.0)</f>
        <v>77</v>
      </c>
      <c r="K504" s="22">
        <f>IFERROR(__xludf.DUMMYFUNCTION("""COMPUTED_VALUE"""),2.0)</f>
        <v>2</v>
      </c>
      <c r="L504" s="26" t="str">
        <f>IFERROR(__xludf.DUMMYFUNCTION("""COMPUTED_VALUE"""),"Shooter")</f>
        <v>Shooter</v>
      </c>
      <c r="M504" s="13" t="b">
        <f>NOT(ISNA(VLOOKUP(A504,PC!A:A,1,FALSE)))</f>
        <v>0</v>
      </c>
      <c r="N504" s="13" t="b">
        <f>NOT(ISNA(VLOOKUP(A504,'Game Pass Premium'!A:A,1,FALSE)))</f>
        <v>0</v>
      </c>
      <c r="O504" s="13" t="b">
        <f>NOT(ISNA(VLOOKUP(A504,'Game Pass Essential'!A:A,1,FALSE)))</f>
        <v>0</v>
      </c>
    </row>
    <row r="505">
      <c r="A505" s="12" t="str">
        <f>IFERROR(__xludf.DUMMYFUNCTION("""COMPUTED_VALUE"""),"Descenders")</f>
        <v>Descenders</v>
      </c>
      <c r="B505" s="13" t="str">
        <f>IFERROR(__xludf.DUMMYFUNCTION("""COMPUTED_VALUE"""),"Xbox / PC")</f>
        <v>Xbox / PC</v>
      </c>
      <c r="C505" s="14" t="str">
        <f>IFERROR(__xludf.DUMMYFUNCTION("""COMPUTED_VALUE"""),"Yes")</f>
        <v>Yes</v>
      </c>
      <c r="D505" s="14" t="str">
        <f>IFERROR(__xludf.DUMMYFUNCTION("""COMPUTED_VALUE"""),"Active")</f>
        <v>Active</v>
      </c>
      <c r="E505" s="15">
        <f>IFERROR(__xludf.DUMMYFUNCTION("""COMPUTED_VALUE"""),43592.0)</f>
        <v>43592</v>
      </c>
      <c r="F505" s="16"/>
      <c r="G505" s="18">
        <f>IFERROR(__xludf.DUMMYFUNCTION("""COMPUTED_VALUE"""),88.96666666666667)</f>
        <v>88.96666667</v>
      </c>
      <c r="H505" s="15">
        <f>IFERROR(__xludf.DUMMYFUNCTION("""COMPUTED_VALUE"""),43140.0)</f>
        <v>43140</v>
      </c>
      <c r="I505" s="18">
        <f>IFERROR(__xludf.DUMMYFUNCTION("""COMPUTED_VALUE"""),1.2444444444444445)</f>
        <v>1.244444444</v>
      </c>
      <c r="J505" s="22">
        <f>IFERROR(__xludf.DUMMYFUNCTION("""COMPUTED_VALUE"""),77.0)</f>
        <v>77</v>
      </c>
      <c r="K505" s="22">
        <f>IFERROR(__xludf.DUMMYFUNCTION("""COMPUTED_VALUE"""),4.0)</f>
        <v>4</v>
      </c>
      <c r="L505" s="26" t="str">
        <f>IFERROR(__xludf.DUMMYFUNCTION("""COMPUTED_VALUE"""),"Racing")</f>
        <v>Racing</v>
      </c>
      <c r="M505" s="13" t="b">
        <f>NOT(ISNA(VLOOKUP(A505,PC!A:A,1,FALSE)))</f>
        <v>1</v>
      </c>
      <c r="N505" s="13" t="b">
        <f>NOT(ISNA(VLOOKUP(A505,'Game Pass Premium'!A:A,1,FALSE)))</f>
        <v>1</v>
      </c>
      <c r="O505" s="13" t="b">
        <f>NOT(ISNA(VLOOKUP(A505,'Game Pass Essential'!A:A,1,FALSE)))</f>
        <v>1</v>
      </c>
    </row>
    <row r="506">
      <c r="A506" s="12" t="str">
        <f>IFERROR(__xludf.DUMMYFUNCTION("""COMPUTED_VALUE"""),"Quantum Break")</f>
        <v>Quantum Break</v>
      </c>
      <c r="B506" s="13" t="str">
        <f>IFERROR(__xludf.DUMMYFUNCTION("""COMPUTED_VALUE"""),"Xbox / PC")</f>
        <v>Xbox / PC</v>
      </c>
      <c r="C506" s="14"/>
      <c r="D506" s="14" t="str">
        <f>IFERROR(__xludf.DUMMYFUNCTION("""COMPUTED_VALUE"""),"Active")</f>
        <v>Active</v>
      </c>
      <c r="E506" s="15">
        <f>IFERROR(__xludf.DUMMYFUNCTION("""COMPUTED_VALUE"""),43344.0)</f>
        <v>43344</v>
      </c>
      <c r="F506" s="16"/>
      <c r="G506" s="18">
        <f>IFERROR(__xludf.DUMMYFUNCTION("""COMPUTED_VALUE"""),97.16666666666666)</f>
        <v>97.16666667</v>
      </c>
      <c r="H506" s="15">
        <f>IFERROR(__xludf.DUMMYFUNCTION("""COMPUTED_VALUE"""),42465.0)</f>
        <v>42465</v>
      </c>
      <c r="I506" s="18">
        <f>IFERROR(__xludf.DUMMYFUNCTION("""COMPUTED_VALUE"""),2.4055555555555554)</f>
        <v>2.405555556</v>
      </c>
      <c r="J506" s="22">
        <f>IFERROR(__xludf.DUMMYFUNCTION("""COMPUTED_VALUE"""),77.0)</f>
        <v>77</v>
      </c>
      <c r="K506" s="22">
        <f>IFERROR(__xludf.DUMMYFUNCTION("""COMPUTED_VALUE"""),10.0)</f>
        <v>10</v>
      </c>
      <c r="L506" s="26" t="str">
        <f>IFERROR(__xludf.DUMMYFUNCTION("""COMPUTED_VALUE"""),"Shooter")</f>
        <v>Shooter</v>
      </c>
      <c r="M506" s="13" t="b">
        <f>NOT(ISNA(VLOOKUP(A506,PC!A:A,1,FALSE)))</f>
        <v>1</v>
      </c>
      <c r="N506" s="13" t="b">
        <f>NOT(ISNA(VLOOKUP(A506,'Game Pass Premium'!A:A,1,FALSE)))</f>
        <v>1</v>
      </c>
      <c r="O506" s="13" t="b">
        <f>NOT(ISNA(VLOOKUP(A506,'Game Pass Essential'!A:A,1,FALSE)))</f>
        <v>0</v>
      </c>
    </row>
    <row r="507">
      <c r="A507" s="12" t="str">
        <f>IFERROR(__xludf.DUMMYFUNCTION("""COMPUTED_VALUE"""),"The Elder Scrolls Online")</f>
        <v>The Elder Scrolls Online</v>
      </c>
      <c r="B507" s="13" t="str">
        <f>IFERROR(__xludf.DUMMYFUNCTION("""COMPUTED_VALUE"""),"Xbox / PC")</f>
        <v>Xbox / PC</v>
      </c>
      <c r="C507" s="14"/>
      <c r="D507" s="14" t="str">
        <f>IFERROR(__xludf.DUMMYFUNCTION("""COMPUTED_VALUE"""),"Active")</f>
        <v>Active</v>
      </c>
      <c r="E507" s="15">
        <f>IFERROR(__xludf.DUMMYFUNCTION("""COMPUTED_VALUE"""),43261.0)</f>
        <v>43261</v>
      </c>
      <c r="F507" s="16"/>
      <c r="G507" s="18">
        <f>IFERROR(__xludf.DUMMYFUNCTION("""COMPUTED_VALUE"""),99.86666666666667)</f>
        <v>99.86666667</v>
      </c>
      <c r="H507" s="15">
        <f>IFERROR(__xludf.DUMMYFUNCTION("""COMPUTED_VALUE"""),41733.0)</f>
        <v>41733</v>
      </c>
      <c r="I507" s="18">
        <f>IFERROR(__xludf.DUMMYFUNCTION("""COMPUTED_VALUE"""),4.183333333333334)</f>
        <v>4.183333333</v>
      </c>
      <c r="J507" s="22">
        <f>IFERROR(__xludf.DUMMYFUNCTION("""COMPUTED_VALUE"""),77.0)</f>
        <v>77</v>
      </c>
      <c r="K507" s="22">
        <f>IFERROR(__xludf.DUMMYFUNCTION("""COMPUTED_VALUE"""),87.0)</f>
        <v>87</v>
      </c>
      <c r="L507" s="26" t="str">
        <f>IFERROR(__xludf.DUMMYFUNCTION("""COMPUTED_VALUE"""),"MMORPG")</f>
        <v>MMORPG</v>
      </c>
      <c r="M507" s="13" t="b">
        <f>NOT(ISNA(VLOOKUP(A507,PC!A:A,1,FALSE)))</f>
        <v>1</v>
      </c>
      <c r="N507" s="13" t="b">
        <f>NOT(ISNA(VLOOKUP(A507,'Game Pass Premium'!A:A,1,FALSE)))</f>
        <v>1</v>
      </c>
      <c r="O507" s="13" t="b">
        <f>NOT(ISNA(VLOOKUP(A507,'Game Pass Essential'!A:A,1,FALSE)))</f>
        <v>1</v>
      </c>
    </row>
    <row r="508">
      <c r="A508" s="12" t="str">
        <f>IFERROR(__xludf.DUMMYFUNCTION("""COMPUTED_VALUE"""),"Wasteland 2: Director's Cut")</f>
        <v>Wasteland 2: Director's Cut</v>
      </c>
      <c r="B508" s="13" t="str">
        <f>IFERROR(__xludf.DUMMYFUNCTION("""COMPUTED_VALUE"""),"Xbox / PC")</f>
        <v>Xbox / PC</v>
      </c>
      <c r="C508" s="14" t="str">
        <f>IFERROR(__xludf.DUMMYFUNCTION("""COMPUTED_VALUE"""),"Touch Controls")</f>
        <v>Touch Controls</v>
      </c>
      <c r="D508" s="14" t="str">
        <f>IFERROR(__xludf.DUMMYFUNCTION("""COMPUTED_VALUE"""),"Active")</f>
        <v>Active</v>
      </c>
      <c r="E508" s="15">
        <f>IFERROR(__xludf.DUMMYFUNCTION("""COMPUTED_VALUE"""),43252.0)</f>
        <v>43252</v>
      </c>
      <c r="F508" s="16"/>
      <c r="G508" s="18">
        <f>IFERROR(__xludf.DUMMYFUNCTION("""COMPUTED_VALUE"""),100.16666666666666)</f>
        <v>100.1666667</v>
      </c>
      <c r="H508" s="15">
        <f>IFERROR(__xludf.DUMMYFUNCTION("""COMPUTED_VALUE"""),41900.0)</f>
        <v>41900</v>
      </c>
      <c r="I508" s="18">
        <f>IFERROR(__xludf.DUMMYFUNCTION("""COMPUTED_VALUE"""),3.702777777777778)</f>
        <v>3.702777778</v>
      </c>
      <c r="J508" s="22">
        <f>IFERROR(__xludf.DUMMYFUNCTION("""COMPUTED_VALUE"""),77.0)</f>
        <v>77</v>
      </c>
      <c r="K508" s="22">
        <f>IFERROR(__xludf.DUMMYFUNCTION("""COMPUTED_VALUE"""),39.5)</f>
        <v>39.5</v>
      </c>
      <c r="L508" s="26" t="str">
        <f>IFERROR(__xludf.DUMMYFUNCTION("""COMPUTED_VALUE"""),"RPG")</f>
        <v>RPG</v>
      </c>
      <c r="M508" s="13" t="b">
        <f>NOT(ISNA(VLOOKUP(A508,PC!A:A,1,FALSE)))</f>
        <v>1</v>
      </c>
      <c r="N508" s="13" t="b">
        <f>NOT(ISNA(VLOOKUP(A508,'Game Pass Premium'!A:A,1,FALSE)))</f>
        <v>1</v>
      </c>
      <c r="O508" s="13" t="b">
        <f>NOT(ISNA(VLOOKUP(A508,'Game Pass Essential'!A:A,1,FALSE)))</f>
        <v>0</v>
      </c>
    </row>
    <row r="509">
      <c r="A509" s="12" t="str">
        <f>IFERROR(__xludf.DUMMYFUNCTION("""COMPUTED_VALUE"""),"Banjo-Kazooie")</f>
        <v>Banjo-Kazooie</v>
      </c>
      <c r="B509" s="13" t="str">
        <f>IFERROR(__xludf.DUMMYFUNCTION("""COMPUTED_VALUE"""),"Xbox")</f>
        <v>Xbox</v>
      </c>
      <c r="C509" s="14" t="str">
        <f>IFERROR(__xludf.DUMMYFUNCTION("""COMPUTED_VALUE"""),"Touch Controls")</f>
        <v>Touch Controls</v>
      </c>
      <c r="D509" s="14" t="str">
        <f>IFERROR(__xludf.DUMMYFUNCTION("""COMPUTED_VALUE"""),"Active")</f>
        <v>Active</v>
      </c>
      <c r="E509" s="15">
        <f>IFERROR(__xludf.DUMMYFUNCTION("""COMPUTED_VALUE"""),42887.0)</f>
        <v>42887</v>
      </c>
      <c r="F509" s="16"/>
      <c r="G509" s="18">
        <f>IFERROR(__xludf.DUMMYFUNCTION("""COMPUTED_VALUE"""),112.16666666666666)</f>
        <v>112.1666667</v>
      </c>
      <c r="H509" s="15">
        <f>IFERROR(__xludf.DUMMYFUNCTION("""COMPUTED_VALUE"""),35975.0)</f>
        <v>35975</v>
      </c>
      <c r="I509" s="18">
        <f>IFERROR(__xludf.DUMMYFUNCTION("""COMPUTED_VALUE"""),18.92222222222222)</f>
        <v>18.92222222</v>
      </c>
      <c r="J509" s="22">
        <f>IFERROR(__xludf.DUMMYFUNCTION("""COMPUTED_VALUE"""),77.0)</f>
        <v>77</v>
      </c>
      <c r="K509" s="22">
        <f>IFERROR(__xludf.DUMMYFUNCTION("""COMPUTED_VALUE"""),11.0)</f>
        <v>11</v>
      </c>
      <c r="L509" s="26" t="str">
        <f>IFERROR(__xludf.DUMMYFUNCTION("""COMPUTED_VALUE"""),"Adventure")</f>
        <v>Adventure</v>
      </c>
      <c r="M509" s="13" t="b">
        <f>NOT(ISNA(VLOOKUP(A509,PC!A:A,1,FALSE)))</f>
        <v>0</v>
      </c>
      <c r="N509" s="13" t="b">
        <f>NOT(ISNA(VLOOKUP(A509,'Game Pass Premium'!A:A,1,FALSE)))</f>
        <v>1</v>
      </c>
      <c r="O509" s="13" t="b">
        <f>NOT(ISNA(VLOOKUP(A509,'Game Pass Essential'!A:A,1,FALSE)))</f>
        <v>0</v>
      </c>
    </row>
    <row r="510">
      <c r="A510" s="12" t="str">
        <f>IFERROR(__xludf.DUMMYFUNCTION("""COMPUTED_VALUE"""),"Toybox Turbos")</f>
        <v>Toybox Turbos</v>
      </c>
      <c r="B510" s="13" t="str">
        <f>IFERROR(__xludf.DUMMYFUNCTION("""COMPUTED_VALUE"""),"XB360/OG Xbox")</f>
        <v>XB360/OG Xbox</v>
      </c>
      <c r="C510" s="14"/>
      <c r="D510" s="14" t="str">
        <f>IFERROR(__xludf.DUMMYFUNCTION("""COMPUTED_VALUE"""),"GwG Permanent")</f>
        <v>GwG Permanent</v>
      </c>
      <c r="E510" s="15">
        <f>IFERROR(__xludf.DUMMYFUNCTION("""COMPUTED_VALUE"""),43937.0)</f>
        <v>43937</v>
      </c>
      <c r="F510" s="16">
        <f>IFERROR(__xludf.DUMMYFUNCTION("""COMPUTED_VALUE"""),43951.0)</f>
        <v>43951</v>
      </c>
      <c r="G510" s="18">
        <f>IFERROR(__xludf.DUMMYFUNCTION("""COMPUTED_VALUE"""),0.4666666666666667)</f>
        <v>0.4666666667</v>
      </c>
      <c r="H510" s="15">
        <f>IFERROR(__xludf.DUMMYFUNCTION("""COMPUTED_VALUE"""),41954.0)</f>
        <v>41954</v>
      </c>
      <c r="I510" s="18">
        <f>IFERROR(__xludf.DUMMYFUNCTION("""COMPUTED_VALUE"""),5.430555555555555)</f>
        <v>5.430555556</v>
      </c>
      <c r="J510" s="22">
        <f>IFERROR(__xludf.DUMMYFUNCTION("""COMPUTED_VALUE"""),77.0)</f>
        <v>77</v>
      </c>
      <c r="K510" s="22">
        <f>IFERROR(__xludf.DUMMYFUNCTION("""COMPUTED_VALUE"""),4.0)</f>
        <v>4</v>
      </c>
      <c r="L510" s="26" t="str">
        <f>IFERROR(__xludf.DUMMYFUNCTION("""COMPUTED_VALUE"""),"Racing")</f>
        <v>Racing</v>
      </c>
      <c r="M510" s="13" t="b">
        <f>NOT(ISNA(VLOOKUP(A510,PC!A:A,1,FALSE)))</f>
        <v>0</v>
      </c>
      <c r="N510" s="13" t="b">
        <f>NOT(ISNA(VLOOKUP(A510,'Game Pass Premium'!A:A,1,FALSE)))</f>
        <v>0</v>
      </c>
      <c r="O510" s="13" t="b">
        <f>NOT(ISNA(VLOOKUP(A510,'Game Pass Essential'!A:A,1,FALSE)))</f>
        <v>0</v>
      </c>
    </row>
    <row r="511">
      <c r="A511" s="12" t="str">
        <f>IFERROR(__xludf.DUMMYFUNCTION("""COMPUTED_VALUE"""),"Sonic Generations")</f>
        <v>Sonic Generations</v>
      </c>
      <c r="B511" s="13" t="str">
        <f>IFERROR(__xludf.DUMMYFUNCTION("""COMPUTED_VALUE"""),"XB360/OG Xbox")</f>
        <v>XB360/OG Xbox</v>
      </c>
      <c r="C511" s="14"/>
      <c r="D511" s="14" t="str">
        <f>IFERROR(__xludf.DUMMYFUNCTION("""COMPUTED_VALUE"""),"GwG Permanent")</f>
        <v>GwG Permanent</v>
      </c>
      <c r="E511" s="15">
        <f>IFERROR(__xludf.DUMMYFUNCTION("""COMPUTED_VALUE"""),43906.0)</f>
        <v>43906</v>
      </c>
      <c r="F511" s="16">
        <f>IFERROR(__xludf.DUMMYFUNCTION("""COMPUTED_VALUE"""),43921.0)</f>
        <v>43921</v>
      </c>
      <c r="G511" s="18">
        <f>IFERROR(__xludf.DUMMYFUNCTION("""COMPUTED_VALUE"""),0.4666666666666667)</f>
        <v>0.4666666667</v>
      </c>
      <c r="H511" s="15">
        <f>IFERROR(__xludf.DUMMYFUNCTION("""COMPUTED_VALUE"""),40848.0)</f>
        <v>40848</v>
      </c>
      <c r="I511" s="18">
        <f>IFERROR(__xludf.DUMMYFUNCTION("""COMPUTED_VALUE"""),8.375)</f>
        <v>8.375</v>
      </c>
      <c r="J511" s="22">
        <f>IFERROR(__xludf.DUMMYFUNCTION("""COMPUTED_VALUE"""),77.0)</f>
        <v>77</v>
      </c>
      <c r="K511" s="22">
        <f>IFERROR(__xludf.DUMMYFUNCTION("""COMPUTED_VALUE"""),5.5)</f>
        <v>5.5</v>
      </c>
      <c r="L511" s="26" t="str">
        <f>IFERROR(__xludf.DUMMYFUNCTION("""COMPUTED_VALUE"""),"Platformer")</f>
        <v>Platformer</v>
      </c>
      <c r="M511" s="13" t="b">
        <f>NOT(ISNA(VLOOKUP(A511,PC!A:A,1,FALSE)))</f>
        <v>0</v>
      </c>
      <c r="N511" s="13" t="b">
        <f>NOT(ISNA(VLOOKUP(A511,'Game Pass Premium'!A:A,1,FALSE)))</f>
        <v>0</v>
      </c>
      <c r="O511" s="13" t="b">
        <f>NOT(ISNA(VLOOKUP(A511,'Game Pass Essential'!A:A,1,FALSE)))</f>
        <v>0</v>
      </c>
    </row>
    <row r="512">
      <c r="A512" s="12" t="str">
        <f>IFERROR(__xludf.DUMMYFUNCTION("""COMPUTED_VALUE"""),"Stuntman: Ignition")</f>
        <v>Stuntman: Ignition</v>
      </c>
      <c r="B512" s="13" t="str">
        <f>IFERROR(__xludf.DUMMYFUNCTION("""COMPUTED_VALUE"""),"XB360/OG Xbox")</f>
        <v>XB360/OG Xbox</v>
      </c>
      <c r="C512" s="14"/>
      <c r="D512" s="14" t="str">
        <f>IFERROR(__xludf.DUMMYFUNCTION("""COMPUTED_VALUE"""),"GwG Permanent")</f>
        <v>GwG Permanent</v>
      </c>
      <c r="E512" s="15">
        <f>IFERROR(__xludf.DUMMYFUNCTION("""COMPUTED_VALUE"""),43374.0)</f>
        <v>43374</v>
      </c>
      <c r="F512" s="16">
        <f>IFERROR(__xludf.DUMMYFUNCTION("""COMPUTED_VALUE"""),43388.0)</f>
        <v>43388</v>
      </c>
      <c r="G512" s="18">
        <f>IFERROR(__xludf.DUMMYFUNCTION("""COMPUTED_VALUE"""),0.4666666666666667)</f>
        <v>0.4666666667</v>
      </c>
      <c r="H512" s="15">
        <f>IFERROR(__xludf.DUMMYFUNCTION("""COMPUTED_VALUE"""),39351.0)</f>
        <v>39351</v>
      </c>
      <c r="I512" s="18">
        <f>IFERROR(__xludf.DUMMYFUNCTION("""COMPUTED_VALUE"""),11.01388888888889)</f>
        <v>11.01388889</v>
      </c>
      <c r="J512" s="22">
        <f>IFERROR(__xludf.DUMMYFUNCTION("""COMPUTED_VALUE"""),77.0)</f>
        <v>77</v>
      </c>
      <c r="K512" s="22">
        <f>IFERROR(__xludf.DUMMYFUNCTION("""COMPUTED_VALUE"""),6.0)</f>
        <v>6</v>
      </c>
      <c r="L512" s="26" t="str">
        <f>IFERROR(__xludf.DUMMYFUNCTION("""COMPUTED_VALUE"""),"Racing")</f>
        <v>Racing</v>
      </c>
      <c r="M512" s="13" t="b">
        <f>NOT(ISNA(VLOOKUP(A512,PC!A:A,1,FALSE)))</f>
        <v>0</v>
      </c>
      <c r="N512" s="13" t="b">
        <f>NOT(ISNA(VLOOKUP(A512,'Game Pass Premium'!A:A,1,FALSE)))</f>
        <v>0</v>
      </c>
      <c r="O512" s="13" t="b">
        <f>NOT(ISNA(VLOOKUP(A512,'Game Pass Essential'!A:A,1,FALSE)))</f>
        <v>0</v>
      </c>
    </row>
    <row r="513">
      <c r="A513" s="12" t="str">
        <f>IFERROR(__xludf.DUMMYFUNCTION("""COMPUTED_VALUE"""),"LEGO Indiana Jones 2: The Adventure Continues")</f>
        <v>LEGO Indiana Jones 2: The Adventure Continues</v>
      </c>
      <c r="B513" s="13" t="str">
        <f>IFERROR(__xludf.DUMMYFUNCTION("""COMPUTED_VALUE"""),"XB360/OG Xbox")</f>
        <v>XB360/OG Xbox</v>
      </c>
      <c r="C513" s="14"/>
      <c r="D513" s="14" t="str">
        <f>IFERROR(__xludf.DUMMYFUNCTION("""COMPUTED_VALUE"""),"GwG Permanent")</f>
        <v>GwG Permanent</v>
      </c>
      <c r="E513" s="15">
        <f>IFERROR(__xludf.DUMMYFUNCTION("""COMPUTED_VALUE"""),43267.0)</f>
        <v>43267</v>
      </c>
      <c r="F513" s="16">
        <f>IFERROR(__xludf.DUMMYFUNCTION("""COMPUTED_VALUE"""),43281.0)</f>
        <v>43281</v>
      </c>
      <c r="G513" s="18">
        <f>IFERROR(__xludf.DUMMYFUNCTION("""COMPUTED_VALUE"""),0.4666666666666667)</f>
        <v>0.4666666667</v>
      </c>
      <c r="H513" s="15">
        <f>IFERROR(__xludf.DUMMYFUNCTION("""COMPUTED_VALUE"""),39982.0)</f>
        <v>39982</v>
      </c>
      <c r="I513" s="18">
        <f>IFERROR(__xludf.DUMMYFUNCTION("""COMPUTED_VALUE"""),8.994444444444444)</f>
        <v>8.994444444</v>
      </c>
      <c r="J513" s="22">
        <f>IFERROR(__xludf.DUMMYFUNCTION("""COMPUTED_VALUE"""),77.0)</f>
        <v>77</v>
      </c>
      <c r="K513" s="22">
        <f>IFERROR(__xludf.DUMMYFUNCTION("""COMPUTED_VALUE"""),7.0)</f>
        <v>7</v>
      </c>
      <c r="L513" s="26" t="str">
        <f>IFERROR(__xludf.DUMMYFUNCTION("""COMPUTED_VALUE"""),"Action-Adventure")</f>
        <v>Action-Adventure</v>
      </c>
      <c r="M513" s="13" t="b">
        <f>NOT(ISNA(VLOOKUP(A513,PC!A:A,1,FALSE)))</f>
        <v>0</v>
      </c>
      <c r="N513" s="13" t="b">
        <f>NOT(ISNA(VLOOKUP(A513,'Game Pass Premium'!A:A,1,FALSE)))</f>
        <v>0</v>
      </c>
      <c r="O513" s="13" t="b">
        <f>NOT(ISNA(VLOOKUP(A513,'Game Pass Essential'!A:A,1,FALSE)))</f>
        <v>0</v>
      </c>
    </row>
    <row r="514">
      <c r="A514" s="12" t="str">
        <f>IFERROR(__xludf.DUMMYFUNCTION("""COMPUTED_VALUE"""),"MX vs. ATV Reflex")</f>
        <v>MX vs. ATV Reflex</v>
      </c>
      <c r="B514" s="13" t="str">
        <f>IFERROR(__xludf.DUMMYFUNCTION("""COMPUTED_VALUE"""),"XB360/OG Xbox")</f>
        <v>XB360/OG Xbox</v>
      </c>
      <c r="C514" s="14"/>
      <c r="D514" s="14" t="str">
        <f>IFERROR(__xludf.DUMMYFUNCTION("""COMPUTED_VALUE"""),"GwG Permanent")</f>
        <v>GwG Permanent</v>
      </c>
      <c r="E514" s="15">
        <f>IFERROR(__xludf.DUMMYFUNCTION("""COMPUTED_VALUE"""),42644.0)</f>
        <v>42644</v>
      </c>
      <c r="F514" s="16">
        <f>IFERROR(__xludf.DUMMYFUNCTION("""COMPUTED_VALUE"""),42658.0)</f>
        <v>42658</v>
      </c>
      <c r="G514" s="18">
        <f>IFERROR(__xludf.DUMMYFUNCTION("""COMPUTED_VALUE"""),0.4666666666666667)</f>
        <v>0.4666666667</v>
      </c>
      <c r="H514" s="15">
        <f>IFERROR(__xludf.DUMMYFUNCTION("""COMPUTED_VALUE"""),39870.0)</f>
        <v>39870</v>
      </c>
      <c r="I514" s="18">
        <f>IFERROR(__xludf.DUMMYFUNCTION("""COMPUTED_VALUE"""),7.597222222222222)</f>
        <v>7.597222222</v>
      </c>
      <c r="J514" s="22">
        <f>IFERROR(__xludf.DUMMYFUNCTION("""COMPUTED_VALUE"""),77.0)</f>
        <v>77</v>
      </c>
      <c r="K514" s="22">
        <f>IFERROR(__xludf.DUMMYFUNCTION("""COMPUTED_VALUE"""),8.0)</f>
        <v>8</v>
      </c>
      <c r="L514" s="26" t="str">
        <f>IFERROR(__xludf.DUMMYFUNCTION("""COMPUTED_VALUE"""),"Racing")</f>
        <v>Racing</v>
      </c>
      <c r="M514" s="13" t="b">
        <f>NOT(ISNA(VLOOKUP(A514,PC!A:A,1,FALSE)))</f>
        <v>0</v>
      </c>
      <c r="N514" s="13" t="b">
        <f>NOT(ISNA(VLOOKUP(A514,'Game Pass Premium'!A:A,1,FALSE)))</f>
        <v>0</v>
      </c>
      <c r="O514" s="13" t="b">
        <f>NOT(ISNA(VLOOKUP(A514,'Game Pass Essential'!A:A,1,FALSE)))</f>
        <v>0</v>
      </c>
    </row>
    <row r="515">
      <c r="A515" s="12" t="str">
        <f>IFERROR(__xludf.DUMMYFUNCTION("""COMPUTED_VALUE"""),"Mafia II")</f>
        <v>Mafia II</v>
      </c>
      <c r="B515" s="13" t="str">
        <f>IFERROR(__xludf.DUMMYFUNCTION("""COMPUTED_VALUE"""),"XB360/OG Xbox")</f>
        <v>XB360/OG Xbox</v>
      </c>
      <c r="C515" s="14"/>
      <c r="D515" s="14" t="str">
        <f>IFERROR(__xludf.DUMMYFUNCTION("""COMPUTED_VALUE"""),"GwG Permanent")</f>
        <v>GwG Permanent</v>
      </c>
      <c r="E515" s="15">
        <f>IFERROR(__xludf.DUMMYFUNCTION("""COMPUTED_VALUE"""),42125.0)</f>
        <v>42125</v>
      </c>
      <c r="F515" s="16">
        <f>IFERROR(__xludf.DUMMYFUNCTION("""COMPUTED_VALUE"""),42139.0)</f>
        <v>42139</v>
      </c>
      <c r="G515" s="18">
        <f>IFERROR(__xludf.DUMMYFUNCTION("""COMPUTED_VALUE"""),0.4666666666666667)</f>
        <v>0.4666666667</v>
      </c>
      <c r="H515" s="15">
        <f>IFERROR(__xludf.DUMMYFUNCTION("""COMPUTED_VALUE"""),40414.0)</f>
        <v>40414</v>
      </c>
      <c r="I515" s="18">
        <f>IFERROR(__xludf.DUMMYFUNCTION("""COMPUTED_VALUE"""),4.686111111111111)</f>
        <v>4.686111111</v>
      </c>
      <c r="J515" s="22">
        <f>IFERROR(__xludf.DUMMYFUNCTION("""COMPUTED_VALUE"""),77.0)</f>
        <v>77</v>
      </c>
      <c r="K515" s="22">
        <f>IFERROR(__xludf.DUMMYFUNCTION("""COMPUTED_VALUE"""),11.0)</f>
        <v>11</v>
      </c>
      <c r="L515" s="26" t="str">
        <f>IFERROR(__xludf.DUMMYFUNCTION("""COMPUTED_VALUE"""),"Action-Adventure")</f>
        <v>Action-Adventure</v>
      </c>
      <c r="M515" s="13" t="b">
        <f>NOT(ISNA(VLOOKUP(A515,PC!A:A,1,FALSE)))</f>
        <v>0</v>
      </c>
      <c r="N515" s="13" t="b">
        <f>NOT(ISNA(VLOOKUP(A515,'Game Pass Premium'!A:A,1,FALSE)))</f>
        <v>0</v>
      </c>
      <c r="O515" s="13" t="b">
        <f>NOT(ISNA(VLOOKUP(A515,'Game Pass Essential'!A:A,1,FALSE)))</f>
        <v>0</v>
      </c>
    </row>
    <row r="516">
      <c r="A516" s="12" t="str">
        <f>IFERROR(__xludf.DUMMYFUNCTION("""COMPUTED_VALUE"""),"Sniper Elite V2")</f>
        <v>Sniper Elite V2</v>
      </c>
      <c r="B516" s="13" t="str">
        <f>IFERROR(__xludf.DUMMYFUNCTION("""COMPUTED_VALUE"""),"XB360/OG Xbox")</f>
        <v>XB360/OG Xbox</v>
      </c>
      <c r="C516" s="14"/>
      <c r="D516" s="14" t="str">
        <f>IFERROR(__xludf.DUMMYFUNCTION("""COMPUTED_VALUE"""),"GwG Permanent")</f>
        <v>GwG Permanent</v>
      </c>
      <c r="E516" s="15">
        <f>IFERROR(__xludf.DUMMYFUNCTION("""COMPUTED_VALUE"""),42051.0)</f>
        <v>42051</v>
      </c>
      <c r="F516" s="16">
        <f>IFERROR(__xludf.DUMMYFUNCTION("""COMPUTED_VALUE"""),42063.0)</f>
        <v>42063</v>
      </c>
      <c r="G516" s="18">
        <f>IFERROR(__xludf.DUMMYFUNCTION("""COMPUTED_VALUE"""),0.4)</f>
        <v>0.4</v>
      </c>
      <c r="H516" s="15">
        <f>IFERROR(__xludf.DUMMYFUNCTION("""COMPUTED_VALUE"""),41033.0)</f>
        <v>41033</v>
      </c>
      <c r="I516" s="18">
        <f>IFERROR(__xludf.DUMMYFUNCTION("""COMPUTED_VALUE"""),2.783333333333333)</f>
        <v>2.783333333</v>
      </c>
      <c r="J516" s="22">
        <f>IFERROR(__xludf.DUMMYFUNCTION("""COMPUTED_VALUE"""),77.0)</f>
        <v>77</v>
      </c>
      <c r="K516" s="22">
        <f>IFERROR(__xludf.DUMMYFUNCTION("""COMPUTED_VALUE"""),9.0)</f>
        <v>9</v>
      </c>
      <c r="L516" s="26" t="str">
        <f>IFERROR(__xludf.DUMMYFUNCTION("""COMPUTED_VALUE"""),"Shooter")</f>
        <v>Shooter</v>
      </c>
      <c r="M516" s="13" t="b">
        <f>NOT(ISNA(VLOOKUP(A516,PC!A:A,1,FALSE)))</f>
        <v>0</v>
      </c>
      <c r="N516" s="13" t="b">
        <f>NOT(ISNA(VLOOKUP(A516,'Game Pass Premium'!A:A,1,FALSE)))</f>
        <v>0</v>
      </c>
      <c r="O516" s="13" t="b">
        <f>NOT(ISNA(VLOOKUP(A516,'Game Pass Essential'!A:A,1,FALSE)))</f>
        <v>0</v>
      </c>
    </row>
    <row r="517">
      <c r="A517" s="12" t="str">
        <f>IFERROR(__xludf.DUMMYFUNCTION("""COMPUTED_VALUE"""),"Toy Soldiers: Cold War")</f>
        <v>Toy Soldiers: Cold War</v>
      </c>
      <c r="B517" s="13" t="str">
        <f>IFERROR(__xludf.DUMMYFUNCTION("""COMPUTED_VALUE"""),"XB360/OG Xbox")</f>
        <v>XB360/OG Xbox</v>
      </c>
      <c r="C517" s="14"/>
      <c r="D517" s="14" t="str">
        <f>IFERROR(__xludf.DUMMYFUNCTION("""COMPUTED_VALUE"""),"GwG Permanent")</f>
        <v>GwG Permanent</v>
      </c>
      <c r="E517" s="15">
        <f>IFERROR(__xludf.DUMMYFUNCTION("""COMPUTED_VALUE"""),41686.0)</f>
        <v>41686</v>
      </c>
      <c r="F517" s="16">
        <f>IFERROR(__xludf.DUMMYFUNCTION("""COMPUTED_VALUE"""),41698.0)</f>
        <v>41698</v>
      </c>
      <c r="G517" s="18">
        <f>IFERROR(__xludf.DUMMYFUNCTION("""COMPUTED_VALUE"""),0.4)</f>
        <v>0.4</v>
      </c>
      <c r="H517" s="15">
        <f>IFERROR(__xludf.DUMMYFUNCTION("""COMPUTED_VALUE"""),40842.0)</f>
        <v>40842</v>
      </c>
      <c r="I517" s="18">
        <f>IFERROR(__xludf.DUMMYFUNCTION("""COMPUTED_VALUE"""),2.3055555555555554)</f>
        <v>2.305555556</v>
      </c>
      <c r="J517" s="22">
        <f>IFERROR(__xludf.DUMMYFUNCTION("""COMPUTED_VALUE"""),77.0)</f>
        <v>77</v>
      </c>
      <c r="K517" s="22">
        <f>IFERROR(__xludf.DUMMYFUNCTION("""COMPUTED_VALUE"""),8.0)</f>
        <v>8</v>
      </c>
      <c r="L517" s="26" t="str">
        <f>IFERROR(__xludf.DUMMYFUNCTION("""COMPUTED_VALUE"""),"Strategy")</f>
        <v>Strategy</v>
      </c>
      <c r="M517" s="13" t="b">
        <f>NOT(ISNA(VLOOKUP(A517,PC!A:A,1,FALSE)))</f>
        <v>0</v>
      </c>
      <c r="N517" s="13" t="b">
        <f>NOT(ISNA(VLOOKUP(A517,'Game Pass Premium'!A:A,1,FALSE)))</f>
        <v>0</v>
      </c>
      <c r="O517" s="13" t="b">
        <f>NOT(ISNA(VLOOKUP(A517,'Game Pass Essential'!A:A,1,FALSE)))</f>
        <v>0</v>
      </c>
    </row>
    <row r="518">
      <c r="A518" s="12" t="str">
        <f>IFERROR(__xludf.DUMMYFUNCTION("""COMPUTED_VALUE"""),"Supermarket Simulator")</f>
        <v>Supermarket Simulator</v>
      </c>
      <c r="B518" s="13" t="str">
        <f>IFERROR(__xludf.DUMMYFUNCTION("""COMPUTED_VALUE"""),"Xbox / PC")</f>
        <v>Xbox / PC</v>
      </c>
      <c r="C518" s="14" t="str">
        <f>IFERROR(__xludf.DUMMYFUNCTION("""COMPUTED_VALUE"""),"Yes")</f>
        <v>Yes</v>
      </c>
      <c r="D518" s="14" t="str">
        <f>IFERROR(__xludf.DUMMYFUNCTION("""COMPUTED_VALUE"""),"Active")</f>
        <v>Active</v>
      </c>
      <c r="E518" s="15">
        <f>IFERROR(__xludf.DUMMYFUNCTION("""COMPUTED_VALUE"""),45938.0)</f>
        <v>45938</v>
      </c>
      <c r="F518" s="16"/>
      <c r="G518" s="18">
        <f>IFERROR(__xludf.DUMMYFUNCTION("""COMPUTED_VALUE"""),11.933333333333334)</f>
        <v>11.93333333</v>
      </c>
      <c r="H518" s="15">
        <f>IFERROR(__xludf.DUMMYFUNCTION("""COMPUTED_VALUE"""),45827.0)</f>
        <v>45827</v>
      </c>
      <c r="I518" s="18">
        <f>IFERROR(__xludf.DUMMYFUNCTION("""COMPUTED_VALUE"""),0.30277777777777776)</f>
        <v>0.3027777778</v>
      </c>
      <c r="J518" s="22">
        <f>IFERROR(__xludf.DUMMYFUNCTION("""COMPUTED_VALUE"""),76.66666666666667)</f>
        <v>76.66666667</v>
      </c>
      <c r="K518" s="22">
        <f>IFERROR(__xludf.DUMMYFUNCTION("""COMPUTED_VALUE"""),22.0)</f>
        <v>22</v>
      </c>
      <c r="L518" s="26" t="str">
        <f>IFERROR(__xludf.DUMMYFUNCTION("""COMPUTED_VALUE"""),"Simulation")</f>
        <v>Simulation</v>
      </c>
      <c r="M518" s="13" t="b">
        <f>NOT(ISNA(VLOOKUP(A518,PC!A:A,1,FALSE)))</f>
        <v>1</v>
      </c>
      <c r="N518" s="13" t="b">
        <f>NOT(ISNA(VLOOKUP(A518,'Game Pass Premium'!A:A,1,FALSE)))</f>
        <v>0</v>
      </c>
      <c r="O518" s="13" t="b">
        <f>NOT(ISNA(VLOOKUP(A518,'Game Pass Essential'!A:A,1,FALSE)))</f>
        <v>0</v>
      </c>
    </row>
    <row r="519">
      <c r="A519" s="12" t="str">
        <f>IFERROR(__xludf.DUMMYFUNCTION("""COMPUTED_VALUE"""),"Crime Scene Cleaner")</f>
        <v>Crime Scene Cleaner</v>
      </c>
      <c r="B519" s="13" t="str">
        <f>IFERROR(__xludf.DUMMYFUNCTION("""COMPUTED_VALUE"""),"Xbox / PC")</f>
        <v>Xbox / PC</v>
      </c>
      <c r="C519" s="14" t="str">
        <f>IFERROR(__xludf.DUMMYFUNCTION("""COMPUTED_VALUE"""),"Yes")</f>
        <v>Yes</v>
      </c>
      <c r="D519" s="14" t="str">
        <f>IFERROR(__xludf.DUMMYFUNCTION("""COMPUTED_VALUE"""),"Leaving Soon")</f>
        <v>Leaving Soon</v>
      </c>
      <c r="E519" s="15">
        <f>IFERROR(__xludf.DUMMYFUNCTION("""COMPUTED_VALUE"""),45764.0)</f>
        <v>45764</v>
      </c>
      <c r="F519" s="16">
        <f>IFERROR(__xludf.DUMMYFUNCTION("""COMPUTED_VALUE"""),46310.0)</f>
        <v>46310</v>
      </c>
      <c r="G519" s="18">
        <f>IFERROR(__xludf.DUMMYFUNCTION("""COMPUTED_VALUE"""),17.933333333333334)</f>
        <v>17.93333333</v>
      </c>
      <c r="H519" s="15">
        <f>IFERROR(__xludf.DUMMYFUNCTION("""COMPUTED_VALUE"""),45518.0)</f>
        <v>45518</v>
      </c>
      <c r="I519" s="18">
        <f>IFERROR(__xludf.DUMMYFUNCTION("""COMPUTED_VALUE"""),0.675)</f>
        <v>0.675</v>
      </c>
      <c r="J519" s="22">
        <f>IFERROR(__xludf.DUMMYFUNCTION("""COMPUTED_VALUE"""),76.66666666666667)</f>
        <v>76.66666667</v>
      </c>
      <c r="K519" s="22">
        <f>IFERROR(__xludf.DUMMYFUNCTION("""COMPUTED_VALUE"""),13.0)</f>
        <v>13</v>
      </c>
      <c r="L519" s="26" t="str">
        <f>IFERROR(__xludf.DUMMYFUNCTION("""COMPUTED_VALUE"""),"Simulation")</f>
        <v>Simulation</v>
      </c>
      <c r="M519" s="13" t="b">
        <f>NOT(ISNA(VLOOKUP(A519,PC!A:A,1,FALSE)))</f>
        <v>1</v>
      </c>
      <c r="N519" s="13" t="b">
        <f>NOT(ISNA(VLOOKUP(A519,'Game Pass Premium'!A:A,1,FALSE)))</f>
        <v>1</v>
      </c>
      <c r="O519" s="13" t="b">
        <f>NOT(ISNA(VLOOKUP(A519,'Game Pass Essential'!A:A,1,FALSE)))</f>
        <v>0</v>
      </c>
    </row>
    <row r="520">
      <c r="A520" s="12" t="str">
        <f>IFERROR(__xludf.DUMMYFUNCTION("""COMPUTED_VALUE"""),"Call of Duty: Black Ops Cold War")</f>
        <v>Call of Duty: Black Ops Cold War</v>
      </c>
      <c r="B520" s="13" t="str">
        <f>IFERROR(__xludf.DUMMYFUNCTION("""COMPUTED_VALUE"""),"Xbox / PC")</f>
        <v>Xbox / PC</v>
      </c>
      <c r="C520" s="14" t="str">
        <f>IFERROR(__xludf.DUMMYFUNCTION("""COMPUTED_VALUE"""),"Yes")</f>
        <v>Yes</v>
      </c>
      <c r="D520" s="14" t="str">
        <f>IFERROR(__xludf.DUMMYFUNCTION("""COMPUTED_VALUE"""),"Active")</f>
        <v>Active</v>
      </c>
      <c r="E520" s="15">
        <f>IFERROR(__xludf.DUMMYFUNCTION("""COMPUTED_VALUE"""),46273.0)</f>
        <v>46273</v>
      </c>
      <c r="F520" s="16"/>
      <c r="G520" s="18">
        <f>IFERROR(__xludf.DUMMYFUNCTION("""COMPUTED_VALUE"""),0.9333333333333333)</f>
        <v>0.9333333333</v>
      </c>
      <c r="H520" s="15">
        <f>IFERROR(__xludf.DUMMYFUNCTION("""COMPUTED_VALUE"""),44148.0)</f>
        <v>44148</v>
      </c>
      <c r="I520" s="18">
        <f>IFERROR(__xludf.DUMMYFUNCTION("""COMPUTED_VALUE"""),5.819444444444445)</f>
        <v>5.819444444</v>
      </c>
      <c r="J520" s="22">
        <f>IFERROR(__xludf.DUMMYFUNCTION("""COMPUTED_VALUE"""),76.0)</f>
        <v>76</v>
      </c>
      <c r="K520" s="22">
        <f>IFERROR(__xludf.DUMMYFUNCTION("""COMPUTED_VALUE"""),5.5)</f>
        <v>5.5</v>
      </c>
      <c r="L520" s="26" t="str">
        <f>IFERROR(__xludf.DUMMYFUNCTION("""COMPUTED_VALUE"""),"Shooter")</f>
        <v>Shooter</v>
      </c>
      <c r="M520" s="13" t="b">
        <f>NOT(ISNA(VLOOKUP(A520,PC!A:A,1,FALSE)))</f>
        <v>1</v>
      </c>
      <c r="N520" s="13" t="b">
        <f>NOT(ISNA(VLOOKUP(A520,'Game Pass Premium'!A:A,1,FALSE)))</f>
        <v>0</v>
      </c>
      <c r="O520" s="13" t="b">
        <f>NOT(ISNA(VLOOKUP(A520,'Game Pass Essential'!A:A,1,FALSE)))</f>
        <v>0</v>
      </c>
    </row>
    <row r="521">
      <c r="A521" s="12" t="str">
        <f>IFERROR(__xludf.DUMMYFUNCTION("""COMPUTED_VALUE"""),"Call of the Elder Gods")</f>
        <v>Call of the Elder Gods</v>
      </c>
      <c r="B521" s="13" t="str">
        <f>IFERROR(__xludf.DUMMYFUNCTION("""COMPUTED_VALUE"""),"Xbox / PC")</f>
        <v>Xbox / PC</v>
      </c>
      <c r="C521" s="14" t="str">
        <f>IFERROR(__xludf.DUMMYFUNCTION("""COMPUTED_VALUE"""),"Yes")</f>
        <v>Yes</v>
      </c>
      <c r="D521" s="14" t="str">
        <f>IFERROR(__xludf.DUMMYFUNCTION("""COMPUTED_VALUE"""),"Active")</f>
        <v>Active</v>
      </c>
      <c r="E521" s="15">
        <f>IFERROR(__xludf.DUMMYFUNCTION("""COMPUTED_VALUE"""),46154.0)</f>
        <v>46154</v>
      </c>
      <c r="F521" s="16"/>
      <c r="G521" s="18">
        <f>IFERROR(__xludf.DUMMYFUNCTION("""COMPUTED_VALUE"""),4.800000000000001)</f>
        <v>4.8</v>
      </c>
      <c r="H521" s="15">
        <f>IFERROR(__xludf.DUMMYFUNCTION("""COMPUTED_VALUE"""),46154.0)</f>
        <v>46154</v>
      </c>
      <c r="I521" s="18">
        <f>IFERROR(__xludf.DUMMYFUNCTION("""COMPUTED_VALUE"""),0.0)</f>
        <v>0</v>
      </c>
      <c r="J521" s="22">
        <f>IFERROR(__xludf.DUMMYFUNCTION("""COMPUTED_VALUE"""),76.0)</f>
        <v>76</v>
      </c>
      <c r="K521" s="22">
        <f>IFERROR(__xludf.DUMMYFUNCTION("""COMPUTED_VALUE"""),6.0)</f>
        <v>6</v>
      </c>
      <c r="L521" s="26" t="str">
        <f>IFERROR(__xludf.DUMMYFUNCTION("""COMPUTED_VALUE"""),"Action-Adventure")</f>
        <v>Action-Adventure</v>
      </c>
      <c r="M521" s="13" t="b">
        <f>NOT(ISNA(VLOOKUP(A521,PC!A:A,1,FALSE)))</f>
        <v>1</v>
      </c>
      <c r="N521" s="13" t="b">
        <f>NOT(ISNA(VLOOKUP(A521,'Game Pass Premium'!A:A,1,FALSE)))</f>
        <v>0</v>
      </c>
      <c r="O521" s="13" t="b">
        <f>NOT(ISNA(VLOOKUP(A521,'Game Pass Essential'!A:A,1,FALSE)))</f>
        <v>0</v>
      </c>
    </row>
    <row r="522">
      <c r="A522" s="12" t="str">
        <f>IFERROR(__xludf.DUMMYFUNCTION("""COMPUTED_VALUE"""),"REPLACED")</f>
        <v>REPLACED</v>
      </c>
      <c r="B522" s="13" t="str">
        <f>IFERROR(__xludf.DUMMYFUNCTION("""COMPUTED_VALUE"""),"Xbox / PC")</f>
        <v>Xbox / PC</v>
      </c>
      <c r="C522" s="14" t="str">
        <f>IFERROR(__xludf.DUMMYFUNCTION("""COMPUTED_VALUE"""),"Yes")</f>
        <v>Yes</v>
      </c>
      <c r="D522" s="14" t="str">
        <f>IFERROR(__xludf.DUMMYFUNCTION("""COMPUTED_VALUE"""),"Active")</f>
        <v>Active</v>
      </c>
      <c r="E522" s="15">
        <f>IFERROR(__xludf.DUMMYFUNCTION("""COMPUTED_VALUE"""),46126.0)</f>
        <v>46126</v>
      </c>
      <c r="F522" s="16"/>
      <c r="G522" s="18">
        <f>IFERROR(__xludf.DUMMYFUNCTION("""COMPUTED_VALUE"""),5.733333333333333)</f>
        <v>5.733333333</v>
      </c>
      <c r="H522" s="15">
        <f>IFERROR(__xludf.DUMMYFUNCTION("""COMPUTED_VALUE"""),46126.0)</f>
        <v>46126</v>
      </c>
      <c r="I522" s="18">
        <f>IFERROR(__xludf.DUMMYFUNCTION("""COMPUTED_VALUE"""),0.0)</f>
        <v>0</v>
      </c>
      <c r="J522" s="22">
        <f>IFERROR(__xludf.DUMMYFUNCTION("""COMPUTED_VALUE"""),76.0)</f>
        <v>76</v>
      </c>
      <c r="K522" s="22">
        <f>IFERROR(__xludf.DUMMYFUNCTION("""COMPUTED_VALUE"""),11.0)</f>
        <v>11</v>
      </c>
      <c r="L522" s="26" t="str">
        <f>IFERROR(__xludf.DUMMYFUNCTION("""COMPUTED_VALUE"""),"Action-Adventure")</f>
        <v>Action-Adventure</v>
      </c>
      <c r="M522" s="13" t="b">
        <f>NOT(ISNA(VLOOKUP(A522,PC!A:A,1,FALSE)))</f>
        <v>1</v>
      </c>
      <c r="N522" s="13" t="b">
        <f>NOT(ISNA(VLOOKUP(A522,'Game Pass Premium'!A:A,1,FALSE)))</f>
        <v>0</v>
      </c>
      <c r="O522" s="13" t="b">
        <f>NOT(ISNA(VLOOKUP(A522,'Game Pass Essential'!A:A,1,FALSE)))</f>
        <v>0</v>
      </c>
    </row>
    <row r="523">
      <c r="A523" s="12" t="str">
        <f>IFERROR(__xludf.DUMMYFUNCTION("""COMPUTED_VALUE"""),"Planet Coaster 2")</f>
        <v>Planet Coaster 2</v>
      </c>
      <c r="B523" s="13" t="str">
        <f>IFERROR(__xludf.DUMMYFUNCTION("""COMPUTED_VALUE"""),"Xbox / PC")</f>
        <v>Xbox / PC</v>
      </c>
      <c r="C523" s="14" t="str">
        <f>IFERROR(__xludf.DUMMYFUNCTION("""COMPUTED_VALUE"""),"Yes")</f>
        <v>Yes</v>
      </c>
      <c r="D523" s="14" t="str">
        <f>IFERROR(__xludf.DUMMYFUNCTION("""COMPUTED_VALUE"""),"Active")</f>
        <v>Active</v>
      </c>
      <c r="E523" s="15">
        <f>IFERROR(__xludf.DUMMYFUNCTION("""COMPUTED_VALUE"""),46121.0)</f>
        <v>46121</v>
      </c>
      <c r="F523" s="16"/>
      <c r="G523" s="18">
        <f>IFERROR(__xludf.DUMMYFUNCTION("""COMPUTED_VALUE"""),5.8999999999999995)</f>
        <v>5.9</v>
      </c>
      <c r="H523" s="15">
        <f>IFERROR(__xludf.DUMMYFUNCTION("""COMPUTED_VALUE"""),45602.0)</f>
        <v>45602</v>
      </c>
      <c r="I523" s="18">
        <f>IFERROR(__xludf.DUMMYFUNCTION("""COMPUTED_VALUE"""),1.425)</f>
        <v>1.425</v>
      </c>
      <c r="J523" s="22">
        <f>IFERROR(__xludf.DUMMYFUNCTION("""COMPUTED_VALUE"""),76.0)</f>
        <v>76</v>
      </c>
      <c r="K523" s="22">
        <f>IFERROR(__xludf.DUMMYFUNCTION("""COMPUTED_VALUE"""),32.0)</f>
        <v>32</v>
      </c>
      <c r="L523" s="26" t="str">
        <f>IFERROR(__xludf.DUMMYFUNCTION("""COMPUTED_VALUE"""),"Simulation")</f>
        <v>Simulation</v>
      </c>
      <c r="M523" s="13" t="b">
        <f>NOT(ISNA(VLOOKUP(A523,PC!A:A,1,FALSE)))</f>
        <v>1</v>
      </c>
      <c r="N523" s="13" t="b">
        <f>NOT(ISNA(VLOOKUP(A523,'Game Pass Premium'!A:A,1,FALSE)))</f>
        <v>1</v>
      </c>
      <c r="O523" s="13" t="b">
        <f>NOT(ISNA(VLOOKUP(A523,'Game Pass Essential'!A:A,1,FALSE)))</f>
        <v>0</v>
      </c>
    </row>
    <row r="524">
      <c r="A524" s="12" t="str">
        <f>IFERROR(__xludf.DUMMYFUNCTION("""COMPUTED_VALUE"""),"Relooted")</f>
        <v>Relooted</v>
      </c>
      <c r="B524" s="13" t="str">
        <f>IFERROR(__xludf.DUMMYFUNCTION("""COMPUTED_VALUE"""),"Xbox / PC")</f>
        <v>Xbox / PC</v>
      </c>
      <c r="C524" s="14" t="str">
        <f>IFERROR(__xludf.DUMMYFUNCTION("""COMPUTED_VALUE"""),"Yes")</f>
        <v>Yes</v>
      </c>
      <c r="D524" s="14" t="str">
        <f>IFERROR(__xludf.DUMMYFUNCTION("""COMPUTED_VALUE"""),"Active")</f>
        <v>Active</v>
      </c>
      <c r="E524" s="15">
        <f>IFERROR(__xludf.DUMMYFUNCTION("""COMPUTED_VALUE"""),46063.0)</f>
        <v>46063</v>
      </c>
      <c r="F524" s="16"/>
      <c r="G524" s="18">
        <f>IFERROR(__xludf.DUMMYFUNCTION("""COMPUTED_VALUE"""),7.866666666666667)</f>
        <v>7.866666667</v>
      </c>
      <c r="H524" s="15">
        <f>IFERROR(__xludf.DUMMYFUNCTION("""COMPUTED_VALUE"""),46063.0)</f>
        <v>46063</v>
      </c>
      <c r="I524" s="18">
        <f>IFERROR(__xludf.DUMMYFUNCTION("""COMPUTED_VALUE"""),0.0)</f>
        <v>0</v>
      </c>
      <c r="J524" s="22">
        <f>IFERROR(__xludf.DUMMYFUNCTION("""COMPUTED_VALUE"""),76.0)</f>
        <v>76</v>
      </c>
      <c r="K524" s="22">
        <f>IFERROR(__xludf.DUMMYFUNCTION("""COMPUTED_VALUE"""),6.0)</f>
        <v>6</v>
      </c>
      <c r="L524" s="26" t="str">
        <f>IFERROR(__xludf.DUMMYFUNCTION("""COMPUTED_VALUE"""),"Action-Adventure")</f>
        <v>Action-Adventure</v>
      </c>
      <c r="M524" s="13" t="b">
        <f>NOT(ISNA(VLOOKUP(A524,PC!A:A,1,FALSE)))</f>
        <v>1</v>
      </c>
      <c r="N524" s="13" t="b">
        <f>NOT(ISNA(VLOOKUP(A524,'Game Pass Premium'!A:A,1,FALSE)))</f>
        <v>1</v>
      </c>
      <c r="O524" s="13" t="b">
        <f>NOT(ISNA(VLOOKUP(A524,'Game Pass Essential'!A:A,1,FALSE)))</f>
        <v>0</v>
      </c>
    </row>
    <row r="525">
      <c r="A525" s="12" t="str">
        <f>IFERROR(__xludf.DUMMYFUNCTION("""COMPUTED_VALUE"""),"The Crew Motorfest")</f>
        <v>The Crew Motorfest</v>
      </c>
      <c r="B525" s="13" t="str">
        <f>IFERROR(__xludf.DUMMYFUNCTION("""COMPUTED_VALUE"""),"Xbox / PC")</f>
        <v>Xbox / PC</v>
      </c>
      <c r="C525" s="14" t="str">
        <f>IFERROR(__xludf.DUMMYFUNCTION("""COMPUTED_VALUE"""),"Yes")</f>
        <v>Yes</v>
      </c>
      <c r="D525" s="14" t="str">
        <f>IFERROR(__xludf.DUMMYFUNCTION("""COMPUTED_VALUE"""),"Active")</f>
        <v>Active</v>
      </c>
      <c r="E525" s="15">
        <f>IFERROR(__xludf.DUMMYFUNCTION("""COMPUTED_VALUE"""),45981.0)</f>
        <v>45981</v>
      </c>
      <c r="F525" s="16"/>
      <c r="G525" s="18">
        <f>IFERROR(__xludf.DUMMYFUNCTION("""COMPUTED_VALUE"""),10.533333333333333)</f>
        <v>10.53333333</v>
      </c>
      <c r="H525" s="15">
        <f>IFERROR(__xludf.DUMMYFUNCTION("""COMPUTED_VALUE"""),45183.0)</f>
        <v>45183</v>
      </c>
      <c r="I525" s="18">
        <f>IFERROR(__xludf.DUMMYFUNCTION("""COMPUTED_VALUE"""),2.183333333333333)</f>
        <v>2.183333333</v>
      </c>
      <c r="J525" s="22">
        <f>IFERROR(__xludf.DUMMYFUNCTION("""COMPUTED_VALUE"""),76.0)</f>
        <v>76</v>
      </c>
      <c r="K525" s="22">
        <f>IFERROR(__xludf.DUMMYFUNCTION("""COMPUTED_VALUE"""),21.0)</f>
        <v>21</v>
      </c>
      <c r="L525" s="26" t="str">
        <f>IFERROR(__xludf.DUMMYFUNCTION("""COMPUTED_VALUE"""),"Racing")</f>
        <v>Racing</v>
      </c>
      <c r="M525" s="13" t="b">
        <f>NOT(ISNA(VLOOKUP(A525,PC!A:A,1,FALSE)))</f>
        <v>1</v>
      </c>
      <c r="N525" s="13" t="b">
        <f>NOT(ISNA(VLOOKUP(A525,'Game Pass Premium'!A:A,1,FALSE)))</f>
        <v>0</v>
      </c>
      <c r="O525" s="13" t="b">
        <f>NOT(ISNA(VLOOKUP(A525,'Game Pass Essential'!A:A,1,FALSE)))</f>
        <v>0</v>
      </c>
    </row>
    <row r="526">
      <c r="A526" s="12" t="str">
        <f>IFERROR(__xludf.DUMMYFUNCTION("""COMPUTED_VALUE"""),"Assassin's Creed Syndicate")</f>
        <v>Assassin's Creed Syndicate</v>
      </c>
      <c r="B526" s="13" t="str">
        <f>IFERROR(__xludf.DUMMYFUNCTION("""COMPUTED_VALUE"""),"Xbox / PC")</f>
        <v>Xbox / PC</v>
      </c>
      <c r="C526" s="14" t="str">
        <f>IFERROR(__xludf.DUMMYFUNCTION("""COMPUTED_VALUE"""),"Yes")</f>
        <v>Yes</v>
      </c>
      <c r="D526" s="14" t="str">
        <f>IFERROR(__xludf.DUMMYFUNCTION("""COMPUTED_VALUE"""),"Active")</f>
        <v>Active</v>
      </c>
      <c r="E526" s="15">
        <f>IFERROR(__xludf.DUMMYFUNCTION("""COMPUTED_VALUE"""),45931.0)</f>
        <v>45931</v>
      </c>
      <c r="F526" s="16"/>
      <c r="G526" s="18">
        <f>IFERROR(__xludf.DUMMYFUNCTION("""COMPUTED_VALUE"""),12.166666666666666)</f>
        <v>12.16666667</v>
      </c>
      <c r="H526" s="15">
        <f>IFERROR(__xludf.DUMMYFUNCTION("""COMPUTED_VALUE"""),42300.0)</f>
        <v>42300</v>
      </c>
      <c r="I526" s="18">
        <f>IFERROR(__xludf.DUMMYFUNCTION("""COMPUTED_VALUE"""),9.938888888888888)</f>
        <v>9.938888889</v>
      </c>
      <c r="J526" s="22">
        <f>IFERROR(__xludf.DUMMYFUNCTION("""COMPUTED_VALUE"""),76.0)</f>
        <v>76</v>
      </c>
      <c r="K526" s="22">
        <f>IFERROR(__xludf.DUMMYFUNCTION("""COMPUTED_VALUE"""),19.0)</f>
        <v>19</v>
      </c>
      <c r="L526" s="26" t="str">
        <f>IFERROR(__xludf.DUMMYFUNCTION("""COMPUTED_VALUE"""),"Action-Adventure")</f>
        <v>Action-Adventure</v>
      </c>
      <c r="M526" s="13" t="b">
        <f>NOT(ISNA(VLOOKUP(A526,PC!A:A,1,FALSE)))</f>
        <v>1</v>
      </c>
      <c r="N526" s="13" t="b">
        <f>NOT(ISNA(VLOOKUP(A526,'Game Pass Premium'!A:A,1,FALSE)))</f>
        <v>0</v>
      </c>
      <c r="O526" s="13" t="b">
        <f>NOT(ISNA(VLOOKUP(A526,'Game Pass Essential'!A:A,1,FALSE)))</f>
        <v>0</v>
      </c>
    </row>
    <row r="527">
      <c r="A527" s="12" t="str">
        <f>IFERROR(__xludf.DUMMYFUNCTION("""COMPUTED_VALUE"""),"Far Cry Primal")</f>
        <v>Far Cry Primal</v>
      </c>
      <c r="B527" s="13" t="str">
        <f>IFERROR(__xludf.DUMMYFUNCTION("""COMPUTED_VALUE"""),"Xbox / PC")</f>
        <v>Xbox / PC</v>
      </c>
      <c r="C527" s="14" t="str">
        <f>IFERROR(__xludf.DUMMYFUNCTION("""COMPUTED_VALUE"""),"Yes")</f>
        <v>Yes</v>
      </c>
      <c r="D527" s="14" t="str">
        <f>IFERROR(__xludf.DUMMYFUNCTION("""COMPUTED_VALUE"""),"Active")</f>
        <v>Active</v>
      </c>
      <c r="E527" s="15">
        <f>IFERROR(__xludf.DUMMYFUNCTION("""COMPUTED_VALUE"""),45931.0)</f>
        <v>45931</v>
      </c>
      <c r="F527" s="16"/>
      <c r="G527" s="18">
        <f>IFERROR(__xludf.DUMMYFUNCTION("""COMPUTED_VALUE"""),12.166666666666666)</f>
        <v>12.16666667</v>
      </c>
      <c r="H527" s="15">
        <f>IFERROR(__xludf.DUMMYFUNCTION("""COMPUTED_VALUE"""),42423.0)</f>
        <v>42423</v>
      </c>
      <c r="I527" s="18">
        <f>IFERROR(__xludf.DUMMYFUNCTION("""COMPUTED_VALUE"""),9.605555555555556)</f>
        <v>9.605555556</v>
      </c>
      <c r="J527" s="22">
        <f>IFERROR(__xludf.DUMMYFUNCTION("""COMPUTED_VALUE"""),76.0)</f>
        <v>76</v>
      </c>
      <c r="K527" s="22">
        <f>IFERROR(__xludf.DUMMYFUNCTION("""COMPUTED_VALUE"""),15.0)</f>
        <v>15</v>
      </c>
      <c r="L527" s="26" t="str">
        <f>IFERROR(__xludf.DUMMYFUNCTION("""COMPUTED_VALUE"""),"Action-Adventure")</f>
        <v>Action-Adventure</v>
      </c>
      <c r="M527" s="13" t="b">
        <f>NOT(ISNA(VLOOKUP(A527,PC!A:A,1,FALSE)))</f>
        <v>1</v>
      </c>
      <c r="N527" s="13" t="b">
        <f>NOT(ISNA(VLOOKUP(A527,'Game Pass Premium'!A:A,1,FALSE)))</f>
        <v>0</v>
      </c>
      <c r="O527" s="13" t="b">
        <f>NOT(ISNA(VLOOKUP(A527,'Game Pass Essential'!A:A,1,FALSE)))</f>
        <v>0</v>
      </c>
    </row>
    <row r="528">
      <c r="A528" s="12" t="str">
        <f>IFERROR(__xludf.DUMMYFUNCTION("""COMPUTED_VALUE"""),"Shootin' Gallery")</f>
        <v>Shootin' Gallery</v>
      </c>
      <c r="B528" s="13" t="str">
        <f>IFERROR(__xludf.DUMMYFUNCTION("""COMPUTED_VALUE"""),"Xbox / PC")</f>
        <v>Xbox / PC</v>
      </c>
      <c r="C528" s="14" t="str">
        <f>IFERROR(__xludf.DUMMYFUNCTION("""COMPUTED_VALUE"""),"Yes")</f>
        <v>Yes</v>
      </c>
      <c r="D528" s="14" t="str">
        <f>IFERROR(__xludf.DUMMYFUNCTION("""COMPUTED_VALUE"""),"Active")</f>
        <v>Active</v>
      </c>
      <c r="E528" s="15">
        <f>IFERROR(__xludf.DUMMYFUNCTION("""COMPUTED_VALUE"""),45883.0)</f>
        <v>45883</v>
      </c>
      <c r="F528" s="16"/>
      <c r="G528" s="18">
        <f>IFERROR(__xludf.DUMMYFUNCTION("""COMPUTED_VALUE"""),13.733333333333333)</f>
        <v>13.73333333</v>
      </c>
      <c r="H528" s="15">
        <f>IFERROR(__xludf.DUMMYFUNCTION("""COMPUTED_VALUE"""),30376.0)</f>
        <v>30376</v>
      </c>
      <c r="I528" s="18">
        <f>IFERROR(__xludf.DUMMYFUNCTION("""COMPUTED_VALUE"""),42.452777777777776)</f>
        <v>42.45277778</v>
      </c>
      <c r="J528" s="22">
        <f>IFERROR(__xludf.DUMMYFUNCTION("""COMPUTED_VALUE"""),76.0)</f>
        <v>76</v>
      </c>
      <c r="K528" s="22"/>
      <c r="L528" s="26" t="str">
        <f>IFERROR(__xludf.DUMMYFUNCTION("""COMPUTED_VALUE"""),"Shooter")</f>
        <v>Shooter</v>
      </c>
      <c r="M528" s="13" t="b">
        <f>NOT(ISNA(VLOOKUP(A528,PC!A:A,1,FALSE)))</f>
        <v>1</v>
      </c>
      <c r="N528" s="13" t="b">
        <f>NOT(ISNA(VLOOKUP(A528,'Game Pass Premium'!A:A,1,FALSE)))</f>
        <v>1</v>
      </c>
      <c r="O528" s="13" t="b">
        <f>NOT(ISNA(VLOOKUP(A528,'Game Pass Essential'!A:A,1,FALSE)))</f>
        <v>0</v>
      </c>
    </row>
    <row r="529">
      <c r="A529" s="12" t="str">
        <f>IFERROR(__xludf.DUMMYFUNCTION("""COMPUTED_VALUE"""),"Assassin's Creed Mirage")</f>
        <v>Assassin's Creed Mirage</v>
      </c>
      <c r="B529" s="13" t="str">
        <f>IFERROR(__xludf.DUMMYFUNCTION("""COMPUTED_VALUE"""),"Xbox / PC")</f>
        <v>Xbox / PC</v>
      </c>
      <c r="C529" s="14" t="str">
        <f>IFERROR(__xludf.DUMMYFUNCTION("""COMPUTED_VALUE"""),"Yes")</f>
        <v>Yes</v>
      </c>
      <c r="D529" s="14" t="str">
        <f>IFERROR(__xludf.DUMMYFUNCTION("""COMPUTED_VALUE"""),"Active")</f>
        <v>Active</v>
      </c>
      <c r="E529" s="15">
        <f>IFERROR(__xludf.DUMMYFUNCTION("""COMPUTED_VALUE"""),45876.0)</f>
        <v>45876</v>
      </c>
      <c r="F529" s="16"/>
      <c r="G529" s="18">
        <f>IFERROR(__xludf.DUMMYFUNCTION("""COMPUTED_VALUE"""),13.966666666666669)</f>
        <v>13.96666667</v>
      </c>
      <c r="H529" s="15">
        <f>IFERROR(__xludf.DUMMYFUNCTION("""COMPUTED_VALUE"""),45204.0)</f>
        <v>45204</v>
      </c>
      <c r="I529" s="18">
        <f>IFERROR(__xludf.DUMMYFUNCTION("""COMPUTED_VALUE"""),1.8388888888888888)</f>
        <v>1.838888889</v>
      </c>
      <c r="J529" s="22">
        <f>IFERROR(__xludf.DUMMYFUNCTION("""COMPUTED_VALUE"""),76.0)</f>
        <v>76</v>
      </c>
      <c r="K529" s="22">
        <f>IFERROR(__xludf.DUMMYFUNCTION("""COMPUTED_VALUE"""),16.0)</f>
        <v>16</v>
      </c>
      <c r="L529" s="26" t="str">
        <f>IFERROR(__xludf.DUMMYFUNCTION("""COMPUTED_VALUE"""),"RPG")</f>
        <v>RPG</v>
      </c>
      <c r="M529" s="13" t="b">
        <f>NOT(ISNA(VLOOKUP(A529,PC!A:A,1,FALSE)))</f>
        <v>1</v>
      </c>
      <c r="N529" s="13" t="b">
        <f>NOT(ISNA(VLOOKUP(A529,'Game Pass Premium'!A:A,1,FALSE)))</f>
        <v>0</v>
      </c>
      <c r="O529" s="13" t="b">
        <f>NOT(ISNA(VLOOKUP(A529,'Game Pass Essential'!A:A,1,FALSE)))</f>
        <v>0</v>
      </c>
    </row>
    <row r="530">
      <c r="A530" s="12" t="str">
        <f>IFERROR(__xludf.DUMMYFUNCTION("""COMPUTED_VALUE"""),"EA Sports FC 25")</f>
        <v>EA Sports FC 25</v>
      </c>
      <c r="B530" s="13" t="str">
        <f>IFERROR(__xludf.DUMMYFUNCTION("""COMPUTED_VALUE"""),"Xbox / PC")</f>
        <v>Xbox / PC</v>
      </c>
      <c r="C530" s="14" t="str">
        <f>IFERROR(__xludf.DUMMYFUNCTION("""COMPUTED_VALUE"""),"Yes")</f>
        <v>Yes</v>
      </c>
      <c r="D530" s="14" t="str">
        <f>IFERROR(__xludf.DUMMYFUNCTION("""COMPUTED_VALUE"""),"Active")</f>
        <v>Active</v>
      </c>
      <c r="E530" s="15">
        <f>IFERROR(__xludf.DUMMYFUNCTION("""COMPUTED_VALUE"""),45820.0)</f>
        <v>45820</v>
      </c>
      <c r="F530" s="16"/>
      <c r="G530" s="18">
        <f>IFERROR(__xludf.DUMMYFUNCTION("""COMPUTED_VALUE"""),15.8)</f>
        <v>15.8</v>
      </c>
      <c r="H530" s="15">
        <f>IFERROR(__xludf.DUMMYFUNCTION("""COMPUTED_VALUE"""),45562.0)</f>
        <v>45562</v>
      </c>
      <c r="I530" s="18">
        <f>IFERROR(__xludf.DUMMYFUNCTION("""COMPUTED_VALUE"""),0.7083333333333334)</f>
        <v>0.7083333333</v>
      </c>
      <c r="J530" s="22">
        <f>IFERROR(__xludf.DUMMYFUNCTION("""COMPUTED_VALUE"""),76.0)</f>
        <v>76</v>
      </c>
      <c r="K530" s="22">
        <f>IFERROR(__xludf.DUMMYFUNCTION("""COMPUTED_VALUE"""),35.0)</f>
        <v>35</v>
      </c>
      <c r="L530" s="26" t="str">
        <f>IFERROR(__xludf.DUMMYFUNCTION("""COMPUTED_VALUE"""),"Sports")</f>
        <v>Sports</v>
      </c>
      <c r="M530" s="13" t="b">
        <f>NOT(ISNA(VLOOKUP(A530,PC!A:A,1,FALSE)))</f>
        <v>1</v>
      </c>
      <c r="N530" s="13" t="b">
        <f>NOT(ISNA(VLOOKUP(A530,'Game Pass Premium'!A:A,1,FALSE)))</f>
        <v>0</v>
      </c>
      <c r="O530" s="13" t="b">
        <f>NOT(ISNA(VLOOKUP(A530,'Game Pass Essential'!A:A,1,FALSE)))</f>
        <v>0</v>
      </c>
    </row>
    <row r="531">
      <c r="A531" s="12" t="str">
        <f>IFERROR(__xludf.DUMMYFUNCTION("""COMPUTED_VALUE"""),"Tales of Kenzera: ZAU")</f>
        <v>Tales of Kenzera: ZAU</v>
      </c>
      <c r="B531" s="13" t="str">
        <f>IFERROR(__xludf.DUMMYFUNCTION("""COMPUTED_VALUE"""),"Xbox / PC")</f>
        <v>Xbox / PC</v>
      </c>
      <c r="C531" s="14" t="str">
        <f>IFERROR(__xludf.DUMMYFUNCTION("""COMPUTED_VALUE"""),"Yes")</f>
        <v>Yes</v>
      </c>
      <c r="D531" s="14" t="str">
        <f>IFERROR(__xludf.DUMMYFUNCTION("""COMPUTED_VALUE"""),"Active")</f>
        <v>Active</v>
      </c>
      <c r="E531" s="15">
        <f>IFERROR(__xludf.DUMMYFUNCTION("""COMPUTED_VALUE"""),45799.0)</f>
        <v>45799</v>
      </c>
      <c r="F531" s="16"/>
      <c r="G531" s="18">
        <f>IFERROR(__xludf.DUMMYFUNCTION("""COMPUTED_VALUE"""),16.46666666666667)</f>
        <v>16.46666667</v>
      </c>
      <c r="H531" s="15">
        <f>IFERROR(__xludf.DUMMYFUNCTION("""COMPUTED_VALUE"""),45405.0)</f>
        <v>45405</v>
      </c>
      <c r="I531" s="18">
        <f>IFERROR(__xludf.DUMMYFUNCTION("""COMPUTED_VALUE"""),1.0805555555555555)</f>
        <v>1.080555556</v>
      </c>
      <c r="J531" s="22">
        <f>IFERROR(__xludf.DUMMYFUNCTION("""COMPUTED_VALUE"""),76.0)</f>
        <v>76</v>
      </c>
      <c r="K531" s="22">
        <f>IFERROR(__xludf.DUMMYFUNCTION("""COMPUTED_VALUE"""),8.0)</f>
        <v>8</v>
      </c>
      <c r="L531" s="26" t="str">
        <f>IFERROR(__xludf.DUMMYFUNCTION("""COMPUTED_VALUE"""),"Metroidvania ")</f>
        <v>Metroidvania </v>
      </c>
      <c r="M531" s="13" t="b">
        <f>NOT(ISNA(VLOOKUP(A531,PC!A:A,1,FALSE)))</f>
        <v>1</v>
      </c>
      <c r="N531" s="13" t="b">
        <f>NOT(ISNA(VLOOKUP(A531,'Game Pass Premium'!A:A,1,FALSE)))</f>
        <v>0</v>
      </c>
      <c r="O531" s="13" t="b">
        <f>NOT(ISNA(VLOOKUP(A531,'Game Pass Essential'!A:A,1,FALSE)))</f>
        <v>0</v>
      </c>
    </row>
    <row r="532">
      <c r="A532" s="12" t="str">
        <f>IFERROR(__xludf.DUMMYFUNCTION("""COMPUTED_VALUE"""),"Beamrider")</f>
        <v>Beamrider</v>
      </c>
      <c r="B532" s="13" t="str">
        <f>IFERROR(__xludf.DUMMYFUNCTION("""COMPUTED_VALUE"""),"Xbox / PC")</f>
        <v>Xbox / PC</v>
      </c>
      <c r="C532" s="14" t="str">
        <f>IFERROR(__xludf.DUMMYFUNCTION("""COMPUTED_VALUE"""),"Yes")</f>
        <v>Yes</v>
      </c>
      <c r="D532" s="14" t="str">
        <f>IFERROR(__xludf.DUMMYFUNCTION("""COMPUTED_VALUE"""),"Active")</f>
        <v>Active</v>
      </c>
      <c r="E532" s="15">
        <f>IFERROR(__xludf.DUMMYFUNCTION("""COMPUTED_VALUE"""),45798.0)</f>
        <v>45798</v>
      </c>
      <c r="F532" s="16"/>
      <c r="G532" s="18">
        <f>IFERROR(__xludf.DUMMYFUNCTION("""COMPUTED_VALUE"""),16.5)</f>
        <v>16.5</v>
      </c>
      <c r="H532" s="15">
        <f>IFERROR(__xludf.DUMMYFUNCTION("""COMPUTED_VALUE"""),30705.0)</f>
        <v>30705</v>
      </c>
      <c r="I532" s="18">
        <f>IFERROR(__xludf.DUMMYFUNCTION("""COMPUTED_VALUE"""),41.325)</f>
        <v>41.325</v>
      </c>
      <c r="J532" s="22">
        <f>IFERROR(__xludf.DUMMYFUNCTION("""COMPUTED_VALUE"""),76.0)</f>
        <v>76</v>
      </c>
      <c r="K532" s="22"/>
      <c r="L532" s="26" t="str">
        <f>IFERROR(__xludf.DUMMYFUNCTION("""COMPUTED_VALUE"""),"Shooter")</f>
        <v>Shooter</v>
      </c>
      <c r="M532" s="13" t="b">
        <f>NOT(ISNA(VLOOKUP(A532,PC!A:A,1,FALSE)))</f>
        <v>1</v>
      </c>
      <c r="N532" s="13" t="b">
        <f>NOT(ISNA(VLOOKUP(A532,'Game Pass Premium'!A:A,1,FALSE)))</f>
        <v>1</v>
      </c>
      <c r="O532" s="13" t="b">
        <f>NOT(ISNA(VLOOKUP(A532,'Game Pass Essential'!A:A,1,FALSE)))</f>
        <v>0</v>
      </c>
    </row>
    <row r="533">
      <c r="A533" s="12" t="str">
        <f>IFERROR(__xludf.DUMMYFUNCTION("""COMPUTED_VALUE"""),"Chopper Command")</f>
        <v>Chopper Command</v>
      </c>
      <c r="B533" s="13" t="str">
        <f>IFERROR(__xludf.DUMMYFUNCTION("""COMPUTED_VALUE"""),"Xbox / PC")</f>
        <v>Xbox / PC</v>
      </c>
      <c r="C533" s="14" t="str">
        <f>IFERROR(__xludf.DUMMYFUNCTION("""COMPUTED_VALUE"""),"Yes")</f>
        <v>Yes</v>
      </c>
      <c r="D533" s="14" t="str">
        <f>IFERROR(__xludf.DUMMYFUNCTION("""COMPUTED_VALUE"""),"Active")</f>
        <v>Active</v>
      </c>
      <c r="E533" s="15">
        <f>IFERROR(__xludf.DUMMYFUNCTION("""COMPUTED_VALUE"""),45798.0)</f>
        <v>45798</v>
      </c>
      <c r="F533" s="16"/>
      <c r="G533" s="18">
        <f>IFERROR(__xludf.DUMMYFUNCTION("""COMPUTED_VALUE"""),16.5)</f>
        <v>16.5</v>
      </c>
      <c r="H533" s="15">
        <f>IFERROR(__xludf.DUMMYFUNCTION("""COMPUTED_VALUE"""),30072.0)</f>
        <v>30072</v>
      </c>
      <c r="I533" s="18">
        <f>IFERROR(__xludf.DUMMYFUNCTION("""COMPUTED_VALUE"""),43.05555555555556)</f>
        <v>43.05555556</v>
      </c>
      <c r="J533" s="22">
        <f>IFERROR(__xludf.DUMMYFUNCTION("""COMPUTED_VALUE"""),76.0)</f>
        <v>76</v>
      </c>
      <c r="K533" s="22"/>
      <c r="L533" s="26" t="str">
        <f>IFERROR(__xludf.DUMMYFUNCTION("""COMPUTED_VALUE"""),"Shooter")</f>
        <v>Shooter</v>
      </c>
      <c r="M533" s="13" t="b">
        <f>NOT(ISNA(VLOOKUP(A533,PC!A:A,1,FALSE)))</f>
        <v>1</v>
      </c>
      <c r="N533" s="13" t="b">
        <f>NOT(ISNA(VLOOKUP(A533,'Game Pass Premium'!A:A,1,FALSE)))</f>
        <v>1</v>
      </c>
      <c r="O533" s="13" t="b">
        <f>NOT(ISNA(VLOOKUP(A533,'Game Pass Essential'!A:A,1,FALSE)))</f>
        <v>0</v>
      </c>
    </row>
    <row r="534">
      <c r="A534" s="12" t="str">
        <f>IFERROR(__xludf.DUMMYFUNCTION("""COMPUTED_VALUE"""),"Enduro")</f>
        <v>Enduro</v>
      </c>
      <c r="B534" s="13" t="str">
        <f>IFERROR(__xludf.DUMMYFUNCTION("""COMPUTED_VALUE"""),"Xbox / PC")</f>
        <v>Xbox / PC</v>
      </c>
      <c r="C534" s="14" t="str">
        <f>IFERROR(__xludf.DUMMYFUNCTION("""COMPUTED_VALUE"""),"Yes")</f>
        <v>Yes</v>
      </c>
      <c r="D534" s="14" t="str">
        <f>IFERROR(__xludf.DUMMYFUNCTION("""COMPUTED_VALUE"""),"Active")</f>
        <v>Active</v>
      </c>
      <c r="E534" s="15">
        <f>IFERROR(__xludf.DUMMYFUNCTION("""COMPUTED_VALUE"""),45798.0)</f>
        <v>45798</v>
      </c>
      <c r="F534" s="16"/>
      <c r="G534" s="18">
        <f>IFERROR(__xludf.DUMMYFUNCTION("""COMPUTED_VALUE"""),16.5)</f>
        <v>16.5</v>
      </c>
      <c r="H534" s="15">
        <f>IFERROR(__xludf.DUMMYFUNCTION("""COMPUTED_VALUE"""),30348.0)</f>
        <v>30348</v>
      </c>
      <c r="I534" s="18">
        <f>IFERROR(__xludf.DUMMYFUNCTION("""COMPUTED_VALUE"""),42.30555555555556)</f>
        <v>42.30555556</v>
      </c>
      <c r="J534" s="22">
        <f>IFERROR(__xludf.DUMMYFUNCTION("""COMPUTED_VALUE"""),76.0)</f>
        <v>76</v>
      </c>
      <c r="K534" s="22">
        <f>IFERROR(__xludf.DUMMYFUNCTION("""COMPUTED_VALUE"""),1.0)</f>
        <v>1</v>
      </c>
      <c r="L534" s="26" t="str">
        <f>IFERROR(__xludf.DUMMYFUNCTION("""COMPUTED_VALUE"""),"Racing")</f>
        <v>Racing</v>
      </c>
      <c r="M534" s="13" t="b">
        <f>NOT(ISNA(VLOOKUP(A534,PC!A:A,1,FALSE)))</f>
        <v>1</v>
      </c>
      <c r="N534" s="13" t="b">
        <f>NOT(ISNA(VLOOKUP(A534,'Game Pass Premium'!A:A,1,FALSE)))</f>
        <v>1</v>
      </c>
      <c r="O534" s="13" t="b">
        <f>NOT(ISNA(VLOOKUP(A534,'Game Pass Essential'!A:A,1,FALSE)))</f>
        <v>0</v>
      </c>
    </row>
    <row r="535">
      <c r="A535" s="12" t="str">
        <f>IFERROR(__xludf.DUMMYFUNCTION("""COMPUTED_VALUE"""),"Watch Dogs: Legion")</f>
        <v>Watch Dogs: Legion</v>
      </c>
      <c r="B535" s="13" t="str">
        <f>IFERROR(__xludf.DUMMYFUNCTION("""COMPUTED_VALUE"""),"Xbox / PC")</f>
        <v>Xbox / PC</v>
      </c>
      <c r="C535" s="14" t="str">
        <f>IFERROR(__xludf.DUMMYFUNCTION("""COMPUTED_VALUE"""),"Yes")</f>
        <v>Yes</v>
      </c>
      <c r="D535" s="14" t="str">
        <f>IFERROR(__xludf.DUMMYFUNCTION("""COMPUTED_VALUE"""),"Active")</f>
        <v>Active</v>
      </c>
      <c r="E535" s="15">
        <f>IFERROR(__xludf.DUMMYFUNCTION("""COMPUTED_VALUE"""),45713.0)</f>
        <v>45713</v>
      </c>
      <c r="F535" s="16"/>
      <c r="G535" s="18">
        <f>IFERROR(__xludf.DUMMYFUNCTION("""COMPUTED_VALUE"""),19.366666666666667)</f>
        <v>19.36666667</v>
      </c>
      <c r="H535" s="15">
        <f>IFERROR(__xludf.DUMMYFUNCTION("""COMPUTED_VALUE"""),44133.0)</f>
        <v>44133</v>
      </c>
      <c r="I535" s="18">
        <f>IFERROR(__xludf.DUMMYFUNCTION("""COMPUTED_VALUE"""),4.322222222222222)</f>
        <v>4.322222222</v>
      </c>
      <c r="J535" s="22">
        <f>IFERROR(__xludf.DUMMYFUNCTION("""COMPUTED_VALUE"""),76.0)</f>
        <v>76</v>
      </c>
      <c r="K535" s="22">
        <f>IFERROR(__xludf.DUMMYFUNCTION("""COMPUTED_VALUE"""),18.0)</f>
        <v>18</v>
      </c>
      <c r="L535" s="26" t="str">
        <f>IFERROR(__xludf.DUMMYFUNCTION("""COMPUTED_VALUE"""),"Action-Adventure")</f>
        <v>Action-Adventure</v>
      </c>
      <c r="M535" s="13" t="b">
        <f>NOT(ISNA(VLOOKUP(A535,PC!A:A,1,FALSE)))</f>
        <v>1</v>
      </c>
      <c r="N535" s="13" t="b">
        <f>NOT(ISNA(VLOOKUP(A535,'Game Pass Premium'!A:A,1,FALSE)))</f>
        <v>1</v>
      </c>
      <c r="O535" s="13" t="b">
        <f>NOT(ISNA(VLOOKUP(A535,'Game Pass Essential'!A:A,1,FALSE)))</f>
        <v>0</v>
      </c>
    </row>
    <row r="536">
      <c r="A536" s="12" t="str">
        <f>IFERROR(__xludf.DUMMYFUNCTION("""COMPUTED_VALUE"""),"For The King II")</f>
        <v>For The King II</v>
      </c>
      <c r="B536" s="13" t="str">
        <f>IFERROR(__xludf.DUMMYFUNCTION("""COMPUTED_VALUE"""),"Xbox / PC")</f>
        <v>Xbox / PC</v>
      </c>
      <c r="C536" s="14" t="str">
        <f>IFERROR(__xludf.DUMMYFUNCTION("""COMPUTED_VALUE"""),"Yes")</f>
        <v>Yes</v>
      </c>
      <c r="D536" s="14" t="str">
        <f>IFERROR(__xludf.DUMMYFUNCTION("""COMPUTED_VALUE"""),"Active")</f>
        <v>Active</v>
      </c>
      <c r="E536" s="15">
        <f>IFERROR(__xludf.DUMMYFUNCTION("""COMPUTED_VALUE"""),45638.0)</f>
        <v>45638</v>
      </c>
      <c r="F536" s="16"/>
      <c r="G536" s="18">
        <f>IFERROR(__xludf.DUMMYFUNCTION("""COMPUTED_VALUE"""),21.8)</f>
        <v>21.8</v>
      </c>
      <c r="H536" s="15">
        <f>IFERROR(__xludf.DUMMYFUNCTION("""COMPUTED_VALUE"""),45232.0)</f>
        <v>45232</v>
      </c>
      <c r="I536" s="18">
        <f>IFERROR(__xludf.DUMMYFUNCTION("""COMPUTED_VALUE"""),1.1111111111111112)</f>
        <v>1.111111111</v>
      </c>
      <c r="J536" s="22">
        <f>IFERROR(__xludf.DUMMYFUNCTION("""COMPUTED_VALUE"""),76.0)</f>
        <v>76</v>
      </c>
      <c r="K536" s="22">
        <f>IFERROR(__xludf.DUMMYFUNCTION("""COMPUTED_VALUE"""),15.0)</f>
        <v>15</v>
      </c>
      <c r="L536" s="26" t="str">
        <f>IFERROR(__xludf.DUMMYFUNCTION("""COMPUTED_VALUE"""),"Roguelike")</f>
        <v>Roguelike</v>
      </c>
      <c r="M536" s="13" t="b">
        <f>NOT(ISNA(VLOOKUP(A536,PC!A:A,1,FALSE)))</f>
        <v>1</v>
      </c>
      <c r="N536" s="13" t="b">
        <f>NOT(ISNA(VLOOKUP(A536,'Game Pass Premium'!A:A,1,FALSE)))</f>
        <v>1</v>
      </c>
      <c r="O536" s="13" t="b">
        <f>NOT(ISNA(VLOOKUP(A536,'Game Pass Essential'!A:A,1,FALSE)))</f>
        <v>0</v>
      </c>
    </row>
    <row r="537">
      <c r="A537" s="12" t="str">
        <f>IFERROR(__xludf.DUMMYFUNCTION("""COMPUTED_VALUE"""),"Trials of Mana (2020)")</f>
        <v>Trials of Mana (2020)</v>
      </c>
      <c r="B537" s="13" t="str">
        <f>IFERROR(__xludf.DUMMYFUNCTION("""COMPUTED_VALUE"""),"Xbox / PC")</f>
        <v>Xbox / PC</v>
      </c>
      <c r="C537" s="14" t="str">
        <f>IFERROR(__xludf.DUMMYFUNCTION("""COMPUTED_VALUE"""),"Yes")</f>
        <v>Yes</v>
      </c>
      <c r="D537" s="14" t="str">
        <f>IFERROR(__xludf.DUMMYFUNCTION("""COMPUTED_VALUE"""),"Active")</f>
        <v>Active</v>
      </c>
      <c r="E537" s="15">
        <f>IFERROR(__xludf.DUMMYFUNCTION("""COMPUTED_VALUE"""),45561.0)</f>
        <v>45561</v>
      </c>
      <c r="F537" s="16"/>
      <c r="G537" s="18">
        <f>IFERROR(__xludf.DUMMYFUNCTION("""COMPUTED_VALUE"""),24.333333333333332)</f>
        <v>24.33333333</v>
      </c>
      <c r="H537" s="15">
        <f>IFERROR(__xludf.DUMMYFUNCTION("""COMPUTED_VALUE"""),43945.0)</f>
        <v>43945</v>
      </c>
      <c r="I537" s="18">
        <f>IFERROR(__xludf.DUMMYFUNCTION("""COMPUTED_VALUE"""),4.4222222222222225)</f>
        <v>4.422222222</v>
      </c>
      <c r="J537" s="22">
        <f>IFERROR(__xludf.DUMMYFUNCTION("""COMPUTED_VALUE"""),76.0)</f>
        <v>76</v>
      </c>
      <c r="K537" s="22">
        <f>IFERROR(__xludf.DUMMYFUNCTION("""COMPUTED_VALUE"""),21.0)</f>
        <v>21</v>
      </c>
      <c r="L537" s="26" t="str">
        <f>IFERROR(__xludf.DUMMYFUNCTION("""COMPUTED_VALUE"""),"RPG")</f>
        <v>RPG</v>
      </c>
      <c r="M537" s="13" t="b">
        <f>NOT(ISNA(VLOOKUP(A537,PC!A:A,1,FALSE)))</f>
        <v>1</v>
      </c>
      <c r="N537" s="13" t="b">
        <f>NOT(ISNA(VLOOKUP(A537,'Game Pass Premium'!A:A,1,FALSE)))</f>
        <v>1</v>
      </c>
      <c r="O537" s="13" t="b">
        <f>NOT(ISNA(VLOOKUP(A537,'Game Pass Essential'!A:A,1,FALSE)))</f>
        <v>0</v>
      </c>
    </row>
    <row r="538">
      <c r="A538" s="12" t="str">
        <f>IFERROR(__xludf.DUMMYFUNCTION("""COMPUTED_VALUE"""),"EA Sports PGA Tour")</f>
        <v>EA Sports PGA Tour</v>
      </c>
      <c r="B538" s="13" t="str">
        <f>IFERROR(__xludf.DUMMYFUNCTION("""COMPUTED_VALUE"""),"Xbox / PC")</f>
        <v>Xbox / PC</v>
      </c>
      <c r="C538" s="14" t="str">
        <f>IFERROR(__xludf.DUMMYFUNCTION("""COMPUTED_VALUE"""),"Yes")</f>
        <v>Yes</v>
      </c>
      <c r="D538" s="14" t="str">
        <f>IFERROR(__xludf.DUMMYFUNCTION("""COMPUTED_VALUE"""),"Active")</f>
        <v>Active</v>
      </c>
      <c r="E538" s="15">
        <f>IFERROR(__xludf.DUMMYFUNCTION("""COMPUTED_VALUE"""),45386.0)</f>
        <v>45386</v>
      </c>
      <c r="F538" s="16"/>
      <c r="G538" s="18">
        <f>IFERROR(__xludf.DUMMYFUNCTION("""COMPUTED_VALUE"""),30.066666666666666)</f>
        <v>30.06666667</v>
      </c>
      <c r="H538" s="15">
        <f>IFERROR(__xludf.DUMMYFUNCTION("""COMPUTED_VALUE"""),45020.0)</f>
        <v>45020</v>
      </c>
      <c r="I538" s="18">
        <f>IFERROR(__xludf.DUMMYFUNCTION("""COMPUTED_VALUE"""),1.0)</f>
        <v>1</v>
      </c>
      <c r="J538" s="22">
        <f>IFERROR(__xludf.DUMMYFUNCTION("""COMPUTED_VALUE"""),76.0)</f>
        <v>76</v>
      </c>
      <c r="K538" s="22">
        <f>IFERROR(__xludf.DUMMYFUNCTION("""COMPUTED_VALUE"""),31.0)</f>
        <v>31</v>
      </c>
      <c r="L538" s="26" t="str">
        <f>IFERROR(__xludf.DUMMYFUNCTION("""COMPUTED_VALUE"""),"Sports")</f>
        <v>Sports</v>
      </c>
      <c r="M538" s="13" t="b">
        <f>NOT(ISNA(VLOOKUP(A538,PC!A:A,1,FALSE)))</f>
        <v>1</v>
      </c>
      <c r="N538" s="13" t="b">
        <f>NOT(ISNA(VLOOKUP(A538,'Game Pass Premium'!A:A,1,FALSE)))</f>
        <v>1</v>
      </c>
      <c r="O538" s="13" t="b">
        <f>NOT(ISNA(VLOOKUP(A538,'Game Pass Essential'!A:A,1,FALSE)))</f>
        <v>0</v>
      </c>
    </row>
    <row r="539">
      <c r="A539" s="12" t="str">
        <f>IFERROR(__xludf.DUMMYFUNCTION("""COMPUTED_VALUE"""),"Brotato")</f>
        <v>Brotato</v>
      </c>
      <c r="B539" s="13" t="str">
        <f>IFERROR(__xludf.DUMMYFUNCTION("""COMPUTED_VALUE"""),"Xbox / PC")</f>
        <v>Xbox / PC</v>
      </c>
      <c r="C539" s="14" t="str">
        <f>IFERROR(__xludf.DUMMYFUNCTION("""COMPUTED_VALUE"""),"Yes")</f>
        <v>Yes</v>
      </c>
      <c r="D539" s="14" t="str">
        <f>IFERROR(__xludf.DUMMYFUNCTION("""COMPUTED_VALUE"""),"Active")</f>
        <v>Active</v>
      </c>
      <c r="E539" s="15">
        <f>IFERROR(__xludf.DUMMYFUNCTION("""COMPUTED_VALUE"""),45321.0)</f>
        <v>45321</v>
      </c>
      <c r="F539" s="16"/>
      <c r="G539" s="18">
        <f>IFERROR(__xludf.DUMMYFUNCTION("""COMPUTED_VALUE"""),32.199999999999996)</f>
        <v>32.2</v>
      </c>
      <c r="H539" s="15">
        <f>IFERROR(__xludf.DUMMYFUNCTION("""COMPUTED_VALUE"""),44619.0)</f>
        <v>44619</v>
      </c>
      <c r="I539" s="18">
        <f>IFERROR(__xludf.DUMMYFUNCTION("""COMPUTED_VALUE"""),1.925)</f>
        <v>1.925</v>
      </c>
      <c r="J539" s="22">
        <f>IFERROR(__xludf.DUMMYFUNCTION("""COMPUTED_VALUE"""),76.0)</f>
        <v>76</v>
      </c>
      <c r="K539" s="22">
        <f>IFERROR(__xludf.DUMMYFUNCTION("""COMPUTED_VALUE"""),5.0)</f>
        <v>5</v>
      </c>
      <c r="L539" s="26" t="str">
        <f>IFERROR(__xludf.DUMMYFUNCTION("""COMPUTED_VALUE"""),"Action")</f>
        <v>Action</v>
      </c>
      <c r="M539" s="13" t="b">
        <f>NOT(ISNA(VLOOKUP(A539,PC!A:A,1,FALSE)))</f>
        <v>1</v>
      </c>
      <c r="N539" s="13" t="b">
        <f>NOT(ISNA(VLOOKUP(A539,'Game Pass Premium'!A:A,1,FALSE)))</f>
        <v>1</v>
      </c>
      <c r="O539" s="13" t="b">
        <f>NOT(ISNA(VLOOKUP(A539,'Game Pass Essential'!A:A,1,FALSE)))</f>
        <v>0</v>
      </c>
    </row>
    <row r="540">
      <c r="A540" s="12" t="str">
        <f>IFERROR(__xludf.DUMMYFUNCTION("""COMPUTED_VALUE"""),"Ghostwire: Tokyo")</f>
        <v>Ghostwire: Tokyo</v>
      </c>
      <c r="B540" s="13" t="str">
        <f>IFERROR(__xludf.DUMMYFUNCTION("""COMPUTED_VALUE"""),"Xbox / PC")</f>
        <v>Xbox / PC</v>
      </c>
      <c r="C540" s="14" t="str">
        <f>IFERROR(__xludf.DUMMYFUNCTION("""COMPUTED_VALUE"""),"Yes")</f>
        <v>Yes</v>
      </c>
      <c r="D540" s="14" t="str">
        <f>IFERROR(__xludf.DUMMYFUNCTION("""COMPUTED_VALUE"""),"Active")</f>
        <v>Active</v>
      </c>
      <c r="E540" s="15">
        <f>IFERROR(__xludf.DUMMYFUNCTION("""COMPUTED_VALUE"""),45028.0)</f>
        <v>45028</v>
      </c>
      <c r="F540" s="16"/>
      <c r="G540" s="18">
        <f>IFERROR(__xludf.DUMMYFUNCTION("""COMPUTED_VALUE"""),41.8)</f>
        <v>41.8</v>
      </c>
      <c r="H540" s="15">
        <f>IFERROR(__xludf.DUMMYFUNCTION("""COMPUTED_VALUE"""),44645.0)</f>
        <v>44645</v>
      </c>
      <c r="I540" s="18">
        <f>IFERROR(__xludf.DUMMYFUNCTION("""COMPUTED_VALUE"""),1.0472222222222223)</f>
        <v>1.047222222</v>
      </c>
      <c r="J540" s="22">
        <f>IFERROR(__xludf.DUMMYFUNCTION("""COMPUTED_VALUE"""),76.0)</f>
        <v>76</v>
      </c>
      <c r="K540" s="22">
        <f>IFERROR(__xludf.DUMMYFUNCTION("""COMPUTED_VALUE"""),11.0)</f>
        <v>11</v>
      </c>
      <c r="L540" s="26" t="str">
        <f>IFERROR(__xludf.DUMMYFUNCTION("""COMPUTED_VALUE"""),"Action-Adventure")</f>
        <v>Action-Adventure</v>
      </c>
      <c r="M540" s="13" t="b">
        <f>NOT(ISNA(VLOOKUP(A540,PC!A:A,1,FALSE)))</f>
        <v>1</v>
      </c>
      <c r="N540" s="13" t="b">
        <f>NOT(ISNA(VLOOKUP(A540,'Game Pass Premium'!A:A,1,FALSE)))</f>
        <v>1</v>
      </c>
      <c r="O540" s="13" t="b">
        <f>NOT(ISNA(VLOOKUP(A540,'Game Pass Essential'!A:A,1,FALSE)))</f>
        <v>0</v>
      </c>
    </row>
    <row r="541">
      <c r="A541" s="12" t="str">
        <f>IFERROR(__xludf.DUMMYFUNCTION("""COMPUTED_VALUE"""),"Tom Clancy's Ghost Recon: Wildlands")</f>
        <v>Tom Clancy's Ghost Recon: Wildlands</v>
      </c>
      <c r="B541" s="13" t="str">
        <f>IFERROR(__xludf.DUMMYFUNCTION("""COMPUTED_VALUE"""),"Xbox / PC")</f>
        <v>Xbox / PC</v>
      </c>
      <c r="C541" s="14" t="str">
        <f>IFERROR(__xludf.DUMMYFUNCTION("""COMPUTED_VALUE"""),"Yes")</f>
        <v>Yes</v>
      </c>
      <c r="D541" s="14" t="str">
        <f>IFERROR(__xludf.DUMMYFUNCTION("""COMPUTED_VALUE"""),"Active")</f>
        <v>Active</v>
      </c>
      <c r="E541" s="15">
        <f>IFERROR(__xludf.DUMMYFUNCTION("""COMPUTED_VALUE"""),44774.0)</f>
        <v>44774</v>
      </c>
      <c r="F541" s="16"/>
      <c r="G541" s="18">
        <f>IFERROR(__xludf.DUMMYFUNCTION("""COMPUTED_VALUE"""),50.166666666666664)</f>
        <v>50.16666667</v>
      </c>
      <c r="H541" s="15">
        <f>IFERROR(__xludf.DUMMYFUNCTION("""COMPUTED_VALUE"""),42801.0)</f>
        <v>42801</v>
      </c>
      <c r="I541" s="18">
        <f>IFERROR(__xludf.DUMMYFUNCTION("""COMPUTED_VALUE"""),5.4)</f>
        <v>5.4</v>
      </c>
      <c r="J541" s="22">
        <f>IFERROR(__xludf.DUMMYFUNCTION("""COMPUTED_VALUE"""),76.0)</f>
        <v>76</v>
      </c>
      <c r="K541" s="22">
        <f>IFERROR(__xludf.DUMMYFUNCTION("""COMPUTED_VALUE"""),26.5)</f>
        <v>26.5</v>
      </c>
      <c r="L541" s="26" t="str">
        <f>IFERROR(__xludf.DUMMYFUNCTION("""COMPUTED_VALUE"""),"Shooter")</f>
        <v>Shooter</v>
      </c>
      <c r="M541" s="13" t="b">
        <f>NOT(ISNA(VLOOKUP(A541,PC!A:A,1,FALSE)))</f>
        <v>1</v>
      </c>
      <c r="N541" s="13" t="b">
        <f>NOT(ISNA(VLOOKUP(A541,'Game Pass Premium'!A:A,1,FALSE)))</f>
        <v>1</v>
      </c>
      <c r="O541" s="13" t="b">
        <f>NOT(ISNA(VLOOKUP(A541,'Game Pass Essential'!A:A,1,FALSE)))</f>
        <v>0</v>
      </c>
    </row>
    <row r="542">
      <c r="A542" s="12" t="str">
        <f>IFERROR(__xludf.DUMMYFUNCTION("""COMPUTED_VALUE"""),"Need for Speed: Hot Pursuit - Remastered")</f>
        <v>Need for Speed: Hot Pursuit - Remastered</v>
      </c>
      <c r="B542" s="13" t="str">
        <f>IFERROR(__xludf.DUMMYFUNCTION("""COMPUTED_VALUE"""),"Xbox / PC")</f>
        <v>Xbox / PC</v>
      </c>
      <c r="C542" s="14" t="str">
        <f>IFERROR(__xludf.DUMMYFUNCTION("""COMPUTED_VALUE"""),"Touch Controls")</f>
        <v>Touch Controls</v>
      </c>
      <c r="D542" s="14" t="str">
        <f>IFERROR(__xludf.DUMMYFUNCTION("""COMPUTED_VALUE"""),"Active")</f>
        <v>Active</v>
      </c>
      <c r="E542" s="15">
        <f>IFERROR(__xludf.DUMMYFUNCTION("""COMPUTED_VALUE"""),44371.0)</f>
        <v>44371</v>
      </c>
      <c r="F542" s="16"/>
      <c r="G542" s="18">
        <f>IFERROR(__xludf.DUMMYFUNCTION("""COMPUTED_VALUE"""),63.4)</f>
        <v>63.4</v>
      </c>
      <c r="H542" s="15">
        <f>IFERROR(__xludf.DUMMYFUNCTION("""COMPUTED_VALUE"""),44141.0)</f>
        <v>44141</v>
      </c>
      <c r="I542" s="18">
        <f>IFERROR(__xludf.DUMMYFUNCTION("""COMPUTED_VALUE"""),0.6333333333333333)</f>
        <v>0.6333333333</v>
      </c>
      <c r="J542" s="22">
        <f>IFERROR(__xludf.DUMMYFUNCTION("""COMPUTED_VALUE"""),76.0)</f>
        <v>76</v>
      </c>
      <c r="K542" s="22">
        <f>IFERROR(__xludf.DUMMYFUNCTION("""COMPUTED_VALUE"""),15.5)</f>
        <v>15.5</v>
      </c>
      <c r="L542" s="26" t="str">
        <f>IFERROR(__xludf.DUMMYFUNCTION("""COMPUTED_VALUE"""),"Racing")</f>
        <v>Racing</v>
      </c>
      <c r="M542" s="13" t="b">
        <f>NOT(ISNA(VLOOKUP(A542,PC!A:A,1,FALSE)))</f>
        <v>1</v>
      </c>
      <c r="N542" s="13" t="b">
        <f>NOT(ISNA(VLOOKUP(A542,'Game Pass Premium'!A:A,1,FALSE)))</f>
        <v>1</v>
      </c>
      <c r="O542" s="13" t="b">
        <f>NOT(ISNA(VLOOKUP(A542,'Game Pass Essential'!A:A,1,FALSE)))</f>
        <v>0</v>
      </c>
    </row>
    <row r="543">
      <c r="A543" s="12" t="str">
        <f>IFERROR(__xludf.DUMMYFUNCTION("""COMPUTED_VALUE"""),"Dishonored: Definitive Edition")</f>
        <v>Dishonored: Definitive Edition</v>
      </c>
      <c r="B543" s="13" t="str">
        <f>IFERROR(__xludf.DUMMYFUNCTION("""COMPUTED_VALUE"""),"Xbox / PC")</f>
        <v>Xbox / PC</v>
      </c>
      <c r="C543" s="14" t="str">
        <f>IFERROR(__xludf.DUMMYFUNCTION("""COMPUTED_VALUE"""),"Yes")</f>
        <v>Yes</v>
      </c>
      <c r="D543" s="14" t="str">
        <f>IFERROR(__xludf.DUMMYFUNCTION("""COMPUTED_VALUE"""),"Active")</f>
        <v>Active</v>
      </c>
      <c r="E543" s="15">
        <f>IFERROR(__xludf.DUMMYFUNCTION("""COMPUTED_VALUE"""),44267.0)</f>
        <v>44267</v>
      </c>
      <c r="F543" s="16"/>
      <c r="G543" s="18">
        <f>IFERROR(__xludf.DUMMYFUNCTION("""COMPUTED_VALUE"""),66.8)</f>
        <v>66.8</v>
      </c>
      <c r="H543" s="15">
        <f>IFERROR(__xludf.DUMMYFUNCTION("""COMPUTED_VALUE"""),43337.0)</f>
        <v>43337</v>
      </c>
      <c r="I543" s="18">
        <f>IFERROR(__xludf.DUMMYFUNCTION("""COMPUTED_VALUE"""),2.547222222222222)</f>
        <v>2.547222222</v>
      </c>
      <c r="J543" s="22">
        <f>IFERROR(__xludf.DUMMYFUNCTION("""COMPUTED_VALUE"""),76.0)</f>
        <v>76</v>
      </c>
      <c r="K543" s="22">
        <f>IFERROR(__xludf.DUMMYFUNCTION("""COMPUTED_VALUE"""),12.5)</f>
        <v>12.5</v>
      </c>
      <c r="L543" s="26" t="str">
        <f>IFERROR(__xludf.DUMMYFUNCTION("""COMPUTED_VALUE"""),"Shooter")</f>
        <v>Shooter</v>
      </c>
      <c r="M543" s="13" t="b">
        <f>NOT(ISNA(VLOOKUP(A543,PC!A:A,1,FALSE)))</f>
        <v>1</v>
      </c>
      <c r="N543" s="13" t="b">
        <f>NOT(ISNA(VLOOKUP(A543,'Game Pass Premium'!A:A,1,FALSE)))</f>
        <v>1</v>
      </c>
      <c r="O543" s="13" t="b">
        <f>NOT(ISNA(VLOOKUP(A543,'Game Pass Essential'!A:A,1,FALSE)))</f>
        <v>0</v>
      </c>
    </row>
    <row r="544">
      <c r="A544" s="12" t="str">
        <f>IFERROR(__xludf.DUMMYFUNCTION("""COMPUTED_VALUE"""),"Crysis 3")</f>
        <v>Crysis 3</v>
      </c>
      <c r="B544" s="13" t="str">
        <f>IFERROR(__xludf.DUMMYFUNCTION("""COMPUTED_VALUE"""),"Xbox / PC")</f>
        <v>Xbox / PC</v>
      </c>
      <c r="C544" s="14"/>
      <c r="D544" s="14" t="str">
        <f>IFERROR(__xludf.DUMMYFUNCTION("""COMPUTED_VALUE"""),"Active")</f>
        <v>Active</v>
      </c>
      <c r="E544" s="15">
        <f>IFERROR(__xludf.DUMMYFUNCTION("""COMPUTED_VALUE"""),44145.0)</f>
        <v>44145</v>
      </c>
      <c r="F544" s="16"/>
      <c r="G544" s="18">
        <f>IFERROR(__xludf.DUMMYFUNCTION("""COMPUTED_VALUE"""),70.86666666666667)</f>
        <v>70.86666667</v>
      </c>
      <c r="H544" s="15">
        <f>IFERROR(__xludf.DUMMYFUNCTION("""COMPUTED_VALUE"""),41324.0)</f>
        <v>41324</v>
      </c>
      <c r="I544" s="18">
        <f>IFERROR(__xludf.DUMMYFUNCTION("""COMPUTED_VALUE"""),7.725)</f>
        <v>7.725</v>
      </c>
      <c r="J544" s="22">
        <f>IFERROR(__xludf.DUMMYFUNCTION("""COMPUTED_VALUE"""),76.0)</f>
        <v>76</v>
      </c>
      <c r="K544" s="22">
        <f>IFERROR(__xludf.DUMMYFUNCTION("""COMPUTED_VALUE"""),7.0)</f>
        <v>7</v>
      </c>
      <c r="L544" s="26" t="str">
        <f>IFERROR(__xludf.DUMMYFUNCTION("""COMPUTED_VALUE"""),"Shooter")</f>
        <v>Shooter</v>
      </c>
      <c r="M544" s="13" t="b">
        <f>NOT(ISNA(VLOOKUP(A544,PC!A:A,1,FALSE)))</f>
        <v>1</v>
      </c>
      <c r="N544" s="13" t="b">
        <f>NOT(ISNA(VLOOKUP(A544,'Game Pass Premium'!A:A,1,FALSE)))</f>
        <v>1</v>
      </c>
      <c r="O544" s="13" t="b">
        <f>NOT(ISNA(VLOOKUP(A544,'Game Pass Essential'!A:A,1,FALSE)))</f>
        <v>0</v>
      </c>
    </row>
    <row r="545">
      <c r="A545" s="12" t="str">
        <f>IFERROR(__xludf.DUMMYFUNCTION("""COMPUTED_VALUE"""),"Mass Effect: Andromeda - Deluxe Edition")</f>
        <v>Mass Effect: Andromeda - Deluxe Edition</v>
      </c>
      <c r="B545" s="13" t="str">
        <f>IFERROR(__xludf.DUMMYFUNCTION("""COMPUTED_VALUE"""),"Xbox / PC")</f>
        <v>Xbox / PC</v>
      </c>
      <c r="C545" s="14" t="str">
        <f>IFERROR(__xludf.DUMMYFUNCTION("""COMPUTED_VALUE"""),"Yes")</f>
        <v>Yes</v>
      </c>
      <c r="D545" s="14" t="str">
        <f>IFERROR(__xludf.DUMMYFUNCTION("""COMPUTED_VALUE"""),"Active")</f>
        <v>Active</v>
      </c>
      <c r="E545" s="15">
        <f>IFERROR(__xludf.DUMMYFUNCTION("""COMPUTED_VALUE"""),44145.0)</f>
        <v>44145</v>
      </c>
      <c r="F545" s="16"/>
      <c r="G545" s="18">
        <f>IFERROR(__xludf.DUMMYFUNCTION("""COMPUTED_VALUE"""),70.86666666666667)</f>
        <v>70.86666667</v>
      </c>
      <c r="H545" s="15">
        <f>IFERROR(__xludf.DUMMYFUNCTION("""COMPUTED_VALUE"""),42815.0)</f>
        <v>42815</v>
      </c>
      <c r="I545" s="18">
        <f>IFERROR(__xludf.DUMMYFUNCTION("""COMPUTED_VALUE"""),3.636111111111111)</f>
        <v>3.636111111</v>
      </c>
      <c r="J545" s="22">
        <f>IFERROR(__xludf.DUMMYFUNCTION("""COMPUTED_VALUE"""),76.0)</f>
        <v>76</v>
      </c>
      <c r="K545" s="22">
        <f>IFERROR(__xludf.DUMMYFUNCTION("""COMPUTED_VALUE"""),18.5)</f>
        <v>18.5</v>
      </c>
      <c r="L545" s="26" t="str">
        <f>IFERROR(__xludf.DUMMYFUNCTION("""COMPUTED_VALUE"""),"RPG")</f>
        <v>RPG</v>
      </c>
      <c r="M545" s="13" t="b">
        <f>NOT(ISNA(VLOOKUP(A545,PC!A:A,1,FALSE)))</f>
        <v>1</v>
      </c>
      <c r="N545" s="13" t="b">
        <f>NOT(ISNA(VLOOKUP(A545,'Game Pass Premium'!A:A,1,FALSE)))</f>
        <v>1</v>
      </c>
      <c r="O545" s="13" t="b">
        <f>NOT(ISNA(VLOOKUP(A545,'Game Pass Essential'!A:A,1,FALSE)))</f>
        <v>0</v>
      </c>
    </row>
    <row r="546">
      <c r="A546" s="12" t="str">
        <f>IFERROR(__xludf.DUMMYFUNCTION("""COMPUTED_VALUE"""),"Plants vs. Zombies: Battle for Neighborville - Deluxe Edition")</f>
        <v>Plants vs. Zombies: Battle for Neighborville - Deluxe Edition</v>
      </c>
      <c r="B546" s="13" t="str">
        <f>IFERROR(__xludf.DUMMYFUNCTION("""COMPUTED_VALUE"""),"Xbox / PC")</f>
        <v>Xbox / PC</v>
      </c>
      <c r="C546" s="14" t="str">
        <f>IFERROR(__xludf.DUMMYFUNCTION("""COMPUTED_VALUE"""),"Yes")</f>
        <v>Yes</v>
      </c>
      <c r="D546" s="14" t="str">
        <f>IFERROR(__xludf.DUMMYFUNCTION("""COMPUTED_VALUE"""),"Active")</f>
        <v>Active</v>
      </c>
      <c r="E546" s="15">
        <f>IFERROR(__xludf.DUMMYFUNCTION("""COMPUTED_VALUE"""),44145.0)</f>
        <v>44145</v>
      </c>
      <c r="F546" s="16"/>
      <c r="G546" s="18">
        <f>IFERROR(__xludf.DUMMYFUNCTION("""COMPUTED_VALUE"""),70.86666666666667)</f>
        <v>70.86666667</v>
      </c>
      <c r="H546" s="15">
        <f>IFERROR(__xludf.DUMMYFUNCTION("""COMPUTED_VALUE"""),43756.0)</f>
        <v>43756</v>
      </c>
      <c r="I546" s="18">
        <f>IFERROR(__xludf.DUMMYFUNCTION("""COMPUTED_VALUE"""),1.0611111111111111)</f>
        <v>1.061111111</v>
      </c>
      <c r="J546" s="22">
        <f>IFERROR(__xludf.DUMMYFUNCTION("""COMPUTED_VALUE"""),76.0)</f>
        <v>76</v>
      </c>
      <c r="K546" s="22">
        <f>IFERROR(__xludf.DUMMYFUNCTION("""COMPUTED_VALUE"""),4.5)</f>
        <v>4.5</v>
      </c>
      <c r="L546" s="26" t="str">
        <f>IFERROR(__xludf.DUMMYFUNCTION("""COMPUTED_VALUE"""),"Shooter")</f>
        <v>Shooter</v>
      </c>
      <c r="M546" s="13" t="b">
        <f>NOT(ISNA(VLOOKUP(A546,PC!A:A,1,FALSE)))</f>
        <v>1</v>
      </c>
      <c r="N546" s="13" t="b">
        <f>NOT(ISNA(VLOOKUP(A546,'Game Pass Premium'!A:A,1,FALSE)))</f>
        <v>1</v>
      </c>
      <c r="O546" s="13" t="b">
        <f>NOT(ISNA(VLOOKUP(A546,'Game Pass Essential'!A:A,1,FALSE)))</f>
        <v>0</v>
      </c>
    </row>
    <row r="547">
      <c r="A547" s="12" t="str">
        <f>IFERROR(__xludf.DUMMYFUNCTION("""COMPUTED_VALUE"""),"Plants vs. Zombies: Garden Warfare")</f>
        <v>Plants vs. Zombies: Garden Warfare</v>
      </c>
      <c r="B547" s="13" t="str">
        <f>IFERROR(__xludf.DUMMYFUNCTION("""COMPUTED_VALUE"""),"Xbox / PC")</f>
        <v>Xbox / PC</v>
      </c>
      <c r="C547" s="14" t="str">
        <f>IFERROR(__xludf.DUMMYFUNCTION("""COMPUTED_VALUE"""),"Yes")</f>
        <v>Yes</v>
      </c>
      <c r="D547" s="14" t="str">
        <f>IFERROR(__xludf.DUMMYFUNCTION("""COMPUTED_VALUE"""),"Active")</f>
        <v>Active</v>
      </c>
      <c r="E547" s="15">
        <f>IFERROR(__xludf.DUMMYFUNCTION("""COMPUTED_VALUE"""),44145.0)</f>
        <v>44145</v>
      </c>
      <c r="F547" s="16"/>
      <c r="G547" s="18">
        <f>IFERROR(__xludf.DUMMYFUNCTION("""COMPUTED_VALUE"""),70.86666666666667)</f>
        <v>70.86666667</v>
      </c>
      <c r="H547" s="15">
        <f>IFERROR(__xludf.DUMMYFUNCTION("""COMPUTED_VALUE"""),41688.0)</f>
        <v>41688</v>
      </c>
      <c r="I547" s="18">
        <f>IFERROR(__xludf.DUMMYFUNCTION("""COMPUTED_VALUE"""),6.727777777777778)</f>
        <v>6.727777778</v>
      </c>
      <c r="J547" s="22">
        <f>IFERROR(__xludf.DUMMYFUNCTION("""COMPUTED_VALUE"""),76.0)</f>
        <v>76</v>
      </c>
      <c r="K547" s="22">
        <f>IFERROR(__xludf.DUMMYFUNCTION("""COMPUTED_VALUE"""),67.5)</f>
        <v>67.5</v>
      </c>
      <c r="L547" s="26" t="str">
        <f>IFERROR(__xludf.DUMMYFUNCTION("""COMPUTED_VALUE"""),"Shooter")</f>
        <v>Shooter</v>
      </c>
      <c r="M547" s="13" t="b">
        <f>NOT(ISNA(VLOOKUP(A547,PC!A:A,1,FALSE)))</f>
        <v>1</v>
      </c>
      <c r="N547" s="13" t="b">
        <f>NOT(ISNA(VLOOKUP(A547,'Game Pass Premium'!A:A,1,FALSE)))</f>
        <v>1</v>
      </c>
      <c r="O547" s="13" t="b">
        <f>NOT(ISNA(VLOOKUP(A547,'Game Pass Essential'!A:A,1,FALSE)))</f>
        <v>0</v>
      </c>
    </row>
    <row r="548">
      <c r="A548" s="12" t="str">
        <f>IFERROR(__xludf.DUMMYFUNCTION("""COMPUTED_VALUE"""),"Zuma's Revenge!")</f>
        <v>Zuma's Revenge!</v>
      </c>
      <c r="B548" s="13" t="str">
        <f>IFERROR(__xludf.DUMMYFUNCTION("""COMPUTED_VALUE"""),"Xbox")</f>
        <v>Xbox</v>
      </c>
      <c r="C548" s="14"/>
      <c r="D548" s="14" t="str">
        <f>IFERROR(__xludf.DUMMYFUNCTION("""COMPUTED_VALUE"""),"Active")</f>
        <v>Active</v>
      </c>
      <c r="E548" s="15">
        <f>IFERROR(__xludf.DUMMYFUNCTION("""COMPUTED_VALUE"""),44145.0)</f>
        <v>44145</v>
      </c>
      <c r="F548" s="16"/>
      <c r="G548" s="18">
        <f>IFERROR(__xludf.DUMMYFUNCTION("""COMPUTED_VALUE"""),70.86666666666667)</f>
        <v>70.86666667</v>
      </c>
      <c r="H548" s="15">
        <f>IFERROR(__xludf.DUMMYFUNCTION("""COMPUTED_VALUE"""),40071.0)</f>
        <v>40071</v>
      </c>
      <c r="I548" s="18">
        <f>IFERROR(__xludf.DUMMYFUNCTION("""COMPUTED_VALUE"""),11.152777777777779)</f>
        <v>11.15277778</v>
      </c>
      <c r="J548" s="22">
        <f>IFERROR(__xludf.DUMMYFUNCTION("""COMPUTED_VALUE"""),76.0)</f>
        <v>76</v>
      </c>
      <c r="K548" s="22">
        <f>IFERROR(__xludf.DUMMYFUNCTION("""COMPUTED_VALUE"""),5.0)</f>
        <v>5</v>
      </c>
      <c r="L548" s="26" t="str">
        <f>IFERROR(__xludf.DUMMYFUNCTION("""COMPUTED_VALUE"""),"Puzzle")</f>
        <v>Puzzle</v>
      </c>
      <c r="M548" s="13" t="b">
        <f>NOT(ISNA(VLOOKUP(A548,PC!A:A,1,FALSE)))</f>
        <v>0</v>
      </c>
      <c r="N548" s="13" t="b">
        <f>NOT(ISNA(VLOOKUP(A548,'Game Pass Premium'!A:A,1,FALSE)))</f>
        <v>1</v>
      </c>
      <c r="O548" s="13" t="b">
        <f>NOT(ISNA(VLOOKUP(A548,'Game Pass Essential'!A:A,1,FALSE)))</f>
        <v>0</v>
      </c>
    </row>
    <row r="549">
      <c r="A549" s="12" t="str">
        <f>IFERROR(__xludf.DUMMYFUNCTION("""COMPUTED_VALUE"""),"Full Throttle Remastered")</f>
        <v>Full Throttle Remastered</v>
      </c>
      <c r="B549" s="13" t="str">
        <f>IFERROR(__xludf.DUMMYFUNCTION("""COMPUTED_VALUE"""),"Xbox / PC")</f>
        <v>Xbox / PC</v>
      </c>
      <c r="C549" s="14"/>
      <c r="D549" s="14" t="str">
        <f>IFERROR(__xludf.DUMMYFUNCTION("""COMPUTED_VALUE"""),"Active")</f>
        <v>Active</v>
      </c>
      <c r="E549" s="15">
        <f>IFERROR(__xludf.DUMMYFUNCTION("""COMPUTED_VALUE"""),44133.0)</f>
        <v>44133</v>
      </c>
      <c r="F549" s="16"/>
      <c r="G549" s="18">
        <f>IFERROR(__xludf.DUMMYFUNCTION("""COMPUTED_VALUE"""),71.23333333333333)</f>
        <v>71.23333333</v>
      </c>
      <c r="H549" s="15">
        <f>IFERROR(__xludf.DUMMYFUNCTION("""COMPUTED_VALUE"""),42843.0)</f>
        <v>42843</v>
      </c>
      <c r="I549" s="18">
        <f>IFERROR(__xludf.DUMMYFUNCTION("""COMPUTED_VALUE"""),3.5305555555555554)</f>
        <v>3.530555556</v>
      </c>
      <c r="J549" s="22">
        <f>IFERROR(__xludf.DUMMYFUNCTION("""COMPUTED_VALUE"""),76.0)</f>
        <v>76</v>
      </c>
      <c r="K549" s="22">
        <f>IFERROR(__xludf.DUMMYFUNCTION("""COMPUTED_VALUE"""),4.0)</f>
        <v>4</v>
      </c>
      <c r="L549" s="26" t="str">
        <f>IFERROR(__xludf.DUMMYFUNCTION("""COMPUTED_VALUE"""),"Adventure")</f>
        <v>Adventure</v>
      </c>
      <c r="M549" s="13" t="b">
        <f>NOT(ISNA(VLOOKUP(A549,PC!A:A,1,FALSE)))</f>
        <v>1</v>
      </c>
      <c r="N549" s="13" t="b">
        <f>NOT(ISNA(VLOOKUP(A549,'Game Pass Premium'!A:A,1,FALSE)))</f>
        <v>1</v>
      </c>
      <c r="O549" s="13" t="b">
        <f>NOT(ISNA(VLOOKUP(A549,'Game Pass Essential'!A:A,1,FALSE)))</f>
        <v>0</v>
      </c>
    </row>
    <row r="550">
      <c r="A550" s="12" t="str">
        <f>IFERROR(__xludf.DUMMYFUNCTION("""COMPUTED_VALUE"""),"New Super Lucky's Tale")</f>
        <v>New Super Lucky's Tale</v>
      </c>
      <c r="B550" s="13" t="str">
        <f>IFERROR(__xludf.DUMMYFUNCTION("""COMPUTED_VALUE"""),"Xbox / PC")</f>
        <v>Xbox / PC</v>
      </c>
      <c r="C550" s="14" t="str">
        <f>IFERROR(__xludf.DUMMYFUNCTION("""COMPUTED_VALUE"""),"Touch Controls")</f>
        <v>Touch Controls</v>
      </c>
      <c r="D550" s="14" t="str">
        <f>IFERROR(__xludf.DUMMYFUNCTION("""COMPUTED_VALUE"""),"Active")</f>
        <v>Active</v>
      </c>
      <c r="E550" s="15">
        <f>IFERROR(__xludf.DUMMYFUNCTION("""COMPUTED_VALUE"""),44063.0)</f>
        <v>44063</v>
      </c>
      <c r="F550" s="16"/>
      <c r="G550" s="18">
        <f>IFERROR(__xludf.DUMMYFUNCTION("""COMPUTED_VALUE"""),73.53333333333333)</f>
        <v>73.53333333</v>
      </c>
      <c r="H550" s="15">
        <f>IFERROR(__xludf.DUMMYFUNCTION("""COMPUTED_VALUE"""),43777.0)</f>
        <v>43777</v>
      </c>
      <c r="I550" s="18">
        <f>IFERROR(__xludf.DUMMYFUNCTION("""COMPUTED_VALUE"""),0.7833333333333333)</f>
        <v>0.7833333333</v>
      </c>
      <c r="J550" s="22">
        <f>IFERROR(__xludf.DUMMYFUNCTION("""COMPUTED_VALUE"""),76.0)</f>
        <v>76</v>
      </c>
      <c r="K550" s="22">
        <f>IFERROR(__xludf.DUMMYFUNCTION("""COMPUTED_VALUE"""),7.5)</f>
        <v>7.5</v>
      </c>
      <c r="L550" s="26" t="str">
        <f>IFERROR(__xludf.DUMMYFUNCTION("""COMPUTED_VALUE"""),"Platformer")</f>
        <v>Platformer</v>
      </c>
      <c r="M550" s="13" t="b">
        <f>NOT(ISNA(VLOOKUP(A550,PC!A:A,1,FALSE)))</f>
        <v>1</v>
      </c>
      <c r="N550" s="13" t="b">
        <f>NOT(ISNA(VLOOKUP(A550,'Game Pass Premium'!A:A,1,FALSE)))</f>
        <v>1</v>
      </c>
      <c r="O550" s="13" t="b">
        <f>NOT(ISNA(VLOOKUP(A550,'Game Pass Essential'!A:A,1,FALSE)))</f>
        <v>0</v>
      </c>
    </row>
    <row r="551">
      <c r="A551" s="12" t="str">
        <f>IFERROR(__xludf.DUMMYFUNCTION("""COMPUTED_VALUE"""),"Totally Accurate Battle Simulator")</f>
        <v>Totally Accurate Battle Simulator</v>
      </c>
      <c r="B551" s="13" t="str">
        <f>IFERROR(__xludf.DUMMYFUNCTION("""COMPUTED_VALUE"""),"Xbox / PC")</f>
        <v>Xbox / PC</v>
      </c>
      <c r="C551" s="14" t="str">
        <f>IFERROR(__xludf.DUMMYFUNCTION("""COMPUTED_VALUE"""),"Touch Controls")</f>
        <v>Touch Controls</v>
      </c>
      <c r="D551" s="14" t="str">
        <f>IFERROR(__xludf.DUMMYFUNCTION("""COMPUTED_VALUE"""),"Active")</f>
        <v>Active</v>
      </c>
      <c r="E551" s="15">
        <f>IFERROR(__xludf.DUMMYFUNCTION("""COMPUTED_VALUE"""),43819.0)</f>
        <v>43819</v>
      </c>
      <c r="F551" s="16"/>
      <c r="G551" s="18">
        <f>IFERROR(__xludf.DUMMYFUNCTION("""COMPUTED_VALUE"""),81.53333333333333)</f>
        <v>81.53333333</v>
      </c>
      <c r="H551" s="15">
        <f>IFERROR(__xludf.DUMMYFUNCTION("""COMPUTED_VALUE"""),43556.0)</f>
        <v>43556</v>
      </c>
      <c r="I551" s="18">
        <f>IFERROR(__xludf.DUMMYFUNCTION("""COMPUTED_VALUE"""),0.7194444444444444)</f>
        <v>0.7194444444</v>
      </c>
      <c r="J551" s="22">
        <f>IFERROR(__xludf.DUMMYFUNCTION("""COMPUTED_VALUE"""),76.0)</f>
        <v>76</v>
      </c>
      <c r="K551" s="22">
        <f>IFERROR(__xludf.DUMMYFUNCTION("""COMPUTED_VALUE"""),4.5)</f>
        <v>4.5</v>
      </c>
      <c r="L551" s="26" t="str">
        <f>IFERROR(__xludf.DUMMYFUNCTION("""COMPUTED_VALUE"""),"Strategy")</f>
        <v>Strategy</v>
      </c>
      <c r="M551" s="13" t="b">
        <f>NOT(ISNA(VLOOKUP(A551,PC!A:A,1,FALSE)))</f>
        <v>1</v>
      </c>
      <c r="N551" s="13" t="b">
        <f>NOT(ISNA(VLOOKUP(A551,'Game Pass Premium'!A:A,1,FALSE)))</f>
        <v>1</v>
      </c>
      <c r="O551" s="13" t="b">
        <f>NOT(ISNA(VLOOKUP(A551,'Game Pass Essential'!A:A,1,FALSE)))</f>
        <v>0</v>
      </c>
    </row>
    <row r="552">
      <c r="A552" s="12" t="str">
        <f>IFERROR(__xludf.DUMMYFUNCTION("""COMPUTED_VALUE"""),"Sensible World of Soccer")</f>
        <v>Sensible World of Soccer</v>
      </c>
      <c r="B552" s="13" t="str">
        <f>IFERROR(__xludf.DUMMYFUNCTION("""COMPUTED_VALUE"""),"XB360/OG Xbox")</f>
        <v>XB360/OG Xbox</v>
      </c>
      <c r="C552" s="14"/>
      <c r="D552" s="14" t="str">
        <f>IFERROR(__xludf.DUMMYFUNCTION("""COMPUTED_VALUE"""),"GwG Permanent")</f>
        <v>GwG Permanent</v>
      </c>
      <c r="E552" s="15">
        <f>IFERROR(__xludf.DUMMYFUNCTION("""COMPUTED_VALUE"""),43952.0)</f>
        <v>43952</v>
      </c>
      <c r="F552" s="16">
        <f>IFERROR(__xludf.DUMMYFUNCTION("""COMPUTED_VALUE"""),43966.0)</f>
        <v>43966</v>
      </c>
      <c r="G552" s="18">
        <f>IFERROR(__xludf.DUMMYFUNCTION("""COMPUTED_VALUE"""),0.4666666666666667)</f>
        <v>0.4666666667</v>
      </c>
      <c r="H552" s="15">
        <f>IFERROR(__xludf.DUMMYFUNCTION("""COMPUTED_VALUE"""),39405.0)</f>
        <v>39405</v>
      </c>
      <c r="I552" s="18">
        <f>IFERROR(__xludf.DUMMYFUNCTION("""COMPUTED_VALUE"""),12.45)</f>
        <v>12.45</v>
      </c>
      <c r="J552" s="22">
        <f>IFERROR(__xludf.DUMMYFUNCTION("""COMPUTED_VALUE"""),76.0)</f>
        <v>76</v>
      </c>
      <c r="K552" s="22">
        <f>IFERROR(__xludf.DUMMYFUNCTION("""COMPUTED_VALUE"""),4.0)</f>
        <v>4</v>
      </c>
      <c r="L552" s="26" t="str">
        <f>IFERROR(__xludf.DUMMYFUNCTION("""COMPUTED_VALUE"""),"Sports")</f>
        <v>Sports</v>
      </c>
      <c r="M552" s="13" t="b">
        <f>NOT(ISNA(VLOOKUP(A552,PC!A:A,1,FALSE)))</f>
        <v>0</v>
      </c>
      <c r="N552" s="13" t="b">
        <f>NOT(ISNA(VLOOKUP(A552,'Game Pass Premium'!A:A,1,FALSE)))</f>
        <v>0</v>
      </c>
      <c r="O552" s="13" t="b">
        <f>NOT(ISNA(VLOOKUP(A552,'Game Pass Essential'!A:A,1,FALSE)))</f>
        <v>0</v>
      </c>
    </row>
    <row r="553">
      <c r="A553" s="12" t="str">
        <f>IFERROR(__xludf.DUMMYFUNCTION("""COMPUTED_VALUE"""),"Earth Defense Force: Insect Armageddon")</f>
        <v>Earth Defense Force: Insect Armageddon</v>
      </c>
      <c r="B553" s="13" t="str">
        <f>IFERROR(__xludf.DUMMYFUNCTION("""COMPUTED_VALUE"""),"XB360/OG Xbox")</f>
        <v>XB360/OG Xbox</v>
      </c>
      <c r="C553" s="14"/>
      <c r="D553" s="14" t="str">
        <f>IFERROR(__xludf.DUMMYFUNCTION("""COMPUTED_VALUE"""),"GwG Permanent")</f>
        <v>GwG Permanent</v>
      </c>
      <c r="E553" s="15">
        <f>IFERROR(__xludf.DUMMYFUNCTION("""COMPUTED_VALUE"""),43586.0)</f>
        <v>43586</v>
      </c>
      <c r="F553" s="16">
        <f>IFERROR(__xludf.DUMMYFUNCTION("""COMPUTED_VALUE"""),43600.0)</f>
        <v>43600</v>
      </c>
      <c r="G553" s="18">
        <f>IFERROR(__xludf.DUMMYFUNCTION("""COMPUTED_VALUE"""),0.4666666666666667)</f>
        <v>0.4666666667</v>
      </c>
      <c r="H553" s="15">
        <f>IFERROR(__xludf.DUMMYFUNCTION("""COMPUTED_VALUE"""),40737.0)</f>
        <v>40737</v>
      </c>
      <c r="I553" s="18">
        <f>IFERROR(__xludf.DUMMYFUNCTION("""COMPUTED_VALUE"""),7.8)</f>
        <v>7.8</v>
      </c>
      <c r="J553" s="22">
        <f>IFERROR(__xludf.DUMMYFUNCTION("""COMPUTED_VALUE"""),76.0)</f>
        <v>76</v>
      </c>
      <c r="K553" s="22">
        <f>IFERROR(__xludf.DUMMYFUNCTION("""COMPUTED_VALUE"""),8.0)</f>
        <v>8</v>
      </c>
      <c r="L553" s="26" t="str">
        <f>IFERROR(__xludf.DUMMYFUNCTION("""COMPUTED_VALUE"""),"Shooter")</f>
        <v>Shooter</v>
      </c>
      <c r="M553" s="13" t="b">
        <f>NOT(ISNA(VLOOKUP(A553,PC!A:A,1,FALSE)))</f>
        <v>0</v>
      </c>
      <c r="N553" s="13" t="b">
        <f>NOT(ISNA(VLOOKUP(A553,'Game Pass Premium'!A:A,1,FALSE)))</f>
        <v>0</v>
      </c>
      <c r="O553" s="13" t="b">
        <f>NOT(ISNA(VLOOKUP(A553,'Game Pass Essential'!A:A,1,FALSE)))</f>
        <v>0</v>
      </c>
    </row>
    <row r="554">
      <c r="A554" s="12" t="str">
        <f>IFERROR(__xludf.DUMMYFUNCTION("""COMPUTED_VALUE"""),"Mercenaries: Playground of Destruction")</f>
        <v>Mercenaries: Playground of Destruction</v>
      </c>
      <c r="B554" s="13" t="str">
        <f>IFERROR(__xludf.DUMMYFUNCTION("""COMPUTED_VALUE"""),"XB360/OG Xbox")</f>
        <v>XB360/OG Xbox</v>
      </c>
      <c r="C554" s="14"/>
      <c r="D554" s="14" t="str">
        <f>IFERROR(__xludf.DUMMYFUNCTION("""COMPUTED_VALUE"""),"GwG Permanent")</f>
        <v>GwG Permanent</v>
      </c>
      <c r="E554" s="15">
        <f>IFERROR(__xludf.DUMMYFUNCTION("""COMPUTED_VALUE"""),43450.0)</f>
        <v>43450</v>
      </c>
      <c r="F554" s="16">
        <f>IFERROR(__xludf.DUMMYFUNCTION("""COMPUTED_VALUE"""),43465.0)</f>
        <v>43465</v>
      </c>
      <c r="G554" s="18">
        <f>IFERROR(__xludf.DUMMYFUNCTION("""COMPUTED_VALUE"""),0.4666666666666667)</f>
        <v>0.4666666667</v>
      </c>
      <c r="H554" s="15">
        <f>IFERROR(__xludf.DUMMYFUNCTION("""COMPUTED_VALUE"""),38425.0)</f>
        <v>38425</v>
      </c>
      <c r="I554" s="18">
        <f>IFERROR(__xludf.DUMMYFUNCTION("""COMPUTED_VALUE"""),13.755555555555556)</f>
        <v>13.75555556</v>
      </c>
      <c r="J554" s="22">
        <f>IFERROR(__xludf.DUMMYFUNCTION("""COMPUTED_VALUE"""),76.0)</f>
        <v>76</v>
      </c>
      <c r="K554" s="22">
        <f>IFERROR(__xludf.DUMMYFUNCTION("""COMPUTED_VALUE"""),18.0)</f>
        <v>18</v>
      </c>
      <c r="L554" s="26" t="str">
        <f>IFERROR(__xludf.DUMMYFUNCTION("""COMPUTED_VALUE"""),"Action-Adventure")</f>
        <v>Action-Adventure</v>
      </c>
      <c r="M554" s="13" t="b">
        <f>NOT(ISNA(VLOOKUP(A554,PC!A:A,1,FALSE)))</f>
        <v>0</v>
      </c>
      <c r="N554" s="13" t="b">
        <f>NOT(ISNA(VLOOKUP(A554,'Game Pass Premium'!A:A,1,FALSE)))</f>
        <v>0</v>
      </c>
      <c r="O554" s="13" t="b">
        <f>NOT(ISNA(VLOOKUP(A554,'Game Pass Essential'!A:A,1,FALSE)))</f>
        <v>0</v>
      </c>
    </row>
    <row r="555">
      <c r="A555" s="12" t="str">
        <f>IFERROR(__xludf.DUMMYFUNCTION("""COMPUTED_VALUE"""),"Tomb Raider: Underworld")</f>
        <v>Tomb Raider: Underworld</v>
      </c>
      <c r="B555" s="13" t="str">
        <f>IFERROR(__xludf.DUMMYFUNCTION("""COMPUTED_VALUE"""),"XB360/OG Xbox")</f>
        <v>XB360/OG Xbox</v>
      </c>
      <c r="C555" s="14"/>
      <c r="D555" s="14" t="str">
        <f>IFERROR(__xludf.DUMMYFUNCTION("""COMPUTED_VALUE"""),"GwG Permanent")</f>
        <v>GwG Permanent</v>
      </c>
      <c r="E555" s="15">
        <f>IFERROR(__xludf.DUMMYFUNCTION("""COMPUTED_VALUE"""),43101.0)</f>
        <v>43101</v>
      </c>
      <c r="F555" s="16">
        <f>IFERROR(__xludf.DUMMYFUNCTION("""COMPUTED_VALUE"""),43115.0)</f>
        <v>43115</v>
      </c>
      <c r="G555" s="18">
        <f>IFERROR(__xludf.DUMMYFUNCTION("""COMPUTED_VALUE"""),0.4666666666666667)</f>
        <v>0.4666666667</v>
      </c>
      <c r="H555" s="15">
        <f>IFERROR(__xludf.DUMMYFUNCTION("""COMPUTED_VALUE"""),39770.0)</f>
        <v>39770</v>
      </c>
      <c r="I555" s="18">
        <f>IFERROR(__xludf.DUMMYFUNCTION("""COMPUTED_VALUE"""),9.119444444444444)</f>
        <v>9.119444444</v>
      </c>
      <c r="J555" s="22">
        <f>IFERROR(__xludf.DUMMYFUNCTION("""COMPUTED_VALUE"""),76.0)</f>
        <v>76</v>
      </c>
      <c r="K555" s="22">
        <f>IFERROR(__xludf.DUMMYFUNCTION("""COMPUTED_VALUE"""),10.0)</f>
        <v>10</v>
      </c>
      <c r="L555" s="26" t="str">
        <f>IFERROR(__xludf.DUMMYFUNCTION("""COMPUTED_VALUE"""),"Action‑Adventure")</f>
        <v>Action‑Adventure</v>
      </c>
      <c r="M555" s="13" t="b">
        <f>NOT(ISNA(VLOOKUP(A555,PC!A:A,1,FALSE)))</f>
        <v>0</v>
      </c>
      <c r="N555" s="13" t="b">
        <f>NOT(ISNA(VLOOKUP(A555,'Game Pass Premium'!A:A,1,FALSE)))</f>
        <v>0</v>
      </c>
      <c r="O555" s="13" t="b">
        <f>NOT(ISNA(VLOOKUP(A555,'Game Pass Essential'!A:A,1,FALSE)))</f>
        <v>0</v>
      </c>
    </row>
    <row r="556">
      <c r="A556" s="12" t="str">
        <f>IFERROR(__xludf.DUMMYFUNCTION("""COMPUTED_VALUE"""),"Tron: Evolution")</f>
        <v>Tron: Evolution</v>
      </c>
      <c r="B556" s="13" t="str">
        <f>IFERROR(__xludf.DUMMYFUNCTION("""COMPUTED_VALUE"""),"XB360/OG Xbox")</f>
        <v>XB360/OG Xbox</v>
      </c>
      <c r="C556" s="14"/>
      <c r="D556" s="14" t="str">
        <f>IFERROR(__xludf.DUMMYFUNCTION("""COMPUTED_VALUE"""),"GwG Permanent")</f>
        <v>GwG Permanent</v>
      </c>
      <c r="E556" s="15">
        <f>IFERROR(__xludf.DUMMYFUNCTION("""COMPUTED_VALUE"""),42567.0)</f>
        <v>42567</v>
      </c>
      <c r="F556" s="16">
        <f>IFERROR(__xludf.DUMMYFUNCTION("""COMPUTED_VALUE"""),42582.0)</f>
        <v>42582</v>
      </c>
      <c r="G556" s="18">
        <f>IFERROR(__xludf.DUMMYFUNCTION("""COMPUTED_VALUE"""),0.4666666666666667)</f>
        <v>0.4666666667</v>
      </c>
      <c r="H556" s="15">
        <f>IFERROR(__xludf.DUMMYFUNCTION("""COMPUTED_VALUE"""),40701.0)</f>
        <v>40701</v>
      </c>
      <c r="I556" s="18">
        <f>IFERROR(__xludf.DUMMYFUNCTION("""COMPUTED_VALUE"""),5.108333333333333)</f>
        <v>5.108333333</v>
      </c>
      <c r="J556" s="22">
        <f>IFERROR(__xludf.DUMMYFUNCTION("""COMPUTED_VALUE"""),76.0)</f>
        <v>76</v>
      </c>
      <c r="K556" s="22">
        <f>IFERROR(__xludf.DUMMYFUNCTION("""COMPUTED_VALUE"""),10.0)</f>
        <v>10</v>
      </c>
      <c r="L556" s="26" t="str">
        <f>IFERROR(__xludf.DUMMYFUNCTION("""COMPUTED_VALUE"""),"Action-Adventure")</f>
        <v>Action-Adventure</v>
      </c>
      <c r="M556" s="13" t="b">
        <f>NOT(ISNA(VLOOKUP(A556,PC!A:A,1,FALSE)))</f>
        <v>0</v>
      </c>
      <c r="N556" s="13" t="b">
        <f>NOT(ISNA(VLOOKUP(A556,'Game Pass Premium'!A:A,1,FALSE)))</f>
        <v>0</v>
      </c>
      <c r="O556" s="13" t="b">
        <f>NOT(ISNA(VLOOKUP(A556,'Game Pass Essential'!A:A,1,FALSE)))</f>
        <v>0</v>
      </c>
    </row>
    <row r="557">
      <c r="A557" s="12" t="str">
        <f>IFERROR(__xludf.DUMMYFUNCTION("""COMPUTED_VALUE"""),"Peggle")</f>
        <v>Peggle</v>
      </c>
      <c r="B557" s="13" t="str">
        <f>IFERROR(__xludf.DUMMYFUNCTION("""COMPUTED_VALUE"""),"XB360/OG Xbox")</f>
        <v>XB360/OG Xbox</v>
      </c>
      <c r="C557" s="14"/>
      <c r="D557" s="14" t="str">
        <f>IFERROR(__xludf.DUMMYFUNCTION("""COMPUTED_VALUE"""),"GwG Permanent")</f>
        <v>GwG Permanent</v>
      </c>
      <c r="E557" s="15">
        <f>IFERROR(__xludf.DUMMYFUNCTION("""COMPUTED_VALUE"""),42506.0)</f>
        <v>42506</v>
      </c>
      <c r="F557" s="16">
        <f>IFERROR(__xludf.DUMMYFUNCTION("""COMPUTED_VALUE"""),42521.0)</f>
        <v>42521</v>
      </c>
      <c r="G557" s="18">
        <f>IFERROR(__xludf.DUMMYFUNCTION("""COMPUTED_VALUE"""),0.4666666666666667)</f>
        <v>0.4666666667</v>
      </c>
      <c r="H557" s="15">
        <f>IFERROR(__xludf.DUMMYFUNCTION("""COMPUTED_VALUE"""),39140.0)</f>
        <v>39140</v>
      </c>
      <c r="I557" s="18">
        <f>IFERROR(__xludf.DUMMYFUNCTION("""COMPUTED_VALUE"""),9.219444444444445)</f>
        <v>9.219444444</v>
      </c>
      <c r="J557" s="22">
        <f>IFERROR(__xludf.DUMMYFUNCTION("""COMPUTED_VALUE"""),76.0)</f>
        <v>76</v>
      </c>
      <c r="K557" s="22">
        <f>IFERROR(__xludf.DUMMYFUNCTION("""COMPUTED_VALUE"""),4.0)</f>
        <v>4</v>
      </c>
      <c r="L557" s="26" t="str">
        <f>IFERROR(__xludf.DUMMYFUNCTION("""COMPUTED_VALUE"""),"Puzzle")</f>
        <v>Puzzle</v>
      </c>
      <c r="M557" s="13" t="b">
        <f>NOT(ISNA(VLOOKUP(A557,PC!A:A,1,FALSE)))</f>
        <v>1</v>
      </c>
      <c r="N557" s="13" t="b">
        <f>NOT(ISNA(VLOOKUP(A557,'Game Pass Premium'!A:A,1,FALSE)))</f>
        <v>1</v>
      </c>
      <c r="O557" s="13" t="b">
        <f>NOT(ISNA(VLOOKUP(A557,'Game Pass Essential'!A:A,1,FALSE)))</f>
        <v>0</v>
      </c>
    </row>
    <row r="558">
      <c r="A558" s="12" t="str">
        <f>IFERROR(__xludf.DUMMYFUNCTION("""COMPUTED_VALUE"""),"Crysis 3")</f>
        <v>Crysis 3</v>
      </c>
      <c r="B558" s="13" t="str">
        <f>IFERROR(__xludf.DUMMYFUNCTION("""COMPUTED_VALUE"""),"XB360/OG Xbox")</f>
        <v>XB360/OG Xbox</v>
      </c>
      <c r="C558" s="14"/>
      <c r="D558" s="14" t="str">
        <f>IFERROR(__xludf.DUMMYFUNCTION("""COMPUTED_VALUE"""),"GwG Permanent")</f>
        <v>GwG Permanent</v>
      </c>
      <c r="E558" s="15">
        <f>IFERROR(__xludf.DUMMYFUNCTION("""COMPUTED_VALUE"""),42263.0)</f>
        <v>42263</v>
      </c>
      <c r="F558" s="16">
        <f>IFERROR(__xludf.DUMMYFUNCTION("""COMPUTED_VALUE"""),42277.0)</f>
        <v>42277</v>
      </c>
      <c r="G558" s="18">
        <f>IFERROR(__xludf.DUMMYFUNCTION("""COMPUTED_VALUE"""),0.4666666666666667)</f>
        <v>0.4666666667</v>
      </c>
      <c r="H558" s="15">
        <f>IFERROR(__xludf.DUMMYFUNCTION("""COMPUTED_VALUE"""),41324.0)</f>
        <v>41324</v>
      </c>
      <c r="I558" s="18">
        <f>IFERROR(__xludf.DUMMYFUNCTION("""COMPUTED_VALUE"""),2.575)</f>
        <v>2.575</v>
      </c>
      <c r="J558" s="22">
        <f>IFERROR(__xludf.DUMMYFUNCTION("""COMPUTED_VALUE"""),76.0)</f>
        <v>76</v>
      </c>
      <c r="K558" s="22">
        <f>IFERROR(__xludf.DUMMYFUNCTION("""COMPUTED_VALUE"""),6.0)</f>
        <v>6</v>
      </c>
      <c r="L558" s="26" t="str">
        <f>IFERROR(__xludf.DUMMYFUNCTION("""COMPUTED_VALUE"""),"Shooter")</f>
        <v>Shooter</v>
      </c>
      <c r="M558" s="13" t="b">
        <f>NOT(ISNA(VLOOKUP(A558,PC!A:A,1,FALSE)))</f>
        <v>1</v>
      </c>
      <c r="N558" s="13" t="b">
        <f>NOT(ISNA(VLOOKUP(A558,'Game Pass Premium'!A:A,1,FALSE)))</f>
        <v>1</v>
      </c>
      <c r="O558" s="13" t="b">
        <f>NOT(ISNA(VLOOKUP(A558,'Game Pass Essential'!A:A,1,FALSE)))</f>
        <v>0</v>
      </c>
    </row>
    <row r="559">
      <c r="A559" s="12" t="str">
        <f>IFERROR(__xludf.DUMMYFUNCTION("""COMPUTED_VALUE"""),"Battlestations: Pacific")</f>
        <v>Battlestations: Pacific</v>
      </c>
      <c r="B559" s="13" t="str">
        <f>IFERROR(__xludf.DUMMYFUNCTION("""COMPUTED_VALUE"""),"XB360/OG Xbox")</f>
        <v>XB360/OG Xbox</v>
      </c>
      <c r="C559" s="14"/>
      <c r="D559" s="14" t="str">
        <f>IFERROR(__xludf.DUMMYFUNCTION("""COMPUTED_VALUE"""),"GwG Permanent")</f>
        <v>GwG Permanent</v>
      </c>
      <c r="E559" s="15">
        <f>IFERROR(__xludf.DUMMYFUNCTION("""COMPUTED_VALUE"""),42248.0)</f>
        <v>42248</v>
      </c>
      <c r="F559" s="16">
        <f>IFERROR(__xludf.DUMMYFUNCTION("""COMPUTED_VALUE"""),42262.0)</f>
        <v>42262</v>
      </c>
      <c r="G559" s="18">
        <f>IFERROR(__xludf.DUMMYFUNCTION("""COMPUTED_VALUE"""),0.4666666666666667)</f>
        <v>0.4666666667</v>
      </c>
      <c r="H559" s="15">
        <f>IFERROR(__xludf.DUMMYFUNCTION("""COMPUTED_VALUE"""),40150.0)</f>
        <v>40150</v>
      </c>
      <c r="I559" s="18">
        <f>IFERROR(__xludf.DUMMYFUNCTION("""COMPUTED_VALUE"""),5.7444444444444445)</f>
        <v>5.744444444</v>
      </c>
      <c r="J559" s="22">
        <f>IFERROR(__xludf.DUMMYFUNCTION("""COMPUTED_VALUE"""),76.0)</f>
        <v>76</v>
      </c>
      <c r="K559" s="22">
        <f>IFERROR(__xludf.DUMMYFUNCTION("""COMPUTED_VALUE"""),12.0)</f>
        <v>12</v>
      </c>
      <c r="L559" s="26" t="str">
        <f>IFERROR(__xludf.DUMMYFUNCTION("""COMPUTED_VALUE"""),"Strategy")</f>
        <v>Strategy</v>
      </c>
      <c r="M559" s="13" t="b">
        <f>NOT(ISNA(VLOOKUP(A559,PC!A:A,1,FALSE)))</f>
        <v>0</v>
      </c>
      <c r="N559" s="13" t="b">
        <f>NOT(ISNA(VLOOKUP(A559,'Game Pass Premium'!A:A,1,FALSE)))</f>
        <v>0</v>
      </c>
      <c r="O559" s="13" t="b">
        <f>NOT(ISNA(VLOOKUP(A559,'Game Pass Essential'!A:A,1,FALSE)))</f>
        <v>0</v>
      </c>
    </row>
    <row r="560">
      <c r="A560" s="12" t="str">
        <f>IFERROR(__xludf.DUMMYFUNCTION("""COMPUTED_VALUE"""),"Zombie Army 4: Dead War")</f>
        <v>Zombie Army 4: Dead War</v>
      </c>
      <c r="B560" s="13" t="str">
        <f>IFERROR(__xludf.DUMMYFUNCTION("""COMPUTED_VALUE"""),"Xbox / PC")</f>
        <v>Xbox / PC</v>
      </c>
      <c r="C560" s="14" t="str">
        <f>IFERROR(__xludf.DUMMYFUNCTION("""COMPUTED_VALUE"""),"M+KB")</f>
        <v>M+KB</v>
      </c>
      <c r="D560" s="14" t="str">
        <f>IFERROR(__xludf.DUMMYFUNCTION("""COMPUTED_VALUE"""),"Active")</f>
        <v>Active</v>
      </c>
      <c r="E560" s="15">
        <f>IFERROR(__xludf.DUMMYFUNCTION("""COMPUTED_VALUE"""),44294.0)</f>
        <v>44294</v>
      </c>
      <c r="F560" s="16"/>
      <c r="G560" s="18">
        <f>IFERROR(__xludf.DUMMYFUNCTION("""COMPUTED_VALUE"""),65.93333333333334)</f>
        <v>65.93333333</v>
      </c>
      <c r="H560" s="15">
        <f>IFERROR(__xludf.DUMMYFUNCTION("""COMPUTED_VALUE"""),43865.0)</f>
        <v>43865</v>
      </c>
      <c r="I560" s="18">
        <f>IFERROR(__xludf.DUMMYFUNCTION("""COMPUTED_VALUE"""),1.1777777777777778)</f>
        <v>1.177777778</v>
      </c>
      <c r="J560" s="22">
        <f>IFERROR(__xludf.DUMMYFUNCTION("""COMPUTED_VALUE"""),75.5)</f>
        <v>75.5</v>
      </c>
      <c r="K560" s="22">
        <f>IFERROR(__xludf.DUMMYFUNCTION("""COMPUTED_VALUE"""),11.5)</f>
        <v>11.5</v>
      </c>
      <c r="L560" s="26" t="str">
        <f>IFERROR(__xludf.DUMMYFUNCTION("""COMPUTED_VALUE"""),"Shooter")</f>
        <v>Shooter</v>
      </c>
      <c r="M560" s="13" t="b">
        <f>NOT(ISNA(VLOOKUP(A560,PC!A:A,1,FALSE)))</f>
        <v>1</v>
      </c>
      <c r="N560" s="13" t="b">
        <f>NOT(ISNA(VLOOKUP(A560,'Game Pass Premium'!A:A,1,FALSE)))</f>
        <v>1</v>
      </c>
      <c r="O560" s="13" t="b">
        <f>NOT(ISNA(VLOOKUP(A560,'Game Pass Essential'!A:A,1,FALSE)))</f>
        <v>0</v>
      </c>
    </row>
    <row r="561">
      <c r="A561" s="12" t="str">
        <f>IFERROR(__xludf.DUMMYFUNCTION("""COMPUTED_VALUE"""),"Wolfenstein: The Old Blood")</f>
        <v>Wolfenstein: The Old Blood</v>
      </c>
      <c r="B561" s="13" t="str">
        <f>IFERROR(__xludf.DUMMYFUNCTION("""COMPUTED_VALUE"""),"Xbox / PC")</f>
        <v>Xbox / PC</v>
      </c>
      <c r="C561" s="14" t="str">
        <f>IFERROR(__xludf.DUMMYFUNCTION("""COMPUTED_VALUE"""),"Yes")</f>
        <v>Yes</v>
      </c>
      <c r="D561" s="14" t="str">
        <f>IFERROR(__xludf.DUMMYFUNCTION("""COMPUTED_VALUE"""),"Active")</f>
        <v>Active</v>
      </c>
      <c r="E561" s="15">
        <f>IFERROR(__xludf.DUMMYFUNCTION("""COMPUTED_VALUE"""),44267.0)</f>
        <v>44267</v>
      </c>
      <c r="F561" s="16"/>
      <c r="G561" s="18">
        <f>IFERROR(__xludf.DUMMYFUNCTION("""COMPUTED_VALUE"""),66.8)</f>
        <v>66.8</v>
      </c>
      <c r="H561" s="15">
        <f>IFERROR(__xludf.DUMMYFUNCTION("""COMPUTED_VALUE"""),42129.0)</f>
        <v>42129</v>
      </c>
      <c r="I561" s="18">
        <f>IFERROR(__xludf.DUMMYFUNCTION("""COMPUTED_VALUE"""),5.852777777777778)</f>
        <v>5.852777778</v>
      </c>
      <c r="J561" s="22">
        <f>IFERROR(__xludf.DUMMYFUNCTION("""COMPUTED_VALUE"""),75.5)</f>
        <v>75.5</v>
      </c>
      <c r="K561" s="22">
        <f>IFERROR(__xludf.DUMMYFUNCTION("""COMPUTED_VALUE"""),6.0)</f>
        <v>6</v>
      </c>
      <c r="L561" s="26" t="str">
        <f>IFERROR(__xludf.DUMMYFUNCTION("""COMPUTED_VALUE"""),"Shooter")</f>
        <v>Shooter</v>
      </c>
      <c r="M561" s="13" t="b">
        <f>NOT(ISNA(VLOOKUP(A561,PC!A:A,1,FALSE)))</f>
        <v>1</v>
      </c>
      <c r="N561" s="13" t="b">
        <f>NOT(ISNA(VLOOKUP(A561,'Game Pass Premium'!A:A,1,FALSE)))</f>
        <v>1</v>
      </c>
      <c r="O561" s="13" t="b">
        <f>NOT(ISNA(VLOOKUP(A561,'Game Pass Essential'!A:A,1,FALSE)))</f>
        <v>0</v>
      </c>
    </row>
    <row r="562">
      <c r="A562" s="12" t="str">
        <f>IFERROR(__xludf.DUMMYFUNCTION("""COMPUTED_VALUE"""),"Cricket 26")</f>
        <v>Cricket 26</v>
      </c>
      <c r="B562" s="13" t="str">
        <f>IFERROR(__xludf.DUMMYFUNCTION("""COMPUTED_VALUE"""),"Xbox / PC")</f>
        <v>Xbox / PC</v>
      </c>
      <c r="C562" s="14" t="str">
        <f>IFERROR(__xludf.DUMMYFUNCTION("""COMPUTED_VALUE"""),"Yes")</f>
        <v>Yes</v>
      </c>
      <c r="D562" s="14" t="str">
        <f>IFERROR(__xludf.DUMMYFUNCTION("""COMPUTED_VALUE"""),"Active")</f>
        <v>Active</v>
      </c>
      <c r="E562" s="15">
        <f>IFERROR(__xludf.DUMMYFUNCTION("""COMPUTED_VALUE"""),46247.0)</f>
        <v>46247</v>
      </c>
      <c r="F562" s="16"/>
      <c r="G562" s="18">
        <f>IFERROR(__xludf.DUMMYFUNCTION("""COMPUTED_VALUE"""),1.7666666666666666)</f>
        <v>1.766666667</v>
      </c>
      <c r="H562" s="15">
        <f>IFERROR(__xludf.DUMMYFUNCTION("""COMPUTED_VALUE"""),45974.0)</f>
        <v>45974</v>
      </c>
      <c r="I562" s="18">
        <f>IFERROR(__xludf.DUMMYFUNCTION("""COMPUTED_VALUE"""),0.75)</f>
        <v>0.75</v>
      </c>
      <c r="J562" s="22">
        <f>IFERROR(__xludf.DUMMYFUNCTION("""COMPUTED_VALUE"""),75.0)</f>
        <v>75</v>
      </c>
      <c r="K562" s="22">
        <f>IFERROR(__xludf.DUMMYFUNCTION("""COMPUTED_VALUE"""),33.0)</f>
        <v>33</v>
      </c>
      <c r="L562" s="26" t="str">
        <f>IFERROR(__xludf.DUMMYFUNCTION("""COMPUTED_VALUE"""),"Sports")</f>
        <v>Sports</v>
      </c>
      <c r="M562" s="13" t="b">
        <f>NOT(ISNA(VLOOKUP(A562,PC!A:A,1,FALSE)))</f>
        <v>1</v>
      </c>
      <c r="N562" s="13" t="b">
        <f>NOT(ISNA(VLOOKUP(A562,'Game Pass Premium'!A:A,1,FALSE)))</f>
        <v>0</v>
      </c>
      <c r="O562" s="13" t="b">
        <f>NOT(ISNA(VLOOKUP(A562,'Game Pass Essential'!A:A,1,FALSE)))</f>
        <v>0</v>
      </c>
    </row>
    <row r="563">
      <c r="A563" s="12" t="str">
        <f>IFERROR(__xludf.DUMMYFUNCTION("""COMPUTED_VALUE"""),"Super Meat Boy 3D")</f>
        <v>Super Meat Boy 3D</v>
      </c>
      <c r="B563" s="13" t="str">
        <f>IFERROR(__xludf.DUMMYFUNCTION("""COMPUTED_VALUE"""),"Xbox / PC")</f>
        <v>Xbox / PC</v>
      </c>
      <c r="C563" s="14" t="str">
        <f>IFERROR(__xludf.DUMMYFUNCTION("""COMPUTED_VALUE"""),"Yes")</f>
        <v>Yes</v>
      </c>
      <c r="D563" s="14" t="str">
        <f>IFERROR(__xludf.DUMMYFUNCTION("""COMPUTED_VALUE"""),"Active")</f>
        <v>Active</v>
      </c>
      <c r="E563" s="15">
        <f>IFERROR(__xludf.DUMMYFUNCTION("""COMPUTED_VALUE"""),46112.0)</f>
        <v>46112</v>
      </c>
      <c r="F563" s="16"/>
      <c r="G563" s="18">
        <f>IFERROR(__xludf.DUMMYFUNCTION("""COMPUTED_VALUE"""),6.200000000000001)</f>
        <v>6.2</v>
      </c>
      <c r="H563" s="15">
        <f>IFERROR(__xludf.DUMMYFUNCTION("""COMPUTED_VALUE"""),46112.0)</f>
        <v>46112</v>
      </c>
      <c r="I563" s="18">
        <f>IFERROR(__xludf.DUMMYFUNCTION("""COMPUTED_VALUE"""),0.0)</f>
        <v>0</v>
      </c>
      <c r="J563" s="22">
        <f>IFERROR(__xludf.DUMMYFUNCTION("""COMPUTED_VALUE"""),75.0)</f>
        <v>75</v>
      </c>
      <c r="K563" s="22">
        <f>IFERROR(__xludf.DUMMYFUNCTION("""COMPUTED_VALUE"""),6.0)</f>
        <v>6</v>
      </c>
      <c r="L563" s="26" t="str">
        <f>IFERROR(__xludf.DUMMYFUNCTION("""COMPUTED_VALUE"""),"Platformer")</f>
        <v>Platformer</v>
      </c>
      <c r="M563" s="13" t="b">
        <f>NOT(ISNA(VLOOKUP(A563,PC!A:A,1,FALSE)))</f>
        <v>1</v>
      </c>
      <c r="N563" s="13" t="b">
        <f>NOT(ISNA(VLOOKUP(A563,'Game Pass Premium'!A:A,1,FALSE)))</f>
        <v>0</v>
      </c>
      <c r="O563" s="13" t="b">
        <f>NOT(ISNA(VLOOKUP(A563,'Game Pass Essential'!A:A,1,FALSE)))</f>
        <v>0</v>
      </c>
    </row>
    <row r="564">
      <c r="A564" s="12" t="str">
        <f>IFERROR(__xludf.DUMMYFUNCTION("""COMPUTED_VALUE"""),"Star Wars Outlaws")</f>
        <v>Star Wars Outlaws</v>
      </c>
      <c r="B564" s="13" t="str">
        <f>IFERROR(__xludf.DUMMYFUNCTION("""COMPUTED_VALUE"""),"Xbox / PC")</f>
        <v>Xbox / PC</v>
      </c>
      <c r="C564" s="14" t="str">
        <f>IFERROR(__xludf.DUMMYFUNCTION("""COMPUTED_VALUE"""),"Yes")</f>
        <v>Yes</v>
      </c>
      <c r="D564" s="14" t="str">
        <f>IFERROR(__xludf.DUMMYFUNCTION("""COMPUTED_VALUE"""),"Active")</f>
        <v>Active</v>
      </c>
      <c r="E564" s="15">
        <f>IFERROR(__xludf.DUMMYFUNCTION("""COMPUTED_VALUE"""),46035.0)</f>
        <v>46035</v>
      </c>
      <c r="F564" s="16"/>
      <c r="G564" s="18">
        <f>IFERROR(__xludf.DUMMYFUNCTION("""COMPUTED_VALUE"""),8.766666666666666)</f>
        <v>8.766666667</v>
      </c>
      <c r="H564" s="15">
        <f>IFERROR(__xludf.DUMMYFUNCTION("""COMPUTED_VALUE"""),45531.0)</f>
        <v>45531</v>
      </c>
      <c r="I564" s="18">
        <f>IFERROR(__xludf.DUMMYFUNCTION("""COMPUTED_VALUE"""),1.3777777777777778)</f>
        <v>1.377777778</v>
      </c>
      <c r="J564" s="22">
        <f>IFERROR(__xludf.DUMMYFUNCTION("""COMPUTED_VALUE"""),75.0)</f>
        <v>75</v>
      </c>
      <c r="K564" s="22">
        <f>IFERROR(__xludf.DUMMYFUNCTION("""COMPUTED_VALUE"""),19.0)</f>
        <v>19</v>
      </c>
      <c r="L564" s="26" t="str">
        <f>IFERROR(__xludf.DUMMYFUNCTION("""COMPUTED_VALUE"""),"Action-Adventure")</f>
        <v>Action-Adventure</v>
      </c>
      <c r="M564" s="13" t="b">
        <f>NOT(ISNA(VLOOKUP(A564,PC!A:A,1,FALSE)))</f>
        <v>1</v>
      </c>
      <c r="N564" s="13" t="b">
        <f>NOT(ISNA(VLOOKUP(A564,'Game Pass Premium'!A:A,1,FALSE)))</f>
        <v>0</v>
      </c>
      <c r="O564" s="13" t="b">
        <f>NOT(ISNA(VLOOKUP(A564,'Game Pass Essential'!A:A,1,FALSE)))</f>
        <v>0</v>
      </c>
    </row>
    <row r="565">
      <c r="A565" s="12" t="str">
        <f>IFERROR(__xludf.DUMMYFUNCTION("""COMPUTED_VALUE"""),"A Game About Digging A Hole")</f>
        <v>A Game About Digging A Hole</v>
      </c>
      <c r="B565" s="13" t="str">
        <f>IFERROR(__xludf.DUMMYFUNCTION("""COMPUTED_VALUE"""),"Xbox / PC")</f>
        <v>Xbox / PC</v>
      </c>
      <c r="C565" s="14" t="str">
        <f>IFERROR(__xludf.DUMMYFUNCTION("""COMPUTED_VALUE"""),"Yes")</f>
        <v>Yes</v>
      </c>
      <c r="D565" s="14" t="str">
        <f>IFERROR(__xludf.DUMMYFUNCTION("""COMPUTED_VALUE"""),"Active")</f>
        <v>Active</v>
      </c>
      <c r="E565" s="15">
        <f>IFERROR(__xludf.DUMMYFUNCTION("""COMPUTED_VALUE"""),46000.0)</f>
        <v>46000</v>
      </c>
      <c r="F565" s="16"/>
      <c r="G565" s="18">
        <f>IFERROR(__xludf.DUMMYFUNCTION("""COMPUTED_VALUE"""),9.899999999999999)</f>
        <v>9.9</v>
      </c>
      <c r="H565" s="15">
        <f>IFERROR(__xludf.DUMMYFUNCTION("""COMPUTED_VALUE"""),45695.0)</f>
        <v>45695</v>
      </c>
      <c r="I565" s="18">
        <f>IFERROR(__xludf.DUMMYFUNCTION("""COMPUTED_VALUE"""),0.8388888888888889)</f>
        <v>0.8388888889</v>
      </c>
      <c r="J565" s="22">
        <f>IFERROR(__xludf.DUMMYFUNCTION("""COMPUTED_VALUE"""),75.0)</f>
        <v>75</v>
      </c>
      <c r="K565" s="22">
        <f>IFERROR(__xludf.DUMMYFUNCTION("""COMPUTED_VALUE"""),2.35)</f>
        <v>2.35</v>
      </c>
      <c r="L565" s="26" t="str">
        <f>IFERROR(__xludf.DUMMYFUNCTION("""COMPUTED_VALUE"""),"Adventure")</f>
        <v>Adventure</v>
      </c>
      <c r="M565" s="13" t="b">
        <f>NOT(ISNA(VLOOKUP(A565,PC!A:A,1,FALSE)))</f>
        <v>1</v>
      </c>
      <c r="N565" s="13" t="b">
        <f>NOT(ISNA(VLOOKUP(A565,'Game Pass Premium'!A:A,1,FALSE)))</f>
        <v>1</v>
      </c>
      <c r="O565" s="13" t="b">
        <f>NOT(ISNA(VLOOKUP(A565,'Game Pass Essential'!A:A,1,FALSE)))</f>
        <v>0</v>
      </c>
    </row>
    <row r="566">
      <c r="A566" s="12" t="str">
        <f>IFERROR(__xludf.DUMMYFUNCTION("""COMPUTED_VALUE"""),"Visions of Mana")</f>
        <v>Visions of Mana</v>
      </c>
      <c r="B566" s="13" t="str">
        <f>IFERROR(__xludf.DUMMYFUNCTION("""COMPUTED_VALUE"""),"Xbox / PC")</f>
        <v>Xbox / PC</v>
      </c>
      <c r="C566" s="14" t="str">
        <f>IFERROR(__xludf.DUMMYFUNCTION("""COMPUTED_VALUE"""),"Yes")</f>
        <v>Yes</v>
      </c>
      <c r="D566" s="14" t="str">
        <f>IFERROR(__xludf.DUMMYFUNCTION("""COMPUTED_VALUE"""),"Active")</f>
        <v>Active</v>
      </c>
      <c r="E566" s="15">
        <f>IFERROR(__xludf.DUMMYFUNCTION("""COMPUTED_VALUE"""),45925.0)</f>
        <v>45925</v>
      </c>
      <c r="F566" s="16"/>
      <c r="G566" s="18">
        <f>IFERROR(__xludf.DUMMYFUNCTION("""COMPUTED_VALUE"""),12.366666666666665)</f>
        <v>12.36666667</v>
      </c>
      <c r="H566" s="15">
        <f>IFERROR(__xludf.DUMMYFUNCTION("""COMPUTED_VALUE"""),45533.0)</f>
        <v>45533</v>
      </c>
      <c r="I566" s="18">
        <f>IFERROR(__xludf.DUMMYFUNCTION("""COMPUTED_VALUE"""),1.0722222222222222)</f>
        <v>1.072222222</v>
      </c>
      <c r="J566" s="22">
        <f>IFERROR(__xludf.DUMMYFUNCTION("""COMPUTED_VALUE"""),75.0)</f>
        <v>75</v>
      </c>
      <c r="K566" s="22">
        <f>IFERROR(__xludf.DUMMYFUNCTION("""COMPUTED_VALUE"""),29.0)</f>
        <v>29</v>
      </c>
      <c r="L566" s="26" t="str">
        <f>IFERROR(__xludf.DUMMYFUNCTION("""COMPUTED_VALUE"""),"RPG")</f>
        <v>RPG</v>
      </c>
      <c r="M566" s="13" t="b">
        <f>NOT(ISNA(VLOOKUP(A566,PC!A:A,1,FALSE)))</f>
        <v>1</v>
      </c>
      <c r="N566" s="13" t="b">
        <f>NOT(ISNA(VLOOKUP(A566,'Game Pass Premium'!A:A,1,FALSE)))</f>
        <v>1</v>
      </c>
      <c r="O566" s="13" t="b">
        <f>NOT(ISNA(VLOOKUP(A566,'Game Pass Essential'!A:A,1,FALSE)))</f>
        <v>0</v>
      </c>
    </row>
    <row r="567">
      <c r="A567" s="12" t="str">
        <f>IFERROR(__xludf.DUMMYFUNCTION("""COMPUTED_VALUE"""),"Farming Simulator 25")</f>
        <v>Farming Simulator 25</v>
      </c>
      <c r="B567" s="13" t="str">
        <f>IFERROR(__xludf.DUMMYFUNCTION("""COMPUTED_VALUE"""),"Xbox / PC")</f>
        <v>Xbox / PC</v>
      </c>
      <c r="C567" s="14" t="str">
        <f>IFERROR(__xludf.DUMMYFUNCTION("""COMPUTED_VALUE"""),"Yes")</f>
        <v>Yes</v>
      </c>
      <c r="D567" s="14" t="str">
        <f>IFERROR(__xludf.DUMMYFUNCTION("""COMPUTED_VALUE"""),"Active")</f>
        <v>Active</v>
      </c>
      <c r="E567" s="15">
        <f>IFERROR(__xludf.DUMMYFUNCTION("""COMPUTED_VALUE"""),45870.0)</f>
        <v>45870</v>
      </c>
      <c r="F567" s="16"/>
      <c r="G567" s="18">
        <f>IFERROR(__xludf.DUMMYFUNCTION("""COMPUTED_VALUE"""),14.166666666666668)</f>
        <v>14.16666667</v>
      </c>
      <c r="H567" s="15">
        <f>IFERROR(__xludf.DUMMYFUNCTION("""COMPUTED_VALUE"""),45608.0)</f>
        <v>45608</v>
      </c>
      <c r="I567" s="18">
        <f>IFERROR(__xludf.DUMMYFUNCTION("""COMPUTED_VALUE"""),0.7194444444444444)</f>
        <v>0.7194444444</v>
      </c>
      <c r="J567" s="22">
        <f>IFERROR(__xludf.DUMMYFUNCTION("""COMPUTED_VALUE"""),75.0)</f>
        <v>75</v>
      </c>
      <c r="K567" s="22">
        <f>IFERROR(__xludf.DUMMYFUNCTION("""COMPUTED_VALUE"""),45.0)</f>
        <v>45</v>
      </c>
      <c r="L567" s="26" t="str">
        <f>IFERROR(__xludf.DUMMYFUNCTION("""COMPUTED_VALUE"""),"Simulation")</f>
        <v>Simulation</v>
      </c>
      <c r="M567" s="13" t="b">
        <f>NOT(ISNA(VLOOKUP(A567,PC!A:A,1,FALSE)))</f>
        <v>1</v>
      </c>
      <c r="N567" s="13" t="b">
        <f>NOT(ISNA(VLOOKUP(A567,'Game Pass Premium'!A:A,1,FALSE)))</f>
        <v>1</v>
      </c>
      <c r="O567" s="13" t="b">
        <f>NOT(ISNA(VLOOKUP(A567,'Game Pass Essential'!A:A,1,FALSE)))</f>
        <v>0</v>
      </c>
    </row>
    <row r="568">
      <c r="A568" s="12" t="str">
        <f>IFERROR(__xludf.DUMMYFUNCTION("""COMPUTED_VALUE"""),"Skeleton+")</f>
        <v>Skeleton+</v>
      </c>
      <c r="B568" s="13" t="str">
        <f>IFERROR(__xludf.DUMMYFUNCTION("""COMPUTED_VALUE"""),"Xbox / PC")</f>
        <v>Xbox / PC</v>
      </c>
      <c r="C568" s="14" t="str">
        <f>IFERROR(__xludf.DUMMYFUNCTION("""COMPUTED_VALUE"""),"Yes")</f>
        <v>Yes</v>
      </c>
      <c r="D568" s="14" t="str">
        <f>IFERROR(__xludf.DUMMYFUNCTION("""COMPUTED_VALUE"""),"Active")</f>
        <v>Active</v>
      </c>
      <c r="E568" s="15">
        <f>IFERROR(__xludf.DUMMYFUNCTION("""COMPUTED_VALUE"""),45859.0)</f>
        <v>45859</v>
      </c>
      <c r="F568" s="16"/>
      <c r="G568" s="18">
        <f>IFERROR(__xludf.DUMMYFUNCTION("""COMPUTED_VALUE"""),14.5)</f>
        <v>14.5</v>
      </c>
      <c r="H568" s="15">
        <f>IFERROR(__xludf.DUMMYFUNCTION("""COMPUTED_VALUE"""),37774.0)</f>
        <v>37774</v>
      </c>
      <c r="I568" s="18">
        <f>IFERROR(__xludf.DUMMYFUNCTION("""COMPUTED_VALUE"""),22.136111111111113)</f>
        <v>22.13611111</v>
      </c>
      <c r="J568" s="22">
        <f>IFERROR(__xludf.DUMMYFUNCTION("""COMPUTED_VALUE"""),75.0)</f>
        <v>75</v>
      </c>
      <c r="K568" s="22">
        <f>IFERROR(__xludf.DUMMYFUNCTION("""COMPUTED_VALUE"""),2.0)</f>
        <v>2</v>
      </c>
      <c r="L568" s="26" t="str">
        <f>IFERROR(__xludf.DUMMYFUNCTION("""COMPUTED_VALUE"""),"Action")</f>
        <v>Action</v>
      </c>
      <c r="M568" s="13" t="b">
        <f>NOT(ISNA(VLOOKUP(A568,PC!A:A,1,FALSE)))</f>
        <v>1</v>
      </c>
      <c r="N568" s="13" t="b">
        <f>NOT(ISNA(VLOOKUP(A568,'Game Pass Premium'!A:A,1,FALSE)))</f>
        <v>1</v>
      </c>
      <c r="O568" s="13" t="b">
        <f>NOT(ISNA(VLOOKUP(A568,'Game Pass Essential'!A:A,1,FALSE)))</f>
        <v>0</v>
      </c>
    </row>
    <row r="569">
      <c r="A569" s="12" t="str">
        <f>IFERROR(__xludf.DUMMYFUNCTION("""COMPUTED_VALUE"""),"Call of Duty: Modern Warfare II")</f>
        <v>Call of Duty: Modern Warfare II</v>
      </c>
      <c r="B569" s="13" t="str">
        <f>IFERROR(__xludf.DUMMYFUNCTION("""COMPUTED_VALUE"""),"Xbox / PC")</f>
        <v>Xbox / PC</v>
      </c>
      <c r="C569" s="14" t="str">
        <f>IFERROR(__xludf.DUMMYFUNCTION("""COMPUTED_VALUE"""),"Yes")</f>
        <v>Yes</v>
      </c>
      <c r="D569" s="14" t="str">
        <f>IFERROR(__xludf.DUMMYFUNCTION("""COMPUTED_VALUE"""),"Active")</f>
        <v>Active</v>
      </c>
      <c r="E569" s="15">
        <f>IFERROR(__xludf.DUMMYFUNCTION("""COMPUTED_VALUE"""),45778.0)</f>
        <v>45778</v>
      </c>
      <c r="F569" s="16"/>
      <c r="G569" s="18">
        <f>IFERROR(__xludf.DUMMYFUNCTION("""COMPUTED_VALUE"""),17.166666666666668)</f>
        <v>17.16666667</v>
      </c>
      <c r="H569" s="15">
        <f>IFERROR(__xludf.DUMMYFUNCTION("""COMPUTED_VALUE"""),44862.0)</f>
        <v>44862</v>
      </c>
      <c r="I569" s="18">
        <f>IFERROR(__xludf.DUMMYFUNCTION("""COMPUTED_VALUE"""),2.5083333333333333)</f>
        <v>2.508333333</v>
      </c>
      <c r="J569" s="22">
        <f>IFERROR(__xludf.DUMMYFUNCTION("""COMPUTED_VALUE"""),75.0)</f>
        <v>75</v>
      </c>
      <c r="K569" s="22">
        <f>IFERROR(__xludf.DUMMYFUNCTION("""COMPUTED_VALUE"""),8.0)</f>
        <v>8</v>
      </c>
      <c r="L569" s="26" t="str">
        <f>IFERROR(__xludf.DUMMYFUNCTION("""COMPUTED_VALUE"""),"Shooter")</f>
        <v>Shooter</v>
      </c>
      <c r="M569" s="13" t="b">
        <f>NOT(ISNA(VLOOKUP(A569,PC!A:A,1,FALSE)))</f>
        <v>1</v>
      </c>
      <c r="N569" s="13" t="b">
        <f>NOT(ISNA(VLOOKUP(A569,'Game Pass Premium'!A:A,1,FALSE)))</f>
        <v>1</v>
      </c>
      <c r="O569" s="13" t="b">
        <f>NOT(ISNA(VLOOKUP(A569,'Game Pass Essential'!A:A,1,FALSE)))</f>
        <v>0</v>
      </c>
    </row>
    <row r="570">
      <c r="A570" s="12" t="str">
        <f>IFERROR(__xludf.DUMMYFUNCTION("""COMPUTED_VALUE"""),"Blizzard Arcade Collection")</f>
        <v>Blizzard Arcade Collection</v>
      </c>
      <c r="B570" s="13" t="str">
        <f>IFERROR(__xludf.DUMMYFUNCTION("""COMPUTED_VALUE"""),"Xbox / PC")</f>
        <v>Xbox / PC</v>
      </c>
      <c r="C570" s="14" t="str">
        <f>IFERROR(__xludf.DUMMYFUNCTION("""COMPUTED_VALUE"""),"Yes")</f>
        <v>Yes</v>
      </c>
      <c r="D570" s="14" t="str">
        <f>IFERROR(__xludf.DUMMYFUNCTION("""COMPUTED_VALUE"""),"Active")</f>
        <v>Active</v>
      </c>
      <c r="E570" s="15">
        <f>IFERROR(__xludf.DUMMYFUNCTION("""COMPUTED_VALUE"""),45741.0)</f>
        <v>45741</v>
      </c>
      <c r="F570" s="16"/>
      <c r="G570" s="18">
        <f>IFERROR(__xludf.DUMMYFUNCTION("""COMPUTED_VALUE"""),18.366666666666667)</f>
        <v>18.36666667</v>
      </c>
      <c r="H570" s="15">
        <f>IFERROR(__xludf.DUMMYFUNCTION("""COMPUTED_VALUE"""),44246.0)</f>
        <v>44246</v>
      </c>
      <c r="I570" s="18">
        <f>IFERROR(__xludf.DUMMYFUNCTION("""COMPUTED_VALUE"""),4.1)</f>
        <v>4.1</v>
      </c>
      <c r="J570" s="22">
        <f>IFERROR(__xludf.DUMMYFUNCTION("""COMPUTED_VALUE"""),75.0)</f>
        <v>75</v>
      </c>
      <c r="K570" s="22">
        <f>IFERROR(__xludf.DUMMYFUNCTION("""COMPUTED_VALUE"""),5.0)</f>
        <v>5</v>
      </c>
      <c r="L570" s="26" t="str">
        <f>IFERROR(__xludf.DUMMYFUNCTION("""COMPUTED_VALUE"""),"Compilation")</f>
        <v>Compilation</v>
      </c>
      <c r="M570" s="13" t="b">
        <f>NOT(ISNA(VLOOKUP(A570,PC!A:A,1,FALSE)))</f>
        <v>1</v>
      </c>
      <c r="N570" s="13" t="b">
        <f>NOT(ISNA(VLOOKUP(A570,'Game Pass Premium'!A:A,1,FALSE)))</f>
        <v>1</v>
      </c>
      <c r="O570" s="13" t="b">
        <f>NOT(ISNA(VLOOKUP(A570,'Game Pass Essential'!A:A,1,FALSE)))</f>
        <v>0</v>
      </c>
    </row>
    <row r="571">
      <c r="A571" s="12" t="str">
        <f>IFERROR(__xludf.DUMMYFUNCTION("""COMPUTED_VALUE"""),"Aliens: Dark Descent")</f>
        <v>Aliens: Dark Descent</v>
      </c>
      <c r="B571" s="13" t="str">
        <f>IFERROR(__xludf.DUMMYFUNCTION("""COMPUTED_VALUE"""),"Xbox / PC")</f>
        <v>Xbox / PC</v>
      </c>
      <c r="C571" s="14" t="str">
        <f>IFERROR(__xludf.DUMMYFUNCTION("""COMPUTED_VALUE"""),"Yes")</f>
        <v>Yes</v>
      </c>
      <c r="D571" s="14" t="str">
        <f>IFERROR(__xludf.DUMMYFUNCTION("""COMPUTED_VALUE"""),"Active")</f>
        <v>Active</v>
      </c>
      <c r="E571" s="15">
        <f>IFERROR(__xludf.DUMMYFUNCTION("""COMPUTED_VALUE"""),45623.0)</f>
        <v>45623</v>
      </c>
      <c r="F571" s="16"/>
      <c r="G571" s="18">
        <f>IFERROR(__xludf.DUMMYFUNCTION("""COMPUTED_VALUE"""),22.3)</f>
        <v>22.3</v>
      </c>
      <c r="H571" s="15">
        <f>IFERROR(__xludf.DUMMYFUNCTION("""COMPUTED_VALUE"""),45097.0)</f>
        <v>45097</v>
      </c>
      <c r="I571" s="18">
        <f>IFERROR(__xludf.DUMMYFUNCTION("""COMPUTED_VALUE"""),1.4361111111111111)</f>
        <v>1.436111111</v>
      </c>
      <c r="J571" s="22">
        <f>IFERROR(__xludf.DUMMYFUNCTION("""COMPUTED_VALUE"""),75.0)</f>
        <v>75</v>
      </c>
      <c r="K571" s="22">
        <f>IFERROR(__xludf.DUMMYFUNCTION("""COMPUTED_VALUE"""),24.0)</f>
        <v>24</v>
      </c>
      <c r="L571" s="26" t="str">
        <f>IFERROR(__xludf.DUMMYFUNCTION("""COMPUTED_VALUE"""),"Strategy")</f>
        <v>Strategy</v>
      </c>
      <c r="M571" s="13" t="b">
        <f>NOT(ISNA(VLOOKUP(A571,PC!A:A,1,FALSE)))</f>
        <v>1</v>
      </c>
      <c r="N571" s="13" t="b">
        <f>NOT(ISNA(VLOOKUP(A571,'Game Pass Premium'!A:A,1,FALSE)))</f>
        <v>1</v>
      </c>
      <c r="O571" s="13" t="b">
        <f>NOT(ISNA(VLOOKUP(A571,'Game Pass Essential'!A:A,1,FALSE)))</f>
        <v>0</v>
      </c>
    </row>
    <row r="572">
      <c r="A572" s="12" t="str">
        <f>IFERROR(__xludf.DUMMYFUNCTION("""COMPUTED_VALUE"""),"South Park: The Fractured but Whole")</f>
        <v>South Park: The Fractured but Whole</v>
      </c>
      <c r="B572" s="13" t="str">
        <f>IFERROR(__xludf.DUMMYFUNCTION("""COMPUTED_VALUE"""),"Xbox / PC")</f>
        <v>Xbox / PC</v>
      </c>
      <c r="C572" s="14" t="str">
        <f>IFERROR(__xludf.DUMMYFUNCTION("""COMPUTED_VALUE"""),"Yes")</f>
        <v>Yes</v>
      </c>
      <c r="D572" s="14" t="str">
        <f>IFERROR(__xludf.DUMMYFUNCTION("""COMPUTED_VALUE"""),"Active")</f>
        <v>Active</v>
      </c>
      <c r="E572" s="15">
        <f>IFERROR(__xludf.DUMMYFUNCTION("""COMPUTED_VALUE"""),45581.0)</f>
        <v>45581</v>
      </c>
      <c r="F572" s="16"/>
      <c r="G572" s="18">
        <f>IFERROR(__xludf.DUMMYFUNCTION("""COMPUTED_VALUE"""),23.666666666666668)</f>
        <v>23.66666667</v>
      </c>
      <c r="H572" s="15">
        <f>IFERROR(__xludf.DUMMYFUNCTION("""COMPUTED_VALUE"""),43312.0)</f>
        <v>43312</v>
      </c>
      <c r="I572" s="18">
        <f>IFERROR(__xludf.DUMMYFUNCTION("""COMPUTED_VALUE"""),6.211111111111111)</f>
        <v>6.211111111</v>
      </c>
      <c r="J572" s="22">
        <f>IFERROR(__xludf.DUMMYFUNCTION("""COMPUTED_VALUE"""),75.0)</f>
        <v>75</v>
      </c>
      <c r="K572" s="22">
        <f>IFERROR(__xludf.DUMMYFUNCTION("""COMPUTED_VALUE"""),18.0)</f>
        <v>18</v>
      </c>
      <c r="L572" s="26" t="str">
        <f>IFERROR(__xludf.DUMMYFUNCTION("""COMPUTED_VALUE"""),"RPG")</f>
        <v>RPG</v>
      </c>
      <c r="M572" s="13" t="b">
        <f>NOT(ISNA(VLOOKUP(A572,PC!A:A,1,FALSE)))</f>
        <v>1</v>
      </c>
      <c r="N572" s="13" t="b">
        <f>NOT(ISNA(VLOOKUP(A572,'Game Pass Premium'!A:A,1,FALSE)))</f>
        <v>0</v>
      </c>
      <c r="O572" s="13" t="b">
        <f>NOT(ISNA(VLOOKUP(A572,'Game Pass Essential'!A:A,1,FALSE)))</f>
        <v>0</v>
      </c>
    </row>
    <row r="573">
      <c r="A573" s="12" t="str">
        <f>IFERROR(__xludf.DUMMYFUNCTION("""COMPUTED_VALUE"""),"Disney Dreamlight Valley: Founder's Edition")</f>
        <v>Disney Dreamlight Valley: Founder's Edition</v>
      </c>
      <c r="B573" s="13" t="str">
        <f>IFERROR(__xludf.DUMMYFUNCTION("""COMPUTED_VALUE"""),"Xbox / PC")</f>
        <v>Xbox / PC</v>
      </c>
      <c r="C573" s="14" t="str">
        <f>IFERROR(__xludf.DUMMYFUNCTION("""COMPUTED_VALUE"""),"Touch Controls")</f>
        <v>Touch Controls</v>
      </c>
      <c r="D573" s="14" t="str">
        <f>IFERROR(__xludf.DUMMYFUNCTION("""COMPUTED_VALUE"""),"Active")</f>
        <v>Active</v>
      </c>
      <c r="E573" s="15">
        <f>IFERROR(__xludf.DUMMYFUNCTION("""COMPUTED_VALUE"""),44810.0)</f>
        <v>44810</v>
      </c>
      <c r="F573" s="16"/>
      <c r="G573" s="18">
        <f>IFERROR(__xludf.DUMMYFUNCTION("""COMPUTED_VALUE"""),49.0)</f>
        <v>49</v>
      </c>
      <c r="H573" s="15">
        <f>IFERROR(__xludf.DUMMYFUNCTION("""COMPUTED_VALUE"""),44810.0)</f>
        <v>44810</v>
      </c>
      <c r="I573" s="18">
        <f>IFERROR(__xludf.DUMMYFUNCTION("""COMPUTED_VALUE"""),0.0)</f>
        <v>0</v>
      </c>
      <c r="J573" s="22">
        <f>IFERROR(__xludf.DUMMYFUNCTION("""COMPUTED_VALUE"""),75.0)</f>
        <v>75</v>
      </c>
      <c r="K573" s="22">
        <f>IFERROR(__xludf.DUMMYFUNCTION("""COMPUTED_VALUE"""),15.5)</f>
        <v>15.5</v>
      </c>
      <c r="L573" s="26" t="str">
        <f>IFERROR(__xludf.DUMMYFUNCTION("""COMPUTED_VALUE"""),"Simulation")</f>
        <v>Simulation</v>
      </c>
      <c r="M573" s="13" t="b">
        <f>NOT(ISNA(VLOOKUP(A573,PC!A:A,1,FALSE)))</f>
        <v>1</v>
      </c>
      <c r="N573" s="13" t="b">
        <f>NOT(ISNA(VLOOKUP(A573,'Game Pass Premium'!A:A,1,FALSE)))</f>
        <v>1</v>
      </c>
      <c r="O573" s="13" t="b">
        <f>NOT(ISNA(VLOOKUP(A573,'Game Pass Essential'!A:A,1,FALSE)))</f>
        <v>1</v>
      </c>
    </row>
    <row r="574">
      <c r="A574" s="12" t="str">
        <f>IFERROR(__xludf.DUMMYFUNCTION("""COMPUTED_VALUE"""),"GRID: Legends")</f>
        <v>GRID: Legends</v>
      </c>
      <c r="B574" s="13" t="str">
        <f>IFERROR(__xludf.DUMMYFUNCTION("""COMPUTED_VALUE"""),"Xbox / PC")</f>
        <v>Xbox / PC</v>
      </c>
      <c r="C574" s="14" t="str">
        <f>IFERROR(__xludf.DUMMYFUNCTION("""COMPUTED_VALUE"""),"Yes")</f>
        <v>Yes</v>
      </c>
      <c r="D574" s="14" t="str">
        <f>IFERROR(__xludf.DUMMYFUNCTION("""COMPUTED_VALUE"""),"Active")</f>
        <v>Active</v>
      </c>
      <c r="E574" s="15">
        <f>IFERROR(__xludf.DUMMYFUNCTION("""COMPUTED_VALUE"""),44805.0)</f>
        <v>44805</v>
      </c>
      <c r="F574" s="16"/>
      <c r="G574" s="18">
        <f>IFERROR(__xludf.DUMMYFUNCTION("""COMPUTED_VALUE"""),49.16666666666667)</f>
        <v>49.16666667</v>
      </c>
      <c r="H574" s="15">
        <f>IFERROR(__xludf.DUMMYFUNCTION("""COMPUTED_VALUE"""),44617.0)</f>
        <v>44617</v>
      </c>
      <c r="I574" s="18">
        <f>IFERROR(__xludf.DUMMYFUNCTION("""COMPUTED_VALUE"""),0.5166666666666667)</f>
        <v>0.5166666667</v>
      </c>
      <c r="J574" s="22">
        <f>IFERROR(__xludf.DUMMYFUNCTION("""COMPUTED_VALUE"""),75.0)</f>
        <v>75</v>
      </c>
      <c r="K574" s="22">
        <f>IFERROR(__xludf.DUMMYFUNCTION("""COMPUTED_VALUE"""),6.0)</f>
        <v>6</v>
      </c>
      <c r="L574" s="26" t="str">
        <f>IFERROR(__xludf.DUMMYFUNCTION("""COMPUTED_VALUE"""),"Racing")</f>
        <v>Racing</v>
      </c>
      <c r="M574" s="13" t="b">
        <f>NOT(ISNA(VLOOKUP(A574,PC!A:A,1,FALSE)))</f>
        <v>1</v>
      </c>
      <c r="N574" s="13" t="b">
        <f>NOT(ISNA(VLOOKUP(A574,'Game Pass Premium'!A:A,1,FALSE)))</f>
        <v>1</v>
      </c>
      <c r="O574" s="13" t="b">
        <f>NOT(ISNA(VLOOKUP(A574,'Game Pass Essential'!A:A,1,FALSE)))</f>
        <v>0</v>
      </c>
    </row>
    <row r="575">
      <c r="A575" s="12" t="str">
        <f>IFERROR(__xludf.DUMMYFUNCTION("""COMPUTED_VALUE"""),"Need for Speed: Rivals - Complete Edition")</f>
        <v>Need for Speed: Rivals - Complete Edition</v>
      </c>
      <c r="B575" s="13" t="str">
        <f>IFERROR(__xludf.DUMMYFUNCTION("""COMPUTED_VALUE"""),"Xbox / PC")</f>
        <v>Xbox / PC</v>
      </c>
      <c r="C575" s="14"/>
      <c r="D575" s="14" t="str">
        <f>IFERROR(__xludf.DUMMYFUNCTION("""COMPUTED_VALUE"""),"Active")</f>
        <v>Active</v>
      </c>
      <c r="E575" s="15">
        <f>IFERROR(__xludf.DUMMYFUNCTION("""COMPUTED_VALUE"""),44145.0)</f>
        <v>44145</v>
      </c>
      <c r="F575" s="16"/>
      <c r="G575" s="18">
        <f>IFERROR(__xludf.DUMMYFUNCTION("""COMPUTED_VALUE"""),70.86666666666667)</f>
        <v>70.86666667</v>
      </c>
      <c r="H575" s="15">
        <f>IFERROR(__xludf.DUMMYFUNCTION("""COMPUTED_VALUE"""),41593.0)</f>
        <v>41593</v>
      </c>
      <c r="I575" s="18">
        <f>IFERROR(__xludf.DUMMYFUNCTION("""COMPUTED_VALUE"""),6.986111111111111)</f>
        <v>6.986111111</v>
      </c>
      <c r="J575" s="22">
        <f>IFERROR(__xludf.DUMMYFUNCTION("""COMPUTED_VALUE"""),75.0)</f>
        <v>75</v>
      </c>
      <c r="K575" s="22">
        <f>IFERROR(__xludf.DUMMYFUNCTION("""COMPUTED_VALUE"""),13.0)</f>
        <v>13</v>
      </c>
      <c r="L575" s="26" t="str">
        <f>IFERROR(__xludf.DUMMYFUNCTION("""COMPUTED_VALUE"""),"Racing")</f>
        <v>Racing</v>
      </c>
      <c r="M575" s="13" t="b">
        <f>NOT(ISNA(VLOOKUP(A575,PC!A:A,1,FALSE)))</f>
        <v>1</v>
      </c>
      <c r="N575" s="13" t="b">
        <f>NOT(ISNA(VLOOKUP(A575,'Game Pass Premium'!A:A,1,FALSE)))</f>
        <v>1</v>
      </c>
      <c r="O575" s="13" t="b">
        <f>NOT(ISNA(VLOOKUP(A575,'Game Pass Essential'!A:A,1,FALSE)))</f>
        <v>0</v>
      </c>
    </row>
    <row r="576">
      <c r="A576" s="12" t="str">
        <f>IFERROR(__xludf.DUMMYFUNCTION("""COMPUTED_VALUE"""),"Star Wars Battlefront: Ultimate Edition")</f>
        <v>Star Wars Battlefront: Ultimate Edition</v>
      </c>
      <c r="B576" s="13" t="str">
        <f>IFERROR(__xludf.DUMMYFUNCTION("""COMPUTED_VALUE"""),"Xbox / PC")</f>
        <v>Xbox / PC</v>
      </c>
      <c r="C576" s="14"/>
      <c r="D576" s="14" t="str">
        <f>IFERROR(__xludf.DUMMYFUNCTION("""COMPUTED_VALUE"""),"Active")</f>
        <v>Active</v>
      </c>
      <c r="E576" s="15">
        <f>IFERROR(__xludf.DUMMYFUNCTION("""COMPUTED_VALUE"""),44145.0)</f>
        <v>44145</v>
      </c>
      <c r="F576" s="16"/>
      <c r="G576" s="18">
        <f>IFERROR(__xludf.DUMMYFUNCTION("""COMPUTED_VALUE"""),70.86666666666667)</f>
        <v>70.86666667</v>
      </c>
      <c r="H576" s="15">
        <f>IFERROR(__xludf.DUMMYFUNCTION("""COMPUTED_VALUE"""),42325.0)</f>
        <v>42325</v>
      </c>
      <c r="I576" s="18">
        <f>IFERROR(__xludf.DUMMYFUNCTION("""COMPUTED_VALUE"""),4.980555555555555)</f>
        <v>4.980555556</v>
      </c>
      <c r="J576" s="22">
        <f>IFERROR(__xludf.DUMMYFUNCTION("""COMPUTED_VALUE"""),75.0)</f>
        <v>75</v>
      </c>
      <c r="K576" s="22">
        <f>IFERROR(__xludf.DUMMYFUNCTION("""COMPUTED_VALUE"""),14.5)</f>
        <v>14.5</v>
      </c>
      <c r="L576" s="26" t="str">
        <f>IFERROR(__xludf.DUMMYFUNCTION("""COMPUTED_VALUE"""),"Shooter")</f>
        <v>Shooter</v>
      </c>
      <c r="M576" s="13" t="b">
        <f>NOT(ISNA(VLOOKUP(A576,PC!A:A,1,FALSE)))</f>
        <v>1</v>
      </c>
      <c r="N576" s="13" t="b">
        <f>NOT(ISNA(VLOOKUP(A576,'Game Pass Premium'!A:A,1,FALSE)))</f>
        <v>1</v>
      </c>
      <c r="O576" s="13" t="b">
        <f>NOT(ISNA(VLOOKUP(A576,'Game Pass Essential'!A:A,1,FALSE)))</f>
        <v>0</v>
      </c>
    </row>
    <row r="577">
      <c r="A577" s="12" t="str">
        <f>IFERROR(__xludf.DUMMYFUNCTION("""COMPUTED_VALUE"""),"Unravel")</f>
        <v>Unravel</v>
      </c>
      <c r="B577" s="13" t="str">
        <f>IFERROR(__xludf.DUMMYFUNCTION("""COMPUTED_VALUE"""),"Xbox / PC")</f>
        <v>Xbox / PC</v>
      </c>
      <c r="C577" s="14"/>
      <c r="D577" s="14" t="str">
        <f>IFERROR(__xludf.DUMMYFUNCTION("""COMPUTED_VALUE"""),"Active")</f>
        <v>Active</v>
      </c>
      <c r="E577" s="15">
        <f>IFERROR(__xludf.DUMMYFUNCTION("""COMPUTED_VALUE"""),44145.0)</f>
        <v>44145</v>
      </c>
      <c r="F577" s="16"/>
      <c r="G577" s="18">
        <f>IFERROR(__xludf.DUMMYFUNCTION("""COMPUTED_VALUE"""),70.86666666666667)</f>
        <v>70.86666667</v>
      </c>
      <c r="H577" s="15">
        <f>IFERROR(__xludf.DUMMYFUNCTION("""COMPUTED_VALUE"""),42409.0)</f>
        <v>42409</v>
      </c>
      <c r="I577" s="18">
        <f>IFERROR(__xludf.DUMMYFUNCTION("""COMPUTED_VALUE"""),4.752777777777778)</f>
        <v>4.752777778</v>
      </c>
      <c r="J577" s="22">
        <f>IFERROR(__xludf.DUMMYFUNCTION("""COMPUTED_VALUE"""),75.0)</f>
        <v>75</v>
      </c>
      <c r="K577" s="22">
        <f>IFERROR(__xludf.DUMMYFUNCTION("""COMPUTED_VALUE"""),6.0)</f>
        <v>6</v>
      </c>
      <c r="L577" s="26" t="str">
        <f>IFERROR(__xludf.DUMMYFUNCTION("""COMPUTED_VALUE"""),"Platformer")</f>
        <v>Platformer</v>
      </c>
      <c r="M577" s="13" t="b">
        <f>NOT(ISNA(VLOOKUP(A577,PC!A:A,1,FALSE)))</f>
        <v>1</v>
      </c>
      <c r="N577" s="13" t="b">
        <f>NOT(ISNA(VLOOKUP(A577,'Game Pass Premium'!A:A,1,FALSE)))</f>
        <v>1</v>
      </c>
      <c r="O577" s="13" t="b">
        <f>NOT(ISNA(VLOOKUP(A577,'Game Pass Essential'!A:A,1,FALSE)))</f>
        <v>0</v>
      </c>
    </row>
    <row r="578">
      <c r="A578" s="12" t="str">
        <f>IFERROR(__xludf.DUMMYFUNCTION("""COMPUTED_VALUE"""),"de Blob 2")</f>
        <v>de Blob 2</v>
      </c>
      <c r="B578" s="13" t="str">
        <f>IFERROR(__xludf.DUMMYFUNCTION("""COMPUTED_VALUE"""),"XB360/OG Xbox")</f>
        <v>XB360/OG Xbox</v>
      </c>
      <c r="C578" s="14"/>
      <c r="D578" s="14" t="str">
        <f>IFERROR(__xludf.DUMMYFUNCTION("""COMPUTED_VALUE"""),"GwG Permanent")</f>
        <v>GwG Permanent</v>
      </c>
      <c r="E578" s="15">
        <f>IFERROR(__xludf.DUMMYFUNCTION("""COMPUTED_VALUE"""),44075.0)</f>
        <v>44075</v>
      </c>
      <c r="F578" s="16">
        <f>IFERROR(__xludf.DUMMYFUNCTION("""COMPUTED_VALUE"""),44089.0)</f>
        <v>44089</v>
      </c>
      <c r="G578" s="18">
        <f>IFERROR(__xludf.DUMMYFUNCTION("""COMPUTED_VALUE"""),0.4666666666666667)</f>
        <v>0.4666666667</v>
      </c>
      <c r="H578" s="15">
        <f>IFERROR(__xludf.DUMMYFUNCTION("""COMPUTED_VALUE"""),40596.0)</f>
        <v>40596</v>
      </c>
      <c r="I578" s="18">
        <f>IFERROR(__xludf.DUMMYFUNCTION("""COMPUTED_VALUE"""),9.525)</f>
        <v>9.525</v>
      </c>
      <c r="J578" s="22">
        <f>IFERROR(__xludf.DUMMYFUNCTION("""COMPUTED_VALUE"""),75.0)</f>
        <v>75</v>
      </c>
      <c r="K578" s="22">
        <f>IFERROR(__xludf.DUMMYFUNCTION("""COMPUTED_VALUE"""),11.0)</f>
        <v>11</v>
      </c>
      <c r="L578" s="26" t="str">
        <f>IFERROR(__xludf.DUMMYFUNCTION("""COMPUTED_VALUE"""),"Action-Adventure")</f>
        <v>Action-Adventure</v>
      </c>
      <c r="M578" s="13" t="b">
        <f>NOT(ISNA(VLOOKUP(A578,PC!A:A,1,FALSE)))</f>
        <v>0</v>
      </c>
      <c r="N578" s="13" t="b">
        <f>NOT(ISNA(VLOOKUP(A578,'Game Pass Premium'!A:A,1,FALSE)))</f>
        <v>0</v>
      </c>
      <c r="O578" s="13" t="b">
        <f>NOT(ISNA(VLOOKUP(A578,'Game Pass Essential'!A:A,1,FALSE)))</f>
        <v>0</v>
      </c>
    </row>
    <row r="579">
      <c r="A579" s="12" t="str">
        <f>IFERROR(__xludf.DUMMYFUNCTION("""COMPUTED_VALUE"""),"Star Wars Battlefront")</f>
        <v>Star Wars Battlefront</v>
      </c>
      <c r="B579" s="13" t="str">
        <f>IFERROR(__xludf.DUMMYFUNCTION("""COMPUTED_VALUE"""),"XB360/OG Xbox")</f>
        <v>XB360/OG Xbox</v>
      </c>
      <c r="C579" s="14"/>
      <c r="D579" s="14" t="str">
        <f>IFERROR(__xludf.DUMMYFUNCTION("""COMPUTED_VALUE"""),"GwG Permanent")</f>
        <v>GwG Permanent</v>
      </c>
      <c r="E579" s="15">
        <f>IFERROR(__xludf.DUMMYFUNCTION("""COMPUTED_VALUE"""),43877.0)</f>
        <v>43877</v>
      </c>
      <c r="F579" s="16">
        <f>IFERROR(__xludf.DUMMYFUNCTION("""COMPUTED_VALUE"""),43890.0)</f>
        <v>43890</v>
      </c>
      <c r="G579" s="18">
        <f>IFERROR(__xludf.DUMMYFUNCTION("""COMPUTED_VALUE"""),0.4333333333333333)</f>
        <v>0.4333333333</v>
      </c>
      <c r="H579" s="15">
        <f>IFERROR(__xludf.DUMMYFUNCTION("""COMPUTED_VALUE"""),42325.0)</f>
        <v>42325</v>
      </c>
      <c r="I579" s="18">
        <f>IFERROR(__xludf.DUMMYFUNCTION("""COMPUTED_VALUE"""),4.247222222222222)</f>
        <v>4.247222222</v>
      </c>
      <c r="J579" s="22">
        <f>IFERROR(__xludf.DUMMYFUNCTION("""COMPUTED_VALUE"""),75.0)</f>
        <v>75</v>
      </c>
      <c r="K579" s="22">
        <f>IFERROR(__xludf.DUMMYFUNCTION("""COMPUTED_VALUE"""),7.0)</f>
        <v>7</v>
      </c>
      <c r="L579" s="26" t="str">
        <f>IFERROR(__xludf.DUMMYFUNCTION("""COMPUTED_VALUE"""),"Shooter")</f>
        <v>Shooter</v>
      </c>
      <c r="M579" s="13" t="b">
        <f>NOT(ISNA(VLOOKUP(A579,PC!A:A,1,FALSE)))</f>
        <v>0</v>
      </c>
      <c r="N579" s="13" t="b">
        <f>NOT(ISNA(VLOOKUP(A579,'Game Pass Premium'!A:A,1,FALSE)))</f>
        <v>0</v>
      </c>
      <c r="O579" s="13" t="b">
        <f>NOT(ISNA(VLOOKUP(A579,'Game Pass Essential'!A:A,1,FALSE)))</f>
        <v>0</v>
      </c>
    </row>
    <row r="580">
      <c r="A580" s="12" t="str">
        <f>IFERROR(__xludf.DUMMYFUNCTION("""COMPUTED_VALUE"""),"Toy Story 3")</f>
        <v>Toy Story 3</v>
      </c>
      <c r="B580" s="13" t="str">
        <f>IFERROR(__xludf.DUMMYFUNCTION("""COMPUTED_VALUE"""),"XB360/OG Xbox")</f>
        <v>XB360/OG Xbox</v>
      </c>
      <c r="C580" s="14"/>
      <c r="D580" s="14" t="str">
        <f>IFERROR(__xludf.DUMMYFUNCTION("""COMPUTED_VALUE"""),"GwG Permanent")</f>
        <v>GwG Permanent</v>
      </c>
      <c r="E580" s="15">
        <f>IFERROR(__xludf.DUMMYFUNCTION("""COMPUTED_VALUE"""),43800.0)</f>
        <v>43800</v>
      </c>
      <c r="F580" s="16">
        <f>IFERROR(__xludf.DUMMYFUNCTION("""COMPUTED_VALUE"""),43814.0)</f>
        <v>43814</v>
      </c>
      <c r="G580" s="18">
        <f>IFERROR(__xludf.DUMMYFUNCTION("""COMPUTED_VALUE"""),0.4666666666666667)</f>
        <v>0.4666666667</v>
      </c>
      <c r="H580" s="15">
        <f>IFERROR(__xludf.DUMMYFUNCTION("""COMPUTED_VALUE"""),40344.0)</f>
        <v>40344</v>
      </c>
      <c r="I580" s="18">
        <f>IFERROR(__xludf.DUMMYFUNCTION("""COMPUTED_VALUE"""),9.46111111111111)</f>
        <v>9.461111111</v>
      </c>
      <c r="J580" s="22">
        <f>IFERROR(__xludf.DUMMYFUNCTION("""COMPUTED_VALUE"""),75.0)</f>
        <v>75</v>
      </c>
      <c r="K580" s="22">
        <f>IFERROR(__xludf.DUMMYFUNCTION("""COMPUTED_VALUE"""),4.0)</f>
        <v>4</v>
      </c>
      <c r="L580" s="26" t="str">
        <f>IFERROR(__xludf.DUMMYFUNCTION("""COMPUTED_VALUE"""),"Action-Adventure")</f>
        <v>Action-Adventure</v>
      </c>
      <c r="M580" s="13" t="b">
        <f>NOT(ISNA(VLOOKUP(A580,PC!A:A,1,FALSE)))</f>
        <v>0</v>
      </c>
      <c r="N580" s="13" t="b">
        <f>NOT(ISNA(VLOOKUP(A580,'Game Pass Premium'!A:A,1,FALSE)))</f>
        <v>0</v>
      </c>
      <c r="O580" s="13" t="b">
        <f>NOT(ISNA(VLOOKUP(A580,'Game Pass Essential'!A:A,1,FALSE)))</f>
        <v>0</v>
      </c>
    </row>
    <row r="581">
      <c r="A581" s="12" t="str">
        <f>IFERROR(__xludf.DUMMYFUNCTION("""COMPUTED_VALUE"""),"Comic Jumper")</f>
        <v>Comic Jumper</v>
      </c>
      <c r="B581" s="13" t="str">
        <f>IFERROR(__xludf.DUMMYFUNCTION("""COMPUTED_VALUE"""),"XB360/OG Xbox")</f>
        <v>XB360/OG Xbox</v>
      </c>
      <c r="C581" s="14"/>
      <c r="D581" s="14" t="str">
        <f>IFERROR(__xludf.DUMMYFUNCTION("""COMPUTED_VALUE"""),"GwG Permanent")</f>
        <v>GwG Permanent</v>
      </c>
      <c r="E581" s="15">
        <f>IFERROR(__xludf.DUMMYFUNCTION("""COMPUTED_VALUE"""),43601.0)</f>
        <v>43601</v>
      </c>
      <c r="F581" s="16">
        <f>IFERROR(__xludf.DUMMYFUNCTION("""COMPUTED_VALUE"""),43616.0)</f>
        <v>43616</v>
      </c>
      <c r="G581" s="18">
        <f>IFERROR(__xludf.DUMMYFUNCTION("""COMPUTED_VALUE"""),0.4666666666666667)</f>
        <v>0.4666666667</v>
      </c>
      <c r="H581" s="15">
        <f>IFERROR(__xludf.DUMMYFUNCTION("""COMPUTED_VALUE"""),41207.0)</f>
        <v>41207</v>
      </c>
      <c r="I581" s="18">
        <f>IFERROR(__xludf.DUMMYFUNCTION("""COMPUTED_VALUE"""),6.558333333333334)</f>
        <v>6.558333333</v>
      </c>
      <c r="J581" s="22">
        <f>IFERROR(__xludf.DUMMYFUNCTION("""COMPUTED_VALUE"""),75.0)</f>
        <v>75</v>
      </c>
      <c r="K581" s="22">
        <f>IFERROR(__xludf.DUMMYFUNCTION("""COMPUTED_VALUE"""),4.0)</f>
        <v>4</v>
      </c>
      <c r="L581" s="26" t="str">
        <f>IFERROR(__xludf.DUMMYFUNCTION("""COMPUTED_VALUE"""),"Action-Adventure")</f>
        <v>Action-Adventure</v>
      </c>
      <c r="M581" s="13" t="b">
        <f>NOT(ISNA(VLOOKUP(A581,PC!A:A,1,FALSE)))</f>
        <v>0</v>
      </c>
      <c r="N581" s="13" t="b">
        <f>NOT(ISNA(VLOOKUP(A581,'Game Pass Premium'!A:A,1,FALSE)))</f>
        <v>0</v>
      </c>
      <c r="O581" s="13" t="b">
        <f>NOT(ISNA(VLOOKUP(A581,'Game Pass Essential'!A:A,1,FALSE)))</f>
        <v>0</v>
      </c>
    </row>
    <row r="582">
      <c r="A582" s="12" t="str">
        <f>IFERROR(__xludf.DUMMYFUNCTION("""COMPUTED_VALUE"""),"Sega Vintage Collection: Monster World")</f>
        <v>Sega Vintage Collection: Monster World</v>
      </c>
      <c r="B582" s="13" t="str">
        <f>IFERROR(__xludf.DUMMYFUNCTION("""COMPUTED_VALUE"""),"XB360/OG Xbox")</f>
        <v>XB360/OG Xbox</v>
      </c>
      <c r="C582" s="14"/>
      <c r="D582" s="14" t="str">
        <f>IFERROR(__xludf.DUMMYFUNCTION("""COMPUTED_VALUE"""),"GwG Permanent")</f>
        <v>GwG Permanent</v>
      </c>
      <c r="E582" s="15">
        <f>IFERROR(__xludf.DUMMYFUNCTION("""COMPUTED_VALUE"""),43359.0)</f>
        <v>43359</v>
      </c>
      <c r="F582" s="16">
        <f>IFERROR(__xludf.DUMMYFUNCTION("""COMPUTED_VALUE"""),43373.0)</f>
        <v>43373</v>
      </c>
      <c r="G582" s="18">
        <f>IFERROR(__xludf.DUMMYFUNCTION("""COMPUTED_VALUE"""),0.4666666666666667)</f>
        <v>0.4666666667</v>
      </c>
      <c r="H582" s="15">
        <f>IFERROR(__xludf.DUMMYFUNCTION("""COMPUTED_VALUE"""),41744.0)</f>
        <v>41744</v>
      </c>
      <c r="I582" s="18">
        <f>IFERROR(__xludf.DUMMYFUNCTION("""COMPUTED_VALUE"""),4.419444444444444)</f>
        <v>4.419444444</v>
      </c>
      <c r="J582" s="22">
        <f>IFERROR(__xludf.DUMMYFUNCTION("""COMPUTED_VALUE"""),75.0)</f>
        <v>75</v>
      </c>
      <c r="K582" s="22">
        <f>IFERROR(__xludf.DUMMYFUNCTION("""COMPUTED_VALUE"""),5.0)</f>
        <v>5</v>
      </c>
      <c r="L582" s="26" t="str">
        <f>IFERROR(__xludf.DUMMYFUNCTION("""COMPUTED_VALUE"""),"Compilation")</f>
        <v>Compilation</v>
      </c>
      <c r="M582" s="13" t="b">
        <f>NOT(ISNA(VLOOKUP(A582,PC!A:A,1,FALSE)))</f>
        <v>0</v>
      </c>
      <c r="N582" s="13" t="b">
        <f>NOT(ISNA(VLOOKUP(A582,'Game Pass Premium'!A:A,1,FALSE)))</f>
        <v>0</v>
      </c>
      <c r="O582" s="13" t="b">
        <f>NOT(ISNA(VLOOKUP(A582,'Game Pass Essential'!A:A,1,FALSE)))</f>
        <v>0</v>
      </c>
    </row>
    <row r="583">
      <c r="A583" s="12" t="str">
        <f>IFERROR(__xludf.DUMMYFUNCTION("""COMPUTED_VALUE"""),"Magic: The Gathering - Duels of the Planeswalkers 2013")</f>
        <v>Magic: The Gathering - Duels of the Planeswalkers 2013</v>
      </c>
      <c r="B583" s="13" t="str">
        <f>IFERROR(__xludf.DUMMYFUNCTION("""COMPUTED_VALUE"""),"XB360/OG Xbox")</f>
        <v>XB360/OG Xbox</v>
      </c>
      <c r="C583" s="14"/>
      <c r="D583" s="14" t="str">
        <f>IFERROR(__xludf.DUMMYFUNCTION("""COMPUTED_VALUE"""),"GwG Permanent")</f>
        <v>GwG Permanent</v>
      </c>
      <c r="E583" s="15">
        <f>IFERROR(__xludf.DUMMYFUNCTION("""COMPUTED_VALUE"""),41518.0)</f>
        <v>41518</v>
      </c>
      <c r="F583" s="16">
        <f>IFERROR(__xludf.DUMMYFUNCTION("""COMPUTED_VALUE"""),41532.0)</f>
        <v>41532</v>
      </c>
      <c r="G583" s="18">
        <f>IFERROR(__xludf.DUMMYFUNCTION("""COMPUTED_VALUE"""),0.4666666666666667)</f>
        <v>0.4666666667</v>
      </c>
      <c r="H583" s="15">
        <f>IFERROR(__xludf.DUMMYFUNCTION("""COMPUTED_VALUE"""),41109.0)</f>
        <v>41109</v>
      </c>
      <c r="I583" s="18">
        <f>IFERROR(__xludf.DUMMYFUNCTION("""COMPUTED_VALUE"""),1.1166666666666667)</f>
        <v>1.116666667</v>
      </c>
      <c r="J583" s="22">
        <f>IFERROR(__xludf.DUMMYFUNCTION("""COMPUTED_VALUE"""),75.0)</f>
        <v>75</v>
      </c>
      <c r="K583" s="22">
        <f>IFERROR(__xludf.DUMMYFUNCTION("""COMPUTED_VALUE"""),10.0)</f>
        <v>10</v>
      </c>
      <c r="L583" s="26" t="str">
        <f>IFERROR(__xludf.DUMMYFUNCTION("""COMPUTED_VALUE"""),"Card Game")</f>
        <v>Card Game</v>
      </c>
      <c r="M583" s="13" t="b">
        <f>NOT(ISNA(VLOOKUP(A583,PC!A:A,1,FALSE)))</f>
        <v>0</v>
      </c>
      <c r="N583" s="13" t="b">
        <f>NOT(ISNA(VLOOKUP(A583,'Game Pass Premium'!A:A,1,FALSE)))</f>
        <v>0</v>
      </c>
      <c r="O583" s="13" t="b">
        <f>NOT(ISNA(VLOOKUP(A583,'Game Pass Essential'!A:A,1,FALSE)))</f>
        <v>0</v>
      </c>
    </row>
    <row r="584">
      <c r="A584" s="12" t="str">
        <f>IFERROR(__xludf.DUMMYFUNCTION("""COMPUTED_VALUE"""),"Blood Dungeon")</f>
        <v>Blood Dungeon</v>
      </c>
      <c r="B584" s="13" t="str">
        <f>IFERROR(__xludf.DUMMYFUNCTION("""COMPUTED_VALUE"""),"Xbox / PC")</f>
        <v>Xbox / PC</v>
      </c>
      <c r="C584" s="14" t="str">
        <f>IFERROR(__xludf.DUMMYFUNCTION("""COMPUTED_VALUE"""),"Yes")</f>
        <v>Yes</v>
      </c>
      <c r="D584" s="14" t="str">
        <f>IFERROR(__xludf.DUMMYFUNCTION("""COMPUTED_VALUE"""),"Active")</f>
        <v>Active</v>
      </c>
      <c r="E584" s="15">
        <f>IFERROR(__xludf.DUMMYFUNCTION("""COMPUTED_VALUE"""),46259.0)</f>
        <v>46259</v>
      </c>
      <c r="F584" s="16"/>
      <c r="G584" s="18">
        <f>IFERROR(__xludf.DUMMYFUNCTION("""COMPUTED_VALUE"""),1.3666666666666667)</f>
        <v>1.366666667</v>
      </c>
      <c r="H584" s="15">
        <f>IFERROR(__xludf.DUMMYFUNCTION("""COMPUTED_VALUE"""),46259.0)</f>
        <v>46259</v>
      </c>
      <c r="I584" s="18">
        <f>IFERROR(__xludf.DUMMYFUNCTION("""COMPUTED_VALUE"""),0.0)</f>
        <v>0</v>
      </c>
      <c r="J584" s="22">
        <f>IFERROR(__xludf.DUMMYFUNCTION("""COMPUTED_VALUE"""),74.0)</f>
        <v>74</v>
      </c>
      <c r="K584" s="22">
        <f>IFERROR(__xludf.DUMMYFUNCTION("""COMPUTED_VALUE"""),2.0)</f>
        <v>2</v>
      </c>
      <c r="L584" s="26" t="str">
        <f>IFERROR(__xludf.DUMMYFUNCTION("""COMPUTED_VALUE"""),"Action-Adventure")</f>
        <v>Action-Adventure</v>
      </c>
      <c r="M584" s="13" t="b">
        <f>NOT(ISNA(VLOOKUP(A584,PC!A:A,1,FALSE)))</f>
        <v>1</v>
      </c>
      <c r="N584" s="13" t="b">
        <f>NOT(ISNA(VLOOKUP(A584,'Game Pass Premium'!A:A,1,FALSE)))</f>
        <v>0</v>
      </c>
      <c r="O584" s="13" t="b">
        <f>NOT(ISNA(VLOOKUP(A584,'Game Pass Essential'!A:A,1,FALSE)))</f>
        <v>0</v>
      </c>
    </row>
    <row r="585">
      <c r="A585" s="12" t="str">
        <f>IFERROR(__xludf.DUMMYFUNCTION("""COMPUTED_VALUE"""),"The Thaumaturge")</f>
        <v>The Thaumaturge</v>
      </c>
      <c r="B585" s="13" t="str">
        <f>IFERROR(__xludf.DUMMYFUNCTION("""COMPUTED_VALUE"""),"Xbox / PC")</f>
        <v>Xbox / PC</v>
      </c>
      <c r="C585" s="14" t="str">
        <f>IFERROR(__xludf.DUMMYFUNCTION("""COMPUTED_VALUE"""),"Yes")</f>
        <v>Yes</v>
      </c>
      <c r="D585" s="14" t="str">
        <f>IFERROR(__xludf.DUMMYFUNCTION("""COMPUTED_VALUE"""),"Active")</f>
        <v>Active</v>
      </c>
      <c r="E585" s="15">
        <f>IFERROR(__xludf.DUMMYFUNCTION("""COMPUTED_VALUE"""),46126.0)</f>
        <v>46126</v>
      </c>
      <c r="F585" s="16"/>
      <c r="G585" s="18">
        <f>IFERROR(__xludf.DUMMYFUNCTION("""COMPUTED_VALUE"""),5.733333333333333)</f>
        <v>5.733333333</v>
      </c>
      <c r="H585" s="15">
        <f>IFERROR(__xludf.DUMMYFUNCTION("""COMPUTED_VALUE"""),45355.0)</f>
        <v>45355</v>
      </c>
      <c r="I585" s="18">
        <f>IFERROR(__xludf.DUMMYFUNCTION("""COMPUTED_VALUE"""),2.111111111111111)</f>
        <v>2.111111111</v>
      </c>
      <c r="J585" s="22">
        <f>IFERROR(__xludf.DUMMYFUNCTION("""COMPUTED_VALUE"""),74.0)</f>
        <v>74</v>
      </c>
      <c r="K585" s="22">
        <f>IFERROR(__xludf.DUMMYFUNCTION("""COMPUTED_VALUE"""),16.0)</f>
        <v>16</v>
      </c>
      <c r="L585" s="26" t="str">
        <f>IFERROR(__xludf.DUMMYFUNCTION("""COMPUTED_VALUE"""),"RPG")</f>
        <v>RPG</v>
      </c>
      <c r="M585" s="13" t="b">
        <f>NOT(ISNA(VLOOKUP(A585,PC!A:A,1,FALSE)))</f>
        <v>1</v>
      </c>
      <c r="N585" s="13" t="b">
        <f>NOT(ISNA(VLOOKUP(A585,'Game Pass Premium'!A:A,1,FALSE)))</f>
        <v>1</v>
      </c>
      <c r="O585" s="13" t="b">
        <f>NOT(ISNA(VLOOKUP(A585,'Game Pass Essential'!A:A,1,FALSE)))</f>
        <v>0</v>
      </c>
    </row>
    <row r="586">
      <c r="A586" s="12" t="str">
        <f>IFERROR(__xludf.DUMMYFUNCTION("""COMPUTED_VALUE"""),"Lost Records: Bloom &amp; Rage")</f>
        <v>Lost Records: Bloom &amp; Rage</v>
      </c>
      <c r="B586" s="13" t="str">
        <f>IFERROR(__xludf.DUMMYFUNCTION("""COMPUTED_VALUE"""),"Xbox / PC")</f>
        <v>Xbox / PC</v>
      </c>
      <c r="C586" s="14" t="str">
        <f>IFERROR(__xludf.DUMMYFUNCTION("""COMPUTED_VALUE"""),"Yes")</f>
        <v>Yes</v>
      </c>
      <c r="D586" s="14" t="str">
        <f>IFERROR(__xludf.DUMMYFUNCTION("""COMPUTED_VALUE"""),"Active")</f>
        <v>Active</v>
      </c>
      <c r="E586" s="15">
        <f>IFERROR(__xludf.DUMMYFUNCTION("""COMPUTED_VALUE"""),45993.0)</f>
        <v>45993</v>
      </c>
      <c r="F586" s="16"/>
      <c r="G586" s="18">
        <f>IFERROR(__xludf.DUMMYFUNCTION("""COMPUTED_VALUE"""),10.133333333333333)</f>
        <v>10.13333333</v>
      </c>
      <c r="H586" s="15">
        <f>IFERROR(__xludf.DUMMYFUNCTION("""COMPUTED_VALUE"""),45706.0)</f>
        <v>45706</v>
      </c>
      <c r="I586" s="18">
        <f>IFERROR(__xludf.DUMMYFUNCTION("""COMPUTED_VALUE"""),0.7888888888888889)</f>
        <v>0.7888888889</v>
      </c>
      <c r="J586" s="22">
        <f>IFERROR(__xludf.DUMMYFUNCTION("""COMPUTED_VALUE"""),74.0)</f>
        <v>74</v>
      </c>
      <c r="K586" s="22">
        <f>IFERROR(__xludf.DUMMYFUNCTION("""COMPUTED_VALUE"""),11.0)</f>
        <v>11</v>
      </c>
      <c r="L586" s="26" t="str">
        <f>IFERROR(__xludf.DUMMYFUNCTION("""COMPUTED_VALUE"""),"Action-Adventure")</f>
        <v>Action-Adventure</v>
      </c>
      <c r="M586" s="13" t="b">
        <f>NOT(ISNA(VLOOKUP(A586,PC!A:A,1,FALSE)))</f>
        <v>1</v>
      </c>
      <c r="N586" s="13" t="b">
        <f>NOT(ISNA(VLOOKUP(A586,'Game Pass Premium'!A:A,1,FALSE)))</f>
        <v>1</v>
      </c>
      <c r="O586" s="13" t="b">
        <f>NOT(ISNA(VLOOKUP(A586,'Game Pass Essential'!A:A,1,FALSE)))</f>
        <v>0</v>
      </c>
    </row>
    <row r="587">
      <c r="A587" s="12" t="str">
        <f>IFERROR(__xludf.DUMMYFUNCTION("""COMPUTED_VALUE"""),"Lara Croft and the Temple of Osiris")</f>
        <v>Lara Croft and the Temple of Osiris</v>
      </c>
      <c r="B587" s="13" t="str">
        <f>IFERROR(__xludf.DUMMYFUNCTION("""COMPUTED_VALUE"""),"Xbox / PC")</f>
        <v>Xbox / PC</v>
      </c>
      <c r="C587" s="14" t="str">
        <f>IFERROR(__xludf.DUMMYFUNCTION("""COMPUTED_VALUE"""),"Yes")</f>
        <v>Yes</v>
      </c>
      <c r="D587" s="14" t="str">
        <f>IFERROR(__xludf.DUMMYFUNCTION("""COMPUTED_VALUE"""),"Active")</f>
        <v>Active</v>
      </c>
      <c r="E587" s="15">
        <f>IFERROR(__xludf.DUMMYFUNCTION("""COMPUTED_VALUE"""),45972.0)</f>
        <v>45972</v>
      </c>
      <c r="F587" s="16"/>
      <c r="G587" s="18">
        <f>IFERROR(__xludf.DUMMYFUNCTION("""COMPUTED_VALUE"""),10.833333333333334)</f>
        <v>10.83333333</v>
      </c>
      <c r="H587" s="15">
        <f>IFERROR(__xludf.DUMMYFUNCTION("""COMPUTED_VALUE"""),41982.0)</f>
        <v>41982</v>
      </c>
      <c r="I587" s="18">
        <f>IFERROR(__xludf.DUMMYFUNCTION("""COMPUTED_VALUE"""),10.922222222222222)</f>
        <v>10.92222222</v>
      </c>
      <c r="J587" s="22">
        <f>IFERROR(__xludf.DUMMYFUNCTION("""COMPUTED_VALUE"""),74.0)</f>
        <v>74</v>
      </c>
      <c r="K587" s="22">
        <f>IFERROR(__xludf.DUMMYFUNCTION("""COMPUTED_VALUE"""),5.0)</f>
        <v>5</v>
      </c>
      <c r="L587" s="26" t="str">
        <f>IFERROR(__xludf.DUMMYFUNCTION("""COMPUTED_VALUE"""),"Action-Adventure")</f>
        <v>Action-Adventure</v>
      </c>
      <c r="M587" s="13" t="b">
        <f>NOT(ISNA(VLOOKUP(A587,PC!A:A,1,FALSE)))</f>
        <v>1</v>
      </c>
      <c r="N587" s="13" t="b">
        <f>NOT(ISNA(VLOOKUP(A587,'Game Pass Premium'!A:A,1,FALSE)))</f>
        <v>1</v>
      </c>
      <c r="O587" s="13" t="b">
        <f>NOT(ISNA(VLOOKUP(A587,'Game Pass Essential'!A:A,1,FALSE)))</f>
        <v>0</v>
      </c>
    </row>
    <row r="588">
      <c r="A588" s="12" t="str">
        <f>IFERROR(__xludf.DUMMYFUNCTION("""COMPUTED_VALUE"""),"Bounty Star: The Morose Tale of Graveyard Clem")</f>
        <v>Bounty Star: The Morose Tale of Graveyard Clem</v>
      </c>
      <c r="B588" s="13" t="str">
        <f>IFERROR(__xludf.DUMMYFUNCTION("""COMPUTED_VALUE"""),"Xbox / PC")</f>
        <v>Xbox / PC</v>
      </c>
      <c r="C588" s="14" t="str">
        <f>IFERROR(__xludf.DUMMYFUNCTION("""COMPUTED_VALUE"""),"Yes")</f>
        <v>Yes</v>
      </c>
      <c r="D588" s="14" t="str">
        <f>IFERROR(__xludf.DUMMYFUNCTION("""COMPUTED_VALUE"""),"Active")</f>
        <v>Active</v>
      </c>
      <c r="E588" s="15">
        <f>IFERROR(__xludf.DUMMYFUNCTION("""COMPUTED_VALUE"""),45953.0)</f>
        <v>45953</v>
      </c>
      <c r="F588" s="16"/>
      <c r="G588" s="18">
        <f>IFERROR(__xludf.DUMMYFUNCTION("""COMPUTED_VALUE"""),11.433333333333334)</f>
        <v>11.43333333</v>
      </c>
      <c r="H588" s="15">
        <f>IFERROR(__xludf.DUMMYFUNCTION("""COMPUTED_VALUE"""),45953.0)</f>
        <v>45953</v>
      </c>
      <c r="I588" s="18">
        <f>IFERROR(__xludf.DUMMYFUNCTION("""COMPUTED_VALUE"""),0.0)</f>
        <v>0</v>
      </c>
      <c r="J588" s="22">
        <f>IFERROR(__xludf.DUMMYFUNCTION("""COMPUTED_VALUE"""),74.0)</f>
        <v>74</v>
      </c>
      <c r="K588" s="22">
        <f>IFERROR(__xludf.DUMMYFUNCTION("""COMPUTED_VALUE"""),13.0)</f>
        <v>13</v>
      </c>
      <c r="L588" s="26" t="str">
        <f>IFERROR(__xludf.DUMMYFUNCTION("""COMPUTED_VALUE"""),"Shooter")</f>
        <v>Shooter</v>
      </c>
      <c r="M588" s="13" t="b">
        <f>NOT(ISNA(VLOOKUP(A588,PC!A:A,1,FALSE)))</f>
        <v>1</v>
      </c>
      <c r="N588" s="13" t="b">
        <f>NOT(ISNA(VLOOKUP(A588,'Game Pass Premium'!A:A,1,FALSE)))</f>
        <v>1</v>
      </c>
      <c r="O588" s="13" t="b">
        <f>NOT(ISNA(VLOOKUP(A588,'Game Pass Essential'!A:A,1,FALSE)))</f>
        <v>0</v>
      </c>
    </row>
    <row r="589">
      <c r="A589" s="12" t="str">
        <f>IFERROR(__xludf.DUMMYFUNCTION("""COMPUTED_VALUE"""),"Monopoly (2024)")</f>
        <v>Monopoly (2024)</v>
      </c>
      <c r="B589" s="13" t="str">
        <f>IFERROR(__xludf.DUMMYFUNCTION("""COMPUTED_VALUE"""),"Xbox / PC")</f>
        <v>Xbox / PC</v>
      </c>
      <c r="C589" s="14" t="str">
        <f>IFERROR(__xludf.DUMMYFUNCTION("""COMPUTED_VALUE"""),"Yes")</f>
        <v>Yes</v>
      </c>
      <c r="D589" s="14" t="str">
        <f>IFERROR(__xludf.DUMMYFUNCTION("""COMPUTED_VALUE"""),"Active")</f>
        <v>Active</v>
      </c>
      <c r="E589" s="15">
        <f>IFERROR(__xludf.DUMMYFUNCTION("""COMPUTED_VALUE"""),45931.0)</f>
        <v>45931</v>
      </c>
      <c r="F589" s="16"/>
      <c r="G589" s="18">
        <f>IFERROR(__xludf.DUMMYFUNCTION("""COMPUTED_VALUE"""),12.166666666666666)</f>
        <v>12.16666667</v>
      </c>
      <c r="H589" s="15">
        <f>IFERROR(__xludf.DUMMYFUNCTION("""COMPUTED_VALUE"""),45561.0)</f>
        <v>45561</v>
      </c>
      <c r="I589" s="18">
        <f>IFERROR(__xludf.DUMMYFUNCTION("""COMPUTED_VALUE"""),1.0138888888888888)</f>
        <v>1.013888889</v>
      </c>
      <c r="J589" s="22">
        <f>IFERROR(__xludf.DUMMYFUNCTION("""COMPUTED_VALUE"""),74.0)</f>
        <v>74</v>
      </c>
      <c r="K589" s="22">
        <f>IFERROR(__xludf.DUMMYFUNCTION("""COMPUTED_VALUE"""),14.0)</f>
        <v>14</v>
      </c>
      <c r="L589" s="26" t="str">
        <f>IFERROR(__xludf.DUMMYFUNCTION("""COMPUTED_VALUE"""),"Board")</f>
        <v>Board</v>
      </c>
      <c r="M589" s="13" t="b">
        <f>NOT(ISNA(VLOOKUP(A589,PC!A:A,1,FALSE)))</f>
        <v>1</v>
      </c>
      <c r="N589" s="13" t="b">
        <f>NOT(ISNA(VLOOKUP(A589,'Game Pass Premium'!A:A,1,FALSE)))</f>
        <v>0</v>
      </c>
      <c r="O589" s="13" t="b">
        <f>NOT(ISNA(VLOOKUP(A589,'Game Pass Essential'!A:A,1,FALSE)))</f>
        <v>0</v>
      </c>
    </row>
    <row r="590">
      <c r="A590" s="12" t="str">
        <f>IFERROR(__xludf.DUMMYFUNCTION("""COMPUTED_VALUE"""),"Starlink: Battle for Atlas")</f>
        <v>Starlink: Battle for Atlas</v>
      </c>
      <c r="B590" s="13" t="str">
        <f>IFERROR(__xludf.DUMMYFUNCTION("""COMPUTED_VALUE"""),"Xbox / PC")</f>
        <v>Xbox / PC</v>
      </c>
      <c r="C590" s="14" t="str">
        <f>IFERROR(__xludf.DUMMYFUNCTION("""COMPUTED_VALUE"""),"Yes")</f>
        <v>Yes</v>
      </c>
      <c r="D590" s="14" t="str">
        <f>IFERROR(__xludf.DUMMYFUNCTION("""COMPUTED_VALUE"""),"Active")</f>
        <v>Active</v>
      </c>
      <c r="E590" s="15">
        <f>IFERROR(__xludf.DUMMYFUNCTION("""COMPUTED_VALUE"""),45931.0)</f>
        <v>45931</v>
      </c>
      <c r="F590" s="16"/>
      <c r="G590" s="18">
        <f>IFERROR(__xludf.DUMMYFUNCTION("""COMPUTED_VALUE"""),12.166666666666666)</f>
        <v>12.16666667</v>
      </c>
      <c r="H590" s="15">
        <f>IFERROR(__xludf.DUMMYFUNCTION("""COMPUTED_VALUE"""),43389.0)</f>
        <v>43389</v>
      </c>
      <c r="I590" s="18">
        <f>IFERROR(__xludf.DUMMYFUNCTION("""COMPUTED_VALUE"""),6.958333333333333)</f>
        <v>6.958333333</v>
      </c>
      <c r="J590" s="22">
        <f>IFERROR(__xludf.DUMMYFUNCTION("""COMPUTED_VALUE"""),74.0)</f>
        <v>74</v>
      </c>
      <c r="K590" s="22">
        <f>IFERROR(__xludf.DUMMYFUNCTION("""COMPUTED_VALUE"""),15.0)</f>
        <v>15</v>
      </c>
      <c r="L590" s="26" t="str">
        <f>IFERROR(__xludf.DUMMYFUNCTION("""COMPUTED_VALUE"""),"Simulation")</f>
        <v>Simulation</v>
      </c>
      <c r="M590" s="13" t="b">
        <f>NOT(ISNA(VLOOKUP(A590,PC!A:A,1,FALSE)))</f>
        <v>1</v>
      </c>
      <c r="N590" s="13" t="b">
        <f>NOT(ISNA(VLOOKUP(A590,'Game Pass Premium'!A:A,1,FALSE)))</f>
        <v>0</v>
      </c>
      <c r="O590" s="13" t="b">
        <f>NOT(ISNA(VLOOKUP(A590,'Game Pass Essential'!A:A,1,FALSE)))</f>
        <v>0</v>
      </c>
    </row>
    <row r="591">
      <c r="A591" s="12" t="str">
        <f>IFERROR(__xludf.DUMMYFUNCTION("""COMPUTED_VALUE"""),"WUCHANG: Fallen Feathers")</f>
        <v>WUCHANG: Fallen Feathers</v>
      </c>
      <c r="B591" s="13" t="str">
        <f>IFERROR(__xludf.DUMMYFUNCTION("""COMPUTED_VALUE"""),"Xbox / PC")</f>
        <v>Xbox / PC</v>
      </c>
      <c r="C591" s="14" t="str">
        <f>IFERROR(__xludf.DUMMYFUNCTION("""COMPUTED_VALUE"""),"Yes")</f>
        <v>Yes</v>
      </c>
      <c r="D591" s="14" t="str">
        <f>IFERROR(__xludf.DUMMYFUNCTION("""COMPUTED_VALUE"""),"Active")</f>
        <v>Active</v>
      </c>
      <c r="E591" s="15">
        <f>IFERROR(__xludf.DUMMYFUNCTION("""COMPUTED_VALUE"""),45862.0)</f>
        <v>45862</v>
      </c>
      <c r="F591" s="16"/>
      <c r="G591" s="18">
        <f>IFERROR(__xludf.DUMMYFUNCTION("""COMPUTED_VALUE"""),14.399999999999999)</f>
        <v>14.4</v>
      </c>
      <c r="H591" s="15">
        <f>IFERROR(__xludf.DUMMYFUNCTION("""COMPUTED_VALUE"""),45862.0)</f>
        <v>45862</v>
      </c>
      <c r="I591" s="18">
        <f>IFERROR(__xludf.DUMMYFUNCTION("""COMPUTED_VALUE"""),0.0)</f>
        <v>0</v>
      </c>
      <c r="J591" s="22">
        <f>IFERROR(__xludf.DUMMYFUNCTION("""COMPUTED_VALUE"""),74.0)</f>
        <v>74</v>
      </c>
      <c r="K591" s="22">
        <f>IFERROR(__xludf.DUMMYFUNCTION("""COMPUTED_VALUE"""),32.0)</f>
        <v>32</v>
      </c>
      <c r="L591" s="26" t="str">
        <f>IFERROR(__xludf.DUMMYFUNCTION("""COMPUTED_VALUE"""),"RPG")</f>
        <v>RPG</v>
      </c>
      <c r="M591" s="13" t="b">
        <f>NOT(ISNA(VLOOKUP(A591,PC!A:A,1,FALSE)))</f>
        <v>1</v>
      </c>
      <c r="N591" s="13" t="b">
        <f>NOT(ISNA(VLOOKUP(A591,'Game Pass Premium'!A:A,1,FALSE)))</f>
        <v>0</v>
      </c>
      <c r="O591" s="13" t="b">
        <f>NOT(ISNA(VLOOKUP(A591,'Game Pass Essential'!A:A,1,FALSE)))</f>
        <v>0</v>
      </c>
    </row>
    <row r="592">
      <c r="A592" s="12" t="str">
        <f>IFERROR(__xludf.DUMMYFUNCTION("""COMPUTED_VALUE"""),"Fathom")</f>
        <v>Fathom</v>
      </c>
      <c r="B592" s="13" t="str">
        <f>IFERROR(__xludf.DUMMYFUNCTION("""COMPUTED_VALUE"""),"Xbox / PC")</f>
        <v>Xbox / PC</v>
      </c>
      <c r="C592" s="14" t="str">
        <f>IFERROR(__xludf.DUMMYFUNCTION("""COMPUTED_VALUE"""),"Yes")</f>
        <v>Yes</v>
      </c>
      <c r="D592" s="14" t="str">
        <f>IFERROR(__xludf.DUMMYFUNCTION("""COMPUTED_VALUE"""),"Active")</f>
        <v>Active</v>
      </c>
      <c r="E592" s="15">
        <f>IFERROR(__xludf.DUMMYFUNCTION("""COMPUTED_VALUE"""),45798.0)</f>
        <v>45798</v>
      </c>
      <c r="F592" s="16"/>
      <c r="G592" s="18">
        <f>IFERROR(__xludf.DUMMYFUNCTION("""COMPUTED_VALUE"""),16.5)</f>
        <v>16.5</v>
      </c>
      <c r="H592" s="15">
        <f>IFERROR(__xludf.DUMMYFUNCTION("""COMPUTED_VALUE"""),30529.0)</f>
        <v>30529</v>
      </c>
      <c r="I592" s="18">
        <f>IFERROR(__xludf.DUMMYFUNCTION("""COMPUTED_VALUE"""),41.80555555555556)</f>
        <v>41.80555556</v>
      </c>
      <c r="J592" s="22">
        <f>IFERROR(__xludf.DUMMYFUNCTION("""COMPUTED_VALUE"""),74.0)</f>
        <v>74</v>
      </c>
      <c r="K592" s="22"/>
      <c r="L592" s="26" t="str">
        <f>IFERROR(__xludf.DUMMYFUNCTION("""COMPUTED_VALUE"""),"Action‑Adventure")</f>
        <v>Action‑Adventure</v>
      </c>
      <c r="M592" s="13" t="b">
        <f>NOT(ISNA(VLOOKUP(A592,PC!A:A,1,FALSE)))</f>
        <v>1</v>
      </c>
      <c r="N592" s="13" t="b">
        <f>NOT(ISNA(VLOOKUP(A592,'Game Pass Premium'!A:A,1,FALSE)))</f>
        <v>1</v>
      </c>
      <c r="O592" s="13" t="b">
        <f>NOT(ISNA(VLOOKUP(A592,'Game Pass Essential'!A:A,1,FALSE)))</f>
        <v>0</v>
      </c>
    </row>
    <row r="593">
      <c r="A593" s="12" t="str">
        <f>IFERROR(__xludf.DUMMYFUNCTION("""COMPUTED_VALUE"""),"Tempopo")</f>
        <v>Tempopo</v>
      </c>
      <c r="B593" s="13" t="str">
        <f>IFERROR(__xludf.DUMMYFUNCTION("""COMPUTED_VALUE"""),"Xbox / PC")</f>
        <v>Xbox / PC</v>
      </c>
      <c r="C593" s="14" t="str">
        <f>IFERROR(__xludf.DUMMYFUNCTION("""COMPUTED_VALUE"""),"Yes")</f>
        <v>Yes</v>
      </c>
      <c r="D593" s="14" t="str">
        <f>IFERROR(__xludf.DUMMYFUNCTION("""COMPUTED_VALUE"""),"Active")</f>
        <v>Active</v>
      </c>
      <c r="E593" s="15">
        <f>IFERROR(__xludf.DUMMYFUNCTION("""COMPUTED_VALUE"""),45764.0)</f>
        <v>45764</v>
      </c>
      <c r="F593" s="16"/>
      <c r="G593" s="18">
        <f>IFERROR(__xludf.DUMMYFUNCTION("""COMPUTED_VALUE"""),17.633333333333333)</f>
        <v>17.63333333</v>
      </c>
      <c r="H593" s="15">
        <f>IFERROR(__xludf.DUMMYFUNCTION("""COMPUTED_VALUE"""),45764.0)</f>
        <v>45764</v>
      </c>
      <c r="I593" s="18">
        <f>IFERROR(__xludf.DUMMYFUNCTION("""COMPUTED_VALUE"""),0.0)</f>
        <v>0</v>
      </c>
      <c r="J593" s="22">
        <f>IFERROR(__xludf.DUMMYFUNCTION("""COMPUTED_VALUE"""),74.0)</f>
        <v>74</v>
      </c>
      <c r="K593" s="22">
        <f>IFERROR(__xludf.DUMMYFUNCTION("""COMPUTED_VALUE"""),5.0)</f>
        <v>5</v>
      </c>
      <c r="L593" s="26" t="str">
        <f>IFERROR(__xludf.DUMMYFUNCTION("""COMPUTED_VALUE"""),"Acton Puzzle")</f>
        <v>Acton Puzzle</v>
      </c>
      <c r="M593" s="13" t="b">
        <f>NOT(ISNA(VLOOKUP(A593,PC!A:A,1,FALSE)))</f>
        <v>1</v>
      </c>
      <c r="N593" s="13" t="b">
        <f>NOT(ISNA(VLOOKUP(A593,'Game Pass Premium'!A:A,1,FALSE)))</f>
        <v>0</v>
      </c>
      <c r="O593" s="13" t="b">
        <f>NOT(ISNA(VLOOKUP(A593,'Game Pass Essential'!A:A,1,FALSE)))</f>
        <v>0</v>
      </c>
    </row>
    <row r="594">
      <c r="A594" s="12" t="str">
        <f>IFERROR(__xludf.DUMMYFUNCTION("""COMPUTED_VALUE"""),"Star Trucker")</f>
        <v>Star Trucker</v>
      </c>
      <c r="B594" s="13" t="str">
        <f>IFERROR(__xludf.DUMMYFUNCTION("""COMPUTED_VALUE"""),"Xbox / PC")</f>
        <v>Xbox / PC</v>
      </c>
      <c r="C594" s="14" t="str">
        <f>IFERROR(__xludf.DUMMYFUNCTION("""COMPUTED_VALUE"""),"Yes")</f>
        <v>Yes</v>
      </c>
      <c r="D594" s="14" t="str">
        <f>IFERROR(__xludf.DUMMYFUNCTION("""COMPUTED_VALUE"""),"Active")</f>
        <v>Active</v>
      </c>
      <c r="E594" s="15">
        <f>IFERROR(__xludf.DUMMYFUNCTION("""COMPUTED_VALUE"""),45538.0)</f>
        <v>45538</v>
      </c>
      <c r="F594" s="16"/>
      <c r="G594" s="18">
        <f>IFERROR(__xludf.DUMMYFUNCTION("""COMPUTED_VALUE"""),25.1)</f>
        <v>25.1</v>
      </c>
      <c r="H594" s="15">
        <f>IFERROR(__xludf.DUMMYFUNCTION("""COMPUTED_VALUE"""),45538.0)</f>
        <v>45538</v>
      </c>
      <c r="I594" s="18">
        <f>IFERROR(__xludf.DUMMYFUNCTION("""COMPUTED_VALUE"""),0.0)</f>
        <v>0</v>
      </c>
      <c r="J594" s="22">
        <f>IFERROR(__xludf.DUMMYFUNCTION("""COMPUTED_VALUE"""),74.0)</f>
        <v>74</v>
      </c>
      <c r="K594" s="22">
        <f>IFERROR(__xludf.DUMMYFUNCTION("""COMPUTED_VALUE"""),25.0)</f>
        <v>25</v>
      </c>
      <c r="L594" s="26" t="str">
        <f>IFERROR(__xludf.DUMMYFUNCTION("""COMPUTED_VALUE"""),"Simulation")</f>
        <v>Simulation</v>
      </c>
      <c r="M594" s="13" t="b">
        <f>NOT(ISNA(VLOOKUP(A594,PC!A:A,1,FALSE)))</f>
        <v>1</v>
      </c>
      <c r="N594" s="13" t="b">
        <f>NOT(ISNA(VLOOKUP(A594,'Game Pass Premium'!A:A,1,FALSE)))</f>
        <v>1</v>
      </c>
      <c r="O594" s="13" t="b">
        <f>NOT(ISNA(VLOOKUP(A594,'Game Pass Essential'!A:A,1,FALSE)))</f>
        <v>0</v>
      </c>
    </row>
    <row r="595">
      <c r="A595" s="12" t="str">
        <f>IFERROR(__xludf.DUMMYFUNCTION("""COMPUTED_VALUE"""),"Costume Quest")</f>
        <v>Costume Quest</v>
      </c>
      <c r="B595" s="13" t="str">
        <f>IFERROR(__xludf.DUMMYFUNCTION("""COMPUTED_VALUE"""),"Xbox")</f>
        <v>Xbox</v>
      </c>
      <c r="C595" s="14" t="str">
        <f>IFERROR(__xludf.DUMMYFUNCTION("""COMPUTED_VALUE"""),"Yes")</f>
        <v>Yes</v>
      </c>
      <c r="D595" s="14" t="str">
        <f>IFERROR(__xludf.DUMMYFUNCTION("""COMPUTED_VALUE"""),"Active")</f>
        <v>Active</v>
      </c>
      <c r="E595" s="15">
        <f>IFERROR(__xludf.DUMMYFUNCTION("""COMPUTED_VALUE"""),44845.0)</f>
        <v>44845</v>
      </c>
      <c r="F595" s="16"/>
      <c r="G595" s="18">
        <f>IFERROR(__xludf.DUMMYFUNCTION("""COMPUTED_VALUE"""),47.833333333333336)</f>
        <v>47.83333333</v>
      </c>
      <c r="H595" s="15">
        <f>IFERROR(__xludf.DUMMYFUNCTION("""COMPUTED_VALUE"""),40471.0)</f>
        <v>40471</v>
      </c>
      <c r="I595" s="18">
        <f>IFERROR(__xludf.DUMMYFUNCTION("""COMPUTED_VALUE"""),11.975)</f>
        <v>11.975</v>
      </c>
      <c r="J595" s="22">
        <f>IFERROR(__xludf.DUMMYFUNCTION("""COMPUTED_VALUE"""),74.0)</f>
        <v>74</v>
      </c>
      <c r="K595" s="22">
        <f>IFERROR(__xludf.DUMMYFUNCTION("""COMPUTED_VALUE"""),5.5)</f>
        <v>5.5</v>
      </c>
      <c r="L595" s="26" t="str">
        <f>IFERROR(__xludf.DUMMYFUNCTION("""COMPUTED_VALUE"""),"RPG")</f>
        <v>RPG</v>
      </c>
      <c r="M595" s="13" t="b">
        <f>NOT(ISNA(VLOOKUP(A595,PC!A:A,1,FALSE)))</f>
        <v>0</v>
      </c>
      <c r="N595" s="13" t="b">
        <f>NOT(ISNA(VLOOKUP(A595,'Game Pass Premium'!A:A,1,FALSE)))</f>
        <v>1</v>
      </c>
      <c r="O595" s="13" t="b">
        <f>NOT(ISNA(VLOOKUP(A595,'Game Pass Essential'!A:A,1,FALSE)))</f>
        <v>0</v>
      </c>
    </row>
    <row r="596">
      <c r="A596" s="12" t="str">
        <f>IFERROR(__xludf.DUMMYFUNCTION("""COMPUTED_VALUE"""),"Need for Speed: Heat - Deluxe Edition")</f>
        <v>Need for Speed: Heat - Deluxe Edition</v>
      </c>
      <c r="B596" s="13" t="str">
        <f>IFERROR(__xludf.DUMMYFUNCTION("""COMPUTED_VALUE"""),"Xbox / PC")</f>
        <v>Xbox / PC</v>
      </c>
      <c r="C596" s="14" t="str">
        <f>IFERROR(__xludf.DUMMYFUNCTION("""COMPUTED_VALUE"""),"Touch Controls")</f>
        <v>Touch Controls</v>
      </c>
      <c r="D596" s="14" t="str">
        <f>IFERROR(__xludf.DUMMYFUNCTION("""COMPUTED_VALUE"""),"Active")</f>
        <v>Active</v>
      </c>
      <c r="E596" s="15">
        <f>IFERROR(__xludf.DUMMYFUNCTION("""COMPUTED_VALUE"""),44145.0)</f>
        <v>44145</v>
      </c>
      <c r="F596" s="16"/>
      <c r="G596" s="18">
        <f>IFERROR(__xludf.DUMMYFUNCTION("""COMPUTED_VALUE"""),70.86666666666667)</f>
        <v>70.86666667</v>
      </c>
      <c r="H596" s="15">
        <f>IFERROR(__xludf.DUMMYFUNCTION("""COMPUTED_VALUE"""),43777.0)</f>
        <v>43777</v>
      </c>
      <c r="I596" s="18">
        <f>IFERROR(__xludf.DUMMYFUNCTION("""COMPUTED_VALUE"""),1.0055555555555555)</f>
        <v>1.005555556</v>
      </c>
      <c r="J596" s="22">
        <f>IFERROR(__xludf.DUMMYFUNCTION("""COMPUTED_VALUE"""),74.0)</f>
        <v>74</v>
      </c>
      <c r="K596" s="22">
        <f>IFERROR(__xludf.DUMMYFUNCTION("""COMPUTED_VALUE"""),12.5)</f>
        <v>12.5</v>
      </c>
      <c r="L596" s="26" t="str">
        <f>IFERROR(__xludf.DUMMYFUNCTION("""COMPUTED_VALUE"""),"Racing")</f>
        <v>Racing</v>
      </c>
      <c r="M596" s="13" t="b">
        <f>NOT(ISNA(VLOOKUP(A596,PC!A:A,1,FALSE)))</f>
        <v>1</v>
      </c>
      <c r="N596" s="13" t="b">
        <f>NOT(ISNA(VLOOKUP(A596,'Game Pass Premium'!A:A,1,FALSE)))</f>
        <v>1</v>
      </c>
      <c r="O596" s="13" t="b">
        <f>NOT(ISNA(VLOOKUP(A596,'Game Pass Essential'!A:A,1,FALSE)))</f>
        <v>0</v>
      </c>
    </row>
    <row r="597">
      <c r="A597" s="12" t="str">
        <f>IFERROR(__xludf.DUMMYFUNCTION("""COMPUTED_VALUE"""),"Tom Clancy's Rainbow Six: Siege - Deluxe Edition")</f>
        <v>Tom Clancy's Rainbow Six: Siege - Deluxe Edition</v>
      </c>
      <c r="B597" s="13" t="str">
        <f>IFERROR(__xludf.DUMMYFUNCTION("""COMPUTED_VALUE"""),"Xbox / PC")</f>
        <v>Xbox / PC</v>
      </c>
      <c r="C597" s="14" t="str">
        <f>IFERROR(__xludf.DUMMYFUNCTION("""COMPUTED_VALUE"""),"Yes")</f>
        <v>Yes</v>
      </c>
      <c r="D597" s="14" t="str">
        <f>IFERROR(__xludf.DUMMYFUNCTION("""COMPUTED_VALUE"""),"Active")</f>
        <v>Active</v>
      </c>
      <c r="E597" s="15">
        <f>IFERROR(__xludf.DUMMYFUNCTION("""COMPUTED_VALUE"""),44126.0)</f>
        <v>44126</v>
      </c>
      <c r="F597" s="16"/>
      <c r="G597" s="18">
        <f>IFERROR(__xludf.DUMMYFUNCTION("""COMPUTED_VALUE"""),71.46666666666667)</f>
        <v>71.46666667</v>
      </c>
      <c r="H597" s="15">
        <f>IFERROR(__xludf.DUMMYFUNCTION("""COMPUTED_VALUE"""),42339.0)</f>
        <v>42339</v>
      </c>
      <c r="I597" s="18">
        <f>IFERROR(__xludf.DUMMYFUNCTION("""COMPUTED_VALUE"""),4.891666666666667)</f>
        <v>4.891666667</v>
      </c>
      <c r="J597" s="22">
        <f>IFERROR(__xludf.DUMMYFUNCTION("""COMPUTED_VALUE"""),74.0)</f>
        <v>74</v>
      </c>
      <c r="K597" s="22">
        <f>IFERROR(__xludf.DUMMYFUNCTION("""COMPUTED_VALUE"""),7.5)</f>
        <v>7.5</v>
      </c>
      <c r="L597" s="26" t="str">
        <f>IFERROR(__xludf.DUMMYFUNCTION("""COMPUTED_VALUE"""),"Shooter")</f>
        <v>Shooter</v>
      </c>
      <c r="M597" s="13" t="b">
        <f>NOT(ISNA(VLOOKUP(A597,PC!A:A,1,FALSE)))</f>
        <v>1</v>
      </c>
      <c r="N597" s="13" t="b">
        <f>NOT(ISNA(VLOOKUP(A597,'Game Pass Premium'!A:A,1,FALSE)))</f>
        <v>1</v>
      </c>
      <c r="O597" s="13" t="b">
        <f>NOT(ISNA(VLOOKUP(A597,'Game Pass Essential'!A:A,1,FALSE)))</f>
        <v>0</v>
      </c>
    </row>
    <row r="598">
      <c r="A598" s="12" t="str">
        <f>IFERROR(__xludf.DUMMYFUNCTION("""COMPUTED_VALUE"""),"MechWarrior 5: Mercenaries")</f>
        <v>MechWarrior 5: Mercenaries</v>
      </c>
      <c r="B598" s="13" t="str">
        <f>IFERROR(__xludf.DUMMYFUNCTION("""COMPUTED_VALUE"""),"Xbox / PC")</f>
        <v>Xbox / PC</v>
      </c>
      <c r="C598" s="14" t="str">
        <f>IFERROR(__xludf.DUMMYFUNCTION("""COMPUTED_VALUE"""),"Yes")</f>
        <v>Yes</v>
      </c>
      <c r="D598" s="14" t="str">
        <f>IFERROR(__xludf.DUMMYFUNCTION("""COMPUTED_VALUE"""),"Active")</f>
        <v>Active</v>
      </c>
      <c r="E598" s="15">
        <f>IFERROR(__xludf.DUMMYFUNCTION("""COMPUTED_VALUE"""),43958.0)</f>
        <v>43958</v>
      </c>
      <c r="F598" s="16"/>
      <c r="G598" s="18">
        <f>IFERROR(__xludf.DUMMYFUNCTION("""COMPUTED_VALUE"""),76.96666666666667)</f>
        <v>76.96666667</v>
      </c>
      <c r="H598" s="15">
        <f>IFERROR(__xludf.DUMMYFUNCTION("""COMPUTED_VALUE"""),43809.0)</f>
        <v>43809</v>
      </c>
      <c r="I598" s="18">
        <f>IFERROR(__xludf.DUMMYFUNCTION("""COMPUTED_VALUE"""),0.4083333333333333)</f>
        <v>0.4083333333</v>
      </c>
      <c r="J598" s="22">
        <f>IFERROR(__xludf.DUMMYFUNCTION("""COMPUTED_VALUE"""),74.0)</f>
        <v>74</v>
      </c>
      <c r="K598" s="22">
        <f>IFERROR(__xludf.DUMMYFUNCTION("""COMPUTED_VALUE"""),46.5)</f>
        <v>46.5</v>
      </c>
      <c r="L598" s="26" t="str">
        <f>IFERROR(__xludf.DUMMYFUNCTION("""COMPUTED_VALUE"""),"Shooter")</f>
        <v>Shooter</v>
      </c>
      <c r="M598" s="13" t="b">
        <f>NOT(ISNA(VLOOKUP(A598,PC!A:A,1,FALSE)))</f>
        <v>1</v>
      </c>
      <c r="N598" s="13" t="b">
        <f>NOT(ISNA(VLOOKUP(A598,'Game Pass Premium'!A:A,1,FALSE)))</f>
        <v>1</v>
      </c>
      <c r="O598" s="13" t="b">
        <f>NOT(ISNA(VLOOKUP(A598,'Game Pass Essential'!A:A,1,FALSE)))</f>
        <v>0</v>
      </c>
    </row>
    <row r="599">
      <c r="A599" s="12" t="str">
        <f>IFERROR(__xludf.DUMMYFUNCTION("""COMPUTED_VALUE"""),"Phoenix Point")</f>
        <v>Phoenix Point</v>
      </c>
      <c r="B599" s="13" t="str">
        <f>IFERROR(__xludf.DUMMYFUNCTION("""COMPUTED_VALUE"""),"Xbox / PC")</f>
        <v>Xbox / PC</v>
      </c>
      <c r="C599" s="14" t="str">
        <f>IFERROR(__xludf.DUMMYFUNCTION("""COMPUTED_VALUE"""),"Touch Controls")</f>
        <v>Touch Controls</v>
      </c>
      <c r="D599" s="14" t="str">
        <f>IFERROR(__xludf.DUMMYFUNCTION("""COMPUTED_VALUE"""),"Active")</f>
        <v>Active</v>
      </c>
      <c r="E599" s="15">
        <f>IFERROR(__xludf.DUMMYFUNCTION("""COMPUTED_VALUE"""),43819.0)</f>
        <v>43819</v>
      </c>
      <c r="F599" s="16"/>
      <c r="G599" s="18">
        <f>IFERROR(__xludf.DUMMYFUNCTION("""COMPUTED_VALUE"""),81.53333333333333)</f>
        <v>81.53333333</v>
      </c>
      <c r="H599" s="15">
        <f>IFERROR(__xludf.DUMMYFUNCTION("""COMPUTED_VALUE"""),43802.0)</f>
        <v>43802</v>
      </c>
      <c r="I599" s="18">
        <f>IFERROR(__xludf.DUMMYFUNCTION("""COMPUTED_VALUE"""),0.04722222222222222)</f>
        <v>0.04722222222</v>
      </c>
      <c r="J599" s="22">
        <f>IFERROR(__xludf.DUMMYFUNCTION("""COMPUTED_VALUE"""),74.0)</f>
        <v>74</v>
      </c>
      <c r="K599" s="22">
        <f>IFERROR(__xludf.DUMMYFUNCTION("""COMPUTED_VALUE"""),32.0)</f>
        <v>32</v>
      </c>
      <c r="L599" s="26" t="str">
        <f>IFERROR(__xludf.DUMMYFUNCTION("""COMPUTED_VALUE"""),"Strategy")</f>
        <v>Strategy</v>
      </c>
      <c r="M599" s="13" t="b">
        <f>NOT(ISNA(VLOOKUP(A599,PC!A:A,1,FALSE)))</f>
        <v>1</v>
      </c>
      <c r="N599" s="13" t="b">
        <f>NOT(ISNA(VLOOKUP(A599,'Game Pass Premium'!A:A,1,FALSE)))</f>
        <v>1</v>
      </c>
      <c r="O599" s="13" t="b">
        <f>NOT(ISNA(VLOOKUP(A599,'Game Pass Essential'!A:A,1,FALSE)))</f>
        <v>0</v>
      </c>
    </row>
    <row r="600">
      <c r="A600" s="12" t="str">
        <f>IFERROR(__xludf.DUMMYFUNCTION("""COMPUTED_VALUE"""),"Castlevania: Harmony of Despair")</f>
        <v>Castlevania: Harmony of Despair</v>
      </c>
      <c r="B600" s="13" t="str">
        <f>IFERROR(__xludf.DUMMYFUNCTION("""COMPUTED_VALUE"""),"XB360/OG Xbox")</f>
        <v>XB360/OG Xbox</v>
      </c>
      <c r="C600" s="14"/>
      <c r="D600" s="14" t="str">
        <f>IFERROR(__xludf.DUMMYFUNCTION("""COMPUTED_VALUE"""),"GwG Permanent")</f>
        <v>GwG Permanent</v>
      </c>
      <c r="E600" s="15">
        <f>IFERROR(__xludf.DUMMYFUNCTION("""COMPUTED_VALUE"""),44470.0)</f>
        <v>44470</v>
      </c>
      <c r="F600" s="16">
        <f>IFERROR(__xludf.DUMMYFUNCTION("""COMPUTED_VALUE"""),44484.0)</f>
        <v>44484</v>
      </c>
      <c r="G600" s="18">
        <f>IFERROR(__xludf.DUMMYFUNCTION("""COMPUTED_VALUE"""),0.4666666666666667)</f>
        <v>0.4666666667</v>
      </c>
      <c r="H600" s="15">
        <f>IFERROR(__xludf.DUMMYFUNCTION("""COMPUTED_VALUE"""),41409.0)</f>
        <v>41409</v>
      </c>
      <c r="I600" s="18">
        <f>IFERROR(__xludf.DUMMYFUNCTION("""COMPUTED_VALUE"""),8.377777777777778)</f>
        <v>8.377777778</v>
      </c>
      <c r="J600" s="22">
        <f>IFERROR(__xludf.DUMMYFUNCTION("""COMPUTED_VALUE"""),74.0)</f>
        <v>74</v>
      </c>
      <c r="K600" s="22">
        <f>IFERROR(__xludf.DUMMYFUNCTION("""COMPUTED_VALUE"""),10.0)</f>
        <v>10</v>
      </c>
      <c r="L600" s="26" t="str">
        <f>IFERROR(__xludf.DUMMYFUNCTION("""COMPUTED_VALUE"""),"Action")</f>
        <v>Action</v>
      </c>
      <c r="M600" s="13" t="b">
        <f>NOT(ISNA(VLOOKUP(A600,PC!A:A,1,FALSE)))</f>
        <v>0</v>
      </c>
      <c r="N600" s="13" t="b">
        <f>NOT(ISNA(VLOOKUP(A600,'Game Pass Premium'!A:A,1,FALSE)))</f>
        <v>0</v>
      </c>
      <c r="O600" s="13" t="b">
        <f>NOT(ISNA(VLOOKUP(A600,'Game Pass Essential'!A:A,1,FALSE)))</f>
        <v>0</v>
      </c>
    </row>
    <row r="601">
      <c r="A601" s="12" t="str">
        <f>IFERROR(__xludf.DUMMYFUNCTION("""COMPUTED_VALUE"""),"Breakdown")</f>
        <v>Breakdown</v>
      </c>
      <c r="B601" s="13" t="str">
        <f>IFERROR(__xludf.DUMMYFUNCTION("""COMPUTED_VALUE"""),"XB360/OG Xbox")</f>
        <v>XB360/OG Xbox</v>
      </c>
      <c r="C601" s="14"/>
      <c r="D601" s="14" t="str">
        <f>IFERROR(__xludf.DUMMYFUNCTION("""COMPUTED_VALUE"""),"GwG Permanent")</f>
        <v>GwG Permanent</v>
      </c>
      <c r="E601" s="15">
        <f>IFERROR(__xludf.DUMMYFUNCTION("""COMPUTED_VALUE"""),44212.0)</f>
        <v>44212</v>
      </c>
      <c r="F601" s="16">
        <f>IFERROR(__xludf.DUMMYFUNCTION("""COMPUTED_VALUE"""),44227.0)</f>
        <v>44227</v>
      </c>
      <c r="G601" s="18">
        <f>IFERROR(__xludf.DUMMYFUNCTION("""COMPUTED_VALUE"""),0.4666666666666667)</f>
        <v>0.4666666667</v>
      </c>
      <c r="H601" s="15">
        <f>IFERROR(__xludf.DUMMYFUNCTION("""COMPUTED_VALUE"""),38061.0)</f>
        <v>38061</v>
      </c>
      <c r="I601" s="18">
        <f>IFERROR(__xludf.DUMMYFUNCTION("""COMPUTED_VALUE"""),16.836111111111112)</f>
        <v>16.83611111</v>
      </c>
      <c r="J601" s="22">
        <f>IFERROR(__xludf.DUMMYFUNCTION("""COMPUTED_VALUE"""),74.0)</f>
        <v>74</v>
      </c>
      <c r="K601" s="22">
        <f>IFERROR(__xludf.DUMMYFUNCTION("""COMPUTED_VALUE"""),10.0)</f>
        <v>10</v>
      </c>
      <c r="L601" s="26" t="str">
        <f>IFERROR(__xludf.DUMMYFUNCTION("""COMPUTED_VALUE"""),"Action-Adventure")</f>
        <v>Action-Adventure</v>
      </c>
      <c r="M601" s="13" t="b">
        <f>NOT(ISNA(VLOOKUP(A601,PC!A:A,1,FALSE)))</f>
        <v>0</v>
      </c>
      <c r="N601" s="13" t="b">
        <f>NOT(ISNA(VLOOKUP(A601,'Game Pass Premium'!A:A,1,FALSE)))</f>
        <v>0</v>
      </c>
      <c r="O601" s="13" t="b">
        <f>NOT(ISNA(VLOOKUP(A601,'Game Pass Essential'!A:A,1,FALSE)))</f>
        <v>0</v>
      </c>
    </row>
    <row r="602">
      <c r="A602" s="12" t="str">
        <f>IFERROR(__xludf.DUMMYFUNCTION("""COMPUTED_VALUE"""),"Assassin's Creed Rogue")</f>
        <v>Assassin's Creed Rogue</v>
      </c>
      <c r="B602" s="13" t="str">
        <f>IFERROR(__xludf.DUMMYFUNCTION("""COMPUTED_VALUE"""),"XB360/OG Xbox")</f>
        <v>XB360/OG Xbox</v>
      </c>
      <c r="C602" s="14"/>
      <c r="D602" s="14" t="str">
        <f>IFERROR(__xludf.DUMMYFUNCTION("""COMPUTED_VALUE"""),"GwG Permanent")</f>
        <v>GwG Permanent</v>
      </c>
      <c r="E602" s="15">
        <f>IFERROR(__xludf.DUMMYFUNCTION("""COMPUTED_VALUE"""),43497.0)</f>
        <v>43497</v>
      </c>
      <c r="F602" s="16">
        <f>IFERROR(__xludf.DUMMYFUNCTION("""COMPUTED_VALUE"""),43511.0)</f>
        <v>43511</v>
      </c>
      <c r="G602" s="18">
        <f>IFERROR(__xludf.DUMMYFUNCTION("""COMPUTED_VALUE"""),0.4666666666666667)</f>
        <v>0.4666666667</v>
      </c>
      <c r="H602" s="15">
        <f>IFERROR(__xludf.DUMMYFUNCTION("""COMPUTED_VALUE"""),41954.0)</f>
        <v>41954</v>
      </c>
      <c r="I602" s="18">
        <f>IFERROR(__xludf.DUMMYFUNCTION("""COMPUTED_VALUE"""),4.222222222222222)</f>
        <v>4.222222222</v>
      </c>
      <c r="J602" s="22">
        <f>IFERROR(__xludf.DUMMYFUNCTION("""COMPUTED_VALUE"""),74.0)</f>
        <v>74</v>
      </c>
      <c r="K602" s="22">
        <f>IFERROR(__xludf.DUMMYFUNCTION("""COMPUTED_VALUE"""),10.0)</f>
        <v>10</v>
      </c>
      <c r="L602" s="26" t="str">
        <f>IFERROR(__xludf.DUMMYFUNCTION("""COMPUTED_VALUE"""),"Action-Adventure")</f>
        <v>Action-Adventure</v>
      </c>
      <c r="M602" s="13" t="b">
        <f>NOT(ISNA(VLOOKUP(A602,PC!A:A,1,FALSE)))</f>
        <v>0</v>
      </c>
      <c r="N602" s="13" t="b">
        <f>NOT(ISNA(VLOOKUP(A602,'Game Pass Premium'!A:A,1,FALSE)))</f>
        <v>0</v>
      </c>
      <c r="O602" s="13" t="b">
        <f>NOT(ISNA(VLOOKUP(A602,'Game Pass Essential'!A:A,1,FALSE)))</f>
        <v>0</v>
      </c>
    </row>
    <row r="603">
      <c r="A603" s="12" t="str">
        <f>IFERROR(__xludf.DUMMYFUNCTION("""COMPUTED_VALUE"""),"Dead Space 3")</f>
        <v>Dead Space 3</v>
      </c>
      <c r="B603" s="13" t="str">
        <f>IFERROR(__xludf.DUMMYFUNCTION("""COMPUTED_VALUE"""),"XB360/OG Xbox")</f>
        <v>XB360/OG Xbox</v>
      </c>
      <c r="C603" s="14"/>
      <c r="D603" s="14" t="str">
        <f>IFERROR(__xludf.DUMMYFUNCTION("""COMPUTED_VALUE"""),"GwG Permanent")</f>
        <v>GwG Permanent</v>
      </c>
      <c r="E603" s="15">
        <f>IFERROR(__xludf.DUMMYFUNCTION("""COMPUTED_VALUE"""),43313.0)</f>
        <v>43313</v>
      </c>
      <c r="F603" s="16">
        <f>IFERROR(__xludf.DUMMYFUNCTION("""COMPUTED_VALUE"""),43327.0)</f>
        <v>43327</v>
      </c>
      <c r="G603" s="18">
        <f>IFERROR(__xludf.DUMMYFUNCTION("""COMPUTED_VALUE"""),0.4666666666666667)</f>
        <v>0.4666666667</v>
      </c>
      <c r="H603" s="15">
        <f>IFERROR(__xludf.DUMMYFUNCTION("""COMPUTED_VALUE"""),41310.0)</f>
        <v>41310</v>
      </c>
      <c r="I603" s="18">
        <f>IFERROR(__xludf.DUMMYFUNCTION("""COMPUTED_VALUE"""),5.488888888888889)</f>
        <v>5.488888889</v>
      </c>
      <c r="J603" s="22">
        <f>IFERROR(__xludf.DUMMYFUNCTION("""COMPUTED_VALUE"""),74.0)</f>
        <v>74</v>
      </c>
      <c r="K603" s="22">
        <f>IFERROR(__xludf.DUMMYFUNCTION("""COMPUTED_VALUE"""),11.0)</f>
        <v>11</v>
      </c>
      <c r="L603" s="26" t="str">
        <f>IFERROR(__xludf.DUMMYFUNCTION("""COMPUTED_VALUE"""),"Action-Adventure")</f>
        <v>Action-Adventure</v>
      </c>
      <c r="M603" s="13" t="b">
        <f>NOT(ISNA(VLOOKUP(A603,PC!A:A,1,FALSE)))</f>
        <v>1</v>
      </c>
      <c r="N603" s="13" t="b">
        <f>NOT(ISNA(VLOOKUP(A603,'Game Pass Premium'!A:A,1,FALSE)))</f>
        <v>1</v>
      </c>
      <c r="O603" s="13" t="b">
        <f>NOT(ISNA(VLOOKUP(A603,'Game Pass Essential'!A:A,1,FALSE)))</f>
        <v>0</v>
      </c>
    </row>
    <row r="604">
      <c r="A604" s="12" t="str">
        <f>IFERROR(__xludf.DUMMYFUNCTION("""COMPUTED_VALUE"""),"Star Wars: The Force Unleashed II")</f>
        <v>Star Wars: The Force Unleashed II</v>
      </c>
      <c r="B604" s="13" t="str">
        <f>IFERROR(__xludf.DUMMYFUNCTION("""COMPUTED_VALUE"""),"XB360/OG Xbox")</f>
        <v>XB360/OG Xbox</v>
      </c>
      <c r="C604" s="14"/>
      <c r="D604" s="14" t="str">
        <f>IFERROR(__xludf.DUMMYFUNCTION("""COMPUTED_VALUE"""),"GwG Permanent")</f>
        <v>GwG Permanent</v>
      </c>
      <c r="E604" s="15">
        <f>IFERROR(__xludf.DUMMYFUNCTION("""COMPUTED_VALUE"""),42856.0)</f>
        <v>42856</v>
      </c>
      <c r="F604" s="16">
        <f>IFERROR(__xludf.DUMMYFUNCTION("""COMPUTED_VALUE"""),42870.0)</f>
        <v>42870</v>
      </c>
      <c r="G604" s="18">
        <f>IFERROR(__xludf.DUMMYFUNCTION("""COMPUTED_VALUE"""),0.4666666666666667)</f>
        <v>0.4666666667</v>
      </c>
      <c r="H604" s="15">
        <f>IFERROR(__xludf.DUMMYFUNCTION("""COMPUTED_VALUE"""),40477.0)</f>
        <v>40477</v>
      </c>
      <c r="I604" s="18">
        <f>IFERROR(__xludf.DUMMYFUNCTION("""COMPUTED_VALUE"""),6.513888888888889)</f>
        <v>6.513888889</v>
      </c>
      <c r="J604" s="22">
        <f>IFERROR(__xludf.DUMMYFUNCTION("""COMPUTED_VALUE"""),74.0)</f>
        <v>74</v>
      </c>
      <c r="K604" s="22">
        <f>IFERROR(__xludf.DUMMYFUNCTION("""COMPUTED_VALUE"""),8.0)</f>
        <v>8</v>
      </c>
      <c r="L604" s="26" t="str">
        <f>IFERROR(__xludf.DUMMYFUNCTION("""COMPUTED_VALUE"""),"Action-Adventure")</f>
        <v>Action-Adventure</v>
      </c>
      <c r="M604" s="13" t="b">
        <f>NOT(ISNA(VLOOKUP(A604,PC!A:A,1,FALSE)))</f>
        <v>0</v>
      </c>
      <c r="N604" s="13" t="b">
        <f>NOT(ISNA(VLOOKUP(A604,'Game Pass Premium'!A:A,1,FALSE)))</f>
        <v>0</v>
      </c>
      <c r="O604" s="13" t="b">
        <f>NOT(ISNA(VLOOKUP(A604,'Game Pass Essential'!A:A,1,FALSE)))</f>
        <v>0</v>
      </c>
    </row>
    <row r="605">
      <c r="A605" s="12" t="str">
        <f>IFERROR(__xludf.DUMMYFUNCTION("""COMPUTED_VALUE"""),"Heavy Weapon")</f>
        <v>Heavy Weapon</v>
      </c>
      <c r="B605" s="13" t="str">
        <f>IFERROR(__xludf.DUMMYFUNCTION("""COMPUTED_VALUE"""),"XB360/OG Xbox")</f>
        <v>XB360/OG Xbox</v>
      </c>
      <c r="C605" s="14"/>
      <c r="D605" s="14" t="str">
        <f>IFERROR(__xludf.DUMMYFUNCTION("""COMPUTED_VALUE"""),"GwG Permanent")</f>
        <v>GwG Permanent</v>
      </c>
      <c r="E605" s="15">
        <f>IFERROR(__xludf.DUMMYFUNCTION("""COMPUTED_VALUE"""),42810.0)</f>
        <v>42810</v>
      </c>
      <c r="F605" s="16">
        <f>IFERROR(__xludf.DUMMYFUNCTION("""COMPUTED_VALUE"""),42825.0)</f>
        <v>42825</v>
      </c>
      <c r="G605" s="18">
        <f>IFERROR(__xludf.DUMMYFUNCTION("""COMPUTED_VALUE"""),0.4666666666666667)</f>
        <v>0.4666666667</v>
      </c>
      <c r="H605" s="15">
        <f>IFERROR(__xludf.DUMMYFUNCTION("""COMPUTED_VALUE"""),39009.0)</f>
        <v>39009</v>
      </c>
      <c r="I605" s="18">
        <f>IFERROR(__xludf.DUMMYFUNCTION("""COMPUTED_VALUE"""),10.408333333333333)</f>
        <v>10.40833333</v>
      </c>
      <c r="J605" s="22">
        <f>IFERROR(__xludf.DUMMYFUNCTION("""COMPUTED_VALUE"""),74.0)</f>
        <v>74</v>
      </c>
      <c r="K605" s="22">
        <f>IFERROR(__xludf.DUMMYFUNCTION("""COMPUTED_VALUE"""),3.0)</f>
        <v>3</v>
      </c>
      <c r="L605" s="26" t="str">
        <f>IFERROR(__xludf.DUMMYFUNCTION("""COMPUTED_VALUE"""),"Shooter")</f>
        <v>Shooter</v>
      </c>
      <c r="M605" s="13" t="b">
        <f>NOT(ISNA(VLOOKUP(A605,PC!A:A,1,FALSE)))</f>
        <v>0</v>
      </c>
      <c r="N605" s="13" t="b">
        <f>NOT(ISNA(VLOOKUP(A605,'Game Pass Premium'!A:A,1,FALSE)))</f>
        <v>0</v>
      </c>
      <c r="O605" s="13" t="b">
        <f>NOT(ISNA(VLOOKUP(A605,'Game Pass Essential'!A:A,1,FALSE)))</f>
        <v>0</v>
      </c>
    </row>
    <row r="606">
      <c r="A606" s="12" t="str">
        <f>IFERROR(__xludf.DUMMYFUNCTION("""COMPUTED_VALUE"""),"Supreme Commander 2")</f>
        <v>Supreme Commander 2</v>
      </c>
      <c r="B606" s="13" t="str">
        <f>IFERROR(__xludf.DUMMYFUNCTION("""COMPUTED_VALUE"""),"XB360/OG Xbox")</f>
        <v>XB360/OG Xbox</v>
      </c>
      <c r="C606" s="14"/>
      <c r="D606" s="14" t="str">
        <f>IFERROR(__xludf.DUMMYFUNCTION("""COMPUTED_VALUE"""),"GwG Permanent")</f>
        <v>GwG Permanent</v>
      </c>
      <c r="E606" s="15">
        <f>IFERROR(__xludf.DUMMYFUNCTION("""COMPUTED_VALUE"""),42430.0)</f>
        <v>42430</v>
      </c>
      <c r="F606" s="16">
        <f>IFERROR(__xludf.DUMMYFUNCTION("""COMPUTED_VALUE"""),42444.0)</f>
        <v>42444</v>
      </c>
      <c r="G606" s="18">
        <f>IFERROR(__xludf.DUMMYFUNCTION("""COMPUTED_VALUE"""),0.4666666666666667)</f>
        <v>0.4666666667</v>
      </c>
      <c r="H606" s="15">
        <f>IFERROR(__xludf.DUMMYFUNCTION("""COMPUTED_VALUE"""),40239.0)</f>
        <v>40239</v>
      </c>
      <c r="I606" s="18">
        <f>IFERROR(__xludf.DUMMYFUNCTION("""COMPUTED_VALUE"""),5.997222222222222)</f>
        <v>5.997222222</v>
      </c>
      <c r="J606" s="22">
        <f>IFERROR(__xludf.DUMMYFUNCTION("""COMPUTED_VALUE"""),74.0)</f>
        <v>74</v>
      </c>
      <c r="K606" s="22">
        <f>IFERROR(__xludf.DUMMYFUNCTION("""COMPUTED_VALUE"""),30.0)</f>
        <v>30</v>
      </c>
      <c r="L606" s="26" t="str">
        <f>IFERROR(__xludf.DUMMYFUNCTION("""COMPUTED_VALUE"""),"Strategy")</f>
        <v>Strategy</v>
      </c>
      <c r="M606" s="13" t="b">
        <f>NOT(ISNA(VLOOKUP(A606,PC!A:A,1,FALSE)))</f>
        <v>0</v>
      </c>
      <c r="N606" s="13" t="b">
        <f>NOT(ISNA(VLOOKUP(A606,'Game Pass Premium'!A:A,1,FALSE)))</f>
        <v>0</v>
      </c>
      <c r="O606" s="13" t="b">
        <f>NOT(ISNA(VLOOKUP(A606,'Game Pass Essential'!A:A,1,FALSE)))</f>
        <v>0</v>
      </c>
    </row>
    <row r="607">
      <c r="A607" s="12" t="str">
        <f>IFERROR(__xludf.DUMMYFUNCTION("""COMPUTED_VALUE"""),"DiRT Showdown")</f>
        <v>DiRT Showdown</v>
      </c>
      <c r="B607" s="13" t="str">
        <f>IFERROR(__xludf.DUMMYFUNCTION("""COMPUTED_VALUE"""),"XB360/OG Xbox")</f>
        <v>XB360/OG Xbox</v>
      </c>
      <c r="C607" s="14"/>
      <c r="D607" s="14" t="str">
        <f>IFERROR(__xludf.DUMMYFUNCTION("""COMPUTED_VALUE"""),"GwG Permanent")</f>
        <v>GwG Permanent</v>
      </c>
      <c r="E607" s="15">
        <f>IFERROR(__xludf.DUMMYFUNCTION("""COMPUTED_VALUE"""),42370.0)</f>
        <v>42370</v>
      </c>
      <c r="F607" s="16">
        <f>IFERROR(__xludf.DUMMYFUNCTION("""COMPUTED_VALUE"""),42384.0)</f>
        <v>42384</v>
      </c>
      <c r="G607" s="18">
        <f>IFERROR(__xludf.DUMMYFUNCTION("""COMPUTED_VALUE"""),0.4666666666666667)</f>
        <v>0.4666666667</v>
      </c>
      <c r="H607" s="15">
        <f>IFERROR(__xludf.DUMMYFUNCTION("""COMPUTED_VALUE"""),41054.0)</f>
        <v>41054</v>
      </c>
      <c r="I607" s="18">
        <f>IFERROR(__xludf.DUMMYFUNCTION("""COMPUTED_VALUE"""),3.6)</f>
        <v>3.6</v>
      </c>
      <c r="J607" s="22">
        <f>IFERROR(__xludf.DUMMYFUNCTION("""COMPUTED_VALUE"""),74.0)</f>
        <v>74</v>
      </c>
      <c r="K607" s="22">
        <f>IFERROR(__xludf.DUMMYFUNCTION("""COMPUTED_VALUE"""),6.0)</f>
        <v>6</v>
      </c>
      <c r="L607" s="26" t="str">
        <f>IFERROR(__xludf.DUMMYFUNCTION("""COMPUTED_VALUE"""),"Racing")</f>
        <v>Racing</v>
      </c>
      <c r="M607" s="13" t="b">
        <f>NOT(ISNA(VLOOKUP(A607,PC!A:A,1,FALSE)))</f>
        <v>0</v>
      </c>
      <c r="N607" s="13" t="b">
        <f>NOT(ISNA(VLOOKUP(A607,'Game Pass Premium'!A:A,1,FALSE)))</f>
        <v>0</v>
      </c>
      <c r="O607" s="13" t="b">
        <f>NOT(ISNA(VLOOKUP(A607,'Game Pass Essential'!A:A,1,FALSE)))</f>
        <v>0</v>
      </c>
    </row>
    <row r="608">
      <c r="A608" s="12" t="str">
        <f>IFERROR(__xludf.DUMMYFUNCTION("""COMPUTED_VALUE"""),"Metal Gear Solid V: Ground Zeroes")</f>
        <v>Metal Gear Solid V: Ground Zeroes</v>
      </c>
      <c r="B608" s="13" t="str">
        <f>IFERROR(__xludf.DUMMYFUNCTION("""COMPUTED_VALUE"""),"XB360/OG Xbox")</f>
        <v>XB360/OG Xbox</v>
      </c>
      <c r="C608" s="14"/>
      <c r="D608" s="14" t="str">
        <f>IFERROR(__xludf.DUMMYFUNCTION("""COMPUTED_VALUE"""),"GwG Permanent")</f>
        <v>GwG Permanent</v>
      </c>
      <c r="E608" s="15">
        <f>IFERROR(__xludf.DUMMYFUNCTION("""COMPUTED_VALUE"""),42278.0)</f>
        <v>42278</v>
      </c>
      <c r="F608" s="16">
        <f>IFERROR(__xludf.DUMMYFUNCTION("""COMPUTED_VALUE"""),42292.0)</f>
        <v>42292</v>
      </c>
      <c r="G608" s="18">
        <f>IFERROR(__xludf.DUMMYFUNCTION("""COMPUTED_VALUE"""),0.4666666666666667)</f>
        <v>0.4666666667</v>
      </c>
      <c r="H608" s="15">
        <f>IFERROR(__xludf.DUMMYFUNCTION("""COMPUTED_VALUE"""),41716.0)</f>
        <v>41716</v>
      </c>
      <c r="I608" s="18">
        <f>IFERROR(__xludf.DUMMYFUNCTION("""COMPUTED_VALUE"""),1.5361111111111112)</f>
        <v>1.536111111</v>
      </c>
      <c r="J608" s="22">
        <f>IFERROR(__xludf.DUMMYFUNCTION("""COMPUTED_VALUE"""),74.0)</f>
        <v>74</v>
      </c>
      <c r="K608" s="22">
        <f>IFERROR(__xludf.DUMMYFUNCTION("""COMPUTED_VALUE"""),1.0)</f>
        <v>1</v>
      </c>
      <c r="L608" s="26" t="str">
        <f>IFERROR(__xludf.DUMMYFUNCTION("""COMPUTED_VALUE"""),"Action-Adventure")</f>
        <v>Action-Adventure</v>
      </c>
      <c r="M608" s="13" t="b">
        <f>NOT(ISNA(VLOOKUP(A608,PC!A:A,1,FALSE)))</f>
        <v>0</v>
      </c>
      <c r="N608" s="13" t="b">
        <f>NOT(ISNA(VLOOKUP(A608,'Game Pass Premium'!A:A,1,FALSE)))</f>
        <v>0</v>
      </c>
      <c r="O608" s="13" t="b">
        <f>NOT(ISNA(VLOOKUP(A608,'Game Pass Essential'!A:A,1,FALSE)))</f>
        <v>0</v>
      </c>
    </row>
    <row r="609">
      <c r="A609" s="12" t="str">
        <f>IFERROR(__xludf.DUMMYFUNCTION("""COMPUTED_VALUE"""),"The Raven: Legacy of a Master Thief")</f>
        <v>The Raven: Legacy of a Master Thief</v>
      </c>
      <c r="B609" s="13" t="str">
        <f>IFERROR(__xludf.DUMMYFUNCTION("""COMPUTED_VALUE"""),"XB360/OG Xbox")</f>
        <v>XB360/OG Xbox</v>
      </c>
      <c r="C609" s="14"/>
      <c r="D609" s="14" t="str">
        <f>IFERROR(__xludf.DUMMYFUNCTION("""COMPUTED_VALUE"""),"GwG Permanent")</f>
        <v>GwG Permanent</v>
      </c>
      <c r="E609" s="15">
        <f>IFERROR(__xludf.DUMMYFUNCTION("""COMPUTED_VALUE"""),41974.0)</f>
        <v>41974</v>
      </c>
      <c r="F609" s="16">
        <f>IFERROR(__xludf.DUMMYFUNCTION("""COMPUTED_VALUE"""),41988.0)</f>
        <v>41988</v>
      </c>
      <c r="G609" s="18">
        <f>IFERROR(__xludf.DUMMYFUNCTION("""COMPUTED_VALUE"""),0.4666666666666667)</f>
        <v>0.4666666667</v>
      </c>
      <c r="H609" s="15">
        <f>IFERROR(__xludf.DUMMYFUNCTION("""COMPUTED_VALUE"""),41449.0)</f>
        <v>41449</v>
      </c>
      <c r="I609" s="18">
        <f>IFERROR(__xludf.DUMMYFUNCTION("""COMPUTED_VALUE"""),1.4361111111111111)</f>
        <v>1.436111111</v>
      </c>
      <c r="J609" s="22">
        <f>IFERROR(__xludf.DUMMYFUNCTION("""COMPUTED_VALUE"""),74.0)</f>
        <v>74</v>
      </c>
      <c r="K609" s="22">
        <f>IFERROR(__xludf.DUMMYFUNCTION("""COMPUTED_VALUE"""),9.0)</f>
        <v>9</v>
      </c>
      <c r="L609" s="26" t="str">
        <f>IFERROR(__xludf.DUMMYFUNCTION("""COMPUTED_VALUE"""),"Adventure")</f>
        <v>Adventure</v>
      </c>
      <c r="M609" s="13" t="b">
        <f>NOT(ISNA(VLOOKUP(A609,PC!A:A,1,FALSE)))</f>
        <v>0</v>
      </c>
      <c r="N609" s="13" t="b">
        <f>NOT(ISNA(VLOOKUP(A609,'Game Pass Premium'!A:A,1,FALSE)))</f>
        <v>0</v>
      </c>
      <c r="O609" s="13" t="b">
        <f>NOT(ISNA(VLOOKUP(A609,'Game Pass Essential'!A:A,1,FALSE)))</f>
        <v>0</v>
      </c>
    </row>
    <row r="610">
      <c r="A610" s="12" t="str">
        <f>IFERROR(__xludf.DUMMYFUNCTION("""COMPUTED_VALUE"""),"A World of Keflings")</f>
        <v>A World of Keflings</v>
      </c>
      <c r="B610" s="13" t="str">
        <f>IFERROR(__xludf.DUMMYFUNCTION("""COMPUTED_VALUE"""),"XB360/OG Xbox")</f>
        <v>XB360/OG Xbox</v>
      </c>
      <c r="C610" s="14"/>
      <c r="D610" s="14" t="str">
        <f>IFERROR(__xludf.DUMMYFUNCTION("""COMPUTED_VALUE"""),"GwG Permanent")</f>
        <v>GwG Permanent</v>
      </c>
      <c r="E610" s="15">
        <f>IFERROR(__xludf.DUMMYFUNCTION("""COMPUTED_VALUE"""),41579.0)</f>
        <v>41579</v>
      </c>
      <c r="F610" s="16">
        <f>IFERROR(__xludf.DUMMYFUNCTION("""COMPUTED_VALUE"""),41593.0)</f>
        <v>41593</v>
      </c>
      <c r="G610" s="18">
        <f>IFERROR(__xludf.DUMMYFUNCTION("""COMPUTED_VALUE"""),0.4666666666666667)</f>
        <v>0.4666666667</v>
      </c>
      <c r="H610" s="15">
        <f>IFERROR(__xludf.DUMMYFUNCTION("""COMPUTED_VALUE"""),40254.0)</f>
        <v>40254</v>
      </c>
      <c r="I610" s="18">
        <f>IFERROR(__xludf.DUMMYFUNCTION("""COMPUTED_VALUE"""),3.6222222222222222)</f>
        <v>3.622222222</v>
      </c>
      <c r="J610" s="22">
        <f>IFERROR(__xludf.DUMMYFUNCTION("""COMPUTED_VALUE"""),74.0)</f>
        <v>74</v>
      </c>
      <c r="K610" s="22">
        <f>IFERROR(__xludf.DUMMYFUNCTION("""COMPUTED_VALUE"""),12.0)</f>
        <v>12</v>
      </c>
      <c r="L610" s="26" t="str">
        <f>IFERROR(__xludf.DUMMYFUNCTION("""COMPUTED_VALUE"""),"Simulation")</f>
        <v>Simulation</v>
      </c>
      <c r="M610" s="13" t="b">
        <f>NOT(ISNA(VLOOKUP(A610,PC!A:A,1,FALSE)))</f>
        <v>0</v>
      </c>
      <c r="N610" s="13" t="b">
        <f>NOT(ISNA(VLOOKUP(A610,'Game Pass Premium'!A:A,1,FALSE)))</f>
        <v>0</v>
      </c>
      <c r="O610" s="13" t="b">
        <f>NOT(ISNA(VLOOKUP(A610,'Game Pass Essential'!A:A,1,FALSE)))</f>
        <v>0</v>
      </c>
    </row>
    <row r="611">
      <c r="A611" s="12" t="str">
        <f>IFERROR(__xludf.DUMMYFUNCTION("""COMPUTED_VALUE"""),"The Evil Within")</f>
        <v>The Evil Within</v>
      </c>
      <c r="B611" s="13" t="str">
        <f>IFERROR(__xludf.DUMMYFUNCTION("""COMPUTED_VALUE"""),"Xbox / PC")</f>
        <v>Xbox / PC</v>
      </c>
      <c r="C611" s="14" t="str">
        <f>IFERROR(__xludf.DUMMYFUNCTION("""COMPUTED_VALUE"""),"Yes")</f>
        <v>Yes</v>
      </c>
      <c r="D611" s="14" t="str">
        <f>IFERROR(__xludf.DUMMYFUNCTION("""COMPUTED_VALUE"""),"Active")</f>
        <v>Active</v>
      </c>
      <c r="E611" s="15">
        <f>IFERROR(__xludf.DUMMYFUNCTION("""COMPUTED_VALUE"""),44267.0)</f>
        <v>44267</v>
      </c>
      <c r="F611" s="16"/>
      <c r="G611" s="18">
        <f>IFERROR(__xludf.DUMMYFUNCTION("""COMPUTED_VALUE"""),66.8)</f>
        <v>66.8</v>
      </c>
      <c r="H611" s="15">
        <f>IFERROR(__xludf.DUMMYFUNCTION("""COMPUTED_VALUE"""),41926.0)</f>
        <v>41926</v>
      </c>
      <c r="I611" s="18">
        <f>IFERROR(__xludf.DUMMYFUNCTION("""COMPUTED_VALUE"""),6.411111111111111)</f>
        <v>6.411111111</v>
      </c>
      <c r="J611" s="22">
        <f>IFERROR(__xludf.DUMMYFUNCTION("""COMPUTED_VALUE"""),73.5)</f>
        <v>73.5</v>
      </c>
      <c r="K611" s="22">
        <f>IFERROR(__xludf.DUMMYFUNCTION("""COMPUTED_VALUE"""),16.0)</f>
        <v>16</v>
      </c>
      <c r="L611" s="26" t="str">
        <f>IFERROR(__xludf.DUMMYFUNCTION("""COMPUTED_VALUE"""),"Shooter")</f>
        <v>Shooter</v>
      </c>
      <c r="M611" s="13" t="b">
        <f>NOT(ISNA(VLOOKUP(A611,PC!A:A,1,FALSE)))</f>
        <v>1</v>
      </c>
      <c r="N611" s="13" t="b">
        <f>NOT(ISNA(VLOOKUP(A611,'Game Pass Premium'!A:A,1,FALSE)))</f>
        <v>1</v>
      </c>
      <c r="O611" s="13" t="b">
        <f>NOT(ISNA(VLOOKUP(A611,'Game Pass Essential'!A:A,1,FALSE)))</f>
        <v>0</v>
      </c>
    </row>
    <row r="612">
      <c r="A612" s="12" t="str">
        <f>IFERROR(__xludf.DUMMYFUNCTION("""COMPUTED_VALUE"""),"Call of Duty: Vanguard")</f>
        <v>Call of Duty: Vanguard</v>
      </c>
      <c r="B612" s="13" t="str">
        <f>IFERROR(__xludf.DUMMYFUNCTION("""COMPUTED_VALUE"""),"Xbox / PC")</f>
        <v>Xbox / PC</v>
      </c>
      <c r="C612" s="14" t="str">
        <f>IFERROR(__xludf.DUMMYFUNCTION("""COMPUTED_VALUE"""),"Yes")</f>
        <v>Yes</v>
      </c>
      <c r="D612" s="14" t="str">
        <f>IFERROR(__xludf.DUMMYFUNCTION("""COMPUTED_VALUE"""),"Active")</f>
        <v>Active</v>
      </c>
      <c r="E612" s="15">
        <f>IFERROR(__xludf.DUMMYFUNCTION("""COMPUTED_VALUE"""),46190.0)</f>
        <v>46190</v>
      </c>
      <c r="F612" s="16"/>
      <c r="G612" s="18">
        <f>IFERROR(__xludf.DUMMYFUNCTION("""COMPUTED_VALUE"""),3.633333333333333)</f>
        <v>3.633333333</v>
      </c>
      <c r="H612" s="15">
        <f>IFERROR(__xludf.DUMMYFUNCTION("""COMPUTED_VALUE"""),44504.0)</f>
        <v>44504</v>
      </c>
      <c r="I612" s="18">
        <f>IFERROR(__xludf.DUMMYFUNCTION("""COMPUTED_VALUE"""),4.6194444444444445)</f>
        <v>4.619444444</v>
      </c>
      <c r="J612" s="22">
        <f>IFERROR(__xludf.DUMMYFUNCTION("""COMPUTED_VALUE"""),73.0)</f>
        <v>73</v>
      </c>
      <c r="K612" s="22">
        <f>IFERROR(__xludf.DUMMYFUNCTION("""COMPUTED_VALUE"""),6.0)</f>
        <v>6</v>
      </c>
      <c r="L612" s="26" t="str">
        <f>IFERROR(__xludf.DUMMYFUNCTION("""COMPUTED_VALUE"""),"Shooter")</f>
        <v>Shooter</v>
      </c>
      <c r="M612" s="13" t="b">
        <f>NOT(ISNA(VLOOKUP(A612,PC!A:A,1,FALSE)))</f>
        <v>1</v>
      </c>
      <c r="N612" s="13" t="b">
        <f>NOT(ISNA(VLOOKUP(A612,'Game Pass Premium'!A:A,1,FALSE)))</f>
        <v>1</v>
      </c>
      <c r="O612" s="13" t="b">
        <f>NOT(ISNA(VLOOKUP(A612,'Game Pass Essential'!A:A,1,FALSE)))</f>
        <v>0</v>
      </c>
    </row>
    <row r="613">
      <c r="A613" s="12" t="str">
        <f>IFERROR(__xludf.DUMMYFUNCTION("""COMPUTED_VALUE"""),"Beastro")</f>
        <v>Beastro</v>
      </c>
      <c r="B613" s="13" t="str">
        <f>IFERROR(__xludf.DUMMYFUNCTION("""COMPUTED_VALUE"""),"Xbox / PC")</f>
        <v>Xbox / PC</v>
      </c>
      <c r="C613" s="14" t="str">
        <f>IFERROR(__xludf.DUMMYFUNCTION("""COMPUTED_VALUE"""),"Yes")</f>
        <v>Yes</v>
      </c>
      <c r="D613" s="14" t="str">
        <f>IFERROR(__xludf.DUMMYFUNCTION("""COMPUTED_VALUE"""),"Active")</f>
        <v>Active</v>
      </c>
      <c r="E613" s="15">
        <f>IFERROR(__xludf.DUMMYFUNCTION("""COMPUTED_VALUE"""),46184.0)</f>
        <v>46184</v>
      </c>
      <c r="F613" s="16"/>
      <c r="G613" s="18">
        <f>IFERROR(__xludf.DUMMYFUNCTION("""COMPUTED_VALUE"""),3.833333333333333)</f>
        <v>3.833333333</v>
      </c>
      <c r="H613" s="15">
        <f>IFERROR(__xludf.DUMMYFUNCTION("""COMPUTED_VALUE"""),46163.0)</f>
        <v>46163</v>
      </c>
      <c r="I613" s="18">
        <f>IFERROR(__xludf.DUMMYFUNCTION("""COMPUTED_VALUE"""),0.05555555555555555)</f>
        <v>0.05555555556</v>
      </c>
      <c r="J613" s="22">
        <f>IFERROR(__xludf.DUMMYFUNCTION("""COMPUTED_VALUE"""),73.0)</f>
        <v>73</v>
      </c>
      <c r="K613" s="22">
        <f>IFERROR(__xludf.DUMMYFUNCTION("""COMPUTED_VALUE"""),9.0)</f>
        <v>9</v>
      </c>
      <c r="L613" s="26" t="str">
        <f>IFERROR(__xludf.DUMMYFUNCTION("""COMPUTED_VALUE"""),"Action-Adventure")</f>
        <v>Action-Adventure</v>
      </c>
      <c r="M613" s="13" t="b">
        <f>NOT(ISNA(VLOOKUP(A613,PC!A:A,1,FALSE)))</f>
        <v>1</v>
      </c>
      <c r="N613" s="13" t="b">
        <f>NOT(ISNA(VLOOKUP(A613,'Game Pass Premium'!A:A,1,FALSE)))</f>
        <v>0</v>
      </c>
      <c r="O613" s="13" t="b">
        <f>NOT(ISNA(VLOOKUP(A613,'Game Pass Essential'!A:A,1,FALSE)))</f>
        <v>0</v>
      </c>
    </row>
    <row r="614">
      <c r="A614" s="12" t="str">
        <f>IFERROR(__xludf.DUMMYFUNCTION("""COMPUTED_VALUE"""),"Undisputed")</f>
        <v>Undisputed</v>
      </c>
      <c r="B614" s="13" t="str">
        <f>IFERROR(__xludf.DUMMYFUNCTION("""COMPUTED_VALUE"""),"Xbox / PC")</f>
        <v>Xbox / PC</v>
      </c>
      <c r="C614" s="14" t="str">
        <f>IFERROR(__xludf.DUMMYFUNCTION("""COMPUTED_VALUE"""),"Yes")</f>
        <v>Yes</v>
      </c>
      <c r="D614" s="14" t="str">
        <f>IFERROR(__xludf.DUMMYFUNCTION("""COMPUTED_VALUE"""),"Active")</f>
        <v>Active</v>
      </c>
      <c r="E614" s="15">
        <f>IFERROR(__xludf.DUMMYFUNCTION("""COMPUTED_VALUE"""),46181.0)</f>
        <v>46181</v>
      </c>
      <c r="F614" s="16"/>
      <c r="G614" s="18">
        <f>IFERROR(__xludf.DUMMYFUNCTION("""COMPUTED_VALUE"""),3.9333333333333336)</f>
        <v>3.933333333</v>
      </c>
      <c r="H614" s="15">
        <f>IFERROR(__xludf.DUMMYFUNCTION("""COMPUTED_VALUE"""),45576.0)</f>
        <v>45576</v>
      </c>
      <c r="I614" s="18">
        <f>IFERROR(__xludf.DUMMYFUNCTION("""COMPUTED_VALUE"""),1.6583333333333334)</f>
        <v>1.658333333</v>
      </c>
      <c r="J614" s="22">
        <f>IFERROR(__xludf.DUMMYFUNCTION("""COMPUTED_VALUE"""),73.0)</f>
        <v>73</v>
      </c>
      <c r="K614" s="22">
        <f>IFERROR(__xludf.DUMMYFUNCTION("""COMPUTED_VALUE"""),15.0)</f>
        <v>15</v>
      </c>
      <c r="L614" s="26" t="str">
        <f>IFERROR(__xludf.DUMMYFUNCTION("""COMPUTED_VALUE"""),"Sports")</f>
        <v>Sports</v>
      </c>
      <c r="M614" s="13" t="b">
        <f>NOT(ISNA(VLOOKUP(A614,PC!A:A,1,FALSE)))</f>
        <v>1</v>
      </c>
      <c r="N614" s="13" t="b">
        <f>NOT(ISNA(VLOOKUP(A614,'Game Pass Premium'!A:A,1,FALSE)))</f>
        <v>1</v>
      </c>
      <c r="O614" s="13" t="b">
        <f>NOT(ISNA(VLOOKUP(A614,'Game Pass Essential'!A:A,1,FALSE)))</f>
        <v>0</v>
      </c>
    </row>
    <row r="615">
      <c r="A615" s="12" t="str">
        <f>IFERROR(__xludf.DUMMYFUNCTION("""COMPUTED_VALUE"""),"NHL 26")</f>
        <v>NHL 26</v>
      </c>
      <c r="B615" s="13" t="str">
        <f>IFERROR(__xludf.DUMMYFUNCTION("""COMPUTED_VALUE"""),"Xbox")</f>
        <v>Xbox</v>
      </c>
      <c r="C615" s="14" t="str">
        <f>IFERROR(__xludf.DUMMYFUNCTION("""COMPUTED_VALUE"""),"Yes")</f>
        <v>Yes</v>
      </c>
      <c r="D615" s="14" t="str">
        <f>IFERROR(__xludf.DUMMYFUNCTION("""COMPUTED_VALUE"""),"Active")</f>
        <v>Active</v>
      </c>
      <c r="E615" s="15">
        <f>IFERROR(__xludf.DUMMYFUNCTION("""COMPUTED_VALUE"""),46128.0)</f>
        <v>46128</v>
      </c>
      <c r="F615" s="16"/>
      <c r="G615" s="18">
        <f>IFERROR(__xludf.DUMMYFUNCTION("""COMPUTED_VALUE"""),5.666666666666666)</f>
        <v>5.666666667</v>
      </c>
      <c r="H615" s="15">
        <f>IFERROR(__xludf.DUMMYFUNCTION("""COMPUTED_VALUE"""),45912.0)</f>
        <v>45912</v>
      </c>
      <c r="I615" s="18">
        <f>IFERROR(__xludf.DUMMYFUNCTION("""COMPUTED_VALUE"""),0.5944444444444444)</f>
        <v>0.5944444444</v>
      </c>
      <c r="J615" s="22">
        <f>IFERROR(__xludf.DUMMYFUNCTION("""COMPUTED_VALUE"""),73.0)</f>
        <v>73</v>
      </c>
      <c r="K615" s="22">
        <f>IFERROR(__xludf.DUMMYFUNCTION("""COMPUTED_VALUE"""),20.0)</f>
        <v>20</v>
      </c>
      <c r="L615" s="26" t="str">
        <f>IFERROR(__xludf.DUMMYFUNCTION("""COMPUTED_VALUE"""),"Sports")</f>
        <v>Sports</v>
      </c>
      <c r="M615" s="13" t="b">
        <f>NOT(ISNA(VLOOKUP(A615,PC!A:A,1,FALSE)))</f>
        <v>0</v>
      </c>
      <c r="N615" s="13" t="b">
        <f>NOT(ISNA(VLOOKUP(A615,'Game Pass Premium'!A:A,1,FALSE)))</f>
        <v>0</v>
      </c>
      <c r="O615" s="13" t="b">
        <f>NOT(ISNA(VLOOKUP(A615,'Game Pass Essential'!A:A,1,FALSE)))</f>
        <v>0</v>
      </c>
    </row>
    <row r="616">
      <c r="A616" s="12" t="str">
        <f>IFERROR(__xludf.DUMMYFUNCTION("""COMPUTED_VALUE"""),"Easy Delivery Co.")</f>
        <v>Easy Delivery Co.</v>
      </c>
      <c r="B616" s="13" t="str">
        <f>IFERROR(__xludf.DUMMYFUNCTION("""COMPUTED_VALUE"""),"Xbox / PC")</f>
        <v>Xbox / PC</v>
      </c>
      <c r="C616" s="14" t="str">
        <f>IFERROR(__xludf.DUMMYFUNCTION("""COMPUTED_VALUE"""),"Yes")</f>
        <v>Yes</v>
      </c>
      <c r="D616" s="14" t="str">
        <f>IFERROR(__xludf.DUMMYFUNCTION("""COMPUTED_VALUE"""),"Active")</f>
        <v>Active</v>
      </c>
      <c r="E616" s="15">
        <f>IFERROR(__xludf.DUMMYFUNCTION("""COMPUTED_VALUE"""),46107.0)</f>
        <v>46107</v>
      </c>
      <c r="F616" s="16"/>
      <c r="G616" s="18">
        <f>IFERROR(__xludf.DUMMYFUNCTION("""COMPUTED_VALUE"""),6.333333333333334)</f>
        <v>6.333333333</v>
      </c>
      <c r="H616" s="15">
        <f>IFERROR(__xludf.DUMMYFUNCTION("""COMPUTED_VALUE"""),45918.0)</f>
        <v>45918</v>
      </c>
      <c r="I616" s="18">
        <f>IFERROR(__xludf.DUMMYFUNCTION("""COMPUTED_VALUE"""),0.5222222222222223)</f>
        <v>0.5222222222</v>
      </c>
      <c r="J616" s="22">
        <f>IFERROR(__xludf.DUMMYFUNCTION("""COMPUTED_VALUE"""),73.0)</f>
        <v>73</v>
      </c>
      <c r="K616" s="22">
        <f>IFERROR(__xludf.DUMMYFUNCTION("""COMPUTED_VALUE"""),5.0)</f>
        <v>5</v>
      </c>
      <c r="L616" s="26" t="str">
        <f>IFERROR(__xludf.DUMMYFUNCTION("""COMPUTED_VALUE"""),"Action-Adventure")</f>
        <v>Action-Adventure</v>
      </c>
      <c r="M616" s="13" t="b">
        <f>NOT(ISNA(VLOOKUP(A616,PC!A:A,1,FALSE)))</f>
        <v>1</v>
      </c>
      <c r="N616" s="13" t="b">
        <f>NOT(ISNA(VLOOKUP(A616,'Game Pass Premium'!A:A,1,FALSE)))</f>
        <v>1</v>
      </c>
      <c r="O616" s="13" t="b">
        <f>NOT(ISNA(VLOOKUP(A616,'Game Pass Essential'!A:A,1,FALSE)))</f>
        <v>0</v>
      </c>
    </row>
    <row r="617">
      <c r="A617" s="12" t="str">
        <f>IFERROR(__xludf.DUMMYFUNCTION("""COMPUTED_VALUE"""),"Seaquest")</f>
        <v>Seaquest</v>
      </c>
      <c r="B617" s="13" t="str">
        <f>IFERROR(__xludf.DUMMYFUNCTION("""COMPUTED_VALUE"""),"Xbox / PC")</f>
        <v>Xbox / PC</v>
      </c>
      <c r="C617" s="14" t="str">
        <f>IFERROR(__xludf.DUMMYFUNCTION("""COMPUTED_VALUE"""),"Yes")</f>
        <v>Yes</v>
      </c>
      <c r="D617" s="14" t="str">
        <f>IFERROR(__xludf.DUMMYFUNCTION("""COMPUTED_VALUE"""),"Active")</f>
        <v>Active</v>
      </c>
      <c r="E617" s="15">
        <f>IFERROR(__xludf.DUMMYFUNCTION("""COMPUTED_VALUE"""),46072.0)</f>
        <v>46072</v>
      </c>
      <c r="F617" s="16"/>
      <c r="G617" s="18">
        <f>IFERROR(__xludf.DUMMYFUNCTION("""COMPUTED_VALUE"""),7.566666666666666)</f>
        <v>7.566666667</v>
      </c>
      <c r="H617" s="15">
        <f>IFERROR(__xludf.DUMMYFUNCTION("""COMPUTED_VALUE"""),30348.0)</f>
        <v>30348</v>
      </c>
      <c r="I617" s="18">
        <f>IFERROR(__xludf.DUMMYFUNCTION("""COMPUTED_VALUE"""),43.05)</f>
        <v>43.05</v>
      </c>
      <c r="J617" s="22">
        <f>IFERROR(__xludf.DUMMYFUNCTION("""COMPUTED_VALUE"""),73.0)</f>
        <v>73</v>
      </c>
      <c r="K617" s="22"/>
      <c r="L617" s="26" t="str">
        <f>IFERROR(__xludf.DUMMYFUNCTION("""COMPUTED_VALUE"""),"Strategy")</f>
        <v>Strategy</v>
      </c>
      <c r="M617" s="13" t="b">
        <f>NOT(ISNA(VLOOKUP(A617,PC!A:A,1,FALSE)))</f>
        <v>1</v>
      </c>
      <c r="N617" s="13" t="b">
        <f>NOT(ISNA(VLOOKUP(A617,'Game Pass Premium'!A:A,1,FALSE)))</f>
        <v>1</v>
      </c>
      <c r="O617" s="13" t="b">
        <f>NOT(ISNA(VLOOKUP(A617,'Game Pass Essential'!A:A,1,FALSE)))</f>
        <v>0</v>
      </c>
    </row>
    <row r="618">
      <c r="A618" s="12" t="str">
        <f>IFERROR(__xludf.DUMMYFUNCTION("""COMPUTED_VALUE"""),"High on Life 2")</f>
        <v>High on Life 2</v>
      </c>
      <c r="B618" s="13" t="str">
        <f>IFERROR(__xludf.DUMMYFUNCTION("""COMPUTED_VALUE"""),"Xbox / PC")</f>
        <v>Xbox / PC</v>
      </c>
      <c r="C618" s="14" t="str">
        <f>IFERROR(__xludf.DUMMYFUNCTION("""COMPUTED_VALUE"""),"Yes")</f>
        <v>Yes</v>
      </c>
      <c r="D618" s="14" t="str">
        <f>IFERROR(__xludf.DUMMYFUNCTION("""COMPUTED_VALUE"""),"Active")</f>
        <v>Active</v>
      </c>
      <c r="E618" s="15">
        <f>IFERROR(__xludf.DUMMYFUNCTION("""COMPUTED_VALUE"""),46066.0)</f>
        <v>46066</v>
      </c>
      <c r="F618" s="16"/>
      <c r="G618" s="18">
        <f>IFERROR(__xludf.DUMMYFUNCTION("""COMPUTED_VALUE"""),7.7666666666666675)</f>
        <v>7.766666667</v>
      </c>
      <c r="H618" s="15">
        <f>IFERROR(__xludf.DUMMYFUNCTION("""COMPUTED_VALUE"""),46066.0)</f>
        <v>46066</v>
      </c>
      <c r="I618" s="18">
        <f>IFERROR(__xludf.DUMMYFUNCTION("""COMPUTED_VALUE"""),0.0)</f>
        <v>0</v>
      </c>
      <c r="J618" s="22">
        <f>IFERROR(__xludf.DUMMYFUNCTION("""COMPUTED_VALUE"""),73.0)</f>
        <v>73</v>
      </c>
      <c r="K618" s="22">
        <f>IFERROR(__xludf.DUMMYFUNCTION("""COMPUTED_VALUE"""),12.0)</f>
        <v>12</v>
      </c>
      <c r="L618" s="26" t="str">
        <f>IFERROR(__xludf.DUMMYFUNCTION("""COMPUTED_VALUE"""),"Shooter")</f>
        <v>Shooter</v>
      </c>
      <c r="M618" s="13" t="b">
        <f>NOT(ISNA(VLOOKUP(A618,PC!A:A,1,FALSE)))</f>
        <v>1</v>
      </c>
      <c r="N618" s="13" t="b">
        <f>NOT(ISNA(VLOOKUP(A618,'Game Pass Premium'!A:A,1,FALSE)))</f>
        <v>0</v>
      </c>
      <c r="O618" s="13" t="b">
        <f>NOT(ISNA(VLOOKUP(A618,'Game Pass Essential'!A:A,1,FALSE)))</f>
        <v>0</v>
      </c>
    </row>
    <row r="619">
      <c r="A619" s="12" t="str">
        <f>IFERROR(__xludf.DUMMYFUNCTION("""COMPUTED_VALUE"""),"To a T")</f>
        <v>To a T</v>
      </c>
      <c r="B619" s="13" t="str">
        <f>IFERROR(__xludf.DUMMYFUNCTION("""COMPUTED_VALUE"""),"Xbox / PC")</f>
        <v>Xbox / PC</v>
      </c>
      <c r="C619" s="14" t="str">
        <f>IFERROR(__xludf.DUMMYFUNCTION("""COMPUTED_VALUE"""),"Yes")</f>
        <v>Yes</v>
      </c>
      <c r="D619" s="14" t="str">
        <f>IFERROR(__xludf.DUMMYFUNCTION("""COMPUTED_VALUE"""),"Active")</f>
        <v>Active</v>
      </c>
      <c r="E619" s="15">
        <f>IFERROR(__xludf.DUMMYFUNCTION("""COMPUTED_VALUE"""),45805.0)</f>
        <v>45805</v>
      </c>
      <c r="F619" s="16"/>
      <c r="G619" s="18">
        <f>IFERROR(__xludf.DUMMYFUNCTION("""COMPUTED_VALUE"""),16.266666666666666)</f>
        <v>16.26666667</v>
      </c>
      <c r="H619" s="15">
        <f>IFERROR(__xludf.DUMMYFUNCTION("""COMPUTED_VALUE"""),45805.0)</f>
        <v>45805</v>
      </c>
      <c r="I619" s="18">
        <f>IFERROR(__xludf.DUMMYFUNCTION("""COMPUTED_VALUE"""),0.0)</f>
        <v>0</v>
      </c>
      <c r="J619" s="22">
        <f>IFERROR(__xludf.DUMMYFUNCTION("""COMPUTED_VALUE"""),73.0)</f>
        <v>73</v>
      </c>
      <c r="K619" s="22">
        <f>IFERROR(__xludf.DUMMYFUNCTION("""COMPUTED_VALUE"""),6.0)</f>
        <v>6</v>
      </c>
      <c r="L619" s="26" t="str">
        <f>IFERROR(__xludf.DUMMYFUNCTION("""COMPUTED_VALUE"""),"Action-Adventure")</f>
        <v>Action-Adventure</v>
      </c>
      <c r="M619" s="13" t="b">
        <f>NOT(ISNA(VLOOKUP(A619,PC!A:A,1,FALSE)))</f>
        <v>1</v>
      </c>
      <c r="N619" s="13" t="b">
        <f>NOT(ISNA(VLOOKUP(A619,'Game Pass Premium'!A:A,1,FALSE)))</f>
        <v>0</v>
      </c>
      <c r="O619" s="13" t="b">
        <f>NOT(ISNA(VLOOKUP(A619,'Game Pass Essential'!A:A,1,FALSE)))</f>
        <v>0</v>
      </c>
    </row>
    <row r="620">
      <c r="A620" s="12" t="str">
        <f>IFERROR(__xludf.DUMMYFUNCTION("""COMPUTED_VALUE"""),"MechWarrior")</f>
        <v>MechWarrior</v>
      </c>
      <c r="B620" s="13" t="str">
        <f>IFERROR(__xludf.DUMMYFUNCTION("""COMPUTED_VALUE"""),"Xbox / PC")</f>
        <v>Xbox / PC</v>
      </c>
      <c r="C620" s="14" t="str">
        <f>IFERROR(__xludf.DUMMYFUNCTION("""COMPUTED_VALUE"""),"Yes")</f>
        <v>Yes</v>
      </c>
      <c r="D620" s="14" t="str">
        <f>IFERROR(__xludf.DUMMYFUNCTION("""COMPUTED_VALUE"""),"Active")</f>
        <v>Active</v>
      </c>
      <c r="E620" s="15">
        <f>IFERROR(__xludf.DUMMYFUNCTION("""COMPUTED_VALUE"""),45798.0)</f>
        <v>45798</v>
      </c>
      <c r="F620" s="16"/>
      <c r="G620" s="18">
        <f>IFERROR(__xludf.DUMMYFUNCTION("""COMPUTED_VALUE"""),16.5)</f>
        <v>16.5</v>
      </c>
      <c r="H620" s="15">
        <f>IFERROR(__xludf.DUMMYFUNCTION("""COMPUTED_VALUE"""),32843.0)</f>
        <v>32843</v>
      </c>
      <c r="I620" s="18">
        <f>IFERROR(__xludf.DUMMYFUNCTION("""COMPUTED_VALUE"""),35.47222222222222)</f>
        <v>35.47222222</v>
      </c>
      <c r="J620" s="22">
        <f>IFERROR(__xludf.DUMMYFUNCTION("""COMPUTED_VALUE"""),73.0)</f>
        <v>73</v>
      </c>
      <c r="K620" s="22">
        <f>IFERROR(__xludf.DUMMYFUNCTION("""COMPUTED_VALUE"""),12.0)</f>
        <v>12</v>
      </c>
      <c r="L620" s="26" t="str">
        <f>IFERROR(__xludf.DUMMYFUNCTION("""COMPUTED_VALUE"""),"Shooter")</f>
        <v>Shooter</v>
      </c>
      <c r="M620" s="13" t="b">
        <f>NOT(ISNA(VLOOKUP(A620,PC!A:A,1,FALSE)))</f>
        <v>1</v>
      </c>
      <c r="N620" s="13" t="b">
        <f>NOT(ISNA(VLOOKUP(A620,'Game Pass Premium'!A:A,1,FALSE)))</f>
        <v>1</v>
      </c>
      <c r="O620" s="13" t="b">
        <f>NOT(ISNA(VLOOKUP(A620,'Game Pass Essential'!A:A,1,FALSE)))</f>
        <v>0</v>
      </c>
    </row>
    <row r="621">
      <c r="A621" s="12" t="str">
        <f>IFERROR(__xludf.DUMMYFUNCTION("""COMPUTED_VALUE"""),"Megamania")</f>
        <v>Megamania</v>
      </c>
      <c r="B621" s="13" t="str">
        <f>IFERROR(__xludf.DUMMYFUNCTION("""COMPUTED_VALUE"""),"Xbox / PC")</f>
        <v>Xbox / PC</v>
      </c>
      <c r="C621" s="14" t="str">
        <f>IFERROR(__xludf.DUMMYFUNCTION("""COMPUTED_VALUE"""),"Yes")</f>
        <v>Yes</v>
      </c>
      <c r="D621" s="14" t="str">
        <f>IFERROR(__xludf.DUMMYFUNCTION("""COMPUTED_VALUE"""),"Active")</f>
        <v>Active</v>
      </c>
      <c r="E621" s="15">
        <f>IFERROR(__xludf.DUMMYFUNCTION("""COMPUTED_VALUE"""),45798.0)</f>
        <v>45798</v>
      </c>
      <c r="F621" s="16"/>
      <c r="G621" s="18">
        <f>IFERROR(__xludf.DUMMYFUNCTION("""COMPUTED_VALUE"""),16.5)</f>
        <v>16.5</v>
      </c>
      <c r="H621" s="15">
        <f>IFERROR(__xludf.DUMMYFUNCTION("""COMPUTED_VALUE"""),30050.0)</f>
        <v>30050</v>
      </c>
      <c r="I621" s="18">
        <f>IFERROR(__xludf.DUMMYFUNCTION("""COMPUTED_VALUE"""),43.11666666666667)</f>
        <v>43.11666667</v>
      </c>
      <c r="J621" s="22">
        <f>IFERROR(__xludf.DUMMYFUNCTION("""COMPUTED_VALUE"""),73.0)</f>
        <v>73</v>
      </c>
      <c r="K621" s="22"/>
      <c r="L621" s="26" t="str">
        <f>IFERROR(__xludf.DUMMYFUNCTION("""COMPUTED_VALUE"""),"Shooter")</f>
        <v>Shooter</v>
      </c>
      <c r="M621" s="13" t="b">
        <f>NOT(ISNA(VLOOKUP(A621,PC!A:A,1,FALSE)))</f>
        <v>1</v>
      </c>
      <c r="N621" s="13" t="b">
        <f>NOT(ISNA(VLOOKUP(A621,'Game Pass Premium'!A:A,1,FALSE)))</f>
        <v>1</v>
      </c>
      <c r="O621" s="13" t="b">
        <f>NOT(ISNA(VLOOKUP(A621,'Game Pass Essential'!A:A,1,FALSE)))</f>
        <v>0</v>
      </c>
    </row>
    <row r="622">
      <c r="A622" s="12" t="str">
        <f>IFERROR(__xludf.DUMMYFUNCTION("""COMPUTED_VALUE"""),"River Raid II")</f>
        <v>River Raid II</v>
      </c>
      <c r="B622" s="13" t="str">
        <f>IFERROR(__xludf.DUMMYFUNCTION("""COMPUTED_VALUE"""),"Xbox / PC")</f>
        <v>Xbox / PC</v>
      </c>
      <c r="C622" s="14" t="str">
        <f>IFERROR(__xludf.DUMMYFUNCTION("""COMPUTED_VALUE"""),"Yes")</f>
        <v>Yes</v>
      </c>
      <c r="D622" s="14" t="str">
        <f>IFERROR(__xludf.DUMMYFUNCTION("""COMPUTED_VALUE"""),"Active")</f>
        <v>Active</v>
      </c>
      <c r="E622" s="15">
        <f>IFERROR(__xludf.DUMMYFUNCTION("""COMPUTED_VALUE"""),45798.0)</f>
        <v>45798</v>
      </c>
      <c r="F622" s="16"/>
      <c r="G622" s="18">
        <f>IFERROR(__xludf.DUMMYFUNCTION("""COMPUTED_VALUE"""),16.5)</f>
        <v>16.5</v>
      </c>
      <c r="H622" s="15">
        <f>IFERROR(__xludf.DUMMYFUNCTION("""COMPUTED_VALUE"""),32352.0)</f>
        <v>32352</v>
      </c>
      <c r="I622" s="18">
        <f>IFERROR(__xludf.DUMMYFUNCTION("""COMPUTED_VALUE"""),36.81388888888889)</f>
        <v>36.81388889</v>
      </c>
      <c r="J622" s="22">
        <f>IFERROR(__xludf.DUMMYFUNCTION("""COMPUTED_VALUE"""),73.0)</f>
        <v>73</v>
      </c>
      <c r="K622" s="22"/>
      <c r="L622" s="26" t="str">
        <f>IFERROR(__xludf.DUMMYFUNCTION("""COMPUTED_VALUE"""),"Shooter")</f>
        <v>Shooter</v>
      </c>
      <c r="M622" s="13" t="b">
        <f>NOT(ISNA(VLOOKUP(A622,PC!A:A,1,FALSE)))</f>
        <v>1</v>
      </c>
      <c r="N622" s="13" t="b">
        <f>NOT(ISNA(VLOOKUP(A622,'Game Pass Premium'!A:A,1,FALSE)))</f>
        <v>1</v>
      </c>
      <c r="O622" s="13" t="b">
        <f>NOT(ISNA(VLOOKUP(A622,'Game Pass Essential'!A:A,1,FALSE)))</f>
        <v>0</v>
      </c>
    </row>
    <row r="623">
      <c r="A623" s="12" t="str">
        <f>IFERROR(__xludf.DUMMYFUNCTION("""COMPUTED_VALUE"""),"Robot Tank")</f>
        <v>Robot Tank</v>
      </c>
      <c r="B623" s="13" t="str">
        <f>IFERROR(__xludf.DUMMYFUNCTION("""COMPUTED_VALUE"""),"Xbox / PC")</f>
        <v>Xbox / PC</v>
      </c>
      <c r="C623" s="14" t="str">
        <f>IFERROR(__xludf.DUMMYFUNCTION("""COMPUTED_VALUE"""),"Yes")</f>
        <v>Yes</v>
      </c>
      <c r="D623" s="14" t="str">
        <f>IFERROR(__xludf.DUMMYFUNCTION("""COMPUTED_VALUE"""),"Active")</f>
        <v>Active</v>
      </c>
      <c r="E623" s="15">
        <f>IFERROR(__xludf.DUMMYFUNCTION("""COMPUTED_VALUE"""),45798.0)</f>
        <v>45798</v>
      </c>
      <c r="F623" s="16"/>
      <c r="G623" s="18">
        <f>IFERROR(__xludf.DUMMYFUNCTION("""COMPUTED_VALUE"""),16.5)</f>
        <v>16.5</v>
      </c>
      <c r="H623" s="15">
        <f>IFERROR(__xludf.DUMMYFUNCTION("""COMPUTED_VALUE"""),30399.0)</f>
        <v>30399</v>
      </c>
      <c r="I623" s="18">
        <f>IFERROR(__xludf.DUMMYFUNCTION("""COMPUTED_VALUE"""),42.15833333333333)</f>
        <v>42.15833333</v>
      </c>
      <c r="J623" s="22">
        <f>IFERROR(__xludf.DUMMYFUNCTION("""COMPUTED_VALUE"""),73.0)</f>
        <v>73</v>
      </c>
      <c r="K623" s="22"/>
      <c r="L623" s="26" t="str">
        <f>IFERROR(__xludf.DUMMYFUNCTION("""COMPUTED_VALUE"""),"Shooter")</f>
        <v>Shooter</v>
      </c>
      <c r="M623" s="13" t="b">
        <f>NOT(ISNA(VLOOKUP(A623,PC!A:A,1,FALSE)))</f>
        <v>1</v>
      </c>
      <c r="N623" s="13" t="b">
        <f>NOT(ISNA(VLOOKUP(A623,'Game Pass Premium'!A:A,1,FALSE)))</f>
        <v>1</v>
      </c>
      <c r="O623" s="13" t="b">
        <f>NOT(ISNA(VLOOKUP(A623,'Game Pass Essential'!A:A,1,FALSE)))</f>
        <v>0</v>
      </c>
    </row>
    <row r="624">
      <c r="A624" s="12" t="str">
        <f>IFERROR(__xludf.DUMMYFUNCTION("""COMPUTED_VALUE"""),"The Dagger of Amon Ra")</f>
        <v>The Dagger of Amon Ra</v>
      </c>
      <c r="B624" s="13" t="str">
        <f>IFERROR(__xludf.DUMMYFUNCTION("""COMPUTED_VALUE"""),"Xbox / PC")</f>
        <v>Xbox / PC</v>
      </c>
      <c r="C624" s="14" t="str">
        <f>IFERROR(__xludf.DUMMYFUNCTION("""COMPUTED_VALUE"""),"Yes")</f>
        <v>Yes</v>
      </c>
      <c r="D624" s="14" t="str">
        <f>IFERROR(__xludf.DUMMYFUNCTION("""COMPUTED_VALUE"""),"Active")</f>
        <v>Active</v>
      </c>
      <c r="E624" s="15">
        <f>IFERROR(__xludf.DUMMYFUNCTION("""COMPUTED_VALUE"""),45798.0)</f>
        <v>45798</v>
      </c>
      <c r="F624" s="16"/>
      <c r="G624" s="18">
        <f>IFERROR(__xludf.DUMMYFUNCTION("""COMPUTED_VALUE"""),16.5)</f>
        <v>16.5</v>
      </c>
      <c r="H624" s="15">
        <f>IFERROR(__xludf.DUMMYFUNCTION("""COMPUTED_VALUE"""),33604.0)</f>
        <v>33604</v>
      </c>
      <c r="I624" s="18">
        <f>IFERROR(__xludf.DUMMYFUNCTION("""COMPUTED_VALUE"""),33.388888888888886)</f>
        <v>33.38888889</v>
      </c>
      <c r="J624" s="22">
        <f>IFERROR(__xludf.DUMMYFUNCTION("""COMPUTED_VALUE"""),73.0)</f>
        <v>73</v>
      </c>
      <c r="K624" s="22">
        <f>IFERROR(__xludf.DUMMYFUNCTION("""COMPUTED_VALUE"""),4.0)</f>
        <v>4</v>
      </c>
      <c r="L624" s="26" t="str">
        <f>IFERROR(__xludf.DUMMYFUNCTION("""COMPUTED_VALUE"""),"Action‑Adventure")</f>
        <v>Action‑Adventure</v>
      </c>
      <c r="M624" s="13" t="b">
        <f>NOT(ISNA(VLOOKUP(A624,PC!A:A,1,FALSE)))</f>
        <v>1</v>
      </c>
      <c r="N624" s="13" t="b">
        <f>NOT(ISNA(VLOOKUP(A624,'Game Pass Premium'!A:A,1,FALSE)))</f>
        <v>1</v>
      </c>
      <c r="O624" s="13" t="b">
        <f>NOT(ISNA(VLOOKUP(A624,'Game Pass Essential'!A:A,1,FALSE)))</f>
        <v>0</v>
      </c>
    </row>
    <row r="625">
      <c r="A625" s="12" t="str">
        <f>IFERROR(__xludf.DUMMYFUNCTION("""COMPUTED_VALUE"""),"Towerborne")</f>
        <v>Towerborne</v>
      </c>
      <c r="B625" s="13" t="str">
        <f>IFERROR(__xludf.DUMMYFUNCTION("""COMPUTED_VALUE"""),"Xbox / PC")</f>
        <v>Xbox / PC</v>
      </c>
      <c r="C625" s="14" t="str">
        <f>IFERROR(__xludf.DUMMYFUNCTION("""COMPUTED_VALUE"""),"Yes")</f>
        <v>Yes</v>
      </c>
      <c r="D625" s="14" t="str">
        <f>IFERROR(__xludf.DUMMYFUNCTION("""COMPUTED_VALUE"""),"Active")</f>
        <v>Active</v>
      </c>
      <c r="E625" s="15">
        <f>IFERROR(__xludf.DUMMYFUNCTION("""COMPUTED_VALUE"""),45776.0)</f>
        <v>45776</v>
      </c>
      <c r="F625" s="16"/>
      <c r="G625" s="18">
        <f>IFERROR(__xludf.DUMMYFUNCTION("""COMPUTED_VALUE"""),17.233333333333334)</f>
        <v>17.23333333</v>
      </c>
      <c r="H625" s="15">
        <f>IFERROR(__xludf.DUMMYFUNCTION("""COMPUTED_VALUE"""),45776.0)</f>
        <v>45776</v>
      </c>
      <c r="I625" s="18">
        <f>IFERROR(__xludf.DUMMYFUNCTION("""COMPUTED_VALUE"""),0.0)</f>
        <v>0</v>
      </c>
      <c r="J625" s="22">
        <f>IFERROR(__xludf.DUMMYFUNCTION("""COMPUTED_VALUE"""),73.0)</f>
        <v>73</v>
      </c>
      <c r="K625" s="22">
        <f>IFERROR(__xludf.DUMMYFUNCTION("""COMPUTED_VALUE"""),15.0)</f>
        <v>15</v>
      </c>
      <c r="L625" s="26" t="str">
        <f>IFERROR(__xludf.DUMMYFUNCTION("""COMPUTED_VALUE"""),"Beat-'Em-Up ")</f>
        <v>Beat-'Em-Up </v>
      </c>
      <c r="M625" s="13" t="b">
        <f>NOT(ISNA(VLOOKUP(A625,PC!A:A,1,FALSE)))</f>
        <v>1</v>
      </c>
      <c r="N625" s="13" t="b">
        <f>NOT(ISNA(VLOOKUP(A625,'Game Pass Premium'!A:A,1,FALSE)))</f>
        <v>0</v>
      </c>
      <c r="O625" s="13" t="b">
        <f>NOT(ISNA(VLOOKUP(A625,'Game Pass Essential'!A:A,1,FALSE)))</f>
        <v>0</v>
      </c>
    </row>
    <row r="626">
      <c r="A626" s="12" t="str">
        <f>IFERROR(__xludf.DUMMYFUNCTION("""COMPUTED_VALUE"""),"Dead Island 2")</f>
        <v>Dead Island 2</v>
      </c>
      <c r="B626" s="13" t="str">
        <f>IFERROR(__xludf.DUMMYFUNCTION("""COMPUTED_VALUE"""),"Xbox / PC")</f>
        <v>Xbox / PC</v>
      </c>
      <c r="C626" s="14" t="str">
        <f>IFERROR(__xludf.DUMMYFUNCTION("""COMPUTED_VALUE"""),"Yes")</f>
        <v>Yes</v>
      </c>
      <c r="D626" s="14" t="str">
        <f>IFERROR(__xludf.DUMMYFUNCTION("""COMPUTED_VALUE"""),"Active")</f>
        <v>Active</v>
      </c>
      <c r="E626" s="15">
        <f>IFERROR(__xludf.DUMMYFUNCTION("""COMPUTED_VALUE"""),45342.0)</f>
        <v>45342</v>
      </c>
      <c r="F626" s="16"/>
      <c r="G626" s="18">
        <f>IFERROR(__xludf.DUMMYFUNCTION("""COMPUTED_VALUE"""),31.53333333333333)</f>
        <v>31.53333333</v>
      </c>
      <c r="H626" s="15">
        <f>IFERROR(__xludf.DUMMYFUNCTION("""COMPUTED_VALUE"""),45037.0)</f>
        <v>45037</v>
      </c>
      <c r="I626" s="18">
        <f>IFERROR(__xludf.DUMMYFUNCTION("""COMPUTED_VALUE"""),0.8305555555555556)</f>
        <v>0.8305555556</v>
      </c>
      <c r="J626" s="22">
        <f>IFERROR(__xludf.DUMMYFUNCTION("""COMPUTED_VALUE"""),73.0)</f>
        <v>73</v>
      </c>
      <c r="K626" s="22">
        <f>IFERROR(__xludf.DUMMYFUNCTION("""COMPUTED_VALUE"""),16.0)</f>
        <v>16</v>
      </c>
      <c r="L626" s="26" t="str">
        <f>IFERROR(__xludf.DUMMYFUNCTION("""COMPUTED_VALUE"""),"Shooter")</f>
        <v>Shooter</v>
      </c>
      <c r="M626" s="13" t="b">
        <f>NOT(ISNA(VLOOKUP(A626,PC!A:A,1,FALSE)))</f>
        <v>1</v>
      </c>
      <c r="N626" s="13" t="b">
        <f>NOT(ISNA(VLOOKUP(A626,'Game Pass Premium'!A:A,1,FALSE)))</f>
        <v>1</v>
      </c>
      <c r="O626" s="13" t="b">
        <f>NOT(ISNA(VLOOKUP(A626,'Game Pass Essential'!A:A,1,FALSE)))</f>
        <v>0</v>
      </c>
    </row>
    <row r="627">
      <c r="A627" s="12" t="str">
        <f>IFERROR(__xludf.DUMMYFUNCTION("""COMPUTED_VALUE"""),"PlateUp!")</f>
        <v>PlateUp!</v>
      </c>
      <c r="B627" s="13" t="str">
        <f>IFERROR(__xludf.DUMMYFUNCTION("""COMPUTED_VALUE"""),"Xbox / PC")</f>
        <v>Xbox / PC</v>
      </c>
      <c r="C627" s="14" t="str">
        <f>IFERROR(__xludf.DUMMYFUNCTION("""COMPUTED_VALUE"""),"Yes")</f>
        <v>Yes</v>
      </c>
      <c r="D627" s="14" t="str">
        <f>IFERROR(__xludf.DUMMYFUNCTION("""COMPUTED_VALUE"""),"Active")</f>
        <v>Active</v>
      </c>
      <c r="E627" s="15">
        <f>IFERROR(__xludf.DUMMYFUNCTION("""COMPUTED_VALUE"""),45337.0)</f>
        <v>45337</v>
      </c>
      <c r="F627" s="16"/>
      <c r="G627" s="18">
        <f>IFERROR(__xludf.DUMMYFUNCTION("""COMPUTED_VALUE"""),31.7)</f>
        <v>31.7</v>
      </c>
      <c r="H627" s="15">
        <f>IFERROR(__xludf.DUMMYFUNCTION("""COMPUTED_VALUE"""),44777.0)</f>
        <v>44777</v>
      </c>
      <c r="I627" s="18">
        <f>IFERROR(__xludf.DUMMYFUNCTION("""COMPUTED_VALUE"""),1.5305555555555554)</f>
        <v>1.530555556</v>
      </c>
      <c r="J627" s="22">
        <f>IFERROR(__xludf.DUMMYFUNCTION("""COMPUTED_VALUE"""),73.0)</f>
        <v>73</v>
      </c>
      <c r="K627" s="22">
        <f>IFERROR(__xludf.DUMMYFUNCTION("""COMPUTED_VALUE"""),19.0)</f>
        <v>19</v>
      </c>
      <c r="L627" s="26" t="str">
        <f>IFERROR(__xludf.DUMMYFUNCTION("""COMPUTED_VALUE"""),"Strategy")</f>
        <v>Strategy</v>
      </c>
      <c r="M627" s="13" t="b">
        <f>NOT(ISNA(VLOOKUP(A627,PC!A:A,1,FALSE)))</f>
        <v>1</v>
      </c>
      <c r="N627" s="13" t="b">
        <f>NOT(ISNA(VLOOKUP(A627,'Game Pass Premium'!A:A,1,FALSE)))</f>
        <v>1</v>
      </c>
      <c r="O627" s="13" t="b">
        <f>NOT(ISNA(VLOOKUP(A627,'Game Pass Essential'!A:A,1,FALSE)))</f>
        <v>0</v>
      </c>
    </row>
    <row r="628">
      <c r="A628" s="119" t="str">
        <f>IFERROR(__xludf.DUMMYFUNCTION("""COMPUTED_VALUE"""),"Far Cry 6")</f>
        <v>Far Cry 6</v>
      </c>
      <c r="B628" s="13" t="str">
        <f>IFERROR(__xludf.DUMMYFUNCTION("""COMPUTED_VALUE"""),"Xbox / PC")</f>
        <v>Xbox / PC</v>
      </c>
      <c r="C628" s="14" t="str">
        <f>IFERROR(__xludf.DUMMYFUNCTION("""COMPUTED_VALUE"""),"Yes")</f>
        <v>Yes</v>
      </c>
      <c r="D628" s="14" t="str">
        <f>IFERROR(__xludf.DUMMYFUNCTION("""COMPUTED_VALUE"""),"Active")</f>
        <v>Active</v>
      </c>
      <c r="E628" s="15">
        <f>IFERROR(__xludf.DUMMYFUNCTION("""COMPUTED_VALUE"""),45274.0)</f>
        <v>45274</v>
      </c>
      <c r="F628" s="16"/>
      <c r="G628" s="18">
        <f>IFERROR(__xludf.DUMMYFUNCTION("""COMPUTED_VALUE"""),33.733333333333334)</f>
        <v>33.73333333</v>
      </c>
      <c r="H628" s="15">
        <f>IFERROR(__xludf.DUMMYFUNCTION("""COMPUTED_VALUE"""),44476.0)</f>
        <v>44476</v>
      </c>
      <c r="I628" s="18">
        <f>IFERROR(__xludf.DUMMYFUNCTION("""COMPUTED_VALUE"""),2.186111111111111)</f>
        <v>2.186111111</v>
      </c>
      <c r="J628" s="22">
        <f>IFERROR(__xludf.DUMMYFUNCTION("""COMPUTED_VALUE"""),73.0)</f>
        <v>73</v>
      </c>
      <c r="K628" s="22">
        <f>IFERROR(__xludf.DUMMYFUNCTION("""COMPUTED_VALUE"""),24.0)</f>
        <v>24</v>
      </c>
      <c r="L628" s="26" t="str">
        <f>IFERROR(__xludf.DUMMYFUNCTION("""COMPUTED_VALUE"""),"Shooter")</f>
        <v>Shooter</v>
      </c>
      <c r="M628" s="13" t="b">
        <f>NOT(ISNA(VLOOKUP(A628,PC!A:A,1,FALSE)))</f>
        <v>1</v>
      </c>
      <c r="N628" s="13" t="b">
        <f>NOT(ISNA(VLOOKUP(A628,'Game Pass Premium'!A:A,1,FALSE)))</f>
        <v>1</v>
      </c>
      <c r="O628" s="13" t="b">
        <f>NOT(ISNA(VLOOKUP(A628,'Game Pass Essential'!A:A,1,FALSE)))</f>
        <v>0</v>
      </c>
    </row>
    <row r="629">
      <c r="A629" s="12" t="str">
        <f>IFERROR(__xludf.DUMMYFUNCTION("""COMPUTED_VALUE"""),"World War Z: Aftermath")</f>
        <v>World War Z: Aftermath</v>
      </c>
      <c r="B629" s="13" t="str">
        <f>IFERROR(__xludf.DUMMYFUNCTION("""COMPUTED_VALUE"""),"Xbox / PC")</f>
        <v>Xbox / PC</v>
      </c>
      <c r="C629" s="14" t="str">
        <f>IFERROR(__xludf.DUMMYFUNCTION("""COMPUTED_VALUE"""),"Yes")</f>
        <v>Yes</v>
      </c>
      <c r="D629" s="14" t="str">
        <f>IFERROR(__xludf.DUMMYFUNCTION("""COMPUTED_VALUE"""),"Active")</f>
        <v>Active</v>
      </c>
      <c r="E629" s="15">
        <f>IFERROR(__xludf.DUMMYFUNCTION("""COMPUTED_VALUE"""),45265.0)</f>
        <v>45265</v>
      </c>
      <c r="F629" s="16"/>
      <c r="G629" s="18">
        <f>IFERROR(__xludf.DUMMYFUNCTION("""COMPUTED_VALUE"""),34.03333333333333)</f>
        <v>34.03333333</v>
      </c>
      <c r="H629" s="15">
        <f>IFERROR(__xludf.DUMMYFUNCTION("""COMPUTED_VALUE"""),43571.0)</f>
        <v>43571</v>
      </c>
      <c r="I629" s="18">
        <f>IFERROR(__xludf.DUMMYFUNCTION("""COMPUTED_VALUE"""),4.636111111111111)</f>
        <v>4.636111111</v>
      </c>
      <c r="J629" s="22">
        <f>IFERROR(__xludf.DUMMYFUNCTION("""COMPUTED_VALUE"""),73.0)</f>
        <v>73</v>
      </c>
      <c r="K629" s="22">
        <f>IFERROR(__xludf.DUMMYFUNCTION("""COMPUTED_VALUE"""),7.0)</f>
        <v>7</v>
      </c>
      <c r="L629" s="26" t="str">
        <f>IFERROR(__xludf.DUMMYFUNCTION("""COMPUTED_VALUE"""),"Action")</f>
        <v>Action</v>
      </c>
      <c r="M629" s="13" t="b">
        <f>NOT(ISNA(VLOOKUP(A629,PC!A:A,1,FALSE)))</f>
        <v>1</v>
      </c>
      <c r="N629" s="13" t="b">
        <f>NOT(ISNA(VLOOKUP(A629,'Game Pass Premium'!A:A,1,FALSE)))</f>
        <v>1</v>
      </c>
      <c r="O629" s="13" t="b">
        <f>NOT(ISNA(VLOOKUP(A629,'Game Pass Essential'!A:A,1,FALSE)))</f>
        <v>1</v>
      </c>
    </row>
    <row r="630">
      <c r="A630" s="12" t="str">
        <f>IFERROR(__xludf.DUMMYFUNCTION("""COMPUTED_VALUE"""),"Medieval Dynasty")</f>
        <v>Medieval Dynasty</v>
      </c>
      <c r="B630" s="13" t="str">
        <f>IFERROR(__xludf.DUMMYFUNCTION("""COMPUTED_VALUE"""),"Xbox / PC")</f>
        <v>Xbox / PC</v>
      </c>
      <c r="C630" s="14" t="str">
        <f>IFERROR(__xludf.DUMMYFUNCTION("""COMPUTED_VALUE"""),"Yes")</f>
        <v>Yes</v>
      </c>
      <c r="D630" s="14" t="str">
        <f>IFERROR(__xludf.DUMMYFUNCTION("""COMPUTED_VALUE"""),"Active")</f>
        <v>Active</v>
      </c>
      <c r="E630" s="15">
        <f>IFERROR(__xludf.DUMMYFUNCTION("""COMPUTED_VALUE"""),44364.0)</f>
        <v>44364</v>
      </c>
      <c r="F630" s="16"/>
      <c r="G630" s="18">
        <f>IFERROR(__xludf.DUMMYFUNCTION("""COMPUTED_VALUE"""),63.63333333333334)</f>
        <v>63.63333333</v>
      </c>
      <c r="H630" s="15">
        <f>IFERROR(__xludf.DUMMYFUNCTION("""COMPUTED_VALUE"""),44091.0)</f>
        <v>44091</v>
      </c>
      <c r="I630" s="18">
        <f>IFERROR(__xludf.DUMMYFUNCTION("""COMPUTED_VALUE"""),0.75)</f>
        <v>0.75</v>
      </c>
      <c r="J630" s="22">
        <f>IFERROR(__xludf.DUMMYFUNCTION("""COMPUTED_VALUE"""),73.0)</f>
        <v>73</v>
      </c>
      <c r="K630" s="22">
        <f>IFERROR(__xludf.DUMMYFUNCTION("""COMPUTED_VALUE"""),29.5)</f>
        <v>29.5</v>
      </c>
      <c r="L630" s="26" t="str">
        <f>IFERROR(__xludf.DUMMYFUNCTION("""COMPUTED_VALUE"""),"RPG")</f>
        <v>RPG</v>
      </c>
      <c r="M630" s="13" t="b">
        <f>NOT(ISNA(VLOOKUP(A630,PC!A:A,1,FALSE)))</f>
        <v>1</v>
      </c>
      <c r="N630" s="13" t="b">
        <f>NOT(ISNA(VLOOKUP(A630,'Game Pass Premium'!A:A,1,FALSE)))</f>
        <v>1</v>
      </c>
      <c r="O630" s="13" t="b">
        <f>NOT(ISNA(VLOOKUP(A630,'Game Pass Essential'!A:A,1,FALSE)))</f>
        <v>0</v>
      </c>
    </row>
    <row r="631">
      <c r="A631" s="12" t="str">
        <f>IFERROR(__xludf.DUMMYFUNCTION("""COMPUTED_VALUE"""),"Dante's Inferno")</f>
        <v>Dante's Inferno</v>
      </c>
      <c r="B631" s="13" t="str">
        <f>IFERROR(__xludf.DUMMYFUNCTION("""COMPUTED_VALUE"""),"Xbox")</f>
        <v>Xbox</v>
      </c>
      <c r="C631" s="14"/>
      <c r="D631" s="14" t="str">
        <f>IFERROR(__xludf.DUMMYFUNCTION("""COMPUTED_VALUE"""),"Active")</f>
        <v>Active</v>
      </c>
      <c r="E631" s="15">
        <f>IFERROR(__xludf.DUMMYFUNCTION("""COMPUTED_VALUE"""),44145.0)</f>
        <v>44145</v>
      </c>
      <c r="F631" s="16"/>
      <c r="G631" s="18">
        <f>IFERROR(__xludf.DUMMYFUNCTION("""COMPUTED_VALUE"""),70.86666666666667)</f>
        <v>70.86666667</v>
      </c>
      <c r="H631" s="15">
        <f>IFERROR(__xludf.DUMMYFUNCTION("""COMPUTED_VALUE"""),40218.0)</f>
        <v>40218</v>
      </c>
      <c r="I631" s="18">
        <f>IFERROR(__xludf.DUMMYFUNCTION("""COMPUTED_VALUE"""),10.752777777777778)</f>
        <v>10.75277778</v>
      </c>
      <c r="J631" s="22">
        <f>IFERROR(__xludf.DUMMYFUNCTION("""COMPUTED_VALUE"""),73.0)</f>
        <v>73</v>
      </c>
      <c r="K631" s="22">
        <f>IFERROR(__xludf.DUMMYFUNCTION("""COMPUTED_VALUE"""),8.0)</f>
        <v>8</v>
      </c>
      <c r="L631" s="26" t="str">
        <f>IFERROR(__xludf.DUMMYFUNCTION("""COMPUTED_VALUE"""),"Action")</f>
        <v>Action</v>
      </c>
      <c r="M631" s="13" t="b">
        <f>NOT(ISNA(VLOOKUP(A631,PC!A:A,1,FALSE)))</f>
        <v>0</v>
      </c>
      <c r="N631" s="13" t="b">
        <f>NOT(ISNA(VLOOKUP(A631,'Game Pass Premium'!A:A,1,FALSE)))</f>
        <v>1</v>
      </c>
      <c r="O631" s="13" t="b">
        <f>NOT(ISNA(VLOOKUP(A631,'Game Pass Essential'!A:A,1,FALSE)))</f>
        <v>0</v>
      </c>
    </row>
    <row r="632">
      <c r="A632" s="12" t="str">
        <f>IFERROR(__xludf.DUMMYFUNCTION("""COMPUTED_VALUE"""),"Medal of Honor: Airborne")</f>
        <v>Medal of Honor: Airborne</v>
      </c>
      <c r="B632" s="13" t="str">
        <f>IFERROR(__xludf.DUMMYFUNCTION("""COMPUTED_VALUE"""),"Xbox / PC")</f>
        <v>Xbox / PC</v>
      </c>
      <c r="C632" s="14"/>
      <c r="D632" s="14" t="str">
        <f>IFERROR(__xludf.DUMMYFUNCTION("""COMPUTED_VALUE"""),"Active")</f>
        <v>Active</v>
      </c>
      <c r="E632" s="15">
        <f>IFERROR(__xludf.DUMMYFUNCTION("""COMPUTED_VALUE"""),44145.0)</f>
        <v>44145</v>
      </c>
      <c r="F632" s="16"/>
      <c r="G632" s="18">
        <f>IFERROR(__xludf.DUMMYFUNCTION("""COMPUTED_VALUE"""),70.86666666666667)</f>
        <v>70.86666667</v>
      </c>
      <c r="H632" s="15">
        <f>IFERROR(__xludf.DUMMYFUNCTION("""COMPUTED_VALUE"""),39329.0)</f>
        <v>39329</v>
      </c>
      <c r="I632" s="18">
        <f>IFERROR(__xludf.DUMMYFUNCTION("""COMPUTED_VALUE"""),13.183333333333334)</f>
        <v>13.18333333</v>
      </c>
      <c r="J632" s="22">
        <f>IFERROR(__xludf.DUMMYFUNCTION("""COMPUTED_VALUE"""),73.0)</f>
        <v>73</v>
      </c>
      <c r="K632" s="22">
        <f>IFERROR(__xludf.DUMMYFUNCTION("""COMPUTED_VALUE"""),6.0)</f>
        <v>6</v>
      </c>
      <c r="L632" s="26" t="str">
        <f>IFERROR(__xludf.DUMMYFUNCTION("""COMPUTED_VALUE"""),"Shooter")</f>
        <v>Shooter</v>
      </c>
      <c r="M632" s="13" t="b">
        <f>NOT(ISNA(VLOOKUP(A632,PC!A:A,1,FALSE)))</f>
        <v>1</v>
      </c>
      <c r="N632" s="13" t="b">
        <f>NOT(ISNA(VLOOKUP(A632,'Game Pass Premium'!A:A,1,FALSE)))</f>
        <v>1</v>
      </c>
      <c r="O632" s="13" t="b">
        <f>NOT(ISNA(VLOOKUP(A632,'Game Pass Essential'!A:A,1,FALSE)))</f>
        <v>0</v>
      </c>
    </row>
    <row r="633">
      <c r="A633" s="12" t="str">
        <f>IFERROR(__xludf.DUMMYFUNCTION("""COMPUTED_VALUE"""),"The Walking Dead: A New Frontier")</f>
        <v>The Walking Dead: A New Frontier</v>
      </c>
      <c r="B633" s="13" t="str">
        <f>IFERROR(__xludf.DUMMYFUNCTION("""COMPUTED_VALUE"""),"Xbox / PC")</f>
        <v>Xbox / PC</v>
      </c>
      <c r="C633" s="14" t="str">
        <f>IFERROR(__xludf.DUMMYFUNCTION("""COMPUTED_VALUE"""),"Touch Controls")</f>
        <v>Touch Controls</v>
      </c>
      <c r="D633" s="14" t="str">
        <f>IFERROR(__xludf.DUMMYFUNCTION("""COMPUTED_VALUE"""),"Active")</f>
        <v>Active</v>
      </c>
      <c r="E633" s="15">
        <f>IFERROR(__xludf.DUMMYFUNCTION("""COMPUTED_VALUE"""),43573.0)</f>
        <v>43573</v>
      </c>
      <c r="F633" s="16"/>
      <c r="G633" s="18">
        <f>IFERROR(__xludf.DUMMYFUNCTION("""COMPUTED_VALUE"""),89.6)</f>
        <v>89.6</v>
      </c>
      <c r="H633" s="15">
        <f>IFERROR(__xludf.DUMMYFUNCTION("""COMPUTED_VALUE"""),42724.0)</f>
        <v>42724</v>
      </c>
      <c r="I633" s="18">
        <f>IFERROR(__xludf.DUMMYFUNCTION("""COMPUTED_VALUE"""),2.327777777777778)</f>
        <v>2.327777778</v>
      </c>
      <c r="J633" s="22">
        <f>IFERROR(__xludf.DUMMYFUNCTION("""COMPUTED_VALUE"""),73.0)</f>
        <v>73</v>
      </c>
      <c r="K633" s="22">
        <f>IFERROR(__xludf.DUMMYFUNCTION("""COMPUTED_VALUE"""),8.0)</f>
        <v>8</v>
      </c>
      <c r="L633" s="26" t="str">
        <f>IFERROR(__xludf.DUMMYFUNCTION("""COMPUTED_VALUE"""),"Adventure")</f>
        <v>Adventure</v>
      </c>
      <c r="M633" s="13" t="b">
        <f>NOT(ISNA(VLOOKUP(A633,PC!A:A,1,FALSE)))</f>
        <v>1</v>
      </c>
      <c r="N633" s="13" t="b">
        <f>NOT(ISNA(VLOOKUP(A633,'Game Pass Premium'!A:A,1,FALSE)))</f>
        <v>1</v>
      </c>
      <c r="O633" s="13" t="b">
        <f>NOT(ISNA(VLOOKUP(A633,'Game Pass Essential'!A:A,1,FALSE)))</f>
        <v>0</v>
      </c>
    </row>
    <row r="634">
      <c r="A634" s="12" t="str">
        <f>IFERROR(__xludf.DUMMYFUNCTION("""COMPUTED_VALUE"""),"Human: Fall Flat")</f>
        <v>Human: Fall Flat</v>
      </c>
      <c r="B634" s="13" t="str">
        <f>IFERROR(__xludf.DUMMYFUNCTION("""COMPUTED_VALUE"""),"Xbox / PC")</f>
        <v>Xbox / PC</v>
      </c>
      <c r="C634" s="14" t="str">
        <f>IFERROR(__xludf.DUMMYFUNCTION("""COMPUTED_VALUE"""),"Yes")</f>
        <v>Yes</v>
      </c>
      <c r="D634" s="14" t="str">
        <f>IFERROR(__xludf.DUMMYFUNCTION("""COMPUTED_VALUE"""),"Active")</f>
        <v>Active</v>
      </c>
      <c r="E634" s="15">
        <f>IFERROR(__xludf.DUMMYFUNCTION("""COMPUTED_VALUE"""),43282.0)</f>
        <v>43282</v>
      </c>
      <c r="F634" s="16"/>
      <c r="G634" s="18">
        <f>IFERROR(__xludf.DUMMYFUNCTION("""COMPUTED_VALUE"""),99.16666666666667)</f>
        <v>99.16666667</v>
      </c>
      <c r="H634" s="15">
        <f>IFERROR(__xludf.DUMMYFUNCTION("""COMPUTED_VALUE"""),42573.0)</f>
        <v>42573</v>
      </c>
      <c r="I634" s="18">
        <f>IFERROR(__xludf.DUMMYFUNCTION("""COMPUTED_VALUE"""),1.9416666666666667)</f>
        <v>1.941666667</v>
      </c>
      <c r="J634" s="22">
        <f>IFERROR(__xludf.DUMMYFUNCTION("""COMPUTED_VALUE"""),73.0)</f>
        <v>73</v>
      </c>
      <c r="K634" s="22">
        <f>IFERROR(__xludf.DUMMYFUNCTION("""COMPUTED_VALUE"""),5.5)</f>
        <v>5.5</v>
      </c>
      <c r="L634" s="26" t="str">
        <f>IFERROR(__xludf.DUMMYFUNCTION("""COMPUTED_VALUE"""),"Puzzle")</f>
        <v>Puzzle</v>
      </c>
      <c r="M634" s="13" t="b">
        <f>NOT(ISNA(VLOOKUP(A634,PC!A:A,1,FALSE)))</f>
        <v>1</v>
      </c>
      <c r="N634" s="13" t="b">
        <f>NOT(ISNA(VLOOKUP(A634,'Game Pass Premium'!A:A,1,FALSE)))</f>
        <v>1</v>
      </c>
      <c r="O634" s="13" t="b">
        <f>NOT(ISNA(VLOOKUP(A634,'Game Pass Essential'!A:A,1,FALSE)))</f>
        <v>1</v>
      </c>
    </row>
    <row r="635">
      <c r="A635" s="12" t="str">
        <f>IFERROR(__xludf.DUMMYFUNCTION("""COMPUTED_VALUE"""),"Banjo-Tooie")</f>
        <v>Banjo-Tooie</v>
      </c>
      <c r="B635" s="13" t="str">
        <f>IFERROR(__xludf.DUMMYFUNCTION("""COMPUTED_VALUE"""),"Xbox")</f>
        <v>Xbox</v>
      </c>
      <c r="C635" s="14" t="str">
        <f>IFERROR(__xludf.DUMMYFUNCTION("""COMPUTED_VALUE"""),"Touch Controls")</f>
        <v>Touch Controls</v>
      </c>
      <c r="D635" s="14" t="str">
        <f>IFERROR(__xludf.DUMMYFUNCTION("""COMPUTED_VALUE"""),"Active")</f>
        <v>Active</v>
      </c>
      <c r="E635" s="15">
        <f>IFERROR(__xludf.DUMMYFUNCTION("""COMPUTED_VALUE"""),42887.0)</f>
        <v>42887</v>
      </c>
      <c r="F635" s="16"/>
      <c r="G635" s="18">
        <f>IFERROR(__xludf.DUMMYFUNCTION("""COMPUTED_VALUE"""),112.16666666666666)</f>
        <v>112.1666667</v>
      </c>
      <c r="H635" s="15">
        <f>IFERROR(__xludf.DUMMYFUNCTION("""COMPUTED_VALUE"""),36849.0)</f>
        <v>36849</v>
      </c>
      <c r="I635" s="18">
        <f>IFERROR(__xludf.DUMMYFUNCTION("""COMPUTED_VALUE"""),16.533333333333335)</f>
        <v>16.53333333</v>
      </c>
      <c r="J635" s="22">
        <f>IFERROR(__xludf.DUMMYFUNCTION("""COMPUTED_VALUE"""),73.0)</f>
        <v>73</v>
      </c>
      <c r="K635" s="22">
        <f>IFERROR(__xludf.DUMMYFUNCTION("""COMPUTED_VALUE"""),16.0)</f>
        <v>16</v>
      </c>
      <c r="L635" s="26" t="str">
        <f>IFERROR(__xludf.DUMMYFUNCTION("""COMPUTED_VALUE"""),"Adventure")</f>
        <v>Adventure</v>
      </c>
      <c r="M635" s="13" t="b">
        <f>NOT(ISNA(VLOOKUP(A635,PC!A:A,1,FALSE)))</f>
        <v>0</v>
      </c>
      <c r="N635" s="13" t="b">
        <f>NOT(ISNA(VLOOKUP(A635,'Game Pass Premium'!A:A,1,FALSE)))</f>
        <v>1</v>
      </c>
      <c r="O635" s="13" t="b">
        <f>NOT(ISNA(VLOOKUP(A635,'Game Pass Essential'!A:A,1,FALSE)))</f>
        <v>0</v>
      </c>
    </row>
    <row r="636">
      <c r="A636" s="12" t="str">
        <f>IFERROR(__xludf.DUMMYFUNCTION("""COMPUTED_VALUE"""),"Jetpac Refuelled")</f>
        <v>Jetpac Refuelled</v>
      </c>
      <c r="B636" s="13" t="str">
        <f>IFERROR(__xludf.DUMMYFUNCTION("""COMPUTED_VALUE"""),"Xbox")</f>
        <v>Xbox</v>
      </c>
      <c r="C636" s="14" t="str">
        <f>IFERROR(__xludf.DUMMYFUNCTION("""COMPUTED_VALUE"""),"Touch Controls")</f>
        <v>Touch Controls</v>
      </c>
      <c r="D636" s="14" t="str">
        <f>IFERROR(__xludf.DUMMYFUNCTION("""COMPUTED_VALUE"""),"Active")</f>
        <v>Active</v>
      </c>
      <c r="E636" s="15">
        <f>IFERROR(__xludf.DUMMYFUNCTION("""COMPUTED_VALUE"""),42887.0)</f>
        <v>42887</v>
      </c>
      <c r="F636" s="16"/>
      <c r="G636" s="18">
        <f>IFERROR(__xludf.DUMMYFUNCTION("""COMPUTED_VALUE"""),112.16666666666666)</f>
        <v>112.1666667</v>
      </c>
      <c r="H636" s="15">
        <f>IFERROR(__xludf.DUMMYFUNCTION("""COMPUTED_VALUE"""),39169.0)</f>
        <v>39169</v>
      </c>
      <c r="I636" s="18">
        <f>IFERROR(__xludf.DUMMYFUNCTION("""COMPUTED_VALUE"""),10.175)</f>
        <v>10.175</v>
      </c>
      <c r="J636" s="22">
        <f>IFERROR(__xludf.DUMMYFUNCTION("""COMPUTED_VALUE"""),73.0)</f>
        <v>73</v>
      </c>
      <c r="K636" s="22">
        <f>IFERROR(__xludf.DUMMYFUNCTION("""COMPUTED_VALUE"""),4.5)</f>
        <v>4.5</v>
      </c>
      <c r="L636" s="26" t="str">
        <f>IFERROR(__xludf.DUMMYFUNCTION("""COMPUTED_VALUE"""),"Shooter")</f>
        <v>Shooter</v>
      </c>
      <c r="M636" s="13" t="b">
        <f>NOT(ISNA(VLOOKUP(A636,PC!A:A,1,FALSE)))</f>
        <v>0</v>
      </c>
      <c r="N636" s="13" t="b">
        <f>NOT(ISNA(VLOOKUP(A636,'Game Pass Premium'!A:A,1,FALSE)))</f>
        <v>1</v>
      </c>
      <c r="O636" s="13" t="b">
        <f>NOT(ISNA(VLOOKUP(A636,'Game Pass Essential'!A:A,1,FALSE)))</f>
        <v>0</v>
      </c>
    </row>
    <row r="637">
      <c r="A637" s="12" t="str">
        <f>IFERROR(__xludf.DUMMYFUNCTION("""COMPUTED_VALUE"""),"Evil West")</f>
        <v>Evil West</v>
      </c>
      <c r="B637" s="13" t="str">
        <f>IFERROR(__xludf.DUMMYFUNCTION("""COMPUTED_VALUE"""),"Xbox / PC")</f>
        <v>Xbox / PC</v>
      </c>
      <c r="C637" s="14" t="str">
        <f>IFERROR(__xludf.DUMMYFUNCTION("""COMPUTED_VALUE"""),"Yes")</f>
        <v>Yes</v>
      </c>
      <c r="D637" s="14" t="str">
        <f>IFERROR(__xludf.DUMMYFUNCTION("""COMPUTED_VALUE"""),"Leaving Soon")</f>
        <v>Leaving Soon</v>
      </c>
      <c r="E637" s="15">
        <f>IFERROR(__xludf.DUMMYFUNCTION("""COMPUTED_VALUE"""),45951.0)</f>
        <v>45951</v>
      </c>
      <c r="F637" s="16">
        <f>IFERROR(__xludf.DUMMYFUNCTION("""COMPUTED_VALUE"""),46310.0)</f>
        <v>46310</v>
      </c>
      <c r="G637" s="18">
        <f>IFERROR(__xludf.DUMMYFUNCTION("""COMPUTED_VALUE"""),11.799999999999999)</f>
        <v>11.8</v>
      </c>
      <c r="H637" s="15">
        <f>IFERROR(__xludf.DUMMYFUNCTION("""COMPUTED_VALUE"""),44887.0)</f>
        <v>44887</v>
      </c>
      <c r="I637" s="18">
        <f>IFERROR(__xludf.DUMMYFUNCTION("""COMPUTED_VALUE"""),2.9138888888888888)</f>
        <v>2.913888889</v>
      </c>
      <c r="J637" s="22">
        <f>IFERROR(__xludf.DUMMYFUNCTION("""COMPUTED_VALUE"""),73.0)</f>
        <v>73</v>
      </c>
      <c r="K637" s="22">
        <f>IFERROR(__xludf.DUMMYFUNCTION("""COMPUTED_VALUE"""),11.0)</f>
        <v>11</v>
      </c>
      <c r="L637" s="26" t="str">
        <f>IFERROR(__xludf.DUMMYFUNCTION("""COMPUTED_VALUE"""),"Shooter")</f>
        <v>Shooter</v>
      </c>
      <c r="M637" s="13" t="b">
        <f>NOT(ISNA(VLOOKUP(A637,PC!A:A,1,FALSE)))</f>
        <v>1</v>
      </c>
      <c r="N637" s="13" t="b">
        <f>NOT(ISNA(VLOOKUP(A637,'Game Pass Premium'!A:A,1,FALSE)))</f>
        <v>1</v>
      </c>
      <c r="O637" s="13" t="b">
        <f>NOT(ISNA(VLOOKUP(A637,'Game Pass Essential'!A:A,1,FALSE)))</f>
        <v>0</v>
      </c>
    </row>
    <row r="638">
      <c r="A638" s="12" t="str">
        <f>IFERROR(__xludf.DUMMYFUNCTION("""COMPUTED_VALUE"""),"Indiana Jones and the Emperor's Tomb")</f>
        <v>Indiana Jones and the Emperor's Tomb</v>
      </c>
      <c r="B638" s="13" t="str">
        <f>IFERROR(__xludf.DUMMYFUNCTION("""COMPUTED_VALUE"""),"XB360/OG Xbox")</f>
        <v>XB360/OG Xbox</v>
      </c>
      <c r="C638" s="14"/>
      <c r="D638" s="14" t="str">
        <f>IFERROR(__xludf.DUMMYFUNCTION("""COMPUTED_VALUE"""),"GwG Permanent")</f>
        <v>GwG Permanent</v>
      </c>
      <c r="E638" s="15">
        <f>IFERROR(__xludf.DUMMYFUNCTION("""COMPUTED_VALUE"""),44228.0)</f>
        <v>44228</v>
      </c>
      <c r="F638" s="16">
        <f>IFERROR(__xludf.DUMMYFUNCTION("""COMPUTED_VALUE"""),44243.0)</f>
        <v>44243</v>
      </c>
      <c r="G638" s="18">
        <f>IFERROR(__xludf.DUMMYFUNCTION("""COMPUTED_VALUE"""),0.5)</f>
        <v>0.5</v>
      </c>
      <c r="H638" s="15">
        <f>IFERROR(__xludf.DUMMYFUNCTION("""COMPUTED_VALUE"""),37677.0)</f>
        <v>37677</v>
      </c>
      <c r="I638" s="18">
        <f>IFERROR(__xludf.DUMMYFUNCTION("""COMPUTED_VALUE"""),17.933333333333334)</f>
        <v>17.93333333</v>
      </c>
      <c r="J638" s="22">
        <f>IFERROR(__xludf.DUMMYFUNCTION("""COMPUTED_VALUE"""),73.0)</f>
        <v>73</v>
      </c>
      <c r="K638" s="22">
        <f>IFERROR(__xludf.DUMMYFUNCTION("""COMPUTED_VALUE"""),11.0)</f>
        <v>11</v>
      </c>
      <c r="L638" s="26" t="str">
        <f>IFERROR(__xludf.DUMMYFUNCTION("""COMPUTED_VALUE"""),"Action-Adventure")</f>
        <v>Action-Adventure</v>
      </c>
      <c r="M638" s="13" t="b">
        <f>NOT(ISNA(VLOOKUP(A638,PC!A:A,1,FALSE)))</f>
        <v>0</v>
      </c>
      <c r="N638" s="13" t="b">
        <f>NOT(ISNA(VLOOKUP(A638,'Game Pass Premium'!A:A,1,FALSE)))</f>
        <v>0</v>
      </c>
      <c r="O638" s="13" t="b">
        <f>NOT(ISNA(VLOOKUP(A638,'Game Pass Essential'!A:A,1,FALSE)))</f>
        <v>0</v>
      </c>
    </row>
    <row r="639">
      <c r="A639" s="12" t="str">
        <f>IFERROR(__xludf.DUMMYFUNCTION("""COMPUTED_VALUE"""),"JUJU")</f>
        <v>JUJU</v>
      </c>
      <c r="B639" s="13" t="str">
        <f>IFERROR(__xludf.DUMMYFUNCTION("""COMPUTED_VALUE"""),"XB360/OG Xbox")</f>
        <v>XB360/OG Xbox</v>
      </c>
      <c r="C639" s="14"/>
      <c r="D639" s="14" t="str">
        <f>IFERROR(__xludf.DUMMYFUNCTION("""COMPUTED_VALUE"""),"GwG Permanent")</f>
        <v>GwG Permanent</v>
      </c>
      <c r="E639" s="15">
        <f>IFERROR(__xludf.DUMMYFUNCTION("""COMPUTED_VALUE"""),44028.0)</f>
        <v>44028</v>
      </c>
      <c r="F639" s="16">
        <f>IFERROR(__xludf.DUMMYFUNCTION("""COMPUTED_VALUE"""),44043.0)</f>
        <v>44043</v>
      </c>
      <c r="G639" s="18">
        <f>IFERROR(__xludf.DUMMYFUNCTION("""COMPUTED_VALUE"""),0.4666666666666667)</f>
        <v>0.4666666667</v>
      </c>
      <c r="H639" s="15">
        <f>IFERROR(__xludf.DUMMYFUNCTION("""COMPUTED_VALUE"""),41982.0)</f>
        <v>41982</v>
      </c>
      <c r="I639" s="18">
        <f>IFERROR(__xludf.DUMMYFUNCTION("""COMPUTED_VALUE"""),5.602777777777778)</f>
        <v>5.602777778</v>
      </c>
      <c r="J639" s="22">
        <f>IFERROR(__xludf.DUMMYFUNCTION("""COMPUTED_VALUE"""),73.0)</f>
        <v>73</v>
      </c>
      <c r="K639" s="22">
        <f>IFERROR(__xludf.DUMMYFUNCTION("""COMPUTED_VALUE"""),5.0)</f>
        <v>5</v>
      </c>
      <c r="L639" s="26" t="str">
        <f>IFERROR(__xludf.DUMMYFUNCTION("""COMPUTED_VALUE"""),"Platformer")</f>
        <v>Platformer</v>
      </c>
      <c r="M639" s="13" t="b">
        <f>NOT(ISNA(VLOOKUP(A639,PC!A:A,1,FALSE)))</f>
        <v>0</v>
      </c>
      <c r="N639" s="13" t="b">
        <f>NOT(ISNA(VLOOKUP(A639,'Game Pass Premium'!A:A,1,FALSE)))</f>
        <v>0</v>
      </c>
      <c r="O639" s="13" t="b">
        <f>NOT(ISNA(VLOOKUP(A639,'Game Pass Essential'!A:A,1,FALSE)))</f>
        <v>0</v>
      </c>
    </row>
    <row r="640">
      <c r="A640" s="12" t="str">
        <f>IFERROR(__xludf.DUMMYFUNCTION("""COMPUTED_VALUE"""),"Brave: The Video Game")</f>
        <v>Brave: The Video Game</v>
      </c>
      <c r="B640" s="13" t="str">
        <f>IFERROR(__xludf.DUMMYFUNCTION("""COMPUTED_VALUE"""),"XB360/OG Xbox")</f>
        <v>XB360/OG Xbox</v>
      </c>
      <c r="C640" s="14"/>
      <c r="D640" s="14" t="str">
        <f>IFERROR(__xludf.DUMMYFUNCTION("""COMPUTED_VALUE"""),"GwG Permanent")</f>
        <v>GwG Permanent</v>
      </c>
      <c r="E640" s="15">
        <f>IFERROR(__xludf.DUMMYFUNCTION("""COMPUTED_VALUE"""),43160.0)</f>
        <v>43160</v>
      </c>
      <c r="F640" s="16">
        <f>IFERROR(__xludf.DUMMYFUNCTION("""COMPUTED_VALUE"""),43174.0)</f>
        <v>43174</v>
      </c>
      <c r="G640" s="18">
        <f>IFERROR(__xludf.DUMMYFUNCTION("""COMPUTED_VALUE"""),0.4666666666666667)</f>
        <v>0.4666666667</v>
      </c>
      <c r="H640" s="15">
        <f>IFERROR(__xludf.DUMMYFUNCTION("""COMPUTED_VALUE"""),42291.0)</f>
        <v>42291</v>
      </c>
      <c r="I640" s="18">
        <f>IFERROR(__xludf.DUMMYFUNCTION("""COMPUTED_VALUE"""),2.3805555555555555)</f>
        <v>2.380555556</v>
      </c>
      <c r="J640" s="22">
        <f>IFERROR(__xludf.DUMMYFUNCTION("""COMPUTED_VALUE"""),73.0)</f>
        <v>73</v>
      </c>
      <c r="K640" s="22">
        <f>IFERROR(__xludf.DUMMYFUNCTION("""COMPUTED_VALUE"""),6.0)</f>
        <v>6</v>
      </c>
      <c r="L640" s="26" t="str">
        <f>IFERROR(__xludf.DUMMYFUNCTION("""COMPUTED_VALUE"""),"Action")</f>
        <v>Action</v>
      </c>
      <c r="M640" s="13" t="b">
        <f>NOT(ISNA(VLOOKUP(A640,PC!A:A,1,FALSE)))</f>
        <v>0</v>
      </c>
      <c r="N640" s="13" t="b">
        <f>NOT(ISNA(VLOOKUP(A640,'Game Pass Premium'!A:A,1,FALSE)))</f>
        <v>0</v>
      </c>
      <c r="O640" s="13" t="b">
        <f>NOT(ISNA(VLOOKUP(A640,'Game Pass Essential'!A:A,1,FALSE)))</f>
        <v>0</v>
      </c>
    </row>
    <row r="641">
      <c r="A641" s="12" t="str">
        <f>IFERROR(__xludf.DUMMYFUNCTION("""COMPUTED_VALUE"""),"LEGO Pirates of the Caribbean: The Video Game")</f>
        <v>LEGO Pirates of the Caribbean: The Video Game</v>
      </c>
      <c r="B641" s="13" t="str">
        <f>IFERROR(__xludf.DUMMYFUNCTION("""COMPUTED_VALUE"""),"XB360/OG Xbox")</f>
        <v>XB360/OG Xbox</v>
      </c>
      <c r="C641" s="14"/>
      <c r="D641" s="14" t="str">
        <f>IFERROR(__xludf.DUMMYFUNCTION("""COMPUTED_VALUE"""),"GwG Permanent")</f>
        <v>GwG Permanent</v>
      </c>
      <c r="E641" s="15">
        <f>IFERROR(__xludf.DUMMYFUNCTION("""COMPUTED_VALUE"""),42932.0)</f>
        <v>42932</v>
      </c>
      <c r="F641" s="16">
        <f>IFERROR(__xludf.DUMMYFUNCTION("""COMPUTED_VALUE"""),42947.0)</f>
        <v>42947</v>
      </c>
      <c r="G641" s="18">
        <f>IFERROR(__xludf.DUMMYFUNCTION("""COMPUTED_VALUE"""),0.4666666666666667)</f>
        <v>0.4666666667</v>
      </c>
      <c r="H641" s="15">
        <f>IFERROR(__xludf.DUMMYFUNCTION("""COMPUTED_VALUE"""),40673.0)</f>
        <v>40673</v>
      </c>
      <c r="I641" s="18">
        <f>IFERROR(__xludf.DUMMYFUNCTION("""COMPUTED_VALUE"""),6.183333333333334)</f>
        <v>6.183333333</v>
      </c>
      <c r="J641" s="22">
        <f>IFERROR(__xludf.DUMMYFUNCTION("""COMPUTED_VALUE"""),73.0)</f>
        <v>73</v>
      </c>
      <c r="K641" s="22">
        <f>IFERROR(__xludf.DUMMYFUNCTION("""COMPUTED_VALUE"""),27.0)</f>
        <v>27</v>
      </c>
      <c r="L641" s="26" t="str">
        <f>IFERROR(__xludf.DUMMYFUNCTION("""COMPUTED_VALUE"""),"Action-Adventure")</f>
        <v>Action-Adventure</v>
      </c>
      <c r="M641" s="13" t="b">
        <f>NOT(ISNA(VLOOKUP(A641,PC!A:A,1,FALSE)))</f>
        <v>0</v>
      </c>
      <c r="N641" s="13" t="b">
        <f>NOT(ISNA(VLOOKUP(A641,'Game Pass Premium'!A:A,1,FALSE)))</f>
        <v>0</v>
      </c>
      <c r="O641" s="13" t="b">
        <f>NOT(ISNA(VLOOKUP(A641,'Game Pass Essential'!A:A,1,FALSE)))</f>
        <v>0</v>
      </c>
    </row>
    <row r="642">
      <c r="A642" s="12" t="str">
        <f>IFERROR(__xludf.DUMMYFUNCTION("""COMPUTED_VALUE"""),"Battletoads")</f>
        <v>Battletoads</v>
      </c>
      <c r="B642" s="13" t="str">
        <f>IFERROR(__xludf.DUMMYFUNCTION("""COMPUTED_VALUE"""),"Xbox / PC")</f>
        <v>Xbox / PC</v>
      </c>
      <c r="C642" s="14" t="str">
        <f>IFERROR(__xludf.DUMMYFUNCTION("""COMPUTED_VALUE"""),"Yes")</f>
        <v>Yes</v>
      </c>
      <c r="D642" s="14" t="str">
        <f>IFERROR(__xludf.DUMMYFUNCTION("""COMPUTED_VALUE"""),"Active")</f>
        <v>Active</v>
      </c>
      <c r="E642" s="15">
        <f>IFERROR(__xludf.DUMMYFUNCTION("""COMPUTED_VALUE"""),44063.0)</f>
        <v>44063</v>
      </c>
      <c r="F642" s="16"/>
      <c r="G642" s="18">
        <f>IFERROR(__xludf.DUMMYFUNCTION("""COMPUTED_VALUE"""),73.53333333333333)</f>
        <v>73.53333333</v>
      </c>
      <c r="H642" s="15">
        <f>IFERROR(__xludf.DUMMYFUNCTION("""COMPUTED_VALUE"""),44063.0)</f>
        <v>44063</v>
      </c>
      <c r="I642" s="18">
        <f>IFERROR(__xludf.DUMMYFUNCTION("""COMPUTED_VALUE"""),0.0)</f>
        <v>0</v>
      </c>
      <c r="J642" s="22">
        <f>IFERROR(__xludf.DUMMYFUNCTION("""COMPUTED_VALUE"""),72.5)</f>
        <v>72.5</v>
      </c>
      <c r="K642" s="22">
        <f>IFERROR(__xludf.DUMMYFUNCTION("""COMPUTED_VALUE"""),4.0)</f>
        <v>4</v>
      </c>
      <c r="L642" s="26" t="str">
        <f>IFERROR(__xludf.DUMMYFUNCTION("""COMPUTED_VALUE"""),"Brawler")</f>
        <v>Brawler</v>
      </c>
      <c r="M642" s="13" t="b">
        <f>NOT(ISNA(VLOOKUP(A642,PC!A:A,1,FALSE)))</f>
        <v>1</v>
      </c>
      <c r="N642" s="13" t="b">
        <f>NOT(ISNA(VLOOKUP(A642,'Game Pass Premium'!A:A,1,FALSE)))</f>
        <v>1</v>
      </c>
      <c r="O642" s="13" t="b">
        <f>NOT(ISNA(VLOOKUP(A642,'Game Pass Essential'!A:A,1,FALSE)))</f>
        <v>0</v>
      </c>
    </row>
    <row r="643">
      <c r="A643" s="12" t="str">
        <f>IFERROR(__xludf.DUMMYFUNCTION("""COMPUTED_VALUE"""),"Minecraft Dungeons")</f>
        <v>Minecraft Dungeons</v>
      </c>
      <c r="B643" s="13" t="str">
        <f>IFERROR(__xludf.DUMMYFUNCTION("""COMPUTED_VALUE"""),"Xbox / PC")</f>
        <v>Xbox / PC</v>
      </c>
      <c r="C643" s="14" t="str">
        <f>IFERROR(__xludf.DUMMYFUNCTION("""COMPUTED_VALUE"""),"Touch Controls")</f>
        <v>Touch Controls</v>
      </c>
      <c r="D643" s="14" t="str">
        <f>IFERROR(__xludf.DUMMYFUNCTION("""COMPUTED_VALUE"""),"Active")</f>
        <v>Active</v>
      </c>
      <c r="E643" s="15">
        <f>IFERROR(__xludf.DUMMYFUNCTION("""COMPUTED_VALUE"""),43977.0)</f>
        <v>43977</v>
      </c>
      <c r="F643" s="16"/>
      <c r="G643" s="18">
        <f>IFERROR(__xludf.DUMMYFUNCTION("""COMPUTED_VALUE"""),76.33333333333333)</f>
        <v>76.33333333</v>
      </c>
      <c r="H643" s="15">
        <f>IFERROR(__xludf.DUMMYFUNCTION("""COMPUTED_VALUE"""),43977.0)</f>
        <v>43977</v>
      </c>
      <c r="I643" s="18">
        <f>IFERROR(__xludf.DUMMYFUNCTION("""COMPUTED_VALUE"""),0.0)</f>
        <v>0</v>
      </c>
      <c r="J643" s="22">
        <f>IFERROR(__xludf.DUMMYFUNCTION("""COMPUTED_VALUE"""),72.5)</f>
        <v>72.5</v>
      </c>
      <c r="K643" s="22">
        <f>IFERROR(__xludf.DUMMYFUNCTION("""COMPUTED_VALUE"""),5.0)</f>
        <v>5</v>
      </c>
      <c r="L643" s="26" t="str">
        <f>IFERROR(__xludf.DUMMYFUNCTION("""COMPUTED_VALUE"""),"RPG")</f>
        <v>RPG</v>
      </c>
      <c r="M643" s="13" t="b">
        <f>NOT(ISNA(VLOOKUP(A643,PC!A:A,1,FALSE)))</f>
        <v>1</v>
      </c>
      <c r="N643" s="13" t="b">
        <f>NOT(ISNA(VLOOKUP(A643,'Game Pass Premium'!A:A,1,FALSE)))</f>
        <v>1</v>
      </c>
      <c r="O643" s="13" t="b">
        <f>NOT(ISNA(VLOOKUP(A643,'Game Pass Essential'!A:A,1,FALSE)))</f>
        <v>0</v>
      </c>
    </row>
    <row r="644">
      <c r="A644" s="12" t="str">
        <f>IFERROR(__xludf.DUMMYFUNCTION("""COMPUTED_VALUE"""),"Beast of Reincarnation")</f>
        <v>Beast of Reincarnation</v>
      </c>
      <c r="B644" s="13" t="str">
        <f>IFERROR(__xludf.DUMMYFUNCTION("""COMPUTED_VALUE"""),"Xbox / PC")</f>
        <v>Xbox / PC</v>
      </c>
      <c r="C644" s="14" t="str">
        <f>IFERROR(__xludf.DUMMYFUNCTION("""COMPUTED_VALUE"""),"Yes")</f>
        <v>Yes</v>
      </c>
      <c r="D644" s="14" t="str">
        <f>IFERROR(__xludf.DUMMYFUNCTION("""COMPUTED_VALUE"""),"Active")</f>
        <v>Active</v>
      </c>
      <c r="E644" s="15">
        <f>IFERROR(__xludf.DUMMYFUNCTION("""COMPUTED_VALUE"""),46238.0)</f>
        <v>46238</v>
      </c>
      <c r="F644" s="16"/>
      <c r="G644" s="18">
        <f>IFERROR(__xludf.DUMMYFUNCTION("""COMPUTED_VALUE"""),2.0666666666666664)</f>
        <v>2.066666667</v>
      </c>
      <c r="H644" s="15">
        <f>IFERROR(__xludf.DUMMYFUNCTION("""COMPUTED_VALUE"""),46238.0)</f>
        <v>46238</v>
      </c>
      <c r="I644" s="18">
        <f>IFERROR(__xludf.DUMMYFUNCTION("""COMPUTED_VALUE"""),0.0)</f>
        <v>0</v>
      </c>
      <c r="J644" s="22">
        <f>IFERROR(__xludf.DUMMYFUNCTION("""COMPUTED_VALUE"""),72.0)</f>
        <v>72</v>
      </c>
      <c r="K644" s="22">
        <f>IFERROR(__xludf.DUMMYFUNCTION("""COMPUTED_VALUE"""),23.0)</f>
        <v>23</v>
      </c>
      <c r="L644" s="26" t="str">
        <f>IFERROR(__xludf.DUMMYFUNCTION("""COMPUTED_VALUE"""),"RPG")</f>
        <v>RPG</v>
      </c>
      <c r="M644" s="13" t="b">
        <f>NOT(ISNA(VLOOKUP(A644,PC!A:A,1,FALSE)))</f>
        <v>1</v>
      </c>
      <c r="N644" s="13" t="b">
        <f>NOT(ISNA(VLOOKUP(A644,'Game Pass Premium'!A:A,1,FALSE)))</f>
        <v>0</v>
      </c>
      <c r="O644" s="13" t="b">
        <f>NOT(ISNA(VLOOKUP(A644,'Game Pass Essential'!A:A,1,FALSE)))</f>
        <v>0</v>
      </c>
    </row>
    <row r="645">
      <c r="A645" s="12" t="str">
        <f>IFERROR(__xludf.DUMMYFUNCTION("""COMPUTED_VALUE"""),"Winds of Arcana: Ruination")</f>
        <v>Winds of Arcana: Ruination</v>
      </c>
      <c r="B645" s="13" t="str">
        <f>IFERROR(__xludf.DUMMYFUNCTION("""COMPUTED_VALUE"""),"Xbox / PC")</f>
        <v>Xbox / PC</v>
      </c>
      <c r="C645" s="14" t="str">
        <f>IFERROR(__xludf.DUMMYFUNCTION("""COMPUTED_VALUE"""),"Yes")</f>
        <v>Yes</v>
      </c>
      <c r="D645" s="14" t="str">
        <f>IFERROR(__xludf.DUMMYFUNCTION("""COMPUTED_VALUE"""),"Active")</f>
        <v>Active</v>
      </c>
      <c r="E645" s="15">
        <f>IFERROR(__xludf.DUMMYFUNCTION("""COMPUTED_VALUE"""),46209.0)</f>
        <v>46209</v>
      </c>
      <c r="F645" s="16"/>
      <c r="G645" s="18">
        <f>IFERROR(__xludf.DUMMYFUNCTION("""COMPUTED_VALUE"""),3.0)</f>
        <v>3</v>
      </c>
      <c r="H645" s="15">
        <f>IFERROR(__xludf.DUMMYFUNCTION("""COMPUTED_VALUE"""),45975.0)</f>
        <v>45975</v>
      </c>
      <c r="I645" s="18">
        <f>IFERROR(__xludf.DUMMYFUNCTION("""COMPUTED_VALUE"""),0.6444444444444445)</f>
        <v>0.6444444444</v>
      </c>
      <c r="J645" s="22">
        <f>IFERROR(__xludf.DUMMYFUNCTION("""COMPUTED_VALUE"""),72.0)</f>
        <v>72</v>
      </c>
      <c r="K645" s="22">
        <f>IFERROR(__xludf.DUMMYFUNCTION("""COMPUTED_VALUE"""),9.0)</f>
        <v>9</v>
      </c>
      <c r="L645" s="26" t="str">
        <f>IFERROR(__xludf.DUMMYFUNCTION("""COMPUTED_VALUE"""),"RPG")</f>
        <v>RPG</v>
      </c>
      <c r="M645" s="13" t="b">
        <f>NOT(ISNA(VLOOKUP(A645,PC!A:A,1,FALSE)))</f>
        <v>1</v>
      </c>
      <c r="N645" s="13" t="b">
        <f>NOT(ISNA(VLOOKUP(A645,'Game Pass Premium'!A:A,1,FALSE)))</f>
        <v>1</v>
      </c>
      <c r="O645" s="13" t="b">
        <f>NOT(ISNA(VLOOKUP(A645,'Game Pass Essential'!A:A,1,FALSE)))</f>
        <v>0</v>
      </c>
    </row>
    <row r="646">
      <c r="A646" s="12" t="str">
        <f>IFERROR(__xludf.DUMMYFUNCTION("""COMPUTED_VALUE"""),"Wildgate")</f>
        <v>Wildgate</v>
      </c>
      <c r="B646" s="13" t="str">
        <f>IFERROR(__xludf.DUMMYFUNCTION("""COMPUTED_VALUE"""),"Xbox / PC")</f>
        <v>Xbox / PC</v>
      </c>
      <c r="C646" s="14" t="str">
        <f>IFERROR(__xludf.DUMMYFUNCTION("""COMPUTED_VALUE"""),"Yes")</f>
        <v>Yes</v>
      </c>
      <c r="D646" s="14" t="str">
        <f>IFERROR(__xludf.DUMMYFUNCTION("""COMPUTED_VALUE"""),"Active")</f>
        <v>Active</v>
      </c>
      <c r="E646" s="15">
        <f>IFERROR(__xludf.DUMMYFUNCTION("""COMPUTED_VALUE"""),46148.0)</f>
        <v>46148</v>
      </c>
      <c r="F646" s="16"/>
      <c r="G646" s="18">
        <f>IFERROR(__xludf.DUMMYFUNCTION("""COMPUTED_VALUE"""),5.0)</f>
        <v>5</v>
      </c>
      <c r="H646" s="15">
        <f>IFERROR(__xludf.DUMMYFUNCTION("""COMPUTED_VALUE"""),45860.0)</f>
        <v>45860</v>
      </c>
      <c r="I646" s="18">
        <f>IFERROR(__xludf.DUMMYFUNCTION("""COMPUTED_VALUE"""),0.7888888888888889)</f>
        <v>0.7888888889</v>
      </c>
      <c r="J646" s="22">
        <f>IFERROR(__xludf.DUMMYFUNCTION("""COMPUTED_VALUE"""),72.0)</f>
        <v>72</v>
      </c>
      <c r="K646" s="22">
        <f>IFERROR(__xludf.DUMMYFUNCTION("""COMPUTED_VALUE"""),19.0)</f>
        <v>19</v>
      </c>
      <c r="L646" s="26" t="str">
        <f>IFERROR(__xludf.DUMMYFUNCTION("""COMPUTED_VALUE"""),"Shooter")</f>
        <v>Shooter</v>
      </c>
      <c r="M646" s="13" t="b">
        <f>NOT(ISNA(VLOOKUP(A646,PC!A:A,1,FALSE)))</f>
        <v>1</v>
      </c>
      <c r="N646" s="13" t="b">
        <f>NOT(ISNA(VLOOKUP(A646,'Game Pass Premium'!A:A,1,FALSE)))</f>
        <v>1</v>
      </c>
      <c r="O646" s="13" t="b">
        <f>NOT(ISNA(VLOOKUP(A646,'Game Pass Essential'!A:A,1,FALSE)))</f>
        <v>0</v>
      </c>
    </row>
    <row r="647">
      <c r="A647" s="12" t="str">
        <f>IFERROR(__xludf.DUMMYFUNCTION("""COMPUTED_VALUE"""),"Construction Simulator")</f>
        <v>Construction Simulator</v>
      </c>
      <c r="B647" s="13" t="str">
        <f>IFERROR(__xludf.DUMMYFUNCTION("""COMPUTED_VALUE"""),"Xbox / PC")</f>
        <v>Xbox / PC</v>
      </c>
      <c r="C647" s="14" t="str">
        <f>IFERROR(__xludf.DUMMYFUNCTION("""COMPUTED_VALUE"""),"Yes")</f>
        <v>Yes</v>
      </c>
      <c r="D647" s="14" t="str">
        <f>IFERROR(__xludf.DUMMYFUNCTION("""COMPUTED_VALUE"""),"Active")</f>
        <v>Active</v>
      </c>
      <c r="E647" s="15">
        <f>IFERROR(__xludf.DUMMYFUNCTION("""COMPUTED_VALUE"""),46091.0)</f>
        <v>46091</v>
      </c>
      <c r="F647" s="16"/>
      <c r="G647" s="18">
        <f>IFERROR(__xludf.DUMMYFUNCTION("""COMPUTED_VALUE"""),6.866666666666666)</f>
        <v>6.866666667</v>
      </c>
      <c r="H647" s="15">
        <f>IFERROR(__xludf.DUMMYFUNCTION("""COMPUTED_VALUE"""),43775.0)</f>
        <v>43775</v>
      </c>
      <c r="I647" s="18">
        <f>IFERROR(__xludf.DUMMYFUNCTION("""COMPUTED_VALUE"""),6.344444444444444)</f>
        <v>6.344444444</v>
      </c>
      <c r="J647" s="22">
        <f>IFERROR(__xludf.DUMMYFUNCTION("""COMPUTED_VALUE"""),72.0)</f>
        <v>72</v>
      </c>
      <c r="K647" s="22">
        <f>IFERROR(__xludf.DUMMYFUNCTION("""COMPUTED_VALUE"""),43.0)</f>
        <v>43</v>
      </c>
      <c r="L647" s="26" t="str">
        <f>IFERROR(__xludf.DUMMYFUNCTION("""COMPUTED_VALUE"""),"Simulation")</f>
        <v>Simulation</v>
      </c>
      <c r="M647" s="13" t="b">
        <f>NOT(ISNA(VLOOKUP(A647,PC!A:A,1,FALSE)))</f>
        <v>1</v>
      </c>
      <c r="N647" s="13" t="b">
        <f>NOT(ISNA(VLOOKUP(A647,'Game Pass Premium'!A:A,1,FALSE)))</f>
        <v>1</v>
      </c>
      <c r="O647" s="13" t="b">
        <f>NOT(ISNA(VLOOKUP(A647,'Game Pass Essential'!A:A,1,FALSE)))</f>
        <v>0</v>
      </c>
    </row>
    <row r="648">
      <c r="A648" s="12" t="str">
        <f>IFERROR(__xludf.DUMMYFUNCTION("""COMPUTED_VALUE"""),"Avatar: Frontiers of Pandora")</f>
        <v>Avatar: Frontiers of Pandora</v>
      </c>
      <c r="B648" s="13" t="str">
        <f>IFERROR(__xludf.DUMMYFUNCTION("""COMPUTED_VALUE"""),"Xbox / PC")</f>
        <v>Xbox / PC</v>
      </c>
      <c r="C648" s="14" t="str">
        <f>IFERROR(__xludf.DUMMYFUNCTION("""COMPUTED_VALUE"""),"Yes")</f>
        <v>Yes</v>
      </c>
      <c r="D648" s="14" t="str">
        <f>IFERROR(__xludf.DUMMYFUNCTION("""COMPUTED_VALUE"""),"Active")</f>
        <v>Active</v>
      </c>
      <c r="E648" s="15">
        <f>IFERROR(__xludf.DUMMYFUNCTION("""COMPUTED_VALUE"""),46070.0)</f>
        <v>46070</v>
      </c>
      <c r="F648" s="16"/>
      <c r="G648" s="18">
        <f>IFERROR(__xludf.DUMMYFUNCTION("""COMPUTED_VALUE"""),7.633333333333333)</f>
        <v>7.633333333</v>
      </c>
      <c r="H648" s="15">
        <f>IFERROR(__xludf.DUMMYFUNCTION("""COMPUTED_VALUE"""),45267.0)</f>
        <v>45267</v>
      </c>
      <c r="I648" s="18">
        <f>IFERROR(__xludf.DUMMYFUNCTION("""COMPUTED_VALUE"""),2.1944444444444446)</f>
        <v>2.194444444</v>
      </c>
      <c r="J648" s="22">
        <f>IFERROR(__xludf.DUMMYFUNCTION("""COMPUTED_VALUE"""),72.0)</f>
        <v>72</v>
      </c>
      <c r="K648" s="22">
        <f>IFERROR(__xludf.DUMMYFUNCTION("""COMPUTED_VALUE"""),18.0)</f>
        <v>18</v>
      </c>
      <c r="L648" s="26" t="str">
        <f>IFERROR(__xludf.DUMMYFUNCTION("""COMPUTED_VALUE"""),"Shooter")</f>
        <v>Shooter</v>
      </c>
      <c r="M648" s="13" t="b">
        <f>NOT(ISNA(VLOOKUP(A648,PC!A:A,1,FALSE)))</f>
        <v>1</v>
      </c>
      <c r="N648" s="13" t="b">
        <f>NOT(ISNA(VLOOKUP(A648,'Game Pass Premium'!A:A,1,FALSE)))</f>
        <v>0</v>
      </c>
      <c r="O648" s="13" t="b">
        <f>NOT(ISNA(VLOOKUP(A648,'Game Pass Essential'!A:A,1,FALSE)))</f>
        <v>0</v>
      </c>
    </row>
    <row r="649">
      <c r="A649" s="12" t="str">
        <f>IFERROR(__xludf.DUMMYFUNCTION("""COMPUTED_VALUE"""),"Assassin's Creed III: Remastered")</f>
        <v>Assassin's Creed III: Remastered</v>
      </c>
      <c r="B649" s="13" t="str">
        <f>IFERROR(__xludf.DUMMYFUNCTION("""COMPUTED_VALUE"""),"Xbox / PC")</f>
        <v>Xbox / PC</v>
      </c>
      <c r="C649" s="14" t="str">
        <f>IFERROR(__xludf.DUMMYFUNCTION("""COMPUTED_VALUE"""),"Yes")</f>
        <v>Yes</v>
      </c>
      <c r="D649" s="14" t="str">
        <f>IFERROR(__xludf.DUMMYFUNCTION("""COMPUTED_VALUE"""),"Active")</f>
        <v>Active</v>
      </c>
      <c r="E649" s="15">
        <f>IFERROR(__xludf.DUMMYFUNCTION("""COMPUTED_VALUE"""),45931.0)</f>
        <v>45931</v>
      </c>
      <c r="F649" s="16"/>
      <c r="G649" s="18">
        <f>IFERROR(__xludf.DUMMYFUNCTION("""COMPUTED_VALUE"""),12.166666666666666)</f>
        <v>12.16666667</v>
      </c>
      <c r="H649" s="15">
        <f>IFERROR(__xludf.DUMMYFUNCTION("""COMPUTED_VALUE"""),43553.0)</f>
        <v>43553</v>
      </c>
      <c r="I649" s="18">
        <f>IFERROR(__xludf.DUMMYFUNCTION("""COMPUTED_VALUE"""),6.5055555555555555)</f>
        <v>6.505555556</v>
      </c>
      <c r="J649" s="22">
        <f>IFERROR(__xludf.DUMMYFUNCTION("""COMPUTED_VALUE"""),72.0)</f>
        <v>72</v>
      </c>
      <c r="K649" s="22">
        <f>IFERROR(__xludf.DUMMYFUNCTION("""COMPUTED_VALUE"""),15.0)</f>
        <v>15</v>
      </c>
      <c r="L649" s="26" t="str">
        <f>IFERROR(__xludf.DUMMYFUNCTION("""COMPUTED_VALUE"""),"Action-Adventure")</f>
        <v>Action-Adventure</v>
      </c>
      <c r="M649" s="13" t="b">
        <f>NOT(ISNA(VLOOKUP(A649,PC!A:A,1,FALSE)))</f>
        <v>1</v>
      </c>
      <c r="N649" s="13" t="b">
        <f>NOT(ISNA(VLOOKUP(A649,'Game Pass Premium'!A:A,1,FALSE)))</f>
        <v>0</v>
      </c>
      <c r="O649" s="13" t="b">
        <f>NOT(ISNA(VLOOKUP(A649,'Game Pass Essential'!A:A,1,FALSE)))</f>
        <v>0</v>
      </c>
    </row>
    <row r="650">
      <c r="A650" s="12" t="str">
        <f>IFERROR(__xludf.DUMMYFUNCTION("""COMPUTED_VALUE"""),"Assassin's Creed: The Ezio Collection")</f>
        <v>Assassin's Creed: The Ezio Collection</v>
      </c>
      <c r="B650" s="13" t="str">
        <f>IFERROR(__xludf.DUMMYFUNCTION("""COMPUTED_VALUE"""),"Xbox / PC")</f>
        <v>Xbox / PC</v>
      </c>
      <c r="C650" s="14" t="str">
        <f>IFERROR(__xludf.DUMMYFUNCTION("""COMPUTED_VALUE"""),"Yes")</f>
        <v>Yes</v>
      </c>
      <c r="D650" s="14" t="str">
        <f>IFERROR(__xludf.DUMMYFUNCTION("""COMPUTED_VALUE"""),"Active")</f>
        <v>Active</v>
      </c>
      <c r="E650" s="15">
        <f>IFERROR(__xludf.DUMMYFUNCTION("""COMPUTED_VALUE"""),45931.0)</f>
        <v>45931</v>
      </c>
      <c r="F650" s="16"/>
      <c r="G650" s="18">
        <f>IFERROR(__xludf.DUMMYFUNCTION("""COMPUTED_VALUE"""),12.166666666666666)</f>
        <v>12.16666667</v>
      </c>
      <c r="H650" s="15">
        <f>IFERROR(__xludf.DUMMYFUNCTION("""COMPUTED_VALUE"""),42689.0)</f>
        <v>42689</v>
      </c>
      <c r="I650" s="18">
        <f>IFERROR(__xludf.DUMMYFUNCTION("""COMPUTED_VALUE"""),8.877777777777778)</f>
        <v>8.877777778</v>
      </c>
      <c r="J650" s="22">
        <f>IFERROR(__xludf.DUMMYFUNCTION("""COMPUTED_VALUE"""),72.0)</f>
        <v>72</v>
      </c>
      <c r="K650" s="22">
        <f>IFERROR(__xludf.DUMMYFUNCTION("""COMPUTED_VALUE"""),72.0)</f>
        <v>72</v>
      </c>
      <c r="L650" s="26" t="str">
        <f>IFERROR(__xludf.DUMMYFUNCTION("""COMPUTED_VALUE"""),"Action-Adventure")</f>
        <v>Action-Adventure</v>
      </c>
      <c r="M650" s="13" t="b">
        <f>NOT(ISNA(VLOOKUP(A650,PC!A:A,1,FALSE)))</f>
        <v>1</v>
      </c>
      <c r="N650" s="13" t="b">
        <f>NOT(ISNA(VLOOKUP(A650,'Game Pass Premium'!A:A,1,FALSE)))</f>
        <v>0</v>
      </c>
      <c r="O650" s="13" t="b">
        <f>NOT(ISNA(VLOOKUP(A650,'Game Pass Essential'!A:A,1,FALSE)))</f>
        <v>0</v>
      </c>
    </row>
    <row r="651">
      <c r="A651" s="12" t="str">
        <f>IFERROR(__xludf.DUMMYFUNCTION("""COMPUTED_VALUE"""),"Assassin's Creed Unity")</f>
        <v>Assassin's Creed Unity</v>
      </c>
      <c r="B651" s="13" t="str">
        <f>IFERROR(__xludf.DUMMYFUNCTION("""COMPUTED_VALUE"""),"Xbox / PC")</f>
        <v>Xbox / PC</v>
      </c>
      <c r="C651" s="14" t="str">
        <f>IFERROR(__xludf.DUMMYFUNCTION("""COMPUTED_VALUE"""),"Yes")</f>
        <v>Yes</v>
      </c>
      <c r="D651" s="14" t="str">
        <f>IFERROR(__xludf.DUMMYFUNCTION("""COMPUTED_VALUE"""),"Active")</f>
        <v>Active</v>
      </c>
      <c r="E651" s="15">
        <f>IFERROR(__xludf.DUMMYFUNCTION("""COMPUTED_VALUE"""),45931.0)</f>
        <v>45931</v>
      </c>
      <c r="F651" s="16"/>
      <c r="G651" s="18">
        <f>IFERROR(__xludf.DUMMYFUNCTION("""COMPUTED_VALUE"""),12.166666666666666)</f>
        <v>12.16666667</v>
      </c>
      <c r="H651" s="15">
        <f>IFERROR(__xludf.DUMMYFUNCTION("""COMPUTED_VALUE"""),41954.0)</f>
        <v>41954</v>
      </c>
      <c r="I651" s="18">
        <f>IFERROR(__xludf.DUMMYFUNCTION("""COMPUTED_VALUE"""),10.88888888888889)</f>
        <v>10.88888889</v>
      </c>
      <c r="J651" s="22">
        <f>IFERROR(__xludf.DUMMYFUNCTION("""COMPUTED_VALUE"""),72.0)</f>
        <v>72</v>
      </c>
      <c r="K651" s="22">
        <f>IFERROR(__xludf.DUMMYFUNCTION("""COMPUTED_VALUE"""),17.0)</f>
        <v>17</v>
      </c>
      <c r="L651" s="26" t="str">
        <f>IFERROR(__xludf.DUMMYFUNCTION("""COMPUTED_VALUE"""),"Action-Adventure")</f>
        <v>Action-Adventure</v>
      </c>
      <c r="M651" s="13" t="b">
        <f>NOT(ISNA(VLOOKUP(A651,PC!A:A,1,FALSE)))</f>
        <v>1</v>
      </c>
      <c r="N651" s="13" t="b">
        <f>NOT(ISNA(VLOOKUP(A651,'Game Pass Premium'!A:A,1,FALSE)))</f>
        <v>0</v>
      </c>
      <c r="O651" s="13" t="b">
        <f>NOT(ISNA(VLOOKUP(A651,'Game Pass Essential'!A:A,1,FALSE)))</f>
        <v>0</v>
      </c>
    </row>
    <row r="652">
      <c r="A652" s="12" t="str">
        <f>IFERROR(__xludf.DUMMYFUNCTION("""COMPUTED_VALUE"""),"Caesar")</f>
        <v>Caesar</v>
      </c>
      <c r="B652" s="13" t="str">
        <f>IFERROR(__xludf.DUMMYFUNCTION("""COMPUTED_VALUE"""),"Xbox / PC")</f>
        <v>Xbox / PC</v>
      </c>
      <c r="C652" s="14" t="str">
        <f>IFERROR(__xludf.DUMMYFUNCTION("""COMPUTED_VALUE"""),"Yes")</f>
        <v>Yes</v>
      </c>
      <c r="D652" s="14" t="str">
        <f>IFERROR(__xludf.DUMMYFUNCTION("""COMPUTED_VALUE"""),"Active")</f>
        <v>Active</v>
      </c>
      <c r="E652" s="15">
        <f>IFERROR(__xludf.DUMMYFUNCTION("""COMPUTED_VALUE"""),45859.0)</f>
        <v>45859</v>
      </c>
      <c r="F652" s="16"/>
      <c r="G652" s="18">
        <f>IFERROR(__xludf.DUMMYFUNCTION("""COMPUTED_VALUE"""),14.5)</f>
        <v>14.5</v>
      </c>
      <c r="H652" s="15">
        <f>IFERROR(__xludf.DUMMYFUNCTION("""COMPUTED_VALUE"""),33889.0)</f>
        <v>33889</v>
      </c>
      <c r="I652" s="18">
        <f>IFERROR(__xludf.DUMMYFUNCTION("""COMPUTED_VALUE"""),32.775)</f>
        <v>32.775</v>
      </c>
      <c r="J652" s="22">
        <f>IFERROR(__xludf.DUMMYFUNCTION("""COMPUTED_VALUE"""),72.0)</f>
        <v>72</v>
      </c>
      <c r="K652" s="22">
        <f>IFERROR(__xludf.DUMMYFUNCTION("""COMPUTED_VALUE"""),8.0)</f>
        <v>8</v>
      </c>
      <c r="L652" s="26" t="str">
        <f>IFERROR(__xludf.DUMMYFUNCTION("""COMPUTED_VALUE"""),"City‑building")</f>
        <v>City‑building</v>
      </c>
      <c r="M652" s="13" t="b">
        <f>NOT(ISNA(VLOOKUP(A652,PC!A:A,1,FALSE)))</f>
        <v>1</v>
      </c>
      <c r="N652" s="13" t="b">
        <f>NOT(ISNA(VLOOKUP(A652,'Game Pass Premium'!A:A,1,FALSE)))</f>
        <v>1</v>
      </c>
      <c r="O652" s="13" t="b">
        <f>NOT(ISNA(VLOOKUP(A652,'Game Pass Essential'!A:A,1,FALSE)))</f>
        <v>0</v>
      </c>
    </row>
    <row r="653">
      <c r="A653" s="12" t="str">
        <f>IFERROR(__xludf.DUMMYFUNCTION("""COMPUTED_VALUE"""),"Hard Head")</f>
        <v>Hard Head</v>
      </c>
      <c r="B653" s="13" t="str">
        <f>IFERROR(__xludf.DUMMYFUNCTION("""COMPUTED_VALUE"""),"Xbox / PC")</f>
        <v>Xbox / PC</v>
      </c>
      <c r="C653" s="14" t="str">
        <f>IFERROR(__xludf.DUMMYFUNCTION("""COMPUTED_VALUE"""),"Yes")</f>
        <v>Yes</v>
      </c>
      <c r="D653" s="14" t="str">
        <f>IFERROR(__xludf.DUMMYFUNCTION("""COMPUTED_VALUE"""),"Active")</f>
        <v>Active</v>
      </c>
      <c r="E653" s="15">
        <f>IFERROR(__xludf.DUMMYFUNCTION("""COMPUTED_VALUE"""),45859.0)</f>
        <v>45859</v>
      </c>
      <c r="F653" s="16"/>
      <c r="G653" s="18">
        <f>IFERROR(__xludf.DUMMYFUNCTION("""COMPUTED_VALUE"""),14.5)</f>
        <v>14.5</v>
      </c>
      <c r="H653" s="15">
        <f>IFERROR(__xludf.DUMMYFUNCTION("""COMPUTED_VALUE"""),30682.0)</f>
        <v>30682</v>
      </c>
      <c r="I653" s="18">
        <f>IFERROR(__xludf.DUMMYFUNCTION("""COMPUTED_VALUE"""),41.55555555555556)</f>
        <v>41.55555556</v>
      </c>
      <c r="J653" s="22">
        <f>IFERROR(__xludf.DUMMYFUNCTION("""COMPUTED_VALUE"""),72.0)</f>
        <v>72</v>
      </c>
      <c r="K653" s="22"/>
      <c r="L653" s="26" t="str">
        <f>IFERROR(__xludf.DUMMYFUNCTION("""COMPUTED_VALUE"""),"Action")</f>
        <v>Action</v>
      </c>
      <c r="M653" s="13" t="b">
        <f>NOT(ISNA(VLOOKUP(A653,PC!A:A,1,FALSE)))</f>
        <v>1</v>
      </c>
      <c r="N653" s="13" t="b">
        <f>NOT(ISNA(VLOOKUP(A653,'Game Pass Premium'!A:A,1,FALSE)))</f>
        <v>1</v>
      </c>
      <c r="O653" s="13" t="b">
        <f>NOT(ISNA(VLOOKUP(A653,'Game Pass Essential'!A:A,1,FALSE)))</f>
        <v>0</v>
      </c>
    </row>
    <row r="654">
      <c r="A654" s="12" t="str">
        <f>IFERROR(__xludf.DUMMYFUNCTION("""COMPUTED_VALUE"""),"RoboCop: Rogue City")</f>
        <v>RoboCop: Rogue City</v>
      </c>
      <c r="B654" s="13" t="str">
        <f>IFERROR(__xludf.DUMMYFUNCTION("""COMPUTED_VALUE"""),"Xbox / PC")</f>
        <v>Xbox / PC</v>
      </c>
      <c r="C654" s="14" t="str">
        <f>IFERROR(__xludf.DUMMYFUNCTION("""COMPUTED_VALUE"""),"Yes")</f>
        <v>Yes</v>
      </c>
      <c r="D654" s="14" t="str">
        <f>IFERROR(__xludf.DUMMYFUNCTION("""COMPUTED_VALUE"""),"Active")</f>
        <v>Active</v>
      </c>
      <c r="E654" s="15">
        <f>IFERROR(__xludf.DUMMYFUNCTION("""COMPUTED_VALUE"""),45855.0)</f>
        <v>45855</v>
      </c>
      <c r="F654" s="16"/>
      <c r="G654" s="18">
        <f>IFERROR(__xludf.DUMMYFUNCTION("""COMPUTED_VALUE"""),14.633333333333335)</f>
        <v>14.63333333</v>
      </c>
      <c r="H654" s="15">
        <f>IFERROR(__xludf.DUMMYFUNCTION("""COMPUTED_VALUE"""),45232.0)</f>
        <v>45232</v>
      </c>
      <c r="I654" s="18">
        <f>IFERROR(__xludf.DUMMYFUNCTION("""COMPUTED_VALUE"""),1.7083333333333333)</f>
        <v>1.708333333</v>
      </c>
      <c r="J654" s="22">
        <f>IFERROR(__xludf.DUMMYFUNCTION("""COMPUTED_VALUE"""),72.0)</f>
        <v>72</v>
      </c>
      <c r="K654" s="22">
        <f>IFERROR(__xludf.DUMMYFUNCTION("""COMPUTED_VALUE"""),12.0)</f>
        <v>12</v>
      </c>
      <c r="L654" s="26" t="str">
        <f>IFERROR(__xludf.DUMMYFUNCTION("""COMPUTED_VALUE"""),"Shooter")</f>
        <v>Shooter</v>
      </c>
      <c r="M654" s="13" t="b">
        <f>NOT(ISNA(VLOOKUP(A654,PC!A:A,1,FALSE)))</f>
        <v>1</v>
      </c>
      <c r="N654" s="13" t="b">
        <f>NOT(ISNA(VLOOKUP(A654,'Game Pass Premium'!A:A,1,FALSE)))</f>
        <v>1</v>
      </c>
      <c r="O654" s="13" t="b">
        <f>NOT(ISNA(VLOOKUP(A654,'Game Pass Essential'!A:A,1,FALSE)))</f>
        <v>0</v>
      </c>
    </row>
    <row r="655">
      <c r="A655" s="12" t="str">
        <f>IFERROR(__xludf.DUMMYFUNCTION("""COMPUTED_VALUE"""),"Skiing")</f>
        <v>Skiing</v>
      </c>
      <c r="B655" s="13" t="str">
        <f>IFERROR(__xludf.DUMMYFUNCTION("""COMPUTED_VALUE"""),"Xbox / PC")</f>
        <v>Xbox / PC</v>
      </c>
      <c r="C655" s="14" t="str">
        <f>IFERROR(__xludf.DUMMYFUNCTION("""COMPUTED_VALUE"""),"Yes")</f>
        <v>Yes</v>
      </c>
      <c r="D655" s="14" t="str">
        <f>IFERROR(__xludf.DUMMYFUNCTION("""COMPUTED_VALUE"""),"Active")</f>
        <v>Active</v>
      </c>
      <c r="E655" s="15">
        <f>IFERROR(__xludf.DUMMYFUNCTION("""COMPUTED_VALUE"""),45839.0)</f>
        <v>45839</v>
      </c>
      <c r="F655" s="16"/>
      <c r="G655" s="18">
        <f>IFERROR(__xludf.DUMMYFUNCTION("""COMPUTED_VALUE"""),15.166666666666666)</f>
        <v>15.16666667</v>
      </c>
      <c r="H655" s="15">
        <f>IFERROR(__xludf.DUMMYFUNCTION("""COMPUTED_VALUE"""),29556.0)</f>
        <v>29556</v>
      </c>
      <c r="I655" s="18">
        <f>IFERROR(__xludf.DUMMYFUNCTION("""COMPUTED_VALUE"""),44.583333333333336)</f>
        <v>44.58333333</v>
      </c>
      <c r="J655" s="22">
        <f>IFERROR(__xludf.DUMMYFUNCTION("""COMPUTED_VALUE"""),72.0)</f>
        <v>72</v>
      </c>
      <c r="K655" s="22">
        <f>IFERROR(__xludf.DUMMYFUNCTION("""COMPUTED_VALUE"""),1.0)</f>
        <v>1</v>
      </c>
      <c r="L655" s="26" t="str">
        <f>IFERROR(__xludf.DUMMYFUNCTION("""COMPUTED_VALUE"""),"Sports")</f>
        <v>Sports</v>
      </c>
      <c r="M655" s="13" t="b">
        <f>NOT(ISNA(VLOOKUP(A655,PC!A:A,1,FALSE)))</f>
        <v>1</v>
      </c>
      <c r="N655" s="13" t="b">
        <f>NOT(ISNA(VLOOKUP(A655,'Game Pass Premium'!A:A,1,FALSE)))</f>
        <v>1</v>
      </c>
      <c r="O655" s="13" t="b">
        <f>NOT(ISNA(VLOOKUP(A655,'Game Pass Essential'!A:A,1,FALSE)))</f>
        <v>0</v>
      </c>
    </row>
    <row r="656">
      <c r="A656" s="12" t="str">
        <f>IFERROR(__xludf.DUMMYFUNCTION("""COMPUTED_VALUE"""),"Atlantis II")</f>
        <v>Atlantis II</v>
      </c>
      <c r="B656" s="13" t="str">
        <f>IFERROR(__xludf.DUMMYFUNCTION("""COMPUTED_VALUE"""),"Xbox / PC")</f>
        <v>Xbox / PC</v>
      </c>
      <c r="C656" s="14" t="str">
        <f>IFERROR(__xludf.DUMMYFUNCTION("""COMPUTED_VALUE"""),"Yes")</f>
        <v>Yes</v>
      </c>
      <c r="D656" s="14" t="str">
        <f>IFERROR(__xludf.DUMMYFUNCTION("""COMPUTED_VALUE"""),"Active")</f>
        <v>Active</v>
      </c>
      <c r="E656" s="15">
        <f>IFERROR(__xludf.DUMMYFUNCTION("""COMPUTED_VALUE"""),45798.0)</f>
        <v>45798</v>
      </c>
      <c r="F656" s="16"/>
      <c r="G656" s="18">
        <f>IFERROR(__xludf.DUMMYFUNCTION("""COMPUTED_VALUE"""),16.5)</f>
        <v>16.5</v>
      </c>
      <c r="H656" s="15">
        <f>IFERROR(__xludf.DUMMYFUNCTION("""COMPUTED_VALUE"""),32255.0)</f>
        <v>32255</v>
      </c>
      <c r="I656" s="18">
        <f>IFERROR(__xludf.DUMMYFUNCTION("""COMPUTED_VALUE"""),37.080555555555556)</f>
        <v>37.08055556</v>
      </c>
      <c r="J656" s="22">
        <f>IFERROR(__xludf.DUMMYFUNCTION("""COMPUTED_VALUE"""),72.0)</f>
        <v>72</v>
      </c>
      <c r="K656" s="22">
        <f>IFERROR(__xludf.DUMMYFUNCTION("""COMPUTED_VALUE"""),7.0)</f>
        <v>7</v>
      </c>
      <c r="L656" s="26" t="str">
        <f>IFERROR(__xludf.DUMMYFUNCTION("""COMPUTED_VALUE"""),"Shooter")</f>
        <v>Shooter</v>
      </c>
      <c r="M656" s="13" t="b">
        <f>NOT(ISNA(VLOOKUP(A656,PC!A:A,1,FALSE)))</f>
        <v>1</v>
      </c>
      <c r="N656" s="13" t="b">
        <f>NOT(ISNA(VLOOKUP(A656,'Game Pass Premium'!A:A,1,FALSE)))</f>
        <v>1</v>
      </c>
      <c r="O656" s="13" t="b">
        <f>NOT(ISNA(VLOOKUP(A656,'Game Pass Essential'!A:A,1,FALSE)))</f>
        <v>0</v>
      </c>
    </row>
    <row r="657">
      <c r="A657" s="12" t="str">
        <f>IFERROR(__xludf.DUMMYFUNCTION("""COMPUTED_VALUE"""),"Frostbite")</f>
        <v>Frostbite</v>
      </c>
      <c r="B657" s="13" t="str">
        <f>IFERROR(__xludf.DUMMYFUNCTION("""COMPUTED_VALUE"""),"Xbox / PC")</f>
        <v>Xbox / PC</v>
      </c>
      <c r="C657" s="14" t="str">
        <f>IFERROR(__xludf.DUMMYFUNCTION("""COMPUTED_VALUE"""),"Yes")</f>
        <v>Yes</v>
      </c>
      <c r="D657" s="14" t="str">
        <f>IFERROR(__xludf.DUMMYFUNCTION("""COMPUTED_VALUE"""),"Active")</f>
        <v>Active</v>
      </c>
      <c r="E657" s="15">
        <f>IFERROR(__xludf.DUMMYFUNCTION("""COMPUTED_VALUE"""),45798.0)</f>
        <v>45798</v>
      </c>
      <c r="F657" s="16"/>
      <c r="G657" s="18">
        <f>IFERROR(__xludf.DUMMYFUNCTION("""COMPUTED_VALUE"""),16.5)</f>
        <v>16.5</v>
      </c>
      <c r="H657" s="15">
        <f>IFERROR(__xludf.DUMMYFUNCTION("""COMPUTED_VALUE"""),30542.0)</f>
        <v>30542</v>
      </c>
      <c r="I657" s="18">
        <f>IFERROR(__xludf.DUMMYFUNCTION("""COMPUTED_VALUE"""),41.769444444444446)</f>
        <v>41.76944444</v>
      </c>
      <c r="J657" s="22">
        <f>IFERROR(__xludf.DUMMYFUNCTION("""COMPUTED_VALUE"""),72.0)</f>
        <v>72</v>
      </c>
      <c r="K657" s="22"/>
      <c r="L657" s="26" t="str">
        <f>IFERROR(__xludf.DUMMYFUNCTION("""COMPUTED_VALUE"""),"Action‑Adventure")</f>
        <v>Action‑Adventure</v>
      </c>
      <c r="M657" s="13" t="b">
        <f>NOT(ISNA(VLOOKUP(A657,PC!A:A,1,FALSE)))</f>
        <v>1</v>
      </c>
      <c r="N657" s="13" t="b">
        <f>NOT(ISNA(VLOOKUP(A657,'Game Pass Premium'!A:A,1,FALSE)))</f>
        <v>1</v>
      </c>
      <c r="O657" s="13" t="b">
        <f>NOT(ISNA(VLOOKUP(A657,'Game Pass Essential'!A:A,1,FALSE)))</f>
        <v>0</v>
      </c>
    </row>
    <row r="658">
      <c r="A658" s="12" t="str">
        <f>IFERROR(__xludf.DUMMYFUNCTION("""COMPUTED_VALUE"""),"Spider Fighter")</f>
        <v>Spider Fighter</v>
      </c>
      <c r="B658" s="13" t="str">
        <f>IFERROR(__xludf.DUMMYFUNCTION("""COMPUTED_VALUE"""),"Xbox / PC")</f>
        <v>Xbox / PC</v>
      </c>
      <c r="C658" s="14" t="str">
        <f>IFERROR(__xludf.DUMMYFUNCTION("""COMPUTED_VALUE"""),"Yes")</f>
        <v>Yes</v>
      </c>
      <c r="D658" s="14" t="str">
        <f>IFERROR(__xludf.DUMMYFUNCTION("""COMPUTED_VALUE"""),"Active")</f>
        <v>Active</v>
      </c>
      <c r="E658" s="15">
        <f>IFERROR(__xludf.DUMMYFUNCTION("""COMPUTED_VALUE"""),45798.0)</f>
        <v>45798</v>
      </c>
      <c r="F658" s="16"/>
      <c r="G658" s="18">
        <f>IFERROR(__xludf.DUMMYFUNCTION("""COMPUTED_VALUE"""),16.5)</f>
        <v>16.5</v>
      </c>
      <c r="H658" s="15">
        <f>IFERROR(__xludf.DUMMYFUNCTION("""COMPUTED_VALUE"""),30317.0)</f>
        <v>30317</v>
      </c>
      <c r="I658" s="18">
        <f>IFERROR(__xludf.DUMMYFUNCTION("""COMPUTED_VALUE"""),42.388888888888886)</f>
        <v>42.38888889</v>
      </c>
      <c r="J658" s="22">
        <f>IFERROR(__xludf.DUMMYFUNCTION("""COMPUTED_VALUE"""),72.0)</f>
        <v>72</v>
      </c>
      <c r="K658" s="22"/>
      <c r="L658" s="26" t="str">
        <f>IFERROR(__xludf.DUMMYFUNCTION("""COMPUTED_VALUE"""),"Shooter")</f>
        <v>Shooter</v>
      </c>
      <c r="M658" s="13" t="b">
        <f>NOT(ISNA(VLOOKUP(A658,PC!A:A,1,FALSE)))</f>
        <v>1</v>
      </c>
      <c r="N658" s="13" t="b">
        <f>NOT(ISNA(VLOOKUP(A658,'Game Pass Premium'!A:A,1,FALSE)))</f>
        <v>1</v>
      </c>
      <c r="O658" s="13" t="b">
        <f>NOT(ISNA(VLOOKUP(A658,'Game Pass Essential'!A:A,1,FALSE)))</f>
        <v>0</v>
      </c>
    </row>
    <row r="659">
      <c r="A659" s="12" t="str">
        <f>IFERROR(__xludf.DUMMYFUNCTION("""COMPUTED_VALUE"""),"F1 24")</f>
        <v>F1 24</v>
      </c>
      <c r="B659" s="13" t="str">
        <f>IFERROR(__xludf.DUMMYFUNCTION("""COMPUTED_VALUE"""),"Xbox / PC")</f>
        <v>Xbox / PC</v>
      </c>
      <c r="C659" s="14" t="str">
        <f>IFERROR(__xludf.DUMMYFUNCTION("""COMPUTED_VALUE"""),"Yes")</f>
        <v>Yes</v>
      </c>
      <c r="D659" s="14" t="str">
        <f>IFERROR(__xludf.DUMMYFUNCTION("""COMPUTED_VALUE"""),"Active")</f>
        <v>Active</v>
      </c>
      <c r="E659" s="15">
        <f>IFERROR(__xludf.DUMMYFUNCTION("""COMPUTED_VALUE"""),45708.0)</f>
        <v>45708</v>
      </c>
      <c r="F659" s="16"/>
      <c r="G659" s="18">
        <f>IFERROR(__xludf.DUMMYFUNCTION("""COMPUTED_VALUE"""),19.53333333333333)</f>
        <v>19.53333333</v>
      </c>
      <c r="H659" s="15">
        <f>IFERROR(__xludf.DUMMYFUNCTION("""COMPUTED_VALUE"""),45443.0)</f>
        <v>45443</v>
      </c>
      <c r="I659" s="18">
        <f>IFERROR(__xludf.DUMMYFUNCTION("""COMPUTED_VALUE"""),0.7222222222222222)</f>
        <v>0.7222222222</v>
      </c>
      <c r="J659" s="22">
        <f>IFERROR(__xludf.DUMMYFUNCTION("""COMPUTED_VALUE"""),72.0)</f>
        <v>72</v>
      </c>
      <c r="K659" s="22">
        <f>IFERROR(__xludf.DUMMYFUNCTION("""COMPUTED_VALUE"""),7.0)</f>
        <v>7</v>
      </c>
      <c r="L659" s="26" t="str">
        <f>IFERROR(__xludf.DUMMYFUNCTION("""COMPUTED_VALUE"""),"Racing")</f>
        <v>Racing</v>
      </c>
      <c r="M659" s="13" t="b">
        <f>NOT(ISNA(VLOOKUP(A659,PC!A:A,1,FALSE)))</f>
        <v>1</v>
      </c>
      <c r="N659" s="13" t="b">
        <f>NOT(ISNA(VLOOKUP(A659,'Game Pass Premium'!A:A,1,FALSE)))</f>
        <v>0</v>
      </c>
      <c r="O659" s="13" t="b">
        <f>NOT(ISNA(VLOOKUP(A659,'Game Pass Essential'!A:A,1,FALSE)))</f>
        <v>0</v>
      </c>
    </row>
    <row r="660">
      <c r="A660" s="12" t="str">
        <f>IFERROR(__xludf.DUMMYFUNCTION("""COMPUTED_VALUE"""),"Legend of Mana (2021)")</f>
        <v>Legend of Mana (2021)</v>
      </c>
      <c r="B660" s="13" t="str">
        <f>IFERROR(__xludf.DUMMYFUNCTION("""COMPUTED_VALUE"""),"Xbox / PC")</f>
        <v>Xbox / PC</v>
      </c>
      <c r="C660" s="14" t="str">
        <f>IFERROR(__xludf.DUMMYFUNCTION("""COMPUTED_VALUE"""),"Yes")</f>
        <v>Yes</v>
      </c>
      <c r="D660" s="14" t="str">
        <f>IFERROR(__xludf.DUMMYFUNCTION("""COMPUTED_VALUE"""),"Active")</f>
        <v>Active</v>
      </c>
      <c r="E660" s="15">
        <f>IFERROR(__xludf.DUMMYFUNCTION("""COMPUTED_VALUE"""),45561.0)</f>
        <v>45561</v>
      </c>
      <c r="F660" s="16"/>
      <c r="G660" s="18">
        <f>IFERROR(__xludf.DUMMYFUNCTION("""COMPUTED_VALUE"""),24.333333333333332)</f>
        <v>24.33333333</v>
      </c>
      <c r="H660" s="15">
        <f>IFERROR(__xludf.DUMMYFUNCTION("""COMPUTED_VALUE"""),44371.0)</f>
        <v>44371</v>
      </c>
      <c r="I660" s="18">
        <f>IFERROR(__xludf.DUMMYFUNCTION("""COMPUTED_VALUE"""),3.2555555555555555)</f>
        <v>3.255555556</v>
      </c>
      <c r="J660" s="22">
        <f>IFERROR(__xludf.DUMMYFUNCTION("""COMPUTED_VALUE"""),72.0)</f>
        <v>72</v>
      </c>
      <c r="K660" s="22">
        <f>IFERROR(__xludf.DUMMYFUNCTION("""COMPUTED_VALUE"""),18.0)</f>
        <v>18</v>
      </c>
      <c r="L660" s="26" t="str">
        <f>IFERROR(__xludf.DUMMYFUNCTION("""COMPUTED_VALUE"""),"RPG")</f>
        <v>RPG</v>
      </c>
      <c r="M660" s="13" t="b">
        <f>NOT(ISNA(VLOOKUP(A660,PC!A:A,1,FALSE)))</f>
        <v>1</v>
      </c>
      <c r="N660" s="13" t="b">
        <f>NOT(ISNA(VLOOKUP(A660,'Game Pass Premium'!A:A,1,FALSE)))</f>
        <v>1</v>
      </c>
      <c r="O660" s="13" t="b">
        <f>NOT(ISNA(VLOOKUP(A660,'Game Pass Essential'!A:A,1,FALSE)))</f>
        <v>0</v>
      </c>
    </row>
    <row r="661">
      <c r="A661" s="12" t="str">
        <f>IFERROR(__xludf.DUMMYFUNCTION("""COMPUTED_VALUE"""),"Massive Chalice")</f>
        <v>Massive Chalice</v>
      </c>
      <c r="B661" s="13" t="str">
        <f>IFERROR(__xludf.DUMMYFUNCTION("""COMPUTED_VALUE"""),"Xbox")</f>
        <v>Xbox</v>
      </c>
      <c r="C661" s="14" t="str">
        <f>IFERROR(__xludf.DUMMYFUNCTION("""COMPUTED_VALUE"""),"Yes")</f>
        <v>Yes</v>
      </c>
      <c r="D661" s="14" t="str">
        <f>IFERROR(__xludf.DUMMYFUNCTION("""COMPUTED_VALUE"""),"Active")</f>
        <v>Active</v>
      </c>
      <c r="E661" s="15">
        <f>IFERROR(__xludf.DUMMYFUNCTION("""COMPUTED_VALUE"""),45071.0)</f>
        <v>45071</v>
      </c>
      <c r="F661" s="16"/>
      <c r="G661" s="18">
        <f>IFERROR(__xludf.DUMMYFUNCTION("""COMPUTED_VALUE"""),40.36666666666667)</f>
        <v>40.36666667</v>
      </c>
      <c r="H661" s="15">
        <f>IFERROR(__xludf.DUMMYFUNCTION("""COMPUTED_VALUE"""),42156.0)</f>
        <v>42156</v>
      </c>
      <c r="I661" s="18">
        <f>IFERROR(__xludf.DUMMYFUNCTION("""COMPUTED_VALUE"""),7.983333333333333)</f>
        <v>7.983333333</v>
      </c>
      <c r="J661" s="22">
        <f>IFERROR(__xludf.DUMMYFUNCTION("""COMPUTED_VALUE"""),72.0)</f>
        <v>72</v>
      </c>
      <c r="K661" s="22">
        <f>IFERROR(__xludf.DUMMYFUNCTION("""COMPUTED_VALUE"""),15.5)</f>
        <v>15.5</v>
      </c>
      <c r="L661" s="26" t="str">
        <f>IFERROR(__xludf.DUMMYFUNCTION("""COMPUTED_VALUE"""),"RPG")</f>
        <v>RPG</v>
      </c>
      <c r="M661" s="13" t="b">
        <f>NOT(ISNA(VLOOKUP(A661,PC!A:A,1,FALSE)))</f>
        <v>0</v>
      </c>
      <c r="N661" s="13" t="b">
        <f>NOT(ISNA(VLOOKUP(A661,'Game Pass Premium'!A:A,1,FALSE)))</f>
        <v>1</v>
      </c>
      <c r="O661" s="13" t="b">
        <f>NOT(ISNA(VLOOKUP(A661,'Game Pass Essential'!A:A,1,FALSE)))</f>
        <v>0</v>
      </c>
    </row>
    <row r="662">
      <c r="A662" s="12" t="str">
        <f>IFERROR(__xludf.DUMMYFUNCTION("""COMPUTED_VALUE"""),"Army of Two")</f>
        <v>Army of Two</v>
      </c>
      <c r="B662" s="13" t="str">
        <f>IFERROR(__xludf.DUMMYFUNCTION("""COMPUTED_VALUE"""),"Xbox")</f>
        <v>Xbox</v>
      </c>
      <c r="C662" s="14"/>
      <c r="D662" s="14" t="str">
        <f>IFERROR(__xludf.DUMMYFUNCTION("""COMPUTED_VALUE"""),"Active")</f>
        <v>Active</v>
      </c>
      <c r="E662" s="15">
        <f>IFERROR(__xludf.DUMMYFUNCTION("""COMPUTED_VALUE"""),44145.0)</f>
        <v>44145</v>
      </c>
      <c r="F662" s="16"/>
      <c r="G662" s="18">
        <f>IFERROR(__xludf.DUMMYFUNCTION("""COMPUTED_VALUE"""),70.86666666666667)</f>
        <v>70.86666667</v>
      </c>
      <c r="H662" s="15">
        <f>IFERROR(__xludf.DUMMYFUNCTION("""COMPUTED_VALUE"""),39511.0)</f>
        <v>39511</v>
      </c>
      <c r="I662" s="18">
        <f>IFERROR(__xludf.DUMMYFUNCTION("""COMPUTED_VALUE"""),12.683333333333334)</f>
        <v>12.68333333</v>
      </c>
      <c r="J662" s="22">
        <f>IFERROR(__xludf.DUMMYFUNCTION("""COMPUTED_VALUE"""),72.0)</f>
        <v>72</v>
      </c>
      <c r="K662" s="22">
        <f>IFERROR(__xludf.DUMMYFUNCTION("""COMPUTED_VALUE"""),6.5)</f>
        <v>6.5</v>
      </c>
      <c r="L662" s="26" t="str">
        <f>IFERROR(__xludf.DUMMYFUNCTION("""COMPUTED_VALUE"""),"Shooter")</f>
        <v>Shooter</v>
      </c>
      <c r="M662" s="13" t="b">
        <f>NOT(ISNA(VLOOKUP(A662,PC!A:A,1,FALSE)))</f>
        <v>0</v>
      </c>
      <c r="N662" s="13" t="b">
        <f>NOT(ISNA(VLOOKUP(A662,'Game Pass Premium'!A:A,1,FALSE)))</f>
        <v>1</v>
      </c>
      <c r="O662" s="13" t="b">
        <f>NOT(ISNA(VLOOKUP(A662,'Game Pass Essential'!A:A,1,FALSE)))</f>
        <v>0</v>
      </c>
    </row>
    <row r="663">
      <c r="A663" s="12" t="str">
        <f>IFERROR(__xludf.DUMMYFUNCTION("""COMPUTED_VALUE"""),"Mirror's Edge: Catalyst")</f>
        <v>Mirror's Edge: Catalyst</v>
      </c>
      <c r="B663" s="13" t="str">
        <f>IFERROR(__xludf.DUMMYFUNCTION("""COMPUTED_VALUE"""),"Xbox / PC")</f>
        <v>Xbox / PC</v>
      </c>
      <c r="C663" s="14" t="str">
        <f>IFERROR(__xludf.DUMMYFUNCTION("""COMPUTED_VALUE"""),"Yes")</f>
        <v>Yes</v>
      </c>
      <c r="D663" s="14" t="str">
        <f>IFERROR(__xludf.DUMMYFUNCTION("""COMPUTED_VALUE"""),"Active")</f>
        <v>Active</v>
      </c>
      <c r="E663" s="15">
        <f>IFERROR(__xludf.DUMMYFUNCTION("""COMPUTED_VALUE"""),44145.0)</f>
        <v>44145</v>
      </c>
      <c r="F663" s="16"/>
      <c r="G663" s="18">
        <f>IFERROR(__xludf.DUMMYFUNCTION("""COMPUTED_VALUE"""),70.86666666666667)</f>
        <v>70.86666667</v>
      </c>
      <c r="H663" s="15">
        <f>IFERROR(__xludf.DUMMYFUNCTION("""COMPUTED_VALUE"""),42528.0)</f>
        <v>42528</v>
      </c>
      <c r="I663" s="18">
        <f>IFERROR(__xludf.DUMMYFUNCTION("""COMPUTED_VALUE"""),4.425)</f>
        <v>4.425</v>
      </c>
      <c r="J663" s="22">
        <f>IFERROR(__xludf.DUMMYFUNCTION("""COMPUTED_VALUE"""),72.0)</f>
        <v>72</v>
      </c>
      <c r="K663" s="22">
        <f>IFERROR(__xludf.DUMMYFUNCTION("""COMPUTED_VALUE"""),8.5)</f>
        <v>8.5</v>
      </c>
      <c r="L663" s="26" t="str">
        <f>IFERROR(__xludf.DUMMYFUNCTION("""COMPUTED_VALUE"""),"Action-Adventure")</f>
        <v>Action-Adventure</v>
      </c>
      <c r="M663" s="13" t="b">
        <f>NOT(ISNA(VLOOKUP(A663,PC!A:A,1,FALSE)))</f>
        <v>1</v>
      </c>
      <c r="N663" s="13" t="b">
        <f>NOT(ISNA(VLOOKUP(A663,'Game Pass Premium'!A:A,1,FALSE)))</f>
        <v>1</v>
      </c>
      <c r="O663" s="13" t="b">
        <f>NOT(ISNA(VLOOKUP(A663,'Game Pass Essential'!A:A,1,FALSE)))</f>
        <v>0</v>
      </c>
    </row>
    <row r="664">
      <c r="A664" s="12" t="str">
        <f>IFERROR(__xludf.DUMMYFUNCTION("""COMPUTED_VALUE"""),"Sea of Solitude")</f>
        <v>Sea of Solitude</v>
      </c>
      <c r="B664" s="13" t="str">
        <f>IFERROR(__xludf.DUMMYFUNCTION("""COMPUTED_VALUE"""),"Xbox / PC")</f>
        <v>Xbox / PC</v>
      </c>
      <c r="C664" s="14"/>
      <c r="D664" s="14" t="str">
        <f>IFERROR(__xludf.DUMMYFUNCTION("""COMPUTED_VALUE"""),"Active")</f>
        <v>Active</v>
      </c>
      <c r="E664" s="15">
        <f>IFERROR(__xludf.DUMMYFUNCTION("""COMPUTED_VALUE"""),44145.0)</f>
        <v>44145</v>
      </c>
      <c r="F664" s="16"/>
      <c r="G664" s="18">
        <f>IFERROR(__xludf.DUMMYFUNCTION("""COMPUTED_VALUE"""),70.86666666666667)</f>
        <v>70.86666667</v>
      </c>
      <c r="H664" s="15">
        <f>IFERROR(__xludf.DUMMYFUNCTION("""COMPUTED_VALUE"""),43651.0)</f>
        <v>43651</v>
      </c>
      <c r="I664" s="18">
        <f>IFERROR(__xludf.DUMMYFUNCTION("""COMPUTED_VALUE"""),1.3472222222222223)</f>
        <v>1.347222222</v>
      </c>
      <c r="J664" s="22">
        <f>IFERROR(__xludf.DUMMYFUNCTION("""COMPUTED_VALUE"""),72.0)</f>
        <v>72</v>
      </c>
      <c r="K664" s="22">
        <f>IFERROR(__xludf.DUMMYFUNCTION("""COMPUTED_VALUE"""),3.0)</f>
        <v>3</v>
      </c>
      <c r="L664" s="26" t="str">
        <f>IFERROR(__xludf.DUMMYFUNCTION("""COMPUTED_VALUE"""),"Adventure")</f>
        <v>Adventure</v>
      </c>
      <c r="M664" s="13" t="b">
        <f>NOT(ISNA(VLOOKUP(A664,PC!A:A,1,FALSE)))</f>
        <v>1</v>
      </c>
      <c r="N664" s="13" t="b">
        <f>NOT(ISNA(VLOOKUP(A664,'Game Pass Premium'!A:A,1,FALSE)))</f>
        <v>0</v>
      </c>
      <c r="O664" s="13" t="b">
        <f>NOT(ISNA(VLOOKUP(A664,'Game Pass Essential'!A:A,1,FALSE)))</f>
        <v>0</v>
      </c>
    </row>
    <row r="665">
      <c r="A665" s="12" t="str">
        <f>IFERROR(__xludf.DUMMYFUNCTION("""COMPUTED_VALUE"""),"RAGE 2")</f>
        <v>RAGE 2</v>
      </c>
      <c r="B665" s="13" t="str">
        <f>IFERROR(__xludf.DUMMYFUNCTION("""COMPUTED_VALUE"""),"Xbox / PC")</f>
        <v>Xbox / PC</v>
      </c>
      <c r="C665" s="14" t="str">
        <f>IFERROR(__xludf.DUMMYFUNCTION("""COMPUTED_VALUE"""),"Yes")</f>
        <v>Yes</v>
      </c>
      <c r="D665" s="14" t="str">
        <f>IFERROR(__xludf.DUMMYFUNCTION("""COMPUTED_VALUE"""),"Active")</f>
        <v>Active</v>
      </c>
      <c r="E665" s="15">
        <f>IFERROR(__xludf.DUMMYFUNCTION("""COMPUTED_VALUE"""),43783.0)</f>
        <v>43783</v>
      </c>
      <c r="F665" s="16"/>
      <c r="G665" s="18">
        <f>IFERROR(__xludf.DUMMYFUNCTION("""COMPUTED_VALUE"""),82.73333333333333)</f>
        <v>82.73333333</v>
      </c>
      <c r="H665" s="15">
        <f>IFERROR(__xludf.DUMMYFUNCTION("""COMPUTED_VALUE"""),43599.0)</f>
        <v>43599</v>
      </c>
      <c r="I665" s="18">
        <f>IFERROR(__xludf.DUMMYFUNCTION("""COMPUTED_VALUE"""),0.5)</f>
        <v>0.5</v>
      </c>
      <c r="J665" s="22">
        <f>IFERROR(__xludf.DUMMYFUNCTION("""COMPUTED_VALUE"""),72.0)</f>
        <v>72</v>
      </c>
      <c r="K665" s="22">
        <f>IFERROR(__xludf.DUMMYFUNCTION("""COMPUTED_VALUE"""),10.0)</f>
        <v>10</v>
      </c>
      <c r="L665" s="26" t="str">
        <f>IFERROR(__xludf.DUMMYFUNCTION("""COMPUTED_VALUE"""),"Shooter")</f>
        <v>Shooter</v>
      </c>
      <c r="M665" s="13" t="b">
        <f>NOT(ISNA(VLOOKUP(A665,PC!A:A,1,FALSE)))</f>
        <v>1</v>
      </c>
      <c r="N665" s="13" t="b">
        <f>NOT(ISNA(VLOOKUP(A665,'Game Pass Premium'!A:A,1,FALSE)))</f>
        <v>1</v>
      </c>
      <c r="O665" s="13" t="b">
        <f>NOT(ISNA(VLOOKUP(A665,'Game Pass Essential'!A:A,1,FALSE)))</f>
        <v>0</v>
      </c>
    </row>
    <row r="666">
      <c r="A666" s="12" t="str">
        <f>IFERROR(__xludf.DUMMYFUNCTION("""COMPUTED_VALUE"""),"ASTRONEER")</f>
        <v>ASTRONEER</v>
      </c>
      <c r="B666" s="13" t="str">
        <f>IFERROR(__xludf.DUMMYFUNCTION("""COMPUTED_VALUE"""),"Xbox / PC")</f>
        <v>Xbox / PC</v>
      </c>
      <c r="C666" s="14" t="str">
        <f>IFERROR(__xludf.DUMMYFUNCTION("""COMPUTED_VALUE"""),"Yes")</f>
        <v>Yes</v>
      </c>
      <c r="D666" s="14" t="str">
        <f>IFERROR(__xludf.DUMMYFUNCTION("""COMPUTED_VALUE"""),"Active")</f>
        <v>Active</v>
      </c>
      <c r="E666" s="15">
        <f>IFERROR(__xludf.DUMMYFUNCTION("""COMPUTED_VALUE"""),43625.0)</f>
        <v>43625</v>
      </c>
      <c r="F666" s="16"/>
      <c r="G666" s="18">
        <f>IFERROR(__xludf.DUMMYFUNCTION("""COMPUTED_VALUE"""),87.9)</f>
        <v>87.9</v>
      </c>
      <c r="H666" s="15">
        <f>IFERROR(__xludf.DUMMYFUNCTION("""COMPUTED_VALUE"""),42720.0)</f>
        <v>42720</v>
      </c>
      <c r="I666" s="18">
        <f>IFERROR(__xludf.DUMMYFUNCTION("""COMPUTED_VALUE"""),2.4805555555555556)</f>
        <v>2.480555556</v>
      </c>
      <c r="J666" s="22">
        <f>IFERROR(__xludf.DUMMYFUNCTION("""COMPUTED_VALUE"""),72.0)</f>
        <v>72</v>
      </c>
      <c r="K666" s="22">
        <f>IFERROR(__xludf.DUMMYFUNCTION("""COMPUTED_VALUE"""),18.5)</f>
        <v>18.5</v>
      </c>
      <c r="L666" s="26" t="str">
        <f>IFERROR(__xludf.DUMMYFUNCTION("""COMPUTED_VALUE"""),"Adventure")</f>
        <v>Adventure</v>
      </c>
      <c r="M666" s="13" t="b">
        <f>NOT(ISNA(VLOOKUP(A666,PC!A:A,1,FALSE)))</f>
        <v>1</v>
      </c>
      <c r="N666" s="13" t="b">
        <f>NOT(ISNA(VLOOKUP(A666,'Game Pass Premium'!A:A,1,FALSE)))</f>
        <v>1</v>
      </c>
      <c r="O666" s="13" t="b">
        <f>NOT(ISNA(VLOOKUP(A666,'Game Pass Essential'!A:A,1,FALSE)))</f>
        <v>1</v>
      </c>
    </row>
    <row r="667">
      <c r="A667" s="12" t="str">
        <f>IFERROR(__xludf.DUMMYFUNCTION("""COMPUTED_VALUE"""),"State of Decay: Year One Survival Edition")</f>
        <v>State of Decay: Year One Survival Edition</v>
      </c>
      <c r="B667" s="13" t="str">
        <f>IFERROR(__xludf.DUMMYFUNCTION("""COMPUTED_VALUE"""),"Xbox")</f>
        <v>Xbox</v>
      </c>
      <c r="C667" s="14"/>
      <c r="D667" s="14" t="str">
        <f>IFERROR(__xludf.DUMMYFUNCTION("""COMPUTED_VALUE"""),"Active")</f>
        <v>Active</v>
      </c>
      <c r="E667" s="15">
        <f>IFERROR(__xludf.DUMMYFUNCTION("""COMPUTED_VALUE"""),43009.0)</f>
        <v>43009</v>
      </c>
      <c r="F667" s="16"/>
      <c r="G667" s="18">
        <f>IFERROR(__xludf.DUMMYFUNCTION("""COMPUTED_VALUE"""),108.16666666666667)</f>
        <v>108.1666667</v>
      </c>
      <c r="H667" s="15">
        <f>IFERROR(__xludf.DUMMYFUNCTION("""COMPUTED_VALUE"""),42122.0)</f>
        <v>42122</v>
      </c>
      <c r="I667" s="18">
        <f>IFERROR(__xludf.DUMMYFUNCTION("""COMPUTED_VALUE"""),2.425)</f>
        <v>2.425</v>
      </c>
      <c r="J667" s="22">
        <f>IFERROR(__xludf.DUMMYFUNCTION("""COMPUTED_VALUE"""),72.0)</f>
        <v>72</v>
      </c>
      <c r="K667" s="22">
        <f>IFERROR(__xludf.DUMMYFUNCTION("""COMPUTED_VALUE"""),17.5)</f>
        <v>17.5</v>
      </c>
      <c r="L667" s="26" t="str">
        <f>IFERROR(__xludf.DUMMYFUNCTION("""COMPUTED_VALUE"""),"Shooter")</f>
        <v>Shooter</v>
      </c>
      <c r="M667" s="13" t="b">
        <f>NOT(ISNA(VLOOKUP(A667,PC!A:A,1,FALSE)))</f>
        <v>0</v>
      </c>
      <c r="N667" s="13" t="b">
        <f>NOT(ISNA(VLOOKUP(A667,'Game Pass Premium'!A:A,1,FALSE)))</f>
        <v>1</v>
      </c>
      <c r="O667" s="13" t="b">
        <f>NOT(ISNA(VLOOKUP(A667,'Game Pass Essential'!A:A,1,FALSE)))</f>
        <v>0</v>
      </c>
    </row>
    <row r="668">
      <c r="A668" s="12" t="str">
        <f>IFERROR(__xludf.DUMMYFUNCTION("""COMPUTED_VALUE"""),"Max: The Curse of Brotherhood")</f>
        <v>Max: The Curse of Brotherhood</v>
      </c>
      <c r="B668" s="13" t="str">
        <f>IFERROR(__xludf.DUMMYFUNCTION("""COMPUTED_VALUE"""),"Xbox")</f>
        <v>Xbox</v>
      </c>
      <c r="C668" s="14"/>
      <c r="D668" s="14" t="str">
        <f>IFERROR(__xludf.DUMMYFUNCTION("""COMPUTED_VALUE"""),"Active")</f>
        <v>Active</v>
      </c>
      <c r="E668" s="15">
        <f>IFERROR(__xludf.DUMMYFUNCTION("""COMPUTED_VALUE"""),42887.0)</f>
        <v>42887</v>
      </c>
      <c r="F668" s="16"/>
      <c r="G668" s="18">
        <f>IFERROR(__xludf.DUMMYFUNCTION("""COMPUTED_VALUE"""),112.16666666666666)</f>
        <v>112.1666667</v>
      </c>
      <c r="H668" s="15">
        <f>IFERROR(__xludf.DUMMYFUNCTION("""COMPUTED_VALUE"""),41628.0)</f>
        <v>41628</v>
      </c>
      <c r="I668" s="18">
        <f>IFERROR(__xludf.DUMMYFUNCTION("""COMPUTED_VALUE"""),3.4472222222222224)</f>
        <v>3.447222222</v>
      </c>
      <c r="J668" s="22">
        <f>IFERROR(__xludf.DUMMYFUNCTION("""COMPUTED_VALUE"""),72.0)</f>
        <v>72</v>
      </c>
      <c r="K668" s="22">
        <f>IFERROR(__xludf.DUMMYFUNCTION("""COMPUTED_VALUE"""),6.0)</f>
        <v>6</v>
      </c>
      <c r="L668" s="26" t="str">
        <f>IFERROR(__xludf.DUMMYFUNCTION("""COMPUTED_VALUE"""),"Platformer")</f>
        <v>Platformer</v>
      </c>
      <c r="M668" s="13" t="b">
        <f>NOT(ISNA(VLOOKUP(A668,PC!A:A,1,FALSE)))</f>
        <v>0</v>
      </c>
      <c r="N668" s="13" t="b">
        <f>NOT(ISNA(VLOOKUP(A668,'Game Pass Premium'!A:A,1,FALSE)))</f>
        <v>1</v>
      </c>
      <c r="O668" s="13" t="b">
        <f>NOT(ISNA(VLOOKUP(A668,'Game Pass Essential'!A:A,1,FALSE)))</f>
        <v>0</v>
      </c>
    </row>
    <row r="669">
      <c r="A669" s="12" t="str">
        <f>IFERROR(__xludf.DUMMYFUNCTION("""COMPUTED_VALUE"""),"Outpost Kaloki X")</f>
        <v>Outpost Kaloki X</v>
      </c>
      <c r="B669" s="13" t="str">
        <f>IFERROR(__xludf.DUMMYFUNCTION("""COMPUTED_VALUE"""),"XB360/OG Xbox")</f>
        <v>XB360/OG Xbox</v>
      </c>
      <c r="C669" s="14"/>
      <c r="D669" s="14" t="str">
        <f>IFERROR(__xludf.DUMMYFUNCTION("""COMPUTED_VALUE"""),"GwG Permanent")</f>
        <v>GwG Permanent</v>
      </c>
      <c r="E669" s="15">
        <f>IFERROR(__xludf.DUMMYFUNCTION("""COMPUTED_VALUE"""),44652.0)</f>
        <v>44652</v>
      </c>
      <c r="F669" s="16">
        <f>IFERROR(__xludf.DUMMYFUNCTION("""COMPUTED_VALUE"""),44666.0)</f>
        <v>44666</v>
      </c>
      <c r="G669" s="18">
        <f>IFERROR(__xludf.DUMMYFUNCTION("""COMPUTED_VALUE"""),0.4666666666666667)</f>
        <v>0.4666666667</v>
      </c>
      <c r="H669" s="15">
        <f>IFERROR(__xludf.DUMMYFUNCTION("""COMPUTED_VALUE"""),41704.0)</f>
        <v>41704</v>
      </c>
      <c r="I669" s="18">
        <f>IFERROR(__xludf.DUMMYFUNCTION("""COMPUTED_VALUE"""),8.069444444444445)</f>
        <v>8.069444444</v>
      </c>
      <c r="J669" s="22">
        <f>IFERROR(__xludf.DUMMYFUNCTION("""COMPUTED_VALUE"""),72.0)</f>
        <v>72</v>
      </c>
      <c r="K669" s="22">
        <f>IFERROR(__xludf.DUMMYFUNCTION("""COMPUTED_VALUE"""),6.0)</f>
        <v>6</v>
      </c>
      <c r="L669" s="26" t="str">
        <f>IFERROR(__xludf.DUMMYFUNCTION("""COMPUTED_VALUE"""),"Simulation")</f>
        <v>Simulation</v>
      </c>
      <c r="M669" s="13" t="b">
        <f>NOT(ISNA(VLOOKUP(A669,PC!A:A,1,FALSE)))</f>
        <v>0</v>
      </c>
      <c r="N669" s="13" t="b">
        <f>NOT(ISNA(VLOOKUP(A669,'Game Pass Premium'!A:A,1,FALSE)))</f>
        <v>0</v>
      </c>
      <c r="O669" s="13" t="b">
        <f>NOT(ISNA(VLOOKUP(A669,'Game Pass Essential'!A:A,1,FALSE)))</f>
        <v>0</v>
      </c>
    </row>
    <row r="670">
      <c r="A670" s="12" t="str">
        <f>IFERROR(__xludf.DUMMYFUNCTION("""COMPUTED_VALUE"""),"Sacred 2: Fallen Angel")</f>
        <v>Sacred 2: Fallen Angel</v>
      </c>
      <c r="B670" s="13" t="str">
        <f>IFERROR(__xludf.DUMMYFUNCTION("""COMPUTED_VALUE"""),"XB360/OG Xbox")</f>
        <v>XB360/OG Xbox</v>
      </c>
      <c r="C670" s="14"/>
      <c r="D670" s="14" t="str">
        <f>IFERROR(__xludf.DUMMYFUNCTION("""COMPUTED_VALUE"""),"GwG Permanent")</f>
        <v>GwG Permanent</v>
      </c>
      <c r="E670" s="15">
        <f>IFERROR(__xludf.DUMMYFUNCTION("""COMPUTED_VALUE"""),44621.0)</f>
        <v>44621</v>
      </c>
      <c r="F670" s="16">
        <f>IFERROR(__xludf.DUMMYFUNCTION("""COMPUTED_VALUE"""),44635.0)</f>
        <v>44635</v>
      </c>
      <c r="G670" s="18">
        <f>IFERROR(__xludf.DUMMYFUNCTION("""COMPUTED_VALUE"""),0.4666666666666667)</f>
        <v>0.4666666667</v>
      </c>
      <c r="H670" s="15">
        <f>IFERROR(__xludf.DUMMYFUNCTION("""COMPUTED_VALUE"""),39570.0)</f>
        <v>39570</v>
      </c>
      <c r="I670" s="18">
        <f>IFERROR(__xludf.DUMMYFUNCTION("""COMPUTED_VALUE"""),13.830555555555556)</f>
        <v>13.83055556</v>
      </c>
      <c r="J670" s="22">
        <f>IFERROR(__xludf.DUMMYFUNCTION("""COMPUTED_VALUE"""),72.0)</f>
        <v>72</v>
      </c>
      <c r="K670" s="22">
        <f>IFERROR(__xludf.DUMMYFUNCTION("""COMPUTED_VALUE"""),38.0)</f>
        <v>38</v>
      </c>
      <c r="L670" s="26" t="str">
        <f>IFERROR(__xludf.DUMMYFUNCTION("""COMPUTED_VALUE"""),"RPG")</f>
        <v>RPG</v>
      </c>
      <c r="M670" s="13" t="b">
        <f>NOT(ISNA(VLOOKUP(A670,PC!A:A,1,FALSE)))</f>
        <v>0</v>
      </c>
      <c r="N670" s="13" t="b">
        <f>NOT(ISNA(VLOOKUP(A670,'Game Pass Premium'!A:A,1,FALSE)))</f>
        <v>0</v>
      </c>
      <c r="O670" s="13" t="b">
        <f>NOT(ISNA(VLOOKUP(A670,'Game Pass Essential'!A:A,1,FALSE)))</f>
        <v>0</v>
      </c>
    </row>
    <row r="671">
      <c r="A671" s="12" t="str">
        <f>IFERROR(__xludf.DUMMYFUNCTION("""COMPUTED_VALUE"""),"Rocket Knight")</f>
        <v>Rocket Knight</v>
      </c>
      <c r="B671" s="13" t="str">
        <f>IFERROR(__xludf.DUMMYFUNCTION("""COMPUTED_VALUE"""),"XB360/OG Xbox")</f>
        <v>XB360/OG Xbox</v>
      </c>
      <c r="C671" s="14"/>
      <c r="D671" s="14" t="str">
        <f>IFERROR(__xludf.DUMMYFUNCTION("""COMPUTED_VALUE"""),"GwG Permanent")</f>
        <v>GwG Permanent</v>
      </c>
      <c r="E671" s="15">
        <f>IFERROR(__xludf.DUMMYFUNCTION("""COMPUTED_VALUE"""),44501.0)</f>
        <v>44501</v>
      </c>
      <c r="F671" s="16">
        <f>IFERROR(__xludf.DUMMYFUNCTION("""COMPUTED_VALUE"""),44515.0)</f>
        <v>44515</v>
      </c>
      <c r="G671" s="18">
        <f>IFERROR(__xludf.DUMMYFUNCTION("""COMPUTED_VALUE"""),0.4666666666666667)</f>
        <v>0.4666666667</v>
      </c>
      <c r="H671" s="15">
        <f>IFERROR(__xludf.DUMMYFUNCTION("""COMPUTED_VALUE"""),43026.0)</f>
        <v>43026</v>
      </c>
      <c r="I671" s="18">
        <f>IFERROR(__xludf.DUMMYFUNCTION("""COMPUTED_VALUE"""),4.036111111111111)</f>
        <v>4.036111111</v>
      </c>
      <c r="J671" s="22">
        <f>IFERROR(__xludf.DUMMYFUNCTION("""COMPUTED_VALUE"""),72.0)</f>
        <v>72</v>
      </c>
      <c r="K671" s="22">
        <f>IFERROR(__xludf.DUMMYFUNCTION("""COMPUTED_VALUE"""),4.0)</f>
        <v>4</v>
      </c>
      <c r="L671" s="26" t="str">
        <f>IFERROR(__xludf.DUMMYFUNCTION("""COMPUTED_VALUE"""),"Action-Adventure")</f>
        <v>Action-Adventure</v>
      </c>
      <c r="M671" s="13" t="b">
        <f>NOT(ISNA(VLOOKUP(A671,PC!A:A,1,FALSE)))</f>
        <v>0</v>
      </c>
      <c r="N671" s="13" t="b">
        <f>NOT(ISNA(VLOOKUP(A671,'Game Pass Premium'!A:A,1,FALSE)))</f>
        <v>0</v>
      </c>
      <c r="O671" s="13" t="b">
        <f>NOT(ISNA(VLOOKUP(A671,'Game Pass Essential'!A:A,1,FALSE)))</f>
        <v>0</v>
      </c>
    </row>
    <row r="672">
      <c r="A672" s="12" t="str">
        <f>IFERROR(__xludf.DUMMYFUNCTION("""COMPUTED_VALUE"""),"Zone of the Enders HD Collection")</f>
        <v>Zone of the Enders HD Collection</v>
      </c>
      <c r="B672" s="13" t="str">
        <f>IFERROR(__xludf.DUMMYFUNCTION("""COMPUTED_VALUE"""),"XB360/OG Xbox")</f>
        <v>XB360/OG Xbox</v>
      </c>
      <c r="C672" s="14"/>
      <c r="D672" s="14" t="str">
        <f>IFERROR(__xludf.DUMMYFUNCTION("""COMPUTED_VALUE"""),"GwG Permanent")</f>
        <v>GwG Permanent</v>
      </c>
      <c r="E672" s="15">
        <f>IFERROR(__xludf.DUMMYFUNCTION("""COMPUTED_VALUE"""),44440.0)</f>
        <v>44440</v>
      </c>
      <c r="F672" s="16">
        <f>IFERROR(__xludf.DUMMYFUNCTION("""COMPUTED_VALUE"""),44454.0)</f>
        <v>44454</v>
      </c>
      <c r="G672" s="18">
        <f>IFERROR(__xludf.DUMMYFUNCTION("""COMPUTED_VALUE"""),0.4666666666666667)</f>
        <v>0.4666666667</v>
      </c>
      <c r="H672" s="15">
        <f>IFERROR(__xludf.DUMMYFUNCTION("""COMPUTED_VALUE"""),41527.0)</f>
        <v>41527</v>
      </c>
      <c r="I672" s="18">
        <f>IFERROR(__xludf.DUMMYFUNCTION("""COMPUTED_VALUE"""),7.975)</f>
        <v>7.975</v>
      </c>
      <c r="J672" s="22">
        <f>IFERROR(__xludf.DUMMYFUNCTION("""COMPUTED_VALUE"""),72.0)</f>
        <v>72</v>
      </c>
      <c r="K672" s="22">
        <f>IFERROR(__xludf.DUMMYFUNCTION("""COMPUTED_VALUE"""),11.0)</f>
        <v>11</v>
      </c>
      <c r="L672" s="26" t="str">
        <f>IFERROR(__xludf.DUMMYFUNCTION("""COMPUTED_VALUE"""),"Action")</f>
        <v>Action</v>
      </c>
      <c r="M672" s="13" t="b">
        <f>NOT(ISNA(VLOOKUP(A672,PC!A:A,1,FALSE)))</f>
        <v>0</v>
      </c>
      <c r="N672" s="13" t="b">
        <f>NOT(ISNA(VLOOKUP(A672,'Game Pass Premium'!A:A,1,FALSE)))</f>
        <v>0</v>
      </c>
      <c r="O672" s="13" t="b">
        <f>NOT(ISNA(VLOOKUP(A672,'Game Pass Essential'!A:A,1,FALSE)))</f>
        <v>0</v>
      </c>
    </row>
    <row r="673">
      <c r="A673" s="12" t="str">
        <f>IFERROR(__xludf.DUMMYFUNCTION("""COMPUTED_VALUE"""),"NeoGeo Battle Coliseum")</f>
        <v>NeoGeo Battle Coliseum</v>
      </c>
      <c r="B673" s="13" t="str">
        <f>IFERROR(__xludf.DUMMYFUNCTION("""COMPUTED_VALUE"""),"XB360/OG Xbox")</f>
        <v>XB360/OG Xbox</v>
      </c>
      <c r="C673" s="14"/>
      <c r="D673" s="14" t="str">
        <f>IFERROR(__xludf.DUMMYFUNCTION("""COMPUTED_VALUE"""),"GwG Permanent")</f>
        <v>GwG Permanent</v>
      </c>
      <c r="E673" s="15">
        <f>IFERROR(__xludf.DUMMYFUNCTION("""COMPUTED_VALUE"""),44348.0)</f>
        <v>44348</v>
      </c>
      <c r="F673" s="16">
        <f>IFERROR(__xludf.DUMMYFUNCTION("""COMPUTED_VALUE"""),44362.0)</f>
        <v>44362</v>
      </c>
      <c r="G673" s="18">
        <f>IFERROR(__xludf.DUMMYFUNCTION("""COMPUTED_VALUE"""),0.4666666666666667)</f>
        <v>0.4666666667</v>
      </c>
      <c r="H673" s="15">
        <f>IFERROR(__xludf.DUMMYFUNCTION("""COMPUTED_VALUE"""),39056.0)</f>
        <v>39056</v>
      </c>
      <c r="I673" s="18">
        <f>IFERROR(__xludf.DUMMYFUNCTION("""COMPUTED_VALUE"""),14.488888888888889)</f>
        <v>14.48888889</v>
      </c>
      <c r="J673" s="22">
        <f>IFERROR(__xludf.DUMMYFUNCTION("""COMPUTED_VALUE"""),72.0)</f>
        <v>72</v>
      </c>
      <c r="K673" s="22">
        <f>IFERROR(__xludf.DUMMYFUNCTION("""COMPUTED_VALUE"""),1.0)</f>
        <v>1</v>
      </c>
      <c r="L673" s="26" t="str">
        <f>IFERROR(__xludf.DUMMYFUNCTION("""COMPUTED_VALUE"""),"Fighting")</f>
        <v>Fighting</v>
      </c>
      <c r="M673" s="13" t="b">
        <f>NOT(ISNA(VLOOKUP(A673,PC!A:A,1,FALSE)))</f>
        <v>0</v>
      </c>
      <c r="N673" s="13" t="b">
        <f>NOT(ISNA(VLOOKUP(A673,'Game Pass Premium'!A:A,1,FALSE)))</f>
        <v>0</v>
      </c>
      <c r="O673" s="13" t="b">
        <f>NOT(ISNA(VLOOKUP(A673,'Game Pass Essential'!A:A,1,FALSE)))</f>
        <v>0</v>
      </c>
    </row>
    <row r="674">
      <c r="A674" s="12" t="str">
        <f>IFERROR(__xludf.DUMMYFUNCTION("""COMPUTED_VALUE"""),"Castlevania: Lords of Shadow - Mirror of Fate HD")</f>
        <v>Castlevania: Lords of Shadow - Mirror of Fate HD</v>
      </c>
      <c r="B674" s="13" t="str">
        <f>IFERROR(__xludf.DUMMYFUNCTION("""COMPUTED_VALUE"""),"XB360/OG Xbox")</f>
        <v>XB360/OG Xbox</v>
      </c>
      <c r="C674" s="14"/>
      <c r="D674" s="14" t="str">
        <f>IFERROR(__xludf.DUMMYFUNCTION("""COMPUTED_VALUE"""),"GwG Permanent")</f>
        <v>GwG Permanent</v>
      </c>
      <c r="E674" s="15">
        <f>IFERROR(__xludf.DUMMYFUNCTION("""COMPUTED_VALUE"""),43815.0)</f>
        <v>43815</v>
      </c>
      <c r="F674" s="16">
        <f>IFERROR(__xludf.DUMMYFUNCTION("""COMPUTED_VALUE"""),43830.0)</f>
        <v>43830</v>
      </c>
      <c r="G674" s="18">
        <f>IFERROR(__xludf.DUMMYFUNCTION("""COMPUTED_VALUE"""),0.4666666666666667)</f>
        <v>0.4666666667</v>
      </c>
      <c r="H674" s="15">
        <f>IFERROR(__xludf.DUMMYFUNCTION("""COMPUTED_VALUE"""),41572.0)</f>
        <v>41572</v>
      </c>
      <c r="I674" s="18">
        <f>IFERROR(__xludf.DUMMYFUNCTION("""COMPUTED_VALUE"""),6.141666666666667)</f>
        <v>6.141666667</v>
      </c>
      <c r="J674" s="22">
        <f>IFERROR(__xludf.DUMMYFUNCTION("""COMPUTED_VALUE"""),72.0)</f>
        <v>72</v>
      </c>
      <c r="K674" s="22">
        <f>IFERROR(__xludf.DUMMYFUNCTION("""COMPUTED_VALUE"""),6.0)</f>
        <v>6</v>
      </c>
      <c r="L674" s="26" t="str">
        <f>IFERROR(__xludf.DUMMYFUNCTION("""COMPUTED_VALUE"""),"Action-Adventure")</f>
        <v>Action-Adventure</v>
      </c>
      <c r="M674" s="13" t="b">
        <f>NOT(ISNA(VLOOKUP(A674,PC!A:A,1,FALSE)))</f>
        <v>0</v>
      </c>
      <c r="N674" s="13" t="b">
        <f>NOT(ISNA(VLOOKUP(A674,'Game Pass Premium'!A:A,1,FALSE)))</f>
        <v>0</v>
      </c>
      <c r="O674" s="13" t="b">
        <f>NOT(ISNA(VLOOKUP(A674,'Game Pass Essential'!A:A,1,FALSE)))</f>
        <v>0</v>
      </c>
    </row>
    <row r="675">
      <c r="A675" s="12" t="str">
        <f>IFERROR(__xludf.DUMMYFUNCTION("""COMPUTED_VALUE"""),"Joy Ride Turbo")</f>
        <v>Joy Ride Turbo</v>
      </c>
      <c r="B675" s="13" t="str">
        <f>IFERROR(__xludf.DUMMYFUNCTION("""COMPUTED_VALUE"""),"XB360/OG Xbox")</f>
        <v>XB360/OG Xbox</v>
      </c>
      <c r="C675" s="14"/>
      <c r="D675" s="14" t="str">
        <f>IFERROR(__xludf.DUMMYFUNCTION("""COMPUTED_VALUE"""),"GwG Permanent")</f>
        <v>GwG Permanent</v>
      </c>
      <c r="E675" s="15">
        <f>IFERROR(__xludf.DUMMYFUNCTION("""COMPUTED_VALUE"""),43785.0)</f>
        <v>43785</v>
      </c>
      <c r="F675" s="16">
        <f>IFERROR(__xludf.DUMMYFUNCTION("""COMPUTED_VALUE"""),43799.0)</f>
        <v>43799</v>
      </c>
      <c r="G675" s="18">
        <f>IFERROR(__xludf.DUMMYFUNCTION("""COMPUTED_VALUE"""),0.4666666666666667)</f>
        <v>0.4666666667</v>
      </c>
      <c r="H675" s="15">
        <f>IFERROR(__xludf.DUMMYFUNCTION("""COMPUTED_VALUE"""),41052.0)</f>
        <v>41052</v>
      </c>
      <c r="I675" s="18">
        <f>IFERROR(__xludf.DUMMYFUNCTION("""COMPUTED_VALUE"""),7.480555555555555)</f>
        <v>7.480555556</v>
      </c>
      <c r="J675" s="22">
        <f>IFERROR(__xludf.DUMMYFUNCTION("""COMPUTED_VALUE"""),72.0)</f>
        <v>72</v>
      </c>
      <c r="K675" s="22">
        <f>IFERROR(__xludf.DUMMYFUNCTION("""COMPUTED_VALUE"""),2.5)</f>
        <v>2.5</v>
      </c>
      <c r="L675" s="26" t="str">
        <f>IFERROR(__xludf.DUMMYFUNCTION("""COMPUTED_VALUE"""),"Racing")</f>
        <v>Racing</v>
      </c>
      <c r="M675" s="13" t="b">
        <f>NOT(ISNA(VLOOKUP(A675,PC!A:A,1,FALSE)))</f>
        <v>0</v>
      </c>
      <c r="N675" s="13" t="b">
        <f>NOT(ISNA(VLOOKUP(A675,'Game Pass Premium'!A:A,1,FALSE)))</f>
        <v>1</v>
      </c>
      <c r="O675" s="13" t="b">
        <f>NOT(ISNA(VLOOKUP(A675,'Game Pass Essential'!A:A,1,FALSE)))</f>
        <v>0</v>
      </c>
    </row>
    <row r="676">
      <c r="A676" s="12" t="str">
        <f>IFERROR(__xludf.DUMMYFUNCTION("""COMPUTED_VALUE"""),"Army of Two")</f>
        <v>Army of Two</v>
      </c>
      <c r="B676" s="13" t="str">
        <f>IFERROR(__xludf.DUMMYFUNCTION("""COMPUTED_VALUE"""),"XB360/OG Xbox")</f>
        <v>XB360/OG Xbox</v>
      </c>
      <c r="C676" s="14"/>
      <c r="D676" s="14" t="str">
        <f>IFERROR(__xludf.DUMMYFUNCTION("""COMPUTED_VALUE"""),"GwG Permanent")</f>
        <v>GwG Permanent</v>
      </c>
      <c r="E676" s="15">
        <f>IFERROR(__xludf.DUMMYFUNCTION("""COMPUTED_VALUE"""),43116.0)</f>
        <v>43116</v>
      </c>
      <c r="F676" s="16">
        <f>IFERROR(__xludf.DUMMYFUNCTION("""COMPUTED_VALUE"""),43131.0)</f>
        <v>43131</v>
      </c>
      <c r="G676" s="18">
        <f>IFERROR(__xludf.DUMMYFUNCTION("""COMPUTED_VALUE"""),0.4666666666666667)</f>
        <v>0.4666666667</v>
      </c>
      <c r="H676" s="15">
        <f>IFERROR(__xludf.DUMMYFUNCTION("""COMPUTED_VALUE"""),39513.0)</f>
        <v>39513</v>
      </c>
      <c r="I676" s="18">
        <f>IFERROR(__xludf.DUMMYFUNCTION("""COMPUTED_VALUE"""),9.86111111111111)</f>
        <v>9.861111111</v>
      </c>
      <c r="J676" s="22">
        <f>IFERROR(__xludf.DUMMYFUNCTION("""COMPUTED_VALUE"""),72.0)</f>
        <v>72</v>
      </c>
      <c r="K676" s="22">
        <f>IFERROR(__xludf.DUMMYFUNCTION("""COMPUTED_VALUE"""),6.0)</f>
        <v>6</v>
      </c>
      <c r="L676" s="26" t="str">
        <f>IFERROR(__xludf.DUMMYFUNCTION("""COMPUTED_VALUE"""),"Shooter")</f>
        <v>Shooter</v>
      </c>
      <c r="M676" s="13" t="b">
        <f>NOT(ISNA(VLOOKUP(A676,PC!A:A,1,FALSE)))</f>
        <v>0</v>
      </c>
      <c r="N676" s="13" t="b">
        <f>NOT(ISNA(VLOOKUP(A676,'Game Pass Premium'!A:A,1,FALSE)))</f>
        <v>1</v>
      </c>
      <c r="O676" s="13" t="b">
        <f>NOT(ISNA(VLOOKUP(A676,'Game Pass Essential'!A:A,1,FALSE)))</f>
        <v>0</v>
      </c>
    </row>
    <row r="677">
      <c r="A677" s="12" t="str">
        <f>IFERROR(__xludf.DUMMYFUNCTION("""COMPUTED_VALUE"""),"The Cave")</f>
        <v>The Cave</v>
      </c>
      <c r="B677" s="13" t="str">
        <f>IFERROR(__xludf.DUMMYFUNCTION("""COMPUTED_VALUE"""),"XB360/OG Xbox")</f>
        <v>XB360/OG Xbox</v>
      </c>
      <c r="C677" s="14"/>
      <c r="D677" s="14" t="str">
        <f>IFERROR(__xludf.DUMMYFUNCTION("""COMPUTED_VALUE"""),"GwG Permanent")</f>
        <v>GwG Permanent</v>
      </c>
      <c r="E677" s="15">
        <f>IFERROR(__xludf.DUMMYFUNCTION("""COMPUTED_VALUE"""),42736.0)</f>
        <v>42736</v>
      </c>
      <c r="F677" s="16">
        <f>IFERROR(__xludf.DUMMYFUNCTION("""COMPUTED_VALUE"""),42750.0)</f>
        <v>42750</v>
      </c>
      <c r="G677" s="18">
        <f>IFERROR(__xludf.DUMMYFUNCTION("""COMPUTED_VALUE"""),0.4666666666666667)</f>
        <v>0.4666666667</v>
      </c>
      <c r="H677" s="15">
        <f>IFERROR(__xludf.DUMMYFUNCTION("""COMPUTED_VALUE"""),41584.0)</f>
        <v>41584</v>
      </c>
      <c r="I677" s="18">
        <f>IFERROR(__xludf.DUMMYFUNCTION("""COMPUTED_VALUE"""),3.1527777777777777)</f>
        <v>3.152777778</v>
      </c>
      <c r="J677" s="22">
        <f>IFERROR(__xludf.DUMMYFUNCTION("""COMPUTED_VALUE"""),72.0)</f>
        <v>72</v>
      </c>
      <c r="K677" s="22">
        <f>IFERROR(__xludf.DUMMYFUNCTION("""COMPUTED_VALUE"""),5.0)</f>
        <v>5</v>
      </c>
      <c r="L677" s="26" t="str">
        <f>IFERROR(__xludf.DUMMYFUNCTION("""COMPUTED_VALUE"""),"Adventure")</f>
        <v>Adventure</v>
      </c>
      <c r="M677" s="13" t="b">
        <f>NOT(ISNA(VLOOKUP(A677,PC!A:A,1,FALSE)))</f>
        <v>0</v>
      </c>
      <c r="N677" s="13" t="b">
        <f>NOT(ISNA(VLOOKUP(A677,'Game Pass Premium'!A:A,1,FALSE)))</f>
        <v>1</v>
      </c>
      <c r="O677" s="13" t="b">
        <f>NOT(ISNA(VLOOKUP(A677,'Game Pass Essential'!A:A,1,FALSE)))</f>
        <v>0</v>
      </c>
    </row>
    <row r="678">
      <c r="A678" s="12" t="str">
        <f>IFERROR(__xludf.DUMMYFUNCTION("""COMPUTED_VALUE"""),"CastleStorm")</f>
        <v>CastleStorm</v>
      </c>
      <c r="B678" s="13" t="str">
        <f>IFERROR(__xludf.DUMMYFUNCTION("""COMPUTED_VALUE"""),"XB360/OG Xbox")</f>
        <v>XB360/OG Xbox</v>
      </c>
      <c r="C678" s="14"/>
      <c r="D678" s="14" t="str">
        <f>IFERROR(__xludf.DUMMYFUNCTION("""COMPUTED_VALUE"""),"GwG Permanent")</f>
        <v>GwG Permanent</v>
      </c>
      <c r="E678" s="15">
        <f>IFERROR(__xludf.DUMMYFUNCTION("""COMPUTED_VALUE"""),42339.0)</f>
        <v>42339</v>
      </c>
      <c r="F678" s="16">
        <f>IFERROR(__xludf.DUMMYFUNCTION("""COMPUTED_VALUE"""),42353.0)</f>
        <v>42353</v>
      </c>
      <c r="G678" s="18">
        <f>IFERROR(__xludf.DUMMYFUNCTION("""COMPUTED_VALUE"""),0.4666666666666667)</f>
        <v>0.4666666667</v>
      </c>
      <c r="H678" s="15">
        <f>IFERROR(__xludf.DUMMYFUNCTION("""COMPUTED_VALUE"""),41360.0)</f>
        <v>41360</v>
      </c>
      <c r="I678" s="18">
        <f>IFERROR(__xludf.DUMMYFUNCTION("""COMPUTED_VALUE"""),2.6777777777777776)</f>
        <v>2.677777778</v>
      </c>
      <c r="J678" s="22">
        <f>IFERROR(__xludf.DUMMYFUNCTION("""COMPUTED_VALUE"""),72.0)</f>
        <v>72</v>
      </c>
      <c r="K678" s="22">
        <f>IFERROR(__xludf.DUMMYFUNCTION("""COMPUTED_VALUE"""),8.0)</f>
        <v>8</v>
      </c>
      <c r="L678" s="26" t="str">
        <f>IFERROR(__xludf.DUMMYFUNCTION("""COMPUTED_VALUE"""),"Strategy")</f>
        <v>Strategy</v>
      </c>
      <c r="M678" s="13" t="b">
        <f>NOT(ISNA(VLOOKUP(A678,PC!A:A,1,FALSE)))</f>
        <v>0</v>
      </c>
      <c r="N678" s="13" t="b">
        <f>NOT(ISNA(VLOOKUP(A678,'Game Pass Premium'!A:A,1,FALSE)))</f>
        <v>0</v>
      </c>
      <c r="O678" s="13" t="b">
        <f>NOT(ISNA(VLOOKUP(A678,'Game Pass Essential'!A:A,1,FALSE)))</f>
        <v>0</v>
      </c>
    </row>
    <row r="679">
      <c r="A679" s="12" t="str">
        <f>IFERROR(__xludf.DUMMYFUNCTION("""COMPUTED_VALUE"""),"Deadlight")</f>
        <v>Deadlight</v>
      </c>
      <c r="B679" s="13" t="str">
        <f>IFERROR(__xludf.DUMMYFUNCTION("""COMPUTED_VALUE"""),"XB360/OG Xbox")</f>
        <v>XB360/OG Xbox</v>
      </c>
      <c r="C679" s="14"/>
      <c r="D679" s="14" t="str">
        <f>IFERROR(__xludf.DUMMYFUNCTION("""COMPUTED_VALUE"""),"GwG Permanent")</f>
        <v>GwG Permanent</v>
      </c>
      <c r="E679" s="15">
        <f>IFERROR(__xludf.DUMMYFUNCTION("""COMPUTED_VALUE"""),41745.0)</f>
        <v>41745</v>
      </c>
      <c r="F679" s="16">
        <f>IFERROR(__xludf.DUMMYFUNCTION("""COMPUTED_VALUE"""),41759.0)</f>
        <v>41759</v>
      </c>
      <c r="G679" s="18">
        <f>IFERROR(__xludf.DUMMYFUNCTION("""COMPUTED_VALUE"""),0.4666666666666667)</f>
        <v>0.4666666667</v>
      </c>
      <c r="H679" s="15">
        <f>IFERROR(__xludf.DUMMYFUNCTION("""COMPUTED_VALUE"""),41093.0)</f>
        <v>41093</v>
      </c>
      <c r="I679" s="18">
        <f>IFERROR(__xludf.DUMMYFUNCTION("""COMPUTED_VALUE"""),1.7861111111111112)</f>
        <v>1.786111111</v>
      </c>
      <c r="J679" s="22">
        <f>IFERROR(__xludf.DUMMYFUNCTION("""COMPUTED_VALUE"""),72.0)</f>
        <v>72</v>
      </c>
      <c r="K679" s="22">
        <f>IFERROR(__xludf.DUMMYFUNCTION("""COMPUTED_VALUE"""),6.0)</f>
        <v>6</v>
      </c>
      <c r="L679" s="26" t="str">
        <f>IFERROR(__xludf.DUMMYFUNCTION("""COMPUTED_VALUE"""),"Platformer")</f>
        <v>Platformer</v>
      </c>
      <c r="M679" s="13" t="b">
        <f>NOT(ISNA(VLOOKUP(A679,PC!A:A,1,FALSE)))</f>
        <v>0</v>
      </c>
      <c r="N679" s="13" t="b">
        <f>NOT(ISNA(VLOOKUP(A679,'Game Pass Premium'!A:A,1,FALSE)))</f>
        <v>0</v>
      </c>
      <c r="O679" s="13" t="b">
        <f>NOT(ISNA(VLOOKUP(A679,'Game Pass Essential'!A:A,1,FALSE)))</f>
        <v>0</v>
      </c>
    </row>
    <row r="680">
      <c r="A680" s="12" t="str">
        <f>IFERROR(__xludf.DUMMYFUNCTION("""COMPUTED_VALUE"""),"Tom Clancy's Rainbow Six: Extraction")</f>
        <v>Tom Clancy's Rainbow Six: Extraction</v>
      </c>
      <c r="B680" s="13" t="str">
        <f>IFERROR(__xludf.DUMMYFUNCTION("""COMPUTED_VALUE"""),"Xbox / PC")</f>
        <v>Xbox / PC</v>
      </c>
      <c r="C680" s="14" t="str">
        <f>IFERROR(__xludf.DUMMYFUNCTION("""COMPUTED_VALUE"""),"Yes")</f>
        <v>Yes</v>
      </c>
      <c r="D680" s="14" t="str">
        <f>IFERROR(__xludf.DUMMYFUNCTION("""COMPUTED_VALUE"""),"Active")</f>
        <v>Active</v>
      </c>
      <c r="E680" s="15">
        <f>IFERROR(__xludf.DUMMYFUNCTION("""COMPUTED_VALUE"""),45931.0)</f>
        <v>45931</v>
      </c>
      <c r="F680" s="16"/>
      <c r="G680" s="18">
        <f>IFERROR(__xludf.DUMMYFUNCTION("""COMPUTED_VALUE"""),12.166666666666666)</f>
        <v>12.16666667</v>
      </c>
      <c r="H680" s="15">
        <f>IFERROR(__xludf.DUMMYFUNCTION("""COMPUTED_VALUE"""),44581.0)</f>
        <v>44581</v>
      </c>
      <c r="I680" s="18">
        <f>IFERROR(__xludf.DUMMYFUNCTION("""COMPUTED_VALUE"""),3.6972222222222224)</f>
        <v>3.697222222</v>
      </c>
      <c r="J680" s="22">
        <f>IFERROR(__xludf.DUMMYFUNCTION("""COMPUTED_VALUE"""),71.5)</f>
        <v>71.5</v>
      </c>
      <c r="K680" s="22">
        <f>IFERROR(__xludf.DUMMYFUNCTION("""COMPUTED_VALUE"""),8.0)</f>
        <v>8</v>
      </c>
      <c r="L680" s="26" t="str">
        <f>IFERROR(__xludf.DUMMYFUNCTION("""COMPUTED_VALUE"""),"Shooter")</f>
        <v>Shooter</v>
      </c>
      <c r="M680" s="13" t="b">
        <f>NOT(ISNA(VLOOKUP(A680,PC!A:A,1,FALSE)))</f>
        <v>1</v>
      </c>
      <c r="N680" s="13" t="b">
        <f>NOT(ISNA(VLOOKUP(A680,'Game Pass Premium'!A:A,1,FALSE)))</f>
        <v>0</v>
      </c>
      <c r="O680" s="13" t="b">
        <f>NOT(ISNA(VLOOKUP(A680,'Game Pass Essential'!A:A,1,FALSE)))</f>
        <v>0</v>
      </c>
    </row>
    <row r="681">
      <c r="A681" s="12" t="str">
        <f>IFERROR(__xludf.DUMMYFUNCTION("""COMPUTED_VALUE"""),"RV There Yet?")</f>
        <v>RV There Yet?</v>
      </c>
      <c r="B681" s="13" t="str">
        <f>IFERROR(__xludf.DUMMYFUNCTION("""COMPUTED_VALUE"""),"Xbox / PC")</f>
        <v>Xbox / PC</v>
      </c>
      <c r="C681" s="14" t="str">
        <f>IFERROR(__xludf.DUMMYFUNCTION("""COMPUTED_VALUE"""),"Yes")</f>
        <v>Yes</v>
      </c>
      <c r="D681" s="14" t="str">
        <f>IFERROR(__xludf.DUMMYFUNCTION("""COMPUTED_VALUE"""),"Active")</f>
        <v>Active</v>
      </c>
      <c r="E681" s="15">
        <f>IFERROR(__xludf.DUMMYFUNCTION("""COMPUTED_VALUE"""),46203.0)</f>
        <v>46203</v>
      </c>
      <c r="F681" s="16"/>
      <c r="G681" s="18">
        <f>IFERROR(__xludf.DUMMYFUNCTION("""COMPUTED_VALUE"""),3.2)</f>
        <v>3.2</v>
      </c>
      <c r="H681" s="15">
        <f>IFERROR(__xludf.DUMMYFUNCTION("""COMPUTED_VALUE"""),46203.0)</f>
        <v>46203</v>
      </c>
      <c r="I681" s="18">
        <f>IFERROR(__xludf.DUMMYFUNCTION("""COMPUTED_VALUE"""),0.0)</f>
        <v>0</v>
      </c>
      <c r="J681" s="22">
        <f>IFERROR(__xludf.DUMMYFUNCTION("""COMPUTED_VALUE"""),71.0)</f>
        <v>71</v>
      </c>
      <c r="K681" s="22">
        <f>IFERROR(__xludf.DUMMYFUNCTION("""COMPUTED_VALUE"""),4.0)</f>
        <v>4</v>
      </c>
      <c r="L681" s="26" t="str">
        <f>IFERROR(__xludf.DUMMYFUNCTION("""COMPUTED_VALUE"""),"Action-Adventure")</f>
        <v>Action-Adventure</v>
      </c>
      <c r="M681" s="13" t="b">
        <f>NOT(ISNA(VLOOKUP(A681,PC!A:A,1,FALSE)))</f>
        <v>1</v>
      </c>
      <c r="N681" s="13" t="b">
        <f>NOT(ISNA(VLOOKUP(A681,'Game Pass Premium'!A:A,1,FALSE)))</f>
        <v>1</v>
      </c>
      <c r="O681" s="13" t="b">
        <f>NOT(ISNA(VLOOKUP(A681,'Game Pass Essential'!A:A,1,FALSE)))</f>
        <v>0</v>
      </c>
    </row>
    <row r="682">
      <c r="A682" s="12" t="str">
        <f>IFERROR(__xludf.DUMMYFUNCTION("""COMPUTED_VALUE"""),"ANNO: Mutationem")</f>
        <v>ANNO: Mutationem</v>
      </c>
      <c r="B682" s="13" t="str">
        <f>IFERROR(__xludf.DUMMYFUNCTION("""COMPUTED_VALUE"""),"Xbox / PC")</f>
        <v>Xbox / PC</v>
      </c>
      <c r="C682" s="14" t="str">
        <f>IFERROR(__xludf.DUMMYFUNCTION("""COMPUTED_VALUE"""),"Yes")</f>
        <v>Yes</v>
      </c>
      <c r="D682" s="14" t="str">
        <f>IFERROR(__xludf.DUMMYFUNCTION("""COMPUTED_VALUE"""),"Active")</f>
        <v>Active</v>
      </c>
      <c r="E682" s="15">
        <f>IFERROR(__xludf.DUMMYFUNCTION("""COMPUTED_VALUE"""),46050.0)</f>
        <v>46050</v>
      </c>
      <c r="F682" s="16"/>
      <c r="G682" s="18">
        <f>IFERROR(__xludf.DUMMYFUNCTION("""COMPUTED_VALUE"""),8.266666666666666)</f>
        <v>8.266666667</v>
      </c>
      <c r="H682" s="15">
        <f>IFERROR(__xludf.DUMMYFUNCTION("""COMPUTED_VALUE"""),44637.0)</f>
        <v>44637</v>
      </c>
      <c r="I682" s="18">
        <f>IFERROR(__xludf.DUMMYFUNCTION("""COMPUTED_VALUE"""),3.863888888888889)</f>
        <v>3.863888889</v>
      </c>
      <c r="J682" s="22">
        <f>IFERROR(__xludf.DUMMYFUNCTION("""COMPUTED_VALUE"""),71.0)</f>
        <v>71</v>
      </c>
      <c r="K682" s="22">
        <f>IFERROR(__xludf.DUMMYFUNCTION("""COMPUTED_VALUE"""),11.0)</f>
        <v>11</v>
      </c>
      <c r="L682" s="26" t="str">
        <f>IFERROR(__xludf.DUMMYFUNCTION("""COMPUTED_VALUE"""),"Action-Adventure")</f>
        <v>Action-Adventure</v>
      </c>
      <c r="M682" s="13" t="b">
        <f>NOT(ISNA(VLOOKUP(A682,PC!A:A,1,FALSE)))</f>
        <v>1</v>
      </c>
      <c r="N682" s="13" t="b">
        <f>NOT(ISNA(VLOOKUP(A682,'Game Pass Premium'!A:A,1,FALSE)))</f>
        <v>1</v>
      </c>
      <c r="O682" s="13" t="b">
        <f>NOT(ISNA(VLOOKUP(A682,'Game Pass Essential'!A:A,1,FALSE)))</f>
        <v>0</v>
      </c>
    </row>
    <row r="683">
      <c r="A683" s="12" t="str">
        <f>IFERROR(__xludf.DUMMYFUNCTION("""COMPUTED_VALUE"""),"Assassin's Creed IV Black Flag: Freedom Cry")</f>
        <v>Assassin's Creed IV Black Flag: Freedom Cry</v>
      </c>
      <c r="B683" s="13" t="str">
        <f>IFERROR(__xludf.DUMMYFUNCTION("""COMPUTED_VALUE"""),"Xbox / PC")</f>
        <v>Xbox / PC</v>
      </c>
      <c r="C683" s="14"/>
      <c r="D683" s="14" t="str">
        <f>IFERROR(__xludf.DUMMYFUNCTION("""COMPUTED_VALUE"""),"Active")</f>
        <v>Active</v>
      </c>
      <c r="E683" s="15">
        <f>IFERROR(__xludf.DUMMYFUNCTION("""COMPUTED_VALUE"""),45931.0)</f>
        <v>45931</v>
      </c>
      <c r="F683" s="16"/>
      <c r="G683" s="18">
        <f>IFERROR(__xludf.DUMMYFUNCTION("""COMPUTED_VALUE"""),12.166666666666666)</f>
        <v>12.16666667</v>
      </c>
      <c r="H683" s="15">
        <f>IFERROR(__xludf.DUMMYFUNCTION("""COMPUTED_VALUE"""),41626.0)</f>
        <v>41626</v>
      </c>
      <c r="I683" s="18">
        <f>IFERROR(__xludf.DUMMYFUNCTION("""COMPUTED_VALUE"""),11.786111111111111)</f>
        <v>11.78611111</v>
      </c>
      <c r="J683" s="22">
        <f>IFERROR(__xludf.DUMMYFUNCTION("""COMPUTED_VALUE"""),71.0)</f>
        <v>71</v>
      </c>
      <c r="K683" s="22">
        <f>IFERROR(__xludf.DUMMYFUNCTION("""COMPUTED_VALUE"""),4.0)</f>
        <v>4</v>
      </c>
      <c r="L683" s="26" t="str">
        <f>IFERROR(__xludf.DUMMYFUNCTION("""COMPUTED_VALUE"""),"Action-Adventure")</f>
        <v>Action-Adventure</v>
      </c>
      <c r="M683" s="13" t="b">
        <f>NOT(ISNA(VLOOKUP(A683,PC!A:A,1,FALSE)))</f>
        <v>1</v>
      </c>
      <c r="N683" s="13" t="b">
        <f>NOT(ISNA(VLOOKUP(A683,'Game Pass Premium'!A:A,1,FALSE)))</f>
        <v>0</v>
      </c>
      <c r="O683" s="13" t="b">
        <f>NOT(ISNA(VLOOKUP(A683,'Game Pass Essential'!A:A,1,FALSE)))</f>
        <v>0</v>
      </c>
    </row>
    <row r="684">
      <c r="A684" s="12" t="str">
        <f>IFERROR(__xludf.DUMMYFUNCTION("""COMPUTED_VALUE"""),"Assassin's Creed Rogue: Remastered")</f>
        <v>Assassin's Creed Rogue: Remastered</v>
      </c>
      <c r="B684" s="13" t="str">
        <f>IFERROR(__xludf.DUMMYFUNCTION("""COMPUTED_VALUE"""),"Xbox / PC")</f>
        <v>Xbox / PC</v>
      </c>
      <c r="C684" s="14" t="str">
        <f>IFERROR(__xludf.DUMMYFUNCTION("""COMPUTED_VALUE"""),"Yes")</f>
        <v>Yes</v>
      </c>
      <c r="D684" s="14" t="str">
        <f>IFERROR(__xludf.DUMMYFUNCTION("""COMPUTED_VALUE"""),"Active")</f>
        <v>Active</v>
      </c>
      <c r="E684" s="15">
        <f>IFERROR(__xludf.DUMMYFUNCTION("""COMPUTED_VALUE"""),45931.0)</f>
        <v>45931</v>
      </c>
      <c r="F684" s="16"/>
      <c r="G684" s="18">
        <f>IFERROR(__xludf.DUMMYFUNCTION("""COMPUTED_VALUE"""),12.166666666666666)</f>
        <v>12.16666667</v>
      </c>
      <c r="H684" s="15">
        <f>IFERROR(__xludf.DUMMYFUNCTION("""COMPUTED_VALUE"""),43179.0)</f>
        <v>43179</v>
      </c>
      <c r="I684" s="18">
        <f>IFERROR(__xludf.DUMMYFUNCTION("""COMPUTED_VALUE"""),7.530555555555556)</f>
        <v>7.530555556</v>
      </c>
      <c r="J684" s="22">
        <f>IFERROR(__xludf.DUMMYFUNCTION("""COMPUTED_VALUE"""),71.0)</f>
        <v>71</v>
      </c>
      <c r="K684" s="22">
        <f>IFERROR(__xludf.DUMMYFUNCTION("""COMPUTED_VALUE"""),11.0)</f>
        <v>11</v>
      </c>
      <c r="L684" s="26" t="str">
        <f>IFERROR(__xludf.DUMMYFUNCTION("""COMPUTED_VALUE"""),"Action-Adventure")</f>
        <v>Action-Adventure</v>
      </c>
      <c r="M684" s="13" t="b">
        <f>NOT(ISNA(VLOOKUP(A684,PC!A:A,1,FALSE)))</f>
        <v>1</v>
      </c>
      <c r="N684" s="13" t="b">
        <f>NOT(ISNA(VLOOKUP(A684,'Game Pass Premium'!A:A,1,FALSE)))</f>
        <v>0</v>
      </c>
      <c r="O684" s="13" t="b">
        <f>NOT(ISNA(VLOOKUP(A684,'Game Pass Essential'!A:A,1,FALSE)))</f>
        <v>0</v>
      </c>
    </row>
    <row r="685">
      <c r="A685" s="12" t="str">
        <f>IFERROR(__xludf.DUMMYFUNCTION("""COMPUTED_VALUE"""),"Monopoly Madness")</f>
        <v>Monopoly Madness</v>
      </c>
      <c r="B685" s="13" t="str">
        <f>IFERROR(__xludf.DUMMYFUNCTION("""COMPUTED_VALUE"""),"Xbox / PC")</f>
        <v>Xbox / PC</v>
      </c>
      <c r="C685" s="14" t="str">
        <f>IFERROR(__xludf.DUMMYFUNCTION("""COMPUTED_VALUE"""),"Yes")</f>
        <v>Yes</v>
      </c>
      <c r="D685" s="14" t="str">
        <f>IFERROR(__xludf.DUMMYFUNCTION("""COMPUTED_VALUE"""),"Active")</f>
        <v>Active</v>
      </c>
      <c r="E685" s="15">
        <f>IFERROR(__xludf.DUMMYFUNCTION("""COMPUTED_VALUE"""),45931.0)</f>
        <v>45931</v>
      </c>
      <c r="F685" s="16"/>
      <c r="G685" s="18">
        <f>IFERROR(__xludf.DUMMYFUNCTION("""COMPUTED_VALUE"""),12.166666666666666)</f>
        <v>12.16666667</v>
      </c>
      <c r="H685" s="15">
        <f>IFERROR(__xludf.DUMMYFUNCTION("""COMPUTED_VALUE"""),44914.0)</f>
        <v>44914</v>
      </c>
      <c r="I685" s="18">
        <f>IFERROR(__xludf.DUMMYFUNCTION("""COMPUTED_VALUE"""),2.783333333333333)</f>
        <v>2.783333333</v>
      </c>
      <c r="J685" s="22">
        <f>IFERROR(__xludf.DUMMYFUNCTION("""COMPUTED_VALUE"""),71.0)</f>
        <v>71</v>
      </c>
      <c r="K685" s="22">
        <f>IFERROR(__xludf.DUMMYFUNCTION("""COMPUTED_VALUE"""),6.0)</f>
        <v>6</v>
      </c>
      <c r="L685" s="26" t="str">
        <f>IFERROR(__xludf.DUMMYFUNCTION("""COMPUTED_VALUE"""),"Party")</f>
        <v>Party</v>
      </c>
      <c r="M685" s="13" t="b">
        <f>NOT(ISNA(VLOOKUP(A685,PC!A:A,1,FALSE)))</f>
        <v>1</v>
      </c>
      <c r="N685" s="13" t="b">
        <f>NOT(ISNA(VLOOKUP(A685,'Game Pass Premium'!A:A,1,FALSE)))</f>
        <v>0</v>
      </c>
      <c r="O685" s="13" t="b">
        <f>NOT(ISNA(VLOOKUP(A685,'Game Pass Essential'!A:A,1,FALSE)))</f>
        <v>0</v>
      </c>
    </row>
    <row r="686">
      <c r="A686" s="12" t="str">
        <f>IFERROR(__xludf.DUMMYFUNCTION("""COMPUTED_VALUE"""),"OddBallers")</f>
        <v>OddBallers</v>
      </c>
      <c r="B686" s="13" t="str">
        <f>IFERROR(__xludf.DUMMYFUNCTION("""COMPUTED_VALUE"""),"Xbox / PC")</f>
        <v>Xbox / PC</v>
      </c>
      <c r="C686" s="14" t="str">
        <f>IFERROR(__xludf.DUMMYFUNCTION("""COMPUTED_VALUE"""),"Yes")</f>
        <v>Yes</v>
      </c>
      <c r="D686" s="14" t="str">
        <f>IFERROR(__xludf.DUMMYFUNCTION("""COMPUTED_VALUE"""),"Active")</f>
        <v>Active</v>
      </c>
      <c r="E686" s="15">
        <f>IFERROR(__xludf.DUMMYFUNCTION("""COMPUTED_VALUE"""),45931.0)</f>
        <v>45931</v>
      </c>
      <c r="F686" s="16"/>
      <c r="G686" s="18">
        <f>IFERROR(__xludf.DUMMYFUNCTION("""COMPUTED_VALUE"""),12.166666666666666)</f>
        <v>12.16666667</v>
      </c>
      <c r="H686" s="15">
        <f>IFERROR(__xludf.DUMMYFUNCTION("""COMPUTED_VALUE"""),44952.0)</f>
        <v>44952</v>
      </c>
      <c r="I686" s="18">
        <f>IFERROR(__xludf.DUMMYFUNCTION("""COMPUTED_VALUE"""),2.6805555555555554)</f>
        <v>2.680555556</v>
      </c>
      <c r="J686" s="22">
        <f>IFERROR(__xludf.DUMMYFUNCTION("""COMPUTED_VALUE"""),71.0)</f>
        <v>71</v>
      </c>
      <c r="K686" s="22">
        <f>IFERROR(__xludf.DUMMYFUNCTION("""COMPUTED_VALUE"""),8.0)</f>
        <v>8</v>
      </c>
      <c r="L686" s="26" t="str">
        <f>IFERROR(__xludf.DUMMYFUNCTION("""COMPUTED_VALUE"""),"Party")</f>
        <v>Party</v>
      </c>
      <c r="M686" s="13" t="b">
        <f>NOT(ISNA(VLOOKUP(A686,PC!A:A,1,FALSE)))</f>
        <v>1</v>
      </c>
      <c r="N686" s="13" t="b">
        <f>NOT(ISNA(VLOOKUP(A686,'Game Pass Premium'!A:A,1,FALSE)))</f>
        <v>0</v>
      </c>
      <c r="O686" s="13" t="b">
        <f>NOT(ISNA(VLOOKUP(A686,'Game Pass Essential'!A:A,1,FALSE)))</f>
        <v>0</v>
      </c>
    </row>
    <row r="687">
      <c r="A687" s="12" t="str">
        <f>IFERROR(__xludf.DUMMYFUNCTION("""COMPUTED_VALUE"""),"Steep")</f>
        <v>Steep</v>
      </c>
      <c r="B687" s="13" t="str">
        <f>IFERROR(__xludf.DUMMYFUNCTION("""COMPUTED_VALUE"""),"Xbox / PC")</f>
        <v>Xbox / PC</v>
      </c>
      <c r="C687" s="14" t="str">
        <f>IFERROR(__xludf.DUMMYFUNCTION("""COMPUTED_VALUE"""),"Touch Controls")</f>
        <v>Touch Controls</v>
      </c>
      <c r="D687" s="14" t="str">
        <f>IFERROR(__xludf.DUMMYFUNCTION("""COMPUTED_VALUE"""),"Active")</f>
        <v>Active</v>
      </c>
      <c r="E687" s="15">
        <f>IFERROR(__xludf.DUMMYFUNCTION("""COMPUTED_VALUE"""),45931.0)</f>
        <v>45931</v>
      </c>
      <c r="F687" s="16"/>
      <c r="G687" s="18">
        <f>IFERROR(__xludf.DUMMYFUNCTION("""COMPUTED_VALUE"""),12.166666666666666)</f>
        <v>12.16666667</v>
      </c>
      <c r="H687" s="15">
        <f>IFERROR(__xludf.DUMMYFUNCTION("""COMPUTED_VALUE"""),42703.0)</f>
        <v>42703</v>
      </c>
      <c r="I687" s="18">
        <f>IFERROR(__xludf.DUMMYFUNCTION("""COMPUTED_VALUE"""),8.838888888888889)</f>
        <v>8.838888889</v>
      </c>
      <c r="J687" s="22">
        <f>IFERROR(__xludf.DUMMYFUNCTION("""COMPUTED_VALUE"""),71.0)</f>
        <v>71</v>
      </c>
      <c r="K687" s="22">
        <f>IFERROR(__xludf.DUMMYFUNCTION("""COMPUTED_VALUE"""),12.0)</f>
        <v>12</v>
      </c>
      <c r="L687" s="26" t="str">
        <f>IFERROR(__xludf.DUMMYFUNCTION("""COMPUTED_VALUE"""),"Sports")</f>
        <v>Sports</v>
      </c>
      <c r="M687" s="13" t="b">
        <f>NOT(ISNA(VLOOKUP(A687,PC!A:A,1,FALSE)))</f>
        <v>1</v>
      </c>
      <c r="N687" s="13" t="b">
        <f>NOT(ISNA(VLOOKUP(A687,'Game Pass Premium'!A:A,1,FALSE)))</f>
        <v>0</v>
      </c>
      <c r="O687" s="13" t="b">
        <f>NOT(ISNA(VLOOKUP(A687,'Game Pass Essential'!A:A,1,FALSE)))</f>
        <v>0</v>
      </c>
    </row>
    <row r="688">
      <c r="A688" s="12" t="str">
        <f>IFERROR(__xludf.DUMMYFUNCTION("""COMPUTED_VALUE"""),"Transference")</f>
        <v>Transference</v>
      </c>
      <c r="B688" s="13" t="str">
        <f>IFERROR(__xludf.DUMMYFUNCTION("""COMPUTED_VALUE"""),"Xbox")</f>
        <v>Xbox</v>
      </c>
      <c r="C688" s="14" t="str">
        <f>IFERROR(__xludf.DUMMYFUNCTION("""COMPUTED_VALUE"""),"Yes")</f>
        <v>Yes</v>
      </c>
      <c r="D688" s="14" t="str">
        <f>IFERROR(__xludf.DUMMYFUNCTION("""COMPUTED_VALUE"""),"Active")</f>
        <v>Active</v>
      </c>
      <c r="E688" s="15">
        <f>IFERROR(__xludf.DUMMYFUNCTION("""COMPUTED_VALUE"""),45931.0)</f>
        <v>45931</v>
      </c>
      <c r="F688" s="16"/>
      <c r="G688" s="18">
        <f>IFERROR(__xludf.DUMMYFUNCTION("""COMPUTED_VALUE"""),12.166666666666666)</f>
        <v>12.16666667</v>
      </c>
      <c r="H688" s="15">
        <f>IFERROR(__xludf.DUMMYFUNCTION("""COMPUTED_VALUE"""),43361.0)</f>
        <v>43361</v>
      </c>
      <c r="I688" s="18">
        <f>IFERROR(__xludf.DUMMYFUNCTION("""COMPUTED_VALUE"""),7.036111111111111)</f>
        <v>7.036111111</v>
      </c>
      <c r="J688" s="22">
        <f>IFERROR(__xludf.DUMMYFUNCTION("""COMPUTED_VALUE"""),71.0)</f>
        <v>71</v>
      </c>
      <c r="K688" s="22">
        <f>IFERROR(__xludf.DUMMYFUNCTION("""COMPUTED_VALUE"""),2.0)</f>
        <v>2</v>
      </c>
      <c r="L688" s="26" t="str">
        <f>IFERROR(__xludf.DUMMYFUNCTION("""COMPUTED_VALUE"""),"Action-Adventure")</f>
        <v>Action-Adventure</v>
      </c>
      <c r="M688" s="13" t="b">
        <f>NOT(ISNA(VLOOKUP(A688,PC!A:A,1,FALSE)))</f>
        <v>0</v>
      </c>
      <c r="N688" s="13" t="b">
        <f>NOT(ISNA(VLOOKUP(A688,'Game Pass Premium'!A:A,1,FALSE)))</f>
        <v>0</v>
      </c>
      <c r="O688" s="13" t="b">
        <f>NOT(ISNA(VLOOKUP(A688,'Game Pass Essential'!A:A,1,FALSE)))</f>
        <v>0</v>
      </c>
    </row>
    <row r="689">
      <c r="A689" s="12" t="str">
        <f>IFERROR(__xludf.DUMMYFUNCTION("""COMPUTED_VALUE"""),"Wheel World")</f>
        <v>Wheel World</v>
      </c>
      <c r="B689" s="13" t="str">
        <f>IFERROR(__xludf.DUMMYFUNCTION("""COMPUTED_VALUE"""),"Xbox / PC")</f>
        <v>Xbox / PC</v>
      </c>
      <c r="C689" s="14" t="str">
        <f>IFERROR(__xludf.DUMMYFUNCTION("""COMPUTED_VALUE"""),"Yes")</f>
        <v>Yes</v>
      </c>
      <c r="D689" s="14" t="str">
        <f>IFERROR(__xludf.DUMMYFUNCTION("""COMPUTED_VALUE"""),"Active")</f>
        <v>Active</v>
      </c>
      <c r="E689" s="15">
        <f>IFERROR(__xludf.DUMMYFUNCTION("""COMPUTED_VALUE"""),45861.0)</f>
        <v>45861</v>
      </c>
      <c r="F689" s="16"/>
      <c r="G689" s="18">
        <f>IFERROR(__xludf.DUMMYFUNCTION("""COMPUTED_VALUE"""),14.433333333333334)</f>
        <v>14.43333333</v>
      </c>
      <c r="H689" s="15">
        <f>IFERROR(__xludf.DUMMYFUNCTION("""COMPUTED_VALUE"""),45861.0)</f>
        <v>45861</v>
      </c>
      <c r="I689" s="18">
        <f>IFERROR(__xludf.DUMMYFUNCTION("""COMPUTED_VALUE"""),0.0)</f>
        <v>0</v>
      </c>
      <c r="J689" s="22">
        <f>IFERROR(__xludf.DUMMYFUNCTION("""COMPUTED_VALUE"""),71.0)</f>
        <v>71</v>
      </c>
      <c r="K689" s="22">
        <f>IFERROR(__xludf.DUMMYFUNCTION("""COMPUTED_VALUE"""),5.0)</f>
        <v>5</v>
      </c>
      <c r="L689" s="26" t="str">
        <f>IFERROR(__xludf.DUMMYFUNCTION("""COMPUTED_VALUE"""),"Action-Adventure")</f>
        <v>Action-Adventure</v>
      </c>
      <c r="M689" s="13" t="b">
        <f>NOT(ISNA(VLOOKUP(A689,PC!A:A,1,FALSE)))</f>
        <v>1</v>
      </c>
      <c r="N689" s="13" t="b">
        <f>NOT(ISNA(VLOOKUP(A689,'Game Pass Premium'!A:A,1,FALSE)))</f>
        <v>0</v>
      </c>
      <c r="O689" s="13" t="b">
        <f>NOT(ISNA(VLOOKUP(A689,'Game Pass Essential'!A:A,1,FALSE)))</f>
        <v>0</v>
      </c>
    </row>
    <row r="690">
      <c r="A690" s="12" t="str">
        <f>IFERROR(__xludf.DUMMYFUNCTION("""COMPUTED_VALUE"""),"Solar Storm")</f>
        <v>Solar Storm</v>
      </c>
      <c r="B690" s="13" t="str">
        <f>IFERROR(__xludf.DUMMYFUNCTION("""COMPUTED_VALUE"""),"Xbox / PC")</f>
        <v>Xbox / PC</v>
      </c>
      <c r="C690" s="14" t="str">
        <f>IFERROR(__xludf.DUMMYFUNCTION("""COMPUTED_VALUE"""),"Yes")</f>
        <v>Yes</v>
      </c>
      <c r="D690" s="14" t="str">
        <f>IFERROR(__xludf.DUMMYFUNCTION("""COMPUTED_VALUE"""),"Active")</f>
        <v>Active</v>
      </c>
      <c r="E690" s="15">
        <f>IFERROR(__xludf.DUMMYFUNCTION("""COMPUTED_VALUE"""),45839.0)</f>
        <v>45839</v>
      </c>
      <c r="F690" s="16"/>
      <c r="G690" s="18">
        <f>IFERROR(__xludf.DUMMYFUNCTION("""COMPUTED_VALUE"""),15.166666666666666)</f>
        <v>15.16666667</v>
      </c>
      <c r="H690" s="15">
        <f>IFERROR(__xludf.DUMMYFUNCTION("""COMPUTED_VALUE"""),30468.0)</f>
        <v>30468</v>
      </c>
      <c r="I690" s="18">
        <f>IFERROR(__xludf.DUMMYFUNCTION("""COMPUTED_VALUE"""),42.083333333333336)</f>
        <v>42.08333333</v>
      </c>
      <c r="J690" s="22">
        <f>IFERROR(__xludf.DUMMYFUNCTION("""COMPUTED_VALUE"""),71.0)</f>
        <v>71</v>
      </c>
      <c r="K690" s="22"/>
      <c r="L690" s="26" t="str">
        <f>IFERROR(__xludf.DUMMYFUNCTION("""COMPUTED_VALUE"""),"Action-Adventure")</f>
        <v>Action-Adventure</v>
      </c>
      <c r="M690" s="13" t="b">
        <f>NOT(ISNA(VLOOKUP(A690,PC!A:A,1,FALSE)))</f>
        <v>1</v>
      </c>
      <c r="N690" s="13" t="b">
        <f>NOT(ISNA(VLOOKUP(A690,'Game Pass Premium'!A:A,1,FALSE)))</f>
        <v>1</v>
      </c>
      <c r="O690" s="13" t="b">
        <f>NOT(ISNA(VLOOKUP(A690,'Game Pass Essential'!A:A,1,FALSE)))</f>
        <v>0</v>
      </c>
    </row>
    <row r="691">
      <c r="A691" s="12" t="str">
        <f>IFERROR(__xludf.DUMMYFUNCTION("""COMPUTED_VALUE"""),"Cosmic Ark")</f>
        <v>Cosmic Ark</v>
      </c>
      <c r="B691" s="13" t="str">
        <f>IFERROR(__xludf.DUMMYFUNCTION("""COMPUTED_VALUE"""),"Xbox / PC")</f>
        <v>Xbox / PC</v>
      </c>
      <c r="C691" s="14" t="str">
        <f>IFERROR(__xludf.DUMMYFUNCTION("""COMPUTED_VALUE"""),"Yes")</f>
        <v>Yes</v>
      </c>
      <c r="D691" s="14" t="str">
        <f>IFERROR(__xludf.DUMMYFUNCTION("""COMPUTED_VALUE"""),"Active")</f>
        <v>Active</v>
      </c>
      <c r="E691" s="15">
        <f>IFERROR(__xludf.DUMMYFUNCTION("""COMPUTED_VALUE"""),45798.0)</f>
        <v>45798</v>
      </c>
      <c r="F691" s="16"/>
      <c r="G691" s="18">
        <f>IFERROR(__xludf.DUMMYFUNCTION("""COMPUTED_VALUE"""),16.5)</f>
        <v>16.5</v>
      </c>
      <c r="H691" s="15">
        <f>IFERROR(__xludf.DUMMYFUNCTION("""COMPUTED_VALUE"""),30164.0)</f>
        <v>30164</v>
      </c>
      <c r="I691" s="18">
        <f>IFERROR(__xludf.DUMMYFUNCTION("""COMPUTED_VALUE"""),42.80555555555556)</f>
        <v>42.80555556</v>
      </c>
      <c r="J691" s="22">
        <f>IFERROR(__xludf.DUMMYFUNCTION("""COMPUTED_VALUE"""),71.0)</f>
        <v>71</v>
      </c>
      <c r="K691" s="22"/>
      <c r="L691" s="26" t="str">
        <f>IFERROR(__xludf.DUMMYFUNCTION("""COMPUTED_VALUE"""),"Action‑Adventure")</f>
        <v>Action‑Adventure</v>
      </c>
      <c r="M691" s="13" t="b">
        <f>NOT(ISNA(VLOOKUP(A691,PC!A:A,1,FALSE)))</f>
        <v>1</v>
      </c>
      <c r="N691" s="13" t="b">
        <f>NOT(ISNA(VLOOKUP(A691,'Game Pass Premium'!A:A,1,FALSE)))</f>
        <v>1</v>
      </c>
      <c r="O691" s="13" t="b">
        <f>NOT(ISNA(VLOOKUP(A691,'Game Pass Essential'!A:A,1,FALSE)))</f>
        <v>0</v>
      </c>
    </row>
    <row r="692">
      <c r="A692" s="12" t="str">
        <f>IFERROR(__xludf.DUMMYFUNCTION("""COMPUTED_VALUE"""),"Pitfall!")</f>
        <v>Pitfall!</v>
      </c>
      <c r="B692" s="13" t="str">
        <f>IFERROR(__xludf.DUMMYFUNCTION("""COMPUTED_VALUE"""),"Xbox / PC")</f>
        <v>Xbox / PC</v>
      </c>
      <c r="C692" s="14" t="str">
        <f>IFERROR(__xludf.DUMMYFUNCTION("""COMPUTED_VALUE"""),"Yes")</f>
        <v>Yes</v>
      </c>
      <c r="D692" s="14" t="str">
        <f>IFERROR(__xludf.DUMMYFUNCTION("""COMPUTED_VALUE"""),"Active")</f>
        <v>Active</v>
      </c>
      <c r="E692" s="15">
        <f>IFERROR(__xludf.DUMMYFUNCTION("""COMPUTED_VALUE"""),45798.0)</f>
        <v>45798</v>
      </c>
      <c r="F692" s="16"/>
      <c r="G692" s="18">
        <f>IFERROR(__xludf.DUMMYFUNCTION("""COMPUTED_VALUE"""),16.5)</f>
        <v>16.5</v>
      </c>
      <c r="H692" s="15">
        <f>IFERROR(__xludf.DUMMYFUNCTION("""COMPUTED_VALUE"""),30061.0)</f>
        <v>30061</v>
      </c>
      <c r="I692" s="18">
        <f>IFERROR(__xludf.DUMMYFUNCTION("""COMPUTED_VALUE"""),43.08611111111111)</f>
        <v>43.08611111</v>
      </c>
      <c r="J692" s="22">
        <f>IFERROR(__xludf.DUMMYFUNCTION("""COMPUTED_VALUE"""),71.0)</f>
        <v>71</v>
      </c>
      <c r="K692" s="22">
        <f>IFERROR(__xludf.DUMMYFUNCTION("""COMPUTED_VALUE"""),1.0)</f>
        <v>1</v>
      </c>
      <c r="L692" s="26" t="str">
        <f>IFERROR(__xludf.DUMMYFUNCTION("""COMPUTED_VALUE"""),"Platformer")</f>
        <v>Platformer</v>
      </c>
      <c r="M692" s="13" t="b">
        <f>NOT(ISNA(VLOOKUP(A692,PC!A:A,1,FALSE)))</f>
        <v>1</v>
      </c>
      <c r="N692" s="13" t="b">
        <f>NOT(ISNA(VLOOKUP(A692,'Game Pass Premium'!A:A,1,FALSE)))</f>
        <v>1</v>
      </c>
      <c r="O692" s="13" t="b">
        <f>NOT(ISNA(VLOOKUP(A692,'Game Pass Essential'!A:A,1,FALSE)))</f>
        <v>0</v>
      </c>
    </row>
    <row r="693">
      <c r="A693" s="12" t="str">
        <f>IFERROR(__xludf.DUMMYFUNCTION("""COMPUTED_VALUE"""),"Pressure Cooker")</f>
        <v>Pressure Cooker</v>
      </c>
      <c r="B693" s="13" t="str">
        <f>IFERROR(__xludf.DUMMYFUNCTION("""COMPUTED_VALUE"""),"Xbox / PC")</f>
        <v>Xbox / PC</v>
      </c>
      <c r="C693" s="14" t="str">
        <f>IFERROR(__xludf.DUMMYFUNCTION("""COMPUTED_VALUE"""),"Yes")</f>
        <v>Yes</v>
      </c>
      <c r="D693" s="14" t="str">
        <f>IFERROR(__xludf.DUMMYFUNCTION("""COMPUTED_VALUE"""),"Active")</f>
        <v>Active</v>
      </c>
      <c r="E693" s="15">
        <f>IFERROR(__xludf.DUMMYFUNCTION("""COMPUTED_VALUE"""),45798.0)</f>
        <v>45798</v>
      </c>
      <c r="F693" s="16"/>
      <c r="G693" s="18">
        <f>IFERROR(__xludf.DUMMYFUNCTION("""COMPUTED_VALUE"""),16.5)</f>
        <v>16.5</v>
      </c>
      <c r="H693" s="15">
        <f>IFERROR(__xludf.DUMMYFUNCTION("""COMPUTED_VALUE"""),30369.0)</f>
        <v>30369</v>
      </c>
      <c r="I693" s="18">
        <f>IFERROR(__xludf.DUMMYFUNCTION("""COMPUTED_VALUE"""),42.24722222222222)</f>
        <v>42.24722222</v>
      </c>
      <c r="J693" s="22">
        <f>IFERROR(__xludf.DUMMYFUNCTION("""COMPUTED_VALUE"""),71.0)</f>
        <v>71</v>
      </c>
      <c r="K693" s="22"/>
      <c r="L693" s="26" t="str">
        <f>IFERROR(__xludf.DUMMYFUNCTION("""COMPUTED_VALUE"""),"Simulation")</f>
        <v>Simulation</v>
      </c>
      <c r="M693" s="13" t="b">
        <f>NOT(ISNA(VLOOKUP(A693,PC!A:A,1,FALSE)))</f>
        <v>1</v>
      </c>
      <c r="N693" s="13" t="b">
        <f>NOT(ISNA(VLOOKUP(A693,'Game Pass Premium'!A:A,1,FALSE)))</f>
        <v>1</v>
      </c>
      <c r="O693" s="13" t="b">
        <f>NOT(ISNA(VLOOKUP(A693,'Game Pass Essential'!A:A,1,FALSE)))</f>
        <v>0</v>
      </c>
    </row>
    <row r="694">
      <c r="A694" s="12" t="str">
        <f>IFERROR(__xludf.DUMMYFUNCTION("""COMPUTED_VALUE"""),"Space Quest 6")</f>
        <v>Space Quest 6</v>
      </c>
      <c r="B694" s="13" t="str">
        <f>IFERROR(__xludf.DUMMYFUNCTION("""COMPUTED_VALUE"""),"Xbox / PC")</f>
        <v>Xbox / PC</v>
      </c>
      <c r="C694" s="14" t="str">
        <f>IFERROR(__xludf.DUMMYFUNCTION("""COMPUTED_VALUE"""),"Yes")</f>
        <v>Yes</v>
      </c>
      <c r="D694" s="14" t="str">
        <f>IFERROR(__xludf.DUMMYFUNCTION("""COMPUTED_VALUE"""),"Active")</f>
        <v>Active</v>
      </c>
      <c r="E694" s="15">
        <f>IFERROR(__xludf.DUMMYFUNCTION("""COMPUTED_VALUE"""),45798.0)</f>
        <v>45798</v>
      </c>
      <c r="F694" s="16"/>
      <c r="G694" s="18">
        <f>IFERROR(__xludf.DUMMYFUNCTION("""COMPUTED_VALUE"""),16.5)</f>
        <v>16.5</v>
      </c>
      <c r="H694" s="15">
        <f>IFERROR(__xludf.DUMMYFUNCTION("""COMPUTED_VALUE"""),34891.0)</f>
        <v>34891</v>
      </c>
      <c r="I694" s="18">
        <f>IFERROR(__xludf.DUMMYFUNCTION("""COMPUTED_VALUE"""),29.86111111111111)</f>
        <v>29.86111111</v>
      </c>
      <c r="J694" s="22">
        <f>IFERROR(__xludf.DUMMYFUNCTION("""COMPUTED_VALUE"""),71.0)</f>
        <v>71</v>
      </c>
      <c r="K694" s="22">
        <f>IFERROR(__xludf.DUMMYFUNCTION("""COMPUTED_VALUE"""),4.0)</f>
        <v>4</v>
      </c>
      <c r="L694" s="26" t="str">
        <f>IFERROR(__xludf.DUMMYFUNCTION("""COMPUTED_VALUE"""),"Action‑Adventure")</f>
        <v>Action‑Adventure</v>
      </c>
      <c r="M694" s="13" t="b">
        <f>NOT(ISNA(VLOOKUP(A694,PC!A:A,1,FALSE)))</f>
        <v>1</v>
      </c>
      <c r="N694" s="13" t="b">
        <f>NOT(ISNA(VLOOKUP(A694,'Game Pass Premium'!A:A,1,FALSE)))</f>
        <v>1</v>
      </c>
      <c r="O694" s="13" t="b">
        <f>NOT(ISNA(VLOOKUP(A694,'Game Pass Essential'!A:A,1,FALSE)))</f>
        <v>0</v>
      </c>
    </row>
    <row r="695">
      <c r="A695" s="12" t="str">
        <f>IFERROR(__xludf.DUMMYFUNCTION("""COMPUTED_VALUE"""),"The Adventures of Willy Beamish")</f>
        <v>The Adventures of Willy Beamish</v>
      </c>
      <c r="B695" s="13" t="str">
        <f>IFERROR(__xludf.DUMMYFUNCTION("""COMPUTED_VALUE"""),"Xbox / PC")</f>
        <v>Xbox / PC</v>
      </c>
      <c r="C695" s="14" t="str">
        <f>IFERROR(__xludf.DUMMYFUNCTION("""COMPUTED_VALUE"""),"Yes")</f>
        <v>Yes</v>
      </c>
      <c r="D695" s="14" t="str">
        <f>IFERROR(__xludf.DUMMYFUNCTION("""COMPUTED_VALUE"""),"Active")</f>
        <v>Active</v>
      </c>
      <c r="E695" s="15">
        <f>IFERROR(__xludf.DUMMYFUNCTION("""COMPUTED_VALUE"""),45798.0)</f>
        <v>45798</v>
      </c>
      <c r="F695" s="16"/>
      <c r="G695" s="18">
        <f>IFERROR(__xludf.DUMMYFUNCTION("""COMPUTED_VALUE"""),16.5)</f>
        <v>16.5</v>
      </c>
      <c r="H695" s="15">
        <f>IFERROR(__xludf.DUMMYFUNCTION("""COMPUTED_VALUE"""),33506.0)</f>
        <v>33506</v>
      </c>
      <c r="I695" s="18">
        <f>IFERROR(__xludf.DUMMYFUNCTION("""COMPUTED_VALUE"""),33.65555555555556)</f>
        <v>33.65555556</v>
      </c>
      <c r="J695" s="22">
        <f>IFERROR(__xludf.DUMMYFUNCTION("""COMPUTED_VALUE"""),71.0)</f>
        <v>71</v>
      </c>
      <c r="K695" s="22">
        <f>IFERROR(__xludf.DUMMYFUNCTION("""COMPUTED_VALUE"""),5.0)</f>
        <v>5</v>
      </c>
      <c r="L695" s="26" t="str">
        <f>IFERROR(__xludf.DUMMYFUNCTION("""COMPUTED_VALUE"""),"Action‑Adventure")</f>
        <v>Action‑Adventure</v>
      </c>
      <c r="M695" s="13" t="b">
        <f>NOT(ISNA(VLOOKUP(A695,PC!A:A,1,FALSE)))</f>
        <v>1</v>
      </c>
      <c r="N695" s="13" t="b">
        <f>NOT(ISNA(VLOOKUP(A695,'Game Pass Premium'!A:A,1,FALSE)))</f>
        <v>1</v>
      </c>
      <c r="O695" s="13" t="b">
        <f>NOT(ISNA(VLOOKUP(A695,'Game Pass Essential'!A:A,1,FALSE)))</f>
        <v>0</v>
      </c>
    </row>
    <row r="696">
      <c r="A696" s="12" t="str">
        <f>IFERROR(__xludf.DUMMYFUNCTION("""COMPUTED_VALUE"""),"Far Cry: New Dawn")</f>
        <v>Far Cry: New Dawn</v>
      </c>
      <c r="B696" s="13" t="str">
        <f>IFERROR(__xludf.DUMMYFUNCTION("""COMPUTED_VALUE"""),"Xbox / PC")</f>
        <v>Xbox / PC</v>
      </c>
      <c r="C696" s="14" t="str">
        <f>IFERROR(__xludf.DUMMYFUNCTION("""COMPUTED_VALUE"""),"Yes")</f>
        <v>Yes</v>
      </c>
      <c r="D696" s="14" t="str">
        <f>IFERROR(__xludf.DUMMYFUNCTION("""COMPUTED_VALUE"""),"Active")</f>
        <v>Active</v>
      </c>
      <c r="E696" s="15">
        <f>IFERROR(__xludf.DUMMYFUNCTION("""COMPUTED_VALUE"""),45692.0)</f>
        <v>45692</v>
      </c>
      <c r="F696" s="16"/>
      <c r="G696" s="18">
        <f>IFERROR(__xludf.DUMMYFUNCTION("""COMPUTED_VALUE"""),20.066666666666666)</f>
        <v>20.06666667</v>
      </c>
      <c r="H696" s="15">
        <f>IFERROR(__xludf.DUMMYFUNCTION("""COMPUTED_VALUE"""),43511.0)</f>
        <v>43511</v>
      </c>
      <c r="I696" s="18">
        <f>IFERROR(__xludf.DUMMYFUNCTION("""COMPUTED_VALUE"""),5.969444444444444)</f>
        <v>5.969444444</v>
      </c>
      <c r="J696" s="22">
        <f>IFERROR(__xludf.DUMMYFUNCTION("""COMPUTED_VALUE"""),71.0)</f>
        <v>71</v>
      </c>
      <c r="K696" s="22">
        <f>IFERROR(__xludf.DUMMYFUNCTION("""COMPUTED_VALUE"""),11.0)</f>
        <v>11</v>
      </c>
      <c r="L696" s="26" t="str">
        <f>IFERROR(__xludf.DUMMYFUNCTION("""COMPUTED_VALUE"""),"Shooter")</f>
        <v>Shooter</v>
      </c>
      <c r="M696" s="13" t="b">
        <f>NOT(ISNA(VLOOKUP(A696,PC!A:A,1,FALSE)))</f>
        <v>1</v>
      </c>
      <c r="N696" s="13" t="b">
        <f>NOT(ISNA(VLOOKUP(A696,'Game Pass Premium'!A:A,1,FALSE)))</f>
        <v>1</v>
      </c>
      <c r="O696" s="13" t="b">
        <f>NOT(ISNA(VLOOKUP(A696,'Game Pass Essential'!A:A,1,FALSE)))</f>
        <v>0</v>
      </c>
    </row>
    <row r="697">
      <c r="A697" s="12" t="str">
        <f>IFERROR(__xludf.DUMMYFUNCTION("""COMPUTED_VALUE"""),"Blinx: The Time Sweeper")</f>
        <v>Blinx: The Time Sweeper</v>
      </c>
      <c r="B697" s="13" t="str">
        <f>IFERROR(__xludf.DUMMYFUNCTION("""COMPUTED_VALUE"""),"Xbox / PC")</f>
        <v>Xbox / PC</v>
      </c>
      <c r="C697" s="14" t="str">
        <f>IFERROR(__xludf.DUMMYFUNCTION("""COMPUTED_VALUE"""),"Touch Controls")</f>
        <v>Touch Controls</v>
      </c>
      <c r="D697" s="14" t="str">
        <f>IFERROR(__xludf.DUMMYFUNCTION("""COMPUTED_VALUE"""),"Active")</f>
        <v>Active</v>
      </c>
      <c r="E697" s="15">
        <f>IFERROR(__xludf.DUMMYFUNCTION("""COMPUTED_VALUE"""),44399.0)</f>
        <v>44399</v>
      </c>
      <c r="F697" s="16"/>
      <c r="G697" s="18">
        <f>IFERROR(__xludf.DUMMYFUNCTION("""COMPUTED_VALUE"""),62.46666666666667)</f>
        <v>62.46666667</v>
      </c>
      <c r="H697" s="15">
        <f>IFERROR(__xludf.DUMMYFUNCTION("""COMPUTED_VALUE"""),37536.0)</f>
        <v>37536</v>
      </c>
      <c r="I697" s="18">
        <f>IFERROR(__xludf.DUMMYFUNCTION("""COMPUTED_VALUE"""),18.791666666666668)</f>
        <v>18.79166667</v>
      </c>
      <c r="J697" s="22">
        <f>IFERROR(__xludf.DUMMYFUNCTION("""COMPUTED_VALUE"""),71.0)</f>
        <v>71</v>
      </c>
      <c r="K697" s="22">
        <f>IFERROR(__xludf.DUMMYFUNCTION("""COMPUTED_VALUE"""),10.0)</f>
        <v>10</v>
      </c>
      <c r="L697" s="26" t="str">
        <f>IFERROR(__xludf.DUMMYFUNCTION("""COMPUTED_VALUE"""),"Action")</f>
        <v>Action</v>
      </c>
      <c r="M697" s="13" t="b">
        <f>NOT(ISNA(VLOOKUP(A697,PC!A:A,1,FALSE)))</f>
        <v>1</v>
      </c>
      <c r="N697" s="13" t="b">
        <f>NOT(ISNA(VLOOKUP(A697,'Game Pass Premium'!A:A,1,FALSE)))</f>
        <v>1</v>
      </c>
      <c r="O697" s="13" t="b">
        <f>NOT(ISNA(VLOOKUP(A697,'Game Pass Essential'!A:A,1,FALSE)))</f>
        <v>0</v>
      </c>
    </row>
    <row r="698">
      <c r="A698" s="12" t="str">
        <f>IFERROR(__xludf.DUMMYFUNCTION("""COMPUTED_VALUE"""),"Battlefield: Hardline - Ultimate Edition")</f>
        <v>Battlefield: Hardline - Ultimate Edition</v>
      </c>
      <c r="B698" s="13" t="str">
        <f>IFERROR(__xludf.DUMMYFUNCTION("""COMPUTED_VALUE"""),"Xbox / PC")</f>
        <v>Xbox / PC</v>
      </c>
      <c r="C698" s="14"/>
      <c r="D698" s="14" t="str">
        <f>IFERROR(__xludf.DUMMYFUNCTION("""COMPUTED_VALUE"""),"Active")</f>
        <v>Active</v>
      </c>
      <c r="E698" s="15">
        <f>IFERROR(__xludf.DUMMYFUNCTION("""COMPUTED_VALUE"""),44145.0)</f>
        <v>44145</v>
      </c>
      <c r="F698" s="16"/>
      <c r="G698" s="18">
        <f>IFERROR(__xludf.DUMMYFUNCTION("""COMPUTED_VALUE"""),70.86666666666667)</f>
        <v>70.86666667</v>
      </c>
      <c r="H698" s="15">
        <f>IFERROR(__xludf.DUMMYFUNCTION("""COMPUTED_VALUE"""),42080.0)</f>
        <v>42080</v>
      </c>
      <c r="I698" s="18">
        <f>IFERROR(__xludf.DUMMYFUNCTION("""COMPUTED_VALUE"""),5.647222222222222)</f>
        <v>5.647222222</v>
      </c>
      <c r="J698" s="22">
        <f>IFERROR(__xludf.DUMMYFUNCTION("""COMPUTED_VALUE"""),71.0)</f>
        <v>71</v>
      </c>
      <c r="K698" s="22">
        <f>IFERROR(__xludf.DUMMYFUNCTION("""COMPUTED_VALUE"""),7.5)</f>
        <v>7.5</v>
      </c>
      <c r="L698" s="26" t="str">
        <f>IFERROR(__xludf.DUMMYFUNCTION("""COMPUTED_VALUE"""),"Shooter")</f>
        <v>Shooter</v>
      </c>
      <c r="M698" s="13" t="b">
        <f>NOT(ISNA(VLOOKUP(A698,PC!A:A,1,FALSE)))</f>
        <v>1</v>
      </c>
      <c r="N698" s="13" t="b">
        <f>NOT(ISNA(VLOOKUP(A698,'Game Pass Premium'!A:A,1,FALSE)))</f>
        <v>1</v>
      </c>
      <c r="O698" s="13" t="b">
        <f>NOT(ISNA(VLOOKUP(A698,'Game Pass Essential'!A:A,1,FALSE)))</f>
        <v>0</v>
      </c>
    </row>
    <row r="699">
      <c r="A699" s="12" t="str">
        <f>IFERROR(__xludf.DUMMYFUNCTION("""COMPUTED_VALUE"""),"Halo 2: Anniversary")</f>
        <v>Halo 2: Anniversary</v>
      </c>
      <c r="B699" s="13" t="str">
        <f>IFERROR(__xludf.DUMMYFUNCTION("""COMPUTED_VALUE"""),"Xbox / PC")</f>
        <v>Xbox / PC</v>
      </c>
      <c r="C699" s="14"/>
      <c r="D699" s="14" t="str">
        <f>IFERROR(__xludf.DUMMYFUNCTION("""COMPUTED_VALUE"""),"Active")</f>
        <v>Active</v>
      </c>
      <c r="E699" s="15">
        <f>IFERROR(__xludf.DUMMYFUNCTION("""COMPUTED_VALUE"""),43963.0)</f>
        <v>43963</v>
      </c>
      <c r="F699" s="16"/>
      <c r="G699" s="18">
        <f>IFERROR(__xludf.DUMMYFUNCTION("""COMPUTED_VALUE"""),76.80000000000001)</f>
        <v>76.8</v>
      </c>
      <c r="H699" s="15">
        <f>IFERROR(__xludf.DUMMYFUNCTION("""COMPUTED_VALUE"""),38300.0)</f>
        <v>38300</v>
      </c>
      <c r="I699" s="18">
        <f>IFERROR(__xludf.DUMMYFUNCTION("""COMPUTED_VALUE"""),15.508333333333333)</f>
        <v>15.50833333</v>
      </c>
      <c r="J699" s="22">
        <f>IFERROR(__xludf.DUMMYFUNCTION("""COMPUTED_VALUE"""),71.0)</f>
        <v>71</v>
      </c>
      <c r="K699" s="22">
        <f>IFERROR(__xludf.DUMMYFUNCTION("""COMPUTED_VALUE"""),8.0)</f>
        <v>8</v>
      </c>
      <c r="L699" s="26" t="str">
        <f>IFERROR(__xludf.DUMMYFUNCTION("""COMPUTED_VALUE"""),"Shooter")</f>
        <v>Shooter</v>
      </c>
      <c r="M699" s="13" t="b">
        <f>NOT(ISNA(VLOOKUP(A699,PC!A:A,1,FALSE)))</f>
        <v>1</v>
      </c>
      <c r="N699" s="13" t="b">
        <f>NOT(ISNA(VLOOKUP(A699,'Game Pass Premium'!A:A,1,FALSE)))</f>
        <v>1</v>
      </c>
      <c r="O699" s="13" t="b">
        <f>NOT(ISNA(VLOOKUP(A699,'Game Pass Essential'!A:A,1,FALSE)))</f>
        <v>0</v>
      </c>
    </row>
    <row r="700">
      <c r="A700" s="12" t="str">
        <f>IFERROR(__xludf.DUMMYFUNCTION("""COMPUTED_VALUE"""),"ScreamRide")</f>
        <v>ScreamRide</v>
      </c>
      <c r="B700" s="13" t="str">
        <f>IFERROR(__xludf.DUMMYFUNCTION("""COMPUTED_VALUE"""),"Xbox")</f>
        <v>Xbox</v>
      </c>
      <c r="C700" s="14"/>
      <c r="D700" s="14" t="str">
        <f>IFERROR(__xludf.DUMMYFUNCTION("""COMPUTED_VALUE"""),"Active")</f>
        <v>Active</v>
      </c>
      <c r="E700" s="15">
        <f>IFERROR(__xludf.DUMMYFUNCTION("""COMPUTED_VALUE"""),42887.0)</f>
        <v>42887</v>
      </c>
      <c r="F700" s="16"/>
      <c r="G700" s="18">
        <f>IFERROR(__xludf.DUMMYFUNCTION("""COMPUTED_VALUE"""),112.16666666666666)</f>
        <v>112.1666667</v>
      </c>
      <c r="H700" s="15">
        <f>IFERROR(__xludf.DUMMYFUNCTION("""COMPUTED_VALUE"""),42066.0)</f>
        <v>42066</v>
      </c>
      <c r="I700" s="18">
        <f>IFERROR(__xludf.DUMMYFUNCTION("""COMPUTED_VALUE"""),2.2444444444444445)</f>
        <v>2.244444444</v>
      </c>
      <c r="J700" s="22">
        <f>IFERROR(__xludf.DUMMYFUNCTION("""COMPUTED_VALUE"""),71.0)</f>
        <v>71</v>
      </c>
      <c r="K700" s="22">
        <f>IFERROR(__xludf.DUMMYFUNCTION("""COMPUTED_VALUE"""),6.0)</f>
        <v>6</v>
      </c>
      <c r="L700" s="26" t="str">
        <f>IFERROR(__xludf.DUMMYFUNCTION("""COMPUTED_VALUE"""),"Action")</f>
        <v>Action</v>
      </c>
      <c r="M700" s="13" t="b">
        <f>NOT(ISNA(VLOOKUP(A700,PC!A:A,1,FALSE)))</f>
        <v>0</v>
      </c>
      <c r="N700" s="13" t="b">
        <f>NOT(ISNA(VLOOKUP(A700,'Game Pass Premium'!A:A,1,FALSE)))</f>
        <v>1</v>
      </c>
      <c r="O700" s="13" t="b">
        <f>NOT(ISNA(VLOOKUP(A700,'Game Pass Essential'!A:A,1,FALSE)))</f>
        <v>0</v>
      </c>
    </row>
    <row r="701">
      <c r="A701" s="12" t="str">
        <f>IFERROR(__xludf.DUMMYFUNCTION("""COMPUTED_VALUE"""),"Thrillville")</f>
        <v>Thrillville</v>
      </c>
      <c r="B701" s="13" t="str">
        <f>IFERROR(__xludf.DUMMYFUNCTION("""COMPUTED_VALUE"""),"XB360/OG Xbox")</f>
        <v>XB360/OG Xbox</v>
      </c>
      <c r="C701" s="14"/>
      <c r="D701" s="14" t="str">
        <f>IFERROR(__xludf.DUMMYFUNCTION("""COMPUTED_VALUE"""),"GwG Permanent")</f>
        <v>GwG Permanent</v>
      </c>
      <c r="E701" s="15">
        <f>IFERROR(__xludf.DUMMYFUNCTION("""COMPUTED_VALUE"""),44805.0)</f>
        <v>44805</v>
      </c>
      <c r="F701" s="16">
        <f>IFERROR(__xludf.DUMMYFUNCTION("""COMPUTED_VALUE"""),44819.0)</f>
        <v>44819</v>
      </c>
      <c r="G701" s="18">
        <f>IFERROR(__xludf.DUMMYFUNCTION("""COMPUTED_VALUE"""),0.4666666666666667)</f>
        <v>0.4666666667</v>
      </c>
      <c r="H701" s="15">
        <f>IFERROR(__xludf.DUMMYFUNCTION("""COMPUTED_VALUE"""),39022.0)</f>
        <v>39022</v>
      </c>
      <c r="I701" s="18">
        <f>IFERROR(__xludf.DUMMYFUNCTION("""COMPUTED_VALUE"""),15.833333333333334)</f>
        <v>15.83333333</v>
      </c>
      <c r="J701" s="22">
        <f>IFERROR(__xludf.DUMMYFUNCTION("""COMPUTED_VALUE"""),71.0)</f>
        <v>71</v>
      </c>
      <c r="K701" s="22">
        <f>IFERROR(__xludf.DUMMYFUNCTION("""COMPUTED_VALUE"""),19.0)</f>
        <v>19</v>
      </c>
      <c r="L701" s="26" t="str">
        <f>IFERROR(__xludf.DUMMYFUNCTION("""COMPUTED_VALUE"""),"Simulation")</f>
        <v>Simulation</v>
      </c>
      <c r="M701" s="13" t="b">
        <f>NOT(ISNA(VLOOKUP(A701,PC!A:A,1,FALSE)))</f>
        <v>0</v>
      </c>
      <c r="N701" s="13" t="b">
        <f>NOT(ISNA(VLOOKUP(A701,'Game Pass Premium'!A:A,1,FALSE)))</f>
        <v>0</v>
      </c>
      <c r="O701" s="13" t="b">
        <f>NOT(ISNA(VLOOKUP(A701,'Game Pass Essential'!A:A,1,FALSE)))</f>
        <v>0</v>
      </c>
    </row>
    <row r="702">
      <c r="A702" s="12" t="str">
        <f>IFERROR(__xludf.DUMMYFUNCTION("""COMPUTED_VALUE"""),"Raskulls")</f>
        <v>Raskulls</v>
      </c>
      <c r="B702" s="13" t="str">
        <f>IFERROR(__xludf.DUMMYFUNCTION("""COMPUTED_VALUE"""),"XB360/OG Xbox")</f>
        <v>XB360/OG Xbox</v>
      </c>
      <c r="C702" s="14"/>
      <c r="D702" s="14" t="str">
        <f>IFERROR(__xludf.DUMMYFUNCTION("""COMPUTED_VALUE"""),"GwG Permanent")</f>
        <v>GwG Permanent</v>
      </c>
      <c r="E702" s="15">
        <f>IFERROR(__xludf.DUMMYFUNCTION("""COMPUTED_VALUE"""),44728.0)</f>
        <v>44728</v>
      </c>
      <c r="F702" s="16">
        <f>IFERROR(__xludf.DUMMYFUNCTION("""COMPUTED_VALUE"""),44742.0)</f>
        <v>44742</v>
      </c>
      <c r="G702" s="18">
        <f>IFERROR(__xludf.DUMMYFUNCTION("""COMPUTED_VALUE"""),0.4666666666666667)</f>
        <v>0.4666666667</v>
      </c>
      <c r="H702" s="15">
        <f>IFERROR(__xludf.DUMMYFUNCTION("""COMPUTED_VALUE"""),41499.0)</f>
        <v>41499</v>
      </c>
      <c r="I702" s="18">
        <f>IFERROR(__xludf.DUMMYFUNCTION("""COMPUTED_VALUE"""),8.841666666666667)</f>
        <v>8.841666667</v>
      </c>
      <c r="J702" s="22">
        <f>IFERROR(__xludf.DUMMYFUNCTION("""COMPUTED_VALUE"""),71.0)</f>
        <v>71</v>
      </c>
      <c r="K702" s="22">
        <f>IFERROR(__xludf.DUMMYFUNCTION("""COMPUTED_VALUE"""),6.0)</f>
        <v>6</v>
      </c>
      <c r="L702" s="26" t="str">
        <f>IFERROR(__xludf.DUMMYFUNCTION("""COMPUTED_VALUE"""),"Arcade")</f>
        <v>Arcade</v>
      </c>
      <c r="M702" s="13" t="b">
        <f>NOT(ISNA(VLOOKUP(A702,PC!A:A,1,FALSE)))</f>
        <v>0</v>
      </c>
      <c r="N702" s="13" t="b">
        <f>NOT(ISNA(VLOOKUP(A702,'Game Pass Premium'!A:A,1,FALSE)))</f>
        <v>0</v>
      </c>
      <c r="O702" s="13" t="b">
        <f>NOT(ISNA(VLOOKUP(A702,'Game Pass Essential'!A:A,1,FALSE)))</f>
        <v>0</v>
      </c>
    </row>
    <row r="703">
      <c r="A703" s="12" t="str">
        <f>IFERROR(__xludf.DUMMYFUNCTION("""COMPUTED_VALUE"""),"Lego Batman 2 DC Super Heroes")</f>
        <v>Lego Batman 2 DC Super Heroes</v>
      </c>
      <c r="B703" s="13" t="str">
        <f>IFERROR(__xludf.DUMMYFUNCTION("""COMPUTED_VALUE"""),"XB360/OG Xbox")</f>
        <v>XB360/OG Xbox</v>
      </c>
      <c r="C703" s="14"/>
      <c r="D703" s="14" t="str">
        <f>IFERROR(__xludf.DUMMYFUNCTION("""COMPUTED_VALUE"""),"GwG Permanent")</f>
        <v>GwG Permanent</v>
      </c>
      <c r="E703" s="15">
        <f>IFERROR(__xludf.DUMMYFUNCTION("""COMPUTED_VALUE"""),44516.0)</f>
        <v>44516</v>
      </c>
      <c r="F703" s="16">
        <f>IFERROR(__xludf.DUMMYFUNCTION("""COMPUTED_VALUE"""),44530.0)</f>
        <v>44530</v>
      </c>
      <c r="G703" s="18">
        <f>IFERROR(__xludf.DUMMYFUNCTION("""COMPUTED_VALUE"""),0.4666666666666667)</f>
        <v>0.4666666667</v>
      </c>
      <c r="H703" s="15">
        <f>IFERROR(__xludf.DUMMYFUNCTION("""COMPUTED_VALUE"""),41079.0)</f>
        <v>41079</v>
      </c>
      <c r="I703" s="18">
        <f>IFERROR(__xludf.DUMMYFUNCTION("""COMPUTED_VALUE"""),9.408333333333333)</f>
        <v>9.408333333</v>
      </c>
      <c r="J703" s="22">
        <f>IFERROR(__xludf.DUMMYFUNCTION("""COMPUTED_VALUE"""),71.0)</f>
        <v>71</v>
      </c>
      <c r="K703" s="22">
        <f>IFERROR(__xludf.DUMMYFUNCTION("""COMPUTED_VALUE"""),8.0)</f>
        <v>8</v>
      </c>
      <c r="L703" s="26" t="str">
        <f>IFERROR(__xludf.DUMMYFUNCTION("""COMPUTED_VALUE"""),"Action-Adventure")</f>
        <v>Action-Adventure</v>
      </c>
      <c r="M703" s="13" t="b">
        <f>NOT(ISNA(VLOOKUP(A703,PC!A:A,1,FALSE)))</f>
        <v>0</v>
      </c>
      <c r="N703" s="13" t="b">
        <f>NOT(ISNA(VLOOKUP(A703,'Game Pass Premium'!A:A,1,FALSE)))</f>
        <v>0</v>
      </c>
      <c r="O703" s="13" t="b">
        <f>NOT(ISNA(VLOOKUP(A703,'Game Pass Essential'!A:A,1,FALSE)))</f>
        <v>0</v>
      </c>
    </row>
    <row r="704">
      <c r="A704" s="12" t="str">
        <f>IFERROR(__xludf.DUMMYFUNCTION("""COMPUTED_VALUE"""),"Red Faction: Armageddon")</f>
        <v>Red Faction: Armageddon</v>
      </c>
      <c r="B704" s="13" t="str">
        <f>IFERROR(__xludf.DUMMYFUNCTION("""COMPUTED_VALUE"""),"XB360/OG Xbox")</f>
        <v>XB360/OG Xbox</v>
      </c>
      <c r="C704" s="14"/>
      <c r="D704" s="14" t="str">
        <f>IFERROR(__xludf.DUMMYFUNCTION("""COMPUTED_VALUE"""),"GwG Permanent")</f>
        <v>GwG Permanent</v>
      </c>
      <c r="E704" s="15">
        <f>IFERROR(__xludf.DUMMYFUNCTION("""COMPUTED_VALUE"""),42963.0)</f>
        <v>42963</v>
      </c>
      <c r="F704" s="16">
        <f>IFERROR(__xludf.DUMMYFUNCTION("""COMPUTED_VALUE"""),42978.0)</f>
        <v>42978</v>
      </c>
      <c r="G704" s="18">
        <f>IFERROR(__xludf.DUMMYFUNCTION("""COMPUTED_VALUE"""),0.4666666666666667)</f>
        <v>0.4666666667</v>
      </c>
      <c r="H704" s="15">
        <f>IFERROR(__xludf.DUMMYFUNCTION("""COMPUTED_VALUE"""),40701.0)</f>
        <v>40701</v>
      </c>
      <c r="I704" s="18">
        <f>IFERROR(__xludf.DUMMYFUNCTION("""COMPUTED_VALUE"""),6.191666666666666)</f>
        <v>6.191666667</v>
      </c>
      <c r="J704" s="22">
        <f>IFERROR(__xludf.DUMMYFUNCTION("""COMPUTED_VALUE"""),71.0)</f>
        <v>71</v>
      </c>
      <c r="K704" s="22">
        <f>IFERROR(__xludf.DUMMYFUNCTION("""COMPUTED_VALUE"""),7.0)</f>
        <v>7</v>
      </c>
      <c r="L704" s="26" t="str">
        <f>IFERROR(__xludf.DUMMYFUNCTION("""COMPUTED_VALUE"""),"Shooter")</f>
        <v>Shooter</v>
      </c>
      <c r="M704" s="13" t="b">
        <f>NOT(ISNA(VLOOKUP(A704,PC!A:A,1,FALSE)))</f>
        <v>0</v>
      </c>
      <c r="N704" s="13" t="b">
        <f>NOT(ISNA(VLOOKUP(A704,'Game Pass Premium'!A:A,1,FALSE)))</f>
        <v>0</v>
      </c>
      <c r="O704" s="13" t="b">
        <f>NOT(ISNA(VLOOKUP(A704,'Game Pass Essential'!A:A,1,FALSE)))</f>
        <v>0</v>
      </c>
    </row>
    <row r="705">
      <c r="A705" s="12" t="str">
        <f>IFERROR(__xludf.DUMMYFUNCTION("""COMPUTED_VALUE"""),"Dungeon Siege III")</f>
        <v>Dungeon Siege III</v>
      </c>
      <c r="B705" s="13" t="str">
        <f>IFERROR(__xludf.DUMMYFUNCTION("""COMPUTED_VALUE"""),"XB360/OG Xbox")</f>
        <v>XB360/OG Xbox</v>
      </c>
      <c r="C705" s="14"/>
      <c r="D705" s="14" t="str">
        <f>IFERROR(__xludf.DUMMYFUNCTION("""COMPUTED_VALUE"""),"GwG Permanent")</f>
        <v>GwG Permanent</v>
      </c>
      <c r="E705" s="15">
        <f>IFERROR(__xludf.DUMMYFUNCTION("""COMPUTED_VALUE"""),42324.0)</f>
        <v>42324</v>
      </c>
      <c r="F705" s="16">
        <f>IFERROR(__xludf.DUMMYFUNCTION("""COMPUTED_VALUE"""),42338.0)</f>
        <v>42338</v>
      </c>
      <c r="G705" s="18">
        <f>IFERROR(__xludf.DUMMYFUNCTION("""COMPUTED_VALUE"""),0.4666666666666667)</f>
        <v>0.4666666667</v>
      </c>
      <c r="H705" s="15">
        <f>IFERROR(__xludf.DUMMYFUNCTION("""COMPUTED_VALUE"""),40722.0)</f>
        <v>40722</v>
      </c>
      <c r="I705" s="18">
        <f>IFERROR(__xludf.DUMMYFUNCTION("""COMPUTED_VALUE"""),4.383333333333334)</f>
        <v>4.383333333</v>
      </c>
      <c r="J705" s="22">
        <f>IFERROR(__xludf.DUMMYFUNCTION("""COMPUTED_VALUE"""),71.0)</f>
        <v>71</v>
      </c>
      <c r="K705" s="22">
        <f>IFERROR(__xludf.DUMMYFUNCTION("""COMPUTED_VALUE"""),18.0)</f>
        <v>18</v>
      </c>
      <c r="L705" s="26" t="str">
        <f>IFERROR(__xludf.DUMMYFUNCTION("""COMPUTED_VALUE"""),"Action-Adventure")</f>
        <v>Action-Adventure</v>
      </c>
      <c r="M705" s="13" t="b">
        <f>NOT(ISNA(VLOOKUP(A705,PC!A:A,1,FALSE)))</f>
        <v>0</v>
      </c>
      <c r="N705" s="13" t="b">
        <f>NOT(ISNA(VLOOKUP(A705,'Game Pass Premium'!A:A,1,FALSE)))</f>
        <v>0</v>
      </c>
      <c r="O705" s="13" t="b">
        <f>NOT(ISNA(VLOOKUP(A705,'Game Pass Essential'!A:A,1,FALSE)))</f>
        <v>0</v>
      </c>
    </row>
    <row r="706">
      <c r="A706" s="12" t="str">
        <f>IFERROR(__xludf.DUMMYFUNCTION("""COMPUTED_VALUE"""),"Dead Island")</f>
        <v>Dead Island</v>
      </c>
      <c r="B706" s="13" t="str">
        <f>IFERROR(__xludf.DUMMYFUNCTION("""COMPUTED_VALUE"""),"XB360/OG Xbox")</f>
        <v>XB360/OG Xbox</v>
      </c>
      <c r="C706" s="14"/>
      <c r="D706" s="14" t="str">
        <f>IFERROR(__xludf.DUMMYFUNCTION("""COMPUTED_VALUE"""),"GwG Permanent")</f>
        <v>GwG Permanent</v>
      </c>
      <c r="E706" s="15">
        <f>IFERROR(__xludf.DUMMYFUNCTION("""COMPUTED_VALUE"""),41671.0)</f>
        <v>41671</v>
      </c>
      <c r="F706" s="16">
        <f>IFERROR(__xludf.DUMMYFUNCTION("""COMPUTED_VALUE"""),41685.0)</f>
        <v>41685</v>
      </c>
      <c r="G706" s="18">
        <f>IFERROR(__xludf.DUMMYFUNCTION("""COMPUTED_VALUE"""),0.4666666666666667)</f>
        <v>0.4666666667</v>
      </c>
      <c r="H706" s="15">
        <f>IFERROR(__xludf.DUMMYFUNCTION("""COMPUTED_VALUE"""),40792.0)</f>
        <v>40792</v>
      </c>
      <c r="I706" s="18">
        <f>IFERROR(__xludf.DUMMYFUNCTION("""COMPUTED_VALUE"""),2.4027777777777777)</f>
        <v>2.402777778</v>
      </c>
      <c r="J706" s="22">
        <f>IFERROR(__xludf.DUMMYFUNCTION("""COMPUTED_VALUE"""),71.0)</f>
        <v>71</v>
      </c>
      <c r="K706" s="22">
        <f>IFERROR(__xludf.DUMMYFUNCTION("""COMPUTED_VALUE"""),15.0)</f>
        <v>15</v>
      </c>
      <c r="L706" s="26" t="str">
        <f>IFERROR(__xludf.DUMMYFUNCTION("""COMPUTED_VALUE"""),"Action-Adventure")</f>
        <v>Action-Adventure</v>
      </c>
      <c r="M706" s="13" t="b">
        <f>NOT(ISNA(VLOOKUP(A706,PC!A:A,1,FALSE)))</f>
        <v>0</v>
      </c>
      <c r="N706" s="13" t="b">
        <f>NOT(ISNA(VLOOKUP(A706,'Game Pass Premium'!A:A,1,FALSE)))</f>
        <v>0</v>
      </c>
      <c r="O706" s="13" t="b">
        <f>NOT(ISNA(VLOOKUP(A706,'Game Pass Essential'!A:A,1,FALSE)))</f>
        <v>0</v>
      </c>
    </row>
    <row r="707">
      <c r="A707" s="12" t="str">
        <f>IFERROR(__xludf.DUMMYFUNCTION("""COMPUTED_VALUE"""),"Fable III")</f>
        <v>Fable III</v>
      </c>
      <c r="B707" s="13" t="str">
        <f>IFERROR(__xludf.DUMMYFUNCTION("""COMPUTED_VALUE"""),"XB360/OG Xbox")</f>
        <v>XB360/OG Xbox</v>
      </c>
      <c r="C707" s="14"/>
      <c r="D707" s="14" t="str">
        <f>IFERROR(__xludf.DUMMYFUNCTION("""COMPUTED_VALUE"""),"GwG Permanent")</f>
        <v>GwG Permanent</v>
      </c>
      <c r="E707" s="15">
        <f>IFERROR(__xludf.DUMMYFUNCTION("""COMPUTED_VALUE"""),41435.0)</f>
        <v>41435</v>
      </c>
      <c r="F707" s="16">
        <f>IFERROR(__xludf.DUMMYFUNCTION("""COMPUTED_VALUE"""),41455.0)</f>
        <v>41455</v>
      </c>
      <c r="G707" s="18">
        <f>IFERROR(__xludf.DUMMYFUNCTION("""COMPUTED_VALUE"""),0.6666666666666666)</f>
        <v>0.6666666667</v>
      </c>
      <c r="H707" s="15">
        <f>IFERROR(__xludf.DUMMYFUNCTION("""COMPUTED_VALUE"""),40477.0)</f>
        <v>40477</v>
      </c>
      <c r="I707" s="18">
        <f>IFERROR(__xludf.DUMMYFUNCTION("""COMPUTED_VALUE"""),2.6222222222222222)</f>
        <v>2.622222222</v>
      </c>
      <c r="J707" s="22">
        <f>IFERROR(__xludf.DUMMYFUNCTION("""COMPUTED_VALUE"""),71.0)</f>
        <v>71</v>
      </c>
      <c r="K707" s="22">
        <f>IFERROR(__xludf.DUMMYFUNCTION("""COMPUTED_VALUE"""),20.0)</f>
        <v>20</v>
      </c>
      <c r="L707" s="26" t="str">
        <f>IFERROR(__xludf.DUMMYFUNCTION("""COMPUTED_VALUE"""),"Action-Adventure")</f>
        <v>Action-Adventure</v>
      </c>
      <c r="M707" s="13" t="b">
        <f>NOT(ISNA(VLOOKUP(A707,PC!A:A,1,FALSE)))</f>
        <v>0</v>
      </c>
      <c r="N707" s="13" t="b">
        <f>NOT(ISNA(VLOOKUP(A707,'Game Pass Premium'!A:A,1,FALSE)))</f>
        <v>1</v>
      </c>
      <c r="O707" s="13" t="b">
        <f>NOT(ISNA(VLOOKUP(A707,'Game Pass Essential'!A:A,1,FALSE)))</f>
        <v>0</v>
      </c>
    </row>
    <row r="708">
      <c r="A708" s="12" t="str">
        <f>IFERROR(__xludf.DUMMYFUNCTION("""COMPUTED_VALUE"""),"Mistfall Hunter")</f>
        <v>Mistfall Hunter</v>
      </c>
      <c r="B708" s="13" t="str">
        <f>IFERROR(__xludf.DUMMYFUNCTION("""COMPUTED_VALUE"""),"Xbox / PC")</f>
        <v>Xbox / PC</v>
      </c>
      <c r="C708" s="14" t="str">
        <f>IFERROR(__xludf.DUMMYFUNCTION("""COMPUTED_VALUE"""),"Yes")</f>
        <v>Yes</v>
      </c>
      <c r="D708" s="14" t="str">
        <f>IFERROR(__xludf.DUMMYFUNCTION("""COMPUTED_VALUE"""),"Active")</f>
        <v>Active</v>
      </c>
      <c r="E708" s="15">
        <f>IFERROR(__xludf.DUMMYFUNCTION("""COMPUTED_VALUE"""),46233.0)</f>
        <v>46233</v>
      </c>
      <c r="F708" s="16"/>
      <c r="G708" s="18">
        <f>IFERROR(__xludf.DUMMYFUNCTION("""COMPUTED_VALUE"""),2.1999999999999997)</f>
        <v>2.2</v>
      </c>
      <c r="H708" s="15">
        <f>IFERROR(__xludf.DUMMYFUNCTION("""COMPUTED_VALUE"""),46233.0)</f>
        <v>46233</v>
      </c>
      <c r="I708" s="18">
        <f>IFERROR(__xludf.DUMMYFUNCTION("""COMPUTED_VALUE"""),0.0)</f>
        <v>0</v>
      </c>
      <c r="J708" s="22">
        <f>IFERROR(__xludf.DUMMYFUNCTION("""COMPUTED_VALUE"""),70.0)</f>
        <v>70</v>
      </c>
      <c r="K708" s="22"/>
      <c r="L708" s="26" t="str">
        <f>IFERROR(__xludf.DUMMYFUNCTION("""COMPUTED_VALUE"""),"RPG")</f>
        <v>RPG</v>
      </c>
      <c r="M708" s="13" t="b">
        <f>NOT(ISNA(VLOOKUP(A708,PC!A:A,1,FALSE)))</f>
        <v>1</v>
      </c>
      <c r="N708" s="13" t="b">
        <f>NOT(ISNA(VLOOKUP(A708,'Game Pass Premium'!A:A,1,FALSE)))</f>
        <v>0</v>
      </c>
      <c r="O708" s="13" t="b">
        <f>NOT(ISNA(VLOOKUP(A708,'Game Pass Essential'!A:A,1,FALSE)))</f>
        <v>0</v>
      </c>
    </row>
    <row r="709">
      <c r="A709" s="12" t="str">
        <f>IFERROR(__xludf.DUMMYFUNCTION("""COMPUTED_VALUE"""),"PBA Pro Bowling 2026")</f>
        <v>PBA Pro Bowling 2026</v>
      </c>
      <c r="B709" s="13" t="str">
        <f>IFERROR(__xludf.DUMMYFUNCTION("""COMPUTED_VALUE"""),"Xbox / PC")</f>
        <v>Xbox / PC</v>
      </c>
      <c r="C709" s="14" t="str">
        <f>IFERROR(__xludf.DUMMYFUNCTION("""COMPUTED_VALUE"""),"Yes")</f>
        <v>Yes</v>
      </c>
      <c r="D709" s="14" t="str">
        <f>IFERROR(__xludf.DUMMYFUNCTION("""COMPUTED_VALUE"""),"Active")</f>
        <v>Active</v>
      </c>
      <c r="E709" s="15">
        <f>IFERROR(__xludf.DUMMYFUNCTION("""COMPUTED_VALUE"""),46217.0)</f>
        <v>46217</v>
      </c>
      <c r="F709" s="16"/>
      <c r="G709" s="18">
        <f>IFERROR(__xludf.DUMMYFUNCTION("""COMPUTED_VALUE"""),2.7333333333333334)</f>
        <v>2.733333333</v>
      </c>
      <c r="H709" s="15">
        <f>IFERROR(__xludf.DUMMYFUNCTION("""COMPUTED_VALUE"""),46217.0)</f>
        <v>46217</v>
      </c>
      <c r="I709" s="18">
        <f>IFERROR(__xludf.DUMMYFUNCTION("""COMPUTED_VALUE"""),0.0)</f>
        <v>0</v>
      </c>
      <c r="J709" s="22">
        <f>IFERROR(__xludf.DUMMYFUNCTION("""COMPUTED_VALUE"""),70.0)</f>
        <v>70</v>
      </c>
      <c r="K709" s="22">
        <f>IFERROR(__xludf.DUMMYFUNCTION("""COMPUTED_VALUE"""),5.0)</f>
        <v>5</v>
      </c>
      <c r="L709" s="26" t="str">
        <f>IFERROR(__xludf.DUMMYFUNCTION("""COMPUTED_VALUE"""),"Sports")</f>
        <v>Sports</v>
      </c>
      <c r="M709" s="13" t="b">
        <f>NOT(ISNA(VLOOKUP(A709,PC!A:A,1,FALSE)))</f>
        <v>1</v>
      </c>
      <c r="N709" s="13" t="b">
        <f>NOT(ISNA(VLOOKUP(A709,'Game Pass Premium'!A:A,1,FALSE)))</f>
        <v>1</v>
      </c>
      <c r="O709" s="13" t="b">
        <f>NOT(ISNA(VLOOKUP(A709,'Game Pass Essential'!A:A,1,FALSE)))</f>
        <v>0</v>
      </c>
    </row>
    <row r="710">
      <c r="A710" s="12" t="str">
        <f>IFERROR(__xludf.DUMMYFUNCTION("""COMPUTED_VALUE"""),"Frog Sqwad")</f>
        <v>Frog Sqwad</v>
      </c>
      <c r="B710" s="13" t="str">
        <f>IFERROR(__xludf.DUMMYFUNCTION("""COMPUTED_VALUE"""),"Xbox / PC")</f>
        <v>Xbox / PC</v>
      </c>
      <c r="C710" s="14" t="str">
        <f>IFERROR(__xludf.DUMMYFUNCTION("""COMPUTED_VALUE"""),"Yes")</f>
        <v>Yes</v>
      </c>
      <c r="D710" s="14" t="str">
        <f>IFERROR(__xludf.DUMMYFUNCTION("""COMPUTED_VALUE"""),"Active")</f>
        <v>Active</v>
      </c>
      <c r="E710" s="15">
        <f>IFERROR(__xludf.DUMMYFUNCTION("""COMPUTED_VALUE"""),46184.0)</f>
        <v>46184</v>
      </c>
      <c r="F710" s="16"/>
      <c r="G710" s="18">
        <f>IFERROR(__xludf.DUMMYFUNCTION("""COMPUTED_VALUE"""),3.833333333333333)</f>
        <v>3.833333333</v>
      </c>
      <c r="H710" s="15">
        <f>IFERROR(__xludf.DUMMYFUNCTION("""COMPUTED_VALUE"""),46184.0)</f>
        <v>46184</v>
      </c>
      <c r="I710" s="18">
        <f>IFERROR(__xludf.DUMMYFUNCTION("""COMPUTED_VALUE"""),0.0)</f>
        <v>0</v>
      </c>
      <c r="J710" s="22">
        <f>IFERROR(__xludf.DUMMYFUNCTION("""COMPUTED_VALUE"""),70.0)</f>
        <v>70</v>
      </c>
      <c r="K710" s="22">
        <f>IFERROR(__xludf.DUMMYFUNCTION("""COMPUTED_VALUE"""),1.0)</f>
        <v>1</v>
      </c>
      <c r="L710" s="26" t="str">
        <f>IFERROR(__xludf.DUMMYFUNCTION("""COMPUTED_VALUE"""),"Puzzle")</f>
        <v>Puzzle</v>
      </c>
      <c r="M710" s="13" t="b">
        <f>NOT(ISNA(VLOOKUP(A710,PC!A:A,1,FALSE)))</f>
        <v>1</v>
      </c>
      <c r="N710" s="13" t="b">
        <f>NOT(ISNA(VLOOKUP(A710,'Game Pass Premium'!A:A,1,FALSE)))</f>
        <v>0</v>
      </c>
      <c r="O710" s="13" t="b">
        <f>NOT(ISNA(VLOOKUP(A710,'Game Pass Essential'!A:A,1,FALSE)))</f>
        <v>0</v>
      </c>
    </row>
    <row r="711">
      <c r="A711" s="12" t="str">
        <f>IFERROR(__xludf.DUMMYFUNCTION("""COMPUTED_VALUE"""),"Echo Generation 2")</f>
        <v>Echo Generation 2</v>
      </c>
      <c r="B711" s="13" t="str">
        <f>IFERROR(__xludf.DUMMYFUNCTION("""COMPUTED_VALUE"""),"Xbox / PC")</f>
        <v>Xbox / PC</v>
      </c>
      <c r="C711" s="14" t="str">
        <f>IFERROR(__xludf.DUMMYFUNCTION("""COMPUTED_VALUE"""),"Yes")</f>
        <v>Yes</v>
      </c>
      <c r="D711" s="14" t="str">
        <f>IFERROR(__xludf.DUMMYFUNCTION("""COMPUTED_VALUE"""),"Active")</f>
        <v>Active</v>
      </c>
      <c r="E711" s="15">
        <f>IFERROR(__xludf.DUMMYFUNCTION("""COMPUTED_VALUE"""),46169.0)</f>
        <v>46169</v>
      </c>
      <c r="F711" s="16"/>
      <c r="G711" s="18">
        <f>IFERROR(__xludf.DUMMYFUNCTION("""COMPUTED_VALUE"""),4.3)</f>
        <v>4.3</v>
      </c>
      <c r="H711" s="15">
        <f>IFERROR(__xludf.DUMMYFUNCTION("""COMPUTED_VALUE"""),46169.0)</f>
        <v>46169</v>
      </c>
      <c r="I711" s="18">
        <f>IFERROR(__xludf.DUMMYFUNCTION("""COMPUTED_VALUE"""),0.0)</f>
        <v>0</v>
      </c>
      <c r="J711" s="22">
        <f>IFERROR(__xludf.DUMMYFUNCTION("""COMPUTED_VALUE"""),70.0)</f>
        <v>70</v>
      </c>
      <c r="K711" s="22">
        <f>IFERROR(__xludf.DUMMYFUNCTION("""COMPUTED_VALUE"""),9.0)</f>
        <v>9</v>
      </c>
      <c r="L711" s="26" t="str">
        <f>IFERROR(__xludf.DUMMYFUNCTION("""COMPUTED_VALUE"""),"RPG")</f>
        <v>RPG</v>
      </c>
      <c r="M711" s="13" t="b">
        <f>NOT(ISNA(VLOOKUP(A711,PC!A:A,1,FALSE)))</f>
        <v>1</v>
      </c>
      <c r="N711" s="13" t="b">
        <f>NOT(ISNA(VLOOKUP(A711,'Game Pass Premium'!A:A,1,FALSE)))</f>
        <v>0</v>
      </c>
      <c r="O711" s="13" t="b">
        <f>NOT(ISNA(VLOOKUP(A711,'Game Pass Essential'!A:A,1,FALSE)))</f>
        <v>0</v>
      </c>
    </row>
    <row r="712">
      <c r="A712" s="12" t="str">
        <f>IFERROR(__xludf.DUMMYFUNCTION("""COMPUTED_VALUE"""),"Ben 10: Power Trip")</f>
        <v>Ben 10: Power Trip</v>
      </c>
      <c r="B712" s="13" t="str">
        <f>IFERROR(__xludf.DUMMYFUNCTION("""COMPUTED_VALUE"""),"Xbox / PC")</f>
        <v>Xbox / PC</v>
      </c>
      <c r="C712" s="14" t="str">
        <f>IFERROR(__xludf.DUMMYFUNCTION("""COMPUTED_VALUE"""),"Touch Controls")</f>
        <v>Touch Controls</v>
      </c>
      <c r="D712" s="14" t="str">
        <f>IFERROR(__xludf.DUMMYFUNCTION("""COMPUTED_VALUE"""),"Active")</f>
        <v>Active</v>
      </c>
      <c r="E712" s="15">
        <f>IFERROR(__xludf.DUMMYFUNCTION("""COMPUTED_VALUE"""),46148.0)</f>
        <v>46148</v>
      </c>
      <c r="F712" s="16"/>
      <c r="G712" s="18">
        <f>IFERROR(__xludf.DUMMYFUNCTION("""COMPUTED_VALUE"""),5.0)</f>
        <v>5</v>
      </c>
      <c r="H712" s="15">
        <f>IFERROR(__xludf.DUMMYFUNCTION("""COMPUTED_VALUE"""),44113.0)</f>
        <v>44113</v>
      </c>
      <c r="I712" s="18">
        <f>IFERROR(__xludf.DUMMYFUNCTION("""COMPUTED_VALUE"""),5.575)</f>
        <v>5.575</v>
      </c>
      <c r="J712" s="22">
        <f>IFERROR(__xludf.DUMMYFUNCTION("""COMPUTED_VALUE"""),70.0)</f>
        <v>70</v>
      </c>
      <c r="K712" s="22">
        <f>IFERROR(__xludf.DUMMYFUNCTION("""COMPUTED_VALUE"""),5.0)</f>
        <v>5</v>
      </c>
      <c r="L712" s="26" t="str">
        <f>IFERROR(__xludf.DUMMYFUNCTION("""COMPUTED_VALUE"""),"Action-Adventure")</f>
        <v>Action-Adventure</v>
      </c>
      <c r="M712" s="13" t="b">
        <f>NOT(ISNA(VLOOKUP(A712,PC!A:A,1,FALSE)))</f>
        <v>1</v>
      </c>
      <c r="N712" s="13" t="b">
        <f>NOT(ISNA(VLOOKUP(A712,'Game Pass Premium'!A:A,1,FALSE)))</f>
        <v>1</v>
      </c>
      <c r="O712" s="13" t="b">
        <f>NOT(ISNA(VLOOKUP(A712,'Game Pass Essential'!A:A,1,FALSE)))</f>
        <v>0</v>
      </c>
    </row>
    <row r="713">
      <c r="A713" s="12" t="str">
        <f>IFERROR(__xludf.DUMMYFUNCTION("""COMPUTED_VALUE"""),"Kill It With Fire! 2")</f>
        <v>Kill It With Fire! 2</v>
      </c>
      <c r="B713" s="13" t="str">
        <f>IFERROR(__xludf.DUMMYFUNCTION("""COMPUTED_VALUE"""),"Xbox / PC")</f>
        <v>Xbox / PC</v>
      </c>
      <c r="C713" s="14" t="str">
        <f>IFERROR(__xludf.DUMMYFUNCTION("""COMPUTED_VALUE"""),"Yes")</f>
        <v>Yes</v>
      </c>
      <c r="D713" s="14" t="str">
        <f>IFERROR(__xludf.DUMMYFUNCTION("""COMPUTED_VALUE"""),"Active")</f>
        <v>Active</v>
      </c>
      <c r="E713" s="15">
        <f>IFERROR(__xludf.DUMMYFUNCTION("""COMPUTED_VALUE"""),45986.0)</f>
        <v>45986</v>
      </c>
      <c r="F713" s="16"/>
      <c r="G713" s="18">
        <f>IFERROR(__xludf.DUMMYFUNCTION("""COMPUTED_VALUE"""),10.366666666666667)</f>
        <v>10.36666667</v>
      </c>
      <c r="H713" s="15">
        <f>IFERROR(__xludf.DUMMYFUNCTION("""COMPUTED_VALUE"""),45986.0)</f>
        <v>45986</v>
      </c>
      <c r="I713" s="18">
        <f>IFERROR(__xludf.DUMMYFUNCTION("""COMPUTED_VALUE"""),0.0)</f>
        <v>0</v>
      </c>
      <c r="J713" s="22">
        <f>IFERROR(__xludf.DUMMYFUNCTION("""COMPUTED_VALUE"""),70.0)</f>
        <v>70</v>
      </c>
      <c r="K713" s="22">
        <f>IFERROR(__xludf.DUMMYFUNCTION("""COMPUTED_VALUE"""),8.0)</f>
        <v>8</v>
      </c>
      <c r="L713" s="26" t="str">
        <f>IFERROR(__xludf.DUMMYFUNCTION("""COMPUTED_VALUE"""),"Shooter")</f>
        <v>Shooter</v>
      </c>
      <c r="M713" s="13" t="b">
        <f>NOT(ISNA(VLOOKUP(A713,PC!A:A,1,FALSE)))</f>
        <v>1</v>
      </c>
      <c r="N713" s="13" t="b">
        <f>NOT(ISNA(VLOOKUP(A713,'Game Pass Premium'!A:A,1,FALSE)))</f>
        <v>1</v>
      </c>
      <c r="O713" s="13" t="b">
        <f>NOT(ISNA(VLOOKUP(A713,'Game Pass Essential'!A:A,1,FALSE)))</f>
        <v>0</v>
      </c>
    </row>
    <row r="714">
      <c r="A714" s="12" t="str">
        <f>IFERROR(__xludf.DUMMYFUNCTION("""COMPUTED_VALUE"""),"Boxing")</f>
        <v>Boxing</v>
      </c>
      <c r="B714" s="13" t="str">
        <f>IFERROR(__xludf.DUMMYFUNCTION("""COMPUTED_VALUE"""),"Xbox / PC")</f>
        <v>Xbox / PC</v>
      </c>
      <c r="C714" s="14" t="str">
        <f>IFERROR(__xludf.DUMMYFUNCTION("""COMPUTED_VALUE"""),"Yes")</f>
        <v>Yes</v>
      </c>
      <c r="D714" s="14" t="str">
        <f>IFERROR(__xludf.DUMMYFUNCTION("""COMPUTED_VALUE"""),"Active")</f>
        <v>Active</v>
      </c>
      <c r="E714" s="15">
        <f>IFERROR(__xludf.DUMMYFUNCTION("""COMPUTED_VALUE"""),45798.0)</f>
        <v>45798</v>
      </c>
      <c r="F714" s="16"/>
      <c r="G714" s="18">
        <f>IFERROR(__xludf.DUMMYFUNCTION("""COMPUTED_VALUE"""),16.5)</f>
        <v>16.5</v>
      </c>
      <c r="H714" s="15">
        <f>IFERROR(__xludf.DUMMYFUNCTION("""COMPUTED_VALUE"""),29403.0)</f>
        <v>29403</v>
      </c>
      <c r="I714" s="18">
        <f>IFERROR(__xludf.DUMMYFUNCTION("""COMPUTED_VALUE"""),44.888888888888886)</f>
        <v>44.88888889</v>
      </c>
      <c r="J714" s="22">
        <f>IFERROR(__xludf.DUMMYFUNCTION("""COMPUTED_VALUE"""),70.0)</f>
        <v>70</v>
      </c>
      <c r="K714" s="22"/>
      <c r="L714" s="26" t="str">
        <f>IFERROR(__xludf.DUMMYFUNCTION("""COMPUTED_VALUE"""),"Sports")</f>
        <v>Sports</v>
      </c>
      <c r="M714" s="13" t="b">
        <f>NOT(ISNA(VLOOKUP(A714,PC!A:A,1,FALSE)))</f>
        <v>1</v>
      </c>
      <c r="N714" s="13" t="b">
        <f>NOT(ISNA(VLOOKUP(A714,'Game Pass Premium'!A:A,1,FALSE)))</f>
        <v>1</v>
      </c>
      <c r="O714" s="13" t="b">
        <f>NOT(ISNA(VLOOKUP(A714,'Game Pass Essential'!A:A,1,FALSE)))</f>
        <v>0</v>
      </c>
    </row>
    <row r="715">
      <c r="A715" s="12" t="str">
        <f>IFERROR(__xludf.DUMMYFUNCTION("""COMPUTED_VALUE"""),"Riddle of the Sphinx")</f>
        <v>Riddle of the Sphinx</v>
      </c>
      <c r="B715" s="13" t="str">
        <f>IFERROR(__xludf.DUMMYFUNCTION("""COMPUTED_VALUE"""),"Xbox / PC")</f>
        <v>Xbox / PC</v>
      </c>
      <c r="C715" s="14" t="str">
        <f>IFERROR(__xludf.DUMMYFUNCTION("""COMPUTED_VALUE"""),"Yes")</f>
        <v>Yes</v>
      </c>
      <c r="D715" s="14" t="str">
        <f>IFERROR(__xludf.DUMMYFUNCTION("""COMPUTED_VALUE"""),"Active")</f>
        <v>Active</v>
      </c>
      <c r="E715" s="15">
        <f>IFERROR(__xludf.DUMMYFUNCTION("""COMPUTED_VALUE"""),45798.0)</f>
        <v>45798</v>
      </c>
      <c r="F715" s="16"/>
      <c r="G715" s="18">
        <f>IFERROR(__xludf.DUMMYFUNCTION("""COMPUTED_VALUE"""),16.5)</f>
        <v>16.5</v>
      </c>
      <c r="H715" s="15">
        <f>IFERROR(__xludf.DUMMYFUNCTION("""COMPUTED_VALUE"""),30195.0)</f>
        <v>30195</v>
      </c>
      <c r="I715" s="18">
        <f>IFERROR(__xludf.DUMMYFUNCTION("""COMPUTED_VALUE"""),42.72222222222222)</f>
        <v>42.72222222</v>
      </c>
      <c r="J715" s="22">
        <f>IFERROR(__xludf.DUMMYFUNCTION("""COMPUTED_VALUE"""),70.0)</f>
        <v>70</v>
      </c>
      <c r="K715" s="22"/>
      <c r="L715" s="26" t="str">
        <f>IFERROR(__xludf.DUMMYFUNCTION("""COMPUTED_VALUE"""),"Action‑Adventure")</f>
        <v>Action‑Adventure</v>
      </c>
      <c r="M715" s="13" t="b">
        <f>NOT(ISNA(VLOOKUP(A715,PC!A:A,1,FALSE)))</f>
        <v>1</v>
      </c>
      <c r="N715" s="13" t="b">
        <f>NOT(ISNA(VLOOKUP(A715,'Game Pass Premium'!A:A,1,FALSE)))</f>
        <v>1</v>
      </c>
      <c r="O715" s="13" t="b">
        <f>NOT(ISNA(VLOOKUP(A715,'Game Pass Essential'!A:A,1,FALSE)))</f>
        <v>0</v>
      </c>
    </row>
    <row r="716">
      <c r="A716" s="12" t="str">
        <f>IFERROR(__xludf.DUMMYFUNCTION("""COMPUTED_VALUE"""),"Madden NFL 25 (2024)")</f>
        <v>Madden NFL 25 (2024)</v>
      </c>
      <c r="B716" s="13" t="str">
        <f>IFERROR(__xludf.DUMMYFUNCTION("""COMPUTED_VALUE"""),"Xbox / PC")</f>
        <v>Xbox / PC</v>
      </c>
      <c r="C716" s="14" t="str">
        <f>IFERROR(__xludf.DUMMYFUNCTION("""COMPUTED_VALUE"""),"Yes")</f>
        <v>Yes</v>
      </c>
      <c r="D716" s="14" t="str">
        <f>IFERROR(__xludf.DUMMYFUNCTION("""COMPUTED_VALUE"""),"Active")</f>
        <v>Active</v>
      </c>
      <c r="E716" s="15">
        <f>IFERROR(__xludf.DUMMYFUNCTION("""COMPUTED_VALUE"""),45694.0)</f>
        <v>45694</v>
      </c>
      <c r="F716" s="16"/>
      <c r="G716" s="18">
        <f>IFERROR(__xludf.DUMMYFUNCTION("""COMPUTED_VALUE"""),20.0)</f>
        <v>20</v>
      </c>
      <c r="H716" s="15">
        <f>IFERROR(__xludf.DUMMYFUNCTION("""COMPUTED_VALUE"""),45520.0)</f>
        <v>45520</v>
      </c>
      <c r="I716" s="18">
        <f>IFERROR(__xludf.DUMMYFUNCTION("""COMPUTED_VALUE"""),0.4722222222222222)</f>
        <v>0.4722222222</v>
      </c>
      <c r="J716" s="22">
        <f>IFERROR(__xludf.DUMMYFUNCTION("""COMPUTED_VALUE"""),70.0)</f>
        <v>70</v>
      </c>
      <c r="K716" s="22">
        <f>IFERROR(__xludf.DUMMYFUNCTION("""COMPUTED_VALUE"""),3.1)</f>
        <v>3.1</v>
      </c>
      <c r="L716" s="26" t="str">
        <f>IFERROR(__xludf.DUMMYFUNCTION("""COMPUTED_VALUE"""),"Sports")</f>
        <v>Sports</v>
      </c>
      <c r="M716" s="13" t="b">
        <f>NOT(ISNA(VLOOKUP(A716,PC!A:A,1,FALSE)))</f>
        <v>1</v>
      </c>
      <c r="N716" s="13" t="b">
        <f>NOT(ISNA(VLOOKUP(A716,'Game Pass Premium'!A:A,1,FALSE)))</f>
        <v>0</v>
      </c>
      <c r="O716" s="13" t="b">
        <f>NOT(ISNA(VLOOKUP(A716,'Game Pass Essential'!A:A,1,FALSE)))</f>
        <v>0</v>
      </c>
    </row>
    <row r="717">
      <c r="A717" s="12" t="str">
        <f>IFERROR(__xludf.DUMMYFUNCTION("""COMPUTED_VALUE"""),"Car Mechanic Simulator 2021")</f>
        <v>Car Mechanic Simulator 2021</v>
      </c>
      <c r="B717" s="13" t="str">
        <f>IFERROR(__xludf.DUMMYFUNCTION("""COMPUTED_VALUE"""),"Xbox / PC")</f>
        <v>Xbox / PC</v>
      </c>
      <c r="C717" s="14" t="str">
        <f>IFERROR(__xludf.DUMMYFUNCTION("""COMPUTED_VALUE"""),"Yes")</f>
        <v>Yes</v>
      </c>
      <c r="D717" s="14" t="str">
        <f>IFERROR(__xludf.DUMMYFUNCTION("""COMPUTED_VALUE"""),"Active")</f>
        <v>Active</v>
      </c>
      <c r="E717" s="15">
        <f>IFERROR(__xludf.DUMMYFUNCTION("""COMPUTED_VALUE"""),45078.0)</f>
        <v>45078</v>
      </c>
      <c r="F717" s="16"/>
      <c r="G717" s="18">
        <f>IFERROR(__xludf.DUMMYFUNCTION("""COMPUTED_VALUE"""),40.16666666666667)</f>
        <v>40.16666667</v>
      </c>
      <c r="H717" s="15">
        <f>IFERROR(__xludf.DUMMYFUNCTION("""COMPUTED_VALUE"""),44419.0)</f>
        <v>44419</v>
      </c>
      <c r="I717" s="18">
        <f>IFERROR(__xludf.DUMMYFUNCTION("""COMPUTED_VALUE"""),1.8055555555555556)</f>
        <v>1.805555556</v>
      </c>
      <c r="J717" s="22">
        <f>IFERROR(__xludf.DUMMYFUNCTION("""COMPUTED_VALUE"""),70.0)</f>
        <v>70</v>
      </c>
      <c r="K717" s="22">
        <f>IFERROR(__xludf.DUMMYFUNCTION("""COMPUTED_VALUE"""),23.0)</f>
        <v>23</v>
      </c>
      <c r="L717" s="26" t="str">
        <f>IFERROR(__xludf.DUMMYFUNCTION("""COMPUTED_VALUE"""),"Simulation")</f>
        <v>Simulation</v>
      </c>
      <c r="M717" s="13" t="b">
        <f>NOT(ISNA(VLOOKUP(A717,PC!A:A,1,FALSE)))</f>
        <v>1</v>
      </c>
      <c r="N717" s="13" t="b">
        <f>NOT(ISNA(VLOOKUP(A717,'Game Pass Premium'!A:A,1,FALSE)))</f>
        <v>1</v>
      </c>
      <c r="O717" s="13" t="b">
        <f>NOT(ISNA(VLOOKUP(A717,'Game Pass Essential'!A:A,1,FALSE)))</f>
        <v>0</v>
      </c>
    </row>
    <row r="718">
      <c r="A718" s="12" t="str">
        <f>IFERROR(__xludf.DUMMYFUNCTION("""COMPUTED_VALUE"""),"Alice: Madness Returns")</f>
        <v>Alice: Madness Returns</v>
      </c>
      <c r="B718" s="13" t="str">
        <f>IFERROR(__xludf.DUMMYFUNCTION("""COMPUTED_VALUE"""),"Xbox / PC")</f>
        <v>Xbox / PC</v>
      </c>
      <c r="C718" s="14"/>
      <c r="D718" s="14" t="str">
        <f>IFERROR(__xludf.DUMMYFUNCTION("""COMPUTED_VALUE"""),"Active")</f>
        <v>Active</v>
      </c>
      <c r="E718" s="15">
        <f>IFERROR(__xludf.DUMMYFUNCTION("""COMPUTED_VALUE"""),44145.0)</f>
        <v>44145</v>
      </c>
      <c r="F718" s="16"/>
      <c r="G718" s="18">
        <f>IFERROR(__xludf.DUMMYFUNCTION("""COMPUTED_VALUE"""),70.86666666666667)</f>
        <v>70.86666667</v>
      </c>
      <c r="H718" s="15">
        <f>IFERROR(__xludf.DUMMYFUNCTION("""COMPUTED_VALUE"""),40708.0)</f>
        <v>40708</v>
      </c>
      <c r="I718" s="18">
        <f>IFERROR(__xludf.DUMMYFUNCTION("""COMPUTED_VALUE"""),9.405555555555555)</f>
        <v>9.405555556</v>
      </c>
      <c r="J718" s="22">
        <f>IFERROR(__xludf.DUMMYFUNCTION("""COMPUTED_VALUE"""),70.0)</f>
        <v>70</v>
      </c>
      <c r="K718" s="22">
        <f>IFERROR(__xludf.DUMMYFUNCTION("""COMPUTED_VALUE"""),14.0)</f>
        <v>14</v>
      </c>
      <c r="L718" s="26" t="str">
        <f>IFERROR(__xludf.DUMMYFUNCTION("""COMPUTED_VALUE"""),"Platformer")</f>
        <v>Platformer</v>
      </c>
      <c r="M718" s="13" t="b">
        <f>NOT(ISNA(VLOOKUP(A718,PC!A:A,1,FALSE)))</f>
        <v>1</v>
      </c>
      <c r="N718" s="13" t="b">
        <f>NOT(ISNA(VLOOKUP(A718,'Game Pass Premium'!A:A,1,FALSE)))</f>
        <v>1</v>
      </c>
      <c r="O718" s="13" t="b">
        <f>NOT(ISNA(VLOOKUP(A718,'Game Pass Essential'!A:A,1,FALSE)))</f>
        <v>0</v>
      </c>
    </row>
    <row r="719">
      <c r="A719" s="12" t="str">
        <f>IFERROR(__xludf.DUMMYFUNCTION("""COMPUTED_VALUE"""),"Fe")</f>
        <v>Fe</v>
      </c>
      <c r="B719" s="13" t="str">
        <f>IFERROR(__xludf.DUMMYFUNCTION("""COMPUTED_VALUE"""),"Xbox / PC")</f>
        <v>Xbox / PC</v>
      </c>
      <c r="C719" s="14"/>
      <c r="D719" s="14" t="str">
        <f>IFERROR(__xludf.DUMMYFUNCTION("""COMPUTED_VALUE"""),"Active")</f>
        <v>Active</v>
      </c>
      <c r="E719" s="15">
        <f>IFERROR(__xludf.DUMMYFUNCTION("""COMPUTED_VALUE"""),44145.0)</f>
        <v>44145</v>
      </c>
      <c r="F719" s="16"/>
      <c r="G719" s="18">
        <f>IFERROR(__xludf.DUMMYFUNCTION("""COMPUTED_VALUE"""),70.86666666666667)</f>
        <v>70.86666667</v>
      </c>
      <c r="H719" s="15">
        <f>IFERROR(__xludf.DUMMYFUNCTION("""COMPUTED_VALUE"""),43147.0)</f>
        <v>43147</v>
      </c>
      <c r="I719" s="18">
        <f>IFERROR(__xludf.DUMMYFUNCTION("""COMPUTED_VALUE"""),2.7333333333333334)</f>
        <v>2.733333333</v>
      </c>
      <c r="J719" s="22">
        <f>IFERROR(__xludf.DUMMYFUNCTION("""COMPUTED_VALUE"""),70.0)</f>
        <v>70</v>
      </c>
      <c r="K719" s="22">
        <f>IFERROR(__xludf.DUMMYFUNCTION("""COMPUTED_VALUE"""),5.5)</f>
        <v>5.5</v>
      </c>
      <c r="L719" s="26" t="str">
        <f>IFERROR(__xludf.DUMMYFUNCTION("""COMPUTED_VALUE"""),"Action-Adventure")</f>
        <v>Action-Adventure</v>
      </c>
      <c r="M719" s="13" t="b">
        <f>NOT(ISNA(VLOOKUP(A719,PC!A:A,1,FALSE)))</f>
        <v>1</v>
      </c>
      <c r="N719" s="13" t="b">
        <f>NOT(ISNA(VLOOKUP(A719,'Game Pass Premium'!A:A,1,FALSE)))</f>
        <v>1</v>
      </c>
      <c r="O719" s="13" t="b">
        <f>NOT(ISNA(VLOOKUP(A719,'Game Pass Essential'!A:A,1,FALSE)))</f>
        <v>0</v>
      </c>
    </row>
    <row r="720">
      <c r="A720" s="12" t="str">
        <f>IFERROR(__xludf.DUMMYFUNCTION("""COMPUTED_VALUE"""),"Trailmakers")</f>
        <v>Trailmakers</v>
      </c>
      <c r="B720" s="13" t="str">
        <f>IFERROR(__xludf.DUMMYFUNCTION("""COMPUTED_VALUE"""),"Xbox / PC")</f>
        <v>Xbox / PC</v>
      </c>
      <c r="C720" s="14" t="str">
        <f>IFERROR(__xludf.DUMMYFUNCTION("""COMPUTED_VALUE"""),"Yes")</f>
        <v>Yes</v>
      </c>
      <c r="D720" s="14" t="str">
        <f>IFERROR(__xludf.DUMMYFUNCTION("""COMPUTED_VALUE"""),"Active")</f>
        <v>Active</v>
      </c>
      <c r="E720" s="15">
        <f>IFERROR(__xludf.DUMMYFUNCTION("""COMPUTED_VALUE"""),44049.0)</f>
        <v>44049</v>
      </c>
      <c r="F720" s="16"/>
      <c r="G720" s="18">
        <f>IFERROR(__xludf.DUMMYFUNCTION("""COMPUTED_VALUE"""),74.0)</f>
        <v>74</v>
      </c>
      <c r="H720" s="15">
        <f>IFERROR(__xludf.DUMMYFUNCTION("""COMPUTED_VALUE"""),43726.0)</f>
        <v>43726</v>
      </c>
      <c r="I720" s="18">
        <f>IFERROR(__xludf.DUMMYFUNCTION("""COMPUTED_VALUE"""),0.8833333333333333)</f>
        <v>0.8833333333</v>
      </c>
      <c r="J720" s="22">
        <f>IFERROR(__xludf.DUMMYFUNCTION("""COMPUTED_VALUE"""),70.0)</f>
        <v>70</v>
      </c>
      <c r="K720" s="22">
        <f>IFERROR(__xludf.DUMMYFUNCTION("""COMPUTED_VALUE"""),11.5)</f>
        <v>11.5</v>
      </c>
      <c r="L720" s="26" t="str">
        <f>IFERROR(__xludf.DUMMYFUNCTION("""COMPUTED_VALUE"""),"Racing")</f>
        <v>Racing</v>
      </c>
      <c r="M720" s="13" t="b">
        <f>NOT(ISNA(VLOOKUP(A720,PC!A:A,1,FALSE)))</f>
        <v>1</v>
      </c>
      <c r="N720" s="13" t="b">
        <f>NOT(ISNA(VLOOKUP(A720,'Game Pass Premium'!A:A,1,FALSE)))</f>
        <v>1</v>
      </c>
      <c r="O720" s="13" t="b">
        <f>NOT(ISNA(VLOOKUP(A720,'Game Pass Essential'!A:A,1,FALSE)))</f>
        <v>0</v>
      </c>
    </row>
    <row r="721">
      <c r="A721" s="12" t="str">
        <f>IFERROR(__xludf.DUMMYFUNCTION("""COMPUTED_VALUE"""),"Bleeding Edge")</f>
        <v>Bleeding Edge</v>
      </c>
      <c r="B721" s="13" t="str">
        <f>IFERROR(__xludf.DUMMYFUNCTION("""COMPUTED_VALUE"""),"Xbox / PC")</f>
        <v>Xbox / PC</v>
      </c>
      <c r="C721" s="14" t="str">
        <f>IFERROR(__xludf.DUMMYFUNCTION("""COMPUTED_VALUE"""),"Yes")</f>
        <v>Yes</v>
      </c>
      <c r="D721" s="14" t="str">
        <f>IFERROR(__xludf.DUMMYFUNCTION("""COMPUTED_VALUE"""),"Active")</f>
        <v>Active</v>
      </c>
      <c r="E721" s="15">
        <f>IFERROR(__xludf.DUMMYFUNCTION("""COMPUTED_VALUE"""),43914.0)</f>
        <v>43914</v>
      </c>
      <c r="F721" s="16"/>
      <c r="G721" s="18">
        <f>IFERROR(__xludf.DUMMYFUNCTION("""COMPUTED_VALUE"""),78.4)</f>
        <v>78.4</v>
      </c>
      <c r="H721" s="15">
        <f>IFERROR(__xludf.DUMMYFUNCTION("""COMPUTED_VALUE"""),43914.0)</f>
        <v>43914</v>
      </c>
      <c r="I721" s="18">
        <f>IFERROR(__xludf.DUMMYFUNCTION("""COMPUTED_VALUE"""),0.0)</f>
        <v>0</v>
      </c>
      <c r="J721" s="22">
        <f>IFERROR(__xludf.DUMMYFUNCTION("""COMPUTED_VALUE"""),70.0)</f>
        <v>70</v>
      </c>
      <c r="K721" s="22">
        <f>IFERROR(__xludf.DUMMYFUNCTION("""COMPUTED_VALUE"""),6.5)</f>
        <v>6.5</v>
      </c>
      <c r="L721" s="26" t="str">
        <f>IFERROR(__xludf.DUMMYFUNCTION("""COMPUTED_VALUE"""),"Action")</f>
        <v>Action</v>
      </c>
      <c r="M721" s="13" t="b">
        <f>NOT(ISNA(VLOOKUP(A721,PC!A:A,1,FALSE)))</f>
        <v>1</v>
      </c>
      <c r="N721" s="13" t="b">
        <f>NOT(ISNA(VLOOKUP(A721,'Game Pass Premium'!A:A,1,FALSE)))</f>
        <v>1</v>
      </c>
      <c r="O721" s="13" t="b">
        <f>NOT(ISNA(VLOOKUP(A721,'Game Pass Essential'!A:A,1,FALSE)))</f>
        <v>0</v>
      </c>
    </row>
    <row r="722">
      <c r="A722" s="12" t="str">
        <f>IFERROR(__xludf.DUMMYFUNCTION("""COMPUTED_VALUE"""),"The Bard's Tale IV: Director's Cut")</f>
        <v>The Bard's Tale IV: Director's Cut</v>
      </c>
      <c r="B722" s="13" t="str">
        <f>IFERROR(__xludf.DUMMYFUNCTION("""COMPUTED_VALUE"""),"Xbox / PC")</f>
        <v>Xbox / PC</v>
      </c>
      <c r="C722" s="14" t="str">
        <f>IFERROR(__xludf.DUMMYFUNCTION("""COMPUTED_VALUE"""),"Touch Controls")</f>
        <v>Touch Controls</v>
      </c>
      <c r="D722" s="14" t="str">
        <f>IFERROR(__xludf.DUMMYFUNCTION("""COMPUTED_VALUE"""),"Active")</f>
        <v>Active</v>
      </c>
      <c r="E722" s="15">
        <f>IFERROR(__xludf.DUMMYFUNCTION("""COMPUTED_VALUE"""),43704.0)</f>
        <v>43704</v>
      </c>
      <c r="F722" s="16"/>
      <c r="G722" s="18">
        <f>IFERROR(__xludf.DUMMYFUNCTION("""COMPUTED_VALUE"""),85.3)</f>
        <v>85.3</v>
      </c>
      <c r="H722" s="15">
        <f>IFERROR(__xludf.DUMMYFUNCTION("""COMPUTED_VALUE"""),43361.0)</f>
        <v>43361</v>
      </c>
      <c r="I722" s="18">
        <f>IFERROR(__xludf.DUMMYFUNCTION("""COMPUTED_VALUE"""),0.9416666666666667)</f>
        <v>0.9416666667</v>
      </c>
      <c r="J722" s="22">
        <f>IFERROR(__xludf.DUMMYFUNCTION("""COMPUTED_VALUE"""),70.0)</f>
        <v>70</v>
      </c>
      <c r="K722" s="22">
        <f>IFERROR(__xludf.DUMMYFUNCTION("""COMPUTED_VALUE"""),59.5)</f>
        <v>59.5</v>
      </c>
      <c r="L722" s="26" t="str">
        <f>IFERROR(__xludf.DUMMYFUNCTION("""COMPUTED_VALUE"""),"RPG")</f>
        <v>RPG</v>
      </c>
      <c r="M722" s="13" t="b">
        <f>NOT(ISNA(VLOOKUP(A722,PC!A:A,1,FALSE)))</f>
        <v>1</v>
      </c>
      <c r="N722" s="13" t="b">
        <f>NOT(ISNA(VLOOKUP(A722,'Game Pass Premium'!A:A,1,FALSE)))</f>
        <v>1</v>
      </c>
      <c r="O722" s="13" t="b">
        <f>NOT(ISNA(VLOOKUP(A722,'Game Pass Essential'!A:A,1,FALSE)))</f>
        <v>0</v>
      </c>
    </row>
    <row r="723">
      <c r="A723" s="12" t="str">
        <f>IFERROR(__xludf.DUMMYFUNCTION("""COMPUTED_VALUE"""),"The Bard's Tale Trilogy")</f>
        <v>The Bard's Tale Trilogy</v>
      </c>
      <c r="B723" s="13" t="str">
        <f>IFERROR(__xludf.DUMMYFUNCTION("""COMPUTED_VALUE"""),"Xbox / PC")</f>
        <v>Xbox / PC</v>
      </c>
      <c r="C723" s="14" t="str">
        <f>IFERROR(__xludf.DUMMYFUNCTION("""COMPUTED_VALUE"""),"Touch Controls")</f>
        <v>Touch Controls</v>
      </c>
      <c r="D723" s="14" t="str">
        <f>IFERROR(__xludf.DUMMYFUNCTION("""COMPUTED_VALUE"""),"Active")</f>
        <v>Active</v>
      </c>
      <c r="E723" s="15">
        <f>IFERROR(__xludf.DUMMYFUNCTION("""COMPUTED_VALUE"""),43690.0)</f>
        <v>43690</v>
      </c>
      <c r="F723" s="16"/>
      <c r="G723" s="18">
        <f>IFERROR(__xludf.DUMMYFUNCTION("""COMPUTED_VALUE"""),85.76666666666667)</f>
        <v>85.76666667</v>
      </c>
      <c r="H723" s="15">
        <f>IFERROR(__xludf.DUMMYFUNCTION("""COMPUTED_VALUE"""),43326.0)</f>
        <v>43326</v>
      </c>
      <c r="I723" s="18">
        <f>IFERROR(__xludf.DUMMYFUNCTION("""COMPUTED_VALUE"""),0.9972222222222222)</f>
        <v>0.9972222222</v>
      </c>
      <c r="J723" s="22">
        <f>IFERROR(__xludf.DUMMYFUNCTION("""COMPUTED_VALUE"""),70.0)</f>
        <v>70</v>
      </c>
      <c r="K723" s="22">
        <f>IFERROR(__xludf.DUMMYFUNCTION("""COMPUTED_VALUE"""),24.0)</f>
        <v>24</v>
      </c>
      <c r="L723" s="26" t="str">
        <f>IFERROR(__xludf.DUMMYFUNCTION("""COMPUTED_VALUE"""),"RPG")</f>
        <v>RPG</v>
      </c>
      <c r="M723" s="13" t="b">
        <f>NOT(ISNA(VLOOKUP(A723,PC!A:A,1,FALSE)))</f>
        <v>1</v>
      </c>
      <c r="N723" s="13" t="b">
        <f>NOT(ISNA(VLOOKUP(A723,'Game Pass Premium'!A:A,1,FALSE)))</f>
        <v>1</v>
      </c>
      <c r="O723" s="13" t="b">
        <f>NOT(ISNA(VLOOKUP(A723,'Game Pass Essential'!A:A,1,FALSE)))</f>
        <v>0</v>
      </c>
    </row>
    <row r="724">
      <c r="A724" s="12" t="str">
        <f>IFERROR(__xludf.DUMMYFUNCTION("""COMPUTED_VALUE"""),"Fuzion Frenzy")</f>
        <v>Fuzion Frenzy</v>
      </c>
      <c r="B724" s="13" t="str">
        <f>IFERROR(__xludf.DUMMYFUNCTION("""COMPUTED_VALUE"""),"Xbox / PC")</f>
        <v>Xbox / PC</v>
      </c>
      <c r="C724" s="14" t="str">
        <f>IFERROR(__xludf.DUMMYFUNCTION("""COMPUTED_VALUE"""),"Touch Controls")</f>
        <v>Touch Controls</v>
      </c>
      <c r="D724" s="14" t="str">
        <f>IFERROR(__xludf.DUMMYFUNCTION("""COMPUTED_VALUE"""),"Active")</f>
        <v>Active</v>
      </c>
      <c r="E724" s="15">
        <f>IFERROR(__xludf.DUMMYFUNCTION("""COMPUTED_VALUE"""),42887.0)</f>
        <v>42887</v>
      </c>
      <c r="F724" s="16"/>
      <c r="G724" s="18">
        <f>IFERROR(__xludf.DUMMYFUNCTION("""COMPUTED_VALUE"""),112.16666666666666)</f>
        <v>112.1666667</v>
      </c>
      <c r="H724" s="15">
        <f>IFERROR(__xludf.DUMMYFUNCTION("""COMPUTED_VALUE"""),37209.0)</f>
        <v>37209</v>
      </c>
      <c r="I724" s="18">
        <f>IFERROR(__xludf.DUMMYFUNCTION("""COMPUTED_VALUE"""),15.547222222222222)</f>
        <v>15.54722222</v>
      </c>
      <c r="J724" s="22">
        <f>IFERROR(__xludf.DUMMYFUNCTION("""COMPUTED_VALUE"""),70.0)</f>
        <v>70</v>
      </c>
      <c r="K724" s="22">
        <f>IFERROR(__xludf.DUMMYFUNCTION("""COMPUTED_VALUE"""),4.0)</f>
        <v>4</v>
      </c>
      <c r="L724" s="26" t="str">
        <f>IFERROR(__xludf.DUMMYFUNCTION("""COMPUTED_VALUE"""),"Minigame Collection")</f>
        <v>Minigame Collection</v>
      </c>
      <c r="M724" s="13" t="b">
        <f>NOT(ISNA(VLOOKUP(A724,PC!A:A,1,FALSE)))</f>
        <v>1</v>
      </c>
      <c r="N724" s="13" t="b">
        <f>NOT(ISNA(VLOOKUP(A724,'Game Pass Premium'!A:A,1,FALSE)))</f>
        <v>1</v>
      </c>
      <c r="O724" s="13" t="b">
        <f>NOT(ISNA(VLOOKUP(A724,'Game Pass Essential'!A:A,1,FALSE)))</f>
        <v>0</v>
      </c>
    </row>
    <row r="725">
      <c r="A725" s="12" t="str">
        <f>IFERROR(__xludf.DUMMYFUNCTION("""COMPUTED_VALUE"""),"Thrillville: Off the Rails")</f>
        <v>Thrillville: Off the Rails</v>
      </c>
      <c r="B725" s="13" t="str">
        <f>IFERROR(__xludf.DUMMYFUNCTION("""COMPUTED_VALUE"""),"XB360/OG Xbox")</f>
        <v>XB360/OG Xbox</v>
      </c>
      <c r="C725" s="14"/>
      <c r="D725" s="14" t="str">
        <f>IFERROR(__xludf.DUMMYFUNCTION("""COMPUTED_VALUE"""),"GwG Permanent")</f>
        <v>GwG Permanent</v>
      </c>
      <c r="E725" s="15">
        <f>IFERROR(__xludf.DUMMYFUNCTION("""COMPUTED_VALUE"""),44743.0)</f>
        <v>44743</v>
      </c>
      <c r="F725" s="16">
        <f>IFERROR(__xludf.DUMMYFUNCTION("""COMPUTED_VALUE"""),44757.0)</f>
        <v>44757</v>
      </c>
      <c r="G725" s="18">
        <f>IFERROR(__xludf.DUMMYFUNCTION("""COMPUTED_VALUE"""),0.4666666666666667)</f>
        <v>0.4666666667</v>
      </c>
      <c r="H725" s="15">
        <f>IFERROR(__xludf.DUMMYFUNCTION("""COMPUTED_VALUE"""),39393.0)</f>
        <v>39393</v>
      </c>
      <c r="I725" s="18">
        <f>IFERROR(__xludf.DUMMYFUNCTION("""COMPUTED_VALUE"""),14.65)</f>
        <v>14.65</v>
      </c>
      <c r="J725" s="22">
        <f>IFERROR(__xludf.DUMMYFUNCTION("""COMPUTED_VALUE"""),70.0)</f>
        <v>70</v>
      </c>
      <c r="K725" s="22">
        <f>IFERROR(__xludf.DUMMYFUNCTION("""COMPUTED_VALUE"""),17.0)</f>
        <v>17</v>
      </c>
      <c r="L725" s="26" t="str">
        <f>IFERROR(__xludf.DUMMYFUNCTION("""COMPUTED_VALUE"""),"Simulation")</f>
        <v>Simulation</v>
      </c>
      <c r="M725" s="13" t="b">
        <f>NOT(ISNA(VLOOKUP(A725,PC!A:A,1,FALSE)))</f>
        <v>0</v>
      </c>
      <c r="N725" s="13" t="b">
        <f>NOT(ISNA(VLOOKUP(A725,'Game Pass Premium'!A:A,1,FALSE)))</f>
        <v>0</v>
      </c>
      <c r="O725" s="13" t="b">
        <f>NOT(ISNA(VLOOKUP(A725,'Game Pass Essential'!A:A,1,FALSE)))</f>
        <v>0</v>
      </c>
    </row>
    <row r="726">
      <c r="A726" s="12" t="str">
        <f>IFERROR(__xludf.DUMMYFUNCTION("""COMPUTED_VALUE"""),"Space Invaders: Infinity Gene")</f>
        <v>Space Invaders: Infinity Gene</v>
      </c>
      <c r="B726" s="13" t="str">
        <f>IFERROR(__xludf.DUMMYFUNCTION("""COMPUTED_VALUE"""),"XB360/OG Xbox")</f>
        <v>XB360/OG Xbox</v>
      </c>
      <c r="C726" s="14"/>
      <c r="D726" s="14" t="str">
        <f>IFERROR(__xludf.DUMMYFUNCTION("""COMPUTED_VALUE"""),"GwG Permanent")</f>
        <v>GwG Permanent</v>
      </c>
      <c r="E726" s="15">
        <f>IFERROR(__xludf.DUMMYFUNCTION("""COMPUTED_VALUE"""),44577.0)</f>
        <v>44577</v>
      </c>
      <c r="F726" s="16">
        <f>IFERROR(__xludf.DUMMYFUNCTION("""COMPUTED_VALUE"""),44592.0)</f>
        <v>44592</v>
      </c>
      <c r="G726" s="18">
        <f>IFERROR(__xludf.DUMMYFUNCTION("""COMPUTED_VALUE"""),0.4666666666666667)</f>
        <v>0.4666666667</v>
      </c>
      <c r="H726" s="15">
        <f>IFERROR(__xludf.DUMMYFUNCTION("""COMPUTED_VALUE"""),39881.0)</f>
        <v>39881</v>
      </c>
      <c r="I726" s="18">
        <f>IFERROR(__xludf.DUMMYFUNCTION("""COMPUTED_VALUE"""),12.852777777777778)</f>
        <v>12.85277778</v>
      </c>
      <c r="J726" s="22">
        <f>IFERROR(__xludf.DUMMYFUNCTION("""COMPUTED_VALUE"""),70.0)</f>
        <v>70</v>
      </c>
      <c r="K726" s="22">
        <f>IFERROR(__xludf.DUMMYFUNCTION("""COMPUTED_VALUE"""),5.0)</f>
        <v>5</v>
      </c>
      <c r="L726" s="26" t="str">
        <f>IFERROR(__xludf.DUMMYFUNCTION("""COMPUTED_VALUE"""),"Shooter")</f>
        <v>Shooter</v>
      </c>
      <c r="M726" s="13" t="b">
        <f>NOT(ISNA(VLOOKUP(A726,PC!A:A,1,FALSE)))</f>
        <v>0</v>
      </c>
      <c r="N726" s="13" t="b">
        <f>NOT(ISNA(VLOOKUP(A726,'Game Pass Premium'!A:A,1,FALSE)))</f>
        <v>0</v>
      </c>
      <c r="O726" s="13" t="b">
        <f>NOT(ISNA(VLOOKUP(A726,'Game Pass Essential'!A:A,1,FALSE)))</f>
        <v>0</v>
      </c>
    </row>
    <row r="727">
      <c r="A727" s="12" t="str">
        <f>IFERROR(__xludf.DUMMYFUNCTION("""COMPUTED_VALUE"""),"Castlevania: Lords of Shadow 2")</f>
        <v>Castlevania: Lords of Shadow 2</v>
      </c>
      <c r="B727" s="13" t="str">
        <f>IFERROR(__xludf.DUMMYFUNCTION("""COMPUTED_VALUE"""),"XB360/OG Xbox")</f>
        <v>XB360/OG Xbox</v>
      </c>
      <c r="C727" s="14"/>
      <c r="D727" s="14" t="str">
        <f>IFERROR(__xludf.DUMMYFUNCTION("""COMPUTED_VALUE"""),"GwG Permanent")</f>
        <v>GwG Permanent</v>
      </c>
      <c r="E727" s="15">
        <f>IFERROR(__xludf.DUMMYFUNCTION("""COMPUTED_VALUE"""),43891.0)</f>
        <v>43891</v>
      </c>
      <c r="F727" s="16">
        <f>IFERROR(__xludf.DUMMYFUNCTION("""COMPUTED_VALUE"""),43905.0)</f>
        <v>43905</v>
      </c>
      <c r="G727" s="18">
        <f>IFERROR(__xludf.DUMMYFUNCTION("""COMPUTED_VALUE"""),0.4666666666666667)</f>
        <v>0.4666666667</v>
      </c>
      <c r="H727" s="15">
        <f>IFERROR(__xludf.DUMMYFUNCTION("""COMPUTED_VALUE"""),41695.0)</f>
        <v>41695</v>
      </c>
      <c r="I727" s="18">
        <f>IFERROR(__xludf.DUMMYFUNCTION("""COMPUTED_VALUE"""),6.016666666666667)</f>
        <v>6.016666667</v>
      </c>
      <c r="J727" s="22">
        <f>IFERROR(__xludf.DUMMYFUNCTION("""COMPUTED_VALUE"""),70.0)</f>
        <v>70</v>
      </c>
      <c r="K727" s="22">
        <f>IFERROR(__xludf.DUMMYFUNCTION("""COMPUTED_VALUE"""),11.0)</f>
        <v>11</v>
      </c>
      <c r="L727" s="26" t="str">
        <f>IFERROR(__xludf.DUMMYFUNCTION("""COMPUTED_VALUE"""),"Action-Adventure")</f>
        <v>Action-Adventure</v>
      </c>
      <c r="M727" s="13" t="b">
        <f>NOT(ISNA(VLOOKUP(A727,PC!A:A,1,FALSE)))</f>
        <v>0</v>
      </c>
      <c r="N727" s="13" t="b">
        <f>NOT(ISNA(VLOOKUP(A727,'Game Pass Premium'!A:A,1,FALSE)))</f>
        <v>0</v>
      </c>
      <c r="O727" s="13" t="b">
        <f>NOT(ISNA(VLOOKUP(A727,'Game Pass Essential'!A:A,1,FALSE)))</f>
        <v>0</v>
      </c>
    </row>
    <row r="728">
      <c r="A728" s="12" t="str">
        <f>IFERROR(__xludf.DUMMYFUNCTION("""COMPUTED_VALUE"""),"Thief")</f>
        <v>Thief</v>
      </c>
      <c r="B728" s="13" t="str">
        <f>IFERROR(__xludf.DUMMYFUNCTION("""COMPUTED_VALUE"""),"XB360/OG Xbox")</f>
        <v>XB360/OG Xbox</v>
      </c>
      <c r="C728" s="14"/>
      <c r="D728" s="14" t="str">
        <f>IFERROR(__xludf.DUMMYFUNCTION("""COMPUTED_VALUE"""),"GwG Permanent")</f>
        <v>GwG Permanent</v>
      </c>
      <c r="E728" s="15">
        <f>IFERROR(__xludf.DUMMYFUNCTION("""COMPUTED_VALUE"""),42171.0)</f>
        <v>42171</v>
      </c>
      <c r="F728" s="16">
        <f>IFERROR(__xludf.DUMMYFUNCTION("""COMPUTED_VALUE"""),42185.0)</f>
        <v>42185</v>
      </c>
      <c r="G728" s="18">
        <f>IFERROR(__xludf.DUMMYFUNCTION("""COMPUTED_VALUE"""),0.4666666666666667)</f>
        <v>0.4666666667</v>
      </c>
      <c r="H728" s="15">
        <f>IFERROR(__xludf.DUMMYFUNCTION("""COMPUTED_VALUE"""),41695.0)</f>
        <v>41695</v>
      </c>
      <c r="I728" s="18">
        <f>IFERROR(__xludf.DUMMYFUNCTION("""COMPUTED_VALUE"""),1.3083333333333333)</f>
        <v>1.308333333</v>
      </c>
      <c r="J728" s="22">
        <f>IFERROR(__xludf.DUMMYFUNCTION("""COMPUTED_VALUE"""),70.0)</f>
        <v>70</v>
      </c>
      <c r="K728" s="22">
        <f>IFERROR(__xludf.DUMMYFUNCTION("""COMPUTED_VALUE"""),11.0)</f>
        <v>11</v>
      </c>
      <c r="L728" s="26" t="str">
        <f>IFERROR(__xludf.DUMMYFUNCTION("""COMPUTED_VALUE"""),"Action-Adventure")</f>
        <v>Action-Adventure</v>
      </c>
      <c r="M728" s="13" t="b">
        <f>NOT(ISNA(VLOOKUP(A728,PC!A:A,1,FALSE)))</f>
        <v>0</v>
      </c>
      <c r="N728" s="13" t="b">
        <f>NOT(ISNA(VLOOKUP(A728,'Game Pass Premium'!A:A,1,FALSE)))</f>
        <v>0</v>
      </c>
      <c r="O728" s="13" t="b">
        <f>NOT(ISNA(VLOOKUP(A728,'Game Pass Essential'!A:A,1,FALSE)))</f>
        <v>0</v>
      </c>
    </row>
    <row r="729">
      <c r="A729" s="12" t="str">
        <f>IFERROR(__xludf.DUMMYFUNCTION("""COMPUTED_VALUE"""),"Motocross Madness")</f>
        <v>Motocross Madness</v>
      </c>
      <c r="B729" s="13" t="str">
        <f>IFERROR(__xludf.DUMMYFUNCTION("""COMPUTED_VALUE"""),"XB360/OG Xbox")</f>
        <v>XB360/OG Xbox</v>
      </c>
      <c r="C729" s="14"/>
      <c r="D729" s="14" t="str">
        <f>IFERROR(__xludf.DUMMYFUNCTION("""COMPUTED_VALUE"""),"GwG Permanent")</f>
        <v>GwG Permanent</v>
      </c>
      <c r="E729" s="15">
        <f>IFERROR(__xludf.DUMMYFUNCTION("""COMPUTED_VALUE"""),41852.0)</f>
        <v>41852</v>
      </c>
      <c r="F729" s="16">
        <f>IFERROR(__xludf.DUMMYFUNCTION("""COMPUTED_VALUE"""),41866.0)</f>
        <v>41866</v>
      </c>
      <c r="G729" s="18">
        <f>IFERROR(__xludf.DUMMYFUNCTION("""COMPUTED_VALUE"""),0.4666666666666667)</f>
        <v>0.4666666667</v>
      </c>
      <c r="H729" s="15">
        <f>IFERROR(__xludf.DUMMYFUNCTION("""COMPUTED_VALUE"""),40491.0)</f>
        <v>40491</v>
      </c>
      <c r="I729" s="18">
        <f>IFERROR(__xludf.DUMMYFUNCTION("""COMPUTED_VALUE"""),3.727777777777778)</f>
        <v>3.727777778</v>
      </c>
      <c r="J729" s="22">
        <f>IFERROR(__xludf.DUMMYFUNCTION("""COMPUTED_VALUE"""),70.0)</f>
        <v>70</v>
      </c>
      <c r="K729" s="22">
        <f>IFERROR(__xludf.DUMMYFUNCTION("""COMPUTED_VALUE"""),6.0)</f>
        <v>6</v>
      </c>
      <c r="L729" s="26" t="str">
        <f>IFERROR(__xludf.DUMMYFUNCTION("""COMPUTED_VALUE"""),"Racing")</f>
        <v>Racing</v>
      </c>
      <c r="M729" s="13" t="b">
        <f>NOT(ISNA(VLOOKUP(A729,PC!A:A,1,FALSE)))</f>
        <v>0</v>
      </c>
      <c r="N729" s="13" t="b">
        <f>NOT(ISNA(VLOOKUP(A729,'Game Pass Premium'!A:A,1,FALSE)))</f>
        <v>0</v>
      </c>
      <c r="O729" s="13" t="b">
        <f>NOT(ISNA(VLOOKUP(A729,'Game Pass Essential'!A:A,1,FALSE)))</f>
        <v>0</v>
      </c>
    </row>
    <row r="730">
      <c r="A730" s="12" t="str">
        <f>IFERROR(__xludf.DUMMYFUNCTION("""COMPUTED_VALUE"""),"Shoot Many Robots")</f>
        <v>Shoot Many Robots</v>
      </c>
      <c r="B730" s="13" t="str">
        <f>IFERROR(__xludf.DUMMYFUNCTION("""COMPUTED_VALUE"""),"XB360/OG Xbox")</f>
        <v>XB360/OG Xbox</v>
      </c>
      <c r="C730" s="14"/>
      <c r="D730" s="14" t="str">
        <f>IFERROR(__xludf.DUMMYFUNCTION("""COMPUTED_VALUE"""),"GwG Permanent")</f>
        <v>GwG Permanent</v>
      </c>
      <c r="E730" s="15">
        <f>IFERROR(__xludf.DUMMYFUNCTION("""COMPUTED_VALUE"""),41624.0)</f>
        <v>41624</v>
      </c>
      <c r="F730" s="16">
        <f>IFERROR(__xludf.DUMMYFUNCTION("""COMPUTED_VALUE"""),41639.0)</f>
        <v>41639</v>
      </c>
      <c r="G730" s="18">
        <f>IFERROR(__xludf.DUMMYFUNCTION("""COMPUTED_VALUE"""),0.4666666666666667)</f>
        <v>0.4666666667</v>
      </c>
      <c r="H730" s="15">
        <f>IFERROR(__xludf.DUMMYFUNCTION("""COMPUTED_VALUE"""),41128.0)</f>
        <v>41128</v>
      </c>
      <c r="I730" s="18">
        <f>IFERROR(__xludf.DUMMYFUNCTION("""COMPUTED_VALUE"""),1.3583333333333334)</f>
        <v>1.358333333</v>
      </c>
      <c r="J730" s="22">
        <f>IFERROR(__xludf.DUMMYFUNCTION("""COMPUTED_VALUE"""),70.0)</f>
        <v>70</v>
      </c>
      <c r="K730" s="22">
        <f>IFERROR(__xludf.DUMMYFUNCTION("""COMPUTED_VALUE"""),6.0)</f>
        <v>6</v>
      </c>
      <c r="L730" s="26" t="str">
        <f>IFERROR(__xludf.DUMMYFUNCTION("""COMPUTED_VALUE"""),"Action")</f>
        <v>Action</v>
      </c>
      <c r="M730" s="13" t="b">
        <f>NOT(ISNA(VLOOKUP(A730,PC!A:A,1,FALSE)))</f>
        <v>0</v>
      </c>
      <c r="N730" s="13" t="b">
        <f>NOT(ISNA(VLOOKUP(A730,'Game Pass Premium'!A:A,1,FALSE)))</f>
        <v>0</v>
      </c>
      <c r="O730" s="13" t="b">
        <f>NOT(ISNA(VLOOKUP(A730,'Game Pass Essential'!A:A,1,FALSE)))</f>
        <v>0</v>
      </c>
    </row>
    <row r="731">
      <c r="A731" s="12" t="str">
        <f>IFERROR(__xludf.DUMMYFUNCTION("""COMPUTED_VALUE"""),"BattleTech: The Crescent Hawk's Revenge")</f>
        <v>BattleTech: The Crescent Hawk's Revenge</v>
      </c>
      <c r="B731" s="13" t="str">
        <f>IFERROR(__xludf.DUMMYFUNCTION("""COMPUTED_VALUE"""),"Xbox / PC")</f>
        <v>Xbox / PC</v>
      </c>
      <c r="C731" s="14" t="str">
        <f>IFERROR(__xludf.DUMMYFUNCTION("""COMPUTED_VALUE"""),"Yes")</f>
        <v>Yes</v>
      </c>
      <c r="D731" s="14" t="str">
        <f>IFERROR(__xludf.DUMMYFUNCTION("""COMPUTED_VALUE"""),"Active")</f>
        <v>Active</v>
      </c>
      <c r="E731" s="15">
        <f>IFERROR(__xludf.DUMMYFUNCTION("""COMPUTED_VALUE"""),45945.0)</f>
        <v>45945</v>
      </c>
      <c r="F731" s="16"/>
      <c r="G731" s="18">
        <f>IFERROR(__xludf.DUMMYFUNCTION("""COMPUTED_VALUE"""),11.7)</f>
        <v>11.7</v>
      </c>
      <c r="H731" s="15">
        <f>IFERROR(__xludf.DUMMYFUNCTION("""COMPUTED_VALUE"""),32874.0)</f>
        <v>32874</v>
      </c>
      <c r="I731" s="18">
        <f>IFERROR(__xludf.DUMMYFUNCTION("""COMPUTED_VALUE"""),35.78888888888889)</f>
        <v>35.78888889</v>
      </c>
      <c r="J731" s="22">
        <f>IFERROR(__xludf.DUMMYFUNCTION("""COMPUTED_VALUE"""),69.0)</f>
        <v>69</v>
      </c>
      <c r="K731" s="22"/>
      <c r="L731" s="26" t="str">
        <f>IFERROR(__xludf.DUMMYFUNCTION("""COMPUTED_VALUE"""),"Strategy")</f>
        <v>Strategy</v>
      </c>
      <c r="M731" s="13" t="b">
        <f>NOT(ISNA(VLOOKUP(A731,PC!A:A,1,FALSE)))</f>
        <v>1</v>
      </c>
      <c r="N731" s="13" t="b">
        <f>NOT(ISNA(VLOOKUP(A731,'Game Pass Premium'!A:A,1,FALSE)))</f>
        <v>1</v>
      </c>
      <c r="O731" s="13" t="b">
        <f>NOT(ISNA(VLOOKUP(A731,'Game Pass Essential'!A:A,1,FALSE)))</f>
        <v>0</v>
      </c>
    </row>
    <row r="732">
      <c r="A732" s="12" t="str">
        <f>IFERROR(__xludf.DUMMYFUNCTION("""COMPUTED_VALUE"""),"Assassin's Creed Chronicles: China")</f>
        <v>Assassin's Creed Chronicles: China</v>
      </c>
      <c r="B732" s="13" t="str">
        <f>IFERROR(__xludf.DUMMYFUNCTION("""COMPUTED_VALUE"""),"Xbox / PC")</f>
        <v>Xbox / PC</v>
      </c>
      <c r="C732" s="14" t="str">
        <f>IFERROR(__xludf.DUMMYFUNCTION("""COMPUTED_VALUE"""),"Yes")</f>
        <v>Yes</v>
      </c>
      <c r="D732" s="14" t="str">
        <f>IFERROR(__xludf.DUMMYFUNCTION("""COMPUTED_VALUE"""),"Active")</f>
        <v>Active</v>
      </c>
      <c r="E732" s="15">
        <f>IFERROR(__xludf.DUMMYFUNCTION("""COMPUTED_VALUE"""),45931.0)</f>
        <v>45931</v>
      </c>
      <c r="F732" s="16"/>
      <c r="G732" s="18">
        <f>IFERROR(__xludf.DUMMYFUNCTION("""COMPUTED_VALUE"""),12.166666666666666)</f>
        <v>12.16666667</v>
      </c>
      <c r="H732" s="15">
        <f>IFERROR(__xludf.DUMMYFUNCTION("""COMPUTED_VALUE"""),42115.0)</f>
        <v>42115</v>
      </c>
      <c r="I732" s="18">
        <f>IFERROR(__xludf.DUMMYFUNCTION("""COMPUTED_VALUE"""),10.444444444444445)</f>
        <v>10.44444444</v>
      </c>
      <c r="J732" s="22">
        <f>IFERROR(__xludf.DUMMYFUNCTION("""COMPUTED_VALUE"""),69.0)</f>
        <v>69</v>
      </c>
      <c r="K732" s="22">
        <f>IFERROR(__xludf.DUMMYFUNCTION("""COMPUTED_VALUE"""),6.0)</f>
        <v>6</v>
      </c>
      <c r="L732" s="26" t="str">
        <f>IFERROR(__xludf.DUMMYFUNCTION("""COMPUTED_VALUE"""),"Action-Adventure")</f>
        <v>Action-Adventure</v>
      </c>
      <c r="M732" s="13" t="b">
        <f>NOT(ISNA(VLOOKUP(A732,PC!A:A,1,FALSE)))</f>
        <v>1</v>
      </c>
      <c r="N732" s="13" t="b">
        <f>NOT(ISNA(VLOOKUP(A732,'Game Pass Premium'!A:A,1,FALSE)))</f>
        <v>0</v>
      </c>
      <c r="O732" s="13" t="b">
        <f>NOT(ISNA(VLOOKUP(A732,'Game Pass Essential'!A:A,1,FALSE)))</f>
        <v>0</v>
      </c>
    </row>
    <row r="733">
      <c r="A733" s="12" t="str">
        <f>IFERROR(__xludf.DUMMYFUNCTION("""COMPUTED_VALUE"""),"Rabbids: Party of Legends")</f>
        <v>Rabbids: Party of Legends</v>
      </c>
      <c r="B733" s="13" t="str">
        <f>IFERROR(__xludf.DUMMYFUNCTION("""COMPUTED_VALUE"""),"Xbox / PC")</f>
        <v>Xbox / PC</v>
      </c>
      <c r="C733" s="14" t="str">
        <f>IFERROR(__xludf.DUMMYFUNCTION("""COMPUTED_VALUE"""),"Yes")</f>
        <v>Yes</v>
      </c>
      <c r="D733" s="14" t="str">
        <f>IFERROR(__xludf.DUMMYFUNCTION("""COMPUTED_VALUE"""),"Active")</f>
        <v>Active</v>
      </c>
      <c r="E733" s="15">
        <f>IFERROR(__xludf.DUMMYFUNCTION("""COMPUTED_VALUE"""),45931.0)</f>
        <v>45931</v>
      </c>
      <c r="F733" s="16"/>
      <c r="G733" s="18">
        <f>IFERROR(__xludf.DUMMYFUNCTION("""COMPUTED_VALUE"""),12.166666666666666)</f>
        <v>12.16666667</v>
      </c>
      <c r="H733" s="15">
        <f>IFERROR(__xludf.DUMMYFUNCTION("""COMPUTED_VALUE"""),44742.0)</f>
        <v>44742</v>
      </c>
      <c r="I733" s="18">
        <f>IFERROR(__xludf.DUMMYFUNCTION("""COMPUTED_VALUE"""),3.2527777777777778)</f>
        <v>3.252777778</v>
      </c>
      <c r="J733" s="22">
        <f>IFERROR(__xludf.DUMMYFUNCTION("""COMPUTED_VALUE"""),69.0)</f>
        <v>69</v>
      </c>
      <c r="K733" s="22">
        <f>IFERROR(__xludf.DUMMYFUNCTION("""COMPUTED_VALUE"""),3.0)</f>
        <v>3</v>
      </c>
      <c r="L733" s="26" t="str">
        <f>IFERROR(__xludf.DUMMYFUNCTION("""COMPUTED_VALUE"""),"Party")</f>
        <v>Party</v>
      </c>
      <c r="M733" s="13" t="b">
        <f>NOT(ISNA(VLOOKUP(A733,PC!A:A,1,FALSE)))</f>
        <v>1</v>
      </c>
      <c r="N733" s="13" t="b">
        <f>NOT(ISNA(VLOOKUP(A733,'Game Pass Premium'!A:A,1,FALSE)))</f>
        <v>0</v>
      </c>
      <c r="O733" s="13" t="b">
        <f>NOT(ISNA(VLOOKUP(A733,'Game Pass Essential'!A:A,1,FALSE)))</f>
        <v>0</v>
      </c>
    </row>
    <row r="734">
      <c r="A734" s="12" t="str">
        <f>IFERROR(__xludf.DUMMYFUNCTION("""COMPUTED_VALUE"""),"Immortals of Aveum")</f>
        <v>Immortals of Aveum</v>
      </c>
      <c r="B734" s="13" t="str">
        <f>IFERROR(__xludf.DUMMYFUNCTION("""COMPUTED_VALUE"""),"Xbox / PC")</f>
        <v>Xbox / PC</v>
      </c>
      <c r="C734" s="14" t="str">
        <f>IFERROR(__xludf.DUMMYFUNCTION("""COMPUTED_VALUE"""),"Yes")</f>
        <v>Yes</v>
      </c>
      <c r="D734" s="14" t="str">
        <f>IFERROR(__xludf.DUMMYFUNCTION("""COMPUTED_VALUE"""),"Active")</f>
        <v>Active</v>
      </c>
      <c r="E734" s="15">
        <f>IFERROR(__xludf.DUMMYFUNCTION("""COMPUTED_VALUE"""),45427.0)</f>
        <v>45427</v>
      </c>
      <c r="F734" s="16"/>
      <c r="G734" s="18">
        <f>IFERROR(__xludf.DUMMYFUNCTION("""COMPUTED_VALUE"""),28.7)</f>
        <v>28.7</v>
      </c>
      <c r="H734" s="15">
        <f>IFERROR(__xludf.DUMMYFUNCTION("""COMPUTED_VALUE"""),45160.0)</f>
        <v>45160</v>
      </c>
      <c r="I734" s="18">
        <f>IFERROR(__xludf.DUMMYFUNCTION("""COMPUTED_VALUE"""),0.7305555555555555)</f>
        <v>0.7305555556</v>
      </c>
      <c r="J734" s="22">
        <f>IFERROR(__xludf.DUMMYFUNCTION("""COMPUTED_VALUE"""),69.0)</f>
        <v>69</v>
      </c>
      <c r="K734" s="22">
        <f>IFERROR(__xludf.DUMMYFUNCTION("""COMPUTED_VALUE"""),15.0)</f>
        <v>15</v>
      </c>
      <c r="L734" s="26" t="str">
        <f>IFERROR(__xludf.DUMMYFUNCTION("""COMPUTED_VALUE"""),"Shooter")</f>
        <v>Shooter</v>
      </c>
      <c r="M734" s="13" t="b">
        <f>NOT(ISNA(VLOOKUP(A734,PC!A:A,1,FALSE)))</f>
        <v>1</v>
      </c>
      <c r="N734" s="13" t="b">
        <f>NOT(ISNA(VLOOKUP(A734,'Game Pass Premium'!A:A,1,FALSE)))</f>
        <v>1</v>
      </c>
      <c r="O734" s="13" t="b">
        <f>NOT(ISNA(VLOOKUP(A734,'Game Pass Essential'!A:A,1,FALSE)))</f>
        <v>0</v>
      </c>
    </row>
    <row r="735">
      <c r="A735" s="12" t="str">
        <f>IFERROR(__xludf.DUMMYFUNCTION("""COMPUTED_VALUE"""),"The Cave")</f>
        <v>The Cave</v>
      </c>
      <c r="B735" s="13" t="str">
        <f>IFERROR(__xludf.DUMMYFUNCTION("""COMPUTED_VALUE"""),"Xbox")</f>
        <v>Xbox</v>
      </c>
      <c r="C735" s="14" t="str">
        <f>IFERROR(__xludf.DUMMYFUNCTION("""COMPUTED_VALUE"""),"Yes")</f>
        <v>Yes</v>
      </c>
      <c r="D735" s="14" t="str">
        <f>IFERROR(__xludf.DUMMYFUNCTION("""COMPUTED_VALUE"""),"Active")</f>
        <v>Active</v>
      </c>
      <c r="E735" s="15">
        <f>IFERROR(__xludf.DUMMYFUNCTION("""COMPUTED_VALUE"""),45125.0)</f>
        <v>45125</v>
      </c>
      <c r="F735" s="16"/>
      <c r="G735" s="18">
        <f>IFERROR(__xludf.DUMMYFUNCTION("""COMPUTED_VALUE"""),38.6)</f>
        <v>38.6</v>
      </c>
      <c r="H735" s="15">
        <f>IFERROR(__xludf.DUMMYFUNCTION("""COMPUTED_VALUE"""),41600.0)</f>
        <v>41600</v>
      </c>
      <c r="I735" s="18">
        <f>IFERROR(__xludf.DUMMYFUNCTION("""COMPUTED_VALUE"""),9.655555555555555)</f>
        <v>9.655555556</v>
      </c>
      <c r="J735" s="22">
        <f>IFERROR(__xludf.DUMMYFUNCTION("""COMPUTED_VALUE"""),69.0)</f>
        <v>69</v>
      </c>
      <c r="K735" s="22">
        <f>IFERROR(__xludf.DUMMYFUNCTION("""COMPUTED_VALUE"""),5.0)</f>
        <v>5</v>
      </c>
      <c r="L735" s="26" t="str">
        <f>IFERROR(__xludf.DUMMYFUNCTION("""COMPUTED_VALUE"""),"Platformer")</f>
        <v>Platformer</v>
      </c>
      <c r="M735" s="13" t="b">
        <f>NOT(ISNA(VLOOKUP(A735,PC!A:A,1,FALSE)))</f>
        <v>0</v>
      </c>
      <c r="N735" s="13" t="b">
        <f>NOT(ISNA(VLOOKUP(A735,'Game Pass Premium'!A:A,1,FALSE)))</f>
        <v>1</v>
      </c>
      <c r="O735" s="13" t="b">
        <f>NOT(ISNA(VLOOKUP(A735,'Game Pass Essential'!A:A,1,FALSE)))</f>
        <v>0</v>
      </c>
    </row>
    <row r="736">
      <c r="A736" s="12" t="str">
        <f>IFERROR(__xludf.DUMMYFUNCTION("""COMPUTED_VALUE"""),"Minecraft: Legends")</f>
        <v>Minecraft: Legends</v>
      </c>
      <c r="B736" s="13" t="str">
        <f>IFERROR(__xludf.DUMMYFUNCTION("""COMPUTED_VALUE"""),"Xbox / PC")</f>
        <v>Xbox / PC</v>
      </c>
      <c r="C736" s="14" t="str">
        <f>IFERROR(__xludf.DUMMYFUNCTION("""COMPUTED_VALUE"""),"Yes")</f>
        <v>Yes</v>
      </c>
      <c r="D736" s="14" t="str">
        <f>IFERROR(__xludf.DUMMYFUNCTION("""COMPUTED_VALUE"""),"Active")</f>
        <v>Active</v>
      </c>
      <c r="E736" s="15">
        <f>IFERROR(__xludf.DUMMYFUNCTION("""COMPUTED_VALUE"""),45034.0)</f>
        <v>45034</v>
      </c>
      <c r="F736" s="16"/>
      <c r="G736" s="18">
        <f>IFERROR(__xludf.DUMMYFUNCTION("""COMPUTED_VALUE"""),41.6)</f>
        <v>41.6</v>
      </c>
      <c r="H736" s="15">
        <f>IFERROR(__xludf.DUMMYFUNCTION("""COMPUTED_VALUE"""),45034.0)</f>
        <v>45034</v>
      </c>
      <c r="I736" s="18">
        <f>IFERROR(__xludf.DUMMYFUNCTION("""COMPUTED_VALUE"""),0.0)</f>
        <v>0</v>
      </c>
      <c r="J736" s="22">
        <f>IFERROR(__xludf.DUMMYFUNCTION("""COMPUTED_VALUE"""),69.0)</f>
        <v>69</v>
      </c>
      <c r="K736" s="22">
        <f>IFERROR(__xludf.DUMMYFUNCTION("""COMPUTED_VALUE"""),8.0)</f>
        <v>8</v>
      </c>
      <c r="L736" s="26" t="str">
        <f>IFERROR(__xludf.DUMMYFUNCTION("""COMPUTED_VALUE"""),"Action-Adventure")</f>
        <v>Action-Adventure</v>
      </c>
      <c r="M736" s="13" t="b">
        <f>NOT(ISNA(VLOOKUP(A736,PC!A:A,1,FALSE)))</f>
        <v>1</v>
      </c>
      <c r="N736" s="13" t="b">
        <f>NOT(ISNA(VLOOKUP(A736,'Game Pass Premium'!A:A,1,FALSE)))</f>
        <v>1</v>
      </c>
      <c r="O736" s="13" t="b">
        <f>NOT(ISNA(VLOOKUP(A736,'Game Pass Essential'!A:A,1,FALSE)))</f>
        <v>0</v>
      </c>
    </row>
    <row r="737">
      <c r="A737" s="12" t="str">
        <f>IFERROR(__xludf.DUMMYFUNCTION("""COMPUTED_VALUE"""),"Bejeweled 2")</f>
        <v>Bejeweled 2</v>
      </c>
      <c r="B737" s="13" t="str">
        <f>IFERROR(__xludf.DUMMYFUNCTION("""COMPUTED_VALUE"""),"Xbox")</f>
        <v>Xbox</v>
      </c>
      <c r="C737" s="14"/>
      <c r="D737" s="14" t="str">
        <f>IFERROR(__xludf.DUMMYFUNCTION("""COMPUTED_VALUE"""),"Active")</f>
        <v>Active</v>
      </c>
      <c r="E737" s="15">
        <f>IFERROR(__xludf.DUMMYFUNCTION("""COMPUTED_VALUE"""),44145.0)</f>
        <v>44145</v>
      </c>
      <c r="F737" s="16"/>
      <c r="G737" s="18">
        <f>IFERROR(__xludf.DUMMYFUNCTION("""COMPUTED_VALUE"""),70.86666666666667)</f>
        <v>70.86666667</v>
      </c>
      <c r="H737" s="15">
        <f>IFERROR(__xludf.DUMMYFUNCTION("""COMPUTED_VALUE"""),38296.0)</f>
        <v>38296</v>
      </c>
      <c r="I737" s="18">
        <f>IFERROR(__xludf.DUMMYFUNCTION("""COMPUTED_VALUE"""),16.01388888888889)</f>
        <v>16.01388889</v>
      </c>
      <c r="J737" s="22">
        <f>IFERROR(__xludf.DUMMYFUNCTION("""COMPUTED_VALUE"""),69.0)</f>
        <v>69</v>
      </c>
      <c r="K737" s="22">
        <f>IFERROR(__xludf.DUMMYFUNCTION("""COMPUTED_VALUE"""),1.5)</f>
        <v>1.5</v>
      </c>
      <c r="L737" s="26" t="str">
        <f>IFERROR(__xludf.DUMMYFUNCTION("""COMPUTED_VALUE"""),"Puzzle")</f>
        <v>Puzzle</v>
      </c>
      <c r="M737" s="13" t="b">
        <f>NOT(ISNA(VLOOKUP(A737,PC!A:A,1,FALSE)))</f>
        <v>0</v>
      </c>
      <c r="N737" s="13" t="b">
        <f>NOT(ISNA(VLOOKUP(A737,'Game Pass Premium'!A:A,1,FALSE)))</f>
        <v>1</v>
      </c>
      <c r="O737" s="13" t="b">
        <f>NOT(ISNA(VLOOKUP(A737,'Game Pass Essential'!A:A,1,FALSE)))</f>
        <v>0</v>
      </c>
    </row>
    <row r="738">
      <c r="A738" s="12" t="str">
        <f>IFERROR(__xludf.DUMMYFUNCTION("""COMPUTED_VALUE"""),"No Man's Sky")</f>
        <v>No Man's Sky</v>
      </c>
      <c r="B738" s="13" t="str">
        <f>IFERROR(__xludf.DUMMYFUNCTION("""COMPUTED_VALUE"""),"Xbox / PC")</f>
        <v>Xbox / PC</v>
      </c>
      <c r="C738" s="14" t="str">
        <f>IFERROR(__xludf.DUMMYFUNCTION("""COMPUTED_VALUE"""),"Yes")</f>
        <v>Yes</v>
      </c>
      <c r="D738" s="14" t="str">
        <f>IFERROR(__xludf.DUMMYFUNCTION("""COMPUTED_VALUE"""),"Active")</f>
        <v>Active</v>
      </c>
      <c r="E738" s="15">
        <f>IFERROR(__xludf.DUMMYFUNCTION("""COMPUTED_VALUE"""),43993.0)</f>
        <v>43993</v>
      </c>
      <c r="F738" s="16"/>
      <c r="G738" s="18">
        <f>IFERROR(__xludf.DUMMYFUNCTION("""COMPUTED_VALUE"""),75.83333333333334)</f>
        <v>75.83333333</v>
      </c>
      <c r="H738" s="15">
        <f>IFERROR(__xludf.DUMMYFUNCTION("""COMPUTED_VALUE"""),42591.0)</f>
        <v>42591</v>
      </c>
      <c r="I738" s="18">
        <f>IFERROR(__xludf.DUMMYFUNCTION("""COMPUTED_VALUE"""),3.838888888888889)</f>
        <v>3.838888889</v>
      </c>
      <c r="J738" s="22">
        <f>IFERROR(__xludf.DUMMYFUNCTION("""COMPUTED_VALUE"""),69.0)</f>
        <v>69</v>
      </c>
      <c r="K738" s="22">
        <f>IFERROR(__xludf.DUMMYFUNCTION("""COMPUTED_VALUE"""),30.5)</f>
        <v>30.5</v>
      </c>
      <c r="L738" s="26" t="str">
        <f>IFERROR(__xludf.DUMMYFUNCTION("""COMPUTED_VALUE"""),"Action-Adventure")</f>
        <v>Action-Adventure</v>
      </c>
      <c r="M738" s="13" t="b">
        <f>NOT(ISNA(VLOOKUP(A738,PC!A:A,1,FALSE)))</f>
        <v>1</v>
      </c>
      <c r="N738" s="13" t="b">
        <f>NOT(ISNA(VLOOKUP(A738,'Game Pass Premium'!A:A,1,FALSE)))</f>
        <v>1</v>
      </c>
      <c r="O738" s="13" t="b">
        <f>NOT(ISNA(VLOOKUP(A738,'Game Pass Essential'!A:A,1,FALSE)))</f>
        <v>0</v>
      </c>
    </row>
    <row r="739">
      <c r="A739" s="12" t="str">
        <f>IFERROR(__xludf.DUMMYFUNCTION("""COMPUTED_VALUE"""),"ARK: Ultimate Survivor Edition ")</f>
        <v>ARK: Ultimate Survivor Edition </v>
      </c>
      <c r="B739" s="13" t="str">
        <f>IFERROR(__xludf.DUMMYFUNCTION("""COMPUTED_VALUE"""),"Xbox / PC")</f>
        <v>Xbox / PC</v>
      </c>
      <c r="C739" s="14" t="str">
        <f>IFERROR(__xludf.DUMMYFUNCTION("""COMPUTED_VALUE"""),"Yes")</f>
        <v>Yes</v>
      </c>
      <c r="D739" s="14" t="str">
        <f>IFERROR(__xludf.DUMMYFUNCTION("""COMPUTED_VALUE"""),"Active")</f>
        <v>Active</v>
      </c>
      <c r="E739" s="15">
        <f>IFERROR(__xludf.DUMMYFUNCTION("""COMPUTED_VALUE"""),43468.0)</f>
        <v>43468</v>
      </c>
      <c r="F739" s="16"/>
      <c r="G739" s="18">
        <f>IFERROR(__xludf.DUMMYFUNCTION("""COMPUTED_VALUE"""),93.10000000000001)</f>
        <v>93.1</v>
      </c>
      <c r="H739" s="15">
        <f>IFERROR(__xludf.DUMMYFUNCTION("""COMPUTED_VALUE"""),42710.0)</f>
        <v>42710</v>
      </c>
      <c r="I739" s="18">
        <f>IFERROR(__xludf.DUMMYFUNCTION("""COMPUTED_VALUE"""),2.075)</f>
        <v>2.075</v>
      </c>
      <c r="J739" s="22">
        <f>IFERROR(__xludf.DUMMYFUNCTION("""COMPUTED_VALUE"""),69.0)</f>
        <v>69</v>
      </c>
      <c r="K739" s="22">
        <f>IFERROR(__xludf.DUMMYFUNCTION("""COMPUTED_VALUE"""),123.0)</f>
        <v>123</v>
      </c>
      <c r="L739" s="26" t="str">
        <f>IFERROR(__xludf.DUMMYFUNCTION("""COMPUTED_VALUE"""),"Action-Adventure")</f>
        <v>Action-Adventure</v>
      </c>
      <c r="M739" s="13" t="b">
        <f>NOT(ISNA(VLOOKUP(A739,PC!A:A,1,FALSE)))</f>
        <v>1</v>
      </c>
      <c r="N739" s="13" t="b">
        <f>NOT(ISNA(VLOOKUP(A739,'Game Pass Premium'!A:A,1,FALSE)))</f>
        <v>1</v>
      </c>
      <c r="O739" s="13" t="b">
        <f>NOT(ISNA(VLOOKUP(A739,'Game Pass Essential'!A:A,1,FALSE)))</f>
        <v>0</v>
      </c>
    </row>
    <row r="740">
      <c r="A740" s="12" t="str">
        <f>IFERROR(__xludf.DUMMYFUNCTION("""COMPUTED_VALUE"""),"Sea of Thieves")</f>
        <v>Sea of Thieves</v>
      </c>
      <c r="B740" s="13" t="str">
        <f>IFERROR(__xludf.DUMMYFUNCTION("""COMPUTED_VALUE"""),"Xbox / PC")</f>
        <v>Xbox / PC</v>
      </c>
      <c r="C740" s="14" t="str">
        <f>IFERROR(__xludf.DUMMYFUNCTION("""COMPUTED_VALUE"""),"Touch Controls, M+KB")</f>
        <v>Touch Controls, M+KB</v>
      </c>
      <c r="D740" s="14" t="str">
        <f>IFERROR(__xludf.DUMMYFUNCTION("""COMPUTED_VALUE"""),"Active")</f>
        <v>Active</v>
      </c>
      <c r="E740" s="15">
        <f>IFERROR(__xludf.DUMMYFUNCTION("""COMPUTED_VALUE"""),43179.0)</f>
        <v>43179</v>
      </c>
      <c r="F740" s="16"/>
      <c r="G740" s="18">
        <f>IFERROR(__xludf.DUMMYFUNCTION("""COMPUTED_VALUE"""),102.53333333333333)</f>
        <v>102.5333333</v>
      </c>
      <c r="H740" s="15">
        <f>IFERROR(__xludf.DUMMYFUNCTION("""COMPUTED_VALUE"""),43179.0)</f>
        <v>43179</v>
      </c>
      <c r="I740" s="18">
        <f>IFERROR(__xludf.DUMMYFUNCTION("""COMPUTED_VALUE"""),0.0)</f>
        <v>0</v>
      </c>
      <c r="J740" s="22">
        <f>IFERROR(__xludf.DUMMYFUNCTION("""COMPUTED_VALUE"""),69.0)</f>
        <v>69</v>
      </c>
      <c r="K740" s="22">
        <f>IFERROR(__xludf.DUMMYFUNCTION("""COMPUTED_VALUE"""),33.5)</f>
        <v>33.5</v>
      </c>
      <c r="L740" s="26" t="str">
        <f>IFERROR(__xludf.DUMMYFUNCTION("""COMPUTED_VALUE"""),"Action-Adventure")</f>
        <v>Action-Adventure</v>
      </c>
      <c r="M740" s="13" t="b">
        <f>NOT(ISNA(VLOOKUP(A740,PC!A:A,1,FALSE)))</f>
        <v>1</v>
      </c>
      <c r="N740" s="13" t="b">
        <f>NOT(ISNA(VLOOKUP(A740,'Game Pass Premium'!A:A,1,FALSE)))</f>
        <v>1</v>
      </c>
      <c r="O740" s="13" t="b">
        <f>NOT(ISNA(VLOOKUP(A740,'Game Pass Essential'!A:A,1,FALSE)))</f>
        <v>0</v>
      </c>
    </row>
    <row r="741">
      <c r="A741" s="12" t="str">
        <f>IFERROR(__xludf.DUMMYFUNCTION("""COMPUTED_VALUE"""),"Hydro Thunder: Hurricane")</f>
        <v>Hydro Thunder: Hurricane</v>
      </c>
      <c r="B741" s="13" t="str">
        <f>IFERROR(__xludf.DUMMYFUNCTION("""COMPUTED_VALUE"""),"XB360/OG Xbox")</f>
        <v>XB360/OG Xbox</v>
      </c>
      <c r="C741" s="14"/>
      <c r="D741" s="14" t="str">
        <f>IFERROR(__xludf.DUMMYFUNCTION("""COMPUTED_VALUE"""),"GwG Permanent")</f>
        <v>GwG Permanent</v>
      </c>
      <c r="E741" s="15">
        <f>IFERROR(__xludf.DUMMYFUNCTION("""COMPUTED_VALUE"""),44682.0)</f>
        <v>44682</v>
      </c>
      <c r="F741" s="16">
        <f>IFERROR(__xludf.DUMMYFUNCTION("""COMPUTED_VALUE"""),44696.0)</f>
        <v>44696</v>
      </c>
      <c r="G741" s="18">
        <f>IFERROR(__xludf.DUMMYFUNCTION("""COMPUTED_VALUE"""),0.4666666666666667)</f>
        <v>0.4666666667</v>
      </c>
      <c r="H741" s="15">
        <f>IFERROR(__xludf.DUMMYFUNCTION("""COMPUTED_VALUE"""),41613.0)</f>
        <v>41613</v>
      </c>
      <c r="I741" s="18">
        <f>IFERROR(__xludf.DUMMYFUNCTION("""COMPUTED_VALUE"""),8.405555555555555)</f>
        <v>8.405555556</v>
      </c>
      <c r="J741" s="22">
        <f>IFERROR(__xludf.DUMMYFUNCTION("""COMPUTED_VALUE"""),69.0)</f>
        <v>69</v>
      </c>
      <c r="K741" s="22">
        <f>IFERROR(__xludf.DUMMYFUNCTION("""COMPUTED_VALUE"""),5.0)</f>
        <v>5</v>
      </c>
      <c r="L741" s="26" t="str">
        <f>IFERROR(__xludf.DUMMYFUNCTION("""COMPUTED_VALUE"""),"Racing")</f>
        <v>Racing</v>
      </c>
      <c r="M741" s="13" t="b">
        <f>NOT(ISNA(VLOOKUP(A741,PC!A:A,1,FALSE)))</f>
        <v>0</v>
      </c>
      <c r="N741" s="13" t="b">
        <f>NOT(ISNA(VLOOKUP(A741,'Game Pass Premium'!A:A,1,FALSE)))</f>
        <v>0</v>
      </c>
      <c r="O741" s="13" t="b">
        <f>NOT(ISNA(VLOOKUP(A741,'Game Pass Essential'!A:A,1,FALSE)))</f>
        <v>0</v>
      </c>
    </row>
    <row r="742">
      <c r="A742" s="12" t="str">
        <f>IFERROR(__xludf.DUMMYFUNCTION("""COMPUTED_VALUE"""),"Ninja Gaiden 3: Razor's Edge")</f>
        <v>Ninja Gaiden 3: Razor's Edge</v>
      </c>
      <c r="B742" s="13" t="str">
        <f>IFERROR(__xludf.DUMMYFUNCTION("""COMPUTED_VALUE"""),"XB360/OG Xbox")</f>
        <v>XB360/OG Xbox</v>
      </c>
      <c r="C742" s="14"/>
      <c r="D742" s="14" t="str">
        <f>IFERROR(__xludf.DUMMYFUNCTION("""COMPUTED_VALUE"""),"GwG Permanent")</f>
        <v>GwG Permanent</v>
      </c>
      <c r="E742" s="15">
        <f>IFERROR(__xludf.DUMMYFUNCTION("""COMPUTED_VALUE"""),43754.0)</f>
        <v>43754</v>
      </c>
      <c r="F742" s="16">
        <f>IFERROR(__xludf.DUMMYFUNCTION("""COMPUTED_VALUE"""),43769.0)</f>
        <v>43769</v>
      </c>
      <c r="G742" s="18">
        <f>IFERROR(__xludf.DUMMYFUNCTION("""COMPUTED_VALUE"""),0.4666666666666667)</f>
        <v>0.4666666667</v>
      </c>
      <c r="H742" s="15">
        <f>IFERROR(__xludf.DUMMYFUNCTION("""COMPUTED_VALUE"""),41231.0)</f>
        <v>41231</v>
      </c>
      <c r="I742" s="18">
        <f>IFERROR(__xludf.DUMMYFUNCTION("""COMPUTED_VALUE"""),6.911111111111111)</f>
        <v>6.911111111</v>
      </c>
      <c r="J742" s="22">
        <f>IFERROR(__xludf.DUMMYFUNCTION("""COMPUTED_VALUE"""),69.0)</f>
        <v>69</v>
      </c>
      <c r="K742" s="22">
        <f>IFERROR(__xludf.DUMMYFUNCTION("""COMPUTED_VALUE"""),10.0)</f>
        <v>10</v>
      </c>
      <c r="L742" s="26" t="str">
        <f>IFERROR(__xludf.DUMMYFUNCTION("""COMPUTED_VALUE"""),"Action-Adventure")</f>
        <v>Action-Adventure</v>
      </c>
      <c r="M742" s="13" t="b">
        <f>NOT(ISNA(VLOOKUP(A742,PC!A:A,1,FALSE)))</f>
        <v>0</v>
      </c>
      <c r="N742" s="13" t="b">
        <f>NOT(ISNA(VLOOKUP(A742,'Game Pass Premium'!A:A,1,FALSE)))</f>
        <v>0</v>
      </c>
      <c r="O742" s="13" t="b">
        <f>NOT(ISNA(VLOOKUP(A742,'Game Pass Essential'!A:A,1,FALSE)))</f>
        <v>0</v>
      </c>
    </row>
    <row r="743">
      <c r="A743" s="12" t="str">
        <f>IFERROR(__xludf.DUMMYFUNCTION("""COMPUTED_VALUE"""),"Hydro Thunder Hurricane")</f>
        <v>Hydro Thunder Hurricane</v>
      </c>
      <c r="B743" s="13" t="str">
        <f>IFERROR(__xludf.DUMMYFUNCTION("""COMPUTED_VALUE"""),"XB360/OG Xbox")</f>
        <v>XB360/OG Xbox</v>
      </c>
      <c r="C743" s="14"/>
      <c r="D743" s="14" t="str">
        <f>IFERROR(__xludf.DUMMYFUNCTION("""COMPUTED_VALUE"""),"GwG Permanent")</f>
        <v>GwG Permanent</v>
      </c>
      <c r="E743" s="15">
        <f>IFERROR(__xludf.DUMMYFUNCTION("""COMPUTED_VALUE"""),42979.0)</f>
        <v>42979</v>
      </c>
      <c r="F743" s="16">
        <f>IFERROR(__xludf.DUMMYFUNCTION("""COMPUTED_VALUE"""),42993.0)</f>
        <v>42993</v>
      </c>
      <c r="G743" s="18">
        <f>IFERROR(__xludf.DUMMYFUNCTION("""COMPUTED_VALUE"""),0.4666666666666667)</f>
        <v>0.4666666667</v>
      </c>
      <c r="H743" s="15">
        <f>IFERROR(__xludf.DUMMYFUNCTION("""COMPUTED_VALUE"""),41613.0)</f>
        <v>41613</v>
      </c>
      <c r="I743" s="18">
        <f>IFERROR(__xludf.DUMMYFUNCTION("""COMPUTED_VALUE"""),3.738888888888889)</f>
        <v>3.738888889</v>
      </c>
      <c r="J743" s="22">
        <f>IFERROR(__xludf.DUMMYFUNCTION("""COMPUTED_VALUE"""),69.0)</f>
        <v>69</v>
      </c>
      <c r="K743" s="22">
        <f>IFERROR(__xludf.DUMMYFUNCTION("""COMPUTED_VALUE"""),5.0)</f>
        <v>5</v>
      </c>
      <c r="L743" s="26" t="str">
        <f>IFERROR(__xludf.DUMMYFUNCTION("""COMPUTED_VALUE"""),"Racing")</f>
        <v>Racing</v>
      </c>
      <c r="M743" s="13" t="b">
        <f>NOT(ISNA(VLOOKUP(A743,PC!A:A,1,FALSE)))</f>
        <v>0</v>
      </c>
      <c r="N743" s="13" t="b">
        <f>NOT(ISNA(VLOOKUP(A743,'Game Pass Premium'!A:A,1,FALSE)))</f>
        <v>0</v>
      </c>
      <c r="O743" s="13" t="b">
        <f>NOT(ISNA(VLOOKUP(A743,'Game Pass Essential'!A:A,1,FALSE)))</f>
        <v>0</v>
      </c>
    </row>
    <row r="744">
      <c r="A744" s="12" t="str">
        <f>IFERROR(__xludf.DUMMYFUNCTION("""COMPUTED_VALUE"""),"The Gunk")</f>
        <v>The Gunk</v>
      </c>
      <c r="B744" s="13" t="str">
        <f>IFERROR(__xludf.DUMMYFUNCTION("""COMPUTED_VALUE"""),"Xbox / PC")</f>
        <v>Xbox / PC</v>
      </c>
      <c r="C744" s="14" t="str">
        <f>IFERROR(__xludf.DUMMYFUNCTION("""COMPUTED_VALUE"""),"Touch Controls")</f>
        <v>Touch Controls</v>
      </c>
      <c r="D744" s="14" t="str">
        <f>IFERROR(__xludf.DUMMYFUNCTION("""COMPUTED_VALUE"""),"Active")</f>
        <v>Active</v>
      </c>
      <c r="E744" s="15">
        <f>IFERROR(__xludf.DUMMYFUNCTION("""COMPUTED_VALUE"""),44546.0)</f>
        <v>44546</v>
      </c>
      <c r="F744" s="16"/>
      <c r="G744" s="18">
        <f>IFERROR(__xludf.DUMMYFUNCTION("""COMPUTED_VALUE"""),57.666666666666664)</f>
        <v>57.66666667</v>
      </c>
      <c r="H744" s="15">
        <f>IFERROR(__xludf.DUMMYFUNCTION("""COMPUTED_VALUE"""),44546.0)</f>
        <v>44546</v>
      </c>
      <c r="I744" s="18">
        <f>IFERROR(__xludf.DUMMYFUNCTION("""COMPUTED_VALUE"""),0.0)</f>
        <v>0</v>
      </c>
      <c r="J744" s="22">
        <f>IFERROR(__xludf.DUMMYFUNCTION("""COMPUTED_VALUE"""),68.33333333333333)</f>
        <v>68.33333333</v>
      </c>
      <c r="K744" s="22">
        <f>IFERROR(__xludf.DUMMYFUNCTION("""COMPUTED_VALUE"""),4.5)</f>
        <v>4.5</v>
      </c>
      <c r="L744" s="26" t="str">
        <f>IFERROR(__xludf.DUMMYFUNCTION("""COMPUTED_VALUE"""),"Action-Adventure")</f>
        <v>Action-Adventure</v>
      </c>
      <c r="M744" s="13" t="b">
        <f>NOT(ISNA(VLOOKUP(A744,PC!A:A,1,FALSE)))</f>
        <v>1</v>
      </c>
      <c r="N744" s="13" t="b">
        <f>NOT(ISNA(VLOOKUP(A744,'Game Pass Premium'!A:A,1,FALSE)))</f>
        <v>1</v>
      </c>
      <c r="O744" s="13" t="b">
        <f>NOT(ISNA(VLOOKUP(A744,'Game Pass Essential'!A:A,1,FALSE)))</f>
        <v>0</v>
      </c>
    </row>
    <row r="745">
      <c r="A745" s="12" t="str">
        <f>IFERROR(__xludf.DUMMYFUNCTION("""COMPUTED_VALUE"""),"Kiln")</f>
        <v>Kiln</v>
      </c>
      <c r="B745" s="13" t="str">
        <f>IFERROR(__xludf.DUMMYFUNCTION("""COMPUTED_VALUE"""),"Xbox / PC")</f>
        <v>Xbox / PC</v>
      </c>
      <c r="C745" s="14" t="str">
        <f>IFERROR(__xludf.DUMMYFUNCTION("""COMPUTED_VALUE"""),"Yes")</f>
        <v>Yes</v>
      </c>
      <c r="D745" s="14" t="str">
        <f>IFERROR(__xludf.DUMMYFUNCTION("""COMPUTED_VALUE"""),"Active")</f>
        <v>Active</v>
      </c>
      <c r="E745" s="15">
        <f>IFERROR(__xludf.DUMMYFUNCTION("""COMPUTED_VALUE"""),46135.0)</f>
        <v>46135</v>
      </c>
      <c r="F745" s="16"/>
      <c r="G745" s="18">
        <f>IFERROR(__xludf.DUMMYFUNCTION("""COMPUTED_VALUE"""),5.433333333333334)</f>
        <v>5.433333333</v>
      </c>
      <c r="H745" s="15">
        <f>IFERROR(__xludf.DUMMYFUNCTION("""COMPUTED_VALUE"""),46135.0)</f>
        <v>46135</v>
      </c>
      <c r="I745" s="18">
        <f>IFERROR(__xludf.DUMMYFUNCTION("""COMPUTED_VALUE"""),0.0)</f>
        <v>0</v>
      </c>
      <c r="J745" s="22">
        <f>IFERROR(__xludf.DUMMYFUNCTION("""COMPUTED_VALUE"""),68.0)</f>
        <v>68</v>
      </c>
      <c r="K745" s="22">
        <f>IFERROR(__xludf.DUMMYFUNCTION("""COMPUTED_VALUE"""),6.0)</f>
        <v>6</v>
      </c>
      <c r="L745" s="26" t="str">
        <f>IFERROR(__xludf.DUMMYFUNCTION("""COMPUTED_VALUE"""),"Shooter")</f>
        <v>Shooter</v>
      </c>
      <c r="M745" s="13" t="b">
        <f>NOT(ISNA(VLOOKUP(A745,PC!A:A,1,FALSE)))</f>
        <v>1</v>
      </c>
      <c r="N745" s="13" t="b">
        <f>NOT(ISNA(VLOOKUP(A745,'Game Pass Premium'!A:A,1,FALSE)))</f>
        <v>0</v>
      </c>
      <c r="O745" s="13" t="b">
        <f>NOT(ISNA(VLOOKUP(A745,'Game Pass Essential'!A:A,1,FALSE)))</f>
        <v>0</v>
      </c>
    </row>
    <row r="746">
      <c r="A746" s="12" t="str">
        <f>IFERROR(__xludf.DUMMYFUNCTION("""COMPUTED_VALUE"""),"Winter Burrow")</f>
        <v>Winter Burrow</v>
      </c>
      <c r="B746" s="13" t="str">
        <f>IFERROR(__xludf.DUMMYFUNCTION("""COMPUTED_VALUE"""),"Xbox / PC")</f>
        <v>Xbox / PC</v>
      </c>
      <c r="C746" s="14" t="str">
        <f>IFERROR(__xludf.DUMMYFUNCTION("""COMPUTED_VALUE"""),"Yes")</f>
        <v>Yes</v>
      </c>
      <c r="D746" s="14" t="str">
        <f>IFERROR(__xludf.DUMMYFUNCTION("""COMPUTED_VALUE"""),"Active")</f>
        <v>Active</v>
      </c>
      <c r="E746" s="15">
        <f>IFERROR(__xludf.DUMMYFUNCTION("""COMPUTED_VALUE"""),45973.0)</f>
        <v>45973</v>
      </c>
      <c r="F746" s="16"/>
      <c r="G746" s="18">
        <f>IFERROR(__xludf.DUMMYFUNCTION("""COMPUTED_VALUE"""),10.8)</f>
        <v>10.8</v>
      </c>
      <c r="H746" s="15">
        <f>IFERROR(__xludf.DUMMYFUNCTION("""COMPUTED_VALUE"""),45973.0)</f>
        <v>45973</v>
      </c>
      <c r="I746" s="18">
        <f>IFERROR(__xludf.DUMMYFUNCTION("""COMPUTED_VALUE"""),0.0)</f>
        <v>0</v>
      </c>
      <c r="J746" s="22">
        <f>IFERROR(__xludf.DUMMYFUNCTION("""COMPUTED_VALUE"""),68.0)</f>
        <v>68</v>
      </c>
      <c r="K746" s="22">
        <f>IFERROR(__xludf.DUMMYFUNCTION("""COMPUTED_VALUE"""),8.0)</f>
        <v>8</v>
      </c>
      <c r="L746" s="26" t="str">
        <f>IFERROR(__xludf.DUMMYFUNCTION("""COMPUTED_VALUE"""),"Action-Adventure")</f>
        <v>Action-Adventure</v>
      </c>
      <c r="M746" s="13" t="b">
        <f>NOT(ISNA(VLOOKUP(A746,PC!A:A,1,FALSE)))</f>
        <v>1</v>
      </c>
      <c r="N746" s="13" t="b">
        <f>NOT(ISNA(VLOOKUP(A746,'Game Pass Premium'!A:A,1,FALSE)))</f>
        <v>0</v>
      </c>
      <c r="O746" s="13" t="b">
        <f>NOT(ISNA(VLOOKUP(A746,'Game Pass Essential'!A:A,1,FALSE)))</f>
        <v>0</v>
      </c>
    </row>
    <row r="747">
      <c r="A747" s="12" t="str">
        <f>IFERROR(__xludf.DUMMYFUNCTION("""COMPUTED_VALUE"""),"Subterranea")</f>
        <v>Subterranea</v>
      </c>
      <c r="B747" s="13" t="str">
        <f>IFERROR(__xludf.DUMMYFUNCTION("""COMPUTED_VALUE"""),"Xbox / PC")</f>
        <v>Xbox / PC</v>
      </c>
      <c r="C747" s="14" t="str">
        <f>IFERROR(__xludf.DUMMYFUNCTION("""COMPUTED_VALUE"""),"Yes")</f>
        <v>Yes</v>
      </c>
      <c r="D747" s="14" t="str">
        <f>IFERROR(__xludf.DUMMYFUNCTION("""COMPUTED_VALUE"""),"Active")</f>
        <v>Active</v>
      </c>
      <c r="E747" s="15">
        <f>IFERROR(__xludf.DUMMYFUNCTION("""COMPUTED_VALUE"""),45839.0)</f>
        <v>45839</v>
      </c>
      <c r="F747" s="16"/>
      <c r="G747" s="18">
        <f>IFERROR(__xludf.DUMMYFUNCTION("""COMPUTED_VALUE"""),15.166666666666666)</f>
        <v>15.16666667</v>
      </c>
      <c r="H747" s="15">
        <f>IFERROR(__xludf.DUMMYFUNCTION("""COMPUTED_VALUE"""),30317.0)</f>
        <v>30317</v>
      </c>
      <c r="I747" s="18">
        <f>IFERROR(__xludf.DUMMYFUNCTION("""COMPUTED_VALUE"""),42.5)</f>
        <v>42.5</v>
      </c>
      <c r="J747" s="22">
        <f>IFERROR(__xludf.DUMMYFUNCTION("""COMPUTED_VALUE"""),68.0)</f>
        <v>68</v>
      </c>
      <c r="K747" s="22"/>
      <c r="L747" s="26" t="str">
        <f>IFERROR(__xludf.DUMMYFUNCTION("""COMPUTED_VALUE"""),"Shooter")</f>
        <v>Shooter</v>
      </c>
      <c r="M747" s="13" t="b">
        <f>NOT(ISNA(VLOOKUP(A747,PC!A:A,1,FALSE)))</f>
        <v>1</v>
      </c>
      <c r="N747" s="13" t="b">
        <f>NOT(ISNA(VLOOKUP(A747,'Game Pass Premium'!A:A,1,FALSE)))</f>
        <v>1</v>
      </c>
      <c r="O747" s="13" t="b">
        <f>NOT(ISNA(VLOOKUP(A747,'Game Pass Essential'!A:A,1,FALSE)))</f>
        <v>0</v>
      </c>
    </row>
    <row r="748">
      <c r="A748" s="12" t="str">
        <f>IFERROR(__xludf.DUMMYFUNCTION("""COMPUTED_VALUE"""),"Bridge")</f>
        <v>Bridge</v>
      </c>
      <c r="B748" s="13" t="str">
        <f>IFERROR(__xludf.DUMMYFUNCTION("""COMPUTED_VALUE"""),"Xbox / PC")</f>
        <v>Xbox / PC</v>
      </c>
      <c r="C748" s="14" t="str">
        <f>IFERROR(__xludf.DUMMYFUNCTION("""COMPUTED_VALUE"""),"Yes")</f>
        <v>Yes</v>
      </c>
      <c r="D748" s="14" t="str">
        <f>IFERROR(__xludf.DUMMYFUNCTION("""COMPUTED_VALUE"""),"Active")</f>
        <v>Active</v>
      </c>
      <c r="E748" s="15">
        <f>IFERROR(__xludf.DUMMYFUNCTION("""COMPUTED_VALUE"""),45798.0)</f>
        <v>45798</v>
      </c>
      <c r="F748" s="16"/>
      <c r="G748" s="18">
        <f>IFERROR(__xludf.DUMMYFUNCTION("""COMPUTED_VALUE"""),16.5)</f>
        <v>16.5</v>
      </c>
      <c r="H748" s="15">
        <f>IFERROR(__xludf.DUMMYFUNCTION("""COMPUTED_VALUE"""),29556.0)</f>
        <v>29556</v>
      </c>
      <c r="I748" s="18">
        <f>IFERROR(__xludf.DUMMYFUNCTION("""COMPUTED_VALUE"""),44.47222222222222)</f>
        <v>44.47222222</v>
      </c>
      <c r="J748" s="22">
        <f>IFERROR(__xludf.DUMMYFUNCTION("""COMPUTED_VALUE"""),68.0)</f>
        <v>68</v>
      </c>
      <c r="K748" s="22"/>
      <c r="L748" s="26" t="str">
        <f>IFERROR(__xludf.DUMMYFUNCTION("""COMPUTED_VALUE"""),"Strategy")</f>
        <v>Strategy</v>
      </c>
      <c r="M748" s="13" t="b">
        <f>NOT(ISNA(VLOOKUP(A748,PC!A:A,1,FALSE)))</f>
        <v>1</v>
      </c>
      <c r="N748" s="13" t="b">
        <f>NOT(ISNA(VLOOKUP(A748,'Game Pass Premium'!A:A,1,FALSE)))</f>
        <v>1</v>
      </c>
      <c r="O748" s="13" t="b">
        <f>NOT(ISNA(VLOOKUP(A748,'Game Pass Essential'!A:A,1,FALSE)))</f>
        <v>0</v>
      </c>
    </row>
    <row r="749">
      <c r="A749" s="12" t="str">
        <f>IFERROR(__xludf.DUMMYFUNCTION("""COMPUTED_VALUE"""),"Eternal Strands")</f>
        <v>Eternal Strands</v>
      </c>
      <c r="B749" s="13" t="str">
        <f>IFERROR(__xludf.DUMMYFUNCTION("""COMPUTED_VALUE"""),"Xbox / PC")</f>
        <v>Xbox / PC</v>
      </c>
      <c r="C749" s="14" t="str">
        <f>IFERROR(__xludf.DUMMYFUNCTION("""COMPUTED_VALUE"""),"Yes")</f>
        <v>Yes</v>
      </c>
      <c r="D749" s="14" t="str">
        <f>IFERROR(__xludf.DUMMYFUNCTION("""COMPUTED_VALUE"""),"Active")</f>
        <v>Active</v>
      </c>
      <c r="E749" s="15">
        <f>IFERROR(__xludf.DUMMYFUNCTION("""COMPUTED_VALUE"""),45685.0)</f>
        <v>45685</v>
      </c>
      <c r="F749" s="16"/>
      <c r="G749" s="18">
        <f>IFERROR(__xludf.DUMMYFUNCTION("""COMPUTED_VALUE"""),20.266666666666666)</f>
        <v>20.26666667</v>
      </c>
      <c r="H749" s="15">
        <f>IFERROR(__xludf.DUMMYFUNCTION("""COMPUTED_VALUE"""),45685.0)</f>
        <v>45685</v>
      </c>
      <c r="I749" s="18">
        <f>IFERROR(__xludf.DUMMYFUNCTION("""COMPUTED_VALUE"""),0.0)</f>
        <v>0</v>
      </c>
      <c r="J749" s="22">
        <f>IFERROR(__xludf.DUMMYFUNCTION("""COMPUTED_VALUE"""),68.0)</f>
        <v>68</v>
      </c>
      <c r="K749" s="22">
        <f>IFERROR(__xludf.DUMMYFUNCTION("""COMPUTED_VALUE"""),18.0)</f>
        <v>18</v>
      </c>
      <c r="L749" s="26" t="str">
        <f>IFERROR(__xludf.DUMMYFUNCTION("""COMPUTED_VALUE"""),"Action-Adventure")</f>
        <v>Action-Adventure</v>
      </c>
      <c r="M749" s="13" t="b">
        <f>NOT(ISNA(VLOOKUP(A749,PC!A:A,1,FALSE)))</f>
        <v>1</v>
      </c>
      <c r="N749" s="13" t="b">
        <f>NOT(ISNA(VLOOKUP(A749,'Game Pass Premium'!A:A,1,FALSE)))</f>
        <v>1</v>
      </c>
      <c r="O749" s="13" t="b">
        <f>NOT(ISNA(VLOOKUP(A749,'Game Pass Essential'!A:A,1,FALSE)))</f>
        <v>0</v>
      </c>
    </row>
    <row r="750">
      <c r="A750" s="119" t="str">
        <f>IFERROR(__xludf.DUMMYFUNCTION("""COMPUTED_VALUE"""),"Goat Simulator 3")</f>
        <v>Goat Simulator 3</v>
      </c>
      <c r="B750" s="13" t="str">
        <f>IFERROR(__xludf.DUMMYFUNCTION("""COMPUTED_VALUE"""),"Xbox / PC")</f>
        <v>Xbox / PC</v>
      </c>
      <c r="C750" s="14" t="str">
        <f>IFERROR(__xludf.DUMMYFUNCTION("""COMPUTED_VALUE"""),"Yes")</f>
        <v>Yes</v>
      </c>
      <c r="D750" s="14" t="str">
        <f>IFERROR(__xludf.DUMMYFUNCTION("""COMPUTED_VALUE"""),"Active")</f>
        <v>Active</v>
      </c>
      <c r="E750" s="15">
        <f>IFERROR(__xludf.DUMMYFUNCTION("""COMPUTED_VALUE"""),45267.0)</f>
        <v>45267</v>
      </c>
      <c r="F750" s="16"/>
      <c r="G750" s="18">
        <f>IFERROR(__xludf.DUMMYFUNCTION("""COMPUTED_VALUE"""),33.96666666666667)</f>
        <v>33.96666667</v>
      </c>
      <c r="H750" s="15">
        <f>IFERROR(__xludf.DUMMYFUNCTION("""COMPUTED_VALUE"""),44882.0)</f>
        <v>44882</v>
      </c>
      <c r="I750" s="18">
        <f>IFERROR(__xludf.DUMMYFUNCTION("""COMPUTED_VALUE"""),1.0555555555555556)</f>
        <v>1.055555556</v>
      </c>
      <c r="J750" s="22">
        <f>IFERROR(__xludf.DUMMYFUNCTION("""COMPUTED_VALUE"""),68.0)</f>
        <v>68</v>
      </c>
      <c r="K750" s="22">
        <f>IFERROR(__xludf.DUMMYFUNCTION("""COMPUTED_VALUE"""),8.0)</f>
        <v>8</v>
      </c>
      <c r="L750" s="26" t="str">
        <f>IFERROR(__xludf.DUMMYFUNCTION("""COMPUTED_VALUE"""),"Simulation")</f>
        <v>Simulation</v>
      </c>
      <c r="M750" s="13" t="b">
        <f>NOT(ISNA(VLOOKUP(A750,PC!A:A,1,FALSE)))</f>
        <v>1</v>
      </c>
      <c r="N750" s="13" t="b">
        <f>NOT(ISNA(VLOOKUP(A750,'Game Pass Premium'!A:A,1,FALSE)))</f>
        <v>1</v>
      </c>
      <c r="O750" s="13" t="b">
        <f>NOT(ISNA(VLOOKUP(A750,'Game Pass Essential'!A:A,1,FALSE)))</f>
        <v>0</v>
      </c>
    </row>
    <row r="751">
      <c r="A751" s="12" t="str">
        <f>IFERROR(__xludf.DUMMYFUNCTION("""COMPUTED_VALUE"""),"House Flipper")</f>
        <v>House Flipper</v>
      </c>
      <c r="B751" s="13" t="str">
        <f>IFERROR(__xludf.DUMMYFUNCTION("""COMPUTED_VALUE"""),"Xbox / PC")</f>
        <v>Xbox / PC</v>
      </c>
      <c r="C751" s="14" t="str">
        <f>IFERROR(__xludf.DUMMYFUNCTION("""COMPUTED_VALUE"""),"M+KB")</f>
        <v>M+KB</v>
      </c>
      <c r="D751" s="14" t="str">
        <f>IFERROR(__xludf.DUMMYFUNCTION("""COMPUTED_VALUE"""),"Active")</f>
        <v>Active</v>
      </c>
      <c r="E751" s="15">
        <f>IFERROR(__xludf.DUMMYFUNCTION("""COMPUTED_VALUE"""),44742.0)</f>
        <v>44742</v>
      </c>
      <c r="F751" s="16"/>
      <c r="G751" s="18">
        <f>IFERROR(__xludf.DUMMYFUNCTION("""COMPUTED_VALUE"""),51.2)</f>
        <v>51.2</v>
      </c>
      <c r="H751" s="15">
        <f>IFERROR(__xludf.DUMMYFUNCTION("""COMPUTED_VALUE"""),43237.0)</f>
        <v>43237</v>
      </c>
      <c r="I751" s="18">
        <f>IFERROR(__xludf.DUMMYFUNCTION("""COMPUTED_VALUE"""),4.1194444444444445)</f>
        <v>4.119444444</v>
      </c>
      <c r="J751" s="22">
        <f>IFERROR(__xludf.DUMMYFUNCTION("""COMPUTED_VALUE"""),68.0)</f>
        <v>68</v>
      </c>
      <c r="K751" s="22">
        <f>IFERROR(__xludf.DUMMYFUNCTION("""COMPUTED_VALUE"""),12.0)</f>
        <v>12</v>
      </c>
      <c r="L751" s="26" t="str">
        <f>IFERROR(__xludf.DUMMYFUNCTION("""COMPUTED_VALUE"""),"Simulation")</f>
        <v>Simulation</v>
      </c>
      <c r="M751" s="13" t="b">
        <f>NOT(ISNA(VLOOKUP(A751,PC!A:A,1,FALSE)))</f>
        <v>1</v>
      </c>
      <c r="N751" s="13" t="b">
        <f>NOT(ISNA(VLOOKUP(A751,'Game Pass Premium'!A:A,1,FALSE)))</f>
        <v>1</v>
      </c>
      <c r="O751" s="13" t="b">
        <f>NOT(ISNA(VLOOKUP(A751,'Game Pass Essential'!A:A,1,FALSE)))</f>
        <v>0</v>
      </c>
    </row>
    <row r="752">
      <c r="A752" s="12" t="str">
        <f>IFERROR(__xludf.DUMMYFUNCTION("""COMPUTED_VALUE"""),"Fallout 76")</f>
        <v>Fallout 76</v>
      </c>
      <c r="B752" s="13" t="str">
        <f>IFERROR(__xludf.DUMMYFUNCTION("""COMPUTED_VALUE"""),"Xbox / PC")</f>
        <v>Xbox / PC</v>
      </c>
      <c r="C752" s="14" t="str">
        <f>IFERROR(__xludf.DUMMYFUNCTION("""COMPUTED_VALUE"""),"Yes")</f>
        <v>Yes</v>
      </c>
      <c r="D752" s="14" t="str">
        <f>IFERROR(__xludf.DUMMYFUNCTION("""COMPUTED_VALUE"""),"Active")</f>
        <v>Active</v>
      </c>
      <c r="E752" s="15">
        <f>IFERROR(__xludf.DUMMYFUNCTION("""COMPUTED_VALUE"""),44021.0)</f>
        <v>44021</v>
      </c>
      <c r="F752" s="16"/>
      <c r="G752" s="18">
        <f>IFERROR(__xludf.DUMMYFUNCTION("""COMPUTED_VALUE"""),74.89999999999999)</f>
        <v>74.9</v>
      </c>
      <c r="H752" s="15">
        <f>IFERROR(__xludf.DUMMYFUNCTION("""COMPUTED_VALUE"""),43418.0)</f>
        <v>43418</v>
      </c>
      <c r="I752" s="18">
        <f>IFERROR(__xludf.DUMMYFUNCTION("""COMPUTED_VALUE"""),1.6527777777777777)</f>
        <v>1.652777778</v>
      </c>
      <c r="J752" s="22">
        <f>IFERROR(__xludf.DUMMYFUNCTION("""COMPUTED_VALUE"""),68.0)</f>
        <v>68</v>
      </c>
      <c r="K752" s="22">
        <f>IFERROR(__xludf.DUMMYFUNCTION("""COMPUTED_VALUE"""),29.5)</f>
        <v>29.5</v>
      </c>
      <c r="L752" s="26" t="str">
        <f>IFERROR(__xludf.DUMMYFUNCTION("""COMPUTED_VALUE"""),"RPG")</f>
        <v>RPG</v>
      </c>
      <c r="M752" s="13" t="b">
        <f>NOT(ISNA(VLOOKUP(A752,PC!A:A,1,FALSE)))</f>
        <v>1</v>
      </c>
      <c r="N752" s="13" t="b">
        <f>NOT(ISNA(VLOOKUP(A752,'Game Pass Premium'!A:A,1,FALSE)))</f>
        <v>1</v>
      </c>
      <c r="O752" s="13" t="b">
        <f>NOT(ISNA(VLOOKUP(A752,'Game Pass Essential'!A:A,1,FALSE)))</f>
        <v>1</v>
      </c>
    </row>
    <row r="753">
      <c r="A753" s="12" t="str">
        <f>IFERROR(__xludf.DUMMYFUNCTION("""COMPUTED_VALUE"""),"Wolfenstein: Youngblood")</f>
        <v>Wolfenstein: Youngblood</v>
      </c>
      <c r="B753" s="13" t="str">
        <f>IFERROR(__xludf.DUMMYFUNCTION("""COMPUTED_VALUE"""),"Xbox / PC")</f>
        <v>Xbox / PC</v>
      </c>
      <c r="C753" s="14" t="str">
        <f>IFERROR(__xludf.DUMMYFUNCTION("""COMPUTED_VALUE"""),"Yes")</f>
        <v>Yes</v>
      </c>
      <c r="D753" s="14" t="str">
        <f>IFERROR(__xludf.DUMMYFUNCTION("""COMPUTED_VALUE"""),"Active")</f>
        <v>Active</v>
      </c>
      <c r="E753" s="15">
        <f>IFERROR(__xludf.DUMMYFUNCTION("""COMPUTED_VALUE"""),43867.0)</f>
        <v>43867</v>
      </c>
      <c r="F753" s="16"/>
      <c r="G753" s="18">
        <f>IFERROR(__xludf.DUMMYFUNCTION("""COMPUTED_VALUE"""),80.0)</f>
        <v>80</v>
      </c>
      <c r="H753" s="15">
        <f>IFERROR(__xludf.DUMMYFUNCTION("""COMPUTED_VALUE"""),43671.0)</f>
        <v>43671</v>
      </c>
      <c r="I753" s="18">
        <f>IFERROR(__xludf.DUMMYFUNCTION("""COMPUTED_VALUE"""),0.5305555555555556)</f>
        <v>0.5305555556</v>
      </c>
      <c r="J753" s="22">
        <f>IFERROR(__xludf.DUMMYFUNCTION("""COMPUTED_VALUE"""),68.0)</f>
        <v>68</v>
      </c>
      <c r="K753" s="22">
        <f>IFERROR(__xludf.DUMMYFUNCTION("""COMPUTED_VALUE"""),9.0)</f>
        <v>9</v>
      </c>
      <c r="L753" s="26" t="str">
        <f>IFERROR(__xludf.DUMMYFUNCTION("""COMPUTED_VALUE"""),"Shooter")</f>
        <v>Shooter</v>
      </c>
      <c r="M753" s="13" t="b">
        <f>NOT(ISNA(VLOOKUP(A753,PC!A:A,1,FALSE)))</f>
        <v>1</v>
      </c>
      <c r="N753" s="13" t="b">
        <f>NOT(ISNA(VLOOKUP(A753,'Game Pass Premium'!A:A,1,FALSE)))</f>
        <v>1</v>
      </c>
      <c r="O753" s="13" t="b">
        <f>NOT(ISNA(VLOOKUP(A753,'Game Pass Essential'!A:A,1,FALSE)))</f>
        <v>0</v>
      </c>
    </row>
    <row r="754">
      <c r="A754" s="12" t="str">
        <f>IFERROR(__xludf.DUMMYFUNCTION("""COMPUTED_VALUE"""),"Rush: A Disney Pixar Adventure")</f>
        <v>Rush: A Disney Pixar Adventure</v>
      </c>
      <c r="B754" s="13" t="str">
        <f>IFERROR(__xludf.DUMMYFUNCTION("""COMPUTED_VALUE"""),"Xbox / PC")</f>
        <v>Xbox / PC</v>
      </c>
      <c r="C754" s="14" t="str">
        <f>IFERROR(__xludf.DUMMYFUNCTION("""COMPUTED_VALUE"""),"Yes")</f>
        <v>Yes</v>
      </c>
      <c r="D754" s="14" t="str">
        <f>IFERROR(__xludf.DUMMYFUNCTION("""COMPUTED_VALUE"""),"Active")</f>
        <v>Active</v>
      </c>
      <c r="E754" s="15">
        <f>IFERROR(__xludf.DUMMYFUNCTION("""COMPUTED_VALUE"""),43313.0)</f>
        <v>43313</v>
      </c>
      <c r="F754" s="16"/>
      <c r="G754" s="18">
        <f>IFERROR(__xludf.DUMMYFUNCTION("""COMPUTED_VALUE"""),98.16666666666666)</f>
        <v>98.16666667</v>
      </c>
      <c r="H754" s="15">
        <f>IFERROR(__xludf.DUMMYFUNCTION("""COMPUTED_VALUE"""),40988.0)</f>
        <v>40988</v>
      </c>
      <c r="I754" s="18">
        <f>IFERROR(__xludf.DUMMYFUNCTION("""COMPUTED_VALUE"""),6.363888888888889)</f>
        <v>6.363888889</v>
      </c>
      <c r="J754" s="22">
        <f>IFERROR(__xludf.DUMMYFUNCTION("""COMPUTED_VALUE"""),68.0)</f>
        <v>68</v>
      </c>
      <c r="K754" s="22">
        <f>IFERROR(__xludf.DUMMYFUNCTION("""COMPUTED_VALUE"""),3.0)</f>
        <v>3</v>
      </c>
      <c r="L754" s="26" t="str">
        <f>IFERROR(__xludf.DUMMYFUNCTION("""COMPUTED_VALUE"""),"Platformer")</f>
        <v>Platformer</v>
      </c>
      <c r="M754" s="13" t="b">
        <f>NOT(ISNA(VLOOKUP(A754,PC!A:A,1,FALSE)))</f>
        <v>1</v>
      </c>
      <c r="N754" s="13" t="b">
        <f>NOT(ISNA(VLOOKUP(A754,'Game Pass Premium'!A:A,1,FALSE)))</f>
        <v>1</v>
      </c>
      <c r="O754" s="13" t="b">
        <f>NOT(ISNA(VLOOKUP(A754,'Game Pass Essential'!A:A,1,FALSE)))</f>
        <v>0</v>
      </c>
    </row>
    <row r="755">
      <c r="A755" s="12" t="str">
        <f>IFERROR(__xludf.DUMMYFUNCTION("""COMPUTED_VALUE"""),"Fable Anniversary")</f>
        <v>Fable Anniversary</v>
      </c>
      <c r="B755" s="13" t="str">
        <f>IFERROR(__xludf.DUMMYFUNCTION("""COMPUTED_VALUE"""),"Xbox")</f>
        <v>Xbox</v>
      </c>
      <c r="C755" s="14" t="str">
        <f>IFERROR(__xludf.DUMMYFUNCTION("""COMPUTED_VALUE"""),"Touch Controls")</f>
        <v>Touch Controls</v>
      </c>
      <c r="D755" s="14" t="str">
        <f>IFERROR(__xludf.DUMMYFUNCTION("""COMPUTED_VALUE"""),"Active")</f>
        <v>Active</v>
      </c>
      <c r="E755" s="15">
        <f>IFERROR(__xludf.DUMMYFUNCTION("""COMPUTED_VALUE"""),43132.0)</f>
        <v>43132</v>
      </c>
      <c r="F755" s="16"/>
      <c r="G755" s="18">
        <f>IFERROR(__xludf.DUMMYFUNCTION("""COMPUTED_VALUE"""),104.16666666666666)</f>
        <v>104.1666667</v>
      </c>
      <c r="H755" s="15">
        <f>IFERROR(__xludf.DUMMYFUNCTION("""COMPUTED_VALUE"""),41674.0)</f>
        <v>41674</v>
      </c>
      <c r="I755" s="18">
        <f>IFERROR(__xludf.DUMMYFUNCTION("""COMPUTED_VALUE"""),3.9916666666666667)</f>
        <v>3.991666667</v>
      </c>
      <c r="J755" s="22">
        <f>IFERROR(__xludf.DUMMYFUNCTION("""COMPUTED_VALUE"""),68.0)</f>
        <v>68</v>
      </c>
      <c r="K755" s="22">
        <f>IFERROR(__xludf.DUMMYFUNCTION("""COMPUTED_VALUE"""),14.0)</f>
        <v>14</v>
      </c>
      <c r="L755" s="26" t="str">
        <f>IFERROR(__xludf.DUMMYFUNCTION("""COMPUTED_VALUE"""),"RPG")</f>
        <v>RPG</v>
      </c>
      <c r="M755" s="13" t="b">
        <f>NOT(ISNA(VLOOKUP(A755,PC!A:A,1,FALSE)))</f>
        <v>0</v>
      </c>
      <c r="N755" s="13" t="b">
        <f>NOT(ISNA(VLOOKUP(A755,'Game Pass Premium'!A:A,1,FALSE)))</f>
        <v>1</v>
      </c>
      <c r="O755" s="13" t="b">
        <f>NOT(ISNA(VLOOKUP(A755,'Game Pass Essential'!A:A,1,FALSE)))</f>
        <v>1</v>
      </c>
    </row>
    <row r="756">
      <c r="A756" s="12" t="str">
        <f>IFERROR(__xludf.DUMMYFUNCTION("""COMPUTED_VALUE"""),"Zoo Tycoon: Ultimate Animal Collection")</f>
        <v>Zoo Tycoon: Ultimate Animal Collection</v>
      </c>
      <c r="B756" s="13" t="str">
        <f>IFERROR(__xludf.DUMMYFUNCTION("""COMPUTED_VALUE"""),"Xbox / PC")</f>
        <v>Xbox / PC</v>
      </c>
      <c r="C756" s="14"/>
      <c r="D756" s="14" t="str">
        <f>IFERROR(__xludf.DUMMYFUNCTION("""COMPUTED_VALUE"""),"Active")</f>
        <v>Active</v>
      </c>
      <c r="E756" s="15">
        <f>IFERROR(__xludf.DUMMYFUNCTION("""COMPUTED_VALUE"""),43101.0)</f>
        <v>43101</v>
      </c>
      <c r="F756" s="16"/>
      <c r="G756" s="18">
        <f>IFERROR(__xludf.DUMMYFUNCTION("""COMPUTED_VALUE"""),105.16666666666667)</f>
        <v>105.1666667</v>
      </c>
      <c r="H756" s="15">
        <f>IFERROR(__xludf.DUMMYFUNCTION("""COMPUTED_VALUE"""),43039.0)</f>
        <v>43039</v>
      </c>
      <c r="I756" s="18">
        <f>IFERROR(__xludf.DUMMYFUNCTION("""COMPUTED_VALUE"""),0.16944444444444445)</f>
        <v>0.1694444444</v>
      </c>
      <c r="J756" s="22">
        <f>IFERROR(__xludf.DUMMYFUNCTION("""COMPUTED_VALUE"""),68.0)</f>
        <v>68</v>
      </c>
      <c r="K756" s="22">
        <f>IFERROR(__xludf.DUMMYFUNCTION("""COMPUTED_VALUE"""),14.0)</f>
        <v>14</v>
      </c>
      <c r="L756" s="26" t="str">
        <f>IFERROR(__xludf.DUMMYFUNCTION("""COMPUTED_VALUE"""),"Simulation")</f>
        <v>Simulation</v>
      </c>
      <c r="M756" s="13" t="b">
        <f>NOT(ISNA(VLOOKUP(A756,PC!A:A,1,FALSE)))</f>
        <v>1</v>
      </c>
      <c r="N756" s="13" t="b">
        <f>NOT(ISNA(VLOOKUP(A756,'Game Pass Premium'!A:A,1,FALSE)))</f>
        <v>1</v>
      </c>
      <c r="O756" s="13" t="b">
        <f>NOT(ISNA(VLOOKUP(A756,'Game Pass Essential'!A:A,1,FALSE)))</f>
        <v>0</v>
      </c>
    </row>
    <row r="757">
      <c r="A757" s="12" t="str">
        <f>IFERROR(__xludf.DUMMYFUNCTION("""COMPUTED_VALUE"""),"The Casting of Frank Stone")</f>
        <v>The Casting of Frank Stone</v>
      </c>
      <c r="B757" s="13" t="str">
        <f>IFERROR(__xludf.DUMMYFUNCTION("""COMPUTED_VALUE"""),"Xbox / PC")</f>
        <v>Xbox / PC</v>
      </c>
      <c r="C757" s="14" t="str">
        <f>IFERROR(__xludf.DUMMYFUNCTION("""COMPUTED_VALUE"""),"Yes")</f>
        <v>Yes</v>
      </c>
      <c r="D757" s="14" t="str">
        <f>IFERROR(__xludf.DUMMYFUNCTION("""COMPUTED_VALUE"""),"Leaving Soon")</f>
        <v>Leaving Soon</v>
      </c>
      <c r="E757" s="15">
        <f>IFERROR(__xludf.DUMMYFUNCTION("""COMPUTED_VALUE"""),45944.0)</f>
        <v>45944</v>
      </c>
      <c r="F757" s="16">
        <f>IFERROR(__xludf.DUMMYFUNCTION("""COMPUTED_VALUE"""),46310.0)</f>
        <v>46310</v>
      </c>
      <c r="G757" s="18">
        <f>IFERROR(__xludf.DUMMYFUNCTION("""COMPUTED_VALUE"""),12.033333333333333)</f>
        <v>12.03333333</v>
      </c>
      <c r="H757" s="15">
        <f>IFERROR(__xludf.DUMMYFUNCTION("""COMPUTED_VALUE"""),45538.0)</f>
        <v>45538</v>
      </c>
      <c r="I757" s="18">
        <f>IFERROR(__xludf.DUMMYFUNCTION("""COMPUTED_VALUE"""),1.113888888888889)</f>
        <v>1.113888889</v>
      </c>
      <c r="J757" s="22">
        <f>IFERROR(__xludf.DUMMYFUNCTION("""COMPUTED_VALUE"""),68.0)</f>
        <v>68</v>
      </c>
      <c r="K757" s="22">
        <f>IFERROR(__xludf.DUMMYFUNCTION("""COMPUTED_VALUE"""),6.0)</f>
        <v>6</v>
      </c>
      <c r="L757" s="26" t="str">
        <f>IFERROR(__xludf.DUMMYFUNCTION("""COMPUTED_VALUE"""),"Action-Adventure")</f>
        <v>Action-Adventure</v>
      </c>
      <c r="M757" s="13" t="b">
        <f>NOT(ISNA(VLOOKUP(A757,PC!A:A,1,FALSE)))</f>
        <v>1</v>
      </c>
      <c r="N757" s="13" t="b">
        <f>NOT(ISNA(VLOOKUP(A757,'Game Pass Premium'!A:A,1,FALSE)))</f>
        <v>0</v>
      </c>
      <c r="O757" s="13" t="b">
        <f>NOT(ISNA(VLOOKUP(A757,'Game Pass Essential'!A:A,1,FALSE)))</f>
        <v>0</v>
      </c>
    </row>
    <row r="758">
      <c r="A758" s="12" t="str">
        <f>IFERROR(__xludf.DUMMYFUNCTION("""COMPUTED_VALUE"""),"Band of Bugs")</f>
        <v>Band of Bugs</v>
      </c>
      <c r="B758" s="13" t="str">
        <f>IFERROR(__xludf.DUMMYFUNCTION("""COMPUTED_VALUE"""),"XB360/OG Xbox")</f>
        <v>XB360/OG Xbox</v>
      </c>
      <c r="C758" s="14"/>
      <c r="D758" s="14" t="str">
        <f>IFERROR(__xludf.DUMMYFUNCTION("""COMPUTED_VALUE"""),"GwG Permanent")</f>
        <v>GwG Permanent</v>
      </c>
      <c r="E758" s="15">
        <f>IFERROR(__xludf.DUMMYFUNCTION("""COMPUTED_VALUE"""),44608.0)</f>
        <v>44608</v>
      </c>
      <c r="F758" s="16">
        <f>IFERROR(__xludf.DUMMYFUNCTION("""COMPUTED_VALUE"""),44620.0)</f>
        <v>44620</v>
      </c>
      <c r="G758" s="18">
        <f>IFERROR(__xludf.DUMMYFUNCTION("""COMPUTED_VALUE"""),0.4)</f>
        <v>0.4</v>
      </c>
      <c r="H758" s="15">
        <f>IFERROR(__xludf.DUMMYFUNCTION("""COMPUTED_VALUE"""),40666.0)</f>
        <v>40666</v>
      </c>
      <c r="I758" s="18">
        <f>IFERROR(__xludf.DUMMYFUNCTION("""COMPUTED_VALUE"""),10.786111111111111)</f>
        <v>10.78611111</v>
      </c>
      <c r="J758" s="22">
        <f>IFERROR(__xludf.DUMMYFUNCTION("""COMPUTED_VALUE"""),68.0)</f>
        <v>68</v>
      </c>
      <c r="K758" s="22">
        <f>IFERROR(__xludf.DUMMYFUNCTION("""COMPUTED_VALUE"""),7.0)</f>
        <v>7</v>
      </c>
      <c r="L758" s="26" t="str">
        <f>IFERROR(__xludf.DUMMYFUNCTION("""COMPUTED_VALUE"""),"Strategy")</f>
        <v>Strategy</v>
      </c>
      <c r="M758" s="13" t="b">
        <f>NOT(ISNA(VLOOKUP(A758,PC!A:A,1,FALSE)))</f>
        <v>0</v>
      </c>
      <c r="N758" s="13" t="b">
        <f>NOT(ISNA(VLOOKUP(A758,'Game Pass Premium'!A:A,1,FALSE)))</f>
        <v>0</v>
      </c>
      <c r="O758" s="13" t="b">
        <f>NOT(ISNA(VLOOKUP(A758,'Game Pass Essential'!A:A,1,FALSE)))</f>
        <v>0</v>
      </c>
    </row>
    <row r="759">
      <c r="A759" s="12" t="str">
        <f>IFERROR(__xludf.DUMMYFUNCTION("""COMPUTED_VALUE"""),"Lost Planet 2")</f>
        <v>Lost Planet 2</v>
      </c>
      <c r="B759" s="13" t="str">
        <f>IFERROR(__xludf.DUMMYFUNCTION("""COMPUTED_VALUE"""),"XB360/OG Xbox")</f>
        <v>XB360/OG Xbox</v>
      </c>
      <c r="C759" s="14"/>
      <c r="D759" s="14" t="str">
        <f>IFERROR(__xludf.DUMMYFUNCTION("""COMPUTED_VALUE"""),"GwG Permanent")</f>
        <v>GwG Permanent</v>
      </c>
      <c r="E759" s="15">
        <f>IFERROR(__xludf.DUMMYFUNCTION("""COMPUTED_VALUE"""),44243.0)</f>
        <v>44243</v>
      </c>
      <c r="F759" s="16">
        <f>IFERROR(__xludf.DUMMYFUNCTION("""COMPUTED_VALUE"""),44255.0)</f>
        <v>44255</v>
      </c>
      <c r="G759" s="18">
        <f>IFERROR(__xludf.DUMMYFUNCTION("""COMPUTED_VALUE"""),0.4)</f>
        <v>0.4</v>
      </c>
      <c r="H759" s="15">
        <f>IFERROR(__xludf.DUMMYFUNCTION("""COMPUTED_VALUE"""),40309.0)</f>
        <v>40309</v>
      </c>
      <c r="I759" s="18">
        <f>IFERROR(__xludf.DUMMYFUNCTION("""COMPUTED_VALUE"""),10.76388888888889)</f>
        <v>10.76388889</v>
      </c>
      <c r="J759" s="22">
        <f>IFERROR(__xludf.DUMMYFUNCTION("""COMPUTED_VALUE"""),68.0)</f>
        <v>68</v>
      </c>
      <c r="K759" s="22">
        <f>IFERROR(__xludf.DUMMYFUNCTION("""COMPUTED_VALUE"""),8.0)</f>
        <v>8</v>
      </c>
      <c r="L759" s="26" t="str">
        <f>IFERROR(__xludf.DUMMYFUNCTION("""COMPUTED_VALUE"""),"Shooter")</f>
        <v>Shooter</v>
      </c>
      <c r="M759" s="13" t="b">
        <f>NOT(ISNA(VLOOKUP(A759,PC!A:A,1,FALSE)))</f>
        <v>0</v>
      </c>
      <c r="N759" s="13" t="b">
        <f>NOT(ISNA(VLOOKUP(A759,'Game Pass Premium'!A:A,1,FALSE)))</f>
        <v>0</v>
      </c>
      <c r="O759" s="13" t="b">
        <f>NOT(ISNA(VLOOKUP(A759,'Game Pass Essential'!A:A,1,FALSE)))</f>
        <v>0</v>
      </c>
    </row>
    <row r="760">
      <c r="A760" s="12" t="str">
        <f>IFERROR(__xludf.DUMMYFUNCTION("""COMPUTED_VALUE"""),"Fable Anniversary")</f>
        <v>Fable Anniversary</v>
      </c>
      <c r="B760" s="13" t="str">
        <f>IFERROR(__xludf.DUMMYFUNCTION("""COMPUTED_VALUE"""),"XB360/OG Xbox")</f>
        <v>XB360/OG Xbox</v>
      </c>
      <c r="C760" s="14"/>
      <c r="D760" s="14" t="str">
        <f>IFERROR(__xludf.DUMMYFUNCTION("""COMPUTED_VALUE"""),"GwG Permanent")</f>
        <v>GwG Permanent</v>
      </c>
      <c r="E760" s="15">
        <f>IFERROR(__xludf.DUMMYFUNCTION("""COMPUTED_VALUE"""),43922.0)</f>
        <v>43922</v>
      </c>
      <c r="F760" s="16">
        <f>IFERROR(__xludf.DUMMYFUNCTION("""COMPUTED_VALUE"""),43936.0)</f>
        <v>43936</v>
      </c>
      <c r="G760" s="18">
        <f>IFERROR(__xludf.DUMMYFUNCTION("""COMPUTED_VALUE"""),0.4666666666666667)</f>
        <v>0.4666666667</v>
      </c>
      <c r="H760" s="15">
        <f>IFERROR(__xludf.DUMMYFUNCTION("""COMPUTED_VALUE"""),41674.0)</f>
        <v>41674</v>
      </c>
      <c r="I760" s="18">
        <f>IFERROR(__xludf.DUMMYFUNCTION("""COMPUTED_VALUE"""),6.158333333333333)</f>
        <v>6.158333333</v>
      </c>
      <c r="J760" s="22">
        <f>IFERROR(__xludf.DUMMYFUNCTION("""COMPUTED_VALUE"""),68.0)</f>
        <v>68</v>
      </c>
      <c r="K760" s="22">
        <f>IFERROR(__xludf.DUMMYFUNCTION("""COMPUTED_VALUE"""),13.0)</f>
        <v>13</v>
      </c>
      <c r="L760" s="26" t="str">
        <f>IFERROR(__xludf.DUMMYFUNCTION("""COMPUTED_VALUE"""),"RPG")</f>
        <v>RPG</v>
      </c>
      <c r="M760" s="13" t="b">
        <f>NOT(ISNA(VLOOKUP(A760,PC!A:A,1,FALSE)))</f>
        <v>0</v>
      </c>
      <c r="N760" s="13" t="b">
        <f>NOT(ISNA(VLOOKUP(A760,'Game Pass Premium'!A:A,1,FALSE)))</f>
        <v>1</v>
      </c>
      <c r="O760" s="13" t="b">
        <f>NOT(ISNA(VLOOKUP(A760,'Game Pass Essential'!A:A,1,FALSE)))</f>
        <v>1</v>
      </c>
    </row>
    <row r="761">
      <c r="A761" s="12" t="str">
        <f>IFERROR(__xludf.DUMMYFUNCTION("""COMPUTED_VALUE"""),"Operation Flashpoint: Dragon Rising")</f>
        <v>Operation Flashpoint: Dragon Rising</v>
      </c>
      <c r="B761" s="13" t="str">
        <f>IFERROR(__xludf.DUMMYFUNCTION("""COMPUTED_VALUE"""),"XB360/OG Xbox")</f>
        <v>XB360/OG Xbox</v>
      </c>
      <c r="C761" s="14"/>
      <c r="D761" s="14" t="str">
        <f>IFERROR(__xludf.DUMMYFUNCTION("""COMPUTED_VALUE"""),"GwG Permanent")</f>
        <v>GwG Permanent</v>
      </c>
      <c r="E761" s="15">
        <f>IFERROR(__xludf.DUMMYFUNCTION("""COMPUTED_VALUE"""),42354.0)</f>
        <v>42354</v>
      </c>
      <c r="F761" s="16">
        <f>IFERROR(__xludf.DUMMYFUNCTION("""COMPUTED_VALUE"""),42369.0)</f>
        <v>42369</v>
      </c>
      <c r="G761" s="18">
        <f>IFERROR(__xludf.DUMMYFUNCTION("""COMPUTED_VALUE"""),0.4666666666666667)</f>
        <v>0.4666666667</v>
      </c>
      <c r="H761" s="15">
        <f>IFERROR(__xludf.DUMMYFUNCTION("""COMPUTED_VALUE"""),40123.0)</f>
        <v>40123</v>
      </c>
      <c r="I761" s="18">
        <f>IFERROR(__xludf.DUMMYFUNCTION("""COMPUTED_VALUE"""),6.111111111111111)</f>
        <v>6.111111111</v>
      </c>
      <c r="J761" s="22">
        <f>IFERROR(__xludf.DUMMYFUNCTION("""COMPUTED_VALUE"""),68.0)</f>
        <v>68</v>
      </c>
      <c r="K761" s="22">
        <f>IFERROR(__xludf.DUMMYFUNCTION("""COMPUTED_VALUE"""),18.0)</f>
        <v>18</v>
      </c>
      <c r="L761" s="26" t="str">
        <f>IFERROR(__xludf.DUMMYFUNCTION("""COMPUTED_VALUE"""),"Shooter")</f>
        <v>Shooter</v>
      </c>
      <c r="M761" s="13" t="b">
        <f>NOT(ISNA(VLOOKUP(A761,PC!A:A,1,FALSE)))</f>
        <v>0</v>
      </c>
      <c r="N761" s="13" t="b">
        <f>NOT(ISNA(VLOOKUP(A761,'Game Pass Premium'!A:A,1,FALSE)))</f>
        <v>0</v>
      </c>
      <c r="O761" s="13" t="b">
        <f>NOT(ISNA(VLOOKUP(A761,'Game Pass Essential'!A:A,1,FALSE)))</f>
        <v>0</v>
      </c>
    </row>
    <row r="762">
      <c r="A762" s="12" t="str">
        <f>IFERROR(__xludf.DUMMYFUNCTION("""COMPUTED_VALUE"""),"My Friend Peppa Pig")</f>
        <v>My Friend Peppa Pig</v>
      </c>
      <c r="B762" s="13" t="str">
        <f>IFERROR(__xludf.DUMMYFUNCTION("""COMPUTED_VALUE"""),"Xbox / PC")</f>
        <v>Xbox / PC</v>
      </c>
      <c r="C762" s="14" t="str">
        <f>IFERROR(__xludf.DUMMYFUNCTION("""COMPUTED_VALUE"""),"Touch Controls")</f>
        <v>Touch Controls</v>
      </c>
      <c r="D762" s="14" t="str">
        <f>IFERROR(__xludf.DUMMYFUNCTION("""COMPUTED_VALUE"""),"Active")</f>
        <v>Active</v>
      </c>
      <c r="E762" s="15">
        <f>IFERROR(__xludf.DUMMYFUNCTION("""COMPUTED_VALUE"""),46162.0)</f>
        <v>46162</v>
      </c>
      <c r="F762" s="16"/>
      <c r="G762" s="18">
        <f>IFERROR(__xludf.DUMMYFUNCTION("""COMPUTED_VALUE"""),4.533333333333333)</f>
        <v>4.533333333</v>
      </c>
      <c r="H762" s="15">
        <f>IFERROR(__xludf.DUMMYFUNCTION("""COMPUTED_VALUE"""),44491.0)</f>
        <v>44491</v>
      </c>
      <c r="I762" s="18">
        <f>IFERROR(__xludf.DUMMYFUNCTION("""COMPUTED_VALUE"""),4.5777777777777775)</f>
        <v>4.577777778</v>
      </c>
      <c r="J762" s="22">
        <f>IFERROR(__xludf.DUMMYFUNCTION("""COMPUTED_VALUE"""),67.0)</f>
        <v>67</v>
      </c>
      <c r="K762" s="22">
        <f>IFERROR(__xludf.DUMMYFUNCTION("""COMPUTED_VALUE"""),3.0)</f>
        <v>3</v>
      </c>
      <c r="L762" s="26" t="str">
        <f>IFERROR(__xludf.DUMMYFUNCTION("""COMPUTED_VALUE"""),"Action-Adventure")</f>
        <v>Action-Adventure</v>
      </c>
      <c r="M762" s="13" t="b">
        <f>NOT(ISNA(VLOOKUP(A762,PC!A:A,1,FALSE)))</f>
        <v>1</v>
      </c>
      <c r="N762" s="13" t="b">
        <f>NOT(ISNA(VLOOKUP(A762,'Game Pass Premium'!A:A,1,FALSE)))</f>
        <v>1</v>
      </c>
      <c r="O762" s="13" t="b">
        <f>NOT(ISNA(VLOOKUP(A762,'Game Pass Essential'!A:A,1,FALSE)))</f>
        <v>0</v>
      </c>
    </row>
    <row r="763">
      <c r="A763" s="12" t="str">
        <f>IFERROR(__xludf.DUMMYFUNCTION("""COMPUTED_VALUE"""),"Final Fantasy IV")</f>
        <v>Final Fantasy IV</v>
      </c>
      <c r="B763" s="13" t="str">
        <f>IFERROR(__xludf.DUMMYFUNCTION("""COMPUTED_VALUE"""),"Xbox / PC")</f>
        <v>Xbox / PC</v>
      </c>
      <c r="C763" s="14" t="str">
        <f>IFERROR(__xludf.DUMMYFUNCTION("""COMPUTED_VALUE"""),"Yes")</f>
        <v>Yes</v>
      </c>
      <c r="D763" s="14" t="str">
        <f>IFERROR(__xludf.DUMMYFUNCTION("""COMPUTED_VALUE"""),"Active")</f>
        <v>Active</v>
      </c>
      <c r="E763" s="15">
        <f>IFERROR(__xludf.DUMMYFUNCTION("""COMPUTED_VALUE"""),46119.0)</f>
        <v>46119</v>
      </c>
      <c r="F763" s="16"/>
      <c r="G763" s="18">
        <f>IFERROR(__xludf.DUMMYFUNCTION("""COMPUTED_VALUE"""),5.966666666666667)</f>
        <v>5.966666667</v>
      </c>
      <c r="H763" s="15">
        <f>IFERROR(__xludf.DUMMYFUNCTION("""COMPUTED_VALUE"""),41899.0)</f>
        <v>41899</v>
      </c>
      <c r="I763" s="18">
        <f>IFERROR(__xludf.DUMMYFUNCTION("""COMPUTED_VALUE"""),11.555555555555555)</f>
        <v>11.55555556</v>
      </c>
      <c r="J763" s="22">
        <f>IFERROR(__xludf.DUMMYFUNCTION("""COMPUTED_VALUE"""),67.0)</f>
        <v>67</v>
      </c>
      <c r="K763" s="22">
        <f>IFERROR(__xludf.DUMMYFUNCTION("""COMPUTED_VALUE"""),23.0)</f>
        <v>23</v>
      </c>
      <c r="L763" s="26" t="str">
        <f>IFERROR(__xludf.DUMMYFUNCTION("""COMPUTED_VALUE"""),"RPG")</f>
        <v>RPG</v>
      </c>
      <c r="M763" s="13" t="b">
        <f>NOT(ISNA(VLOOKUP(A763,PC!A:A,1,FALSE)))</f>
        <v>1</v>
      </c>
      <c r="N763" s="13" t="b">
        <f>NOT(ISNA(VLOOKUP(A763,'Game Pass Premium'!A:A,1,FALSE)))</f>
        <v>1</v>
      </c>
      <c r="O763" s="13" t="b">
        <f>NOT(ISNA(VLOOKUP(A763,'Game Pass Essential'!A:A,1,FALSE)))</f>
        <v>0</v>
      </c>
    </row>
    <row r="764">
      <c r="A764" s="12" t="str">
        <f>IFERROR(__xludf.DUMMYFUNCTION("""COMPUTED_VALUE"""),"FINAL FANTASY")</f>
        <v>FINAL FANTASY</v>
      </c>
      <c r="B764" s="13" t="str">
        <f>IFERROR(__xludf.DUMMYFUNCTION("""COMPUTED_VALUE"""),"Xbox / PC")</f>
        <v>Xbox / PC</v>
      </c>
      <c r="C764" s="14" t="str">
        <f>IFERROR(__xludf.DUMMYFUNCTION("""COMPUTED_VALUE"""),"Yes")</f>
        <v>Yes</v>
      </c>
      <c r="D764" s="14" t="str">
        <f>IFERROR(__xludf.DUMMYFUNCTION("""COMPUTED_VALUE"""),"Active")</f>
        <v>Active</v>
      </c>
      <c r="E764" s="15">
        <f>IFERROR(__xludf.DUMMYFUNCTION("""COMPUTED_VALUE"""),46030.0)</f>
        <v>46030</v>
      </c>
      <c r="F764" s="16"/>
      <c r="G764" s="18">
        <f>IFERROR(__xludf.DUMMYFUNCTION("""COMPUTED_VALUE"""),8.933333333333334)</f>
        <v>8.933333333</v>
      </c>
      <c r="H764" s="15">
        <f>IFERROR(__xludf.DUMMYFUNCTION("""COMPUTED_VALUE"""),39259.0)</f>
        <v>39259</v>
      </c>
      <c r="I764" s="18">
        <f>IFERROR(__xludf.DUMMYFUNCTION("""COMPUTED_VALUE"""),18.533333333333335)</f>
        <v>18.53333333</v>
      </c>
      <c r="J764" s="22">
        <f>IFERROR(__xludf.DUMMYFUNCTION("""COMPUTED_VALUE"""),67.0)</f>
        <v>67</v>
      </c>
      <c r="K764" s="22">
        <f>IFERROR(__xludf.DUMMYFUNCTION("""COMPUTED_VALUE"""),16.0)</f>
        <v>16</v>
      </c>
      <c r="L764" s="26" t="str">
        <f>IFERROR(__xludf.DUMMYFUNCTION("""COMPUTED_VALUE"""),"Action-Adventure")</f>
        <v>Action-Adventure</v>
      </c>
      <c r="M764" s="13" t="b">
        <f>NOT(ISNA(VLOOKUP(A764,PC!A:A,1,FALSE)))</f>
        <v>1</v>
      </c>
      <c r="N764" s="13" t="b">
        <f>NOT(ISNA(VLOOKUP(A764,'Game Pass Premium'!A:A,1,FALSE)))</f>
        <v>1</v>
      </c>
      <c r="O764" s="13" t="b">
        <f>NOT(ISNA(VLOOKUP(A764,'Game Pass Essential'!A:A,1,FALSE)))</f>
        <v>0</v>
      </c>
    </row>
    <row r="765">
      <c r="A765" s="12" t="str">
        <f>IFERROR(__xludf.DUMMYFUNCTION("""COMPUTED_VALUE"""),"High on Life")</f>
        <v>High on Life</v>
      </c>
      <c r="B765" s="13" t="str">
        <f>IFERROR(__xludf.DUMMYFUNCTION("""COMPUTED_VALUE"""),"Xbox / PC")</f>
        <v>Xbox / PC</v>
      </c>
      <c r="C765" s="14" t="str">
        <f>IFERROR(__xludf.DUMMYFUNCTION("""COMPUTED_VALUE"""),"M+KB")</f>
        <v>M+KB</v>
      </c>
      <c r="D765" s="14" t="str">
        <f>IFERROR(__xludf.DUMMYFUNCTION("""COMPUTED_VALUE"""),"Active")</f>
        <v>Active</v>
      </c>
      <c r="E765" s="15">
        <f>IFERROR(__xludf.DUMMYFUNCTION("""COMPUTED_VALUE"""),45853.0)</f>
        <v>45853</v>
      </c>
      <c r="F765" s="16"/>
      <c r="G765" s="18">
        <f>IFERROR(__xludf.DUMMYFUNCTION("""COMPUTED_VALUE"""),14.700000000000001)</f>
        <v>14.7</v>
      </c>
      <c r="H765" s="15">
        <f>IFERROR(__xludf.DUMMYFUNCTION("""COMPUTED_VALUE"""),44908.0)</f>
        <v>44908</v>
      </c>
      <c r="I765" s="18">
        <f>IFERROR(__xludf.DUMMYFUNCTION("""COMPUTED_VALUE"""),2.588888888888889)</f>
        <v>2.588888889</v>
      </c>
      <c r="J765" s="22">
        <f>IFERROR(__xludf.DUMMYFUNCTION("""COMPUTED_VALUE"""),67.0)</f>
        <v>67</v>
      </c>
      <c r="K765" s="22">
        <f>IFERROR(__xludf.DUMMYFUNCTION("""COMPUTED_VALUE"""),9.0)</f>
        <v>9</v>
      </c>
      <c r="L765" s="26" t="str">
        <f>IFERROR(__xludf.DUMMYFUNCTION("""COMPUTED_VALUE"""),"Shooter")</f>
        <v>Shooter</v>
      </c>
      <c r="M765" s="13" t="b">
        <f>NOT(ISNA(VLOOKUP(A765,PC!A:A,1,FALSE)))</f>
        <v>1</v>
      </c>
      <c r="N765" s="13" t="b">
        <f>NOT(ISNA(VLOOKUP(A765,'Game Pass Premium'!A:A,1,FALSE)))</f>
        <v>1</v>
      </c>
      <c r="O765" s="13" t="b">
        <f>NOT(ISNA(VLOOKUP(A765,'Game Pass Essential'!A:A,1,FALSE)))</f>
        <v>0</v>
      </c>
    </row>
    <row r="766">
      <c r="A766" s="12" t="str">
        <f>IFERROR(__xludf.DUMMYFUNCTION("""COMPUTED_VALUE"""),"Cosmic Commuter")</f>
        <v>Cosmic Commuter</v>
      </c>
      <c r="B766" s="13" t="str">
        <f>IFERROR(__xludf.DUMMYFUNCTION("""COMPUTED_VALUE"""),"Xbox / PC")</f>
        <v>Xbox / PC</v>
      </c>
      <c r="C766" s="14" t="str">
        <f>IFERROR(__xludf.DUMMYFUNCTION("""COMPUTED_VALUE"""),"Yes")</f>
        <v>Yes</v>
      </c>
      <c r="D766" s="14" t="str">
        <f>IFERROR(__xludf.DUMMYFUNCTION("""COMPUTED_VALUE"""),"Active")</f>
        <v>Active</v>
      </c>
      <c r="E766" s="15">
        <f>IFERROR(__xludf.DUMMYFUNCTION("""COMPUTED_VALUE"""),45839.0)</f>
        <v>45839</v>
      </c>
      <c r="F766" s="16"/>
      <c r="G766" s="18">
        <f>IFERROR(__xludf.DUMMYFUNCTION("""COMPUTED_VALUE"""),15.166666666666666)</f>
        <v>15.16666667</v>
      </c>
      <c r="H766" s="15">
        <f>IFERROR(__xludf.DUMMYFUNCTION("""COMPUTED_VALUE"""),31048.0)</f>
        <v>31048</v>
      </c>
      <c r="I766" s="18">
        <f>IFERROR(__xludf.DUMMYFUNCTION("""COMPUTED_VALUE"""),40.5)</f>
        <v>40.5</v>
      </c>
      <c r="J766" s="22">
        <f>IFERROR(__xludf.DUMMYFUNCTION("""COMPUTED_VALUE"""),67.0)</f>
        <v>67</v>
      </c>
      <c r="K766" s="22"/>
      <c r="L766" s="26" t="str">
        <f>IFERROR(__xludf.DUMMYFUNCTION("""COMPUTED_VALUE"""),"Shooter")</f>
        <v>Shooter</v>
      </c>
      <c r="M766" s="13" t="b">
        <f>NOT(ISNA(VLOOKUP(A766,PC!A:A,1,FALSE)))</f>
        <v>1</v>
      </c>
      <c r="N766" s="13" t="b">
        <f>NOT(ISNA(VLOOKUP(A766,'Game Pass Premium'!A:A,1,FALSE)))</f>
        <v>1</v>
      </c>
      <c r="O766" s="13" t="b">
        <f>NOT(ISNA(VLOOKUP(A766,'Game Pass Essential'!A:A,1,FALSE)))</f>
        <v>0</v>
      </c>
    </row>
    <row r="767">
      <c r="A767" s="12" t="str">
        <f>IFERROR(__xludf.DUMMYFUNCTION("""COMPUTED_VALUE"""),"Freeway")</f>
        <v>Freeway</v>
      </c>
      <c r="B767" s="13" t="str">
        <f>IFERROR(__xludf.DUMMYFUNCTION("""COMPUTED_VALUE"""),"Xbox / PC")</f>
        <v>Xbox / PC</v>
      </c>
      <c r="C767" s="14" t="str">
        <f>IFERROR(__xludf.DUMMYFUNCTION("""COMPUTED_VALUE"""),"Yes")</f>
        <v>Yes</v>
      </c>
      <c r="D767" s="14" t="str">
        <f>IFERROR(__xludf.DUMMYFUNCTION("""COMPUTED_VALUE"""),"Active")</f>
        <v>Active</v>
      </c>
      <c r="E767" s="15">
        <f>IFERROR(__xludf.DUMMYFUNCTION("""COMPUTED_VALUE"""),45798.0)</f>
        <v>45798</v>
      </c>
      <c r="F767" s="16"/>
      <c r="G767" s="18">
        <f>IFERROR(__xludf.DUMMYFUNCTION("""COMPUTED_VALUE"""),16.5)</f>
        <v>16.5</v>
      </c>
      <c r="H767" s="15">
        <f>IFERROR(__xludf.DUMMYFUNCTION("""COMPUTED_VALUE"""),29768.0)</f>
        <v>29768</v>
      </c>
      <c r="I767" s="18">
        <f>IFERROR(__xludf.DUMMYFUNCTION("""COMPUTED_VALUE"""),43.888888888888886)</f>
        <v>43.88888889</v>
      </c>
      <c r="J767" s="22">
        <f>IFERROR(__xludf.DUMMYFUNCTION("""COMPUTED_VALUE"""),67.0)</f>
        <v>67</v>
      </c>
      <c r="K767" s="22"/>
      <c r="L767" s="26" t="str">
        <f>IFERROR(__xludf.DUMMYFUNCTION("""COMPUTED_VALUE"""),"Racing")</f>
        <v>Racing</v>
      </c>
      <c r="M767" s="13" t="b">
        <f>NOT(ISNA(VLOOKUP(A767,PC!A:A,1,FALSE)))</f>
        <v>1</v>
      </c>
      <c r="N767" s="13" t="b">
        <f>NOT(ISNA(VLOOKUP(A767,'Game Pass Premium'!A:A,1,FALSE)))</f>
        <v>1</v>
      </c>
      <c r="O767" s="13" t="b">
        <f>NOT(ISNA(VLOOKUP(A767,'Game Pass Essential'!A:A,1,FALSE)))</f>
        <v>0</v>
      </c>
    </row>
    <row r="768">
      <c r="A768" s="12" t="str">
        <f>IFERROR(__xludf.DUMMYFUNCTION("""COMPUTED_VALUE"""),"SpongeBob SquarePants: The Patrick Star Game")</f>
        <v>SpongeBob SquarePants: The Patrick Star Game</v>
      </c>
      <c r="B768" s="13" t="str">
        <f>IFERROR(__xludf.DUMMYFUNCTION("""COMPUTED_VALUE"""),"Xbox / PC")</f>
        <v>Xbox / PC</v>
      </c>
      <c r="C768" s="14" t="str">
        <f>IFERROR(__xludf.DUMMYFUNCTION("""COMPUTED_VALUE"""),"Yes")</f>
        <v>Yes</v>
      </c>
      <c r="D768" s="14" t="str">
        <f>IFERROR(__xludf.DUMMYFUNCTION("""COMPUTED_VALUE"""),"Active")</f>
        <v>Active</v>
      </c>
      <c r="E768" s="15">
        <f>IFERROR(__xludf.DUMMYFUNCTION("""COMPUTED_VALUE"""),45763.0)</f>
        <v>45763</v>
      </c>
      <c r="F768" s="16"/>
      <c r="G768" s="18">
        <f>IFERROR(__xludf.DUMMYFUNCTION("""COMPUTED_VALUE"""),17.666666666666668)</f>
        <v>17.66666667</v>
      </c>
      <c r="H768" s="15">
        <f>IFERROR(__xludf.DUMMYFUNCTION("""COMPUTED_VALUE"""),45569.0)</f>
        <v>45569</v>
      </c>
      <c r="I768" s="18">
        <f>IFERROR(__xludf.DUMMYFUNCTION("""COMPUTED_VALUE"""),0.5333333333333333)</f>
        <v>0.5333333333</v>
      </c>
      <c r="J768" s="22">
        <f>IFERROR(__xludf.DUMMYFUNCTION("""COMPUTED_VALUE"""),67.0)</f>
        <v>67</v>
      </c>
      <c r="K768" s="22">
        <f>IFERROR(__xludf.DUMMYFUNCTION("""COMPUTED_VALUE"""),4.0)</f>
        <v>4</v>
      </c>
      <c r="L768" s="26" t="str">
        <f>IFERROR(__xludf.DUMMYFUNCTION("""COMPUTED_VALUE"""),"Platformer")</f>
        <v>Platformer</v>
      </c>
      <c r="M768" s="13" t="b">
        <f>NOT(ISNA(VLOOKUP(A768,PC!A:A,1,FALSE)))</f>
        <v>1</v>
      </c>
      <c r="N768" s="13" t="b">
        <f>NOT(ISNA(VLOOKUP(A768,'Game Pass Premium'!A:A,1,FALSE)))</f>
        <v>1</v>
      </c>
      <c r="O768" s="13" t="b">
        <f>NOT(ISNA(VLOOKUP(A768,'Game Pass Essential'!A:A,1,FALSE)))</f>
        <v>0</v>
      </c>
    </row>
    <row r="769">
      <c r="A769" s="12" t="str">
        <f>IFERROR(__xludf.DUMMYFUNCTION("""COMPUTED_VALUE"""),"Gang Beasts")</f>
        <v>Gang Beasts</v>
      </c>
      <c r="B769" s="13" t="str">
        <f>IFERROR(__xludf.DUMMYFUNCTION("""COMPUTED_VALUE"""),"Xbox / PC")</f>
        <v>Xbox / PC</v>
      </c>
      <c r="C769" s="14" t="str">
        <f>IFERROR(__xludf.DUMMYFUNCTION("""COMPUTED_VALUE"""),"Yes")</f>
        <v>Yes</v>
      </c>
      <c r="D769" s="14" t="str">
        <f>IFERROR(__xludf.DUMMYFUNCTION("""COMPUTED_VALUE"""),"Active")</f>
        <v>Active</v>
      </c>
      <c r="E769" s="15">
        <f>IFERROR(__xludf.DUMMYFUNCTION("""COMPUTED_VALUE"""),44378.0)</f>
        <v>44378</v>
      </c>
      <c r="F769" s="16"/>
      <c r="G769" s="18">
        <f>IFERROR(__xludf.DUMMYFUNCTION("""COMPUTED_VALUE"""),63.16666666666667)</f>
        <v>63.16666667</v>
      </c>
      <c r="H769" s="15">
        <f>IFERROR(__xludf.DUMMYFUNCTION("""COMPUTED_VALUE"""),41880.0)</f>
        <v>41880</v>
      </c>
      <c r="I769" s="18">
        <f>IFERROR(__xludf.DUMMYFUNCTION("""COMPUTED_VALUE"""),6.838888888888889)</f>
        <v>6.838888889</v>
      </c>
      <c r="J769" s="22">
        <f>IFERROR(__xludf.DUMMYFUNCTION("""COMPUTED_VALUE"""),67.0)</f>
        <v>67</v>
      </c>
      <c r="K769" s="22">
        <f>IFERROR(__xludf.DUMMYFUNCTION("""COMPUTED_VALUE"""),3.5)</f>
        <v>3.5</v>
      </c>
      <c r="L769" s="26" t="str">
        <f>IFERROR(__xludf.DUMMYFUNCTION("""COMPUTED_VALUE"""),"Brawler")</f>
        <v>Brawler</v>
      </c>
      <c r="M769" s="13" t="b">
        <f>NOT(ISNA(VLOOKUP(A769,PC!A:A,1,FALSE)))</f>
        <v>1</v>
      </c>
      <c r="N769" s="13" t="b">
        <f>NOT(ISNA(VLOOKUP(A769,'Game Pass Premium'!A:A,1,FALSE)))</f>
        <v>1</v>
      </c>
      <c r="O769" s="13" t="b">
        <f>NOT(ISNA(VLOOKUP(A769,'Game Pass Essential'!A:A,1,FALSE)))</f>
        <v>1</v>
      </c>
    </row>
    <row r="770">
      <c r="A770" s="12" t="str">
        <f>IFERROR(__xludf.DUMMYFUNCTION("""COMPUTED_VALUE"""),"Disneyland Adventures")</f>
        <v>Disneyland Adventures</v>
      </c>
      <c r="B770" s="13" t="str">
        <f>IFERROR(__xludf.DUMMYFUNCTION("""COMPUTED_VALUE"""),"Xbox / PC")</f>
        <v>Xbox / PC</v>
      </c>
      <c r="C770" s="14" t="str">
        <f>IFERROR(__xludf.DUMMYFUNCTION("""COMPUTED_VALUE"""),"Yes")</f>
        <v>Yes</v>
      </c>
      <c r="D770" s="14" t="str">
        <f>IFERROR(__xludf.DUMMYFUNCTION("""COMPUTED_VALUE"""),"Active")</f>
        <v>Active</v>
      </c>
      <c r="E770" s="15">
        <f>IFERROR(__xludf.DUMMYFUNCTION("""COMPUTED_VALUE"""),43252.0)</f>
        <v>43252</v>
      </c>
      <c r="F770" s="16"/>
      <c r="G770" s="18">
        <f>IFERROR(__xludf.DUMMYFUNCTION("""COMPUTED_VALUE"""),100.16666666666666)</f>
        <v>100.1666667</v>
      </c>
      <c r="H770" s="15">
        <f>IFERROR(__xludf.DUMMYFUNCTION("""COMPUTED_VALUE"""),40862.0)</f>
        <v>40862</v>
      </c>
      <c r="I770" s="18">
        <f>IFERROR(__xludf.DUMMYFUNCTION("""COMPUTED_VALUE"""),6.544444444444444)</f>
        <v>6.544444444</v>
      </c>
      <c r="J770" s="22">
        <f>IFERROR(__xludf.DUMMYFUNCTION("""COMPUTED_VALUE"""),67.0)</f>
        <v>67</v>
      </c>
      <c r="K770" s="22">
        <f>IFERROR(__xludf.DUMMYFUNCTION("""COMPUTED_VALUE"""),16.0)</f>
        <v>16</v>
      </c>
      <c r="L770" s="26" t="str">
        <f>IFERROR(__xludf.DUMMYFUNCTION("""COMPUTED_VALUE"""),"Adventure")</f>
        <v>Adventure</v>
      </c>
      <c r="M770" s="13" t="b">
        <f>NOT(ISNA(VLOOKUP(A770,PC!A:A,1,FALSE)))</f>
        <v>1</v>
      </c>
      <c r="N770" s="13" t="b">
        <f>NOT(ISNA(VLOOKUP(A770,'Game Pass Premium'!A:A,1,FALSE)))</f>
        <v>1</v>
      </c>
      <c r="O770" s="13" t="b">
        <f>NOT(ISNA(VLOOKUP(A770,'Game Pass Essential'!A:A,1,FALSE)))</f>
        <v>0</v>
      </c>
    </row>
    <row r="771">
      <c r="A771" s="12" t="str">
        <f>IFERROR(__xludf.DUMMYFUNCTION("""COMPUTED_VALUE"""),"Joy Ride Turbo")</f>
        <v>Joy Ride Turbo</v>
      </c>
      <c r="B771" s="13" t="str">
        <f>IFERROR(__xludf.DUMMYFUNCTION("""COMPUTED_VALUE"""),"Xbox")</f>
        <v>Xbox</v>
      </c>
      <c r="C771" s="14" t="str">
        <f>IFERROR(__xludf.DUMMYFUNCTION("""COMPUTED_VALUE"""),"Touch Controls")</f>
        <v>Touch Controls</v>
      </c>
      <c r="D771" s="14" t="str">
        <f>IFERROR(__xludf.DUMMYFUNCTION("""COMPUTED_VALUE"""),"Active")</f>
        <v>Active</v>
      </c>
      <c r="E771" s="15">
        <f>IFERROR(__xludf.DUMMYFUNCTION("""COMPUTED_VALUE"""),42887.0)</f>
        <v>42887</v>
      </c>
      <c r="F771" s="16"/>
      <c r="G771" s="18">
        <f>IFERROR(__xludf.DUMMYFUNCTION("""COMPUTED_VALUE"""),112.16666666666666)</f>
        <v>112.1666667</v>
      </c>
      <c r="H771" s="15">
        <f>IFERROR(__xludf.DUMMYFUNCTION("""COMPUTED_VALUE"""),41052.0)</f>
        <v>41052</v>
      </c>
      <c r="I771" s="18">
        <f>IFERROR(__xludf.DUMMYFUNCTION("""COMPUTED_VALUE"""),5.022222222222222)</f>
        <v>5.022222222</v>
      </c>
      <c r="J771" s="22">
        <f>IFERROR(__xludf.DUMMYFUNCTION("""COMPUTED_VALUE"""),67.0)</f>
        <v>67</v>
      </c>
      <c r="K771" s="22">
        <f>IFERROR(__xludf.DUMMYFUNCTION("""COMPUTED_VALUE"""),2.0)</f>
        <v>2</v>
      </c>
      <c r="L771" s="26" t="str">
        <f>IFERROR(__xludf.DUMMYFUNCTION("""COMPUTED_VALUE"""),"Racing")</f>
        <v>Racing</v>
      </c>
      <c r="M771" s="13" t="b">
        <f>NOT(ISNA(VLOOKUP(A771,PC!A:A,1,FALSE)))</f>
        <v>0</v>
      </c>
      <c r="N771" s="13" t="b">
        <f>NOT(ISNA(VLOOKUP(A771,'Game Pass Premium'!A:A,1,FALSE)))</f>
        <v>1</v>
      </c>
      <c r="O771" s="13" t="b">
        <f>NOT(ISNA(VLOOKUP(A771,'Game Pass Essential'!A:A,1,FALSE)))</f>
        <v>0</v>
      </c>
    </row>
    <row r="772">
      <c r="A772" s="12" t="str">
        <f>IFERROR(__xludf.DUMMYFUNCTION("""COMPUTED_VALUE"""),"Gotham City Impostors")</f>
        <v>Gotham City Impostors</v>
      </c>
      <c r="B772" s="13" t="str">
        <f>IFERROR(__xludf.DUMMYFUNCTION("""COMPUTED_VALUE"""),"XB360/OG Xbox")</f>
        <v>XB360/OG Xbox</v>
      </c>
      <c r="C772" s="14"/>
      <c r="D772" s="14" t="str">
        <f>IFERROR(__xludf.DUMMYFUNCTION("""COMPUTED_VALUE"""),"GwG Permanent")</f>
        <v>GwG Permanent</v>
      </c>
      <c r="E772" s="15">
        <f>IFERROR(__xludf.DUMMYFUNCTION("""COMPUTED_VALUE"""),41821.0)</f>
        <v>41821</v>
      </c>
      <c r="F772" s="16">
        <f>IFERROR(__xludf.DUMMYFUNCTION("""COMPUTED_VALUE"""),41835.0)</f>
        <v>41835</v>
      </c>
      <c r="G772" s="18">
        <f>IFERROR(__xludf.DUMMYFUNCTION("""COMPUTED_VALUE"""),0.4666666666666667)</f>
        <v>0.4666666667</v>
      </c>
      <c r="H772" s="15">
        <f>IFERROR(__xludf.DUMMYFUNCTION("""COMPUTED_VALUE"""),40947.0)</f>
        <v>40947</v>
      </c>
      <c r="I772" s="18">
        <f>IFERROR(__xludf.DUMMYFUNCTION("""COMPUTED_VALUE"""),2.397222222222222)</f>
        <v>2.397222222</v>
      </c>
      <c r="J772" s="22">
        <f>IFERROR(__xludf.DUMMYFUNCTION("""COMPUTED_VALUE"""),67.0)</f>
        <v>67</v>
      </c>
      <c r="K772" s="22">
        <f>IFERROR(__xludf.DUMMYFUNCTION("""COMPUTED_VALUE"""),6.0)</f>
        <v>6</v>
      </c>
      <c r="L772" s="26" t="str">
        <f>IFERROR(__xludf.DUMMYFUNCTION("""COMPUTED_VALUE"""),"Shooter")</f>
        <v>Shooter</v>
      </c>
      <c r="M772" s="13" t="b">
        <f>NOT(ISNA(VLOOKUP(A772,PC!A:A,1,FALSE)))</f>
        <v>0</v>
      </c>
      <c r="N772" s="13" t="b">
        <f>NOT(ISNA(VLOOKUP(A772,'Game Pass Premium'!A:A,1,FALSE)))</f>
        <v>0</v>
      </c>
      <c r="O772" s="13" t="b">
        <f>NOT(ISNA(VLOOKUP(A772,'Game Pass Essential'!A:A,1,FALSE)))</f>
        <v>0</v>
      </c>
    </row>
    <row r="773">
      <c r="A773" s="12" t="str">
        <f>IFERROR(__xludf.DUMMYFUNCTION("""COMPUTED_VALUE"""),"Ark: Survival Ascended")</f>
        <v>Ark: Survival Ascended</v>
      </c>
      <c r="B773" s="13" t="str">
        <f>IFERROR(__xludf.DUMMYFUNCTION("""COMPUTED_VALUE"""),"Xbox / PC")</f>
        <v>Xbox / PC</v>
      </c>
      <c r="C773" s="14" t="str">
        <f>IFERROR(__xludf.DUMMYFUNCTION("""COMPUTED_VALUE"""),"M+KB")</f>
        <v>M+KB</v>
      </c>
      <c r="D773" s="14" t="str">
        <f>IFERROR(__xludf.DUMMYFUNCTION("""COMPUTED_VALUE"""),"Active")</f>
        <v>Active</v>
      </c>
      <c r="E773" s="15">
        <f>IFERROR(__xludf.DUMMYFUNCTION("""COMPUTED_VALUE"""),45383.0)</f>
        <v>45383</v>
      </c>
      <c r="F773" s="16"/>
      <c r="G773" s="18">
        <f>IFERROR(__xludf.DUMMYFUNCTION("""COMPUTED_VALUE"""),30.166666666666664)</f>
        <v>30.16666667</v>
      </c>
      <c r="H773" s="15">
        <f>IFERROR(__xludf.DUMMYFUNCTION("""COMPUTED_VALUE"""),45260.0)</f>
        <v>45260</v>
      </c>
      <c r="I773" s="18">
        <f>IFERROR(__xludf.DUMMYFUNCTION("""COMPUTED_VALUE"""),0.33611111111111114)</f>
        <v>0.3361111111</v>
      </c>
      <c r="J773" s="22">
        <f>IFERROR(__xludf.DUMMYFUNCTION("""COMPUTED_VALUE"""),66.66666666666667)</f>
        <v>66.66666667</v>
      </c>
      <c r="K773" s="22">
        <f>IFERROR(__xludf.DUMMYFUNCTION("""COMPUTED_VALUE"""),380.0)</f>
        <v>380</v>
      </c>
      <c r="L773" s="26" t="str">
        <f>IFERROR(__xludf.DUMMYFUNCTION("""COMPUTED_VALUE"""),"Sandbox")</f>
        <v>Sandbox</v>
      </c>
      <c r="M773" s="13" t="b">
        <f>NOT(ISNA(VLOOKUP(A773,PC!A:A,1,FALSE)))</f>
        <v>1</v>
      </c>
      <c r="N773" s="13" t="b">
        <f>NOT(ISNA(VLOOKUP(A773,'Game Pass Premium'!A:A,1,FALSE)))</f>
        <v>1</v>
      </c>
      <c r="O773" s="13" t="b">
        <f>NOT(ISNA(VLOOKUP(A773,'Game Pass Essential'!A:A,1,FALSE)))</f>
        <v>0</v>
      </c>
    </row>
    <row r="774">
      <c r="A774" s="12" t="str">
        <f>IFERROR(__xludf.DUMMYFUNCTION("""COMPUTED_VALUE"""),"NHL 25")</f>
        <v>NHL 25</v>
      </c>
      <c r="B774" s="13" t="str">
        <f>IFERROR(__xludf.DUMMYFUNCTION("""COMPUTED_VALUE"""),"Xbox")</f>
        <v>Xbox</v>
      </c>
      <c r="C774" s="14"/>
      <c r="D774" s="14" t="str">
        <f>IFERROR(__xludf.DUMMYFUNCTION("""COMPUTED_VALUE"""),"Active")</f>
        <v>Active</v>
      </c>
      <c r="E774" s="15">
        <f>IFERROR(__xludf.DUMMYFUNCTION("""COMPUTED_VALUE"""),45762.0)</f>
        <v>45762</v>
      </c>
      <c r="F774" s="16"/>
      <c r="G774" s="18">
        <f>IFERROR(__xludf.DUMMYFUNCTION("""COMPUTED_VALUE"""),17.700000000000003)</f>
        <v>17.7</v>
      </c>
      <c r="H774" s="15">
        <f>IFERROR(__xludf.DUMMYFUNCTION("""COMPUTED_VALUE"""),45757.0)</f>
        <v>45757</v>
      </c>
      <c r="I774" s="18">
        <f>IFERROR(__xludf.DUMMYFUNCTION("""COMPUTED_VALUE"""),0.013888888888888888)</f>
        <v>0.01388888889</v>
      </c>
      <c r="J774" s="22">
        <f>IFERROR(__xludf.DUMMYFUNCTION("""COMPUTED_VALUE"""),66.0)</f>
        <v>66</v>
      </c>
      <c r="K774" s="22">
        <f>IFERROR(__xludf.DUMMYFUNCTION("""COMPUTED_VALUE"""),15.0)</f>
        <v>15</v>
      </c>
      <c r="L774" s="26" t="str">
        <f>IFERROR(__xludf.DUMMYFUNCTION("""COMPUTED_VALUE"""),"Sports")</f>
        <v>Sports</v>
      </c>
      <c r="M774" s="13" t="b">
        <f>NOT(ISNA(VLOOKUP(A774,PC!A:A,1,FALSE)))</f>
        <v>0</v>
      </c>
      <c r="N774" s="13" t="b">
        <f>NOT(ISNA(VLOOKUP(A774,'Game Pass Premium'!A:A,1,FALSE)))</f>
        <v>0</v>
      </c>
      <c r="O774" s="13" t="b">
        <f>NOT(ISNA(VLOOKUP(A774,'Game Pass Essential'!A:A,1,FALSE)))</f>
        <v>0</v>
      </c>
    </row>
    <row r="775">
      <c r="A775" s="12" t="str">
        <f>IFERROR(__xludf.DUMMYFUNCTION("""COMPUTED_VALUE"""),"Battlefield 2042")</f>
        <v>Battlefield 2042</v>
      </c>
      <c r="B775" s="13" t="str">
        <f>IFERROR(__xludf.DUMMYFUNCTION("""COMPUTED_VALUE"""),"Xbox / PC")</f>
        <v>Xbox / PC</v>
      </c>
      <c r="C775" s="14" t="str">
        <f>IFERROR(__xludf.DUMMYFUNCTION("""COMPUTED_VALUE"""),"Yes")</f>
        <v>Yes</v>
      </c>
      <c r="D775" s="14" t="str">
        <f>IFERROR(__xludf.DUMMYFUNCTION("""COMPUTED_VALUE"""),"Active")</f>
        <v>Active</v>
      </c>
      <c r="E775" s="15">
        <f>IFERROR(__xludf.DUMMYFUNCTION("""COMPUTED_VALUE"""),44887.0)</f>
        <v>44887</v>
      </c>
      <c r="F775" s="16"/>
      <c r="G775" s="18">
        <f>IFERROR(__xludf.DUMMYFUNCTION("""COMPUTED_VALUE"""),46.46666666666667)</f>
        <v>46.46666667</v>
      </c>
      <c r="H775" s="15">
        <f>IFERROR(__xludf.DUMMYFUNCTION("""COMPUTED_VALUE"""),44512.0)</f>
        <v>44512</v>
      </c>
      <c r="I775" s="18">
        <f>IFERROR(__xludf.DUMMYFUNCTION("""COMPUTED_VALUE"""),1.0277777777777777)</f>
        <v>1.027777778</v>
      </c>
      <c r="J775" s="22">
        <f>IFERROR(__xludf.DUMMYFUNCTION("""COMPUTED_VALUE"""),66.0)</f>
        <v>66</v>
      </c>
      <c r="K775" s="22">
        <f>IFERROR(__xludf.DUMMYFUNCTION("""COMPUTED_VALUE"""),58.0)</f>
        <v>58</v>
      </c>
      <c r="L775" s="26" t="str">
        <f>IFERROR(__xludf.DUMMYFUNCTION("""COMPUTED_VALUE"""),"Shooter")</f>
        <v>Shooter</v>
      </c>
      <c r="M775" s="13" t="b">
        <f>NOT(ISNA(VLOOKUP(A775,PC!A:A,1,FALSE)))</f>
        <v>1</v>
      </c>
      <c r="N775" s="13" t="b">
        <f>NOT(ISNA(VLOOKUP(A775,'Game Pass Premium'!A:A,1,FALSE)))</f>
        <v>1</v>
      </c>
      <c r="O775" s="13" t="b">
        <f>NOT(ISNA(VLOOKUP(A775,'Game Pass Essential'!A:A,1,FALSE)))</f>
        <v>0</v>
      </c>
    </row>
    <row r="776">
      <c r="A776" s="12" t="str">
        <f>IFERROR(__xludf.DUMMYFUNCTION("""COMPUTED_VALUE"""),"Star Wars Battlefront II: Celebration Edition")</f>
        <v>Star Wars Battlefront II: Celebration Edition</v>
      </c>
      <c r="B776" s="13" t="str">
        <f>IFERROR(__xludf.DUMMYFUNCTION("""COMPUTED_VALUE"""),"Xbox / PC")</f>
        <v>Xbox / PC</v>
      </c>
      <c r="C776" s="14" t="str">
        <f>IFERROR(__xludf.DUMMYFUNCTION("""COMPUTED_VALUE"""),"Yes")</f>
        <v>Yes</v>
      </c>
      <c r="D776" s="14" t="str">
        <f>IFERROR(__xludf.DUMMYFUNCTION("""COMPUTED_VALUE"""),"Active")</f>
        <v>Active</v>
      </c>
      <c r="E776" s="15">
        <f>IFERROR(__xludf.DUMMYFUNCTION("""COMPUTED_VALUE"""),44145.0)</f>
        <v>44145</v>
      </c>
      <c r="F776" s="16"/>
      <c r="G776" s="18">
        <f>IFERROR(__xludf.DUMMYFUNCTION("""COMPUTED_VALUE"""),70.86666666666667)</f>
        <v>70.86666667</v>
      </c>
      <c r="H776" s="15">
        <f>IFERROR(__xludf.DUMMYFUNCTION("""COMPUTED_VALUE"""),43056.0)</f>
        <v>43056</v>
      </c>
      <c r="I776" s="18">
        <f>IFERROR(__xludf.DUMMYFUNCTION("""COMPUTED_VALUE"""),2.9805555555555556)</f>
        <v>2.980555556</v>
      </c>
      <c r="J776" s="22">
        <f>IFERROR(__xludf.DUMMYFUNCTION("""COMPUTED_VALUE"""),66.0)</f>
        <v>66</v>
      </c>
      <c r="K776" s="22">
        <f>IFERROR(__xludf.DUMMYFUNCTION("""COMPUTED_VALUE"""),6.0)</f>
        <v>6</v>
      </c>
      <c r="L776" s="26" t="str">
        <f>IFERROR(__xludf.DUMMYFUNCTION("""COMPUTED_VALUE"""),"Shooter")</f>
        <v>Shooter</v>
      </c>
      <c r="M776" s="13" t="b">
        <f>NOT(ISNA(VLOOKUP(A776,PC!A:A,1,FALSE)))</f>
        <v>1</v>
      </c>
      <c r="N776" s="13" t="b">
        <f>NOT(ISNA(VLOOKUP(A776,'Game Pass Premium'!A:A,1,FALSE)))</f>
        <v>1</v>
      </c>
      <c r="O776" s="13" t="b">
        <f>NOT(ISNA(VLOOKUP(A776,'Game Pass Essential'!A:A,1,FALSE)))</f>
        <v>0</v>
      </c>
    </row>
    <row r="777">
      <c r="A777" s="12" t="str">
        <f>IFERROR(__xludf.DUMMYFUNCTION("""COMPUTED_VALUE"""),"The Sims 4: Deluxe Party Edition")</f>
        <v>The Sims 4: Deluxe Party Edition</v>
      </c>
      <c r="B777" s="13" t="str">
        <f>IFERROR(__xludf.DUMMYFUNCTION("""COMPUTED_VALUE"""),"Xbox / PC")</f>
        <v>Xbox / PC</v>
      </c>
      <c r="C777" s="14" t="str">
        <f>IFERROR(__xludf.DUMMYFUNCTION("""COMPUTED_VALUE"""),"M+KB")</f>
        <v>M+KB</v>
      </c>
      <c r="D777" s="14" t="str">
        <f>IFERROR(__xludf.DUMMYFUNCTION("""COMPUTED_VALUE"""),"Active")</f>
        <v>Active</v>
      </c>
      <c r="E777" s="15">
        <f>IFERROR(__xludf.DUMMYFUNCTION("""COMPUTED_VALUE"""),44145.0)</f>
        <v>44145</v>
      </c>
      <c r="F777" s="16"/>
      <c r="G777" s="18">
        <f>IFERROR(__xludf.DUMMYFUNCTION("""COMPUTED_VALUE"""),70.86666666666667)</f>
        <v>70.86666667</v>
      </c>
      <c r="H777" s="15">
        <f>IFERROR(__xludf.DUMMYFUNCTION("""COMPUTED_VALUE"""),41884.0)</f>
        <v>41884</v>
      </c>
      <c r="I777" s="18">
        <f>IFERROR(__xludf.DUMMYFUNCTION("""COMPUTED_VALUE"""),6.188888888888889)</f>
        <v>6.188888889</v>
      </c>
      <c r="J777" s="22">
        <f>IFERROR(__xludf.DUMMYFUNCTION("""COMPUTED_VALUE"""),66.0)</f>
        <v>66</v>
      </c>
      <c r="K777" s="22">
        <f>IFERROR(__xludf.DUMMYFUNCTION("""COMPUTED_VALUE"""),40.0)</f>
        <v>40</v>
      </c>
      <c r="L777" s="26" t="str">
        <f>IFERROR(__xludf.DUMMYFUNCTION("""COMPUTED_VALUE"""),"Simulation")</f>
        <v>Simulation</v>
      </c>
      <c r="M777" s="13" t="b">
        <f>NOT(ISNA(VLOOKUP(A777,PC!A:A,1,FALSE)))</f>
        <v>1</v>
      </c>
      <c r="N777" s="13" t="b">
        <f>NOT(ISNA(VLOOKUP(A777,'Game Pass Premium'!A:A,1,FALSE)))</f>
        <v>1</v>
      </c>
      <c r="O777" s="13" t="b">
        <f>NOT(ISNA(VLOOKUP(A777,'Game Pass Essential'!A:A,1,FALSE)))</f>
        <v>0</v>
      </c>
    </row>
    <row r="778">
      <c r="A778" s="12" t="str">
        <f>IFERROR(__xludf.DUMMYFUNCTION("""COMPUTED_VALUE"""),"Port Royale 3")</f>
        <v>Port Royale 3</v>
      </c>
      <c r="B778" s="13" t="str">
        <f>IFERROR(__xludf.DUMMYFUNCTION("""COMPUTED_VALUE"""),"XB360/OG Xbox")</f>
        <v>XB360/OG Xbox</v>
      </c>
      <c r="C778" s="14"/>
      <c r="D778" s="14" t="str">
        <f>IFERROR(__xludf.DUMMYFUNCTION("""COMPUTED_VALUE"""),"GwG Permanent")</f>
        <v>GwG Permanent</v>
      </c>
      <c r="E778" s="15">
        <f>IFERROR(__xludf.DUMMYFUNCTION("""COMPUTED_VALUE"""),44271.0)</f>
        <v>44271</v>
      </c>
      <c r="F778" s="16">
        <f>IFERROR(__xludf.DUMMYFUNCTION("""COMPUTED_VALUE"""),44286.0)</f>
        <v>44286</v>
      </c>
      <c r="G778" s="18">
        <f>IFERROR(__xludf.DUMMYFUNCTION("""COMPUTED_VALUE"""),0.4666666666666667)</f>
        <v>0.4666666667</v>
      </c>
      <c r="H778" s="15">
        <f>IFERROR(__xludf.DUMMYFUNCTION("""COMPUTED_VALUE"""),40830.0)</f>
        <v>40830</v>
      </c>
      <c r="I778" s="18">
        <f>IFERROR(__xludf.DUMMYFUNCTION("""COMPUTED_VALUE"""),9.422222222222222)</f>
        <v>9.422222222</v>
      </c>
      <c r="J778" s="22">
        <f>IFERROR(__xludf.DUMMYFUNCTION("""COMPUTED_VALUE"""),66.0)</f>
        <v>66</v>
      </c>
      <c r="K778" s="22">
        <f>IFERROR(__xludf.DUMMYFUNCTION("""COMPUTED_VALUE"""),25.0)</f>
        <v>25</v>
      </c>
      <c r="L778" s="26" t="str">
        <f>IFERROR(__xludf.DUMMYFUNCTION("""COMPUTED_VALUE"""),"Strategy")</f>
        <v>Strategy</v>
      </c>
      <c r="M778" s="13" t="b">
        <f>NOT(ISNA(VLOOKUP(A778,PC!A:A,1,FALSE)))</f>
        <v>0</v>
      </c>
      <c r="N778" s="13" t="b">
        <f>NOT(ISNA(VLOOKUP(A778,'Game Pass Premium'!A:A,1,FALSE)))</f>
        <v>0</v>
      </c>
      <c r="O778" s="13" t="b">
        <f>NOT(ISNA(VLOOKUP(A778,'Game Pass Essential'!A:A,1,FALSE)))</f>
        <v>0</v>
      </c>
    </row>
    <row r="779">
      <c r="A779" s="12" t="str">
        <f>IFERROR(__xludf.DUMMYFUNCTION("""COMPUTED_VALUE"""),"Saints Row: Gat Out of Hell")</f>
        <v>Saints Row: Gat Out of Hell</v>
      </c>
      <c r="B779" s="13" t="str">
        <f>IFERROR(__xludf.DUMMYFUNCTION("""COMPUTED_VALUE"""),"XB360/OG Xbox")</f>
        <v>XB360/OG Xbox</v>
      </c>
      <c r="C779" s="14"/>
      <c r="D779" s="14" t="str">
        <f>IFERROR(__xludf.DUMMYFUNCTION("""COMPUTED_VALUE"""),"GwG Permanent")</f>
        <v>GwG Permanent</v>
      </c>
      <c r="E779" s="15">
        <f>IFERROR(__xludf.DUMMYFUNCTION("""COMPUTED_VALUE"""),44166.0)</f>
        <v>44166</v>
      </c>
      <c r="F779" s="16">
        <f>IFERROR(__xludf.DUMMYFUNCTION("""COMPUTED_VALUE"""),44180.0)</f>
        <v>44180</v>
      </c>
      <c r="G779" s="18">
        <f>IFERROR(__xludf.DUMMYFUNCTION("""COMPUTED_VALUE"""),0.4666666666666667)</f>
        <v>0.4666666667</v>
      </c>
      <c r="H779" s="15">
        <f>IFERROR(__xludf.DUMMYFUNCTION("""COMPUTED_VALUE"""),42024.0)</f>
        <v>42024</v>
      </c>
      <c r="I779" s="18">
        <f>IFERROR(__xludf.DUMMYFUNCTION("""COMPUTED_VALUE"""),5.863888888888889)</f>
        <v>5.863888889</v>
      </c>
      <c r="J779" s="22">
        <f>IFERROR(__xludf.DUMMYFUNCTION("""COMPUTED_VALUE"""),66.0)</f>
        <v>66</v>
      </c>
      <c r="K779" s="22">
        <f>IFERROR(__xludf.DUMMYFUNCTION("""COMPUTED_VALUE"""),4.5)</f>
        <v>4.5</v>
      </c>
      <c r="L779" s="26" t="str">
        <f>IFERROR(__xludf.DUMMYFUNCTION("""COMPUTED_VALUE"""),"Action-Adventure")</f>
        <v>Action-Adventure</v>
      </c>
      <c r="M779" s="13" t="b">
        <f>NOT(ISNA(VLOOKUP(A779,PC!A:A,1,FALSE)))</f>
        <v>0</v>
      </c>
      <c r="N779" s="13" t="b">
        <f>NOT(ISNA(VLOOKUP(A779,'Game Pass Premium'!A:A,1,FALSE)))</f>
        <v>0</v>
      </c>
      <c r="O779" s="13" t="b">
        <f>NOT(ISNA(VLOOKUP(A779,'Game Pass Essential'!A:A,1,FALSE)))</f>
        <v>0</v>
      </c>
    </row>
    <row r="780">
      <c r="A780" s="12" t="str">
        <f>IFERROR(__xludf.DUMMYFUNCTION("""COMPUTED_VALUE"""),"Marlow Briggs and the Mask of Death")</f>
        <v>Marlow Briggs and the Mask of Death</v>
      </c>
      <c r="B780" s="13" t="str">
        <f>IFERROR(__xludf.DUMMYFUNCTION("""COMPUTED_VALUE"""),"XB360/OG Xbox")</f>
        <v>XB360/OG Xbox</v>
      </c>
      <c r="C780" s="14"/>
      <c r="D780" s="14" t="str">
        <f>IFERROR(__xludf.DUMMYFUNCTION("""COMPUTED_VALUE"""),"GwG Permanent")</f>
        <v>GwG Permanent</v>
      </c>
      <c r="E780" s="15">
        <f>IFERROR(__xludf.DUMMYFUNCTION("""COMPUTED_VALUE"""),43085.0)</f>
        <v>43085</v>
      </c>
      <c r="F780" s="16">
        <f>IFERROR(__xludf.DUMMYFUNCTION("""COMPUTED_VALUE"""),43100.0)</f>
        <v>43100</v>
      </c>
      <c r="G780" s="18">
        <f>IFERROR(__xludf.DUMMYFUNCTION("""COMPUTED_VALUE"""),0.4666666666666667)</f>
        <v>0.4666666667</v>
      </c>
      <c r="H780" s="15">
        <f>IFERROR(__xludf.DUMMYFUNCTION("""COMPUTED_VALUE"""),41537.0)</f>
        <v>41537</v>
      </c>
      <c r="I780" s="18">
        <f>IFERROR(__xludf.DUMMYFUNCTION("""COMPUTED_VALUE"""),4.238888888888889)</f>
        <v>4.238888889</v>
      </c>
      <c r="J780" s="22">
        <f>IFERROR(__xludf.DUMMYFUNCTION("""COMPUTED_VALUE"""),66.0)</f>
        <v>66</v>
      </c>
      <c r="K780" s="22">
        <f>IFERROR(__xludf.DUMMYFUNCTION("""COMPUTED_VALUE"""),6.0)</f>
        <v>6</v>
      </c>
      <c r="L780" s="26" t="str">
        <f>IFERROR(__xludf.DUMMYFUNCTION("""COMPUTED_VALUE"""),"Action‑Adventure")</f>
        <v>Action‑Adventure</v>
      </c>
      <c r="M780" s="13" t="b">
        <f>NOT(ISNA(VLOOKUP(A780,PC!A:A,1,FALSE)))</f>
        <v>0</v>
      </c>
      <c r="N780" s="13" t="b">
        <f>NOT(ISNA(VLOOKUP(A780,'Game Pass Premium'!A:A,1,FALSE)))</f>
        <v>0</v>
      </c>
      <c r="O780" s="13" t="b">
        <f>NOT(ISNA(VLOOKUP(A780,'Game Pass Essential'!A:A,1,FALSE)))</f>
        <v>0</v>
      </c>
    </row>
    <row r="781">
      <c r="A781" s="12" t="str">
        <f>IFERROR(__xludf.DUMMYFUNCTION("""COMPUTED_VALUE"""),"Solarpunk")</f>
        <v>Solarpunk</v>
      </c>
      <c r="B781" s="13" t="str">
        <f>IFERROR(__xludf.DUMMYFUNCTION("""COMPUTED_VALUE"""),"Xbox / PC")</f>
        <v>Xbox / PC</v>
      </c>
      <c r="C781" s="14" t="str">
        <f>IFERROR(__xludf.DUMMYFUNCTION("""COMPUTED_VALUE"""),"Yes")</f>
        <v>Yes</v>
      </c>
      <c r="D781" s="14" t="str">
        <f>IFERROR(__xludf.DUMMYFUNCTION("""COMPUTED_VALUE"""),"Active")</f>
        <v>Active</v>
      </c>
      <c r="E781" s="15">
        <f>IFERROR(__xludf.DUMMYFUNCTION("""COMPUTED_VALUE"""),46181.0)</f>
        <v>46181</v>
      </c>
      <c r="F781" s="16"/>
      <c r="G781" s="18">
        <f>IFERROR(__xludf.DUMMYFUNCTION("""COMPUTED_VALUE"""),3.9333333333333336)</f>
        <v>3.933333333</v>
      </c>
      <c r="H781" s="15">
        <f>IFERROR(__xludf.DUMMYFUNCTION("""COMPUTED_VALUE"""),46181.0)</f>
        <v>46181</v>
      </c>
      <c r="I781" s="18">
        <f>IFERROR(__xludf.DUMMYFUNCTION("""COMPUTED_VALUE"""),0.0)</f>
        <v>0</v>
      </c>
      <c r="J781" s="22">
        <f>IFERROR(__xludf.DUMMYFUNCTION("""COMPUTED_VALUE"""),65.0)</f>
        <v>65</v>
      </c>
      <c r="K781" s="22">
        <f>IFERROR(__xludf.DUMMYFUNCTION("""COMPUTED_VALUE"""),17.0)</f>
        <v>17</v>
      </c>
      <c r="L781" s="26" t="str">
        <f>IFERROR(__xludf.DUMMYFUNCTION("""COMPUTED_VALUE"""),"Simulation")</f>
        <v>Simulation</v>
      </c>
      <c r="M781" s="13" t="b">
        <f>NOT(ISNA(VLOOKUP(A781,PC!A:A,1,FALSE)))</f>
        <v>1</v>
      </c>
      <c r="N781" s="13" t="b">
        <f>NOT(ISNA(VLOOKUP(A781,'Game Pass Premium'!A:A,1,FALSE)))</f>
        <v>0</v>
      </c>
      <c r="O781" s="13" t="b">
        <f>NOT(ISNA(VLOOKUP(A781,'Game Pass Essential'!A:A,1,FALSE)))</f>
        <v>0</v>
      </c>
    </row>
    <row r="782">
      <c r="A782" s="12" t="str">
        <f>IFERROR(__xludf.DUMMYFUNCTION("""COMPUTED_VALUE"""),"Call of Duty: Black Ops 7")</f>
        <v>Call of Duty: Black Ops 7</v>
      </c>
      <c r="B782" s="13" t="str">
        <f>IFERROR(__xludf.DUMMYFUNCTION("""COMPUTED_VALUE"""),"Xbox / PC")</f>
        <v>Xbox / PC</v>
      </c>
      <c r="C782" s="14" t="str">
        <f>IFERROR(__xludf.DUMMYFUNCTION("""COMPUTED_VALUE"""),"Yes")</f>
        <v>Yes</v>
      </c>
      <c r="D782" s="14" t="str">
        <f>IFERROR(__xludf.DUMMYFUNCTION("""COMPUTED_VALUE"""),"Active")</f>
        <v>Active</v>
      </c>
      <c r="E782" s="15">
        <f>IFERROR(__xludf.DUMMYFUNCTION("""COMPUTED_VALUE"""),45975.0)</f>
        <v>45975</v>
      </c>
      <c r="F782" s="16"/>
      <c r="G782" s="18">
        <f>IFERROR(__xludf.DUMMYFUNCTION("""COMPUTED_VALUE"""),10.733333333333334)</f>
        <v>10.73333333</v>
      </c>
      <c r="H782" s="15">
        <f>IFERROR(__xludf.DUMMYFUNCTION("""COMPUTED_VALUE"""),45975.0)</f>
        <v>45975</v>
      </c>
      <c r="I782" s="18">
        <f>IFERROR(__xludf.DUMMYFUNCTION("""COMPUTED_VALUE"""),0.0)</f>
        <v>0</v>
      </c>
      <c r="J782" s="22">
        <f>IFERROR(__xludf.DUMMYFUNCTION("""COMPUTED_VALUE"""),65.0)</f>
        <v>65</v>
      </c>
      <c r="K782" s="22">
        <f>IFERROR(__xludf.DUMMYFUNCTION("""COMPUTED_VALUE"""),5.0)</f>
        <v>5</v>
      </c>
      <c r="L782" s="26" t="str">
        <f>IFERROR(__xludf.DUMMYFUNCTION("""COMPUTED_VALUE"""),"Shooter")</f>
        <v>Shooter</v>
      </c>
      <c r="M782" s="13" t="b">
        <f>NOT(ISNA(VLOOKUP(A782,PC!A:A,1,FALSE)))</f>
        <v>1</v>
      </c>
      <c r="N782" s="13" t="b">
        <f>NOT(ISNA(VLOOKUP(A782,'Game Pass Premium'!A:A,1,FALSE)))</f>
        <v>0</v>
      </c>
      <c r="O782" s="13" t="b">
        <f>NOT(ISNA(VLOOKUP(A782,'Game Pass Essential'!A:A,1,FALSE)))</f>
        <v>0</v>
      </c>
    </row>
    <row r="783">
      <c r="A783" s="12" t="str">
        <f>IFERROR(__xludf.DUMMYFUNCTION("""COMPUTED_VALUE"""),"Zombi")</f>
        <v>Zombi</v>
      </c>
      <c r="B783" s="13" t="str">
        <f>IFERROR(__xludf.DUMMYFUNCTION("""COMPUTED_VALUE"""),"Xbox / PC")</f>
        <v>Xbox / PC</v>
      </c>
      <c r="C783" s="14" t="str">
        <f>IFERROR(__xludf.DUMMYFUNCTION("""COMPUTED_VALUE"""),"Yes")</f>
        <v>Yes</v>
      </c>
      <c r="D783" s="14" t="str">
        <f>IFERROR(__xludf.DUMMYFUNCTION("""COMPUTED_VALUE"""),"Active")</f>
        <v>Active</v>
      </c>
      <c r="E783" s="15">
        <f>IFERROR(__xludf.DUMMYFUNCTION("""COMPUTED_VALUE"""),45931.0)</f>
        <v>45931</v>
      </c>
      <c r="F783" s="16"/>
      <c r="G783" s="18">
        <f>IFERROR(__xludf.DUMMYFUNCTION("""COMPUTED_VALUE"""),12.166666666666666)</f>
        <v>12.16666667</v>
      </c>
      <c r="H783" s="15">
        <f>IFERROR(__xludf.DUMMYFUNCTION("""COMPUTED_VALUE"""),42234.0)</f>
        <v>42234</v>
      </c>
      <c r="I783" s="18">
        <f>IFERROR(__xludf.DUMMYFUNCTION("""COMPUTED_VALUE"""),10.119444444444444)</f>
        <v>10.11944444</v>
      </c>
      <c r="J783" s="22">
        <f>IFERROR(__xludf.DUMMYFUNCTION("""COMPUTED_VALUE"""),65.0)</f>
        <v>65</v>
      </c>
      <c r="K783" s="22">
        <f>IFERROR(__xludf.DUMMYFUNCTION("""COMPUTED_VALUE"""),12.0)</f>
        <v>12</v>
      </c>
      <c r="L783" s="26" t="str">
        <f>IFERROR(__xludf.DUMMYFUNCTION("""COMPUTED_VALUE"""),"Survival")</f>
        <v>Survival</v>
      </c>
      <c r="M783" s="13" t="b">
        <f>NOT(ISNA(VLOOKUP(A783,PC!A:A,1,FALSE)))</f>
        <v>1</v>
      </c>
      <c r="N783" s="13" t="b">
        <f>NOT(ISNA(VLOOKUP(A783,'Game Pass Premium'!A:A,1,FALSE)))</f>
        <v>0</v>
      </c>
      <c r="O783" s="13" t="b">
        <f>NOT(ISNA(VLOOKUP(A783,'Game Pass Essential'!A:A,1,FALSE)))</f>
        <v>0</v>
      </c>
    </row>
    <row r="784">
      <c r="A784" s="12" t="str">
        <f>IFERROR(__xludf.DUMMYFUNCTION("""COMPUTED_VALUE"""),"Crackpots")</f>
        <v>Crackpots</v>
      </c>
      <c r="B784" s="13" t="str">
        <f>IFERROR(__xludf.DUMMYFUNCTION("""COMPUTED_VALUE"""),"Xbox / PC")</f>
        <v>Xbox / PC</v>
      </c>
      <c r="C784" s="14" t="str">
        <f>IFERROR(__xludf.DUMMYFUNCTION("""COMPUTED_VALUE"""),"Yes")</f>
        <v>Yes</v>
      </c>
      <c r="D784" s="14" t="str">
        <f>IFERROR(__xludf.DUMMYFUNCTION("""COMPUTED_VALUE"""),"Active")</f>
        <v>Active</v>
      </c>
      <c r="E784" s="15">
        <f>IFERROR(__xludf.DUMMYFUNCTION("""COMPUTED_VALUE"""),45798.0)</f>
        <v>45798</v>
      </c>
      <c r="F784" s="16"/>
      <c r="G784" s="18">
        <f>IFERROR(__xludf.DUMMYFUNCTION("""COMPUTED_VALUE"""),16.5)</f>
        <v>16.5</v>
      </c>
      <c r="H784" s="15">
        <f>IFERROR(__xludf.DUMMYFUNCTION("""COMPUTED_VALUE"""),30452.0)</f>
        <v>30452</v>
      </c>
      <c r="I784" s="18">
        <f>IFERROR(__xludf.DUMMYFUNCTION("""COMPUTED_VALUE"""),42.013888888888886)</f>
        <v>42.01388889</v>
      </c>
      <c r="J784" s="22">
        <f>IFERROR(__xludf.DUMMYFUNCTION("""COMPUTED_VALUE"""),65.0)</f>
        <v>65</v>
      </c>
      <c r="K784" s="22">
        <f>IFERROR(__xludf.DUMMYFUNCTION("""COMPUTED_VALUE"""),2.0)</f>
        <v>2</v>
      </c>
      <c r="L784" s="26" t="str">
        <f>IFERROR(__xludf.DUMMYFUNCTION("""COMPUTED_VALUE"""),"Shooter")</f>
        <v>Shooter</v>
      </c>
      <c r="M784" s="13" t="b">
        <f>NOT(ISNA(VLOOKUP(A784,PC!A:A,1,FALSE)))</f>
        <v>1</v>
      </c>
      <c r="N784" s="13" t="b">
        <f>NOT(ISNA(VLOOKUP(A784,'Game Pass Premium'!A:A,1,FALSE)))</f>
        <v>1</v>
      </c>
      <c r="O784" s="13" t="b">
        <f>NOT(ISNA(VLOOKUP(A784,'Game Pass Essential'!A:A,1,FALSE)))</f>
        <v>0</v>
      </c>
    </row>
    <row r="785">
      <c r="A785" s="12" t="str">
        <f>IFERROR(__xludf.DUMMYFUNCTION("""COMPUTED_VALUE"""),"Decathlon")</f>
        <v>Decathlon</v>
      </c>
      <c r="B785" s="13" t="str">
        <f>IFERROR(__xludf.DUMMYFUNCTION("""COMPUTED_VALUE"""),"Xbox / PC")</f>
        <v>Xbox / PC</v>
      </c>
      <c r="C785" s="14" t="str">
        <f>IFERROR(__xludf.DUMMYFUNCTION("""COMPUTED_VALUE"""),"Yes")</f>
        <v>Yes</v>
      </c>
      <c r="D785" s="14" t="str">
        <f>IFERROR(__xludf.DUMMYFUNCTION("""COMPUTED_VALUE"""),"Active")</f>
        <v>Active</v>
      </c>
      <c r="E785" s="15">
        <f>IFERROR(__xludf.DUMMYFUNCTION("""COMPUTED_VALUE"""),45798.0)</f>
        <v>45798</v>
      </c>
      <c r="F785" s="16"/>
      <c r="G785" s="18">
        <f>IFERROR(__xludf.DUMMYFUNCTION("""COMPUTED_VALUE"""),16.5)</f>
        <v>16.5</v>
      </c>
      <c r="H785" s="15">
        <f>IFERROR(__xludf.DUMMYFUNCTION("""COMPUTED_VALUE"""),30393.0)</f>
        <v>30393</v>
      </c>
      <c r="I785" s="18">
        <f>IFERROR(__xludf.DUMMYFUNCTION("""COMPUTED_VALUE"""),42.175)</f>
        <v>42.175</v>
      </c>
      <c r="J785" s="22">
        <f>IFERROR(__xludf.DUMMYFUNCTION("""COMPUTED_VALUE"""),65.0)</f>
        <v>65</v>
      </c>
      <c r="K785" s="22"/>
      <c r="L785" s="26" t="str">
        <f>IFERROR(__xludf.DUMMYFUNCTION("""COMPUTED_VALUE"""),"Sports")</f>
        <v>Sports</v>
      </c>
      <c r="M785" s="13" t="b">
        <f>NOT(ISNA(VLOOKUP(A785,PC!A:A,1,FALSE)))</f>
        <v>1</v>
      </c>
      <c r="N785" s="13" t="b">
        <f>NOT(ISNA(VLOOKUP(A785,'Game Pass Premium'!A:A,1,FALSE)))</f>
        <v>1</v>
      </c>
      <c r="O785" s="13" t="b">
        <f>NOT(ISNA(VLOOKUP(A785,'Game Pass Essential'!A:A,1,FALSE)))</f>
        <v>0</v>
      </c>
    </row>
    <row r="786">
      <c r="A786" s="12" t="str">
        <f>IFERROR(__xludf.DUMMYFUNCTION("""COMPUTED_VALUE"""),"Dolphin")</f>
        <v>Dolphin</v>
      </c>
      <c r="B786" s="13" t="str">
        <f>IFERROR(__xludf.DUMMYFUNCTION("""COMPUTED_VALUE"""),"Xbox / PC")</f>
        <v>Xbox / PC</v>
      </c>
      <c r="C786" s="14" t="str">
        <f>IFERROR(__xludf.DUMMYFUNCTION("""COMPUTED_VALUE"""),"Yes")</f>
        <v>Yes</v>
      </c>
      <c r="D786" s="14" t="str">
        <f>IFERROR(__xludf.DUMMYFUNCTION("""COMPUTED_VALUE"""),"Active")</f>
        <v>Active</v>
      </c>
      <c r="E786" s="15">
        <f>IFERROR(__xludf.DUMMYFUNCTION("""COMPUTED_VALUE"""),45798.0)</f>
        <v>45798</v>
      </c>
      <c r="F786" s="16"/>
      <c r="G786" s="18">
        <f>IFERROR(__xludf.DUMMYFUNCTION("""COMPUTED_VALUE"""),16.5)</f>
        <v>16.5</v>
      </c>
      <c r="H786" s="15">
        <f>IFERROR(__xludf.DUMMYFUNCTION("""COMPUTED_VALUE"""),30677.0)</f>
        <v>30677</v>
      </c>
      <c r="I786" s="18">
        <f>IFERROR(__xludf.DUMMYFUNCTION("""COMPUTED_VALUE"""),41.4)</f>
        <v>41.4</v>
      </c>
      <c r="J786" s="22">
        <f>IFERROR(__xludf.DUMMYFUNCTION("""COMPUTED_VALUE"""),65.0)</f>
        <v>65</v>
      </c>
      <c r="K786" s="22"/>
      <c r="L786" s="26" t="str">
        <f>IFERROR(__xludf.DUMMYFUNCTION("""COMPUTED_VALUE"""),"Action")</f>
        <v>Action</v>
      </c>
      <c r="M786" s="13" t="b">
        <f>NOT(ISNA(VLOOKUP(A786,PC!A:A,1,FALSE)))</f>
        <v>1</v>
      </c>
      <c r="N786" s="13" t="b">
        <f>NOT(ISNA(VLOOKUP(A786,'Game Pass Premium'!A:A,1,FALSE)))</f>
        <v>1</v>
      </c>
      <c r="O786" s="13" t="b">
        <f>NOT(ISNA(VLOOKUP(A786,'Game Pass Essential'!A:A,1,FALSE)))</f>
        <v>0</v>
      </c>
    </row>
    <row r="787">
      <c r="A787" s="12" t="str">
        <f>IFERROR(__xludf.DUMMYFUNCTION("""COMPUTED_VALUE"""),"Fishing Derby")</f>
        <v>Fishing Derby</v>
      </c>
      <c r="B787" s="13" t="str">
        <f>IFERROR(__xludf.DUMMYFUNCTION("""COMPUTED_VALUE"""),"Xbox / PC")</f>
        <v>Xbox / PC</v>
      </c>
      <c r="C787" s="14" t="str">
        <f>IFERROR(__xludf.DUMMYFUNCTION("""COMPUTED_VALUE"""),"Yes")</f>
        <v>Yes</v>
      </c>
      <c r="D787" s="14" t="str">
        <f>IFERROR(__xludf.DUMMYFUNCTION("""COMPUTED_VALUE"""),"Active")</f>
        <v>Active</v>
      </c>
      <c r="E787" s="15">
        <f>IFERROR(__xludf.DUMMYFUNCTION("""COMPUTED_VALUE"""),45798.0)</f>
        <v>45798</v>
      </c>
      <c r="F787" s="16"/>
      <c r="G787" s="18">
        <f>IFERROR(__xludf.DUMMYFUNCTION("""COMPUTED_VALUE"""),16.5)</f>
        <v>16.5</v>
      </c>
      <c r="H787" s="15">
        <f>IFERROR(__xludf.DUMMYFUNCTION("""COMPUTED_VALUE"""),29403.0)</f>
        <v>29403</v>
      </c>
      <c r="I787" s="18">
        <f>IFERROR(__xludf.DUMMYFUNCTION("""COMPUTED_VALUE"""),44.888888888888886)</f>
        <v>44.88888889</v>
      </c>
      <c r="J787" s="22">
        <f>IFERROR(__xludf.DUMMYFUNCTION("""COMPUTED_VALUE"""),65.0)</f>
        <v>65</v>
      </c>
      <c r="K787" s="22"/>
      <c r="L787" s="26" t="str">
        <f>IFERROR(__xludf.DUMMYFUNCTION("""COMPUTED_VALUE"""),"Sports")</f>
        <v>Sports</v>
      </c>
      <c r="M787" s="13" t="b">
        <f>NOT(ISNA(VLOOKUP(A787,PC!A:A,1,FALSE)))</f>
        <v>1</v>
      </c>
      <c r="N787" s="13" t="b">
        <f>NOT(ISNA(VLOOKUP(A787,'Game Pass Premium'!A:A,1,FALSE)))</f>
        <v>1</v>
      </c>
      <c r="O787" s="13" t="b">
        <f>NOT(ISNA(VLOOKUP(A787,'Game Pass Essential'!A:A,1,FALSE)))</f>
        <v>0</v>
      </c>
    </row>
    <row r="788">
      <c r="A788" s="12" t="str">
        <f>IFERROR(__xludf.DUMMYFUNCTION("""COMPUTED_VALUE"""),"Grand Prix")</f>
        <v>Grand Prix</v>
      </c>
      <c r="B788" s="13" t="str">
        <f>IFERROR(__xludf.DUMMYFUNCTION("""COMPUTED_VALUE"""),"Xbox / PC")</f>
        <v>Xbox / PC</v>
      </c>
      <c r="C788" s="14" t="str">
        <f>IFERROR(__xludf.DUMMYFUNCTION("""COMPUTED_VALUE"""),"Yes")</f>
        <v>Yes</v>
      </c>
      <c r="D788" s="14" t="str">
        <f>IFERROR(__xludf.DUMMYFUNCTION("""COMPUTED_VALUE"""),"Active")</f>
        <v>Active</v>
      </c>
      <c r="E788" s="15">
        <f>IFERROR(__xludf.DUMMYFUNCTION("""COMPUTED_VALUE"""),45798.0)</f>
        <v>45798</v>
      </c>
      <c r="F788" s="16"/>
      <c r="G788" s="18">
        <f>IFERROR(__xludf.DUMMYFUNCTION("""COMPUTED_VALUE"""),16.5)</f>
        <v>16.5</v>
      </c>
      <c r="H788" s="15">
        <f>IFERROR(__xludf.DUMMYFUNCTION("""COMPUTED_VALUE"""),30011.0)</f>
        <v>30011</v>
      </c>
      <c r="I788" s="18">
        <f>IFERROR(__xludf.DUMMYFUNCTION("""COMPUTED_VALUE"""),43.22222222222222)</f>
        <v>43.22222222</v>
      </c>
      <c r="J788" s="22">
        <f>IFERROR(__xludf.DUMMYFUNCTION("""COMPUTED_VALUE"""),65.0)</f>
        <v>65</v>
      </c>
      <c r="K788" s="22"/>
      <c r="L788" s="26" t="str">
        <f>IFERROR(__xludf.DUMMYFUNCTION("""COMPUTED_VALUE"""),"Racing")</f>
        <v>Racing</v>
      </c>
      <c r="M788" s="13" t="b">
        <f>NOT(ISNA(VLOOKUP(A788,PC!A:A,1,FALSE)))</f>
        <v>1</v>
      </c>
      <c r="N788" s="13" t="b">
        <f>NOT(ISNA(VLOOKUP(A788,'Game Pass Premium'!A:A,1,FALSE)))</f>
        <v>1</v>
      </c>
      <c r="O788" s="13" t="b">
        <f>NOT(ISNA(VLOOKUP(A788,'Game Pass Essential'!A:A,1,FALSE)))</f>
        <v>0</v>
      </c>
    </row>
    <row r="789">
      <c r="A789" s="12" t="str">
        <f>IFERROR(__xludf.DUMMYFUNCTION("""COMPUTED_VALUE"""),"Feeding Frenzy")</f>
        <v>Feeding Frenzy</v>
      </c>
      <c r="B789" s="13" t="str">
        <f>IFERROR(__xludf.DUMMYFUNCTION("""COMPUTED_VALUE"""),"Xbox")</f>
        <v>Xbox</v>
      </c>
      <c r="C789" s="14"/>
      <c r="D789" s="14" t="str">
        <f>IFERROR(__xludf.DUMMYFUNCTION("""COMPUTED_VALUE"""),"Active")</f>
        <v>Active</v>
      </c>
      <c r="E789" s="15">
        <f>IFERROR(__xludf.DUMMYFUNCTION("""COMPUTED_VALUE"""),44145.0)</f>
        <v>44145</v>
      </c>
      <c r="F789" s="16"/>
      <c r="G789" s="18">
        <f>IFERROR(__xludf.DUMMYFUNCTION("""COMPUTED_VALUE"""),70.86666666666667)</f>
        <v>70.86666667</v>
      </c>
      <c r="H789" s="15">
        <f>IFERROR(__xludf.DUMMYFUNCTION("""COMPUTED_VALUE"""),38791.0)</f>
        <v>38791</v>
      </c>
      <c r="I789" s="18">
        <f>IFERROR(__xludf.DUMMYFUNCTION("""COMPUTED_VALUE"""),14.652777777777779)</f>
        <v>14.65277778</v>
      </c>
      <c r="J789" s="22">
        <f>IFERROR(__xludf.DUMMYFUNCTION("""COMPUTED_VALUE"""),65.0)</f>
        <v>65</v>
      </c>
      <c r="K789" s="22">
        <f>IFERROR(__xludf.DUMMYFUNCTION("""COMPUTED_VALUE"""),2.0)</f>
        <v>2</v>
      </c>
      <c r="L789" s="26" t="str">
        <f>IFERROR(__xludf.DUMMYFUNCTION("""COMPUTED_VALUE"""),"Action")</f>
        <v>Action</v>
      </c>
      <c r="M789" s="13" t="b">
        <f>NOT(ISNA(VLOOKUP(A789,PC!A:A,1,FALSE)))</f>
        <v>0</v>
      </c>
      <c r="N789" s="13" t="b">
        <f>NOT(ISNA(VLOOKUP(A789,'Game Pass Premium'!A:A,1,FALSE)))</f>
        <v>1</v>
      </c>
      <c r="O789" s="13" t="b">
        <f>NOT(ISNA(VLOOKUP(A789,'Game Pass Essential'!A:A,1,FALSE)))</f>
        <v>0</v>
      </c>
    </row>
    <row r="790">
      <c r="A790" s="12" t="str">
        <f>IFERROR(__xludf.DUMMYFUNCTION("""COMPUTED_VALUE"""),"Feeding Frenzy 2: Shipwreck Showdown")</f>
        <v>Feeding Frenzy 2: Shipwreck Showdown</v>
      </c>
      <c r="B790" s="13" t="str">
        <f>IFERROR(__xludf.DUMMYFUNCTION("""COMPUTED_VALUE"""),"Xbox")</f>
        <v>Xbox</v>
      </c>
      <c r="C790" s="14"/>
      <c r="D790" s="14" t="str">
        <f>IFERROR(__xludf.DUMMYFUNCTION("""COMPUTED_VALUE"""),"Active")</f>
        <v>Active</v>
      </c>
      <c r="E790" s="15">
        <f>IFERROR(__xludf.DUMMYFUNCTION("""COMPUTED_VALUE"""),44145.0)</f>
        <v>44145</v>
      </c>
      <c r="F790" s="16"/>
      <c r="G790" s="18">
        <f>IFERROR(__xludf.DUMMYFUNCTION("""COMPUTED_VALUE"""),70.86666666666667)</f>
        <v>70.86666667</v>
      </c>
      <c r="H790" s="15">
        <f>IFERROR(__xludf.DUMMYFUNCTION("""COMPUTED_VALUE"""),38754.0)</f>
        <v>38754</v>
      </c>
      <c r="I790" s="18">
        <f>IFERROR(__xludf.DUMMYFUNCTION("""COMPUTED_VALUE"""),14.761111111111111)</f>
        <v>14.76111111</v>
      </c>
      <c r="J790" s="22">
        <f>IFERROR(__xludf.DUMMYFUNCTION("""COMPUTED_VALUE"""),65.0)</f>
        <v>65</v>
      </c>
      <c r="K790" s="22">
        <f>IFERROR(__xludf.DUMMYFUNCTION("""COMPUTED_VALUE"""),2.5)</f>
        <v>2.5</v>
      </c>
      <c r="L790" s="26" t="str">
        <f>IFERROR(__xludf.DUMMYFUNCTION("""COMPUTED_VALUE"""),"Action")</f>
        <v>Action</v>
      </c>
      <c r="M790" s="13" t="b">
        <f>NOT(ISNA(VLOOKUP(A790,PC!A:A,1,FALSE)))</f>
        <v>0</v>
      </c>
      <c r="N790" s="13" t="b">
        <f>NOT(ISNA(VLOOKUP(A790,'Game Pass Premium'!A:A,1,FALSE)))</f>
        <v>1</v>
      </c>
      <c r="O790" s="13" t="b">
        <f>NOT(ISNA(VLOOKUP(A790,'Game Pass Essential'!A:A,1,FALSE)))</f>
        <v>0</v>
      </c>
    </row>
    <row r="791">
      <c r="A791" s="12" t="str">
        <f>IFERROR(__xludf.DUMMYFUNCTION("""COMPUTED_VALUE"""),"Need for Speed: Deluxe Edition")</f>
        <v>Need for Speed: Deluxe Edition</v>
      </c>
      <c r="B791" s="13" t="str">
        <f>IFERROR(__xludf.DUMMYFUNCTION("""COMPUTED_VALUE"""),"Xbox / PC")</f>
        <v>Xbox / PC</v>
      </c>
      <c r="C791" s="14"/>
      <c r="D791" s="14" t="str">
        <f>IFERROR(__xludf.DUMMYFUNCTION("""COMPUTED_VALUE"""),"Active")</f>
        <v>Active</v>
      </c>
      <c r="E791" s="15">
        <f>IFERROR(__xludf.DUMMYFUNCTION("""COMPUTED_VALUE"""),44145.0)</f>
        <v>44145</v>
      </c>
      <c r="F791" s="16"/>
      <c r="G791" s="18">
        <f>IFERROR(__xludf.DUMMYFUNCTION("""COMPUTED_VALUE"""),70.86666666666667)</f>
        <v>70.86666667</v>
      </c>
      <c r="H791" s="15">
        <f>IFERROR(__xludf.DUMMYFUNCTION("""COMPUTED_VALUE"""),42311.0)</f>
        <v>42311</v>
      </c>
      <c r="I791" s="18">
        <f>IFERROR(__xludf.DUMMYFUNCTION("""COMPUTED_VALUE"""),5.019444444444445)</f>
        <v>5.019444444</v>
      </c>
      <c r="J791" s="22">
        <f>IFERROR(__xludf.DUMMYFUNCTION("""COMPUTED_VALUE"""),65.0)</f>
        <v>65</v>
      </c>
      <c r="K791" s="22">
        <f>IFERROR(__xludf.DUMMYFUNCTION("""COMPUTED_VALUE"""),15.5)</f>
        <v>15.5</v>
      </c>
      <c r="L791" s="26" t="str">
        <f>IFERROR(__xludf.DUMMYFUNCTION("""COMPUTED_VALUE"""),"Racing")</f>
        <v>Racing</v>
      </c>
      <c r="M791" s="13" t="b">
        <f>NOT(ISNA(VLOOKUP(A791,PC!A:A,1,FALSE)))</f>
        <v>1</v>
      </c>
      <c r="N791" s="13" t="b">
        <f>NOT(ISNA(VLOOKUP(A791,'Game Pass Premium'!A:A,1,FALSE)))</f>
        <v>1</v>
      </c>
      <c r="O791" s="13" t="b">
        <f>NOT(ISNA(VLOOKUP(A791,'Game Pass Essential'!A:A,1,FALSE)))</f>
        <v>0</v>
      </c>
    </row>
    <row r="792">
      <c r="A792" s="12" t="str">
        <f>IFERROR(__xludf.DUMMYFUNCTION("""COMPUTED_VALUE"""),"Grounded")</f>
        <v>Grounded</v>
      </c>
      <c r="B792" s="13" t="str">
        <f>IFERROR(__xludf.DUMMYFUNCTION("""COMPUTED_VALUE"""),"Xbox / PC")</f>
        <v>Xbox / PC</v>
      </c>
      <c r="C792" s="14" t="str">
        <f>IFERROR(__xludf.DUMMYFUNCTION("""COMPUTED_VALUE"""),"M+KB")</f>
        <v>M+KB</v>
      </c>
      <c r="D792" s="14" t="str">
        <f>IFERROR(__xludf.DUMMYFUNCTION("""COMPUTED_VALUE"""),"Active")</f>
        <v>Active</v>
      </c>
      <c r="E792" s="15">
        <f>IFERROR(__xludf.DUMMYFUNCTION("""COMPUTED_VALUE"""),44040.0)</f>
        <v>44040</v>
      </c>
      <c r="F792" s="16"/>
      <c r="G792" s="18">
        <f>IFERROR(__xludf.DUMMYFUNCTION("""COMPUTED_VALUE"""),74.26666666666667)</f>
        <v>74.26666667</v>
      </c>
      <c r="H792" s="15">
        <f>IFERROR(__xludf.DUMMYFUNCTION("""COMPUTED_VALUE"""),44040.0)</f>
        <v>44040</v>
      </c>
      <c r="I792" s="18">
        <f>IFERROR(__xludf.DUMMYFUNCTION("""COMPUTED_VALUE"""),0.0)</f>
        <v>0</v>
      </c>
      <c r="J792" s="22">
        <f>IFERROR(__xludf.DUMMYFUNCTION("""COMPUTED_VALUE"""),65.0)</f>
        <v>65</v>
      </c>
      <c r="K792" s="22">
        <f>IFERROR(__xludf.DUMMYFUNCTION("""COMPUTED_VALUE"""),6.5)</f>
        <v>6.5</v>
      </c>
      <c r="L792" s="26" t="str">
        <f>IFERROR(__xludf.DUMMYFUNCTION("""COMPUTED_VALUE"""),"Action-Adventure")</f>
        <v>Action-Adventure</v>
      </c>
      <c r="M792" s="13" t="b">
        <f>NOT(ISNA(VLOOKUP(A792,PC!A:A,1,FALSE)))</f>
        <v>1</v>
      </c>
      <c r="N792" s="13" t="b">
        <f>NOT(ISNA(VLOOKUP(A792,'Game Pass Premium'!A:A,1,FALSE)))</f>
        <v>1</v>
      </c>
      <c r="O792" s="13" t="b">
        <f>NOT(ISNA(VLOOKUP(A792,'Game Pass Essential'!A:A,1,FALSE)))</f>
        <v>1</v>
      </c>
    </row>
    <row r="793">
      <c r="A793" s="12" t="str">
        <f>IFERROR(__xludf.DUMMYFUNCTION("""COMPUTED_VALUE"""),"Costume Quest 2")</f>
        <v>Costume Quest 2</v>
      </c>
      <c r="B793" s="13" t="str">
        <f>IFERROR(__xludf.DUMMYFUNCTION("""COMPUTED_VALUE"""),"Xbox")</f>
        <v>Xbox</v>
      </c>
      <c r="C793" s="14"/>
      <c r="D793" s="14" t="str">
        <f>IFERROR(__xludf.DUMMYFUNCTION("""COMPUTED_VALUE"""),"Active")</f>
        <v>Active</v>
      </c>
      <c r="E793" s="15">
        <f>IFERROR(__xludf.DUMMYFUNCTION("""COMPUTED_VALUE"""),43009.0)</f>
        <v>43009</v>
      </c>
      <c r="F793" s="16"/>
      <c r="G793" s="18">
        <f>IFERROR(__xludf.DUMMYFUNCTION("""COMPUTED_VALUE"""),108.16666666666667)</f>
        <v>108.1666667</v>
      </c>
      <c r="H793" s="15">
        <f>IFERROR(__xludf.DUMMYFUNCTION("""COMPUTED_VALUE"""),41919.0)</f>
        <v>41919</v>
      </c>
      <c r="I793" s="18">
        <f>IFERROR(__xludf.DUMMYFUNCTION("""COMPUTED_VALUE"""),2.9833333333333334)</f>
        <v>2.983333333</v>
      </c>
      <c r="J793" s="22">
        <f>IFERROR(__xludf.DUMMYFUNCTION("""COMPUTED_VALUE"""),65.0)</f>
        <v>65</v>
      </c>
      <c r="K793" s="22">
        <f>IFERROR(__xludf.DUMMYFUNCTION("""COMPUTED_VALUE"""),6.5)</f>
        <v>6.5</v>
      </c>
      <c r="L793" s="26" t="str">
        <f>IFERROR(__xludf.DUMMYFUNCTION("""COMPUTED_VALUE"""),"RPG")</f>
        <v>RPG</v>
      </c>
      <c r="M793" s="13" t="b">
        <f>NOT(ISNA(VLOOKUP(A793,PC!A:A,1,FALSE)))</f>
        <v>0</v>
      </c>
      <c r="N793" s="13" t="b">
        <f>NOT(ISNA(VLOOKUP(A793,'Game Pass Premium'!A:A,1,FALSE)))</f>
        <v>1</v>
      </c>
      <c r="O793" s="13" t="b">
        <f>NOT(ISNA(VLOOKUP(A793,'Game Pass Essential'!A:A,1,FALSE)))</f>
        <v>0</v>
      </c>
    </row>
    <row r="794">
      <c r="A794" s="12" t="str">
        <f>IFERROR(__xludf.DUMMYFUNCTION("""COMPUTED_VALUE"""),"Beatdown City Survivors")</f>
        <v>Beatdown City Survivors</v>
      </c>
      <c r="B794" s="13" t="str">
        <f>IFERROR(__xludf.DUMMYFUNCTION("""COMPUTED_VALUE"""),"Xbox / PC")</f>
        <v>Xbox / PC</v>
      </c>
      <c r="C794" s="14" t="str">
        <f>IFERROR(__xludf.DUMMYFUNCTION("""COMPUTED_VALUE"""),"Yes")</f>
        <v>Yes</v>
      </c>
      <c r="D794" s="14" t="str">
        <f>IFERROR(__xludf.DUMMYFUNCTION("""COMPUTED_VALUE"""),"Active")</f>
        <v>Active</v>
      </c>
      <c r="E794" s="15">
        <f>IFERROR(__xludf.DUMMYFUNCTION("""COMPUTED_VALUE"""),46183.0)</f>
        <v>46183</v>
      </c>
      <c r="F794" s="16"/>
      <c r="G794" s="18">
        <f>IFERROR(__xludf.DUMMYFUNCTION("""COMPUTED_VALUE"""),3.866666666666667)</f>
        <v>3.866666667</v>
      </c>
      <c r="H794" s="15">
        <f>IFERROR(__xludf.DUMMYFUNCTION("""COMPUTED_VALUE"""),45693.0)</f>
        <v>45693</v>
      </c>
      <c r="I794" s="18">
        <f>IFERROR(__xludf.DUMMYFUNCTION("""COMPUTED_VALUE"""),1.3472222222222223)</f>
        <v>1.347222222</v>
      </c>
      <c r="J794" s="22">
        <f>IFERROR(__xludf.DUMMYFUNCTION("""COMPUTED_VALUE"""),64.0)</f>
        <v>64</v>
      </c>
      <c r="K794" s="22">
        <f>IFERROR(__xludf.DUMMYFUNCTION("""COMPUTED_VALUE"""),10.0)</f>
        <v>10</v>
      </c>
      <c r="L794" s="26" t="str">
        <f>IFERROR(__xludf.DUMMYFUNCTION("""COMPUTED_VALUE"""),"Action-Adventure")</f>
        <v>Action-Adventure</v>
      </c>
      <c r="M794" s="13" t="b">
        <f>NOT(ISNA(VLOOKUP(A794,PC!A:A,1,FALSE)))</f>
        <v>1</v>
      </c>
      <c r="N794" s="13" t="b">
        <f>NOT(ISNA(VLOOKUP(A794,'Game Pass Premium'!A:A,1,FALSE)))</f>
        <v>0</v>
      </c>
      <c r="O794" s="13" t="b">
        <f>NOT(ISNA(VLOOKUP(A794,'Game Pass Essential'!A:A,1,FALSE)))</f>
        <v>0</v>
      </c>
    </row>
    <row r="795">
      <c r="A795" s="12" t="str">
        <f>IFERROR(__xludf.DUMMYFUNCTION("""COMPUTED_VALUE"""),"Outbound")</f>
        <v>Outbound</v>
      </c>
      <c r="B795" s="13" t="str">
        <f>IFERROR(__xludf.DUMMYFUNCTION("""COMPUTED_VALUE"""),"Xbox / PC")</f>
        <v>Xbox / PC</v>
      </c>
      <c r="C795" s="14" t="str">
        <f>IFERROR(__xludf.DUMMYFUNCTION("""COMPUTED_VALUE"""),"Yes")</f>
        <v>Yes</v>
      </c>
      <c r="D795" s="14" t="str">
        <f>IFERROR(__xludf.DUMMYFUNCTION("""COMPUTED_VALUE"""),"Active")</f>
        <v>Active</v>
      </c>
      <c r="E795" s="15">
        <f>IFERROR(__xludf.DUMMYFUNCTION("""COMPUTED_VALUE"""),46153.0)</f>
        <v>46153</v>
      </c>
      <c r="F795" s="16"/>
      <c r="G795" s="18">
        <f>IFERROR(__xludf.DUMMYFUNCTION("""COMPUTED_VALUE"""),4.833333333333334)</f>
        <v>4.833333333</v>
      </c>
      <c r="H795" s="15">
        <f>IFERROR(__xludf.DUMMYFUNCTION("""COMPUTED_VALUE"""),46153.0)</f>
        <v>46153</v>
      </c>
      <c r="I795" s="18">
        <f>IFERROR(__xludf.DUMMYFUNCTION("""COMPUTED_VALUE"""),0.0)</f>
        <v>0</v>
      </c>
      <c r="J795" s="22">
        <f>IFERROR(__xludf.DUMMYFUNCTION("""COMPUTED_VALUE"""),64.0)</f>
        <v>64</v>
      </c>
      <c r="K795" s="22">
        <f>IFERROR(__xludf.DUMMYFUNCTION("""COMPUTED_VALUE"""),15.0)</f>
        <v>15</v>
      </c>
      <c r="L795" s="26" t="str">
        <f>IFERROR(__xludf.DUMMYFUNCTION("""COMPUTED_VALUE"""),"Survival Crafting")</f>
        <v>Survival Crafting</v>
      </c>
      <c r="M795" s="13" t="b">
        <f>NOT(ISNA(VLOOKUP(A795,PC!A:A,1,FALSE)))</f>
        <v>1</v>
      </c>
      <c r="N795" s="13" t="b">
        <f>NOT(ISNA(VLOOKUP(A795,'Game Pass Premium'!A:A,1,FALSE)))</f>
        <v>0</v>
      </c>
      <c r="O795" s="13" t="b">
        <f>NOT(ISNA(VLOOKUP(A795,'Game Pass Essential'!A:A,1,FALSE)))</f>
        <v>0</v>
      </c>
    </row>
    <row r="796">
      <c r="A796" s="12" t="str">
        <f>IFERROR(__xludf.DUMMYFUNCTION("""COMPUTED_VALUE"""),"Pigeon Simulator")</f>
        <v>Pigeon Simulator</v>
      </c>
      <c r="B796" s="13" t="str">
        <f>IFERROR(__xludf.DUMMYFUNCTION("""COMPUTED_VALUE"""),"Xbox / PC")</f>
        <v>Xbox / PC</v>
      </c>
      <c r="C796" s="14" t="str">
        <f>IFERROR(__xludf.DUMMYFUNCTION("""COMPUTED_VALUE"""),"Yes")</f>
        <v>Yes</v>
      </c>
      <c r="D796" s="14" t="str">
        <f>IFERROR(__xludf.DUMMYFUNCTION("""COMPUTED_VALUE"""),"Active")</f>
        <v>Active</v>
      </c>
      <c r="E796" s="15">
        <f>IFERROR(__xludf.DUMMYFUNCTION("""COMPUTED_VALUE"""),45972.0)</f>
        <v>45972</v>
      </c>
      <c r="F796" s="16"/>
      <c r="G796" s="18">
        <f>IFERROR(__xludf.DUMMYFUNCTION("""COMPUTED_VALUE"""),10.833333333333334)</f>
        <v>10.83333333</v>
      </c>
      <c r="H796" s="15">
        <f>IFERROR(__xludf.DUMMYFUNCTION("""COMPUTED_VALUE"""),45972.0)</f>
        <v>45972</v>
      </c>
      <c r="I796" s="18">
        <f>IFERROR(__xludf.DUMMYFUNCTION("""COMPUTED_VALUE"""),0.0)</f>
        <v>0</v>
      </c>
      <c r="J796" s="22">
        <f>IFERROR(__xludf.DUMMYFUNCTION("""COMPUTED_VALUE"""),64.0)</f>
        <v>64</v>
      </c>
      <c r="K796" s="22">
        <f>IFERROR(__xludf.DUMMYFUNCTION("""COMPUTED_VALUE"""),7.0)</f>
        <v>7</v>
      </c>
      <c r="L796" s="26" t="str">
        <f>IFERROR(__xludf.DUMMYFUNCTION("""COMPUTED_VALUE"""),"Sandbox")</f>
        <v>Sandbox</v>
      </c>
      <c r="M796" s="13" t="b">
        <f>NOT(ISNA(VLOOKUP(A796,PC!A:A,1,FALSE)))</f>
        <v>1</v>
      </c>
      <c r="N796" s="13" t="b">
        <f>NOT(ISNA(VLOOKUP(A796,'Game Pass Premium'!A:A,1,FALSE)))</f>
        <v>0</v>
      </c>
      <c r="O796" s="13" t="b">
        <f>NOT(ISNA(VLOOKUP(A796,'Game Pass Essential'!A:A,1,FALSE)))</f>
        <v>0</v>
      </c>
    </row>
    <row r="797">
      <c r="A797" s="12" t="str">
        <f>IFERROR(__xludf.DUMMYFUNCTION("""COMPUTED_VALUE"""),"The Crew 2")</f>
        <v>The Crew 2</v>
      </c>
      <c r="B797" s="13" t="str">
        <f>IFERROR(__xludf.DUMMYFUNCTION("""COMPUTED_VALUE"""),"Xbox / PC")</f>
        <v>Xbox / PC</v>
      </c>
      <c r="C797" s="14" t="str">
        <f>IFERROR(__xludf.DUMMYFUNCTION("""COMPUTED_VALUE"""),"Yes")</f>
        <v>Yes</v>
      </c>
      <c r="D797" s="14" t="str">
        <f>IFERROR(__xludf.DUMMYFUNCTION("""COMPUTED_VALUE"""),"Active")</f>
        <v>Active</v>
      </c>
      <c r="E797" s="15">
        <f>IFERROR(__xludf.DUMMYFUNCTION("""COMPUTED_VALUE"""),45931.0)</f>
        <v>45931</v>
      </c>
      <c r="F797" s="16"/>
      <c r="G797" s="18">
        <f>IFERROR(__xludf.DUMMYFUNCTION("""COMPUTED_VALUE"""),12.166666666666666)</f>
        <v>12.16666667</v>
      </c>
      <c r="H797" s="15">
        <f>IFERROR(__xludf.DUMMYFUNCTION("""COMPUTED_VALUE"""),43277.0)</f>
        <v>43277</v>
      </c>
      <c r="I797" s="18">
        <f>IFERROR(__xludf.DUMMYFUNCTION("""COMPUTED_VALUE"""),7.263888888888889)</f>
        <v>7.263888889</v>
      </c>
      <c r="J797" s="22">
        <f>IFERROR(__xludf.DUMMYFUNCTION("""COMPUTED_VALUE"""),64.0)</f>
        <v>64</v>
      </c>
      <c r="K797" s="22">
        <f>IFERROR(__xludf.DUMMYFUNCTION("""COMPUTED_VALUE"""),21.0)</f>
        <v>21</v>
      </c>
      <c r="L797" s="26" t="str">
        <f>IFERROR(__xludf.DUMMYFUNCTION("""COMPUTED_VALUE"""),"Racing")</f>
        <v>Racing</v>
      </c>
      <c r="M797" s="13" t="b">
        <f>NOT(ISNA(VLOOKUP(A797,PC!A:A,1,FALSE)))</f>
        <v>1</v>
      </c>
      <c r="N797" s="13" t="b">
        <f>NOT(ISNA(VLOOKUP(A797,'Game Pass Premium'!A:A,1,FALSE)))</f>
        <v>0</v>
      </c>
      <c r="O797" s="13" t="b">
        <f>NOT(ISNA(VLOOKUP(A797,'Game Pass Essential'!A:A,1,FALSE)))</f>
        <v>0</v>
      </c>
    </row>
    <row r="798">
      <c r="A798" s="12" t="str">
        <f>IFERROR(__xludf.DUMMYFUNCTION("""COMPUTED_VALUE"""),"FBC: Firebreak")</f>
        <v>FBC: Firebreak</v>
      </c>
      <c r="B798" s="13" t="str">
        <f>IFERROR(__xludf.DUMMYFUNCTION("""COMPUTED_VALUE"""),"Xbox / PC")</f>
        <v>Xbox / PC</v>
      </c>
      <c r="C798" s="14" t="str">
        <f>IFERROR(__xludf.DUMMYFUNCTION("""COMPUTED_VALUE"""),"Yes")</f>
        <v>Yes</v>
      </c>
      <c r="D798" s="14" t="str">
        <f>IFERROR(__xludf.DUMMYFUNCTION("""COMPUTED_VALUE"""),"Active")</f>
        <v>Active</v>
      </c>
      <c r="E798" s="15">
        <f>IFERROR(__xludf.DUMMYFUNCTION("""COMPUTED_VALUE"""),45825.0)</f>
        <v>45825</v>
      </c>
      <c r="F798" s="16"/>
      <c r="G798" s="18">
        <f>IFERROR(__xludf.DUMMYFUNCTION("""COMPUTED_VALUE"""),15.633333333333333)</f>
        <v>15.63333333</v>
      </c>
      <c r="H798" s="15">
        <f>IFERROR(__xludf.DUMMYFUNCTION("""COMPUTED_VALUE"""),45825.0)</f>
        <v>45825</v>
      </c>
      <c r="I798" s="18">
        <f>IFERROR(__xludf.DUMMYFUNCTION("""COMPUTED_VALUE"""),0.0)</f>
        <v>0</v>
      </c>
      <c r="J798" s="22">
        <f>IFERROR(__xludf.DUMMYFUNCTION("""COMPUTED_VALUE"""),64.0)</f>
        <v>64</v>
      </c>
      <c r="K798" s="22">
        <f>IFERROR(__xludf.DUMMYFUNCTION("""COMPUTED_VALUE"""),7.0)</f>
        <v>7</v>
      </c>
      <c r="L798" s="26" t="str">
        <f>IFERROR(__xludf.DUMMYFUNCTION("""COMPUTED_VALUE"""),"Shooter")</f>
        <v>Shooter</v>
      </c>
      <c r="M798" s="13" t="b">
        <f>NOT(ISNA(VLOOKUP(A798,PC!A:A,1,FALSE)))</f>
        <v>1</v>
      </c>
      <c r="N798" s="13" t="b">
        <f>NOT(ISNA(VLOOKUP(A798,'Game Pass Premium'!A:A,1,FALSE)))</f>
        <v>1</v>
      </c>
      <c r="O798" s="13" t="b">
        <f>NOT(ISNA(VLOOKUP(A798,'Game Pass Essential'!A:A,1,FALSE)))</f>
        <v>0</v>
      </c>
    </row>
    <row r="799">
      <c r="A799" s="12" t="str">
        <f>IFERROR(__xludf.DUMMYFUNCTION("""COMPUTED_VALUE"""),"We Happy Few")</f>
        <v>We Happy Few</v>
      </c>
      <c r="B799" s="13" t="str">
        <f>IFERROR(__xludf.DUMMYFUNCTION("""COMPUTED_VALUE"""),"Xbox / PC")</f>
        <v>Xbox / PC</v>
      </c>
      <c r="C799" s="14" t="str">
        <f>IFERROR(__xludf.DUMMYFUNCTION("""COMPUTED_VALUE"""),"Yes")</f>
        <v>Yes</v>
      </c>
      <c r="D799" s="14" t="str">
        <f>IFERROR(__xludf.DUMMYFUNCTION("""COMPUTED_VALUE"""),"Active")</f>
        <v>Active</v>
      </c>
      <c r="E799" s="15">
        <f>IFERROR(__xludf.DUMMYFUNCTION("""COMPUTED_VALUE"""),45302.0)</f>
        <v>45302</v>
      </c>
      <c r="F799" s="16"/>
      <c r="G799" s="18">
        <f>IFERROR(__xludf.DUMMYFUNCTION("""COMPUTED_VALUE"""),32.833333333333336)</f>
        <v>32.83333333</v>
      </c>
      <c r="H799" s="15">
        <f>IFERROR(__xludf.DUMMYFUNCTION("""COMPUTED_VALUE"""),43322.0)</f>
        <v>43322</v>
      </c>
      <c r="I799" s="18">
        <f>IFERROR(__xludf.DUMMYFUNCTION("""COMPUTED_VALUE"""),5.419444444444444)</f>
        <v>5.419444444</v>
      </c>
      <c r="J799" s="22">
        <f>IFERROR(__xludf.DUMMYFUNCTION("""COMPUTED_VALUE"""),64.0)</f>
        <v>64</v>
      </c>
      <c r="K799" s="22">
        <f>IFERROR(__xludf.DUMMYFUNCTION("""COMPUTED_VALUE"""),21.0)</f>
        <v>21</v>
      </c>
      <c r="L799" s="26" t="str">
        <f>IFERROR(__xludf.DUMMYFUNCTION("""COMPUTED_VALUE"""),"Shooter")</f>
        <v>Shooter</v>
      </c>
      <c r="M799" s="13" t="b">
        <f>NOT(ISNA(VLOOKUP(A799,PC!A:A,1,FALSE)))</f>
        <v>1</v>
      </c>
      <c r="N799" s="13" t="b">
        <f>NOT(ISNA(VLOOKUP(A799,'Game Pass Premium'!A:A,1,FALSE)))</f>
        <v>1</v>
      </c>
      <c r="O799" s="13" t="b">
        <f>NOT(ISNA(VLOOKUP(A799,'Game Pass Essential'!A:A,1,FALSE)))</f>
        <v>0</v>
      </c>
    </row>
    <row r="800">
      <c r="A800" s="12" t="str">
        <f>IFERROR(__xludf.DUMMYFUNCTION("""COMPUTED_VALUE"""),"Cooking Simulator")</f>
        <v>Cooking Simulator</v>
      </c>
      <c r="B800" s="13" t="str">
        <f>IFERROR(__xludf.DUMMYFUNCTION("""COMPUTED_VALUE"""),"Xbox / PC")</f>
        <v>Xbox / PC</v>
      </c>
      <c r="C800" s="14" t="str">
        <f>IFERROR(__xludf.DUMMYFUNCTION("""COMPUTED_VALUE"""),"Yes")</f>
        <v>Yes</v>
      </c>
      <c r="D800" s="14" t="str">
        <f>IFERROR(__xludf.DUMMYFUNCTION("""COMPUTED_VALUE"""),"Active")</f>
        <v>Active</v>
      </c>
      <c r="E800" s="15">
        <f>IFERROR(__xludf.DUMMYFUNCTION("""COMPUTED_VALUE"""),44784.0)</f>
        <v>44784</v>
      </c>
      <c r="F800" s="16"/>
      <c r="G800" s="18">
        <f>IFERROR(__xludf.DUMMYFUNCTION("""COMPUTED_VALUE"""),49.83333333333333)</f>
        <v>49.83333333</v>
      </c>
      <c r="H800" s="15">
        <f>IFERROR(__xludf.DUMMYFUNCTION("""COMPUTED_VALUE"""),43622.0)</f>
        <v>43622</v>
      </c>
      <c r="I800" s="18">
        <f>IFERROR(__xludf.DUMMYFUNCTION("""COMPUTED_VALUE"""),3.1805555555555554)</f>
        <v>3.180555556</v>
      </c>
      <c r="J800" s="22">
        <f>IFERROR(__xludf.DUMMYFUNCTION("""COMPUTED_VALUE"""),64.0)</f>
        <v>64</v>
      </c>
      <c r="K800" s="22">
        <f>IFERROR(__xludf.DUMMYFUNCTION("""COMPUTED_VALUE"""),8.5)</f>
        <v>8.5</v>
      </c>
      <c r="L800" s="26" t="str">
        <f>IFERROR(__xludf.DUMMYFUNCTION("""COMPUTED_VALUE"""),"Simulation")</f>
        <v>Simulation</v>
      </c>
      <c r="M800" s="13" t="b">
        <f>NOT(ISNA(VLOOKUP(A800,PC!A:A,1,FALSE)))</f>
        <v>1</v>
      </c>
      <c r="N800" s="13" t="b">
        <f>NOT(ISNA(VLOOKUP(A800,'Game Pass Premium'!A:A,1,FALSE)))</f>
        <v>1</v>
      </c>
      <c r="O800" s="13" t="b">
        <f>NOT(ISNA(VLOOKUP(A800,'Game Pass Essential'!A:A,1,FALSE)))</f>
        <v>0</v>
      </c>
    </row>
    <row r="801">
      <c r="A801" s="12" t="str">
        <f>IFERROR(__xludf.DUMMYFUNCTION("""COMPUTED_VALUE"""),"The Walking Dead: Michonne")</f>
        <v>The Walking Dead: Michonne</v>
      </c>
      <c r="B801" s="13" t="str">
        <f>IFERROR(__xludf.DUMMYFUNCTION("""COMPUTED_VALUE"""),"Xbox / PC")</f>
        <v>Xbox / PC</v>
      </c>
      <c r="C801" s="14" t="str">
        <f>IFERROR(__xludf.DUMMYFUNCTION("""COMPUTED_VALUE"""),"Touch Controls")</f>
        <v>Touch Controls</v>
      </c>
      <c r="D801" s="14" t="str">
        <f>IFERROR(__xludf.DUMMYFUNCTION("""COMPUTED_VALUE"""),"Active")</f>
        <v>Active</v>
      </c>
      <c r="E801" s="15">
        <f>IFERROR(__xludf.DUMMYFUNCTION("""COMPUTED_VALUE"""),43552.0)</f>
        <v>43552</v>
      </c>
      <c r="F801" s="16"/>
      <c r="G801" s="18">
        <f>IFERROR(__xludf.DUMMYFUNCTION("""COMPUTED_VALUE"""),90.26666666666667)</f>
        <v>90.26666667</v>
      </c>
      <c r="H801" s="15">
        <f>IFERROR(__xludf.DUMMYFUNCTION("""COMPUTED_VALUE"""),42423.0)</f>
        <v>42423</v>
      </c>
      <c r="I801" s="18">
        <f>IFERROR(__xludf.DUMMYFUNCTION("""COMPUTED_VALUE"""),3.0972222222222223)</f>
        <v>3.097222222</v>
      </c>
      <c r="J801" s="22">
        <f>IFERROR(__xludf.DUMMYFUNCTION("""COMPUTED_VALUE"""),64.0)</f>
        <v>64</v>
      </c>
      <c r="K801" s="22">
        <f>IFERROR(__xludf.DUMMYFUNCTION("""COMPUTED_VALUE"""),4.0)</f>
        <v>4</v>
      </c>
      <c r="L801" s="26" t="str">
        <f>IFERROR(__xludf.DUMMYFUNCTION("""COMPUTED_VALUE"""),"Adventure")</f>
        <v>Adventure</v>
      </c>
      <c r="M801" s="13" t="b">
        <f>NOT(ISNA(VLOOKUP(A801,PC!A:A,1,FALSE)))</f>
        <v>1</v>
      </c>
      <c r="N801" s="13" t="b">
        <f>NOT(ISNA(VLOOKUP(A801,'Game Pass Premium'!A:A,1,FALSE)))</f>
        <v>1</v>
      </c>
      <c r="O801" s="13" t="b">
        <f>NOT(ISNA(VLOOKUP(A801,'Game Pass Essential'!A:A,1,FALSE)))</f>
        <v>0</v>
      </c>
    </row>
    <row r="802">
      <c r="A802" s="12" t="str">
        <f>IFERROR(__xludf.DUMMYFUNCTION("""COMPUTED_VALUE"""),"Super Lucky's Tale")</f>
        <v>Super Lucky's Tale</v>
      </c>
      <c r="B802" s="13" t="str">
        <f>IFERROR(__xludf.DUMMYFUNCTION("""COMPUTED_VALUE"""),"Xbox / PC")</f>
        <v>Xbox / PC</v>
      </c>
      <c r="C802" s="14"/>
      <c r="D802" s="14" t="str">
        <f>IFERROR(__xludf.DUMMYFUNCTION("""COMPUTED_VALUE"""),"Active")</f>
        <v>Active</v>
      </c>
      <c r="E802" s="15">
        <f>IFERROR(__xludf.DUMMYFUNCTION("""COMPUTED_VALUE"""),43160.0)</f>
        <v>43160</v>
      </c>
      <c r="F802" s="16"/>
      <c r="G802" s="18">
        <f>IFERROR(__xludf.DUMMYFUNCTION("""COMPUTED_VALUE"""),103.16666666666666)</f>
        <v>103.1666667</v>
      </c>
      <c r="H802" s="15">
        <f>IFERROR(__xludf.DUMMYFUNCTION("""COMPUTED_VALUE"""),43046.0)</f>
        <v>43046</v>
      </c>
      <c r="I802" s="18">
        <f>IFERROR(__xludf.DUMMYFUNCTION("""COMPUTED_VALUE"""),0.31666666666666665)</f>
        <v>0.3166666667</v>
      </c>
      <c r="J802" s="22">
        <f>IFERROR(__xludf.DUMMYFUNCTION("""COMPUTED_VALUE"""),64.0)</f>
        <v>64</v>
      </c>
      <c r="K802" s="22">
        <f>IFERROR(__xludf.DUMMYFUNCTION("""COMPUTED_VALUE"""),6.0)</f>
        <v>6</v>
      </c>
      <c r="L802" s="26" t="str">
        <f>IFERROR(__xludf.DUMMYFUNCTION("""COMPUTED_VALUE"""),"Platformer")</f>
        <v>Platformer</v>
      </c>
      <c r="M802" s="13" t="b">
        <f>NOT(ISNA(VLOOKUP(A802,PC!A:A,1,FALSE)))</f>
        <v>1</v>
      </c>
      <c r="N802" s="13" t="b">
        <f>NOT(ISNA(VLOOKUP(A802,'Game Pass Premium'!A:A,1,FALSE)))</f>
        <v>1</v>
      </c>
      <c r="O802" s="13" t="b">
        <f>NOT(ISNA(VLOOKUP(A802,'Game Pass Essential'!A:A,1,FALSE)))</f>
        <v>0</v>
      </c>
    </row>
    <row r="803">
      <c r="A803" s="12" t="str">
        <f>IFERROR(__xludf.DUMMYFUNCTION("""COMPUTED_VALUE"""),"I Am Alive")</f>
        <v>I Am Alive</v>
      </c>
      <c r="B803" s="13" t="str">
        <f>IFERROR(__xludf.DUMMYFUNCTION("""COMPUTED_VALUE"""),"XB360/OG Xbox")</f>
        <v>XB360/OG Xbox</v>
      </c>
      <c r="C803" s="14"/>
      <c r="D803" s="14" t="str">
        <f>IFERROR(__xludf.DUMMYFUNCTION("""COMPUTED_VALUE"""),"GwG Permanent")</f>
        <v>GwG Permanent</v>
      </c>
      <c r="E803" s="15">
        <f>IFERROR(__xludf.DUMMYFUNCTION("""COMPUTED_VALUE"""),42659.0)</f>
        <v>42659</v>
      </c>
      <c r="F803" s="16">
        <f>IFERROR(__xludf.DUMMYFUNCTION("""COMPUTED_VALUE"""),42674.0)</f>
        <v>42674</v>
      </c>
      <c r="G803" s="18">
        <f>IFERROR(__xludf.DUMMYFUNCTION("""COMPUTED_VALUE"""),0.4666666666666667)</f>
        <v>0.4666666667</v>
      </c>
      <c r="H803" s="15">
        <f>IFERROR(__xludf.DUMMYFUNCTION("""COMPUTED_VALUE"""),40975.0)</f>
        <v>40975</v>
      </c>
      <c r="I803" s="18">
        <f>IFERROR(__xludf.DUMMYFUNCTION("""COMPUTED_VALUE"""),4.608333333333333)</f>
        <v>4.608333333</v>
      </c>
      <c r="J803" s="22">
        <f>IFERROR(__xludf.DUMMYFUNCTION("""COMPUTED_VALUE"""),64.0)</f>
        <v>64</v>
      </c>
      <c r="K803" s="22">
        <f>IFERROR(__xludf.DUMMYFUNCTION("""COMPUTED_VALUE"""),6.0)</f>
        <v>6</v>
      </c>
      <c r="L803" s="26" t="str">
        <f>IFERROR(__xludf.DUMMYFUNCTION("""COMPUTED_VALUE"""),"Survival")</f>
        <v>Survival</v>
      </c>
      <c r="M803" s="13" t="b">
        <f>NOT(ISNA(VLOOKUP(A803,PC!A:A,1,FALSE)))</f>
        <v>0</v>
      </c>
      <c r="N803" s="13" t="b">
        <f>NOT(ISNA(VLOOKUP(A803,'Game Pass Premium'!A:A,1,FALSE)))</f>
        <v>0</v>
      </c>
      <c r="O803" s="13" t="b">
        <f>NOT(ISNA(VLOOKUP(A803,'Game Pass Essential'!A:A,1,FALSE)))</f>
        <v>0</v>
      </c>
    </row>
    <row r="804">
      <c r="A804" s="12" t="str">
        <f>IFERROR(__xludf.DUMMYFUNCTION("""COMPUTED_VALUE"""),"Contrast")</f>
        <v>Contrast</v>
      </c>
      <c r="B804" s="13" t="str">
        <f>IFERROR(__xludf.DUMMYFUNCTION("""COMPUTED_VALUE"""),"Xbox")</f>
        <v>Xbox</v>
      </c>
      <c r="C804" s="14" t="str">
        <f>IFERROR(__xludf.DUMMYFUNCTION("""COMPUTED_VALUE"""),"Touch Controls")</f>
        <v>Touch Controls</v>
      </c>
      <c r="D804" s="14" t="str">
        <f>IFERROR(__xludf.DUMMYFUNCTION("""COMPUTED_VALUE"""),"Active")</f>
        <v>Active</v>
      </c>
      <c r="E804" s="15">
        <f>IFERROR(__xludf.DUMMYFUNCTION("""COMPUTED_VALUE"""),44595.0)</f>
        <v>44595</v>
      </c>
      <c r="F804" s="16"/>
      <c r="G804" s="18">
        <f>IFERROR(__xludf.DUMMYFUNCTION("""COMPUTED_VALUE"""),56.099999999999994)</f>
        <v>56.1</v>
      </c>
      <c r="H804" s="15">
        <f>IFERROR(__xludf.DUMMYFUNCTION("""COMPUTED_VALUE"""),41593.0)</f>
        <v>41593</v>
      </c>
      <c r="I804" s="18">
        <f>IFERROR(__xludf.DUMMYFUNCTION("""COMPUTED_VALUE"""),8.216666666666667)</f>
        <v>8.216666667</v>
      </c>
      <c r="J804" s="22">
        <f>IFERROR(__xludf.DUMMYFUNCTION("""COMPUTED_VALUE"""),63.5)</f>
        <v>63.5</v>
      </c>
      <c r="K804" s="22">
        <f>IFERROR(__xludf.DUMMYFUNCTION("""COMPUTED_VALUE"""),3.5)</f>
        <v>3.5</v>
      </c>
      <c r="L804" s="26" t="str">
        <f>IFERROR(__xludf.DUMMYFUNCTION("""COMPUTED_VALUE"""),"Platformer")</f>
        <v>Platformer</v>
      </c>
      <c r="M804" s="13" t="b">
        <f>NOT(ISNA(VLOOKUP(A804,PC!A:A,1,FALSE)))</f>
        <v>0</v>
      </c>
      <c r="N804" s="13" t="b">
        <f>NOT(ISNA(VLOOKUP(A804,'Game Pass Premium'!A:A,1,FALSE)))</f>
        <v>1</v>
      </c>
      <c r="O804" s="13" t="b">
        <f>NOT(ISNA(VLOOKUP(A804,'Game Pass Essential'!A:A,1,FALSE)))</f>
        <v>0</v>
      </c>
    </row>
    <row r="805">
      <c r="A805" s="12" t="str">
        <f>IFERROR(__xludf.DUMMYFUNCTION("""COMPUTED_VALUE"""),"Aphelion")</f>
        <v>Aphelion</v>
      </c>
      <c r="B805" s="13" t="str">
        <f>IFERROR(__xludf.DUMMYFUNCTION("""COMPUTED_VALUE"""),"Xbox / PC")</f>
        <v>Xbox / PC</v>
      </c>
      <c r="C805" s="14" t="str">
        <f>IFERROR(__xludf.DUMMYFUNCTION("""COMPUTED_VALUE"""),"Yes")</f>
        <v>Yes</v>
      </c>
      <c r="D805" s="14" t="str">
        <f>IFERROR(__xludf.DUMMYFUNCTION("""COMPUTED_VALUE"""),"Active")</f>
        <v>Active</v>
      </c>
      <c r="E805" s="15">
        <f>IFERROR(__xludf.DUMMYFUNCTION("""COMPUTED_VALUE"""),46140.0)</f>
        <v>46140</v>
      </c>
      <c r="F805" s="16"/>
      <c r="G805" s="18">
        <f>IFERROR(__xludf.DUMMYFUNCTION("""COMPUTED_VALUE"""),5.266666666666667)</f>
        <v>5.266666667</v>
      </c>
      <c r="H805" s="15">
        <f>IFERROR(__xludf.DUMMYFUNCTION("""COMPUTED_VALUE"""),46140.0)</f>
        <v>46140</v>
      </c>
      <c r="I805" s="18">
        <f>IFERROR(__xludf.DUMMYFUNCTION("""COMPUTED_VALUE"""),0.0)</f>
        <v>0</v>
      </c>
      <c r="J805" s="22">
        <f>IFERROR(__xludf.DUMMYFUNCTION("""COMPUTED_VALUE"""),63.0)</f>
        <v>63</v>
      </c>
      <c r="K805" s="22">
        <f>IFERROR(__xludf.DUMMYFUNCTION("""COMPUTED_VALUE"""),7.0)</f>
        <v>7</v>
      </c>
      <c r="L805" s="26" t="str">
        <f>IFERROR(__xludf.DUMMYFUNCTION("""COMPUTED_VALUE"""),"Action-Adventure")</f>
        <v>Action-Adventure</v>
      </c>
      <c r="M805" s="13" t="b">
        <f>NOT(ISNA(VLOOKUP(A805,PC!A:A,1,FALSE)))</f>
        <v>1</v>
      </c>
      <c r="N805" s="13" t="b">
        <f>NOT(ISNA(VLOOKUP(A805,'Game Pass Premium'!A:A,1,FALSE)))</f>
        <v>0</v>
      </c>
      <c r="O805" s="13" t="b">
        <f>NOT(ISNA(VLOOKUP(A805,'Game Pass Essential'!A:A,1,FALSE)))</f>
        <v>0</v>
      </c>
    </row>
    <row r="806">
      <c r="A806" s="12" t="str">
        <f>IFERROR(__xludf.DUMMYFUNCTION("""COMPUTED_VALUE"""),"Assassin's Creed Chronicles: India")</f>
        <v>Assassin's Creed Chronicles: India</v>
      </c>
      <c r="B806" s="13" t="str">
        <f>IFERROR(__xludf.DUMMYFUNCTION("""COMPUTED_VALUE"""),"Xbox / PC")</f>
        <v>Xbox / PC</v>
      </c>
      <c r="C806" s="14" t="str">
        <f>IFERROR(__xludf.DUMMYFUNCTION("""COMPUTED_VALUE"""),"Yes")</f>
        <v>Yes</v>
      </c>
      <c r="D806" s="14" t="str">
        <f>IFERROR(__xludf.DUMMYFUNCTION("""COMPUTED_VALUE"""),"Active")</f>
        <v>Active</v>
      </c>
      <c r="E806" s="15">
        <f>IFERROR(__xludf.DUMMYFUNCTION("""COMPUTED_VALUE"""),45931.0)</f>
        <v>45931</v>
      </c>
      <c r="F806" s="16"/>
      <c r="G806" s="18">
        <f>IFERROR(__xludf.DUMMYFUNCTION("""COMPUTED_VALUE"""),12.166666666666666)</f>
        <v>12.16666667</v>
      </c>
      <c r="H806" s="15">
        <f>IFERROR(__xludf.DUMMYFUNCTION("""COMPUTED_VALUE"""),42382.0)</f>
        <v>42382</v>
      </c>
      <c r="I806" s="18">
        <f>IFERROR(__xludf.DUMMYFUNCTION("""COMPUTED_VALUE"""),9.716666666666667)</f>
        <v>9.716666667</v>
      </c>
      <c r="J806" s="22">
        <f>IFERROR(__xludf.DUMMYFUNCTION("""COMPUTED_VALUE"""),63.0)</f>
        <v>63</v>
      </c>
      <c r="K806" s="22">
        <f>IFERROR(__xludf.DUMMYFUNCTION("""COMPUTED_VALUE"""),6.0)</f>
        <v>6</v>
      </c>
      <c r="L806" s="26" t="str">
        <f>IFERROR(__xludf.DUMMYFUNCTION("""COMPUTED_VALUE"""),"Action-Adventure")</f>
        <v>Action-Adventure</v>
      </c>
      <c r="M806" s="13" t="b">
        <f>NOT(ISNA(VLOOKUP(A806,PC!A:A,1,FALSE)))</f>
        <v>1</v>
      </c>
      <c r="N806" s="13" t="b">
        <f>NOT(ISNA(VLOOKUP(A806,'Game Pass Premium'!A:A,1,FALSE)))</f>
        <v>0</v>
      </c>
      <c r="O806" s="13" t="b">
        <f>NOT(ISNA(VLOOKUP(A806,'Game Pass Essential'!A:A,1,FALSE)))</f>
        <v>0</v>
      </c>
    </row>
    <row r="807">
      <c r="A807" s="12" t="str">
        <f>IFERROR(__xludf.DUMMYFUNCTION("""COMPUTED_VALUE"""),"Fire Fighter")</f>
        <v>Fire Fighter</v>
      </c>
      <c r="B807" s="13" t="str">
        <f>IFERROR(__xludf.DUMMYFUNCTION("""COMPUTED_VALUE"""),"Xbox / PC")</f>
        <v>Xbox / PC</v>
      </c>
      <c r="C807" s="14" t="str">
        <f>IFERROR(__xludf.DUMMYFUNCTION("""COMPUTED_VALUE"""),"Yes")</f>
        <v>Yes</v>
      </c>
      <c r="D807" s="14" t="str">
        <f>IFERROR(__xludf.DUMMYFUNCTION("""COMPUTED_VALUE"""),"Active")</f>
        <v>Active</v>
      </c>
      <c r="E807" s="15">
        <f>IFERROR(__xludf.DUMMYFUNCTION("""COMPUTED_VALUE"""),45798.0)</f>
        <v>45798</v>
      </c>
      <c r="F807" s="16"/>
      <c r="G807" s="18">
        <f>IFERROR(__xludf.DUMMYFUNCTION("""COMPUTED_VALUE"""),16.5)</f>
        <v>16.5</v>
      </c>
      <c r="H807" s="15">
        <f>IFERROR(__xludf.DUMMYFUNCTION("""COMPUTED_VALUE"""),30195.0)</f>
        <v>30195</v>
      </c>
      <c r="I807" s="18">
        <f>IFERROR(__xludf.DUMMYFUNCTION("""COMPUTED_VALUE"""),42.72222222222222)</f>
        <v>42.72222222</v>
      </c>
      <c r="J807" s="22">
        <f>IFERROR(__xludf.DUMMYFUNCTION("""COMPUTED_VALUE"""),63.0)</f>
        <v>63</v>
      </c>
      <c r="K807" s="22"/>
      <c r="L807" s="26" t="str">
        <f>IFERROR(__xludf.DUMMYFUNCTION("""COMPUTED_VALUE"""),"Action‑Adventure")</f>
        <v>Action‑Adventure</v>
      </c>
      <c r="M807" s="13" t="b">
        <f>NOT(ISNA(VLOOKUP(A807,PC!A:A,1,FALSE)))</f>
        <v>1</v>
      </c>
      <c r="N807" s="13" t="b">
        <f>NOT(ISNA(VLOOKUP(A807,'Game Pass Premium'!A:A,1,FALSE)))</f>
        <v>1</v>
      </c>
      <c r="O807" s="13" t="b">
        <f>NOT(ISNA(VLOOKUP(A807,'Game Pass Essential'!A:A,1,FALSE)))</f>
        <v>0</v>
      </c>
    </row>
    <row r="808">
      <c r="A808" s="12" t="str">
        <f>IFERROR(__xludf.DUMMYFUNCTION("""COMPUTED_VALUE"""),"Sky Jinks")</f>
        <v>Sky Jinks</v>
      </c>
      <c r="B808" s="13" t="str">
        <f>IFERROR(__xludf.DUMMYFUNCTION("""COMPUTED_VALUE"""),"Xbox / PC")</f>
        <v>Xbox / PC</v>
      </c>
      <c r="C808" s="14" t="str">
        <f>IFERROR(__xludf.DUMMYFUNCTION("""COMPUTED_VALUE"""),"Yes")</f>
        <v>Yes</v>
      </c>
      <c r="D808" s="14" t="str">
        <f>IFERROR(__xludf.DUMMYFUNCTION("""COMPUTED_VALUE"""),"Active")</f>
        <v>Active</v>
      </c>
      <c r="E808" s="15">
        <f>IFERROR(__xludf.DUMMYFUNCTION("""COMPUTED_VALUE"""),45798.0)</f>
        <v>45798</v>
      </c>
      <c r="F808" s="16"/>
      <c r="G808" s="18">
        <f>IFERROR(__xludf.DUMMYFUNCTION("""COMPUTED_VALUE"""),16.5)</f>
        <v>16.5</v>
      </c>
      <c r="H808" s="15">
        <f>IFERROR(__xludf.DUMMYFUNCTION("""COMPUTED_VALUE"""),30256.0)</f>
        <v>30256</v>
      </c>
      <c r="I808" s="18">
        <f>IFERROR(__xludf.DUMMYFUNCTION("""COMPUTED_VALUE"""),42.55555555555556)</f>
        <v>42.55555556</v>
      </c>
      <c r="J808" s="22">
        <f>IFERROR(__xludf.DUMMYFUNCTION("""COMPUTED_VALUE"""),63.0)</f>
        <v>63</v>
      </c>
      <c r="K808" s="22"/>
      <c r="L808" s="26" t="str">
        <f>IFERROR(__xludf.DUMMYFUNCTION("""COMPUTED_VALUE"""),"Shooter")</f>
        <v>Shooter</v>
      </c>
      <c r="M808" s="13" t="b">
        <f>NOT(ISNA(VLOOKUP(A808,PC!A:A,1,FALSE)))</f>
        <v>1</v>
      </c>
      <c r="N808" s="13" t="b">
        <f>NOT(ISNA(VLOOKUP(A808,'Game Pass Premium'!A:A,1,FALSE)))</f>
        <v>1</v>
      </c>
      <c r="O808" s="13" t="b">
        <f>NOT(ISNA(VLOOKUP(A808,'Game Pass Essential'!A:A,1,FALSE)))</f>
        <v>0</v>
      </c>
    </row>
    <row r="809">
      <c r="A809" s="12" t="str">
        <f>IFERROR(__xludf.DUMMYFUNCTION("""COMPUTED_VALUE"""),"Call of the Wild: The Angler")</f>
        <v>Call of the Wild: The Angler</v>
      </c>
      <c r="B809" s="13" t="str">
        <f>IFERROR(__xludf.DUMMYFUNCTION("""COMPUTED_VALUE"""),"Xbox / PC")</f>
        <v>Xbox / PC</v>
      </c>
      <c r="C809" s="14"/>
      <c r="D809" s="14" t="str">
        <f>IFERROR(__xludf.DUMMYFUNCTION("""COMPUTED_VALUE"""),"Active")</f>
        <v>Active</v>
      </c>
      <c r="E809" s="15">
        <f>IFERROR(__xludf.DUMMYFUNCTION("""COMPUTED_VALUE"""),45167.0)</f>
        <v>45167</v>
      </c>
      <c r="F809" s="16"/>
      <c r="G809" s="18">
        <f>IFERROR(__xludf.DUMMYFUNCTION("""COMPUTED_VALUE"""),37.233333333333334)</f>
        <v>37.23333333</v>
      </c>
      <c r="H809" s="15">
        <f>IFERROR(__xludf.DUMMYFUNCTION("""COMPUTED_VALUE"""),44804.0)</f>
        <v>44804</v>
      </c>
      <c r="I809" s="18">
        <f>IFERROR(__xludf.DUMMYFUNCTION("""COMPUTED_VALUE"""),0.9972222222222222)</f>
        <v>0.9972222222</v>
      </c>
      <c r="J809" s="22">
        <f>IFERROR(__xludf.DUMMYFUNCTION("""COMPUTED_VALUE"""),63.0)</f>
        <v>63</v>
      </c>
      <c r="K809" s="22">
        <f>IFERROR(__xludf.DUMMYFUNCTION("""COMPUTED_VALUE"""),11.5)</f>
        <v>11.5</v>
      </c>
      <c r="L809" s="26" t="str">
        <f>IFERROR(__xludf.DUMMYFUNCTION("""COMPUTED_VALUE"""),"Sports")</f>
        <v>Sports</v>
      </c>
      <c r="M809" s="13" t="b">
        <f>NOT(ISNA(VLOOKUP(A809,PC!A:A,1,FALSE)))</f>
        <v>1</v>
      </c>
      <c r="N809" s="13" t="b">
        <f>NOT(ISNA(VLOOKUP(A809,'Game Pass Premium'!A:A,1,FALSE)))</f>
        <v>1</v>
      </c>
      <c r="O809" s="13" t="b">
        <f>NOT(ISNA(VLOOKUP(A809,'Game Pass Essential'!A:A,1,FALSE)))</f>
        <v>0</v>
      </c>
    </row>
    <row r="810">
      <c r="A810" s="12" t="str">
        <f>IFERROR(__xludf.DUMMYFUNCTION("""COMPUTED_VALUE"""),"MX vs. ATV: Alive")</f>
        <v>MX vs. ATV: Alive</v>
      </c>
      <c r="B810" s="13" t="str">
        <f>IFERROR(__xludf.DUMMYFUNCTION("""COMPUTED_VALUE"""),"XB360/OG Xbox")</f>
        <v>XB360/OG Xbox</v>
      </c>
      <c r="C810" s="14"/>
      <c r="D810" s="14" t="str">
        <f>IFERROR(__xludf.DUMMYFUNCTION("""COMPUTED_VALUE"""),"GwG Permanent")</f>
        <v>GwG Permanent</v>
      </c>
      <c r="E810" s="15">
        <f>IFERROR(__xludf.DUMMYFUNCTION("""COMPUTED_VALUE"""),44667.0)</f>
        <v>44667</v>
      </c>
      <c r="F810" s="16">
        <f>IFERROR(__xludf.DUMMYFUNCTION("""COMPUTED_VALUE"""),44681.0)</f>
        <v>44681</v>
      </c>
      <c r="G810" s="18">
        <f>IFERROR(__xludf.DUMMYFUNCTION("""COMPUTED_VALUE"""),0.4666666666666667)</f>
        <v>0.4666666667</v>
      </c>
      <c r="H810" s="15">
        <f>IFERROR(__xludf.DUMMYFUNCTION("""COMPUTED_VALUE"""),40673.0)</f>
        <v>40673</v>
      </c>
      <c r="I810" s="18">
        <f>IFERROR(__xludf.DUMMYFUNCTION("""COMPUTED_VALUE"""),10.933333333333334)</f>
        <v>10.93333333</v>
      </c>
      <c r="J810" s="22">
        <f>IFERROR(__xludf.DUMMYFUNCTION("""COMPUTED_VALUE"""),63.0)</f>
        <v>63</v>
      </c>
      <c r="K810" s="22">
        <f>IFERROR(__xludf.DUMMYFUNCTION("""COMPUTED_VALUE"""),15.0)</f>
        <v>15</v>
      </c>
      <c r="L810" s="26" t="str">
        <f>IFERROR(__xludf.DUMMYFUNCTION("""COMPUTED_VALUE"""),"Racing")</f>
        <v>Racing</v>
      </c>
      <c r="M810" s="13" t="b">
        <f>NOT(ISNA(VLOOKUP(A810,PC!A:A,1,FALSE)))</f>
        <v>0</v>
      </c>
      <c r="N810" s="13" t="b">
        <f>NOT(ISNA(VLOOKUP(A810,'Game Pass Premium'!A:A,1,FALSE)))</f>
        <v>0</v>
      </c>
      <c r="O810" s="13" t="b">
        <f>NOT(ISNA(VLOOKUP(A810,'Game Pass Essential'!A:A,1,FALSE)))</f>
        <v>0</v>
      </c>
    </row>
    <row r="811">
      <c r="A811" s="12" t="str">
        <f>IFERROR(__xludf.DUMMYFUNCTION("""COMPUTED_VALUE"""),"Hydrophobia")</f>
        <v>Hydrophobia</v>
      </c>
      <c r="B811" s="13" t="str">
        <f>IFERROR(__xludf.DUMMYFUNCTION("""COMPUTED_VALUE"""),"XB360/OG Xbox")</f>
        <v>XB360/OG Xbox</v>
      </c>
      <c r="C811" s="14"/>
      <c r="D811" s="14" t="str">
        <f>IFERROR(__xludf.DUMMYFUNCTION("""COMPUTED_VALUE"""),"GwG Permanent")</f>
        <v>GwG Permanent</v>
      </c>
      <c r="E811" s="15">
        <f>IFERROR(__xludf.DUMMYFUNCTION("""COMPUTED_VALUE"""),44593.0)</f>
        <v>44593</v>
      </c>
      <c r="F811" s="16">
        <f>IFERROR(__xludf.DUMMYFUNCTION("""COMPUTED_VALUE"""),44607.0)</f>
        <v>44607</v>
      </c>
      <c r="G811" s="18">
        <f>IFERROR(__xludf.DUMMYFUNCTION("""COMPUTED_VALUE"""),0.4666666666666667)</f>
        <v>0.4666666667</v>
      </c>
      <c r="H811" s="15">
        <f>IFERROR(__xludf.DUMMYFUNCTION("""COMPUTED_VALUE"""),40260.0)</f>
        <v>40260</v>
      </c>
      <c r="I811" s="18">
        <f>IFERROR(__xludf.DUMMYFUNCTION("""COMPUTED_VALUE"""),11.855555555555556)</f>
        <v>11.85555556</v>
      </c>
      <c r="J811" s="22">
        <f>IFERROR(__xludf.DUMMYFUNCTION("""COMPUTED_VALUE"""),63.0)</f>
        <v>63</v>
      </c>
      <c r="K811" s="22">
        <f>IFERROR(__xludf.DUMMYFUNCTION("""COMPUTED_VALUE"""),5.0)</f>
        <v>5</v>
      </c>
      <c r="L811" s="26" t="str">
        <f>IFERROR(__xludf.DUMMYFUNCTION("""COMPUTED_VALUE"""),"Action-Adventure")</f>
        <v>Action-Adventure</v>
      </c>
      <c r="M811" s="13" t="b">
        <f>NOT(ISNA(VLOOKUP(A811,PC!A:A,1,FALSE)))</f>
        <v>0</v>
      </c>
      <c r="N811" s="13" t="b">
        <f>NOT(ISNA(VLOOKUP(A811,'Game Pass Premium'!A:A,1,FALSE)))</f>
        <v>0</v>
      </c>
      <c r="O811" s="13" t="b">
        <f>NOT(ISNA(VLOOKUP(A811,'Game Pass Essential'!A:A,1,FALSE)))</f>
        <v>0</v>
      </c>
    </row>
    <row r="812">
      <c r="A812" s="12" t="str">
        <f>IFERROR(__xludf.DUMMYFUNCTION("""COMPUTED_VALUE"""),"Lost Planet 3")</f>
        <v>Lost Planet 3</v>
      </c>
      <c r="B812" s="13" t="str">
        <f>IFERROR(__xludf.DUMMYFUNCTION("""COMPUTED_VALUE"""),"XB360/OG Xbox")</f>
        <v>XB360/OG Xbox</v>
      </c>
      <c r="C812" s="14"/>
      <c r="D812" s="14" t="str">
        <f>IFERROR(__xludf.DUMMYFUNCTION("""COMPUTED_VALUE"""),"GwG Permanent")</f>
        <v>GwG Permanent</v>
      </c>
      <c r="E812" s="15">
        <f>IFERROR(__xludf.DUMMYFUNCTION("""COMPUTED_VALUE"""),44409.0)</f>
        <v>44409</v>
      </c>
      <c r="F812" s="16">
        <f>IFERROR(__xludf.DUMMYFUNCTION("""COMPUTED_VALUE"""),44423.0)</f>
        <v>44423</v>
      </c>
      <c r="G812" s="18">
        <f>IFERROR(__xludf.DUMMYFUNCTION("""COMPUTED_VALUE"""),0.4666666666666667)</f>
        <v>0.4666666667</v>
      </c>
      <c r="H812" s="15">
        <f>IFERROR(__xludf.DUMMYFUNCTION("""COMPUTED_VALUE"""),41513.0)</f>
        <v>41513</v>
      </c>
      <c r="I812" s="18">
        <f>IFERROR(__xludf.DUMMYFUNCTION("""COMPUTED_VALUE"""),7.927777777777778)</f>
        <v>7.927777778</v>
      </c>
      <c r="J812" s="22">
        <f>IFERROR(__xludf.DUMMYFUNCTION("""COMPUTED_VALUE"""),63.0)</f>
        <v>63</v>
      </c>
      <c r="K812" s="22">
        <f>IFERROR(__xludf.DUMMYFUNCTION("""COMPUTED_VALUE"""),12.0)</f>
        <v>12</v>
      </c>
      <c r="L812" s="26" t="str">
        <f>IFERROR(__xludf.DUMMYFUNCTION("""COMPUTED_VALUE"""),"Action")</f>
        <v>Action</v>
      </c>
      <c r="M812" s="13" t="b">
        <f>NOT(ISNA(VLOOKUP(A812,PC!A:A,1,FALSE)))</f>
        <v>0</v>
      </c>
      <c r="N812" s="13" t="b">
        <f>NOT(ISNA(VLOOKUP(A812,'Game Pass Premium'!A:A,1,FALSE)))</f>
        <v>0</v>
      </c>
      <c r="O812" s="13" t="b">
        <f>NOT(ISNA(VLOOKUP(A812,'Game Pass Essential'!A:A,1,FALSE)))</f>
        <v>0</v>
      </c>
    </row>
    <row r="813">
      <c r="A813" s="12" t="str">
        <f>IFERROR(__xludf.DUMMYFUNCTION("""COMPUTED_VALUE"""),"Epic Mickey 2: The Power of Two")</f>
        <v>Epic Mickey 2: The Power of Two</v>
      </c>
      <c r="B813" s="13" t="str">
        <f>IFERROR(__xludf.DUMMYFUNCTION("""COMPUTED_VALUE"""),"XB360/OG Xbox")</f>
        <v>XB360/OG Xbox</v>
      </c>
      <c r="C813" s="14"/>
      <c r="D813" s="14" t="str">
        <f>IFERROR(__xludf.DUMMYFUNCTION("""COMPUTED_VALUE"""),"GwG Permanent")</f>
        <v>GwG Permanent</v>
      </c>
      <c r="E813" s="15">
        <f>IFERROR(__xludf.DUMMYFUNCTION("""COMPUTED_VALUE"""),43328.0)</f>
        <v>43328</v>
      </c>
      <c r="F813" s="16">
        <f>IFERROR(__xludf.DUMMYFUNCTION("""COMPUTED_VALUE"""),43343.0)</f>
        <v>43343</v>
      </c>
      <c r="G813" s="18">
        <f>IFERROR(__xludf.DUMMYFUNCTION("""COMPUTED_VALUE"""),0.4666666666666667)</f>
        <v>0.4666666667</v>
      </c>
      <c r="H813" s="15">
        <f>IFERROR(__xludf.DUMMYFUNCTION("""COMPUTED_VALUE"""),41231.0)</f>
        <v>41231</v>
      </c>
      <c r="I813" s="18">
        <f>IFERROR(__xludf.DUMMYFUNCTION("""COMPUTED_VALUE"""),5.7444444444444445)</f>
        <v>5.744444444</v>
      </c>
      <c r="J813" s="22">
        <f>IFERROR(__xludf.DUMMYFUNCTION("""COMPUTED_VALUE"""),63.0)</f>
        <v>63</v>
      </c>
      <c r="K813" s="22">
        <f>IFERROR(__xludf.DUMMYFUNCTION("""COMPUTED_VALUE"""),8.0)</f>
        <v>8</v>
      </c>
      <c r="L813" s="26" t="str">
        <f>IFERROR(__xludf.DUMMYFUNCTION("""COMPUTED_VALUE"""),"Platformer")</f>
        <v>Platformer</v>
      </c>
      <c r="M813" s="13" t="b">
        <f>NOT(ISNA(VLOOKUP(A813,PC!A:A,1,FALSE)))</f>
        <v>0</v>
      </c>
      <c r="N813" s="13" t="b">
        <f>NOT(ISNA(VLOOKUP(A813,'Game Pass Premium'!A:A,1,FALSE)))</f>
        <v>0</v>
      </c>
      <c r="O813" s="13" t="b">
        <f>NOT(ISNA(VLOOKUP(A813,'Game Pass Essential'!A:A,1,FALSE)))</f>
        <v>0</v>
      </c>
    </row>
    <row r="814">
      <c r="A814" s="12" t="str">
        <f>IFERROR(__xludf.DUMMYFUNCTION("""COMPUTED_VALUE"""),"Kane &amp; Lynch 2: Dog Days")</f>
        <v>Kane &amp; Lynch 2: Dog Days</v>
      </c>
      <c r="B814" s="13" t="str">
        <f>IFERROR(__xludf.DUMMYFUNCTION("""COMPUTED_VALUE"""),"XB360/OG Xbox")</f>
        <v>XB360/OG Xbox</v>
      </c>
      <c r="C814" s="14"/>
      <c r="D814" s="14" t="str">
        <f>IFERROR(__xludf.DUMMYFUNCTION("""COMPUTED_VALUE"""),"GwG Permanent")</f>
        <v>GwG Permanent</v>
      </c>
      <c r="E814" s="15">
        <f>IFERROR(__xludf.DUMMYFUNCTION("""COMPUTED_VALUE"""),42917.0)</f>
        <v>42917</v>
      </c>
      <c r="F814" s="16">
        <f>IFERROR(__xludf.DUMMYFUNCTION("""COMPUTED_VALUE"""),42931.0)</f>
        <v>42931</v>
      </c>
      <c r="G814" s="18">
        <f>IFERROR(__xludf.DUMMYFUNCTION("""COMPUTED_VALUE"""),0.4666666666666667)</f>
        <v>0.4666666667</v>
      </c>
      <c r="H814" s="15">
        <f>IFERROR(__xludf.DUMMYFUNCTION("""COMPUTED_VALUE"""),40407.0)</f>
        <v>40407</v>
      </c>
      <c r="I814" s="18">
        <f>IFERROR(__xludf.DUMMYFUNCTION("""COMPUTED_VALUE"""),6.872222222222222)</f>
        <v>6.872222222</v>
      </c>
      <c r="J814" s="22">
        <f>IFERROR(__xludf.DUMMYFUNCTION("""COMPUTED_VALUE"""),63.0)</f>
        <v>63</v>
      </c>
      <c r="K814" s="22">
        <f>IFERROR(__xludf.DUMMYFUNCTION("""COMPUTED_VALUE"""),4.0)</f>
        <v>4</v>
      </c>
      <c r="L814" s="26" t="str">
        <f>IFERROR(__xludf.DUMMYFUNCTION("""COMPUTED_VALUE"""),"Shooter")</f>
        <v>Shooter</v>
      </c>
      <c r="M814" s="13" t="b">
        <f>NOT(ISNA(VLOOKUP(A814,PC!A:A,1,FALSE)))</f>
        <v>0</v>
      </c>
      <c r="N814" s="13" t="b">
        <f>NOT(ISNA(VLOOKUP(A814,'Game Pass Premium'!A:A,1,FALSE)))</f>
        <v>0</v>
      </c>
      <c r="O814" s="13" t="b">
        <f>NOT(ISNA(VLOOKUP(A814,'Game Pass Essential'!A:A,1,FALSE)))</f>
        <v>0</v>
      </c>
    </row>
    <row r="815">
      <c r="A815" s="12" t="str">
        <f>IFERROR(__xludf.DUMMYFUNCTION("""COMPUTED_VALUE"""),"MX vs. ATV Alive")</f>
        <v>MX vs. ATV Alive</v>
      </c>
      <c r="B815" s="13" t="str">
        <f>IFERROR(__xludf.DUMMYFUNCTION("""COMPUTED_VALUE"""),"XB360/OG Xbox")</f>
        <v>XB360/OG Xbox</v>
      </c>
      <c r="C815" s="14"/>
      <c r="D815" s="14" t="str">
        <f>IFERROR(__xludf.DUMMYFUNCTION("""COMPUTED_VALUE"""),"GwG Permanent")</f>
        <v>GwG Permanent</v>
      </c>
      <c r="E815" s="15">
        <f>IFERROR(__xludf.DUMMYFUNCTION("""COMPUTED_VALUE"""),42005.0)</f>
        <v>42005</v>
      </c>
      <c r="F815" s="16">
        <f>IFERROR(__xludf.DUMMYFUNCTION("""COMPUTED_VALUE"""),42019.0)</f>
        <v>42019</v>
      </c>
      <c r="G815" s="18">
        <f>IFERROR(__xludf.DUMMYFUNCTION("""COMPUTED_VALUE"""),0.4666666666666667)</f>
        <v>0.4666666667</v>
      </c>
      <c r="H815" s="15">
        <f>IFERROR(__xludf.DUMMYFUNCTION("""COMPUTED_VALUE"""),40673.0)</f>
        <v>40673</v>
      </c>
      <c r="I815" s="18">
        <f>IFERROR(__xludf.DUMMYFUNCTION("""COMPUTED_VALUE"""),3.6416666666666666)</f>
        <v>3.641666667</v>
      </c>
      <c r="J815" s="22">
        <f>IFERROR(__xludf.DUMMYFUNCTION("""COMPUTED_VALUE"""),63.0)</f>
        <v>63</v>
      </c>
      <c r="K815" s="22">
        <f>IFERROR(__xludf.DUMMYFUNCTION("""COMPUTED_VALUE"""),9.0)</f>
        <v>9</v>
      </c>
      <c r="L815" s="26" t="str">
        <f>IFERROR(__xludf.DUMMYFUNCTION("""COMPUTED_VALUE"""),"Racing")</f>
        <v>Racing</v>
      </c>
      <c r="M815" s="13" t="b">
        <f>NOT(ISNA(VLOOKUP(A815,PC!A:A,1,FALSE)))</f>
        <v>0</v>
      </c>
      <c r="N815" s="13" t="b">
        <f>NOT(ISNA(VLOOKUP(A815,'Game Pass Premium'!A:A,1,FALSE)))</f>
        <v>0</v>
      </c>
      <c r="O815" s="13" t="b">
        <f>NOT(ISNA(VLOOKUP(A815,'Game Pass Essential'!A:A,1,FALSE)))</f>
        <v>0</v>
      </c>
    </row>
    <row r="816">
      <c r="A816" s="12" t="str">
        <f>IFERROR(__xludf.DUMMYFUNCTION("""COMPUTED_VALUE"""),"Assassin's Creed Chronicles: Russia")</f>
        <v>Assassin's Creed Chronicles: Russia</v>
      </c>
      <c r="B816" s="13" t="str">
        <f>IFERROR(__xludf.DUMMYFUNCTION("""COMPUTED_VALUE"""),"Xbox / PC")</f>
        <v>Xbox / PC</v>
      </c>
      <c r="C816" s="14" t="str">
        <f>IFERROR(__xludf.DUMMYFUNCTION("""COMPUTED_VALUE"""),"Yes")</f>
        <v>Yes</v>
      </c>
      <c r="D816" s="14" t="str">
        <f>IFERROR(__xludf.DUMMYFUNCTION("""COMPUTED_VALUE"""),"Active")</f>
        <v>Active</v>
      </c>
      <c r="E816" s="15">
        <f>IFERROR(__xludf.DUMMYFUNCTION("""COMPUTED_VALUE"""),45931.0)</f>
        <v>45931</v>
      </c>
      <c r="F816" s="16"/>
      <c r="G816" s="18">
        <f>IFERROR(__xludf.DUMMYFUNCTION("""COMPUTED_VALUE"""),12.166666666666666)</f>
        <v>12.16666667</v>
      </c>
      <c r="H816" s="15">
        <f>IFERROR(__xludf.DUMMYFUNCTION("""COMPUTED_VALUE"""),42409.0)</f>
        <v>42409</v>
      </c>
      <c r="I816" s="18">
        <f>IFERROR(__xludf.DUMMYFUNCTION("""COMPUTED_VALUE"""),9.644444444444444)</f>
        <v>9.644444444</v>
      </c>
      <c r="J816" s="22">
        <f>IFERROR(__xludf.DUMMYFUNCTION("""COMPUTED_VALUE"""),62.0)</f>
        <v>62</v>
      </c>
      <c r="K816" s="22">
        <f>IFERROR(__xludf.DUMMYFUNCTION("""COMPUTED_VALUE"""),7.0)</f>
        <v>7</v>
      </c>
      <c r="L816" s="26" t="str">
        <f>IFERROR(__xludf.DUMMYFUNCTION("""COMPUTED_VALUE"""),"Action-Adventure")</f>
        <v>Action-Adventure</v>
      </c>
      <c r="M816" s="13" t="b">
        <f>NOT(ISNA(VLOOKUP(A816,PC!A:A,1,FALSE)))</f>
        <v>1</v>
      </c>
      <c r="N816" s="13" t="b">
        <f>NOT(ISNA(VLOOKUP(A816,'Game Pass Premium'!A:A,1,FALSE)))</f>
        <v>0</v>
      </c>
      <c r="O816" s="13" t="b">
        <f>NOT(ISNA(VLOOKUP(A816,'Game Pass Essential'!A:A,1,FALSE)))</f>
        <v>0</v>
      </c>
    </row>
    <row r="817">
      <c r="A817" s="12" t="str">
        <f>IFERROR(__xludf.DUMMYFUNCTION("""COMPUTED_VALUE"""),"Assassin's Creed Liberation HD")</f>
        <v>Assassin's Creed Liberation HD</v>
      </c>
      <c r="B817" s="13" t="str">
        <f>IFERROR(__xludf.DUMMYFUNCTION("""COMPUTED_VALUE"""),"Xbox / PC")</f>
        <v>Xbox / PC</v>
      </c>
      <c r="C817" s="14"/>
      <c r="D817" s="14" t="str">
        <f>IFERROR(__xludf.DUMMYFUNCTION("""COMPUTED_VALUE"""),"Active")</f>
        <v>Active</v>
      </c>
      <c r="E817" s="15">
        <f>IFERROR(__xludf.DUMMYFUNCTION("""COMPUTED_VALUE"""),45931.0)</f>
        <v>45931</v>
      </c>
      <c r="F817" s="16"/>
      <c r="G817" s="18">
        <f>IFERROR(__xludf.DUMMYFUNCTION("""COMPUTED_VALUE"""),12.166666666666666)</f>
        <v>12.16666667</v>
      </c>
      <c r="H817" s="15">
        <f>IFERROR(__xludf.DUMMYFUNCTION("""COMPUTED_VALUE"""),41654.0)</f>
        <v>41654</v>
      </c>
      <c r="I817" s="18">
        <f>IFERROR(__xludf.DUMMYFUNCTION("""COMPUTED_VALUE"""),11.71111111111111)</f>
        <v>11.71111111</v>
      </c>
      <c r="J817" s="22">
        <f>IFERROR(__xludf.DUMMYFUNCTION("""COMPUTED_VALUE"""),62.0)</f>
        <v>62</v>
      </c>
      <c r="K817" s="22">
        <f>IFERROR(__xludf.DUMMYFUNCTION("""COMPUTED_VALUE"""),8.0)</f>
        <v>8</v>
      </c>
      <c r="L817" s="26" t="str">
        <f>IFERROR(__xludf.DUMMYFUNCTION("""COMPUTED_VALUE"""),"Action-Adventure")</f>
        <v>Action-Adventure</v>
      </c>
      <c r="M817" s="13" t="b">
        <f>NOT(ISNA(VLOOKUP(A817,PC!A:A,1,FALSE)))</f>
        <v>1</v>
      </c>
      <c r="N817" s="13" t="b">
        <f>NOT(ISNA(VLOOKUP(A817,'Game Pass Premium'!A:A,1,FALSE)))</f>
        <v>0</v>
      </c>
      <c r="O817" s="13" t="b">
        <f>NOT(ISNA(VLOOKUP(A817,'Game Pass Essential'!A:A,1,FALSE)))</f>
        <v>0</v>
      </c>
    </row>
    <row r="818">
      <c r="A818" s="12" t="str">
        <f>IFERROR(__xludf.DUMMYFUNCTION("""COMPUTED_VALUE"""),"Barnstorming")</f>
        <v>Barnstorming</v>
      </c>
      <c r="B818" s="13" t="str">
        <f>IFERROR(__xludf.DUMMYFUNCTION("""COMPUTED_VALUE"""),"Xbox / PC")</f>
        <v>Xbox / PC</v>
      </c>
      <c r="C818" s="14" t="str">
        <f>IFERROR(__xludf.DUMMYFUNCTION("""COMPUTED_VALUE"""),"Yes")</f>
        <v>Yes</v>
      </c>
      <c r="D818" s="14" t="str">
        <f>IFERROR(__xludf.DUMMYFUNCTION("""COMPUTED_VALUE"""),"Active")</f>
        <v>Active</v>
      </c>
      <c r="E818" s="15">
        <f>IFERROR(__xludf.DUMMYFUNCTION("""COMPUTED_VALUE"""),45798.0)</f>
        <v>45798</v>
      </c>
      <c r="F818" s="16"/>
      <c r="G818" s="18">
        <f>IFERROR(__xludf.DUMMYFUNCTION("""COMPUTED_VALUE"""),16.5)</f>
        <v>16.5</v>
      </c>
      <c r="H818" s="15">
        <f>IFERROR(__xludf.DUMMYFUNCTION("""COMPUTED_VALUE"""),30011.0)</f>
        <v>30011</v>
      </c>
      <c r="I818" s="18">
        <f>IFERROR(__xludf.DUMMYFUNCTION("""COMPUTED_VALUE"""),43.22222222222222)</f>
        <v>43.22222222</v>
      </c>
      <c r="J818" s="22">
        <f>IFERROR(__xludf.DUMMYFUNCTION("""COMPUTED_VALUE"""),62.0)</f>
        <v>62</v>
      </c>
      <c r="K818" s="22"/>
      <c r="L818" s="26" t="str">
        <f>IFERROR(__xludf.DUMMYFUNCTION("""COMPUTED_VALUE"""),"Racing")</f>
        <v>Racing</v>
      </c>
      <c r="M818" s="13" t="b">
        <f>NOT(ISNA(VLOOKUP(A818,PC!A:A,1,FALSE)))</f>
        <v>1</v>
      </c>
      <c r="N818" s="13" t="b">
        <f>NOT(ISNA(VLOOKUP(A818,'Game Pass Premium'!A:A,1,FALSE)))</f>
        <v>1</v>
      </c>
      <c r="O818" s="13" t="b">
        <f>NOT(ISNA(VLOOKUP(A818,'Game Pass Essential'!A:A,1,FALSE)))</f>
        <v>0</v>
      </c>
    </row>
    <row r="819">
      <c r="A819" s="12" t="str">
        <f>IFERROR(__xludf.DUMMYFUNCTION("""COMPUTED_VALUE"""),"Baseball")</f>
        <v>Baseball</v>
      </c>
      <c r="B819" s="13" t="str">
        <f>IFERROR(__xludf.DUMMYFUNCTION("""COMPUTED_VALUE"""),"Xbox / PC")</f>
        <v>Xbox / PC</v>
      </c>
      <c r="C819" s="14" t="str">
        <f>IFERROR(__xludf.DUMMYFUNCTION("""COMPUTED_VALUE"""),"Yes")</f>
        <v>Yes</v>
      </c>
      <c r="D819" s="14" t="str">
        <f>IFERROR(__xludf.DUMMYFUNCTION("""COMPUTED_VALUE"""),"Active")</f>
        <v>Active</v>
      </c>
      <c r="E819" s="15">
        <f>IFERROR(__xludf.DUMMYFUNCTION("""COMPUTED_VALUE"""),45798.0)</f>
        <v>45798</v>
      </c>
      <c r="F819" s="16"/>
      <c r="G819" s="18">
        <f>IFERROR(__xludf.DUMMYFUNCTION("""COMPUTED_VALUE"""),16.5)</f>
        <v>16.5</v>
      </c>
      <c r="H819" s="15">
        <f>IFERROR(__xludf.DUMMYFUNCTION("""COMPUTED_VALUE"""),32214.0)</f>
        <v>32214</v>
      </c>
      <c r="I819" s="18">
        <f>IFERROR(__xludf.DUMMYFUNCTION("""COMPUTED_VALUE"""),37.19166666666667)</f>
        <v>37.19166667</v>
      </c>
      <c r="J819" s="22">
        <f>IFERROR(__xludf.DUMMYFUNCTION("""COMPUTED_VALUE"""),62.0)</f>
        <v>62</v>
      </c>
      <c r="K819" s="22"/>
      <c r="L819" s="26" t="str">
        <f>IFERROR(__xludf.DUMMYFUNCTION("""COMPUTED_VALUE"""),"Sports")</f>
        <v>Sports</v>
      </c>
      <c r="M819" s="13" t="b">
        <f>NOT(ISNA(VLOOKUP(A819,PC!A:A,1,FALSE)))</f>
        <v>1</v>
      </c>
      <c r="N819" s="13" t="b">
        <f>NOT(ISNA(VLOOKUP(A819,'Game Pass Premium'!A:A,1,FALSE)))</f>
        <v>1</v>
      </c>
      <c r="O819" s="13" t="b">
        <f>NOT(ISNA(VLOOKUP(A819,'Game Pass Essential'!A:A,1,FALSE)))</f>
        <v>0</v>
      </c>
    </row>
    <row r="820">
      <c r="A820" s="12" t="str">
        <f>IFERROR(__xludf.DUMMYFUNCTION("""COMPUTED_VALUE"""),"Midway Arcade Origins")</f>
        <v>Midway Arcade Origins</v>
      </c>
      <c r="B820" s="13" t="str">
        <f>IFERROR(__xludf.DUMMYFUNCTION("""COMPUTED_VALUE"""),"XB360/OG Xbox")</f>
        <v>XB360/OG Xbox</v>
      </c>
      <c r="C820" s="14"/>
      <c r="D820" s="14" t="str">
        <f>IFERROR(__xludf.DUMMYFUNCTION("""COMPUTED_VALUE"""),"GwG Permanent")</f>
        <v>GwG Permanent</v>
      </c>
      <c r="E820" s="15">
        <f>IFERROR(__xludf.DUMMYFUNCTION("""COMPUTED_VALUE"""),44393.0)</f>
        <v>44393</v>
      </c>
      <c r="F820" s="16">
        <f>IFERROR(__xludf.DUMMYFUNCTION("""COMPUTED_VALUE"""),44408.0)</f>
        <v>44408</v>
      </c>
      <c r="G820" s="18">
        <f>IFERROR(__xludf.DUMMYFUNCTION("""COMPUTED_VALUE"""),0.4666666666666667)</f>
        <v>0.4666666667</v>
      </c>
      <c r="H820" s="15">
        <f>IFERROR(__xludf.DUMMYFUNCTION("""COMPUTED_VALUE"""),41226.0)</f>
        <v>41226</v>
      </c>
      <c r="I820" s="18">
        <f>IFERROR(__xludf.DUMMYFUNCTION("""COMPUTED_VALUE"""),8.675)</f>
        <v>8.675</v>
      </c>
      <c r="J820" s="22">
        <f>IFERROR(__xludf.DUMMYFUNCTION("""COMPUTED_VALUE"""),62.0)</f>
        <v>62</v>
      </c>
      <c r="K820" s="22">
        <f>IFERROR(__xludf.DUMMYFUNCTION("""COMPUTED_VALUE"""),27.0)</f>
        <v>27</v>
      </c>
      <c r="L820" s="26" t="str">
        <f>IFERROR(__xludf.DUMMYFUNCTION("""COMPUTED_VALUE"""),"Compilation")</f>
        <v>Compilation</v>
      </c>
      <c r="M820" s="13" t="b">
        <f>NOT(ISNA(VLOOKUP(A820,PC!A:A,1,FALSE)))</f>
        <v>0</v>
      </c>
      <c r="N820" s="13" t="b">
        <f>NOT(ISNA(VLOOKUP(A820,'Game Pass Premium'!A:A,1,FALSE)))</f>
        <v>0</v>
      </c>
      <c r="O820" s="13" t="b">
        <f>NOT(ISNA(VLOOKUP(A820,'Game Pass Essential'!A:A,1,FALSE)))</f>
        <v>0</v>
      </c>
    </row>
    <row r="821">
      <c r="A821" s="12" t="str">
        <f>IFERROR(__xludf.DUMMYFUNCTION("""COMPUTED_VALUE"""),"Meet the Robinsons")</f>
        <v>Meet the Robinsons</v>
      </c>
      <c r="B821" s="13" t="str">
        <f>IFERROR(__xludf.DUMMYFUNCTION("""COMPUTED_VALUE"""),"XB360/OG Xbox")</f>
        <v>XB360/OG Xbox</v>
      </c>
      <c r="C821" s="14"/>
      <c r="D821" s="14" t="str">
        <f>IFERROR(__xludf.DUMMYFUNCTION("""COMPUTED_VALUE"""),"GwG Permanent")</f>
        <v>GwG Permanent</v>
      </c>
      <c r="E821" s="15">
        <f>IFERROR(__xludf.DUMMYFUNCTION("""COMPUTED_VALUE"""),43662.0)</f>
        <v>43662</v>
      </c>
      <c r="F821" s="16">
        <f>IFERROR(__xludf.DUMMYFUNCTION("""COMPUTED_VALUE"""),43677.0)</f>
        <v>43677</v>
      </c>
      <c r="G821" s="18">
        <f>IFERROR(__xludf.DUMMYFUNCTION("""COMPUTED_VALUE"""),0.4666666666666667)</f>
        <v>0.4666666667</v>
      </c>
      <c r="H821" s="15">
        <f>IFERROR(__xludf.DUMMYFUNCTION("""COMPUTED_VALUE"""),40498.0)</f>
        <v>40498</v>
      </c>
      <c r="I821" s="18">
        <f>IFERROR(__xludf.DUMMYFUNCTION("""COMPUTED_VALUE"""),8.666666666666666)</f>
        <v>8.666666667</v>
      </c>
      <c r="J821" s="22">
        <f>IFERROR(__xludf.DUMMYFUNCTION("""COMPUTED_VALUE"""),62.0)</f>
        <v>62</v>
      </c>
      <c r="K821" s="22">
        <f>IFERROR(__xludf.DUMMYFUNCTION("""COMPUTED_VALUE"""),6.0)</f>
        <v>6</v>
      </c>
      <c r="L821" s="26" t="str">
        <f>IFERROR(__xludf.DUMMYFUNCTION("""COMPUTED_VALUE"""),"Action-Adventure")</f>
        <v>Action-Adventure</v>
      </c>
      <c r="M821" s="13" t="b">
        <f>NOT(ISNA(VLOOKUP(A821,PC!A:A,1,FALSE)))</f>
        <v>0</v>
      </c>
      <c r="N821" s="13" t="b">
        <f>NOT(ISNA(VLOOKUP(A821,'Game Pass Premium'!A:A,1,FALSE)))</f>
        <v>0</v>
      </c>
      <c r="O821" s="13" t="b">
        <f>NOT(ISNA(VLOOKUP(A821,'Game Pass Essential'!A:A,1,FALSE)))</f>
        <v>0</v>
      </c>
    </row>
    <row r="822">
      <c r="A822" s="12" t="str">
        <f>IFERROR(__xludf.DUMMYFUNCTION("""COMPUTED_VALUE"""),"Sacred Citadel")</f>
        <v>Sacred Citadel</v>
      </c>
      <c r="B822" s="13" t="str">
        <f>IFERROR(__xludf.DUMMYFUNCTION("""COMPUTED_VALUE"""),"XB360/OG Xbox")</f>
        <v>XB360/OG Xbox</v>
      </c>
      <c r="C822" s="14"/>
      <c r="D822" s="14" t="str">
        <f>IFERROR(__xludf.DUMMYFUNCTION("""COMPUTED_VALUE"""),"GwG Permanent")</f>
        <v>GwG Permanent</v>
      </c>
      <c r="E822" s="15">
        <f>IFERROR(__xludf.DUMMYFUNCTION("""COMPUTED_VALUE"""),42401.0)</f>
        <v>42401</v>
      </c>
      <c r="F822" s="16">
        <f>IFERROR(__xludf.DUMMYFUNCTION("""COMPUTED_VALUE"""),42415.0)</f>
        <v>42415</v>
      </c>
      <c r="G822" s="18">
        <f>IFERROR(__xludf.DUMMYFUNCTION("""COMPUTED_VALUE"""),0.4666666666666667)</f>
        <v>0.4666666667</v>
      </c>
      <c r="H822" s="15">
        <f>IFERROR(__xludf.DUMMYFUNCTION("""COMPUTED_VALUE"""),41248.0)</f>
        <v>41248</v>
      </c>
      <c r="I822" s="18">
        <f>IFERROR(__xludf.DUMMYFUNCTION("""COMPUTED_VALUE"""),3.1555555555555554)</f>
        <v>3.155555556</v>
      </c>
      <c r="J822" s="22">
        <f>IFERROR(__xludf.DUMMYFUNCTION("""COMPUTED_VALUE"""),62.0)</f>
        <v>62</v>
      </c>
      <c r="K822" s="22">
        <f>IFERROR(__xludf.DUMMYFUNCTION("""COMPUTED_VALUE"""),4.0)</f>
        <v>4</v>
      </c>
      <c r="L822" s="26" t="str">
        <f>IFERROR(__xludf.DUMMYFUNCTION("""COMPUTED_VALUE"""),"Action")</f>
        <v>Action</v>
      </c>
      <c r="M822" s="13" t="b">
        <f>NOT(ISNA(VLOOKUP(A822,PC!A:A,1,FALSE)))</f>
        <v>0</v>
      </c>
      <c r="N822" s="13" t="b">
        <f>NOT(ISNA(VLOOKUP(A822,'Game Pass Premium'!A:A,1,FALSE)))</f>
        <v>0</v>
      </c>
      <c r="O822" s="13" t="b">
        <f>NOT(ISNA(VLOOKUP(A822,'Game Pass Essential'!A:A,1,FALSE)))</f>
        <v>0</v>
      </c>
    </row>
    <row r="823">
      <c r="A823" s="12" t="str">
        <f>IFERROR(__xludf.DUMMYFUNCTION("""COMPUTED_VALUE"""),"Risk: Urban Assault")</f>
        <v>Risk: Urban Assault</v>
      </c>
      <c r="B823" s="13" t="str">
        <f>IFERROR(__xludf.DUMMYFUNCTION("""COMPUTED_VALUE"""),"Xbox")</f>
        <v>Xbox</v>
      </c>
      <c r="C823" s="14" t="str">
        <f>IFERROR(__xludf.DUMMYFUNCTION("""COMPUTED_VALUE"""),"Yes")</f>
        <v>Yes</v>
      </c>
      <c r="D823" s="14" t="str">
        <f>IFERROR(__xludf.DUMMYFUNCTION("""COMPUTED_VALUE"""),"Active")</f>
        <v>Active</v>
      </c>
      <c r="E823" s="15">
        <f>IFERROR(__xludf.DUMMYFUNCTION("""COMPUTED_VALUE"""),45931.0)</f>
        <v>45931</v>
      </c>
      <c r="F823" s="16"/>
      <c r="G823" s="18">
        <f>IFERROR(__xludf.DUMMYFUNCTION("""COMPUTED_VALUE"""),12.166666666666666)</f>
        <v>12.16666667</v>
      </c>
      <c r="H823" s="15">
        <f>IFERROR(__xludf.DUMMYFUNCTION("""COMPUTED_VALUE"""),42584.0)</f>
        <v>42584</v>
      </c>
      <c r="I823" s="18">
        <f>IFERROR(__xludf.DUMMYFUNCTION("""COMPUTED_VALUE"""),9.16388888888889)</f>
        <v>9.163888889</v>
      </c>
      <c r="J823" s="22">
        <f>IFERROR(__xludf.DUMMYFUNCTION("""COMPUTED_VALUE"""),61.0)</f>
        <v>61</v>
      </c>
      <c r="K823" s="22">
        <f>IFERROR(__xludf.DUMMYFUNCTION("""COMPUTED_VALUE"""),4.0)</f>
        <v>4</v>
      </c>
      <c r="L823" s="26" t="str">
        <f>IFERROR(__xludf.DUMMYFUNCTION("""COMPUTED_VALUE"""),"Board")</f>
        <v>Board</v>
      </c>
      <c r="M823" s="13" t="b">
        <f>NOT(ISNA(VLOOKUP(A823,PC!A:A,1,FALSE)))</f>
        <v>0</v>
      </c>
      <c r="N823" s="13" t="b">
        <f>NOT(ISNA(VLOOKUP(A823,'Game Pass Premium'!A:A,1,FALSE)))</f>
        <v>0</v>
      </c>
      <c r="O823" s="13" t="b">
        <f>NOT(ISNA(VLOOKUP(A823,'Game Pass Essential'!A:A,1,FALSE)))</f>
        <v>0</v>
      </c>
    </row>
    <row r="824">
      <c r="A824" s="12" t="str">
        <f>IFERROR(__xludf.DUMMYFUNCTION("""COMPUTED_VALUE"""),"Wing War")</f>
        <v>Wing War</v>
      </c>
      <c r="B824" s="13" t="str">
        <f>IFERROR(__xludf.DUMMYFUNCTION("""COMPUTED_VALUE"""),"Xbox / PC")</f>
        <v>Xbox / PC</v>
      </c>
      <c r="C824" s="14" t="str">
        <f>IFERROR(__xludf.DUMMYFUNCTION("""COMPUTED_VALUE"""),"Yes")</f>
        <v>Yes</v>
      </c>
      <c r="D824" s="14" t="str">
        <f>IFERROR(__xludf.DUMMYFUNCTION("""COMPUTED_VALUE"""),"Active")</f>
        <v>Active</v>
      </c>
      <c r="E824" s="15">
        <f>IFERROR(__xludf.DUMMYFUNCTION("""COMPUTED_VALUE"""),45883.0)</f>
        <v>45883</v>
      </c>
      <c r="F824" s="16"/>
      <c r="G824" s="18">
        <f>IFERROR(__xludf.DUMMYFUNCTION("""COMPUTED_VALUE"""),13.733333333333333)</f>
        <v>13.73333333</v>
      </c>
      <c r="H824" s="15">
        <f>IFERROR(__xludf.DUMMYFUNCTION("""COMPUTED_VALUE"""),30681.0)</f>
        <v>30681</v>
      </c>
      <c r="I824" s="18">
        <f>IFERROR(__xludf.DUMMYFUNCTION("""COMPUTED_VALUE"""),41.62222222222222)</f>
        <v>41.62222222</v>
      </c>
      <c r="J824" s="22">
        <f>IFERROR(__xludf.DUMMYFUNCTION("""COMPUTED_VALUE"""),61.0)</f>
        <v>61</v>
      </c>
      <c r="K824" s="22"/>
      <c r="L824" s="26" t="str">
        <f>IFERROR(__xludf.DUMMYFUNCTION("""COMPUTED_VALUE"""),"Action")</f>
        <v>Action</v>
      </c>
      <c r="M824" s="13" t="b">
        <f>NOT(ISNA(VLOOKUP(A824,PC!A:A,1,FALSE)))</f>
        <v>1</v>
      </c>
      <c r="N824" s="13" t="b">
        <f>NOT(ISNA(VLOOKUP(A824,'Game Pass Premium'!A:A,1,FALSE)))</f>
        <v>1</v>
      </c>
      <c r="O824" s="13" t="b">
        <f>NOT(ISNA(VLOOKUP(A824,'Game Pass Essential'!A:A,1,FALSE)))</f>
        <v>0</v>
      </c>
    </row>
    <row r="825">
      <c r="A825" s="12" t="str">
        <f>IFERROR(__xludf.DUMMYFUNCTION("""COMPUTED_VALUE"""),"Need for Speed: Payback - Deluxe Edition")</f>
        <v>Need for Speed: Payback - Deluxe Edition</v>
      </c>
      <c r="B825" s="13" t="str">
        <f>IFERROR(__xludf.DUMMYFUNCTION("""COMPUTED_VALUE"""),"Xbox / PC")</f>
        <v>Xbox / PC</v>
      </c>
      <c r="C825" s="14"/>
      <c r="D825" s="14" t="str">
        <f>IFERROR(__xludf.DUMMYFUNCTION("""COMPUTED_VALUE"""),"Active")</f>
        <v>Active</v>
      </c>
      <c r="E825" s="15">
        <f>IFERROR(__xludf.DUMMYFUNCTION("""COMPUTED_VALUE"""),44145.0)</f>
        <v>44145</v>
      </c>
      <c r="F825" s="16"/>
      <c r="G825" s="18">
        <f>IFERROR(__xludf.DUMMYFUNCTION("""COMPUTED_VALUE"""),70.86666666666667)</f>
        <v>70.86666667</v>
      </c>
      <c r="H825" s="15">
        <f>IFERROR(__xludf.DUMMYFUNCTION("""COMPUTED_VALUE"""),43049.0)</f>
        <v>43049</v>
      </c>
      <c r="I825" s="18">
        <f>IFERROR(__xludf.DUMMYFUNCTION("""COMPUTED_VALUE"""),3.0)</f>
        <v>3</v>
      </c>
      <c r="J825" s="22">
        <f>IFERROR(__xludf.DUMMYFUNCTION("""COMPUTED_VALUE"""),61.0)</f>
        <v>61</v>
      </c>
      <c r="K825" s="22">
        <f>IFERROR(__xludf.DUMMYFUNCTION("""COMPUTED_VALUE"""),18.5)</f>
        <v>18.5</v>
      </c>
      <c r="L825" s="26" t="str">
        <f>IFERROR(__xludf.DUMMYFUNCTION("""COMPUTED_VALUE"""),"Racing")</f>
        <v>Racing</v>
      </c>
      <c r="M825" s="13" t="b">
        <f>NOT(ISNA(VLOOKUP(A825,PC!A:A,1,FALSE)))</f>
        <v>1</v>
      </c>
      <c r="N825" s="13" t="b">
        <f>NOT(ISNA(VLOOKUP(A825,'Game Pass Premium'!A:A,1,FALSE)))</f>
        <v>1</v>
      </c>
      <c r="O825" s="13" t="b">
        <f>NOT(ISNA(VLOOKUP(A825,'Game Pass Essential'!A:A,1,FALSE)))</f>
        <v>0</v>
      </c>
    </row>
    <row r="826">
      <c r="A826" s="12" t="str">
        <f>IFERROR(__xludf.DUMMYFUNCTION("""COMPUTED_VALUE"""),"ReCore: Definitive Edition")</f>
        <v>ReCore: Definitive Edition</v>
      </c>
      <c r="B826" s="13" t="str">
        <f>IFERROR(__xludf.DUMMYFUNCTION("""COMPUTED_VALUE"""),"Xbox / PC")</f>
        <v>Xbox / PC</v>
      </c>
      <c r="C826" s="14" t="str">
        <f>IFERROR(__xludf.DUMMYFUNCTION("""COMPUTED_VALUE"""),"Yes")</f>
        <v>Yes</v>
      </c>
      <c r="D826" s="14" t="str">
        <f>IFERROR(__xludf.DUMMYFUNCTION("""COMPUTED_VALUE"""),"Active")</f>
        <v>Active</v>
      </c>
      <c r="E826" s="15">
        <f>IFERROR(__xludf.DUMMYFUNCTION("""COMPUTED_VALUE"""),42976.0)</f>
        <v>42976</v>
      </c>
      <c r="F826" s="16"/>
      <c r="G826" s="18">
        <f>IFERROR(__xludf.DUMMYFUNCTION("""COMPUTED_VALUE"""),109.23333333333333)</f>
        <v>109.2333333</v>
      </c>
      <c r="H826" s="15">
        <f>IFERROR(__xludf.DUMMYFUNCTION("""COMPUTED_VALUE"""),42626.0)</f>
        <v>42626</v>
      </c>
      <c r="I826" s="18">
        <f>IFERROR(__xludf.DUMMYFUNCTION("""COMPUTED_VALUE"""),0.9611111111111111)</f>
        <v>0.9611111111</v>
      </c>
      <c r="J826" s="22">
        <f>IFERROR(__xludf.DUMMYFUNCTION("""COMPUTED_VALUE"""),61.0)</f>
        <v>61</v>
      </c>
      <c r="K826" s="22">
        <f>IFERROR(__xludf.DUMMYFUNCTION("""COMPUTED_VALUE"""),12.0)</f>
        <v>12</v>
      </c>
      <c r="L826" s="26" t="str">
        <f>IFERROR(__xludf.DUMMYFUNCTION("""COMPUTED_VALUE"""),"Adventure")</f>
        <v>Adventure</v>
      </c>
      <c r="M826" s="13" t="b">
        <f>NOT(ISNA(VLOOKUP(A826,PC!A:A,1,FALSE)))</f>
        <v>1</v>
      </c>
      <c r="N826" s="13" t="b">
        <f>NOT(ISNA(VLOOKUP(A826,'Game Pass Premium'!A:A,1,FALSE)))</f>
        <v>1</v>
      </c>
      <c r="O826" s="13" t="b">
        <f>NOT(ISNA(VLOOKUP(A826,'Game Pass Essential'!A:A,1,FALSE)))</f>
        <v>0</v>
      </c>
    </row>
    <row r="827">
      <c r="A827" s="12" t="str">
        <f>IFERROR(__xludf.DUMMYFUNCTION("""COMPUTED_VALUE"""),"Sledding Game (Game Preview)")</f>
        <v>Sledding Game (Game Preview)</v>
      </c>
      <c r="B827" s="13" t="str">
        <f>IFERROR(__xludf.DUMMYFUNCTION("""COMPUTED_VALUE"""),"Xbox / PC")</f>
        <v>Xbox / PC</v>
      </c>
      <c r="C827" s="14" t="str">
        <f>IFERROR(__xludf.DUMMYFUNCTION("""COMPUTED_VALUE"""),"Yes")</f>
        <v>Yes</v>
      </c>
      <c r="D827" s="14" t="str">
        <f>IFERROR(__xludf.DUMMYFUNCTION("""COMPUTED_VALUE"""),"Active")</f>
        <v>Active</v>
      </c>
      <c r="E827" s="15">
        <f>IFERROR(__xludf.DUMMYFUNCTION("""COMPUTED_VALUE"""),46142.0)</f>
        <v>46142</v>
      </c>
      <c r="F827" s="16"/>
      <c r="G827" s="18">
        <f>IFERROR(__xludf.DUMMYFUNCTION("""COMPUTED_VALUE"""),5.2)</f>
        <v>5.2</v>
      </c>
      <c r="H827" s="15">
        <f>IFERROR(__xludf.DUMMYFUNCTION("""COMPUTED_VALUE"""),46142.0)</f>
        <v>46142</v>
      </c>
      <c r="I827" s="18">
        <f>IFERROR(__xludf.DUMMYFUNCTION("""COMPUTED_VALUE"""),0.0)</f>
        <v>0</v>
      </c>
      <c r="J827" s="22">
        <f>IFERROR(__xludf.DUMMYFUNCTION("""COMPUTED_VALUE"""),60.0)</f>
        <v>60</v>
      </c>
      <c r="K827" s="22">
        <f>IFERROR(__xludf.DUMMYFUNCTION("""COMPUTED_VALUE"""),27.0)</f>
        <v>27</v>
      </c>
      <c r="L827" s="26" t="str">
        <f>IFERROR(__xludf.DUMMYFUNCTION("""COMPUTED_VALUE"""),"Sports")</f>
        <v>Sports</v>
      </c>
      <c r="M827" s="13" t="b">
        <f>NOT(ISNA(VLOOKUP(A827,PC!A:A,1,FALSE)))</f>
        <v>1</v>
      </c>
      <c r="N827" s="13" t="b">
        <f>NOT(ISNA(VLOOKUP(A827,'Game Pass Premium'!A:A,1,FALSE)))</f>
        <v>0</v>
      </c>
      <c r="O827" s="13" t="b">
        <f>NOT(ISNA(VLOOKUP(A827,'Game Pass Essential'!A:A,1,FALSE)))</f>
        <v>0</v>
      </c>
    </row>
    <row r="828">
      <c r="A828" s="12" t="str">
        <f>IFERROR(__xludf.DUMMYFUNCTION("""COMPUTED_VALUE"""),"Aerial_Knight's DropShot")</f>
        <v>Aerial_Knight's DropShot</v>
      </c>
      <c r="B828" s="13" t="str">
        <f>IFERROR(__xludf.DUMMYFUNCTION("""COMPUTED_VALUE"""),"Xbox / PC")</f>
        <v>Xbox / PC</v>
      </c>
      <c r="C828" s="14" t="str">
        <f>IFERROR(__xludf.DUMMYFUNCTION("""COMPUTED_VALUE"""),"Yes")</f>
        <v>Yes</v>
      </c>
      <c r="D828" s="14" t="str">
        <f>IFERROR(__xludf.DUMMYFUNCTION("""COMPUTED_VALUE"""),"Active")</f>
        <v>Active</v>
      </c>
      <c r="E828" s="15">
        <f>IFERROR(__xludf.DUMMYFUNCTION("""COMPUTED_VALUE"""),46070.0)</f>
        <v>46070</v>
      </c>
      <c r="F828" s="16"/>
      <c r="G828" s="18">
        <f>IFERROR(__xludf.DUMMYFUNCTION("""COMPUTED_VALUE"""),7.633333333333333)</f>
        <v>7.633333333</v>
      </c>
      <c r="H828" s="15">
        <f>IFERROR(__xludf.DUMMYFUNCTION("""COMPUTED_VALUE"""),45337.0)</f>
        <v>45337</v>
      </c>
      <c r="I828" s="18">
        <f>IFERROR(__xludf.DUMMYFUNCTION("""COMPUTED_VALUE"""),2.0055555555555555)</f>
        <v>2.005555556</v>
      </c>
      <c r="J828" s="22">
        <f>IFERROR(__xludf.DUMMYFUNCTION("""COMPUTED_VALUE"""),60.0)</f>
        <v>60</v>
      </c>
      <c r="K828" s="22">
        <f>IFERROR(__xludf.DUMMYFUNCTION("""COMPUTED_VALUE"""),2.0)</f>
        <v>2</v>
      </c>
      <c r="L828" s="26" t="str">
        <f>IFERROR(__xludf.DUMMYFUNCTION("""COMPUTED_VALUE"""),"Action-Adventure")</f>
        <v>Action-Adventure</v>
      </c>
      <c r="M828" s="13" t="b">
        <f>NOT(ISNA(VLOOKUP(A828,PC!A:A,1,FALSE)))</f>
        <v>1</v>
      </c>
      <c r="N828" s="13" t="b">
        <f>NOT(ISNA(VLOOKUP(A828,'Game Pass Premium'!A:A,1,FALSE)))</f>
        <v>1</v>
      </c>
      <c r="O828" s="13" t="b">
        <f>NOT(ISNA(VLOOKUP(A828,'Game Pass Essential'!A:A,1,FALSE)))</f>
        <v>0</v>
      </c>
    </row>
    <row r="829">
      <c r="A829" s="12" t="str">
        <f>IFERROR(__xludf.DUMMYFUNCTION("""COMPUTED_VALUE"""),"Brews &amp; Bastards")</f>
        <v>Brews &amp; Bastards</v>
      </c>
      <c r="B829" s="13" t="str">
        <f>IFERROR(__xludf.DUMMYFUNCTION("""COMPUTED_VALUE"""),"Xbox / PC")</f>
        <v>Xbox / PC</v>
      </c>
      <c r="C829" s="14" t="str">
        <f>IFERROR(__xludf.DUMMYFUNCTION("""COMPUTED_VALUE"""),"Yes")</f>
        <v>Yes</v>
      </c>
      <c r="D829" s="14" t="str">
        <f>IFERROR(__xludf.DUMMYFUNCTION("""COMPUTED_VALUE"""),"Active")</f>
        <v>Active</v>
      </c>
      <c r="E829" s="15">
        <f>IFERROR(__xludf.DUMMYFUNCTION("""COMPUTED_VALUE"""),46028.0)</f>
        <v>46028</v>
      </c>
      <c r="F829" s="16"/>
      <c r="G829" s="18">
        <f>IFERROR(__xludf.DUMMYFUNCTION("""COMPUTED_VALUE"""),9.0)</f>
        <v>9</v>
      </c>
      <c r="H829" s="15">
        <f>IFERROR(__xludf.DUMMYFUNCTION("""COMPUTED_VALUE"""),45922.0)</f>
        <v>45922</v>
      </c>
      <c r="I829" s="18">
        <f>IFERROR(__xludf.DUMMYFUNCTION("""COMPUTED_VALUE"""),0.28888888888888886)</f>
        <v>0.2888888889</v>
      </c>
      <c r="J829" s="22">
        <f>IFERROR(__xludf.DUMMYFUNCTION("""COMPUTED_VALUE"""),60.0)</f>
        <v>60</v>
      </c>
      <c r="K829" s="22">
        <f>IFERROR(__xludf.DUMMYFUNCTION("""COMPUTED_VALUE"""),4.0)</f>
        <v>4</v>
      </c>
      <c r="L829" s="26" t="str">
        <f>IFERROR(__xludf.DUMMYFUNCTION("""COMPUTED_VALUE"""),"Action-Adventure")</f>
        <v>Action-Adventure</v>
      </c>
      <c r="M829" s="13" t="b">
        <f>NOT(ISNA(VLOOKUP(A829,PC!A:A,1,FALSE)))</f>
        <v>1</v>
      </c>
      <c r="N829" s="13" t="b">
        <f>NOT(ISNA(VLOOKUP(A829,'Game Pass Premium'!A:A,1,FALSE)))</f>
        <v>1</v>
      </c>
      <c r="O829" s="13" t="b">
        <f>NOT(ISNA(VLOOKUP(A829,'Game Pass Essential'!A:A,1,FALSE)))</f>
        <v>0</v>
      </c>
    </row>
    <row r="830">
      <c r="A830" s="12" t="str">
        <f>IFERROR(__xludf.DUMMYFUNCTION("""COMPUTED_VALUE"""),"Tennis")</f>
        <v>Tennis</v>
      </c>
      <c r="B830" s="13" t="str">
        <f>IFERROR(__xludf.DUMMYFUNCTION("""COMPUTED_VALUE"""),"Xbox / PC")</f>
        <v>Xbox / PC</v>
      </c>
      <c r="C830" s="14" t="str">
        <f>IFERROR(__xludf.DUMMYFUNCTION("""COMPUTED_VALUE"""),"Yes")</f>
        <v>Yes</v>
      </c>
      <c r="D830" s="14" t="str">
        <f>IFERROR(__xludf.DUMMYFUNCTION("""COMPUTED_VALUE"""),"Active")</f>
        <v>Active</v>
      </c>
      <c r="E830" s="15">
        <f>IFERROR(__xludf.DUMMYFUNCTION("""COMPUTED_VALUE"""),45798.0)</f>
        <v>45798</v>
      </c>
      <c r="F830" s="16"/>
      <c r="G830" s="18">
        <f>IFERROR(__xludf.DUMMYFUNCTION("""COMPUTED_VALUE"""),16.5)</f>
        <v>16.5</v>
      </c>
      <c r="H830" s="15">
        <f>IFERROR(__xludf.DUMMYFUNCTION("""COMPUTED_VALUE"""),29646.0)</f>
        <v>29646</v>
      </c>
      <c r="I830" s="18">
        <f>IFERROR(__xludf.DUMMYFUNCTION("""COMPUTED_VALUE"""),44.22222222222222)</f>
        <v>44.22222222</v>
      </c>
      <c r="J830" s="22">
        <f>IFERROR(__xludf.DUMMYFUNCTION("""COMPUTED_VALUE"""),60.0)</f>
        <v>60</v>
      </c>
      <c r="K830" s="22"/>
      <c r="L830" s="26" t="str">
        <f>IFERROR(__xludf.DUMMYFUNCTION("""COMPUTED_VALUE"""),"Sports")</f>
        <v>Sports</v>
      </c>
      <c r="M830" s="13" t="b">
        <f>NOT(ISNA(VLOOKUP(A830,PC!A:A,1,FALSE)))</f>
        <v>1</v>
      </c>
      <c r="N830" s="13" t="b">
        <f>NOT(ISNA(VLOOKUP(A830,'Game Pass Premium'!A:A,1,FALSE)))</f>
        <v>1</v>
      </c>
      <c r="O830" s="13" t="b">
        <f>NOT(ISNA(VLOOKUP(A830,'Game Pass Essential'!A:A,1,FALSE)))</f>
        <v>0</v>
      </c>
    </row>
    <row r="831">
      <c r="A831" s="12" t="str">
        <f>IFERROR(__xludf.DUMMYFUNCTION("""COMPUTED_VALUE"""),"Trick Shot")</f>
        <v>Trick Shot</v>
      </c>
      <c r="B831" s="13" t="str">
        <f>IFERROR(__xludf.DUMMYFUNCTION("""COMPUTED_VALUE"""),"Xbox / PC")</f>
        <v>Xbox / PC</v>
      </c>
      <c r="C831" s="14" t="str">
        <f>IFERROR(__xludf.DUMMYFUNCTION("""COMPUTED_VALUE"""),"Yes")</f>
        <v>Yes</v>
      </c>
      <c r="D831" s="14" t="str">
        <f>IFERROR(__xludf.DUMMYFUNCTION("""COMPUTED_VALUE"""),"Active")</f>
        <v>Active</v>
      </c>
      <c r="E831" s="15">
        <f>IFERROR(__xludf.DUMMYFUNCTION("""COMPUTED_VALUE"""),45798.0)</f>
        <v>45798</v>
      </c>
      <c r="F831" s="16"/>
      <c r="G831" s="18">
        <f>IFERROR(__xludf.DUMMYFUNCTION("""COMPUTED_VALUE"""),16.5)</f>
        <v>16.5</v>
      </c>
      <c r="H831" s="15">
        <f>IFERROR(__xludf.DUMMYFUNCTION("""COMPUTED_VALUE"""),29952.0)</f>
        <v>29952</v>
      </c>
      <c r="I831" s="18">
        <f>IFERROR(__xludf.DUMMYFUNCTION("""COMPUTED_VALUE"""),43.388888888888886)</f>
        <v>43.38888889</v>
      </c>
      <c r="J831" s="22">
        <f>IFERROR(__xludf.DUMMYFUNCTION("""COMPUTED_VALUE"""),60.0)</f>
        <v>60</v>
      </c>
      <c r="K831" s="22"/>
      <c r="L831" s="26" t="str">
        <f>IFERROR(__xludf.DUMMYFUNCTION("""COMPUTED_VALUE"""),"Sports")</f>
        <v>Sports</v>
      </c>
      <c r="M831" s="13" t="b">
        <f>NOT(ISNA(VLOOKUP(A831,PC!A:A,1,FALSE)))</f>
        <v>1</v>
      </c>
      <c r="N831" s="13" t="b">
        <f>NOT(ISNA(VLOOKUP(A831,'Game Pass Premium'!A:A,1,FALSE)))</f>
        <v>1</v>
      </c>
      <c r="O831" s="13" t="b">
        <f>NOT(ISNA(VLOOKUP(A831,'Game Pass Essential'!A:A,1,FALSE)))</f>
        <v>0</v>
      </c>
    </row>
    <row r="832">
      <c r="A832" s="12" t="str">
        <f>IFERROR(__xludf.DUMMYFUNCTION("""COMPUTED_VALUE"""),"Firefighting Simulator: The Squad")</f>
        <v>Firefighting Simulator: The Squad</v>
      </c>
      <c r="B832" s="13" t="str">
        <f>IFERROR(__xludf.DUMMYFUNCTION("""COMPUTED_VALUE"""),"Xbox / PC")</f>
        <v>Xbox / PC</v>
      </c>
      <c r="C832" s="14" t="str">
        <f>IFERROR(__xludf.DUMMYFUNCTION("""COMPUTED_VALUE"""),"Yes")</f>
        <v>Yes</v>
      </c>
      <c r="D832" s="14" t="str">
        <f>IFERROR(__xludf.DUMMYFUNCTION("""COMPUTED_VALUE"""),"Active")</f>
        <v>Active</v>
      </c>
      <c r="E832" s="15">
        <f>IFERROR(__xludf.DUMMYFUNCTION("""COMPUTED_VALUE"""),45797.0)</f>
        <v>45797</v>
      </c>
      <c r="F832" s="16"/>
      <c r="G832" s="18">
        <f>IFERROR(__xludf.DUMMYFUNCTION("""COMPUTED_VALUE"""),16.53333333333333)</f>
        <v>16.53333333</v>
      </c>
      <c r="H832" s="15">
        <f>IFERROR(__xludf.DUMMYFUNCTION("""COMPUTED_VALUE"""),44901.0)</f>
        <v>44901</v>
      </c>
      <c r="I832" s="18">
        <f>IFERROR(__xludf.DUMMYFUNCTION("""COMPUTED_VALUE"""),2.4555555555555557)</f>
        <v>2.455555556</v>
      </c>
      <c r="J832" s="22">
        <f>IFERROR(__xludf.DUMMYFUNCTION("""COMPUTED_VALUE"""),60.0)</f>
        <v>60</v>
      </c>
      <c r="K832" s="22">
        <f>IFERROR(__xludf.DUMMYFUNCTION("""COMPUTED_VALUE"""),10.0)</f>
        <v>10</v>
      </c>
      <c r="L832" s="26" t="str">
        <f>IFERROR(__xludf.DUMMYFUNCTION("""COMPUTED_VALUE"""),"Simulation")</f>
        <v>Simulation</v>
      </c>
      <c r="M832" s="13" t="b">
        <f>NOT(ISNA(VLOOKUP(A832,PC!A:A,1,FALSE)))</f>
        <v>1</v>
      </c>
      <c r="N832" s="13" t="b">
        <f>NOT(ISNA(VLOOKUP(A832,'Game Pass Premium'!A:A,1,FALSE)))</f>
        <v>1</v>
      </c>
      <c r="O832" s="13" t="b">
        <f>NOT(ISNA(VLOOKUP(A832,'Game Pass Essential'!A:A,1,FALSE)))</f>
        <v>0</v>
      </c>
    </row>
    <row r="833">
      <c r="A833" s="12" t="str">
        <f>IFERROR(__xludf.DUMMYFUNCTION("""COMPUTED_VALUE"""),"Totally Reliable Delivery Service")</f>
        <v>Totally Reliable Delivery Service</v>
      </c>
      <c r="B833" s="13" t="str">
        <f>IFERROR(__xludf.DUMMYFUNCTION("""COMPUTED_VALUE"""),"Xbox / PC")</f>
        <v>Xbox / PC</v>
      </c>
      <c r="C833" s="14" t="str">
        <f>IFERROR(__xludf.DUMMYFUNCTION("""COMPUTED_VALUE"""),"Yes")</f>
        <v>Yes</v>
      </c>
      <c r="D833" s="14" t="str">
        <f>IFERROR(__xludf.DUMMYFUNCTION("""COMPUTED_VALUE"""),"Active")</f>
        <v>Active</v>
      </c>
      <c r="E833" s="15">
        <f>IFERROR(__xludf.DUMMYFUNCTION("""COMPUTED_VALUE"""),43922.0)</f>
        <v>43922</v>
      </c>
      <c r="F833" s="16"/>
      <c r="G833" s="18">
        <f>IFERROR(__xludf.DUMMYFUNCTION("""COMPUTED_VALUE"""),78.16666666666667)</f>
        <v>78.16666667</v>
      </c>
      <c r="H833" s="15">
        <f>IFERROR(__xludf.DUMMYFUNCTION("""COMPUTED_VALUE"""),43922.0)</f>
        <v>43922</v>
      </c>
      <c r="I833" s="18">
        <f>IFERROR(__xludf.DUMMYFUNCTION("""COMPUTED_VALUE"""),0.0)</f>
        <v>0</v>
      </c>
      <c r="J833" s="22">
        <f>IFERROR(__xludf.DUMMYFUNCTION("""COMPUTED_VALUE"""),60.0)</f>
        <v>60</v>
      </c>
      <c r="K833" s="22">
        <f>IFERROR(__xludf.DUMMYFUNCTION("""COMPUTED_VALUE"""),1.0)</f>
        <v>1</v>
      </c>
      <c r="L833" s="26" t="str">
        <f>IFERROR(__xludf.DUMMYFUNCTION("""COMPUTED_VALUE"""),"Action")</f>
        <v>Action</v>
      </c>
      <c r="M833" s="13" t="b">
        <f>NOT(ISNA(VLOOKUP(A833,PC!A:A,1,FALSE)))</f>
        <v>1</v>
      </c>
      <c r="N833" s="13" t="b">
        <f>NOT(ISNA(VLOOKUP(A833,'Game Pass Premium'!A:A,1,FALSE)))</f>
        <v>1</v>
      </c>
      <c r="O833" s="13" t="b">
        <f>NOT(ISNA(VLOOKUP(A833,'Game Pass Essential'!A:A,1,FALSE)))</f>
        <v>1</v>
      </c>
    </row>
    <row r="834">
      <c r="A834" s="12" t="str">
        <f>IFERROR(__xludf.DUMMYFUNCTION("""COMPUTED_VALUE"""),"Wasteland Remastered")</f>
        <v>Wasteland Remastered</v>
      </c>
      <c r="B834" s="13" t="str">
        <f>IFERROR(__xludf.DUMMYFUNCTION("""COMPUTED_VALUE"""),"Xbox / PC")</f>
        <v>Xbox / PC</v>
      </c>
      <c r="C834" s="14" t="str">
        <f>IFERROR(__xludf.DUMMYFUNCTION("""COMPUTED_VALUE"""),"Touch Controls")</f>
        <v>Touch Controls</v>
      </c>
      <c r="D834" s="14" t="str">
        <f>IFERROR(__xludf.DUMMYFUNCTION("""COMPUTED_VALUE"""),"Active")</f>
        <v>Active</v>
      </c>
      <c r="E834" s="15">
        <f>IFERROR(__xludf.DUMMYFUNCTION("""COMPUTED_VALUE"""),43886.0)</f>
        <v>43886</v>
      </c>
      <c r="F834" s="16"/>
      <c r="G834" s="18">
        <f>IFERROR(__xludf.DUMMYFUNCTION("""COMPUTED_VALUE"""),79.36666666666667)</f>
        <v>79.36666667</v>
      </c>
      <c r="H834" s="15">
        <f>IFERROR(__xludf.DUMMYFUNCTION("""COMPUTED_VALUE"""),43886.0)</f>
        <v>43886</v>
      </c>
      <c r="I834" s="18">
        <f>IFERROR(__xludf.DUMMYFUNCTION("""COMPUTED_VALUE"""),0.0)</f>
        <v>0</v>
      </c>
      <c r="J834" s="22">
        <f>IFERROR(__xludf.DUMMYFUNCTION("""COMPUTED_VALUE"""),60.0)</f>
        <v>60</v>
      </c>
      <c r="K834" s="22">
        <f>IFERROR(__xludf.DUMMYFUNCTION("""COMPUTED_VALUE"""),18.5)</f>
        <v>18.5</v>
      </c>
      <c r="L834" s="26" t="str">
        <f>IFERROR(__xludf.DUMMYFUNCTION("""COMPUTED_VALUE"""),"RPG")</f>
        <v>RPG</v>
      </c>
      <c r="M834" s="13" t="b">
        <f>NOT(ISNA(VLOOKUP(A834,PC!A:A,1,FALSE)))</f>
        <v>1</v>
      </c>
      <c r="N834" s="13" t="b">
        <f>NOT(ISNA(VLOOKUP(A834,'Game Pass Premium'!A:A,1,FALSE)))</f>
        <v>1</v>
      </c>
      <c r="O834" s="13" t="b">
        <f>NOT(ISNA(VLOOKUP(A834,'Game Pass Essential'!A:A,1,FALSE)))</f>
        <v>0</v>
      </c>
    </row>
    <row r="835">
      <c r="A835" s="12" t="str">
        <f>IFERROR(__xludf.DUMMYFUNCTION("""COMPUTED_VALUE"""),"Crackdown 3")</f>
        <v>Crackdown 3</v>
      </c>
      <c r="B835" s="13" t="str">
        <f>IFERROR(__xludf.DUMMYFUNCTION("""COMPUTED_VALUE"""),"Xbox / PC")</f>
        <v>Xbox / PC</v>
      </c>
      <c r="C835" s="14" t="str">
        <f>IFERROR(__xludf.DUMMYFUNCTION("""COMPUTED_VALUE"""),"Yes")</f>
        <v>Yes</v>
      </c>
      <c r="D835" s="14" t="str">
        <f>IFERROR(__xludf.DUMMYFUNCTION("""COMPUTED_VALUE"""),"Active")</f>
        <v>Active</v>
      </c>
      <c r="E835" s="15">
        <f>IFERROR(__xludf.DUMMYFUNCTION("""COMPUTED_VALUE"""),43511.0)</f>
        <v>43511</v>
      </c>
      <c r="F835" s="16"/>
      <c r="G835" s="18">
        <f>IFERROR(__xludf.DUMMYFUNCTION("""COMPUTED_VALUE"""),91.7)</f>
        <v>91.7</v>
      </c>
      <c r="H835" s="15">
        <f>IFERROR(__xludf.DUMMYFUNCTION("""COMPUTED_VALUE"""),43511.0)</f>
        <v>43511</v>
      </c>
      <c r="I835" s="18">
        <f>IFERROR(__xludf.DUMMYFUNCTION("""COMPUTED_VALUE"""),0.0)</f>
        <v>0</v>
      </c>
      <c r="J835" s="22">
        <f>IFERROR(__xludf.DUMMYFUNCTION("""COMPUTED_VALUE"""),60.0)</f>
        <v>60</v>
      </c>
      <c r="K835" s="22">
        <f>IFERROR(__xludf.DUMMYFUNCTION("""COMPUTED_VALUE"""),6.5)</f>
        <v>6.5</v>
      </c>
      <c r="L835" s="26" t="str">
        <f>IFERROR(__xludf.DUMMYFUNCTION("""COMPUTED_VALUE"""),"Action-Adventure")</f>
        <v>Action-Adventure</v>
      </c>
      <c r="M835" s="13" t="b">
        <f>NOT(ISNA(VLOOKUP(A835,PC!A:A,1,FALSE)))</f>
        <v>1</v>
      </c>
      <c r="N835" s="13" t="b">
        <f>NOT(ISNA(VLOOKUP(A835,'Game Pass Premium'!A:A,1,FALSE)))</f>
        <v>1</v>
      </c>
      <c r="O835" s="13" t="b">
        <f>NOT(ISNA(VLOOKUP(A835,'Game Pass Essential'!A:A,1,FALSE)))</f>
        <v>0</v>
      </c>
    </row>
    <row r="836">
      <c r="A836" s="12" t="str">
        <f>IFERROR(__xludf.DUMMYFUNCTION("""COMPUTED_VALUE"""),"Ryse: Son of Rome")</f>
        <v>Ryse: Son of Rome</v>
      </c>
      <c r="B836" s="13" t="str">
        <f>IFERROR(__xludf.DUMMYFUNCTION("""COMPUTED_VALUE"""),"Xbox")</f>
        <v>Xbox</v>
      </c>
      <c r="C836" s="14" t="str">
        <f>IFERROR(__xludf.DUMMYFUNCTION("""COMPUTED_VALUE"""),"Yes")</f>
        <v>Yes</v>
      </c>
      <c r="D836" s="14" t="str">
        <f>IFERROR(__xludf.DUMMYFUNCTION("""COMPUTED_VALUE"""),"Active")</f>
        <v>Active</v>
      </c>
      <c r="E836" s="15">
        <f>IFERROR(__xludf.DUMMYFUNCTION("""COMPUTED_VALUE"""),43313.0)</f>
        <v>43313</v>
      </c>
      <c r="F836" s="16"/>
      <c r="G836" s="18">
        <f>IFERROR(__xludf.DUMMYFUNCTION("""COMPUTED_VALUE"""),98.16666666666666)</f>
        <v>98.16666667</v>
      </c>
      <c r="H836" s="15">
        <f>IFERROR(__xludf.DUMMYFUNCTION("""COMPUTED_VALUE"""),41600.0)</f>
        <v>41600</v>
      </c>
      <c r="I836" s="18">
        <f>IFERROR(__xludf.DUMMYFUNCTION("""COMPUTED_VALUE"""),4.691666666666666)</f>
        <v>4.691666667</v>
      </c>
      <c r="J836" s="22">
        <f>IFERROR(__xludf.DUMMYFUNCTION("""COMPUTED_VALUE"""),60.0)</f>
        <v>60</v>
      </c>
      <c r="K836" s="22">
        <f>IFERROR(__xludf.DUMMYFUNCTION("""COMPUTED_VALUE"""),6.5)</f>
        <v>6.5</v>
      </c>
      <c r="L836" s="26" t="str">
        <f>IFERROR(__xludf.DUMMYFUNCTION("""COMPUTED_VALUE"""),"Action-Adventure")</f>
        <v>Action-Adventure</v>
      </c>
      <c r="M836" s="13" t="b">
        <f>NOT(ISNA(VLOOKUP(A836,PC!A:A,1,FALSE)))</f>
        <v>0</v>
      </c>
      <c r="N836" s="13" t="b">
        <f>NOT(ISNA(VLOOKUP(A836,'Game Pass Premium'!A:A,1,FALSE)))</f>
        <v>1</v>
      </c>
      <c r="O836" s="13" t="b">
        <f>NOT(ISNA(VLOOKUP(A836,'Game Pass Essential'!A:A,1,FALSE)))</f>
        <v>0</v>
      </c>
    </row>
    <row r="837">
      <c r="A837" s="12" t="str">
        <f>IFERROR(__xludf.DUMMYFUNCTION("""COMPUTED_VALUE"""),"Viva Piñata: Party Animals")</f>
        <v>Viva Piñata: Party Animals</v>
      </c>
      <c r="B837" s="13" t="str">
        <f>IFERROR(__xludf.DUMMYFUNCTION("""COMPUTED_VALUE"""),"XB360/OG Xbox")</f>
        <v>XB360/OG Xbox</v>
      </c>
      <c r="C837" s="14"/>
      <c r="D837" s="14" t="str">
        <f>IFERROR(__xludf.DUMMYFUNCTION("""COMPUTED_VALUE"""),"GwG Permanent")</f>
        <v>GwG Permanent</v>
      </c>
      <c r="E837" s="15">
        <f>IFERROR(__xludf.DUMMYFUNCTION("""COMPUTED_VALUE"""),44697.0)</f>
        <v>44697</v>
      </c>
      <c r="F837" s="16">
        <f>IFERROR(__xludf.DUMMYFUNCTION("""COMPUTED_VALUE"""),44712.0)</f>
        <v>44712</v>
      </c>
      <c r="G837" s="18">
        <f>IFERROR(__xludf.DUMMYFUNCTION("""COMPUTED_VALUE"""),0.4666666666666667)</f>
        <v>0.4666666667</v>
      </c>
      <c r="H837" s="15">
        <f>IFERROR(__xludf.DUMMYFUNCTION("""COMPUTED_VALUE"""),40106.0)</f>
        <v>40106</v>
      </c>
      <c r="I837" s="18">
        <f>IFERROR(__xludf.DUMMYFUNCTION("""COMPUTED_VALUE"""),12.572222222222223)</f>
        <v>12.57222222</v>
      </c>
      <c r="J837" s="22">
        <f>IFERROR(__xludf.DUMMYFUNCTION("""COMPUTED_VALUE"""),60.0)</f>
        <v>60</v>
      </c>
      <c r="K837" s="22">
        <f>IFERROR(__xludf.DUMMYFUNCTION("""COMPUTED_VALUE"""),6.0)</f>
        <v>6</v>
      </c>
      <c r="L837" s="26" t="str">
        <f>IFERROR(__xludf.DUMMYFUNCTION("""COMPUTED_VALUE"""),"Party")</f>
        <v>Party</v>
      </c>
      <c r="M837" s="13" t="b">
        <f>NOT(ISNA(VLOOKUP(A837,PC!A:A,1,FALSE)))</f>
        <v>0</v>
      </c>
      <c r="N837" s="13" t="b">
        <f>NOT(ISNA(VLOOKUP(A837,'Game Pass Premium'!A:A,1,FALSE)))</f>
        <v>0</v>
      </c>
      <c r="O837" s="13" t="b">
        <f>NOT(ISNA(VLOOKUP(A837,'Game Pass Essential'!A:A,1,FALSE)))</f>
        <v>0</v>
      </c>
    </row>
    <row r="838">
      <c r="A838" s="12" t="str">
        <f>IFERROR(__xludf.DUMMYFUNCTION("""COMPUTED_VALUE"""),"Fable Heroes")</f>
        <v>Fable Heroes</v>
      </c>
      <c r="B838" s="13" t="str">
        <f>IFERROR(__xludf.DUMMYFUNCTION("""COMPUTED_VALUE"""),"XB360/OG Xbox")</f>
        <v>XB360/OG Xbox</v>
      </c>
      <c r="C838" s="14"/>
      <c r="D838" s="14" t="str">
        <f>IFERROR(__xludf.DUMMYFUNCTION("""COMPUTED_VALUE"""),"GwG Permanent")</f>
        <v>GwG Permanent</v>
      </c>
      <c r="E838" s="15">
        <f>IFERROR(__xludf.DUMMYFUNCTION("""COMPUTED_VALUE"""),43862.0)</f>
        <v>43862</v>
      </c>
      <c r="F838" s="16">
        <f>IFERROR(__xludf.DUMMYFUNCTION("""COMPUTED_VALUE"""),43876.0)</f>
        <v>43876</v>
      </c>
      <c r="G838" s="18">
        <f>IFERROR(__xludf.DUMMYFUNCTION("""COMPUTED_VALUE"""),0.4666666666666667)</f>
        <v>0.4666666667</v>
      </c>
      <c r="H838" s="15">
        <f>IFERROR(__xludf.DUMMYFUNCTION("""COMPUTED_VALUE"""),41031.0)</f>
        <v>41031</v>
      </c>
      <c r="I838" s="18">
        <f>IFERROR(__xludf.DUMMYFUNCTION("""COMPUTED_VALUE"""),7.747222222222222)</f>
        <v>7.747222222</v>
      </c>
      <c r="J838" s="22">
        <f>IFERROR(__xludf.DUMMYFUNCTION("""COMPUTED_VALUE"""),60.0)</f>
        <v>60</v>
      </c>
      <c r="K838" s="22">
        <f>IFERROR(__xludf.DUMMYFUNCTION("""COMPUTED_VALUE"""),5.0)</f>
        <v>5</v>
      </c>
      <c r="L838" s="26" t="str">
        <f>IFERROR(__xludf.DUMMYFUNCTION("""COMPUTED_VALUE"""),"Action-Adventure")</f>
        <v>Action-Adventure</v>
      </c>
      <c r="M838" s="13" t="b">
        <f>NOT(ISNA(VLOOKUP(A838,PC!A:A,1,FALSE)))</f>
        <v>0</v>
      </c>
      <c r="N838" s="13" t="b">
        <f>NOT(ISNA(VLOOKUP(A838,'Game Pass Premium'!A:A,1,FALSE)))</f>
        <v>0</v>
      </c>
      <c r="O838" s="13" t="b">
        <f>NOT(ISNA(VLOOKUP(A838,'Game Pass Essential'!A:A,1,FALSE)))</f>
        <v>0</v>
      </c>
    </row>
    <row r="839">
      <c r="A839" s="12" t="str">
        <f>IFERROR(__xludf.DUMMYFUNCTION("""COMPUTED_VALUE"""),"Skull and Bones")</f>
        <v>Skull and Bones</v>
      </c>
      <c r="B839" s="13" t="str">
        <f>IFERROR(__xludf.DUMMYFUNCTION("""COMPUTED_VALUE"""),"Xbox / PC")</f>
        <v>Xbox / PC</v>
      </c>
      <c r="C839" s="14" t="str">
        <f>IFERROR(__xludf.DUMMYFUNCTION("""COMPUTED_VALUE"""),"Yes")</f>
        <v>Yes</v>
      </c>
      <c r="D839" s="14" t="str">
        <f>IFERROR(__xludf.DUMMYFUNCTION("""COMPUTED_VALUE"""),"Active")</f>
        <v>Active</v>
      </c>
      <c r="E839" s="15">
        <f>IFERROR(__xludf.DUMMYFUNCTION("""COMPUTED_VALUE"""),45931.0)</f>
        <v>45931</v>
      </c>
      <c r="F839" s="16"/>
      <c r="G839" s="18">
        <f>IFERROR(__xludf.DUMMYFUNCTION("""COMPUTED_VALUE"""),12.166666666666666)</f>
        <v>12.16666667</v>
      </c>
      <c r="H839" s="15">
        <f>IFERROR(__xludf.DUMMYFUNCTION("""COMPUTED_VALUE"""),45338.0)</f>
        <v>45338</v>
      </c>
      <c r="I839" s="18">
        <f>IFERROR(__xludf.DUMMYFUNCTION("""COMPUTED_VALUE"""),1.625)</f>
        <v>1.625</v>
      </c>
      <c r="J839" s="22">
        <f>IFERROR(__xludf.DUMMYFUNCTION("""COMPUTED_VALUE"""),59.0)</f>
        <v>59</v>
      </c>
      <c r="K839" s="22">
        <f>IFERROR(__xludf.DUMMYFUNCTION("""COMPUTED_VALUE"""),32.0)</f>
        <v>32</v>
      </c>
      <c r="L839" s="26" t="str">
        <f>IFERROR(__xludf.DUMMYFUNCTION("""COMPUTED_VALUE"""),"Action-Adventure")</f>
        <v>Action-Adventure</v>
      </c>
      <c r="M839" s="13" t="b">
        <f>NOT(ISNA(VLOOKUP(A839,PC!A:A,1,FALSE)))</f>
        <v>1</v>
      </c>
      <c r="N839" s="13" t="b">
        <f>NOT(ISNA(VLOOKUP(A839,'Game Pass Premium'!A:A,1,FALSE)))</f>
        <v>0</v>
      </c>
      <c r="O839" s="13" t="b">
        <f>NOT(ISNA(VLOOKUP(A839,'Game Pass Essential'!A:A,1,FALSE)))</f>
        <v>0</v>
      </c>
    </row>
    <row r="840">
      <c r="A840" s="12" t="str">
        <f>IFERROR(__xludf.DUMMYFUNCTION("""COMPUTED_VALUE"""),"Star Voyager")</f>
        <v>Star Voyager</v>
      </c>
      <c r="B840" s="13" t="str">
        <f>IFERROR(__xludf.DUMMYFUNCTION("""COMPUTED_VALUE"""),"Xbox / PC")</f>
        <v>Xbox / PC</v>
      </c>
      <c r="C840" s="14" t="str">
        <f>IFERROR(__xludf.DUMMYFUNCTION("""COMPUTED_VALUE"""),"Yes")</f>
        <v>Yes</v>
      </c>
      <c r="D840" s="14" t="str">
        <f>IFERROR(__xludf.DUMMYFUNCTION("""COMPUTED_VALUE"""),"Active")</f>
        <v>Active</v>
      </c>
      <c r="E840" s="15">
        <f>IFERROR(__xludf.DUMMYFUNCTION("""COMPUTED_VALUE"""),45798.0)</f>
        <v>45798</v>
      </c>
      <c r="F840" s="16"/>
      <c r="G840" s="18">
        <f>IFERROR(__xludf.DUMMYFUNCTION("""COMPUTED_VALUE"""),16.5)</f>
        <v>16.5</v>
      </c>
      <c r="H840" s="15">
        <f>IFERROR(__xludf.DUMMYFUNCTION("""COMPUTED_VALUE"""),30042.0)</f>
        <v>30042</v>
      </c>
      <c r="I840" s="18">
        <f>IFERROR(__xludf.DUMMYFUNCTION("""COMPUTED_VALUE"""),43.138888888888886)</f>
        <v>43.13888889</v>
      </c>
      <c r="J840" s="22">
        <f>IFERROR(__xludf.DUMMYFUNCTION("""COMPUTED_VALUE"""),59.0)</f>
        <v>59</v>
      </c>
      <c r="K840" s="22"/>
      <c r="L840" s="26" t="str">
        <f>IFERROR(__xludf.DUMMYFUNCTION("""COMPUTED_VALUE"""),"Shooter")</f>
        <v>Shooter</v>
      </c>
      <c r="M840" s="13" t="b">
        <f>NOT(ISNA(VLOOKUP(A840,PC!A:A,1,FALSE)))</f>
        <v>1</v>
      </c>
      <c r="N840" s="13" t="b">
        <f>NOT(ISNA(VLOOKUP(A840,'Game Pass Premium'!A:A,1,FALSE)))</f>
        <v>1</v>
      </c>
      <c r="O840" s="13" t="b">
        <f>NOT(ISNA(VLOOKUP(A840,'Game Pass Essential'!A:A,1,FALSE)))</f>
        <v>0</v>
      </c>
    </row>
    <row r="841">
      <c r="A841" s="12" t="str">
        <f>IFERROR(__xludf.DUMMYFUNCTION("""COMPUTED_VALUE"""),"Killer Instinct 2 Classic")</f>
        <v>Killer Instinct 2 Classic</v>
      </c>
      <c r="B841" s="13" t="str">
        <f>IFERROR(__xludf.DUMMYFUNCTION("""COMPUTED_VALUE"""),"Xbox")</f>
        <v>Xbox</v>
      </c>
      <c r="C841" s="14"/>
      <c r="D841" s="14" t="str">
        <f>IFERROR(__xludf.DUMMYFUNCTION("""COMPUTED_VALUE"""),"Active")</f>
        <v>Active</v>
      </c>
      <c r="E841" s="15">
        <f>IFERROR(__xludf.DUMMYFUNCTION("""COMPUTED_VALUE"""),43671.0)</f>
        <v>43671</v>
      </c>
      <c r="F841" s="16"/>
      <c r="G841" s="18">
        <f>IFERROR(__xludf.DUMMYFUNCTION("""COMPUTED_VALUE"""),86.36666666666666)</f>
        <v>86.36666667</v>
      </c>
      <c r="H841" s="15">
        <f>IFERROR(__xludf.DUMMYFUNCTION("""COMPUTED_VALUE"""),41600.0)</f>
        <v>41600</v>
      </c>
      <c r="I841" s="18">
        <f>IFERROR(__xludf.DUMMYFUNCTION("""COMPUTED_VALUE"""),5.675)</f>
        <v>5.675</v>
      </c>
      <c r="J841" s="22">
        <f>IFERROR(__xludf.DUMMYFUNCTION("""COMPUTED_VALUE"""),59.0)</f>
        <v>59</v>
      </c>
      <c r="K841" s="22">
        <f>IFERROR(__xludf.DUMMYFUNCTION("""COMPUTED_VALUE"""),1.0)</f>
        <v>1</v>
      </c>
      <c r="L841" s="26" t="str">
        <f>IFERROR(__xludf.DUMMYFUNCTION("""COMPUTED_VALUE"""),"Fighting")</f>
        <v>Fighting</v>
      </c>
      <c r="M841" s="13" t="b">
        <f>NOT(ISNA(VLOOKUP(A841,PC!A:A,1,FALSE)))</f>
        <v>0</v>
      </c>
      <c r="N841" s="13" t="b">
        <f>NOT(ISNA(VLOOKUP(A841,'Game Pass Premium'!A:A,1,FALSE)))</f>
        <v>1</v>
      </c>
      <c r="O841" s="13" t="b">
        <f>NOT(ISNA(VLOOKUP(A841,'Game Pass Essential'!A:A,1,FALSE)))</f>
        <v>0</v>
      </c>
    </row>
    <row r="842">
      <c r="A842" s="12" t="str">
        <f>IFERROR(__xludf.DUMMYFUNCTION("""COMPUTED_VALUE"""),"Cars 2: The Video Game")</f>
        <v>Cars 2: The Video Game</v>
      </c>
      <c r="B842" s="13" t="str">
        <f>IFERROR(__xludf.DUMMYFUNCTION("""COMPUTED_VALUE"""),"XB360/OG Xbox")</f>
        <v>XB360/OG Xbox</v>
      </c>
      <c r="C842" s="14"/>
      <c r="D842" s="14" t="str">
        <f>IFERROR(__xludf.DUMMYFUNCTION("""COMPUTED_VALUE"""),"GwG Permanent")</f>
        <v>GwG Permanent</v>
      </c>
      <c r="E842" s="15">
        <f>IFERROR(__xludf.DUMMYFUNCTION("""COMPUTED_VALUE"""),43191.0)</f>
        <v>43191</v>
      </c>
      <c r="F842" s="16">
        <f>IFERROR(__xludf.DUMMYFUNCTION("""COMPUTED_VALUE"""),43205.0)</f>
        <v>43205</v>
      </c>
      <c r="G842" s="18">
        <f>IFERROR(__xludf.DUMMYFUNCTION("""COMPUTED_VALUE"""),0.4666666666666667)</f>
        <v>0.4666666667</v>
      </c>
      <c r="H842" s="15">
        <f>IFERROR(__xludf.DUMMYFUNCTION("""COMPUTED_VALUE"""),40713.0)</f>
        <v>40713</v>
      </c>
      <c r="I842" s="18">
        <f>IFERROR(__xludf.DUMMYFUNCTION("""COMPUTED_VALUE"""),6.783333333333333)</f>
        <v>6.783333333</v>
      </c>
      <c r="J842" s="22">
        <f>IFERROR(__xludf.DUMMYFUNCTION("""COMPUTED_VALUE"""),59.0)</f>
        <v>59</v>
      </c>
      <c r="K842" s="22">
        <f>IFERROR(__xludf.DUMMYFUNCTION("""COMPUTED_VALUE"""),7.0)</f>
        <v>7</v>
      </c>
      <c r="L842" s="26" t="str">
        <f>IFERROR(__xludf.DUMMYFUNCTION("""COMPUTED_VALUE"""),"Racing")</f>
        <v>Racing</v>
      </c>
      <c r="M842" s="13" t="b">
        <f>NOT(ISNA(VLOOKUP(A842,PC!A:A,1,FALSE)))</f>
        <v>0</v>
      </c>
      <c r="N842" s="13" t="b">
        <f>NOT(ISNA(VLOOKUP(A842,'Game Pass Premium'!A:A,1,FALSE)))</f>
        <v>0</v>
      </c>
      <c r="O842" s="13" t="b">
        <f>NOT(ISNA(VLOOKUP(A842,'Game Pass Essential'!A:A,1,FALSE)))</f>
        <v>0</v>
      </c>
    </row>
    <row r="843">
      <c r="A843" s="12" t="str">
        <f>IFERROR(__xludf.DUMMYFUNCTION("""COMPUTED_VALUE"""),"Crazy Taxi")</f>
        <v>Crazy Taxi</v>
      </c>
      <c r="B843" s="13" t="str">
        <f>IFERROR(__xludf.DUMMYFUNCTION("""COMPUTED_VALUE"""),"XB360/OG Xbox")</f>
        <v>XB360/OG Xbox</v>
      </c>
      <c r="C843" s="14"/>
      <c r="D843" s="14" t="str">
        <f>IFERROR(__xludf.DUMMYFUNCTION("""COMPUTED_VALUE"""),"GwG Permanent")</f>
        <v>GwG Permanent</v>
      </c>
      <c r="E843" s="15">
        <f>IFERROR(__xludf.DUMMYFUNCTION("""COMPUTED_VALUE"""),43147.0)</f>
        <v>43147</v>
      </c>
      <c r="F843" s="16">
        <f>IFERROR(__xludf.DUMMYFUNCTION("""COMPUTED_VALUE"""),43159.0)</f>
        <v>43159</v>
      </c>
      <c r="G843" s="18">
        <f>IFERROR(__xludf.DUMMYFUNCTION("""COMPUTED_VALUE"""),0.4)</f>
        <v>0.4</v>
      </c>
      <c r="H843" s="15">
        <f>IFERROR(__xludf.DUMMYFUNCTION("""COMPUTED_VALUE"""),40506.0)</f>
        <v>40506</v>
      </c>
      <c r="I843" s="18">
        <f>IFERROR(__xludf.DUMMYFUNCTION("""COMPUTED_VALUE"""),7.227777777777778)</f>
        <v>7.227777778</v>
      </c>
      <c r="J843" s="22">
        <f>IFERROR(__xludf.DUMMYFUNCTION("""COMPUTED_VALUE"""),59.0)</f>
        <v>59</v>
      </c>
      <c r="K843" s="22">
        <f>IFERROR(__xludf.DUMMYFUNCTION("""COMPUTED_VALUE"""),1.0)</f>
        <v>1</v>
      </c>
      <c r="L843" s="26" t="str">
        <f>IFERROR(__xludf.DUMMYFUNCTION("""COMPUTED_VALUE"""),"Racing")</f>
        <v>Racing</v>
      </c>
      <c r="M843" s="13" t="b">
        <f>NOT(ISNA(VLOOKUP(A843,PC!A:A,1,FALSE)))</f>
        <v>0</v>
      </c>
      <c r="N843" s="13" t="b">
        <f>NOT(ISNA(VLOOKUP(A843,'Game Pass Premium'!A:A,1,FALSE)))</f>
        <v>0</v>
      </c>
      <c r="O843" s="13" t="b">
        <f>NOT(ISNA(VLOOKUP(A843,'Game Pass Essential'!A:A,1,FALSE)))</f>
        <v>0</v>
      </c>
    </row>
    <row r="844">
      <c r="A844" s="12" t="str">
        <f>IFERROR(__xludf.DUMMYFUNCTION("""COMPUTED_VALUE"""),"Hungry Shark World")</f>
        <v>Hungry Shark World</v>
      </c>
      <c r="B844" s="13" t="str">
        <f>IFERROR(__xludf.DUMMYFUNCTION("""COMPUTED_VALUE"""),"Xbox / PC")</f>
        <v>Xbox / PC</v>
      </c>
      <c r="C844" s="14" t="str">
        <f>IFERROR(__xludf.DUMMYFUNCTION("""COMPUTED_VALUE"""),"Yes")</f>
        <v>Yes</v>
      </c>
      <c r="D844" s="14" t="str">
        <f>IFERROR(__xludf.DUMMYFUNCTION("""COMPUTED_VALUE"""),"Active")</f>
        <v>Active</v>
      </c>
      <c r="E844" s="15">
        <f>IFERROR(__xludf.DUMMYFUNCTION("""COMPUTED_VALUE"""),45931.0)</f>
        <v>45931</v>
      </c>
      <c r="F844" s="16"/>
      <c r="G844" s="18">
        <f>IFERROR(__xludf.DUMMYFUNCTION("""COMPUTED_VALUE"""),12.166666666666666)</f>
        <v>12.16666667</v>
      </c>
      <c r="H844" s="15">
        <f>IFERROR(__xludf.DUMMYFUNCTION("""COMPUTED_VALUE"""),43298.0)</f>
        <v>43298</v>
      </c>
      <c r="I844" s="18">
        <f>IFERROR(__xludf.DUMMYFUNCTION("""COMPUTED_VALUE"""),7.205555555555556)</f>
        <v>7.205555556</v>
      </c>
      <c r="J844" s="22">
        <f>IFERROR(__xludf.DUMMYFUNCTION("""COMPUTED_VALUE"""),58.0)</f>
        <v>58</v>
      </c>
      <c r="K844" s="22">
        <f>IFERROR(__xludf.DUMMYFUNCTION("""COMPUTED_VALUE"""),8.0)</f>
        <v>8</v>
      </c>
      <c r="L844" s="26" t="str">
        <f>IFERROR(__xludf.DUMMYFUNCTION("""COMPUTED_VALUE"""),"Action-Adventure")</f>
        <v>Action-Adventure</v>
      </c>
      <c r="M844" s="13" t="b">
        <f>NOT(ISNA(VLOOKUP(A844,PC!A:A,1,FALSE)))</f>
        <v>1</v>
      </c>
      <c r="N844" s="13" t="b">
        <f>NOT(ISNA(VLOOKUP(A844,'Game Pass Premium'!A:A,1,FALSE)))</f>
        <v>0</v>
      </c>
      <c r="O844" s="13" t="b">
        <f>NOT(ISNA(VLOOKUP(A844,'Game Pass Essential'!A:A,1,FALSE)))</f>
        <v>0</v>
      </c>
    </row>
    <row r="845">
      <c r="A845" s="12" t="str">
        <f>IFERROR(__xludf.DUMMYFUNCTION("""COMPUTED_VALUE"""),"Skate Boardin'")</f>
        <v>Skate Boardin'</v>
      </c>
      <c r="B845" s="13" t="str">
        <f>IFERROR(__xludf.DUMMYFUNCTION("""COMPUTED_VALUE"""),"Xbox / PC")</f>
        <v>Xbox / PC</v>
      </c>
      <c r="C845" s="14" t="str">
        <f>IFERROR(__xludf.DUMMYFUNCTION("""COMPUTED_VALUE"""),"Yes")</f>
        <v>Yes</v>
      </c>
      <c r="D845" s="14" t="str">
        <f>IFERROR(__xludf.DUMMYFUNCTION("""COMPUTED_VALUE"""),"Active")</f>
        <v>Active</v>
      </c>
      <c r="E845" s="15">
        <f>IFERROR(__xludf.DUMMYFUNCTION("""COMPUTED_VALUE"""),45859.0)</f>
        <v>45859</v>
      </c>
      <c r="F845" s="16"/>
      <c r="G845" s="18">
        <f>IFERROR(__xludf.DUMMYFUNCTION("""COMPUTED_VALUE"""),14.5)</f>
        <v>14.5</v>
      </c>
      <c r="H845" s="15">
        <f>IFERROR(__xludf.DUMMYFUNCTION("""COMPUTED_VALUE"""),31972.0)</f>
        <v>31972</v>
      </c>
      <c r="I845" s="18">
        <f>IFERROR(__xludf.DUMMYFUNCTION("""COMPUTED_VALUE"""),38.019444444444446)</f>
        <v>38.01944444</v>
      </c>
      <c r="J845" s="22">
        <f>IFERROR(__xludf.DUMMYFUNCTION("""COMPUTED_VALUE"""),58.0)</f>
        <v>58</v>
      </c>
      <c r="K845" s="22">
        <f>IFERROR(__xludf.DUMMYFUNCTION("""COMPUTED_VALUE"""),1.0)</f>
        <v>1</v>
      </c>
      <c r="L845" s="26" t="str">
        <f>IFERROR(__xludf.DUMMYFUNCTION("""COMPUTED_VALUE"""),"Sports")</f>
        <v>Sports</v>
      </c>
      <c r="M845" s="13" t="b">
        <f>NOT(ISNA(VLOOKUP(A845,PC!A:A,1,FALSE)))</f>
        <v>1</v>
      </c>
      <c r="N845" s="13" t="b">
        <f>NOT(ISNA(VLOOKUP(A845,'Game Pass Premium'!A:A,1,FALSE)))</f>
        <v>1</v>
      </c>
      <c r="O845" s="13" t="b">
        <f>NOT(ISNA(VLOOKUP(A845,'Game Pass Essential'!A:A,1,FALSE)))</f>
        <v>0</v>
      </c>
    </row>
    <row r="846">
      <c r="A846" s="12" t="str">
        <f>IFERROR(__xludf.DUMMYFUNCTION("""COMPUTED_VALUE"""),"Checkers")</f>
        <v>Checkers</v>
      </c>
      <c r="B846" s="13" t="str">
        <f>IFERROR(__xludf.DUMMYFUNCTION("""COMPUTED_VALUE"""),"Xbox / PC")</f>
        <v>Xbox / PC</v>
      </c>
      <c r="C846" s="14" t="str">
        <f>IFERROR(__xludf.DUMMYFUNCTION("""COMPUTED_VALUE"""),"Yes")</f>
        <v>Yes</v>
      </c>
      <c r="D846" s="14" t="str">
        <f>IFERROR(__xludf.DUMMYFUNCTION("""COMPUTED_VALUE"""),"Active")</f>
        <v>Active</v>
      </c>
      <c r="E846" s="15">
        <f>IFERROR(__xludf.DUMMYFUNCTION("""COMPUTED_VALUE"""),45798.0)</f>
        <v>45798</v>
      </c>
      <c r="F846" s="16"/>
      <c r="G846" s="18">
        <f>IFERROR(__xludf.DUMMYFUNCTION("""COMPUTED_VALUE"""),16.5)</f>
        <v>16.5</v>
      </c>
      <c r="H846" s="15">
        <f>IFERROR(__xludf.DUMMYFUNCTION("""COMPUTED_VALUE"""),29403.0)</f>
        <v>29403</v>
      </c>
      <c r="I846" s="18">
        <f>IFERROR(__xludf.DUMMYFUNCTION("""COMPUTED_VALUE"""),44.888888888888886)</f>
        <v>44.88888889</v>
      </c>
      <c r="J846" s="22">
        <f>IFERROR(__xludf.DUMMYFUNCTION("""COMPUTED_VALUE"""),58.0)</f>
        <v>58</v>
      </c>
      <c r="K846" s="22"/>
      <c r="L846" s="26" t="str">
        <f>IFERROR(__xludf.DUMMYFUNCTION("""COMPUTED_VALUE"""),"Strategy")</f>
        <v>Strategy</v>
      </c>
      <c r="M846" s="13" t="b">
        <f>NOT(ISNA(VLOOKUP(A846,PC!A:A,1,FALSE)))</f>
        <v>1</v>
      </c>
      <c r="N846" s="13" t="b">
        <f>NOT(ISNA(VLOOKUP(A846,'Game Pass Premium'!A:A,1,FALSE)))</f>
        <v>1</v>
      </c>
      <c r="O846" s="13" t="b">
        <f>NOT(ISNA(VLOOKUP(A846,'Game Pass Essential'!A:A,1,FALSE)))</f>
        <v>0</v>
      </c>
    </row>
    <row r="847">
      <c r="A847" s="12" t="str">
        <f>IFERROR(__xludf.DUMMYFUNCTION("""COMPUTED_VALUE"""),"Police Simulator: Patrol Officers")</f>
        <v>Police Simulator: Patrol Officers</v>
      </c>
      <c r="B847" s="13" t="str">
        <f>IFERROR(__xludf.DUMMYFUNCTION("""COMPUTED_VALUE"""),"Xbox / PC")</f>
        <v>Xbox / PC</v>
      </c>
      <c r="C847" s="14" t="str">
        <f>IFERROR(__xludf.DUMMYFUNCTION("""COMPUTED_VALUE"""),"Yes")</f>
        <v>Yes</v>
      </c>
      <c r="D847" s="14" t="str">
        <f>IFERROR(__xludf.DUMMYFUNCTION("""COMPUTED_VALUE"""),"Active")</f>
        <v>Active</v>
      </c>
      <c r="E847" s="15">
        <f>IFERROR(__xludf.DUMMYFUNCTION("""COMPUTED_VALUE"""),45797.0)</f>
        <v>45797</v>
      </c>
      <c r="F847" s="16"/>
      <c r="G847" s="18">
        <f>IFERROR(__xludf.DUMMYFUNCTION("""COMPUTED_VALUE"""),16.53333333333333)</f>
        <v>16.53333333</v>
      </c>
      <c r="H847" s="15">
        <f>IFERROR(__xludf.DUMMYFUNCTION("""COMPUTED_VALUE"""),44875.0)</f>
        <v>44875</v>
      </c>
      <c r="I847" s="18">
        <f>IFERROR(__xludf.DUMMYFUNCTION("""COMPUTED_VALUE"""),2.5277777777777777)</f>
        <v>2.527777778</v>
      </c>
      <c r="J847" s="22">
        <f>IFERROR(__xludf.DUMMYFUNCTION("""COMPUTED_VALUE"""),58.0)</f>
        <v>58</v>
      </c>
      <c r="K847" s="22">
        <f>IFERROR(__xludf.DUMMYFUNCTION("""COMPUTED_VALUE"""),16.0)</f>
        <v>16</v>
      </c>
      <c r="L847" s="26" t="str">
        <f>IFERROR(__xludf.DUMMYFUNCTION("""COMPUTED_VALUE"""),"Simulation")</f>
        <v>Simulation</v>
      </c>
      <c r="M847" s="13" t="b">
        <f>NOT(ISNA(VLOOKUP(A847,PC!A:A,1,FALSE)))</f>
        <v>1</v>
      </c>
      <c r="N847" s="13" t="b">
        <f>NOT(ISNA(VLOOKUP(A847,'Game Pass Premium'!A:A,1,FALSE)))</f>
        <v>1</v>
      </c>
      <c r="O847" s="13" t="b">
        <f>NOT(ISNA(VLOOKUP(A847,'Game Pass Essential'!A:A,1,FALSE)))</f>
        <v>0</v>
      </c>
    </row>
    <row r="848">
      <c r="A848" s="12" t="str">
        <f>IFERROR(__xludf.DUMMYFUNCTION("""COMPUTED_VALUE"""),"Dead by Daylight: Special Edition")</f>
        <v>Dead by Daylight: Special Edition</v>
      </c>
      <c r="B848" s="13" t="str">
        <f>IFERROR(__xludf.DUMMYFUNCTION("""COMPUTED_VALUE"""),"Xbox / PC")</f>
        <v>Xbox / PC</v>
      </c>
      <c r="C848" s="14" t="str">
        <f>IFERROR(__xludf.DUMMYFUNCTION("""COMPUTED_VALUE"""),"Yes")</f>
        <v>Yes</v>
      </c>
      <c r="D848" s="14" t="str">
        <f>IFERROR(__xludf.DUMMYFUNCTION("""COMPUTED_VALUE"""),"Active")</f>
        <v>Active</v>
      </c>
      <c r="E848" s="15">
        <f>IFERROR(__xludf.DUMMYFUNCTION("""COMPUTED_VALUE"""),43615.0)</f>
        <v>43615</v>
      </c>
      <c r="F848" s="16"/>
      <c r="G848" s="18">
        <f>IFERROR(__xludf.DUMMYFUNCTION("""COMPUTED_VALUE"""),88.19999999999999)</f>
        <v>88.2</v>
      </c>
      <c r="H848" s="15">
        <f>IFERROR(__xludf.DUMMYFUNCTION("""COMPUTED_VALUE"""),42535.0)</f>
        <v>42535</v>
      </c>
      <c r="I848" s="18">
        <f>IFERROR(__xludf.DUMMYFUNCTION("""COMPUTED_VALUE"""),2.9611111111111112)</f>
        <v>2.961111111</v>
      </c>
      <c r="J848" s="22">
        <f>IFERROR(__xludf.DUMMYFUNCTION("""COMPUTED_VALUE"""),58.0)</f>
        <v>58</v>
      </c>
      <c r="K848" s="22">
        <f>IFERROR(__xludf.DUMMYFUNCTION("""COMPUTED_VALUE"""),608.0)</f>
        <v>608</v>
      </c>
      <c r="L848" s="26" t="str">
        <f>IFERROR(__xludf.DUMMYFUNCTION("""COMPUTED_VALUE"""),"Action")</f>
        <v>Action</v>
      </c>
      <c r="M848" s="13" t="b">
        <f>NOT(ISNA(VLOOKUP(A848,PC!A:A,1,FALSE)))</f>
        <v>1</v>
      </c>
      <c r="N848" s="13" t="b">
        <f>NOT(ISNA(VLOOKUP(A848,'Game Pass Premium'!A:A,1,FALSE)))</f>
        <v>1</v>
      </c>
      <c r="O848" s="13" t="b">
        <f>NOT(ISNA(VLOOKUP(A848,'Game Pass Essential'!A:A,1,FALSE)))</f>
        <v>0</v>
      </c>
    </row>
    <row r="849">
      <c r="A849" s="12" t="str">
        <f>IFERROR(__xludf.DUMMYFUNCTION("""COMPUTED_VALUE"""),"Dark Void")</f>
        <v>Dark Void</v>
      </c>
      <c r="B849" s="13" t="str">
        <f>IFERROR(__xludf.DUMMYFUNCTION("""COMPUTED_VALUE"""),"XB360/OG Xbox")</f>
        <v>XB360/OG Xbox</v>
      </c>
      <c r="C849" s="14"/>
      <c r="D849" s="14" t="str">
        <f>IFERROR(__xludf.DUMMYFUNCTION("""COMPUTED_VALUE"""),"GwG Permanent")</f>
        <v>GwG Permanent</v>
      </c>
      <c r="E849" s="15">
        <f>IFERROR(__xludf.DUMMYFUNCTION("""COMPUTED_VALUE"""),44287.0)</f>
        <v>44287</v>
      </c>
      <c r="F849" s="16">
        <f>IFERROR(__xludf.DUMMYFUNCTION("""COMPUTED_VALUE"""),44301.0)</f>
        <v>44301</v>
      </c>
      <c r="G849" s="18">
        <f>IFERROR(__xludf.DUMMYFUNCTION("""COMPUTED_VALUE"""),0.4666666666666667)</f>
        <v>0.4666666667</v>
      </c>
      <c r="H849" s="15">
        <f>IFERROR(__xludf.DUMMYFUNCTION("""COMPUTED_VALUE"""),40259.0)</f>
        <v>40259</v>
      </c>
      <c r="I849" s="18">
        <f>IFERROR(__xludf.DUMMYFUNCTION("""COMPUTED_VALUE"""),11.025)</f>
        <v>11.025</v>
      </c>
      <c r="J849" s="22">
        <f>IFERROR(__xludf.DUMMYFUNCTION("""COMPUTED_VALUE"""),58.0)</f>
        <v>58</v>
      </c>
      <c r="K849" s="22">
        <f>IFERROR(__xludf.DUMMYFUNCTION("""COMPUTED_VALUE"""),8.0)</f>
        <v>8</v>
      </c>
      <c r="L849" s="26" t="str">
        <f>IFERROR(__xludf.DUMMYFUNCTION("""COMPUTED_VALUE"""),"Action")</f>
        <v>Action</v>
      </c>
      <c r="M849" s="13" t="b">
        <f>NOT(ISNA(VLOOKUP(A849,PC!A:A,1,FALSE)))</f>
        <v>0</v>
      </c>
      <c r="N849" s="13" t="b">
        <f>NOT(ISNA(VLOOKUP(A849,'Game Pass Premium'!A:A,1,FALSE)))</f>
        <v>0</v>
      </c>
      <c r="O849" s="13" t="b">
        <f>NOT(ISNA(VLOOKUP(A849,'Game Pass Essential'!A:A,1,FALSE)))</f>
        <v>0</v>
      </c>
    </row>
    <row r="850">
      <c r="A850" s="12" t="str">
        <f>IFERROR(__xludf.DUMMYFUNCTION("""COMPUTED_VALUE"""),"Bolt")</f>
        <v>Bolt</v>
      </c>
      <c r="B850" s="13" t="str">
        <f>IFERROR(__xludf.DUMMYFUNCTION("""COMPUTED_VALUE"""),"XB360/OG Xbox")</f>
        <v>XB360/OG Xbox</v>
      </c>
      <c r="C850" s="14"/>
      <c r="D850" s="14" t="str">
        <f>IFERROR(__xludf.DUMMYFUNCTION("""COMPUTED_VALUE"""),"GwG Permanent")</f>
        <v>GwG Permanent</v>
      </c>
      <c r="E850" s="15">
        <f>IFERROR(__xludf.DUMMYFUNCTION("""COMPUTED_VALUE"""),43739.0)</f>
        <v>43739</v>
      </c>
      <c r="F850" s="16">
        <f>IFERROR(__xludf.DUMMYFUNCTION("""COMPUTED_VALUE"""),43753.0)</f>
        <v>43753</v>
      </c>
      <c r="G850" s="18">
        <f>IFERROR(__xludf.DUMMYFUNCTION("""COMPUTED_VALUE"""),0.4666666666666667)</f>
        <v>0.4666666667</v>
      </c>
      <c r="H850" s="15">
        <f>IFERROR(__xludf.DUMMYFUNCTION("""COMPUTED_VALUE"""),39757.0)</f>
        <v>39757</v>
      </c>
      <c r="I850" s="18">
        <f>IFERROR(__xludf.DUMMYFUNCTION("""COMPUTED_VALUE"""),10.905555555555555)</f>
        <v>10.90555556</v>
      </c>
      <c r="J850" s="22">
        <f>IFERROR(__xludf.DUMMYFUNCTION("""COMPUTED_VALUE"""),57.0)</f>
        <v>57</v>
      </c>
      <c r="K850" s="22">
        <f>IFERROR(__xludf.DUMMYFUNCTION("""COMPUTED_VALUE"""),5.0)</f>
        <v>5</v>
      </c>
      <c r="L850" s="26" t="str">
        <f>IFERROR(__xludf.DUMMYFUNCTION("""COMPUTED_VALUE"""),"Action-Adventure")</f>
        <v>Action-Adventure</v>
      </c>
      <c r="M850" s="13" t="b">
        <f>NOT(ISNA(VLOOKUP(A850,PC!A:A,1,FALSE)))</f>
        <v>0</v>
      </c>
      <c r="N850" s="13" t="b">
        <f>NOT(ISNA(VLOOKUP(A850,'Game Pass Premium'!A:A,1,FALSE)))</f>
        <v>0</v>
      </c>
      <c r="O850" s="13" t="b">
        <f>NOT(ISNA(VLOOKUP(A850,'Game Pass Essential'!A:A,1,FALSE)))</f>
        <v>0</v>
      </c>
    </row>
    <row r="851">
      <c r="A851" s="12" t="str">
        <f>IFERROR(__xludf.DUMMYFUNCTION("""COMPUTED_VALUE"""),"Tom Clancy's Ghost Recon Breakpoint")</f>
        <v>Tom Clancy's Ghost Recon Breakpoint</v>
      </c>
      <c r="B851" s="13" t="str">
        <f>IFERROR(__xludf.DUMMYFUNCTION("""COMPUTED_VALUE"""),"Xbox / PC")</f>
        <v>Xbox / PC</v>
      </c>
      <c r="C851" s="14" t="str">
        <f>IFERROR(__xludf.DUMMYFUNCTION("""COMPUTED_VALUE"""),"Yes")</f>
        <v>Yes</v>
      </c>
      <c r="D851" s="14" t="str">
        <f>IFERROR(__xludf.DUMMYFUNCTION("""COMPUTED_VALUE"""),"Active")</f>
        <v>Active</v>
      </c>
      <c r="E851" s="15">
        <f>IFERROR(__xludf.DUMMYFUNCTION("""COMPUTED_VALUE"""),45931.0)</f>
        <v>45931</v>
      </c>
      <c r="F851" s="16"/>
      <c r="G851" s="18">
        <f>IFERROR(__xludf.DUMMYFUNCTION("""COMPUTED_VALUE"""),12.166666666666666)</f>
        <v>12.16666667</v>
      </c>
      <c r="H851" s="15">
        <f>IFERROR(__xludf.DUMMYFUNCTION("""COMPUTED_VALUE"""),43739.0)</f>
        <v>43739</v>
      </c>
      <c r="I851" s="18">
        <f>IFERROR(__xludf.DUMMYFUNCTION("""COMPUTED_VALUE"""),6.0)</f>
        <v>6</v>
      </c>
      <c r="J851" s="22">
        <f>IFERROR(__xludf.DUMMYFUNCTION("""COMPUTED_VALUE"""),56.0)</f>
        <v>56</v>
      </c>
      <c r="K851" s="22">
        <f>IFERROR(__xludf.DUMMYFUNCTION("""COMPUTED_VALUE"""),23.0)</f>
        <v>23</v>
      </c>
      <c r="L851" s="26" t="str">
        <f>IFERROR(__xludf.DUMMYFUNCTION("""COMPUTED_VALUE"""),"Shooter")</f>
        <v>Shooter</v>
      </c>
      <c r="M851" s="13" t="b">
        <f>NOT(ISNA(VLOOKUP(A851,PC!A:A,1,FALSE)))</f>
        <v>1</v>
      </c>
      <c r="N851" s="13" t="b">
        <f>NOT(ISNA(VLOOKUP(A851,'Game Pass Premium'!A:A,1,FALSE)))</f>
        <v>0</v>
      </c>
      <c r="O851" s="13" t="b">
        <f>NOT(ISNA(VLOOKUP(A851,'Game Pass Essential'!A:A,1,FALSE)))</f>
        <v>0</v>
      </c>
    </row>
    <row r="852">
      <c r="A852" s="12" t="str">
        <f>IFERROR(__xludf.DUMMYFUNCTION("""COMPUTED_VALUE"""),"Commando")</f>
        <v>Commando</v>
      </c>
      <c r="B852" s="13" t="str">
        <f>IFERROR(__xludf.DUMMYFUNCTION("""COMPUTED_VALUE"""),"Xbox / PC")</f>
        <v>Xbox / PC</v>
      </c>
      <c r="C852" s="14" t="str">
        <f>IFERROR(__xludf.DUMMYFUNCTION("""COMPUTED_VALUE"""),"Yes")</f>
        <v>Yes</v>
      </c>
      <c r="D852" s="14" t="str">
        <f>IFERROR(__xludf.DUMMYFUNCTION("""COMPUTED_VALUE"""),"Active")</f>
        <v>Active</v>
      </c>
      <c r="E852" s="15">
        <f>IFERROR(__xludf.DUMMYFUNCTION("""COMPUTED_VALUE"""),45798.0)</f>
        <v>45798</v>
      </c>
      <c r="F852" s="16"/>
      <c r="G852" s="18">
        <f>IFERROR(__xludf.DUMMYFUNCTION("""COMPUTED_VALUE"""),16.5)</f>
        <v>16.5</v>
      </c>
      <c r="H852" s="15">
        <f>IFERROR(__xludf.DUMMYFUNCTION("""COMPUTED_VALUE"""),30393.0)</f>
        <v>30393</v>
      </c>
      <c r="I852" s="18">
        <f>IFERROR(__xludf.DUMMYFUNCTION("""COMPUTED_VALUE"""),42.175)</f>
        <v>42.175</v>
      </c>
      <c r="J852" s="22">
        <f>IFERROR(__xludf.DUMMYFUNCTION("""COMPUTED_VALUE"""),56.0)</f>
        <v>56</v>
      </c>
      <c r="K852" s="22"/>
      <c r="L852" s="26" t="str">
        <f>IFERROR(__xludf.DUMMYFUNCTION("""COMPUTED_VALUE"""),"Shooter")</f>
        <v>Shooter</v>
      </c>
      <c r="M852" s="13" t="b">
        <f>NOT(ISNA(VLOOKUP(A852,PC!A:A,1,FALSE)))</f>
        <v>1</v>
      </c>
      <c r="N852" s="13" t="b">
        <f>NOT(ISNA(VLOOKUP(A852,'Game Pass Premium'!A:A,1,FALSE)))</f>
        <v>1</v>
      </c>
      <c r="O852" s="13" t="b">
        <f>NOT(ISNA(VLOOKUP(A852,'Game Pass Essential'!A:A,1,FALSE)))</f>
        <v>0</v>
      </c>
    </row>
    <row r="853">
      <c r="A853" s="12" t="str">
        <f>IFERROR(__xludf.DUMMYFUNCTION("""COMPUTED_VALUE"""),"Call of Duty: Modern Warfare III")</f>
        <v>Call of Duty: Modern Warfare III</v>
      </c>
      <c r="B853" s="13" t="str">
        <f>IFERROR(__xludf.DUMMYFUNCTION("""COMPUTED_VALUE"""),"Xbox / PC")</f>
        <v>Xbox / PC</v>
      </c>
      <c r="C853" s="14" t="str">
        <f>IFERROR(__xludf.DUMMYFUNCTION("""COMPUTED_VALUE"""),"Yes")</f>
        <v>Yes</v>
      </c>
      <c r="D853" s="14" t="str">
        <f>IFERROR(__xludf.DUMMYFUNCTION("""COMPUTED_VALUE"""),"Active")</f>
        <v>Active</v>
      </c>
      <c r="E853" s="15">
        <f>IFERROR(__xludf.DUMMYFUNCTION("""COMPUTED_VALUE"""),45497.0)</f>
        <v>45497</v>
      </c>
      <c r="F853" s="16"/>
      <c r="G853" s="18">
        <f>IFERROR(__xludf.DUMMYFUNCTION("""COMPUTED_VALUE"""),26.400000000000002)</f>
        <v>26.4</v>
      </c>
      <c r="H853" s="15">
        <f>IFERROR(__xludf.DUMMYFUNCTION("""COMPUTED_VALUE"""),45211.0)</f>
        <v>45211</v>
      </c>
      <c r="I853" s="18">
        <f>IFERROR(__xludf.DUMMYFUNCTION("""COMPUTED_VALUE"""),0.7833333333333333)</f>
        <v>0.7833333333</v>
      </c>
      <c r="J853" s="22">
        <f>IFERROR(__xludf.DUMMYFUNCTION("""COMPUTED_VALUE"""),56.0)</f>
        <v>56</v>
      </c>
      <c r="K853" s="22">
        <f>IFERROR(__xludf.DUMMYFUNCTION("""COMPUTED_VALUE"""),5.0)</f>
        <v>5</v>
      </c>
      <c r="L853" s="26" t="str">
        <f>IFERROR(__xludf.DUMMYFUNCTION("""COMPUTED_VALUE"""),"Shooter")</f>
        <v>Shooter</v>
      </c>
      <c r="M853" s="13" t="b">
        <f>NOT(ISNA(VLOOKUP(A853,PC!A:A,1,FALSE)))</f>
        <v>1</v>
      </c>
      <c r="N853" s="13" t="b">
        <f>NOT(ISNA(VLOOKUP(A853,'Game Pass Premium'!A:A,1,FALSE)))</f>
        <v>0</v>
      </c>
      <c r="O853" s="13" t="b">
        <f>NOT(ISNA(VLOOKUP(A853,'Game Pass Essential'!A:A,1,FALSE)))</f>
        <v>0</v>
      </c>
    </row>
    <row r="854">
      <c r="A854" s="12" t="str">
        <f>IFERROR(__xludf.DUMMYFUNCTION("""COMPUTED_VALUE"""),"Bluey: The Videogame")</f>
        <v>Bluey: The Videogame</v>
      </c>
      <c r="B854" s="13" t="str">
        <f>IFERROR(__xludf.DUMMYFUNCTION("""COMPUTED_VALUE"""),"Xbox / PC")</f>
        <v>Xbox / PC</v>
      </c>
      <c r="C854" s="14" t="str">
        <f>IFERROR(__xludf.DUMMYFUNCTION("""COMPUTED_VALUE"""),"Yes")</f>
        <v>Yes</v>
      </c>
      <c r="D854" s="14" t="str">
        <f>IFERROR(__xludf.DUMMYFUNCTION("""COMPUTED_VALUE"""),"Active")</f>
        <v>Active</v>
      </c>
      <c r="E854" s="15">
        <f>IFERROR(__xludf.DUMMYFUNCTION("""COMPUTED_VALUE"""),45344.0)</f>
        <v>45344</v>
      </c>
      <c r="F854" s="16"/>
      <c r="G854" s="18">
        <f>IFERROR(__xludf.DUMMYFUNCTION("""COMPUTED_VALUE"""),31.46666666666667)</f>
        <v>31.46666667</v>
      </c>
      <c r="H854" s="15">
        <f>IFERROR(__xludf.DUMMYFUNCTION("""COMPUTED_VALUE"""),45247.0)</f>
        <v>45247</v>
      </c>
      <c r="I854" s="18">
        <f>IFERROR(__xludf.DUMMYFUNCTION("""COMPUTED_VALUE"""),0.2638888888888889)</f>
        <v>0.2638888889</v>
      </c>
      <c r="J854" s="22">
        <f>IFERROR(__xludf.DUMMYFUNCTION("""COMPUTED_VALUE"""),56.0)</f>
        <v>56</v>
      </c>
      <c r="K854" s="22">
        <f>IFERROR(__xludf.DUMMYFUNCTION("""COMPUTED_VALUE"""),1.0)</f>
        <v>1</v>
      </c>
      <c r="L854" s="26" t="str">
        <f>IFERROR(__xludf.DUMMYFUNCTION("""COMPUTED_VALUE"""),"Adventure")</f>
        <v>Adventure</v>
      </c>
      <c r="M854" s="13" t="b">
        <f>NOT(ISNA(VLOOKUP(A854,PC!A:A,1,FALSE)))</f>
        <v>1</v>
      </c>
      <c r="N854" s="13" t="b">
        <f>NOT(ISNA(VLOOKUP(A854,'Game Pass Premium'!A:A,1,FALSE)))</f>
        <v>1</v>
      </c>
      <c r="O854" s="13" t="b">
        <f>NOT(ISNA(VLOOKUP(A854,'Game Pass Essential'!A:A,1,FALSE)))</f>
        <v>0</v>
      </c>
    </row>
    <row r="855">
      <c r="A855" s="12" t="str">
        <f>IFERROR(__xludf.DUMMYFUNCTION("""COMPUTED_VALUE"""),"DayZ")</f>
        <v>DayZ</v>
      </c>
      <c r="B855" s="13" t="str">
        <f>IFERROR(__xludf.DUMMYFUNCTION("""COMPUTED_VALUE"""),"Xbox / PC")</f>
        <v>Xbox / PC</v>
      </c>
      <c r="C855" s="14" t="str">
        <f>IFERROR(__xludf.DUMMYFUNCTION("""COMPUTED_VALUE"""),"Yes")</f>
        <v>Yes</v>
      </c>
      <c r="D855" s="14" t="str">
        <f>IFERROR(__xludf.DUMMYFUNCTION("""COMPUTED_VALUE"""),"Active")</f>
        <v>Active</v>
      </c>
      <c r="E855" s="15">
        <f>IFERROR(__xludf.DUMMYFUNCTION("""COMPUTED_VALUE"""),43958.0)</f>
        <v>43958</v>
      </c>
      <c r="F855" s="16"/>
      <c r="G855" s="18">
        <f>IFERROR(__xludf.DUMMYFUNCTION("""COMPUTED_VALUE"""),76.96666666666667)</f>
        <v>76.96666667</v>
      </c>
      <c r="H855" s="15">
        <f>IFERROR(__xludf.DUMMYFUNCTION("""COMPUTED_VALUE"""),41621.0)</f>
        <v>41621</v>
      </c>
      <c r="I855" s="18">
        <f>IFERROR(__xludf.DUMMYFUNCTION("""COMPUTED_VALUE"""),6.4)</f>
        <v>6.4</v>
      </c>
      <c r="J855" s="22">
        <f>IFERROR(__xludf.DUMMYFUNCTION("""COMPUTED_VALUE"""),56.0)</f>
        <v>56</v>
      </c>
      <c r="K855" s="22">
        <f>IFERROR(__xludf.DUMMYFUNCTION("""COMPUTED_VALUE"""),65.5)</f>
        <v>65.5</v>
      </c>
      <c r="L855" s="26" t="str">
        <f>IFERROR(__xludf.DUMMYFUNCTION("""COMPUTED_VALUE"""),"Shooter")</f>
        <v>Shooter</v>
      </c>
      <c r="M855" s="13" t="b">
        <f>NOT(ISNA(VLOOKUP(A855,PC!A:A,1,FALSE)))</f>
        <v>1</v>
      </c>
      <c r="N855" s="13" t="b">
        <f>NOT(ISNA(VLOOKUP(A855,'Game Pass Premium'!A:A,1,FALSE)))</f>
        <v>1</v>
      </c>
      <c r="O855" s="13" t="b">
        <f>NOT(ISNA(VLOOKUP(A855,'Game Pass Essential'!A:A,1,FALSE)))</f>
        <v>1</v>
      </c>
    </row>
    <row r="856">
      <c r="A856" s="12" t="str">
        <f>IFERROR(__xludf.DUMMYFUNCTION("""COMPUTED_VALUE"""),"Trials of the Blood Dragon")</f>
        <v>Trials of the Blood Dragon</v>
      </c>
      <c r="B856" s="13" t="str">
        <f>IFERROR(__xludf.DUMMYFUNCTION("""COMPUTED_VALUE"""),"Xbox / PC")</f>
        <v>Xbox / PC</v>
      </c>
      <c r="C856" s="14" t="str">
        <f>IFERROR(__xludf.DUMMYFUNCTION("""COMPUTED_VALUE"""),"Yes")</f>
        <v>Yes</v>
      </c>
      <c r="D856" s="14" t="str">
        <f>IFERROR(__xludf.DUMMYFUNCTION("""COMPUTED_VALUE"""),"Active")</f>
        <v>Active</v>
      </c>
      <c r="E856" s="15">
        <f>IFERROR(__xludf.DUMMYFUNCTION("""COMPUTED_VALUE"""),45931.0)</f>
        <v>45931</v>
      </c>
      <c r="F856" s="16"/>
      <c r="G856" s="18">
        <f>IFERROR(__xludf.DUMMYFUNCTION("""COMPUTED_VALUE"""),12.166666666666666)</f>
        <v>12.16666667</v>
      </c>
      <c r="H856" s="15">
        <f>IFERROR(__xludf.DUMMYFUNCTION("""COMPUTED_VALUE"""),42534.0)</f>
        <v>42534</v>
      </c>
      <c r="I856" s="18">
        <f>IFERROR(__xludf.DUMMYFUNCTION("""COMPUTED_VALUE"""),9.3)</f>
        <v>9.3</v>
      </c>
      <c r="J856" s="22">
        <f>IFERROR(__xludf.DUMMYFUNCTION("""COMPUTED_VALUE"""),55.0)</f>
        <v>55</v>
      </c>
      <c r="K856" s="22">
        <f>IFERROR(__xludf.DUMMYFUNCTION("""COMPUTED_VALUE"""),3.0)</f>
        <v>3</v>
      </c>
      <c r="L856" s="26" t="str">
        <f>IFERROR(__xludf.DUMMYFUNCTION("""COMPUTED_VALUE"""),"Racing")</f>
        <v>Racing</v>
      </c>
      <c r="M856" s="13" t="b">
        <f>NOT(ISNA(VLOOKUP(A856,PC!A:A,1,FALSE)))</f>
        <v>1</v>
      </c>
      <c r="N856" s="13" t="b">
        <f>NOT(ISNA(VLOOKUP(A856,'Game Pass Premium'!A:A,1,FALSE)))</f>
        <v>0</v>
      </c>
      <c r="O856" s="13" t="b">
        <f>NOT(ISNA(VLOOKUP(A856,'Game Pass Essential'!A:A,1,FALSE)))</f>
        <v>0</v>
      </c>
    </row>
    <row r="857">
      <c r="A857" s="12" t="str">
        <f>IFERROR(__xludf.DUMMYFUNCTION("""COMPUTED_VALUE"""),"Bloody Human Freeway")</f>
        <v>Bloody Human Freeway</v>
      </c>
      <c r="B857" s="13" t="str">
        <f>IFERROR(__xludf.DUMMYFUNCTION("""COMPUTED_VALUE"""),"Xbox / PC")</f>
        <v>Xbox / PC</v>
      </c>
      <c r="C857" s="14" t="str">
        <f>IFERROR(__xludf.DUMMYFUNCTION("""COMPUTED_VALUE"""),"Yes")</f>
        <v>Yes</v>
      </c>
      <c r="D857" s="14" t="str">
        <f>IFERROR(__xludf.DUMMYFUNCTION("""COMPUTED_VALUE"""),"Active")</f>
        <v>Active</v>
      </c>
      <c r="E857" s="15">
        <f>IFERROR(__xludf.DUMMYFUNCTION("""COMPUTED_VALUE"""),45798.0)</f>
        <v>45798</v>
      </c>
      <c r="F857" s="16"/>
      <c r="G857" s="18">
        <f>IFERROR(__xludf.DUMMYFUNCTION("""COMPUTED_VALUE"""),16.5)</f>
        <v>16.5</v>
      </c>
      <c r="H857" s="15">
        <f>IFERROR(__xludf.DUMMYFUNCTION("""COMPUTED_VALUE"""),29768.0)</f>
        <v>29768</v>
      </c>
      <c r="I857" s="18">
        <f>IFERROR(__xludf.DUMMYFUNCTION("""COMPUTED_VALUE"""),43.888888888888886)</f>
        <v>43.88888889</v>
      </c>
      <c r="J857" s="22">
        <f>IFERROR(__xludf.DUMMYFUNCTION("""COMPUTED_VALUE"""),55.0)</f>
        <v>55</v>
      </c>
      <c r="K857" s="22"/>
      <c r="L857" s="26" t="str">
        <f>IFERROR(__xludf.DUMMYFUNCTION("""COMPUTED_VALUE"""),"Action")</f>
        <v>Action</v>
      </c>
      <c r="M857" s="13" t="b">
        <f>NOT(ISNA(VLOOKUP(A857,PC!A:A,1,FALSE)))</f>
        <v>1</v>
      </c>
      <c r="N857" s="13" t="b">
        <f>NOT(ISNA(VLOOKUP(A857,'Game Pass Premium'!A:A,1,FALSE)))</f>
        <v>1</v>
      </c>
      <c r="O857" s="13" t="b">
        <f>NOT(ISNA(VLOOKUP(A857,'Game Pass Essential'!A:A,1,FALSE)))</f>
        <v>0</v>
      </c>
    </row>
    <row r="858">
      <c r="A858" s="12" t="str">
        <f>IFERROR(__xludf.DUMMYFUNCTION("""COMPUTED_VALUE"""),"Laser Blast")</f>
        <v>Laser Blast</v>
      </c>
      <c r="B858" s="13" t="str">
        <f>IFERROR(__xludf.DUMMYFUNCTION("""COMPUTED_VALUE"""),"Xbox / PC")</f>
        <v>Xbox / PC</v>
      </c>
      <c r="C858" s="14" t="str">
        <f>IFERROR(__xludf.DUMMYFUNCTION("""COMPUTED_VALUE"""),"Yes")</f>
        <v>Yes</v>
      </c>
      <c r="D858" s="14" t="str">
        <f>IFERROR(__xludf.DUMMYFUNCTION("""COMPUTED_VALUE"""),"Active")</f>
        <v>Active</v>
      </c>
      <c r="E858" s="15">
        <f>IFERROR(__xludf.DUMMYFUNCTION("""COMPUTED_VALUE"""),45798.0)</f>
        <v>45798</v>
      </c>
      <c r="F858" s="16"/>
      <c r="G858" s="18">
        <f>IFERROR(__xludf.DUMMYFUNCTION("""COMPUTED_VALUE"""),16.5)</f>
        <v>16.5</v>
      </c>
      <c r="H858" s="15">
        <f>IFERROR(__xludf.DUMMYFUNCTION("""COMPUTED_VALUE"""),29646.0)</f>
        <v>29646</v>
      </c>
      <c r="I858" s="18">
        <f>IFERROR(__xludf.DUMMYFUNCTION("""COMPUTED_VALUE"""),44.22222222222222)</f>
        <v>44.22222222</v>
      </c>
      <c r="J858" s="22">
        <f>IFERROR(__xludf.DUMMYFUNCTION("""COMPUTED_VALUE"""),55.0)</f>
        <v>55</v>
      </c>
      <c r="K858" s="22"/>
      <c r="L858" s="26" t="str">
        <f>IFERROR(__xludf.DUMMYFUNCTION("""COMPUTED_VALUE"""),"Shooter")</f>
        <v>Shooter</v>
      </c>
      <c r="M858" s="13" t="b">
        <f>NOT(ISNA(VLOOKUP(A858,PC!A:A,1,FALSE)))</f>
        <v>1</v>
      </c>
      <c r="N858" s="13" t="b">
        <f>NOT(ISNA(VLOOKUP(A858,'Game Pass Premium'!A:A,1,FALSE)))</f>
        <v>1</v>
      </c>
      <c r="O858" s="13" t="b">
        <f>NOT(ISNA(VLOOKUP(A858,'Game Pass Essential'!A:A,1,FALSE)))</f>
        <v>0</v>
      </c>
    </row>
    <row r="859">
      <c r="A859" s="12" t="str">
        <f>IFERROR(__xludf.DUMMYFUNCTION("""COMPUTED_VALUE"""),"Redfall")</f>
        <v>Redfall</v>
      </c>
      <c r="B859" s="13" t="str">
        <f>IFERROR(__xludf.DUMMYFUNCTION("""COMPUTED_VALUE"""),"Xbox / PC")</f>
        <v>Xbox / PC</v>
      </c>
      <c r="C859" s="14" t="str">
        <f>IFERROR(__xludf.DUMMYFUNCTION("""COMPUTED_VALUE"""),"Yes")</f>
        <v>Yes</v>
      </c>
      <c r="D859" s="14" t="str">
        <f>IFERROR(__xludf.DUMMYFUNCTION("""COMPUTED_VALUE"""),"Active")</f>
        <v>Active</v>
      </c>
      <c r="E859" s="15">
        <f>IFERROR(__xludf.DUMMYFUNCTION("""COMPUTED_VALUE"""),45048.0)</f>
        <v>45048</v>
      </c>
      <c r="F859" s="16"/>
      <c r="G859" s="18">
        <f>IFERROR(__xludf.DUMMYFUNCTION("""COMPUTED_VALUE"""),41.13333333333333)</f>
        <v>41.13333333</v>
      </c>
      <c r="H859" s="15">
        <f>IFERROR(__xludf.DUMMYFUNCTION("""COMPUTED_VALUE"""),45048.0)</f>
        <v>45048</v>
      </c>
      <c r="I859" s="18">
        <f>IFERROR(__xludf.DUMMYFUNCTION("""COMPUTED_VALUE"""),0.0)</f>
        <v>0</v>
      </c>
      <c r="J859" s="22">
        <f>IFERROR(__xludf.DUMMYFUNCTION("""COMPUTED_VALUE"""),55.0)</f>
        <v>55</v>
      </c>
      <c r="K859" s="22">
        <f>IFERROR(__xludf.DUMMYFUNCTION("""COMPUTED_VALUE"""),11.0)</f>
        <v>11</v>
      </c>
      <c r="L859" s="26" t="str">
        <f>IFERROR(__xludf.DUMMYFUNCTION("""COMPUTED_VALUE"""),"Shooter")</f>
        <v>Shooter</v>
      </c>
      <c r="M859" s="13" t="b">
        <f>NOT(ISNA(VLOOKUP(A859,PC!A:A,1,FALSE)))</f>
        <v>1</v>
      </c>
      <c r="N859" s="13" t="b">
        <f>NOT(ISNA(VLOOKUP(A859,'Game Pass Premium'!A:A,1,FALSE)))</f>
        <v>1</v>
      </c>
      <c r="O859" s="13" t="b">
        <f>NOT(ISNA(VLOOKUP(A859,'Game Pass Essential'!A:A,1,FALSE)))</f>
        <v>0</v>
      </c>
    </row>
    <row r="860">
      <c r="A860" s="12" t="str">
        <f>IFERROR(__xludf.DUMMYFUNCTION("""COMPUTED_VALUE"""),"Army of Two: The Devil's Cartel")</f>
        <v>Army of Two: The Devil's Cartel</v>
      </c>
      <c r="B860" s="13" t="str">
        <f>IFERROR(__xludf.DUMMYFUNCTION("""COMPUTED_VALUE"""),"XB360/OG Xbox")</f>
        <v>XB360/OG Xbox</v>
      </c>
      <c r="C860" s="14"/>
      <c r="D860" s="14" t="str">
        <f>IFERROR(__xludf.DUMMYFUNCTION("""COMPUTED_VALUE"""),"GwG Permanent")</f>
        <v>GwG Permanent</v>
      </c>
      <c r="E860" s="15">
        <f>IFERROR(__xludf.DUMMYFUNCTION("""COMPUTED_VALUE"""),42110.0)</f>
        <v>42110</v>
      </c>
      <c r="F860" s="16">
        <f>IFERROR(__xludf.DUMMYFUNCTION("""COMPUTED_VALUE"""),42124.0)</f>
        <v>42124</v>
      </c>
      <c r="G860" s="18">
        <f>IFERROR(__xludf.DUMMYFUNCTION("""COMPUTED_VALUE"""),0.4666666666666667)</f>
        <v>0.4666666667</v>
      </c>
      <c r="H860" s="15">
        <f>IFERROR(__xludf.DUMMYFUNCTION("""COMPUTED_VALUE"""),41359.0)</f>
        <v>41359</v>
      </c>
      <c r="I860" s="18">
        <f>IFERROR(__xludf.DUMMYFUNCTION("""COMPUTED_VALUE"""),2.0555555555555554)</f>
        <v>2.055555556</v>
      </c>
      <c r="J860" s="22">
        <f>IFERROR(__xludf.DUMMYFUNCTION("""COMPUTED_VALUE"""),55.0)</f>
        <v>55</v>
      </c>
      <c r="K860" s="22">
        <f>IFERROR(__xludf.DUMMYFUNCTION("""COMPUTED_VALUE"""),7.0)</f>
        <v>7</v>
      </c>
      <c r="L860" s="26" t="str">
        <f>IFERROR(__xludf.DUMMYFUNCTION("""COMPUTED_VALUE"""),"Shooter")</f>
        <v>Shooter</v>
      </c>
      <c r="M860" s="13" t="b">
        <f>NOT(ISNA(VLOOKUP(A860,PC!A:A,1,FALSE)))</f>
        <v>0</v>
      </c>
      <c r="N860" s="13" t="b">
        <f>NOT(ISNA(VLOOKUP(A860,'Game Pass Premium'!A:A,1,FALSE)))</f>
        <v>0</v>
      </c>
      <c r="O860" s="13" t="b">
        <f>NOT(ISNA(VLOOKUP(A860,'Game Pass Essential'!A:A,1,FALSE)))</f>
        <v>0</v>
      </c>
    </row>
    <row r="861">
      <c r="A861" s="12" t="str">
        <f>IFERROR(__xludf.DUMMYFUNCTION("""COMPUTED_VALUE"""),"The Settlers: New Allies")</f>
        <v>The Settlers: New Allies</v>
      </c>
      <c r="B861" s="13" t="str">
        <f>IFERROR(__xludf.DUMMYFUNCTION("""COMPUTED_VALUE"""),"Xbox / PC")</f>
        <v>Xbox / PC</v>
      </c>
      <c r="C861" s="14" t="str">
        <f>IFERROR(__xludf.DUMMYFUNCTION("""COMPUTED_VALUE"""),"Yes")</f>
        <v>Yes</v>
      </c>
      <c r="D861" s="14" t="str">
        <f>IFERROR(__xludf.DUMMYFUNCTION("""COMPUTED_VALUE"""),"Active")</f>
        <v>Active</v>
      </c>
      <c r="E861" s="15">
        <f>IFERROR(__xludf.DUMMYFUNCTION("""COMPUTED_VALUE"""),45931.0)</f>
        <v>45931</v>
      </c>
      <c r="F861" s="16"/>
      <c r="G861" s="18">
        <f>IFERROR(__xludf.DUMMYFUNCTION("""COMPUTED_VALUE"""),12.166666666666666)</f>
        <v>12.16666667</v>
      </c>
      <c r="H861" s="15">
        <f>IFERROR(__xludf.DUMMYFUNCTION("""COMPUTED_VALUE"""),44974.0)</f>
        <v>44974</v>
      </c>
      <c r="I861" s="18">
        <f>IFERROR(__xludf.DUMMYFUNCTION("""COMPUTED_VALUE"""),2.6222222222222222)</f>
        <v>2.622222222</v>
      </c>
      <c r="J861" s="22">
        <f>IFERROR(__xludf.DUMMYFUNCTION("""COMPUTED_VALUE"""),54.0)</f>
        <v>54</v>
      </c>
      <c r="K861" s="22">
        <f>IFERROR(__xludf.DUMMYFUNCTION("""COMPUTED_VALUE"""),35.0)</f>
        <v>35</v>
      </c>
      <c r="L861" s="26" t="str">
        <f>IFERROR(__xludf.DUMMYFUNCTION("""COMPUTED_VALUE"""),"Management")</f>
        <v>Management</v>
      </c>
      <c r="M861" s="13" t="b">
        <f>NOT(ISNA(VLOOKUP(A861,PC!A:A,1,FALSE)))</f>
        <v>1</v>
      </c>
      <c r="N861" s="13" t="b">
        <f>NOT(ISNA(VLOOKUP(A861,'Game Pass Premium'!A:A,1,FALSE)))</f>
        <v>0</v>
      </c>
      <c r="O861" s="13" t="b">
        <f>NOT(ISNA(VLOOKUP(A861,'Game Pass Essential'!A:A,1,FALSE)))</f>
        <v>0</v>
      </c>
    </row>
    <row r="862">
      <c r="A862" s="12" t="str">
        <f>IFERROR(__xludf.DUMMYFUNCTION("""COMPUTED_VALUE"""),"Spongebob's Truth or Square")</f>
        <v>Spongebob's Truth or Square</v>
      </c>
      <c r="B862" s="13" t="str">
        <f>IFERROR(__xludf.DUMMYFUNCTION("""COMPUTED_VALUE"""),"XB360/OG Xbox")</f>
        <v>XB360/OG Xbox</v>
      </c>
      <c r="C862" s="14"/>
      <c r="D862" s="14" t="str">
        <f>IFERROR(__xludf.DUMMYFUNCTION("""COMPUTED_VALUE"""),"GwG Permanent")</f>
        <v>GwG Permanent</v>
      </c>
      <c r="E862" s="15">
        <f>IFERROR(__xludf.DUMMYFUNCTION("""COMPUTED_VALUE"""),44636.0)</f>
        <v>44636</v>
      </c>
      <c r="F862" s="16">
        <f>IFERROR(__xludf.DUMMYFUNCTION("""COMPUTED_VALUE"""),44651.0)</f>
        <v>44651</v>
      </c>
      <c r="G862" s="18">
        <f>IFERROR(__xludf.DUMMYFUNCTION("""COMPUTED_VALUE"""),0.4666666666666667)</f>
        <v>0.4666666667</v>
      </c>
      <c r="H862" s="15">
        <f>IFERROR(__xludf.DUMMYFUNCTION("""COMPUTED_VALUE"""),38636.0)</f>
        <v>38636</v>
      </c>
      <c r="I862" s="18">
        <f>IFERROR(__xludf.DUMMYFUNCTION("""COMPUTED_VALUE"""),16.430555555555557)</f>
        <v>16.43055556</v>
      </c>
      <c r="J862" s="22">
        <f>IFERROR(__xludf.DUMMYFUNCTION("""COMPUTED_VALUE"""),54.0)</f>
        <v>54</v>
      </c>
      <c r="K862" s="22">
        <f>IFERROR(__xludf.DUMMYFUNCTION("""COMPUTED_VALUE"""),5.0)</f>
        <v>5</v>
      </c>
      <c r="L862" s="26" t="str">
        <f>IFERROR(__xludf.DUMMYFUNCTION("""COMPUTED_VALUE"""),"Platformer")</f>
        <v>Platformer</v>
      </c>
      <c r="M862" s="13" t="b">
        <f>NOT(ISNA(VLOOKUP(A862,PC!A:A,1,FALSE)))</f>
        <v>0</v>
      </c>
      <c r="N862" s="13" t="b">
        <f>NOT(ISNA(VLOOKUP(A862,'Game Pass Premium'!A:A,1,FALSE)))</f>
        <v>0</v>
      </c>
      <c r="O862" s="13" t="b">
        <f>NOT(ISNA(VLOOKUP(A862,'Game Pass Essential'!A:A,1,FALSE)))</f>
        <v>0</v>
      </c>
    </row>
    <row r="863">
      <c r="A863" s="12" t="str">
        <f>IFERROR(__xludf.DUMMYFUNCTION("""COMPUTED_VALUE"""),"Rabbids Invasion: The Interactive TV Show")</f>
        <v>Rabbids Invasion: The Interactive TV Show</v>
      </c>
      <c r="B863" s="13" t="str">
        <f>IFERROR(__xludf.DUMMYFUNCTION("""COMPUTED_VALUE"""),"Xbox")</f>
        <v>Xbox</v>
      </c>
      <c r="C863" s="14" t="str">
        <f>IFERROR(__xludf.DUMMYFUNCTION("""COMPUTED_VALUE"""),"Yes")</f>
        <v>Yes</v>
      </c>
      <c r="D863" s="14" t="str">
        <f>IFERROR(__xludf.DUMMYFUNCTION("""COMPUTED_VALUE"""),"Active")</f>
        <v>Active</v>
      </c>
      <c r="E863" s="15">
        <f>IFERROR(__xludf.DUMMYFUNCTION("""COMPUTED_VALUE"""),45931.0)</f>
        <v>45931</v>
      </c>
      <c r="F863" s="16"/>
      <c r="G863" s="18">
        <f>IFERROR(__xludf.DUMMYFUNCTION("""COMPUTED_VALUE"""),12.166666666666666)</f>
        <v>12.16666667</v>
      </c>
      <c r="H863" s="15">
        <f>IFERROR(__xludf.DUMMYFUNCTION("""COMPUTED_VALUE"""),41951.0)</f>
        <v>41951</v>
      </c>
      <c r="I863" s="18">
        <f>IFERROR(__xludf.DUMMYFUNCTION("""COMPUTED_VALUE"""),10.897222222222222)</f>
        <v>10.89722222</v>
      </c>
      <c r="J863" s="22">
        <f>IFERROR(__xludf.DUMMYFUNCTION("""COMPUTED_VALUE"""),53.0)</f>
        <v>53</v>
      </c>
      <c r="K863" s="22">
        <f>IFERROR(__xludf.DUMMYFUNCTION("""COMPUTED_VALUE"""),10.0)</f>
        <v>10</v>
      </c>
      <c r="L863" s="26" t="str">
        <f>IFERROR(__xludf.DUMMYFUNCTION("""COMPUTED_VALUE"""),"Party")</f>
        <v>Party</v>
      </c>
      <c r="M863" s="13" t="b">
        <f>NOT(ISNA(VLOOKUP(A863,PC!A:A,1,FALSE)))</f>
        <v>0</v>
      </c>
      <c r="N863" s="13" t="b">
        <f>NOT(ISNA(VLOOKUP(A863,'Game Pass Premium'!A:A,1,FALSE)))</f>
        <v>0</v>
      </c>
      <c r="O863" s="13" t="b">
        <f>NOT(ISNA(VLOOKUP(A863,'Game Pass Essential'!A:A,1,FALSE)))</f>
        <v>0</v>
      </c>
    </row>
    <row r="864">
      <c r="A864" s="12" t="str">
        <f>IFERROR(__xludf.DUMMYFUNCTION("""COMPUTED_VALUE"""),"Halo: Spartan Assault")</f>
        <v>Halo: Spartan Assault</v>
      </c>
      <c r="B864" s="13" t="str">
        <f>IFERROR(__xludf.DUMMYFUNCTION("""COMPUTED_VALUE"""),"Xbox / PC")</f>
        <v>Xbox / PC</v>
      </c>
      <c r="C864" s="14" t="str">
        <f>IFERROR(__xludf.DUMMYFUNCTION("""COMPUTED_VALUE"""),"Touch Controls")</f>
        <v>Touch Controls</v>
      </c>
      <c r="D864" s="14" t="str">
        <f>IFERROR(__xludf.DUMMYFUNCTION("""COMPUTED_VALUE"""),"Active")</f>
        <v>Active</v>
      </c>
      <c r="E864" s="15">
        <f>IFERROR(__xludf.DUMMYFUNCTION("""COMPUTED_VALUE"""),42887.0)</f>
        <v>42887</v>
      </c>
      <c r="F864" s="16"/>
      <c r="G864" s="18">
        <f>IFERROR(__xludf.DUMMYFUNCTION("""COMPUTED_VALUE"""),112.16666666666666)</f>
        <v>112.1666667</v>
      </c>
      <c r="H864" s="15">
        <f>IFERROR(__xludf.DUMMYFUNCTION("""COMPUTED_VALUE"""),41473.0)</f>
        <v>41473</v>
      </c>
      <c r="I864" s="18">
        <f>IFERROR(__xludf.DUMMYFUNCTION("""COMPUTED_VALUE"""),3.8694444444444445)</f>
        <v>3.869444444</v>
      </c>
      <c r="J864" s="22">
        <f>IFERROR(__xludf.DUMMYFUNCTION("""COMPUTED_VALUE"""),53.0)</f>
        <v>53</v>
      </c>
      <c r="K864" s="22">
        <f>IFERROR(__xludf.DUMMYFUNCTION("""COMPUTED_VALUE"""),4.0)</f>
        <v>4</v>
      </c>
      <c r="L864" s="26" t="str">
        <f>IFERROR(__xludf.DUMMYFUNCTION("""COMPUTED_VALUE"""),"Shooter")</f>
        <v>Shooter</v>
      </c>
      <c r="M864" s="13" t="b">
        <f>NOT(ISNA(VLOOKUP(A864,PC!A:A,1,FALSE)))</f>
        <v>1</v>
      </c>
      <c r="N864" s="13" t="b">
        <f>NOT(ISNA(VLOOKUP(A864,'Game Pass Premium'!A:A,1,FALSE)))</f>
        <v>1</v>
      </c>
      <c r="O864" s="13" t="b">
        <f>NOT(ISNA(VLOOKUP(A864,'Game Pass Essential'!A:A,1,FALSE)))</f>
        <v>0</v>
      </c>
    </row>
    <row r="865">
      <c r="A865" s="12" t="str">
        <f>IFERROR(__xludf.DUMMYFUNCTION("""COMPUTED_VALUE"""),"Deadfall Adventures")</f>
        <v>Deadfall Adventures</v>
      </c>
      <c r="B865" s="13" t="str">
        <f>IFERROR(__xludf.DUMMYFUNCTION("""COMPUTED_VALUE"""),"XB360/OG Xbox")</f>
        <v>XB360/OG Xbox</v>
      </c>
      <c r="C865" s="14"/>
      <c r="D865" s="14" t="str">
        <f>IFERROR(__xludf.DUMMYFUNCTION("""COMPUTED_VALUE"""),"GwG Permanent")</f>
        <v>GwG Permanent</v>
      </c>
      <c r="E865" s="15">
        <f>IFERROR(__xludf.DUMMYFUNCTION("""COMPUTED_VALUE"""),43055.0)</f>
        <v>43055</v>
      </c>
      <c r="F865" s="16">
        <f>IFERROR(__xludf.DUMMYFUNCTION("""COMPUTED_VALUE"""),43069.0)</f>
        <v>43069</v>
      </c>
      <c r="G865" s="18">
        <f>IFERROR(__xludf.DUMMYFUNCTION("""COMPUTED_VALUE"""),0.4666666666666667)</f>
        <v>0.4666666667</v>
      </c>
      <c r="H865" s="15">
        <f>IFERROR(__xludf.DUMMYFUNCTION("""COMPUTED_VALUE"""),41593.0)</f>
        <v>41593</v>
      </c>
      <c r="I865" s="18">
        <f>IFERROR(__xludf.DUMMYFUNCTION("""COMPUTED_VALUE"""),4.002777777777778)</f>
        <v>4.002777778</v>
      </c>
      <c r="J865" s="22">
        <f>IFERROR(__xludf.DUMMYFUNCTION("""COMPUTED_VALUE"""),53.0)</f>
        <v>53</v>
      </c>
      <c r="K865" s="22">
        <f>IFERROR(__xludf.DUMMYFUNCTION("""COMPUTED_VALUE"""),8.0)</f>
        <v>8</v>
      </c>
      <c r="L865" s="26" t="str">
        <f>IFERROR(__xludf.DUMMYFUNCTION("""COMPUTED_VALUE"""),"Shooter")</f>
        <v>Shooter</v>
      </c>
      <c r="M865" s="13" t="b">
        <f>NOT(ISNA(VLOOKUP(A865,PC!A:A,1,FALSE)))</f>
        <v>0</v>
      </c>
      <c r="N865" s="13" t="b">
        <f>NOT(ISNA(VLOOKUP(A865,'Game Pass Premium'!A:A,1,FALSE)))</f>
        <v>0</v>
      </c>
      <c r="O865" s="13" t="b">
        <f>NOT(ISNA(VLOOKUP(A865,'Game Pass Essential'!A:A,1,FALSE)))</f>
        <v>0</v>
      </c>
    </row>
    <row r="866">
      <c r="A866" s="12" t="str">
        <f>IFERROR(__xludf.DUMMYFUNCTION("""COMPUTED_VALUE"""),"Generation Zero")</f>
        <v>Generation Zero</v>
      </c>
      <c r="B866" s="13" t="str">
        <f>IFERROR(__xludf.DUMMYFUNCTION("""COMPUTED_VALUE"""),"Xbox / PC")</f>
        <v>Xbox / PC</v>
      </c>
      <c r="C866" s="14" t="str">
        <f>IFERROR(__xludf.DUMMYFUNCTION("""COMPUTED_VALUE"""),"Yes")</f>
        <v>Yes</v>
      </c>
      <c r="D866" s="14" t="str">
        <f>IFERROR(__xludf.DUMMYFUNCTION("""COMPUTED_VALUE"""),"Active")</f>
        <v>Active</v>
      </c>
      <c r="E866" s="15">
        <f>IFERROR(__xludf.DUMMYFUNCTION("""COMPUTED_VALUE"""),44531.0)</f>
        <v>44531</v>
      </c>
      <c r="F866" s="16"/>
      <c r="G866" s="18">
        <f>IFERROR(__xludf.DUMMYFUNCTION("""COMPUTED_VALUE"""),58.16666666666667)</f>
        <v>58.16666667</v>
      </c>
      <c r="H866" s="15">
        <f>IFERROR(__xludf.DUMMYFUNCTION("""COMPUTED_VALUE"""),43550.0)</f>
        <v>43550</v>
      </c>
      <c r="I866" s="18">
        <f>IFERROR(__xludf.DUMMYFUNCTION("""COMPUTED_VALUE"""),2.6805555555555554)</f>
        <v>2.680555556</v>
      </c>
      <c r="J866" s="22">
        <f>IFERROR(__xludf.DUMMYFUNCTION("""COMPUTED_VALUE"""),50.5)</f>
        <v>50.5</v>
      </c>
      <c r="K866" s="22">
        <f>IFERROR(__xludf.DUMMYFUNCTION("""COMPUTED_VALUE"""),21.5)</f>
        <v>21.5</v>
      </c>
      <c r="L866" s="26" t="str">
        <f>IFERROR(__xludf.DUMMYFUNCTION("""COMPUTED_VALUE"""),"Shooter")</f>
        <v>Shooter</v>
      </c>
      <c r="M866" s="13" t="b">
        <f>NOT(ISNA(VLOOKUP(A866,PC!A:A,1,FALSE)))</f>
        <v>1</v>
      </c>
      <c r="N866" s="13" t="b">
        <f>NOT(ISNA(VLOOKUP(A866,'Game Pass Premium'!A:A,1,FALSE)))</f>
        <v>1</v>
      </c>
      <c r="O866" s="13" t="b">
        <f>NOT(ISNA(VLOOKUP(A866,'Game Pass Essential'!A:A,1,FALSE)))</f>
        <v>0</v>
      </c>
    </row>
    <row r="867">
      <c r="A867" s="12" t="str">
        <f>IFERROR(__xludf.DUMMYFUNCTION("""COMPUTED_VALUE"""),"Title Match Pro Wrestling")</f>
        <v>Title Match Pro Wrestling</v>
      </c>
      <c r="B867" s="13" t="str">
        <f>IFERROR(__xludf.DUMMYFUNCTION("""COMPUTED_VALUE"""),"Xbox / PC")</f>
        <v>Xbox / PC</v>
      </c>
      <c r="C867" s="14" t="str">
        <f>IFERROR(__xludf.DUMMYFUNCTION("""COMPUTED_VALUE"""),"Yes")</f>
        <v>Yes</v>
      </c>
      <c r="D867" s="14" t="str">
        <f>IFERROR(__xludf.DUMMYFUNCTION("""COMPUTED_VALUE"""),"Active")</f>
        <v>Active</v>
      </c>
      <c r="E867" s="15">
        <f>IFERROR(__xludf.DUMMYFUNCTION("""COMPUTED_VALUE"""),45798.0)</f>
        <v>45798</v>
      </c>
      <c r="F867" s="16"/>
      <c r="G867" s="18">
        <f>IFERROR(__xludf.DUMMYFUNCTION("""COMPUTED_VALUE"""),16.5)</f>
        <v>16.5</v>
      </c>
      <c r="H867" s="15">
        <f>IFERROR(__xludf.DUMMYFUNCTION("""COMPUTED_VALUE"""),31972.0)</f>
        <v>31972</v>
      </c>
      <c r="I867" s="18">
        <f>IFERROR(__xludf.DUMMYFUNCTION("""COMPUTED_VALUE"""),37.852777777777774)</f>
        <v>37.85277778</v>
      </c>
      <c r="J867" s="22">
        <f>IFERROR(__xludf.DUMMYFUNCTION("""COMPUTED_VALUE"""),50.0)</f>
        <v>50</v>
      </c>
      <c r="K867" s="22"/>
      <c r="L867" s="26" t="str">
        <f>IFERROR(__xludf.DUMMYFUNCTION("""COMPUTED_VALUE"""),"Sports")</f>
        <v>Sports</v>
      </c>
      <c r="M867" s="13" t="b">
        <f>NOT(ISNA(VLOOKUP(A867,PC!A:A,1,FALSE)))</f>
        <v>1</v>
      </c>
      <c r="N867" s="13" t="b">
        <f>NOT(ISNA(VLOOKUP(A867,'Game Pass Premium'!A:A,1,FALSE)))</f>
        <v>1</v>
      </c>
      <c r="O867" s="13" t="b">
        <f>NOT(ISNA(VLOOKUP(A867,'Game Pass Essential'!A:A,1,FALSE)))</f>
        <v>0</v>
      </c>
    </row>
    <row r="868">
      <c r="A868" s="12" t="str">
        <f>IFERROR(__xludf.DUMMYFUNCTION("""COMPUTED_VALUE"""),"Sacred 3")</f>
        <v>Sacred 3</v>
      </c>
      <c r="B868" s="13" t="str">
        <f>IFERROR(__xludf.DUMMYFUNCTION("""COMPUTED_VALUE"""),"XB360/OG Xbox")</f>
        <v>XB360/OG Xbox</v>
      </c>
      <c r="C868" s="14"/>
      <c r="D868" s="14" t="str">
        <f>IFERROR(__xludf.DUMMYFUNCTION("""COMPUTED_VALUE"""),"GwG Permanent")</f>
        <v>GwG Permanent</v>
      </c>
      <c r="E868" s="15">
        <f>IFERROR(__xludf.DUMMYFUNCTION("""COMPUTED_VALUE"""),42354.0)</f>
        <v>42354</v>
      </c>
      <c r="F868" s="16">
        <f>IFERROR(__xludf.DUMMYFUNCTION("""COMPUTED_VALUE"""),42369.0)</f>
        <v>42369</v>
      </c>
      <c r="G868" s="18">
        <f>IFERROR(__xludf.DUMMYFUNCTION("""COMPUTED_VALUE"""),0.4666666666666667)</f>
        <v>0.4666666667</v>
      </c>
      <c r="H868" s="15">
        <f>IFERROR(__xludf.DUMMYFUNCTION("""COMPUTED_VALUE"""),41871.0)</f>
        <v>41871</v>
      </c>
      <c r="I868" s="18">
        <f>IFERROR(__xludf.DUMMYFUNCTION("""COMPUTED_VALUE"""),1.3222222222222222)</f>
        <v>1.322222222</v>
      </c>
      <c r="J868" s="22">
        <f>IFERROR(__xludf.DUMMYFUNCTION("""COMPUTED_VALUE"""),46.0)</f>
        <v>46</v>
      </c>
      <c r="K868" s="22">
        <f>IFERROR(__xludf.DUMMYFUNCTION("""COMPUTED_VALUE"""),7.0)</f>
        <v>7</v>
      </c>
      <c r="L868" s="26" t="str">
        <f>IFERROR(__xludf.DUMMYFUNCTION("""COMPUTED_VALUE"""),"Action")</f>
        <v>Action</v>
      </c>
      <c r="M868" s="13" t="b">
        <f>NOT(ISNA(VLOOKUP(A868,PC!A:A,1,FALSE)))</f>
        <v>0</v>
      </c>
      <c r="N868" s="13" t="b">
        <f>NOT(ISNA(VLOOKUP(A868,'Game Pass Premium'!A:A,1,FALSE)))</f>
        <v>0</v>
      </c>
      <c r="O868" s="13" t="b">
        <f>NOT(ISNA(VLOOKUP(A868,'Game Pass Essential'!A:A,1,FALSE)))</f>
        <v>0</v>
      </c>
    </row>
    <row r="869">
      <c r="A869" s="12" t="str">
        <f>IFERROR(__xludf.DUMMYFUNCTION("""COMPUTED_VALUE"""),"Private Eye")</f>
        <v>Private Eye</v>
      </c>
      <c r="B869" s="13" t="str">
        <f>IFERROR(__xludf.DUMMYFUNCTION("""COMPUTED_VALUE"""),"Xbox / PC")</f>
        <v>Xbox / PC</v>
      </c>
      <c r="C869" s="14" t="str">
        <f>IFERROR(__xludf.DUMMYFUNCTION("""COMPUTED_VALUE"""),"Yes")</f>
        <v>Yes</v>
      </c>
      <c r="D869" s="14" t="str">
        <f>IFERROR(__xludf.DUMMYFUNCTION("""COMPUTED_VALUE"""),"Active")</f>
        <v>Active</v>
      </c>
      <c r="E869" s="15">
        <f>IFERROR(__xludf.DUMMYFUNCTION("""COMPUTED_VALUE"""),45883.0)</f>
        <v>45883</v>
      </c>
      <c r="F869" s="16"/>
      <c r="G869" s="18">
        <f>IFERROR(__xludf.DUMMYFUNCTION("""COMPUTED_VALUE"""),13.733333333333333)</f>
        <v>13.73333333</v>
      </c>
      <c r="H869" s="15">
        <f>IFERROR(__xludf.DUMMYFUNCTION("""COMPUTED_VALUE"""),30713.0)</f>
        <v>30713</v>
      </c>
      <c r="I869" s="18">
        <f>IFERROR(__xludf.DUMMYFUNCTION("""COMPUTED_VALUE"""),41.53611111111111)</f>
        <v>41.53611111</v>
      </c>
      <c r="J869" s="22">
        <f>IFERROR(__xludf.DUMMYFUNCTION("""COMPUTED_VALUE"""),45.0)</f>
        <v>45</v>
      </c>
      <c r="K869" s="22">
        <f>IFERROR(__xludf.DUMMYFUNCTION("""COMPUTED_VALUE"""),12.0)</f>
        <v>12</v>
      </c>
      <c r="L869" s="26" t="str">
        <f>IFERROR(__xludf.DUMMYFUNCTION("""COMPUTED_VALUE"""),"Action")</f>
        <v>Action</v>
      </c>
      <c r="M869" s="13" t="b">
        <f>NOT(ISNA(VLOOKUP(A869,PC!A:A,1,FALSE)))</f>
        <v>1</v>
      </c>
      <c r="N869" s="13" t="b">
        <f>NOT(ISNA(VLOOKUP(A869,'Game Pass Premium'!A:A,1,FALSE)))</f>
        <v>1</v>
      </c>
      <c r="O869" s="13" t="b">
        <f>NOT(ISNA(VLOOKUP(A869,'Game Pass Essential'!A:A,1,FALSE)))</f>
        <v>0</v>
      </c>
    </row>
    <row r="870">
      <c r="A870" s="12" t="str">
        <f>IFERROR(__xludf.DUMMYFUNCTION("""COMPUTED_VALUE"""),"Dragster")</f>
        <v>Dragster</v>
      </c>
      <c r="B870" s="13" t="str">
        <f>IFERROR(__xludf.DUMMYFUNCTION("""COMPUTED_VALUE"""),"Xbox / PC")</f>
        <v>Xbox / PC</v>
      </c>
      <c r="C870" s="14" t="str">
        <f>IFERROR(__xludf.DUMMYFUNCTION("""COMPUTED_VALUE"""),"Yes")</f>
        <v>Yes</v>
      </c>
      <c r="D870" s="14" t="str">
        <f>IFERROR(__xludf.DUMMYFUNCTION("""COMPUTED_VALUE"""),"Active")</f>
        <v>Active</v>
      </c>
      <c r="E870" s="15">
        <f>IFERROR(__xludf.DUMMYFUNCTION("""COMPUTED_VALUE"""),45798.0)</f>
        <v>45798</v>
      </c>
      <c r="F870" s="16"/>
      <c r="G870" s="18">
        <f>IFERROR(__xludf.DUMMYFUNCTION("""COMPUTED_VALUE"""),16.5)</f>
        <v>16.5</v>
      </c>
      <c r="H870" s="15">
        <f>IFERROR(__xludf.DUMMYFUNCTION("""COMPUTED_VALUE"""),29403.0)</f>
        <v>29403</v>
      </c>
      <c r="I870" s="18">
        <f>IFERROR(__xludf.DUMMYFUNCTION("""COMPUTED_VALUE"""),44.888888888888886)</f>
        <v>44.88888889</v>
      </c>
      <c r="J870" s="22">
        <f>IFERROR(__xludf.DUMMYFUNCTION("""COMPUTED_VALUE"""),45.0)</f>
        <v>45</v>
      </c>
      <c r="K870" s="22"/>
      <c r="L870" s="26" t="str">
        <f>IFERROR(__xludf.DUMMYFUNCTION("""COMPUTED_VALUE"""),"Racing")</f>
        <v>Racing</v>
      </c>
      <c r="M870" s="13" t="b">
        <f>NOT(ISNA(VLOOKUP(A870,PC!A:A,1,FALSE)))</f>
        <v>1</v>
      </c>
      <c r="N870" s="13" t="b">
        <f>NOT(ISNA(VLOOKUP(A870,'Game Pass Premium'!A:A,1,FALSE)))</f>
        <v>1</v>
      </c>
      <c r="O870" s="13" t="b">
        <f>NOT(ISNA(VLOOKUP(A870,'Game Pass Essential'!A:A,1,FALSE)))</f>
        <v>0</v>
      </c>
    </row>
    <row r="871">
      <c r="A871" s="12" t="str">
        <f>IFERROR(__xludf.DUMMYFUNCTION("""COMPUTED_VALUE"""),"Dead Static Drive")</f>
        <v>Dead Static Drive</v>
      </c>
      <c r="B871" s="13" t="str">
        <f>IFERROR(__xludf.DUMMYFUNCTION("""COMPUTED_VALUE"""),"Xbox / PC")</f>
        <v>Xbox / PC</v>
      </c>
      <c r="C871" s="14" t="str">
        <f>IFERROR(__xludf.DUMMYFUNCTION("""COMPUTED_VALUE"""),"Yes")</f>
        <v>Yes</v>
      </c>
      <c r="D871" s="14" t="str">
        <f>IFERROR(__xludf.DUMMYFUNCTION("""COMPUTED_VALUE"""),"Active")</f>
        <v>Active</v>
      </c>
      <c r="E871" s="15">
        <f>IFERROR(__xludf.DUMMYFUNCTION("""COMPUTED_VALUE"""),45966.0)</f>
        <v>45966</v>
      </c>
      <c r="F871" s="16"/>
      <c r="G871" s="18">
        <f>IFERROR(__xludf.DUMMYFUNCTION("""COMPUTED_VALUE"""),11.033333333333333)</f>
        <v>11.03333333</v>
      </c>
      <c r="H871" s="15">
        <f>IFERROR(__xludf.DUMMYFUNCTION("""COMPUTED_VALUE"""),45966.0)</f>
        <v>45966</v>
      </c>
      <c r="I871" s="18">
        <f>IFERROR(__xludf.DUMMYFUNCTION("""COMPUTED_VALUE"""),0.0)</f>
        <v>0</v>
      </c>
      <c r="J871" s="22">
        <f>IFERROR(__xludf.DUMMYFUNCTION("""COMPUTED_VALUE"""),35.0)</f>
        <v>35</v>
      </c>
      <c r="K871" s="22">
        <f>IFERROR(__xludf.DUMMYFUNCTION("""COMPUTED_VALUE"""),4.0)</f>
        <v>4</v>
      </c>
      <c r="L871" s="26" t="str">
        <f>IFERROR(__xludf.DUMMYFUNCTION("""COMPUTED_VALUE"""),"Survival")</f>
        <v>Survival</v>
      </c>
      <c r="M871" s="13" t="b">
        <f>NOT(ISNA(VLOOKUP(A871,PC!A:A,1,FALSE)))</f>
        <v>1</v>
      </c>
      <c r="N871" s="13" t="b">
        <f>NOT(ISNA(VLOOKUP(A871,'Game Pass Premium'!A:A,1,FALSE)))</f>
        <v>0</v>
      </c>
      <c r="O871" s="13" t="b">
        <f>NOT(ISNA(VLOOKUP(A871,'Game Pass Essential'!A:A,1,FALSE)))</f>
        <v>0</v>
      </c>
    </row>
    <row r="872">
      <c r="A872" s="12" t="str">
        <f>IFERROR(__xludf.DUMMYFUNCTION("""COMPUTED_VALUE"""),"Dead Space: Ignition")</f>
        <v>Dead Space: Ignition</v>
      </c>
      <c r="B872" s="13" t="str">
        <f>IFERROR(__xludf.DUMMYFUNCTION("""COMPUTED_VALUE"""),"Xbox")</f>
        <v>Xbox</v>
      </c>
      <c r="C872" s="14"/>
      <c r="D872" s="14" t="str">
        <f>IFERROR(__xludf.DUMMYFUNCTION("""COMPUTED_VALUE"""),"Active")</f>
        <v>Active</v>
      </c>
      <c r="E872" s="15">
        <f>IFERROR(__xludf.DUMMYFUNCTION("""COMPUTED_VALUE"""),44145.0)</f>
        <v>44145</v>
      </c>
      <c r="F872" s="16"/>
      <c r="G872" s="18">
        <f>IFERROR(__xludf.DUMMYFUNCTION("""COMPUTED_VALUE"""),70.86666666666667)</f>
        <v>70.86666667</v>
      </c>
      <c r="H872" s="15">
        <f>IFERROR(__xludf.DUMMYFUNCTION("""COMPUTED_VALUE"""),40463.0)</f>
        <v>40463</v>
      </c>
      <c r="I872" s="18">
        <f>IFERROR(__xludf.DUMMYFUNCTION("""COMPUTED_VALUE"""),10.077777777777778)</f>
        <v>10.07777778</v>
      </c>
      <c r="J872" s="22">
        <f>IFERROR(__xludf.DUMMYFUNCTION("""COMPUTED_VALUE"""),35.0)</f>
        <v>35</v>
      </c>
      <c r="K872" s="22">
        <f>IFERROR(__xludf.DUMMYFUNCTION("""COMPUTED_VALUE"""),1.5)</f>
        <v>1.5</v>
      </c>
      <c r="L872" s="26" t="str">
        <f>IFERROR(__xludf.DUMMYFUNCTION("""COMPUTED_VALUE"""),"Puzzle")</f>
        <v>Puzzle</v>
      </c>
      <c r="M872" s="13" t="b">
        <f>NOT(ISNA(VLOOKUP(A872,PC!A:A,1,FALSE)))</f>
        <v>0</v>
      </c>
      <c r="N872" s="13" t="b">
        <f>NOT(ISNA(VLOOKUP(A872,'Game Pass Premium'!A:A,1,FALSE)))</f>
        <v>1</v>
      </c>
      <c r="O872" s="13" t="b">
        <f>NOT(ISNA(VLOOKUP(A872,'Game Pass Essential'!A:A,1,FALSE)))</f>
        <v>0</v>
      </c>
    </row>
    <row r="873">
      <c r="A873" s="12" t="str">
        <f>IFERROR(__xludf.DUMMYFUNCTION("""COMPUTED_VALUE"""),"Gears of War: E-Day")</f>
        <v>Gears of War: E-Day</v>
      </c>
      <c r="B873" s="13" t="str">
        <f>IFERROR(__xludf.DUMMYFUNCTION("""COMPUTED_VALUE"""),"Xbox / PC")</f>
        <v>Xbox / PC</v>
      </c>
      <c r="C873" s="14" t="str">
        <f>IFERROR(__xludf.DUMMYFUNCTION("""COMPUTED_VALUE"""),"Yes")</f>
        <v>Yes</v>
      </c>
      <c r="D873" s="14" t="str">
        <f>IFERROR(__xludf.DUMMYFUNCTION("""COMPUTED_VALUE"""),"Active")</f>
        <v>Active</v>
      </c>
      <c r="E873" s="15">
        <f>IFERROR(__xludf.DUMMYFUNCTION("""COMPUTED_VALUE"""),46301.0)</f>
        <v>46301</v>
      </c>
      <c r="F873" s="16"/>
      <c r="G873" s="18">
        <f>IFERROR(__xludf.DUMMYFUNCTION("""COMPUTED_VALUE"""),0.0)</f>
        <v>0</v>
      </c>
      <c r="H873" s="15">
        <f>IFERROR(__xludf.DUMMYFUNCTION("""COMPUTED_VALUE"""),46301.0)</f>
        <v>46301</v>
      </c>
      <c r="I873" s="18">
        <f>IFERROR(__xludf.DUMMYFUNCTION("""COMPUTED_VALUE"""),0.0)</f>
        <v>0</v>
      </c>
      <c r="J873" s="22"/>
      <c r="K873" s="22"/>
      <c r="L873" s="26" t="str">
        <f>IFERROR(__xludf.DUMMYFUNCTION("""COMPUTED_VALUE"""),"Shooter")</f>
        <v>Shooter</v>
      </c>
      <c r="M873" s="13" t="b">
        <f>NOT(ISNA(VLOOKUP(A873,PC!A:A,1,FALSE)))</f>
        <v>1</v>
      </c>
      <c r="N873" s="13" t="b">
        <f>NOT(ISNA(VLOOKUP(A873,'Game Pass Premium'!A:A,1,FALSE)))</f>
        <v>0</v>
      </c>
      <c r="O873" s="13" t="b">
        <f>NOT(ISNA(VLOOKUP(A873,'Game Pass Essential'!A:A,1,FALSE)))</f>
        <v>0</v>
      </c>
    </row>
    <row r="874">
      <c r="A874" s="12" t="str">
        <f>IFERROR(__xludf.DUMMYFUNCTION("""COMPUTED_VALUE"""),"Minecraft Dungeons II")</f>
        <v>Minecraft Dungeons II</v>
      </c>
      <c r="B874" s="13" t="str">
        <f>IFERROR(__xludf.DUMMYFUNCTION("""COMPUTED_VALUE"""),"Xbox / PC")</f>
        <v>Xbox / PC</v>
      </c>
      <c r="C874" s="14" t="str">
        <f>IFERROR(__xludf.DUMMYFUNCTION("""COMPUTED_VALUE"""),"Yes")</f>
        <v>Yes</v>
      </c>
      <c r="D874" s="14" t="str">
        <f>IFERROR(__xludf.DUMMYFUNCTION("""COMPUTED_VALUE"""),"Active")</f>
        <v>Active</v>
      </c>
      <c r="E874" s="15">
        <f>IFERROR(__xludf.DUMMYFUNCTION("""COMPUTED_VALUE"""),46294.0)</f>
        <v>46294</v>
      </c>
      <c r="F874" s="16"/>
      <c r="G874" s="18">
        <f>IFERROR(__xludf.DUMMYFUNCTION("""COMPUTED_VALUE"""),0.23333333333333334)</f>
        <v>0.2333333333</v>
      </c>
      <c r="H874" s="15">
        <f>IFERROR(__xludf.DUMMYFUNCTION("""COMPUTED_VALUE"""),46294.0)</f>
        <v>46294</v>
      </c>
      <c r="I874" s="18">
        <f>IFERROR(__xludf.DUMMYFUNCTION("""COMPUTED_VALUE"""),0.0)</f>
        <v>0</v>
      </c>
      <c r="J874" s="22"/>
      <c r="K874" s="22"/>
      <c r="L874" s="26" t="str">
        <f>IFERROR(__xludf.DUMMYFUNCTION("""COMPUTED_VALUE"""),"Action-Adventure")</f>
        <v>Action-Adventure</v>
      </c>
      <c r="M874" s="13" t="b">
        <f>NOT(ISNA(VLOOKUP(A874,PC!A:A,1,FALSE)))</f>
        <v>1</v>
      </c>
      <c r="N874" s="13" t="b">
        <f>NOT(ISNA(VLOOKUP(A874,'Game Pass Premium'!A:A,1,FALSE)))</f>
        <v>0</v>
      </c>
      <c r="O874" s="13" t="b">
        <f>NOT(ISNA(VLOOKUP(A874,'Game Pass Essential'!A:A,1,FALSE)))</f>
        <v>0</v>
      </c>
    </row>
    <row r="875">
      <c r="A875" s="12" t="str">
        <f>IFERROR(__xludf.DUMMYFUNCTION("""COMPUTED_VALUE"""),"Mad King Redemption")</f>
        <v>Mad King Redemption</v>
      </c>
      <c r="B875" s="13" t="str">
        <f>IFERROR(__xludf.DUMMYFUNCTION("""COMPUTED_VALUE"""),"Xbox / PC")</f>
        <v>Xbox / PC</v>
      </c>
      <c r="C875" s="14" t="str">
        <f>IFERROR(__xludf.DUMMYFUNCTION("""COMPUTED_VALUE"""),"Yes")</f>
        <v>Yes</v>
      </c>
      <c r="D875" s="14" t="str">
        <f>IFERROR(__xludf.DUMMYFUNCTION("""COMPUTED_VALUE"""),"Active")</f>
        <v>Active</v>
      </c>
      <c r="E875" s="15">
        <f>IFERROR(__xludf.DUMMYFUNCTION("""COMPUTED_VALUE"""),46288.0)</f>
        <v>46288</v>
      </c>
      <c r="F875" s="16"/>
      <c r="G875" s="18">
        <f>IFERROR(__xludf.DUMMYFUNCTION("""COMPUTED_VALUE"""),0.4333333333333333)</f>
        <v>0.4333333333</v>
      </c>
      <c r="H875" s="15">
        <f>IFERROR(__xludf.DUMMYFUNCTION("""COMPUTED_VALUE"""),46288.0)</f>
        <v>46288</v>
      </c>
      <c r="I875" s="18">
        <f>IFERROR(__xludf.DUMMYFUNCTION("""COMPUTED_VALUE"""),0.0)</f>
        <v>0</v>
      </c>
      <c r="J875" s="22"/>
      <c r="K875" s="22"/>
      <c r="L875" s="26" t="str">
        <f>IFERROR(__xludf.DUMMYFUNCTION("""COMPUTED_VALUE"""),"Action-Adventure")</f>
        <v>Action-Adventure</v>
      </c>
      <c r="M875" s="13" t="b">
        <f>NOT(ISNA(VLOOKUP(A875,PC!A:A,1,FALSE)))</f>
        <v>1</v>
      </c>
      <c r="N875" s="13" t="b">
        <f>NOT(ISNA(VLOOKUP(A875,'Game Pass Premium'!A:A,1,FALSE)))</f>
        <v>0</v>
      </c>
      <c r="O875" s="13" t="b">
        <f>NOT(ISNA(VLOOKUP(A875,'Game Pass Essential'!A:A,1,FALSE)))</f>
        <v>0</v>
      </c>
    </row>
    <row r="876">
      <c r="A876" s="12" t="str">
        <f>IFERROR(__xludf.DUMMYFUNCTION("""COMPUTED_VALUE"""),"Well Dweller")</f>
        <v>Well Dweller</v>
      </c>
      <c r="B876" s="13" t="str">
        <f>IFERROR(__xludf.DUMMYFUNCTION("""COMPUTED_VALUE"""),"Xbox / PC")</f>
        <v>Xbox / PC</v>
      </c>
      <c r="C876" s="14" t="str">
        <f>IFERROR(__xludf.DUMMYFUNCTION("""COMPUTED_VALUE"""),"Yes")</f>
        <v>Yes</v>
      </c>
      <c r="D876" s="14" t="str">
        <f>IFERROR(__xludf.DUMMYFUNCTION("""COMPUTED_VALUE"""),"Active")</f>
        <v>Active</v>
      </c>
      <c r="E876" s="15">
        <f>IFERROR(__xludf.DUMMYFUNCTION("""COMPUTED_VALUE"""),46287.0)</f>
        <v>46287</v>
      </c>
      <c r="F876" s="16"/>
      <c r="G876" s="18">
        <f>IFERROR(__xludf.DUMMYFUNCTION("""COMPUTED_VALUE"""),0.4666666666666667)</f>
        <v>0.4666666667</v>
      </c>
      <c r="H876" s="15">
        <f>IFERROR(__xludf.DUMMYFUNCTION("""COMPUTED_VALUE"""),46287.0)</f>
        <v>46287</v>
      </c>
      <c r="I876" s="18">
        <f>IFERROR(__xludf.DUMMYFUNCTION("""COMPUTED_VALUE"""),0.0)</f>
        <v>0</v>
      </c>
      <c r="J876" s="22"/>
      <c r="K876" s="22"/>
      <c r="L876" s="26" t="str">
        <f>IFERROR(__xludf.DUMMYFUNCTION("""COMPUTED_VALUE"""),"Action-Adventure")</f>
        <v>Action-Adventure</v>
      </c>
      <c r="M876" s="13" t="b">
        <f>NOT(ISNA(VLOOKUP(A876,PC!A:A,1,FALSE)))</f>
        <v>1</v>
      </c>
      <c r="N876" s="13" t="b">
        <f>NOT(ISNA(VLOOKUP(A876,'Game Pass Premium'!A:A,1,FALSE)))</f>
        <v>0</v>
      </c>
      <c r="O876" s="13" t="b">
        <f>NOT(ISNA(VLOOKUP(A876,'Game Pass Essential'!A:A,1,FALSE)))</f>
        <v>0</v>
      </c>
    </row>
    <row r="877">
      <c r="A877" s="12" t="str">
        <f>IFERROR(__xludf.DUMMYFUNCTION("""COMPUTED_VALUE"""),"Kernel Hearts")</f>
        <v>Kernel Hearts</v>
      </c>
      <c r="B877" s="13" t="str">
        <f>IFERROR(__xludf.DUMMYFUNCTION("""COMPUTED_VALUE"""),"Xbox / PC")</f>
        <v>Xbox / PC</v>
      </c>
      <c r="C877" s="14" t="str">
        <f>IFERROR(__xludf.DUMMYFUNCTION("""COMPUTED_VALUE"""),"Yes")</f>
        <v>Yes</v>
      </c>
      <c r="D877" s="14" t="str">
        <f>IFERROR(__xludf.DUMMYFUNCTION("""COMPUTED_VALUE"""),"Active")</f>
        <v>Active</v>
      </c>
      <c r="E877" s="15">
        <f>IFERROR(__xludf.DUMMYFUNCTION("""COMPUTED_VALUE"""),46282.0)</f>
        <v>46282</v>
      </c>
      <c r="F877" s="16"/>
      <c r="G877" s="18">
        <f>IFERROR(__xludf.DUMMYFUNCTION("""COMPUTED_VALUE"""),0.6333333333333333)</f>
        <v>0.6333333333</v>
      </c>
      <c r="H877" s="15">
        <f>IFERROR(__xludf.DUMMYFUNCTION("""COMPUTED_VALUE"""),46282.0)</f>
        <v>46282</v>
      </c>
      <c r="I877" s="18">
        <f>IFERROR(__xludf.DUMMYFUNCTION("""COMPUTED_VALUE"""),0.0)</f>
        <v>0</v>
      </c>
      <c r="J877" s="22"/>
      <c r="K877" s="22"/>
      <c r="L877" s="26" t="str">
        <f>IFERROR(__xludf.DUMMYFUNCTION("""COMPUTED_VALUE"""),"RPG")</f>
        <v>RPG</v>
      </c>
      <c r="M877" s="13" t="b">
        <f>NOT(ISNA(VLOOKUP(A877,PC!A:A,1,FALSE)))</f>
        <v>1</v>
      </c>
      <c r="N877" s="13" t="b">
        <f>NOT(ISNA(VLOOKUP(A877,'Game Pass Premium'!A:A,1,FALSE)))</f>
        <v>0</v>
      </c>
      <c r="O877" s="13" t="b">
        <f>NOT(ISNA(VLOOKUP(A877,'Game Pass Essential'!A:A,1,FALSE)))</f>
        <v>0</v>
      </c>
    </row>
    <row r="878">
      <c r="A878" s="12" t="str">
        <f>IFERROR(__xludf.DUMMYFUNCTION("""COMPUTED_VALUE"""),"RuneScape: Dragonwilds")</f>
        <v>RuneScape: Dragonwilds</v>
      </c>
      <c r="B878" s="13" t="str">
        <f>IFERROR(__xludf.DUMMYFUNCTION("""COMPUTED_VALUE"""),"Xbox / PC")</f>
        <v>Xbox / PC</v>
      </c>
      <c r="C878" s="14" t="str">
        <f>IFERROR(__xludf.DUMMYFUNCTION("""COMPUTED_VALUE"""),"Yes")</f>
        <v>Yes</v>
      </c>
      <c r="D878" s="14" t="str">
        <f>IFERROR(__xludf.DUMMYFUNCTION("""COMPUTED_VALUE"""),"Active")</f>
        <v>Active</v>
      </c>
      <c r="E878" s="15">
        <f>IFERROR(__xludf.DUMMYFUNCTION("""COMPUTED_VALUE"""),46280.0)</f>
        <v>46280</v>
      </c>
      <c r="F878" s="16"/>
      <c r="G878" s="18">
        <f>IFERROR(__xludf.DUMMYFUNCTION("""COMPUTED_VALUE"""),0.7)</f>
        <v>0.7</v>
      </c>
      <c r="H878" s="15">
        <f>IFERROR(__xludf.DUMMYFUNCTION("""COMPUTED_VALUE"""),46280.0)</f>
        <v>46280</v>
      </c>
      <c r="I878" s="18">
        <f>IFERROR(__xludf.DUMMYFUNCTION("""COMPUTED_VALUE"""),0.0)</f>
        <v>0</v>
      </c>
      <c r="J878" s="22"/>
      <c r="K878" s="22">
        <f>IFERROR(__xludf.DUMMYFUNCTION("""COMPUTED_VALUE"""),23.0)</f>
        <v>23</v>
      </c>
      <c r="L878" s="26" t="str">
        <f>IFERROR(__xludf.DUMMYFUNCTION("""COMPUTED_VALUE"""),"Action-Adventure")</f>
        <v>Action-Adventure</v>
      </c>
      <c r="M878" s="13" t="b">
        <f>NOT(ISNA(VLOOKUP(A878,PC!A:A,1,FALSE)))</f>
        <v>1</v>
      </c>
      <c r="N878" s="13" t="b">
        <f>NOT(ISNA(VLOOKUP(A878,'Game Pass Premium'!A:A,1,FALSE)))</f>
        <v>0</v>
      </c>
      <c r="O878" s="13" t="b">
        <f>NOT(ISNA(VLOOKUP(A878,'Game Pass Essential'!A:A,1,FALSE)))</f>
        <v>0</v>
      </c>
    </row>
    <row r="879">
      <c r="A879" s="12" t="str">
        <f>IFERROR(__xludf.DUMMYFUNCTION("""COMPUTED_VALUE"""),"Speedrunners 2: King of Speed")</f>
        <v>Speedrunners 2: King of Speed</v>
      </c>
      <c r="B879" s="13" t="str">
        <f>IFERROR(__xludf.DUMMYFUNCTION("""COMPUTED_VALUE"""),"Xbox / PC")</f>
        <v>Xbox / PC</v>
      </c>
      <c r="C879" s="14" t="str">
        <f>IFERROR(__xludf.DUMMYFUNCTION("""COMPUTED_VALUE"""),"Yes")</f>
        <v>Yes</v>
      </c>
      <c r="D879" s="14" t="str">
        <f>IFERROR(__xludf.DUMMYFUNCTION("""COMPUTED_VALUE"""),"Active")</f>
        <v>Active</v>
      </c>
      <c r="E879" s="15">
        <f>IFERROR(__xludf.DUMMYFUNCTION("""COMPUTED_VALUE"""),46268.0)</f>
        <v>46268</v>
      </c>
      <c r="F879" s="16"/>
      <c r="G879" s="18">
        <f>IFERROR(__xludf.DUMMYFUNCTION("""COMPUTED_VALUE"""),1.0999999999999999)</f>
        <v>1.1</v>
      </c>
      <c r="H879" s="15">
        <f>IFERROR(__xludf.DUMMYFUNCTION("""COMPUTED_VALUE"""),46268.0)</f>
        <v>46268</v>
      </c>
      <c r="I879" s="18">
        <f>IFERROR(__xludf.DUMMYFUNCTION("""COMPUTED_VALUE"""),0.0)</f>
        <v>0</v>
      </c>
      <c r="J879" s="22"/>
      <c r="K879" s="22">
        <f>IFERROR(__xludf.DUMMYFUNCTION("""COMPUTED_VALUE"""),3.0)</f>
        <v>3</v>
      </c>
      <c r="L879" s="26" t="str">
        <f>IFERROR(__xludf.DUMMYFUNCTION("""COMPUTED_VALUE"""),"Racing")</f>
        <v>Racing</v>
      </c>
      <c r="M879" s="13" t="b">
        <f>NOT(ISNA(VLOOKUP(A879,PC!A:A,1,FALSE)))</f>
        <v>1</v>
      </c>
      <c r="N879" s="13" t="b">
        <f>NOT(ISNA(VLOOKUP(A879,'Game Pass Premium'!A:A,1,FALSE)))</f>
        <v>0</v>
      </c>
      <c r="O879" s="13" t="b">
        <f>NOT(ISNA(VLOOKUP(A879,'Game Pass Essential'!A:A,1,FALSE)))</f>
        <v>0</v>
      </c>
    </row>
    <row r="880">
      <c r="A880" s="124" t="str">
        <f>IFERROR(__xludf.DUMMYFUNCTION("""COMPUTED_VALUE"""),"Shelldiver")</f>
        <v>Shelldiver</v>
      </c>
      <c r="B880" s="13" t="str">
        <f>IFERROR(__xludf.DUMMYFUNCTION("""COMPUTED_VALUE"""),"Xbox / PC")</f>
        <v>Xbox / PC</v>
      </c>
      <c r="C880" s="14" t="str">
        <f>IFERROR(__xludf.DUMMYFUNCTION("""COMPUTED_VALUE"""),"Yes")</f>
        <v>Yes</v>
      </c>
      <c r="D880" s="14" t="str">
        <f>IFERROR(__xludf.DUMMYFUNCTION("""COMPUTED_VALUE"""),"Active")</f>
        <v>Active</v>
      </c>
      <c r="E880" s="15">
        <f>IFERROR(__xludf.DUMMYFUNCTION("""COMPUTED_VALUE"""),46266.0)</f>
        <v>46266</v>
      </c>
      <c r="F880" s="16"/>
      <c r="G880" s="18">
        <f>IFERROR(__xludf.DUMMYFUNCTION("""COMPUTED_VALUE"""),1.1666666666666667)</f>
        <v>1.166666667</v>
      </c>
      <c r="H880" s="15">
        <f>IFERROR(__xludf.DUMMYFUNCTION("""COMPUTED_VALUE"""),45977.0)</f>
        <v>45977</v>
      </c>
      <c r="I880" s="18">
        <f>IFERROR(__xludf.DUMMYFUNCTION("""COMPUTED_VALUE"""),0.7916666666666666)</f>
        <v>0.7916666667</v>
      </c>
      <c r="J880" s="22"/>
      <c r="K880" s="22">
        <f>IFERROR(__xludf.DUMMYFUNCTION("""COMPUTED_VALUE"""),4.0)</f>
        <v>4</v>
      </c>
      <c r="L880" s="26" t="str">
        <f>IFERROR(__xludf.DUMMYFUNCTION("""COMPUTED_VALUE"""),"Platformer")</f>
        <v>Platformer</v>
      </c>
      <c r="M880" s="13" t="b">
        <f>NOT(ISNA(VLOOKUP(A880,PC!A:A,1,FALSE)))</f>
        <v>1</v>
      </c>
      <c r="N880" s="13" t="b">
        <f>NOT(ISNA(VLOOKUP(A880,'Game Pass Premium'!A:A,1,FALSE)))</f>
        <v>0</v>
      </c>
      <c r="O880" s="13" t="b">
        <f>NOT(ISNA(VLOOKUP(A880,'Game Pass Essential'!A:A,1,FALSE)))</f>
        <v>0</v>
      </c>
    </row>
    <row r="881">
      <c r="A881" s="12" t="str">
        <f>IFERROR(__xludf.DUMMYFUNCTION("""COMPUTED_VALUE"""),"Vapor World: Over the Mind (Game Preview)")</f>
        <v>Vapor World: Over the Mind (Game Preview)</v>
      </c>
      <c r="B881" s="13" t="str">
        <f>IFERROR(__xludf.DUMMYFUNCTION("""COMPUTED_VALUE"""),"Xbox / PC")</f>
        <v>Xbox / PC</v>
      </c>
      <c r="C881" s="14" t="str">
        <f>IFERROR(__xludf.DUMMYFUNCTION("""COMPUTED_VALUE"""),"Yes")</f>
        <v>Yes</v>
      </c>
      <c r="D881" s="14" t="str">
        <f>IFERROR(__xludf.DUMMYFUNCTION("""COMPUTED_VALUE"""),"Active")</f>
        <v>Active</v>
      </c>
      <c r="E881" s="15">
        <f>IFERROR(__xludf.DUMMYFUNCTION("""COMPUTED_VALUE"""),46253.0)</f>
        <v>46253</v>
      </c>
      <c r="F881" s="16"/>
      <c r="G881" s="18">
        <f>IFERROR(__xludf.DUMMYFUNCTION("""COMPUTED_VALUE"""),1.5666666666666669)</f>
        <v>1.566666667</v>
      </c>
      <c r="H881" s="15">
        <f>IFERROR(__xludf.DUMMYFUNCTION("""COMPUTED_VALUE"""),46253.0)</f>
        <v>46253</v>
      </c>
      <c r="I881" s="18">
        <f>IFERROR(__xludf.DUMMYFUNCTION("""COMPUTED_VALUE"""),0.0)</f>
        <v>0</v>
      </c>
      <c r="J881" s="22"/>
      <c r="K881" s="22">
        <f>IFERROR(__xludf.DUMMYFUNCTION("""COMPUTED_VALUE"""),12.0)</f>
        <v>12</v>
      </c>
      <c r="L881" s="26" t="str">
        <f>IFERROR(__xludf.DUMMYFUNCTION("""COMPUTED_VALUE"""),"Action-Adventure")</f>
        <v>Action-Adventure</v>
      </c>
      <c r="M881" s="13" t="b">
        <f>NOT(ISNA(VLOOKUP(A881,PC!A:A,1,FALSE)))</f>
        <v>1</v>
      </c>
      <c r="N881" s="13" t="b">
        <f>NOT(ISNA(VLOOKUP(A881,'Game Pass Premium'!A:A,1,FALSE)))</f>
        <v>0</v>
      </c>
      <c r="O881" s="13" t="b">
        <f>NOT(ISNA(VLOOKUP(A881,'Game Pass Essential'!A:A,1,FALSE)))</f>
        <v>0</v>
      </c>
    </row>
    <row r="882">
      <c r="A882" s="12" t="str">
        <f>IFERROR(__xludf.DUMMYFUNCTION("""COMPUTED_VALUE"""),"Starseeker: Astroneer Expeditions (Game Preview)")</f>
        <v>Starseeker: Astroneer Expeditions (Game Preview)</v>
      </c>
      <c r="B882" s="13" t="str">
        <f>IFERROR(__xludf.DUMMYFUNCTION("""COMPUTED_VALUE"""),"Xbox / PC")</f>
        <v>Xbox / PC</v>
      </c>
      <c r="C882" s="14" t="str">
        <f>IFERROR(__xludf.DUMMYFUNCTION("""COMPUTED_VALUE"""),"Yes")</f>
        <v>Yes</v>
      </c>
      <c r="D882" s="14" t="str">
        <f>IFERROR(__xludf.DUMMYFUNCTION("""COMPUTED_VALUE"""),"Active")</f>
        <v>Active</v>
      </c>
      <c r="E882" s="15">
        <f>IFERROR(__xludf.DUMMYFUNCTION("""COMPUTED_VALUE"""),46184.0)</f>
        <v>46184</v>
      </c>
      <c r="F882" s="16"/>
      <c r="G882" s="18">
        <f>IFERROR(__xludf.DUMMYFUNCTION("""COMPUTED_VALUE"""),3.833333333333333)</f>
        <v>3.833333333</v>
      </c>
      <c r="H882" s="15">
        <f>IFERROR(__xludf.DUMMYFUNCTION("""COMPUTED_VALUE"""),46184.0)</f>
        <v>46184</v>
      </c>
      <c r="I882" s="18">
        <f>IFERROR(__xludf.DUMMYFUNCTION("""COMPUTED_VALUE"""),0.0)</f>
        <v>0</v>
      </c>
      <c r="J882" s="22"/>
      <c r="K882" s="22">
        <f>IFERROR(__xludf.DUMMYFUNCTION("""COMPUTED_VALUE"""),1.0)</f>
        <v>1</v>
      </c>
      <c r="L882" s="26" t="str">
        <f>IFERROR(__xludf.DUMMYFUNCTION("""COMPUTED_VALUE"""),"Action-Adventure")</f>
        <v>Action-Adventure</v>
      </c>
      <c r="M882" s="13" t="b">
        <f>NOT(ISNA(VLOOKUP(A882,PC!A:A,1,FALSE)))</f>
        <v>1</v>
      </c>
      <c r="N882" s="13" t="b">
        <f>NOT(ISNA(VLOOKUP(A882,'Game Pass Premium'!A:A,1,FALSE)))</f>
        <v>0</v>
      </c>
      <c r="O882" s="13" t="b">
        <f>NOT(ISNA(VLOOKUP(A882,'Game Pass Essential'!A:A,1,FALSE)))</f>
        <v>0</v>
      </c>
    </row>
    <row r="883">
      <c r="A883" s="12" t="str">
        <f>IFERROR(__xludf.DUMMYFUNCTION("""COMPUTED_VALUE"""),"Subnautica 2 (Game Preview)")</f>
        <v>Subnautica 2 (Game Preview)</v>
      </c>
      <c r="B883" s="13" t="str">
        <f>IFERROR(__xludf.DUMMYFUNCTION("""COMPUTED_VALUE"""),"Xbox / PC")</f>
        <v>Xbox / PC</v>
      </c>
      <c r="C883" s="14" t="str">
        <f>IFERROR(__xludf.DUMMYFUNCTION("""COMPUTED_VALUE"""),"Yes")</f>
        <v>Yes</v>
      </c>
      <c r="D883" s="14" t="str">
        <f>IFERROR(__xludf.DUMMYFUNCTION("""COMPUTED_VALUE"""),"Active")</f>
        <v>Active</v>
      </c>
      <c r="E883" s="15">
        <f>IFERROR(__xludf.DUMMYFUNCTION("""COMPUTED_VALUE"""),46156.0)</f>
        <v>46156</v>
      </c>
      <c r="F883" s="16"/>
      <c r="G883" s="18">
        <f>IFERROR(__xludf.DUMMYFUNCTION("""COMPUTED_VALUE"""),4.733333333333333)</f>
        <v>4.733333333</v>
      </c>
      <c r="H883" s="15">
        <f>IFERROR(__xludf.DUMMYFUNCTION("""COMPUTED_VALUE"""),46156.0)</f>
        <v>46156</v>
      </c>
      <c r="I883" s="18">
        <f>IFERROR(__xludf.DUMMYFUNCTION("""COMPUTED_VALUE"""),0.0)</f>
        <v>0</v>
      </c>
      <c r="J883" s="22"/>
      <c r="K883" s="22">
        <f>IFERROR(__xludf.DUMMYFUNCTION("""COMPUTED_VALUE"""),13.0)</f>
        <v>13</v>
      </c>
      <c r="L883" s="26" t="str">
        <f>IFERROR(__xludf.DUMMYFUNCTION("""COMPUTED_VALUE"""),"Action-Adventure")</f>
        <v>Action-Adventure</v>
      </c>
      <c r="M883" s="13" t="b">
        <f>NOT(ISNA(VLOOKUP(A883,PC!A:A,1,FALSE)))</f>
        <v>1</v>
      </c>
      <c r="N883" s="13" t="b">
        <f>NOT(ISNA(VLOOKUP(A883,'Game Pass Premium'!A:A,1,FALSE)))</f>
        <v>0</v>
      </c>
      <c r="O883" s="13" t="b">
        <f>NOT(ISNA(VLOOKUP(A883,'Game Pass Essential'!A:A,1,FALSE)))</f>
        <v>0</v>
      </c>
    </row>
    <row r="884">
      <c r="A884" s="12" t="str">
        <f>IFERROR(__xludf.DUMMYFUNCTION("""COMPUTED_VALUE"""),"TCG Card Shop Simulator (Game Preview)")</f>
        <v>TCG Card Shop Simulator (Game Preview)</v>
      </c>
      <c r="B884" s="13" t="str">
        <f>IFERROR(__xludf.DUMMYFUNCTION("""COMPUTED_VALUE"""),"Xbox / PC")</f>
        <v>Xbox / PC</v>
      </c>
      <c r="C884" s="14" t="str">
        <f>IFERROR(__xludf.DUMMYFUNCTION("""COMPUTED_VALUE"""),"Yes")</f>
        <v>Yes</v>
      </c>
      <c r="D884" s="14" t="str">
        <f>IFERROR(__xludf.DUMMYFUNCTION("""COMPUTED_VALUE"""),"Active")</f>
        <v>Active</v>
      </c>
      <c r="E884" s="15">
        <f>IFERROR(__xludf.DUMMYFUNCTION("""COMPUTED_VALUE"""),46077.0)</f>
        <v>46077</v>
      </c>
      <c r="F884" s="16"/>
      <c r="G884" s="18">
        <f>IFERROR(__xludf.DUMMYFUNCTION("""COMPUTED_VALUE"""),7.4)</f>
        <v>7.4</v>
      </c>
      <c r="H884" s="15">
        <f>IFERROR(__xludf.DUMMYFUNCTION("""COMPUTED_VALUE"""),45184.0)</f>
        <v>45184</v>
      </c>
      <c r="I884" s="18">
        <f>IFERROR(__xludf.DUMMYFUNCTION("""COMPUTED_VALUE"""),2.441666666666667)</f>
        <v>2.441666667</v>
      </c>
      <c r="J884" s="22"/>
      <c r="K884" s="22">
        <f>IFERROR(__xludf.DUMMYFUNCTION("""COMPUTED_VALUE"""),32.0)</f>
        <v>32</v>
      </c>
      <c r="L884" s="26" t="str">
        <f>IFERROR(__xludf.DUMMYFUNCTION("""COMPUTED_VALUE"""),"Simulation")</f>
        <v>Simulation</v>
      </c>
      <c r="M884" s="13" t="b">
        <f>NOT(ISNA(VLOOKUP(A884,PC!A:A,1,FALSE)))</f>
        <v>1</v>
      </c>
      <c r="N884" s="13" t="b">
        <f>NOT(ISNA(VLOOKUP(A884,'Game Pass Premium'!A:A,1,FALSE)))</f>
        <v>1</v>
      </c>
      <c r="O884" s="13" t="b">
        <f>NOT(ISNA(VLOOKUP(A884,'Game Pass Essential'!A:A,1,FALSE)))</f>
        <v>0</v>
      </c>
    </row>
    <row r="885">
      <c r="A885" s="12" t="str">
        <f>IFERROR(__xludf.DUMMYFUNCTION("""COMPUTED_VALUE"""),"Kabobber")</f>
        <v>Kabobber</v>
      </c>
      <c r="B885" s="13" t="str">
        <f>IFERROR(__xludf.DUMMYFUNCTION("""COMPUTED_VALUE"""),"Xbox / PC")</f>
        <v>Xbox / PC</v>
      </c>
      <c r="C885" s="14" t="str">
        <f>IFERROR(__xludf.DUMMYFUNCTION("""COMPUTED_VALUE"""),"Yes")</f>
        <v>Yes</v>
      </c>
      <c r="D885" s="14" t="str">
        <f>IFERROR(__xludf.DUMMYFUNCTION("""COMPUTED_VALUE"""),"Active")</f>
        <v>Active</v>
      </c>
      <c r="E885" s="15">
        <f>IFERROR(__xludf.DUMMYFUNCTION("""COMPUTED_VALUE"""),46072.0)</f>
        <v>46072</v>
      </c>
      <c r="F885" s="16"/>
      <c r="G885" s="18">
        <f>IFERROR(__xludf.DUMMYFUNCTION("""COMPUTED_VALUE"""),7.566666666666666)</f>
        <v>7.566666667</v>
      </c>
      <c r="H885" s="15">
        <f>IFERROR(__xludf.DUMMYFUNCTION("""COMPUTED_VALUE"""),30317.0)</f>
        <v>30317</v>
      </c>
      <c r="I885" s="18">
        <f>IFERROR(__xludf.DUMMYFUNCTION("""COMPUTED_VALUE"""),43.13333333333333)</f>
        <v>43.13333333</v>
      </c>
      <c r="J885" s="22"/>
      <c r="K885" s="22"/>
      <c r="L885" s="26" t="str">
        <f>IFERROR(__xludf.DUMMYFUNCTION("""COMPUTED_VALUE"""),"Action")</f>
        <v>Action</v>
      </c>
      <c r="M885" s="13" t="b">
        <f>NOT(ISNA(VLOOKUP(A885,PC!A:A,1,FALSE)))</f>
        <v>1</v>
      </c>
      <c r="N885" s="13" t="b">
        <f>NOT(ISNA(VLOOKUP(A885,'Game Pass Premium'!A:A,1,FALSE)))</f>
        <v>1</v>
      </c>
      <c r="O885" s="13" t="b">
        <f>NOT(ISNA(VLOOKUP(A885,'Game Pass Essential'!A:A,1,FALSE)))</f>
        <v>0</v>
      </c>
    </row>
    <row r="886">
      <c r="A886" s="12" t="str">
        <f>IFERROR(__xludf.DUMMYFUNCTION("""COMPUTED_VALUE"""),"Return to Zork")</f>
        <v>Return to Zork</v>
      </c>
      <c r="B886" s="13" t="str">
        <f>IFERROR(__xludf.DUMMYFUNCTION("""COMPUTED_VALUE"""),"Xbox / PC")</f>
        <v>Xbox / PC</v>
      </c>
      <c r="C886" s="14" t="str">
        <f>IFERROR(__xludf.DUMMYFUNCTION("""COMPUTED_VALUE"""),"Yes")</f>
        <v>Yes</v>
      </c>
      <c r="D886" s="14" t="str">
        <f>IFERROR(__xludf.DUMMYFUNCTION("""COMPUTED_VALUE"""),"Active")</f>
        <v>Active</v>
      </c>
      <c r="E886" s="15">
        <f>IFERROR(__xludf.DUMMYFUNCTION("""COMPUTED_VALUE"""),46072.0)</f>
        <v>46072</v>
      </c>
      <c r="F886" s="16"/>
      <c r="G886" s="18">
        <f>IFERROR(__xludf.DUMMYFUNCTION("""COMPUTED_VALUE"""),7.566666666666666)</f>
        <v>7.566666667</v>
      </c>
      <c r="H886" s="15">
        <f>IFERROR(__xludf.DUMMYFUNCTION("""COMPUTED_VALUE"""),34192.0)</f>
        <v>34192</v>
      </c>
      <c r="I886" s="18">
        <f>IFERROR(__xludf.DUMMYFUNCTION("""COMPUTED_VALUE"""),32.522222222222226)</f>
        <v>32.52222222</v>
      </c>
      <c r="J886" s="22"/>
      <c r="K886" s="22">
        <f>IFERROR(__xludf.DUMMYFUNCTION("""COMPUTED_VALUE"""),7.0)</f>
        <v>7</v>
      </c>
      <c r="L886" s="26" t="str">
        <f>IFERROR(__xludf.DUMMYFUNCTION("""COMPUTED_VALUE"""),"Point and Click")</f>
        <v>Point and Click</v>
      </c>
      <c r="M886" s="13" t="b">
        <f>NOT(ISNA(VLOOKUP(A886,PC!A:A,1,FALSE)))</f>
        <v>1</v>
      </c>
      <c r="N886" s="13" t="b">
        <f>NOT(ISNA(VLOOKUP(A886,'Game Pass Premium'!A:A,1,FALSE)))</f>
        <v>1</v>
      </c>
      <c r="O886" s="13" t="b">
        <f>NOT(ISNA(VLOOKUP(A886,'Game Pass Essential'!A:A,1,FALSE)))</f>
        <v>0</v>
      </c>
    </row>
    <row r="887">
      <c r="A887" s="12" t="str">
        <f>IFERROR(__xludf.DUMMYFUNCTION("""COMPUTED_VALUE"""),"Roadside Research (Game Preview)")</f>
        <v>Roadside Research (Game Preview)</v>
      </c>
      <c r="B887" s="13" t="str">
        <f>IFERROR(__xludf.DUMMYFUNCTION("""COMPUTED_VALUE"""),"Xbox / PC")</f>
        <v>Xbox / PC</v>
      </c>
      <c r="C887" s="14"/>
      <c r="D887" s="14" t="str">
        <f>IFERROR(__xludf.DUMMYFUNCTION("""COMPUTED_VALUE"""),"Active")</f>
        <v>Active</v>
      </c>
      <c r="E887" s="15">
        <f>IFERROR(__xludf.DUMMYFUNCTION("""COMPUTED_VALUE"""),46065.0)</f>
        <v>46065</v>
      </c>
      <c r="F887" s="16"/>
      <c r="G887" s="18">
        <f>IFERROR(__xludf.DUMMYFUNCTION("""COMPUTED_VALUE"""),7.800000000000001)</f>
        <v>7.8</v>
      </c>
      <c r="H887" s="15">
        <f>IFERROR(__xludf.DUMMYFUNCTION("""COMPUTED_VALUE"""),46065.0)</f>
        <v>46065</v>
      </c>
      <c r="I887" s="18">
        <f>IFERROR(__xludf.DUMMYFUNCTION("""COMPUTED_VALUE"""),0.0)</f>
        <v>0</v>
      </c>
      <c r="J887" s="22"/>
      <c r="K887" s="22">
        <f>IFERROR(__xludf.DUMMYFUNCTION("""COMPUTED_VALUE"""),24.0)</f>
        <v>24</v>
      </c>
      <c r="L887" s="26" t="str">
        <f>IFERROR(__xludf.DUMMYFUNCTION("""COMPUTED_VALUE"""),"Action-Adventure")</f>
        <v>Action-Adventure</v>
      </c>
      <c r="M887" s="13" t="b">
        <f>NOT(ISNA(VLOOKUP(A887,PC!A:A,1,FALSE)))</f>
        <v>1</v>
      </c>
      <c r="N887" s="13" t="b">
        <f>NOT(ISNA(VLOOKUP(A887,'Game Pass Premium'!A:A,1,FALSE)))</f>
        <v>0</v>
      </c>
      <c r="O887" s="13" t="b">
        <f>NOT(ISNA(VLOOKUP(A887,'Game Pass Essential'!A:A,1,FALSE)))</f>
        <v>0</v>
      </c>
    </row>
    <row r="888">
      <c r="A888" s="12" t="str">
        <f>IFERROR(__xludf.DUMMYFUNCTION("""COMPUTED_VALUE"""),"Young Suns")</f>
        <v>Young Suns</v>
      </c>
      <c r="B888" s="13" t="str">
        <f>IFERROR(__xludf.DUMMYFUNCTION("""COMPUTED_VALUE"""),"Xbox / PC")</f>
        <v>Xbox / PC</v>
      </c>
      <c r="C888" s="14" t="str">
        <f>IFERROR(__xludf.DUMMYFUNCTION("""COMPUTED_VALUE"""),"Yes")</f>
        <v>Yes</v>
      </c>
      <c r="D888" s="14" t="str">
        <f>IFERROR(__xludf.DUMMYFUNCTION("""COMPUTED_VALUE"""),"Active")</f>
        <v>Active</v>
      </c>
      <c r="E888" s="15">
        <f>IFERROR(__xludf.DUMMYFUNCTION("""COMPUTED_VALUE"""),45986.0)</f>
        <v>45986</v>
      </c>
      <c r="F888" s="16"/>
      <c r="G888" s="18">
        <f>IFERROR(__xludf.DUMMYFUNCTION("""COMPUTED_VALUE"""),10.366666666666667)</f>
        <v>10.36666667</v>
      </c>
      <c r="H888" s="15">
        <f>IFERROR(__xludf.DUMMYFUNCTION("""COMPUTED_VALUE"""),45986.0)</f>
        <v>45986</v>
      </c>
      <c r="I888" s="18">
        <f>IFERROR(__xludf.DUMMYFUNCTION("""COMPUTED_VALUE"""),0.0)</f>
        <v>0</v>
      </c>
      <c r="J888" s="22"/>
      <c r="K888" s="22">
        <f>IFERROR(__xludf.DUMMYFUNCTION("""COMPUTED_VALUE"""),2.0)</f>
        <v>2</v>
      </c>
      <c r="L888" s="26" t="str">
        <f>IFERROR(__xludf.DUMMYFUNCTION("""COMPUTED_VALUE"""),"Virtual Life")</f>
        <v>Virtual Life</v>
      </c>
      <c r="M888" s="13" t="b">
        <f>NOT(ISNA(VLOOKUP(A888,PC!A:A,1,FALSE)))</f>
        <v>1</v>
      </c>
      <c r="N888" s="13" t="b">
        <f>NOT(ISNA(VLOOKUP(A888,'Game Pass Premium'!A:A,1,FALSE)))</f>
        <v>1</v>
      </c>
      <c r="O888" s="13" t="b">
        <f>NOT(ISNA(VLOOKUP(A888,'Game Pass Essential'!A:A,1,FALSE)))</f>
        <v>0</v>
      </c>
    </row>
    <row r="889">
      <c r="A889" s="12" t="str">
        <f>IFERROR(__xludf.DUMMYFUNCTION("""COMPUTED_VALUE"""),"Relic Hunters Legend")</f>
        <v>Relic Hunters Legend</v>
      </c>
      <c r="B889" s="13" t="str">
        <f>IFERROR(__xludf.DUMMYFUNCTION("""COMPUTED_VALUE"""),"Xbox / PC")</f>
        <v>Xbox / PC</v>
      </c>
      <c r="C889" s="14" t="str">
        <f>IFERROR(__xludf.DUMMYFUNCTION("""COMPUTED_VALUE"""),"Yes")</f>
        <v>Yes</v>
      </c>
      <c r="D889" s="14" t="str">
        <f>IFERROR(__xludf.DUMMYFUNCTION("""COMPUTED_VALUE"""),"Active")</f>
        <v>Active</v>
      </c>
      <c r="E889" s="15">
        <f>IFERROR(__xludf.DUMMYFUNCTION("""COMPUTED_VALUE"""),45973.0)</f>
        <v>45973</v>
      </c>
      <c r="F889" s="16"/>
      <c r="G889" s="18">
        <f>IFERROR(__xludf.DUMMYFUNCTION("""COMPUTED_VALUE"""),10.8)</f>
        <v>10.8</v>
      </c>
      <c r="H889" s="15">
        <f>IFERROR(__xludf.DUMMYFUNCTION("""COMPUTED_VALUE"""),45883.0)</f>
        <v>45883</v>
      </c>
      <c r="I889" s="18">
        <f>IFERROR(__xludf.DUMMYFUNCTION("""COMPUTED_VALUE"""),0.24444444444444444)</f>
        <v>0.2444444444</v>
      </c>
      <c r="J889" s="22"/>
      <c r="K889" s="22">
        <f>IFERROR(__xludf.DUMMYFUNCTION("""COMPUTED_VALUE"""),29.0)</f>
        <v>29</v>
      </c>
      <c r="L889" s="26" t="str">
        <f>IFERROR(__xludf.DUMMYFUNCTION("""COMPUTED_VALUE"""),"Shoot-’Em-Up")</f>
        <v>Shoot-’Em-Up</v>
      </c>
      <c r="M889" s="13" t="b">
        <f>NOT(ISNA(VLOOKUP(A889,PC!A:A,1,FALSE)))</f>
        <v>1</v>
      </c>
      <c r="N889" s="13" t="b">
        <f>NOT(ISNA(VLOOKUP(A889,'Game Pass Premium'!A:A,1,FALSE)))</f>
        <v>1</v>
      </c>
      <c r="O889" s="13" t="b">
        <f>NOT(ISNA(VLOOKUP(A889,'Game Pass Essential'!A:A,1,FALSE)))</f>
        <v>0</v>
      </c>
    </row>
    <row r="890">
      <c r="A890" s="12" t="str">
        <f>IFERROR(__xludf.DUMMYFUNCTION("""COMPUTED_VALUE"""),"BattleTech: The Crescent Hawk's Inception")</f>
        <v>BattleTech: The Crescent Hawk's Inception</v>
      </c>
      <c r="B890" s="13" t="str">
        <f>IFERROR(__xludf.DUMMYFUNCTION("""COMPUTED_VALUE"""),"Xbox / PC")</f>
        <v>Xbox / PC</v>
      </c>
      <c r="C890" s="14" t="str">
        <f>IFERROR(__xludf.DUMMYFUNCTION("""COMPUTED_VALUE"""),"Yes")</f>
        <v>Yes</v>
      </c>
      <c r="D890" s="14" t="str">
        <f>IFERROR(__xludf.DUMMYFUNCTION("""COMPUTED_VALUE"""),"Active")</f>
        <v>Active</v>
      </c>
      <c r="E890" s="15">
        <f>IFERROR(__xludf.DUMMYFUNCTION("""COMPUTED_VALUE"""),45945.0)</f>
        <v>45945</v>
      </c>
      <c r="F890" s="16"/>
      <c r="G890" s="18">
        <f>IFERROR(__xludf.DUMMYFUNCTION("""COMPUTED_VALUE"""),11.7)</f>
        <v>11.7</v>
      </c>
      <c r="H890" s="15">
        <f>IFERROR(__xludf.DUMMYFUNCTION("""COMPUTED_VALUE"""),32813.0)</f>
        <v>32813</v>
      </c>
      <c r="I890" s="18">
        <f>IFERROR(__xludf.DUMMYFUNCTION("""COMPUTED_VALUE"""),35.955555555555556)</f>
        <v>35.95555556</v>
      </c>
      <c r="J890" s="22"/>
      <c r="K890" s="22">
        <f>IFERROR(__xludf.DUMMYFUNCTION("""COMPUTED_VALUE"""),8.0)</f>
        <v>8</v>
      </c>
      <c r="L890" s="26" t="str">
        <f>IFERROR(__xludf.DUMMYFUNCTION("""COMPUTED_VALUE"""),"RPG")</f>
        <v>RPG</v>
      </c>
      <c r="M890" s="13" t="b">
        <f>NOT(ISNA(VLOOKUP(A890,PC!A:A,1,FALSE)))</f>
        <v>1</v>
      </c>
      <c r="N890" s="13" t="b">
        <f>NOT(ISNA(VLOOKUP(A890,'Game Pass Premium'!A:A,1,FALSE)))</f>
        <v>1</v>
      </c>
      <c r="O890" s="13" t="b">
        <f>NOT(ISNA(VLOOKUP(A890,'Game Pass Essential'!A:A,1,FALSE)))</f>
        <v>0</v>
      </c>
    </row>
    <row r="891">
      <c r="A891" s="12" t="str">
        <f>IFERROR(__xludf.DUMMYFUNCTION("""COMPUTED_VALUE"""),"Grounded 2 (Game Preview)")</f>
        <v>Grounded 2 (Game Preview)</v>
      </c>
      <c r="B891" s="13" t="str">
        <f>IFERROR(__xludf.DUMMYFUNCTION("""COMPUTED_VALUE"""),"Xbox / PC")</f>
        <v>Xbox / PC</v>
      </c>
      <c r="C891" s="14" t="str">
        <f>IFERROR(__xludf.DUMMYFUNCTION("""COMPUTED_VALUE"""),"Yes")</f>
        <v>Yes</v>
      </c>
      <c r="D891" s="14" t="str">
        <f>IFERROR(__xludf.DUMMYFUNCTION("""COMPUTED_VALUE"""),"Active")</f>
        <v>Active</v>
      </c>
      <c r="E891" s="15">
        <f>IFERROR(__xludf.DUMMYFUNCTION("""COMPUTED_VALUE"""),45867.0)</f>
        <v>45867</v>
      </c>
      <c r="F891" s="16"/>
      <c r="G891" s="18">
        <f>IFERROR(__xludf.DUMMYFUNCTION("""COMPUTED_VALUE"""),14.233333333333334)</f>
        <v>14.23333333</v>
      </c>
      <c r="H891" s="15">
        <f>IFERROR(__xludf.DUMMYFUNCTION("""COMPUTED_VALUE"""),45867.0)</f>
        <v>45867</v>
      </c>
      <c r="I891" s="18">
        <f>IFERROR(__xludf.DUMMYFUNCTION("""COMPUTED_VALUE"""),0.0)</f>
        <v>0</v>
      </c>
      <c r="J891" s="22"/>
      <c r="K891" s="22">
        <f>IFERROR(__xludf.DUMMYFUNCTION("""COMPUTED_VALUE"""),14.0)</f>
        <v>14</v>
      </c>
      <c r="L891" s="26" t="str">
        <f>IFERROR(__xludf.DUMMYFUNCTION("""COMPUTED_VALUE"""),"Sandbox")</f>
        <v>Sandbox</v>
      </c>
      <c r="M891" s="13" t="b">
        <f>NOT(ISNA(VLOOKUP(A891,PC!A:A,1,FALSE)))</f>
        <v>1</v>
      </c>
      <c r="N891" s="13" t="b">
        <f>NOT(ISNA(VLOOKUP(A891,'Game Pass Premium'!A:A,1,FALSE)))</f>
        <v>1</v>
      </c>
      <c r="O891" s="13" t="b">
        <f>NOT(ISNA(VLOOKUP(A891,'Game Pass Essential'!A:A,1,FALSE)))</f>
        <v>0</v>
      </c>
    </row>
    <row r="892">
      <c r="A892" s="12" t="str">
        <f>IFERROR(__xludf.DUMMYFUNCTION("""COMPUTED_VALUE"""),"Descenders Next (Game Preview)")</f>
        <v>Descenders Next (Game Preview)</v>
      </c>
      <c r="B892" s="13" t="str">
        <f>IFERROR(__xludf.DUMMYFUNCTION("""COMPUTED_VALUE"""),"Xbox / PC")</f>
        <v>Xbox / PC</v>
      </c>
      <c r="C892" s="14" t="str">
        <f>IFERROR(__xludf.DUMMYFUNCTION("""COMPUTED_VALUE"""),"Yes")</f>
        <v>Yes</v>
      </c>
      <c r="D892" s="14" t="str">
        <f>IFERROR(__xludf.DUMMYFUNCTION("""COMPUTED_VALUE"""),"Active")</f>
        <v>Active</v>
      </c>
      <c r="E892" s="15">
        <f>IFERROR(__xludf.DUMMYFUNCTION("""COMPUTED_VALUE"""),45859.0)</f>
        <v>45859</v>
      </c>
      <c r="F892" s="16"/>
      <c r="G892" s="18">
        <f>IFERROR(__xludf.DUMMYFUNCTION("""COMPUTED_VALUE"""),14.5)</f>
        <v>14.5</v>
      </c>
      <c r="H892" s="15">
        <f>IFERROR(__xludf.DUMMYFUNCTION("""COMPUTED_VALUE"""),45859.0)</f>
        <v>45859</v>
      </c>
      <c r="I892" s="18">
        <f>IFERROR(__xludf.DUMMYFUNCTION("""COMPUTED_VALUE"""),0.0)</f>
        <v>0</v>
      </c>
      <c r="J892" s="22"/>
      <c r="K892" s="22"/>
      <c r="L892" s="26" t="str">
        <f>IFERROR(__xludf.DUMMYFUNCTION("""COMPUTED_VALUE"""),"Sports")</f>
        <v>Sports</v>
      </c>
      <c r="M892" s="13" t="b">
        <f>NOT(ISNA(VLOOKUP(A892,PC!A:A,1,FALSE)))</f>
        <v>1</v>
      </c>
      <c r="N892" s="13" t="b">
        <f>NOT(ISNA(VLOOKUP(A892,'Game Pass Premium'!A:A,1,FALSE)))</f>
        <v>0</v>
      </c>
      <c r="O892" s="13" t="b">
        <f>NOT(ISNA(VLOOKUP(A892,'Game Pass Essential'!A:A,1,FALSE)))</f>
        <v>0</v>
      </c>
    </row>
    <row r="893">
      <c r="A893" s="12" t="str">
        <f>IFERROR(__xludf.DUMMYFUNCTION("""COMPUTED_VALUE"""),"Okie Dokie")</f>
        <v>Okie Dokie</v>
      </c>
      <c r="B893" s="13" t="str">
        <f>IFERROR(__xludf.DUMMYFUNCTION("""COMPUTED_VALUE"""),"Xbox / PC")</f>
        <v>Xbox / PC</v>
      </c>
      <c r="C893" s="14" t="str">
        <f>IFERROR(__xludf.DUMMYFUNCTION("""COMPUTED_VALUE"""),"Yes")</f>
        <v>Yes</v>
      </c>
      <c r="D893" s="14" t="str">
        <f>IFERROR(__xludf.DUMMYFUNCTION("""COMPUTED_VALUE"""),"Active")</f>
        <v>Active</v>
      </c>
      <c r="E893" s="15">
        <f>IFERROR(__xludf.DUMMYFUNCTION("""COMPUTED_VALUE"""),45859.0)</f>
        <v>45859</v>
      </c>
      <c r="F893" s="16"/>
      <c r="G893" s="18">
        <f>IFERROR(__xludf.DUMMYFUNCTION("""COMPUTED_VALUE"""),14.5)</f>
        <v>14.5</v>
      </c>
      <c r="H893" s="15">
        <f>IFERROR(__xludf.DUMMYFUNCTION("""COMPUTED_VALUE"""),31048.0)</f>
        <v>31048</v>
      </c>
      <c r="I893" s="18">
        <f>IFERROR(__xludf.DUMMYFUNCTION("""COMPUTED_VALUE"""),40.55555555555556)</f>
        <v>40.55555556</v>
      </c>
      <c r="J893" s="22"/>
      <c r="K893" s="22"/>
      <c r="L893" s="26" t="str">
        <f>IFERROR(__xludf.DUMMYFUNCTION("""COMPUTED_VALUE"""),"Puzzle")</f>
        <v>Puzzle</v>
      </c>
      <c r="M893" s="13" t="b">
        <f>NOT(ISNA(VLOOKUP(A893,PC!A:A,1,FALSE)))</f>
        <v>1</v>
      </c>
      <c r="N893" s="13" t="b">
        <f>NOT(ISNA(VLOOKUP(A893,'Game Pass Premium'!A:A,1,FALSE)))</f>
        <v>1</v>
      </c>
      <c r="O893" s="13" t="b">
        <f>NOT(ISNA(VLOOKUP(A893,'Game Pass Essential'!A:A,1,FALSE)))</f>
        <v>0</v>
      </c>
    </row>
    <row r="894">
      <c r="A894" s="12" t="str">
        <f>IFERROR(__xludf.DUMMYFUNCTION("""COMPUTED_VALUE"""),"Heart of China")</f>
        <v>Heart of China</v>
      </c>
      <c r="B894" s="13" t="str">
        <f>IFERROR(__xludf.DUMMYFUNCTION("""COMPUTED_VALUE"""),"Xbox / PC")</f>
        <v>Xbox / PC</v>
      </c>
      <c r="C894" s="14" t="str">
        <f>IFERROR(__xludf.DUMMYFUNCTION("""COMPUTED_VALUE"""),"Yes")</f>
        <v>Yes</v>
      </c>
      <c r="D894" s="14" t="str">
        <f>IFERROR(__xludf.DUMMYFUNCTION("""COMPUTED_VALUE"""),"Active")</f>
        <v>Active</v>
      </c>
      <c r="E894" s="15">
        <f>IFERROR(__xludf.DUMMYFUNCTION("""COMPUTED_VALUE"""),45839.0)</f>
        <v>45839</v>
      </c>
      <c r="F894" s="16"/>
      <c r="G894" s="18">
        <f>IFERROR(__xludf.DUMMYFUNCTION("""COMPUTED_VALUE"""),15.166666666666666)</f>
        <v>15.16666667</v>
      </c>
      <c r="H894" s="15">
        <f>IFERROR(__xludf.DUMMYFUNCTION("""COMPUTED_VALUE"""),33239.0)</f>
        <v>33239</v>
      </c>
      <c r="I894" s="18">
        <f>IFERROR(__xludf.DUMMYFUNCTION("""COMPUTED_VALUE"""),34.5)</f>
        <v>34.5</v>
      </c>
      <c r="J894" s="22"/>
      <c r="K894" s="22">
        <f>IFERROR(__xludf.DUMMYFUNCTION("""COMPUTED_VALUE"""),4.0)</f>
        <v>4</v>
      </c>
      <c r="L894" s="26" t="str">
        <f>IFERROR(__xludf.DUMMYFUNCTION("""COMPUTED_VALUE"""),"Adventure")</f>
        <v>Adventure</v>
      </c>
      <c r="M894" s="13" t="b">
        <f>NOT(ISNA(VLOOKUP(A894,PC!A:A,1,FALSE)))</f>
        <v>1</v>
      </c>
      <c r="N894" s="13" t="b">
        <f>NOT(ISNA(VLOOKUP(A894,'Game Pass Premium'!A:A,1,FALSE)))</f>
        <v>1</v>
      </c>
      <c r="O894" s="13" t="b">
        <f>NOT(ISNA(VLOOKUP(A894,'Game Pass Essential'!A:A,1,FALSE)))</f>
        <v>0</v>
      </c>
    </row>
    <row r="895">
      <c r="A895" s="12" t="str">
        <f>IFERROR(__xludf.DUMMYFUNCTION("""COMPUTED_VALUE"""),"Activision Prototype #1")</f>
        <v>Activision Prototype #1</v>
      </c>
      <c r="B895" s="13" t="str">
        <f>IFERROR(__xludf.DUMMYFUNCTION("""COMPUTED_VALUE"""),"Xbox / PC")</f>
        <v>Xbox / PC</v>
      </c>
      <c r="C895" s="14" t="str">
        <f>IFERROR(__xludf.DUMMYFUNCTION("""COMPUTED_VALUE"""),"Yes")</f>
        <v>Yes</v>
      </c>
      <c r="D895" s="14" t="str">
        <f>IFERROR(__xludf.DUMMYFUNCTION("""COMPUTED_VALUE"""),"Active")</f>
        <v>Active</v>
      </c>
      <c r="E895" s="15">
        <f>IFERROR(__xludf.DUMMYFUNCTION("""COMPUTED_VALUE"""),45798.0)</f>
        <v>45798</v>
      </c>
      <c r="F895" s="16"/>
      <c r="G895" s="18">
        <f>IFERROR(__xludf.DUMMYFUNCTION("""COMPUTED_VALUE"""),16.5)</f>
        <v>16.5</v>
      </c>
      <c r="H895" s="15">
        <f>IFERROR(__xludf.DUMMYFUNCTION("""COMPUTED_VALUE"""),30317.0)</f>
        <v>30317</v>
      </c>
      <c r="I895" s="18">
        <f>IFERROR(__xludf.DUMMYFUNCTION("""COMPUTED_VALUE"""),42.388888888888886)</f>
        <v>42.38888889</v>
      </c>
      <c r="J895" s="22"/>
      <c r="K895" s="22"/>
      <c r="L895" s="26" t="str">
        <f>IFERROR(__xludf.DUMMYFUNCTION("""COMPUTED_VALUE"""),"Action")</f>
        <v>Action</v>
      </c>
      <c r="M895" s="13" t="b">
        <f>NOT(ISNA(VLOOKUP(A895,PC!A:A,1,FALSE)))</f>
        <v>1</v>
      </c>
      <c r="N895" s="13" t="b">
        <f>NOT(ISNA(VLOOKUP(A895,'Game Pass Premium'!A:A,1,FALSE)))</f>
        <v>1</v>
      </c>
      <c r="O895" s="13" t="b">
        <f>NOT(ISNA(VLOOKUP(A895,'Game Pass Essential'!A:A,1,FALSE)))</f>
        <v>0</v>
      </c>
    </row>
    <row r="896">
      <c r="A896" s="12" t="str">
        <f>IFERROR(__xludf.DUMMYFUNCTION("""COMPUTED_VALUE"""),"Space Treat Deluxe")</f>
        <v>Space Treat Deluxe</v>
      </c>
      <c r="B896" s="13" t="str">
        <f>IFERROR(__xludf.DUMMYFUNCTION("""COMPUTED_VALUE"""),"Xbox / PC")</f>
        <v>Xbox / PC</v>
      </c>
      <c r="C896" s="14" t="str">
        <f>IFERROR(__xludf.DUMMYFUNCTION("""COMPUTED_VALUE"""),"Yes")</f>
        <v>Yes</v>
      </c>
      <c r="D896" s="14" t="str">
        <f>IFERROR(__xludf.DUMMYFUNCTION("""COMPUTED_VALUE"""),"Active")</f>
        <v>Active</v>
      </c>
      <c r="E896" s="15">
        <f>IFERROR(__xludf.DUMMYFUNCTION("""COMPUTED_VALUE"""),45798.0)</f>
        <v>45798</v>
      </c>
      <c r="F896" s="16"/>
      <c r="G896" s="18">
        <f>IFERROR(__xludf.DUMMYFUNCTION("""COMPUTED_VALUE"""),16.5)</f>
        <v>16.5</v>
      </c>
      <c r="H896" s="15">
        <f>IFERROR(__xludf.DUMMYFUNCTION("""COMPUTED_VALUE"""),37714.0)</f>
        <v>37714</v>
      </c>
      <c r="I896" s="18">
        <f>IFERROR(__xludf.DUMMYFUNCTION("""COMPUTED_VALUE"""),22.133333333333333)</f>
        <v>22.13333333</v>
      </c>
      <c r="J896" s="22"/>
      <c r="K896" s="22"/>
      <c r="L896" s="26" t="str">
        <f>IFERROR(__xludf.DUMMYFUNCTION("""COMPUTED_VALUE"""),"Action")</f>
        <v>Action</v>
      </c>
      <c r="M896" s="13" t="b">
        <f>NOT(ISNA(VLOOKUP(A896,PC!A:A,1,FALSE)))</f>
        <v>1</v>
      </c>
      <c r="N896" s="13" t="b">
        <f>NOT(ISNA(VLOOKUP(A896,'Game Pass Premium'!A:A,1,FALSE)))</f>
        <v>1</v>
      </c>
      <c r="O896" s="13" t="b">
        <f>NOT(ISNA(VLOOKUP(A896,'Game Pass Essential'!A:A,1,FALSE)))</f>
        <v>0</v>
      </c>
    </row>
    <row r="897">
      <c r="A897" s="12" t="str">
        <f>IFERROR(__xludf.DUMMYFUNCTION("""COMPUTED_VALUE"""),"Thwocker")</f>
        <v>Thwocker</v>
      </c>
      <c r="B897" s="13" t="str">
        <f>IFERROR(__xludf.DUMMYFUNCTION("""COMPUTED_VALUE"""),"Xbox / PC")</f>
        <v>Xbox / PC</v>
      </c>
      <c r="C897" s="14" t="str">
        <f>IFERROR(__xludf.DUMMYFUNCTION("""COMPUTED_VALUE"""),"Yes")</f>
        <v>Yes</v>
      </c>
      <c r="D897" s="14" t="str">
        <f>IFERROR(__xludf.DUMMYFUNCTION("""COMPUTED_VALUE"""),"Active")</f>
        <v>Active</v>
      </c>
      <c r="E897" s="15">
        <f>IFERROR(__xludf.DUMMYFUNCTION("""COMPUTED_VALUE"""),45798.0)</f>
        <v>45798</v>
      </c>
      <c r="F897" s="16"/>
      <c r="G897" s="18">
        <f>IFERROR(__xludf.DUMMYFUNCTION("""COMPUTED_VALUE"""),16.5)</f>
        <v>16.5</v>
      </c>
      <c r="H897" s="15">
        <f>IFERROR(__xludf.DUMMYFUNCTION("""COMPUTED_VALUE"""),30682.0)</f>
        <v>30682</v>
      </c>
      <c r="I897" s="18">
        <f>IFERROR(__xludf.DUMMYFUNCTION("""COMPUTED_VALUE"""),41.388888888888886)</f>
        <v>41.38888889</v>
      </c>
      <c r="J897" s="22"/>
      <c r="K897" s="22"/>
      <c r="L897" s="26" t="str">
        <f>IFERROR(__xludf.DUMMYFUNCTION("""COMPUTED_VALUE"""),"Action")</f>
        <v>Action</v>
      </c>
      <c r="M897" s="13" t="b">
        <f>NOT(ISNA(VLOOKUP(A897,PC!A:A,1,FALSE)))</f>
        <v>1</v>
      </c>
      <c r="N897" s="13" t="b">
        <f>NOT(ISNA(VLOOKUP(A897,'Game Pass Premium'!A:A,1,FALSE)))</f>
        <v>1</v>
      </c>
      <c r="O897" s="13" t="b">
        <f>NOT(ISNA(VLOOKUP(A897,'Game Pass Essential'!A:A,1,FALSE)))</f>
        <v>0</v>
      </c>
    </row>
    <row r="898">
      <c r="A898" s="12" t="str">
        <f>IFERROR(__xludf.DUMMYFUNCTION("""COMPUTED_VALUE"""),"Torin's Passage")</f>
        <v>Torin's Passage</v>
      </c>
      <c r="B898" s="13" t="str">
        <f>IFERROR(__xludf.DUMMYFUNCTION("""COMPUTED_VALUE"""),"Xbox / PC")</f>
        <v>Xbox / PC</v>
      </c>
      <c r="C898" s="14" t="str">
        <f>IFERROR(__xludf.DUMMYFUNCTION("""COMPUTED_VALUE"""),"Yes")</f>
        <v>Yes</v>
      </c>
      <c r="D898" s="14" t="str">
        <f>IFERROR(__xludf.DUMMYFUNCTION("""COMPUTED_VALUE"""),"Active")</f>
        <v>Active</v>
      </c>
      <c r="E898" s="15">
        <f>IFERROR(__xludf.DUMMYFUNCTION("""COMPUTED_VALUE"""),45798.0)</f>
        <v>45798</v>
      </c>
      <c r="F898" s="16"/>
      <c r="G898" s="18">
        <f>IFERROR(__xludf.DUMMYFUNCTION("""COMPUTED_VALUE"""),16.5)</f>
        <v>16.5</v>
      </c>
      <c r="H898" s="15">
        <f>IFERROR(__xludf.DUMMYFUNCTION("""COMPUTED_VALUE"""),35003.0)</f>
        <v>35003</v>
      </c>
      <c r="I898" s="18">
        <f>IFERROR(__xludf.DUMMYFUNCTION("""COMPUTED_VALUE"""),29.558333333333334)</f>
        <v>29.55833333</v>
      </c>
      <c r="J898" s="22"/>
      <c r="K898" s="22">
        <f>IFERROR(__xludf.DUMMYFUNCTION("""COMPUTED_VALUE"""),4.0)</f>
        <v>4</v>
      </c>
      <c r="L898" s="26" t="str">
        <f>IFERROR(__xludf.DUMMYFUNCTION("""COMPUTED_VALUE"""),"Action‑Adventure")</f>
        <v>Action‑Adventure</v>
      </c>
      <c r="M898" s="13" t="b">
        <f>NOT(ISNA(VLOOKUP(A898,PC!A:A,1,FALSE)))</f>
        <v>1</v>
      </c>
      <c r="N898" s="13" t="b">
        <f>NOT(ISNA(VLOOKUP(A898,'Game Pass Premium'!A:A,1,FALSE)))</f>
        <v>1</v>
      </c>
      <c r="O898" s="13" t="b">
        <f>NOT(ISNA(VLOOKUP(A898,'Game Pass Essential'!A:A,1,FALSE)))</f>
        <v>0</v>
      </c>
    </row>
    <row r="899">
      <c r="A899" s="12" t="str">
        <f>IFERROR(__xludf.DUMMYFUNCTION("""COMPUTED_VALUE"""),"Vault Assault")</f>
        <v>Vault Assault</v>
      </c>
      <c r="B899" s="13" t="str">
        <f>IFERROR(__xludf.DUMMYFUNCTION("""COMPUTED_VALUE"""),"Xbox / PC")</f>
        <v>Xbox / PC</v>
      </c>
      <c r="C899" s="14" t="str">
        <f>IFERROR(__xludf.DUMMYFUNCTION("""COMPUTED_VALUE"""),"Yes")</f>
        <v>Yes</v>
      </c>
      <c r="D899" s="14" t="str">
        <f>IFERROR(__xludf.DUMMYFUNCTION("""COMPUTED_VALUE"""),"Active")</f>
        <v>Active</v>
      </c>
      <c r="E899" s="15">
        <f>IFERROR(__xludf.DUMMYFUNCTION("""COMPUTED_VALUE"""),45798.0)</f>
        <v>45798</v>
      </c>
      <c r="F899" s="16"/>
      <c r="G899" s="18">
        <f>IFERROR(__xludf.DUMMYFUNCTION("""COMPUTED_VALUE"""),16.5)</f>
        <v>16.5</v>
      </c>
      <c r="H899" s="15">
        <f>IFERROR(__xludf.DUMMYFUNCTION("""COMPUTED_VALUE"""),37114.0)</f>
        <v>37114</v>
      </c>
      <c r="I899" s="18">
        <f>IFERROR(__xludf.DUMMYFUNCTION("""COMPUTED_VALUE"""),23.77777777777778)</f>
        <v>23.77777778</v>
      </c>
      <c r="J899" s="22"/>
      <c r="K899" s="22"/>
      <c r="L899" s="26" t="str">
        <f>IFERROR(__xludf.DUMMYFUNCTION("""COMPUTED_VALUE"""),"Shooter")</f>
        <v>Shooter</v>
      </c>
      <c r="M899" s="13" t="b">
        <f>NOT(ISNA(VLOOKUP(A899,PC!A:A,1,FALSE)))</f>
        <v>1</v>
      </c>
      <c r="N899" s="13" t="b">
        <f>NOT(ISNA(VLOOKUP(A899,'Game Pass Premium'!A:A,1,FALSE)))</f>
        <v>1</v>
      </c>
      <c r="O899" s="13" t="b">
        <f>NOT(ISNA(VLOOKUP(A899,'Game Pass Essential'!A:A,1,FALSE)))</f>
        <v>0</v>
      </c>
    </row>
    <row r="900">
      <c r="A900" s="12" t="str">
        <f>IFERROR(__xludf.DUMMYFUNCTION("""COMPUTED_VALUE"""),"Venetian Blinds")</f>
        <v>Venetian Blinds</v>
      </c>
      <c r="B900" s="13" t="str">
        <f>IFERROR(__xludf.DUMMYFUNCTION("""COMPUTED_VALUE"""),"Xbox / PC")</f>
        <v>Xbox / PC</v>
      </c>
      <c r="C900" s="14" t="str">
        <f>IFERROR(__xludf.DUMMYFUNCTION("""COMPUTED_VALUE"""),"Yes")</f>
        <v>Yes</v>
      </c>
      <c r="D900" s="14" t="str">
        <f>IFERROR(__xludf.DUMMYFUNCTION("""COMPUTED_VALUE"""),"Active")</f>
        <v>Active</v>
      </c>
      <c r="E900" s="15">
        <f>IFERROR(__xludf.DUMMYFUNCTION("""COMPUTED_VALUE"""),45798.0)</f>
        <v>45798</v>
      </c>
      <c r="F900" s="16"/>
      <c r="G900" s="18">
        <f>IFERROR(__xludf.DUMMYFUNCTION("""COMPUTED_VALUE"""),16.5)</f>
        <v>16.5</v>
      </c>
      <c r="H900" s="15">
        <f>IFERROR(__xludf.DUMMYFUNCTION("""COMPUTED_VALUE"""),37622.0)</f>
        <v>37622</v>
      </c>
      <c r="I900" s="18">
        <f>IFERROR(__xludf.DUMMYFUNCTION("""COMPUTED_VALUE"""),22.38888888888889)</f>
        <v>22.38888889</v>
      </c>
      <c r="J900" s="22"/>
      <c r="K900" s="22"/>
      <c r="L900" s="26" t="str">
        <f>IFERROR(__xludf.DUMMYFUNCTION("""COMPUTED_VALUE"""),"Simulation")</f>
        <v>Simulation</v>
      </c>
      <c r="M900" s="13" t="b">
        <f>NOT(ISNA(VLOOKUP(A900,PC!A:A,1,FALSE)))</f>
        <v>1</v>
      </c>
      <c r="N900" s="13" t="b">
        <f>NOT(ISNA(VLOOKUP(A900,'Game Pass Premium'!A:A,1,FALSE)))</f>
        <v>1</v>
      </c>
      <c r="O900" s="13" t="b">
        <f>NOT(ISNA(VLOOKUP(A900,'Game Pass Essential'!A:A,1,FALSE)))</f>
        <v>0</v>
      </c>
    </row>
    <row r="901">
      <c r="A901" s="12" t="str">
        <f>IFERROR(__xludf.DUMMYFUNCTION("""COMPUTED_VALUE"""),"Zork Zero: The Revenge of Megaboz")</f>
        <v>Zork Zero: The Revenge of Megaboz</v>
      </c>
      <c r="B901" s="13" t="str">
        <f>IFERROR(__xludf.DUMMYFUNCTION("""COMPUTED_VALUE"""),"Xbox / PC")</f>
        <v>Xbox / PC</v>
      </c>
      <c r="C901" s="14" t="str">
        <f>IFERROR(__xludf.DUMMYFUNCTION("""COMPUTED_VALUE"""),"Yes")</f>
        <v>Yes</v>
      </c>
      <c r="D901" s="14" t="str">
        <f>IFERROR(__xludf.DUMMYFUNCTION("""COMPUTED_VALUE"""),"Active")</f>
        <v>Active</v>
      </c>
      <c r="E901" s="15">
        <f>IFERROR(__xludf.DUMMYFUNCTION("""COMPUTED_VALUE"""),45798.0)</f>
        <v>45798</v>
      </c>
      <c r="F901" s="16"/>
      <c r="G901" s="18">
        <f>IFERROR(__xludf.DUMMYFUNCTION("""COMPUTED_VALUE"""),16.5)</f>
        <v>16.5</v>
      </c>
      <c r="H901" s="15">
        <f>IFERROR(__xludf.DUMMYFUNCTION("""COMPUTED_VALUE"""),32435.0)</f>
        <v>32435</v>
      </c>
      <c r="I901" s="18">
        <f>IFERROR(__xludf.DUMMYFUNCTION("""COMPUTED_VALUE"""),36.58888888888889)</f>
        <v>36.58888889</v>
      </c>
      <c r="J901" s="22"/>
      <c r="K901" s="22">
        <f>IFERROR(__xludf.DUMMYFUNCTION("""COMPUTED_VALUE"""),7.0)</f>
        <v>7</v>
      </c>
      <c r="L901" s="26" t="str">
        <f>IFERROR(__xludf.DUMMYFUNCTION("""COMPUTED_VALUE"""),"Action‑Adventure")</f>
        <v>Action‑Adventure</v>
      </c>
      <c r="M901" s="13" t="b">
        <f>NOT(ISNA(VLOOKUP(A901,PC!A:A,1,FALSE)))</f>
        <v>1</v>
      </c>
      <c r="N901" s="13" t="b">
        <f>NOT(ISNA(VLOOKUP(A901,'Game Pass Premium'!A:A,1,FALSE)))</f>
        <v>1</v>
      </c>
      <c r="O901" s="13" t="b">
        <f>NOT(ISNA(VLOOKUP(A901,'Game Pass Essential'!A:A,1,FALSE)))</f>
        <v>0</v>
      </c>
    </row>
    <row r="902">
      <c r="A902" s="12" t="str">
        <f>IFERROR(__xludf.DUMMYFUNCTION("""COMPUTED_VALUE"""),"Overthrown (Game Preview)")</f>
        <v>Overthrown (Game Preview)</v>
      </c>
      <c r="B902" s="13" t="str">
        <f>IFERROR(__xludf.DUMMYFUNCTION("""COMPUTED_VALUE"""),"Xbox / PC")</f>
        <v>Xbox / PC</v>
      </c>
      <c r="C902" s="14" t="str">
        <f>IFERROR(__xludf.DUMMYFUNCTION("""COMPUTED_VALUE"""),"Yes")</f>
        <v>Yes</v>
      </c>
      <c r="D902" s="14" t="str">
        <f>IFERROR(__xludf.DUMMYFUNCTION("""COMPUTED_VALUE"""),"Active")</f>
        <v>Active</v>
      </c>
      <c r="E902" s="15">
        <f>IFERROR(__xludf.DUMMYFUNCTION("""COMPUTED_VALUE"""),45631.0)</f>
        <v>45631</v>
      </c>
      <c r="F902" s="16"/>
      <c r="G902" s="18">
        <f>IFERROR(__xludf.DUMMYFUNCTION("""COMPUTED_VALUE"""),22.03333333333333)</f>
        <v>22.03333333</v>
      </c>
      <c r="H902" s="15">
        <f>IFERROR(__xludf.DUMMYFUNCTION("""COMPUTED_VALUE"""),45631.0)</f>
        <v>45631</v>
      </c>
      <c r="I902" s="18">
        <f>IFERROR(__xludf.DUMMYFUNCTION("""COMPUTED_VALUE"""),0.0)</f>
        <v>0</v>
      </c>
      <c r="J902" s="22"/>
      <c r="K902" s="22">
        <f>IFERROR(__xludf.DUMMYFUNCTION("""COMPUTED_VALUE"""),12.0)</f>
        <v>12</v>
      </c>
      <c r="L902" s="26" t="str">
        <f>IFERROR(__xludf.DUMMYFUNCTION("""COMPUTED_VALUE"""),"Sandbox")</f>
        <v>Sandbox</v>
      </c>
      <c r="M902" s="13" t="b">
        <f>NOT(ISNA(VLOOKUP(A902,PC!A:A,1,FALSE)))</f>
        <v>1</v>
      </c>
      <c r="N902" s="13" t="b">
        <f>NOT(ISNA(VLOOKUP(A902,'Game Pass Premium'!A:A,1,FALSE)))</f>
        <v>1</v>
      </c>
      <c r="O902" s="13" t="b">
        <f>NOT(ISNA(VLOOKUP(A902,'Game Pass Essential'!A:A,1,FALSE)))</f>
        <v>0</v>
      </c>
    </row>
    <row r="903">
      <c r="A903" s="12"/>
      <c r="B903" s="13"/>
      <c r="C903" s="14"/>
      <c r="D903" s="14"/>
      <c r="E903" s="15"/>
      <c r="F903" s="16"/>
      <c r="G903" s="18"/>
      <c r="H903" s="15"/>
      <c r="I903" s="18"/>
      <c r="J903" s="22"/>
      <c r="K903" s="108"/>
      <c r="L903" s="26"/>
      <c r="M903" s="13" t="b">
        <f>NOT(ISNA(VLOOKUP(A903,PC!A:A,1,FALSE)))</f>
        <v>0</v>
      </c>
      <c r="N903" s="13" t="b">
        <f>NOT(ISNA(VLOOKUP(A903,'Game Pass Premium'!A:A,1,FALSE)))</f>
        <v>0</v>
      </c>
      <c r="O903" s="13" t="b">
        <f>NOT(ISNA(VLOOKUP(A903,'Game Pass Essential'!A:A,1,FALSE)))</f>
        <v>0</v>
      </c>
    </row>
    <row r="904">
      <c r="A904" s="12"/>
      <c r="B904" s="13"/>
      <c r="C904" s="14"/>
      <c r="D904" s="14"/>
      <c r="E904" s="15"/>
      <c r="F904" s="16"/>
      <c r="G904" s="18"/>
      <c r="H904" s="15"/>
      <c r="I904" s="18"/>
      <c r="J904" s="22"/>
      <c r="K904" s="108"/>
      <c r="L904" s="26"/>
      <c r="M904" s="13" t="b">
        <f>NOT(ISNA(VLOOKUP(A904,PC!A:A,1,FALSE)))</f>
        <v>0</v>
      </c>
      <c r="N904" s="13" t="b">
        <f>NOT(ISNA(VLOOKUP(A904,'Game Pass Premium'!A:A,1,FALSE)))</f>
        <v>0</v>
      </c>
      <c r="O904" s="13" t="b">
        <f>NOT(ISNA(VLOOKUP(A904,'Game Pass Essential'!A:A,1,FALSE)))</f>
        <v>0</v>
      </c>
    </row>
    <row r="905">
      <c r="A905" s="12"/>
      <c r="B905" s="13"/>
      <c r="C905" s="14"/>
      <c r="D905" s="14"/>
      <c r="E905" s="15"/>
      <c r="F905" s="16"/>
      <c r="G905" s="18"/>
      <c r="H905" s="15"/>
      <c r="I905" s="18"/>
      <c r="J905" s="22"/>
      <c r="K905" s="108"/>
      <c r="L905" s="26"/>
      <c r="M905" s="13" t="b">
        <f>NOT(ISNA(VLOOKUP(A905,PC!A:A,1,FALSE)))</f>
        <v>0</v>
      </c>
      <c r="N905" s="13" t="b">
        <f>NOT(ISNA(VLOOKUP(A905,'Game Pass Premium'!A:A,1,FALSE)))</f>
        <v>0</v>
      </c>
      <c r="O905" s="13" t="b">
        <f>NOT(ISNA(VLOOKUP(A905,'Game Pass Essential'!A:A,1,FALSE)))</f>
        <v>0</v>
      </c>
    </row>
    <row r="906">
      <c r="A906" s="12"/>
      <c r="B906" s="13"/>
      <c r="C906" s="14"/>
      <c r="D906" s="14"/>
      <c r="E906" s="15"/>
      <c r="F906" s="16"/>
      <c r="G906" s="18"/>
      <c r="H906" s="15"/>
      <c r="I906" s="18"/>
      <c r="J906" s="22"/>
      <c r="K906" s="108"/>
      <c r="L906" s="26"/>
      <c r="M906" s="13" t="b">
        <f>NOT(ISNA(VLOOKUP(A906,PC!A:A,1,FALSE)))</f>
        <v>0</v>
      </c>
      <c r="N906" s="13" t="b">
        <f>NOT(ISNA(VLOOKUP(A906,'Game Pass Premium'!A:A,1,FALSE)))</f>
        <v>0</v>
      </c>
      <c r="O906" s="13" t="b">
        <f>NOT(ISNA(VLOOKUP(A906,'Game Pass Essential'!A:A,1,FALSE)))</f>
        <v>0</v>
      </c>
    </row>
    <row r="907">
      <c r="A907" s="12"/>
      <c r="B907" s="13"/>
      <c r="C907" s="14"/>
      <c r="D907" s="14"/>
      <c r="E907" s="15"/>
      <c r="F907" s="16"/>
      <c r="G907" s="18"/>
      <c r="H907" s="15"/>
      <c r="I907" s="18"/>
      <c r="J907" s="22"/>
      <c r="K907" s="108"/>
      <c r="L907" s="26"/>
      <c r="M907" s="13" t="b">
        <f>NOT(ISNA(VLOOKUP(A907,PC!A:A,1,FALSE)))</f>
        <v>0</v>
      </c>
      <c r="N907" s="13" t="b">
        <f>NOT(ISNA(VLOOKUP(A907,'Game Pass Premium'!A:A,1,FALSE)))</f>
        <v>0</v>
      </c>
      <c r="O907" s="13" t="b">
        <f>NOT(ISNA(VLOOKUP(A907,'Game Pass Essential'!A:A,1,FALSE)))</f>
        <v>0</v>
      </c>
    </row>
    <row r="908">
      <c r="A908" s="12"/>
      <c r="B908" s="13"/>
      <c r="C908" s="14"/>
      <c r="D908" s="14"/>
      <c r="E908" s="15"/>
      <c r="F908" s="16"/>
      <c r="G908" s="18"/>
      <c r="H908" s="15"/>
      <c r="I908" s="18"/>
      <c r="J908" s="22"/>
      <c r="K908" s="108"/>
      <c r="L908" s="26"/>
      <c r="M908" s="13" t="b">
        <f>NOT(ISNA(VLOOKUP(A908,PC!A:A,1,FALSE)))</f>
        <v>0</v>
      </c>
      <c r="N908" s="13" t="b">
        <f>NOT(ISNA(VLOOKUP(A908,'Game Pass Premium'!A:A,1,FALSE)))</f>
        <v>0</v>
      </c>
      <c r="O908" s="13" t="b">
        <f>NOT(ISNA(VLOOKUP(A908,'Game Pass Essential'!A:A,1,FALSE)))</f>
        <v>0</v>
      </c>
    </row>
    <row r="909">
      <c r="A909" s="12"/>
      <c r="B909" s="13"/>
      <c r="C909" s="14"/>
      <c r="D909" s="14"/>
      <c r="E909" s="15"/>
      <c r="F909" s="16"/>
      <c r="G909" s="18"/>
      <c r="H909" s="15"/>
      <c r="I909" s="18"/>
      <c r="J909" s="22"/>
      <c r="K909" s="108"/>
      <c r="L909" s="26"/>
      <c r="M909" s="13" t="b">
        <f>NOT(ISNA(VLOOKUP(A909,PC!A:A,1,FALSE)))</f>
        <v>0</v>
      </c>
      <c r="N909" s="13" t="b">
        <f>NOT(ISNA(VLOOKUP(A909,'Game Pass Premium'!A:A,1,FALSE)))</f>
        <v>0</v>
      </c>
      <c r="O909" s="13" t="b">
        <f>NOT(ISNA(VLOOKUP(A909,'Game Pass Essential'!A:A,1,FALSE)))</f>
        <v>0</v>
      </c>
    </row>
    <row r="910">
      <c r="A910" s="12"/>
      <c r="B910" s="13"/>
      <c r="C910" s="14"/>
      <c r="D910" s="14"/>
      <c r="E910" s="15"/>
      <c r="F910" s="16"/>
      <c r="G910" s="18"/>
      <c r="H910" s="15"/>
      <c r="I910" s="18"/>
      <c r="J910" s="22"/>
      <c r="K910" s="108"/>
      <c r="L910" s="26"/>
      <c r="M910" s="13" t="b">
        <f>NOT(ISNA(VLOOKUP(A910,PC!A:A,1,FALSE)))</f>
        <v>0</v>
      </c>
      <c r="N910" s="13" t="b">
        <f>NOT(ISNA(VLOOKUP(A910,'Game Pass Premium'!A:A,1,FALSE)))</f>
        <v>0</v>
      </c>
      <c r="O910" s="13" t="b">
        <f>NOT(ISNA(VLOOKUP(A910,'Game Pass Essential'!A:A,1,FALSE)))</f>
        <v>0</v>
      </c>
    </row>
    <row r="911">
      <c r="A911" s="12"/>
      <c r="B911" s="13"/>
      <c r="C911" s="14"/>
      <c r="D911" s="14"/>
      <c r="E911" s="15"/>
      <c r="F911" s="16"/>
      <c r="G911" s="18"/>
      <c r="H911" s="15"/>
      <c r="I911" s="18"/>
      <c r="J911" s="22"/>
      <c r="K911" s="108"/>
      <c r="L911" s="26"/>
      <c r="M911" s="13" t="b">
        <f>NOT(ISNA(VLOOKUP(A911,PC!A:A,1,FALSE)))</f>
        <v>0</v>
      </c>
      <c r="N911" s="13" t="b">
        <f>NOT(ISNA(VLOOKUP(A911,'Game Pass Premium'!A:A,1,FALSE)))</f>
        <v>0</v>
      </c>
      <c r="O911" s="13" t="b">
        <f>NOT(ISNA(VLOOKUP(A911,'Game Pass Essential'!A:A,1,FALSE)))</f>
        <v>0</v>
      </c>
    </row>
    <row r="912">
      <c r="A912" s="12"/>
      <c r="B912" s="13"/>
      <c r="C912" s="14"/>
      <c r="D912" s="14"/>
      <c r="E912" s="15"/>
      <c r="F912" s="16"/>
      <c r="G912" s="18"/>
      <c r="H912" s="15"/>
      <c r="I912" s="18"/>
      <c r="J912" s="22"/>
      <c r="K912" s="108"/>
      <c r="L912" s="26"/>
      <c r="M912" s="13" t="b">
        <f>NOT(ISNA(VLOOKUP(A912,PC!A:A,1,FALSE)))</f>
        <v>0</v>
      </c>
      <c r="N912" s="13" t="b">
        <f>NOT(ISNA(VLOOKUP(A912,'Game Pass Premium'!A:A,1,FALSE)))</f>
        <v>0</v>
      </c>
      <c r="O912" s="13" t="b">
        <f>NOT(ISNA(VLOOKUP(A912,'Game Pass Essential'!A:A,1,FALSE)))</f>
        <v>0</v>
      </c>
    </row>
    <row r="913">
      <c r="A913" s="12"/>
      <c r="B913" s="13"/>
      <c r="C913" s="14"/>
      <c r="D913" s="14"/>
      <c r="E913" s="15"/>
      <c r="F913" s="16"/>
      <c r="G913" s="18"/>
      <c r="H913" s="15"/>
      <c r="I913" s="18"/>
      <c r="J913" s="22"/>
      <c r="K913" s="108"/>
      <c r="L913" s="26"/>
      <c r="M913" s="13" t="b">
        <f>NOT(ISNA(VLOOKUP(A913,PC!A:A,1,FALSE)))</f>
        <v>0</v>
      </c>
      <c r="N913" s="13" t="b">
        <f>NOT(ISNA(VLOOKUP(A913,'Game Pass Premium'!A:A,1,FALSE)))</f>
        <v>0</v>
      </c>
      <c r="O913" s="13" t="b">
        <f>NOT(ISNA(VLOOKUP(A913,'Game Pass Essential'!A:A,1,FALSE)))</f>
        <v>0</v>
      </c>
    </row>
    <row r="914">
      <c r="A914" s="12"/>
      <c r="B914" s="13"/>
      <c r="C914" s="14"/>
      <c r="D914" s="14"/>
      <c r="E914" s="15"/>
      <c r="F914" s="16"/>
      <c r="G914" s="18"/>
      <c r="H914" s="15"/>
      <c r="I914" s="18"/>
      <c r="J914" s="22"/>
      <c r="K914" s="108"/>
      <c r="L914" s="26"/>
      <c r="M914" s="13" t="b">
        <f>NOT(ISNA(VLOOKUP(A914,PC!A:A,1,FALSE)))</f>
        <v>0</v>
      </c>
      <c r="N914" s="13" t="b">
        <f>NOT(ISNA(VLOOKUP(A914,'Game Pass Premium'!A:A,1,FALSE)))</f>
        <v>0</v>
      </c>
      <c r="O914" s="13" t="b">
        <f>NOT(ISNA(VLOOKUP(A914,'Game Pass Essential'!A:A,1,FALSE)))</f>
        <v>0</v>
      </c>
    </row>
    <row r="915">
      <c r="A915" s="12"/>
      <c r="B915" s="13"/>
      <c r="C915" s="14"/>
      <c r="D915" s="14"/>
      <c r="E915" s="15"/>
      <c r="F915" s="16"/>
      <c r="G915" s="18"/>
      <c r="H915" s="15"/>
      <c r="I915" s="18"/>
      <c r="J915" s="22"/>
      <c r="K915" s="108"/>
      <c r="L915" s="26"/>
      <c r="M915" s="13" t="b">
        <f>NOT(ISNA(VLOOKUP(A915,PC!A:A,1,FALSE)))</f>
        <v>0</v>
      </c>
      <c r="N915" s="13" t="b">
        <f>NOT(ISNA(VLOOKUP(A915,'Game Pass Premium'!A:A,1,FALSE)))</f>
        <v>0</v>
      </c>
      <c r="O915" s="13" t="b">
        <f>NOT(ISNA(VLOOKUP(A915,'Game Pass Essential'!A:A,1,FALSE)))</f>
        <v>0</v>
      </c>
    </row>
    <row r="916">
      <c r="A916" s="12"/>
      <c r="B916" s="13"/>
      <c r="C916" s="14"/>
      <c r="D916" s="14"/>
      <c r="E916" s="15"/>
      <c r="F916" s="16"/>
      <c r="G916" s="18"/>
      <c r="H916" s="15"/>
      <c r="I916" s="18"/>
      <c r="J916" s="22"/>
      <c r="K916" s="108"/>
      <c r="L916" s="26"/>
      <c r="M916" s="13" t="b">
        <f>NOT(ISNA(VLOOKUP(A916,PC!A:A,1,FALSE)))</f>
        <v>0</v>
      </c>
      <c r="N916" s="13" t="b">
        <f>NOT(ISNA(VLOOKUP(A916,'Game Pass Premium'!A:A,1,FALSE)))</f>
        <v>0</v>
      </c>
      <c r="O916" s="13" t="b">
        <f>NOT(ISNA(VLOOKUP(A916,'Game Pass Essential'!A:A,1,FALSE)))</f>
        <v>0</v>
      </c>
    </row>
    <row r="917">
      <c r="A917" s="12"/>
      <c r="B917" s="13"/>
      <c r="C917" s="14"/>
      <c r="D917" s="14"/>
      <c r="E917" s="15"/>
      <c r="F917" s="16"/>
      <c r="G917" s="18"/>
      <c r="H917" s="15"/>
      <c r="I917" s="18"/>
      <c r="J917" s="22"/>
      <c r="K917" s="108"/>
      <c r="L917" s="26"/>
      <c r="M917" s="13" t="b">
        <f>NOT(ISNA(VLOOKUP(A917,PC!A:A,1,FALSE)))</f>
        <v>0</v>
      </c>
      <c r="N917" s="13" t="b">
        <f>NOT(ISNA(VLOOKUP(A917,'Game Pass Premium'!A:A,1,FALSE)))</f>
        <v>0</v>
      </c>
      <c r="O917" s="13" t="b">
        <f>NOT(ISNA(VLOOKUP(A917,'Game Pass Essential'!A:A,1,FALSE)))</f>
        <v>0</v>
      </c>
    </row>
    <row r="918">
      <c r="A918" s="12"/>
      <c r="B918" s="13"/>
      <c r="C918" s="14"/>
      <c r="D918" s="14"/>
      <c r="E918" s="15"/>
      <c r="F918" s="16"/>
      <c r="G918" s="18"/>
      <c r="H918" s="15"/>
      <c r="I918" s="18"/>
      <c r="J918" s="22"/>
      <c r="K918" s="108"/>
      <c r="L918" s="26"/>
      <c r="M918" s="13" t="b">
        <f>NOT(ISNA(VLOOKUP(A918,PC!A:A,1,FALSE)))</f>
        <v>0</v>
      </c>
      <c r="N918" s="13" t="b">
        <f>NOT(ISNA(VLOOKUP(A918,'Game Pass Premium'!A:A,1,FALSE)))</f>
        <v>0</v>
      </c>
      <c r="O918" s="13" t="b">
        <f>NOT(ISNA(VLOOKUP(A918,'Game Pass Essential'!A:A,1,FALSE)))</f>
        <v>0</v>
      </c>
    </row>
    <row r="919">
      <c r="A919" s="12"/>
      <c r="B919" s="13"/>
      <c r="C919" s="14"/>
      <c r="D919" s="14"/>
      <c r="E919" s="15"/>
      <c r="F919" s="16"/>
      <c r="G919" s="18"/>
      <c r="H919" s="15"/>
      <c r="I919" s="18"/>
      <c r="J919" s="22"/>
      <c r="K919" s="108"/>
      <c r="L919" s="26"/>
      <c r="M919" s="13" t="b">
        <f>NOT(ISNA(VLOOKUP(A919,PC!A:A,1,FALSE)))</f>
        <v>0</v>
      </c>
      <c r="N919" s="13" t="b">
        <f>NOT(ISNA(VLOOKUP(A919,'Game Pass Premium'!A:A,1,FALSE)))</f>
        <v>0</v>
      </c>
      <c r="O919" s="13" t="b">
        <f>NOT(ISNA(VLOOKUP(A919,'Game Pass Essential'!A:A,1,FALSE)))</f>
        <v>0</v>
      </c>
    </row>
    <row r="920">
      <c r="A920" s="12"/>
      <c r="B920" s="13"/>
      <c r="C920" s="14"/>
      <c r="D920" s="14"/>
      <c r="E920" s="15"/>
      <c r="F920" s="16"/>
      <c r="G920" s="18"/>
      <c r="H920" s="15"/>
      <c r="I920" s="18"/>
      <c r="J920" s="22"/>
      <c r="K920" s="108"/>
      <c r="L920" s="26"/>
      <c r="M920" s="13" t="b">
        <f>NOT(ISNA(VLOOKUP(A920,PC!A:A,1,FALSE)))</f>
        <v>0</v>
      </c>
      <c r="N920" s="13" t="b">
        <f>NOT(ISNA(VLOOKUP(A920,'Game Pass Premium'!A:A,1,FALSE)))</f>
        <v>0</v>
      </c>
      <c r="O920" s="13" t="b">
        <f>NOT(ISNA(VLOOKUP(A920,'Game Pass Essential'!A:A,1,FALSE)))</f>
        <v>0</v>
      </c>
    </row>
    <row r="921">
      <c r="A921" s="12"/>
      <c r="B921" s="13"/>
      <c r="C921" s="14"/>
      <c r="D921" s="14"/>
      <c r="E921" s="15"/>
      <c r="F921" s="16"/>
      <c r="G921" s="18"/>
      <c r="H921" s="15"/>
      <c r="I921" s="18"/>
      <c r="J921" s="22"/>
      <c r="K921" s="108"/>
      <c r="L921" s="26"/>
      <c r="M921" s="13" t="b">
        <f>NOT(ISNA(VLOOKUP(A921,PC!A:A,1,FALSE)))</f>
        <v>0</v>
      </c>
      <c r="N921" s="13" t="b">
        <f>NOT(ISNA(VLOOKUP(A921,'Game Pass Premium'!A:A,1,FALSE)))</f>
        <v>0</v>
      </c>
      <c r="O921" s="13" t="b">
        <f>NOT(ISNA(VLOOKUP(A921,'Game Pass Essential'!A:A,1,FALSE)))</f>
        <v>0</v>
      </c>
    </row>
    <row r="922">
      <c r="A922" s="12"/>
      <c r="B922" s="13"/>
      <c r="C922" s="14"/>
      <c r="D922" s="14"/>
      <c r="E922" s="15"/>
      <c r="F922" s="16"/>
      <c r="G922" s="18"/>
      <c r="H922" s="15"/>
      <c r="I922" s="18"/>
      <c r="J922" s="22"/>
      <c r="K922" s="108"/>
      <c r="L922" s="26"/>
      <c r="M922" s="13" t="b">
        <f>NOT(ISNA(VLOOKUP(A922,PC!A:A,1,FALSE)))</f>
        <v>0</v>
      </c>
      <c r="N922" s="13" t="b">
        <f>NOT(ISNA(VLOOKUP(A922,'Game Pass Premium'!A:A,1,FALSE)))</f>
        <v>0</v>
      </c>
      <c r="O922" s="13" t="b">
        <f>NOT(ISNA(VLOOKUP(A922,'Game Pass Essential'!A:A,1,FALSE)))</f>
        <v>0</v>
      </c>
    </row>
    <row r="923">
      <c r="A923" s="12"/>
      <c r="B923" s="13"/>
      <c r="C923" s="14"/>
      <c r="D923" s="14"/>
      <c r="E923" s="15"/>
      <c r="F923" s="16"/>
      <c r="G923" s="18"/>
      <c r="H923" s="15"/>
      <c r="I923" s="18"/>
      <c r="J923" s="22"/>
      <c r="K923" s="108"/>
      <c r="L923" s="26"/>
      <c r="M923" s="13" t="b">
        <f>NOT(ISNA(VLOOKUP(A923,PC!A:A,1,FALSE)))</f>
        <v>0</v>
      </c>
      <c r="N923" s="13" t="b">
        <f>NOT(ISNA(VLOOKUP(A923,'Game Pass Premium'!A:A,1,FALSE)))</f>
        <v>0</v>
      </c>
      <c r="O923" s="13" t="b">
        <f>NOT(ISNA(VLOOKUP(A923,'Game Pass Essential'!A:A,1,FALSE)))</f>
        <v>0</v>
      </c>
    </row>
    <row r="924">
      <c r="A924" s="12"/>
      <c r="B924" s="13"/>
      <c r="C924" s="14"/>
      <c r="D924" s="14"/>
      <c r="E924" s="15"/>
      <c r="F924" s="16"/>
      <c r="G924" s="18"/>
      <c r="H924" s="15"/>
      <c r="I924" s="18"/>
      <c r="J924" s="22"/>
      <c r="K924" s="108"/>
      <c r="L924" s="26"/>
      <c r="M924" s="13" t="b">
        <f>NOT(ISNA(VLOOKUP(A924,PC!A:A,1,FALSE)))</f>
        <v>0</v>
      </c>
      <c r="N924" s="13" t="b">
        <f>NOT(ISNA(VLOOKUP(A924,'Game Pass Premium'!A:A,1,FALSE)))</f>
        <v>0</v>
      </c>
      <c r="O924" s="13" t="b">
        <f>NOT(ISNA(VLOOKUP(A924,'Game Pass Essential'!A:A,1,FALSE)))</f>
        <v>0</v>
      </c>
    </row>
    <row r="925">
      <c r="A925" s="12"/>
      <c r="B925" s="13"/>
      <c r="C925" s="14"/>
      <c r="D925" s="14"/>
      <c r="E925" s="15"/>
      <c r="F925" s="16"/>
      <c r="G925" s="18"/>
      <c r="H925" s="15"/>
      <c r="I925" s="18"/>
      <c r="J925" s="22"/>
      <c r="K925" s="108"/>
      <c r="L925" s="26"/>
      <c r="M925" s="13" t="b">
        <f>NOT(ISNA(VLOOKUP(A925,PC!A:A,1,FALSE)))</f>
        <v>0</v>
      </c>
      <c r="N925" s="13" t="b">
        <f>NOT(ISNA(VLOOKUP(A925,'Game Pass Premium'!A:A,1,FALSE)))</f>
        <v>0</v>
      </c>
      <c r="O925" s="13" t="b">
        <f>NOT(ISNA(VLOOKUP(A925,'Game Pass Essential'!A:A,1,FALSE)))</f>
        <v>0</v>
      </c>
    </row>
    <row r="926">
      <c r="A926" s="12"/>
      <c r="B926" s="13"/>
      <c r="C926" s="14"/>
      <c r="D926" s="14"/>
      <c r="E926" s="15"/>
      <c r="F926" s="16"/>
      <c r="G926" s="18"/>
      <c r="H926" s="15"/>
      <c r="I926" s="18"/>
      <c r="J926" s="22"/>
      <c r="K926" s="108"/>
      <c r="L926" s="26"/>
      <c r="M926" s="13" t="b">
        <f>NOT(ISNA(VLOOKUP(A926,PC!A:A,1,FALSE)))</f>
        <v>0</v>
      </c>
      <c r="N926" s="13" t="b">
        <f>NOT(ISNA(VLOOKUP(A926,'Game Pass Premium'!A:A,1,FALSE)))</f>
        <v>0</v>
      </c>
      <c r="O926" s="13" t="b">
        <f>NOT(ISNA(VLOOKUP(A926,'Game Pass Essential'!A:A,1,FALSE)))</f>
        <v>0</v>
      </c>
    </row>
    <row r="927">
      <c r="A927" s="12"/>
      <c r="B927" s="13"/>
      <c r="C927" s="14"/>
      <c r="D927" s="14"/>
      <c r="E927" s="15"/>
      <c r="F927" s="16"/>
      <c r="G927" s="18"/>
      <c r="H927" s="15"/>
      <c r="I927" s="18"/>
      <c r="J927" s="22"/>
      <c r="K927" s="108"/>
      <c r="L927" s="26"/>
      <c r="M927" s="13" t="b">
        <f>NOT(ISNA(VLOOKUP(A927,PC!A:A,1,FALSE)))</f>
        <v>0</v>
      </c>
      <c r="N927" s="13" t="b">
        <f>NOT(ISNA(VLOOKUP(A927,'Game Pass Premium'!A:A,1,FALSE)))</f>
        <v>0</v>
      </c>
      <c r="O927" s="13" t="b">
        <f>NOT(ISNA(VLOOKUP(A927,'Game Pass Essential'!A:A,1,FALSE)))</f>
        <v>0</v>
      </c>
    </row>
    <row r="928">
      <c r="A928" s="12"/>
      <c r="B928" s="13"/>
      <c r="C928" s="14"/>
      <c r="D928" s="14"/>
      <c r="E928" s="15"/>
      <c r="F928" s="16"/>
      <c r="G928" s="18"/>
      <c r="H928" s="15"/>
      <c r="I928" s="18"/>
      <c r="J928" s="22"/>
      <c r="K928" s="108"/>
      <c r="L928" s="26"/>
      <c r="M928" s="13" t="b">
        <f>NOT(ISNA(VLOOKUP(A928,PC!A:A,1,FALSE)))</f>
        <v>0</v>
      </c>
      <c r="N928" s="13" t="b">
        <f>NOT(ISNA(VLOOKUP(A928,'Game Pass Premium'!A:A,1,FALSE)))</f>
        <v>0</v>
      </c>
      <c r="O928" s="13" t="b">
        <f>NOT(ISNA(VLOOKUP(A928,'Game Pass Essential'!A:A,1,FALSE)))</f>
        <v>0</v>
      </c>
    </row>
    <row r="929">
      <c r="A929" s="12"/>
      <c r="B929" s="13"/>
      <c r="C929" s="14"/>
      <c r="D929" s="14"/>
      <c r="E929" s="15"/>
      <c r="F929" s="16"/>
      <c r="G929" s="18"/>
      <c r="H929" s="15"/>
      <c r="I929" s="18"/>
      <c r="J929" s="22"/>
      <c r="K929" s="108"/>
      <c r="L929" s="26"/>
      <c r="M929" s="13" t="b">
        <f>NOT(ISNA(VLOOKUP(A929,PC!A:A,1,FALSE)))</f>
        <v>0</v>
      </c>
      <c r="N929" s="13" t="b">
        <f>NOT(ISNA(VLOOKUP(A929,'Game Pass Premium'!A:A,1,FALSE)))</f>
        <v>0</v>
      </c>
      <c r="O929" s="13" t="b">
        <f>NOT(ISNA(VLOOKUP(A929,'Game Pass Essential'!A:A,1,FALSE)))</f>
        <v>0</v>
      </c>
    </row>
    <row r="930">
      <c r="A930" s="12"/>
      <c r="B930" s="13"/>
      <c r="C930" s="14"/>
      <c r="D930" s="14"/>
      <c r="E930" s="15"/>
      <c r="F930" s="16"/>
      <c r="G930" s="18"/>
      <c r="H930" s="15"/>
      <c r="I930" s="18"/>
      <c r="J930" s="22"/>
      <c r="K930" s="108"/>
      <c r="L930" s="26"/>
      <c r="M930" s="13" t="b">
        <f>NOT(ISNA(VLOOKUP(A930,PC!A:A,1,FALSE)))</f>
        <v>0</v>
      </c>
      <c r="N930" s="13" t="b">
        <f>NOT(ISNA(VLOOKUP(A930,'Game Pass Premium'!A:A,1,FALSE)))</f>
        <v>0</v>
      </c>
      <c r="O930" s="13" t="b">
        <f>NOT(ISNA(VLOOKUP(A930,'Game Pass Essential'!A:A,1,FALSE)))</f>
        <v>0</v>
      </c>
    </row>
    <row r="931">
      <c r="A931" s="12"/>
      <c r="B931" s="13"/>
      <c r="C931" s="14"/>
      <c r="D931" s="14"/>
      <c r="E931" s="15"/>
      <c r="F931" s="16"/>
      <c r="G931" s="18"/>
      <c r="H931" s="15"/>
      <c r="I931" s="18"/>
      <c r="J931" s="22"/>
      <c r="K931" s="108"/>
      <c r="L931" s="26"/>
      <c r="M931" s="13" t="b">
        <f>NOT(ISNA(VLOOKUP(A931,PC!A:A,1,FALSE)))</f>
        <v>0</v>
      </c>
      <c r="N931" s="13" t="b">
        <f>NOT(ISNA(VLOOKUP(A931,'Game Pass Premium'!A:A,1,FALSE)))</f>
        <v>0</v>
      </c>
      <c r="O931" s="13" t="b">
        <f>NOT(ISNA(VLOOKUP(A931,'Game Pass Essential'!A:A,1,FALSE)))</f>
        <v>0</v>
      </c>
    </row>
    <row r="932">
      <c r="A932" s="12"/>
      <c r="B932" s="13"/>
      <c r="C932" s="14"/>
      <c r="D932" s="14"/>
      <c r="E932" s="15"/>
      <c r="F932" s="16"/>
      <c r="G932" s="18"/>
      <c r="H932" s="15"/>
      <c r="I932" s="18"/>
      <c r="J932" s="22"/>
      <c r="K932" s="108"/>
      <c r="L932" s="26"/>
      <c r="M932" s="13" t="b">
        <f>NOT(ISNA(VLOOKUP(A932,PC!A:A,1,FALSE)))</f>
        <v>0</v>
      </c>
      <c r="N932" s="13" t="b">
        <f>NOT(ISNA(VLOOKUP(A932,'Game Pass Premium'!A:A,1,FALSE)))</f>
        <v>0</v>
      </c>
      <c r="O932" s="13" t="b">
        <f>NOT(ISNA(VLOOKUP(A932,'Game Pass Essential'!A:A,1,FALSE)))</f>
        <v>0</v>
      </c>
    </row>
    <row r="933">
      <c r="A933" s="12"/>
      <c r="B933" s="13"/>
      <c r="C933" s="14"/>
      <c r="D933" s="14"/>
      <c r="E933" s="15"/>
      <c r="F933" s="16"/>
      <c r="G933" s="18"/>
      <c r="H933" s="15"/>
      <c r="I933" s="18"/>
      <c r="J933" s="22"/>
      <c r="K933" s="108"/>
      <c r="L933" s="26"/>
      <c r="M933" s="13" t="b">
        <f>NOT(ISNA(VLOOKUP(A933,PC!A:A,1,FALSE)))</f>
        <v>0</v>
      </c>
      <c r="N933" s="13" t="b">
        <f>NOT(ISNA(VLOOKUP(A933,'Game Pass Premium'!A:A,1,FALSE)))</f>
        <v>0</v>
      </c>
      <c r="O933" s="13" t="b">
        <f>NOT(ISNA(VLOOKUP(A933,'Game Pass Essential'!A:A,1,FALSE)))</f>
        <v>0</v>
      </c>
    </row>
    <row r="934">
      <c r="A934" s="12"/>
      <c r="B934" s="13"/>
      <c r="C934" s="14"/>
      <c r="D934" s="14"/>
      <c r="E934" s="15"/>
      <c r="F934" s="16"/>
      <c r="G934" s="18"/>
      <c r="H934" s="15"/>
      <c r="I934" s="18"/>
      <c r="J934" s="22"/>
      <c r="K934" s="108"/>
      <c r="L934" s="26"/>
      <c r="M934" s="13" t="b">
        <f>NOT(ISNA(VLOOKUP(A934,PC!A:A,1,FALSE)))</f>
        <v>0</v>
      </c>
      <c r="N934" s="13" t="b">
        <f>NOT(ISNA(VLOOKUP(A934,'Game Pass Premium'!A:A,1,FALSE)))</f>
        <v>0</v>
      </c>
      <c r="O934" s="13" t="b">
        <f>NOT(ISNA(VLOOKUP(A934,'Game Pass Essential'!A:A,1,FALSE)))</f>
        <v>0</v>
      </c>
    </row>
    <row r="935">
      <c r="A935" s="12"/>
      <c r="B935" s="13"/>
      <c r="C935" s="14"/>
      <c r="D935" s="14"/>
      <c r="E935" s="15"/>
      <c r="F935" s="16"/>
      <c r="G935" s="18"/>
      <c r="H935" s="15"/>
      <c r="I935" s="18"/>
      <c r="J935" s="22"/>
      <c r="K935" s="108"/>
      <c r="L935" s="26"/>
      <c r="M935" s="13" t="b">
        <f>NOT(ISNA(VLOOKUP(A935,PC!A:A,1,FALSE)))</f>
        <v>0</v>
      </c>
      <c r="N935" s="13" t="b">
        <f>NOT(ISNA(VLOOKUP(A935,'Game Pass Premium'!A:A,1,FALSE)))</f>
        <v>0</v>
      </c>
      <c r="O935" s="13" t="b">
        <f>NOT(ISNA(VLOOKUP(A935,'Game Pass Essential'!A:A,1,FALSE)))</f>
        <v>0</v>
      </c>
    </row>
    <row r="936">
      <c r="A936" s="12"/>
      <c r="B936" s="13"/>
      <c r="C936" s="14"/>
      <c r="D936" s="14"/>
      <c r="E936" s="15"/>
      <c r="F936" s="16"/>
      <c r="G936" s="18"/>
      <c r="H936" s="15"/>
      <c r="I936" s="18"/>
      <c r="J936" s="22"/>
      <c r="K936" s="108"/>
      <c r="L936" s="26"/>
      <c r="M936" s="13" t="b">
        <f>NOT(ISNA(VLOOKUP(A936,PC!A:A,1,FALSE)))</f>
        <v>0</v>
      </c>
      <c r="N936" s="13" t="b">
        <f>NOT(ISNA(VLOOKUP(A936,'Game Pass Premium'!A:A,1,FALSE)))</f>
        <v>0</v>
      </c>
      <c r="O936" s="13" t="b">
        <f>NOT(ISNA(VLOOKUP(A936,'Game Pass Essential'!A:A,1,FALSE)))</f>
        <v>0</v>
      </c>
    </row>
    <row r="937">
      <c r="A937" s="12"/>
      <c r="B937" s="13"/>
      <c r="C937" s="14"/>
      <c r="D937" s="14"/>
      <c r="E937" s="15"/>
      <c r="F937" s="16"/>
      <c r="G937" s="18"/>
      <c r="H937" s="15"/>
      <c r="I937" s="18"/>
      <c r="J937" s="22"/>
      <c r="K937" s="108"/>
      <c r="L937" s="26"/>
      <c r="M937" s="13" t="b">
        <f>NOT(ISNA(VLOOKUP(A937,PC!A:A,1,FALSE)))</f>
        <v>0</v>
      </c>
      <c r="N937" s="13" t="b">
        <f>NOT(ISNA(VLOOKUP(A937,'Game Pass Premium'!A:A,1,FALSE)))</f>
        <v>0</v>
      </c>
      <c r="O937" s="13" t="b">
        <f>NOT(ISNA(VLOOKUP(A937,'Game Pass Essential'!A:A,1,FALSE)))</f>
        <v>0</v>
      </c>
    </row>
    <row r="938">
      <c r="A938" s="12"/>
      <c r="B938" s="13"/>
      <c r="C938" s="14"/>
      <c r="D938" s="14"/>
      <c r="E938" s="15"/>
      <c r="F938" s="16"/>
      <c r="G938" s="18"/>
      <c r="H938" s="15"/>
      <c r="I938" s="18"/>
      <c r="J938" s="22"/>
      <c r="K938" s="108"/>
      <c r="L938" s="26"/>
      <c r="M938" s="13" t="b">
        <f>NOT(ISNA(VLOOKUP(A938,PC!A:A,1,FALSE)))</f>
        <v>0</v>
      </c>
      <c r="N938" s="13" t="b">
        <f>NOT(ISNA(VLOOKUP(A938,'Game Pass Premium'!A:A,1,FALSE)))</f>
        <v>0</v>
      </c>
      <c r="O938" s="13" t="b">
        <f>NOT(ISNA(VLOOKUP(A938,'Game Pass Essential'!A:A,1,FALSE)))</f>
        <v>0</v>
      </c>
    </row>
    <row r="939">
      <c r="A939" s="12"/>
      <c r="B939" s="13"/>
      <c r="C939" s="14"/>
      <c r="D939" s="14"/>
      <c r="E939" s="15"/>
      <c r="F939" s="16"/>
      <c r="G939" s="18"/>
      <c r="H939" s="15"/>
      <c r="I939" s="18"/>
      <c r="J939" s="22"/>
      <c r="K939" s="108"/>
      <c r="L939" s="26"/>
      <c r="M939" s="13" t="b">
        <f>NOT(ISNA(VLOOKUP(A939,PC!A:A,1,FALSE)))</f>
        <v>0</v>
      </c>
      <c r="N939" s="13" t="b">
        <f>NOT(ISNA(VLOOKUP(A939,'Game Pass Premium'!A:A,1,FALSE)))</f>
        <v>0</v>
      </c>
      <c r="O939" s="13" t="b">
        <f>NOT(ISNA(VLOOKUP(A939,'Game Pass Essential'!A:A,1,FALSE)))</f>
        <v>0</v>
      </c>
    </row>
    <row r="940">
      <c r="A940" s="12"/>
      <c r="B940" s="13"/>
      <c r="C940" s="14"/>
      <c r="D940" s="14"/>
      <c r="E940" s="15"/>
      <c r="F940" s="16"/>
      <c r="G940" s="18"/>
      <c r="H940" s="15"/>
      <c r="I940" s="18"/>
      <c r="J940" s="22"/>
      <c r="K940" s="108"/>
      <c r="L940" s="26"/>
      <c r="M940" s="13" t="b">
        <f>NOT(ISNA(VLOOKUP(A940,PC!A:A,1,FALSE)))</f>
        <v>0</v>
      </c>
      <c r="N940" s="13" t="b">
        <f>NOT(ISNA(VLOOKUP(A940,'Game Pass Premium'!A:A,1,FALSE)))</f>
        <v>0</v>
      </c>
      <c r="O940" s="13" t="b">
        <f>NOT(ISNA(VLOOKUP(A940,'Game Pass Essential'!A:A,1,FALSE)))</f>
        <v>0</v>
      </c>
    </row>
    <row r="941">
      <c r="A941" s="12"/>
      <c r="B941" s="13"/>
      <c r="C941" s="14"/>
      <c r="D941" s="14"/>
      <c r="E941" s="15"/>
      <c r="F941" s="16"/>
      <c r="G941" s="18"/>
      <c r="H941" s="15"/>
      <c r="I941" s="18"/>
      <c r="J941" s="22"/>
      <c r="K941" s="108"/>
      <c r="L941" s="26"/>
      <c r="M941" s="13" t="b">
        <f>NOT(ISNA(VLOOKUP(A941,PC!A:A,1,FALSE)))</f>
        <v>0</v>
      </c>
      <c r="N941" s="13" t="b">
        <f>NOT(ISNA(VLOOKUP(A941,'Game Pass Premium'!A:A,1,FALSE)))</f>
        <v>0</v>
      </c>
      <c r="O941" s="13" t="b">
        <f>NOT(ISNA(VLOOKUP(A941,'Game Pass Essential'!A:A,1,FALSE)))</f>
        <v>0</v>
      </c>
    </row>
    <row r="942">
      <c r="A942" s="12"/>
      <c r="B942" s="13"/>
      <c r="C942" s="14"/>
      <c r="D942" s="14"/>
      <c r="E942" s="15"/>
      <c r="F942" s="16"/>
      <c r="G942" s="18"/>
      <c r="H942" s="15"/>
      <c r="I942" s="18"/>
      <c r="J942" s="22"/>
      <c r="K942" s="108"/>
      <c r="L942" s="26"/>
      <c r="M942" s="13" t="b">
        <f>NOT(ISNA(VLOOKUP(A942,PC!A:A,1,FALSE)))</f>
        <v>0</v>
      </c>
      <c r="N942" s="13" t="b">
        <f>NOT(ISNA(VLOOKUP(A942,'Game Pass Premium'!A:A,1,FALSE)))</f>
        <v>0</v>
      </c>
      <c r="O942" s="13" t="b">
        <f>NOT(ISNA(VLOOKUP(A942,'Game Pass Essential'!A:A,1,FALSE)))</f>
        <v>0</v>
      </c>
    </row>
    <row r="943">
      <c r="A943" s="12"/>
      <c r="B943" s="13"/>
      <c r="C943" s="14"/>
      <c r="D943" s="14"/>
      <c r="E943" s="15"/>
      <c r="F943" s="16"/>
      <c r="G943" s="18"/>
      <c r="H943" s="15"/>
      <c r="I943" s="18"/>
      <c r="J943" s="22"/>
      <c r="K943" s="108"/>
      <c r="L943" s="26"/>
      <c r="M943" s="13" t="b">
        <f>NOT(ISNA(VLOOKUP(A943,PC!A:A,1,FALSE)))</f>
        <v>0</v>
      </c>
      <c r="N943" s="13" t="b">
        <f>NOT(ISNA(VLOOKUP(A943,'Game Pass Premium'!A:A,1,FALSE)))</f>
        <v>0</v>
      </c>
      <c r="O943" s="13" t="b">
        <f>NOT(ISNA(VLOOKUP(A943,'Game Pass Essential'!A:A,1,FALSE)))</f>
        <v>0</v>
      </c>
    </row>
    <row r="944">
      <c r="A944" s="12"/>
      <c r="B944" s="13"/>
      <c r="C944" s="14"/>
      <c r="D944" s="14"/>
      <c r="E944" s="15"/>
      <c r="F944" s="16"/>
      <c r="G944" s="18"/>
      <c r="H944" s="15"/>
      <c r="I944" s="18"/>
      <c r="J944" s="22"/>
      <c r="K944" s="108"/>
      <c r="L944" s="26"/>
      <c r="M944" s="13" t="b">
        <f>NOT(ISNA(VLOOKUP(A944,PC!A:A,1,FALSE)))</f>
        <v>0</v>
      </c>
      <c r="N944" s="13" t="b">
        <f>NOT(ISNA(VLOOKUP(A944,'Game Pass Premium'!A:A,1,FALSE)))</f>
        <v>0</v>
      </c>
      <c r="O944" s="13" t="b">
        <f>NOT(ISNA(VLOOKUP(A944,'Game Pass Essential'!A:A,1,FALSE)))</f>
        <v>0</v>
      </c>
    </row>
    <row r="945">
      <c r="A945" s="12"/>
      <c r="B945" s="13"/>
      <c r="C945" s="14"/>
      <c r="D945" s="14"/>
      <c r="E945" s="15"/>
      <c r="F945" s="16"/>
      <c r="G945" s="18"/>
      <c r="H945" s="15"/>
      <c r="I945" s="18"/>
      <c r="J945" s="22"/>
      <c r="K945" s="108"/>
      <c r="L945" s="26"/>
      <c r="M945" s="13" t="b">
        <f>NOT(ISNA(VLOOKUP(A945,PC!A:A,1,FALSE)))</f>
        <v>0</v>
      </c>
      <c r="N945" s="13" t="b">
        <f>NOT(ISNA(VLOOKUP(A945,'Game Pass Premium'!A:A,1,FALSE)))</f>
        <v>0</v>
      </c>
      <c r="O945" s="13" t="b">
        <f>NOT(ISNA(VLOOKUP(A945,'Game Pass Essential'!A:A,1,FALSE)))</f>
        <v>0</v>
      </c>
    </row>
    <row r="946">
      <c r="A946" s="12"/>
      <c r="B946" s="13"/>
      <c r="C946" s="14"/>
      <c r="D946" s="14"/>
      <c r="E946" s="15"/>
      <c r="F946" s="16"/>
      <c r="G946" s="18"/>
      <c r="H946" s="15"/>
      <c r="I946" s="18"/>
      <c r="J946" s="22"/>
      <c r="K946" s="108"/>
      <c r="L946" s="26"/>
      <c r="M946" s="13" t="b">
        <f>NOT(ISNA(VLOOKUP(A946,PC!A:A,1,FALSE)))</f>
        <v>0</v>
      </c>
      <c r="N946" s="13" t="b">
        <f>NOT(ISNA(VLOOKUP(A946,'Game Pass Premium'!A:A,1,FALSE)))</f>
        <v>0</v>
      </c>
      <c r="O946" s="13" t="b">
        <f>NOT(ISNA(VLOOKUP(A946,'Game Pass Essential'!A:A,1,FALSE)))</f>
        <v>0</v>
      </c>
    </row>
    <row r="947">
      <c r="A947" s="12"/>
      <c r="B947" s="13"/>
      <c r="C947" s="14"/>
      <c r="D947" s="14"/>
      <c r="E947" s="15"/>
      <c r="F947" s="16"/>
      <c r="G947" s="18"/>
      <c r="H947" s="15"/>
      <c r="I947" s="18"/>
      <c r="J947" s="22"/>
      <c r="K947" s="108"/>
      <c r="L947" s="26"/>
      <c r="M947" s="13" t="b">
        <f>NOT(ISNA(VLOOKUP(A947,PC!A:A,1,FALSE)))</f>
        <v>0</v>
      </c>
      <c r="N947" s="13" t="b">
        <f>NOT(ISNA(VLOOKUP(A947,'Game Pass Premium'!A:A,1,FALSE)))</f>
        <v>0</v>
      </c>
      <c r="O947" s="13" t="b">
        <f>NOT(ISNA(VLOOKUP(A947,'Game Pass Essential'!A:A,1,FALSE)))</f>
        <v>0</v>
      </c>
    </row>
    <row r="948">
      <c r="A948" s="12"/>
      <c r="B948" s="13"/>
      <c r="C948" s="14"/>
      <c r="D948" s="14"/>
      <c r="E948" s="15"/>
      <c r="F948" s="16"/>
      <c r="G948" s="18"/>
      <c r="H948" s="15"/>
      <c r="I948" s="18"/>
      <c r="J948" s="22"/>
      <c r="K948" s="108"/>
      <c r="L948" s="26"/>
      <c r="M948" s="13" t="b">
        <f>NOT(ISNA(VLOOKUP(A948,PC!A:A,1,FALSE)))</f>
        <v>0</v>
      </c>
      <c r="N948" s="13" t="b">
        <f>NOT(ISNA(VLOOKUP(A948,'Game Pass Premium'!A:A,1,FALSE)))</f>
        <v>0</v>
      </c>
      <c r="O948" s="13" t="b">
        <f>NOT(ISNA(VLOOKUP(A948,'Game Pass Essential'!A:A,1,FALSE)))</f>
        <v>0</v>
      </c>
    </row>
    <row r="949">
      <c r="A949" s="12"/>
      <c r="B949" s="13"/>
      <c r="C949" s="14"/>
      <c r="D949" s="14"/>
      <c r="E949" s="15"/>
      <c r="F949" s="16"/>
      <c r="G949" s="18"/>
      <c r="H949" s="15"/>
      <c r="I949" s="18"/>
      <c r="J949" s="22"/>
      <c r="K949" s="108"/>
      <c r="L949" s="26"/>
      <c r="M949" s="13" t="b">
        <f>NOT(ISNA(VLOOKUP(A949,PC!A:A,1,FALSE)))</f>
        <v>0</v>
      </c>
      <c r="N949" s="13" t="b">
        <f>NOT(ISNA(VLOOKUP(A949,'Game Pass Premium'!A:A,1,FALSE)))</f>
        <v>0</v>
      </c>
      <c r="O949" s="13" t="b">
        <f>NOT(ISNA(VLOOKUP(A949,'Game Pass Essential'!A:A,1,FALSE)))</f>
        <v>0</v>
      </c>
    </row>
    <row r="950">
      <c r="A950" s="12"/>
      <c r="B950" s="13"/>
      <c r="C950" s="14"/>
      <c r="D950" s="14"/>
      <c r="E950" s="15"/>
      <c r="F950" s="16"/>
      <c r="G950" s="18"/>
      <c r="H950" s="15"/>
      <c r="I950" s="18"/>
      <c r="J950" s="22"/>
      <c r="K950" s="108"/>
      <c r="L950" s="26"/>
      <c r="M950" s="13" t="b">
        <f>NOT(ISNA(VLOOKUP(A950,PC!A:A,1,FALSE)))</f>
        <v>0</v>
      </c>
      <c r="N950" s="13" t="b">
        <f>NOT(ISNA(VLOOKUP(A950,'Game Pass Premium'!A:A,1,FALSE)))</f>
        <v>0</v>
      </c>
      <c r="O950" s="13" t="b">
        <f>NOT(ISNA(VLOOKUP(A950,'Game Pass Essential'!A:A,1,FALSE)))</f>
        <v>0</v>
      </c>
    </row>
    <row r="951">
      <c r="A951" s="12"/>
      <c r="B951" s="13"/>
      <c r="C951" s="14"/>
      <c r="D951" s="14"/>
      <c r="E951" s="15"/>
      <c r="F951" s="16"/>
      <c r="G951" s="18"/>
      <c r="H951" s="15"/>
      <c r="I951" s="18"/>
      <c r="J951" s="22"/>
      <c r="K951" s="108"/>
      <c r="L951" s="26"/>
      <c r="M951" s="13" t="b">
        <f>NOT(ISNA(VLOOKUP(A951,PC!A:A,1,FALSE)))</f>
        <v>0</v>
      </c>
      <c r="N951" s="13" t="b">
        <f>NOT(ISNA(VLOOKUP(A951,'Game Pass Premium'!A:A,1,FALSE)))</f>
        <v>0</v>
      </c>
      <c r="O951" s="13" t="b">
        <f>NOT(ISNA(VLOOKUP(A951,'Game Pass Essential'!A:A,1,FALSE)))</f>
        <v>0</v>
      </c>
    </row>
    <row r="952">
      <c r="A952" s="12"/>
      <c r="B952" s="13"/>
      <c r="C952" s="14"/>
      <c r="D952" s="14"/>
      <c r="E952" s="15"/>
      <c r="F952" s="16"/>
      <c r="G952" s="18"/>
      <c r="H952" s="15"/>
      <c r="I952" s="18"/>
      <c r="J952" s="22"/>
      <c r="K952" s="108"/>
      <c r="L952" s="26"/>
      <c r="M952" s="13" t="b">
        <f>NOT(ISNA(VLOOKUP(A952,PC!A:A,1,FALSE)))</f>
        <v>0</v>
      </c>
      <c r="N952" s="13" t="b">
        <f>NOT(ISNA(VLOOKUP(A952,'Game Pass Premium'!A:A,1,FALSE)))</f>
        <v>0</v>
      </c>
      <c r="O952" s="13" t="b">
        <f>NOT(ISNA(VLOOKUP(A952,'Game Pass Essential'!A:A,1,FALSE)))</f>
        <v>0</v>
      </c>
    </row>
    <row r="953">
      <c r="A953" s="12"/>
      <c r="B953" s="13"/>
      <c r="C953" s="14"/>
      <c r="D953" s="14"/>
      <c r="E953" s="15"/>
      <c r="F953" s="16"/>
      <c r="G953" s="18"/>
      <c r="H953" s="15"/>
      <c r="I953" s="18"/>
      <c r="J953" s="22"/>
      <c r="K953" s="108"/>
      <c r="L953" s="26"/>
      <c r="M953" s="13" t="b">
        <f>NOT(ISNA(VLOOKUP(A953,PC!A:A,1,FALSE)))</f>
        <v>0</v>
      </c>
      <c r="N953" s="13" t="b">
        <f>NOT(ISNA(VLOOKUP(A953,'Game Pass Premium'!A:A,1,FALSE)))</f>
        <v>0</v>
      </c>
      <c r="O953" s="13" t="b">
        <f>NOT(ISNA(VLOOKUP(A953,'Game Pass Essential'!A:A,1,FALSE)))</f>
        <v>0</v>
      </c>
    </row>
    <row r="954">
      <c r="A954" s="12"/>
      <c r="B954" s="13"/>
      <c r="C954" s="14"/>
      <c r="D954" s="14"/>
      <c r="E954" s="15"/>
      <c r="F954" s="16"/>
      <c r="G954" s="18"/>
      <c r="H954" s="15"/>
      <c r="I954" s="18"/>
      <c r="J954" s="22"/>
      <c r="K954" s="108"/>
      <c r="L954" s="26"/>
      <c r="M954" s="13" t="b">
        <f>NOT(ISNA(VLOOKUP(A954,PC!A:A,1,FALSE)))</f>
        <v>0</v>
      </c>
      <c r="N954" s="13" t="b">
        <f>NOT(ISNA(VLOOKUP(A954,'Game Pass Premium'!A:A,1,FALSE)))</f>
        <v>0</v>
      </c>
      <c r="O954" s="13" t="b">
        <f>NOT(ISNA(VLOOKUP(A954,'Game Pass Essential'!A:A,1,FALSE)))</f>
        <v>0</v>
      </c>
    </row>
    <row r="955">
      <c r="A955" s="12"/>
      <c r="B955" s="13"/>
      <c r="C955" s="14"/>
      <c r="D955" s="14"/>
      <c r="E955" s="15"/>
      <c r="F955" s="16"/>
      <c r="G955" s="18"/>
      <c r="H955" s="15"/>
      <c r="I955" s="18"/>
      <c r="J955" s="22"/>
      <c r="K955" s="108"/>
      <c r="L955" s="26"/>
      <c r="M955" s="13" t="b">
        <f>NOT(ISNA(VLOOKUP(A955,PC!A:A,1,FALSE)))</f>
        <v>0</v>
      </c>
      <c r="N955" s="13" t="b">
        <f>NOT(ISNA(VLOOKUP(A955,'Game Pass Premium'!A:A,1,FALSE)))</f>
        <v>0</v>
      </c>
      <c r="O955" s="13" t="b">
        <f>NOT(ISNA(VLOOKUP(A955,'Game Pass Essential'!A:A,1,FALSE)))</f>
        <v>0</v>
      </c>
    </row>
    <row r="956">
      <c r="A956" s="12"/>
      <c r="B956" s="13"/>
      <c r="C956" s="14"/>
      <c r="D956" s="14"/>
      <c r="E956" s="15"/>
      <c r="F956" s="16"/>
      <c r="G956" s="18"/>
      <c r="H956" s="15"/>
      <c r="I956" s="18"/>
      <c r="J956" s="22"/>
      <c r="K956" s="108"/>
      <c r="L956" s="26"/>
      <c r="M956" s="13" t="b">
        <f>NOT(ISNA(VLOOKUP(A956,PC!A:A,1,FALSE)))</f>
        <v>0</v>
      </c>
      <c r="N956" s="13" t="b">
        <f>NOT(ISNA(VLOOKUP(A956,'Game Pass Premium'!A:A,1,FALSE)))</f>
        <v>0</v>
      </c>
      <c r="O956" s="13" t="b">
        <f>NOT(ISNA(VLOOKUP(A956,'Game Pass Essential'!A:A,1,FALSE)))</f>
        <v>0</v>
      </c>
    </row>
    <row r="957">
      <c r="A957" s="12"/>
      <c r="B957" s="13"/>
      <c r="C957" s="14"/>
      <c r="D957" s="14"/>
      <c r="E957" s="15"/>
      <c r="F957" s="16"/>
      <c r="G957" s="18"/>
      <c r="H957" s="15"/>
      <c r="I957" s="18"/>
      <c r="J957" s="22"/>
      <c r="K957" s="108"/>
      <c r="L957" s="26"/>
      <c r="M957" s="13" t="b">
        <f>NOT(ISNA(VLOOKUP(A957,PC!A:A,1,FALSE)))</f>
        <v>0</v>
      </c>
      <c r="N957" s="13" t="b">
        <f>NOT(ISNA(VLOOKUP(A957,'Game Pass Premium'!A:A,1,FALSE)))</f>
        <v>0</v>
      </c>
      <c r="O957" s="13" t="b">
        <f>NOT(ISNA(VLOOKUP(A957,'Game Pass Essential'!A:A,1,FALSE)))</f>
        <v>0</v>
      </c>
    </row>
    <row r="958">
      <c r="A958" s="12"/>
      <c r="B958" s="13"/>
      <c r="C958" s="14"/>
      <c r="D958" s="14"/>
      <c r="E958" s="15"/>
      <c r="F958" s="16"/>
      <c r="G958" s="18"/>
      <c r="H958" s="15"/>
      <c r="I958" s="18"/>
      <c r="J958" s="22"/>
      <c r="K958" s="108"/>
      <c r="L958" s="26"/>
      <c r="M958" s="13" t="b">
        <f>NOT(ISNA(VLOOKUP(A958,PC!A:A,1,FALSE)))</f>
        <v>0</v>
      </c>
      <c r="N958" s="13" t="b">
        <f>NOT(ISNA(VLOOKUP(A958,'Game Pass Premium'!A:A,1,FALSE)))</f>
        <v>0</v>
      </c>
      <c r="O958" s="13" t="b">
        <f>NOT(ISNA(VLOOKUP(A958,'Game Pass Essential'!A:A,1,FALSE)))</f>
        <v>0</v>
      </c>
    </row>
    <row r="959">
      <c r="A959" s="12"/>
      <c r="B959" s="13"/>
      <c r="C959" s="14"/>
      <c r="D959" s="14"/>
      <c r="E959" s="15"/>
      <c r="F959" s="16"/>
      <c r="G959" s="18"/>
      <c r="H959" s="15"/>
      <c r="I959" s="18"/>
      <c r="J959" s="22"/>
      <c r="K959" s="108"/>
      <c r="L959" s="26"/>
      <c r="M959" s="13" t="b">
        <f>NOT(ISNA(VLOOKUP(A959,PC!A:A,1,FALSE)))</f>
        <v>0</v>
      </c>
      <c r="N959" s="13" t="b">
        <f>NOT(ISNA(VLOOKUP(A959,'Game Pass Premium'!A:A,1,FALSE)))</f>
        <v>0</v>
      </c>
      <c r="O959" s="13" t="b">
        <f>NOT(ISNA(VLOOKUP(A959,'Game Pass Essential'!A:A,1,FALSE)))</f>
        <v>0</v>
      </c>
    </row>
    <row r="960">
      <c r="A960" s="12"/>
      <c r="B960" s="13"/>
      <c r="C960" s="14"/>
      <c r="D960" s="14"/>
      <c r="E960" s="15"/>
      <c r="F960" s="16"/>
      <c r="G960" s="18"/>
      <c r="H960" s="15"/>
      <c r="I960" s="18"/>
      <c r="J960" s="22"/>
      <c r="K960" s="108"/>
      <c r="L960" s="26"/>
      <c r="M960" s="13" t="b">
        <f>NOT(ISNA(VLOOKUP(A960,PC!A:A,1,FALSE)))</f>
        <v>0</v>
      </c>
      <c r="N960" s="13" t="b">
        <f>NOT(ISNA(VLOOKUP(A960,'Game Pass Premium'!A:A,1,FALSE)))</f>
        <v>0</v>
      </c>
      <c r="O960" s="13" t="b">
        <f>NOT(ISNA(VLOOKUP(A960,'Game Pass Essential'!A:A,1,FALSE)))</f>
        <v>0</v>
      </c>
    </row>
    <row r="961">
      <c r="A961" s="12"/>
      <c r="B961" s="13"/>
      <c r="C961" s="14"/>
      <c r="D961" s="14"/>
      <c r="E961" s="15"/>
      <c r="F961" s="16"/>
      <c r="G961" s="18"/>
      <c r="H961" s="15"/>
      <c r="I961" s="18"/>
      <c r="J961" s="22"/>
      <c r="K961" s="108"/>
      <c r="L961" s="26"/>
      <c r="M961" s="13" t="b">
        <f>NOT(ISNA(VLOOKUP(A961,PC!A:A,1,FALSE)))</f>
        <v>0</v>
      </c>
      <c r="N961" s="13" t="b">
        <f>NOT(ISNA(VLOOKUP(A961,'Game Pass Premium'!A:A,1,FALSE)))</f>
        <v>0</v>
      </c>
      <c r="O961" s="13" t="b">
        <f>NOT(ISNA(VLOOKUP(A961,'Game Pass Essential'!A:A,1,FALSE)))</f>
        <v>0</v>
      </c>
    </row>
    <row r="962">
      <c r="A962" s="12"/>
      <c r="B962" s="13"/>
      <c r="C962" s="14"/>
      <c r="D962" s="14"/>
      <c r="E962" s="15"/>
      <c r="F962" s="16"/>
      <c r="G962" s="18"/>
      <c r="H962" s="15"/>
      <c r="I962" s="18"/>
      <c r="J962" s="22"/>
      <c r="K962" s="108"/>
      <c r="L962" s="26"/>
      <c r="M962" s="13" t="b">
        <f>NOT(ISNA(VLOOKUP(A962,PC!A:A,1,FALSE)))</f>
        <v>0</v>
      </c>
      <c r="N962" s="13" t="b">
        <f>NOT(ISNA(VLOOKUP(A962,'Game Pass Premium'!A:A,1,FALSE)))</f>
        <v>0</v>
      </c>
      <c r="O962" s="13" t="b">
        <f>NOT(ISNA(VLOOKUP(A962,'Game Pass Essential'!A:A,1,FALSE)))</f>
        <v>0</v>
      </c>
    </row>
    <row r="963">
      <c r="A963" s="12"/>
      <c r="B963" s="13"/>
      <c r="C963" s="14"/>
      <c r="D963" s="14"/>
      <c r="E963" s="15"/>
      <c r="F963" s="16"/>
      <c r="G963" s="18"/>
      <c r="H963" s="15"/>
      <c r="I963" s="18"/>
      <c r="J963" s="22"/>
      <c r="K963" s="108"/>
      <c r="L963" s="26"/>
      <c r="M963" s="13" t="b">
        <f>NOT(ISNA(VLOOKUP(A963,PC!A:A,1,FALSE)))</f>
        <v>0</v>
      </c>
      <c r="N963" s="13" t="b">
        <f>NOT(ISNA(VLOOKUP(A963,'Game Pass Premium'!A:A,1,FALSE)))</f>
        <v>0</v>
      </c>
      <c r="O963" s="13" t="b">
        <f>NOT(ISNA(VLOOKUP(A963,'Game Pass Essential'!A:A,1,FALSE)))</f>
        <v>0</v>
      </c>
    </row>
    <row r="964">
      <c r="A964" s="12"/>
      <c r="B964" s="13"/>
      <c r="C964" s="14"/>
      <c r="D964" s="14"/>
      <c r="E964" s="15"/>
      <c r="F964" s="16"/>
      <c r="G964" s="18"/>
      <c r="H964" s="15"/>
      <c r="I964" s="18"/>
      <c r="J964" s="22"/>
      <c r="K964" s="108"/>
      <c r="L964" s="26"/>
      <c r="M964" s="13" t="b">
        <f>NOT(ISNA(VLOOKUP(A964,PC!A:A,1,FALSE)))</f>
        <v>0</v>
      </c>
      <c r="N964" s="13" t="b">
        <f>NOT(ISNA(VLOOKUP(A964,'Game Pass Premium'!A:A,1,FALSE)))</f>
        <v>0</v>
      </c>
      <c r="O964" s="13" t="b">
        <f>NOT(ISNA(VLOOKUP(A964,'Game Pass Essential'!A:A,1,FALSE)))</f>
        <v>0</v>
      </c>
    </row>
    <row r="965">
      <c r="A965" s="12"/>
      <c r="B965" s="13"/>
      <c r="C965" s="14"/>
      <c r="D965" s="14"/>
      <c r="E965" s="15"/>
      <c r="F965" s="16"/>
      <c r="G965" s="18"/>
      <c r="H965" s="15"/>
      <c r="I965" s="18"/>
      <c r="J965" s="22"/>
      <c r="K965" s="108"/>
      <c r="L965" s="26"/>
      <c r="M965" s="13" t="b">
        <f>NOT(ISNA(VLOOKUP(A965,PC!A:A,1,FALSE)))</f>
        <v>0</v>
      </c>
      <c r="N965" s="13" t="b">
        <f>NOT(ISNA(VLOOKUP(A965,'Game Pass Premium'!A:A,1,FALSE)))</f>
        <v>0</v>
      </c>
      <c r="O965" s="13" t="b">
        <f>NOT(ISNA(VLOOKUP(A965,'Game Pass Essential'!A:A,1,FALSE)))</f>
        <v>0</v>
      </c>
    </row>
    <row r="966">
      <c r="A966" s="12"/>
      <c r="B966" s="13"/>
      <c r="C966" s="14"/>
      <c r="D966" s="14"/>
      <c r="E966" s="15"/>
      <c r="F966" s="16"/>
      <c r="G966" s="18"/>
      <c r="H966" s="15"/>
      <c r="I966" s="18"/>
      <c r="J966" s="22"/>
      <c r="K966" s="108"/>
      <c r="L966" s="26"/>
      <c r="M966" s="13" t="b">
        <f>NOT(ISNA(VLOOKUP(A966,PC!A:A,1,FALSE)))</f>
        <v>0</v>
      </c>
      <c r="N966" s="13" t="b">
        <f>NOT(ISNA(VLOOKUP(A966,'Game Pass Premium'!A:A,1,FALSE)))</f>
        <v>0</v>
      </c>
      <c r="O966" s="13" t="b">
        <f>NOT(ISNA(VLOOKUP(A966,'Game Pass Essential'!A:A,1,FALSE)))</f>
        <v>0</v>
      </c>
    </row>
    <row r="967">
      <c r="A967" s="12"/>
      <c r="B967" s="13"/>
      <c r="C967" s="14"/>
      <c r="D967" s="14"/>
      <c r="E967" s="15"/>
      <c r="F967" s="16"/>
      <c r="G967" s="18"/>
      <c r="H967" s="15"/>
      <c r="I967" s="18"/>
      <c r="J967" s="22"/>
      <c r="K967" s="108"/>
      <c r="L967" s="26"/>
      <c r="M967" s="13" t="b">
        <f>NOT(ISNA(VLOOKUP(A967,PC!A:A,1,FALSE)))</f>
        <v>0</v>
      </c>
      <c r="N967" s="13" t="b">
        <f>NOT(ISNA(VLOOKUP(A967,'Game Pass Premium'!A:A,1,FALSE)))</f>
        <v>0</v>
      </c>
      <c r="O967" s="13" t="b">
        <f>NOT(ISNA(VLOOKUP(A967,'Game Pass Essential'!A:A,1,FALSE)))</f>
        <v>0</v>
      </c>
    </row>
    <row r="968">
      <c r="A968" s="12"/>
      <c r="B968" s="13"/>
      <c r="C968" s="14"/>
      <c r="D968" s="14"/>
      <c r="E968" s="15"/>
      <c r="F968" s="16"/>
      <c r="G968" s="18"/>
      <c r="H968" s="15"/>
      <c r="I968" s="18"/>
      <c r="J968" s="22"/>
      <c r="K968" s="108"/>
      <c r="L968" s="26"/>
      <c r="M968" s="13" t="b">
        <f>NOT(ISNA(VLOOKUP(A968,PC!A:A,1,FALSE)))</f>
        <v>0</v>
      </c>
      <c r="N968" s="13" t="b">
        <f>NOT(ISNA(VLOOKUP(A968,'Game Pass Premium'!A:A,1,FALSE)))</f>
        <v>0</v>
      </c>
      <c r="O968" s="13" t="b">
        <f>NOT(ISNA(VLOOKUP(A968,'Game Pass Essential'!A:A,1,FALSE)))</f>
        <v>0</v>
      </c>
    </row>
    <row r="969">
      <c r="A969" s="12"/>
      <c r="B969" s="13"/>
      <c r="C969" s="14"/>
      <c r="D969" s="14"/>
      <c r="E969" s="15"/>
      <c r="F969" s="16"/>
      <c r="G969" s="18"/>
      <c r="H969" s="15"/>
      <c r="I969" s="18"/>
      <c r="J969" s="22"/>
      <c r="K969" s="108"/>
      <c r="L969" s="26"/>
      <c r="M969" s="13" t="b">
        <f>NOT(ISNA(VLOOKUP(A969,PC!A:A,1,FALSE)))</f>
        <v>0</v>
      </c>
      <c r="N969" s="13" t="b">
        <f>NOT(ISNA(VLOOKUP(A969,'Game Pass Premium'!A:A,1,FALSE)))</f>
        <v>0</v>
      </c>
      <c r="O969" s="13" t="b">
        <f>NOT(ISNA(VLOOKUP(A969,'Game Pass Essential'!A:A,1,FALSE)))</f>
        <v>0</v>
      </c>
    </row>
    <row r="970">
      <c r="A970" s="12"/>
      <c r="B970" s="13"/>
      <c r="C970" s="14"/>
      <c r="D970" s="14"/>
      <c r="E970" s="15"/>
      <c r="F970" s="16"/>
      <c r="G970" s="18"/>
      <c r="H970" s="15"/>
      <c r="I970" s="18"/>
      <c r="J970" s="22"/>
      <c r="K970" s="108"/>
      <c r="L970" s="26"/>
      <c r="M970" s="13" t="b">
        <f>NOT(ISNA(VLOOKUP(A970,PC!A:A,1,FALSE)))</f>
        <v>0</v>
      </c>
      <c r="N970" s="13" t="b">
        <f>NOT(ISNA(VLOOKUP(A970,'Game Pass Premium'!A:A,1,FALSE)))</f>
        <v>0</v>
      </c>
      <c r="O970" s="13" t="b">
        <f>NOT(ISNA(VLOOKUP(A970,'Game Pass Essential'!A:A,1,FALSE)))</f>
        <v>0</v>
      </c>
    </row>
    <row r="971">
      <c r="A971" s="12"/>
      <c r="B971" s="13"/>
      <c r="C971" s="14"/>
      <c r="D971" s="14"/>
      <c r="E971" s="15"/>
      <c r="F971" s="16"/>
      <c r="G971" s="18"/>
      <c r="H971" s="15"/>
      <c r="I971" s="18"/>
      <c r="J971" s="22"/>
      <c r="K971" s="108"/>
      <c r="L971" s="26"/>
      <c r="M971" s="13" t="b">
        <f>NOT(ISNA(VLOOKUP(A971,PC!A:A,1,FALSE)))</f>
        <v>0</v>
      </c>
      <c r="N971" s="13" t="b">
        <f>NOT(ISNA(VLOOKUP(A971,'Game Pass Premium'!A:A,1,FALSE)))</f>
        <v>0</v>
      </c>
      <c r="O971" s="13" t="b">
        <f>NOT(ISNA(VLOOKUP(A971,'Game Pass Essential'!A:A,1,FALSE)))</f>
        <v>0</v>
      </c>
    </row>
    <row r="972">
      <c r="A972" s="12"/>
      <c r="B972" s="13"/>
      <c r="C972" s="14"/>
      <c r="D972" s="14"/>
      <c r="E972" s="15"/>
      <c r="F972" s="16"/>
      <c r="G972" s="18"/>
      <c r="H972" s="15"/>
      <c r="I972" s="18"/>
      <c r="J972" s="22"/>
      <c r="K972" s="108"/>
      <c r="L972" s="26"/>
      <c r="M972" s="13" t="b">
        <f>NOT(ISNA(VLOOKUP(A972,PC!A:A,1,FALSE)))</f>
        <v>0</v>
      </c>
      <c r="N972" s="13" t="b">
        <f>NOT(ISNA(VLOOKUP(A972,'Game Pass Premium'!A:A,1,FALSE)))</f>
        <v>0</v>
      </c>
      <c r="O972" s="13" t="b">
        <f>NOT(ISNA(VLOOKUP(A972,'Game Pass Essential'!A:A,1,FALSE)))</f>
        <v>0</v>
      </c>
    </row>
    <row r="973">
      <c r="A973" s="12"/>
      <c r="B973" s="13"/>
      <c r="C973" s="14"/>
      <c r="D973" s="14"/>
      <c r="E973" s="15"/>
      <c r="F973" s="16"/>
      <c r="G973" s="18"/>
      <c r="H973" s="15"/>
      <c r="I973" s="18"/>
      <c r="J973" s="22"/>
      <c r="K973" s="108"/>
      <c r="L973" s="26"/>
      <c r="M973" s="13" t="b">
        <f>NOT(ISNA(VLOOKUP(A973,PC!A:A,1,FALSE)))</f>
        <v>0</v>
      </c>
      <c r="N973" s="13" t="b">
        <f>NOT(ISNA(VLOOKUP(A973,'Game Pass Premium'!A:A,1,FALSE)))</f>
        <v>0</v>
      </c>
      <c r="O973" s="13" t="b">
        <f>NOT(ISNA(VLOOKUP(A973,'Game Pass Essential'!A:A,1,FALSE)))</f>
        <v>0</v>
      </c>
    </row>
    <row r="974">
      <c r="A974" s="12"/>
      <c r="B974" s="13"/>
      <c r="C974" s="14"/>
      <c r="D974" s="14"/>
      <c r="E974" s="15"/>
      <c r="F974" s="16"/>
      <c r="G974" s="18"/>
      <c r="H974" s="15"/>
      <c r="I974" s="18"/>
      <c r="J974" s="22"/>
      <c r="K974" s="108"/>
      <c r="L974" s="26"/>
      <c r="M974" s="13" t="b">
        <f>NOT(ISNA(VLOOKUP(A974,PC!A:A,1,FALSE)))</f>
        <v>0</v>
      </c>
      <c r="N974" s="13" t="b">
        <f>NOT(ISNA(VLOOKUP(A974,'Game Pass Premium'!A:A,1,FALSE)))</f>
        <v>0</v>
      </c>
      <c r="O974" s="13" t="b">
        <f>NOT(ISNA(VLOOKUP(A974,'Game Pass Essential'!A:A,1,FALSE)))</f>
        <v>0</v>
      </c>
    </row>
    <row r="975">
      <c r="A975" s="12"/>
      <c r="B975" s="13"/>
      <c r="C975" s="14"/>
      <c r="D975" s="14"/>
      <c r="E975" s="15"/>
      <c r="F975" s="16"/>
      <c r="G975" s="18"/>
      <c r="H975" s="15"/>
      <c r="I975" s="18"/>
      <c r="J975" s="22"/>
      <c r="K975" s="108"/>
      <c r="L975" s="26"/>
      <c r="M975" s="13" t="b">
        <f>NOT(ISNA(VLOOKUP(A975,PC!A:A,1,FALSE)))</f>
        <v>0</v>
      </c>
      <c r="N975" s="13" t="b">
        <f>NOT(ISNA(VLOOKUP(A975,'Game Pass Premium'!A:A,1,FALSE)))</f>
        <v>0</v>
      </c>
      <c r="O975" s="13" t="b">
        <f>NOT(ISNA(VLOOKUP(A975,'Game Pass Essential'!A:A,1,FALSE)))</f>
        <v>0</v>
      </c>
    </row>
    <row r="976">
      <c r="A976" s="12"/>
      <c r="B976" s="13"/>
      <c r="C976" s="14"/>
      <c r="D976" s="14"/>
      <c r="E976" s="15"/>
      <c r="F976" s="16"/>
      <c r="G976" s="18"/>
      <c r="H976" s="15"/>
      <c r="I976" s="18"/>
      <c r="J976" s="22"/>
      <c r="K976" s="108"/>
      <c r="L976" s="26"/>
      <c r="M976" s="13" t="b">
        <f>NOT(ISNA(VLOOKUP(A976,PC!A:A,1,FALSE)))</f>
        <v>0</v>
      </c>
      <c r="N976" s="13" t="b">
        <f>NOT(ISNA(VLOOKUP(A976,'Game Pass Premium'!A:A,1,FALSE)))</f>
        <v>0</v>
      </c>
      <c r="O976" s="13" t="b">
        <f>NOT(ISNA(VLOOKUP(A976,'Game Pass Essential'!A:A,1,FALSE)))</f>
        <v>0</v>
      </c>
    </row>
    <row r="977">
      <c r="A977" s="12"/>
      <c r="B977" s="13"/>
      <c r="C977" s="14"/>
      <c r="D977" s="14"/>
      <c r="E977" s="15"/>
      <c r="F977" s="16"/>
      <c r="G977" s="18"/>
      <c r="H977" s="15"/>
      <c r="I977" s="18"/>
      <c r="J977" s="22"/>
      <c r="K977" s="108"/>
      <c r="L977" s="26"/>
      <c r="M977" s="13" t="b">
        <f>NOT(ISNA(VLOOKUP(A977,PC!A:A,1,FALSE)))</f>
        <v>0</v>
      </c>
      <c r="N977" s="13" t="b">
        <f>NOT(ISNA(VLOOKUP(A977,'Game Pass Premium'!A:A,1,FALSE)))</f>
        <v>0</v>
      </c>
      <c r="O977" s="13" t="b">
        <f>NOT(ISNA(VLOOKUP(A977,'Game Pass Essential'!A:A,1,FALSE)))</f>
        <v>0</v>
      </c>
    </row>
    <row r="978">
      <c r="A978" s="12"/>
      <c r="B978" s="13"/>
      <c r="C978" s="14"/>
      <c r="D978" s="14"/>
      <c r="E978" s="15"/>
      <c r="F978" s="16"/>
      <c r="G978" s="18"/>
      <c r="H978" s="15"/>
      <c r="I978" s="18"/>
      <c r="J978" s="22"/>
      <c r="K978" s="108"/>
      <c r="L978" s="26"/>
      <c r="M978" s="13" t="b">
        <f>NOT(ISNA(VLOOKUP(A978,PC!A:A,1,FALSE)))</f>
        <v>0</v>
      </c>
      <c r="N978" s="13" t="b">
        <f>NOT(ISNA(VLOOKUP(A978,'Game Pass Premium'!A:A,1,FALSE)))</f>
        <v>0</v>
      </c>
      <c r="O978" s="13" t="b">
        <f>NOT(ISNA(VLOOKUP(A978,'Game Pass Essential'!A:A,1,FALSE)))</f>
        <v>0</v>
      </c>
    </row>
    <row r="979">
      <c r="A979" s="12"/>
      <c r="B979" s="13"/>
      <c r="C979" s="14"/>
      <c r="D979" s="14"/>
      <c r="E979" s="15"/>
      <c r="F979" s="16"/>
      <c r="G979" s="18"/>
      <c r="H979" s="15"/>
      <c r="I979" s="18"/>
      <c r="J979" s="22"/>
      <c r="K979" s="108"/>
      <c r="L979" s="26"/>
      <c r="M979" s="13" t="b">
        <f>NOT(ISNA(VLOOKUP(A979,PC!A:A,1,FALSE)))</f>
        <v>0</v>
      </c>
      <c r="N979" s="13" t="b">
        <f>NOT(ISNA(VLOOKUP(A979,'Game Pass Premium'!A:A,1,FALSE)))</f>
        <v>0</v>
      </c>
      <c r="O979" s="13" t="b">
        <f>NOT(ISNA(VLOOKUP(A979,'Game Pass Essential'!A:A,1,FALSE)))</f>
        <v>0</v>
      </c>
    </row>
    <row r="980">
      <c r="A980" s="12"/>
      <c r="B980" s="13"/>
      <c r="C980" s="14"/>
      <c r="D980" s="14"/>
      <c r="E980" s="15"/>
      <c r="F980" s="16"/>
      <c r="G980" s="18"/>
      <c r="H980" s="15"/>
      <c r="I980" s="18"/>
      <c r="J980" s="22"/>
      <c r="K980" s="108"/>
      <c r="L980" s="26"/>
      <c r="M980" s="13" t="b">
        <f>NOT(ISNA(VLOOKUP(A980,PC!A:A,1,FALSE)))</f>
        <v>0</v>
      </c>
      <c r="N980" s="13" t="b">
        <f>NOT(ISNA(VLOOKUP(A980,'Game Pass Premium'!A:A,1,FALSE)))</f>
        <v>0</v>
      </c>
      <c r="O980" s="13" t="b">
        <f>NOT(ISNA(VLOOKUP(A980,'Game Pass Essential'!A:A,1,FALSE)))</f>
        <v>0</v>
      </c>
    </row>
    <row r="981">
      <c r="A981" s="12"/>
      <c r="B981" s="13"/>
      <c r="C981" s="14"/>
      <c r="D981" s="14"/>
      <c r="E981" s="15"/>
      <c r="F981" s="16"/>
      <c r="G981" s="18"/>
      <c r="H981" s="15"/>
      <c r="I981" s="18"/>
      <c r="J981" s="22"/>
      <c r="K981" s="108"/>
      <c r="L981" s="26"/>
      <c r="M981" s="13" t="b">
        <f>NOT(ISNA(VLOOKUP(A981,PC!A:A,1,FALSE)))</f>
        <v>0</v>
      </c>
      <c r="N981" s="13" t="b">
        <f>NOT(ISNA(VLOOKUP(A981,'Game Pass Premium'!A:A,1,FALSE)))</f>
        <v>0</v>
      </c>
      <c r="O981" s="13" t="b">
        <f>NOT(ISNA(VLOOKUP(A981,'Game Pass Essential'!A:A,1,FALSE)))</f>
        <v>0</v>
      </c>
    </row>
    <row r="982">
      <c r="A982" s="12"/>
      <c r="B982" s="13"/>
      <c r="C982" s="14"/>
      <c r="D982" s="14"/>
      <c r="E982" s="15"/>
      <c r="F982" s="16"/>
      <c r="G982" s="18"/>
      <c r="H982" s="15"/>
      <c r="I982" s="18"/>
      <c r="J982" s="22"/>
      <c r="K982" s="108"/>
      <c r="L982" s="26"/>
      <c r="M982" s="13" t="b">
        <f>NOT(ISNA(VLOOKUP(A982,PC!A:A,1,FALSE)))</f>
        <v>0</v>
      </c>
      <c r="N982" s="13" t="b">
        <f>NOT(ISNA(VLOOKUP(A982,'Game Pass Premium'!A:A,1,FALSE)))</f>
        <v>0</v>
      </c>
      <c r="O982" s="13" t="b">
        <f>NOT(ISNA(VLOOKUP(A982,'Game Pass Essential'!A:A,1,FALSE)))</f>
        <v>0</v>
      </c>
    </row>
    <row r="983">
      <c r="A983" s="12"/>
      <c r="B983" s="13"/>
      <c r="C983" s="14"/>
      <c r="D983" s="14"/>
      <c r="E983" s="15"/>
      <c r="F983" s="16"/>
      <c r="G983" s="18"/>
      <c r="H983" s="15"/>
      <c r="I983" s="18"/>
      <c r="J983" s="22"/>
      <c r="K983" s="108"/>
      <c r="L983" s="26"/>
      <c r="M983" s="13" t="b">
        <f>NOT(ISNA(VLOOKUP(A983,PC!A:A,1,FALSE)))</f>
        <v>0</v>
      </c>
      <c r="N983" s="13" t="b">
        <f>NOT(ISNA(VLOOKUP(A983,'Game Pass Premium'!A:A,1,FALSE)))</f>
        <v>0</v>
      </c>
      <c r="O983" s="13" t="b">
        <f>NOT(ISNA(VLOOKUP(A983,'Game Pass Essential'!A:A,1,FALSE)))</f>
        <v>0</v>
      </c>
    </row>
    <row r="984">
      <c r="A984" s="12"/>
      <c r="B984" s="13"/>
      <c r="C984" s="14"/>
      <c r="D984" s="14"/>
      <c r="E984" s="15"/>
      <c r="F984" s="16"/>
      <c r="G984" s="18"/>
      <c r="H984" s="15"/>
      <c r="I984" s="18"/>
      <c r="J984" s="22"/>
      <c r="K984" s="108"/>
      <c r="L984" s="26"/>
      <c r="M984" s="13" t="b">
        <f>NOT(ISNA(VLOOKUP(A984,PC!A:A,1,FALSE)))</f>
        <v>0</v>
      </c>
      <c r="N984" s="13" t="b">
        <f>NOT(ISNA(VLOOKUP(A984,'Game Pass Premium'!A:A,1,FALSE)))</f>
        <v>0</v>
      </c>
      <c r="O984" s="13" t="b">
        <f>NOT(ISNA(VLOOKUP(A984,'Game Pass Essential'!A:A,1,FALSE)))</f>
        <v>0</v>
      </c>
    </row>
    <row r="985">
      <c r="A985" s="12"/>
      <c r="B985" s="13"/>
      <c r="C985" s="14"/>
      <c r="D985" s="14"/>
      <c r="E985" s="15"/>
      <c r="F985" s="16"/>
      <c r="G985" s="18"/>
      <c r="H985" s="15"/>
      <c r="I985" s="18"/>
      <c r="J985" s="22"/>
      <c r="K985" s="108"/>
      <c r="L985" s="26"/>
      <c r="M985" s="13" t="b">
        <f>NOT(ISNA(VLOOKUP(A985,PC!A:A,1,FALSE)))</f>
        <v>0</v>
      </c>
      <c r="N985" s="13" t="b">
        <f>NOT(ISNA(VLOOKUP(A985,'Game Pass Premium'!A:A,1,FALSE)))</f>
        <v>0</v>
      </c>
      <c r="O985" s="13" t="b">
        <f>NOT(ISNA(VLOOKUP(A985,'Game Pass Essential'!A:A,1,FALSE)))</f>
        <v>0</v>
      </c>
    </row>
    <row r="986">
      <c r="A986" s="12"/>
      <c r="B986" s="13"/>
      <c r="C986" s="14"/>
      <c r="D986" s="14"/>
      <c r="E986" s="15"/>
      <c r="F986" s="16"/>
      <c r="G986" s="18"/>
      <c r="H986" s="15"/>
      <c r="I986" s="18"/>
      <c r="J986" s="22"/>
      <c r="K986" s="108"/>
      <c r="L986" s="26"/>
      <c r="M986" s="13" t="b">
        <f>NOT(ISNA(VLOOKUP(A986,PC!A:A,1,FALSE)))</f>
        <v>0</v>
      </c>
      <c r="N986" s="13" t="b">
        <f>NOT(ISNA(VLOOKUP(A986,'Game Pass Premium'!A:A,1,FALSE)))</f>
        <v>0</v>
      </c>
      <c r="O986" s="13" t="b">
        <f>NOT(ISNA(VLOOKUP(A986,'Game Pass Essential'!A:A,1,FALSE)))</f>
        <v>0</v>
      </c>
    </row>
    <row r="987">
      <c r="A987" s="12"/>
      <c r="B987" s="13"/>
      <c r="C987" s="14"/>
      <c r="D987" s="14"/>
      <c r="E987" s="15"/>
      <c r="F987" s="16"/>
      <c r="G987" s="18"/>
      <c r="H987" s="15"/>
      <c r="I987" s="18"/>
      <c r="J987" s="22"/>
      <c r="K987" s="108"/>
      <c r="L987" s="26"/>
      <c r="M987" s="13" t="b">
        <f>NOT(ISNA(VLOOKUP(A987,PC!A:A,1,FALSE)))</f>
        <v>0</v>
      </c>
      <c r="N987" s="13" t="b">
        <f>NOT(ISNA(VLOOKUP(A987,'Game Pass Premium'!A:A,1,FALSE)))</f>
        <v>0</v>
      </c>
      <c r="O987" s="13" t="b">
        <f>NOT(ISNA(VLOOKUP(A987,'Game Pass Essential'!A:A,1,FALSE)))</f>
        <v>0</v>
      </c>
    </row>
    <row r="988">
      <c r="A988" s="12"/>
      <c r="B988" s="13"/>
      <c r="C988" s="14"/>
      <c r="D988" s="14"/>
      <c r="E988" s="15"/>
      <c r="F988" s="16"/>
      <c r="G988" s="18"/>
      <c r="H988" s="15"/>
      <c r="I988" s="18"/>
      <c r="J988" s="22"/>
      <c r="K988" s="108"/>
      <c r="L988" s="26"/>
      <c r="M988" s="13" t="b">
        <f>NOT(ISNA(VLOOKUP(A988,PC!A:A,1,FALSE)))</f>
        <v>0</v>
      </c>
      <c r="N988" s="13" t="b">
        <f>NOT(ISNA(VLOOKUP(A988,'Game Pass Premium'!A:A,1,FALSE)))</f>
        <v>0</v>
      </c>
      <c r="O988" s="13" t="b">
        <f>NOT(ISNA(VLOOKUP(A988,'Game Pass Essential'!A:A,1,FALSE)))</f>
        <v>0</v>
      </c>
    </row>
    <row r="989">
      <c r="A989" s="12"/>
      <c r="B989" s="13"/>
      <c r="C989" s="14"/>
      <c r="D989" s="14"/>
      <c r="E989" s="15"/>
      <c r="F989" s="16"/>
      <c r="G989" s="18"/>
      <c r="H989" s="15"/>
      <c r="I989" s="18"/>
      <c r="J989" s="22"/>
      <c r="K989" s="108"/>
      <c r="L989" s="26"/>
      <c r="M989" s="13" t="b">
        <f>NOT(ISNA(VLOOKUP(A989,PC!A:A,1,FALSE)))</f>
        <v>0</v>
      </c>
      <c r="N989" s="13" t="b">
        <f>NOT(ISNA(VLOOKUP(A989,'Game Pass Premium'!A:A,1,FALSE)))</f>
        <v>0</v>
      </c>
      <c r="O989" s="13" t="b">
        <f>NOT(ISNA(VLOOKUP(A989,'Game Pass Essential'!A:A,1,FALSE)))</f>
        <v>0</v>
      </c>
    </row>
    <row r="990">
      <c r="A990" s="12"/>
      <c r="B990" s="13"/>
      <c r="C990" s="14"/>
      <c r="D990" s="14"/>
      <c r="E990" s="15"/>
      <c r="F990" s="16"/>
      <c r="G990" s="18"/>
      <c r="H990" s="15"/>
      <c r="I990" s="18"/>
      <c r="J990" s="22"/>
      <c r="K990" s="108"/>
      <c r="L990" s="26"/>
      <c r="M990" s="13" t="b">
        <f>NOT(ISNA(VLOOKUP(A990,PC!A:A,1,FALSE)))</f>
        <v>0</v>
      </c>
      <c r="N990" s="13" t="b">
        <f>NOT(ISNA(VLOOKUP(A990,'Game Pass Premium'!A:A,1,FALSE)))</f>
        <v>0</v>
      </c>
      <c r="O990" s="13" t="b">
        <f>NOT(ISNA(VLOOKUP(A990,'Game Pass Essential'!A:A,1,FALSE)))</f>
        <v>0</v>
      </c>
    </row>
    <row r="991">
      <c r="A991" s="12"/>
      <c r="B991" s="13"/>
      <c r="C991" s="14"/>
      <c r="D991" s="14"/>
      <c r="E991" s="15"/>
      <c r="F991" s="16"/>
      <c r="G991" s="18"/>
      <c r="H991" s="15"/>
      <c r="I991" s="18"/>
      <c r="J991" s="22"/>
      <c r="K991" s="108"/>
      <c r="L991" s="26"/>
      <c r="M991" s="13" t="b">
        <f>NOT(ISNA(VLOOKUP(A991,PC!A:A,1,FALSE)))</f>
        <v>0</v>
      </c>
      <c r="N991" s="13" t="b">
        <f>NOT(ISNA(VLOOKUP(A991,'Game Pass Premium'!A:A,1,FALSE)))</f>
        <v>0</v>
      </c>
      <c r="O991" s="13" t="b">
        <f>NOT(ISNA(VLOOKUP(A991,'Game Pass Essential'!A:A,1,FALSE)))</f>
        <v>0</v>
      </c>
    </row>
    <row r="992">
      <c r="A992" s="12"/>
      <c r="B992" s="13"/>
      <c r="C992" s="14"/>
      <c r="D992" s="14"/>
      <c r="E992" s="15"/>
      <c r="F992" s="16"/>
      <c r="G992" s="18"/>
      <c r="H992" s="15"/>
      <c r="I992" s="18"/>
      <c r="J992" s="22"/>
      <c r="K992" s="108"/>
      <c r="L992" s="26"/>
      <c r="M992" s="13" t="b">
        <f>NOT(ISNA(VLOOKUP(A992,PC!A:A,1,FALSE)))</f>
        <v>0</v>
      </c>
      <c r="N992" s="13" t="b">
        <f>NOT(ISNA(VLOOKUP(A992,'Game Pass Premium'!A:A,1,FALSE)))</f>
        <v>0</v>
      </c>
      <c r="O992" s="13" t="b">
        <f>NOT(ISNA(VLOOKUP(A992,'Game Pass Essential'!A:A,1,FALSE)))</f>
        <v>0</v>
      </c>
    </row>
    <row r="993">
      <c r="A993" s="12"/>
      <c r="B993" s="13"/>
      <c r="C993" s="14"/>
      <c r="D993" s="14"/>
      <c r="E993" s="15"/>
      <c r="F993" s="16"/>
      <c r="G993" s="18"/>
      <c r="H993" s="15"/>
      <c r="I993" s="18"/>
      <c r="J993" s="22"/>
      <c r="K993" s="108"/>
      <c r="L993" s="26"/>
      <c r="M993" s="13" t="b">
        <f>NOT(ISNA(VLOOKUP(A993,PC!A:A,1,FALSE)))</f>
        <v>0</v>
      </c>
      <c r="N993" s="13" t="b">
        <f>NOT(ISNA(VLOOKUP(A993,'Game Pass Premium'!A:A,1,FALSE)))</f>
        <v>0</v>
      </c>
      <c r="O993" s="13" t="b">
        <f>NOT(ISNA(VLOOKUP(A993,'Game Pass Essential'!A:A,1,FALSE)))</f>
        <v>0</v>
      </c>
    </row>
    <row r="994">
      <c r="A994" s="12"/>
      <c r="B994" s="13"/>
      <c r="C994" s="14"/>
      <c r="D994" s="14"/>
      <c r="E994" s="15"/>
      <c r="F994" s="16"/>
      <c r="G994" s="18"/>
      <c r="H994" s="15"/>
      <c r="I994" s="18"/>
      <c r="J994" s="22"/>
      <c r="K994" s="108"/>
      <c r="L994" s="26"/>
      <c r="M994" s="13" t="b">
        <f>NOT(ISNA(VLOOKUP(A994,PC!A:A,1,FALSE)))</f>
        <v>0</v>
      </c>
      <c r="N994" s="13" t="b">
        <f>NOT(ISNA(VLOOKUP(A994,'Game Pass Premium'!A:A,1,FALSE)))</f>
        <v>0</v>
      </c>
      <c r="O994" s="13" t="b">
        <f>NOT(ISNA(VLOOKUP(A994,'Game Pass Essential'!A:A,1,FALSE)))</f>
        <v>0</v>
      </c>
    </row>
    <row r="995">
      <c r="A995" s="12"/>
      <c r="B995" s="13"/>
      <c r="C995" s="14"/>
      <c r="D995" s="14"/>
      <c r="E995" s="15"/>
      <c r="F995" s="16"/>
      <c r="G995" s="18"/>
      <c r="H995" s="15"/>
      <c r="I995" s="18"/>
      <c r="J995" s="22"/>
      <c r="K995" s="108"/>
      <c r="L995" s="26"/>
      <c r="M995" s="13" t="b">
        <f>NOT(ISNA(VLOOKUP(A995,PC!A:A,1,FALSE)))</f>
        <v>0</v>
      </c>
      <c r="N995" s="13" t="b">
        <f>NOT(ISNA(VLOOKUP(A995,'Game Pass Premium'!A:A,1,FALSE)))</f>
        <v>0</v>
      </c>
      <c r="O995" s="13" t="b">
        <f>NOT(ISNA(VLOOKUP(A995,'Game Pass Essential'!A:A,1,FALSE)))</f>
        <v>0</v>
      </c>
    </row>
    <row r="996">
      <c r="A996" s="12"/>
      <c r="B996" s="13"/>
      <c r="C996" s="14"/>
      <c r="D996" s="14"/>
      <c r="E996" s="15"/>
      <c r="F996" s="16"/>
      <c r="G996" s="18"/>
      <c r="H996" s="15"/>
      <c r="I996" s="18"/>
      <c r="J996" s="22"/>
      <c r="K996" s="108"/>
      <c r="L996" s="26"/>
      <c r="M996" s="13" t="b">
        <f>NOT(ISNA(VLOOKUP(A996,PC!A:A,1,FALSE)))</f>
        <v>0</v>
      </c>
      <c r="N996" s="13" t="b">
        <f>NOT(ISNA(VLOOKUP(A996,'Game Pass Premium'!A:A,1,FALSE)))</f>
        <v>0</v>
      </c>
      <c r="O996" s="13" t="b">
        <f>NOT(ISNA(VLOOKUP(A996,'Game Pass Essential'!A:A,1,FALSE)))</f>
        <v>0</v>
      </c>
    </row>
    <row r="997">
      <c r="A997" s="12"/>
      <c r="B997" s="13"/>
      <c r="C997" s="14"/>
      <c r="D997" s="14"/>
      <c r="E997" s="15"/>
      <c r="F997" s="16"/>
      <c r="G997" s="18"/>
      <c r="H997" s="15"/>
      <c r="I997" s="18"/>
      <c r="J997" s="22"/>
      <c r="K997" s="108"/>
      <c r="L997" s="26"/>
      <c r="M997" s="13" t="b">
        <f>NOT(ISNA(VLOOKUP(A997,PC!A:A,1,FALSE)))</f>
        <v>0</v>
      </c>
      <c r="N997" s="13" t="b">
        <f>NOT(ISNA(VLOOKUP(A997,'Game Pass Premium'!A:A,1,FALSE)))</f>
        <v>0</v>
      </c>
      <c r="O997" s="13" t="b">
        <f>NOT(ISNA(VLOOKUP(A997,'Game Pass Essential'!A:A,1,FALSE)))</f>
        <v>0</v>
      </c>
    </row>
    <row r="998">
      <c r="A998" s="12"/>
      <c r="B998" s="13"/>
      <c r="C998" s="14"/>
      <c r="D998" s="14"/>
      <c r="E998" s="15"/>
      <c r="F998" s="16"/>
      <c r="G998" s="18"/>
      <c r="H998" s="15"/>
      <c r="I998" s="18"/>
      <c r="J998" s="22"/>
      <c r="K998" s="108"/>
      <c r="L998" s="26"/>
      <c r="M998" s="13" t="b">
        <f>NOT(ISNA(VLOOKUP(A998,PC!A:A,1,FALSE)))</f>
        <v>0</v>
      </c>
      <c r="N998" s="13" t="b">
        <f>NOT(ISNA(VLOOKUP(A998,'Game Pass Premium'!A:A,1,FALSE)))</f>
        <v>0</v>
      </c>
      <c r="O998" s="13" t="b">
        <f>NOT(ISNA(VLOOKUP(A998,'Game Pass Essential'!A:A,1,FALSE)))</f>
        <v>0</v>
      </c>
    </row>
    <row r="999">
      <c r="A999" s="12"/>
      <c r="B999" s="13"/>
      <c r="C999" s="14"/>
      <c r="D999" s="14"/>
      <c r="E999" s="15"/>
      <c r="F999" s="16"/>
      <c r="G999" s="18"/>
      <c r="H999" s="15"/>
      <c r="I999" s="18"/>
      <c r="J999" s="22"/>
      <c r="K999" s="108"/>
      <c r="L999" s="26"/>
      <c r="M999" s="13" t="b">
        <f>NOT(ISNA(VLOOKUP(A999,PC!A:A,1,FALSE)))</f>
        <v>0</v>
      </c>
      <c r="N999" s="13" t="b">
        <f>NOT(ISNA(VLOOKUP(A999,'Game Pass Premium'!A:A,1,FALSE)))</f>
        <v>0</v>
      </c>
      <c r="O999" s="13" t="b">
        <f>NOT(ISNA(VLOOKUP(A999,'Game Pass Essential'!A:A,1,FALSE)))</f>
        <v>0</v>
      </c>
    </row>
    <row r="1000">
      <c r="A1000" s="12"/>
      <c r="B1000" s="13"/>
      <c r="C1000" s="14"/>
      <c r="D1000" s="14"/>
      <c r="E1000" s="15"/>
      <c r="F1000" s="16"/>
      <c r="G1000" s="18"/>
      <c r="H1000" s="15"/>
      <c r="I1000" s="18"/>
      <c r="J1000" s="22"/>
      <c r="K1000" s="108"/>
      <c r="L1000" s="26"/>
      <c r="M1000" s="13" t="b">
        <f>NOT(ISNA(VLOOKUP(A1000,PC!A:A,1,FALSE)))</f>
        <v>0</v>
      </c>
      <c r="N1000" s="13" t="b">
        <f>NOT(ISNA(VLOOKUP(A1000,'Game Pass Premium'!A:A,1,FALSE)))</f>
        <v>0</v>
      </c>
      <c r="O1000" s="13" t="b">
        <f>NOT(ISNA(VLOOKUP(A1000,'Game Pass Essential'!A:A,1,FALSE)))</f>
        <v>0</v>
      </c>
    </row>
    <row r="1001">
      <c r="A1001" s="12"/>
      <c r="B1001" s="13"/>
      <c r="C1001" s="14"/>
      <c r="D1001" s="14"/>
      <c r="E1001" s="15"/>
      <c r="F1001" s="16"/>
      <c r="G1001" s="18"/>
      <c r="H1001" s="15"/>
      <c r="I1001" s="18"/>
      <c r="J1001" s="22"/>
      <c r="K1001" s="108"/>
      <c r="L1001" s="26"/>
      <c r="M1001" s="13" t="b">
        <f>NOT(ISNA(VLOOKUP(A1001,PC!A:A,1,FALSE)))</f>
        <v>0</v>
      </c>
      <c r="N1001" s="13" t="b">
        <f>NOT(ISNA(VLOOKUP(A1001,'Game Pass Premium'!A:A,1,FALSE)))</f>
        <v>0</v>
      </c>
      <c r="O1001" s="13" t="b">
        <f>NOT(ISNA(VLOOKUP(A1001,'Game Pass Essential'!A:A,1,FALSE)))</f>
        <v>0</v>
      </c>
    </row>
    <row r="1002">
      <c r="A1002" s="12"/>
      <c r="B1002" s="13"/>
      <c r="C1002" s="14"/>
      <c r="D1002" s="14"/>
      <c r="E1002" s="15"/>
      <c r="F1002" s="16"/>
      <c r="G1002" s="18"/>
      <c r="H1002" s="15"/>
      <c r="I1002" s="18"/>
      <c r="J1002" s="22"/>
      <c r="K1002" s="108"/>
      <c r="L1002" s="26"/>
      <c r="M1002" s="13" t="b">
        <f>NOT(ISNA(VLOOKUP(A1002,PC!A:A,1,FALSE)))</f>
        <v>0</v>
      </c>
      <c r="N1002" s="13" t="b">
        <f>NOT(ISNA(VLOOKUP(A1002,'Game Pass Premium'!A:A,1,FALSE)))</f>
        <v>0</v>
      </c>
      <c r="O1002" s="13" t="b">
        <f>NOT(ISNA(VLOOKUP(A1002,'Game Pass Essential'!A:A,1,FALSE)))</f>
        <v>0</v>
      </c>
    </row>
    <row r="1003">
      <c r="A1003" s="12"/>
      <c r="B1003" s="13"/>
      <c r="C1003" s="14"/>
      <c r="D1003" s="14"/>
      <c r="E1003" s="15"/>
      <c r="F1003" s="16"/>
      <c r="G1003" s="18"/>
      <c r="H1003" s="15"/>
      <c r="I1003" s="18"/>
      <c r="J1003" s="22"/>
      <c r="K1003" s="108"/>
      <c r="L1003" s="26"/>
      <c r="M1003" s="13" t="b">
        <f>NOT(ISNA(VLOOKUP(A1003,PC!A:A,1,FALSE)))</f>
        <v>0</v>
      </c>
      <c r="N1003" s="13" t="b">
        <f>NOT(ISNA(VLOOKUP(A1003,'Game Pass Premium'!A:A,1,FALSE)))</f>
        <v>0</v>
      </c>
      <c r="O1003" s="13" t="b">
        <f>NOT(ISNA(VLOOKUP(A1003,'Game Pass Essential'!A:A,1,FALSE)))</f>
        <v>0</v>
      </c>
    </row>
    <row r="1004">
      <c r="A1004" s="12"/>
      <c r="B1004" s="13"/>
      <c r="C1004" s="14"/>
      <c r="D1004" s="14"/>
      <c r="E1004" s="15"/>
      <c r="F1004" s="16"/>
      <c r="G1004" s="18"/>
      <c r="H1004" s="15"/>
      <c r="I1004" s="18"/>
      <c r="J1004" s="22"/>
      <c r="K1004" s="108"/>
      <c r="L1004" s="26"/>
      <c r="M1004" s="13" t="b">
        <f>NOT(ISNA(VLOOKUP(A1004,PC!A:A,1,FALSE)))</f>
        <v>0</v>
      </c>
      <c r="N1004" s="13" t="b">
        <f>NOT(ISNA(VLOOKUP(A1004,'Game Pass Premium'!A:A,1,FALSE)))</f>
        <v>0</v>
      </c>
      <c r="O1004" s="13" t="b">
        <f>NOT(ISNA(VLOOKUP(A1004,'Game Pass Essential'!A:A,1,FALSE)))</f>
        <v>0</v>
      </c>
    </row>
    <row r="1005">
      <c r="A1005" s="12"/>
      <c r="B1005" s="13"/>
      <c r="C1005" s="14"/>
      <c r="D1005" s="14"/>
      <c r="E1005" s="15"/>
      <c r="F1005" s="16"/>
      <c r="G1005" s="18"/>
      <c r="H1005" s="15"/>
      <c r="I1005" s="18"/>
      <c r="J1005" s="22"/>
      <c r="K1005" s="108"/>
      <c r="L1005" s="26"/>
      <c r="M1005" s="13" t="b">
        <f>NOT(ISNA(VLOOKUP(A1005,PC!A:A,1,FALSE)))</f>
        <v>0</v>
      </c>
      <c r="N1005" s="13" t="b">
        <f>NOT(ISNA(VLOOKUP(A1005,'Game Pass Premium'!A:A,1,FALSE)))</f>
        <v>0</v>
      </c>
      <c r="O1005" s="13" t="b">
        <f>NOT(ISNA(VLOOKUP(A1005,'Game Pass Essential'!A:A,1,FALSE)))</f>
        <v>0</v>
      </c>
    </row>
    <row r="1006">
      <c r="A1006" s="12"/>
      <c r="B1006" s="13"/>
      <c r="C1006" s="14"/>
      <c r="D1006" s="14"/>
      <c r="E1006" s="15"/>
      <c r="F1006" s="16"/>
      <c r="G1006" s="18"/>
      <c r="H1006" s="15"/>
      <c r="I1006" s="18"/>
      <c r="J1006" s="22"/>
      <c r="K1006" s="108"/>
      <c r="L1006" s="26"/>
      <c r="M1006" s="13" t="b">
        <f>NOT(ISNA(VLOOKUP(A1006,PC!A:A,1,FALSE)))</f>
        <v>0</v>
      </c>
      <c r="N1006" s="13" t="b">
        <f>NOT(ISNA(VLOOKUP(A1006,'Game Pass Premium'!A:A,1,FALSE)))</f>
        <v>0</v>
      </c>
      <c r="O1006" s="13" t="b">
        <f>NOT(ISNA(VLOOKUP(A1006,'Game Pass Essential'!A:A,1,FALSE)))</f>
        <v>0</v>
      </c>
    </row>
    <row r="1007">
      <c r="A1007" s="12"/>
      <c r="B1007" s="13"/>
      <c r="C1007" s="14"/>
      <c r="D1007" s="14"/>
      <c r="E1007" s="15"/>
      <c r="F1007" s="16"/>
      <c r="G1007" s="18"/>
      <c r="H1007" s="15"/>
      <c r="I1007" s="18"/>
      <c r="J1007" s="22"/>
      <c r="K1007" s="108"/>
      <c r="L1007" s="26"/>
      <c r="M1007" s="13" t="b">
        <f>NOT(ISNA(VLOOKUP(A1007,PC!A:A,1,FALSE)))</f>
        <v>0</v>
      </c>
      <c r="N1007" s="13" t="b">
        <f>NOT(ISNA(VLOOKUP(A1007,'Game Pass Premium'!A:A,1,FALSE)))</f>
        <v>0</v>
      </c>
      <c r="O1007" s="13" t="b">
        <f>NOT(ISNA(VLOOKUP(A1007,'Game Pass Essential'!A:A,1,FALSE)))</f>
        <v>0</v>
      </c>
    </row>
    <row r="1008">
      <c r="A1008" s="12"/>
      <c r="B1008" s="13"/>
      <c r="C1008" s="14"/>
      <c r="D1008" s="14"/>
      <c r="E1008" s="15"/>
      <c r="F1008" s="16"/>
      <c r="G1008" s="18"/>
      <c r="H1008" s="15"/>
      <c r="I1008" s="18"/>
      <c r="J1008" s="22"/>
      <c r="K1008" s="108"/>
      <c r="L1008" s="26"/>
      <c r="M1008" s="13" t="b">
        <f>NOT(ISNA(VLOOKUP(A1008,PC!A:A,1,FALSE)))</f>
        <v>0</v>
      </c>
      <c r="N1008" s="13" t="b">
        <f>NOT(ISNA(VLOOKUP(A1008,'Game Pass Premium'!A:A,1,FALSE)))</f>
        <v>0</v>
      </c>
      <c r="O1008" s="13" t="b">
        <f>NOT(ISNA(VLOOKUP(A1008,'Game Pass Essential'!A:A,1,FALSE)))</f>
        <v>0</v>
      </c>
    </row>
    <row r="1009">
      <c r="A1009" s="12"/>
      <c r="B1009" s="13"/>
      <c r="C1009" s="14"/>
      <c r="D1009" s="14"/>
      <c r="E1009" s="15"/>
      <c r="F1009" s="16"/>
      <c r="G1009" s="18"/>
      <c r="H1009" s="15"/>
      <c r="I1009" s="18"/>
      <c r="J1009" s="22"/>
      <c r="K1009" s="108"/>
      <c r="L1009" s="26"/>
      <c r="M1009" s="13" t="b">
        <f>NOT(ISNA(VLOOKUP(A1009,PC!A:A,1,FALSE)))</f>
        <v>0</v>
      </c>
      <c r="N1009" s="13" t="b">
        <f>NOT(ISNA(VLOOKUP(A1009,'Game Pass Premium'!A:A,1,FALSE)))</f>
        <v>0</v>
      </c>
      <c r="O1009" s="13" t="b">
        <f>NOT(ISNA(VLOOKUP(A1009,'Game Pass Essential'!A:A,1,FALSE)))</f>
        <v>0</v>
      </c>
    </row>
    <row r="1010">
      <c r="A1010" s="12"/>
      <c r="B1010" s="13"/>
      <c r="C1010" s="14"/>
      <c r="D1010" s="14"/>
      <c r="E1010" s="15"/>
      <c r="F1010" s="16"/>
      <c r="G1010" s="18"/>
      <c r="H1010" s="15"/>
      <c r="I1010" s="18"/>
      <c r="J1010" s="22"/>
      <c r="K1010" s="108"/>
      <c r="L1010" s="26"/>
      <c r="M1010" s="13" t="b">
        <f>NOT(ISNA(VLOOKUP(A1010,PC!A:A,1,FALSE)))</f>
        <v>0</v>
      </c>
      <c r="N1010" s="13" t="b">
        <f>NOT(ISNA(VLOOKUP(A1010,'Game Pass Premium'!A:A,1,FALSE)))</f>
        <v>0</v>
      </c>
      <c r="O1010" s="13" t="b">
        <f>NOT(ISNA(VLOOKUP(A1010,'Game Pass Essential'!A:A,1,FALSE)))</f>
        <v>0</v>
      </c>
    </row>
    <row r="1011">
      <c r="A1011" s="12"/>
      <c r="B1011" s="13"/>
      <c r="C1011" s="14"/>
      <c r="D1011" s="14"/>
      <c r="E1011" s="15"/>
      <c r="F1011" s="16"/>
      <c r="G1011" s="18"/>
      <c r="H1011" s="15"/>
      <c r="I1011" s="18"/>
      <c r="J1011" s="22"/>
      <c r="K1011" s="108"/>
      <c r="L1011" s="26"/>
      <c r="M1011" s="13" t="b">
        <f>NOT(ISNA(VLOOKUP(A1011,PC!A:A,1,FALSE)))</f>
        <v>0</v>
      </c>
      <c r="N1011" s="13" t="b">
        <f>NOT(ISNA(VLOOKUP(A1011,'Game Pass Premium'!A:A,1,FALSE)))</f>
        <v>0</v>
      </c>
      <c r="O1011" s="13" t="b">
        <f>NOT(ISNA(VLOOKUP(A1011,'Game Pass Essential'!A:A,1,FALSE)))</f>
        <v>0</v>
      </c>
    </row>
    <row r="1012">
      <c r="A1012" s="12"/>
      <c r="B1012" s="13"/>
      <c r="C1012" s="14"/>
      <c r="D1012" s="14"/>
      <c r="E1012" s="15"/>
      <c r="F1012" s="16"/>
      <c r="G1012" s="18"/>
      <c r="H1012" s="15"/>
      <c r="I1012" s="18"/>
      <c r="J1012" s="22"/>
      <c r="K1012" s="108"/>
      <c r="L1012" s="26"/>
      <c r="M1012" s="13" t="b">
        <f>NOT(ISNA(VLOOKUP(A1012,PC!A:A,1,FALSE)))</f>
        <v>0</v>
      </c>
      <c r="N1012" s="13" t="b">
        <f>NOT(ISNA(VLOOKUP(A1012,'Game Pass Premium'!A:A,1,FALSE)))</f>
        <v>0</v>
      </c>
      <c r="O1012" s="13" t="b">
        <f>NOT(ISNA(VLOOKUP(A1012,'Game Pass Essential'!A:A,1,FALSE)))</f>
        <v>0</v>
      </c>
    </row>
    <row r="1013">
      <c r="A1013" s="12"/>
      <c r="B1013" s="13"/>
      <c r="C1013" s="14"/>
      <c r="D1013" s="14"/>
      <c r="E1013" s="15"/>
      <c r="F1013" s="16"/>
      <c r="G1013" s="18"/>
      <c r="H1013" s="15"/>
      <c r="I1013" s="18"/>
      <c r="J1013" s="22"/>
      <c r="K1013" s="108"/>
      <c r="L1013" s="26"/>
      <c r="M1013" s="13" t="b">
        <f>NOT(ISNA(VLOOKUP(A1013,PC!A:A,1,FALSE)))</f>
        <v>0</v>
      </c>
      <c r="N1013" s="13" t="b">
        <f>NOT(ISNA(VLOOKUP(A1013,'Game Pass Premium'!A:A,1,FALSE)))</f>
        <v>0</v>
      </c>
      <c r="O1013" s="13" t="b">
        <f>NOT(ISNA(VLOOKUP(A1013,'Game Pass Essential'!A:A,1,FALSE)))</f>
        <v>0</v>
      </c>
    </row>
    <row r="1014">
      <c r="A1014" s="12"/>
      <c r="B1014" s="13"/>
      <c r="C1014" s="14"/>
      <c r="D1014" s="14"/>
      <c r="E1014" s="15"/>
      <c r="F1014" s="16"/>
      <c r="G1014" s="18"/>
      <c r="H1014" s="15"/>
      <c r="I1014" s="18"/>
      <c r="J1014" s="22"/>
      <c r="K1014" s="108"/>
      <c r="L1014" s="26"/>
      <c r="M1014" s="13" t="b">
        <f>NOT(ISNA(VLOOKUP(A1014,PC!A:A,1,FALSE)))</f>
        <v>0</v>
      </c>
      <c r="N1014" s="13" t="b">
        <f>NOT(ISNA(VLOOKUP(A1014,'Game Pass Premium'!A:A,1,FALSE)))</f>
        <v>0</v>
      </c>
      <c r="O1014" s="13" t="b">
        <f>NOT(ISNA(VLOOKUP(A1014,'Game Pass Essential'!A:A,1,FALSE)))</f>
        <v>0</v>
      </c>
    </row>
    <row r="1015">
      <c r="A1015" s="12"/>
      <c r="B1015" s="13"/>
      <c r="C1015" s="14"/>
      <c r="D1015" s="14"/>
      <c r="E1015" s="15"/>
      <c r="F1015" s="16"/>
      <c r="G1015" s="18"/>
      <c r="H1015" s="15"/>
      <c r="I1015" s="18"/>
      <c r="J1015" s="22"/>
      <c r="K1015" s="108"/>
      <c r="L1015" s="26"/>
      <c r="M1015" s="13" t="b">
        <f>NOT(ISNA(VLOOKUP(A1015,PC!A:A,1,FALSE)))</f>
        <v>0</v>
      </c>
      <c r="N1015" s="13" t="b">
        <f>NOT(ISNA(VLOOKUP(A1015,'Game Pass Premium'!A:A,1,FALSE)))</f>
        <v>0</v>
      </c>
      <c r="O1015" s="13" t="b">
        <f>NOT(ISNA(VLOOKUP(A1015,'Game Pass Essential'!A:A,1,FALSE)))</f>
        <v>0</v>
      </c>
    </row>
    <row r="1016">
      <c r="A1016" s="12"/>
      <c r="B1016" s="13"/>
      <c r="C1016" s="14"/>
      <c r="D1016" s="14"/>
      <c r="E1016" s="15"/>
      <c r="F1016" s="16"/>
      <c r="G1016" s="18"/>
      <c r="H1016" s="15"/>
      <c r="I1016" s="18"/>
      <c r="J1016" s="22"/>
      <c r="K1016" s="108"/>
      <c r="L1016" s="26"/>
      <c r="M1016" s="13" t="b">
        <f>NOT(ISNA(VLOOKUP(A1016,PC!A:A,1,FALSE)))</f>
        <v>0</v>
      </c>
      <c r="N1016" s="13" t="b">
        <f>NOT(ISNA(VLOOKUP(A1016,'Game Pass Premium'!A:A,1,FALSE)))</f>
        <v>0</v>
      </c>
      <c r="O1016" s="13" t="b">
        <f>NOT(ISNA(VLOOKUP(A1016,'Game Pass Essential'!A:A,1,FALSE)))</f>
        <v>0</v>
      </c>
    </row>
    <row r="1017">
      <c r="A1017" s="12"/>
      <c r="B1017" s="13"/>
      <c r="C1017" s="14"/>
      <c r="D1017" s="14"/>
      <c r="E1017" s="15"/>
      <c r="F1017" s="16"/>
      <c r="G1017" s="18"/>
      <c r="H1017" s="15"/>
      <c r="I1017" s="18"/>
      <c r="J1017" s="22"/>
      <c r="K1017" s="108"/>
      <c r="L1017" s="26"/>
      <c r="M1017" s="13" t="b">
        <f>NOT(ISNA(VLOOKUP(A1017,PC!A:A,1,FALSE)))</f>
        <v>0</v>
      </c>
      <c r="N1017" s="13" t="b">
        <f>NOT(ISNA(VLOOKUP(A1017,'Game Pass Premium'!A:A,1,FALSE)))</f>
        <v>0</v>
      </c>
      <c r="O1017" s="13" t="b">
        <f>NOT(ISNA(VLOOKUP(A1017,'Game Pass Essential'!A:A,1,FALSE)))</f>
        <v>0</v>
      </c>
    </row>
    <row r="1018">
      <c r="A1018" s="12"/>
      <c r="B1018" s="13"/>
      <c r="C1018" s="14"/>
      <c r="D1018" s="14"/>
      <c r="E1018" s="15"/>
      <c r="F1018" s="16"/>
      <c r="G1018" s="18"/>
      <c r="H1018" s="15"/>
      <c r="I1018" s="18"/>
      <c r="J1018" s="22"/>
      <c r="K1018" s="108"/>
      <c r="L1018" s="26"/>
      <c r="M1018" s="13" t="b">
        <f>NOT(ISNA(VLOOKUP(A1018,PC!A:A,1,FALSE)))</f>
        <v>0</v>
      </c>
      <c r="N1018" s="13" t="b">
        <f>NOT(ISNA(VLOOKUP(A1018,'Game Pass Premium'!A:A,1,FALSE)))</f>
        <v>0</v>
      </c>
      <c r="O1018" s="13" t="b">
        <f>NOT(ISNA(VLOOKUP(A1018,'Game Pass Essential'!A:A,1,FALSE)))</f>
        <v>0</v>
      </c>
    </row>
    <row r="1019">
      <c r="A1019" s="12"/>
      <c r="B1019" s="13"/>
      <c r="C1019" s="14"/>
      <c r="D1019" s="14"/>
      <c r="E1019" s="15"/>
      <c r="F1019" s="16"/>
      <c r="G1019" s="18"/>
      <c r="H1019" s="15"/>
      <c r="I1019" s="18"/>
      <c r="J1019" s="22"/>
      <c r="K1019" s="108"/>
      <c r="L1019" s="26"/>
      <c r="M1019" s="13" t="b">
        <f>NOT(ISNA(VLOOKUP(A1019,PC!A:A,1,FALSE)))</f>
        <v>0</v>
      </c>
      <c r="N1019" s="13" t="b">
        <f>NOT(ISNA(VLOOKUP(A1019,'Game Pass Premium'!A:A,1,FALSE)))</f>
        <v>0</v>
      </c>
      <c r="O1019" s="13" t="b">
        <f>NOT(ISNA(VLOOKUP(A1019,'Game Pass Essential'!A:A,1,FALSE)))</f>
        <v>0</v>
      </c>
    </row>
    <row r="1020">
      <c r="A1020" s="12"/>
      <c r="B1020" s="13"/>
      <c r="C1020" s="14"/>
      <c r="D1020" s="14"/>
      <c r="E1020" s="15"/>
      <c r="F1020" s="16"/>
      <c r="G1020" s="18"/>
      <c r="H1020" s="15"/>
      <c r="I1020" s="18"/>
      <c r="J1020" s="22"/>
      <c r="K1020" s="108"/>
      <c r="L1020" s="26"/>
      <c r="M1020" s="13" t="b">
        <f>NOT(ISNA(VLOOKUP(A1020,PC!A:A,1,FALSE)))</f>
        <v>0</v>
      </c>
      <c r="N1020" s="13" t="b">
        <f>NOT(ISNA(VLOOKUP(A1020,'Game Pass Premium'!A:A,1,FALSE)))</f>
        <v>0</v>
      </c>
      <c r="O1020" s="13" t="b">
        <f>NOT(ISNA(VLOOKUP(A1020,'Game Pass Essential'!A:A,1,FALSE)))</f>
        <v>0</v>
      </c>
    </row>
    <row r="1021">
      <c r="A1021" s="12"/>
      <c r="B1021" s="13"/>
      <c r="C1021" s="14"/>
      <c r="D1021" s="14"/>
      <c r="E1021" s="15"/>
      <c r="F1021" s="16"/>
      <c r="G1021" s="18"/>
      <c r="H1021" s="15"/>
      <c r="I1021" s="18"/>
      <c r="J1021" s="22"/>
      <c r="K1021" s="108"/>
      <c r="L1021" s="26"/>
      <c r="M1021" s="13" t="b">
        <f>NOT(ISNA(VLOOKUP(A1021,PC!A:A,1,FALSE)))</f>
        <v>0</v>
      </c>
      <c r="N1021" s="13" t="b">
        <f>NOT(ISNA(VLOOKUP(A1021,'Game Pass Premium'!A:A,1,FALSE)))</f>
        <v>0</v>
      </c>
      <c r="O1021" s="13" t="b">
        <f>NOT(ISNA(VLOOKUP(A1021,'Game Pass Essential'!A:A,1,FALSE)))</f>
        <v>0</v>
      </c>
    </row>
    <row r="1022">
      <c r="A1022" s="12"/>
      <c r="B1022" s="13"/>
      <c r="C1022" s="14"/>
      <c r="D1022" s="14"/>
      <c r="E1022" s="15"/>
      <c r="F1022" s="16"/>
      <c r="G1022" s="18"/>
      <c r="H1022" s="15"/>
      <c r="I1022" s="18"/>
      <c r="J1022" s="22"/>
      <c r="K1022" s="108"/>
      <c r="L1022" s="26"/>
      <c r="M1022" s="13" t="b">
        <f>NOT(ISNA(VLOOKUP(A1022,PC!A:A,1,FALSE)))</f>
        <v>0</v>
      </c>
      <c r="N1022" s="13" t="b">
        <f>NOT(ISNA(VLOOKUP(A1022,'Game Pass Premium'!A:A,1,FALSE)))</f>
        <v>0</v>
      </c>
      <c r="O1022" s="13" t="b">
        <f>NOT(ISNA(VLOOKUP(A1022,'Game Pass Essential'!A:A,1,FALSE)))</f>
        <v>0</v>
      </c>
    </row>
    <row r="1023">
      <c r="A1023" s="12"/>
      <c r="B1023" s="13"/>
      <c r="C1023" s="14"/>
      <c r="D1023" s="14"/>
      <c r="E1023" s="15"/>
      <c r="F1023" s="16"/>
      <c r="G1023" s="18"/>
      <c r="H1023" s="15"/>
      <c r="I1023" s="18"/>
      <c r="J1023" s="22"/>
      <c r="K1023" s="108"/>
      <c r="L1023" s="26"/>
      <c r="M1023" s="13" t="b">
        <f>NOT(ISNA(VLOOKUP(A1023,PC!A:A,1,FALSE)))</f>
        <v>0</v>
      </c>
      <c r="N1023" s="13" t="b">
        <f>NOT(ISNA(VLOOKUP(A1023,'Game Pass Premium'!A:A,1,FALSE)))</f>
        <v>0</v>
      </c>
      <c r="O1023" s="13" t="b">
        <f>NOT(ISNA(VLOOKUP(A1023,'Game Pass Essential'!A:A,1,FALSE)))</f>
        <v>0</v>
      </c>
    </row>
    <row r="1024">
      <c r="A1024" s="12"/>
      <c r="B1024" s="13"/>
      <c r="C1024" s="14"/>
      <c r="D1024" s="14"/>
      <c r="E1024" s="15"/>
      <c r="F1024" s="16"/>
      <c r="G1024" s="18"/>
      <c r="H1024" s="15"/>
      <c r="I1024" s="18"/>
      <c r="J1024" s="22"/>
      <c r="K1024" s="108"/>
      <c r="L1024" s="26"/>
      <c r="M1024" s="13" t="b">
        <f>NOT(ISNA(VLOOKUP(A1024,PC!A:A,1,FALSE)))</f>
        <v>0</v>
      </c>
      <c r="N1024" s="13" t="b">
        <f>NOT(ISNA(VLOOKUP(A1024,'Game Pass Premium'!A:A,1,FALSE)))</f>
        <v>0</v>
      </c>
      <c r="O1024" s="13" t="b">
        <f>NOT(ISNA(VLOOKUP(A1024,'Game Pass Essential'!A:A,1,FALSE)))</f>
        <v>0</v>
      </c>
    </row>
    <row r="1025">
      <c r="A1025" s="12"/>
      <c r="B1025" s="13"/>
      <c r="C1025" s="14"/>
      <c r="D1025" s="14"/>
      <c r="E1025" s="15"/>
      <c r="F1025" s="16"/>
      <c r="G1025" s="18"/>
      <c r="H1025" s="15"/>
      <c r="I1025" s="18"/>
      <c r="J1025" s="22"/>
      <c r="K1025" s="108"/>
      <c r="L1025" s="26"/>
      <c r="M1025" s="13" t="b">
        <f>NOT(ISNA(VLOOKUP(A1025,PC!A:A,1,FALSE)))</f>
        <v>0</v>
      </c>
      <c r="N1025" s="13" t="b">
        <f>NOT(ISNA(VLOOKUP(A1025,'Game Pass Premium'!A:A,1,FALSE)))</f>
        <v>0</v>
      </c>
      <c r="O1025" s="13" t="b">
        <f>NOT(ISNA(VLOOKUP(A1025,'Game Pass Essential'!A:A,1,FALSE)))</f>
        <v>0</v>
      </c>
    </row>
    <row r="1026">
      <c r="A1026" s="12"/>
      <c r="B1026" s="13"/>
      <c r="C1026" s="14"/>
      <c r="D1026" s="14"/>
      <c r="E1026" s="15"/>
      <c r="F1026" s="16"/>
      <c r="G1026" s="18"/>
      <c r="H1026" s="15"/>
      <c r="I1026" s="18"/>
      <c r="J1026" s="22"/>
      <c r="K1026" s="108"/>
      <c r="L1026" s="26"/>
      <c r="M1026" s="13" t="b">
        <f>NOT(ISNA(VLOOKUP(A1026,PC!A:A,1,FALSE)))</f>
        <v>0</v>
      </c>
      <c r="N1026" s="13" t="b">
        <f>NOT(ISNA(VLOOKUP(A1026,'Game Pass Premium'!A:A,1,FALSE)))</f>
        <v>0</v>
      </c>
      <c r="O1026" s="13" t="b">
        <f>NOT(ISNA(VLOOKUP(A1026,'Game Pass Essential'!A:A,1,FALSE)))</f>
        <v>0</v>
      </c>
    </row>
    <row r="1027">
      <c r="A1027" s="12"/>
      <c r="B1027" s="13"/>
      <c r="C1027" s="14"/>
      <c r="D1027" s="14"/>
      <c r="E1027" s="15"/>
      <c r="F1027" s="16"/>
      <c r="G1027" s="18"/>
      <c r="H1027" s="15"/>
      <c r="I1027" s="18"/>
      <c r="J1027" s="22"/>
      <c r="K1027" s="108"/>
      <c r="L1027" s="26"/>
      <c r="M1027" s="13" t="b">
        <f>NOT(ISNA(VLOOKUP(A1027,PC!A:A,1,FALSE)))</f>
        <v>0</v>
      </c>
      <c r="N1027" s="13" t="b">
        <f>NOT(ISNA(VLOOKUP(A1027,'Game Pass Premium'!A:A,1,FALSE)))</f>
        <v>0</v>
      </c>
      <c r="O1027" s="13" t="b">
        <f>NOT(ISNA(VLOOKUP(A1027,'Game Pass Essential'!A:A,1,FALSE)))</f>
        <v>0</v>
      </c>
    </row>
    <row r="1028">
      <c r="A1028" s="12"/>
      <c r="B1028" s="13"/>
      <c r="C1028" s="14"/>
      <c r="D1028" s="14"/>
      <c r="E1028" s="15"/>
      <c r="F1028" s="16"/>
      <c r="G1028" s="18"/>
      <c r="H1028" s="15"/>
      <c r="I1028" s="18"/>
      <c r="J1028" s="22"/>
      <c r="K1028" s="108"/>
      <c r="L1028" s="26"/>
      <c r="M1028" s="13" t="b">
        <f>NOT(ISNA(VLOOKUP(A1028,PC!A:A,1,FALSE)))</f>
        <v>0</v>
      </c>
      <c r="N1028" s="13" t="b">
        <f>NOT(ISNA(VLOOKUP(A1028,'Game Pass Premium'!A:A,1,FALSE)))</f>
        <v>0</v>
      </c>
      <c r="O1028" s="13" t="b">
        <f>NOT(ISNA(VLOOKUP(A1028,'Game Pass Essential'!A:A,1,FALSE)))</f>
        <v>0</v>
      </c>
    </row>
    <row r="1029">
      <c r="A1029" s="12"/>
      <c r="B1029" s="13"/>
      <c r="C1029" s="14"/>
      <c r="D1029" s="14"/>
      <c r="E1029" s="15"/>
      <c r="F1029" s="16"/>
      <c r="G1029" s="18"/>
      <c r="H1029" s="15"/>
      <c r="I1029" s="18"/>
      <c r="J1029" s="22"/>
      <c r="K1029" s="108"/>
      <c r="L1029" s="26"/>
      <c r="M1029" s="13" t="b">
        <f>NOT(ISNA(VLOOKUP(A1029,PC!A:A,1,FALSE)))</f>
        <v>0</v>
      </c>
      <c r="N1029" s="13" t="b">
        <f>NOT(ISNA(VLOOKUP(A1029,'Game Pass Premium'!A:A,1,FALSE)))</f>
        <v>0</v>
      </c>
      <c r="O1029" s="13" t="b">
        <f>NOT(ISNA(VLOOKUP(A1029,'Game Pass Essential'!A:A,1,FALSE)))</f>
        <v>0</v>
      </c>
    </row>
    <row r="1030">
      <c r="A1030" s="12"/>
      <c r="B1030" s="13"/>
      <c r="C1030" s="14"/>
      <c r="D1030" s="14"/>
      <c r="E1030" s="15"/>
      <c r="F1030" s="16"/>
      <c r="G1030" s="18"/>
      <c r="H1030" s="15"/>
      <c r="I1030" s="18"/>
      <c r="J1030" s="22"/>
      <c r="K1030" s="108"/>
      <c r="L1030" s="26"/>
      <c r="M1030" s="13" t="b">
        <f>NOT(ISNA(VLOOKUP(A1030,PC!A:A,1,FALSE)))</f>
        <v>0</v>
      </c>
      <c r="N1030" s="13" t="b">
        <f>NOT(ISNA(VLOOKUP(A1030,'Game Pass Premium'!A:A,1,FALSE)))</f>
        <v>0</v>
      </c>
      <c r="O1030" s="13" t="b">
        <f>NOT(ISNA(VLOOKUP(A1030,'Game Pass Essential'!A:A,1,FALSE)))</f>
        <v>0</v>
      </c>
    </row>
    <row r="1031">
      <c r="A1031" s="12"/>
      <c r="B1031" s="13"/>
      <c r="C1031" s="14"/>
      <c r="D1031" s="14"/>
      <c r="E1031" s="15"/>
      <c r="F1031" s="16"/>
      <c r="G1031" s="18"/>
      <c r="H1031" s="15"/>
      <c r="I1031" s="18"/>
      <c r="J1031" s="22"/>
      <c r="K1031" s="108"/>
      <c r="L1031" s="26"/>
      <c r="M1031" s="13" t="b">
        <f>NOT(ISNA(VLOOKUP(A1031,PC!A:A,1,FALSE)))</f>
        <v>0</v>
      </c>
      <c r="N1031" s="13" t="b">
        <f>NOT(ISNA(VLOOKUP(A1031,'Game Pass Premium'!A:A,1,FALSE)))</f>
        <v>0</v>
      </c>
      <c r="O1031" s="13" t="b">
        <f>NOT(ISNA(VLOOKUP(A1031,'Game Pass Essential'!A:A,1,FALSE)))</f>
        <v>0</v>
      </c>
    </row>
    <row r="1032">
      <c r="A1032" s="12"/>
      <c r="B1032" s="13"/>
      <c r="C1032" s="14"/>
      <c r="D1032" s="14"/>
      <c r="E1032" s="15"/>
      <c r="F1032" s="16"/>
      <c r="G1032" s="18"/>
      <c r="H1032" s="15"/>
      <c r="I1032" s="18"/>
      <c r="J1032" s="22"/>
      <c r="K1032" s="108"/>
      <c r="L1032" s="26"/>
      <c r="M1032" s="13" t="b">
        <f>NOT(ISNA(VLOOKUP(A1032,PC!A:A,1,FALSE)))</f>
        <v>0</v>
      </c>
      <c r="N1032" s="13" t="b">
        <f>NOT(ISNA(VLOOKUP(A1032,'Game Pass Premium'!A:A,1,FALSE)))</f>
        <v>0</v>
      </c>
      <c r="O1032" s="13" t="b">
        <f>NOT(ISNA(VLOOKUP(A1032,'Game Pass Essential'!A:A,1,FALSE)))</f>
        <v>0</v>
      </c>
    </row>
    <row r="1033">
      <c r="A1033" s="12"/>
      <c r="B1033" s="13"/>
      <c r="C1033" s="14"/>
      <c r="D1033" s="14"/>
      <c r="E1033" s="15"/>
      <c r="F1033" s="16"/>
      <c r="G1033" s="18"/>
      <c r="H1033" s="15"/>
      <c r="I1033" s="18"/>
      <c r="J1033" s="22"/>
      <c r="K1033" s="108"/>
      <c r="L1033" s="26"/>
      <c r="M1033" s="13" t="b">
        <f>NOT(ISNA(VLOOKUP(A1033,PC!A:A,1,FALSE)))</f>
        <v>0</v>
      </c>
      <c r="N1033" s="13" t="b">
        <f>NOT(ISNA(VLOOKUP(A1033,'Game Pass Premium'!A:A,1,FALSE)))</f>
        <v>0</v>
      </c>
      <c r="O1033" s="13" t="b">
        <f>NOT(ISNA(VLOOKUP(A1033,'Game Pass Essential'!A:A,1,FALSE)))</f>
        <v>0</v>
      </c>
    </row>
    <row r="1034">
      <c r="A1034" s="12"/>
      <c r="B1034" s="13"/>
      <c r="C1034" s="14"/>
      <c r="D1034" s="14"/>
      <c r="E1034" s="15"/>
      <c r="F1034" s="16"/>
      <c r="G1034" s="18"/>
      <c r="H1034" s="15"/>
      <c r="I1034" s="18"/>
      <c r="J1034" s="22"/>
      <c r="K1034" s="108"/>
      <c r="L1034" s="26"/>
      <c r="M1034" s="13" t="b">
        <f>NOT(ISNA(VLOOKUP(A1034,PC!A:A,1,FALSE)))</f>
        <v>0</v>
      </c>
      <c r="N1034" s="13" t="b">
        <f>NOT(ISNA(VLOOKUP(A1034,'Game Pass Premium'!A:A,1,FALSE)))</f>
        <v>0</v>
      </c>
      <c r="O1034" s="13" t="b">
        <f>NOT(ISNA(VLOOKUP(A1034,'Game Pass Essential'!A:A,1,FALSE)))</f>
        <v>0</v>
      </c>
    </row>
    <row r="1035">
      <c r="A1035" s="12"/>
      <c r="B1035" s="13"/>
      <c r="C1035" s="14"/>
      <c r="D1035" s="14"/>
      <c r="E1035" s="15"/>
      <c r="F1035" s="16"/>
      <c r="G1035" s="18"/>
      <c r="H1035" s="15"/>
      <c r="I1035" s="18"/>
      <c r="J1035" s="22"/>
      <c r="K1035" s="108"/>
      <c r="L1035" s="26"/>
      <c r="M1035" s="13" t="b">
        <f>NOT(ISNA(VLOOKUP(A1035,PC!A:A,1,FALSE)))</f>
        <v>0</v>
      </c>
      <c r="N1035" s="13" t="b">
        <f>NOT(ISNA(VLOOKUP(A1035,'Game Pass Premium'!A:A,1,FALSE)))</f>
        <v>0</v>
      </c>
      <c r="O1035" s="13" t="b">
        <f>NOT(ISNA(VLOOKUP(A1035,'Game Pass Essential'!A:A,1,FALSE)))</f>
        <v>0</v>
      </c>
    </row>
    <row r="1036">
      <c r="A1036" s="12"/>
      <c r="B1036" s="13"/>
      <c r="C1036" s="14"/>
      <c r="D1036" s="14"/>
      <c r="E1036" s="15"/>
      <c r="F1036" s="16"/>
      <c r="G1036" s="18"/>
      <c r="H1036" s="15"/>
      <c r="I1036" s="18"/>
      <c r="J1036" s="22"/>
      <c r="K1036" s="108"/>
      <c r="L1036" s="26"/>
      <c r="M1036" s="13" t="b">
        <f>NOT(ISNA(VLOOKUP(A1036,PC!A:A,1,FALSE)))</f>
        <v>0</v>
      </c>
      <c r="N1036" s="13" t="b">
        <f>NOT(ISNA(VLOOKUP(A1036,'Game Pass Premium'!A:A,1,FALSE)))</f>
        <v>0</v>
      </c>
      <c r="O1036" s="13" t="b">
        <f>NOT(ISNA(VLOOKUP(A1036,'Game Pass Essential'!A:A,1,FALSE)))</f>
        <v>0</v>
      </c>
    </row>
    <row r="1037">
      <c r="A1037" s="12"/>
      <c r="B1037" s="13"/>
      <c r="C1037" s="14"/>
      <c r="D1037" s="14"/>
      <c r="E1037" s="15"/>
      <c r="F1037" s="16"/>
      <c r="G1037" s="18"/>
      <c r="H1037" s="15"/>
      <c r="I1037" s="18"/>
      <c r="J1037" s="22"/>
      <c r="K1037" s="108"/>
      <c r="L1037" s="26"/>
      <c r="M1037" s="13" t="b">
        <f>NOT(ISNA(VLOOKUP(A1037,PC!A:A,1,FALSE)))</f>
        <v>0</v>
      </c>
      <c r="N1037" s="13" t="b">
        <f>NOT(ISNA(VLOOKUP(A1037,'Game Pass Premium'!A:A,1,FALSE)))</f>
        <v>0</v>
      </c>
      <c r="O1037" s="13" t="b">
        <f>NOT(ISNA(VLOOKUP(A1037,'Game Pass Essential'!A:A,1,FALSE)))</f>
        <v>0</v>
      </c>
    </row>
    <row r="1038">
      <c r="A1038" s="12"/>
      <c r="B1038" s="13"/>
      <c r="C1038" s="14"/>
      <c r="D1038" s="14"/>
      <c r="E1038" s="15"/>
      <c r="F1038" s="16"/>
      <c r="G1038" s="18"/>
      <c r="H1038" s="15"/>
      <c r="I1038" s="18"/>
      <c r="J1038" s="22"/>
      <c r="K1038" s="108"/>
      <c r="L1038" s="26"/>
      <c r="M1038" s="13" t="b">
        <f>NOT(ISNA(VLOOKUP(A1038,PC!A:A,1,FALSE)))</f>
        <v>0</v>
      </c>
      <c r="N1038" s="13" t="b">
        <f>NOT(ISNA(VLOOKUP(A1038,'Game Pass Premium'!A:A,1,FALSE)))</f>
        <v>0</v>
      </c>
      <c r="O1038" s="13" t="b">
        <f>NOT(ISNA(VLOOKUP(A1038,'Game Pass Essential'!A:A,1,FALSE)))</f>
        <v>0</v>
      </c>
    </row>
    <row r="1039">
      <c r="A1039" s="12"/>
      <c r="B1039" s="13"/>
      <c r="C1039" s="14"/>
      <c r="D1039" s="14"/>
      <c r="E1039" s="15"/>
      <c r="F1039" s="16"/>
      <c r="G1039" s="18"/>
      <c r="H1039" s="15"/>
      <c r="I1039" s="18"/>
      <c r="J1039" s="22"/>
      <c r="K1039" s="108"/>
      <c r="L1039" s="26"/>
      <c r="M1039" s="13" t="b">
        <f>NOT(ISNA(VLOOKUP(A1039,PC!A:A,1,FALSE)))</f>
        <v>0</v>
      </c>
      <c r="N1039" s="13" t="b">
        <f>NOT(ISNA(VLOOKUP(A1039,'Game Pass Premium'!A:A,1,FALSE)))</f>
        <v>0</v>
      </c>
      <c r="O1039" s="13" t="b">
        <f>NOT(ISNA(VLOOKUP(A1039,'Game Pass Essential'!A:A,1,FALSE)))</f>
        <v>0</v>
      </c>
    </row>
    <row r="1040">
      <c r="A1040" s="12"/>
      <c r="B1040" s="13"/>
      <c r="C1040" s="14"/>
      <c r="D1040" s="14"/>
      <c r="E1040" s="15"/>
      <c r="F1040" s="16"/>
      <c r="G1040" s="18"/>
      <c r="H1040" s="15"/>
      <c r="I1040" s="18"/>
      <c r="J1040" s="22"/>
      <c r="K1040" s="108"/>
      <c r="L1040" s="26"/>
      <c r="M1040" s="13" t="b">
        <f>NOT(ISNA(VLOOKUP(A1040,PC!A:A,1,FALSE)))</f>
        <v>0</v>
      </c>
      <c r="N1040" s="13" t="b">
        <f>NOT(ISNA(VLOOKUP(A1040,'Game Pass Premium'!A:A,1,FALSE)))</f>
        <v>0</v>
      </c>
      <c r="O1040" s="13" t="b">
        <f>NOT(ISNA(VLOOKUP(A1040,'Game Pass Essential'!A:A,1,FALSE)))</f>
        <v>0</v>
      </c>
    </row>
    <row r="1041">
      <c r="A1041" s="12"/>
      <c r="B1041" s="13"/>
      <c r="C1041" s="14"/>
      <c r="D1041" s="14"/>
      <c r="E1041" s="15"/>
      <c r="F1041" s="16"/>
      <c r="G1041" s="18"/>
      <c r="H1041" s="15"/>
      <c r="I1041" s="18"/>
      <c r="J1041" s="22"/>
      <c r="K1041" s="108"/>
      <c r="L1041" s="26"/>
      <c r="M1041" s="13" t="b">
        <f>NOT(ISNA(VLOOKUP(A1041,PC!A:A,1,FALSE)))</f>
        <v>0</v>
      </c>
      <c r="N1041" s="13" t="b">
        <f>NOT(ISNA(VLOOKUP(A1041,'Game Pass Premium'!A:A,1,FALSE)))</f>
        <v>0</v>
      </c>
      <c r="O1041" s="13" t="b">
        <f>NOT(ISNA(VLOOKUP(A1041,'Game Pass Essential'!A:A,1,FALSE)))</f>
        <v>0</v>
      </c>
    </row>
    <row r="1042">
      <c r="A1042" s="12"/>
      <c r="B1042" s="13"/>
      <c r="C1042" s="14"/>
      <c r="D1042" s="14"/>
      <c r="E1042" s="15"/>
      <c r="F1042" s="16"/>
      <c r="G1042" s="18"/>
      <c r="H1042" s="15"/>
      <c r="I1042" s="18"/>
      <c r="J1042" s="22"/>
      <c r="K1042" s="108"/>
      <c r="L1042" s="26"/>
      <c r="M1042" s="13" t="b">
        <f>NOT(ISNA(VLOOKUP(A1042,PC!A:A,1,FALSE)))</f>
        <v>0</v>
      </c>
      <c r="N1042" s="13" t="b">
        <f>NOT(ISNA(VLOOKUP(A1042,'Game Pass Premium'!A:A,1,FALSE)))</f>
        <v>0</v>
      </c>
      <c r="O1042" s="13" t="b">
        <f>NOT(ISNA(VLOOKUP(A1042,'Game Pass Essential'!A:A,1,FALSE)))</f>
        <v>0</v>
      </c>
    </row>
    <row r="1043">
      <c r="A1043" s="12"/>
      <c r="B1043" s="13"/>
      <c r="C1043" s="14"/>
      <c r="D1043" s="14"/>
      <c r="E1043" s="15"/>
      <c r="F1043" s="16"/>
      <c r="G1043" s="18"/>
      <c r="H1043" s="15"/>
      <c r="I1043" s="18"/>
      <c r="J1043" s="22"/>
      <c r="K1043" s="108"/>
      <c r="L1043" s="26"/>
      <c r="M1043" s="13" t="b">
        <f>NOT(ISNA(VLOOKUP(A1043,PC!A:A,1,FALSE)))</f>
        <v>0</v>
      </c>
      <c r="N1043" s="13" t="b">
        <f>NOT(ISNA(VLOOKUP(A1043,'Game Pass Premium'!A:A,1,FALSE)))</f>
        <v>0</v>
      </c>
      <c r="O1043" s="13" t="b">
        <f>NOT(ISNA(VLOOKUP(A1043,'Game Pass Essential'!A:A,1,FALSE)))</f>
        <v>0</v>
      </c>
    </row>
    <row r="1044">
      <c r="A1044" s="12"/>
      <c r="B1044" s="13"/>
      <c r="C1044" s="14"/>
      <c r="D1044" s="14"/>
      <c r="E1044" s="15"/>
      <c r="F1044" s="16"/>
      <c r="G1044" s="18"/>
      <c r="H1044" s="15"/>
      <c r="I1044" s="18"/>
      <c r="J1044" s="22"/>
      <c r="K1044" s="108"/>
      <c r="L1044" s="26"/>
      <c r="M1044" s="13" t="b">
        <f>NOT(ISNA(VLOOKUP(A1044,PC!A:A,1,FALSE)))</f>
        <v>0</v>
      </c>
      <c r="N1044" s="13" t="b">
        <f>NOT(ISNA(VLOOKUP(A1044,'Game Pass Premium'!A:A,1,FALSE)))</f>
        <v>0</v>
      </c>
      <c r="O1044" s="13" t="b">
        <f>NOT(ISNA(VLOOKUP(A1044,'Game Pass Essential'!A:A,1,FALSE)))</f>
        <v>0</v>
      </c>
    </row>
    <row r="1045">
      <c r="A1045" s="12"/>
      <c r="B1045" s="13"/>
      <c r="C1045" s="14"/>
      <c r="D1045" s="14"/>
      <c r="E1045" s="15"/>
      <c r="F1045" s="16"/>
      <c r="G1045" s="18"/>
      <c r="H1045" s="15"/>
      <c r="I1045" s="18"/>
      <c r="J1045" s="22"/>
      <c r="K1045" s="108"/>
      <c r="L1045" s="26"/>
      <c r="M1045" s="13" t="b">
        <f>NOT(ISNA(VLOOKUP(A1045,PC!A:A,1,FALSE)))</f>
        <v>0</v>
      </c>
      <c r="N1045" s="13" t="b">
        <f>NOT(ISNA(VLOOKUP(A1045,'Game Pass Premium'!A:A,1,FALSE)))</f>
        <v>0</v>
      </c>
      <c r="O1045" s="13" t="b">
        <f>NOT(ISNA(VLOOKUP(A1045,'Game Pass Essential'!A:A,1,FALSE)))</f>
        <v>0</v>
      </c>
    </row>
    <row r="1046">
      <c r="A1046" s="12"/>
      <c r="B1046" s="13"/>
      <c r="C1046" s="14"/>
      <c r="D1046" s="14"/>
      <c r="E1046" s="15"/>
      <c r="F1046" s="16"/>
      <c r="G1046" s="18"/>
      <c r="H1046" s="15"/>
      <c r="I1046" s="18"/>
      <c r="J1046" s="22"/>
      <c r="K1046" s="108"/>
      <c r="L1046" s="26"/>
      <c r="M1046" s="13" t="b">
        <f>NOT(ISNA(VLOOKUP(A1046,PC!A:A,1,FALSE)))</f>
        <v>0</v>
      </c>
      <c r="N1046" s="13" t="b">
        <f>NOT(ISNA(VLOOKUP(A1046,'Game Pass Premium'!A:A,1,FALSE)))</f>
        <v>0</v>
      </c>
      <c r="O1046" s="13" t="b">
        <f>NOT(ISNA(VLOOKUP(A1046,'Game Pass Essential'!A:A,1,FALSE)))</f>
        <v>0</v>
      </c>
    </row>
    <row r="1047">
      <c r="A1047" s="12"/>
      <c r="B1047" s="13"/>
      <c r="C1047" s="14"/>
      <c r="D1047" s="14"/>
      <c r="E1047" s="15"/>
      <c r="F1047" s="16"/>
      <c r="G1047" s="18"/>
      <c r="H1047" s="15"/>
      <c r="I1047" s="18"/>
      <c r="J1047" s="22"/>
      <c r="K1047" s="108"/>
      <c r="L1047" s="26"/>
      <c r="M1047" s="13" t="b">
        <f>NOT(ISNA(VLOOKUP(A1047,PC!A:A,1,FALSE)))</f>
        <v>0</v>
      </c>
      <c r="N1047" s="13" t="b">
        <f>NOT(ISNA(VLOOKUP(A1047,'Game Pass Premium'!A:A,1,FALSE)))</f>
        <v>0</v>
      </c>
      <c r="O1047" s="13" t="b">
        <f>NOT(ISNA(VLOOKUP(A1047,'Game Pass Essential'!A:A,1,FALSE)))</f>
        <v>0</v>
      </c>
    </row>
    <row r="1048">
      <c r="A1048" s="12"/>
      <c r="B1048" s="13"/>
      <c r="C1048" s="14"/>
      <c r="D1048" s="14"/>
      <c r="E1048" s="15"/>
      <c r="F1048" s="16"/>
      <c r="G1048" s="18"/>
      <c r="H1048" s="15"/>
      <c r="I1048" s="18"/>
      <c r="J1048" s="22"/>
      <c r="K1048" s="108"/>
      <c r="L1048" s="26"/>
      <c r="M1048" s="13" t="b">
        <f>NOT(ISNA(VLOOKUP(A1048,PC!A:A,1,FALSE)))</f>
        <v>0</v>
      </c>
      <c r="N1048" s="13" t="b">
        <f>NOT(ISNA(VLOOKUP(A1048,'Game Pass Premium'!A:A,1,FALSE)))</f>
        <v>0</v>
      </c>
      <c r="O1048" s="13" t="b">
        <f>NOT(ISNA(VLOOKUP(A1048,'Game Pass Essential'!A:A,1,FALSE)))</f>
        <v>0</v>
      </c>
    </row>
    <row r="1049">
      <c r="A1049" s="12"/>
      <c r="B1049" s="13"/>
      <c r="C1049" s="14"/>
      <c r="D1049" s="14"/>
      <c r="E1049" s="15"/>
      <c r="F1049" s="16"/>
      <c r="G1049" s="18"/>
      <c r="H1049" s="15"/>
      <c r="I1049" s="18"/>
      <c r="J1049" s="22"/>
      <c r="K1049" s="108"/>
      <c r="L1049" s="26"/>
      <c r="M1049" s="13" t="b">
        <f>NOT(ISNA(VLOOKUP(A1049,PC!A:A,1,FALSE)))</f>
        <v>0</v>
      </c>
      <c r="N1049" s="13" t="b">
        <f>NOT(ISNA(VLOOKUP(A1049,'Game Pass Premium'!A:A,1,FALSE)))</f>
        <v>0</v>
      </c>
      <c r="O1049" s="13" t="b">
        <f>NOT(ISNA(VLOOKUP(A1049,'Game Pass Essential'!A:A,1,FALSE)))</f>
        <v>0</v>
      </c>
    </row>
    <row r="1050">
      <c r="A1050" s="12"/>
      <c r="B1050" s="13"/>
      <c r="C1050" s="14"/>
      <c r="D1050" s="14"/>
      <c r="E1050" s="15"/>
      <c r="F1050" s="16"/>
      <c r="G1050" s="18"/>
      <c r="H1050" s="15"/>
      <c r="I1050" s="18"/>
      <c r="J1050" s="22"/>
      <c r="K1050" s="108"/>
      <c r="L1050" s="26"/>
      <c r="M1050" s="13" t="b">
        <f>NOT(ISNA(VLOOKUP(A1050,PC!A:A,1,FALSE)))</f>
        <v>0</v>
      </c>
      <c r="N1050" s="13" t="b">
        <f>NOT(ISNA(VLOOKUP(A1050,'Game Pass Premium'!A:A,1,FALSE)))</f>
        <v>0</v>
      </c>
      <c r="O1050" s="13" t="b">
        <f>NOT(ISNA(VLOOKUP(A1050,'Game Pass Essential'!A:A,1,FALSE)))</f>
        <v>0</v>
      </c>
    </row>
    <row r="1051">
      <c r="A1051" s="12"/>
      <c r="B1051" s="13"/>
      <c r="C1051" s="14"/>
      <c r="D1051" s="14"/>
      <c r="E1051" s="15"/>
      <c r="F1051" s="16"/>
      <c r="G1051" s="18"/>
      <c r="H1051" s="15"/>
      <c r="I1051" s="18"/>
      <c r="J1051" s="22"/>
      <c r="K1051" s="108"/>
      <c r="L1051" s="26"/>
      <c r="M1051" s="13" t="b">
        <f>NOT(ISNA(VLOOKUP(A1051,PC!A:A,1,FALSE)))</f>
        <v>0</v>
      </c>
      <c r="N1051" s="13" t="b">
        <f>NOT(ISNA(VLOOKUP(A1051,'Game Pass Premium'!A:A,1,FALSE)))</f>
        <v>0</v>
      </c>
      <c r="O1051" s="13" t="b">
        <f>NOT(ISNA(VLOOKUP(A1051,'Game Pass Essential'!A:A,1,FALSE)))</f>
        <v>0</v>
      </c>
    </row>
    <row r="1052">
      <c r="A1052" s="12"/>
      <c r="B1052" s="13"/>
      <c r="C1052" s="14"/>
      <c r="D1052" s="14"/>
      <c r="E1052" s="15"/>
      <c r="F1052" s="16"/>
      <c r="G1052" s="18"/>
      <c r="H1052" s="15"/>
      <c r="I1052" s="18"/>
      <c r="J1052" s="22"/>
      <c r="K1052" s="108"/>
      <c r="L1052" s="26"/>
      <c r="M1052" s="13" t="b">
        <f>NOT(ISNA(VLOOKUP(A1052,PC!A:A,1,FALSE)))</f>
        <v>0</v>
      </c>
      <c r="N1052" s="13" t="b">
        <f>NOT(ISNA(VLOOKUP(A1052,'Game Pass Premium'!A:A,1,FALSE)))</f>
        <v>0</v>
      </c>
      <c r="O1052" s="13" t="b">
        <f>NOT(ISNA(VLOOKUP(A1052,'Game Pass Essential'!A:A,1,FALSE)))</f>
        <v>0</v>
      </c>
    </row>
    <row r="1053">
      <c r="A1053" s="12"/>
      <c r="B1053" s="13"/>
      <c r="C1053" s="14"/>
      <c r="D1053" s="14"/>
      <c r="E1053" s="15"/>
      <c r="F1053" s="16"/>
      <c r="G1053" s="18"/>
      <c r="H1053" s="15"/>
      <c r="I1053" s="18"/>
      <c r="J1053" s="22"/>
      <c r="K1053" s="108"/>
      <c r="L1053" s="26"/>
      <c r="M1053" s="13" t="b">
        <f>NOT(ISNA(VLOOKUP(A1053,PC!A:A,1,FALSE)))</f>
        <v>0</v>
      </c>
      <c r="N1053" s="13" t="b">
        <f>NOT(ISNA(VLOOKUP(A1053,'Game Pass Premium'!A:A,1,FALSE)))</f>
        <v>0</v>
      </c>
      <c r="O1053" s="13" t="b">
        <f>NOT(ISNA(VLOOKUP(A1053,'Game Pass Essential'!A:A,1,FALSE)))</f>
        <v>0</v>
      </c>
    </row>
    <row r="1054">
      <c r="A1054" s="12"/>
      <c r="B1054" s="13"/>
      <c r="C1054" s="14"/>
      <c r="D1054" s="14"/>
      <c r="E1054" s="15"/>
      <c r="F1054" s="16"/>
      <c r="G1054" s="18"/>
      <c r="H1054" s="15"/>
      <c r="I1054" s="18"/>
      <c r="J1054" s="22"/>
      <c r="K1054" s="108"/>
      <c r="L1054" s="26"/>
      <c r="M1054" s="13" t="b">
        <f>NOT(ISNA(VLOOKUP(A1054,PC!A:A,1,FALSE)))</f>
        <v>0</v>
      </c>
      <c r="N1054" s="13" t="b">
        <f>NOT(ISNA(VLOOKUP(A1054,'Game Pass Premium'!A:A,1,FALSE)))</f>
        <v>0</v>
      </c>
      <c r="O1054" s="13" t="b">
        <f>NOT(ISNA(VLOOKUP(A1054,'Game Pass Essential'!A:A,1,FALSE)))</f>
        <v>0</v>
      </c>
    </row>
    <row r="1055">
      <c r="A1055" s="12"/>
      <c r="B1055" s="13"/>
      <c r="C1055" s="14"/>
      <c r="D1055" s="14"/>
      <c r="E1055" s="15"/>
      <c r="F1055" s="16"/>
      <c r="G1055" s="18"/>
      <c r="H1055" s="15"/>
      <c r="I1055" s="18"/>
      <c r="J1055" s="22"/>
      <c r="K1055" s="108"/>
      <c r="L1055" s="26"/>
      <c r="M1055" s="13" t="b">
        <f>NOT(ISNA(VLOOKUP(A1055,PC!A:A,1,FALSE)))</f>
        <v>0</v>
      </c>
      <c r="N1055" s="13" t="b">
        <f>NOT(ISNA(VLOOKUP(A1055,'Game Pass Premium'!A:A,1,FALSE)))</f>
        <v>0</v>
      </c>
      <c r="O1055" s="13" t="b">
        <f>NOT(ISNA(VLOOKUP(A1055,'Game Pass Essential'!A:A,1,FALSE)))</f>
        <v>0</v>
      </c>
    </row>
    <row r="1056">
      <c r="A1056" s="12"/>
      <c r="B1056" s="13"/>
      <c r="C1056" s="14"/>
      <c r="D1056" s="14"/>
      <c r="E1056" s="15"/>
      <c r="F1056" s="16"/>
      <c r="G1056" s="18"/>
      <c r="H1056" s="15"/>
      <c r="I1056" s="18"/>
      <c r="J1056" s="22"/>
      <c r="K1056" s="108"/>
      <c r="L1056" s="26"/>
      <c r="M1056" s="13" t="b">
        <f>NOT(ISNA(VLOOKUP(A1056,PC!A:A,1,FALSE)))</f>
        <v>0</v>
      </c>
      <c r="N1056" s="13" t="b">
        <f>NOT(ISNA(VLOOKUP(A1056,'Game Pass Premium'!A:A,1,FALSE)))</f>
        <v>0</v>
      </c>
      <c r="O1056" s="13" t="b">
        <f>NOT(ISNA(VLOOKUP(A1056,'Game Pass Essential'!A:A,1,FALSE)))</f>
        <v>0</v>
      </c>
    </row>
    <row r="1057">
      <c r="A1057" s="12"/>
      <c r="B1057" s="13"/>
      <c r="C1057" s="14"/>
      <c r="D1057" s="14"/>
      <c r="E1057" s="15"/>
      <c r="F1057" s="16"/>
      <c r="G1057" s="18"/>
      <c r="H1057" s="15"/>
      <c r="I1057" s="18"/>
      <c r="J1057" s="22"/>
      <c r="K1057" s="108"/>
      <c r="L1057" s="26"/>
      <c r="M1057" s="13" t="b">
        <f>NOT(ISNA(VLOOKUP(A1057,PC!A:A,1,FALSE)))</f>
        <v>0</v>
      </c>
      <c r="N1057" s="13" t="b">
        <f>NOT(ISNA(VLOOKUP(A1057,'Game Pass Premium'!A:A,1,FALSE)))</f>
        <v>0</v>
      </c>
      <c r="O1057" s="13" t="b">
        <f>NOT(ISNA(VLOOKUP(A1057,'Game Pass Essential'!A:A,1,FALSE)))</f>
        <v>0</v>
      </c>
    </row>
    <row r="1058">
      <c r="A1058" s="12"/>
      <c r="B1058" s="13"/>
      <c r="C1058" s="14"/>
      <c r="D1058" s="14"/>
      <c r="E1058" s="15"/>
      <c r="F1058" s="16"/>
      <c r="G1058" s="18"/>
      <c r="H1058" s="15"/>
      <c r="I1058" s="18"/>
      <c r="J1058" s="22"/>
      <c r="K1058" s="108"/>
      <c r="L1058" s="26"/>
      <c r="M1058" s="13" t="b">
        <f>NOT(ISNA(VLOOKUP(A1058,PC!A:A,1,FALSE)))</f>
        <v>0</v>
      </c>
      <c r="N1058" s="13" t="b">
        <f>NOT(ISNA(VLOOKUP(A1058,'Game Pass Premium'!A:A,1,FALSE)))</f>
        <v>0</v>
      </c>
      <c r="O1058" s="13" t="b">
        <f>NOT(ISNA(VLOOKUP(A1058,'Game Pass Essential'!A:A,1,FALSE)))</f>
        <v>0</v>
      </c>
    </row>
    <row r="1059">
      <c r="A1059" s="12"/>
      <c r="B1059" s="13"/>
      <c r="C1059" s="14"/>
      <c r="D1059" s="14"/>
      <c r="E1059" s="15"/>
      <c r="F1059" s="16"/>
      <c r="G1059" s="18"/>
      <c r="H1059" s="15"/>
      <c r="I1059" s="18"/>
      <c r="J1059" s="22"/>
      <c r="K1059" s="108"/>
      <c r="L1059" s="26"/>
      <c r="M1059" s="13" t="b">
        <f>NOT(ISNA(VLOOKUP(A1059,PC!A:A,1,FALSE)))</f>
        <v>0</v>
      </c>
      <c r="N1059" s="13" t="b">
        <f>NOT(ISNA(VLOOKUP(A1059,'Game Pass Premium'!A:A,1,FALSE)))</f>
        <v>0</v>
      </c>
      <c r="O1059" s="13" t="b">
        <f>NOT(ISNA(VLOOKUP(A1059,'Game Pass Essential'!A:A,1,FALSE)))</f>
        <v>0</v>
      </c>
    </row>
    <row r="1060">
      <c r="A1060" s="12"/>
      <c r="B1060" s="13"/>
      <c r="C1060" s="14"/>
      <c r="D1060" s="14"/>
      <c r="E1060" s="15"/>
      <c r="F1060" s="16"/>
      <c r="G1060" s="18"/>
      <c r="H1060" s="15"/>
      <c r="I1060" s="18"/>
      <c r="J1060" s="22"/>
      <c r="K1060" s="108"/>
      <c r="L1060" s="26"/>
      <c r="M1060" s="13" t="b">
        <f>NOT(ISNA(VLOOKUP(A1060,PC!A:A,1,FALSE)))</f>
        <v>0</v>
      </c>
      <c r="N1060" s="13" t="b">
        <f>NOT(ISNA(VLOOKUP(A1060,'Game Pass Premium'!A:A,1,FALSE)))</f>
        <v>0</v>
      </c>
      <c r="O1060" s="13" t="b">
        <f>NOT(ISNA(VLOOKUP(A1060,'Game Pass Essential'!A:A,1,FALSE)))</f>
        <v>0</v>
      </c>
    </row>
    <row r="1061">
      <c r="A1061" s="12"/>
      <c r="B1061" s="13"/>
      <c r="C1061" s="14"/>
      <c r="D1061" s="14"/>
      <c r="E1061" s="15"/>
      <c r="F1061" s="16"/>
      <c r="G1061" s="18"/>
      <c r="H1061" s="15"/>
      <c r="I1061" s="18"/>
      <c r="J1061" s="22"/>
      <c r="K1061" s="108"/>
      <c r="L1061" s="26"/>
      <c r="M1061" s="13" t="b">
        <f>NOT(ISNA(VLOOKUP(A1061,PC!A:A,1,FALSE)))</f>
        <v>0</v>
      </c>
      <c r="N1061" s="13" t="b">
        <f>NOT(ISNA(VLOOKUP(A1061,'Game Pass Premium'!A:A,1,FALSE)))</f>
        <v>0</v>
      </c>
      <c r="O1061" s="13" t="b">
        <f>NOT(ISNA(VLOOKUP(A1061,'Game Pass Essential'!A:A,1,FALSE)))</f>
        <v>0</v>
      </c>
    </row>
    <row r="1062">
      <c r="A1062" s="12"/>
      <c r="B1062" s="13"/>
      <c r="C1062" s="14"/>
      <c r="D1062" s="14"/>
      <c r="E1062" s="15"/>
      <c r="F1062" s="16"/>
      <c r="G1062" s="18"/>
      <c r="H1062" s="15"/>
      <c r="I1062" s="18"/>
      <c r="J1062" s="22"/>
      <c r="K1062" s="108"/>
      <c r="L1062" s="26"/>
      <c r="M1062" s="13" t="b">
        <f>NOT(ISNA(VLOOKUP(A1062,PC!A:A,1,FALSE)))</f>
        <v>0</v>
      </c>
      <c r="N1062" s="13" t="b">
        <f>NOT(ISNA(VLOOKUP(A1062,'Game Pass Premium'!A:A,1,FALSE)))</f>
        <v>0</v>
      </c>
      <c r="O1062" s="13" t="b">
        <f>NOT(ISNA(VLOOKUP(A1062,'Game Pass Essential'!A:A,1,FALSE)))</f>
        <v>0</v>
      </c>
    </row>
    <row r="1063">
      <c r="A1063" s="12"/>
      <c r="B1063" s="13"/>
      <c r="C1063" s="14"/>
      <c r="D1063" s="14"/>
      <c r="E1063" s="15"/>
      <c r="F1063" s="16"/>
      <c r="G1063" s="18"/>
      <c r="H1063" s="15"/>
      <c r="I1063" s="18"/>
      <c r="J1063" s="22"/>
      <c r="K1063" s="108"/>
      <c r="L1063" s="26"/>
      <c r="M1063" s="13" t="b">
        <f>NOT(ISNA(VLOOKUP(A1063,PC!A:A,1,FALSE)))</f>
        <v>0</v>
      </c>
      <c r="N1063" s="13" t="b">
        <f>NOT(ISNA(VLOOKUP(A1063,'Game Pass Premium'!A:A,1,FALSE)))</f>
        <v>0</v>
      </c>
      <c r="O1063" s="13" t="b">
        <f>NOT(ISNA(VLOOKUP(A1063,'Game Pass Essential'!A:A,1,FALSE)))</f>
        <v>0</v>
      </c>
    </row>
    <row r="1064">
      <c r="A1064" s="12"/>
      <c r="B1064" s="13"/>
      <c r="C1064" s="14"/>
      <c r="D1064" s="14"/>
      <c r="E1064" s="15"/>
      <c r="F1064" s="16"/>
      <c r="G1064" s="18"/>
      <c r="H1064" s="15"/>
      <c r="I1064" s="18"/>
      <c r="J1064" s="22"/>
      <c r="K1064" s="108"/>
      <c r="L1064" s="26"/>
      <c r="M1064" s="13" t="b">
        <f>NOT(ISNA(VLOOKUP(A1064,PC!A:A,1,FALSE)))</f>
        <v>0</v>
      </c>
      <c r="N1064" s="13" t="b">
        <f>NOT(ISNA(VLOOKUP(A1064,'Game Pass Premium'!A:A,1,FALSE)))</f>
        <v>0</v>
      </c>
      <c r="O1064" s="13" t="b">
        <f>NOT(ISNA(VLOOKUP(A1064,'Game Pass Essential'!A:A,1,FALSE)))</f>
        <v>0</v>
      </c>
    </row>
    <row r="1065">
      <c r="A1065" s="12"/>
      <c r="B1065" s="13"/>
      <c r="C1065" s="14"/>
      <c r="D1065" s="14"/>
      <c r="E1065" s="15"/>
      <c r="F1065" s="16"/>
      <c r="G1065" s="18"/>
      <c r="H1065" s="15"/>
      <c r="I1065" s="18"/>
      <c r="J1065" s="22"/>
      <c r="K1065" s="108"/>
      <c r="L1065" s="26"/>
      <c r="M1065" s="13" t="b">
        <f>NOT(ISNA(VLOOKUP(A1065,PC!A:A,1,FALSE)))</f>
        <v>0</v>
      </c>
      <c r="N1065" s="13" t="b">
        <f>NOT(ISNA(VLOOKUP(A1065,'Game Pass Premium'!A:A,1,FALSE)))</f>
        <v>0</v>
      </c>
      <c r="O1065" s="13" t="b">
        <f>NOT(ISNA(VLOOKUP(A1065,'Game Pass Essential'!A:A,1,FALSE)))</f>
        <v>0</v>
      </c>
    </row>
    <row r="1066">
      <c r="A1066" s="12"/>
      <c r="B1066" s="13"/>
      <c r="C1066" s="14"/>
      <c r="D1066" s="14"/>
      <c r="E1066" s="15"/>
      <c r="F1066" s="16"/>
      <c r="G1066" s="18"/>
      <c r="H1066" s="15"/>
      <c r="I1066" s="18"/>
      <c r="J1066" s="22"/>
      <c r="K1066" s="108"/>
      <c r="L1066" s="26"/>
      <c r="M1066" s="13" t="b">
        <f>NOT(ISNA(VLOOKUP(A1066,PC!A:A,1,FALSE)))</f>
        <v>0</v>
      </c>
      <c r="N1066" s="13" t="b">
        <f>NOT(ISNA(VLOOKUP(A1066,'Game Pass Premium'!A:A,1,FALSE)))</f>
        <v>0</v>
      </c>
      <c r="O1066" s="13" t="b">
        <f>NOT(ISNA(VLOOKUP(A1066,'Game Pass Essential'!A:A,1,FALSE)))</f>
        <v>0</v>
      </c>
    </row>
    <row r="1067">
      <c r="A1067" s="12"/>
      <c r="B1067" s="13"/>
      <c r="C1067" s="14"/>
      <c r="D1067" s="14"/>
      <c r="E1067" s="15"/>
      <c r="F1067" s="16"/>
      <c r="G1067" s="18"/>
      <c r="H1067" s="15"/>
      <c r="I1067" s="18"/>
      <c r="J1067" s="22"/>
      <c r="K1067" s="108"/>
      <c r="L1067" s="26"/>
      <c r="M1067" s="13" t="b">
        <f>NOT(ISNA(VLOOKUP(A1067,PC!A:A,1,FALSE)))</f>
        <v>0</v>
      </c>
      <c r="N1067" s="13" t="b">
        <f>NOT(ISNA(VLOOKUP(A1067,'Game Pass Premium'!A:A,1,FALSE)))</f>
        <v>0</v>
      </c>
      <c r="O1067" s="13" t="b">
        <f>NOT(ISNA(VLOOKUP(A1067,'Game Pass Essential'!A:A,1,FALSE)))</f>
        <v>0</v>
      </c>
    </row>
    <row r="1068">
      <c r="A1068" s="12"/>
      <c r="B1068" s="13"/>
      <c r="C1068" s="14"/>
      <c r="D1068" s="14"/>
      <c r="E1068" s="15"/>
      <c r="F1068" s="16"/>
      <c r="G1068" s="18"/>
      <c r="H1068" s="15"/>
      <c r="I1068" s="18"/>
      <c r="J1068" s="22"/>
      <c r="K1068" s="108"/>
      <c r="L1068" s="26"/>
      <c r="M1068" s="13" t="b">
        <f>NOT(ISNA(VLOOKUP(A1068,PC!A:A,1,FALSE)))</f>
        <v>0</v>
      </c>
      <c r="N1068" s="13" t="b">
        <f>NOT(ISNA(VLOOKUP(A1068,'Game Pass Premium'!A:A,1,FALSE)))</f>
        <v>0</v>
      </c>
      <c r="O1068" s="13" t="b">
        <f>NOT(ISNA(VLOOKUP(A1068,'Game Pass Essential'!A:A,1,FALSE)))</f>
        <v>0</v>
      </c>
    </row>
    <row r="1069">
      <c r="A1069" s="12"/>
      <c r="B1069" s="13"/>
      <c r="C1069" s="14"/>
      <c r="D1069" s="14"/>
      <c r="E1069" s="15"/>
      <c r="F1069" s="16"/>
      <c r="G1069" s="18"/>
      <c r="H1069" s="15"/>
      <c r="I1069" s="18"/>
      <c r="J1069" s="22"/>
      <c r="K1069" s="108"/>
      <c r="L1069" s="26"/>
      <c r="M1069" s="13" t="b">
        <f>NOT(ISNA(VLOOKUP(A1069,PC!A:A,1,FALSE)))</f>
        <v>0</v>
      </c>
      <c r="N1069" s="13" t="b">
        <f>NOT(ISNA(VLOOKUP(A1069,'Game Pass Premium'!A:A,1,FALSE)))</f>
        <v>0</v>
      </c>
      <c r="O1069" s="13" t="b">
        <f>NOT(ISNA(VLOOKUP(A1069,'Game Pass Essential'!A:A,1,FALSE)))</f>
        <v>0</v>
      </c>
    </row>
    <row r="1070">
      <c r="A1070" s="12"/>
      <c r="B1070" s="13"/>
      <c r="C1070" s="14"/>
      <c r="D1070" s="14"/>
      <c r="E1070" s="15"/>
      <c r="F1070" s="16"/>
      <c r="G1070" s="18"/>
      <c r="H1070" s="15"/>
      <c r="I1070" s="18"/>
      <c r="J1070" s="22"/>
      <c r="K1070" s="108"/>
      <c r="L1070" s="26"/>
      <c r="M1070" s="13" t="b">
        <f>NOT(ISNA(VLOOKUP(A1070,PC!A:A,1,FALSE)))</f>
        <v>0</v>
      </c>
      <c r="N1070" s="13" t="b">
        <f>NOT(ISNA(VLOOKUP(A1070,'Game Pass Premium'!A:A,1,FALSE)))</f>
        <v>0</v>
      </c>
      <c r="O1070" s="13" t="b">
        <f>NOT(ISNA(VLOOKUP(A1070,'Game Pass Essential'!A:A,1,FALSE)))</f>
        <v>0</v>
      </c>
    </row>
    <row r="1071">
      <c r="A1071" s="12"/>
      <c r="B1071" s="13"/>
      <c r="C1071" s="14"/>
      <c r="D1071" s="14"/>
      <c r="E1071" s="15"/>
      <c r="F1071" s="16"/>
      <c r="G1071" s="18"/>
      <c r="H1071" s="15"/>
      <c r="I1071" s="18"/>
      <c r="J1071" s="22"/>
      <c r="K1071" s="108"/>
      <c r="L1071" s="26"/>
      <c r="M1071" s="13" t="b">
        <f>NOT(ISNA(VLOOKUP(A1071,PC!A:A,1,FALSE)))</f>
        <v>0</v>
      </c>
      <c r="N1071" s="13" t="b">
        <f>NOT(ISNA(VLOOKUP(A1071,'Game Pass Premium'!A:A,1,FALSE)))</f>
        <v>0</v>
      </c>
      <c r="O1071" s="13" t="b">
        <f>NOT(ISNA(VLOOKUP(A1071,'Game Pass Essential'!A:A,1,FALSE)))</f>
        <v>0</v>
      </c>
    </row>
  </sheetData>
  <autoFilter ref="$A$1:$O$721">
    <sortState ref="A1:O721">
      <sortCondition descending="1" ref="E1:E721"/>
      <sortCondition ref="A1:A721"/>
      <sortCondition ref="D1:D721"/>
      <sortCondition ref="L1:L721"/>
      <sortCondition descending="1" ref="H1:H721"/>
      <sortCondition descending="1" ref="J1:J721"/>
      <sortCondition ref="B1:B721"/>
    </sortState>
  </autoFilter>
  <conditionalFormatting sqref="E2:E1071 I2:I1071">
    <cfRule type="expression" dxfId="5" priority="1">
      <formula>AND($E2&lt;&gt;"",(($E2-$H2)/365*12)&lt;1)</formula>
    </cfRule>
  </conditionalFormatting>
  <conditionalFormatting sqref="A1:A1071 D1:D1071">
    <cfRule type="expression" dxfId="13" priority="2">
      <formula>$D1="Coming Soon"</formula>
    </cfRule>
  </conditionalFormatting>
  <conditionalFormatting sqref="A1:A1071 D1:D1071">
    <cfRule type="expression" dxfId="7" priority="3">
      <formula>$D1="Removed"</formula>
    </cfRule>
  </conditionalFormatting>
  <conditionalFormatting sqref="A1:A1071 D1:D1071">
    <cfRule type="expression" dxfId="6" priority="4">
      <formula>MATCH(A1,INDIRECT("'Xbox Game Studios'!A:A"),0)</formula>
    </cfRule>
  </conditionalFormatting>
  <conditionalFormatting sqref="A1:A1071 D1:D1071">
    <cfRule type="expression" dxfId="10" priority="5">
      <formula>$D1="Leaving Soon"</formula>
    </cfRule>
  </conditionalFormatting>
  <conditionalFormatting sqref="D2:D1071 H2:H1071">
    <cfRule type="expression" dxfId="5" priority="6">
      <formula>AND($D2&lt;&gt;"",(($D2-$G2)/365*12)&lt;1)</formula>
    </cfRule>
  </conditionalFormatting>
  <conditionalFormatting sqref="J1:J1071">
    <cfRule type="cellIs" dxfId="5" priority="7" operator="between">
      <formula>75</formula>
      <formula>100</formula>
    </cfRule>
  </conditionalFormatting>
  <conditionalFormatting sqref="J1:J1071">
    <cfRule type="cellIs" dxfId="6" priority="8" operator="between">
      <formula>50</formula>
      <formula>74</formula>
    </cfRule>
  </conditionalFormatting>
  <conditionalFormatting sqref="J1:J1071">
    <cfRule type="cellIs" dxfId="7" priority="9" operator="between">
      <formula>1</formula>
      <formula>49</formula>
    </cfRule>
  </conditionalFormatting>
  <conditionalFormatting sqref="B2:B1071">
    <cfRule type="expression" dxfId="14" priority="10">
      <formula>AND(MATCH(A2,INDIRECT("'Cross Play'!D2:D"),0),MATCH(A2,INDIRECT("'Cross Play'!A2:A"),0))</formula>
    </cfRule>
  </conditionalFormatting>
  <conditionalFormatting sqref="B2:B1071">
    <cfRule type="expression" dxfId="15" priority="11">
      <formula>MATCH(A2,INDIRECT("'Cross Play'!A2:A"),0)</formula>
    </cfRule>
  </conditionalFormatting>
  <conditionalFormatting sqref="B2:B1071">
    <cfRule type="expression" dxfId="16" priority="12">
      <formula>MATCH(A2,INDIRECT("'Cross Play'!D2:D"),0)</formula>
    </cfRule>
  </conditionalFormatting>
  <conditionalFormatting sqref="B1:B1071">
    <cfRule type="cellIs" dxfId="17" priority="13" operator="equal">
      <formula>"PC"</formula>
    </cfRule>
  </conditionalFormatting>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6BDC6"/>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2"/>
  <cols>
    <col customWidth="1" min="1" max="1" width="48.75"/>
    <col customWidth="1" min="2" max="2" width="9.38"/>
    <col customWidth="1" min="3" max="3" width="12.13"/>
    <col customWidth="1" min="4" max="4" width="11.25"/>
    <col customWidth="1" min="5" max="5" width="11.5"/>
    <col customWidth="1" min="6" max="6" width="17.38"/>
    <col customWidth="1" min="7" max="7" width="9.63"/>
    <col customWidth="1" min="8" max="8" width="11.5"/>
    <col customWidth="1" min="9" max="9" width="7.75"/>
    <col customWidth="1" min="10" max="10" width="11.88"/>
    <col customWidth="1" min="11" max="11" width="12.63"/>
    <col customWidth="1" min="12" max="12" width="42.25"/>
  </cols>
  <sheetData>
    <row r="1">
      <c r="A1" s="2" t="s">
        <v>1</v>
      </c>
      <c r="B1" s="6">
        <f>COUNTA(A3:A975)</f>
        <v>673</v>
      </c>
      <c r="C1" s="2"/>
      <c r="D1" s="2"/>
      <c r="E1" s="2"/>
      <c r="F1" s="2"/>
      <c r="G1" s="2"/>
      <c r="H1" s="2"/>
      <c r="I1" s="2"/>
      <c r="J1" s="2"/>
      <c r="K1" s="2"/>
      <c r="L1" s="2"/>
    </row>
    <row r="2">
      <c r="A2" s="1" t="s">
        <v>0</v>
      </c>
      <c r="B2" s="8" t="s">
        <v>2</v>
      </c>
      <c r="C2" s="9" t="s">
        <v>3</v>
      </c>
      <c r="D2" s="8" t="s">
        <v>4</v>
      </c>
      <c r="E2" s="8" t="s">
        <v>5</v>
      </c>
      <c r="F2" s="9" t="s">
        <v>6</v>
      </c>
      <c r="G2" s="11" t="s">
        <v>7</v>
      </c>
      <c r="H2" s="7" t="s">
        <v>8</v>
      </c>
      <c r="I2" s="7" t="s">
        <v>9</v>
      </c>
      <c r="J2" s="7" t="s">
        <v>10</v>
      </c>
      <c r="K2" s="7" t="s">
        <v>11</v>
      </c>
      <c r="L2" s="7" t="s">
        <v>12</v>
      </c>
    </row>
    <row r="3">
      <c r="A3" s="17" t="str">
        <f>IFERROR(__xludf.DUMMYFUNCTION("SORT(FILTER('Master List'!A2:L975, REGEXMATCH('Master List'!B2:B975, ""PC""), NOT(REGEXMATCH('Master List'!D2:D975, ""Removed"")) ), 10, false)"),"Mass Effect 2: Digital Deluxe Edition")</f>
        <v>Mass Effect 2: Digital Deluxe Edition</v>
      </c>
      <c r="B3" s="20" t="str">
        <f>IFERROR(__xludf.DUMMYFUNCTION("""COMPUTED_VALUE"""),"Xbox / PC")</f>
        <v>Xbox / PC</v>
      </c>
      <c r="C3" s="21"/>
      <c r="D3" s="21" t="str">
        <f>IFERROR(__xludf.DUMMYFUNCTION("""COMPUTED_VALUE"""),"Active")</f>
        <v>Active</v>
      </c>
      <c r="E3" s="23">
        <f>IFERROR(__xludf.DUMMYFUNCTION("""COMPUTED_VALUE"""),44145.0)</f>
        <v>44145</v>
      </c>
      <c r="F3" s="24"/>
      <c r="G3" s="27">
        <f>IFERROR(__xludf.DUMMYFUNCTION("""COMPUTED_VALUE"""),70.86666666666667)</f>
        <v>70.86666667</v>
      </c>
      <c r="H3" s="23">
        <f>IFERROR(__xludf.DUMMYFUNCTION("""COMPUTED_VALUE"""),40204.0)</f>
        <v>40204</v>
      </c>
      <c r="I3" s="27">
        <f>IFERROR(__xludf.DUMMYFUNCTION("""COMPUTED_VALUE"""),10.78888888888889)</f>
        <v>10.78888889</v>
      </c>
      <c r="J3" s="29">
        <f>IFERROR(__xludf.DUMMYFUNCTION("""COMPUTED_VALUE"""),96.0)</f>
        <v>96</v>
      </c>
      <c r="K3" s="29">
        <f>IFERROR(__xludf.DUMMYFUNCTION("""COMPUTED_VALUE"""),24.5)</f>
        <v>24.5</v>
      </c>
      <c r="L3" s="31" t="str">
        <f>IFERROR(__xludf.DUMMYFUNCTION("""COMPUTED_VALUE"""),"RPG")</f>
        <v>RPG</v>
      </c>
    </row>
    <row r="4">
      <c r="A4" s="17" t="str">
        <f>IFERROR(__xludf.DUMMYFUNCTION("""COMPUTED_VALUE"""),"Persona 5 Royal")</f>
        <v>Persona 5 Royal</v>
      </c>
      <c r="B4" s="20" t="str">
        <f>IFERROR(__xludf.DUMMYFUNCTION("""COMPUTED_VALUE"""),"Xbox / PC")</f>
        <v>Xbox / PC</v>
      </c>
      <c r="C4" s="21" t="str">
        <f>IFERROR(__xludf.DUMMYFUNCTION("""COMPUTED_VALUE"""),"Touch Controls")</f>
        <v>Touch Controls</v>
      </c>
      <c r="D4" s="21" t="str">
        <f>IFERROR(__xludf.DUMMYFUNCTION("""COMPUTED_VALUE"""),"Active")</f>
        <v>Active</v>
      </c>
      <c r="E4" s="23">
        <f>IFERROR(__xludf.DUMMYFUNCTION("""COMPUTED_VALUE"""),46182.0)</f>
        <v>46182</v>
      </c>
      <c r="F4" s="24"/>
      <c r="G4" s="27">
        <f>IFERROR(__xludf.DUMMYFUNCTION("""COMPUTED_VALUE"""),3.9000000000000004)</f>
        <v>3.9</v>
      </c>
      <c r="H4" s="23">
        <f>IFERROR(__xludf.DUMMYFUNCTION("""COMPUTED_VALUE"""),43921.0)</f>
        <v>43921</v>
      </c>
      <c r="I4" s="27">
        <f>IFERROR(__xludf.DUMMYFUNCTION("""COMPUTED_VALUE"""),6.191666666666666)</f>
        <v>6.191666667</v>
      </c>
      <c r="J4" s="29">
        <f>IFERROR(__xludf.DUMMYFUNCTION("""COMPUTED_VALUE"""),95.0)</f>
        <v>95</v>
      </c>
      <c r="K4" s="29">
        <f>IFERROR(__xludf.DUMMYFUNCTION("""COMPUTED_VALUE"""),101.0)</f>
        <v>101</v>
      </c>
      <c r="L4" s="31" t="str">
        <f>IFERROR(__xludf.DUMMYFUNCTION("""COMPUTED_VALUE"""),"RPG")</f>
        <v>RPG</v>
      </c>
    </row>
    <row r="5">
      <c r="A5" s="17" t="str">
        <f>IFERROR(__xludf.DUMMYFUNCTION("""COMPUTED_VALUE"""),"Hades II")</f>
        <v>Hades II</v>
      </c>
      <c r="B5" s="20" t="str">
        <f>IFERROR(__xludf.DUMMYFUNCTION("""COMPUTED_VALUE"""),"Xbox / PC")</f>
        <v>Xbox / PC</v>
      </c>
      <c r="C5" s="21" t="str">
        <f>IFERROR(__xludf.DUMMYFUNCTION("""COMPUTED_VALUE"""),"Yes")</f>
        <v>Yes</v>
      </c>
      <c r="D5" s="21" t="str">
        <f>IFERROR(__xludf.DUMMYFUNCTION("""COMPUTED_VALUE"""),"Active")</f>
        <v>Active</v>
      </c>
      <c r="E5" s="23">
        <f>IFERROR(__xludf.DUMMYFUNCTION("""COMPUTED_VALUE"""),46126.0)</f>
        <v>46126</v>
      </c>
      <c r="F5" s="24"/>
      <c r="G5" s="27">
        <f>IFERROR(__xludf.DUMMYFUNCTION("""COMPUTED_VALUE"""),5.733333333333333)</f>
        <v>5.733333333</v>
      </c>
      <c r="H5" s="23">
        <f>IFERROR(__xludf.DUMMYFUNCTION("""COMPUTED_VALUE"""),45925.0)</f>
        <v>45925</v>
      </c>
      <c r="I5" s="27">
        <f>IFERROR(__xludf.DUMMYFUNCTION("""COMPUTED_VALUE"""),0.5527777777777778)</f>
        <v>0.5527777778</v>
      </c>
      <c r="J5" s="29">
        <f>IFERROR(__xludf.DUMMYFUNCTION("""COMPUTED_VALUE"""),95.0)</f>
        <v>95</v>
      </c>
      <c r="K5" s="29">
        <f>IFERROR(__xludf.DUMMYFUNCTION("""COMPUTED_VALUE"""),22.0)</f>
        <v>22</v>
      </c>
      <c r="L5" s="31" t="str">
        <f>IFERROR(__xludf.DUMMYFUNCTION("""COMPUTED_VALUE"""),"RPG")</f>
        <v>RPG</v>
      </c>
    </row>
    <row r="6">
      <c r="A6" s="17" t="str">
        <f>IFERROR(__xludf.DUMMYFUNCTION("""COMPUTED_VALUE"""),"Diablo")</f>
        <v>Diablo</v>
      </c>
      <c r="B6" s="20" t="str">
        <f>IFERROR(__xludf.DUMMYFUNCTION("""COMPUTED_VALUE"""),"PC")</f>
        <v>PC</v>
      </c>
      <c r="C6" s="21"/>
      <c r="D6" s="21" t="str">
        <f>IFERROR(__xludf.DUMMYFUNCTION("""COMPUTED_VALUE"""),"Active")</f>
        <v>Active</v>
      </c>
      <c r="E6" s="23">
        <f>IFERROR(__xludf.DUMMYFUNCTION("""COMPUTED_VALUE"""),45671.0)</f>
        <v>45671</v>
      </c>
      <c r="F6" s="24"/>
      <c r="G6" s="27">
        <f>IFERROR(__xludf.DUMMYFUNCTION("""COMPUTED_VALUE"""),20.733333333333334)</f>
        <v>20.73333333</v>
      </c>
      <c r="H6" s="23">
        <f>IFERROR(__xludf.DUMMYFUNCTION("""COMPUTED_VALUE"""),35430.0)</f>
        <v>35430</v>
      </c>
      <c r="I6" s="27">
        <f>IFERROR(__xludf.DUMMYFUNCTION("""COMPUTED_VALUE"""),28.038888888888888)</f>
        <v>28.03888889</v>
      </c>
      <c r="J6" s="29">
        <f>IFERROR(__xludf.DUMMYFUNCTION("""COMPUTED_VALUE"""),94.0)</f>
        <v>94</v>
      </c>
      <c r="K6" s="29">
        <f>IFERROR(__xludf.DUMMYFUNCTION("""COMPUTED_VALUE"""),7.0)</f>
        <v>7</v>
      </c>
      <c r="L6" s="31" t="str">
        <f>IFERROR(__xludf.DUMMYFUNCTION("""COMPUTED_VALUE"""),"RPG")</f>
        <v>RPG</v>
      </c>
    </row>
    <row r="7">
      <c r="A7" s="17" t="str">
        <f>IFERROR(__xludf.DUMMYFUNCTION("""COMPUTED_VALUE"""),"Quake")</f>
        <v>Quake</v>
      </c>
      <c r="B7" s="20" t="str">
        <f>IFERROR(__xludf.DUMMYFUNCTION("""COMPUTED_VALUE"""),"Xbox / PC")</f>
        <v>Xbox / PC</v>
      </c>
      <c r="C7" s="21" t="str">
        <f>IFERROR(__xludf.DUMMYFUNCTION("""COMPUTED_VALUE"""),"M+KB")</f>
        <v>M+KB</v>
      </c>
      <c r="D7" s="21" t="str">
        <f>IFERROR(__xludf.DUMMYFUNCTION("""COMPUTED_VALUE"""),"Active")</f>
        <v>Active</v>
      </c>
      <c r="E7" s="23">
        <f>IFERROR(__xludf.DUMMYFUNCTION("""COMPUTED_VALUE"""),44427.0)</f>
        <v>44427</v>
      </c>
      <c r="F7" s="24"/>
      <c r="G7" s="27">
        <f>IFERROR(__xludf.DUMMYFUNCTION("""COMPUTED_VALUE"""),61.56666666666666)</f>
        <v>61.56666667</v>
      </c>
      <c r="H7" s="23">
        <f>IFERROR(__xludf.DUMMYFUNCTION("""COMPUTED_VALUE"""),35269.0)</f>
        <v>35269</v>
      </c>
      <c r="I7" s="27">
        <f>IFERROR(__xludf.DUMMYFUNCTION("""COMPUTED_VALUE"""),25.072222222222223)</f>
        <v>25.07222222</v>
      </c>
      <c r="J7" s="29">
        <f>IFERROR(__xludf.DUMMYFUNCTION("""COMPUTED_VALUE"""),94.0)</f>
        <v>94</v>
      </c>
      <c r="K7" s="29">
        <f>IFERROR(__xludf.DUMMYFUNCTION("""COMPUTED_VALUE"""),5.5)</f>
        <v>5.5</v>
      </c>
      <c r="L7" s="31" t="str">
        <f>IFERROR(__xludf.DUMMYFUNCTION("""COMPUTED_VALUE"""),"Shooter")</f>
        <v>Shooter</v>
      </c>
    </row>
    <row r="8">
      <c r="A8" s="17" t="str">
        <f>IFERROR(__xludf.DUMMYFUNCTION("""COMPUTED_VALUE"""),"Ultima Underworld 1")</f>
        <v>Ultima Underworld 1</v>
      </c>
      <c r="B8" s="20" t="str">
        <f>IFERROR(__xludf.DUMMYFUNCTION("""COMPUTED_VALUE"""),"PC")</f>
        <v>PC</v>
      </c>
      <c r="C8" s="21"/>
      <c r="D8" s="21" t="str">
        <f>IFERROR(__xludf.DUMMYFUNCTION("""COMPUTED_VALUE"""),"Active")</f>
        <v>Active</v>
      </c>
      <c r="E8" s="23">
        <f>IFERROR(__xludf.DUMMYFUNCTION("""COMPUTED_VALUE"""),44425.0)</f>
        <v>44425</v>
      </c>
      <c r="F8" s="24"/>
      <c r="G8" s="27">
        <f>IFERROR(__xludf.DUMMYFUNCTION("""COMPUTED_VALUE"""),61.63333333333333)</f>
        <v>61.63333333</v>
      </c>
      <c r="H8" s="23">
        <f>IFERROR(__xludf.DUMMYFUNCTION("""COMPUTED_VALUE"""),33690.0)</f>
        <v>33690</v>
      </c>
      <c r="I8" s="27">
        <f>IFERROR(__xludf.DUMMYFUNCTION("""COMPUTED_VALUE"""),29.38888888888889)</f>
        <v>29.38888889</v>
      </c>
      <c r="J8" s="29">
        <f>IFERROR(__xludf.DUMMYFUNCTION("""COMPUTED_VALUE"""),94.0)</f>
        <v>94</v>
      </c>
      <c r="K8" s="29">
        <f>IFERROR(__xludf.DUMMYFUNCTION("""COMPUTED_VALUE"""),19.5)</f>
        <v>19.5</v>
      </c>
      <c r="L8" s="31" t="str">
        <f>IFERROR(__xludf.DUMMYFUNCTION("""COMPUTED_VALUE"""),"RPG")</f>
        <v>RPG</v>
      </c>
    </row>
    <row r="9">
      <c r="A9" s="17" t="str">
        <f>IFERROR(__xludf.DUMMYFUNCTION("""COMPUTED_VALUE"""),"The Elder Scrolls IV: Oblivion")</f>
        <v>The Elder Scrolls IV: Oblivion</v>
      </c>
      <c r="B9" s="20" t="str">
        <f>IFERROR(__xludf.DUMMYFUNCTION("""COMPUTED_VALUE"""),"Xbox / PC")</f>
        <v>Xbox / PC</v>
      </c>
      <c r="C9" s="21" t="str">
        <f>IFERROR(__xludf.DUMMYFUNCTION("""COMPUTED_VALUE"""),"Yes")</f>
        <v>Yes</v>
      </c>
      <c r="D9" s="21" t="str">
        <f>IFERROR(__xludf.DUMMYFUNCTION("""COMPUTED_VALUE"""),"Active")</f>
        <v>Active</v>
      </c>
      <c r="E9" s="23">
        <f>IFERROR(__xludf.DUMMYFUNCTION("""COMPUTED_VALUE"""),43282.0)</f>
        <v>43282</v>
      </c>
      <c r="F9" s="24"/>
      <c r="G9" s="27">
        <f>IFERROR(__xludf.DUMMYFUNCTION("""COMPUTED_VALUE"""),99.16666666666667)</f>
        <v>99.16666667</v>
      </c>
      <c r="H9" s="23">
        <f>IFERROR(__xludf.DUMMYFUNCTION("""COMPUTED_VALUE"""),38796.0)</f>
        <v>38796</v>
      </c>
      <c r="I9" s="27">
        <f>IFERROR(__xludf.DUMMYFUNCTION("""COMPUTED_VALUE"""),12.280555555555555)</f>
        <v>12.28055556</v>
      </c>
      <c r="J9" s="29">
        <f>IFERROR(__xludf.DUMMYFUNCTION("""COMPUTED_VALUE"""),94.0)</f>
        <v>94</v>
      </c>
      <c r="K9" s="29">
        <f>IFERROR(__xludf.DUMMYFUNCTION("""COMPUTED_VALUE"""),27.5)</f>
        <v>27.5</v>
      </c>
      <c r="L9" s="31" t="str">
        <f>IFERROR(__xludf.DUMMYFUNCTION("""COMPUTED_VALUE"""),"RPG")</f>
        <v>RPG</v>
      </c>
    </row>
    <row r="10">
      <c r="A10" s="17" t="str">
        <f>IFERROR(__xludf.DUMMYFUNCTION("""COMPUTED_VALUE"""),"Hades")</f>
        <v>Hades</v>
      </c>
      <c r="B10" s="20" t="str">
        <f>IFERROR(__xludf.DUMMYFUNCTION("""COMPUTED_VALUE"""),"Xbox / PC")</f>
        <v>Xbox / PC</v>
      </c>
      <c r="C10" s="21" t="str">
        <f>IFERROR(__xludf.DUMMYFUNCTION("""COMPUTED_VALUE"""),"Touch Controls")</f>
        <v>Touch Controls</v>
      </c>
      <c r="D10" s="21" t="str">
        <f>IFERROR(__xludf.DUMMYFUNCTION("""COMPUTED_VALUE"""),"Active")</f>
        <v>Active</v>
      </c>
      <c r="E10" s="23">
        <f>IFERROR(__xludf.DUMMYFUNCTION("""COMPUTED_VALUE"""),45919.0)</f>
        <v>45919</v>
      </c>
      <c r="F10" s="24"/>
      <c r="G10" s="27">
        <f>IFERROR(__xludf.DUMMYFUNCTION("""COMPUTED_VALUE"""),12.566666666666666)</f>
        <v>12.56666667</v>
      </c>
      <c r="H10" s="23">
        <f>IFERROR(__xludf.DUMMYFUNCTION("""COMPUTED_VALUE"""),43441.0)</f>
        <v>43441</v>
      </c>
      <c r="I10" s="27">
        <f>IFERROR(__xludf.DUMMYFUNCTION("""COMPUTED_VALUE"""),6.783333333333333)</f>
        <v>6.783333333</v>
      </c>
      <c r="J10" s="29">
        <f>IFERROR(__xludf.DUMMYFUNCTION("""COMPUTED_VALUE"""),93.5)</f>
        <v>93.5</v>
      </c>
      <c r="K10" s="29">
        <f>IFERROR(__xludf.DUMMYFUNCTION("""COMPUTED_VALUE"""),21.0)</f>
        <v>21</v>
      </c>
      <c r="L10" s="31" t="str">
        <f>IFERROR(__xludf.DUMMYFUNCTION("""COMPUTED_VALUE"""),"RPG")</f>
        <v>RPG</v>
      </c>
    </row>
    <row r="11">
      <c r="A11" s="17" t="str">
        <f>IFERROR(__xludf.DUMMYFUNCTION("""COMPUTED_VALUE"""),"Blue Prince")</f>
        <v>Blue Prince</v>
      </c>
      <c r="B11" s="20" t="str">
        <f>IFERROR(__xludf.DUMMYFUNCTION("""COMPUTED_VALUE"""),"Xbox / PC")</f>
        <v>Xbox / PC</v>
      </c>
      <c r="C11" s="21" t="str">
        <f>IFERROR(__xludf.DUMMYFUNCTION("""COMPUTED_VALUE"""),"Yes")</f>
        <v>Yes</v>
      </c>
      <c r="D11" s="21" t="str">
        <f>IFERROR(__xludf.DUMMYFUNCTION("""COMPUTED_VALUE"""),"Active")</f>
        <v>Active</v>
      </c>
      <c r="E11" s="23">
        <f>IFERROR(__xludf.DUMMYFUNCTION("""COMPUTED_VALUE"""),45757.0)</f>
        <v>45757</v>
      </c>
      <c r="F11" s="24"/>
      <c r="G11" s="27">
        <f>IFERROR(__xludf.DUMMYFUNCTION("""COMPUTED_VALUE"""),17.866666666666667)</f>
        <v>17.86666667</v>
      </c>
      <c r="H11" s="23">
        <f>IFERROR(__xludf.DUMMYFUNCTION("""COMPUTED_VALUE"""),45757.0)</f>
        <v>45757</v>
      </c>
      <c r="I11" s="27">
        <f>IFERROR(__xludf.DUMMYFUNCTION("""COMPUTED_VALUE"""),0.0)</f>
        <v>0</v>
      </c>
      <c r="J11" s="29">
        <f>IFERROR(__xludf.DUMMYFUNCTION("""COMPUTED_VALUE"""),93.0)</f>
        <v>93</v>
      </c>
      <c r="K11" s="29">
        <f>IFERROR(__xludf.DUMMYFUNCTION("""COMPUTED_VALUE"""),14.0)</f>
        <v>14</v>
      </c>
      <c r="L11" s="31" t="str">
        <f>IFERROR(__xludf.DUMMYFUNCTION("""COMPUTED_VALUE"""),"Action-Adventure")</f>
        <v>Action-Adventure</v>
      </c>
    </row>
    <row r="12">
      <c r="A12" s="17" t="str">
        <f>IFERROR(__xludf.DUMMYFUNCTION("""COMPUTED_VALUE"""),"Inside")</f>
        <v>Inside</v>
      </c>
      <c r="B12" s="20" t="str">
        <f>IFERROR(__xludf.DUMMYFUNCTION("""COMPUTED_VALUE"""),"Xbox / PC")</f>
        <v>Xbox / PC</v>
      </c>
      <c r="C12" s="21" t="str">
        <f>IFERROR(__xludf.DUMMYFUNCTION("""COMPUTED_VALUE"""),"Yes")</f>
        <v>Yes</v>
      </c>
      <c r="D12" s="21" t="str">
        <f>IFERROR(__xludf.DUMMYFUNCTION("""COMPUTED_VALUE"""),"Active")</f>
        <v>Active</v>
      </c>
      <c r="E12" s="23">
        <f>IFERROR(__xludf.DUMMYFUNCTION("""COMPUTED_VALUE"""),44763.0)</f>
        <v>44763</v>
      </c>
      <c r="F12" s="24"/>
      <c r="G12" s="27">
        <f>IFERROR(__xludf.DUMMYFUNCTION("""COMPUTED_VALUE"""),50.5)</f>
        <v>50.5</v>
      </c>
      <c r="H12" s="23">
        <f>IFERROR(__xludf.DUMMYFUNCTION("""COMPUTED_VALUE"""),42550.0)</f>
        <v>42550</v>
      </c>
      <c r="I12" s="27">
        <f>IFERROR(__xludf.DUMMYFUNCTION("""COMPUTED_VALUE"""),6.061111111111111)</f>
        <v>6.061111111</v>
      </c>
      <c r="J12" s="29">
        <f>IFERROR(__xludf.DUMMYFUNCTION("""COMPUTED_VALUE"""),93.0)</f>
        <v>93</v>
      </c>
      <c r="K12" s="29">
        <f>IFERROR(__xludf.DUMMYFUNCTION("""COMPUTED_VALUE"""),3.5)</f>
        <v>3.5</v>
      </c>
      <c r="L12" s="31" t="str">
        <f>IFERROR(__xludf.DUMMYFUNCTION("""COMPUTED_VALUE"""),"Platformer")</f>
        <v>Platformer</v>
      </c>
    </row>
    <row r="13">
      <c r="A13" s="17" t="str">
        <f>IFERROR(__xludf.DUMMYFUNCTION("""COMPUTED_VALUE"""),"Mass Effect 3: N7 Digital Deluxe Edition")</f>
        <v>Mass Effect 3: N7 Digital Deluxe Edition</v>
      </c>
      <c r="B13" s="20" t="str">
        <f>IFERROR(__xludf.DUMMYFUNCTION("""COMPUTED_VALUE"""),"Xbox / PC")</f>
        <v>Xbox / PC</v>
      </c>
      <c r="C13" s="21"/>
      <c r="D13" s="21" t="str">
        <f>IFERROR(__xludf.DUMMYFUNCTION("""COMPUTED_VALUE"""),"Active")</f>
        <v>Active</v>
      </c>
      <c r="E13" s="23">
        <f>IFERROR(__xludf.DUMMYFUNCTION("""COMPUTED_VALUE"""),44145.0)</f>
        <v>44145</v>
      </c>
      <c r="F13" s="24"/>
      <c r="G13" s="27">
        <f>IFERROR(__xludf.DUMMYFUNCTION("""COMPUTED_VALUE"""),70.86666666666667)</f>
        <v>70.86666667</v>
      </c>
      <c r="H13" s="23">
        <f>IFERROR(__xludf.DUMMYFUNCTION("""COMPUTED_VALUE"""),40974.0)</f>
        <v>40974</v>
      </c>
      <c r="I13" s="27">
        <f>IFERROR(__xludf.DUMMYFUNCTION("""COMPUTED_VALUE"""),8.677777777777777)</f>
        <v>8.677777778</v>
      </c>
      <c r="J13" s="29">
        <f>IFERROR(__xludf.DUMMYFUNCTION("""COMPUTED_VALUE"""),93.0)</f>
        <v>93</v>
      </c>
      <c r="K13" s="29">
        <f>IFERROR(__xludf.DUMMYFUNCTION("""COMPUTED_VALUE"""),24.0)</f>
        <v>24</v>
      </c>
      <c r="L13" s="31" t="str">
        <f>IFERROR(__xludf.DUMMYFUNCTION("""COMPUTED_VALUE"""),"Shooter")</f>
        <v>Shooter</v>
      </c>
    </row>
    <row r="14">
      <c r="A14" s="17" t="str">
        <f>IFERROR(__xludf.DUMMYFUNCTION("""COMPUTED_VALUE"""),"Fallout 3: Game of the Year Edition")</f>
        <v>Fallout 3: Game of the Year Edition</v>
      </c>
      <c r="B14" s="20" t="str">
        <f>IFERROR(__xludf.DUMMYFUNCTION("""COMPUTED_VALUE"""),"Xbox / PC")</f>
        <v>Xbox / PC</v>
      </c>
      <c r="C14" s="21" t="str">
        <f>IFERROR(__xludf.DUMMYFUNCTION("""COMPUTED_VALUE"""),"Yes")</f>
        <v>Yes</v>
      </c>
      <c r="D14" s="21" t="str">
        <f>IFERROR(__xludf.DUMMYFUNCTION("""COMPUTED_VALUE"""),"Active")</f>
        <v>Active</v>
      </c>
      <c r="E14" s="23">
        <f>IFERROR(__xludf.DUMMYFUNCTION("""COMPUTED_VALUE"""),43282.0)</f>
        <v>43282</v>
      </c>
      <c r="F14" s="24"/>
      <c r="G14" s="27">
        <f>IFERROR(__xludf.DUMMYFUNCTION("""COMPUTED_VALUE"""),99.16666666666667)</f>
        <v>99.16666667</v>
      </c>
      <c r="H14" s="23">
        <f>IFERROR(__xludf.DUMMYFUNCTION("""COMPUTED_VALUE"""),39749.0)</f>
        <v>39749</v>
      </c>
      <c r="I14" s="27">
        <f>IFERROR(__xludf.DUMMYFUNCTION("""COMPUTED_VALUE"""),9.675)</f>
        <v>9.675</v>
      </c>
      <c r="J14" s="29">
        <f>IFERROR(__xludf.DUMMYFUNCTION("""COMPUTED_VALUE"""),93.0)</f>
        <v>93</v>
      </c>
      <c r="K14" s="29">
        <f>IFERROR(__xludf.DUMMYFUNCTION("""COMPUTED_VALUE"""),22.5)</f>
        <v>22.5</v>
      </c>
      <c r="L14" s="31" t="str">
        <f>IFERROR(__xludf.DUMMYFUNCTION("""COMPUTED_VALUE"""),"Shooter")</f>
        <v>Shooter</v>
      </c>
    </row>
    <row r="15">
      <c r="A15" s="17" t="str">
        <f>IFERROR(__xludf.DUMMYFUNCTION("""COMPUTED_VALUE"""),"Forza Horizon 6")</f>
        <v>Forza Horizon 6</v>
      </c>
      <c r="B15" s="20" t="str">
        <f>IFERROR(__xludf.DUMMYFUNCTION("""COMPUTED_VALUE"""),"Xbox / PC")</f>
        <v>Xbox / PC</v>
      </c>
      <c r="C15" s="21" t="str">
        <f>IFERROR(__xludf.DUMMYFUNCTION("""COMPUTED_VALUE"""),"Yes")</f>
        <v>Yes</v>
      </c>
      <c r="D15" s="21" t="str">
        <f>IFERROR(__xludf.DUMMYFUNCTION("""COMPUTED_VALUE"""),"Active")</f>
        <v>Active</v>
      </c>
      <c r="E15" s="23">
        <f>IFERROR(__xludf.DUMMYFUNCTION("""COMPUTED_VALUE"""),46161.0)</f>
        <v>46161</v>
      </c>
      <c r="F15" s="24"/>
      <c r="G15" s="27">
        <f>IFERROR(__xludf.DUMMYFUNCTION("""COMPUTED_VALUE"""),4.566666666666666)</f>
        <v>4.566666667</v>
      </c>
      <c r="H15" s="23">
        <f>IFERROR(__xludf.DUMMYFUNCTION("""COMPUTED_VALUE"""),46161.0)</f>
        <v>46161</v>
      </c>
      <c r="I15" s="27">
        <f>IFERROR(__xludf.DUMMYFUNCTION("""COMPUTED_VALUE"""),0.0)</f>
        <v>0</v>
      </c>
      <c r="J15" s="29">
        <f>IFERROR(__xludf.DUMMYFUNCTION("""COMPUTED_VALUE"""),92.0)</f>
        <v>92</v>
      </c>
      <c r="K15" s="29">
        <f>IFERROR(__xludf.DUMMYFUNCTION("""COMPUTED_VALUE"""),17.0)</f>
        <v>17</v>
      </c>
      <c r="L15" s="31" t="str">
        <f>IFERROR(__xludf.DUMMYFUNCTION("""COMPUTED_VALUE"""),"Racing")</f>
        <v>Racing</v>
      </c>
    </row>
    <row r="16">
      <c r="A16" s="17" t="str">
        <f>IFERROR(__xludf.DUMMYFUNCTION("""COMPUTED_VALUE"""),"Rayman Legends")</f>
        <v>Rayman Legends</v>
      </c>
      <c r="B16" s="20" t="str">
        <f>IFERROR(__xludf.DUMMYFUNCTION("""COMPUTED_VALUE"""),"Xbox / PC")</f>
        <v>Xbox / PC</v>
      </c>
      <c r="C16" s="21" t="str">
        <f>IFERROR(__xludf.DUMMYFUNCTION("""COMPUTED_VALUE"""),"Yes")</f>
        <v>Yes</v>
      </c>
      <c r="D16" s="21" t="str">
        <f>IFERROR(__xludf.DUMMYFUNCTION("""COMPUTED_VALUE"""),"Active")</f>
        <v>Active</v>
      </c>
      <c r="E16" s="23">
        <f>IFERROR(__xludf.DUMMYFUNCTION("""COMPUTED_VALUE"""),45931.0)</f>
        <v>45931</v>
      </c>
      <c r="F16" s="24"/>
      <c r="G16" s="27">
        <f>IFERROR(__xludf.DUMMYFUNCTION("""COMPUTED_VALUE"""),12.166666666666666)</f>
        <v>12.16666667</v>
      </c>
      <c r="H16" s="23">
        <f>IFERROR(__xludf.DUMMYFUNCTION("""COMPUTED_VALUE"""),41520.0)</f>
        <v>41520</v>
      </c>
      <c r="I16" s="27">
        <f>IFERROR(__xludf.DUMMYFUNCTION("""COMPUTED_VALUE"""),12.077777777777778)</f>
        <v>12.07777778</v>
      </c>
      <c r="J16" s="29">
        <f>IFERROR(__xludf.DUMMYFUNCTION("""COMPUTED_VALUE"""),92.0)</f>
        <v>92</v>
      </c>
      <c r="K16" s="29">
        <f>IFERROR(__xludf.DUMMYFUNCTION("""COMPUTED_VALUE"""),10.0)</f>
        <v>10</v>
      </c>
      <c r="L16" s="31" t="str">
        <f>IFERROR(__xludf.DUMMYFUNCTION("""COMPUTED_VALUE"""),"Platformer")</f>
        <v>Platformer</v>
      </c>
    </row>
    <row r="17">
      <c r="A17" s="17" t="str">
        <f>IFERROR(__xludf.DUMMYFUNCTION("""COMPUTED_VALUE"""),"Oystron")</f>
        <v>Oystron</v>
      </c>
      <c r="B17" s="20" t="str">
        <f>IFERROR(__xludf.DUMMYFUNCTION("""COMPUTED_VALUE"""),"Xbox / PC")</f>
        <v>Xbox / PC</v>
      </c>
      <c r="C17" s="21" t="str">
        <f>IFERROR(__xludf.DUMMYFUNCTION("""COMPUTED_VALUE"""),"Yes")</f>
        <v>Yes</v>
      </c>
      <c r="D17" s="21" t="str">
        <f>IFERROR(__xludf.DUMMYFUNCTION("""COMPUTED_VALUE"""),"Active")</f>
        <v>Active</v>
      </c>
      <c r="E17" s="23">
        <f>IFERROR(__xludf.DUMMYFUNCTION("""COMPUTED_VALUE"""),45883.0)</f>
        <v>45883</v>
      </c>
      <c r="F17" s="24"/>
      <c r="G17" s="27">
        <f>IFERROR(__xludf.DUMMYFUNCTION("""COMPUTED_VALUE"""),13.733333333333333)</f>
        <v>13.73333333</v>
      </c>
      <c r="H17" s="23">
        <f>IFERROR(__xludf.DUMMYFUNCTION("""COMPUTED_VALUE"""),35431.0)</f>
        <v>35431</v>
      </c>
      <c r="I17" s="27">
        <f>IFERROR(__xludf.DUMMYFUNCTION("""COMPUTED_VALUE"""),28.619444444444444)</f>
        <v>28.61944444</v>
      </c>
      <c r="J17" s="29">
        <f>IFERROR(__xludf.DUMMYFUNCTION("""COMPUTED_VALUE"""),92.0)</f>
        <v>92</v>
      </c>
      <c r="K17" s="29"/>
      <c r="L17" s="31" t="str">
        <f>IFERROR(__xludf.DUMMYFUNCTION("""COMPUTED_VALUE"""),"Action")</f>
        <v>Action</v>
      </c>
    </row>
    <row r="18">
      <c r="A18" s="17" t="str">
        <f>IFERROR(__xludf.DUMMYFUNCTION("""COMPUTED_VALUE"""),"Sid Meier's Alpha Centauri")</f>
        <v>Sid Meier's Alpha Centauri</v>
      </c>
      <c r="B18" s="20" t="str">
        <f>IFERROR(__xludf.DUMMYFUNCTION("""COMPUTED_VALUE"""),"PC")</f>
        <v>PC</v>
      </c>
      <c r="C18" s="21"/>
      <c r="D18" s="21" t="str">
        <f>IFERROR(__xludf.DUMMYFUNCTION("""COMPUTED_VALUE"""),"Active")</f>
        <v>Active</v>
      </c>
      <c r="E18" s="23">
        <f>IFERROR(__xludf.DUMMYFUNCTION("""COMPUTED_VALUE"""),45398.0)</f>
        <v>45398</v>
      </c>
      <c r="F18" s="24"/>
      <c r="G18" s="27">
        <f>IFERROR(__xludf.DUMMYFUNCTION("""COMPUTED_VALUE"""),29.666666666666668)</f>
        <v>29.66666667</v>
      </c>
      <c r="H18" s="23">
        <f>IFERROR(__xludf.DUMMYFUNCTION("""COMPUTED_VALUE"""),36203.0)</f>
        <v>36203</v>
      </c>
      <c r="I18" s="27">
        <f>IFERROR(__xludf.DUMMYFUNCTION("""COMPUTED_VALUE"""),25.177777777777777)</f>
        <v>25.17777778</v>
      </c>
      <c r="J18" s="29">
        <f>IFERROR(__xludf.DUMMYFUNCTION("""COMPUTED_VALUE"""),92.0)</f>
        <v>92</v>
      </c>
      <c r="K18" s="29">
        <f>IFERROR(__xludf.DUMMYFUNCTION("""COMPUTED_VALUE"""),25.0)</f>
        <v>25</v>
      </c>
      <c r="L18" s="31" t="str">
        <f>IFERROR(__xludf.DUMMYFUNCTION("""COMPUTED_VALUE"""),"Strategy")</f>
        <v>Strategy</v>
      </c>
    </row>
    <row r="19">
      <c r="A19" s="17" t="str">
        <f>IFERROR(__xludf.DUMMYFUNCTION("""COMPUTED_VALUE"""),"Microsoft Flight Simulator (2020): Game of the Year Edition")</f>
        <v>Microsoft Flight Simulator (2020): Game of the Year Edition</v>
      </c>
      <c r="B19" s="20" t="str">
        <f>IFERROR(__xludf.DUMMYFUNCTION("""COMPUTED_VALUE"""),"Xbox / PC")</f>
        <v>Xbox / PC</v>
      </c>
      <c r="C19" s="21" t="str">
        <f>IFERROR(__xludf.DUMMYFUNCTION("""COMPUTED_VALUE"""),"Yes")</f>
        <v>Yes</v>
      </c>
      <c r="D19" s="21" t="str">
        <f>IFERROR(__xludf.DUMMYFUNCTION("""COMPUTED_VALUE"""),"Active")</f>
        <v>Active</v>
      </c>
      <c r="E19" s="23">
        <f>IFERROR(__xludf.DUMMYFUNCTION("""COMPUTED_VALUE"""),44061.0)</f>
        <v>44061</v>
      </c>
      <c r="F19" s="24"/>
      <c r="G19" s="27">
        <f>IFERROR(__xludf.DUMMYFUNCTION("""COMPUTED_VALUE"""),73.60000000000001)</f>
        <v>73.6</v>
      </c>
      <c r="H19" s="23">
        <f>IFERROR(__xludf.DUMMYFUNCTION("""COMPUTED_VALUE"""),44061.0)</f>
        <v>44061</v>
      </c>
      <c r="I19" s="27">
        <f>IFERROR(__xludf.DUMMYFUNCTION("""COMPUTED_VALUE"""),0.0)</f>
        <v>0</v>
      </c>
      <c r="J19" s="29">
        <f>IFERROR(__xludf.DUMMYFUNCTION("""COMPUTED_VALUE"""),92.0)</f>
        <v>92</v>
      </c>
      <c r="K19" s="29">
        <f>IFERROR(__xludf.DUMMYFUNCTION("""COMPUTED_VALUE"""),41.5)</f>
        <v>41.5</v>
      </c>
      <c r="L19" s="31" t="str">
        <f>IFERROR(__xludf.DUMMYFUNCTION("""COMPUTED_VALUE"""),"Flight")</f>
        <v>Flight</v>
      </c>
    </row>
    <row r="20">
      <c r="A20" s="17" t="str">
        <f>IFERROR(__xludf.DUMMYFUNCTION("""COMPUTED_VALUE"""),"Clair Obscur: Expedition 33")</f>
        <v>Clair Obscur: Expedition 33</v>
      </c>
      <c r="B20" s="20" t="str">
        <f>IFERROR(__xludf.DUMMYFUNCTION("""COMPUTED_VALUE"""),"Xbox / PC")</f>
        <v>Xbox / PC</v>
      </c>
      <c r="C20" s="21" t="str">
        <f>IFERROR(__xludf.DUMMYFUNCTION("""COMPUTED_VALUE"""),"Yes")</f>
        <v>Yes</v>
      </c>
      <c r="D20" s="21" t="str">
        <f>IFERROR(__xludf.DUMMYFUNCTION("""COMPUTED_VALUE"""),"Leaving Soon")</f>
        <v>Leaving Soon</v>
      </c>
      <c r="E20" s="23">
        <f>IFERROR(__xludf.DUMMYFUNCTION("""COMPUTED_VALUE"""),45771.0)</f>
        <v>45771</v>
      </c>
      <c r="F20" s="24">
        <f>IFERROR(__xludf.DUMMYFUNCTION("""COMPUTED_VALUE"""),46310.0)</f>
        <v>46310</v>
      </c>
      <c r="G20" s="27">
        <f>IFERROR(__xludf.DUMMYFUNCTION("""COMPUTED_VALUE"""),17.700000000000003)</f>
        <v>17.7</v>
      </c>
      <c r="H20" s="23">
        <f>IFERROR(__xludf.DUMMYFUNCTION("""COMPUTED_VALUE"""),45771.0)</f>
        <v>45771</v>
      </c>
      <c r="I20" s="27">
        <f>IFERROR(__xludf.DUMMYFUNCTION("""COMPUTED_VALUE"""),0.0)</f>
        <v>0</v>
      </c>
      <c r="J20" s="29">
        <f>IFERROR(__xludf.DUMMYFUNCTION("""COMPUTED_VALUE"""),92.0)</f>
        <v>92</v>
      </c>
      <c r="K20" s="29">
        <f>IFERROR(__xludf.DUMMYFUNCTION("""COMPUTED_VALUE"""),26.0)</f>
        <v>26</v>
      </c>
      <c r="L20" s="31" t="str">
        <f>IFERROR(__xludf.DUMMYFUNCTION("""COMPUTED_VALUE"""),"RPG")</f>
        <v>RPG</v>
      </c>
    </row>
    <row r="21">
      <c r="A21" s="17" t="str">
        <f>IFERROR(__xludf.DUMMYFUNCTION("""COMPUTED_VALUE"""),"Forza Horizon 5")</f>
        <v>Forza Horizon 5</v>
      </c>
      <c r="B21" s="20" t="str">
        <f>IFERROR(__xludf.DUMMYFUNCTION("""COMPUTED_VALUE"""),"Xbox / PC")</f>
        <v>Xbox / PC</v>
      </c>
      <c r="C21" s="21" t="str">
        <f>IFERROR(__xludf.DUMMYFUNCTION("""COMPUTED_VALUE"""),"Yes")</f>
        <v>Yes</v>
      </c>
      <c r="D21" s="21" t="str">
        <f>IFERROR(__xludf.DUMMYFUNCTION("""COMPUTED_VALUE"""),"Active")</f>
        <v>Active</v>
      </c>
      <c r="E21" s="23">
        <f>IFERROR(__xludf.DUMMYFUNCTION("""COMPUTED_VALUE"""),44509.0)</f>
        <v>44509</v>
      </c>
      <c r="F21" s="24"/>
      <c r="G21" s="27">
        <f>IFERROR(__xludf.DUMMYFUNCTION("""COMPUTED_VALUE"""),58.9)</f>
        <v>58.9</v>
      </c>
      <c r="H21" s="23">
        <f>IFERROR(__xludf.DUMMYFUNCTION("""COMPUTED_VALUE"""),44509.0)</f>
        <v>44509</v>
      </c>
      <c r="I21" s="27">
        <f>IFERROR(__xludf.DUMMYFUNCTION("""COMPUTED_VALUE"""),0.0)</f>
        <v>0</v>
      </c>
      <c r="J21" s="29">
        <f>IFERROR(__xludf.DUMMYFUNCTION("""COMPUTED_VALUE"""),91.5)</f>
        <v>91.5</v>
      </c>
      <c r="K21" s="29">
        <f>IFERROR(__xludf.DUMMYFUNCTION("""COMPUTED_VALUE"""),17.0)</f>
        <v>17</v>
      </c>
      <c r="L21" s="31" t="str">
        <f>IFERROR(__xludf.DUMMYFUNCTION("""COMPUTED_VALUE"""),"Racing")</f>
        <v>Racing</v>
      </c>
    </row>
    <row r="22">
      <c r="A22" s="17" t="str">
        <f>IFERROR(__xludf.DUMMYFUNCTION("""COMPUTED_VALUE"""),"Disco Elysium")</f>
        <v>Disco Elysium</v>
      </c>
      <c r="B22" s="20" t="str">
        <f>IFERROR(__xludf.DUMMYFUNCTION("""COMPUTED_VALUE"""),"Xbox / PC")</f>
        <v>Xbox / PC</v>
      </c>
      <c r="C22" s="21" t="str">
        <f>IFERROR(__xludf.DUMMYFUNCTION("""COMPUTED_VALUE"""),"Yes")</f>
        <v>Yes</v>
      </c>
      <c r="D22" s="21" t="str">
        <f>IFERROR(__xludf.DUMMYFUNCTION("""COMPUTED_VALUE"""),"Active")</f>
        <v>Active</v>
      </c>
      <c r="E22" s="23">
        <f>IFERROR(__xludf.DUMMYFUNCTION("""COMPUTED_VALUE"""),46100.0)</f>
        <v>46100</v>
      </c>
      <c r="F22" s="24"/>
      <c r="G22" s="27">
        <f>IFERROR(__xludf.DUMMYFUNCTION("""COMPUTED_VALUE"""),6.566666666666667)</f>
        <v>6.566666667</v>
      </c>
      <c r="H22" s="23">
        <f>IFERROR(__xludf.DUMMYFUNCTION("""COMPUTED_VALUE"""),43753.0)</f>
        <v>43753</v>
      </c>
      <c r="I22" s="27">
        <f>IFERROR(__xludf.DUMMYFUNCTION("""COMPUTED_VALUE"""),6.427777777777778)</f>
        <v>6.427777778</v>
      </c>
      <c r="J22" s="29">
        <f>IFERROR(__xludf.DUMMYFUNCTION("""COMPUTED_VALUE"""),91.0)</f>
        <v>91</v>
      </c>
      <c r="K22" s="29">
        <f>IFERROR(__xludf.DUMMYFUNCTION("""COMPUTED_VALUE"""),23.0)</f>
        <v>23</v>
      </c>
      <c r="L22" s="31" t="str">
        <f>IFERROR(__xludf.DUMMYFUNCTION("""COMPUTED_VALUE"""),"RPG")</f>
        <v>RPG</v>
      </c>
    </row>
    <row r="23">
      <c r="A23" s="17" t="str">
        <f>IFERROR(__xludf.DUMMYFUNCTION("""COMPUTED_VALUE"""),"Conquests of the Longbow: The Legend of Robin Hood")</f>
        <v>Conquests of the Longbow: The Legend of Robin Hood</v>
      </c>
      <c r="B23" s="20" t="str">
        <f>IFERROR(__xludf.DUMMYFUNCTION("""COMPUTED_VALUE"""),"Xbox / PC")</f>
        <v>Xbox / PC</v>
      </c>
      <c r="C23" s="21" t="str">
        <f>IFERROR(__xludf.DUMMYFUNCTION("""COMPUTED_VALUE"""),"Yes")</f>
        <v>Yes</v>
      </c>
      <c r="D23" s="21" t="str">
        <f>IFERROR(__xludf.DUMMYFUNCTION("""COMPUTED_VALUE"""),"Active")</f>
        <v>Active</v>
      </c>
      <c r="E23" s="23">
        <f>IFERROR(__xludf.DUMMYFUNCTION("""COMPUTED_VALUE"""),45798.0)</f>
        <v>45798</v>
      </c>
      <c r="F23" s="24"/>
      <c r="G23" s="27">
        <f>IFERROR(__xludf.DUMMYFUNCTION("""COMPUTED_VALUE"""),16.5)</f>
        <v>16.5</v>
      </c>
      <c r="H23" s="23">
        <f>IFERROR(__xludf.DUMMYFUNCTION("""COMPUTED_VALUE"""),33616.0)</f>
        <v>33616</v>
      </c>
      <c r="I23" s="27">
        <f>IFERROR(__xludf.DUMMYFUNCTION("""COMPUTED_VALUE"""),33.355555555555554)</f>
        <v>33.35555556</v>
      </c>
      <c r="J23" s="29">
        <f>IFERROR(__xludf.DUMMYFUNCTION("""COMPUTED_VALUE"""),91.0)</f>
        <v>91</v>
      </c>
      <c r="K23" s="29">
        <f>IFERROR(__xludf.DUMMYFUNCTION("""COMPUTED_VALUE"""),6.0)</f>
        <v>6</v>
      </c>
      <c r="L23" s="31" t="str">
        <f>IFERROR(__xludf.DUMMYFUNCTION("""COMPUTED_VALUE"""),"Action‑Adventure")</f>
        <v>Action‑Adventure</v>
      </c>
    </row>
    <row r="24">
      <c r="A24" s="17" t="str">
        <f>IFERROR(__xludf.DUMMYFUNCTION("""COMPUTED_VALUE"""),"Resident Evil 2 (2019)")</f>
        <v>Resident Evil 2 (2019)</v>
      </c>
      <c r="B24" s="20" t="str">
        <f>IFERROR(__xludf.DUMMYFUNCTION("""COMPUTED_VALUE"""),"Xbox / PC")</f>
        <v>Xbox / PC</v>
      </c>
      <c r="C24" s="21" t="str">
        <f>IFERROR(__xludf.DUMMYFUNCTION("""COMPUTED_VALUE"""),"Yes")</f>
        <v>Yes</v>
      </c>
      <c r="D24" s="21" t="str">
        <f>IFERROR(__xludf.DUMMYFUNCTION("""COMPUTED_VALUE"""),"Active")</f>
        <v>Active</v>
      </c>
      <c r="E24" s="23">
        <f>IFERROR(__xludf.DUMMYFUNCTION("""COMPUTED_VALUE"""),45307.0)</f>
        <v>45307</v>
      </c>
      <c r="F24" s="24"/>
      <c r="G24" s="27">
        <f>IFERROR(__xludf.DUMMYFUNCTION("""COMPUTED_VALUE"""),32.66666666666667)</f>
        <v>32.66666667</v>
      </c>
      <c r="H24" s="23">
        <f>IFERROR(__xludf.DUMMYFUNCTION("""COMPUTED_VALUE"""),43480.0)</f>
        <v>43480</v>
      </c>
      <c r="I24" s="27">
        <f>IFERROR(__xludf.DUMMYFUNCTION("""COMPUTED_VALUE"""),5.002777777777778)</f>
        <v>5.002777778</v>
      </c>
      <c r="J24" s="29">
        <f>IFERROR(__xludf.DUMMYFUNCTION("""COMPUTED_VALUE"""),91.0)</f>
        <v>91</v>
      </c>
      <c r="K24" s="29">
        <f>IFERROR(__xludf.DUMMYFUNCTION("""COMPUTED_VALUE"""),9.0)</f>
        <v>9</v>
      </c>
      <c r="L24" s="31" t="str">
        <f>IFERROR(__xludf.DUMMYFUNCTION("""COMPUTED_VALUE"""),"Shooter")</f>
        <v>Shooter</v>
      </c>
    </row>
    <row r="25">
      <c r="A25" s="17" t="str">
        <f>IFERROR(__xludf.DUMMYFUNCTION("""COMPUTED_VALUE"""),"Medal of Honor: Allied Assault - War Chest")</f>
        <v>Medal of Honor: Allied Assault - War Chest</v>
      </c>
      <c r="B25" s="20" t="str">
        <f>IFERROR(__xludf.DUMMYFUNCTION("""COMPUTED_VALUE"""),"PC")</f>
        <v>PC</v>
      </c>
      <c r="C25" s="21"/>
      <c r="D25" s="21" t="str">
        <f>IFERROR(__xludf.DUMMYFUNCTION("""COMPUTED_VALUE"""),"Active")</f>
        <v>Active</v>
      </c>
      <c r="E25" s="23">
        <f>IFERROR(__xludf.DUMMYFUNCTION("""COMPUTED_VALUE"""),44273.0)</f>
        <v>44273</v>
      </c>
      <c r="F25" s="24"/>
      <c r="G25" s="27">
        <f>IFERROR(__xludf.DUMMYFUNCTION("""COMPUTED_VALUE"""),66.6)</f>
        <v>66.6</v>
      </c>
      <c r="H25" s="23">
        <f>IFERROR(__xludf.DUMMYFUNCTION("""COMPUTED_VALUE"""),37276.0)</f>
        <v>37276</v>
      </c>
      <c r="I25" s="27">
        <f>IFERROR(__xludf.DUMMYFUNCTION("""COMPUTED_VALUE"""),19.16111111111111)</f>
        <v>19.16111111</v>
      </c>
      <c r="J25" s="29">
        <f>IFERROR(__xludf.DUMMYFUNCTION("""COMPUTED_VALUE"""),91.0)</f>
        <v>91</v>
      </c>
      <c r="K25" s="29">
        <f>IFERROR(__xludf.DUMMYFUNCTION("""COMPUTED_VALUE"""),27.0)</f>
        <v>27</v>
      </c>
      <c r="L25" s="31" t="str">
        <f>IFERROR(__xludf.DUMMYFUNCTION("""COMPUTED_VALUE"""),"Shooter")</f>
        <v>Shooter</v>
      </c>
    </row>
    <row r="26">
      <c r="A26" s="17" t="str">
        <f>IFERROR(__xludf.DUMMYFUNCTION("""COMPUTED_VALUE"""),"Halo: Reach")</f>
        <v>Halo: Reach</v>
      </c>
      <c r="B26" s="20" t="str">
        <f>IFERROR(__xludf.DUMMYFUNCTION("""COMPUTED_VALUE"""),"Xbox / PC")</f>
        <v>Xbox / PC</v>
      </c>
      <c r="C26" s="21"/>
      <c r="D26" s="21" t="str">
        <f>IFERROR(__xludf.DUMMYFUNCTION("""COMPUTED_VALUE"""),"Active")</f>
        <v>Active</v>
      </c>
      <c r="E26" s="23">
        <f>IFERROR(__xludf.DUMMYFUNCTION("""COMPUTED_VALUE"""),43802.0)</f>
        <v>43802</v>
      </c>
      <c r="F26" s="24"/>
      <c r="G26" s="27">
        <f>IFERROR(__xludf.DUMMYFUNCTION("""COMPUTED_VALUE"""),82.1)</f>
        <v>82.1</v>
      </c>
      <c r="H26" s="23">
        <f>IFERROR(__xludf.DUMMYFUNCTION("""COMPUTED_VALUE"""),40435.0)</f>
        <v>40435</v>
      </c>
      <c r="I26" s="27">
        <f>IFERROR(__xludf.DUMMYFUNCTION("""COMPUTED_VALUE"""),9.219444444444445)</f>
        <v>9.219444444</v>
      </c>
      <c r="J26" s="29">
        <f>IFERROR(__xludf.DUMMYFUNCTION("""COMPUTED_VALUE"""),91.0)</f>
        <v>91</v>
      </c>
      <c r="K26" s="29">
        <f>IFERROR(__xludf.DUMMYFUNCTION("""COMPUTED_VALUE"""),8.0)</f>
        <v>8</v>
      </c>
      <c r="L26" s="31" t="str">
        <f>IFERROR(__xludf.DUMMYFUNCTION("""COMPUTED_VALUE"""),"Shooter")</f>
        <v>Shooter</v>
      </c>
    </row>
    <row r="27">
      <c r="A27" s="17" t="str">
        <f>IFERROR(__xludf.DUMMYFUNCTION("""COMPUTED_VALUE"""),"Starsand Island")</f>
        <v>Starsand Island</v>
      </c>
      <c r="B27" s="20" t="str">
        <f>IFERROR(__xludf.DUMMYFUNCTION("""COMPUTED_VALUE"""),"Xbox / PC")</f>
        <v>Xbox / PC</v>
      </c>
      <c r="C27" s="21" t="str">
        <f>IFERROR(__xludf.DUMMYFUNCTION("""COMPUTED_VALUE"""),"Yes")</f>
        <v>Yes</v>
      </c>
      <c r="D27" s="21" t="str">
        <f>IFERROR(__xludf.DUMMYFUNCTION("""COMPUTED_VALUE"""),"Active")</f>
        <v>Active</v>
      </c>
      <c r="E27" s="23">
        <f>IFERROR(__xludf.DUMMYFUNCTION("""COMPUTED_VALUE"""),46064.0)</f>
        <v>46064</v>
      </c>
      <c r="F27" s="24"/>
      <c r="G27" s="27">
        <f>IFERROR(__xludf.DUMMYFUNCTION("""COMPUTED_VALUE"""),7.833333333333334)</f>
        <v>7.833333333</v>
      </c>
      <c r="H27" s="23">
        <f>IFERROR(__xludf.DUMMYFUNCTION("""COMPUTED_VALUE"""),46065.0)</f>
        <v>46065</v>
      </c>
      <c r="I27" s="27">
        <f>IFERROR(__xludf.DUMMYFUNCTION("""COMPUTED_VALUE"""),-0.002777777777777778)</f>
        <v>-0.002777777778</v>
      </c>
      <c r="J27" s="29">
        <f>IFERROR(__xludf.DUMMYFUNCTION("""COMPUTED_VALUE"""),90.0)</f>
        <v>90</v>
      </c>
      <c r="K27" s="29">
        <f>IFERROR(__xludf.DUMMYFUNCTION("""COMPUTED_VALUE"""),66.0)</f>
        <v>66</v>
      </c>
      <c r="L27" s="31" t="str">
        <f>IFERROR(__xludf.DUMMYFUNCTION("""COMPUTED_VALUE"""),"Action-Adventure")</f>
        <v>Action-Adventure</v>
      </c>
    </row>
    <row r="28">
      <c r="A28" s="17" t="str">
        <f>IFERROR(__xludf.DUMMYFUNCTION("""COMPUTED_VALUE"""),"Dome Keeper")</f>
        <v>Dome Keeper</v>
      </c>
      <c r="B28" s="20" t="str">
        <f>IFERROR(__xludf.DUMMYFUNCTION("""COMPUTED_VALUE"""),"Xbox / PC")</f>
        <v>Xbox / PC</v>
      </c>
      <c r="C28" s="21" t="str">
        <f>IFERROR(__xludf.DUMMYFUNCTION("""COMPUTED_VALUE"""),"Yes")</f>
        <v>Yes</v>
      </c>
      <c r="D28" s="21" t="str">
        <f>IFERROR(__xludf.DUMMYFUNCTION("""COMPUTED_VALUE"""),"Active")</f>
        <v>Active</v>
      </c>
      <c r="E28" s="23">
        <f>IFERROR(__xludf.DUMMYFUNCTION("""COMPUTED_VALUE"""),46000.0)</f>
        <v>46000</v>
      </c>
      <c r="F28" s="24"/>
      <c r="G28" s="27">
        <f>IFERROR(__xludf.DUMMYFUNCTION("""COMPUTED_VALUE"""),9.899999999999999)</f>
        <v>9.9</v>
      </c>
      <c r="H28" s="23">
        <f>IFERROR(__xludf.DUMMYFUNCTION("""COMPUTED_VALUE"""),44831.0)</f>
        <v>44831</v>
      </c>
      <c r="I28" s="27">
        <f>IFERROR(__xludf.DUMMYFUNCTION("""COMPUTED_VALUE"""),3.2)</f>
        <v>3.2</v>
      </c>
      <c r="J28" s="29">
        <f>IFERROR(__xludf.DUMMYFUNCTION("""COMPUTED_VALUE"""),90.0)</f>
        <v>90</v>
      </c>
      <c r="K28" s="29">
        <f>IFERROR(__xludf.DUMMYFUNCTION("""COMPUTED_VALUE"""),5.0)</f>
        <v>5</v>
      </c>
      <c r="L28" s="31" t="str">
        <f>IFERROR(__xludf.DUMMYFUNCTION("""COMPUTED_VALUE"""),"Action")</f>
        <v>Action</v>
      </c>
    </row>
    <row r="29">
      <c r="A29" s="17" t="str">
        <f>IFERROR(__xludf.DUMMYFUNCTION("""COMPUTED_VALUE"""),"Assassin's Creed II")</f>
        <v>Assassin's Creed II</v>
      </c>
      <c r="B29" s="20" t="str">
        <f>IFERROR(__xludf.DUMMYFUNCTION("""COMPUTED_VALUE"""),"Xbox / PC")</f>
        <v>Xbox / PC</v>
      </c>
      <c r="C29" s="21"/>
      <c r="D29" s="21" t="str">
        <f>IFERROR(__xludf.DUMMYFUNCTION("""COMPUTED_VALUE"""),"Active")</f>
        <v>Active</v>
      </c>
      <c r="E29" s="23">
        <f>IFERROR(__xludf.DUMMYFUNCTION("""COMPUTED_VALUE"""),45931.0)</f>
        <v>45931</v>
      </c>
      <c r="F29" s="24"/>
      <c r="G29" s="27">
        <f>IFERROR(__xludf.DUMMYFUNCTION("""COMPUTED_VALUE"""),12.166666666666666)</f>
        <v>12.16666667</v>
      </c>
      <c r="H29" s="23">
        <f>IFERROR(__xludf.DUMMYFUNCTION("""COMPUTED_VALUE"""),40134.0)</f>
        <v>40134</v>
      </c>
      <c r="I29" s="27">
        <f>IFERROR(__xludf.DUMMYFUNCTION("""COMPUTED_VALUE"""),15.872222222222222)</f>
        <v>15.87222222</v>
      </c>
      <c r="J29" s="29">
        <f>IFERROR(__xludf.DUMMYFUNCTION("""COMPUTED_VALUE"""),90.0)</f>
        <v>90</v>
      </c>
      <c r="K29" s="29">
        <f>IFERROR(__xludf.DUMMYFUNCTION("""COMPUTED_VALUE"""),19.0)</f>
        <v>19</v>
      </c>
      <c r="L29" s="31" t="str">
        <f>IFERROR(__xludf.DUMMYFUNCTION("""COMPUTED_VALUE"""),"Action-Adventure")</f>
        <v>Action-Adventure</v>
      </c>
    </row>
    <row r="30">
      <c r="A30" s="17" t="str">
        <f>IFERROR(__xludf.DUMMYFUNCTION("""COMPUTED_VALUE"""),"Hollow Knight: Silksong")</f>
        <v>Hollow Knight: Silksong</v>
      </c>
      <c r="B30" s="20" t="str">
        <f>IFERROR(__xludf.DUMMYFUNCTION("""COMPUTED_VALUE"""),"Xbox / PC")</f>
        <v>Xbox / PC</v>
      </c>
      <c r="C30" s="21" t="str">
        <f>IFERROR(__xludf.DUMMYFUNCTION("""COMPUTED_VALUE"""),"Yes")</f>
        <v>Yes</v>
      </c>
      <c r="D30" s="21" t="str">
        <f>IFERROR(__xludf.DUMMYFUNCTION("""COMPUTED_VALUE"""),"Active")</f>
        <v>Active</v>
      </c>
      <c r="E30" s="23">
        <f>IFERROR(__xludf.DUMMYFUNCTION("""COMPUTED_VALUE"""),45904.0)</f>
        <v>45904</v>
      </c>
      <c r="F30" s="24"/>
      <c r="G30" s="27">
        <f>IFERROR(__xludf.DUMMYFUNCTION("""COMPUTED_VALUE"""),13.066666666666666)</f>
        <v>13.06666667</v>
      </c>
      <c r="H30" s="23">
        <f>IFERROR(__xludf.DUMMYFUNCTION("""COMPUTED_VALUE"""),45904.0)</f>
        <v>45904</v>
      </c>
      <c r="I30" s="27">
        <f>IFERROR(__xludf.DUMMYFUNCTION("""COMPUTED_VALUE"""),0.0)</f>
        <v>0</v>
      </c>
      <c r="J30" s="29">
        <f>IFERROR(__xludf.DUMMYFUNCTION("""COMPUTED_VALUE"""),90.0)</f>
        <v>90</v>
      </c>
      <c r="K30" s="29">
        <f>IFERROR(__xludf.DUMMYFUNCTION("""COMPUTED_VALUE"""),28.0)</f>
        <v>28</v>
      </c>
      <c r="L30" s="31" t="str">
        <f>IFERROR(__xludf.DUMMYFUNCTION("""COMPUTED_VALUE"""),"Metroidvania")</f>
        <v>Metroidvania</v>
      </c>
    </row>
    <row r="31">
      <c r="A31" s="17" t="str">
        <f>IFERROR(__xludf.DUMMYFUNCTION("""COMPUTED_VALUE"""),"Freddy Pharkas: Frontier Pharmacist")</f>
        <v>Freddy Pharkas: Frontier Pharmacist</v>
      </c>
      <c r="B31" s="20" t="str">
        <f>IFERROR(__xludf.DUMMYFUNCTION("""COMPUTED_VALUE"""),"Xbox / PC")</f>
        <v>Xbox / PC</v>
      </c>
      <c r="C31" s="21" t="str">
        <f>IFERROR(__xludf.DUMMYFUNCTION("""COMPUTED_VALUE"""),"Yes")</f>
        <v>Yes</v>
      </c>
      <c r="D31" s="21" t="str">
        <f>IFERROR(__xludf.DUMMYFUNCTION("""COMPUTED_VALUE"""),"Active")</f>
        <v>Active</v>
      </c>
      <c r="E31" s="23">
        <f>IFERROR(__xludf.DUMMYFUNCTION("""COMPUTED_VALUE"""),45798.0)</f>
        <v>45798</v>
      </c>
      <c r="F31" s="24"/>
      <c r="G31" s="27">
        <f>IFERROR(__xludf.DUMMYFUNCTION("""COMPUTED_VALUE"""),16.5)</f>
        <v>16.5</v>
      </c>
      <c r="H31" s="23">
        <f>IFERROR(__xludf.DUMMYFUNCTION("""COMPUTED_VALUE"""),34121.0)</f>
        <v>34121</v>
      </c>
      <c r="I31" s="27">
        <f>IFERROR(__xludf.DUMMYFUNCTION("""COMPUTED_VALUE"""),31.97222222222222)</f>
        <v>31.97222222</v>
      </c>
      <c r="J31" s="29">
        <f>IFERROR(__xludf.DUMMYFUNCTION("""COMPUTED_VALUE"""),90.0)</f>
        <v>90</v>
      </c>
      <c r="K31" s="29">
        <f>IFERROR(__xludf.DUMMYFUNCTION("""COMPUTED_VALUE"""),17.0)</f>
        <v>17</v>
      </c>
      <c r="L31" s="31" t="str">
        <f>IFERROR(__xludf.DUMMYFUNCTION("""COMPUTED_VALUE"""),"Adventure")</f>
        <v>Adventure</v>
      </c>
    </row>
    <row r="32">
      <c r="A32" s="17" t="str">
        <f>IFERROR(__xludf.DUMMYFUNCTION("""COMPUTED_VALUE"""),"Monster Train 2")</f>
        <v>Monster Train 2</v>
      </c>
      <c r="B32" s="20" t="str">
        <f>IFERROR(__xludf.DUMMYFUNCTION("""COMPUTED_VALUE"""),"Xbox / PC")</f>
        <v>Xbox / PC</v>
      </c>
      <c r="C32" s="21" t="str">
        <f>IFERROR(__xludf.DUMMYFUNCTION("""COMPUTED_VALUE"""),"Yes")</f>
        <v>Yes</v>
      </c>
      <c r="D32" s="21" t="str">
        <f>IFERROR(__xludf.DUMMYFUNCTION("""COMPUTED_VALUE"""),"Active")</f>
        <v>Active</v>
      </c>
      <c r="E32" s="23">
        <f>IFERROR(__xludf.DUMMYFUNCTION("""COMPUTED_VALUE"""),45798.0)</f>
        <v>45798</v>
      </c>
      <c r="F32" s="24"/>
      <c r="G32" s="27">
        <f>IFERROR(__xludf.DUMMYFUNCTION("""COMPUTED_VALUE"""),16.5)</f>
        <v>16.5</v>
      </c>
      <c r="H32" s="23">
        <f>IFERROR(__xludf.DUMMYFUNCTION("""COMPUTED_VALUE"""),45798.0)</f>
        <v>45798</v>
      </c>
      <c r="I32" s="27">
        <f>IFERROR(__xludf.DUMMYFUNCTION("""COMPUTED_VALUE"""),0.0)</f>
        <v>0</v>
      </c>
      <c r="J32" s="29">
        <f>IFERROR(__xludf.DUMMYFUNCTION("""COMPUTED_VALUE"""),90.0)</f>
        <v>90</v>
      </c>
      <c r="K32" s="29">
        <f>IFERROR(__xludf.DUMMYFUNCTION("""COMPUTED_VALUE"""),6.0)</f>
        <v>6</v>
      </c>
      <c r="L32" s="31" t="str">
        <f>IFERROR(__xludf.DUMMYFUNCTION("""COMPUTED_VALUE"""),"Card Battle")</f>
        <v>Card Battle</v>
      </c>
    </row>
    <row r="33">
      <c r="A33" s="17" t="str">
        <f>IFERROR(__xludf.DUMMYFUNCTION("""COMPUTED_VALUE"""),"Diablo III: Reaper of Souls - Ultimate Evil Edition")</f>
        <v>Diablo III: Reaper of Souls - Ultimate Evil Edition</v>
      </c>
      <c r="B33" s="20" t="str">
        <f>IFERROR(__xludf.DUMMYFUNCTION("""COMPUTED_VALUE"""),"Xbox / PC")</f>
        <v>Xbox / PC</v>
      </c>
      <c r="C33" s="21"/>
      <c r="D33" s="21" t="str">
        <f>IFERROR(__xludf.DUMMYFUNCTION("""COMPUTED_VALUE"""),"Active")</f>
        <v>Active</v>
      </c>
      <c r="E33" s="23">
        <f>IFERROR(__xludf.DUMMYFUNCTION("""COMPUTED_VALUE"""),45755.0)</f>
        <v>45755</v>
      </c>
      <c r="F33" s="24"/>
      <c r="G33" s="27">
        <f>IFERROR(__xludf.DUMMYFUNCTION("""COMPUTED_VALUE"""),17.933333333333334)</f>
        <v>17.93333333</v>
      </c>
      <c r="H33" s="23">
        <f>IFERROR(__xludf.DUMMYFUNCTION("""COMPUTED_VALUE"""),41870.0)</f>
        <v>41870</v>
      </c>
      <c r="I33" s="27">
        <f>IFERROR(__xludf.DUMMYFUNCTION("""COMPUTED_VALUE"""),10.636111111111111)</f>
        <v>10.63611111</v>
      </c>
      <c r="J33" s="29">
        <f>IFERROR(__xludf.DUMMYFUNCTION("""COMPUTED_VALUE"""),90.0)</f>
        <v>90</v>
      </c>
      <c r="K33" s="29">
        <f>IFERROR(__xludf.DUMMYFUNCTION("""COMPUTED_VALUE"""),19.0)</f>
        <v>19</v>
      </c>
      <c r="L33" s="31" t="str">
        <f>IFERROR(__xludf.DUMMYFUNCTION("""COMPUTED_VALUE"""),"RPG")</f>
        <v>RPG</v>
      </c>
    </row>
    <row r="34">
      <c r="A34" s="17" t="str">
        <f>IFERROR(__xludf.DUMMYFUNCTION("""COMPUTED_VALUE"""),"Balatro")</f>
        <v>Balatro</v>
      </c>
      <c r="B34" s="20" t="str">
        <f>IFERROR(__xludf.DUMMYFUNCTION("""COMPUTED_VALUE"""),"Xbox / PC")</f>
        <v>Xbox / PC</v>
      </c>
      <c r="C34" s="21" t="str">
        <f>IFERROR(__xludf.DUMMYFUNCTION("""COMPUTED_VALUE"""),"Yes")</f>
        <v>Yes</v>
      </c>
      <c r="D34" s="21" t="str">
        <f>IFERROR(__xludf.DUMMYFUNCTION("""COMPUTED_VALUE"""),"Active")</f>
        <v>Active</v>
      </c>
      <c r="E34" s="23">
        <f>IFERROR(__xludf.DUMMYFUNCTION("""COMPUTED_VALUE"""),45712.0)</f>
        <v>45712</v>
      </c>
      <c r="F34" s="24"/>
      <c r="G34" s="27">
        <f>IFERROR(__xludf.DUMMYFUNCTION("""COMPUTED_VALUE"""),19.4)</f>
        <v>19.4</v>
      </c>
      <c r="H34" s="23">
        <f>IFERROR(__xludf.DUMMYFUNCTION("""COMPUTED_VALUE"""),45616.0)</f>
        <v>45616</v>
      </c>
      <c r="I34" s="27">
        <f>IFERROR(__xludf.DUMMYFUNCTION("""COMPUTED_VALUE"""),0.2611111111111111)</f>
        <v>0.2611111111</v>
      </c>
      <c r="J34" s="29">
        <f>IFERROR(__xludf.DUMMYFUNCTION("""COMPUTED_VALUE"""),90.0)</f>
        <v>90</v>
      </c>
      <c r="K34" s="29">
        <f>IFERROR(__xludf.DUMMYFUNCTION("""COMPUTED_VALUE"""),7.0)</f>
        <v>7</v>
      </c>
      <c r="L34" s="31" t="str">
        <f>IFERROR(__xludf.DUMMYFUNCTION("""COMPUTED_VALUE"""),"Card Battle")</f>
        <v>Card Battle</v>
      </c>
    </row>
    <row r="35">
      <c r="A35" s="17" t="str">
        <f>IFERROR(__xludf.DUMMYFUNCTION("""COMPUTED_VALUE"""),"Quake III: Arena")</f>
        <v>Quake III: Arena</v>
      </c>
      <c r="B35" s="20" t="str">
        <f>IFERROR(__xludf.DUMMYFUNCTION("""COMPUTED_VALUE"""),"PC")</f>
        <v>PC</v>
      </c>
      <c r="C35" s="21"/>
      <c r="D35" s="21" t="str">
        <f>IFERROR(__xludf.DUMMYFUNCTION("""COMPUTED_VALUE"""),"Active")</f>
        <v>Active</v>
      </c>
      <c r="E35" s="23">
        <f>IFERROR(__xludf.DUMMYFUNCTION("""COMPUTED_VALUE"""),44427.0)</f>
        <v>44427</v>
      </c>
      <c r="F35" s="24"/>
      <c r="G35" s="27">
        <f>IFERROR(__xludf.DUMMYFUNCTION("""COMPUTED_VALUE"""),61.56666666666666)</f>
        <v>61.56666667</v>
      </c>
      <c r="H35" s="23">
        <f>IFERROR(__xludf.DUMMYFUNCTION("""COMPUTED_VALUE"""),36496.0)</f>
        <v>36496</v>
      </c>
      <c r="I35" s="27">
        <f>IFERROR(__xludf.DUMMYFUNCTION("""COMPUTED_VALUE"""),21.71388888888889)</f>
        <v>21.71388889</v>
      </c>
      <c r="J35" s="29">
        <f>IFERROR(__xludf.DUMMYFUNCTION("""COMPUTED_VALUE"""),90.0)</f>
        <v>90</v>
      </c>
      <c r="K35" s="29">
        <f>IFERROR(__xludf.DUMMYFUNCTION("""COMPUTED_VALUE"""),5.5)</f>
        <v>5.5</v>
      </c>
      <c r="L35" s="31" t="str">
        <f>IFERROR(__xludf.DUMMYFUNCTION("""COMPUTED_VALUE"""),"Shooter")</f>
        <v>Shooter</v>
      </c>
    </row>
    <row r="36">
      <c r="A36" s="17" t="str">
        <f>IFERROR(__xludf.DUMMYFUNCTION("""COMPUTED_VALUE"""),"Ultima Underworld 2")</f>
        <v>Ultima Underworld 2</v>
      </c>
      <c r="B36" s="20" t="str">
        <f>IFERROR(__xludf.DUMMYFUNCTION("""COMPUTED_VALUE"""),"PC")</f>
        <v>PC</v>
      </c>
      <c r="C36" s="21"/>
      <c r="D36" s="21" t="str">
        <f>IFERROR(__xludf.DUMMYFUNCTION("""COMPUTED_VALUE"""),"Active")</f>
        <v>Active</v>
      </c>
      <c r="E36" s="23">
        <f>IFERROR(__xludf.DUMMYFUNCTION("""COMPUTED_VALUE"""),44425.0)</f>
        <v>44425</v>
      </c>
      <c r="F36" s="24"/>
      <c r="G36" s="27">
        <f>IFERROR(__xludf.DUMMYFUNCTION("""COMPUTED_VALUE"""),61.63333333333333)</f>
        <v>61.63333333</v>
      </c>
      <c r="H36" s="23">
        <f>IFERROR(__xludf.DUMMYFUNCTION("""COMPUTED_VALUE"""),33970.0)</f>
        <v>33970</v>
      </c>
      <c r="I36" s="27">
        <f>IFERROR(__xludf.DUMMYFUNCTION("""COMPUTED_VALUE"""),28.627777777777776)</f>
        <v>28.62777778</v>
      </c>
      <c r="J36" s="29">
        <f>IFERROR(__xludf.DUMMYFUNCTION("""COMPUTED_VALUE"""),90.0)</f>
        <v>90</v>
      </c>
      <c r="K36" s="29">
        <f>IFERROR(__xludf.DUMMYFUNCTION("""COMPUTED_VALUE"""),17.0)</f>
        <v>17</v>
      </c>
      <c r="L36" s="31" t="str">
        <f>IFERROR(__xludf.DUMMYFUNCTION("""COMPUTED_VALUE"""),"RPG")</f>
        <v>RPG</v>
      </c>
    </row>
    <row r="37">
      <c r="A37" s="17" t="str">
        <f>IFERROR(__xludf.DUMMYFUNCTION("""COMPUTED_VALUE"""),"Dead Space 2")</f>
        <v>Dead Space 2</v>
      </c>
      <c r="B37" s="20" t="str">
        <f>IFERROR(__xludf.DUMMYFUNCTION("""COMPUTED_VALUE"""),"Xbox / PC")</f>
        <v>Xbox / PC</v>
      </c>
      <c r="C37" s="21" t="str">
        <f>IFERROR(__xludf.DUMMYFUNCTION("""COMPUTED_VALUE"""),"Yes")</f>
        <v>Yes</v>
      </c>
      <c r="D37" s="21" t="str">
        <f>IFERROR(__xludf.DUMMYFUNCTION("""COMPUTED_VALUE"""),"Active")</f>
        <v>Active</v>
      </c>
      <c r="E37" s="23">
        <f>IFERROR(__xludf.DUMMYFUNCTION("""COMPUTED_VALUE"""),44145.0)</f>
        <v>44145</v>
      </c>
      <c r="F37" s="24"/>
      <c r="G37" s="27">
        <f>IFERROR(__xludf.DUMMYFUNCTION("""COMPUTED_VALUE"""),70.86666666666667)</f>
        <v>70.86666667</v>
      </c>
      <c r="H37" s="23">
        <f>IFERROR(__xludf.DUMMYFUNCTION("""COMPUTED_VALUE"""),40568.0)</f>
        <v>40568</v>
      </c>
      <c r="I37" s="27">
        <f>IFERROR(__xludf.DUMMYFUNCTION("""COMPUTED_VALUE"""),9.791666666666666)</f>
        <v>9.791666667</v>
      </c>
      <c r="J37" s="29">
        <f>IFERROR(__xludf.DUMMYFUNCTION("""COMPUTED_VALUE"""),90.0)</f>
        <v>90</v>
      </c>
      <c r="K37" s="29">
        <f>IFERROR(__xludf.DUMMYFUNCTION("""COMPUTED_VALUE"""),9.0)</f>
        <v>9</v>
      </c>
      <c r="L37" s="31" t="str">
        <f>IFERROR(__xludf.DUMMYFUNCTION("""COMPUTED_VALUE"""),"Shooter")</f>
        <v>Shooter</v>
      </c>
    </row>
    <row r="38">
      <c r="A38" s="17" t="str">
        <f>IFERROR(__xludf.DUMMYFUNCTION("""COMPUTED_VALUE"""),"The Bard's Tale ARPG: Remastered and Resnarkled")</f>
        <v>The Bard's Tale ARPG: Remastered and Resnarkled</v>
      </c>
      <c r="B38" s="20" t="str">
        <f>IFERROR(__xludf.DUMMYFUNCTION("""COMPUTED_VALUE"""),"Xbox / PC")</f>
        <v>Xbox / PC</v>
      </c>
      <c r="C38" s="21" t="str">
        <f>IFERROR(__xludf.DUMMYFUNCTION("""COMPUTED_VALUE"""),"Touch Controls")</f>
        <v>Touch Controls</v>
      </c>
      <c r="D38" s="21" t="str">
        <f>IFERROR(__xludf.DUMMYFUNCTION("""COMPUTED_VALUE"""),"Active")</f>
        <v>Active</v>
      </c>
      <c r="E38" s="23">
        <f>IFERROR(__xludf.DUMMYFUNCTION("""COMPUTED_VALUE"""),44000.0)</f>
        <v>44000</v>
      </c>
      <c r="F38" s="24"/>
      <c r="G38" s="27">
        <f>IFERROR(__xludf.DUMMYFUNCTION("""COMPUTED_VALUE"""),75.6)</f>
        <v>75.6</v>
      </c>
      <c r="H38" s="23">
        <f>IFERROR(__xludf.DUMMYFUNCTION("""COMPUTED_VALUE"""),44000.0)</f>
        <v>44000</v>
      </c>
      <c r="I38" s="27">
        <f>IFERROR(__xludf.DUMMYFUNCTION("""COMPUTED_VALUE"""),0.0)</f>
        <v>0</v>
      </c>
      <c r="J38" s="29">
        <f>IFERROR(__xludf.DUMMYFUNCTION("""COMPUTED_VALUE"""),90.0)</f>
        <v>90</v>
      </c>
      <c r="K38" s="29">
        <f>IFERROR(__xludf.DUMMYFUNCTION("""COMPUTED_VALUE"""),14.0)</f>
        <v>14</v>
      </c>
      <c r="L38" s="31" t="str">
        <f>IFERROR(__xludf.DUMMYFUNCTION("""COMPUTED_VALUE"""),"RPG")</f>
        <v>RPG</v>
      </c>
    </row>
    <row r="39">
      <c r="A39" s="17" t="str">
        <f>IFERROR(__xludf.DUMMYFUNCTION("""COMPUTED_VALUE"""),"Ori and the Will of the Wisps")</f>
        <v>Ori and the Will of the Wisps</v>
      </c>
      <c r="B39" s="20" t="str">
        <f>IFERROR(__xludf.DUMMYFUNCTION("""COMPUTED_VALUE"""),"Xbox / PC")</f>
        <v>Xbox / PC</v>
      </c>
      <c r="C39" s="21" t="str">
        <f>IFERROR(__xludf.DUMMYFUNCTION("""COMPUTED_VALUE"""),"Yes")</f>
        <v>Yes</v>
      </c>
      <c r="D39" s="21" t="str">
        <f>IFERROR(__xludf.DUMMYFUNCTION("""COMPUTED_VALUE"""),"Active")</f>
        <v>Active</v>
      </c>
      <c r="E39" s="23">
        <f>IFERROR(__xludf.DUMMYFUNCTION("""COMPUTED_VALUE"""),43901.0)</f>
        <v>43901</v>
      </c>
      <c r="F39" s="24"/>
      <c r="G39" s="27">
        <f>IFERROR(__xludf.DUMMYFUNCTION("""COMPUTED_VALUE"""),78.83333333333334)</f>
        <v>78.83333333</v>
      </c>
      <c r="H39" s="23">
        <f>IFERROR(__xludf.DUMMYFUNCTION("""COMPUTED_VALUE"""),43901.0)</f>
        <v>43901</v>
      </c>
      <c r="I39" s="27">
        <f>IFERROR(__xludf.DUMMYFUNCTION("""COMPUTED_VALUE"""),0.0)</f>
        <v>0</v>
      </c>
      <c r="J39" s="29">
        <f>IFERROR(__xludf.DUMMYFUNCTION("""COMPUTED_VALUE"""),90.0)</f>
        <v>90</v>
      </c>
      <c r="K39" s="29">
        <f>IFERROR(__xludf.DUMMYFUNCTION("""COMPUTED_VALUE"""),11.0)</f>
        <v>11</v>
      </c>
      <c r="L39" s="31" t="str">
        <f>IFERROR(__xludf.DUMMYFUNCTION("""COMPUTED_VALUE"""),"Platformer")</f>
        <v>Platformer</v>
      </c>
    </row>
    <row r="40">
      <c r="A40" s="17" t="str">
        <f>IFERROR(__xludf.DUMMYFUNCTION("""COMPUTED_VALUE"""),"Mass Effect")</f>
        <v>Mass Effect</v>
      </c>
      <c r="B40" s="20" t="str">
        <f>IFERROR(__xludf.DUMMYFUNCTION("""COMPUTED_VALUE"""),"Xbox / PC")</f>
        <v>Xbox / PC</v>
      </c>
      <c r="C40" s="21"/>
      <c r="D40" s="21" t="str">
        <f>IFERROR(__xludf.DUMMYFUNCTION("""COMPUTED_VALUE"""),"Active")</f>
        <v>Active</v>
      </c>
      <c r="E40" s="23">
        <f>IFERROR(__xludf.DUMMYFUNCTION("""COMPUTED_VALUE"""),43070.0)</f>
        <v>43070</v>
      </c>
      <c r="F40" s="24"/>
      <c r="G40" s="27">
        <f>IFERROR(__xludf.DUMMYFUNCTION("""COMPUTED_VALUE"""),106.16666666666666)</f>
        <v>106.1666667</v>
      </c>
      <c r="H40" s="23">
        <f>IFERROR(__xludf.DUMMYFUNCTION("""COMPUTED_VALUE"""),39406.0)</f>
        <v>39406</v>
      </c>
      <c r="I40" s="27">
        <f>IFERROR(__xludf.DUMMYFUNCTION("""COMPUTED_VALUE"""),10.030555555555555)</f>
        <v>10.03055556</v>
      </c>
      <c r="J40" s="29">
        <f>IFERROR(__xludf.DUMMYFUNCTION("""COMPUTED_VALUE"""),90.0)</f>
        <v>90</v>
      </c>
      <c r="K40" s="29">
        <f>IFERROR(__xludf.DUMMYFUNCTION("""COMPUTED_VALUE"""),17.0)</f>
        <v>17</v>
      </c>
      <c r="L40" s="31" t="str">
        <f>IFERROR(__xludf.DUMMYFUNCTION("""COMPUTED_VALUE"""),"Shooter")</f>
        <v>Shooter</v>
      </c>
    </row>
    <row r="41">
      <c r="A41" s="17" t="str">
        <f>IFERROR(__xludf.DUMMYFUNCTION("""COMPUTED_VALUE"""),"Like a Dragon: Infinite Wealth")</f>
        <v>Like a Dragon: Infinite Wealth</v>
      </c>
      <c r="B41" s="20" t="str">
        <f>IFERROR(__xludf.DUMMYFUNCTION("""COMPUTED_VALUE"""),"Xbox / PC")</f>
        <v>Xbox / PC</v>
      </c>
      <c r="C41" s="21" t="str">
        <f>IFERROR(__xludf.DUMMYFUNCTION("""COMPUTED_VALUE"""),"Yes")</f>
        <v>Yes</v>
      </c>
      <c r="D41" s="21" t="str">
        <f>IFERROR(__xludf.DUMMYFUNCTION("""COMPUTED_VALUE"""),"Active")</f>
        <v>Active</v>
      </c>
      <c r="E41" s="23">
        <f>IFERROR(__xludf.DUMMYFUNCTION("""COMPUTED_VALUE"""),46105.0)</f>
        <v>46105</v>
      </c>
      <c r="F41" s="24"/>
      <c r="G41" s="27">
        <f>IFERROR(__xludf.DUMMYFUNCTION("""COMPUTED_VALUE"""),6.4)</f>
        <v>6.4</v>
      </c>
      <c r="H41" s="23">
        <f>IFERROR(__xludf.DUMMYFUNCTION("""COMPUTED_VALUE"""),45317.0)</f>
        <v>45317</v>
      </c>
      <c r="I41" s="27">
        <f>IFERROR(__xludf.DUMMYFUNCTION("""COMPUTED_VALUE"""),2.161111111111111)</f>
        <v>2.161111111</v>
      </c>
      <c r="J41" s="29">
        <f>IFERROR(__xludf.DUMMYFUNCTION("""COMPUTED_VALUE"""),89.0)</f>
        <v>89</v>
      </c>
      <c r="K41" s="29">
        <f>IFERROR(__xludf.DUMMYFUNCTION("""COMPUTED_VALUE"""),45.0)</f>
        <v>45</v>
      </c>
      <c r="L41" s="31" t="str">
        <f>IFERROR(__xludf.DUMMYFUNCTION("""COMPUTED_VALUE"""),"RPG")</f>
        <v>RPG</v>
      </c>
    </row>
    <row r="42">
      <c r="A42" s="17" t="str">
        <f>IFERROR(__xludf.DUMMYFUNCTION("""COMPUTED_VALUE"""),"Assassin's Creed Brotherhood")</f>
        <v>Assassin's Creed Brotherhood</v>
      </c>
      <c r="B42" s="20" t="str">
        <f>IFERROR(__xludf.DUMMYFUNCTION("""COMPUTED_VALUE"""),"Xbox / PC")</f>
        <v>Xbox / PC</v>
      </c>
      <c r="C42" s="21"/>
      <c r="D42" s="21" t="str">
        <f>IFERROR(__xludf.DUMMYFUNCTION("""COMPUTED_VALUE"""),"Active")</f>
        <v>Active</v>
      </c>
      <c r="E42" s="23">
        <f>IFERROR(__xludf.DUMMYFUNCTION("""COMPUTED_VALUE"""),45931.0)</f>
        <v>45931</v>
      </c>
      <c r="F42" s="24"/>
      <c r="G42" s="27">
        <f>IFERROR(__xludf.DUMMYFUNCTION("""COMPUTED_VALUE"""),12.166666666666666)</f>
        <v>12.16666667</v>
      </c>
      <c r="H42" s="23">
        <f>IFERROR(__xludf.DUMMYFUNCTION("""COMPUTED_VALUE"""),40498.0)</f>
        <v>40498</v>
      </c>
      <c r="I42" s="27">
        <f>IFERROR(__xludf.DUMMYFUNCTION("""COMPUTED_VALUE"""),14.875)</f>
        <v>14.875</v>
      </c>
      <c r="J42" s="29">
        <f>IFERROR(__xludf.DUMMYFUNCTION("""COMPUTED_VALUE"""),89.0)</f>
        <v>89</v>
      </c>
      <c r="K42" s="29">
        <f>IFERROR(__xludf.DUMMYFUNCTION("""COMPUTED_VALUE"""),15.0)</f>
        <v>15</v>
      </c>
      <c r="L42" s="31" t="str">
        <f>IFERROR(__xludf.DUMMYFUNCTION("""COMPUTED_VALUE"""),"Action-Adventure")</f>
        <v>Action-Adventure</v>
      </c>
    </row>
    <row r="43">
      <c r="A43" s="17" t="str">
        <f>IFERROR(__xludf.DUMMYFUNCTION("""COMPUTED_VALUE"""),"Gabriel Knight: Sins of the Fathers")</f>
        <v>Gabriel Knight: Sins of the Fathers</v>
      </c>
      <c r="B43" s="20" t="str">
        <f>IFERROR(__xludf.DUMMYFUNCTION("""COMPUTED_VALUE"""),"Xbox / PC")</f>
        <v>Xbox / PC</v>
      </c>
      <c r="C43" s="21" t="str">
        <f>IFERROR(__xludf.DUMMYFUNCTION("""COMPUTED_VALUE"""),"Yes")</f>
        <v>Yes</v>
      </c>
      <c r="D43" s="21" t="str">
        <f>IFERROR(__xludf.DUMMYFUNCTION("""COMPUTED_VALUE"""),"Active")</f>
        <v>Active</v>
      </c>
      <c r="E43" s="23">
        <f>IFERROR(__xludf.DUMMYFUNCTION("""COMPUTED_VALUE"""),45859.0)</f>
        <v>45859</v>
      </c>
      <c r="F43" s="24"/>
      <c r="G43" s="27">
        <f>IFERROR(__xludf.DUMMYFUNCTION("""COMPUTED_VALUE"""),14.5)</f>
        <v>14.5</v>
      </c>
      <c r="H43" s="23">
        <f>IFERROR(__xludf.DUMMYFUNCTION("""COMPUTED_VALUE"""),34320.0)</f>
        <v>34320</v>
      </c>
      <c r="I43" s="27">
        <f>IFERROR(__xludf.DUMMYFUNCTION("""COMPUTED_VALUE"""),31.594444444444445)</f>
        <v>31.59444444</v>
      </c>
      <c r="J43" s="29">
        <f>IFERROR(__xludf.DUMMYFUNCTION("""COMPUTED_VALUE"""),89.0)</f>
        <v>89</v>
      </c>
      <c r="K43" s="29">
        <f>IFERROR(__xludf.DUMMYFUNCTION("""COMPUTED_VALUE"""),11.0)</f>
        <v>11</v>
      </c>
      <c r="L43" s="31" t="str">
        <f>IFERROR(__xludf.DUMMYFUNCTION("""COMPUTED_VALUE"""),"Action-Adventure")</f>
        <v>Action-Adventure</v>
      </c>
    </row>
    <row r="44">
      <c r="A44" s="17" t="str">
        <f>IFERROR(__xludf.DUMMYFUNCTION("""COMPUTED_VALUE"""),"Hi-Fi RUSH")</f>
        <v>Hi-Fi RUSH</v>
      </c>
      <c r="B44" s="20" t="str">
        <f>IFERROR(__xludf.DUMMYFUNCTION("""COMPUTED_VALUE"""),"Xbox / PC")</f>
        <v>Xbox / PC</v>
      </c>
      <c r="C44" s="21" t="str">
        <f>IFERROR(__xludf.DUMMYFUNCTION("""COMPUTED_VALUE"""),"Yes")</f>
        <v>Yes</v>
      </c>
      <c r="D44" s="21" t="str">
        <f>IFERROR(__xludf.DUMMYFUNCTION("""COMPUTED_VALUE"""),"Active")</f>
        <v>Active</v>
      </c>
      <c r="E44" s="23">
        <f>IFERROR(__xludf.DUMMYFUNCTION("""COMPUTED_VALUE"""),44951.0)</f>
        <v>44951</v>
      </c>
      <c r="F44" s="24"/>
      <c r="G44" s="27">
        <f>IFERROR(__xludf.DUMMYFUNCTION("""COMPUTED_VALUE"""),44.36666666666667)</f>
        <v>44.36666667</v>
      </c>
      <c r="H44" s="23">
        <f>IFERROR(__xludf.DUMMYFUNCTION("""COMPUTED_VALUE"""),44951.0)</f>
        <v>44951</v>
      </c>
      <c r="I44" s="27">
        <f>IFERROR(__xludf.DUMMYFUNCTION("""COMPUTED_VALUE"""),0.0)</f>
        <v>0</v>
      </c>
      <c r="J44" s="29">
        <f>IFERROR(__xludf.DUMMYFUNCTION("""COMPUTED_VALUE"""),89.0)</f>
        <v>89</v>
      </c>
      <c r="K44" s="29">
        <f>IFERROR(__xludf.DUMMYFUNCTION("""COMPUTED_VALUE"""),10.0)</f>
        <v>10</v>
      </c>
      <c r="L44" s="31" t="str">
        <f>IFERROR(__xludf.DUMMYFUNCTION("""COMPUTED_VALUE"""),"Action-Adventure")</f>
        <v>Action-Adventure</v>
      </c>
    </row>
    <row r="45">
      <c r="A45" s="17" t="str">
        <f>IFERROR(__xludf.DUMMYFUNCTION("""COMPUTED_VALUE"""),"DEATHLOOP")</f>
        <v>DEATHLOOP</v>
      </c>
      <c r="B45" s="20" t="str">
        <f>IFERROR(__xludf.DUMMYFUNCTION("""COMPUTED_VALUE"""),"Xbox / PC")</f>
        <v>Xbox / PC</v>
      </c>
      <c r="C45" s="21" t="str">
        <f>IFERROR(__xludf.DUMMYFUNCTION("""COMPUTED_VALUE"""),"Yes")</f>
        <v>Yes</v>
      </c>
      <c r="D45" s="21" t="str">
        <f>IFERROR(__xludf.DUMMYFUNCTION("""COMPUTED_VALUE"""),"Active")</f>
        <v>Active</v>
      </c>
      <c r="E45" s="23">
        <f>IFERROR(__xludf.DUMMYFUNCTION("""COMPUTED_VALUE"""),44824.0)</f>
        <v>44824</v>
      </c>
      <c r="F45" s="24"/>
      <c r="G45" s="27">
        <f>IFERROR(__xludf.DUMMYFUNCTION("""COMPUTED_VALUE"""),48.53333333333333)</f>
        <v>48.53333333</v>
      </c>
      <c r="H45" s="23">
        <f>IFERROR(__xludf.DUMMYFUNCTION("""COMPUTED_VALUE"""),44453.0)</f>
        <v>44453</v>
      </c>
      <c r="I45" s="27">
        <f>IFERROR(__xludf.DUMMYFUNCTION("""COMPUTED_VALUE"""),1.0166666666666666)</f>
        <v>1.016666667</v>
      </c>
      <c r="J45" s="29">
        <f>IFERROR(__xludf.DUMMYFUNCTION("""COMPUTED_VALUE"""),89.0)</f>
        <v>89</v>
      </c>
      <c r="K45" s="29">
        <f>IFERROR(__xludf.DUMMYFUNCTION("""COMPUTED_VALUE"""),16.0)</f>
        <v>16</v>
      </c>
      <c r="L45" s="31" t="str">
        <f>IFERROR(__xludf.DUMMYFUNCTION("""COMPUTED_VALUE"""),"Shooter")</f>
        <v>Shooter</v>
      </c>
    </row>
    <row r="46">
      <c r="A46" s="17" t="str">
        <f>IFERROR(__xludf.DUMMYFUNCTION("""COMPUTED_VALUE"""),"Stardew Valley")</f>
        <v>Stardew Valley</v>
      </c>
      <c r="B46" s="20" t="str">
        <f>IFERROR(__xludf.DUMMYFUNCTION("""COMPUTED_VALUE"""),"Xbox / PC")</f>
        <v>Xbox / PC</v>
      </c>
      <c r="C46" s="21" t="str">
        <f>IFERROR(__xludf.DUMMYFUNCTION("""COMPUTED_VALUE"""),"Touch Controls")</f>
        <v>Touch Controls</v>
      </c>
      <c r="D46" s="21" t="str">
        <f>IFERROR(__xludf.DUMMYFUNCTION("""COMPUTED_VALUE"""),"Active")</f>
        <v>Active</v>
      </c>
      <c r="E46" s="23">
        <f>IFERROR(__xludf.DUMMYFUNCTION("""COMPUTED_VALUE"""),44532.0)</f>
        <v>44532</v>
      </c>
      <c r="F46" s="24"/>
      <c r="G46" s="27">
        <f>IFERROR(__xludf.DUMMYFUNCTION("""COMPUTED_VALUE"""),58.133333333333326)</f>
        <v>58.13333333</v>
      </c>
      <c r="H46" s="23">
        <f>IFERROR(__xludf.DUMMYFUNCTION("""COMPUTED_VALUE"""),42426.0)</f>
        <v>42426</v>
      </c>
      <c r="I46" s="27">
        <f>IFERROR(__xludf.DUMMYFUNCTION("""COMPUTED_VALUE"""),5.766666666666667)</f>
        <v>5.766666667</v>
      </c>
      <c r="J46" s="29">
        <f>IFERROR(__xludf.DUMMYFUNCTION("""COMPUTED_VALUE"""),89.0)</f>
        <v>89</v>
      </c>
      <c r="K46" s="29">
        <f>IFERROR(__xludf.DUMMYFUNCTION("""COMPUTED_VALUE"""),52.5)</f>
        <v>52.5</v>
      </c>
      <c r="L46" s="31" t="str">
        <f>IFERROR(__xludf.DUMMYFUNCTION("""COMPUTED_VALUE"""),"RPG")</f>
        <v>RPG</v>
      </c>
    </row>
    <row r="47">
      <c r="A47" s="17" t="str">
        <f>IFERROR(__xludf.DUMMYFUNCTION("""COMPUTED_VALUE"""),"Psychonauts 2")</f>
        <v>Psychonauts 2</v>
      </c>
      <c r="B47" s="20" t="str">
        <f>IFERROR(__xludf.DUMMYFUNCTION("""COMPUTED_VALUE"""),"Xbox / PC")</f>
        <v>Xbox / PC</v>
      </c>
      <c r="C47" s="21" t="str">
        <f>IFERROR(__xludf.DUMMYFUNCTION("""COMPUTED_VALUE"""),"Touch Controls")</f>
        <v>Touch Controls</v>
      </c>
      <c r="D47" s="21" t="str">
        <f>IFERROR(__xludf.DUMMYFUNCTION("""COMPUTED_VALUE"""),"Active")</f>
        <v>Active</v>
      </c>
      <c r="E47" s="23">
        <f>IFERROR(__xludf.DUMMYFUNCTION("""COMPUTED_VALUE"""),44433.0)</f>
        <v>44433</v>
      </c>
      <c r="F47" s="24"/>
      <c r="G47" s="27">
        <f>IFERROR(__xludf.DUMMYFUNCTION("""COMPUTED_VALUE"""),61.36666666666667)</f>
        <v>61.36666667</v>
      </c>
      <c r="H47" s="23">
        <f>IFERROR(__xludf.DUMMYFUNCTION("""COMPUTED_VALUE"""),44433.0)</f>
        <v>44433</v>
      </c>
      <c r="I47" s="27">
        <f>IFERROR(__xludf.DUMMYFUNCTION("""COMPUTED_VALUE"""),0.0)</f>
        <v>0</v>
      </c>
      <c r="J47" s="29">
        <f>IFERROR(__xludf.DUMMYFUNCTION("""COMPUTED_VALUE"""),89.0)</f>
        <v>89</v>
      </c>
      <c r="K47" s="29">
        <f>IFERROR(__xludf.DUMMYFUNCTION("""COMPUTED_VALUE"""),14.0)</f>
        <v>14</v>
      </c>
      <c r="L47" s="31" t="str">
        <f>IFERROR(__xludf.DUMMYFUNCTION("""COMPUTED_VALUE"""),"Platformer")</f>
        <v>Platformer</v>
      </c>
    </row>
    <row r="48">
      <c r="A48" s="17" t="str">
        <f>IFERROR(__xludf.DUMMYFUNCTION("""COMPUTED_VALUE"""),"Quake II")</f>
        <v>Quake II</v>
      </c>
      <c r="B48" s="20" t="str">
        <f>IFERROR(__xludf.DUMMYFUNCTION("""COMPUTED_VALUE"""),"Xbox / PC")</f>
        <v>Xbox / PC</v>
      </c>
      <c r="C48" s="21" t="str">
        <f>IFERROR(__xludf.DUMMYFUNCTION("""COMPUTED_VALUE"""),"M+KB")</f>
        <v>M+KB</v>
      </c>
      <c r="D48" s="21" t="str">
        <f>IFERROR(__xludf.DUMMYFUNCTION("""COMPUTED_VALUE"""),"Active")</f>
        <v>Active</v>
      </c>
      <c r="E48" s="23">
        <f>IFERROR(__xludf.DUMMYFUNCTION("""COMPUTED_VALUE"""),44427.0)</f>
        <v>44427</v>
      </c>
      <c r="F48" s="24"/>
      <c r="G48" s="27">
        <f>IFERROR(__xludf.DUMMYFUNCTION("""COMPUTED_VALUE"""),61.56666666666666)</f>
        <v>61.56666667</v>
      </c>
      <c r="H48" s="23">
        <f>IFERROR(__xludf.DUMMYFUNCTION("""COMPUTED_VALUE"""),35773.0)</f>
        <v>35773</v>
      </c>
      <c r="I48" s="27">
        <f>IFERROR(__xludf.DUMMYFUNCTION("""COMPUTED_VALUE"""),23.694444444444443)</f>
        <v>23.69444444</v>
      </c>
      <c r="J48" s="29">
        <f>IFERROR(__xludf.DUMMYFUNCTION("""COMPUTED_VALUE"""),89.0)</f>
        <v>89</v>
      </c>
      <c r="K48" s="29">
        <f>IFERROR(__xludf.DUMMYFUNCTION("""COMPUTED_VALUE"""),8.0)</f>
        <v>8</v>
      </c>
      <c r="L48" s="31" t="str">
        <f>IFERROR(__xludf.DUMMYFUNCTION("""COMPUTED_VALUE"""),"Shooter")</f>
        <v>Shooter</v>
      </c>
    </row>
    <row r="49">
      <c r="A49" s="17" t="str">
        <f>IFERROR(__xludf.DUMMYFUNCTION("""COMPUTED_VALUE"""),"Fallout")</f>
        <v>Fallout</v>
      </c>
      <c r="B49" s="20" t="str">
        <f>IFERROR(__xludf.DUMMYFUNCTION("""COMPUTED_VALUE"""),"PC")</f>
        <v>PC</v>
      </c>
      <c r="C49" s="21"/>
      <c r="D49" s="21" t="str">
        <f>IFERROR(__xludf.DUMMYFUNCTION("""COMPUTED_VALUE"""),"Active")</f>
        <v>Active</v>
      </c>
      <c r="E49" s="23">
        <f>IFERROR(__xludf.DUMMYFUNCTION("""COMPUTED_VALUE"""),44360.0)</f>
        <v>44360</v>
      </c>
      <c r="F49" s="24"/>
      <c r="G49" s="27">
        <f>IFERROR(__xludf.DUMMYFUNCTION("""COMPUTED_VALUE"""),63.766666666666666)</f>
        <v>63.76666667</v>
      </c>
      <c r="H49" s="23">
        <f>IFERROR(__xludf.DUMMYFUNCTION("""COMPUTED_VALUE"""),35703.0)</f>
        <v>35703</v>
      </c>
      <c r="I49" s="27">
        <f>IFERROR(__xludf.DUMMYFUNCTION("""COMPUTED_VALUE"""),23.70277777777778)</f>
        <v>23.70277778</v>
      </c>
      <c r="J49" s="29">
        <f>IFERROR(__xludf.DUMMYFUNCTION("""COMPUTED_VALUE"""),89.0)</f>
        <v>89</v>
      </c>
      <c r="K49" s="29">
        <f>IFERROR(__xludf.DUMMYFUNCTION("""COMPUTED_VALUE"""),16.0)</f>
        <v>16</v>
      </c>
      <c r="L49" s="31" t="str">
        <f>IFERROR(__xludf.DUMMYFUNCTION("""COMPUTED_VALUE"""),"RPG")</f>
        <v>RPG</v>
      </c>
    </row>
    <row r="50">
      <c r="A50" s="17" t="str">
        <f>IFERROR(__xludf.DUMMYFUNCTION("""COMPUTED_VALUE"""),"Populous")</f>
        <v>Populous</v>
      </c>
      <c r="B50" s="20" t="str">
        <f>IFERROR(__xludf.DUMMYFUNCTION("""COMPUTED_VALUE"""),"PC")</f>
        <v>PC</v>
      </c>
      <c r="C50" s="21"/>
      <c r="D50" s="21" t="str">
        <f>IFERROR(__xludf.DUMMYFUNCTION("""COMPUTED_VALUE"""),"Active")</f>
        <v>Active</v>
      </c>
      <c r="E50" s="23">
        <f>IFERROR(__xludf.DUMMYFUNCTION("""COMPUTED_VALUE"""),44273.0)</f>
        <v>44273</v>
      </c>
      <c r="F50" s="24"/>
      <c r="G50" s="27">
        <f>IFERROR(__xludf.DUMMYFUNCTION("""COMPUTED_VALUE"""),66.6)</f>
        <v>66.6</v>
      </c>
      <c r="H50" s="23">
        <f>IFERROR(__xludf.DUMMYFUNCTION("""COMPUTED_VALUE"""),32509.0)</f>
        <v>32509</v>
      </c>
      <c r="I50" s="27">
        <f>IFERROR(__xludf.DUMMYFUNCTION("""COMPUTED_VALUE"""),32.21388888888889)</f>
        <v>32.21388889</v>
      </c>
      <c r="J50" s="29">
        <f>IFERROR(__xludf.DUMMYFUNCTION("""COMPUTED_VALUE"""),89.0)</f>
        <v>89</v>
      </c>
      <c r="K50" s="29">
        <f>IFERROR(__xludf.DUMMYFUNCTION("""COMPUTED_VALUE"""),13.0)</f>
        <v>13</v>
      </c>
      <c r="L50" s="31" t="str">
        <f>IFERROR(__xludf.DUMMYFUNCTION("""COMPUTED_VALUE"""),"Strategy")</f>
        <v>Strategy</v>
      </c>
    </row>
    <row r="51">
      <c r="A51" s="17" t="str">
        <f>IFERROR(__xludf.DUMMYFUNCTION("""COMPUTED_VALUE"""),"Dead Space")</f>
        <v>Dead Space</v>
      </c>
      <c r="B51" s="20" t="str">
        <f>IFERROR(__xludf.DUMMYFUNCTION("""COMPUTED_VALUE"""),"Xbox / PC")</f>
        <v>Xbox / PC</v>
      </c>
      <c r="C51" s="21" t="str">
        <f>IFERROR(__xludf.DUMMYFUNCTION("""COMPUTED_VALUE"""),"Yes")</f>
        <v>Yes</v>
      </c>
      <c r="D51" s="21" t="str">
        <f>IFERROR(__xludf.DUMMYFUNCTION("""COMPUTED_VALUE"""),"Active")</f>
        <v>Active</v>
      </c>
      <c r="E51" s="23">
        <f>IFERROR(__xludf.DUMMYFUNCTION("""COMPUTED_VALUE"""),44145.0)</f>
        <v>44145</v>
      </c>
      <c r="F51" s="24"/>
      <c r="G51" s="27">
        <f>IFERROR(__xludf.DUMMYFUNCTION("""COMPUTED_VALUE"""),70.86666666666667)</f>
        <v>70.86666667</v>
      </c>
      <c r="H51" s="23">
        <f>IFERROR(__xludf.DUMMYFUNCTION("""COMPUTED_VALUE"""),39735.0)</f>
        <v>39735</v>
      </c>
      <c r="I51" s="27">
        <f>IFERROR(__xludf.DUMMYFUNCTION("""COMPUTED_VALUE"""),12.072222222222223)</f>
        <v>12.07222222</v>
      </c>
      <c r="J51" s="29">
        <f>IFERROR(__xludf.DUMMYFUNCTION("""COMPUTED_VALUE"""),89.0)</f>
        <v>89</v>
      </c>
      <c r="K51" s="29">
        <f>IFERROR(__xludf.DUMMYFUNCTION("""COMPUTED_VALUE"""),11.0)</f>
        <v>11</v>
      </c>
      <c r="L51" s="31" t="str">
        <f>IFERROR(__xludf.DUMMYFUNCTION("""COMPUTED_VALUE"""),"Action")</f>
        <v>Action</v>
      </c>
    </row>
    <row r="52">
      <c r="A52" s="17" t="str">
        <f>IFERROR(__xludf.DUMMYFUNCTION("""COMPUTED_VALUE"""),"Peggle")</f>
        <v>Peggle</v>
      </c>
      <c r="B52" s="20" t="str">
        <f>IFERROR(__xludf.DUMMYFUNCTION("""COMPUTED_VALUE"""),"Xbox / PC")</f>
        <v>Xbox / PC</v>
      </c>
      <c r="C52" s="21"/>
      <c r="D52" s="21" t="str">
        <f>IFERROR(__xludf.DUMMYFUNCTION("""COMPUTED_VALUE"""),"Active")</f>
        <v>Active</v>
      </c>
      <c r="E52" s="23">
        <f>IFERROR(__xludf.DUMMYFUNCTION("""COMPUTED_VALUE"""),44145.0)</f>
        <v>44145</v>
      </c>
      <c r="F52" s="24"/>
      <c r="G52" s="27">
        <f>IFERROR(__xludf.DUMMYFUNCTION("""COMPUTED_VALUE"""),70.86666666666667)</f>
        <v>70.86666667</v>
      </c>
      <c r="H52" s="23">
        <f>IFERROR(__xludf.DUMMYFUNCTION("""COMPUTED_VALUE"""),39183.0)</f>
        <v>39183</v>
      </c>
      <c r="I52" s="27">
        <f>IFERROR(__xludf.DUMMYFUNCTION("""COMPUTED_VALUE"""),13.580555555555556)</f>
        <v>13.58055556</v>
      </c>
      <c r="J52" s="29">
        <f>IFERROR(__xludf.DUMMYFUNCTION("""COMPUTED_VALUE"""),89.0)</f>
        <v>89</v>
      </c>
      <c r="K52" s="29">
        <f>IFERROR(__xludf.DUMMYFUNCTION("""COMPUTED_VALUE"""),4.0)</f>
        <v>4</v>
      </c>
      <c r="L52" s="31" t="str">
        <f>IFERROR(__xludf.DUMMYFUNCTION("""COMPUTED_VALUE"""),"Puzzle")</f>
        <v>Puzzle</v>
      </c>
    </row>
    <row r="53">
      <c r="A53" s="17" t="str">
        <f>IFERROR(__xludf.DUMMYFUNCTION("""COMPUTED_VALUE"""),"Plants vs. Zombies: Game of the Year Edition")</f>
        <v>Plants vs. Zombies: Game of the Year Edition</v>
      </c>
      <c r="B53" s="20" t="str">
        <f>IFERROR(__xludf.DUMMYFUNCTION("""COMPUTED_VALUE"""),"Xbox / PC")</f>
        <v>Xbox / PC</v>
      </c>
      <c r="C53" s="21"/>
      <c r="D53" s="21" t="str">
        <f>IFERROR(__xludf.DUMMYFUNCTION("""COMPUTED_VALUE"""),"Active")</f>
        <v>Active</v>
      </c>
      <c r="E53" s="23">
        <f>IFERROR(__xludf.DUMMYFUNCTION("""COMPUTED_VALUE"""),44145.0)</f>
        <v>44145</v>
      </c>
      <c r="F53" s="24"/>
      <c r="G53" s="27">
        <f>IFERROR(__xludf.DUMMYFUNCTION("""COMPUTED_VALUE"""),70.86666666666667)</f>
        <v>70.86666667</v>
      </c>
      <c r="H53" s="23">
        <f>IFERROR(__xludf.DUMMYFUNCTION("""COMPUTED_VALUE"""),39938.0)</f>
        <v>39938</v>
      </c>
      <c r="I53" s="27">
        <f>IFERROR(__xludf.DUMMYFUNCTION("""COMPUTED_VALUE"""),11.51388888888889)</f>
        <v>11.51388889</v>
      </c>
      <c r="J53" s="29">
        <f>IFERROR(__xludf.DUMMYFUNCTION("""COMPUTED_VALUE"""),89.0)</f>
        <v>89</v>
      </c>
      <c r="K53" s="29">
        <f>IFERROR(__xludf.DUMMYFUNCTION("""COMPUTED_VALUE"""),8.0)</f>
        <v>8</v>
      </c>
      <c r="L53" s="31" t="str">
        <f>IFERROR(__xludf.DUMMYFUNCTION("""COMPUTED_VALUE"""),"Strategy")</f>
        <v>Strategy</v>
      </c>
    </row>
    <row r="54">
      <c r="A54" s="17" t="str">
        <f>IFERROR(__xludf.DUMMYFUNCTION("""COMPUTED_VALUE"""),"Hollow Knight: Voidheart Edition")</f>
        <v>Hollow Knight: Voidheart Edition</v>
      </c>
      <c r="B54" s="20" t="str">
        <f>IFERROR(__xludf.DUMMYFUNCTION("""COMPUTED_VALUE"""),"Xbox / PC")</f>
        <v>Xbox / PC</v>
      </c>
      <c r="C54" s="21" t="str">
        <f>IFERROR(__xludf.DUMMYFUNCTION("""COMPUTED_VALUE"""),"Yes")</f>
        <v>Yes</v>
      </c>
      <c r="D54" s="21" t="str">
        <f>IFERROR(__xludf.DUMMYFUNCTION("""COMPUTED_VALUE"""),"Active")</f>
        <v>Active</v>
      </c>
      <c r="E54" s="23">
        <f>IFERROR(__xludf.DUMMYFUNCTION("""COMPUTED_VALUE"""),43625.0)</f>
        <v>43625</v>
      </c>
      <c r="F54" s="24"/>
      <c r="G54" s="27">
        <f>IFERROR(__xludf.DUMMYFUNCTION("""COMPUTED_VALUE"""),87.9)</f>
        <v>87.9</v>
      </c>
      <c r="H54" s="23">
        <f>IFERROR(__xludf.DUMMYFUNCTION("""COMPUTED_VALUE"""),42790.0)</f>
        <v>42790</v>
      </c>
      <c r="I54" s="27">
        <f>IFERROR(__xludf.DUMMYFUNCTION("""COMPUTED_VALUE"""),2.2916666666666665)</f>
        <v>2.291666667</v>
      </c>
      <c r="J54" s="29">
        <f>IFERROR(__xludf.DUMMYFUNCTION("""COMPUTED_VALUE"""),89.0)</f>
        <v>89</v>
      </c>
      <c r="K54" s="29">
        <f>IFERROR(__xludf.DUMMYFUNCTION("""COMPUTED_VALUE"""),25.0)</f>
        <v>25</v>
      </c>
      <c r="L54" s="31" t="str">
        <f>IFERROR(__xludf.DUMMYFUNCTION("""COMPUTED_VALUE"""),"Platformer")</f>
        <v>Platformer</v>
      </c>
    </row>
    <row r="55">
      <c r="A55" s="17" t="str">
        <f>IFERROR(__xludf.DUMMYFUNCTION("""COMPUTED_VALUE"""),"Rise of Nations: Extended Edition")</f>
        <v>Rise of Nations: Extended Edition</v>
      </c>
      <c r="B55" s="20" t="str">
        <f>IFERROR(__xludf.DUMMYFUNCTION("""COMPUTED_VALUE"""),"PC")</f>
        <v>PC</v>
      </c>
      <c r="C55" s="21"/>
      <c r="D55" s="21" t="str">
        <f>IFERROR(__xludf.DUMMYFUNCTION("""COMPUTED_VALUE"""),"Active")</f>
        <v>Active</v>
      </c>
      <c r="E55" s="23">
        <f>IFERROR(__xludf.DUMMYFUNCTION("""COMPUTED_VALUE"""),43625.0)</f>
        <v>43625</v>
      </c>
      <c r="F55" s="24"/>
      <c r="G55" s="27">
        <f>IFERROR(__xludf.DUMMYFUNCTION("""COMPUTED_VALUE"""),87.9)</f>
        <v>87.9</v>
      </c>
      <c r="H55" s="23">
        <f>IFERROR(__xludf.DUMMYFUNCTION("""COMPUTED_VALUE"""),37761.0)</f>
        <v>37761</v>
      </c>
      <c r="I55" s="27">
        <f>IFERROR(__xludf.DUMMYFUNCTION("""COMPUTED_VALUE"""),16.052777777777777)</f>
        <v>16.05277778</v>
      </c>
      <c r="J55" s="29">
        <f>IFERROR(__xludf.DUMMYFUNCTION("""COMPUTED_VALUE"""),89.0)</f>
        <v>89</v>
      </c>
      <c r="K55" s="29">
        <f>IFERROR(__xludf.DUMMYFUNCTION("""COMPUTED_VALUE"""),18.0)</f>
        <v>18</v>
      </c>
      <c r="L55" s="31" t="str">
        <f>IFERROR(__xludf.DUMMYFUNCTION("""COMPUTED_VALUE"""),"Strategy")</f>
        <v>Strategy</v>
      </c>
    </row>
    <row r="56">
      <c r="A56" s="17" t="str">
        <f>IFERROR(__xludf.DUMMYFUNCTION("""COMPUTED_VALUE"""),"The Walking Dead: The Complete First Season")</f>
        <v>The Walking Dead: The Complete First Season</v>
      </c>
      <c r="B56" s="20" t="str">
        <f>IFERROR(__xludf.DUMMYFUNCTION("""COMPUTED_VALUE"""),"Xbox / PC")</f>
        <v>Xbox / PC</v>
      </c>
      <c r="C56" s="21" t="str">
        <f>IFERROR(__xludf.DUMMYFUNCTION("""COMPUTED_VALUE"""),"Touch Controls")</f>
        <v>Touch Controls</v>
      </c>
      <c r="D56" s="21" t="str">
        <f>IFERROR(__xludf.DUMMYFUNCTION("""COMPUTED_VALUE"""),"Active")</f>
        <v>Active</v>
      </c>
      <c r="E56" s="23">
        <f>IFERROR(__xludf.DUMMYFUNCTION("""COMPUTED_VALUE"""),43503.0)</f>
        <v>43503</v>
      </c>
      <c r="F56" s="24"/>
      <c r="G56" s="27">
        <f>IFERROR(__xludf.DUMMYFUNCTION("""COMPUTED_VALUE"""),91.96666666666667)</f>
        <v>91.96666667</v>
      </c>
      <c r="H56" s="23">
        <f>IFERROR(__xludf.DUMMYFUNCTION("""COMPUTED_VALUE"""),43074.0)</f>
        <v>43074</v>
      </c>
      <c r="I56" s="27">
        <f>IFERROR(__xludf.DUMMYFUNCTION("""COMPUTED_VALUE"""),1.1722222222222223)</f>
        <v>1.172222222</v>
      </c>
      <c r="J56" s="29">
        <f>IFERROR(__xludf.DUMMYFUNCTION("""COMPUTED_VALUE"""),89.0)</f>
        <v>89</v>
      </c>
      <c r="K56" s="29">
        <f>IFERROR(__xludf.DUMMYFUNCTION("""COMPUTED_VALUE"""),13.0)</f>
        <v>13</v>
      </c>
      <c r="L56" s="31" t="str">
        <f>IFERROR(__xludf.DUMMYFUNCTION("""COMPUTED_VALUE"""),"Shooter")</f>
        <v>Shooter</v>
      </c>
    </row>
    <row r="57">
      <c r="A57" s="17" t="str">
        <f>IFERROR(__xludf.DUMMYFUNCTION("""COMPUTED_VALUE"""),"It Takes Two")</f>
        <v>It Takes Two</v>
      </c>
      <c r="B57" s="20" t="str">
        <f>IFERROR(__xludf.DUMMYFUNCTION("""COMPUTED_VALUE"""),"Xbox / PC")</f>
        <v>Xbox / PC</v>
      </c>
      <c r="C57" s="21" t="str">
        <f>IFERROR(__xludf.DUMMYFUNCTION("""COMPUTED_VALUE"""),"Yes")</f>
        <v>Yes</v>
      </c>
      <c r="D57" s="21" t="str">
        <f>IFERROR(__xludf.DUMMYFUNCTION("""COMPUTED_VALUE"""),"Active")</f>
        <v>Active</v>
      </c>
      <c r="E57" s="23">
        <f>IFERROR(__xludf.DUMMYFUNCTION("""COMPUTED_VALUE"""),44504.0)</f>
        <v>44504</v>
      </c>
      <c r="F57" s="24"/>
      <c r="G57" s="27">
        <f>IFERROR(__xludf.DUMMYFUNCTION("""COMPUTED_VALUE"""),59.06666666666667)</f>
        <v>59.06666667</v>
      </c>
      <c r="H57" s="23">
        <f>IFERROR(__xludf.DUMMYFUNCTION("""COMPUTED_VALUE"""),44281.0)</f>
        <v>44281</v>
      </c>
      <c r="I57" s="27">
        <f>IFERROR(__xludf.DUMMYFUNCTION("""COMPUTED_VALUE"""),0.6055555555555555)</f>
        <v>0.6055555556</v>
      </c>
      <c r="J57" s="29">
        <f>IFERROR(__xludf.DUMMYFUNCTION("""COMPUTED_VALUE"""),88.5)</f>
        <v>88.5</v>
      </c>
      <c r="K57" s="29">
        <f>IFERROR(__xludf.DUMMYFUNCTION("""COMPUTED_VALUE"""),12.0)</f>
        <v>12</v>
      </c>
      <c r="L57" s="31" t="str">
        <f>IFERROR(__xludf.DUMMYFUNCTION("""COMPUTED_VALUE"""),"Platformer")</f>
        <v>Platformer</v>
      </c>
    </row>
    <row r="58">
      <c r="A58" s="17" t="str">
        <f>IFERROR(__xludf.DUMMYFUNCTION("""COMPUTED_VALUE"""),"Denshattack!")</f>
        <v>Denshattack!</v>
      </c>
      <c r="B58" s="20" t="str">
        <f>IFERROR(__xludf.DUMMYFUNCTION("""COMPUTED_VALUE"""),"Xbox / PC")</f>
        <v>Xbox / PC</v>
      </c>
      <c r="C58" s="21" t="str">
        <f>IFERROR(__xludf.DUMMYFUNCTION("""COMPUTED_VALUE"""),"Yes")</f>
        <v>Yes</v>
      </c>
      <c r="D58" s="21" t="str">
        <f>IFERROR(__xludf.DUMMYFUNCTION("""COMPUTED_VALUE"""),"Active")</f>
        <v>Active</v>
      </c>
      <c r="E58" s="23">
        <f>IFERROR(__xludf.DUMMYFUNCTION("""COMPUTED_VALUE"""),46218.0)</f>
        <v>46218</v>
      </c>
      <c r="F58" s="24"/>
      <c r="G58" s="27">
        <f>IFERROR(__xludf.DUMMYFUNCTION("""COMPUTED_VALUE"""),2.7)</f>
        <v>2.7</v>
      </c>
      <c r="H58" s="23">
        <f>IFERROR(__xludf.DUMMYFUNCTION("""COMPUTED_VALUE"""),45853.0)</f>
        <v>45853</v>
      </c>
      <c r="I58" s="27">
        <f>IFERROR(__xludf.DUMMYFUNCTION("""COMPUTED_VALUE"""),1.0)</f>
        <v>1</v>
      </c>
      <c r="J58" s="29">
        <f>IFERROR(__xludf.DUMMYFUNCTION("""COMPUTED_VALUE"""),88.0)</f>
        <v>88</v>
      </c>
      <c r="K58" s="29">
        <f>IFERROR(__xludf.DUMMYFUNCTION("""COMPUTED_VALUE"""),9.0)</f>
        <v>9</v>
      </c>
      <c r="L58" s="31" t="str">
        <f>IFERROR(__xludf.DUMMYFUNCTION("""COMPUTED_VALUE"""),"Action-Adventure")</f>
        <v>Action-Adventure</v>
      </c>
    </row>
    <row r="59">
      <c r="A59" s="17" t="str">
        <f>IFERROR(__xludf.DUMMYFUNCTION("""COMPUTED_VALUE"""),"Kingdom Come: Deliverance II")</f>
        <v>Kingdom Come: Deliverance II</v>
      </c>
      <c r="B59" s="20" t="str">
        <f>IFERROR(__xludf.DUMMYFUNCTION("""COMPUTED_VALUE"""),"Xbox / PC")</f>
        <v>Xbox / PC</v>
      </c>
      <c r="C59" s="21" t="str">
        <f>IFERROR(__xludf.DUMMYFUNCTION("""COMPUTED_VALUE"""),"Yes")</f>
        <v>Yes</v>
      </c>
      <c r="D59" s="21" t="str">
        <f>IFERROR(__xludf.DUMMYFUNCTION("""COMPUTED_VALUE"""),"Active")</f>
        <v>Active</v>
      </c>
      <c r="E59" s="23">
        <f>IFERROR(__xludf.DUMMYFUNCTION("""COMPUTED_VALUE"""),46084.0)</f>
        <v>46084</v>
      </c>
      <c r="F59" s="24"/>
      <c r="G59" s="27">
        <f>IFERROR(__xludf.DUMMYFUNCTION("""COMPUTED_VALUE"""),7.1)</f>
        <v>7.1</v>
      </c>
      <c r="H59" s="23">
        <f>IFERROR(__xludf.DUMMYFUNCTION("""COMPUTED_VALUE"""),45699.0)</f>
        <v>45699</v>
      </c>
      <c r="I59" s="27">
        <f>IFERROR(__xludf.DUMMYFUNCTION("""COMPUTED_VALUE"""),1.0611111111111111)</f>
        <v>1.061111111</v>
      </c>
      <c r="J59" s="29">
        <f>IFERROR(__xludf.DUMMYFUNCTION("""COMPUTED_VALUE"""),88.0)</f>
        <v>88</v>
      </c>
      <c r="K59" s="29">
        <f>IFERROR(__xludf.DUMMYFUNCTION("""COMPUTED_VALUE"""),40.0)</f>
        <v>40</v>
      </c>
      <c r="L59" s="31" t="str">
        <f>IFERROR(__xludf.DUMMYFUNCTION("""COMPUTED_VALUE"""),"Action-Adventure")</f>
        <v>Action-Adventure</v>
      </c>
    </row>
    <row r="60">
      <c r="A60" s="17" t="str">
        <f>IFERROR(__xludf.DUMMYFUNCTION("""COMPUTED_VALUE"""),"The Talos Principle 2: Road to Elysium")</f>
        <v>The Talos Principle 2: Road to Elysium</v>
      </c>
      <c r="B60" s="20" t="str">
        <f>IFERROR(__xludf.DUMMYFUNCTION("""COMPUTED_VALUE"""),"Xbox / PC")</f>
        <v>Xbox / PC</v>
      </c>
      <c r="C60" s="21"/>
      <c r="D60" s="21" t="str">
        <f>IFERROR(__xludf.DUMMYFUNCTION("""COMPUTED_VALUE"""),"Active")</f>
        <v>Active</v>
      </c>
      <c r="E60" s="23">
        <f>IFERROR(__xludf.DUMMYFUNCTION("""COMPUTED_VALUE"""),46049.0)</f>
        <v>46049</v>
      </c>
      <c r="F60" s="24"/>
      <c r="G60" s="27">
        <f>IFERROR(__xludf.DUMMYFUNCTION("""COMPUTED_VALUE"""),8.3)</f>
        <v>8.3</v>
      </c>
      <c r="H60" s="23">
        <f>IFERROR(__xludf.DUMMYFUNCTION("""COMPUTED_VALUE"""),45457.0)</f>
        <v>45457</v>
      </c>
      <c r="I60" s="27">
        <f>IFERROR(__xludf.DUMMYFUNCTION("""COMPUTED_VALUE"""),1.6194444444444445)</f>
        <v>1.619444444</v>
      </c>
      <c r="J60" s="29">
        <f>IFERROR(__xludf.DUMMYFUNCTION("""COMPUTED_VALUE"""),88.0)</f>
        <v>88</v>
      </c>
      <c r="K60" s="29">
        <f>IFERROR(__xludf.DUMMYFUNCTION("""COMPUTED_VALUE"""),20.0)</f>
        <v>20</v>
      </c>
      <c r="L60" s="31" t="str">
        <f>IFERROR(__xludf.DUMMYFUNCTION("""COMPUTED_VALUE"""),"Action-Adventure")</f>
        <v>Action-Adventure</v>
      </c>
    </row>
    <row r="61">
      <c r="A61" s="17" t="str">
        <f>IFERROR(__xludf.DUMMYFUNCTION("""COMPUTED_VALUE"""),"Halls of Torment")</f>
        <v>Halls of Torment</v>
      </c>
      <c r="B61" s="20" t="str">
        <f>IFERROR(__xludf.DUMMYFUNCTION("""COMPUTED_VALUE"""),"Xbox / PC")</f>
        <v>Xbox / PC</v>
      </c>
      <c r="C61" s="21" t="str">
        <f>IFERROR(__xludf.DUMMYFUNCTION("""COMPUTED_VALUE"""),"Yes")</f>
        <v>Yes</v>
      </c>
      <c r="D61" s="21" t="str">
        <f>IFERROR(__xludf.DUMMYFUNCTION("""COMPUTED_VALUE"""),"Active")</f>
        <v>Active</v>
      </c>
      <c r="E61" s="23">
        <f>IFERROR(__xludf.DUMMYFUNCTION("""COMPUTED_VALUE"""),45958.0)</f>
        <v>45958</v>
      </c>
      <c r="F61" s="24"/>
      <c r="G61" s="27">
        <f>IFERROR(__xludf.DUMMYFUNCTION("""COMPUTED_VALUE"""),11.266666666666666)</f>
        <v>11.26666667</v>
      </c>
      <c r="H61" s="23">
        <f>IFERROR(__xludf.DUMMYFUNCTION("""COMPUTED_VALUE"""),45559.0)</f>
        <v>45559</v>
      </c>
      <c r="I61" s="27">
        <f>IFERROR(__xludf.DUMMYFUNCTION("""COMPUTED_VALUE"""),1.0944444444444446)</f>
        <v>1.094444444</v>
      </c>
      <c r="J61" s="29">
        <f>IFERROR(__xludf.DUMMYFUNCTION("""COMPUTED_VALUE"""),88.0)</f>
        <v>88</v>
      </c>
      <c r="K61" s="29">
        <f>IFERROR(__xludf.DUMMYFUNCTION("""COMPUTED_VALUE"""),12.0)</f>
        <v>12</v>
      </c>
      <c r="L61" s="31" t="str">
        <f>IFERROR(__xludf.DUMMYFUNCTION("""COMPUTED_VALUE"""),"Shoot-'Em-Up")</f>
        <v>Shoot-'Em-Up</v>
      </c>
    </row>
    <row r="62">
      <c r="A62" s="17" t="str">
        <f>IFERROR(__xludf.DUMMYFUNCTION("""COMPUTED_VALUE"""),"Assassin's Creed IV Black Flag")</f>
        <v>Assassin's Creed IV Black Flag</v>
      </c>
      <c r="B62" s="20" t="str">
        <f>IFERROR(__xludf.DUMMYFUNCTION("""COMPUTED_VALUE"""),"Xbox / PC")</f>
        <v>Xbox / PC</v>
      </c>
      <c r="C62" s="21" t="str">
        <f>IFERROR(__xludf.DUMMYFUNCTION("""COMPUTED_VALUE"""),"Yes")</f>
        <v>Yes</v>
      </c>
      <c r="D62" s="21" t="str">
        <f>IFERROR(__xludf.DUMMYFUNCTION("""COMPUTED_VALUE"""),"Active")</f>
        <v>Active</v>
      </c>
      <c r="E62" s="23">
        <f>IFERROR(__xludf.DUMMYFUNCTION("""COMPUTED_VALUE"""),45931.0)</f>
        <v>45931</v>
      </c>
      <c r="F62" s="24"/>
      <c r="G62" s="27">
        <f>IFERROR(__xludf.DUMMYFUNCTION("""COMPUTED_VALUE"""),12.166666666666666)</f>
        <v>12.16666667</v>
      </c>
      <c r="H62" s="23">
        <f>IFERROR(__xludf.DUMMYFUNCTION("""COMPUTED_VALUE"""),41576.0)</f>
        <v>41576</v>
      </c>
      <c r="I62" s="27">
        <f>IFERROR(__xludf.DUMMYFUNCTION("""COMPUTED_VALUE"""),11.922222222222222)</f>
        <v>11.92222222</v>
      </c>
      <c r="J62" s="29">
        <f>IFERROR(__xludf.DUMMYFUNCTION("""COMPUTED_VALUE"""),88.0)</f>
        <v>88</v>
      </c>
      <c r="K62" s="29">
        <f>IFERROR(__xludf.DUMMYFUNCTION("""COMPUTED_VALUE"""),24.0)</f>
        <v>24</v>
      </c>
      <c r="L62" s="31" t="str">
        <f>IFERROR(__xludf.DUMMYFUNCTION("""COMPUTED_VALUE"""),"Action-Adventure")</f>
        <v>Action-Adventure</v>
      </c>
    </row>
    <row r="63">
      <c r="A63" s="17" t="str">
        <f>IFERROR(__xludf.DUMMYFUNCTION("""COMPUTED_VALUE"""),"Far Cry 3")</f>
        <v>Far Cry 3</v>
      </c>
      <c r="B63" s="20" t="str">
        <f>IFERROR(__xludf.DUMMYFUNCTION("""COMPUTED_VALUE"""),"Xbox / PC")</f>
        <v>Xbox / PC</v>
      </c>
      <c r="C63" s="21" t="str">
        <f>IFERROR(__xludf.DUMMYFUNCTION("""COMPUTED_VALUE"""),"Yes")</f>
        <v>Yes</v>
      </c>
      <c r="D63" s="21" t="str">
        <f>IFERROR(__xludf.DUMMYFUNCTION("""COMPUTED_VALUE"""),"Active")</f>
        <v>Active</v>
      </c>
      <c r="E63" s="23">
        <f>IFERROR(__xludf.DUMMYFUNCTION("""COMPUTED_VALUE"""),45931.0)</f>
        <v>45931</v>
      </c>
      <c r="F63" s="24"/>
      <c r="G63" s="27">
        <f>IFERROR(__xludf.DUMMYFUNCTION("""COMPUTED_VALUE"""),12.166666666666666)</f>
        <v>12.16666667</v>
      </c>
      <c r="H63" s="23">
        <f>IFERROR(__xludf.DUMMYFUNCTION("""COMPUTED_VALUE"""),41247.0)</f>
        <v>41247</v>
      </c>
      <c r="I63" s="27">
        <f>IFERROR(__xludf.DUMMYFUNCTION("""COMPUTED_VALUE"""),12.825)</f>
        <v>12.825</v>
      </c>
      <c r="J63" s="29">
        <f>IFERROR(__xludf.DUMMYFUNCTION("""COMPUTED_VALUE"""),88.0)</f>
        <v>88</v>
      </c>
      <c r="K63" s="29">
        <f>IFERROR(__xludf.DUMMYFUNCTION("""COMPUTED_VALUE"""),16.0)</f>
        <v>16</v>
      </c>
      <c r="L63" s="31" t="str">
        <f>IFERROR(__xludf.DUMMYFUNCTION("""COMPUTED_VALUE"""),"Action-Adventure")</f>
        <v>Action-Adventure</v>
      </c>
    </row>
    <row r="64">
      <c r="A64" s="17" t="str">
        <f>IFERROR(__xludf.DUMMYFUNCTION("""COMPUTED_VALUE"""),"Abiotic Factor")</f>
        <v>Abiotic Factor</v>
      </c>
      <c r="B64" s="20" t="str">
        <f>IFERROR(__xludf.DUMMYFUNCTION("""COMPUTED_VALUE"""),"Xbox / PC")</f>
        <v>Xbox / PC</v>
      </c>
      <c r="C64" s="21" t="str">
        <f>IFERROR(__xludf.DUMMYFUNCTION("""COMPUTED_VALUE"""),"Yes")</f>
        <v>Yes</v>
      </c>
      <c r="D64" s="21" t="str">
        <f>IFERROR(__xludf.DUMMYFUNCTION("""COMPUTED_VALUE"""),"Active")</f>
        <v>Active</v>
      </c>
      <c r="E64" s="23">
        <f>IFERROR(__xludf.DUMMYFUNCTION("""COMPUTED_VALUE"""),45860.0)</f>
        <v>45860</v>
      </c>
      <c r="F64" s="24"/>
      <c r="G64" s="27">
        <f>IFERROR(__xludf.DUMMYFUNCTION("""COMPUTED_VALUE"""),14.466666666666665)</f>
        <v>14.46666667</v>
      </c>
      <c r="H64" s="23">
        <f>IFERROR(__xludf.DUMMYFUNCTION("""COMPUTED_VALUE"""),45860.0)</f>
        <v>45860</v>
      </c>
      <c r="I64" s="27">
        <f>IFERROR(__xludf.DUMMYFUNCTION("""COMPUTED_VALUE"""),0.0)</f>
        <v>0</v>
      </c>
      <c r="J64" s="29">
        <f>IFERROR(__xludf.DUMMYFUNCTION("""COMPUTED_VALUE"""),88.0)</f>
        <v>88</v>
      </c>
      <c r="K64" s="29">
        <f>IFERROR(__xludf.DUMMYFUNCTION("""COMPUTED_VALUE"""),33.0)</f>
        <v>33</v>
      </c>
      <c r="L64" s="31" t="str">
        <f>IFERROR(__xludf.DUMMYFUNCTION("""COMPUTED_VALUE"""),"Survival")</f>
        <v>Survival</v>
      </c>
    </row>
    <row r="65">
      <c r="A65" s="17" t="str">
        <f>IFERROR(__xludf.DUMMYFUNCTION("""COMPUTED_VALUE"""),"Quest for Glory: So You Want to Be a Hero")</f>
        <v>Quest for Glory: So You Want to Be a Hero</v>
      </c>
      <c r="B65" s="20" t="str">
        <f>IFERROR(__xludf.DUMMYFUNCTION("""COMPUTED_VALUE"""),"Xbox / PC")</f>
        <v>Xbox / PC</v>
      </c>
      <c r="C65" s="21" t="str">
        <f>IFERROR(__xludf.DUMMYFUNCTION("""COMPUTED_VALUE"""),"Yes")</f>
        <v>Yes</v>
      </c>
      <c r="D65" s="21" t="str">
        <f>IFERROR(__xludf.DUMMYFUNCTION("""COMPUTED_VALUE"""),"Active")</f>
        <v>Active</v>
      </c>
      <c r="E65" s="23">
        <f>IFERROR(__xludf.DUMMYFUNCTION("""COMPUTED_VALUE"""),45798.0)</f>
        <v>45798</v>
      </c>
      <c r="F65" s="24"/>
      <c r="G65" s="27">
        <f>IFERROR(__xludf.DUMMYFUNCTION("""COMPUTED_VALUE"""),16.5)</f>
        <v>16.5</v>
      </c>
      <c r="H65" s="23">
        <f>IFERROR(__xludf.DUMMYFUNCTION("""COMPUTED_VALUE"""),32782.0)</f>
        <v>32782</v>
      </c>
      <c r="I65" s="27">
        <f>IFERROR(__xludf.DUMMYFUNCTION("""COMPUTED_VALUE"""),35.638888888888886)</f>
        <v>35.63888889</v>
      </c>
      <c r="J65" s="29">
        <f>IFERROR(__xludf.DUMMYFUNCTION("""COMPUTED_VALUE"""),88.0)</f>
        <v>88</v>
      </c>
      <c r="K65" s="29">
        <f>IFERROR(__xludf.DUMMYFUNCTION("""COMPUTED_VALUE"""),7.0)</f>
        <v>7</v>
      </c>
      <c r="L65" s="31" t="str">
        <f>IFERROR(__xludf.DUMMYFUNCTION("""COMPUTED_VALUE"""),"Action‑Adventure")</f>
        <v>Action‑Adventure</v>
      </c>
    </row>
    <row r="66">
      <c r="A66" s="17" t="str">
        <f>IFERROR(__xludf.DUMMYFUNCTION("""COMPUTED_VALUE"""),"Populous: The Beginning")</f>
        <v>Populous: The Beginning</v>
      </c>
      <c r="B66" s="20" t="str">
        <f>IFERROR(__xludf.DUMMYFUNCTION("""COMPUTED_VALUE"""),"PC")</f>
        <v>PC</v>
      </c>
      <c r="C66" s="21"/>
      <c r="D66" s="21" t="str">
        <f>IFERROR(__xludf.DUMMYFUNCTION("""COMPUTED_VALUE"""),"Active")</f>
        <v>Active</v>
      </c>
      <c r="E66" s="23">
        <f>IFERROR(__xludf.DUMMYFUNCTION("""COMPUTED_VALUE"""),45398.0)</f>
        <v>45398</v>
      </c>
      <c r="F66" s="24"/>
      <c r="G66" s="27">
        <f>IFERROR(__xludf.DUMMYFUNCTION("""COMPUTED_VALUE"""),29.666666666666668)</f>
        <v>29.66666667</v>
      </c>
      <c r="H66" s="23">
        <f>IFERROR(__xludf.DUMMYFUNCTION("""COMPUTED_VALUE"""),36129.0)</f>
        <v>36129</v>
      </c>
      <c r="I66" s="27">
        <f>IFERROR(__xludf.DUMMYFUNCTION("""COMPUTED_VALUE"""),25.377777777777776)</f>
        <v>25.37777778</v>
      </c>
      <c r="J66" s="29">
        <f>IFERROR(__xludf.DUMMYFUNCTION("""COMPUTED_VALUE"""),88.0)</f>
        <v>88</v>
      </c>
      <c r="K66" s="29">
        <f>IFERROR(__xludf.DUMMYFUNCTION("""COMPUTED_VALUE"""),23.0)</f>
        <v>23</v>
      </c>
      <c r="L66" s="31" t="str">
        <f>IFERROR(__xludf.DUMMYFUNCTION("""COMPUTED_VALUE"""),"Strategy")</f>
        <v>Strategy</v>
      </c>
    </row>
    <row r="67">
      <c r="A67" s="17" t="str">
        <f>IFERROR(__xludf.DUMMYFUNCTION("""COMPUTED_VALUE"""),"Minecraft: Preview")</f>
        <v>Minecraft: Preview</v>
      </c>
      <c r="B67" s="20" t="str">
        <f>IFERROR(__xludf.DUMMYFUNCTION("""COMPUTED_VALUE"""),"Xbox / PC")</f>
        <v>Xbox / PC</v>
      </c>
      <c r="C67" s="21"/>
      <c r="D67" s="21" t="str">
        <f>IFERROR(__xludf.DUMMYFUNCTION("""COMPUTED_VALUE"""),"Active")</f>
        <v>Active</v>
      </c>
      <c r="E67" s="23">
        <f>IFERROR(__xludf.DUMMYFUNCTION("""COMPUTED_VALUE"""),45368.0)</f>
        <v>45368</v>
      </c>
      <c r="F67" s="24"/>
      <c r="G67" s="27">
        <f>IFERROR(__xludf.DUMMYFUNCTION("""COMPUTED_VALUE"""),30.633333333333333)</f>
        <v>30.63333333</v>
      </c>
      <c r="H67" s="23">
        <f>IFERROR(__xludf.DUMMYFUNCTION("""COMPUTED_VALUE"""),40865.0)</f>
        <v>40865</v>
      </c>
      <c r="I67" s="27">
        <f>IFERROR(__xludf.DUMMYFUNCTION("""COMPUTED_VALUE"""),12.330555555555556)</f>
        <v>12.33055556</v>
      </c>
      <c r="J67" s="29">
        <f>IFERROR(__xludf.DUMMYFUNCTION("""COMPUTED_VALUE"""),88.0)</f>
        <v>88</v>
      </c>
      <c r="K67" s="29">
        <f>IFERROR(__xludf.DUMMYFUNCTION("""COMPUTED_VALUE"""),116.0)</f>
        <v>116</v>
      </c>
      <c r="L67" s="31" t="str">
        <f>IFERROR(__xludf.DUMMYFUNCTION("""COMPUTED_VALUE"""),"Action-Adventure")</f>
        <v>Action-Adventure</v>
      </c>
    </row>
    <row r="68">
      <c r="A68" s="17" t="str">
        <f>IFERROR(__xludf.DUMMYFUNCTION("""COMPUTED_VALUE"""),"Dead Space (2023)")</f>
        <v>Dead Space (2023)</v>
      </c>
      <c r="B68" s="20" t="str">
        <f>IFERROR(__xludf.DUMMYFUNCTION("""COMPUTED_VALUE"""),"Xbox / PC")</f>
        <v>Xbox / PC</v>
      </c>
      <c r="C68" s="21" t="str">
        <f>IFERROR(__xludf.DUMMYFUNCTION("""COMPUTED_VALUE"""),"Yes")</f>
        <v>Yes</v>
      </c>
      <c r="D68" s="21" t="str">
        <f>IFERROR(__xludf.DUMMYFUNCTION("""COMPUTED_VALUE"""),"Active")</f>
        <v>Active</v>
      </c>
      <c r="E68" s="23">
        <f>IFERROR(__xludf.DUMMYFUNCTION("""COMPUTED_VALUE"""),45225.0)</f>
        <v>45225</v>
      </c>
      <c r="F68" s="24"/>
      <c r="G68" s="27">
        <f>IFERROR(__xludf.DUMMYFUNCTION("""COMPUTED_VALUE"""),35.333333333333336)</f>
        <v>35.33333333</v>
      </c>
      <c r="H68" s="23">
        <f>IFERROR(__xludf.DUMMYFUNCTION("""COMPUTED_VALUE"""),44953.0)</f>
        <v>44953</v>
      </c>
      <c r="I68" s="27">
        <f>IFERROR(__xludf.DUMMYFUNCTION("""COMPUTED_VALUE"""),0.7472222222222222)</f>
        <v>0.7472222222</v>
      </c>
      <c r="J68" s="29">
        <f>IFERROR(__xludf.DUMMYFUNCTION("""COMPUTED_VALUE"""),88.0)</f>
        <v>88</v>
      </c>
      <c r="K68" s="29">
        <f>IFERROR(__xludf.DUMMYFUNCTION("""COMPUTED_VALUE"""),12.0)</f>
        <v>12</v>
      </c>
      <c r="L68" s="31" t="str">
        <f>IFERROR(__xludf.DUMMYFUNCTION("""COMPUTED_VALUE"""),"Shooter")</f>
        <v>Shooter</v>
      </c>
    </row>
    <row r="69">
      <c r="A69" s="17" t="str">
        <f>IFERROR(__xludf.DUMMYFUNCTION("""COMPUTED_VALUE"""),"Return to Castle Wolfenstein")</f>
        <v>Return to Castle Wolfenstein</v>
      </c>
      <c r="B69" s="20" t="str">
        <f>IFERROR(__xludf.DUMMYFUNCTION("""COMPUTED_VALUE"""),"PC")</f>
        <v>PC</v>
      </c>
      <c r="C69" s="21"/>
      <c r="D69" s="21" t="str">
        <f>IFERROR(__xludf.DUMMYFUNCTION("""COMPUTED_VALUE"""),"Active")</f>
        <v>Active</v>
      </c>
      <c r="E69" s="23">
        <f>IFERROR(__xludf.DUMMYFUNCTION("""COMPUTED_VALUE"""),44791.0)</f>
        <v>44791</v>
      </c>
      <c r="F69" s="24"/>
      <c r="G69" s="27">
        <f>IFERROR(__xludf.DUMMYFUNCTION("""COMPUTED_VALUE"""),49.60000000000001)</f>
        <v>49.6</v>
      </c>
      <c r="H69" s="23">
        <f>IFERROR(__xludf.DUMMYFUNCTION("""COMPUTED_VALUE"""),37214.0)</f>
        <v>37214</v>
      </c>
      <c r="I69" s="27">
        <f>IFERROR(__xludf.DUMMYFUNCTION("""COMPUTED_VALUE"""),20.747222222222224)</f>
        <v>20.74722222</v>
      </c>
      <c r="J69" s="29">
        <f>IFERROR(__xludf.DUMMYFUNCTION("""COMPUTED_VALUE"""),88.0)</f>
        <v>88</v>
      </c>
      <c r="K69" s="29">
        <f>IFERROR(__xludf.DUMMYFUNCTION("""COMPUTED_VALUE"""),8.0)</f>
        <v>8</v>
      </c>
      <c r="L69" s="31" t="str">
        <f>IFERROR(__xludf.DUMMYFUNCTION("""COMPUTED_VALUE"""),"Shooter")</f>
        <v>Shooter</v>
      </c>
    </row>
    <row r="70">
      <c r="A70" s="17" t="str">
        <f>IFERROR(__xludf.DUMMYFUNCTION("""COMPUTED_VALUE"""),"Mass Effect: Legendary Edition")</f>
        <v>Mass Effect: Legendary Edition</v>
      </c>
      <c r="B70" s="20" t="str">
        <f>IFERROR(__xludf.DUMMYFUNCTION("""COMPUTED_VALUE"""),"Xbox / PC")</f>
        <v>Xbox / PC</v>
      </c>
      <c r="C70" s="21" t="str">
        <f>IFERROR(__xludf.DUMMYFUNCTION("""COMPUTED_VALUE"""),"Yes")</f>
        <v>Yes</v>
      </c>
      <c r="D70" s="21" t="str">
        <f>IFERROR(__xludf.DUMMYFUNCTION("""COMPUTED_VALUE"""),"Active")</f>
        <v>Active</v>
      </c>
      <c r="E70" s="23">
        <f>IFERROR(__xludf.DUMMYFUNCTION("""COMPUTED_VALUE"""),44567.0)</f>
        <v>44567</v>
      </c>
      <c r="F70" s="24"/>
      <c r="G70" s="27">
        <f>IFERROR(__xludf.DUMMYFUNCTION("""COMPUTED_VALUE"""),57.0)</f>
        <v>57</v>
      </c>
      <c r="H70" s="23">
        <f>IFERROR(__xludf.DUMMYFUNCTION("""COMPUTED_VALUE"""),44330.0)</f>
        <v>44330</v>
      </c>
      <c r="I70" s="27">
        <f>IFERROR(__xludf.DUMMYFUNCTION("""COMPUTED_VALUE"""),0.6444444444444445)</f>
        <v>0.6444444444</v>
      </c>
      <c r="J70" s="29">
        <f>IFERROR(__xludf.DUMMYFUNCTION("""COMPUTED_VALUE"""),88.0)</f>
        <v>88</v>
      </c>
      <c r="K70" s="29">
        <f>IFERROR(__xludf.DUMMYFUNCTION("""COMPUTED_VALUE"""),106.0)</f>
        <v>106</v>
      </c>
      <c r="L70" s="31" t="str">
        <f>IFERROR(__xludf.DUMMYFUNCTION("""COMPUTED_VALUE"""),"Shooter")</f>
        <v>Shooter</v>
      </c>
    </row>
    <row r="71">
      <c r="A71" s="17" t="str">
        <f>IFERROR(__xludf.DUMMYFUNCTION("""COMPUTED_VALUE"""),"Crimson Skies: High Road to Revenge")</f>
        <v>Crimson Skies: High Road to Revenge</v>
      </c>
      <c r="B71" s="20" t="str">
        <f>IFERROR(__xludf.DUMMYFUNCTION("""COMPUTED_VALUE"""),"Xbox / PC")</f>
        <v>Xbox / PC</v>
      </c>
      <c r="C71" s="21" t="str">
        <f>IFERROR(__xludf.DUMMYFUNCTION("""COMPUTED_VALUE"""),"Touch Controls")</f>
        <v>Touch Controls</v>
      </c>
      <c r="D71" s="21" t="str">
        <f>IFERROR(__xludf.DUMMYFUNCTION("""COMPUTED_VALUE"""),"Active")</f>
        <v>Active</v>
      </c>
      <c r="E71" s="23">
        <f>IFERROR(__xludf.DUMMYFUNCTION("""COMPUTED_VALUE"""),44403.0)</f>
        <v>44403</v>
      </c>
      <c r="F71" s="24"/>
      <c r="G71" s="27">
        <f>IFERROR(__xludf.DUMMYFUNCTION("""COMPUTED_VALUE"""),62.333333333333336)</f>
        <v>62.33333333</v>
      </c>
      <c r="H71" s="23">
        <f>IFERROR(__xludf.DUMMYFUNCTION("""COMPUTED_VALUE"""),37915.0)</f>
        <v>37915</v>
      </c>
      <c r="I71" s="27">
        <f>IFERROR(__xludf.DUMMYFUNCTION("""COMPUTED_VALUE"""),17.76388888888889)</f>
        <v>17.76388889</v>
      </c>
      <c r="J71" s="29">
        <f>IFERROR(__xludf.DUMMYFUNCTION("""COMPUTED_VALUE"""),88.0)</f>
        <v>88</v>
      </c>
      <c r="K71" s="29">
        <f>IFERROR(__xludf.DUMMYFUNCTION("""COMPUTED_VALUE"""),8.0)</f>
        <v>8</v>
      </c>
      <c r="L71" s="31" t="str">
        <f>IFERROR(__xludf.DUMMYFUNCTION("""COMPUTED_VALUE"""),"Flight")</f>
        <v>Flight</v>
      </c>
    </row>
    <row r="72">
      <c r="A72" s="17" t="str">
        <f>IFERROR(__xludf.DUMMYFUNCTION("""COMPUTED_VALUE"""),"Dungeon Keeper")</f>
        <v>Dungeon Keeper</v>
      </c>
      <c r="B72" s="20" t="str">
        <f>IFERROR(__xludf.DUMMYFUNCTION("""COMPUTED_VALUE"""),"PC")</f>
        <v>PC</v>
      </c>
      <c r="C72" s="21"/>
      <c r="D72" s="21" t="str">
        <f>IFERROR(__xludf.DUMMYFUNCTION("""COMPUTED_VALUE"""),"Active")</f>
        <v>Active</v>
      </c>
      <c r="E72" s="23">
        <f>IFERROR(__xludf.DUMMYFUNCTION("""COMPUTED_VALUE"""),44273.0)</f>
        <v>44273</v>
      </c>
      <c r="F72" s="24"/>
      <c r="G72" s="27">
        <f>IFERROR(__xludf.DUMMYFUNCTION("""COMPUTED_VALUE"""),66.6)</f>
        <v>66.6</v>
      </c>
      <c r="H72" s="23">
        <f>IFERROR(__xludf.DUMMYFUNCTION("""COMPUTED_VALUE"""),35607.0)</f>
        <v>35607</v>
      </c>
      <c r="I72" s="27">
        <f>IFERROR(__xludf.DUMMYFUNCTION("""COMPUTED_VALUE"""),23.727777777777778)</f>
        <v>23.72777778</v>
      </c>
      <c r="J72" s="29">
        <f>IFERROR(__xludf.DUMMYFUNCTION("""COMPUTED_VALUE"""),88.0)</f>
        <v>88</v>
      </c>
      <c r="K72" s="29">
        <f>IFERROR(__xludf.DUMMYFUNCTION("""COMPUTED_VALUE"""),15.0)</f>
        <v>15</v>
      </c>
      <c r="L72" s="31" t="str">
        <f>IFERROR(__xludf.DUMMYFUNCTION("""COMPUTED_VALUE"""),"RPG")</f>
        <v>RPG</v>
      </c>
    </row>
    <row r="73">
      <c r="A73" s="17" t="str">
        <f>IFERROR(__xludf.DUMMYFUNCTION("""COMPUTED_VALUE"""),"Dungeon Keeper 2")</f>
        <v>Dungeon Keeper 2</v>
      </c>
      <c r="B73" s="20" t="str">
        <f>IFERROR(__xludf.DUMMYFUNCTION("""COMPUTED_VALUE"""),"PC")</f>
        <v>PC</v>
      </c>
      <c r="C73" s="21"/>
      <c r="D73" s="21" t="str">
        <f>IFERROR(__xludf.DUMMYFUNCTION("""COMPUTED_VALUE"""),"Active")</f>
        <v>Active</v>
      </c>
      <c r="E73" s="23">
        <f>IFERROR(__xludf.DUMMYFUNCTION("""COMPUTED_VALUE"""),44273.0)</f>
        <v>44273</v>
      </c>
      <c r="F73" s="24"/>
      <c r="G73" s="27">
        <f>IFERROR(__xludf.DUMMYFUNCTION("""COMPUTED_VALUE"""),66.6)</f>
        <v>66.6</v>
      </c>
      <c r="H73" s="23">
        <f>IFERROR(__xludf.DUMMYFUNCTION("""COMPUTED_VALUE"""),36341.0)</f>
        <v>36341</v>
      </c>
      <c r="I73" s="27">
        <f>IFERROR(__xludf.DUMMYFUNCTION("""COMPUTED_VALUE"""),21.716666666666665)</f>
        <v>21.71666667</v>
      </c>
      <c r="J73" s="29">
        <f>IFERROR(__xludf.DUMMYFUNCTION("""COMPUTED_VALUE"""),88.0)</f>
        <v>88</v>
      </c>
      <c r="K73" s="29">
        <f>IFERROR(__xludf.DUMMYFUNCTION("""COMPUTED_VALUE"""),17.5)</f>
        <v>17.5</v>
      </c>
      <c r="L73" s="31" t="str">
        <f>IFERROR(__xludf.DUMMYFUNCTION("""COMPUTED_VALUE"""),"Strategy")</f>
        <v>Strategy</v>
      </c>
    </row>
    <row r="74">
      <c r="A74" s="17" t="str">
        <f>IFERROR(__xludf.DUMMYFUNCTION("""COMPUTED_VALUE"""),"DOOM 3")</f>
        <v>DOOM 3</v>
      </c>
      <c r="B74" s="20" t="str">
        <f>IFERROR(__xludf.DUMMYFUNCTION("""COMPUTED_VALUE"""),"Xbox / PC")</f>
        <v>Xbox / PC</v>
      </c>
      <c r="C74" s="21" t="str">
        <f>IFERROR(__xludf.DUMMYFUNCTION("""COMPUTED_VALUE"""),"Yes")</f>
        <v>Yes</v>
      </c>
      <c r="D74" s="21" t="str">
        <f>IFERROR(__xludf.DUMMYFUNCTION("""COMPUTED_VALUE"""),"Active")</f>
        <v>Active</v>
      </c>
      <c r="E74" s="23">
        <f>IFERROR(__xludf.DUMMYFUNCTION("""COMPUTED_VALUE"""),44267.0)</f>
        <v>44267</v>
      </c>
      <c r="F74" s="24"/>
      <c r="G74" s="27">
        <f>IFERROR(__xludf.DUMMYFUNCTION("""COMPUTED_VALUE"""),66.8)</f>
        <v>66.8</v>
      </c>
      <c r="H74" s="23">
        <f>IFERROR(__xludf.DUMMYFUNCTION("""COMPUTED_VALUE"""),38202.0)</f>
        <v>38202</v>
      </c>
      <c r="I74" s="27">
        <f>IFERROR(__xludf.DUMMYFUNCTION("""COMPUTED_VALUE"""),16.608333333333334)</f>
        <v>16.60833333</v>
      </c>
      <c r="J74" s="29">
        <f>IFERROR(__xludf.DUMMYFUNCTION("""COMPUTED_VALUE"""),88.0)</f>
        <v>88</v>
      </c>
      <c r="K74" s="29">
        <f>IFERROR(__xludf.DUMMYFUNCTION("""COMPUTED_VALUE"""),11.0)</f>
        <v>11</v>
      </c>
      <c r="L74" s="31" t="str">
        <f>IFERROR(__xludf.DUMMYFUNCTION("""COMPUTED_VALUE"""),"Shooter")</f>
        <v>Shooter</v>
      </c>
    </row>
    <row r="75">
      <c r="A75" s="17" t="str">
        <f>IFERROR(__xludf.DUMMYFUNCTION("""COMPUTED_VALUE"""),"The Elder Scrolls III: Morrowind")</f>
        <v>The Elder Scrolls III: Morrowind</v>
      </c>
      <c r="B75" s="20" t="str">
        <f>IFERROR(__xludf.DUMMYFUNCTION("""COMPUTED_VALUE"""),"Xbox / PC")</f>
        <v>Xbox / PC</v>
      </c>
      <c r="C75" s="21" t="str">
        <f>IFERROR(__xludf.DUMMYFUNCTION("""COMPUTED_VALUE"""),"Yes")</f>
        <v>Yes</v>
      </c>
      <c r="D75" s="21" t="str">
        <f>IFERROR(__xludf.DUMMYFUNCTION("""COMPUTED_VALUE"""),"Active")</f>
        <v>Active</v>
      </c>
      <c r="E75" s="23">
        <f>IFERROR(__xludf.DUMMYFUNCTION("""COMPUTED_VALUE"""),44267.0)</f>
        <v>44267</v>
      </c>
      <c r="F75" s="24"/>
      <c r="G75" s="27">
        <f>IFERROR(__xludf.DUMMYFUNCTION("""COMPUTED_VALUE"""),66.8)</f>
        <v>66.8</v>
      </c>
      <c r="H75" s="23">
        <f>IFERROR(__xludf.DUMMYFUNCTION("""COMPUTED_VALUE"""),37377.0)</f>
        <v>37377</v>
      </c>
      <c r="I75" s="27">
        <f>IFERROR(__xludf.DUMMYFUNCTION("""COMPUTED_VALUE"""),18.863888888888887)</f>
        <v>18.86388889</v>
      </c>
      <c r="J75" s="29">
        <f>IFERROR(__xludf.DUMMYFUNCTION("""COMPUTED_VALUE"""),88.0)</f>
        <v>88</v>
      </c>
      <c r="K75" s="29">
        <f>IFERROR(__xludf.DUMMYFUNCTION("""COMPUTED_VALUE"""),44.5)</f>
        <v>44.5</v>
      </c>
      <c r="L75" s="31" t="str">
        <f>IFERROR(__xludf.DUMMYFUNCTION("""COMPUTED_VALUE"""),"RPG")</f>
        <v>RPG</v>
      </c>
    </row>
    <row r="76">
      <c r="A76" s="17" t="str">
        <f>IFERROR(__xludf.DUMMYFUNCTION("""COMPUTED_VALUE"""),"Pillars of Eternity II: Deadfire - Ultimate Edition")</f>
        <v>Pillars of Eternity II: Deadfire - Ultimate Edition</v>
      </c>
      <c r="B76" s="20" t="str">
        <f>IFERROR(__xludf.DUMMYFUNCTION("""COMPUTED_VALUE"""),"Xbox / PC")</f>
        <v>Xbox / PC</v>
      </c>
      <c r="C76" s="21" t="str">
        <f>IFERROR(__xludf.DUMMYFUNCTION("""COMPUTED_VALUE"""),"Touch Controls")</f>
        <v>Touch Controls</v>
      </c>
      <c r="D76" s="21" t="str">
        <f>IFERROR(__xludf.DUMMYFUNCTION("""COMPUTED_VALUE"""),"Active")</f>
        <v>Active</v>
      </c>
      <c r="E76" s="23">
        <f>IFERROR(__xludf.DUMMYFUNCTION("""COMPUTED_VALUE"""),44245.0)</f>
        <v>44245</v>
      </c>
      <c r="F76" s="24"/>
      <c r="G76" s="27">
        <f>IFERROR(__xludf.DUMMYFUNCTION("""COMPUTED_VALUE"""),67.60000000000001)</f>
        <v>67.6</v>
      </c>
      <c r="H76" s="23">
        <f>IFERROR(__xludf.DUMMYFUNCTION("""COMPUTED_VALUE"""),43228.0)</f>
        <v>43228</v>
      </c>
      <c r="I76" s="27">
        <f>IFERROR(__xludf.DUMMYFUNCTION("""COMPUTED_VALUE"""),2.7777777777777777)</f>
        <v>2.777777778</v>
      </c>
      <c r="J76" s="29">
        <f>IFERROR(__xludf.DUMMYFUNCTION("""COMPUTED_VALUE"""),88.0)</f>
        <v>88</v>
      </c>
      <c r="K76" s="29">
        <f>IFERROR(__xludf.DUMMYFUNCTION("""COMPUTED_VALUE"""),42.0)</f>
        <v>42</v>
      </c>
      <c r="L76" s="31" t="str">
        <f>IFERROR(__xludf.DUMMYFUNCTION("""COMPUTED_VALUE"""),"RPG")</f>
        <v>RPG</v>
      </c>
    </row>
    <row r="77">
      <c r="A77" s="17" t="str">
        <f>IFERROR(__xludf.DUMMYFUNCTION("""COMPUTED_VALUE"""),"DOOM Eternal")</f>
        <v>DOOM Eternal</v>
      </c>
      <c r="B77" s="20" t="str">
        <f>IFERROR(__xludf.DUMMYFUNCTION("""COMPUTED_VALUE"""),"Xbox / PC")</f>
        <v>Xbox / PC</v>
      </c>
      <c r="C77" s="21" t="str">
        <f>IFERROR(__xludf.DUMMYFUNCTION("""COMPUTED_VALUE"""),"Yes")</f>
        <v>Yes</v>
      </c>
      <c r="D77" s="21" t="str">
        <f>IFERROR(__xludf.DUMMYFUNCTION("""COMPUTED_VALUE"""),"Active")</f>
        <v>Active</v>
      </c>
      <c r="E77" s="23">
        <f>IFERROR(__xludf.DUMMYFUNCTION("""COMPUTED_VALUE"""),44105.0)</f>
        <v>44105</v>
      </c>
      <c r="F77" s="24"/>
      <c r="G77" s="27">
        <f>IFERROR(__xludf.DUMMYFUNCTION("""COMPUTED_VALUE"""),72.16666666666667)</f>
        <v>72.16666667</v>
      </c>
      <c r="H77" s="23">
        <f>IFERROR(__xludf.DUMMYFUNCTION("""COMPUTED_VALUE"""),43910.0)</f>
        <v>43910</v>
      </c>
      <c r="I77" s="27">
        <f>IFERROR(__xludf.DUMMYFUNCTION("""COMPUTED_VALUE"""),0.5305555555555556)</f>
        <v>0.5305555556</v>
      </c>
      <c r="J77" s="29">
        <f>IFERROR(__xludf.DUMMYFUNCTION("""COMPUTED_VALUE"""),88.0)</f>
        <v>88</v>
      </c>
      <c r="K77" s="29">
        <f>IFERROR(__xludf.DUMMYFUNCTION("""COMPUTED_VALUE"""),13.5)</f>
        <v>13.5</v>
      </c>
      <c r="L77" s="31" t="str">
        <f>IFERROR(__xludf.DUMMYFUNCTION("""COMPUTED_VALUE"""),"Shooter")</f>
        <v>Shooter</v>
      </c>
    </row>
    <row r="78">
      <c r="A78" s="17" t="str">
        <f>IFERROR(__xludf.DUMMYFUNCTION("""COMPUTED_VALUE"""),"Halo 3")</f>
        <v>Halo 3</v>
      </c>
      <c r="B78" s="20" t="str">
        <f>IFERROR(__xludf.DUMMYFUNCTION("""COMPUTED_VALUE"""),"Xbox / PC")</f>
        <v>Xbox / PC</v>
      </c>
      <c r="C78" s="21"/>
      <c r="D78" s="21" t="str">
        <f>IFERROR(__xludf.DUMMYFUNCTION("""COMPUTED_VALUE"""),"Active")</f>
        <v>Active</v>
      </c>
      <c r="E78" s="23">
        <f>IFERROR(__xludf.DUMMYFUNCTION("""COMPUTED_VALUE"""),44026.0)</f>
        <v>44026</v>
      </c>
      <c r="F78" s="24"/>
      <c r="G78" s="27">
        <f>IFERROR(__xludf.DUMMYFUNCTION("""COMPUTED_VALUE"""),74.73333333333333)</f>
        <v>74.73333333</v>
      </c>
      <c r="H78" s="23">
        <f>IFERROR(__xludf.DUMMYFUNCTION("""COMPUTED_VALUE"""),39350.0)</f>
        <v>39350</v>
      </c>
      <c r="I78" s="27">
        <f>IFERROR(__xludf.DUMMYFUNCTION("""COMPUTED_VALUE"""),12.802777777777777)</f>
        <v>12.80277778</v>
      </c>
      <c r="J78" s="29">
        <f>IFERROR(__xludf.DUMMYFUNCTION("""COMPUTED_VALUE"""),88.0)</f>
        <v>88</v>
      </c>
      <c r="K78" s="29">
        <f>IFERROR(__xludf.DUMMYFUNCTION("""COMPUTED_VALUE"""),9.0)</f>
        <v>9</v>
      </c>
      <c r="L78" s="31" t="str">
        <f>IFERROR(__xludf.DUMMYFUNCTION("""COMPUTED_VALUE"""),"Shooter")</f>
        <v>Shooter</v>
      </c>
    </row>
    <row r="79">
      <c r="A79" s="17" t="str">
        <f>IFERROR(__xludf.DUMMYFUNCTION("""COMPUTED_VALUE"""),"Dishonored 2")</f>
        <v>Dishonored 2</v>
      </c>
      <c r="B79" s="20" t="str">
        <f>IFERROR(__xludf.DUMMYFUNCTION("""COMPUTED_VALUE"""),"Xbox / PC")</f>
        <v>Xbox / PC</v>
      </c>
      <c r="C79" s="21" t="str">
        <f>IFERROR(__xludf.DUMMYFUNCTION("""COMPUTED_VALUE"""),"Yes")</f>
        <v>Yes</v>
      </c>
      <c r="D79" s="21" t="str">
        <f>IFERROR(__xludf.DUMMYFUNCTION("""COMPUTED_VALUE"""),"Active")</f>
        <v>Active</v>
      </c>
      <c r="E79" s="23">
        <f>IFERROR(__xludf.DUMMYFUNCTION("""COMPUTED_VALUE"""),43741.0)</f>
        <v>43741</v>
      </c>
      <c r="F79" s="24"/>
      <c r="G79" s="27">
        <f>IFERROR(__xludf.DUMMYFUNCTION("""COMPUTED_VALUE"""),84.10000000000001)</f>
        <v>84.1</v>
      </c>
      <c r="H79" s="23">
        <f>IFERROR(__xludf.DUMMYFUNCTION("""COMPUTED_VALUE"""),42685.0)</f>
        <v>42685</v>
      </c>
      <c r="I79" s="27">
        <f>IFERROR(__xludf.DUMMYFUNCTION("""COMPUTED_VALUE"""),2.8944444444444444)</f>
        <v>2.894444444</v>
      </c>
      <c r="J79" s="29">
        <f>IFERROR(__xludf.DUMMYFUNCTION("""COMPUTED_VALUE"""),88.0)</f>
        <v>88</v>
      </c>
      <c r="K79" s="29">
        <f>IFERROR(__xludf.DUMMYFUNCTION("""COMPUTED_VALUE"""),12.5)</f>
        <v>12.5</v>
      </c>
      <c r="L79" s="31" t="str">
        <f>IFERROR(__xludf.DUMMYFUNCTION("""COMPUTED_VALUE"""),"Action-Adventure")</f>
        <v>Action-Adventure</v>
      </c>
    </row>
    <row r="80">
      <c r="A80" s="17" t="str">
        <f>IFERROR(__xludf.DUMMYFUNCTION("""COMPUTED_VALUE"""),"Wolfenstein II: The New Colossus")</f>
        <v>Wolfenstein II: The New Colossus</v>
      </c>
      <c r="B80" s="20" t="str">
        <f>IFERROR(__xludf.DUMMYFUNCTION("""COMPUTED_VALUE"""),"Xbox / PC")</f>
        <v>Xbox / PC</v>
      </c>
      <c r="C80" s="21" t="str">
        <f>IFERROR(__xludf.DUMMYFUNCTION("""COMPUTED_VALUE"""),"Yes")</f>
        <v>Yes</v>
      </c>
      <c r="D80" s="21" t="str">
        <f>IFERROR(__xludf.DUMMYFUNCTION("""COMPUTED_VALUE"""),"Active")</f>
        <v>Active</v>
      </c>
      <c r="E80" s="23">
        <f>IFERROR(__xludf.DUMMYFUNCTION("""COMPUTED_VALUE"""),43587.0)</f>
        <v>43587</v>
      </c>
      <c r="F80" s="24"/>
      <c r="G80" s="27">
        <f>IFERROR(__xludf.DUMMYFUNCTION("""COMPUTED_VALUE"""),89.13333333333334)</f>
        <v>89.13333333</v>
      </c>
      <c r="H80" s="23">
        <f>IFERROR(__xludf.DUMMYFUNCTION("""COMPUTED_VALUE"""),43035.0)</f>
        <v>43035</v>
      </c>
      <c r="I80" s="27">
        <f>IFERROR(__xludf.DUMMYFUNCTION("""COMPUTED_VALUE"""),1.5138888888888888)</f>
        <v>1.513888889</v>
      </c>
      <c r="J80" s="29">
        <f>IFERROR(__xludf.DUMMYFUNCTION("""COMPUTED_VALUE"""),88.0)</f>
        <v>88</v>
      </c>
      <c r="K80" s="29">
        <f>IFERROR(__xludf.DUMMYFUNCTION("""COMPUTED_VALUE"""),10.5)</f>
        <v>10.5</v>
      </c>
      <c r="L80" s="31" t="str">
        <f>IFERROR(__xludf.DUMMYFUNCTION("""COMPUTED_VALUE"""),"Shooter")</f>
        <v>Shooter</v>
      </c>
    </row>
    <row r="81">
      <c r="A81" s="17" t="str">
        <f>IFERROR(__xludf.DUMMYFUNCTION("""COMPUTED_VALUE"""),"Minecraft")</f>
        <v>Minecraft</v>
      </c>
      <c r="B81" s="20" t="str">
        <f>IFERROR(__xludf.DUMMYFUNCTION("""COMPUTED_VALUE"""),"Xbox / PC")</f>
        <v>Xbox / PC</v>
      </c>
      <c r="C81" s="21"/>
      <c r="D81" s="21" t="str">
        <f>IFERROR(__xludf.DUMMYFUNCTION("""COMPUTED_VALUE"""),"Active")</f>
        <v>Active</v>
      </c>
      <c r="E81" s="23">
        <f>IFERROR(__xludf.DUMMYFUNCTION("""COMPUTED_VALUE"""),43559.0)</f>
        <v>43559</v>
      </c>
      <c r="F81" s="24"/>
      <c r="G81" s="27">
        <f>IFERROR(__xludf.DUMMYFUNCTION("""COMPUTED_VALUE"""),90.06666666666666)</f>
        <v>90.06666667</v>
      </c>
      <c r="H81" s="23">
        <f>IFERROR(__xludf.DUMMYFUNCTION("""COMPUTED_VALUE"""),40865.0)</f>
        <v>40865</v>
      </c>
      <c r="I81" s="27">
        <f>IFERROR(__xludf.DUMMYFUNCTION("""COMPUTED_VALUE"""),7.377777777777778)</f>
        <v>7.377777778</v>
      </c>
      <c r="J81" s="29">
        <f>IFERROR(__xludf.DUMMYFUNCTION("""COMPUTED_VALUE"""),88.0)</f>
        <v>88</v>
      </c>
      <c r="K81" s="29">
        <f>IFERROR(__xludf.DUMMYFUNCTION("""COMPUTED_VALUE"""),116.0)</f>
        <v>116</v>
      </c>
      <c r="L81" s="31" t="str">
        <f>IFERROR(__xludf.DUMMYFUNCTION("""COMPUTED_VALUE"""),"Action-Adventure")</f>
        <v>Action-Adventure</v>
      </c>
    </row>
    <row r="82">
      <c r="A82" s="17" t="str">
        <f>IFERROR(__xludf.DUMMYFUNCTION("""COMPUTED_VALUE"""),"Fallout 4")</f>
        <v>Fallout 4</v>
      </c>
      <c r="B82" s="20" t="str">
        <f>IFERROR(__xludf.DUMMYFUNCTION("""COMPUTED_VALUE"""),"Xbox / PC")</f>
        <v>Xbox / PC</v>
      </c>
      <c r="C82" s="21" t="str">
        <f>IFERROR(__xludf.DUMMYFUNCTION("""COMPUTED_VALUE"""),"Yes")</f>
        <v>Yes</v>
      </c>
      <c r="D82" s="21" t="str">
        <f>IFERROR(__xludf.DUMMYFUNCTION("""COMPUTED_VALUE"""),"Active")</f>
        <v>Active</v>
      </c>
      <c r="E82" s="23">
        <f>IFERROR(__xludf.DUMMYFUNCTION("""COMPUTED_VALUE"""),43538.0)</f>
        <v>43538</v>
      </c>
      <c r="F82" s="24"/>
      <c r="G82" s="27">
        <f>IFERROR(__xludf.DUMMYFUNCTION("""COMPUTED_VALUE"""),90.73333333333333)</f>
        <v>90.73333333</v>
      </c>
      <c r="H82" s="23">
        <f>IFERROR(__xludf.DUMMYFUNCTION("""COMPUTED_VALUE"""),42318.0)</f>
        <v>42318</v>
      </c>
      <c r="I82" s="27">
        <f>IFERROR(__xludf.DUMMYFUNCTION("""COMPUTED_VALUE"""),3.3444444444444446)</f>
        <v>3.344444444</v>
      </c>
      <c r="J82" s="29">
        <f>IFERROR(__xludf.DUMMYFUNCTION("""COMPUTED_VALUE"""),88.0)</f>
        <v>88</v>
      </c>
      <c r="K82" s="29">
        <f>IFERROR(__xludf.DUMMYFUNCTION("""COMPUTED_VALUE"""),26.5)</f>
        <v>26.5</v>
      </c>
      <c r="L82" s="31" t="str">
        <f>IFERROR(__xludf.DUMMYFUNCTION("""COMPUTED_VALUE"""),"Shooter")</f>
        <v>Shooter</v>
      </c>
    </row>
    <row r="83">
      <c r="A83" s="17" t="str">
        <f>IFERROR(__xludf.DUMMYFUNCTION("""COMPUTED_VALUE"""),"Ori and the Blind Forest: Definitive Edition")</f>
        <v>Ori and the Blind Forest: Definitive Edition</v>
      </c>
      <c r="B83" s="20" t="str">
        <f>IFERROR(__xludf.DUMMYFUNCTION("""COMPUTED_VALUE"""),"Xbox / PC")</f>
        <v>Xbox / PC</v>
      </c>
      <c r="C83" s="21" t="str">
        <f>IFERROR(__xludf.DUMMYFUNCTION("""COMPUTED_VALUE"""),"Yes")</f>
        <v>Yes</v>
      </c>
      <c r="D83" s="21" t="str">
        <f>IFERROR(__xludf.DUMMYFUNCTION("""COMPUTED_VALUE"""),"Active")</f>
        <v>Active</v>
      </c>
      <c r="E83" s="23">
        <f>IFERROR(__xludf.DUMMYFUNCTION("""COMPUTED_VALUE"""),43454.0)</f>
        <v>43454</v>
      </c>
      <c r="F83" s="24"/>
      <c r="G83" s="27">
        <f>IFERROR(__xludf.DUMMYFUNCTION("""COMPUTED_VALUE"""),93.53333333333333)</f>
        <v>93.53333333</v>
      </c>
      <c r="H83" s="23">
        <f>IFERROR(__xludf.DUMMYFUNCTION("""COMPUTED_VALUE"""),42074.0)</f>
        <v>42074</v>
      </c>
      <c r="I83" s="27">
        <f>IFERROR(__xludf.DUMMYFUNCTION("""COMPUTED_VALUE"""),3.775)</f>
        <v>3.775</v>
      </c>
      <c r="J83" s="29">
        <f>IFERROR(__xludf.DUMMYFUNCTION("""COMPUTED_VALUE"""),88.0)</f>
        <v>88</v>
      </c>
      <c r="K83" s="29">
        <f>IFERROR(__xludf.DUMMYFUNCTION("""COMPUTED_VALUE"""),8.5)</f>
        <v>8.5</v>
      </c>
      <c r="L83" s="31" t="str">
        <f>IFERROR(__xludf.DUMMYFUNCTION("""COMPUTED_VALUE"""),"Platformer")</f>
        <v>Platformer</v>
      </c>
    </row>
    <row r="84">
      <c r="A84" s="17" t="str">
        <f>IFERROR(__xludf.DUMMYFUNCTION("""COMPUTED_VALUE"""),"Hellblade: Senua's Sacrifice")</f>
        <v>Hellblade: Senua's Sacrifice</v>
      </c>
      <c r="B84" s="20" t="str">
        <f>IFERROR(__xludf.DUMMYFUNCTION("""COMPUTED_VALUE"""),"Xbox / PC")</f>
        <v>Xbox / PC</v>
      </c>
      <c r="C84" s="21" t="str">
        <f>IFERROR(__xludf.DUMMYFUNCTION("""COMPUTED_VALUE"""),"Touch Controls")</f>
        <v>Touch Controls</v>
      </c>
      <c r="D84" s="21" t="str">
        <f>IFERROR(__xludf.DUMMYFUNCTION("""COMPUTED_VALUE"""),"Active")</f>
        <v>Active</v>
      </c>
      <c r="E84" s="23">
        <f>IFERROR(__xludf.DUMMYFUNCTION("""COMPUTED_VALUE"""),43451.0)</f>
        <v>43451</v>
      </c>
      <c r="F84" s="24"/>
      <c r="G84" s="27">
        <f>IFERROR(__xludf.DUMMYFUNCTION("""COMPUTED_VALUE"""),93.63333333333334)</f>
        <v>93.63333333</v>
      </c>
      <c r="H84" s="23">
        <f>IFERROR(__xludf.DUMMYFUNCTION("""COMPUTED_VALUE"""),42955.0)</f>
        <v>42955</v>
      </c>
      <c r="I84" s="27">
        <f>IFERROR(__xludf.DUMMYFUNCTION("""COMPUTED_VALUE"""),1.3583333333333334)</f>
        <v>1.358333333</v>
      </c>
      <c r="J84" s="29">
        <f>IFERROR(__xludf.DUMMYFUNCTION("""COMPUTED_VALUE"""),88.0)</f>
        <v>88</v>
      </c>
      <c r="K84" s="29">
        <f>IFERROR(__xludf.DUMMYFUNCTION("""COMPUTED_VALUE"""),7.5)</f>
        <v>7.5</v>
      </c>
      <c r="L84" s="31" t="str">
        <f>IFERROR(__xludf.DUMMYFUNCTION("""COMPUTED_VALUE"""),"Action-Adventure")</f>
        <v>Action-Adventure</v>
      </c>
    </row>
    <row r="85">
      <c r="A85" s="17" t="str">
        <f>IFERROR(__xludf.DUMMYFUNCTION("""COMPUTED_VALUE"""),"Psychonauts")</f>
        <v>Psychonauts</v>
      </c>
      <c r="B85" s="20" t="str">
        <f>IFERROR(__xludf.DUMMYFUNCTION("""COMPUTED_VALUE"""),"Xbox / PC")</f>
        <v>Xbox / PC</v>
      </c>
      <c r="C85" s="21" t="str">
        <f>IFERROR(__xludf.DUMMYFUNCTION("""COMPUTED_VALUE"""),"Touch Controls")</f>
        <v>Touch Controls</v>
      </c>
      <c r="D85" s="21" t="str">
        <f>IFERROR(__xludf.DUMMYFUNCTION("""COMPUTED_VALUE"""),"Active")</f>
        <v>Active</v>
      </c>
      <c r="E85" s="23">
        <f>IFERROR(__xludf.DUMMYFUNCTION("""COMPUTED_VALUE"""),44329.0)</f>
        <v>44329</v>
      </c>
      <c r="F85" s="24"/>
      <c r="G85" s="27">
        <f>IFERROR(__xludf.DUMMYFUNCTION("""COMPUTED_VALUE"""),64.76666666666667)</f>
        <v>64.76666667</v>
      </c>
      <c r="H85" s="23">
        <f>IFERROR(__xludf.DUMMYFUNCTION("""COMPUTED_VALUE"""),38461.0)</f>
        <v>38461</v>
      </c>
      <c r="I85" s="27">
        <f>IFERROR(__xludf.DUMMYFUNCTION("""COMPUTED_VALUE"""),16.066666666666666)</f>
        <v>16.06666667</v>
      </c>
      <c r="J85" s="29">
        <f>IFERROR(__xludf.DUMMYFUNCTION("""COMPUTED_VALUE"""),87.5)</f>
        <v>87.5</v>
      </c>
      <c r="K85" s="29">
        <f>IFERROR(__xludf.DUMMYFUNCTION("""COMPUTED_VALUE"""),12.5)</f>
        <v>12.5</v>
      </c>
      <c r="L85" s="31" t="str">
        <f>IFERROR(__xludf.DUMMYFUNCTION("""COMPUTED_VALUE"""),"Platformer")</f>
        <v>Platformer</v>
      </c>
    </row>
    <row r="86">
      <c r="A86" s="17" t="str">
        <f>IFERROR(__xludf.DUMMYFUNCTION("""COMPUTED_VALUE"""),"Final Fantasy VI")</f>
        <v>Final Fantasy VI</v>
      </c>
      <c r="B86" s="20" t="str">
        <f>IFERROR(__xludf.DUMMYFUNCTION("""COMPUTED_VALUE"""),"Xbox / PC")</f>
        <v>Xbox / PC</v>
      </c>
      <c r="C86" s="21" t="str">
        <f>IFERROR(__xludf.DUMMYFUNCTION("""COMPUTED_VALUE"""),"Yes")</f>
        <v>Yes</v>
      </c>
      <c r="D86" s="21" t="str">
        <f>IFERROR(__xludf.DUMMYFUNCTION("""COMPUTED_VALUE"""),"Active")</f>
        <v>Active</v>
      </c>
      <c r="E86" s="23">
        <f>IFERROR(__xludf.DUMMYFUNCTION("""COMPUTED_VALUE"""),46175.0)</f>
        <v>46175</v>
      </c>
      <c r="F86" s="24"/>
      <c r="G86" s="27">
        <f>IFERROR(__xludf.DUMMYFUNCTION("""COMPUTED_VALUE"""),4.133333333333333)</f>
        <v>4.133333333</v>
      </c>
      <c r="H86" s="23">
        <f>IFERROR(__xludf.DUMMYFUNCTION("""COMPUTED_VALUE"""),45561.0)</f>
        <v>45561</v>
      </c>
      <c r="I86" s="27">
        <f>IFERROR(__xludf.DUMMYFUNCTION("""COMPUTED_VALUE"""),1.6833333333333333)</f>
        <v>1.683333333</v>
      </c>
      <c r="J86" s="29">
        <f>IFERROR(__xludf.DUMMYFUNCTION("""COMPUTED_VALUE"""),87.0)</f>
        <v>87</v>
      </c>
      <c r="K86" s="29">
        <f>IFERROR(__xludf.DUMMYFUNCTION("""COMPUTED_VALUE"""),36.0)</f>
        <v>36</v>
      </c>
      <c r="L86" s="31" t="str">
        <f>IFERROR(__xludf.DUMMYFUNCTION("""COMPUTED_VALUE"""),"RPG")</f>
        <v>RPG</v>
      </c>
    </row>
    <row r="87">
      <c r="A87" s="17" t="str">
        <f>IFERROR(__xludf.DUMMYFUNCTION("""COMPUTED_VALUE"""),"Absolum")</f>
        <v>Absolum</v>
      </c>
      <c r="B87" s="20" t="str">
        <f>IFERROR(__xludf.DUMMYFUNCTION("""COMPUTED_VALUE"""),"Xbox / PC")</f>
        <v>Xbox / PC</v>
      </c>
      <c r="C87" s="21" t="str">
        <f>IFERROR(__xludf.DUMMYFUNCTION("""COMPUTED_VALUE"""),"Yes")</f>
        <v>Yes</v>
      </c>
      <c r="D87" s="21" t="str">
        <f>IFERROR(__xludf.DUMMYFUNCTION("""COMPUTED_VALUE"""),"Active")</f>
        <v>Active</v>
      </c>
      <c r="E87" s="23">
        <f>IFERROR(__xludf.DUMMYFUNCTION("""COMPUTED_VALUE"""),46106.0)</f>
        <v>46106</v>
      </c>
      <c r="F87" s="24"/>
      <c r="G87" s="27">
        <f>IFERROR(__xludf.DUMMYFUNCTION("""COMPUTED_VALUE"""),6.366666666666667)</f>
        <v>6.366666667</v>
      </c>
      <c r="H87" s="23">
        <f>IFERROR(__xludf.DUMMYFUNCTION("""COMPUTED_VALUE"""),45939.0)</f>
        <v>45939</v>
      </c>
      <c r="I87" s="27">
        <f>IFERROR(__xludf.DUMMYFUNCTION("""COMPUTED_VALUE"""),0.46111111111111114)</f>
        <v>0.4611111111</v>
      </c>
      <c r="J87" s="29">
        <f>IFERROR(__xludf.DUMMYFUNCTION("""COMPUTED_VALUE"""),87.0)</f>
        <v>87</v>
      </c>
      <c r="K87" s="29">
        <f>IFERROR(__xludf.DUMMYFUNCTION("""COMPUTED_VALUE"""),9.0)</f>
        <v>9</v>
      </c>
      <c r="L87" s="31" t="str">
        <f>IFERROR(__xludf.DUMMYFUNCTION("""COMPUTED_VALUE"""),"Beat-’Em-Up")</f>
        <v>Beat-’Em-Up</v>
      </c>
    </row>
    <row r="88">
      <c r="A88" s="17" t="str">
        <f>IFERROR(__xludf.DUMMYFUNCTION("""COMPUTED_VALUE"""),"Minishoot' Adventures")</f>
        <v>Minishoot' Adventures</v>
      </c>
      <c r="B88" s="20" t="str">
        <f>IFERROR(__xludf.DUMMYFUNCTION("""COMPUTED_VALUE"""),"Xbox / PC")</f>
        <v>Xbox / PC</v>
      </c>
      <c r="C88" s="21" t="str">
        <f>IFERROR(__xludf.DUMMYFUNCTION("""COMPUTED_VALUE"""),"Yes")</f>
        <v>Yes</v>
      </c>
      <c r="D88" s="21" t="str">
        <f>IFERROR(__xludf.DUMMYFUNCTION("""COMPUTED_VALUE"""),"Active")</f>
        <v>Active</v>
      </c>
      <c r="E88" s="23">
        <f>IFERROR(__xludf.DUMMYFUNCTION("""COMPUTED_VALUE"""),46084.0)</f>
        <v>46084</v>
      </c>
      <c r="F88" s="24"/>
      <c r="G88" s="27">
        <f>IFERROR(__xludf.DUMMYFUNCTION("""COMPUTED_VALUE"""),7.1)</f>
        <v>7.1</v>
      </c>
      <c r="H88" s="23">
        <f>IFERROR(__xludf.DUMMYFUNCTION("""COMPUTED_VALUE"""),45384.0)</f>
        <v>45384</v>
      </c>
      <c r="I88" s="27">
        <f>IFERROR(__xludf.DUMMYFUNCTION("""COMPUTED_VALUE"""),1.9194444444444445)</f>
        <v>1.919444444</v>
      </c>
      <c r="J88" s="29">
        <f>IFERROR(__xludf.DUMMYFUNCTION("""COMPUTED_VALUE"""),87.0)</f>
        <v>87</v>
      </c>
      <c r="K88" s="29">
        <f>IFERROR(__xludf.DUMMYFUNCTION("""COMPUTED_VALUE"""),8.0)</f>
        <v>8</v>
      </c>
      <c r="L88" s="31" t="str">
        <f>IFERROR(__xludf.DUMMYFUNCTION("""COMPUTED_VALUE"""),"Strategy")</f>
        <v>Strategy</v>
      </c>
    </row>
    <row r="89">
      <c r="A89" s="17" t="str">
        <f>IFERROR(__xludf.DUMMYFUNCTION("""COMPUTED_VALUE"""),"MechWarrior 2: 31st Century Combat")</f>
        <v>MechWarrior 2: 31st Century Combat</v>
      </c>
      <c r="B89" s="20" t="str">
        <f>IFERROR(__xludf.DUMMYFUNCTION("""COMPUTED_VALUE"""),"Xbox / PC")</f>
        <v>Xbox / PC</v>
      </c>
      <c r="C89" s="21" t="str">
        <f>IFERROR(__xludf.DUMMYFUNCTION("""COMPUTED_VALUE"""),"Yes")</f>
        <v>Yes</v>
      </c>
      <c r="D89" s="21" t="str">
        <f>IFERROR(__xludf.DUMMYFUNCTION("""COMPUTED_VALUE"""),"Active")</f>
        <v>Active</v>
      </c>
      <c r="E89" s="23">
        <f>IFERROR(__xludf.DUMMYFUNCTION("""COMPUTED_VALUE"""),45798.0)</f>
        <v>45798</v>
      </c>
      <c r="F89" s="24"/>
      <c r="G89" s="27">
        <f>IFERROR(__xludf.DUMMYFUNCTION("""COMPUTED_VALUE"""),16.5)</f>
        <v>16.5</v>
      </c>
      <c r="H89" s="23">
        <f>IFERROR(__xludf.DUMMYFUNCTION("""COMPUTED_VALUE"""),34904.0)</f>
        <v>34904</v>
      </c>
      <c r="I89" s="27">
        <f>IFERROR(__xludf.DUMMYFUNCTION("""COMPUTED_VALUE"""),29.825)</f>
        <v>29.825</v>
      </c>
      <c r="J89" s="29">
        <f>IFERROR(__xludf.DUMMYFUNCTION("""COMPUTED_VALUE"""),87.0)</f>
        <v>87</v>
      </c>
      <c r="K89" s="29">
        <f>IFERROR(__xludf.DUMMYFUNCTION("""COMPUTED_VALUE"""),20.0)</f>
        <v>20</v>
      </c>
      <c r="L89" s="31" t="str">
        <f>IFERROR(__xludf.DUMMYFUNCTION("""COMPUTED_VALUE"""),"Shooter")</f>
        <v>Shooter</v>
      </c>
    </row>
    <row r="90">
      <c r="A90" s="17" t="str">
        <f>IFERROR(__xludf.DUMMYFUNCTION("""COMPUTED_VALUE"""),"Pentiment")</f>
        <v>Pentiment</v>
      </c>
      <c r="B90" s="20" t="str">
        <f>IFERROR(__xludf.DUMMYFUNCTION("""COMPUTED_VALUE"""),"Xbox / PC")</f>
        <v>Xbox / PC</v>
      </c>
      <c r="C90" s="21" t="str">
        <f>IFERROR(__xludf.DUMMYFUNCTION("""COMPUTED_VALUE"""),"Touch Controls, M+KB")</f>
        <v>Touch Controls, M+KB</v>
      </c>
      <c r="D90" s="21" t="str">
        <f>IFERROR(__xludf.DUMMYFUNCTION("""COMPUTED_VALUE"""),"Active")</f>
        <v>Active</v>
      </c>
      <c r="E90" s="23">
        <f>IFERROR(__xludf.DUMMYFUNCTION("""COMPUTED_VALUE"""),44880.0)</f>
        <v>44880</v>
      </c>
      <c r="F90" s="24"/>
      <c r="G90" s="27">
        <f>IFERROR(__xludf.DUMMYFUNCTION("""COMPUTED_VALUE"""),46.7)</f>
        <v>46.7</v>
      </c>
      <c r="H90" s="23">
        <f>IFERROR(__xludf.DUMMYFUNCTION("""COMPUTED_VALUE"""),44880.0)</f>
        <v>44880</v>
      </c>
      <c r="I90" s="27">
        <f>IFERROR(__xludf.DUMMYFUNCTION("""COMPUTED_VALUE"""),0.0)</f>
        <v>0</v>
      </c>
      <c r="J90" s="29">
        <f>IFERROR(__xludf.DUMMYFUNCTION("""COMPUTED_VALUE"""),87.0)</f>
        <v>87</v>
      </c>
      <c r="K90" s="29">
        <f>IFERROR(__xludf.DUMMYFUNCTION("""COMPUTED_VALUE"""),18.5)</f>
        <v>18.5</v>
      </c>
      <c r="L90" s="31" t="str">
        <f>IFERROR(__xludf.DUMMYFUNCTION("""COMPUTED_VALUE"""),"Adventure")</f>
        <v>Adventure</v>
      </c>
    </row>
    <row r="91">
      <c r="A91" s="17" t="str">
        <f>IFERROR(__xludf.DUMMYFUNCTION("""COMPUTED_VALUE"""),"Assassin's Creed Odyssey")</f>
        <v>Assassin's Creed Odyssey</v>
      </c>
      <c r="B91" s="20" t="str">
        <f>IFERROR(__xludf.DUMMYFUNCTION("""COMPUTED_VALUE"""),"Xbox / PC")</f>
        <v>Xbox / PC</v>
      </c>
      <c r="C91" s="21" t="str">
        <f>IFERROR(__xludf.DUMMYFUNCTION("""COMPUTED_VALUE"""),"Touch Controls")</f>
        <v>Touch Controls</v>
      </c>
      <c r="D91" s="21" t="str">
        <f>IFERROR(__xludf.DUMMYFUNCTION("""COMPUTED_VALUE"""),"Active")</f>
        <v>Active</v>
      </c>
      <c r="E91" s="23">
        <f>IFERROR(__xludf.DUMMYFUNCTION("""COMPUTED_VALUE"""),44819.0)</f>
        <v>44819</v>
      </c>
      <c r="F91" s="24"/>
      <c r="G91" s="27">
        <f>IFERROR(__xludf.DUMMYFUNCTION("""COMPUTED_VALUE"""),48.7)</f>
        <v>48.7</v>
      </c>
      <c r="H91" s="23">
        <f>IFERROR(__xludf.DUMMYFUNCTION("""COMPUTED_VALUE"""),43375.0)</f>
        <v>43375</v>
      </c>
      <c r="I91" s="27">
        <f>IFERROR(__xludf.DUMMYFUNCTION("""COMPUTED_VALUE"""),3.952777777777778)</f>
        <v>3.952777778</v>
      </c>
      <c r="J91" s="29">
        <f>IFERROR(__xludf.DUMMYFUNCTION("""COMPUTED_VALUE"""),87.0)</f>
        <v>87</v>
      </c>
      <c r="K91" s="29">
        <f>IFERROR(__xludf.DUMMYFUNCTION("""COMPUTED_VALUE"""),44.5)</f>
        <v>44.5</v>
      </c>
      <c r="L91" s="31" t="str">
        <f>IFERROR(__xludf.DUMMYFUNCTION("""COMPUTED_VALUE"""),"RPG")</f>
        <v>RPG</v>
      </c>
    </row>
    <row r="92">
      <c r="A92" s="17" t="str">
        <f>IFERROR(__xludf.DUMMYFUNCTION("""COMPUTED_VALUE"""),"Vampire Survivors")</f>
        <v>Vampire Survivors</v>
      </c>
      <c r="B92" s="20" t="str">
        <f>IFERROR(__xludf.DUMMYFUNCTION("""COMPUTED_VALUE"""),"Xbox / PC")</f>
        <v>Xbox / PC</v>
      </c>
      <c r="C92" s="21" t="str">
        <f>IFERROR(__xludf.DUMMYFUNCTION("""COMPUTED_VALUE"""),"Yes")</f>
        <v>Yes</v>
      </c>
      <c r="D92" s="21" t="str">
        <f>IFERROR(__xludf.DUMMYFUNCTION("""COMPUTED_VALUE"""),"Active")</f>
        <v>Active</v>
      </c>
      <c r="E92" s="23">
        <f>IFERROR(__xludf.DUMMYFUNCTION("""COMPUTED_VALUE"""),44700.0)</f>
        <v>44700</v>
      </c>
      <c r="F92" s="24"/>
      <c r="G92" s="27">
        <f>IFERROR(__xludf.DUMMYFUNCTION("""COMPUTED_VALUE"""),52.56666666666666)</f>
        <v>52.56666667</v>
      </c>
      <c r="H92" s="23">
        <f>IFERROR(__xludf.DUMMYFUNCTION("""COMPUTED_VALUE"""),44547.0)</f>
        <v>44547</v>
      </c>
      <c r="I92" s="27">
        <f>IFERROR(__xludf.DUMMYFUNCTION("""COMPUTED_VALUE"""),0.4222222222222222)</f>
        <v>0.4222222222</v>
      </c>
      <c r="J92" s="29">
        <f>IFERROR(__xludf.DUMMYFUNCTION("""COMPUTED_VALUE"""),87.0)</f>
        <v>87</v>
      </c>
      <c r="K92" s="29">
        <f>IFERROR(__xludf.DUMMYFUNCTION("""COMPUTED_VALUE"""),4.5)</f>
        <v>4.5</v>
      </c>
      <c r="L92" s="31" t="str">
        <f>IFERROR(__xludf.DUMMYFUNCTION("""COMPUTED_VALUE"""),"Action")</f>
        <v>Action</v>
      </c>
    </row>
    <row r="93">
      <c r="A93" s="17" t="str">
        <f>IFERROR(__xludf.DUMMYFUNCTION("""COMPUTED_VALUE"""),"Halo 4")</f>
        <v>Halo 4</v>
      </c>
      <c r="B93" s="20" t="str">
        <f>IFERROR(__xludf.DUMMYFUNCTION("""COMPUTED_VALUE"""),"Xbox / PC")</f>
        <v>Xbox / PC</v>
      </c>
      <c r="C93" s="21"/>
      <c r="D93" s="21" t="str">
        <f>IFERROR(__xludf.DUMMYFUNCTION("""COMPUTED_VALUE"""),"Active")</f>
        <v>Active</v>
      </c>
      <c r="E93" s="23">
        <f>IFERROR(__xludf.DUMMYFUNCTION("""COMPUTED_VALUE"""),44152.0)</f>
        <v>44152</v>
      </c>
      <c r="F93" s="24"/>
      <c r="G93" s="27">
        <f>IFERROR(__xludf.DUMMYFUNCTION("""COMPUTED_VALUE"""),70.63333333333333)</f>
        <v>70.63333333</v>
      </c>
      <c r="H93" s="23">
        <f>IFERROR(__xludf.DUMMYFUNCTION("""COMPUTED_VALUE"""),41218.0)</f>
        <v>41218</v>
      </c>
      <c r="I93" s="27">
        <f>IFERROR(__xludf.DUMMYFUNCTION("""COMPUTED_VALUE"""),8.033333333333333)</f>
        <v>8.033333333</v>
      </c>
      <c r="J93" s="29">
        <f>IFERROR(__xludf.DUMMYFUNCTION("""COMPUTED_VALUE"""),87.0)</f>
        <v>87</v>
      </c>
      <c r="K93" s="29">
        <f>IFERROR(__xludf.DUMMYFUNCTION("""COMPUTED_VALUE"""),8.0)</f>
        <v>8</v>
      </c>
      <c r="L93" s="31" t="str">
        <f>IFERROR(__xludf.DUMMYFUNCTION("""COMPUTED_VALUE"""),"Shooter")</f>
        <v>Shooter</v>
      </c>
    </row>
    <row r="94">
      <c r="A94" s="17" t="str">
        <f>IFERROR(__xludf.DUMMYFUNCTION("""COMPUTED_VALUE"""),"Battlefield 1: Revolution")</f>
        <v>Battlefield 1: Revolution</v>
      </c>
      <c r="B94" s="20" t="str">
        <f>IFERROR(__xludf.DUMMYFUNCTION("""COMPUTED_VALUE"""),"Xbox / PC")</f>
        <v>Xbox / PC</v>
      </c>
      <c r="C94" s="21" t="str">
        <f>IFERROR(__xludf.DUMMYFUNCTION("""COMPUTED_VALUE"""),"Yes")</f>
        <v>Yes</v>
      </c>
      <c r="D94" s="21" t="str">
        <f>IFERROR(__xludf.DUMMYFUNCTION("""COMPUTED_VALUE"""),"Active")</f>
        <v>Active</v>
      </c>
      <c r="E94" s="23">
        <f>IFERROR(__xludf.DUMMYFUNCTION("""COMPUTED_VALUE"""),44145.0)</f>
        <v>44145</v>
      </c>
      <c r="F94" s="24"/>
      <c r="G94" s="27">
        <f>IFERROR(__xludf.DUMMYFUNCTION("""COMPUTED_VALUE"""),70.86666666666667)</f>
        <v>70.86666667</v>
      </c>
      <c r="H94" s="23">
        <f>IFERROR(__xludf.DUMMYFUNCTION("""COMPUTED_VALUE"""),42664.0)</f>
        <v>42664</v>
      </c>
      <c r="I94" s="27">
        <f>IFERROR(__xludf.DUMMYFUNCTION("""COMPUTED_VALUE"""),4.052777777777778)</f>
        <v>4.052777778</v>
      </c>
      <c r="J94" s="29">
        <f>IFERROR(__xludf.DUMMYFUNCTION("""COMPUTED_VALUE"""),87.0)</f>
        <v>87</v>
      </c>
      <c r="K94" s="29">
        <f>IFERROR(__xludf.DUMMYFUNCTION("""COMPUTED_VALUE"""),6.5)</f>
        <v>6.5</v>
      </c>
      <c r="L94" s="31" t="str">
        <f>IFERROR(__xludf.DUMMYFUNCTION("""COMPUTED_VALUE"""),"Shooter")</f>
        <v>Shooter</v>
      </c>
    </row>
    <row r="95">
      <c r="A95" s="17" t="str">
        <f>IFERROR(__xludf.DUMMYFUNCTION("""COMPUTED_VALUE"""),"Titanfall 2: Ultimate Edition")</f>
        <v>Titanfall 2: Ultimate Edition</v>
      </c>
      <c r="B95" s="20" t="str">
        <f>IFERROR(__xludf.DUMMYFUNCTION("""COMPUTED_VALUE"""),"Xbox / PC")</f>
        <v>Xbox / PC</v>
      </c>
      <c r="C95" s="21"/>
      <c r="D95" s="21" t="str">
        <f>IFERROR(__xludf.DUMMYFUNCTION("""COMPUTED_VALUE"""),"Active")</f>
        <v>Active</v>
      </c>
      <c r="E95" s="23">
        <f>IFERROR(__xludf.DUMMYFUNCTION("""COMPUTED_VALUE"""),44145.0)</f>
        <v>44145</v>
      </c>
      <c r="F95" s="24"/>
      <c r="G95" s="27">
        <f>IFERROR(__xludf.DUMMYFUNCTION("""COMPUTED_VALUE"""),70.86666666666667)</f>
        <v>70.86666667</v>
      </c>
      <c r="H95" s="23">
        <f>IFERROR(__xludf.DUMMYFUNCTION("""COMPUTED_VALUE"""),42671.0)</f>
        <v>42671</v>
      </c>
      <c r="I95" s="27">
        <f>IFERROR(__xludf.DUMMYFUNCTION("""COMPUTED_VALUE"""),4.033333333333333)</f>
        <v>4.033333333</v>
      </c>
      <c r="J95" s="29">
        <f>IFERROR(__xludf.DUMMYFUNCTION("""COMPUTED_VALUE"""),87.0)</f>
        <v>87</v>
      </c>
      <c r="K95" s="29">
        <f>IFERROR(__xludf.DUMMYFUNCTION("""COMPUTED_VALUE"""),6.0)</f>
        <v>6</v>
      </c>
      <c r="L95" s="31" t="str">
        <f>IFERROR(__xludf.DUMMYFUNCTION("""COMPUTED_VALUE"""),"Shooter")</f>
        <v>Shooter</v>
      </c>
    </row>
    <row r="96">
      <c r="A96" s="17" t="str">
        <f>IFERROR(__xludf.DUMMYFUNCTION("""COMPUTED_VALUE"""),"Mixtape")</f>
        <v>Mixtape</v>
      </c>
      <c r="B96" s="20" t="str">
        <f>IFERROR(__xludf.DUMMYFUNCTION("""COMPUTED_VALUE"""),"Xbox / PC")</f>
        <v>Xbox / PC</v>
      </c>
      <c r="C96" s="21" t="str">
        <f>IFERROR(__xludf.DUMMYFUNCTION("""COMPUTED_VALUE"""),"Yes")</f>
        <v>Yes</v>
      </c>
      <c r="D96" s="21" t="str">
        <f>IFERROR(__xludf.DUMMYFUNCTION("""COMPUTED_VALUE"""),"Active")</f>
        <v>Active</v>
      </c>
      <c r="E96" s="23">
        <f>IFERROR(__xludf.DUMMYFUNCTION("""COMPUTED_VALUE"""),46149.0)</f>
        <v>46149</v>
      </c>
      <c r="F96" s="24"/>
      <c r="G96" s="27">
        <f>IFERROR(__xludf.DUMMYFUNCTION("""COMPUTED_VALUE"""),4.966666666666667)</f>
        <v>4.966666667</v>
      </c>
      <c r="H96" s="23">
        <f>IFERROR(__xludf.DUMMYFUNCTION("""COMPUTED_VALUE"""),46148.0)</f>
        <v>46148</v>
      </c>
      <c r="I96" s="27">
        <f>IFERROR(__xludf.DUMMYFUNCTION("""COMPUTED_VALUE"""),0.002777777777777778)</f>
        <v>0.002777777778</v>
      </c>
      <c r="J96" s="29">
        <f>IFERROR(__xludf.DUMMYFUNCTION("""COMPUTED_VALUE"""),86.0)</f>
        <v>86</v>
      </c>
      <c r="K96" s="29">
        <f>IFERROR(__xludf.DUMMYFUNCTION("""COMPUTED_VALUE"""),3.0)</f>
        <v>3</v>
      </c>
      <c r="L96" s="31" t="str">
        <f>IFERROR(__xludf.DUMMYFUNCTION("""COMPUTED_VALUE"""),"Adventure")</f>
        <v>Adventure</v>
      </c>
    </row>
    <row r="97">
      <c r="A97" s="17" t="str">
        <f>IFERROR(__xludf.DUMMYFUNCTION("""COMPUTED_VALUE"""),"Resident Evil 7: Biohazard")</f>
        <v>Resident Evil 7: Biohazard</v>
      </c>
      <c r="B97" s="20" t="str">
        <f>IFERROR(__xludf.DUMMYFUNCTION("""COMPUTED_VALUE"""),"Xbox / PC")</f>
        <v>Xbox / PC</v>
      </c>
      <c r="C97" s="21" t="str">
        <f>IFERROR(__xludf.DUMMYFUNCTION("""COMPUTED_VALUE"""),"Yes")</f>
        <v>Yes</v>
      </c>
      <c r="D97" s="21" t="str">
        <f>IFERROR(__xludf.DUMMYFUNCTION("""COMPUTED_VALUE"""),"Active")</f>
        <v>Active</v>
      </c>
      <c r="E97" s="23">
        <f>IFERROR(__xludf.DUMMYFUNCTION("""COMPUTED_VALUE"""),46112.0)</f>
        <v>46112</v>
      </c>
      <c r="F97" s="24"/>
      <c r="G97" s="27">
        <f>IFERROR(__xludf.DUMMYFUNCTION("""COMPUTED_VALUE"""),6.200000000000001)</f>
        <v>6.2</v>
      </c>
      <c r="H97" s="23">
        <f>IFERROR(__xludf.DUMMYFUNCTION("""COMPUTED_VALUE"""),42759.0)</f>
        <v>42759</v>
      </c>
      <c r="I97" s="27">
        <f>IFERROR(__xludf.DUMMYFUNCTION("""COMPUTED_VALUE"""),9.183333333333334)</f>
        <v>9.183333333</v>
      </c>
      <c r="J97" s="29">
        <f>IFERROR(__xludf.DUMMYFUNCTION("""COMPUTED_VALUE"""),86.0)</f>
        <v>86</v>
      </c>
      <c r="K97" s="29">
        <f>IFERROR(__xludf.DUMMYFUNCTION("""COMPUTED_VALUE"""),9.0)</f>
        <v>9</v>
      </c>
      <c r="L97" s="31" t="str">
        <f>IFERROR(__xludf.DUMMYFUNCTION("""COMPUTED_VALUE"""),"Action-Adventure")</f>
        <v>Action-Adventure</v>
      </c>
    </row>
    <row r="98">
      <c r="A98" s="17" t="str">
        <f>IFERROR(__xludf.DUMMYFUNCTION("""COMPUTED_VALUE"""),"1000xResist")</f>
        <v>1000xResist</v>
      </c>
      <c r="B98" s="20" t="str">
        <f>IFERROR(__xludf.DUMMYFUNCTION("""COMPUTED_VALUE"""),"Xbox / PC")</f>
        <v>Xbox / PC</v>
      </c>
      <c r="C98" s="21" t="str">
        <f>IFERROR(__xludf.DUMMYFUNCTION("""COMPUTED_VALUE"""),"Yes")</f>
        <v>Yes</v>
      </c>
      <c r="D98" s="21" t="str">
        <f>IFERROR(__xludf.DUMMYFUNCTION("""COMPUTED_VALUE"""),"Active")</f>
        <v>Active</v>
      </c>
      <c r="E98" s="23">
        <f>IFERROR(__xludf.DUMMYFUNCTION("""COMPUTED_VALUE"""),45965.0)</f>
        <v>45965</v>
      </c>
      <c r="F98" s="24"/>
      <c r="G98" s="27">
        <f>IFERROR(__xludf.DUMMYFUNCTION("""COMPUTED_VALUE"""),11.066666666666666)</f>
        <v>11.06666667</v>
      </c>
      <c r="H98" s="23">
        <f>IFERROR(__xludf.DUMMYFUNCTION("""COMPUTED_VALUE"""),45786.0)</f>
        <v>45786</v>
      </c>
      <c r="I98" s="27">
        <f>IFERROR(__xludf.DUMMYFUNCTION("""COMPUTED_VALUE"""),0.4861111111111111)</f>
        <v>0.4861111111</v>
      </c>
      <c r="J98" s="29">
        <f>IFERROR(__xludf.DUMMYFUNCTION("""COMPUTED_VALUE"""),86.0)</f>
        <v>86</v>
      </c>
      <c r="K98" s="29">
        <f>IFERROR(__xludf.DUMMYFUNCTION("""COMPUTED_VALUE"""),11.0)</f>
        <v>11</v>
      </c>
      <c r="L98" s="31" t="str">
        <f>IFERROR(__xludf.DUMMYFUNCTION("""COMPUTED_VALUE"""),"Action-Adventure")</f>
        <v>Action-Adventure</v>
      </c>
    </row>
    <row r="99">
      <c r="A99" s="17" t="str">
        <f>IFERROR(__xludf.DUMMYFUNCTION("""COMPUTED_VALUE"""),"Prince of Persia: The Lost Crown")</f>
        <v>Prince of Persia: The Lost Crown</v>
      </c>
      <c r="B99" s="20" t="str">
        <f>IFERROR(__xludf.DUMMYFUNCTION("""COMPUTED_VALUE"""),"Xbox / PC")</f>
        <v>Xbox / PC</v>
      </c>
      <c r="C99" s="21" t="str">
        <f>IFERROR(__xludf.DUMMYFUNCTION("""COMPUTED_VALUE"""),"Yes")</f>
        <v>Yes</v>
      </c>
      <c r="D99" s="21" t="str">
        <f>IFERROR(__xludf.DUMMYFUNCTION("""COMPUTED_VALUE"""),"Active")</f>
        <v>Active</v>
      </c>
      <c r="E99" s="23">
        <f>IFERROR(__xludf.DUMMYFUNCTION("""COMPUTED_VALUE"""),45931.0)</f>
        <v>45931</v>
      </c>
      <c r="F99" s="24"/>
      <c r="G99" s="27">
        <f>IFERROR(__xludf.DUMMYFUNCTION("""COMPUTED_VALUE"""),12.166666666666666)</f>
        <v>12.16666667</v>
      </c>
      <c r="H99" s="23">
        <f>IFERROR(__xludf.DUMMYFUNCTION("""COMPUTED_VALUE"""),45309.0)</f>
        <v>45309</v>
      </c>
      <c r="I99" s="27">
        <f>IFERROR(__xludf.DUMMYFUNCTION("""COMPUTED_VALUE"""),1.7027777777777777)</f>
        <v>1.702777778</v>
      </c>
      <c r="J99" s="29">
        <f>IFERROR(__xludf.DUMMYFUNCTION("""COMPUTED_VALUE"""),86.0)</f>
        <v>86</v>
      </c>
      <c r="K99" s="29">
        <f>IFERROR(__xludf.DUMMYFUNCTION("""COMPUTED_VALUE"""),17.0)</f>
        <v>17</v>
      </c>
      <c r="L99" s="31" t="str">
        <f>IFERROR(__xludf.DUMMYFUNCTION("""COMPUTED_VALUE"""),"Metroidvania")</f>
        <v>Metroidvania</v>
      </c>
    </row>
    <row r="100">
      <c r="A100" s="17" t="str">
        <f>IFERROR(__xludf.DUMMYFUNCTION("""COMPUTED_VALUE"""),"Zork I: The Great Underground")</f>
        <v>Zork I: The Great Underground</v>
      </c>
      <c r="B100" s="20" t="str">
        <f>IFERROR(__xludf.DUMMYFUNCTION("""COMPUTED_VALUE"""),"Xbox / PC")</f>
        <v>Xbox / PC</v>
      </c>
      <c r="C100" s="21" t="str">
        <f>IFERROR(__xludf.DUMMYFUNCTION("""COMPUTED_VALUE"""),"Yes")</f>
        <v>Yes</v>
      </c>
      <c r="D100" s="21" t="str">
        <f>IFERROR(__xludf.DUMMYFUNCTION("""COMPUTED_VALUE"""),"Active")</f>
        <v>Active</v>
      </c>
      <c r="E100" s="23">
        <f>IFERROR(__xludf.DUMMYFUNCTION("""COMPUTED_VALUE"""),45798.0)</f>
        <v>45798</v>
      </c>
      <c r="F100" s="24"/>
      <c r="G100" s="27">
        <f>IFERROR(__xludf.DUMMYFUNCTION("""COMPUTED_VALUE"""),16.5)</f>
        <v>16.5</v>
      </c>
      <c r="H100" s="23">
        <f>IFERROR(__xludf.DUMMYFUNCTION("""COMPUTED_VALUE"""),29342.0)</f>
        <v>29342</v>
      </c>
      <c r="I100" s="27">
        <f>IFERROR(__xludf.DUMMYFUNCTION("""COMPUTED_VALUE"""),45.05555555555556)</f>
        <v>45.05555556</v>
      </c>
      <c r="J100" s="29">
        <f>IFERROR(__xludf.DUMMYFUNCTION("""COMPUTED_VALUE"""),86.0)</f>
        <v>86</v>
      </c>
      <c r="K100" s="29">
        <f>IFERROR(__xludf.DUMMYFUNCTION("""COMPUTED_VALUE"""),4.0)</f>
        <v>4</v>
      </c>
      <c r="L100" s="31" t="str">
        <f>IFERROR(__xludf.DUMMYFUNCTION("""COMPUTED_VALUE"""),"Action‑Adventure")</f>
        <v>Action‑Adventure</v>
      </c>
    </row>
    <row r="101">
      <c r="A101" s="17" t="str">
        <f>IFERROR(__xludf.DUMMYFUNCTION("""COMPUTED_VALUE"""),"Warhammer 40,000: Rogue Trader")</f>
        <v>Warhammer 40,000: Rogue Trader</v>
      </c>
      <c r="B101" s="20" t="str">
        <f>IFERROR(__xludf.DUMMYFUNCTION("""COMPUTED_VALUE"""),"Xbox / PC")</f>
        <v>Xbox / PC</v>
      </c>
      <c r="C101" s="21" t="str">
        <f>IFERROR(__xludf.DUMMYFUNCTION("""COMPUTED_VALUE"""),"Yes")</f>
        <v>Yes</v>
      </c>
      <c r="D101" s="21" t="str">
        <f>IFERROR(__xludf.DUMMYFUNCTION("""COMPUTED_VALUE"""),"Active")</f>
        <v>Active</v>
      </c>
      <c r="E101" s="23">
        <f>IFERROR(__xludf.DUMMYFUNCTION("""COMPUTED_VALUE"""),45708.0)</f>
        <v>45708</v>
      </c>
      <c r="F101" s="24"/>
      <c r="G101" s="27">
        <f>IFERROR(__xludf.DUMMYFUNCTION("""COMPUTED_VALUE"""),19.53333333333333)</f>
        <v>19.53333333</v>
      </c>
      <c r="H101" s="23">
        <f>IFERROR(__xludf.DUMMYFUNCTION("""COMPUTED_VALUE"""),45559.0)</f>
        <v>45559</v>
      </c>
      <c r="I101" s="27">
        <f>IFERROR(__xludf.DUMMYFUNCTION("""COMPUTED_VALUE"""),0.40555555555555556)</f>
        <v>0.4055555556</v>
      </c>
      <c r="J101" s="29">
        <f>IFERROR(__xludf.DUMMYFUNCTION("""COMPUTED_VALUE"""),86.0)</f>
        <v>86</v>
      </c>
      <c r="K101" s="29">
        <f>IFERROR(__xludf.DUMMYFUNCTION("""COMPUTED_VALUE"""),65.0)</f>
        <v>65</v>
      </c>
      <c r="L101" s="31" t="str">
        <f>IFERROR(__xludf.DUMMYFUNCTION("""COMPUTED_VALUE"""),"RPG")</f>
        <v>RPG</v>
      </c>
    </row>
    <row r="102">
      <c r="A102" s="17" t="str">
        <f>IFERROR(__xludf.DUMMYFUNCTION("""COMPUTED_VALUE"""),"Indiana Jones and the Great Circle")</f>
        <v>Indiana Jones and the Great Circle</v>
      </c>
      <c r="B102" s="20" t="str">
        <f>IFERROR(__xludf.DUMMYFUNCTION("""COMPUTED_VALUE"""),"Xbox / PC")</f>
        <v>Xbox / PC</v>
      </c>
      <c r="C102" s="21" t="str">
        <f>IFERROR(__xludf.DUMMYFUNCTION("""COMPUTED_VALUE"""),"Yes")</f>
        <v>Yes</v>
      </c>
      <c r="D102" s="21" t="str">
        <f>IFERROR(__xludf.DUMMYFUNCTION("""COMPUTED_VALUE"""),"Active")</f>
        <v>Active</v>
      </c>
      <c r="E102" s="23">
        <f>IFERROR(__xludf.DUMMYFUNCTION("""COMPUTED_VALUE"""),45635.0)</f>
        <v>45635</v>
      </c>
      <c r="F102" s="24"/>
      <c r="G102" s="27">
        <f>IFERROR(__xludf.DUMMYFUNCTION("""COMPUTED_VALUE"""),21.9)</f>
        <v>21.9</v>
      </c>
      <c r="H102" s="23">
        <f>IFERROR(__xludf.DUMMYFUNCTION("""COMPUTED_VALUE"""),45635.0)</f>
        <v>45635</v>
      </c>
      <c r="I102" s="27">
        <f>IFERROR(__xludf.DUMMYFUNCTION("""COMPUTED_VALUE"""),0.0)</f>
        <v>0</v>
      </c>
      <c r="J102" s="29">
        <f>IFERROR(__xludf.DUMMYFUNCTION("""COMPUTED_VALUE"""),86.0)</f>
        <v>86</v>
      </c>
      <c r="K102" s="29">
        <f>IFERROR(__xludf.DUMMYFUNCTION("""COMPUTED_VALUE"""),15.0)</f>
        <v>15</v>
      </c>
      <c r="L102" s="31" t="str">
        <f>IFERROR(__xludf.DUMMYFUNCTION("""COMPUTED_VALUE"""),"Action-Adventure")</f>
        <v>Action-Adventure</v>
      </c>
    </row>
    <row r="103">
      <c r="A103" s="17" t="str">
        <f>IFERROR(__xludf.DUMMYFUNCTION("""COMPUTED_VALUE"""),"Diablo IV")</f>
        <v>Diablo IV</v>
      </c>
      <c r="B103" s="20" t="str">
        <f>IFERROR(__xludf.DUMMYFUNCTION("""COMPUTED_VALUE"""),"Xbox / PC")</f>
        <v>Xbox / PC</v>
      </c>
      <c r="C103" s="21"/>
      <c r="D103" s="21" t="str">
        <f>IFERROR(__xludf.DUMMYFUNCTION("""COMPUTED_VALUE"""),"Active")</f>
        <v>Active</v>
      </c>
      <c r="E103" s="23">
        <f>IFERROR(__xludf.DUMMYFUNCTION("""COMPUTED_VALUE"""),45379.0)</f>
        <v>45379</v>
      </c>
      <c r="F103" s="24"/>
      <c r="G103" s="27">
        <f>IFERROR(__xludf.DUMMYFUNCTION("""COMPUTED_VALUE"""),30.266666666666666)</f>
        <v>30.26666667</v>
      </c>
      <c r="H103" s="23">
        <f>IFERROR(__xludf.DUMMYFUNCTION("""COMPUTED_VALUE"""),45078.0)</f>
        <v>45078</v>
      </c>
      <c r="I103" s="27">
        <f>IFERROR(__xludf.DUMMYFUNCTION("""COMPUTED_VALUE"""),0.825)</f>
        <v>0.825</v>
      </c>
      <c r="J103" s="29">
        <f>IFERROR(__xludf.DUMMYFUNCTION("""COMPUTED_VALUE"""),86.0)</f>
        <v>86</v>
      </c>
      <c r="K103" s="29">
        <f>IFERROR(__xludf.DUMMYFUNCTION("""COMPUTED_VALUE"""),27.0)</f>
        <v>27</v>
      </c>
      <c r="L103" s="31" t="str">
        <f>IFERROR(__xludf.DUMMYFUNCTION("""COMPUTED_VALUE"""),"RPG")</f>
        <v>RPG</v>
      </c>
    </row>
    <row r="104">
      <c r="A104" s="17" t="str">
        <f>IFERROR(__xludf.DUMMYFUNCTION("""COMPUTED_VALUE"""),"Fallout 2")</f>
        <v>Fallout 2</v>
      </c>
      <c r="B104" s="20" t="str">
        <f>IFERROR(__xludf.DUMMYFUNCTION("""COMPUTED_VALUE"""),"PC")</f>
        <v>PC</v>
      </c>
      <c r="C104" s="21"/>
      <c r="D104" s="21" t="str">
        <f>IFERROR(__xludf.DUMMYFUNCTION("""COMPUTED_VALUE"""),"Active")</f>
        <v>Active</v>
      </c>
      <c r="E104" s="23">
        <f>IFERROR(__xludf.DUMMYFUNCTION("""COMPUTED_VALUE"""),44360.0)</f>
        <v>44360</v>
      </c>
      <c r="F104" s="24"/>
      <c r="G104" s="27">
        <f>IFERROR(__xludf.DUMMYFUNCTION("""COMPUTED_VALUE"""),63.766666666666666)</f>
        <v>63.76666667</v>
      </c>
      <c r="H104" s="23">
        <f>IFERROR(__xludf.DUMMYFUNCTION("""COMPUTED_VALUE"""),36068.0)</f>
        <v>36068</v>
      </c>
      <c r="I104" s="27">
        <f>IFERROR(__xludf.DUMMYFUNCTION("""COMPUTED_VALUE"""),22.70277777777778)</f>
        <v>22.70277778</v>
      </c>
      <c r="J104" s="29">
        <f>IFERROR(__xludf.DUMMYFUNCTION("""COMPUTED_VALUE"""),86.0)</f>
        <v>86</v>
      </c>
      <c r="K104" s="29">
        <f>IFERROR(__xludf.DUMMYFUNCTION("""COMPUTED_VALUE"""),30.5)</f>
        <v>30.5</v>
      </c>
      <c r="L104" s="31" t="str">
        <f>IFERROR(__xludf.DUMMYFUNCTION("""COMPUTED_VALUE"""),"RPG")</f>
        <v>RPG</v>
      </c>
    </row>
    <row r="105">
      <c r="A105" s="17" t="str">
        <f>IFERROR(__xludf.DUMMYFUNCTION("""COMPUTED_VALUE"""),"The Sims 3")</f>
        <v>The Sims 3</v>
      </c>
      <c r="B105" s="20" t="str">
        <f>IFERROR(__xludf.DUMMYFUNCTION("""COMPUTED_VALUE"""),"PC")</f>
        <v>PC</v>
      </c>
      <c r="C105" s="21"/>
      <c r="D105" s="21" t="str">
        <f>IFERROR(__xludf.DUMMYFUNCTION("""COMPUTED_VALUE"""),"Active")</f>
        <v>Active</v>
      </c>
      <c r="E105" s="23">
        <f>IFERROR(__xludf.DUMMYFUNCTION("""COMPUTED_VALUE"""),44273.0)</f>
        <v>44273</v>
      </c>
      <c r="F105" s="24"/>
      <c r="G105" s="27">
        <f>IFERROR(__xludf.DUMMYFUNCTION("""COMPUTED_VALUE"""),66.6)</f>
        <v>66.6</v>
      </c>
      <c r="H105" s="23">
        <f>IFERROR(__xludf.DUMMYFUNCTION("""COMPUTED_VALUE"""),39966.0)</f>
        <v>39966</v>
      </c>
      <c r="I105" s="27">
        <f>IFERROR(__xludf.DUMMYFUNCTION("""COMPUTED_VALUE"""),11.794444444444444)</f>
        <v>11.79444444</v>
      </c>
      <c r="J105" s="29">
        <f>IFERROR(__xludf.DUMMYFUNCTION("""COMPUTED_VALUE"""),86.0)</f>
        <v>86</v>
      </c>
      <c r="K105" s="29">
        <f>IFERROR(__xludf.DUMMYFUNCTION("""COMPUTED_VALUE"""),68.5)</f>
        <v>68.5</v>
      </c>
      <c r="L105" s="31" t="str">
        <f>IFERROR(__xludf.DUMMYFUNCTION("""COMPUTED_VALUE"""),"Simulation")</f>
        <v>Simulation</v>
      </c>
    </row>
    <row r="106">
      <c r="A106" s="17" t="str">
        <f>IFERROR(__xludf.DUMMYFUNCTION("""COMPUTED_VALUE"""),"Dragon Age: Inquisition - Game of the Year Edition")</f>
        <v>Dragon Age: Inquisition - Game of the Year Edition</v>
      </c>
      <c r="B106" s="20" t="str">
        <f>IFERROR(__xludf.DUMMYFUNCTION("""COMPUTED_VALUE"""),"Xbox / PC")</f>
        <v>Xbox / PC</v>
      </c>
      <c r="C106" s="21" t="str">
        <f>IFERROR(__xludf.DUMMYFUNCTION("""COMPUTED_VALUE"""),"Yes")</f>
        <v>Yes</v>
      </c>
      <c r="D106" s="21" t="str">
        <f>IFERROR(__xludf.DUMMYFUNCTION("""COMPUTED_VALUE"""),"Active")</f>
        <v>Active</v>
      </c>
      <c r="E106" s="23">
        <f>IFERROR(__xludf.DUMMYFUNCTION("""COMPUTED_VALUE"""),44145.0)</f>
        <v>44145</v>
      </c>
      <c r="F106" s="24"/>
      <c r="G106" s="27">
        <f>IFERROR(__xludf.DUMMYFUNCTION("""COMPUTED_VALUE"""),70.86666666666667)</f>
        <v>70.86666667</v>
      </c>
      <c r="H106" s="23">
        <f>IFERROR(__xludf.DUMMYFUNCTION("""COMPUTED_VALUE"""),41961.0)</f>
        <v>41961</v>
      </c>
      <c r="I106" s="27">
        <f>IFERROR(__xludf.DUMMYFUNCTION("""COMPUTED_VALUE"""),5.977777777777778)</f>
        <v>5.977777778</v>
      </c>
      <c r="J106" s="29">
        <f>IFERROR(__xludf.DUMMYFUNCTION("""COMPUTED_VALUE"""),86.0)</f>
        <v>86</v>
      </c>
      <c r="K106" s="29">
        <f>IFERROR(__xludf.DUMMYFUNCTION("""COMPUTED_VALUE"""),46.5)</f>
        <v>46.5</v>
      </c>
      <c r="L106" s="31" t="str">
        <f>IFERROR(__xludf.DUMMYFUNCTION("""COMPUTED_VALUE"""),"RPG")</f>
        <v>RPG</v>
      </c>
    </row>
    <row r="107">
      <c r="A107" s="17" t="str">
        <f>IFERROR(__xludf.DUMMYFUNCTION("""COMPUTED_VALUE"""),"Dragon Age: Origins - Ultimate Edition")</f>
        <v>Dragon Age: Origins - Ultimate Edition</v>
      </c>
      <c r="B107" s="20" t="str">
        <f>IFERROR(__xludf.DUMMYFUNCTION("""COMPUTED_VALUE"""),"Xbox / PC")</f>
        <v>Xbox / PC</v>
      </c>
      <c r="C107" s="21" t="str">
        <f>IFERROR(__xludf.DUMMYFUNCTION("""COMPUTED_VALUE"""),"Touch Controls")</f>
        <v>Touch Controls</v>
      </c>
      <c r="D107" s="21" t="str">
        <f>IFERROR(__xludf.DUMMYFUNCTION("""COMPUTED_VALUE"""),"Active")</f>
        <v>Active</v>
      </c>
      <c r="E107" s="23">
        <f>IFERROR(__xludf.DUMMYFUNCTION("""COMPUTED_VALUE"""),44145.0)</f>
        <v>44145</v>
      </c>
      <c r="F107" s="24"/>
      <c r="G107" s="27">
        <f>IFERROR(__xludf.DUMMYFUNCTION("""COMPUTED_VALUE"""),70.86666666666667)</f>
        <v>70.86666667</v>
      </c>
      <c r="H107" s="23">
        <f>IFERROR(__xludf.DUMMYFUNCTION("""COMPUTED_VALUE"""),40120.0)</f>
        <v>40120</v>
      </c>
      <c r="I107" s="27">
        <f>IFERROR(__xludf.DUMMYFUNCTION("""COMPUTED_VALUE"""),11.019444444444444)</f>
        <v>11.01944444</v>
      </c>
      <c r="J107" s="29">
        <f>IFERROR(__xludf.DUMMYFUNCTION("""COMPUTED_VALUE"""),86.0)</f>
        <v>86</v>
      </c>
      <c r="K107" s="29">
        <f>IFERROR(__xludf.DUMMYFUNCTION("""COMPUTED_VALUE"""),40.5)</f>
        <v>40.5</v>
      </c>
      <c r="L107" s="31" t="str">
        <f>IFERROR(__xludf.DUMMYFUNCTION("""COMPUTED_VALUE"""),"RPG")</f>
        <v>RPG</v>
      </c>
    </row>
    <row r="108">
      <c r="A108" s="17" t="str">
        <f>IFERROR(__xludf.DUMMYFUNCTION("""COMPUTED_VALUE"""),"Wasteland 3")</f>
        <v>Wasteland 3</v>
      </c>
      <c r="B108" s="20" t="str">
        <f>IFERROR(__xludf.DUMMYFUNCTION("""COMPUTED_VALUE"""),"Xbox / PC")</f>
        <v>Xbox / PC</v>
      </c>
      <c r="C108" s="21" t="str">
        <f>IFERROR(__xludf.DUMMYFUNCTION("""COMPUTED_VALUE"""),"Touch Controls")</f>
        <v>Touch Controls</v>
      </c>
      <c r="D108" s="21" t="str">
        <f>IFERROR(__xludf.DUMMYFUNCTION("""COMPUTED_VALUE"""),"Active")</f>
        <v>Active</v>
      </c>
      <c r="E108" s="23">
        <f>IFERROR(__xludf.DUMMYFUNCTION("""COMPUTED_VALUE"""),44071.0)</f>
        <v>44071</v>
      </c>
      <c r="F108" s="24"/>
      <c r="G108" s="27">
        <f>IFERROR(__xludf.DUMMYFUNCTION("""COMPUTED_VALUE"""),73.26666666666667)</f>
        <v>73.26666667</v>
      </c>
      <c r="H108" s="23">
        <f>IFERROR(__xludf.DUMMYFUNCTION("""COMPUTED_VALUE"""),44071.0)</f>
        <v>44071</v>
      </c>
      <c r="I108" s="27">
        <f>IFERROR(__xludf.DUMMYFUNCTION("""COMPUTED_VALUE"""),0.0)</f>
        <v>0</v>
      </c>
      <c r="J108" s="29">
        <f>IFERROR(__xludf.DUMMYFUNCTION("""COMPUTED_VALUE"""),86.0)</f>
        <v>86</v>
      </c>
      <c r="K108" s="29">
        <f>IFERROR(__xludf.DUMMYFUNCTION("""COMPUTED_VALUE"""),36.5)</f>
        <v>36.5</v>
      </c>
      <c r="L108" s="31" t="str">
        <f>IFERROR(__xludf.DUMMYFUNCTION("""COMPUTED_VALUE"""),"RPG")</f>
        <v>RPG</v>
      </c>
    </row>
    <row r="109">
      <c r="A109" s="17" t="str">
        <f>IFERROR(__xludf.DUMMYFUNCTION("""COMPUTED_VALUE"""),"Pillars of Eternity: Definitive Edition")</f>
        <v>Pillars of Eternity: Definitive Edition</v>
      </c>
      <c r="B109" s="20" t="str">
        <f>IFERROR(__xludf.DUMMYFUNCTION("""COMPUTED_VALUE"""),"Xbox / PC")</f>
        <v>Xbox / PC</v>
      </c>
      <c r="C109" s="21" t="str">
        <f>IFERROR(__xludf.DUMMYFUNCTION("""COMPUTED_VALUE"""),"Touch Controls")</f>
        <v>Touch Controls</v>
      </c>
      <c r="D109" s="21" t="str">
        <f>IFERROR(__xludf.DUMMYFUNCTION("""COMPUTED_VALUE"""),"Active")</f>
        <v>Active</v>
      </c>
      <c r="E109" s="23">
        <f>IFERROR(__xludf.DUMMYFUNCTION("""COMPUTED_VALUE"""),43818.0)</f>
        <v>43818</v>
      </c>
      <c r="F109" s="24"/>
      <c r="G109" s="27">
        <f>IFERROR(__xludf.DUMMYFUNCTION("""COMPUTED_VALUE"""),81.56666666666666)</f>
        <v>81.56666667</v>
      </c>
      <c r="H109" s="23">
        <f>IFERROR(__xludf.DUMMYFUNCTION("""COMPUTED_VALUE"""),42089.0)</f>
        <v>42089</v>
      </c>
      <c r="I109" s="27">
        <f>IFERROR(__xludf.DUMMYFUNCTION("""COMPUTED_VALUE"""),4.730555555555555)</f>
        <v>4.730555556</v>
      </c>
      <c r="J109" s="29">
        <f>IFERROR(__xludf.DUMMYFUNCTION("""COMPUTED_VALUE"""),86.0)</f>
        <v>86</v>
      </c>
      <c r="K109" s="29">
        <f>IFERROR(__xludf.DUMMYFUNCTION("""COMPUTED_VALUE"""),35.5)</f>
        <v>35.5</v>
      </c>
      <c r="L109" s="31" t="str">
        <f>IFERROR(__xludf.DUMMYFUNCTION("""COMPUTED_VALUE"""),"RPG")</f>
        <v>RPG</v>
      </c>
    </row>
    <row r="110">
      <c r="A110" s="17" t="str">
        <f>IFERROR(__xludf.DUMMYFUNCTION("""COMPUTED_VALUE"""),"Killer Instinct (2013): Anniversary Edition")</f>
        <v>Killer Instinct (2013): Anniversary Edition</v>
      </c>
      <c r="B110" s="20" t="str">
        <f>IFERROR(__xludf.DUMMYFUNCTION("""COMPUTED_VALUE"""),"Xbox / PC")</f>
        <v>Xbox / PC</v>
      </c>
      <c r="C110" s="21" t="str">
        <f>IFERROR(__xludf.DUMMYFUNCTION("""COMPUTED_VALUE"""),"Touch Controls")</f>
        <v>Touch Controls</v>
      </c>
      <c r="D110" s="21" t="str">
        <f>IFERROR(__xludf.DUMMYFUNCTION("""COMPUTED_VALUE"""),"Active")</f>
        <v>Active</v>
      </c>
      <c r="E110" s="23">
        <f>IFERROR(__xludf.DUMMYFUNCTION("""COMPUTED_VALUE"""),43671.0)</f>
        <v>43671</v>
      </c>
      <c r="F110" s="24"/>
      <c r="G110" s="27">
        <f>IFERROR(__xludf.DUMMYFUNCTION("""COMPUTED_VALUE"""),86.36666666666666)</f>
        <v>86.36666667</v>
      </c>
      <c r="H110" s="23">
        <f>IFERROR(__xludf.DUMMYFUNCTION("""COMPUTED_VALUE"""),41600.0)</f>
        <v>41600</v>
      </c>
      <c r="I110" s="27">
        <f>IFERROR(__xludf.DUMMYFUNCTION("""COMPUTED_VALUE"""),5.675)</f>
        <v>5.675</v>
      </c>
      <c r="J110" s="29">
        <f>IFERROR(__xludf.DUMMYFUNCTION("""COMPUTED_VALUE"""),86.0)</f>
        <v>86</v>
      </c>
      <c r="K110" s="29">
        <f>IFERROR(__xludf.DUMMYFUNCTION("""COMPUTED_VALUE"""),2.0)</f>
        <v>2</v>
      </c>
      <c r="L110" s="31" t="str">
        <f>IFERROR(__xludf.DUMMYFUNCTION("""COMPUTED_VALUE"""),"Fighting")</f>
        <v>Fighting</v>
      </c>
    </row>
    <row r="111">
      <c r="A111" s="17" t="str">
        <f>IFERROR(__xludf.DUMMYFUNCTION("""COMPUTED_VALUE"""),"Buckshot Roulette")</f>
        <v>Buckshot Roulette</v>
      </c>
      <c r="B111" s="20" t="str">
        <f>IFERROR(__xludf.DUMMYFUNCTION("""COMPUTED_VALUE"""),"Xbox / PC")</f>
        <v>Xbox / PC</v>
      </c>
      <c r="C111" s="21" t="str">
        <f>IFERROR(__xludf.DUMMYFUNCTION("""COMPUTED_VALUE"""),"Yes")</f>
        <v>Yes</v>
      </c>
      <c r="D111" s="21" t="str">
        <f>IFERROR(__xludf.DUMMYFUNCTION("""COMPUTED_VALUE"""),"Active")</f>
        <v>Active</v>
      </c>
      <c r="E111" s="23">
        <f>IFERROR(__xludf.DUMMYFUNCTION("""COMPUTED_VALUE"""),46211.0)</f>
        <v>46211</v>
      </c>
      <c r="F111" s="24"/>
      <c r="G111" s="27">
        <f>IFERROR(__xludf.DUMMYFUNCTION("""COMPUTED_VALUE"""),2.933333333333333)</f>
        <v>2.933333333</v>
      </c>
      <c r="H111" s="23">
        <f>IFERROR(__xludf.DUMMYFUNCTION("""COMPUTED_VALUE"""),45288.0)</f>
        <v>45288</v>
      </c>
      <c r="I111" s="27">
        <f>IFERROR(__xludf.DUMMYFUNCTION("""COMPUTED_VALUE"""),2.5277777777777777)</f>
        <v>2.527777778</v>
      </c>
      <c r="J111" s="29">
        <f>IFERROR(__xludf.DUMMYFUNCTION("""COMPUTED_VALUE"""),85.0)</f>
        <v>85</v>
      </c>
      <c r="K111" s="29">
        <f>IFERROR(__xludf.DUMMYFUNCTION("""COMPUTED_VALUE"""),1.0)</f>
        <v>1</v>
      </c>
      <c r="L111" s="31" t="str">
        <f>IFERROR(__xludf.DUMMYFUNCTION("""COMPUTED_VALUE"""),"Strategy")</f>
        <v>Strategy</v>
      </c>
    </row>
    <row r="112">
      <c r="A112" s="17" t="str">
        <f>IFERROR(__xludf.DUMMYFUNCTION("""COMPUTED_VALUE"""),"TerraTech Legion")</f>
        <v>TerraTech Legion</v>
      </c>
      <c r="B112" s="20" t="str">
        <f>IFERROR(__xludf.DUMMYFUNCTION("""COMPUTED_VALUE"""),"Xbox / PC")</f>
        <v>Xbox / PC</v>
      </c>
      <c r="C112" s="21" t="str">
        <f>IFERROR(__xludf.DUMMYFUNCTION("""COMPUTED_VALUE"""),"Yes")</f>
        <v>Yes</v>
      </c>
      <c r="D112" s="21" t="str">
        <f>IFERROR(__xludf.DUMMYFUNCTION("""COMPUTED_VALUE"""),"Active")</f>
        <v>Active</v>
      </c>
      <c r="E112" s="23">
        <f>IFERROR(__xludf.DUMMYFUNCTION("""COMPUTED_VALUE"""),46142.0)</f>
        <v>46142</v>
      </c>
      <c r="F112" s="24"/>
      <c r="G112" s="27">
        <f>IFERROR(__xludf.DUMMYFUNCTION("""COMPUTED_VALUE"""),5.2)</f>
        <v>5.2</v>
      </c>
      <c r="H112" s="23">
        <f>IFERROR(__xludf.DUMMYFUNCTION("""COMPUTED_VALUE"""),46142.0)</f>
        <v>46142</v>
      </c>
      <c r="I112" s="27">
        <f>IFERROR(__xludf.DUMMYFUNCTION("""COMPUTED_VALUE"""),0.0)</f>
        <v>0</v>
      </c>
      <c r="J112" s="29">
        <f>IFERROR(__xludf.DUMMYFUNCTION("""COMPUTED_VALUE"""),85.0)</f>
        <v>85</v>
      </c>
      <c r="K112" s="29">
        <f>IFERROR(__xludf.DUMMYFUNCTION("""COMPUTED_VALUE"""),4.0)</f>
        <v>4</v>
      </c>
      <c r="L112" s="31" t="str">
        <f>IFERROR(__xludf.DUMMYFUNCTION("""COMPUTED_VALUE"""),"Action-Adventure")</f>
        <v>Action-Adventure</v>
      </c>
    </row>
    <row r="113">
      <c r="A113" s="17" t="str">
        <f>IFERROR(__xludf.DUMMYFUNCTION("""COMPUTED_VALUE"""),"Dice A Million")</f>
        <v>Dice A Million</v>
      </c>
      <c r="B113" s="20" t="str">
        <f>IFERROR(__xludf.DUMMYFUNCTION("""COMPUTED_VALUE"""),"Xbox / PC")</f>
        <v>Xbox / PC</v>
      </c>
      <c r="C113" s="21" t="str">
        <f>IFERROR(__xludf.DUMMYFUNCTION("""COMPUTED_VALUE"""),"Yes")</f>
        <v>Yes</v>
      </c>
      <c r="D113" s="21" t="str">
        <f>IFERROR(__xludf.DUMMYFUNCTION("""COMPUTED_VALUE"""),"Active")</f>
        <v>Active</v>
      </c>
      <c r="E113" s="23">
        <f>IFERROR(__xludf.DUMMYFUNCTION("""COMPUTED_VALUE"""),46078.0)</f>
        <v>46078</v>
      </c>
      <c r="F113" s="24"/>
      <c r="G113" s="27">
        <f>IFERROR(__xludf.DUMMYFUNCTION("""COMPUTED_VALUE"""),7.366666666666667)</f>
        <v>7.366666667</v>
      </c>
      <c r="H113" s="23">
        <f>IFERROR(__xludf.DUMMYFUNCTION("""COMPUTED_VALUE"""),46078.0)</f>
        <v>46078</v>
      </c>
      <c r="I113" s="27">
        <f>IFERROR(__xludf.DUMMYFUNCTION("""COMPUTED_VALUE"""),0.0)</f>
        <v>0</v>
      </c>
      <c r="J113" s="29">
        <f>IFERROR(__xludf.DUMMYFUNCTION("""COMPUTED_VALUE"""),85.0)</f>
        <v>85</v>
      </c>
      <c r="K113" s="29">
        <f>IFERROR(__xludf.DUMMYFUNCTION("""COMPUTED_VALUE"""),5.0)</f>
        <v>5</v>
      </c>
      <c r="L113" s="31" t="str">
        <f>IFERROR(__xludf.DUMMYFUNCTION("""COMPUTED_VALUE"""),"Strategy")</f>
        <v>Strategy</v>
      </c>
    </row>
    <row r="114">
      <c r="A114" s="17" t="str">
        <f>IFERROR(__xludf.DUMMYFUNCTION("""COMPUTED_VALUE"""),"Death Stranding: Director's Cut")</f>
        <v>Death Stranding: Director's Cut</v>
      </c>
      <c r="B114" s="20" t="str">
        <f>IFERROR(__xludf.DUMMYFUNCTION("""COMPUTED_VALUE"""),"Xbox / PC")</f>
        <v>Xbox / PC</v>
      </c>
      <c r="C114" s="21" t="str">
        <f>IFERROR(__xludf.DUMMYFUNCTION("""COMPUTED_VALUE"""),"Yes")</f>
        <v>Yes</v>
      </c>
      <c r="D114" s="21" t="str">
        <f>IFERROR(__xludf.DUMMYFUNCTION("""COMPUTED_VALUE"""),"Active")</f>
        <v>Active</v>
      </c>
      <c r="E114" s="23">
        <f>IFERROR(__xludf.DUMMYFUNCTION("""COMPUTED_VALUE"""),46043.0)</f>
        <v>46043</v>
      </c>
      <c r="F114" s="24"/>
      <c r="G114" s="27">
        <f>IFERROR(__xludf.DUMMYFUNCTION("""COMPUTED_VALUE"""),8.5)</f>
        <v>8.5</v>
      </c>
      <c r="H114" s="23">
        <f>IFERROR(__xludf.DUMMYFUNCTION("""COMPUTED_VALUE"""),44217.0)</f>
        <v>44217</v>
      </c>
      <c r="I114" s="27">
        <f>IFERROR(__xludf.DUMMYFUNCTION("""COMPUTED_VALUE"""),5.0)</f>
        <v>5</v>
      </c>
      <c r="J114" s="29">
        <f>IFERROR(__xludf.DUMMYFUNCTION("""COMPUTED_VALUE"""),85.0)</f>
        <v>85</v>
      </c>
      <c r="K114" s="29">
        <f>IFERROR(__xludf.DUMMYFUNCTION("""COMPUTED_VALUE"""),38.0)</f>
        <v>38</v>
      </c>
      <c r="L114" s="31" t="str">
        <f>IFERROR(__xludf.DUMMYFUNCTION("""COMPUTED_VALUE"""),"Action-Adventure")</f>
        <v>Action-Adventure</v>
      </c>
    </row>
    <row r="115">
      <c r="A115" s="17" t="str">
        <f>IFERROR(__xludf.DUMMYFUNCTION("""COMPUTED_VALUE"""),"Ice Hockey")</f>
        <v>Ice Hockey</v>
      </c>
      <c r="B115" s="20" t="str">
        <f>IFERROR(__xludf.DUMMYFUNCTION("""COMPUTED_VALUE"""),"Xbox / PC")</f>
        <v>Xbox / PC</v>
      </c>
      <c r="C115" s="21" t="str">
        <f>IFERROR(__xludf.DUMMYFUNCTION("""COMPUTED_VALUE"""),"Yes")</f>
        <v>Yes</v>
      </c>
      <c r="D115" s="21" t="str">
        <f>IFERROR(__xludf.DUMMYFUNCTION("""COMPUTED_VALUE"""),"Active")</f>
        <v>Active</v>
      </c>
      <c r="E115" s="23">
        <f>IFERROR(__xludf.DUMMYFUNCTION("""COMPUTED_VALUE"""),45945.0)</f>
        <v>45945</v>
      </c>
      <c r="F115" s="24"/>
      <c r="G115" s="27">
        <f>IFERROR(__xludf.DUMMYFUNCTION("""COMPUTED_VALUE"""),11.7)</f>
        <v>11.7</v>
      </c>
      <c r="H115" s="23">
        <f>IFERROR(__xludf.DUMMYFUNCTION("""COMPUTED_VALUE"""),29921.0)</f>
        <v>29921</v>
      </c>
      <c r="I115" s="27">
        <f>IFERROR(__xludf.DUMMYFUNCTION("""COMPUTED_VALUE"""),43.87222222222222)</f>
        <v>43.87222222</v>
      </c>
      <c r="J115" s="29">
        <f>IFERROR(__xludf.DUMMYFUNCTION("""COMPUTED_VALUE"""),85.0)</f>
        <v>85</v>
      </c>
      <c r="K115" s="29">
        <f>IFERROR(__xludf.DUMMYFUNCTION("""COMPUTED_VALUE"""),1.0)</f>
        <v>1</v>
      </c>
      <c r="L115" s="31" t="str">
        <f>IFERROR(__xludf.DUMMYFUNCTION("""COMPUTED_VALUE"""),"Sports")</f>
        <v>Sports</v>
      </c>
    </row>
    <row r="116">
      <c r="A116" s="17" t="str">
        <f>IFERROR(__xludf.DUMMYFUNCTION("""COMPUTED_VALUE"""),"South Park: The Stick of Truth")</f>
        <v>South Park: The Stick of Truth</v>
      </c>
      <c r="B116" s="20" t="str">
        <f>IFERROR(__xludf.DUMMYFUNCTION("""COMPUTED_VALUE"""),"Xbox / PC")</f>
        <v>Xbox / PC</v>
      </c>
      <c r="C116" s="21" t="str">
        <f>IFERROR(__xludf.DUMMYFUNCTION("""COMPUTED_VALUE"""),"Yes")</f>
        <v>Yes</v>
      </c>
      <c r="D116" s="21" t="str">
        <f>IFERROR(__xludf.DUMMYFUNCTION("""COMPUTED_VALUE"""),"Active")</f>
        <v>Active</v>
      </c>
      <c r="E116" s="23">
        <f>IFERROR(__xludf.DUMMYFUNCTION("""COMPUTED_VALUE"""),45931.0)</f>
        <v>45931</v>
      </c>
      <c r="F116" s="24"/>
      <c r="G116" s="27">
        <f>IFERROR(__xludf.DUMMYFUNCTION("""COMPUTED_VALUE"""),12.166666666666666)</f>
        <v>12.16666667</v>
      </c>
      <c r="H116" s="23">
        <f>IFERROR(__xludf.DUMMYFUNCTION("""COMPUTED_VALUE"""),41702.0)</f>
        <v>41702</v>
      </c>
      <c r="I116" s="27">
        <f>IFERROR(__xludf.DUMMYFUNCTION("""COMPUTED_VALUE"""),11.575)</f>
        <v>11.575</v>
      </c>
      <c r="J116" s="29">
        <f>IFERROR(__xludf.DUMMYFUNCTION("""COMPUTED_VALUE"""),85.0)</f>
        <v>85</v>
      </c>
      <c r="K116" s="29">
        <f>IFERROR(__xludf.DUMMYFUNCTION("""COMPUTED_VALUE"""),12.0)</f>
        <v>12</v>
      </c>
      <c r="L116" s="31" t="str">
        <f>IFERROR(__xludf.DUMMYFUNCTION("""COMPUTED_VALUE"""),"RPG")</f>
        <v>RPG</v>
      </c>
    </row>
    <row r="117">
      <c r="A117" s="17" t="str">
        <f>IFERROR(__xludf.DUMMYFUNCTION("""COMPUTED_VALUE"""),"Crash Bandicoot 4: It's About Time")</f>
        <v>Crash Bandicoot 4: It's About Time</v>
      </c>
      <c r="B117" s="20" t="str">
        <f>IFERROR(__xludf.DUMMYFUNCTION("""COMPUTED_VALUE"""),"Xbox / PC")</f>
        <v>Xbox / PC</v>
      </c>
      <c r="C117" s="21"/>
      <c r="D117" s="21" t="str">
        <f>IFERROR(__xludf.DUMMYFUNCTION("""COMPUTED_VALUE"""),"Active")</f>
        <v>Active</v>
      </c>
      <c r="E117" s="23">
        <f>IFERROR(__xludf.DUMMYFUNCTION("""COMPUTED_VALUE"""),45825.0)</f>
        <v>45825</v>
      </c>
      <c r="F117" s="24"/>
      <c r="G117" s="27">
        <f>IFERROR(__xludf.DUMMYFUNCTION("""COMPUTED_VALUE"""),15.633333333333333)</f>
        <v>15.63333333</v>
      </c>
      <c r="H117" s="23">
        <f>IFERROR(__xludf.DUMMYFUNCTION("""COMPUTED_VALUE"""),44106.0)</f>
        <v>44106</v>
      </c>
      <c r="I117" s="27">
        <f>IFERROR(__xludf.DUMMYFUNCTION("""COMPUTED_VALUE"""),4.708333333333333)</f>
        <v>4.708333333</v>
      </c>
      <c r="J117" s="29">
        <f>IFERROR(__xludf.DUMMYFUNCTION("""COMPUTED_VALUE"""),85.0)</f>
        <v>85</v>
      </c>
      <c r="K117" s="29">
        <f>IFERROR(__xludf.DUMMYFUNCTION("""COMPUTED_VALUE"""),10.0)</f>
        <v>10</v>
      </c>
      <c r="L117" s="31" t="str">
        <f>IFERROR(__xludf.DUMMYFUNCTION("""COMPUTED_VALUE"""),"Plaformer")</f>
        <v>Plaformer</v>
      </c>
    </row>
    <row r="118">
      <c r="A118" s="17" t="str">
        <f>IFERROR(__xludf.DUMMYFUNCTION("""COMPUTED_VALUE"""),"Symphonia (2024)")</f>
        <v>Symphonia (2024)</v>
      </c>
      <c r="B118" s="20" t="str">
        <f>IFERROR(__xludf.DUMMYFUNCTION("""COMPUTED_VALUE"""),"Xbox / PC")</f>
        <v>Xbox / PC</v>
      </c>
      <c r="C118" s="21" t="str">
        <f>IFERROR(__xludf.DUMMYFUNCTION("""COMPUTED_VALUE"""),"Yes")</f>
        <v>Yes</v>
      </c>
      <c r="D118" s="21" t="str">
        <f>IFERROR(__xludf.DUMMYFUNCTION("""COMPUTED_VALUE"""),"Active")</f>
        <v>Active</v>
      </c>
      <c r="E118" s="23">
        <f>IFERROR(__xludf.DUMMYFUNCTION("""COMPUTED_VALUE"""),45811.0)</f>
        <v>45811</v>
      </c>
      <c r="F118" s="24"/>
      <c r="G118" s="27">
        <f>IFERROR(__xludf.DUMMYFUNCTION("""COMPUTED_VALUE"""),16.099999999999998)</f>
        <v>16.1</v>
      </c>
      <c r="H118" s="23">
        <f>IFERROR(__xludf.DUMMYFUNCTION("""COMPUTED_VALUE"""),45631.0)</f>
        <v>45631</v>
      </c>
      <c r="I118" s="27">
        <f>IFERROR(__xludf.DUMMYFUNCTION("""COMPUTED_VALUE"""),0.49444444444444446)</f>
        <v>0.4944444444</v>
      </c>
      <c r="J118" s="29">
        <f>IFERROR(__xludf.DUMMYFUNCTION("""COMPUTED_VALUE"""),85.0)</f>
        <v>85</v>
      </c>
      <c r="K118" s="29">
        <f>IFERROR(__xludf.DUMMYFUNCTION("""COMPUTED_VALUE"""),5.0)</f>
        <v>5</v>
      </c>
      <c r="L118" s="31" t="str">
        <f>IFERROR(__xludf.DUMMYFUNCTION("""COMPUTED_VALUE"""),"Platformer")</f>
        <v>Platformer</v>
      </c>
    </row>
    <row r="119">
      <c r="A119" s="17" t="str">
        <f>IFERROR(__xludf.DUMMYFUNCTION("""COMPUTED_VALUE"""),"DOOM: The Dark Ages")</f>
        <v>DOOM: The Dark Ages</v>
      </c>
      <c r="B119" s="20" t="str">
        <f>IFERROR(__xludf.DUMMYFUNCTION("""COMPUTED_VALUE"""),"Xbox / PC")</f>
        <v>Xbox / PC</v>
      </c>
      <c r="C119" s="21" t="str">
        <f>IFERROR(__xludf.DUMMYFUNCTION("""COMPUTED_VALUE"""),"Yes")</f>
        <v>Yes</v>
      </c>
      <c r="D119" s="21" t="str">
        <f>IFERROR(__xludf.DUMMYFUNCTION("""COMPUTED_VALUE"""),"Active")</f>
        <v>Active</v>
      </c>
      <c r="E119" s="23">
        <f>IFERROR(__xludf.DUMMYFUNCTION("""COMPUTED_VALUE"""),45792.0)</f>
        <v>45792</v>
      </c>
      <c r="F119" s="24"/>
      <c r="G119" s="27">
        <f>IFERROR(__xludf.DUMMYFUNCTION("""COMPUTED_VALUE"""),16.7)</f>
        <v>16.7</v>
      </c>
      <c r="H119" s="23">
        <f>IFERROR(__xludf.DUMMYFUNCTION("""COMPUTED_VALUE"""),45792.0)</f>
        <v>45792</v>
      </c>
      <c r="I119" s="27">
        <f>IFERROR(__xludf.DUMMYFUNCTION("""COMPUTED_VALUE"""),0.0)</f>
        <v>0</v>
      </c>
      <c r="J119" s="29">
        <f>IFERROR(__xludf.DUMMYFUNCTION("""COMPUTED_VALUE"""),85.0)</f>
        <v>85</v>
      </c>
      <c r="K119" s="29">
        <f>IFERROR(__xludf.DUMMYFUNCTION("""COMPUTED_VALUE"""),13.0)</f>
        <v>13</v>
      </c>
      <c r="L119" s="31" t="str">
        <f>IFERROR(__xludf.DUMMYFUNCTION("""COMPUTED_VALUE"""),"Shooter")</f>
        <v>Shooter</v>
      </c>
    </row>
    <row r="120">
      <c r="A120" s="17" t="str">
        <f>IFERROR(__xludf.DUMMYFUNCTION("""COMPUTED_VALUE"""),"Far Cry 4")</f>
        <v>Far Cry 4</v>
      </c>
      <c r="B120" s="20" t="str">
        <f>IFERROR(__xludf.DUMMYFUNCTION("""COMPUTED_VALUE"""),"Xbox / PC")</f>
        <v>Xbox / PC</v>
      </c>
      <c r="C120" s="21" t="str">
        <f>IFERROR(__xludf.DUMMYFUNCTION("""COMPUTED_VALUE"""),"Yes")</f>
        <v>Yes</v>
      </c>
      <c r="D120" s="21" t="str">
        <f>IFERROR(__xludf.DUMMYFUNCTION("""COMPUTED_VALUE"""),"Active")</f>
        <v>Active</v>
      </c>
      <c r="E120" s="23">
        <f>IFERROR(__xludf.DUMMYFUNCTION("""COMPUTED_VALUE"""),45777.0)</f>
        <v>45777</v>
      </c>
      <c r="F120" s="24"/>
      <c r="G120" s="27">
        <f>IFERROR(__xludf.DUMMYFUNCTION("""COMPUTED_VALUE"""),17.2)</f>
        <v>17.2</v>
      </c>
      <c r="H120" s="23">
        <f>IFERROR(__xludf.DUMMYFUNCTION("""COMPUTED_VALUE"""),41961.0)</f>
        <v>41961</v>
      </c>
      <c r="I120" s="27">
        <f>IFERROR(__xludf.DUMMYFUNCTION("""COMPUTED_VALUE"""),10.45)</f>
        <v>10.45</v>
      </c>
      <c r="J120" s="29">
        <f>IFERROR(__xludf.DUMMYFUNCTION("""COMPUTED_VALUE"""),85.0)</f>
        <v>85</v>
      </c>
      <c r="K120" s="29">
        <f>IFERROR(__xludf.DUMMYFUNCTION("""COMPUTED_VALUE"""),18.0)</f>
        <v>18</v>
      </c>
      <c r="L120" s="31" t="str">
        <f>IFERROR(__xludf.DUMMYFUNCTION("""COMPUTED_VALUE"""),"Shooter")</f>
        <v>Shooter</v>
      </c>
    </row>
    <row r="121">
      <c r="A121" s="17" t="str">
        <f>IFERROR(__xludf.DUMMYFUNCTION("""COMPUTED_VALUE"""),"Starcraft: Remastered")</f>
        <v>Starcraft: Remastered</v>
      </c>
      <c r="B121" s="20" t="str">
        <f>IFERROR(__xludf.DUMMYFUNCTION("""COMPUTED_VALUE"""),"PC")</f>
        <v>PC</v>
      </c>
      <c r="C121" s="21"/>
      <c r="D121" s="21" t="str">
        <f>IFERROR(__xludf.DUMMYFUNCTION("""COMPUTED_VALUE"""),"Active")</f>
        <v>Active</v>
      </c>
      <c r="E121" s="23">
        <f>IFERROR(__xludf.DUMMYFUNCTION("""COMPUTED_VALUE"""),45601.0)</f>
        <v>45601</v>
      </c>
      <c r="F121" s="24"/>
      <c r="G121" s="27">
        <f>IFERROR(__xludf.DUMMYFUNCTION("""COMPUTED_VALUE"""),23.033333333333335)</f>
        <v>23.03333333</v>
      </c>
      <c r="H121" s="23">
        <f>IFERROR(__xludf.DUMMYFUNCTION("""COMPUTED_VALUE"""),42961.0)</f>
        <v>42961</v>
      </c>
      <c r="I121" s="27">
        <f>IFERROR(__xludf.DUMMYFUNCTION("""COMPUTED_VALUE"""),7.225)</f>
        <v>7.225</v>
      </c>
      <c r="J121" s="29">
        <f>IFERROR(__xludf.DUMMYFUNCTION("""COMPUTED_VALUE"""),85.0)</f>
        <v>85</v>
      </c>
      <c r="K121" s="29">
        <f>IFERROR(__xludf.DUMMYFUNCTION("""COMPUTED_VALUE"""),25.0)</f>
        <v>25</v>
      </c>
      <c r="L121" s="31" t="str">
        <f>IFERROR(__xludf.DUMMYFUNCTION("""COMPUTED_VALUE"""),"Strategy")</f>
        <v>Strategy</v>
      </c>
    </row>
    <row r="122">
      <c r="A122" s="17" t="str">
        <f>IFERROR(__xludf.DUMMYFUNCTION("""COMPUTED_VALUE"""),"Starcraft II: Campaign Collection")</f>
        <v>Starcraft II: Campaign Collection</v>
      </c>
      <c r="B122" s="20" t="str">
        <f>IFERROR(__xludf.DUMMYFUNCTION("""COMPUTED_VALUE"""),"PC")</f>
        <v>PC</v>
      </c>
      <c r="C122" s="21"/>
      <c r="D122" s="21" t="str">
        <f>IFERROR(__xludf.DUMMYFUNCTION("""COMPUTED_VALUE"""),"Active")</f>
        <v>Active</v>
      </c>
      <c r="E122" s="23">
        <f>IFERROR(__xludf.DUMMYFUNCTION("""COMPUTED_VALUE"""),45601.0)</f>
        <v>45601</v>
      </c>
      <c r="F122" s="24"/>
      <c r="G122" s="27">
        <f>IFERROR(__xludf.DUMMYFUNCTION("""COMPUTED_VALUE"""),23.033333333333335)</f>
        <v>23.03333333</v>
      </c>
      <c r="H122" s="23">
        <f>IFERROR(__xludf.DUMMYFUNCTION("""COMPUTED_VALUE"""),45601.0)</f>
        <v>45601</v>
      </c>
      <c r="I122" s="27">
        <f>IFERROR(__xludf.DUMMYFUNCTION("""COMPUTED_VALUE"""),0.0)</f>
        <v>0</v>
      </c>
      <c r="J122" s="29">
        <f>IFERROR(__xludf.DUMMYFUNCTION("""COMPUTED_VALUE"""),85.0)</f>
        <v>85</v>
      </c>
      <c r="K122" s="29">
        <f>IFERROR(__xludf.DUMMYFUNCTION("""COMPUTED_VALUE"""),55.0)</f>
        <v>55</v>
      </c>
      <c r="L122" s="31" t="str">
        <f>IFERROR(__xludf.DUMMYFUNCTION("""COMPUTED_VALUE"""),"Strategy")</f>
        <v>Strategy</v>
      </c>
    </row>
    <row r="123">
      <c r="A123" s="17" t="str">
        <f>IFERROR(__xludf.DUMMYFUNCTION("""COMPUTED_VALUE"""),"Inscryption")</f>
        <v>Inscryption</v>
      </c>
      <c r="B123" s="20" t="str">
        <f>IFERROR(__xludf.DUMMYFUNCTION("""COMPUTED_VALUE"""),"Xbox / PC")</f>
        <v>Xbox / PC</v>
      </c>
      <c r="C123" s="21" t="str">
        <f>IFERROR(__xludf.DUMMYFUNCTION("""COMPUTED_VALUE"""),"Yes")</f>
        <v>Yes</v>
      </c>
      <c r="D123" s="21" t="str">
        <f>IFERROR(__xludf.DUMMYFUNCTION("""COMPUTED_VALUE"""),"Active")</f>
        <v>Active</v>
      </c>
      <c r="E123" s="23">
        <f>IFERROR(__xludf.DUMMYFUNCTION("""COMPUTED_VALUE"""),45575.0)</f>
        <v>45575</v>
      </c>
      <c r="F123" s="24"/>
      <c r="G123" s="27">
        <f>IFERROR(__xludf.DUMMYFUNCTION("""COMPUTED_VALUE"""),23.866666666666667)</f>
        <v>23.86666667</v>
      </c>
      <c r="H123" s="23">
        <f>IFERROR(__xludf.DUMMYFUNCTION("""COMPUTED_VALUE"""),44488.0)</f>
        <v>44488</v>
      </c>
      <c r="I123" s="27">
        <f>IFERROR(__xludf.DUMMYFUNCTION("""COMPUTED_VALUE"""),2.975)</f>
        <v>2.975</v>
      </c>
      <c r="J123" s="29">
        <f>IFERROR(__xludf.DUMMYFUNCTION("""COMPUTED_VALUE"""),85.0)</f>
        <v>85</v>
      </c>
      <c r="K123" s="29">
        <f>IFERROR(__xludf.DUMMYFUNCTION("""COMPUTED_VALUE"""),13.0)</f>
        <v>13</v>
      </c>
      <c r="L123" s="31" t="str">
        <f>IFERROR(__xludf.DUMMYFUNCTION("""COMPUTED_VALUE"""),"Card Battle")</f>
        <v>Card Battle</v>
      </c>
    </row>
    <row r="124">
      <c r="A124" s="17" t="str">
        <f>IFERROR(__xludf.DUMMYFUNCTION("""COMPUTED_VALUE"""),"Star Wars Jedi: Survivor")</f>
        <v>Star Wars Jedi: Survivor</v>
      </c>
      <c r="B124" s="20" t="str">
        <f>IFERROR(__xludf.DUMMYFUNCTION("""COMPUTED_VALUE"""),"Xbox / PC")</f>
        <v>Xbox / PC</v>
      </c>
      <c r="C124" s="21"/>
      <c r="D124" s="21" t="str">
        <f>IFERROR(__xludf.DUMMYFUNCTION("""COMPUTED_VALUE"""),"Active")</f>
        <v>Active</v>
      </c>
      <c r="E124" s="23">
        <f>IFERROR(__xludf.DUMMYFUNCTION("""COMPUTED_VALUE"""),45407.0)</f>
        <v>45407</v>
      </c>
      <c r="F124" s="24"/>
      <c r="G124" s="27">
        <f>IFERROR(__xludf.DUMMYFUNCTION("""COMPUTED_VALUE"""),29.366666666666667)</f>
        <v>29.36666667</v>
      </c>
      <c r="H124" s="23">
        <f>IFERROR(__xludf.DUMMYFUNCTION("""COMPUTED_VALUE"""),45044.0)</f>
        <v>45044</v>
      </c>
      <c r="I124" s="27">
        <f>IFERROR(__xludf.DUMMYFUNCTION("""COMPUTED_VALUE"""),0.9916666666666667)</f>
        <v>0.9916666667</v>
      </c>
      <c r="J124" s="29">
        <f>IFERROR(__xludf.DUMMYFUNCTION("""COMPUTED_VALUE"""),85.0)</f>
        <v>85</v>
      </c>
      <c r="K124" s="29">
        <f>IFERROR(__xludf.DUMMYFUNCTION("""COMPUTED_VALUE"""),20.0)</f>
        <v>20</v>
      </c>
      <c r="L124" s="31" t="str">
        <f>IFERROR(__xludf.DUMMYFUNCTION("""COMPUTED_VALUE"""),"Action-Adventure")</f>
        <v>Action-Adventure</v>
      </c>
    </row>
    <row r="125">
      <c r="A125" s="17" t="str">
        <f>IFERROR(__xludf.DUMMYFUNCTION("""COMPUTED_VALUE"""),"Control: Ultimate Edition")</f>
        <v>Control: Ultimate Edition</v>
      </c>
      <c r="B125" s="20" t="str">
        <f>IFERROR(__xludf.DUMMYFUNCTION("""COMPUTED_VALUE"""),"Xbox / PC")</f>
        <v>Xbox / PC</v>
      </c>
      <c r="C125" s="21" t="str">
        <f>IFERROR(__xludf.DUMMYFUNCTION("""COMPUTED_VALUE"""),"Yes")</f>
        <v>Yes</v>
      </c>
      <c r="D125" s="21" t="str">
        <f>IFERROR(__xludf.DUMMYFUNCTION("""COMPUTED_VALUE"""),"Active")</f>
        <v>Active</v>
      </c>
      <c r="E125" s="23">
        <f>IFERROR(__xludf.DUMMYFUNCTION("""COMPUTED_VALUE"""),45364.0)</f>
        <v>45364</v>
      </c>
      <c r="F125" s="24"/>
      <c r="G125" s="27">
        <f>IFERROR(__xludf.DUMMYFUNCTION("""COMPUTED_VALUE"""),30.76666666666667)</f>
        <v>30.76666667</v>
      </c>
      <c r="H125" s="23">
        <f>IFERROR(__xludf.DUMMYFUNCTION("""COMPUTED_VALUE"""),44229.0)</f>
        <v>44229</v>
      </c>
      <c r="I125" s="27">
        <f>IFERROR(__xludf.DUMMYFUNCTION("""COMPUTED_VALUE"""),3.113888888888889)</f>
        <v>3.113888889</v>
      </c>
      <c r="J125" s="29">
        <f>IFERROR(__xludf.DUMMYFUNCTION("""COMPUTED_VALUE"""),85.0)</f>
        <v>85</v>
      </c>
      <c r="K125" s="29">
        <f>IFERROR(__xludf.DUMMYFUNCTION("""COMPUTED_VALUE"""),13.0)</f>
        <v>13</v>
      </c>
      <c r="L125" s="31" t="str">
        <f>IFERROR(__xludf.DUMMYFUNCTION("""COMPUTED_VALUE"""),"Action")</f>
        <v>Action</v>
      </c>
    </row>
    <row r="126">
      <c r="A126" s="17" t="str">
        <f>IFERROR(__xludf.DUMMYFUNCTION("""COMPUTED_VALUE"""),"Forza Motorsport (2023)")</f>
        <v>Forza Motorsport (2023)</v>
      </c>
      <c r="B126" s="20" t="str">
        <f>IFERROR(__xludf.DUMMYFUNCTION("""COMPUTED_VALUE"""),"Xbox / PC")</f>
        <v>Xbox / PC</v>
      </c>
      <c r="C126" s="21" t="str">
        <f>IFERROR(__xludf.DUMMYFUNCTION("""COMPUTED_VALUE"""),"Yes")</f>
        <v>Yes</v>
      </c>
      <c r="D126" s="21" t="str">
        <f>IFERROR(__xludf.DUMMYFUNCTION("""COMPUTED_VALUE"""),"Active")</f>
        <v>Active</v>
      </c>
      <c r="E126" s="23">
        <f>IFERROR(__xludf.DUMMYFUNCTION("""COMPUTED_VALUE"""),45209.0)</f>
        <v>45209</v>
      </c>
      <c r="F126" s="24"/>
      <c r="G126" s="27">
        <f>IFERROR(__xludf.DUMMYFUNCTION("""COMPUTED_VALUE"""),35.86666666666667)</f>
        <v>35.86666667</v>
      </c>
      <c r="H126" s="23">
        <f>IFERROR(__xludf.DUMMYFUNCTION("""COMPUTED_VALUE"""),45209.0)</f>
        <v>45209</v>
      </c>
      <c r="I126" s="27">
        <f>IFERROR(__xludf.DUMMYFUNCTION("""COMPUTED_VALUE"""),0.0)</f>
        <v>0</v>
      </c>
      <c r="J126" s="29">
        <f>IFERROR(__xludf.DUMMYFUNCTION("""COMPUTED_VALUE"""),85.0)</f>
        <v>85</v>
      </c>
      <c r="K126" s="29">
        <f>IFERROR(__xludf.DUMMYFUNCTION("""COMPUTED_VALUE"""),8.0)</f>
        <v>8</v>
      </c>
      <c r="L126" s="31" t="str">
        <f>IFERROR(__xludf.DUMMYFUNCTION("""COMPUTED_VALUE"""),"Racing")</f>
        <v>Racing</v>
      </c>
    </row>
    <row r="127">
      <c r="A127" s="17" t="str">
        <f>IFERROR(__xludf.DUMMYFUNCTION("""COMPUTED_VALUE"""),"Limbo")</f>
        <v>Limbo</v>
      </c>
      <c r="B127" s="20" t="str">
        <f>IFERROR(__xludf.DUMMYFUNCTION("""COMPUTED_VALUE"""),"Xbox / PC")</f>
        <v>Xbox / PC</v>
      </c>
      <c r="C127" s="21" t="str">
        <f>IFERROR(__xludf.DUMMYFUNCTION("""COMPUTED_VALUE"""),"Yes")</f>
        <v>Yes</v>
      </c>
      <c r="D127" s="21" t="str">
        <f>IFERROR(__xludf.DUMMYFUNCTION("""COMPUTED_VALUE"""),"Active")</f>
        <v>Active</v>
      </c>
      <c r="E127" s="23">
        <f>IFERROR(__xludf.DUMMYFUNCTION("""COMPUTED_VALUE"""),45147.0)</f>
        <v>45147</v>
      </c>
      <c r="F127" s="24"/>
      <c r="G127" s="27">
        <f>IFERROR(__xludf.DUMMYFUNCTION("""COMPUTED_VALUE"""),37.9)</f>
        <v>37.9</v>
      </c>
      <c r="H127" s="23">
        <f>IFERROR(__xludf.DUMMYFUNCTION("""COMPUTED_VALUE"""),40380.0)</f>
        <v>40380</v>
      </c>
      <c r="I127" s="27">
        <f>IFERROR(__xludf.DUMMYFUNCTION("""COMPUTED_VALUE"""),13.05)</f>
        <v>13.05</v>
      </c>
      <c r="J127" s="29">
        <f>IFERROR(__xludf.DUMMYFUNCTION("""COMPUTED_VALUE"""),85.0)</f>
        <v>85</v>
      </c>
      <c r="K127" s="29">
        <f>IFERROR(__xludf.DUMMYFUNCTION("""COMPUTED_VALUE"""),3.5)</f>
        <v>3.5</v>
      </c>
      <c r="L127" s="31" t="str">
        <f>IFERROR(__xludf.DUMMYFUNCTION("""COMPUTED_VALUE"""),"Platformer")</f>
        <v>Platformer</v>
      </c>
    </row>
    <row r="128">
      <c r="A128" s="17" t="str">
        <f>IFERROR(__xludf.DUMMYFUNCTION("""COMPUTED_VALUE"""),"Wolfenstein 3D")</f>
        <v>Wolfenstein 3D</v>
      </c>
      <c r="B128" s="20" t="str">
        <f>IFERROR(__xludf.DUMMYFUNCTION("""COMPUTED_VALUE"""),"Xbox / PC")</f>
        <v>Xbox / PC</v>
      </c>
      <c r="C128" s="21" t="str">
        <f>IFERROR(__xludf.DUMMYFUNCTION("""COMPUTED_VALUE"""),"Yes")</f>
        <v>Yes</v>
      </c>
      <c r="D128" s="21" t="str">
        <f>IFERROR(__xludf.DUMMYFUNCTION("""COMPUTED_VALUE"""),"Active")</f>
        <v>Active</v>
      </c>
      <c r="E128" s="23">
        <f>IFERROR(__xludf.DUMMYFUNCTION("""COMPUTED_VALUE"""),44791.0)</f>
        <v>44791</v>
      </c>
      <c r="F128" s="24"/>
      <c r="G128" s="27">
        <f>IFERROR(__xludf.DUMMYFUNCTION("""COMPUTED_VALUE"""),49.60000000000001)</f>
        <v>49.6</v>
      </c>
      <c r="H128" s="23">
        <f>IFERROR(__xludf.DUMMYFUNCTION("""COMPUTED_VALUE"""),33729.0)</f>
        <v>33729</v>
      </c>
      <c r="I128" s="27">
        <f>IFERROR(__xludf.DUMMYFUNCTION("""COMPUTED_VALUE"""),30.28611111111111)</f>
        <v>30.28611111</v>
      </c>
      <c r="J128" s="29">
        <f>IFERROR(__xludf.DUMMYFUNCTION("""COMPUTED_VALUE"""),85.0)</f>
        <v>85</v>
      </c>
      <c r="K128" s="29">
        <f>IFERROR(__xludf.DUMMYFUNCTION("""COMPUTED_VALUE"""),6.5)</f>
        <v>6.5</v>
      </c>
      <c r="L128" s="31" t="str">
        <f>IFERROR(__xludf.DUMMYFUNCTION("""COMPUTED_VALUE"""),"Shooter")</f>
        <v>Shooter</v>
      </c>
    </row>
    <row r="129">
      <c r="A129" s="17" t="str">
        <f>IFERROR(__xludf.DUMMYFUNCTION("""COMPUTED_VALUE"""),"Roboquest (2020)")</f>
        <v>Roboquest (2020)</v>
      </c>
      <c r="B129" s="20" t="str">
        <f>IFERROR(__xludf.DUMMYFUNCTION("""COMPUTED_VALUE"""),"Xbox / PC")</f>
        <v>Xbox / PC</v>
      </c>
      <c r="C129" s="21"/>
      <c r="D129" s="21" t="str">
        <f>IFERROR(__xludf.DUMMYFUNCTION("""COMPUTED_VALUE"""),"Active")</f>
        <v>Active</v>
      </c>
      <c r="E129" s="23">
        <f>IFERROR(__xludf.DUMMYFUNCTION("""COMPUTED_VALUE"""),44614.0)</f>
        <v>44614</v>
      </c>
      <c r="F129" s="24"/>
      <c r="G129" s="27">
        <f>IFERROR(__xludf.DUMMYFUNCTION("""COMPUTED_VALUE"""),55.46666666666666)</f>
        <v>55.46666667</v>
      </c>
      <c r="H129" s="23">
        <f>IFERROR(__xludf.DUMMYFUNCTION("""COMPUTED_VALUE"""),44063.0)</f>
        <v>44063</v>
      </c>
      <c r="I129" s="27">
        <f>IFERROR(__xludf.DUMMYFUNCTION("""COMPUTED_VALUE"""),1.5055555555555555)</f>
        <v>1.505555556</v>
      </c>
      <c r="J129" s="29">
        <f>IFERROR(__xludf.DUMMYFUNCTION("""COMPUTED_VALUE"""),85.0)</f>
        <v>85</v>
      </c>
      <c r="K129" s="29">
        <f>IFERROR(__xludf.DUMMYFUNCTION("""COMPUTED_VALUE"""),6.0)</f>
        <v>6</v>
      </c>
      <c r="L129" s="31" t="str">
        <f>IFERROR(__xludf.DUMMYFUNCTION("""COMPUTED_VALUE"""),"Shooter")</f>
        <v>Shooter</v>
      </c>
    </row>
    <row r="130">
      <c r="A130" s="17" t="str">
        <f>IFERROR(__xludf.DUMMYFUNCTION("""COMPUTED_VALUE"""),"Among Us")</f>
        <v>Among Us</v>
      </c>
      <c r="B130" s="20" t="str">
        <f>IFERROR(__xludf.DUMMYFUNCTION("""COMPUTED_VALUE"""),"Xbox / PC")</f>
        <v>Xbox / PC</v>
      </c>
      <c r="C130" s="21" t="str">
        <f>IFERROR(__xludf.DUMMYFUNCTION("""COMPUTED_VALUE"""),"Touch Controls")</f>
        <v>Touch Controls</v>
      </c>
      <c r="D130" s="21" t="str">
        <f>IFERROR(__xludf.DUMMYFUNCTION("""COMPUTED_VALUE"""),"Active")</f>
        <v>Active</v>
      </c>
      <c r="E130" s="23">
        <f>IFERROR(__xludf.DUMMYFUNCTION("""COMPUTED_VALUE"""),44182.0)</f>
        <v>44182</v>
      </c>
      <c r="F130" s="24"/>
      <c r="G130" s="27">
        <f>IFERROR(__xludf.DUMMYFUNCTION("""COMPUTED_VALUE"""),69.63333333333334)</f>
        <v>69.63333333</v>
      </c>
      <c r="H130" s="23">
        <f>IFERROR(__xludf.DUMMYFUNCTION("""COMPUTED_VALUE"""),43267.0)</f>
        <v>43267</v>
      </c>
      <c r="I130" s="27">
        <f>IFERROR(__xludf.DUMMYFUNCTION("""COMPUTED_VALUE"""),2.5027777777777778)</f>
        <v>2.502777778</v>
      </c>
      <c r="J130" s="29">
        <f>IFERROR(__xludf.DUMMYFUNCTION("""COMPUTED_VALUE"""),85.0)</f>
        <v>85</v>
      </c>
      <c r="K130" s="29">
        <f>IFERROR(__xludf.DUMMYFUNCTION("""COMPUTED_VALUE"""),14.0)</f>
        <v>14</v>
      </c>
      <c r="L130" s="31" t="str">
        <f>IFERROR(__xludf.DUMMYFUNCTION("""COMPUTED_VALUE"""),"Strategy")</f>
        <v>Strategy</v>
      </c>
    </row>
    <row r="131">
      <c r="A131" s="17" t="str">
        <f>IFERROR(__xludf.DUMMYFUNCTION("""COMPUTED_VALUE"""),"The Outer Worlds")</f>
        <v>The Outer Worlds</v>
      </c>
      <c r="B131" s="20" t="str">
        <f>IFERROR(__xludf.DUMMYFUNCTION("""COMPUTED_VALUE"""),"Xbox / PC")</f>
        <v>Xbox / PC</v>
      </c>
      <c r="C131" s="21" t="str">
        <f>IFERROR(__xludf.DUMMYFUNCTION("""COMPUTED_VALUE"""),"Yes")</f>
        <v>Yes</v>
      </c>
      <c r="D131" s="21" t="str">
        <f>IFERROR(__xludf.DUMMYFUNCTION("""COMPUTED_VALUE"""),"Active")</f>
        <v>Active</v>
      </c>
      <c r="E131" s="23">
        <f>IFERROR(__xludf.DUMMYFUNCTION("""COMPUTED_VALUE"""),43763.0)</f>
        <v>43763</v>
      </c>
      <c r="F131" s="24"/>
      <c r="G131" s="27">
        <f>IFERROR(__xludf.DUMMYFUNCTION("""COMPUTED_VALUE"""),83.36666666666666)</f>
        <v>83.36666667</v>
      </c>
      <c r="H131" s="23">
        <f>IFERROR(__xludf.DUMMYFUNCTION("""COMPUTED_VALUE"""),43763.0)</f>
        <v>43763</v>
      </c>
      <c r="I131" s="27">
        <f>IFERROR(__xludf.DUMMYFUNCTION("""COMPUTED_VALUE"""),0.0)</f>
        <v>0</v>
      </c>
      <c r="J131" s="29">
        <f>IFERROR(__xludf.DUMMYFUNCTION("""COMPUTED_VALUE"""),85.0)</f>
        <v>85</v>
      </c>
      <c r="K131" s="29">
        <f>IFERROR(__xludf.DUMMYFUNCTION("""COMPUTED_VALUE"""),12.0)</f>
        <v>12</v>
      </c>
      <c r="L131" s="31" t="str">
        <f>IFERROR(__xludf.DUMMYFUNCTION("""COMPUTED_VALUE"""),"Shooter")</f>
        <v>Shooter</v>
      </c>
    </row>
    <row r="132">
      <c r="A132" s="17" t="str">
        <f>IFERROR(__xludf.DUMMYFUNCTION("""COMPUTED_VALUE"""),"Batman: Arkham Knight")</f>
        <v>Batman: Arkham Knight</v>
      </c>
      <c r="B132" s="20" t="str">
        <f>IFERROR(__xludf.DUMMYFUNCTION("""COMPUTED_VALUE"""),"Xbox / PC")</f>
        <v>Xbox / PC</v>
      </c>
      <c r="C132" s="21" t="str">
        <f>IFERROR(__xludf.DUMMYFUNCTION("""COMPUTED_VALUE"""),"Yes")</f>
        <v>Yes</v>
      </c>
      <c r="D132" s="21" t="str">
        <f>IFERROR(__xludf.DUMMYFUNCTION("""COMPUTED_VALUE"""),"Active")</f>
        <v>Active</v>
      </c>
      <c r="E132" s="23">
        <f>IFERROR(__xludf.DUMMYFUNCTION("""COMPUTED_VALUE"""),43625.0)</f>
        <v>43625</v>
      </c>
      <c r="F132" s="24"/>
      <c r="G132" s="27">
        <f>IFERROR(__xludf.DUMMYFUNCTION("""COMPUTED_VALUE"""),87.9)</f>
        <v>87.9</v>
      </c>
      <c r="H132" s="23">
        <f>IFERROR(__xludf.DUMMYFUNCTION("""COMPUTED_VALUE"""),42178.0)</f>
        <v>42178</v>
      </c>
      <c r="I132" s="27">
        <f>IFERROR(__xludf.DUMMYFUNCTION("""COMPUTED_VALUE"""),3.9611111111111112)</f>
        <v>3.961111111</v>
      </c>
      <c r="J132" s="29">
        <f>IFERROR(__xludf.DUMMYFUNCTION("""COMPUTED_VALUE"""),85.0)</f>
        <v>85</v>
      </c>
      <c r="K132" s="29">
        <f>IFERROR(__xludf.DUMMYFUNCTION("""COMPUTED_VALUE"""),16.5)</f>
        <v>16.5</v>
      </c>
      <c r="L132" s="31" t="str">
        <f>IFERROR(__xludf.DUMMYFUNCTION("""COMPUTED_VALUE"""),"Action-Adventure")</f>
        <v>Action-Adventure</v>
      </c>
    </row>
    <row r="133">
      <c r="A133" s="17" t="str">
        <f>IFERROR(__xludf.DUMMYFUNCTION("""COMPUTED_VALUE"""),"Halo: The Master Chief Collection")</f>
        <v>Halo: The Master Chief Collection</v>
      </c>
      <c r="B133" s="20" t="str">
        <f>IFERROR(__xludf.DUMMYFUNCTION("""COMPUTED_VALUE"""),"Xbox / PC")</f>
        <v>Xbox / PC</v>
      </c>
      <c r="C133" s="21" t="str">
        <f>IFERROR(__xludf.DUMMYFUNCTION("""COMPUTED_VALUE"""),"Yes")</f>
        <v>Yes</v>
      </c>
      <c r="D133" s="21" t="str">
        <f>IFERROR(__xludf.DUMMYFUNCTION("""COMPUTED_VALUE"""),"Active")</f>
        <v>Active</v>
      </c>
      <c r="E133" s="23">
        <f>IFERROR(__xludf.DUMMYFUNCTION("""COMPUTED_VALUE"""),43344.0)</f>
        <v>43344</v>
      </c>
      <c r="F133" s="24"/>
      <c r="G133" s="27">
        <f>IFERROR(__xludf.DUMMYFUNCTION("""COMPUTED_VALUE"""),97.16666666666666)</f>
        <v>97.16666667</v>
      </c>
      <c r="H133" s="23">
        <f>IFERROR(__xludf.DUMMYFUNCTION("""COMPUTED_VALUE"""),41954.0)</f>
        <v>41954</v>
      </c>
      <c r="I133" s="27">
        <f>IFERROR(__xludf.DUMMYFUNCTION("""COMPUTED_VALUE"""),3.8055555555555554)</f>
        <v>3.805555556</v>
      </c>
      <c r="J133" s="29">
        <f>IFERROR(__xludf.DUMMYFUNCTION("""COMPUTED_VALUE"""),85.0)</f>
        <v>85</v>
      </c>
      <c r="K133" s="29">
        <f>IFERROR(__xludf.DUMMYFUNCTION("""COMPUTED_VALUE"""),52.5)</f>
        <v>52.5</v>
      </c>
      <c r="L133" s="31" t="str">
        <f>IFERROR(__xludf.DUMMYFUNCTION("""COMPUTED_VALUE"""),"Shooter")</f>
        <v>Shooter</v>
      </c>
    </row>
    <row r="134">
      <c r="A134" s="17" t="str">
        <f>IFERROR(__xludf.DUMMYFUNCTION("""COMPUTED_VALUE"""),"A Plague Tale: Requiem")</f>
        <v>A Plague Tale: Requiem</v>
      </c>
      <c r="B134" s="20" t="str">
        <f>IFERROR(__xludf.DUMMYFUNCTION("""COMPUTED_VALUE"""),"Xbox / PC")</f>
        <v>Xbox / PC</v>
      </c>
      <c r="C134" s="21" t="str">
        <f>IFERROR(__xludf.DUMMYFUNCTION("""COMPUTED_VALUE"""),"Yes")</f>
        <v>Yes</v>
      </c>
      <c r="D134" s="21" t="str">
        <f>IFERROR(__xludf.DUMMYFUNCTION("""COMPUTED_VALUE"""),"Leaving Soon")</f>
        <v>Leaving Soon</v>
      </c>
      <c r="E134" s="23">
        <f>IFERROR(__xludf.DUMMYFUNCTION("""COMPUTED_VALUE"""),44852.0)</f>
        <v>44852</v>
      </c>
      <c r="F134" s="24">
        <f>IFERROR(__xludf.DUMMYFUNCTION("""COMPUTED_VALUE"""),46310.0)</f>
        <v>46310</v>
      </c>
      <c r="G134" s="27">
        <f>IFERROR(__xludf.DUMMYFUNCTION("""COMPUTED_VALUE"""),47.9)</f>
        <v>47.9</v>
      </c>
      <c r="H134" s="23">
        <f>IFERROR(__xludf.DUMMYFUNCTION("""COMPUTED_VALUE"""),44852.0)</f>
        <v>44852</v>
      </c>
      <c r="I134" s="27">
        <f>IFERROR(__xludf.DUMMYFUNCTION("""COMPUTED_VALUE"""),0.0)</f>
        <v>0</v>
      </c>
      <c r="J134" s="29">
        <f>IFERROR(__xludf.DUMMYFUNCTION("""COMPUTED_VALUE"""),85.0)</f>
        <v>85</v>
      </c>
      <c r="K134" s="29">
        <f>IFERROR(__xludf.DUMMYFUNCTION("""COMPUTED_VALUE"""),15.0)</f>
        <v>15</v>
      </c>
      <c r="L134" s="31" t="str">
        <f>IFERROR(__xludf.DUMMYFUNCTION("""COMPUTED_VALUE"""),"Action-Adventure")</f>
        <v>Action-Adventure</v>
      </c>
    </row>
    <row r="135">
      <c r="A135" s="17" t="str">
        <f>IFERROR(__xludf.DUMMYFUNCTION("""COMPUTED_VALUE"""),"Assassin's Creed Origins")</f>
        <v>Assassin's Creed Origins</v>
      </c>
      <c r="B135" s="20" t="str">
        <f>IFERROR(__xludf.DUMMYFUNCTION("""COMPUTED_VALUE"""),"Xbox / PC")</f>
        <v>Xbox / PC</v>
      </c>
      <c r="C135" s="21" t="str">
        <f>IFERROR(__xludf.DUMMYFUNCTION("""COMPUTED_VALUE"""),"Touch Controls")</f>
        <v>Touch Controls</v>
      </c>
      <c r="D135" s="21" t="str">
        <f>IFERROR(__xludf.DUMMYFUNCTION("""COMPUTED_VALUE"""),"Active")</f>
        <v>Active</v>
      </c>
      <c r="E135" s="23">
        <f>IFERROR(__xludf.DUMMYFUNCTION("""COMPUTED_VALUE"""),44719.0)</f>
        <v>44719</v>
      </c>
      <c r="F135" s="24"/>
      <c r="G135" s="27">
        <f>IFERROR(__xludf.DUMMYFUNCTION("""COMPUTED_VALUE"""),51.96666666666667)</f>
        <v>51.96666667</v>
      </c>
      <c r="H135" s="23">
        <f>IFERROR(__xludf.DUMMYFUNCTION("""COMPUTED_VALUE"""),43035.0)</f>
        <v>43035</v>
      </c>
      <c r="I135" s="27">
        <f>IFERROR(__xludf.DUMMYFUNCTION("""COMPUTED_VALUE"""),4.611111111111111)</f>
        <v>4.611111111</v>
      </c>
      <c r="J135" s="29">
        <f>IFERROR(__xludf.DUMMYFUNCTION("""COMPUTED_VALUE"""),84.5)</f>
        <v>84.5</v>
      </c>
      <c r="K135" s="29">
        <f>IFERROR(__xludf.DUMMYFUNCTION("""COMPUTED_VALUE"""),30.0)</f>
        <v>30</v>
      </c>
      <c r="L135" s="31" t="str">
        <f>IFERROR(__xludf.DUMMYFUNCTION("""COMPUTED_VALUE"""),"RPG")</f>
        <v>RPG</v>
      </c>
    </row>
    <row r="136">
      <c r="A136" s="17" t="str">
        <f>IFERROR(__xludf.DUMMYFUNCTION("""COMPUTED_VALUE"""),"Shape of Dreams")</f>
        <v>Shape of Dreams</v>
      </c>
      <c r="B136" s="20" t="str">
        <f>IFERROR(__xludf.DUMMYFUNCTION("""COMPUTED_VALUE"""),"Xbox / PC")</f>
        <v>Xbox / PC</v>
      </c>
      <c r="C136" s="21" t="str">
        <f>IFERROR(__xludf.DUMMYFUNCTION("""COMPUTED_VALUE"""),"Yes")</f>
        <v>Yes</v>
      </c>
      <c r="D136" s="21" t="str">
        <f>IFERROR(__xludf.DUMMYFUNCTION("""COMPUTED_VALUE"""),"Active")</f>
        <v>Active</v>
      </c>
      <c r="E136" s="23">
        <f>IFERROR(__xludf.DUMMYFUNCTION("""COMPUTED_VALUE"""),46282.0)</f>
        <v>46282</v>
      </c>
      <c r="F136" s="24"/>
      <c r="G136" s="27">
        <f>IFERROR(__xludf.DUMMYFUNCTION("""COMPUTED_VALUE"""),0.6333333333333333)</f>
        <v>0.6333333333</v>
      </c>
      <c r="H136" s="23">
        <f>IFERROR(__xludf.DUMMYFUNCTION("""COMPUTED_VALUE"""),45910.0)</f>
        <v>45910</v>
      </c>
      <c r="I136" s="27">
        <f>IFERROR(__xludf.DUMMYFUNCTION("""COMPUTED_VALUE"""),1.0194444444444444)</f>
        <v>1.019444444</v>
      </c>
      <c r="J136" s="29">
        <f>IFERROR(__xludf.DUMMYFUNCTION("""COMPUTED_VALUE"""),84.0)</f>
        <v>84</v>
      </c>
      <c r="K136" s="29">
        <f>IFERROR(__xludf.DUMMYFUNCTION("""COMPUTED_VALUE"""),9.0)</f>
        <v>9</v>
      </c>
      <c r="L136" s="31" t="str">
        <f>IFERROR(__xludf.DUMMYFUNCTION("""COMPUTED_VALUE"""),"RPG")</f>
        <v>RPG</v>
      </c>
    </row>
    <row r="137">
      <c r="A137" s="17" t="str">
        <f>IFERROR(__xludf.DUMMYFUNCTION("""COMPUTED_VALUE"""),"Remnant II")</f>
        <v>Remnant II</v>
      </c>
      <c r="B137" s="20" t="str">
        <f>IFERROR(__xludf.DUMMYFUNCTION("""COMPUTED_VALUE"""),"Xbox / PC")</f>
        <v>Xbox / PC</v>
      </c>
      <c r="C137" s="21" t="str">
        <f>IFERROR(__xludf.DUMMYFUNCTION("""COMPUTED_VALUE"""),"Yes")</f>
        <v>Yes</v>
      </c>
      <c r="D137" s="21" t="str">
        <f>IFERROR(__xludf.DUMMYFUNCTION("""COMPUTED_VALUE"""),"Active")</f>
        <v>Active</v>
      </c>
      <c r="E137" s="23">
        <f>IFERROR(__xludf.DUMMYFUNCTION("""COMPUTED_VALUE"""),46162.0)</f>
        <v>46162</v>
      </c>
      <c r="F137" s="24"/>
      <c r="G137" s="27">
        <f>IFERROR(__xludf.DUMMYFUNCTION("""COMPUTED_VALUE"""),4.533333333333333)</f>
        <v>4.533333333</v>
      </c>
      <c r="H137" s="23">
        <f>IFERROR(__xludf.DUMMYFUNCTION("""COMPUTED_VALUE"""),45132.0)</f>
        <v>45132</v>
      </c>
      <c r="I137" s="27">
        <f>IFERROR(__xludf.DUMMYFUNCTION("""COMPUTED_VALUE"""),2.8194444444444446)</f>
        <v>2.819444444</v>
      </c>
      <c r="J137" s="29">
        <f>IFERROR(__xludf.DUMMYFUNCTION("""COMPUTED_VALUE"""),84.0)</f>
        <v>84</v>
      </c>
      <c r="K137" s="29">
        <f>IFERROR(__xludf.DUMMYFUNCTION("""COMPUTED_VALUE"""),18.0)</f>
        <v>18</v>
      </c>
      <c r="L137" s="31" t="str">
        <f>IFERROR(__xludf.DUMMYFUNCTION("""COMPUTED_VALUE"""),"RPG")</f>
        <v>RPG</v>
      </c>
    </row>
    <row r="138">
      <c r="A138" s="17" t="str">
        <f>IFERROR(__xludf.DUMMYFUNCTION("""COMPUTED_VALUE"""),"Beyond Zork: The Coconut of Quendor")</f>
        <v>Beyond Zork: The Coconut of Quendor</v>
      </c>
      <c r="B138" s="20" t="str">
        <f>IFERROR(__xludf.DUMMYFUNCTION("""COMPUTED_VALUE"""),"Xbox / PC")</f>
        <v>Xbox / PC</v>
      </c>
      <c r="C138" s="21" t="str">
        <f>IFERROR(__xludf.DUMMYFUNCTION("""COMPUTED_VALUE"""),"Yes")</f>
        <v>Yes</v>
      </c>
      <c r="D138" s="21" t="str">
        <f>IFERROR(__xludf.DUMMYFUNCTION("""COMPUTED_VALUE"""),"Active")</f>
        <v>Active</v>
      </c>
      <c r="E138" s="23">
        <f>IFERROR(__xludf.DUMMYFUNCTION("""COMPUTED_VALUE"""),46072.0)</f>
        <v>46072</v>
      </c>
      <c r="F138" s="24"/>
      <c r="G138" s="27">
        <f>IFERROR(__xludf.DUMMYFUNCTION("""COMPUTED_VALUE"""),7.566666666666666)</f>
        <v>7.566666667</v>
      </c>
      <c r="H138" s="23">
        <f>IFERROR(__xludf.DUMMYFUNCTION("""COMPUTED_VALUE"""),32051.0)</f>
        <v>32051</v>
      </c>
      <c r="I138" s="27">
        <f>IFERROR(__xludf.DUMMYFUNCTION("""COMPUTED_VALUE"""),38.38333333333333)</f>
        <v>38.38333333</v>
      </c>
      <c r="J138" s="29">
        <f>IFERROR(__xludf.DUMMYFUNCTION("""COMPUTED_VALUE"""),84.0)</f>
        <v>84</v>
      </c>
      <c r="K138" s="29">
        <f>IFERROR(__xludf.DUMMYFUNCTION("""COMPUTED_VALUE"""),1.0)</f>
        <v>1</v>
      </c>
      <c r="L138" s="31" t="str">
        <f>IFERROR(__xludf.DUMMYFUNCTION("""COMPUTED_VALUE"""),"Action-Adventure")</f>
        <v>Action-Adventure</v>
      </c>
    </row>
    <row r="139">
      <c r="A139" s="17" t="str">
        <f>IFERROR(__xludf.DUMMYFUNCTION("""COMPUTED_VALUE"""),"Ninja Gaiden: Ragebound")</f>
        <v>Ninja Gaiden: Ragebound</v>
      </c>
      <c r="B139" s="20" t="str">
        <f>IFERROR(__xludf.DUMMYFUNCTION("""COMPUTED_VALUE"""),"Xbox / PC")</f>
        <v>Xbox / PC</v>
      </c>
      <c r="C139" s="21" t="str">
        <f>IFERROR(__xludf.DUMMYFUNCTION("""COMPUTED_VALUE"""),"Yes")</f>
        <v>Yes</v>
      </c>
      <c r="D139" s="21" t="str">
        <f>IFERROR(__xludf.DUMMYFUNCTION("""COMPUTED_VALUE"""),"Active")</f>
        <v>Active</v>
      </c>
      <c r="E139" s="23">
        <f>IFERROR(__xludf.DUMMYFUNCTION("""COMPUTED_VALUE"""),46043.0)</f>
        <v>46043</v>
      </c>
      <c r="F139" s="24"/>
      <c r="G139" s="27">
        <f>IFERROR(__xludf.DUMMYFUNCTION("""COMPUTED_VALUE"""),8.5)</f>
        <v>8.5</v>
      </c>
      <c r="H139" s="23">
        <f>IFERROR(__xludf.DUMMYFUNCTION("""COMPUTED_VALUE"""),45869.0)</f>
        <v>45869</v>
      </c>
      <c r="I139" s="27">
        <f>IFERROR(__xludf.DUMMYFUNCTION("""COMPUTED_VALUE"""),0.475)</f>
        <v>0.475</v>
      </c>
      <c r="J139" s="29">
        <f>IFERROR(__xludf.DUMMYFUNCTION("""COMPUTED_VALUE"""),84.0)</f>
        <v>84</v>
      </c>
      <c r="K139" s="29">
        <f>IFERROR(__xludf.DUMMYFUNCTION("""COMPUTED_VALUE"""),6.0)</f>
        <v>6</v>
      </c>
      <c r="L139" s="31" t="str">
        <f>IFERROR(__xludf.DUMMYFUNCTION("""COMPUTED_VALUE"""),"Action-Adventure")</f>
        <v>Action-Adventure</v>
      </c>
    </row>
    <row r="140">
      <c r="A140" s="17" t="str">
        <f>IFERROR(__xludf.DUMMYFUNCTION("""COMPUTED_VALUE"""),"Resident Evil Village")</f>
        <v>Resident Evil Village</v>
      </c>
      <c r="B140" s="20" t="str">
        <f>IFERROR(__xludf.DUMMYFUNCTION("""COMPUTED_VALUE"""),"Xbox / PC")</f>
        <v>Xbox / PC</v>
      </c>
      <c r="C140" s="21" t="str">
        <f>IFERROR(__xludf.DUMMYFUNCTION("""COMPUTED_VALUE"""),"Yes")</f>
        <v>Yes</v>
      </c>
      <c r="D140" s="21" t="str">
        <f>IFERROR(__xludf.DUMMYFUNCTION("""COMPUTED_VALUE"""),"Active")</f>
        <v>Active</v>
      </c>
      <c r="E140" s="23">
        <f>IFERROR(__xludf.DUMMYFUNCTION("""COMPUTED_VALUE"""),46042.0)</f>
        <v>46042</v>
      </c>
      <c r="F140" s="24"/>
      <c r="G140" s="27">
        <f>IFERROR(__xludf.DUMMYFUNCTION("""COMPUTED_VALUE"""),8.533333333333333)</f>
        <v>8.533333333</v>
      </c>
      <c r="H140" s="23">
        <f>IFERROR(__xludf.DUMMYFUNCTION("""COMPUTED_VALUE"""),44323.0)</f>
        <v>44323</v>
      </c>
      <c r="I140" s="27">
        <f>IFERROR(__xludf.DUMMYFUNCTION("""COMPUTED_VALUE"""),4.7027777777777775)</f>
        <v>4.702777778</v>
      </c>
      <c r="J140" s="29">
        <f>IFERROR(__xludf.DUMMYFUNCTION("""COMPUTED_VALUE"""),84.0)</f>
        <v>84</v>
      </c>
      <c r="K140" s="29">
        <f>IFERROR(__xludf.DUMMYFUNCTION("""COMPUTED_VALUE"""),9.0)</f>
        <v>9</v>
      </c>
      <c r="L140" s="31" t="str">
        <f>IFERROR(__xludf.DUMMYFUNCTION("""COMPUTED_VALUE"""),"Action-Adventure")</f>
        <v>Action-Adventure</v>
      </c>
    </row>
    <row r="141">
      <c r="A141" s="17" t="str">
        <f>IFERROR(__xludf.DUMMYFUNCTION("""COMPUTED_VALUE"""),"Ball x Pit")</f>
        <v>Ball x Pit</v>
      </c>
      <c r="B141" s="20" t="str">
        <f>IFERROR(__xludf.DUMMYFUNCTION("""COMPUTED_VALUE"""),"Xbox / PC")</f>
        <v>Xbox / PC</v>
      </c>
      <c r="C141" s="21" t="str">
        <f>IFERROR(__xludf.DUMMYFUNCTION("""COMPUTED_VALUE"""),"Yes")</f>
        <v>Yes</v>
      </c>
      <c r="D141" s="21" t="str">
        <f>IFERROR(__xludf.DUMMYFUNCTION("""COMPUTED_VALUE"""),"Active")</f>
        <v>Active</v>
      </c>
      <c r="E141" s="23">
        <f>IFERROR(__xludf.DUMMYFUNCTION("""COMPUTED_VALUE"""),45945.0)</f>
        <v>45945</v>
      </c>
      <c r="F141" s="24"/>
      <c r="G141" s="27">
        <f>IFERROR(__xludf.DUMMYFUNCTION("""COMPUTED_VALUE"""),11.7)</f>
        <v>11.7</v>
      </c>
      <c r="H141" s="23">
        <f>IFERROR(__xludf.DUMMYFUNCTION("""COMPUTED_VALUE"""),45945.0)</f>
        <v>45945</v>
      </c>
      <c r="I141" s="27">
        <f>IFERROR(__xludf.DUMMYFUNCTION("""COMPUTED_VALUE"""),0.0)</f>
        <v>0</v>
      </c>
      <c r="J141" s="29">
        <f>IFERROR(__xludf.DUMMYFUNCTION("""COMPUTED_VALUE"""),84.0)</f>
        <v>84</v>
      </c>
      <c r="K141" s="29">
        <f>IFERROR(__xludf.DUMMYFUNCTION("""COMPUTED_VALUE"""),19.0)</f>
        <v>19</v>
      </c>
      <c r="L141" s="31" t="str">
        <f>IFERROR(__xludf.DUMMYFUNCTION("""COMPUTED_VALUE"""),"Shoot-'Em-Up")</f>
        <v>Shoot-'Em-Up</v>
      </c>
    </row>
    <row r="142">
      <c r="A142" s="17" t="str">
        <f>IFERROR(__xludf.DUMMYFUNCTION("""COMPUTED_VALUE"""),"Heroes of Might and Magic II: Gold Edition")</f>
        <v>Heroes of Might and Magic II: Gold Edition</v>
      </c>
      <c r="B142" s="20" t="str">
        <f>IFERROR(__xludf.DUMMYFUNCTION("""COMPUTED_VALUE"""),"PC")</f>
        <v>PC</v>
      </c>
      <c r="C142" s="21"/>
      <c r="D142" s="21" t="str">
        <f>IFERROR(__xludf.DUMMYFUNCTION("""COMPUTED_VALUE"""),"Active")</f>
        <v>Active</v>
      </c>
      <c r="E142" s="23">
        <f>IFERROR(__xludf.DUMMYFUNCTION("""COMPUTED_VALUE"""),45940.0)</f>
        <v>45940</v>
      </c>
      <c r="F142" s="24"/>
      <c r="G142" s="27">
        <f>IFERROR(__xludf.DUMMYFUNCTION("""COMPUTED_VALUE"""),11.866666666666667)</f>
        <v>11.86666667</v>
      </c>
      <c r="H142" s="23">
        <f>IFERROR(__xludf.DUMMYFUNCTION("""COMPUTED_VALUE"""),35338.0)</f>
        <v>35338</v>
      </c>
      <c r="I142" s="27">
        <f>IFERROR(__xludf.DUMMYFUNCTION("""COMPUTED_VALUE"""),29.02777777777778)</f>
        <v>29.02777778</v>
      </c>
      <c r="J142" s="29">
        <f>IFERROR(__xludf.DUMMYFUNCTION("""COMPUTED_VALUE"""),84.0)</f>
        <v>84</v>
      </c>
      <c r="K142" s="29">
        <f>IFERROR(__xludf.DUMMYFUNCTION("""COMPUTED_VALUE"""),80.0)</f>
        <v>80</v>
      </c>
      <c r="L142" s="31" t="str">
        <f>IFERROR(__xludf.DUMMYFUNCTION("""COMPUTED_VALUE"""),"Strategy")</f>
        <v>Strategy</v>
      </c>
    </row>
    <row r="143">
      <c r="A143" s="17" t="str">
        <f>IFERROR(__xludf.DUMMYFUNCTION("""COMPUTED_VALUE"""),"Hogwarts Legacy")</f>
        <v>Hogwarts Legacy</v>
      </c>
      <c r="B143" s="20" t="str">
        <f>IFERROR(__xludf.DUMMYFUNCTION("""COMPUTED_VALUE"""),"Xbox / PC")</f>
        <v>Xbox / PC</v>
      </c>
      <c r="C143" s="21" t="str">
        <f>IFERROR(__xludf.DUMMYFUNCTION("""COMPUTED_VALUE"""),"Yes")</f>
        <v>Yes</v>
      </c>
      <c r="D143" s="21" t="str">
        <f>IFERROR(__xludf.DUMMYFUNCTION("""COMPUTED_VALUE"""),"Active")</f>
        <v>Active</v>
      </c>
      <c r="E143" s="23">
        <f>IFERROR(__xludf.DUMMYFUNCTION("""COMPUTED_VALUE"""),45931.0)</f>
        <v>45931</v>
      </c>
      <c r="F143" s="24"/>
      <c r="G143" s="27">
        <f>IFERROR(__xludf.DUMMYFUNCTION("""COMPUTED_VALUE"""),12.166666666666666)</f>
        <v>12.16666667</v>
      </c>
      <c r="H143" s="23">
        <f>IFERROR(__xludf.DUMMYFUNCTION("""COMPUTED_VALUE"""),44964.0)</f>
        <v>44964</v>
      </c>
      <c r="I143" s="27">
        <f>IFERROR(__xludf.DUMMYFUNCTION("""COMPUTED_VALUE"""),2.65)</f>
        <v>2.65</v>
      </c>
      <c r="J143" s="29">
        <f>IFERROR(__xludf.DUMMYFUNCTION("""COMPUTED_VALUE"""),84.0)</f>
        <v>84</v>
      </c>
      <c r="K143" s="29">
        <f>IFERROR(__xludf.DUMMYFUNCTION("""COMPUTED_VALUE"""),27.0)</f>
        <v>27</v>
      </c>
      <c r="L143" s="31" t="str">
        <f>IFERROR(__xludf.DUMMYFUNCTION("""COMPUTED_VALUE"""),"Action-Adventure")</f>
        <v>Action-Adventure</v>
      </c>
    </row>
    <row r="144">
      <c r="A144" s="17" t="str">
        <f>IFERROR(__xludf.DUMMYFUNCTION("""COMPUTED_VALUE"""),"The Alters")</f>
        <v>The Alters</v>
      </c>
      <c r="B144" s="20" t="str">
        <f>IFERROR(__xludf.DUMMYFUNCTION("""COMPUTED_VALUE"""),"Xbox / PC")</f>
        <v>Xbox / PC</v>
      </c>
      <c r="C144" s="21" t="str">
        <f>IFERROR(__xludf.DUMMYFUNCTION("""COMPUTED_VALUE"""),"Yes")</f>
        <v>Yes</v>
      </c>
      <c r="D144" s="21" t="str">
        <f>IFERROR(__xludf.DUMMYFUNCTION("""COMPUTED_VALUE"""),"Active")</f>
        <v>Active</v>
      </c>
      <c r="E144" s="23">
        <f>IFERROR(__xludf.DUMMYFUNCTION("""COMPUTED_VALUE"""),45821.0)</f>
        <v>45821</v>
      </c>
      <c r="F144" s="24"/>
      <c r="G144" s="27">
        <f>IFERROR(__xludf.DUMMYFUNCTION("""COMPUTED_VALUE"""),15.766666666666666)</f>
        <v>15.76666667</v>
      </c>
      <c r="H144" s="23">
        <f>IFERROR(__xludf.DUMMYFUNCTION("""COMPUTED_VALUE"""),45821.0)</f>
        <v>45821</v>
      </c>
      <c r="I144" s="27">
        <f>IFERROR(__xludf.DUMMYFUNCTION("""COMPUTED_VALUE"""),0.0)</f>
        <v>0</v>
      </c>
      <c r="J144" s="29">
        <f>IFERROR(__xludf.DUMMYFUNCTION("""COMPUTED_VALUE"""),84.0)</f>
        <v>84</v>
      </c>
      <c r="K144" s="29">
        <f>IFERROR(__xludf.DUMMYFUNCTION("""COMPUTED_VALUE"""),19.0)</f>
        <v>19</v>
      </c>
      <c r="L144" s="31" t="str">
        <f>IFERROR(__xludf.DUMMYFUNCTION("""COMPUTED_VALUE"""),"Survival")</f>
        <v>Survival</v>
      </c>
    </row>
    <row r="145">
      <c r="A145" s="17" t="str">
        <f>IFERROR(__xludf.DUMMYFUNCTION("""COMPUTED_VALUE"""),"Kingdom: Two Crowns")</f>
        <v>Kingdom: Two Crowns</v>
      </c>
      <c r="B145" s="20" t="str">
        <f>IFERROR(__xludf.DUMMYFUNCTION("""COMPUTED_VALUE"""),"Xbox / PC")</f>
        <v>Xbox / PC</v>
      </c>
      <c r="C145" s="21" t="str">
        <f>IFERROR(__xludf.DUMMYFUNCTION("""COMPUTED_VALUE"""),"Yes")</f>
        <v>Yes</v>
      </c>
      <c r="D145" s="21" t="str">
        <f>IFERROR(__xludf.DUMMYFUNCTION("""COMPUTED_VALUE"""),"Active")</f>
        <v>Active</v>
      </c>
      <c r="E145" s="23">
        <f>IFERROR(__xludf.DUMMYFUNCTION("""COMPUTED_VALUE"""),45701.0)</f>
        <v>45701</v>
      </c>
      <c r="F145" s="24"/>
      <c r="G145" s="27">
        <f>IFERROR(__xludf.DUMMYFUNCTION("""COMPUTED_VALUE"""),19.766666666666666)</f>
        <v>19.76666667</v>
      </c>
      <c r="H145" s="23">
        <f>IFERROR(__xludf.DUMMYFUNCTION("""COMPUTED_VALUE"""),43445.0)</f>
        <v>43445</v>
      </c>
      <c r="I145" s="27">
        <f>IFERROR(__xludf.DUMMYFUNCTION("""COMPUTED_VALUE"""),6.1722222222222225)</f>
        <v>6.172222222</v>
      </c>
      <c r="J145" s="29">
        <f>IFERROR(__xludf.DUMMYFUNCTION("""COMPUTED_VALUE"""),84.0)</f>
        <v>84</v>
      </c>
      <c r="K145" s="29">
        <f>IFERROR(__xludf.DUMMYFUNCTION("""COMPUTED_VALUE"""),28.5)</f>
        <v>28.5</v>
      </c>
      <c r="L145" s="31" t="str">
        <f>IFERROR(__xludf.DUMMYFUNCTION("""COMPUTED_VALUE"""),"Strategy")</f>
        <v>Strategy</v>
      </c>
    </row>
    <row r="146">
      <c r="A146" s="17" t="str">
        <f>IFERROR(__xludf.DUMMYFUNCTION("""COMPUTED_VALUE"""),"Age of Mythology: Retold")</f>
        <v>Age of Mythology: Retold</v>
      </c>
      <c r="B146" s="20" t="str">
        <f>IFERROR(__xludf.DUMMYFUNCTION("""COMPUTED_VALUE"""),"Xbox / PC")</f>
        <v>Xbox / PC</v>
      </c>
      <c r="C146" s="21" t="str">
        <f>IFERROR(__xludf.DUMMYFUNCTION("""COMPUTED_VALUE"""),"Yes")</f>
        <v>Yes</v>
      </c>
      <c r="D146" s="21" t="str">
        <f>IFERROR(__xludf.DUMMYFUNCTION("""COMPUTED_VALUE"""),"Active")</f>
        <v>Active</v>
      </c>
      <c r="E146" s="23">
        <f>IFERROR(__xludf.DUMMYFUNCTION("""COMPUTED_VALUE"""),45539.0)</f>
        <v>45539</v>
      </c>
      <c r="F146" s="24"/>
      <c r="G146" s="27">
        <f>IFERROR(__xludf.DUMMYFUNCTION("""COMPUTED_VALUE"""),25.06666666666667)</f>
        <v>25.06666667</v>
      </c>
      <c r="H146" s="23">
        <f>IFERROR(__xludf.DUMMYFUNCTION("""COMPUTED_VALUE"""),45539.0)</f>
        <v>45539</v>
      </c>
      <c r="I146" s="27">
        <f>IFERROR(__xludf.DUMMYFUNCTION("""COMPUTED_VALUE"""),0.0)</f>
        <v>0</v>
      </c>
      <c r="J146" s="29">
        <f>IFERROR(__xludf.DUMMYFUNCTION("""COMPUTED_VALUE"""),84.0)</f>
        <v>84</v>
      </c>
      <c r="K146" s="29">
        <f>IFERROR(__xludf.DUMMYFUNCTION("""COMPUTED_VALUE"""),21.0)</f>
        <v>21</v>
      </c>
      <c r="L146" s="31" t="str">
        <f>IFERROR(__xludf.DUMMYFUNCTION("""COMPUTED_VALUE"""),"Strategy")</f>
        <v>Strategy</v>
      </c>
    </row>
    <row r="147">
      <c r="A147" s="17" t="str">
        <f>IFERROR(__xludf.DUMMYFUNCTION("""COMPUTED_VALUE"""),"Starfield")</f>
        <v>Starfield</v>
      </c>
      <c r="B147" s="20" t="str">
        <f>IFERROR(__xludf.DUMMYFUNCTION("""COMPUTED_VALUE"""),"Xbox / PC")</f>
        <v>Xbox / PC</v>
      </c>
      <c r="C147" s="21" t="str">
        <f>IFERROR(__xludf.DUMMYFUNCTION("""COMPUTED_VALUE"""),"Yes")</f>
        <v>Yes</v>
      </c>
      <c r="D147" s="21" t="str">
        <f>IFERROR(__xludf.DUMMYFUNCTION("""COMPUTED_VALUE"""),"Active")</f>
        <v>Active</v>
      </c>
      <c r="E147" s="23">
        <f>IFERROR(__xludf.DUMMYFUNCTION("""COMPUTED_VALUE"""),45175.0)</f>
        <v>45175</v>
      </c>
      <c r="F147" s="24"/>
      <c r="G147" s="27">
        <f>IFERROR(__xludf.DUMMYFUNCTION("""COMPUTED_VALUE"""),37.0)</f>
        <v>37</v>
      </c>
      <c r="H147" s="23">
        <f>IFERROR(__xludf.DUMMYFUNCTION("""COMPUTED_VALUE"""),45175.0)</f>
        <v>45175</v>
      </c>
      <c r="I147" s="27">
        <f>IFERROR(__xludf.DUMMYFUNCTION("""COMPUTED_VALUE"""),0.0)</f>
        <v>0</v>
      </c>
      <c r="J147" s="29">
        <f>IFERROR(__xludf.DUMMYFUNCTION("""COMPUTED_VALUE"""),84.0)</f>
        <v>84</v>
      </c>
      <c r="K147" s="29">
        <f>IFERROR(__xludf.DUMMYFUNCTION("""COMPUTED_VALUE"""),20.0)</f>
        <v>20</v>
      </c>
      <c r="L147" s="31" t="str">
        <f>IFERROR(__xludf.DUMMYFUNCTION("""COMPUTED_VALUE"""),"RPG")</f>
        <v>RPG</v>
      </c>
    </row>
    <row r="148">
      <c r="A148" s="17" t="str">
        <f>IFERROR(__xludf.DUMMYFUNCTION("""COMPUTED_VALUE"""),"Syndicate (1993)")</f>
        <v>Syndicate (1993)</v>
      </c>
      <c r="B148" s="20" t="str">
        <f>IFERROR(__xludf.DUMMYFUNCTION("""COMPUTED_VALUE"""),"PC")</f>
        <v>PC</v>
      </c>
      <c r="C148" s="21"/>
      <c r="D148" s="21" t="str">
        <f>IFERROR(__xludf.DUMMYFUNCTION("""COMPUTED_VALUE"""),"Active")</f>
        <v>Active</v>
      </c>
      <c r="E148" s="23">
        <f>IFERROR(__xludf.DUMMYFUNCTION("""COMPUTED_VALUE"""),44425.0)</f>
        <v>44425</v>
      </c>
      <c r="F148" s="24"/>
      <c r="G148" s="27">
        <f>IFERROR(__xludf.DUMMYFUNCTION("""COMPUTED_VALUE"""),61.63333333333333)</f>
        <v>61.63333333</v>
      </c>
      <c r="H148" s="23">
        <f>IFERROR(__xludf.DUMMYFUNCTION("""COMPUTED_VALUE"""),34129.0)</f>
        <v>34129</v>
      </c>
      <c r="I148" s="27">
        <f>IFERROR(__xludf.DUMMYFUNCTION("""COMPUTED_VALUE"""),28.18888888888889)</f>
        <v>28.18888889</v>
      </c>
      <c r="J148" s="29">
        <f>IFERROR(__xludf.DUMMYFUNCTION("""COMPUTED_VALUE"""),84.00000000000001)</f>
        <v>84</v>
      </c>
      <c r="K148" s="29">
        <f>IFERROR(__xludf.DUMMYFUNCTION("""COMPUTED_VALUE"""),12.0)</f>
        <v>12</v>
      </c>
      <c r="L148" s="31" t="str">
        <f>IFERROR(__xludf.DUMMYFUNCTION("""COMPUTED_VALUE"""),"RPG")</f>
        <v>RPG</v>
      </c>
    </row>
    <row r="149">
      <c r="A149" s="17" t="str">
        <f>IFERROR(__xludf.DUMMYFUNCTION("""COMPUTED_VALUE"""),"SimCity 4: Deluxe Party Edition")</f>
        <v>SimCity 4: Deluxe Party Edition</v>
      </c>
      <c r="B149" s="20" t="str">
        <f>IFERROR(__xludf.DUMMYFUNCTION("""COMPUTED_VALUE"""),"PC")</f>
        <v>PC</v>
      </c>
      <c r="C149" s="21"/>
      <c r="D149" s="21" t="str">
        <f>IFERROR(__xludf.DUMMYFUNCTION("""COMPUTED_VALUE"""),"Active")</f>
        <v>Active</v>
      </c>
      <c r="E149" s="23">
        <f>IFERROR(__xludf.DUMMYFUNCTION("""COMPUTED_VALUE"""),44273.0)</f>
        <v>44273</v>
      </c>
      <c r="F149" s="24"/>
      <c r="G149" s="27">
        <f>IFERROR(__xludf.DUMMYFUNCTION("""COMPUTED_VALUE"""),66.6)</f>
        <v>66.6</v>
      </c>
      <c r="H149" s="23">
        <f>IFERROR(__xludf.DUMMYFUNCTION("""COMPUTED_VALUE"""),37633.0)</f>
        <v>37633</v>
      </c>
      <c r="I149" s="27">
        <f>IFERROR(__xludf.DUMMYFUNCTION("""COMPUTED_VALUE"""),18.183333333333334)</f>
        <v>18.18333333</v>
      </c>
      <c r="J149" s="29">
        <f>IFERROR(__xludf.DUMMYFUNCTION("""COMPUTED_VALUE"""),84.0)</f>
        <v>84</v>
      </c>
      <c r="K149" s="29">
        <f>IFERROR(__xludf.DUMMYFUNCTION("""COMPUTED_VALUE"""),12.0)</f>
        <v>12</v>
      </c>
      <c r="L149" s="31" t="str">
        <f>IFERROR(__xludf.DUMMYFUNCTION("""COMPUTED_VALUE"""),"Simulation")</f>
        <v>Simulation</v>
      </c>
    </row>
    <row r="150">
      <c r="A150" s="17" t="str">
        <f>IFERROR(__xludf.DUMMYFUNCTION("""COMPUTED_VALUE"""),"SPORE")</f>
        <v>SPORE</v>
      </c>
      <c r="B150" s="20" t="str">
        <f>IFERROR(__xludf.DUMMYFUNCTION("""COMPUTED_VALUE"""),"PC")</f>
        <v>PC</v>
      </c>
      <c r="C150" s="21"/>
      <c r="D150" s="21" t="str">
        <f>IFERROR(__xludf.DUMMYFUNCTION("""COMPUTED_VALUE"""),"Active")</f>
        <v>Active</v>
      </c>
      <c r="E150" s="23">
        <f>IFERROR(__xludf.DUMMYFUNCTION("""COMPUTED_VALUE"""),44273.0)</f>
        <v>44273</v>
      </c>
      <c r="F150" s="24"/>
      <c r="G150" s="27">
        <f>IFERROR(__xludf.DUMMYFUNCTION("""COMPUTED_VALUE"""),66.6)</f>
        <v>66.6</v>
      </c>
      <c r="H150" s="23">
        <f>IFERROR(__xludf.DUMMYFUNCTION("""COMPUTED_VALUE"""),39698.0)</f>
        <v>39698</v>
      </c>
      <c r="I150" s="27">
        <f>IFERROR(__xludf.DUMMYFUNCTION("""COMPUTED_VALUE"""),12.530555555555555)</f>
        <v>12.53055556</v>
      </c>
      <c r="J150" s="29">
        <f>IFERROR(__xludf.DUMMYFUNCTION("""COMPUTED_VALUE"""),84.0)</f>
        <v>84</v>
      </c>
      <c r="K150" s="29">
        <f>IFERROR(__xludf.DUMMYFUNCTION("""COMPUTED_VALUE"""),12.5)</f>
        <v>12.5</v>
      </c>
      <c r="L150" s="31" t="str">
        <f>IFERROR(__xludf.DUMMYFUNCTION("""COMPUTED_VALUE"""),"Simulation")</f>
        <v>Simulation</v>
      </c>
    </row>
    <row r="151">
      <c r="A151" s="17" t="str">
        <f>IFERROR(__xludf.DUMMYFUNCTION("""COMPUTED_VALUE"""),"Battlefield 3: Premium Edition")</f>
        <v>Battlefield 3: Premium Edition</v>
      </c>
      <c r="B151" s="20" t="str">
        <f>IFERROR(__xludf.DUMMYFUNCTION("""COMPUTED_VALUE"""),"Xbox / PC")</f>
        <v>Xbox / PC</v>
      </c>
      <c r="C151" s="21"/>
      <c r="D151" s="21" t="str">
        <f>IFERROR(__xludf.DUMMYFUNCTION("""COMPUTED_VALUE"""),"Active")</f>
        <v>Active</v>
      </c>
      <c r="E151" s="23">
        <f>IFERROR(__xludf.DUMMYFUNCTION("""COMPUTED_VALUE"""),44145.0)</f>
        <v>44145</v>
      </c>
      <c r="F151" s="24"/>
      <c r="G151" s="27">
        <f>IFERROR(__xludf.DUMMYFUNCTION("""COMPUTED_VALUE"""),70.86666666666667)</f>
        <v>70.86666667</v>
      </c>
      <c r="H151" s="23">
        <f>IFERROR(__xludf.DUMMYFUNCTION("""COMPUTED_VALUE"""),40841.0)</f>
        <v>40841</v>
      </c>
      <c r="I151" s="27">
        <f>IFERROR(__xludf.DUMMYFUNCTION("""COMPUTED_VALUE"""),9.041666666666666)</f>
        <v>9.041666667</v>
      </c>
      <c r="J151" s="29">
        <f>IFERROR(__xludf.DUMMYFUNCTION("""COMPUTED_VALUE"""),84.0)</f>
        <v>84</v>
      </c>
      <c r="K151" s="29">
        <f>IFERROR(__xludf.DUMMYFUNCTION("""COMPUTED_VALUE"""),6.0)</f>
        <v>6</v>
      </c>
      <c r="L151" s="31" t="str">
        <f>IFERROR(__xludf.DUMMYFUNCTION("""COMPUTED_VALUE"""),"Shooter")</f>
        <v>Shooter</v>
      </c>
    </row>
    <row r="152">
      <c r="A152" s="17" t="str">
        <f>IFERROR(__xludf.DUMMYFUNCTION("""COMPUTED_VALUE"""),"Crysis 2: Maximum Edition")</f>
        <v>Crysis 2: Maximum Edition</v>
      </c>
      <c r="B152" s="20" t="str">
        <f>IFERROR(__xludf.DUMMYFUNCTION("""COMPUTED_VALUE"""),"Xbox / PC")</f>
        <v>Xbox / PC</v>
      </c>
      <c r="C152" s="21"/>
      <c r="D152" s="21" t="str">
        <f>IFERROR(__xludf.DUMMYFUNCTION("""COMPUTED_VALUE"""),"Active")</f>
        <v>Active</v>
      </c>
      <c r="E152" s="23">
        <f>IFERROR(__xludf.DUMMYFUNCTION("""COMPUTED_VALUE"""),44145.0)</f>
        <v>44145</v>
      </c>
      <c r="F152" s="24"/>
      <c r="G152" s="27">
        <f>IFERROR(__xludf.DUMMYFUNCTION("""COMPUTED_VALUE"""),70.86666666666667)</f>
        <v>70.86666667</v>
      </c>
      <c r="H152" s="23">
        <f>IFERROR(__xludf.DUMMYFUNCTION("""COMPUTED_VALUE"""),40624.0)</f>
        <v>40624</v>
      </c>
      <c r="I152" s="27">
        <f>IFERROR(__xludf.DUMMYFUNCTION("""COMPUTED_VALUE"""),9.633333333333333)</f>
        <v>9.633333333</v>
      </c>
      <c r="J152" s="29">
        <f>IFERROR(__xludf.DUMMYFUNCTION("""COMPUTED_VALUE"""),84.0)</f>
        <v>84</v>
      </c>
      <c r="K152" s="29">
        <f>IFERROR(__xludf.DUMMYFUNCTION("""COMPUTED_VALUE"""),9.0)</f>
        <v>9</v>
      </c>
      <c r="L152" s="31" t="str">
        <f>IFERROR(__xludf.DUMMYFUNCTION("""COMPUTED_VALUE"""),"Shooter")</f>
        <v>Shooter</v>
      </c>
    </row>
    <row r="153">
      <c r="A153" s="17" t="str">
        <f>IFERROR(__xludf.DUMMYFUNCTION("""COMPUTED_VALUE"""),"Deep Rock Galactic")</f>
        <v>Deep Rock Galactic</v>
      </c>
      <c r="B153" s="20" t="str">
        <f>IFERROR(__xludf.DUMMYFUNCTION("""COMPUTED_VALUE"""),"Xbox / PC")</f>
        <v>Xbox / PC</v>
      </c>
      <c r="C153" s="21" t="str">
        <f>IFERROR(__xludf.DUMMYFUNCTION("""COMPUTED_VALUE"""),"M+KB")</f>
        <v>M+KB</v>
      </c>
      <c r="D153" s="21" t="str">
        <f>IFERROR(__xludf.DUMMYFUNCTION("""COMPUTED_VALUE"""),"Active")</f>
        <v>Active</v>
      </c>
      <c r="E153" s="23">
        <f>IFERROR(__xludf.DUMMYFUNCTION("""COMPUTED_VALUE"""),44140.0)</f>
        <v>44140</v>
      </c>
      <c r="F153" s="24"/>
      <c r="G153" s="27">
        <f>IFERROR(__xludf.DUMMYFUNCTION("""COMPUTED_VALUE"""),71.03333333333333)</f>
        <v>71.03333333</v>
      </c>
      <c r="H153" s="23">
        <f>IFERROR(__xludf.DUMMYFUNCTION("""COMPUTED_VALUE"""),43964.0)</f>
        <v>43964</v>
      </c>
      <c r="I153" s="27">
        <f>IFERROR(__xludf.DUMMYFUNCTION("""COMPUTED_VALUE"""),0.4777777777777778)</f>
        <v>0.4777777778</v>
      </c>
      <c r="J153" s="29">
        <f>IFERROR(__xludf.DUMMYFUNCTION("""COMPUTED_VALUE"""),84.0)</f>
        <v>84</v>
      </c>
      <c r="K153" s="29">
        <f>IFERROR(__xludf.DUMMYFUNCTION("""COMPUTED_VALUE"""),119.0)</f>
        <v>119</v>
      </c>
      <c r="L153" s="31" t="str">
        <f>IFERROR(__xludf.DUMMYFUNCTION("""COMPUTED_VALUE"""),"Shooter")</f>
        <v>Shooter</v>
      </c>
    </row>
    <row r="154">
      <c r="A154" s="17" t="str">
        <f>IFERROR(__xludf.DUMMYFUNCTION("""COMPUTED_VALUE"""),"Day of the Tentacle Remastered")</f>
        <v>Day of the Tentacle Remastered</v>
      </c>
      <c r="B154" s="20" t="str">
        <f>IFERROR(__xludf.DUMMYFUNCTION("""COMPUTED_VALUE"""),"Xbox / PC")</f>
        <v>Xbox / PC</v>
      </c>
      <c r="C154" s="21"/>
      <c r="D154" s="21" t="str">
        <f>IFERROR(__xludf.DUMMYFUNCTION("""COMPUTED_VALUE"""),"Active")</f>
        <v>Active</v>
      </c>
      <c r="E154" s="23">
        <f>IFERROR(__xludf.DUMMYFUNCTION("""COMPUTED_VALUE"""),44133.0)</f>
        <v>44133</v>
      </c>
      <c r="F154" s="24"/>
      <c r="G154" s="27">
        <f>IFERROR(__xludf.DUMMYFUNCTION("""COMPUTED_VALUE"""),71.23333333333333)</f>
        <v>71.23333333</v>
      </c>
      <c r="H154" s="23">
        <f>IFERROR(__xludf.DUMMYFUNCTION("""COMPUTED_VALUE"""),42451.0)</f>
        <v>42451</v>
      </c>
      <c r="I154" s="27">
        <f>IFERROR(__xludf.DUMMYFUNCTION("""COMPUTED_VALUE"""),4.602777777777778)</f>
        <v>4.602777778</v>
      </c>
      <c r="J154" s="29">
        <f>IFERROR(__xludf.DUMMYFUNCTION("""COMPUTED_VALUE"""),84.0)</f>
        <v>84</v>
      </c>
      <c r="K154" s="29">
        <f>IFERROR(__xludf.DUMMYFUNCTION("""COMPUTED_VALUE"""),4.5)</f>
        <v>4.5</v>
      </c>
      <c r="L154" s="31" t="str">
        <f>IFERROR(__xludf.DUMMYFUNCTION("""COMPUTED_VALUE"""),"Adventure")</f>
        <v>Adventure</v>
      </c>
    </row>
    <row r="155">
      <c r="A155" s="17" t="str">
        <f>IFERROR(__xludf.DUMMYFUNCTION("""COMPUTED_VALUE"""),"Age of Empires II: Definitive Edition")</f>
        <v>Age of Empires II: Definitive Edition</v>
      </c>
      <c r="B155" s="20" t="str">
        <f>IFERROR(__xludf.DUMMYFUNCTION("""COMPUTED_VALUE"""),"Xbox / PC")</f>
        <v>Xbox / PC</v>
      </c>
      <c r="C155" s="21"/>
      <c r="D155" s="21" t="str">
        <f>IFERROR(__xludf.DUMMYFUNCTION("""COMPUTED_VALUE"""),"Active")</f>
        <v>Active</v>
      </c>
      <c r="E155" s="23">
        <f>IFERROR(__xludf.DUMMYFUNCTION("""COMPUTED_VALUE"""),43783.0)</f>
        <v>43783</v>
      </c>
      <c r="F155" s="24"/>
      <c r="G155" s="27">
        <f>IFERROR(__xludf.DUMMYFUNCTION("""COMPUTED_VALUE"""),82.73333333333333)</f>
        <v>82.73333333</v>
      </c>
      <c r="H155" s="23">
        <f>IFERROR(__xludf.DUMMYFUNCTION("""COMPUTED_VALUE"""),43783.0)</f>
        <v>43783</v>
      </c>
      <c r="I155" s="27">
        <f>IFERROR(__xludf.DUMMYFUNCTION("""COMPUTED_VALUE"""),0.0)</f>
        <v>0</v>
      </c>
      <c r="J155" s="29">
        <f>IFERROR(__xludf.DUMMYFUNCTION("""COMPUTED_VALUE"""),84.0)</f>
        <v>84</v>
      </c>
      <c r="K155" s="29">
        <f>IFERROR(__xludf.DUMMYFUNCTION("""COMPUTED_VALUE"""),35.5)</f>
        <v>35.5</v>
      </c>
      <c r="L155" s="31" t="str">
        <f>IFERROR(__xludf.DUMMYFUNCTION("""COMPUTED_VALUE"""),"Strategy")</f>
        <v>Strategy</v>
      </c>
    </row>
    <row r="156">
      <c r="A156" s="17" t="str">
        <f>IFERROR(__xludf.DUMMYFUNCTION("""COMPUTED_VALUE"""),"Fallout: New Vegas - Ultimate Edition")</f>
        <v>Fallout: New Vegas - Ultimate Edition</v>
      </c>
      <c r="B156" s="20" t="str">
        <f>IFERROR(__xludf.DUMMYFUNCTION("""COMPUTED_VALUE"""),"Xbox / PC")</f>
        <v>Xbox / PC</v>
      </c>
      <c r="C156" s="21" t="str">
        <f>IFERROR(__xludf.DUMMYFUNCTION("""COMPUTED_VALUE"""),"Yes")</f>
        <v>Yes</v>
      </c>
      <c r="D156" s="21" t="str">
        <f>IFERROR(__xludf.DUMMYFUNCTION("""COMPUTED_VALUE"""),"Active")</f>
        <v>Active</v>
      </c>
      <c r="E156" s="23">
        <f>IFERROR(__xludf.DUMMYFUNCTION("""COMPUTED_VALUE"""),43755.0)</f>
        <v>43755</v>
      </c>
      <c r="F156" s="24"/>
      <c r="G156" s="27">
        <f>IFERROR(__xludf.DUMMYFUNCTION("""COMPUTED_VALUE"""),83.63333333333333)</f>
        <v>83.63333333</v>
      </c>
      <c r="H156" s="23">
        <f>IFERROR(__xludf.DUMMYFUNCTION("""COMPUTED_VALUE"""),40470.0)</f>
        <v>40470</v>
      </c>
      <c r="I156" s="27">
        <f>IFERROR(__xludf.DUMMYFUNCTION("""COMPUTED_VALUE"""),8.994444444444444)</f>
        <v>8.994444444</v>
      </c>
      <c r="J156" s="29">
        <f>IFERROR(__xludf.DUMMYFUNCTION("""COMPUTED_VALUE"""),84.0)</f>
        <v>84</v>
      </c>
      <c r="K156" s="29">
        <f>IFERROR(__xludf.DUMMYFUNCTION("""COMPUTED_VALUE"""),27.5)</f>
        <v>27.5</v>
      </c>
      <c r="L156" s="31" t="str">
        <f>IFERROR(__xludf.DUMMYFUNCTION("""COMPUTED_VALUE"""),"Shooter")</f>
        <v>Shooter</v>
      </c>
    </row>
    <row r="157">
      <c r="A157" s="17" t="str">
        <f>IFERROR(__xludf.DUMMYFUNCTION("""COMPUTED_VALUE"""),"Moonlighter")</f>
        <v>Moonlighter</v>
      </c>
      <c r="B157" s="20" t="str">
        <f>IFERROR(__xludf.DUMMYFUNCTION("""COMPUTED_VALUE"""),"Xbox / PC")</f>
        <v>Xbox / PC</v>
      </c>
      <c r="C157" s="21" t="str">
        <f>IFERROR(__xludf.DUMMYFUNCTION("""COMPUTED_VALUE"""),"Yes")</f>
        <v>Yes</v>
      </c>
      <c r="D157" s="21" t="str">
        <f>IFERROR(__xludf.DUMMYFUNCTION("""COMPUTED_VALUE"""),"Active")</f>
        <v>Active</v>
      </c>
      <c r="E157" s="23">
        <f>IFERROR(__xludf.DUMMYFUNCTION("""COMPUTED_VALUE"""),43625.0)</f>
        <v>43625</v>
      </c>
      <c r="F157" s="24"/>
      <c r="G157" s="27">
        <f>IFERROR(__xludf.DUMMYFUNCTION("""COMPUTED_VALUE"""),87.9)</f>
        <v>87.9</v>
      </c>
      <c r="H157" s="23">
        <f>IFERROR(__xludf.DUMMYFUNCTION("""COMPUTED_VALUE"""),43249.0)</f>
        <v>43249</v>
      </c>
      <c r="I157" s="27">
        <f>IFERROR(__xludf.DUMMYFUNCTION("""COMPUTED_VALUE"""),1.0277777777777777)</f>
        <v>1.027777778</v>
      </c>
      <c r="J157" s="29">
        <f>IFERROR(__xludf.DUMMYFUNCTION("""COMPUTED_VALUE"""),84.0)</f>
        <v>84</v>
      </c>
      <c r="K157" s="29">
        <f>IFERROR(__xludf.DUMMYFUNCTION("""COMPUTED_VALUE"""),14.0)</f>
        <v>14</v>
      </c>
      <c r="L157" s="31" t="str">
        <f>IFERROR(__xludf.DUMMYFUNCTION("""COMPUTED_VALUE"""),"RPG")</f>
        <v>RPG</v>
      </c>
    </row>
    <row r="158">
      <c r="A158" s="17" t="str">
        <f>IFERROR(__xludf.DUMMYFUNCTION("""COMPUTED_VALUE"""),"Gears of War 4")</f>
        <v>Gears of War 4</v>
      </c>
      <c r="B158" s="20" t="str">
        <f>IFERROR(__xludf.DUMMYFUNCTION("""COMPUTED_VALUE"""),"Xbox / PC")</f>
        <v>Xbox / PC</v>
      </c>
      <c r="C158" s="21" t="str">
        <f>IFERROR(__xludf.DUMMYFUNCTION("""COMPUTED_VALUE"""),"Yes")</f>
        <v>Yes</v>
      </c>
      <c r="D158" s="21" t="str">
        <f>IFERROR(__xludf.DUMMYFUNCTION("""COMPUTED_VALUE"""),"Active")</f>
        <v>Active</v>
      </c>
      <c r="E158" s="23">
        <f>IFERROR(__xludf.DUMMYFUNCTION("""COMPUTED_VALUE"""),43070.0)</f>
        <v>43070</v>
      </c>
      <c r="F158" s="24"/>
      <c r="G158" s="27">
        <f>IFERROR(__xludf.DUMMYFUNCTION("""COMPUTED_VALUE"""),106.16666666666666)</f>
        <v>106.1666667</v>
      </c>
      <c r="H158" s="23">
        <f>IFERROR(__xludf.DUMMYFUNCTION("""COMPUTED_VALUE"""),42650.0)</f>
        <v>42650</v>
      </c>
      <c r="I158" s="27">
        <f>IFERROR(__xludf.DUMMYFUNCTION("""COMPUTED_VALUE"""),1.15)</f>
        <v>1.15</v>
      </c>
      <c r="J158" s="29">
        <f>IFERROR(__xludf.DUMMYFUNCTION("""COMPUTED_VALUE"""),84.0)</f>
        <v>84</v>
      </c>
      <c r="K158" s="29">
        <f>IFERROR(__xludf.DUMMYFUNCTION("""COMPUTED_VALUE"""),9.0)</f>
        <v>9</v>
      </c>
      <c r="L158" s="31" t="str">
        <f>IFERROR(__xludf.DUMMYFUNCTION("""COMPUTED_VALUE"""),"Shooter")</f>
        <v>Shooter</v>
      </c>
    </row>
    <row r="159">
      <c r="A159" s="17" t="str">
        <f>IFERROR(__xludf.DUMMYFUNCTION("""COMPUTED_VALUE"""),"Tunic")</f>
        <v>Tunic</v>
      </c>
      <c r="B159" s="20" t="str">
        <f>IFERROR(__xludf.DUMMYFUNCTION("""COMPUTED_VALUE"""),"Xbox / PC")</f>
        <v>Xbox / PC</v>
      </c>
      <c r="C159" s="21" t="str">
        <f>IFERROR(__xludf.DUMMYFUNCTION("""COMPUTED_VALUE"""),"Yes")</f>
        <v>Yes</v>
      </c>
      <c r="D159" s="21" t="str">
        <f>IFERROR(__xludf.DUMMYFUNCTION("""COMPUTED_VALUE"""),"Active")</f>
        <v>Active</v>
      </c>
      <c r="E159" s="23">
        <f>IFERROR(__xludf.DUMMYFUNCTION("""COMPUTED_VALUE"""),44636.0)</f>
        <v>44636</v>
      </c>
      <c r="F159" s="24"/>
      <c r="G159" s="27">
        <f>IFERROR(__xludf.DUMMYFUNCTION("""COMPUTED_VALUE"""),54.666666666666664)</f>
        <v>54.66666667</v>
      </c>
      <c r="H159" s="23">
        <f>IFERROR(__xludf.DUMMYFUNCTION("""COMPUTED_VALUE"""),44636.0)</f>
        <v>44636</v>
      </c>
      <c r="I159" s="27">
        <f>IFERROR(__xludf.DUMMYFUNCTION("""COMPUTED_VALUE"""),0.0)</f>
        <v>0</v>
      </c>
      <c r="J159" s="29">
        <f>IFERROR(__xludf.DUMMYFUNCTION("""COMPUTED_VALUE"""),83.5)</f>
        <v>83.5</v>
      </c>
      <c r="K159" s="29">
        <f>IFERROR(__xludf.DUMMYFUNCTION("""COMPUTED_VALUE"""),12.0)</f>
        <v>12</v>
      </c>
      <c r="L159" s="31" t="str">
        <f>IFERROR(__xludf.DUMMYFUNCTION("""COMPUTED_VALUE"""),"Action-Adventure")</f>
        <v>Action-Adventure</v>
      </c>
    </row>
    <row r="160">
      <c r="A160" s="17" t="str">
        <f>IFERROR(__xludf.DUMMYFUNCTION("""COMPUTED_VALUE"""),"Halo: Infinite")</f>
        <v>Halo: Infinite</v>
      </c>
      <c r="B160" s="20" t="str">
        <f>IFERROR(__xludf.DUMMYFUNCTION("""COMPUTED_VALUE"""),"Xbox / PC")</f>
        <v>Xbox / PC</v>
      </c>
      <c r="C160" s="21" t="str">
        <f>IFERROR(__xludf.DUMMYFUNCTION("""COMPUTED_VALUE"""),"M+KB")</f>
        <v>M+KB</v>
      </c>
      <c r="D160" s="21" t="str">
        <f>IFERROR(__xludf.DUMMYFUNCTION("""COMPUTED_VALUE"""),"Active")</f>
        <v>Active</v>
      </c>
      <c r="E160" s="23">
        <f>IFERROR(__xludf.DUMMYFUNCTION("""COMPUTED_VALUE"""),44538.0)</f>
        <v>44538</v>
      </c>
      <c r="F160" s="24"/>
      <c r="G160" s="27">
        <f>IFERROR(__xludf.DUMMYFUNCTION("""COMPUTED_VALUE"""),57.93333333333333)</f>
        <v>57.93333333</v>
      </c>
      <c r="H160" s="23">
        <f>IFERROR(__xludf.DUMMYFUNCTION("""COMPUTED_VALUE"""),44538.0)</f>
        <v>44538</v>
      </c>
      <c r="I160" s="27">
        <f>IFERROR(__xludf.DUMMYFUNCTION("""COMPUTED_VALUE"""),0.0)</f>
        <v>0</v>
      </c>
      <c r="J160" s="29">
        <f>IFERROR(__xludf.DUMMYFUNCTION("""COMPUTED_VALUE"""),83.5)</f>
        <v>83.5</v>
      </c>
      <c r="K160" s="29">
        <f>IFERROR(__xludf.DUMMYFUNCTION("""COMPUTED_VALUE"""),10.0)</f>
        <v>10</v>
      </c>
      <c r="L160" s="31" t="str">
        <f>IFERROR(__xludf.DUMMYFUNCTION("""COMPUTED_VALUE"""),"Shooter")</f>
        <v>Shooter</v>
      </c>
    </row>
    <row r="161">
      <c r="A161" s="17" t="str">
        <f>IFERROR(__xludf.DUMMYFUNCTION("""COMPUTED_VALUE"""),"Vampire Crawlers: The Turbo Wildcard from Vampire Survivors")</f>
        <v>Vampire Crawlers: The Turbo Wildcard from Vampire Survivors</v>
      </c>
      <c r="B161" s="20" t="str">
        <f>IFERROR(__xludf.DUMMYFUNCTION("""COMPUTED_VALUE"""),"Xbox / PC")</f>
        <v>Xbox / PC</v>
      </c>
      <c r="C161" s="21" t="str">
        <f>IFERROR(__xludf.DUMMYFUNCTION("""COMPUTED_VALUE"""),"Yes")</f>
        <v>Yes</v>
      </c>
      <c r="D161" s="21" t="str">
        <f>IFERROR(__xludf.DUMMYFUNCTION("""COMPUTED_VALUE"""),"Active")</f>
        <v>Active</v>
      </c>
      <c r="E161" s="23">
        <f>IFERROR(__xludf.DUMMYFUNCTION("""COMPUTED_VALUE"""),46133.0)</f>
        <v>46133</v>
      </c>
      <c r="F161" s="24"/>
      <c r="G161" s="27">
        <f>IFERROR(__xludf.DUMMYFUNCTION("""COMPUTED_VALUE"""),5.5)</f>
        <v>5.5</v>
      </c>
      <c r="H161" s="23">
        <f>IFERROR(__xludf.DUMMYFUNCTION("""COMPUTED_VALUE"""),46133.0)</f>
        <v>46133</v>
      </c>
      <c r="I161" s="27">
        <f>IFERROR(__xludf.DUMMYFUNCTION("""COMPUTED_VALUE"""),0.0)</f>
        <v>0</v>
      </c>
      <c r="J161" s="29">
        <f>IFERROR(__xludf.DUMMYFUNCTION("""COMPUTED_VALUE"""),83.0)</f>
        <v>83</v>
      </c>
      <c r="K161" s="29">
        <f>IFERROR(__xludf.DUMMYFUNCTION("""COMPUTED_VALUE"""),14.0)</f>
        <v>14</v>
      </c>
      <c r="L161" s="31" t="str">
        <f>IFERROR(__xludf.DUMMYFUNCTION("""COMPUTED_VALUE"""),"Card Battle")</f>
        <v>Card Battle</v>
      </c>
    </row>
    <row r="162">
      <c r="A162" s="17" t="str">
        <f>IFERROR(__xludf.DUMMYFUNCTION("""COMPUTED_VALUE"""),"Planet of Lana II: Children of the Leaf")</f>
        <v>Planet of Lana II: Children of the Leaf</v>
      </c>
      <c r="B162" s="20" t="str">
        <f>IFERROR(__xludf.DUMMYFUNCTION("""COMPUTED_VALUE"""),"Xbox / PC")</f>
        <v>Xbox / PC</v>
      </c>
      <c r="C162" s="21" t="str">
        <f>IFERROR(__xludf.DUMMYFUNCTION("""COMPUTED_VALUE"""),"Yes")</f>
        <v>Yes</v>
      </c>
      <c r="D162" s="21" t="str">
        <f>IFERROR(__xludf.DUMMYFUNCTION("""COMPUTED_VALUE"""),"Active")</f>
        <v>Active</v>
      </c>
      <c r="E162" s="23">
        <f>IFERROR(__xludf.DUMMYFUNCTION("""COMPUTED_VALUE"""),46086.0)</f>
        <v>46086</v>
      </c>
      <c r="F162" s="24"/>
      <c r="G162" s="27">
        <f>IFERROR(__xludf.DUMMYFUNCTION("""COMPUTED_VALUE"""),7.033333333333333)</f>
        <v>7.033333333</v>
      </c>
      <c r="H162" s="23">
        <f>IFERROR(__xludf.DUMMYFUNCTION("""COMPUTED_VALUE"""),46086.0)</f>
        <v>46086</v>
      </c>
      <c r="I162" s="27">
        <f>IFERROR(__xludf.DUMMYFUNCTION("""COMPUTED_VALUE"""),0.0)</f>
        <v>0</v>
      </c>
      <c r="J162" s="29">
        <f>IFERROR(__xludf.DUMMYFUNCTION("""COMPUTED_VALUE"""),83.0)</f>
        <v>83</v>
      </c>
      <c r="K162" s="29">
        <f>IFERROR(__xludf.DUMMYFUNCTION("""COMPUTED_VALUE"""),6.0)</f>
        <v>6</v>
      </c>
      <c r="L162" s="31" t="str">
        <f>IFERROR(__xludf.DUMMYFUNCTION("""COMPUTED_VALUE"""),"Action-Adventure")</f>
        <v>Action-Adventure</v>
      </c>
    </row>
    <row r="163">
      <c r="A163" s="17" t="str">
        <f>IFERROR(__xludf.DUMMYFUNCTION("""COMPUTED_VALUE"""),"Stampede")</f>
        <v>Stampede</v>
      </c>
      <c r="B163" s="20" t="str">
        <f>IFERROR(__xludf.DUMMYFUNCTION("""COMPUTED_VALUE"""),"Xbox / PC")</f>
        <v>Xbox / PC</v>
      </c>
      <c r="C163" s="21" t="str">
        <f>IFERROR(__xludf.DUMMYFUNCTION("""COMPUTED_VALUE"""),"Yes")</f>
        <v>Yes</v>
      </c>
      <c r="D163" s="21" t="str">
        <f>IFERROR(__xludf.DUMMYFUNCTION("""COMPUTED_VALUE"""),"Active")</f>
        <v>Active</v>
      </c>
      <c r="E163" s="23">
        <f>IFERROR(__xludf.DUMMYFUNCTION("""COMPUTED_VALUE"""),46072.0)</f>
        <v>46072</v>
      </c>
      <c r="F163" s="24"/>
      <c r="G163" s="27">
        <f>IFERROR(__xludf.DUMMYFUNCTION("""COMPUTED_VALUE"""),7.566666666666666)</f>
        <v>7.566666667</v>
      </c>
      <c r="H163" s="23">
        <f>IFERROR(__xludf.DUMMYFUNCTION("""COMPUTED_VALUE"""),29921.0)</f>
        <v>29921</v>
      </c>
      <c r="I163" s="27">
        <f>IFERROR(__xludf.DUMMYFUNCTION("""COMPUTED_VALUE"""),44.21666666666667)</f>
        <v>44.21666667</v>
      </c>
      <c r="J163" s="29">
        <f>IFERROR(__xludf.DUMMYFUNCTION("""COMPUTED_VALUE"""),83.0)</f>
        <v>83</v>
      </c>
      <c r="K163" s="29"/>
      <c r="L163" s="31" t="str">
        <f>IFERROR(__xludf.DUMMYFUNCTION("""COMPUTED_VALUE"""),"Action")</f>
        <v>Action</v>
      </c>
    </row>
    <row r="164">
      <c r="A164" s="17" t="str">
        <f>IFERROR(__xludf.DUMMYFUNCTION("""COMPUTED_VALUE"""),"BlazBlue Entropy Effect X")</f>
        <v>BlazBlue Entropy Effect X</v>
      </c>
      <c r="B164" s="20" t="str">
        <f>IFERROR(__xludf.DUMMYFUNCTION("""COMPUTED_VALUE"""),"Xbox / PC")</f>
        <v>Xbox / PC</v>
      </c>
      <c r="C164" s="21" t="str">
        <f>IFERROR(__xludf.DUMMYFUNCTION("""COMPUTED_VALUE"""),"Yes")</f>
        <v>Yes</v>
      </c>
      <c r="D164" s="21" t="str">
        <f>IFERROR(__xludf.DUMMYFUNCTION("""COMPUTED_VALUE"""),"Active")</f>
        <v>Active</v>
      </c>
      <c r="E164" s="23">
        <f>IFERROR(__xludf.DUMMYFUNCTION("""COMPUTED_VALUE"""),46065.0)</f>
        <v>46065</v>
      </c>
      <c r="F164" s="24"/>
      <c r="G164" s="27">
        <f>IFERROR(__xludf.DUMMYFUNCTION("""COMPUTED_VALUE"""),7.800000000000001)</f>
        <v>7.8</v>
      </c>
      <c r="H164" s="23">
        <f>IFERROR(__xludf.DUMMYFUNCTION("""COMPUTED_VALUE"""),46065.0)</f>
        <v>46065</v>
      </c>
      <c r="I164" s="27">
        <f>IFERROR(__xludf.DUMMYFUNCTION("""COMPUTED_VALUE"""),0.0)</f>
        <v>0</v>
      </c>
      <c r="J164" s="29">
        <f>IFERROR(__xludf.DUMMYFUNCTION("""COMPUTED_VALUE"""),83.0)</f>
        <v>83</v>
      </c>
      <c r="K164" s="29">
        <f>IFERROR(__xludf.DUMMYFUNCTION("""COMPUTED_VALUE"""),13.0)</f>
        <v>13</v>
      </c>
      <c r="L164" s="31" t="str">
        <f>IFERROR(__xludf.DUMMYFUNCTION("""COMPUTED_VALUE"""),"Action-Adventure")</f>
        <v>Action-Adventure</v>
      </c>
    </row>
    <row r="165">
      <c r="A165" s="17" t="str">
        <f>IFERROR(__xludf.DUMMYFUNCTION("""COMPUTED_VALUE"""),"Drop Duchy")</f>
        <v>Drop Duchy</v>
      </c>
      <c r="B165" s="20" t="str">
        <f>IFERROR(__xludf.DUMMYFUNCTION("""COMPUTED_VALUE"""),"Xbox / PC")</f>
        <v>Xbox / PC</v>
      </c>
      <c r="C165" s="21" t="str">
        <f>IFERROR(__xludf.DUMMYFUNCTION("""COMPUTED_VALUE"""),"Yes")</f>
        <v>Yes</v>
      </c>
      <c r="D165" s="21" t="str">
        <f>IFERROR(__xludf.DUMMYFUNCTION("""COMPUTED_VALUE"""),"Active")</f>
        <v>Active</v>
      </c>
      <c r="E165" s="23">
        <f>IFERROR(__xludf.DUMMYFUNCTION("""COMPUTED_VALUE"""),46050.0)</f>
        <v>46050</v>
      </c>
      <c r="F165" s="24"/>
      <c r="G165" s="27">
        <f>IFERROR(__xludf.DUMMYFUNCTION("""COMPUTED_VALUE"""),8.266666666666666)</f>
        <v>8.266666667</v>
      </c>
      <c r="H165" s="23">
        <f>IFERROR(__xludf.DUMMYFUNCTION("""COMPUTED_VALUE"""),46050.0)</f>
        <v>46050</v>
      </c>
      <c r="I165" s="27">
        <f>IFERROR(__xludf.DUMMYFUNCTION("""COMPUTED_VALUE"""),0.0)</f>
        <v>0</v>
      </c>
      <c r="J165" s="29">
        <f>IFERROR(__xludf.DUMMYFUNCTION("""COMPUTED_VALUE"""),83.0)</f>
        <v>83</v>
      </c>
      <c r="K165" s="29">
        <f>IFERROR(__xludf.DUMMYFUNCTION("""COMPUTED_VALUE"""),5.0)</f>
        <v>5</v>
      </c>
      <c r="L165" s="31" t="str">
        <f>IFERROR(__xludf.DUMMYFUNCTION("""COMPUTED_VALUE"""),"Action-Adventure")</f>
        <v>Action-Adventure</v>
      </c>
    </row>
    <row r="166">
      <c r="A166" s="17" t="str">
        <f>IFERROR(__xludf.DUMMYFUNCTION("""COMPUTED_VALUE"""),"MIO: Memories in Orbit")</f>
        <v>MIO: Memories in Orbit</v>
      </c>
      <c r="B166" s="20" t="str">
        <f>IFERROR(__xludf.DUMMYFUNCTION("""COMPUTED_VALUE"""),"Xbox / PC")</f>
        <v>Xbox / PC</v>
      </c>
      <c r="C166" s="21" t="str">
        <f>IFERROR(__xludf.DUMMYFUNCTION("""COMPUTED_VALUE"""),"Yes")</f>
        <v>Yes</v>
      </c>
      <c r="D166" s="21" t="str">
        <f>IFERROR(__xludf.DUMMYFUNCTION("""COMPUTED_VALUE"""),"Active")</f>
        <v>Active</v>
      </c>
      <c r="E166" s="23">
        <f>IFERROR(__xludf.DUMMYFUNCTION("""COMPUTED_VALUE"""),46042.0)</f>
        <v>46042</v>
      </c>
      <c r="F166" s="24"/>
      <c r="G166" s="27">
        <f>IFERROR(__xludf.DUMMYFUNCTION("""COMPUTED_VALUE"""),8.533333333333333)</f>
        <v>8.533333333</v>
      </c>
      <c r="H166" s="23">
        <f>IFERROR(__xludf.DUMMYFUNCTION("""COMPUTED_VALUE"""),46042.0)</f>
        <v>46042</v>
      </c>
      <c r="I166" s="27">
        <f>IFERROR(__xludf.DUMMYFUNCTION("""COMPUTED_VALUE"""),0.0)</f>
        <v>0</v>
      </c>
      <c r="J166" s="29">
        <f>IFERROR(__xludf.DUMMYFUNCTION("""COMPUTED_VALUE"""),83.0)</f>
        <v>83</v>
      </c>
      <c r="K166" s="29">
        <f>IFERROR(__xludf.DUMMYFUNCTION("""COMPUTED_VALUE"""),16.0)</f>
        <v>16</v>
      </c>
      <c r="L166" s="31" t="str">
        <f>IFERROR(__xludf.DUMMYFUNCTION("""COMPUTED_VALUE"""),"Action-Adventure")</f>
        <v>Action-Adventure</v>
      </c>
    </row>
    <row r="167">
      <c r="A167" s="17" t="str">
        <f>IFERROR(__xludf.DUMMYFUNCTION("""COMPUTED_VALUE"""),"Mortal Kombat 1")</f>
        <v>Mortal Kombat 1</v>
      </c>
      <c r="B167" s="20" t="str">
        <f>IFERROR(__xludf.DUMMYFUNCTION("""COMPUTED_VALUE"""),"Xbox / PC")</f>
        <v>Xbox / PC</v>
      </c>
      <c r="C167" s="21" t="str">
        <f>IFERROR(__xludf.DUMMYFUNCTION("""COMPUTED_VALUE"""),"Yes")</f>
        <v>Yes</v>
      </c>
      <c r="D167" s="21" t="str">
        <f>IFERROR(__xludf.DUMMYFUNCTION("""COMPUTED_VALUE"""),"Active")</f>
        <v>Active</v>
      </c>
      <c r="E167" s="23">
        <f>IFERROR(__xludf.DUMMYFUNCTION("""COMPUTED_VALUE"""),46001.0)</f>
        <v>46001</v>
      </c>
      <c r="F167" s="24"/>
      <c r="G167" s="27">
        <f>IFERROR(__xludf.DUMMYFUNCTION("""COMPUTED_VALUE"""),9.866666666666667)</f>
        <v>9.866666667</v>
      </c>
      <c r="H167" s="23">
        <f>IFERROR(__xludf.DUMMYFUNCTION("""COMPUTED_VALUE"""),45188.0)</f>
        <v>45188</v>
      </c>
      <c r="I167" s="27">
        <f>IFERROR(__xludf.DUMMYFUNCTION("""COMPUTED_VALUE"""),2.225)</f>
        <v>2.225</v>
      </c>
      <c r="J167" s="29">
        <f>IFERROR(__xludf.DUMMYFUNCTION("""COMPUTED_VALUE"""),83.0)</f>
        <v>83</v>
      </c>
      <c r="K167" s="29">
        <f>IFERROR(__xludf.DUMMYFUNCTION("""COMPUTED_VALUE"""),7.0)</f>
        <v>7</v>
      </c>
      <c r="L167" s="31" t="str">
        <f>IFERROR(__xludf.DUMMYFUNCTION("""COMPUTED_VALUE"""),"Action-Adventure")</f>
        <v>Action-Adventure</v>
      </c>
    </row>
    <row r="168">
      <c r="A168" s="17" t="str">
        <f>IFERROR(__xludf.DUMMYFUNCTION("""COMPUTED_VALUE"""),"The Outer Worlds 2")</f>
        <v>The Outer Worlds 2</v>
      </c>
      <c r="B168" s="20" t="str">
        <f>IFERROR(__xludf.DUMMYFUNCTION("""COMPUTED_VALUE"""),"Xbox / PC")</f>
        <v>Xbox / PC</v>
      </c>
      <c r="C168" s="21" t="str">
        <f>IFERROR(__xludf.DUMMYFUNCTION("""COMPUTED_VALUE"""),"Yes")</f>
        <v>Yes</v>
      </c>
      <c r="D168" s="21" t="str">
        <f>IFERROR(__xludf.DUMMYFUNCTION("""COMPUTED_VALUE"""),"Active")</f>
        <v>Active</v>
      </c>
      <c r="E168" s="23">
        <f>IFERROR(__xludf.DUMMYFUNCTION("""COMPUTED_VALUE"""),45959.0)</f>
        <v>45959</v>
      </c>
      <c r="F168" s="24"/>
      <c r="G168" s="27">
        <f>IFERROR(__xludf.DUMMYFUNCTION("""COMPUTED_VALUE"""),11.233333333333334)</f>
        <v>11.23333333</v>
      </c>
      <c r="H168" s="23">
        <f>IFERROR(__xludf.DUMMYFUNCTION("""COMPUTED_VALUE"""),45959.0)</f>
        <v>45959</v>
      </c>
      <c r="I168" s="27">
        <f>IFERROR(__xludf.DUMMYFUNCTION("""COMPUTED_VALUE"""),0.0)</f>
        <v>0</v>
      </c>
      <c r="J168" s="29">
        <f>IFERROR(__xludf.DUMMYFUNCTION("""COMPUTED_VALUE"""),83.0)</f>
        <v>83</v>
      </c>
      <c r="K168" s="29">
        <f>IFERROR(__xludf.DUMMYFUNCTION("""COMPUTED_VALUE"""),16.0)</f>
        <v>16</v>
      </c>
      <c r="L168" s="31" t="str">
        <f>IFERROR(__xludf.DUMMYFUNCTION("""COMPUTED_VALUE"""),"RPG")</f>
        <v>RPG</v>
      </c>
    </row>
    <row r="169">
      <c r="A169" s="17" t="str">
        <f>IFERROR(__xludf.DUMMYFUNCTION("""COMPUTED_VALUE"""),"Caesar III")</f>
        <v>Caesar III</v>
      </c>
      <c r="B169" s="20" t="str">
        <f>IFERROR(__xludf.DUMMYFUNCTION("""COMPUTED_VALUE"""),"Xbox / PC")</f>
        <v>Xbox / PC</v>
      </c>
      <c r="C169" s="21" t="str">
        <f>IFERROR(__xludf.DUMMYFUNCTION("""COMPUTED_VALUE"""),"Yes")</f>
        <v>Yes</v>
      </c>
      <c r="D169" s="21" t="str">
        <f>IFERROR(__xludf.DUMMYFUNCTION("""COMPUTED_VALUE"""),"Active")</f>
        <v>Active</v>
      </c>
      <c r="E169" s="23">
        <f>IFERROR(__xludf.DUMMYFUNCTION("""COMPUTED_VALUE"""),45883.0)</f>
        <v>45883</v>
      </c>
      <c r="F169" s="24"/>
      <c r="G169" s="27">
        <f>IFERROR(__xludf.DUMMYFUNCTION("""COMPUTED_VALUE"""),13.733333333333333)</f>
        <v>13.73333333</v>
      </c>
      <c r="H169" s="23">
        <f>IFERROR(__xludf.DUMMYFUNCTION("""COMPUTED_VALUE"""),36068.0)</f>
        <v>36068</v>
      </c>
      <c r="I169" s="27">
        <f>IFERROR(__xludf.DUMMYFUNCTION("""COMPUTED_VALUE"""),26.872222222222224)</f>
        <v>26.87222222</v>
      </c>
      <c r="J169" s="29">
        <f>IFERROR(__xludf.DUMMYFUNCTION("""COMPUTED_VALUE"""),83.0)</f>
        <v>83</v>
      </c>
      <c r="K169" s="29">
        <f>IFERROR(__xludf.DUMMYFUNCTION("""COMPUTED_VALUE"""),35.0)</f>
        <v>35</v>
      </c>
      <c r="L169" s="31" t="str">
        <f>IFERROR(__xludf.DUMMYFUNCTION("""COMPUTED_VALUE"""),"Strategy")</f>
        <v>Strategy</v>
      </c>
    </row>
    <row r="170">
      <c r="A170" s="17" t="str">
        <f>IFERROR(__xludf.DUMMYFUNCTION("""COMPUTED_VALUE"""),"H.E.R.O.")</f>
        <v>H.E.R.O.</v>
      </c>
      <c r="B170" s="20" t="str">
        <f>IFERROR(__xludf.DUMMYFUNCTION("""COMPUTED_VALUE"""),"Xbox / PC")</f>
        <v>Xbox / PC</v>
      </c>
      <c r="C170" s="21" t="str">
        <f>IFERROR(__xludf.DUMMYFUNCTION("""COMPUTED_VALUE"""),"Yes")</f>
        <v>Yes</v>
      </c>
      <c r="D170" s="21" t="str">
        <f>IFERROR(__xludf.DUMMYFUNCTION("""COMPUTED_VALUE"""),"Active")</f>
        <v>Active</v>
      </c>
      <c r="E170" s="23">
        <f>IFERROR(__xludf.DUMMYFUNCTION("""COMPUTED_VALUE"""),45798.0)</f>
        <v>45798</v>
      </c>
      <c r="F170" s="24"/>
      <c r="G170" s="27">
        <f>IFERROR(__xludf.DUMMYFUNCTION("""COMPUTED_VALUE"""),16.5)</f>
        <v>16.5</v>
      </c>
      <c r="H170" s="23">
        <f>IFERROR(__xludf.DUMMYFUNCTION("""COMPUTED_VALUE"""),30764.0)</f>
        <v>30764</v>
      </c>
      <c r="I170" s="27">
        <f>IFERROR(__xludf.DUMMYFUNCTION("""COMPUTED_VALUE"""),41.16111111111111)</f>
        <v>41.16111111</v>
      </c>
      <c r="J170" s="29">
        <f>IFERROR(__xludf.DUMMYFUNCTION("""COMPUTED_VALUE"""),83.0)</f>
        <v>83</v>
      </c>
      <c r="K170" s="29"/>
      <c r="L170" s="31" t="str">
        <f>IFERROR(__xludf.DUMMYFUNCTION("""COMPUTED_VALUE"""),"Action‑Adventure")</f>
        <v>Action‑Adventure</v>
      </c>
    </row>
    <row r="171">
      <c r="A171" s="17" t="str">
        <f>IFERROR(__xludf.DUMMYFUNCTION("""COMPUTED_VALUE"""),"Space Quest 2")</f>
        <v>Space Quest 2</v>
      </c>
      <c r="B171" s="20" t="str">
        <f>IFERROR(__xludf.DUMMYFUNCTION("""COMPUTED_VALUE"""),"Xbox / PC")</f>
        <v>Xbox / PC</v>
      </c>
      <c r="C171" s="21" t="str">
        <f>IFERROR(__xludf.DUMMYFUNCTION("""COMPUTED_VALUE"""),"Yes")</f>
        <v>Yes</v>
      </c>
      <c r="D171" s="21" t="str">
        <f>IFERROR(__xludf.DUMMYFUNCTION("""COMPUTED_VALUE"""),"Active")</f>
        <v>Active</v>
      </c>
      <c r="E171" s="23">
        <f>IFERROR(__xludf.DUMMYFUNCTION("""COMPUTED_VALUE"""),45798.0)</f>
        <v>45798</v>
      </c>
      <c r="F171" s="24"/>
      <c r="G171" s="27">
        <f>IFERROR(__xludf.DUMMYFUNCTION("""COMPUTED_VALUE"""),16.5)</f>
        <v>16.5</v>
      </c>
      <c r="H171" s="23">
        <f>IFERROR(__xludf.DUMMYFUNCTION("""COMPUTED_VALUE"""),32082.0)</f>
        <v>32082</v>
      </c>
      <c r="I171" s="27">
        <f>IFERROR(__xludf.DUMMYFUNCTION("""COMPUTED_VALUE"""),37.55555555555556)</f>
        <v>37.55555556</v>
      </c>
      <c r="J171" s="29">
        <f>IFERROR(__xludf.DUMMYFUNCTION("""COMPUTED_VALUE"""),83.0)</f>
        <v>83</v>
      </c>
      <c r="K171" s="29">
        <f>IFERROR(__xludf.DUMMYFUNCTION("""COMPUTED_VALUE"""),3.0)</f>
        <v>3</v>
      </c>
      <c r="L171" s="31" t="str">
        <f>IFERROR(__xludf.DUMMYFUNCTION("""COMPUTED_VALUE"""),"Action‑Adventure")</f>
        <v>Action‑Adventure</v>
      </c>
    </row>
    <row r="172">
      <c r="A172" s="17" t="str">
        <f>IFERROR(__xludf.DUMMYFUNCTION("""COMPUTED_VALUE"""),"Nine Sols")</f>
        <v>Nine Sols</v>
      </c>
      <c r="B172" s="20" t="str">
        <f>IFERROR(__xludf.DUMMYFUNCTION("""COMPUTED_VALUE"""),"Xbox / PC")</f>
        <v>Xbox / PC</v>
      </c>
      <c r="C172" s="21" t="str">
        <f>IFERROR(__xludf.DUMMYFUNCTION("""COMPUTED_VALUE"""),"Yes")</f>
        <v>Yes</v>
      </c>
      <c r="D172" s="21" t="str">
        <f>IFERROR(__xludf.DUMMYFUNCTION("""COMPUTED_VALUE"""),"Active")</f>
        <v>Active</v>
      </c>
      <c r="E172" s="23">
        <f>IFERROR(__xludf.DUMMYFUNCTION("""COMPUTED_VALUE"""),45622.0)</f>
        <v>45622</v>
      </c>
      <c r="F172" s="24"/>
      <c r="G172" s="27">
        <f>IFERROR(__xludf.DUMMYFUNCTION("""COMPUTED_VALUE"""),22.333333333333336)</f>
        <v>22.33333333</v>
      </c>
      <c r="H172" s="23">
        <f>IFERROR(__xludf.DUMMYFUNCTION("""COMPUTED_VALUE"""),45440.0)</f>
        <v>45440</v>
      </c>
      <c r="I172" s="27">
        <f>IFERROR(__xludf.DUMMYFUNCTION("""COMPUTED_VALUE"""),0.49444444444444446)</f>
        <v>0.4944444444</v>
      </c>
      <c r="J172" s="29">
        <f>IFERROR(__xludf.DUMMYFUNCTION("""COMPUTED_VALUE"""),83.0)</f>
        <v>83</v>
      </c>
      <c r="K172" s="29">
        <f>IFERROR(__xludf.DUMMYFUNCTION("""COMPUTED_VALUE"""),21.0)</f>
        <v>21</v>
      </c>
      <c r="L172" s="31" t="str">
        <f>IFERROR(__xludf.DUMMYFUNCTION("""COMPUTED_VALUE"""),"Platformer")</f>
        <v>Platformer</v>
      </c>
    </row>
    <row r="173">
      <c r="A173" s="17" t="str">
        <f>IFERROR(__xludf.DUMMYFUNCTION("""COMPUTED_VALUE"""),"Call of Duty: Black Ops 6")</f>
        <v>Call of Duty: Black Ops 6</v>
      </c>
      <c r="B173" s="20" t="str">
        <f>IFERROR(__xludf.DUMMYFUNCTION("""COMPUTED_VALUE"""),"Xbox / PC")</f>
        <v>Xbox / PC</v>
      </c>
      <c r="C173" s="21" t="str">
        <f>IFERROR(__xludf.DUMMYFUNCTION("""COMPUTED_VALUE"""),"Yes")</f>
        <v>Yes</v>
      </c>
      <c r="D173" s="21" t="str">
        <f>IFERROR(__xludf.DUMMYFUNCTION("""COMPUTED_VALUE"""),"Active")</f>
        <v>Active</v>
      </c>
      <c r="E173" s="23">
        <f>IFERROR(__xludf.DUMMYFUNCTION("""COMPUTED_VALUE"""),45590.0)</f>
        <v>45590</v>
      </c>
      <c r="F173" s="24"/>
      <c r="G173" s="27">
        <f>IFERROR(__xludf.DUMMYFUNCTION("""COMPUTED_VALUE"""),23.366666666666667)</f>
        <v>23.36666667</v>
      </c>
      <c r="H173" s="23">
        <f>IFERROR(__xludf.DUMMYFUNCTION("""COMPUTED_VALUE"""),45590.0)</f>
        <v>45590</v>
      </c>
      <c r="I173" s="27">
        <f>IFERROR(__xludf.DUMMYFUNCTION("""COMPUTED_VALUE"""),0.0)</f>
        <v>0</v>
      </c>
      <c r="J173" s="29">
        <f>IFERROR(__xludf.DUMMYFUNCTION("""COMPUTED_VALUE"""),83.0)</f>
        <v>83</v>
      </c>
      <c r="K173" s="29">
        <f>IFERROR(__xludf.DUMMYFUNCTION("""COMPUTED_VALUE"""),9.0)</f>
        <v>9</v>
      </c>
      <c r="L173" s="31" t="str">
        <f>IFERROR(__xludf.DUMMYFUNCTION("""COMPUTED_VALUE"""),"Shooter")</f>
        <v>Shooter</v>
      </c>
    </row>
    <row r="174">
      <c r="A174" s="17" t="str">
        <f>IFERROR(__xludf.DUMMYFUNCTION("""COMPUTED_VALUE"""),"Halo 3: ODST")</f>
        <v>Halo 3: ODST</v>
      </c>
      <c r="B174" s="20" t="str">
        <f>IFERROR(__xludf.DUMMYFUNCTION("""COMPUTED_VALUE"""),"Xbox / PC")</f>
        <v>Xbox / PC</v>
      </c>
      <c r="C174" s="21" t="str">
        <f>IFERROR(__xludf.DUMMYFUNCTION("""COMPUTED_VALUE"""),"Yes")</f>
        <v>Yes</v>
      </c>
      <c r="D174" s="21" t="str">
        <f>IFERROR(__xludf.DUMMYFUNCTION("""COMPUTED_VALUE"""),"Active")</f>
        <v>Active</v>
      </c>
      <c r="E174" s="23">
        <f>IFERROR(__xludf.DUMMYFUNCTION("""COMPUTED_VALUE"""),44096.0)</f>
        <v>44096</v>
      </c>
      <c r="F174" s="24"/>
      <c r="G174" s="27">
        <f>IFERROR(__xludf.DUMMYFUNCTION("""COMPUTED_VALUE"""),72.46666666666667)</f>
        <v>72.46666667</v>
      </c>
      <c r="H174" s="23">
        <f>IFERROR(__xludf.DUMMYFUNCTION("""COMPUTED_VALUE"""),40078.0)</f>
        <v>40078</v>
      </c>
      <c r="I174" s="27">
        <f>IFERROR(__xludf.DUMMYFUNCTION("""COMPUTED_VALUE"""),11.0)</f>
        <v>11</v>
      </c>
      <c r="J174" s="29">
        <f>IFERROR(__xludf.DUMMYFUNCTION("""COMPUTED_VALUE"""),83.0)</f>
        <v>83</v>
      </c>
      <c r="K174" s="29">
        <f>IFERROR(__xludf.DUMMYFUNCTION("""COMPUTED_VALUE"""),7.0)</f>
        <v>7</v>
      </c>
      <c r="L174" s="31" t="str">
        <f>IFERROR(__xludf.DUMMYFUNCTION("""COMPUTED_VALUE"""),"Shooter")</f>
        <v>Shooter</v>
      </c>
    </row>
    <row r="175">
      <c r="A175" s="17" t="str">
        <f>IFERROR(__xludf.DUMMYFUNCTION("""COMPUTED_VALUE"""),"Overcooked! 2")</f>
        <v>Overcooked! 2</v>
      </c>
      <c r="B175" s="20" t="str">
        <f>IFERROR(__xludf.DUMMYFUNCTION("""COMPUTED_VALUE"""),"Xbox / PC")</f>
        <v>Xbox / PC</v>
      </c>
      <c r="C175" s="21" t="str">
        <f>IFERROR(__xludf.DUMMYFUNCTION("""COMPUTED_VALUE"""),"Touch Controls")</f>
        <v>Touch Controls</v>
      </c>
      <c r="D175" s="21" t="str">
        <f>IFERROR(__xludf.DUMMYFUNCTION("""COMPUTED_VALUE"""),"Active")</f>
        <v>Active</v>
      </c>
      <c r="E175" s="23">
        <f>IFERROR(__xludf.DUMMYFUNCTION("""COMPUTED_VALUE"""),43811.0)</f>
        <v>43811</v>
      </c>
      <c r="F175" s="24"/>
      <c r="G175" s="27">
        <f>IFERROR(__xludf.DUMMYFUNCTION("""COMPUTED_VALUE"""),81.8)</f>
        <v>81.8</v>
      </c>
      <c r="H175" s="23">
        <f>IFERROR(__xludf.DUMMYFUNCTION("""COMPUTED_VALUE"""),43319.0)</f>
        <v>43319</v>
      </c>
      <c r="I175" s="27">
        <f>IFERROR(__xludf.DUMMYFUNCTION("""COMPUTED_VALUE"""),1.3472222222222223)</f>
        <v>1.347222222</v>
      </c>
      <c r="J175" s="29">
        <f>IFERROR(__xludf.DUMMYFUNCTION("""COMPUTED_VALUE"""),83.0)</f>
        <v>83</v>
      </c>
      <c r="K175" s="29">
        <f>IFERROR(__xludf.DUMMYFUNCTION("""COMPUTED_VALUE"""),6.5)</f>
        <v>6.5</v>
      </c>
      <c r="L175" s="31" t="str">
        <f>IFERROR(__xludf.DUMMYFUNCTION("""COMPUTED_VALUE"""),"Simulation")</f>
        <v>Simulation</v>
      </c>
    </row>
    <row r="176">
      <c r="A176" s="17" t="str">
        <f>IFERROR(__xludf.DUMMYFUNCTION("""COMPUTED_VALUE"""),"Gears 5: Game of the Year Edition")</f>
        <v>Gears 5: Game of the Year Edition</v>
      </c>
      <c r="B176" s="20" t="str">
        <f>IFERROR(__xludf.DUMMYFUNCTION("""COMPUTED_VALUE"""),"Xbox / PC")</f>
        <v>Xbox / PC</v>
      </c>
      <c r="C176" s="21" t="str">
        <f>IFERROR(__xludf.DUMMYFUNCTION("""COMPUTED_VALUE"""),"Touch Controls")</f>
        <v>Touch Controls</v>
      </c>
      <c r="D176" s="21" t="str">
        <f>IFERROR(__xludf.DUMMYFUNCTION("""COMPUTED_VALUE"""),"Active")</f>
        <v>Active</v>
      </c>
      <c r="E176" s="23">
        <f>IFERROR(__xludf.DUMMYFUNCTION("""COMPUTED_VALUE"""),43718.0)</f>
        <v>43718</v>
      </c>
      <c r="F176" s="24"/>
      <c r="G176" s="27">
        <f>IFERROR(__xludf.DUMMYFUNCTION("""COMPUTED_VALUE"""),84.86666666666666)</f>
        <v>84.86666667</v>
      </c>
      <c r="H176" s="23">
        <f>IFERROR(__xludf.DUMMYFUNCTION("""COMPUTED_VALUE"""),43718.0)</f>
        <v>43718</v>
      </c>
      <c r="I176" s="27">
        <f>IFERROR(__xludf.DUMMYFUNCTION("""COMPUTED_VALUE"""),0.0)</f>
        <v>0</v>
      </c>
      <c r="J176" s="29">
        <f>IFERROR(__xludf.DUMMYFUNCTION("""COMPUTED_VALUE"""),83.0)</f>
        <v>83</v>
      </c>
      <c r="K176" s="29">
        <f>IFERROR(__xludf.DUMMYFUNCTION("""COMPUTED_VALUE"""),10.5)</f>
        <v>10.5</v>
      </c>
      <c r="L176" s="31" t="str">
        <f>IFERROR(__xludf.DUMMYFUNCTION("""COMPUTED_VALUE"""),"Action")</f>
        <v>Action</v>
      </c>
    </row>
    <row r="177">
      <c r="A177" s="17" t="str">
        <f>IFERROR(__xludf.DUMMYFUNCTION("""COMPUTED_VALUE"""),"Age of Empires: Definitive Edition")</f>
        <v>Age of Empires: Definitive Edition</v>
      </c>
      <c r="B177" s="20" t="str">
        <f>IFERROR(__xludf.DUMMYFUNCTION("""COMPUTED_VALUE"""),"PC")</f>
        <v>PC</v>
      </c>
      <c r="C177" s="21"/>
      <c r="D177" s="21" t="str">
        <f>IFERROR(__xludf.DUMMYFUNCTION("""COMPUTED_VALUE"""),"Active")</f>
        <v>Active</v>
      </c>
      <c r="E177" s="23">
        <f>IFERROR(__xludf.DUMMYFUNCTION("""COMPUTED_VALUE"""),43696.0)</f>
        <v>43696</v>
      </c>
      <c r="F177" s="24"/>
      <c r="G177" s="27">
        <f>IFERROR(__xludf.DUMMYFUNCTION("""COMPUTED_VALUE"""),85.56666666666666)</f>
        <v>85.56666667</v>
      </c>
      <c r="H177" s="23">
        <f>IFERROR(__xludf.DUMMYFUNCTION("""COMPUTED_VALUE"""),43150.0)</f>
        <v>43150</v>
      </c>
      <c r="I177" s="27">
        <f>IFERROR(__xludf.DUMMYFUNCTION("""COMPUTED_VALUE"""),1.5)</f>
        <v>1.5</v>
      </c>
      <c r="J177" s="29">
        <f>IFERROR(__xludf.DUMMYFUNCTION("""COMPUTED_VALUE"""),83.0)</f>
        <v>83</v>
      </c>
      <c r="K177" s="29">
        <f>IFERROR(__xludf.DUMMYFUNCTION("""COMPUTED_VALUE"""),39.5)</f>
        <v>39.5</v>
      </c>
      <c r="L177" s="31" t="str">
        <f>IFERROR(__xludf.DUMMYFUNCTION("""COMPUTED_VALUE"""),"Strategy")</f>
        <v>Strategy</v>
      </c>
    </row>
    <row r="178">
      <c r="A178" s="17" t="str">
        <f>IFERROR(__xludf.DUMMYFUNCTION("""COMPUTED_VALUE"""),"Prey")</f>
        <v>Prey</v>
      </c>
      <c r="B178" s="20" t="str">
        <f>IFERROR(__xludf.DUMMYFUNCTION("""COMPUTED_VALUE"""),"Xbox / PC")</f>
        <v>Xbox / PC</v>
      </c>
      <c r="C178" s="21" t="str">
        <f>IFERROR(__xludf.DUMMYFUNCTION("""COMPUTED_VALUE"""),"Yes")</f>
        <v>Yes</v>
      </c>
      <c r="D178" s="21" t="str">
        <f>IFERROR(__xludf.DUMMYFUNCTION("""COMPUTED_VALUE"""),"Active")</f>
        <v>Active</v>
      </c>
      <c r="E178" s="23">
        <f>IFERROR(__xludf.DUMMYFUNCTION("""COMPUTED_VALUE"""),43566.0)</f>
        <v>43566</v>
      </c>
      <c r="F178" s="24"/>
      <c r="G178" s="27">
        <f>IFERROR(__xludf.DUMMYFUNCTION("""COMPUTED_VALUE"""),89.83333333333333)</f>
        <v>89.83333333</v>
      </c>
      <c r="H178" s="23">
        <f>IFERROR(__xludf.DUMMYFUNCTION("""COMPUTED_VALUE"""),42860.0)</f>
        <v>42860</v>
      </c>
      <c r="I178" s="27">
        <f>IFERROR(__xludf.DUMMYFUNCTION("""COMPUTED_VALUE"""),1.9333333333333333)</f>
        <v>1.933333333</v>
      </c>
      <c r="J178" s="29">
        <f>IFERROR(__xludf.DUMMYFUNCTION("""COMPUTED_VALUE"""),83.0)</f>
        <v>83</v>
      </c>
      <c r="K178" s="29">
        <f>IFERROR(__xludf.DUMMYFUNCTION("""COMPUTED_VALUE"""),16.0)</f>
        <v>16</v>
      </c>
      <c r="L178" s="31" t="str">
        <f>IFERROR(__xludf.DUMMYFUNCTION("""COMPUTED_VALUE"""),"Shooter")</f>
        <v>Shooter</v>
      </c>
    </row>
    <row r="179">
      <c r="A179" s="17" t="str">
        <f>IFERROR(__xludf.DUMMYFUNCTION("""COMPUTED_VALUE"""),"The Walking Dead: Season Two")</f>
        <v>The Walking Dead: Season Two</v>
      </c>
      <c r="B179" s="20" t="str">
        <f>IFERROR(__xludf.DUMMYFUNCTION("""COMPUTED_VALUE"""),"Xbox / PC")</f>
        <v>Xbox / PC</v>
      </c>
      <c r="C179" s="21" t="str">
        <f>IFERROR(__xludf.DUMMYFUNCTION("""COMPUTED_VALUE"""),"Touch Controls")</f>
        <v>Touch Controls</v>
      </c>
      <c r="D179" s="21" t="str">
        <f>IFERROR(__xludf.DUMMYFUNCTION("""COMPUTED_VALUE"""),"Active")</f>
        <v>Active</v>
      </c>
      <c r="E179" s="23">
        <f>IFERROR(__xludf.DUMMYFUNCTION("""COMPUTED_VALUE"""),43524.0)</f>
        <v>43524</v>
      </c>
      <c r="F179" s="24"/>
      <c r="G179" s="27">
        <f>IFERROR(__xludf.DUMMYFUNCTION("""COMPUTED_VALUE"""),91.26666666666667)</f>
        <v>91.26666667</v>
      </c>
      <c r="H179" s="23">
        <f>IFERROR(__xludf.DUMMYFUNCTION("""COMPUTED_VALUE"""),41625.0)</f>
        <v>41625</v>
      </c>
      <c r="I179" s="27">
        <f>IFERROR(__xludf.DUMMYFUNCTION("""COMPUTED_VALUE"""),5.197222222222222)</f>
        <v>5.197222222</v>
      </c>
      <c r="J179" s="29">
        <f>IFERROR(__xludf.DUMMYFUNCTION("""COMPUTED_VALUE"""),83.0)</f>
        <v>83</v>
      </c>
      <c r="K179" s="29">
        <f>IFERROR(__xludf.DUMMYFUNCTION("""COMPUTED_VALUE"""),9.5)</f>
        <v>9.5</v>
      </c>
      <c r="L179" s="31" t="str">
        <f>IFERROR(__xludf.DUMMYFUNCTION("""COMPUTED_VALUE"""),"Adventure")</f>
        <v>Adventure</v>
      </c>
    </row>
    <row r="180">
      <c r="A180" s="17" t="str">
        <f>IFERROR(__xludf.DUMMYFUNCTION("""COMPUTED_VALUE"""),"Cities: Skylines - Remastered")</f>
        <v>Cities: Skylines - Remastered</v>
      </c>
      <c r="B180" s="20" t="str">
        <f>IFERROR(__xludf.DUMMYFUNCTION("""COMPUTED_VALUE"""),"Xbox / PC")</f>
        <v>Xbox / PC</v>
      </c>
      <c r="C180" s="21" t="str">
        <f>IFERROR(__xludf.DUMMYFUNCTION("""COMPUTED_VALUE"""),"M+KB")</f>
        <v>M+KB</v>
      </c>
      <c r="D180" s="21" t="str">
        <f>IFERROR(__xludf.DUMMYFUNCTION("""COMPUTED_VALUE"""),"Active")</f>
        <v>Active</v>
      </c>
      <c r="E180" s="23">
        <f>IFERROR(__xludf.DUMMYFUNCTION("""COMPUTED_VALUE"""),43191.0)</f>
        <v>43191</v>
      </c>
      <c r="F180" s="24"/>
      <c r="G180" s="27">
        <f>IFERROR(__xludf.DUMMYFUNCTION("""COMPUTED_VALUE"""),102.16666666666667)</f>
        <v>102.1666667</v>
      </c>
      <c r="H180" s="23">
        <f>IFERROR(__xludf.DUMMYFUNCTION("""COMPUTED_VALUE"""),42073.0)</f>
        <v>42073</v>
      </c>
      <c r="I180" s="27">
        <f>IFERROR(__xludf.DUMMYFUNCTION("""COMPUTED_VALUE"""),3.058333333333333)</f>
        <v>3.058333333</v>
      </c>
      <c r="J180" s="29">
        <f>IFERROR(__xludf.DUMMYFUNCTION("""COMPUTED_VALUE"""),83.0)</f>
        <v>83</v>
      </c>
      <c r="K180" s="29">
        <f>IFERROR(__xludf.DUMMYFUNCTION("""COMPUTED_VALUE"""),25.5)</f>
        <v>25.5</v>
      </c>
      <c r="L180" s="31" t="str">
        <f>IFERROR(__xludf.DUMMYFUNCTION("""COMPUTED_VALUE"""),"Simulation")</f>
        <v>Simulation</v>
      </c>
    </row>
    <row r="181">
      <c r="A181" s="17" t="str">
        <f>IFERROR(__xludf.DUMMYFUNCTION("""COMPUTED_VALUE"""),"theHunter: Call of the Wild")</f>
        <v>theHunter: Call of the Wild</v>
      </c>
      <c r="B181" s="20" t="str">
        <f>IFERROR(__xludf.DUMMYFUNCTION("""COMPUTED_VALUE"""),"Xbox / PC")</f>
        <v>Xbox / PC</v>
      </c>
      <c r="C181" s="21" t="str">
        <f>IFERROR(__xludf.DUMMYFUNCTION("""COMPUTED_VALUE"""),"Yes")</f>
        <v>Yes</v>
      </c>
      <c r="D181" s="21" t="str">
        <f>IFERROR(__xludf.DUMMYFUNCTION("""COMPUTED_VALUE"""),"Active")</f>
        <v>Active</v>
      </c>
      <c r="E181" s="23">
        <f>IFERROR(__xludf.DUMMYFUNCTION("""COMPUTED_VALUE"""),43191.0)</f>
        <v>43191</v>
      </c>
      <c r="F181" s="24"/>
      <c r="G181" s="27">
        <f>IFERROR(__xludf.DUMMYFUNCTION("""COMPUTED_VALUE"""),102.16666666666667)</f>
        <v>102.1666667</v>
      </c>
      <c r="H181" s="23">
        <f>IFERROR(__xludf.DUMMYFUNCTION("""COMPUTED_VALUE"""),42781.0)</f>
        <v>42781</v>
      </c>
      <c r="I181" s="27">
        <f>IFERROR(__xludf.DUMMYFUNCTION("""COMPUTED_VALUE"""),1.1277777777777778)</f>
        <v>1.127777778</v>
      </c>
      <c r="J181" s="29">
        <f>IFERROR(__xludf.DUMMYFUNCTION("""COMPUTED_VALUE"""),83.0)</f>
        <v>83</v>
      </c>
      <c r="K181" s="29">
        <f>IFERROR(__xludf.DUMMYFUNCTION("""COMPUTED_VALUE"""),20.5)</f>
        <v>20.5</v>
      </c>
      <c r="L181" s="31" t="str">
        <f>IFERROR(__xludf.DUMMYFUNCTION("""COMPUTED_VALUE"""),"Shooter")</f>
        <v>Shooter</v>
      </c>
    </row>
    <row r="182">
      <c r="A182" s="17" t="str">
        <f>IFERROR(__xludf.DUMMYFUNCTION("""COMPUTED_VALUE"""),"Dishonored: Death of the Outsider")</f>
        <v>Dishonored: Death of the Outsider</v>
      </c>
      <c r="B182" s="20" t="str">
        <f>IFERROR(__xludf.DUMMYFUNCTION("""COMPUTED_VALUE"""),"Xbox / PC")</f>
        <v>Xbox / PC</v>
      </c>
      <c r="C182" s="21" t="str">
        <f>IFERROR(__xludf.DUMMYFUNCTION("""COMPUTED_VALUE"""),"Yes")</f>
        <v>Yes</v>
      </c>
      <c r="D182" s="21" t="str">
        <f>IFERROR(__xludf.DUMMYFUNCTION("""COMPUTED_VALUE"""),"Active")</f>
        <v>Active</v>
      </c>
      <c r="E182" s="23">
        <f>IFERROR(__xludf.DUMMYFUNCTION("""COMPUTED_VALUE"""),44360.0)</f>
        <v>44360</v>
      </c>
      <c r="F182" s="24"/>
      <c r="G182" s="27">
        <f>IFERROR(__xludf.DUMMYFUNCTION("""COMPUTED_VALUE"""),63.766666666666666)</f>
        <v>63.76666667</v>
      </c>
      <c r="H182" s="23">
        <f>IFERROR(__xludf.DUMMYFUNCTION("""COMPUTED_VALUE"""),42993.0)</f>
        <v>42993</v>
      </c>
      <c r="I182" s="27">
        <f>IFERROR(__xludf.DUMMYFUNCTION("""COMPUTED_VALUE"""),3.7444444444444445)</f>
        <v>3.744444444</v>
      </c>
      <c r="J182" s="29">
        <f>IFERROR(__xludf.DUMMYFUNCTION("""COMPUTED_VALUE"""),82.5)</f>
        <v>82.5</v>
      </c>
      <c r="K182" s="29">
        <f>IFERROR(__xludf.DUMMYFUNCTION("""COMPUTED_VALUE"""),6.5)</f>
        <v>6.5</v>
      </c>
      <c r="L182" s="31" t="str">
        <f>IFERROR(__xludf.DUMMYFUNCTION("""COMPUTED_VALUE"""),"Action-Adventure")</f>
        <v>Action-Adventure</v>
      </c>
    </row>
    <row r="183">
      <c r="A183" s="17" t="str">
        <f>IFERROR(__xludf.DUMMYFUNCTION("""COMPUTED_VALUE"""),"Conker: Live &amp; Reloaded")</f>
        <v>Conker: Live &amp; Reloaded</v>
      </c>
      <c r="B183" s="20" t="str">
        <f>IFERROR(__xludf.DUMMYFUNCTION("""COMPUTED_VALUE"""),"Xbox / PC")</f>
        <v>Xbox / PC</v>
      </c>
      <c r="C183" s="21" t="str">
        <f>IFERROR(__xludf.DUMMYFUNCTION("""COMPUTED_VALUE"""),"Yes")</f>
        <v>Yes</v>
      </c>
      <c r="D183" s="21" t="str">
        <f>IFERROR(__xludf.DUMMYFUNCTION("""COMPUTED_VALUE"""),"Active")</f>
        <v>Active</v>
      </c>
      <c r="E183" s="23">
        <f>IFERROR(__xludf.DUMMYFUNCTION("""COMPUTED_VALUE"""),46225.0)</f>
        <v>46225</v>
      </c>
      <c r="F183" s="24"/>
      <c r="G183" s="27">
        <f>IFERROR(__xludf.DUMMYFUNCTION("""COMPUTED_VALUE"""),2.466666666666667)</f>
        <v>2.466666667</v>
      </c>
      <c r="H183" s="23">
        <f>IFERROR(__xludf.DUMMYFUNCTION("""COMPUTED_VALUE"""),38673.0)</f>
        <v>38673</v>
      </c>
      <c r="I183" s="27">
        <f>IFERROR(__xludf.DUMMYFUNCTION("""COMPUTED_VALUE"""),20.680555555555557)</f>
        <v>20.68055556</v>
      </c>
      <c r="J183" s="29">
        <f>IFERROR(__xludf.DUMMYFUNCTION("""COMPUTED_VALUE"""),82.0)</f>
        <v>82</v>
      </c>
      <c r="K183" s="29">
        <f>IFERROR(__xludf.DUMMYFUNCTION("""COMPUTED_VALUE"""),11.0)</f>
        <v>11</v>
      </c>
      <c r="L183" s="31" t="str">
        <f>IFERROR(__xludf.DUMMYFUNCTION("""COMPUTED_VALUE"""),"Action-Adventure")</f>
        <v>Action-Adventure</v>
      </c>
    </row>
    <row r="184">
      <c r="A184" s="17" t="str">
        <f>IFERROR(__xludf.DUMMYFUNCTION("""COMPUTED_VALUE"""),"Ascend to Zero")</f>
        <v>Ascend to Zero</v>
      </c>
      <c r="B184" s="20" t="str">
        <f>IFERROR(__xludf.DUMMYFUNCTION("""COMPUTED_VALUE"""),"Xbox / PC")</f>
        <v>Xbox / PC</v>
      </c>
      <c r="C184" s="21" t="str">
        <f>IFERROR(__xludf.DUMMYFUNCTION("""COMPUTED_VALUE"""),"Yes")</f>
        <v>Yes</v>
      </c>
      <c r="D184" s="21" t="str">
        <f>IFERROR(__xludf.DUMMYFUNCTION("""COMPUTED_VALUE"""),"Active")</f>
        <v>Active</v>
      </c>
      <c r="E184" s="23">
        <f>IFERROR(__xludf.DUMMYFUNCTION("""COMPUTED_VALUE"""),46216.0)</f>
        <v>46216</v>
      </c>
      <c r="F184" s="24"/>
      <c r="G184" s="27">
        <f>IFERROR(__xludf.DUMMYFUNCTION("""COMPUTED_VALUE"""),2.7666666666666666)</f>
        <v>2.766666667</v>
      </c>
      <c r="H184" s="23">
        <f>IFERROR(__xludf.DUMMYFUNCTION("""COMPUTED_VALUE"""),46216.0)</f>
        <v>46216</v>
      </c>
      <c r="I184" s="27">
        <f>IFERROR(__xludf.DUMMYFUNCTION("""COMPUTED_VALUE"""),0.0)</f>
        <v>0</v>
      </c>
      <c r="J184" s="29">
        <f>IFERROR(__xludf.DUMMYFUNCTION("""COMPUTED_VALUE"""),82.0)</f>
        <v>82</v>
      </c>
      <c r="K184" s="29">
        <f>IFERROR(__xludf.DUMMYFUNCTION("""COMPUTED_VALUE"""),13.0)</f>
        <v>13</v>
      </c>
      <c r="L184" s="31" t="str">
        <f>IFERROR(__xludf.DUMMYFUNCTION("""COMPUTED_VALUE"""),"Action-Adventure")</f>
        <v>Action-Adventure</v>
      </c>
    </row>
    <row r="185">
      <c r="A185" s="17" t="str">
        <f>IFERROR(__xludf.DUMMYFUNCTION("""COMPUTED_VALUE"""),"The Outer Worlds: Spacer’s Choice Edition")</f>
        <v>The Outer Worlds: Spacer’s Choice Edition</v>
      </c>
      <c r="B185" s="20" t="str">
        <f>IFERROR(__xludf.DUMMYFUNCTION("""COMPUTED_VALUE"""),"Xbox / PC")</f>
        <v>Xbox / PC</v>
      </c>
      <c r="C185" s="21" t="str">
        <f>IFERROR(__xludf.DUMMYFUNCTION("""COMPUTED_VALUE"""),"Yes")</f>
        <v>Yes</v>
      </c>
      <c r="D185" s="21" t="str">
        <f>IFERROR(__xludf.DUMMYFUNCTION("""COMPUTED_VALUE"""),"Active")</f>
        <v>Active</v>
      </c>
      <c r="E185" s="23">
        <f>IFERROR(__xludf.DUMMYFUNCTION("""COMPUTED_VALUE"""),46169.0)</f>
        <v>46169</v>
      </c>
      <c r="F185" s="24"/>
      <c r="G185" s="27">
        <f>IFERROR(__xludf.DUMMYFUNCTION("""COMPUTED_VALUE"""),4.3)</f>
        <v>4.3</v>
      </c>
      <c r="H185" s="23">
        <f>IFERROR(__xludf.DUMMYFUNCTION("""COMPUTED_VALUE"""),44992.0)</f>
        <v>44992</v>
      </c>
      <c r="I185" s="27">
        <f>IFERROR(__xludf.DUMMYFUNCTION("""COMPUTED_VALUE"""),3.2222222222222223)</f>
        <v>3.222222222</v>
      </c>
      <c r="J185" s="29">
        <f>IFERROR(__xludf.DUMMYFUNCTION("""COMPUTED_VALUE"""),82.0)</f>
        <v>82</v>
      </c>
      <c r="K185" s="29">
        <f>IFERROR(__xludf.DUMMYFUNCTION("""COMPUTED_VALUE"""),13.0)</f>
        <v>13</v>
      </c>
      <c r="L185" s="31" t="str">
        <f>IFERROR(__xludf.DUMMYFUNCTION("""COMPUTED_VALUE"""),"RPG")</f>
        <v>RPG</v>
      </c>
    </row>
    <row r="186">
      <c r="A186" s="17" t="str">
        <f>IFERROR(__xludf.DUMMYFUNCTION("""COMPUTED_VALUE"""),"Black Jacket")</f>
        <v>Black Jacket</v>
      </c>
      <c r="B186" s="20" t="str">
        <f>IFERROR(__xludf.DUMMYFUNCTION("""COMPUTED_VALUE"""),"Xbox / PC")</f>
        <v>Xbox / PC</v>
      </c>
      <c r="C186" s="21" t="str">
        <f>IFERROR(__xludf.DUMMYFUNCTION("""COMPUTED_VALUE"""),"Yes")</f>
        <v>Yes</v>
      </c>
      <c r="D186" s="21" t="str">
        <f>IFERROR(__xludf.DUMMYFUNCTION("""COMPUTED_VALUE"""),"Active")</f>
        <v>Active</v>
      </c>
      <c r="E186" s="23">
        <f>IFERROR(__xludf.DUMMYFUNCTION("""COMPUTED_VALUE"""),46154.0)</f>
        <v>46154</v>
      </c>
      <c r="F186" s="24"/>
      <c r="G186" s="27">
        <f>IFERROR(__xludf.DUMMYFUNCTION("""COMPUTED_VALUE"""),4.800000000000001)</f>
        <v>4.8</v>
      </c>
      <c r="H186" s="23">
        <f>IFERROR(__xludf.DUMMYFUNCTION("""COMPUTED_VALUE"""),46154.0)</f>
        <v>46154</v>
      </c>
      <c r="I186" s="27">
        <f>IFERROR(__xludf.DUMMYFUNCTION("""COMPUTED_VALUE"""),0.0)</f>
        <v>0</v>
      </c>
      <c r="J186" s="29">
        <f>IFERROR(__xludf.DUMMYFUNCTION("""COMPUTED_VALUE"""),82.0)</f>
        <v>82</v>
      </c>
      <c r="K186" s="29">
        <f>IFERROR(__xludf.DUMMYFUNCTION("""COMPUTED_VALUE"""),6.0)</f>
        <v>6</v>
      </c>
      <c r="L186" s="31" t="str">
        <f>IFERROR(__xludf.DUMMYFUNCTION("""COMPUTED_VALUE"""),"Roguelike Card Game")</f>
        <v>Roguelike Card Game</v>
      </c>
    </row>
    <row r="187">
      <c r="A187" s="17" t="str">
        <f>IFERROR(__xludf.DUMMYFUNCTION("""COMPUTED_VALUE"""),"Final Fantasy V")</f>
        <v>Final Fantasy V</v>
      </c>
      <c r="B187" s="20" t="str">
        <f>IFERROR(__xludf.DUMMYFUNCTION("""COMPUTED_VALUE"""),"Xbox / PC")</f>
        <v>Xbox / PC</v>
      </c>
      <c r="C187" s="21" t="str">
        <f>IFERROR(__xludf.DUMMYFUNCTION("""COMPUTED_VALUE"""),"Yes")</f>
        <v>Yes</v>
      </c>
      <c r="D187" s="21" t="str">
        <f>IFERROR(__xludf.DUMMYFUNCTION("""COMPUTED_VALUE"""),"Active")</f>
        <v>Active</v>
      </c>
      <c r="E187" s="23">
        <f>IFERROR(__xludf.DUMMYFUNCTION("""COMPUTED_VALUE"""),46147.0)</f>
        <v>46147</v>
      </c>
      <c r="F187" s="24"/>
      <c r="G187" s="27">
        <f>IFERROR(__xludf.DUMMYFUNCTION("""COMPUTED_VALUE"""),5.033333333333333)</f>
        <v>5.033333333</v>
      </c>
      <c r="H187" s="23">
        <f>IFERROR(__xludf.DUMMYFUNCTION("""COMPUTED_VALUE"""),39027.0)</f>
        <v>39027</v>
      </c>
      <c r="I187" s="27">
        <f>IFERROR(__xludf.DUMMYFUNCTION("""COMPUTED_VALUE"""),19.497222222222224)</f>
        <v>19.49722222</v>
      </c>
      <c r="J187" s="29">
        <f>IFERROR(__xludf.DUMMYFUNCTION("""COMPUTED_VALUE"""),82.0)</f>
        <v>82</v>
      </c>
      <c r="K187" s="29">
        <f>IFERROR(__xludf.DUMMYFUNCTION("""COMPUTED_VALUE"""),31.0)</f>
        <v>31</v>
      </c>
      <c r="L187" s="31" t="str">
        <f>IFERROR(__xludf.DUMMYFUNCTION("""COMPUTED_VALUE"""),"RPG")</f>
        <v>RPG</v>
      </c>
    </row>
    <row r="188">
      <c r="A188" s="17" t="str">
        <f>IFERROR(__xludf.DUMMYFUNCTION("""COMPUTED_VALUE"""),"inKonbini: One Store. Many Stories ")</f>
        <v>inKonbini: One Store. Many Stories </v>
      </c>
      <c r="B188" s="20" t="str">
        <f>IFERROR(__xludf.DUMMYFUNCTION("""COMPUTED_VALUE"""),"Xbox / PC")</f>
        <v>Xbox / PC</v>
      </c>
      <c r="C188" s="21" t="str">
        <f>IFERROR(__xludf.DUMMYFUNCTION("""COMPUTED_VALUE"""),"Yes")</f>
        <v>Yes</v>
      </c>
      <c r="D188" s="21" t="str">
        <f>IFERROR(__xludf.DUMMYFUNCTION("""COMPUTED_VALUE"""),"Active")</f>
        <v>Active</v>
      </c>
      <c r="E188" s="23">
        <f>IFERROR(__xludf.DUMMYFUNCTION("""COMPUTED_VALUE"""),46142.0)</f>
        <v>46142</v>
      </c>
      <c r="F188" s="24"/>
      <c r="G188" s="27">
        <f>IFERROR(__xludf.DUMMYFUNCTION("""COMPUTED_VALUE"""),5.2)</f>
        <v>5.2</v>
      </c>
      <c r="H188" s="23">
        <f>IFERROR(__xludf.DUMMYFUNCTION("""COMPUTED_VALUE"""),46142.0)</f>
        <v>46142</v>
      </c>
      <c r="I188" s="27">
        <f>IFERROR(__xludf.DUMMYFUNCTION("""COMPUTED_VALUE"""),0.0)</f>
        <v>0</v>
      </c>
      <c r="J188" s="29">
        <f>IFERROR(__xludf.DUMMYFUNCTION("""COMPUTED_VALUE"""),82.0)</f>
        <v>82</v>
      </c>
      <c r="K188" s="29">
        <f>IFERROR(__xludf.DUMMYFUNCTION("""COMPUTED_VALUE"""),7.0)</f>
        <v>7</v>
      </c>
      <c r="L188" s="31" t="str">
        <f>IFERROR(__xludf.DUMMYFUNCTION("""COMPUTED_VALUE"""),"Action-Adventure")</f>
        <v>Action-Adventure</v>
      </c>
    </row>
    <row r="189">
      <c r="A189" s="17" t="str">
        <f>IFERROR(__xludf.DUMMYFUNCTION("""COMPUTED_VALUE"""),"Warhammer 40,000: Space Marine II")</f>
        <v>Warhammer 40,000: Space Marine II</v>
      </c>
      <c r="B189" s="20" t="str">
        <f>IFERROR(__xludf.DUMMYFUNCTION("""COMPUTED_VALUE"""),"Xbox / PC")</f>
        <v>Xbox / PC</v>
      </c>
      <c r="C189" s="21" t="str">
        <f>IFERROR(__xludf.DUMMYFUNCTION("""COMPUTED_VALUE"""),"Yes")</f>
        <v>Yes</v>
      </c>
      <c r="D189" s="21" t="str">
        <f>IFERROR(__xludf.DUMMYFUNCTION("""COMPUTED_VALUE"""),"Active")</f>
        <v>Active</v>
      </c>
      <c r="E189" s="23">
        <f>IFERROR(__xludf.DUMMYFUNCTION("""COMPUTED_VALUE"""),46051.0)</f>
        <v>46051</v>
      </c>
      <c r="F189" s="24"/>
      <c r="G189" s="27">
        <f>IFERROR(__xludf.DUMMYFUNCTION("""COMPUTED_VALUE"""),8.233333333333334)</f>
        <v>8.233333333</v>
      </c>
      <c r="H189" s="23">
        <f>IFERROR(__xludf.DUMMYFUNCTION("""COMPUTED_VALUE"""),45540.0)</f>
        <v>45540</v>
      </c>
      <c r="I189" s="27">
        <f>IFERROR(__xludf.DUMMYFUNCTION("""COMPUTED_VALUE"""),1.4)</f>
        <v>1.4</v>
      </c>
      <c r="J189" s="29">
        <f>IFERROR(__xludf.DUMMYFUNCTION("""COMPUTED_VALUE"""),82.0)</f>
        <v>82</v>
      </c>
      <c r="K189" s="29">
        <f>IFERROR(__xludf.DUMMYFUNCTION("""COMPUTED_VALUE"""),9.0)</f>
        <v>9</v>
      </c>
      <c r="L189" s="31" t="str">
        <f>IFERROR(__xludf.DUMMYFUNCTION("""COMPUTED_VALUE"""),"Shooter")</f>
        <v>Shooter</v>
      </c>
    </row>
    <row r="190">
      <c r="A190" s="17" t="str">
        <f>IFERROR(__xludf.DUMMYFUNCTION("""COMPUTED_VALUE"""),"Death Howl")</f>
        <v>Death Howl</v>
      </c>
      <c r="B190" s="20" t="str">
        <f>IFERROR(__xludf.DUMMYFUNCTION("""COMPUTED_VALUE"""),"Xbox / PC")</f>
        <v>Xbox / PC</v>
      </c>
      <c r="C190" s="21" t="str">
        <f>IFERROR(__xludf.DUMMYFUNCTION("""COMPUTED_VALUE"""),"Yes")</f>
        <v>Yes</v>
      </c>
      <c r="D190" s="21" t="str">
        <f>IFERROR(__xludf.DUMMYFUNCTION("""COMPUTED_VALUE"""),"Active")</f>
        <v>Active</v>
      </c>
      <c r="E190" s="23">
        <f>IFERROR(__xludf.DUMMYFUNCTION("""COMPUTED_VALUE"""),46000.0)</f>
        <v>46000</v>
      </c>
      <c r="F190" s="24"/>
      <c r="G190" s="27">
        <f>IFERROR(__xludf.DUMMYFUNCTION("""COMPUTED_VALUE"""),9.899999999999999)</f>
        <v>9.9</v>
      </c>
      <c r="H190" s="23">
        <f>IFERROR(__xludf.DUMMYFUNCTION("""COMPUTED_VALUE"""),46000.0)</f>
        <v>46000</v>
      </c>
      <c r="I190" s="27">
        <f>IFERROR(__xludf.DUMMYFUNCTION("""COMPUTED_VALUE"""),0.0)</f>
        <v>0</v>
      </c>
      <c r="J190" s="29">
        <f>IFERROR(__xludf.DUMMYFUNCTION("""COMPUTED_VALUE"""),82.0)</f>
        <v>82</v>
      </c>
      <c r="K190" s="29">
        <f>IFERROR(__xludf.DUMMYFUNCTION("""COMPUTED_VALUE"""),25.0)</f>
        <v>25</v>
      </c>
      <c r="L190" s="31" t="str">
        <f>IFERROR(__xludf.DUMMYFUNCTION("""COMPUTED_VALUE"""),"Adventure")</f>
        <v>Adventure</v>
      </c>
    </row>
    <row r="191">
      <c r="A191" s="17" t="str">
        <f>IFERROR(__xludf.DUMMYFUNCTION("""COMPUTED_VALUE"""),"Voidtrain")</f>
        <v>Voidtrain</v>
      </c>
      <c r="B191" s="20" t="str">
        <f>IFERROR(__xludf.DUMMYFUNCTION("""COMPUTED_VALUE"""),"Xbox / PC")</f>
        <v>Xbox / PC</v>
      </c>
      <c r="C191" s="21" t="str">
        <f>IFERROR(__xludf.DUMMYFUNCTION("""COMPUTED_VALUE"""),"Yes")</f>
        <v>Yes</v>
      </c>
      <c r="D191" s="21" t="str">
        <f>IFERROR(__xludf.DUMMYFUNCTION("""COMPUTED_VALUE"""),"Active")</f>
        <v>Active</v>
      </c>
      <c r="E191" s="23">
        <f>IFERROR(__xludf.DUMMYFUNCTION("""COMPUTED_VALUE"""),45968.0)</f>
        <v>45968</v>
      </c>
      <c r="F191" s="24"/>
      <c r="G191" s="27">
        <f>IFERROR(__xludf.DUMMYFUNCTION("""COMPUTED_VALUE"""),10.966666666666667)</f>
        <v>10.96666667</v>
      </c>
      <c r="H191" s="23">
        <f>IFERROR(__xludf.DUMMYFUNCTION("""COMPUTED_VALUE"""),45968.0)</f>
        <v>45968</v>
      </c>
      <c r="I191" s="27">
        <f>IFERROR(__xludf.DUMMYFUNCTION("""COMPUTED_VALUE"""),0.0)</f>
        <v>0</v>
      </c>
      <c r="J191" s="29">
        <f>IFERROR(__xludf.DUMMYFUNCTION("""COMPUTED_VALUE"""),82.0)</f>
        <v>82</v>
      </c>
      <c r="K191" s="29">
        <f>IFERROR(__xludf.DUMMYFUNCTION("""COMPUTED_VALUE"""),19.0)</f>
        <v>19</v>
      </c>
      <c r="L191" s="31" t="str">
        <f>IFERROR(__xludf.DUMMYFUNCTION("""COMPUTED_VALUE"""),"Shooter")</f>
        <v>Shooter</v>
      </c>
    </row>
    <row r="192">
      <c r="A192" s="17" t="str">
        <f>IFERROR(__xludf.DUMMYFUNCTION("""COMPUTED_VALUE"""),"PowerWash Simulator 2")</f>
        <v>PowerWash Simulator 2</v>
      </c>
      <c r="B192" s="20" t="str">
        <f>IFERROR(__xludf.DUMMYFUNCTION("""COMPUTED_VALUE"""),"Xbox / PC")</f>
        <v>Xbox / PC</v>
      </c>
      <c r="C192" s="21" t="str">
        <f>IFERROR(__xludf.DUMMYFUNCTION("""COMPUTED_VALUE"""),"Yes")</f>
        <v>Yes</v>
      </c>
      <c r="D192" s="21" t="str">
        <f>IFERROR(__xludf.DUMMYFUNCTION("""COMPUTED_VALUE"""),"Active")</f>
        <v>Active</v>
      </c>
      <c r="E192" s="23">
        <f>IFERROR(__xludf.DUMMYFUNCTION("""COMPUTED_VALUE"""),45953.0)</f>
        <v>45953</v>
      </c>
      <c r="F192" s="24"/>
      <c r="G192" s="27">
        <f>IFERROR(__xludf.DUMMYFUNCTION("""COMPUTED_VALUE"""),11.433333333333334)</f>
        <v>11.43333333</v>
      </c>
      <c r="H192" s="23">
        <f>IFERROR(__xludf.DUMMYFUNCTION("""COMPUTED_VALUE"""),45953.0)</f>
        <v>45953</v>
      </c>
      <c r="I192" s="27">
        <f>IFERROR(__xludf.DUMMYFUNCTION("""COMPUTED_VALUE"""),0.0)</f>
        <v>0</v>
      </c>
      <c r="J192" s="29">
        <f>IFERROR(__xludf.DUMMYFUNCTION("""COMPUTED_VALUE"""),82.0)</f>
        <v>82</v>
      </c>
      <c r="K192" s="29">
        <f>IFERROR(__xludf.DUMMYFUNCTION("""COMPUTED_VALUE"""),37.0)</f>
        <v>37</v>
      </c>
      <c r="L192" s="31" t="str">
        <f>IFERROR(__xludf.DUMMYFUNCTION("""COMPUTED_VALUE"""),"Simulation")</f>
        <v>Simulation</v>
      </c>
    </row>
    <row r="193">
      <c r="A193" s="17" t="str">
        <f>IFERROR(__xludf.DUMMYFUNCTION("""COMPUTED_VALUE"""),"Ninja Gaiden 4")</f>
        <v>Ninja Gaiden 4</v>
      </c>
      <c r="B193" s="20" t="str">
        <f>IFERROR(__xludf.DUMMYFUNCTION("""COMPUTED_VALUE"""),"Xbox / PC")</f>
        <v>Xbox / PC</v>
      </c>
      <c r="C193" s="21" t="str">
        <f>IFERROR(__xludf.DUMMYFUNCTION("""COMPUTED_VALUE"""),"Yes")</f>
        <v>Yes</v>
      </c>
      <c r="D193" s="21" t="str">
        <f>IFERROR(__xludf.DUMMYFUNCTION("""COMPUTED_VALUE"""),"Active")</f>
        <v>Active</v>
      </c>
      <c r="E193" s="23">
        <f>IFERROR(__xludf.DUMMYFUNCTION("""COMPUTED_VALUE"""),45951.0)</f>
        <v>45951</v>
      </c>
      <c r="F193" s="24"/>
      <c r="G193" s="27">
        <f>IFERROR(__xludf.DUMMYFUNCTION("""COMPUTED_VALUE"""),11.5)</f>
        <v>11.5</v>
      </c>
      <c r="H193" s="23">
        <f>IFERROR(__xludf.DUMMYFUNCTION("""COMPUTED_VALUE"""),45951.0)</f>
        <v>45951</v>
      </c>
      <c r="I193" s="27">
        <f>IFERROR(__xludf.DUMMYFUNCTION("""COMPUTED_VALUE"""),0.0)</f>
        <v>0</v>
      </c>
      <c r="J193" s="29">
        <f>IFERROR(__xludf.DUMMYFUNCTION("""COMPUTED_VALUE"""),82.0)</f>
        <v>82</v>
      </c>
      <c r="K193" s="29">
        <f>IFERROR(__xludf.DUMMYFUNCTION("""COMPUTED_VALUE"""),12.0)</f>
        <v>12</v>
      </c>
      <c r="L193" s="31" t="str">
        <f>IFERROR(__xludf.DUMMYFUNCTION("""COMPUTED_VALUE"""),"Action-Adventure")</f>
        <v>Action-Adventure</v>
      </c>
    </row>
    <row r="194">
      <c r="A194" s="17" t="str">
        <f>IFERROR(__xludf.DUMMYFUNCTION("""COMPUTED_VALUE"""),"Child of Light")</f>
        <v>Child of Light</v>
      </c>
      <c r="B194" s="20" t="str">
        <f>IFERROR(__xludf.DUMMYFUNCTION("""COMPUTED_VALUE"""),"Xbox / PC")</f>
        <v>Xbox / PC</v>
      </c>
      <c r="C194" s="21" t="str">
        <f>IFERROR(__xludf.DUMMYFUNCTION("""COMPUTED_VALUE"""),"Yes")</f>
        <v>Yes</v>
      </c>
      <c r="D194" s="21" t="str">
        <f>IFERROR(__xludf.DUMMYFUNCTION("""COMPUTED_VALUE"""),"Active")</f>
        <v>Active</v>
      </c>
      <c r="E194" s="23">
        <f>IFERROR(__xludf.DUMMYFUNCTION("""COMPUTED_VALUE"""),45931.0)</f>
        <v>45931</v>
      </c>
      <c r="F194" s="24"/>
      <c r="G194" s="27">
        <f>IFERROR(__xludf.DUMMYFUNCTION("""COMPUTED_VALUE"""),12.166666666666666)</f>
        <v>12.16666667</v>
      </c>
      <c r="H194" s="23">
        <f>IFERROR(__xludf.DUMMYFUNCTION("""COMPUTED_VALUE"""),41758.0)</f>
        <v>41758</v>
      </c>
      <c r="I194" s="27">
        <f>IFERROR(__xludf.DUMMYFUNCTION("""COMPUTED_VALUE"""),11.422222222222222)</f>
        <v>11.42222222</v>
      </c>
      <c r="J194" s="29">
        <f>IFERROR(__xludf.DUMMYFUNCTION("""COMPUTED_VALUE"""),82.0)</f>
        <v>82</v>
      </c>
      <c r="K194" s="29">
        <f>IFERROR(__xludf.DUMMYFUNCTION("""COMPUTED_VALUE"""),11.0)</f>
        <v>11</v>
      </c>
      <c r="L194" s="31" t="str">
        <f>IFERROR(__xludf.DUMMYFUNCTION("""COMPUTED_VALUE"""),"RPG")</f>
        <v>RPG</v>
      </c>
    </row>
    <row r="195">
      <c r="A195" s="17" t="str">
        <f>IFERROR(__xludf.DUMMYFUNCTION("""COMPUTED_VALUE"""),"Cataclismo")</f>
        <v>Cataclismo</v>
      </c>
      <c r="B195" s="20" t="str">
        <f>IFERROR(__xludf.DUMMYFUNCTION("""COMPUTED_VALUE"""),"PC")</f>
        <v>PC</v>
      </c>
      <c r="C195" s="21"/>
      <c r="D195" s="21" t="str">
        <f>IFERROR(__xludf.DUMMYFUNCTION("""COMPUTED_VALUE"""),"Active")</f>
        <v>Active</v>
      </c>
      <c r="E195" s="23">
        <f>IFERROR(__xludf.DUMMYFUNCTION("""COMPUTED_VALUE"""),45904.0)</f>
        <v>45904</v>
      </c>
      <c r="F195" s="24"/>
      <c r="G195" s="27">
        <f>IFERROR(__xludf.DUMMYFUNCTION("""COMPUTED_VALUE"""),13.066666666666666)</f>
        <v>13.06666667</v>
      </c>
      <c r="H195" s="23">
        <f>IFERROR(__xludf.DUMMYFUNCTION("""COMPUTED_VALUE"""),45736.0)</f>
        <v>45736</v>
      </c>
      <c r="I195" s="27">
        <f>IFERROR(__xludf.DUMMYFUNCTION("""COMPUTED_VALUE"""),0.45555555555555555)</f>
        <v>0.4555555556</v>
      </c>
      <c r="J195" s="29">
        <f>IFERROR(__xludf.DUMMYFUNCTION("""COMPUTED_VALUE"""),82.0)</f>
        <v>82</v>
      </c>
      <c r="K195" s="29">
        <f>IFERROR(__xludf.DUMMYFUNCTION("""COMPUTED_VALUE"""),16.0)</f>
        <v>16</v>
      </c>
      <c r="L195" s="31" t="str">
        <f>IFERROR(__xludf.DUMMYFUNCTION("""COMPUTED_VALUE"""),"Defense")</f>
        <v>Defense</v>
      </c>
    </row>
    <row r="196">
      <c r="A196" s="17" t="str">
        <f>IFERROR(__xludf.DUMMYFUNCTION("""COMPUTED_VALUE"""),"Dragon Age: The Veilguard")</f>
        <v>Dragon Age: The Veilguard</v>
      </c>
      <c r="B196" s="20" t="str">
        <f>IFERROR(__xludf.DUMMYFUNCTION("""COMPUTED_VALUE"""),"Xbox / PC")</f>
        <v>Xbox / PC</v>
      </c>
      <c r="C196" s="21" t="str">
        <f>IFERROR(__xludf.DUMMYFUNCTION("""COMPUTED_VALUE"""),"Yes")</f>
        <v>Yes</v>
      </c>
      <c r="D196" s="21" t="str">
        <f>IFERROR(__xludf.DUMMYFUNCTION("""COMPUTED_VALUE"""),"Active")</f>
        <v>Active</v>
      </c>
      <c r="E196" s="23">
        <f>IFERROR(__xludf.DUMMYFUNCTION("""COMPUTED_VALUE"""),45897.0)</f>
        <v>45897</v>
      </c>
      <c r="F196" s="24"/>
      <c r="G196" s="27">
        <f>IFERROR(__xludf.DUMMYFUNCTION("""COMPUTED_VALUE"""),13.266666666666667)</f>
        <v>13.26666667</v>
      </c>
      <c r="H196" s="23">
        <f>IFERROR(__xludf.DUMMYFUNCTION("""COMPUTED_VALUE"""),45596.0)</f>
        <v>45596</v>
      </c>
      <c r="I196" s="27">
        <f>IFERROR(__xludf.DUMMYFUNCTION("""COMPUTED_VALUE"""),0.8277777777777777)</f>
        <v>0.8277777778</v>
      </c>
      <c r="J196" s="29">
        <f>IFERROR(__xludf.DUMMYFUNCTION("""COMPUTED_VALUE"""),82.0)</f>
        <v>82</v>
      </c>
      <c r="K196" s="29">
        <f>IFERROR(__xludf.DUMMYFUNCTION("""COMPUTED_VALUE"""),29.0)</f>
        <v>29</v>
      </c>
      <c r="L196" s="31" t="str">
        <f>IFERROR(__xludf.DUMMYFUNCTION("""COMPUTED_VALUE"""),"RPG")</f>
        <v>RPG</v>
      </c>
    </row>
    <row r="197">
      <c r="A197" s="17" t="str">
        <f>IFERROR(__xludf.DUMMYFUNCTION("""COMPUTED_VALUE"""),"Heretic + Hexen")</f>
        <v>Heretic + Hexen</v>
      </c>
      <c r="B197" s="20" t="str">
        <f>IFERROR(__xludf.DUMMYFUNCTION("""COMPUTED_VALUE"""),"Xbox / PC")</f>
        <v>Xbox / PC</v>
      </c>
      <c r="C197" s="21" t="str">
        <f>IFERROR(__xludf.DUMMYFUNCTION("""COMPUTED_VALUE"""),"Yes")</f>
        <v>Yes</v>
      </c>
      <c r="D197" s="21" t="str">
        <f>IFERROR(__xludf.DUMMYFUNCTION("""COMPUTED_VALUE"""),"Active")</f>
        <v>Active</v>
      </c>
      <c r="E197" s="23">
        <f>IFERROR(__xludf.DUMMYFUNCTION("""COMPUTED_VALUE"""),45876.0)</f>
        <v>45876</v>
      </c>
      <c r="F197" s="24"/>
      <c r="G197" s="27">
        <f>IFERROR(__xludf.DUMMYFUNCTION("""COMPUTED_VALUE"""),13.966666666666669)</f>
        <v>13.96666667</v>
      </c>
      <c r="H197" s="23">
        <f>IFERROR(__xludf.DUMMYFUNCTION("""COMPUTED_VALUE"""),45876.0)</f>
        <v>45876</v>
      </c>
      <c r="I197" s="27">
        <f>IFERROR(__xludf.DUMMYFUNCTION("""COMPUTED_VALUE"""),0.0)</f>
        <v>0</v>
      </c>
      <c r="J197" s="29">
        <f>IFERROR(__xludf.DUMMYFUNCTION("""COMPUTED_VALUE"""),82.0)</f>
        <v>82</v>
      </c>
      <c r="K197" s="29">
        <f>IFERROR(__xludf.DUMMYFUNCTION("""COMPUTED_VALUE"""),27.0)</f>
        <v>27</v>
      </c>
      <c r="L197" s="31" t="str">
        <f>IFERROR(__xludf.DUMMYFUNCTION("""COMPUTED_VALUE"""),"Compilation")</f>
        <v>Compilation</v>
      </c>
    </row>
    <row r="198">
      <c r="A198" s="17" t="str">
        <f>IFERROR(__xludf.DUMMYFUNCTION("""COMPUTED_VALUE"""),"Tony Hawk's Pro Skater 3 + 4")</f>
        <v>Tony Hawk's Pro Skater 3 + 4</v>
      </c>
      <c r="B198" s="20" t="str">
        <f>IFERROR(__xludf.DUMMYFUNCTION("""COMPUTED_VALUE"""),"Xbox / PC")</f>
        <v>Xbox / PC</v>
      </c>
      <c r="C198" s="21" t="str">
        <f>IFERROR(__xludf.DUMMYFUNCTION("""COMPUTED_VALUE"""),"Yes")</f>
        <v>Yes</v>
      </c>
      <c r="D198" s="21" t="str">
        <f>IFERROR(__xludf.DUMMYFUNCTION("""COMPUTED_VALUE"""),"Active")</f>
        <v>Active</v>
      </c>
      <c r="E198" s="23">
        <f>IFERROR(__xludf.DUMMYFUNCTION("""COMPUTED_VALUE"""),45849.0)</f>
        <v>45849</v>
      </c>
      <c r="F198" s="24"/>
      <c r="G198" s="27">
        <f>IFERROR(__xludf.DUMMYFUNCTION("""COMPUTED_VALUE"""),14.833333333333334)</f>
        <v>14.83333333</v>
      </c>
      <c r="H198" s="23">
        <f>IFERROR(__xludf.DUMMYFUNCTION("""COMPUTED_VALUE"""),45849.0)</f>
        <v>45849</v>
      </c>
      <c r="I198" s="27">
        <f>IFERROR(__xludf.DUMMYFUNCTION("""COMPUTED_VALUE"""),0.0)</f>
        <v>0</v>
      </c>
      <c r="J198" s="29">
        <f>IFERROR(__xludf.DUMMYFUNCTION("""COMPUTED_VALUE"""),82.0)</f>
        <v>82</v>
      </c>
      <c r="K198" s="29">
        <f>IFERROR(__xludf.DUMMYFUNCTION("""COMPUTED_VALUE"""),18.0)</f>
        <v>18</v>
      </c>
      <c r="L198" s="31" t="str">
        <f>IFERROR(__xludf.DUMMYFUNCTION("""COMPUTED_VALUE"""),"Skating")</f>
        <v>Skating</v>
      </c>
    </row>
    <row r="199">
      <c r="A199" s="17" t="str">
        <f>IFERROR(__xludf.DUMMYFUNCTION("""COMPUTED_VALUE"""),"Tom Clancy's The Division 2")</f>
        <v>Tom Clancy's The Division 2</v>
      </c>
      <c r="B199" s="20" t="str">
        <f>IFERROR(__xludf.DUMMYFUNCTION("""COMPUTED_VALUE"""),"Xbox / PC")</f>
        <v>Xbox / PC</v>
      </c>
      <c r="C199" s="21" t="str">
        <f>IFERROR(__xludf.DUMMYFUNCTION("""COMPUTED_VALUE"""),"Yes")</f>
        <v>Yes</v>
      </c>
      <c r="D199" s="21" t="str">
        <f>IFERROR(__xludf.DUMMYFUNCTION("""COMPUTED_VALUE"""),"Active")</f>
        <v>Active</v>
      </c>
      <c r="E199" s="23">
        <f>IFERROR(__xludf.DUMMYFUNCTION("""COMPUTED_VALUE"""),45804.0)</f>
        <v>45804</v>
      </c>
      <c r="F199" s="24"/>
      <c r="G199" s="27">
        <f>IFERROR(__xludf.DUMMYFUNCTION("""COMPUTED_VALUE"""),16.3)</f>
        <v>16.3</v>
      </c>
      <c r="H199" s="23">
        <f>IFERROR(__xludf.DUMMYFUNCTION("""COMPUTED_VALUE"""),43536.0)</f>
        <v>43536</v>
      </c>
      <c r="I199" s="27">
        <f>IFERROR(__xludf.DUMMYFUNCTION("""COMPUTED_VALUE"""),6.208333333333333)</f>
        <v>6.208333333</v>
      </c>
      <c r="J199" s="29">
        <f>IFERROR(__xludf.DUMMYFUNCTION("""COMPUTED_VALUE"""),82.0)</f>
        <v>82</v>
      </c>
      <c r="K199" s="29">
        <f>IFERROR(__xludf.DUMMYFUNCTION("""COMPUTED_VALUE"""),26.0)</f>
        <v>26</v>
      </c>
      <c r="L199" s="31" t="str">
        <f>IFERROR(__xludf.DUMMYFUNCTION("""COMPUTED_VALUE"""),"Shooter")</f>
        <v>Shooter</v>
      </c>
    </row>
    <row r="200">
      <c r="A200" s="17" t="str">
        <f>IFERROR(__xludf.DUMMYFUNCTION("""COMPUTED_VALUE"""),"Caesar II")</f>
        <v>Caesar II</v>
      </c>
      <c r="B200" s="20" t="str">
        <f>IFERROR(__xludf.DUMMYFUNCTION("""COMPUTED_VALUE"""),"Xbox / PC")</f>
        <v>Xbox / PC</v>
      </c>
      <c r="C200" s="21" t="str">
        <f>IFERROR(__xludf.DUMMYFUNCTION("""COMPUTED_VALUE"""),"Yes")</f>
        <v>Yes</v>
      </c>
      <c r="D200" s="21" t="str">
        <f>IFERROR(__xludf.DUMMYFUNCTION("""COMPUTED_VALUE"""),"Active")</f>
        <v>Active</v>
      </c>
      <c r="E200" s="23">
        <f>IFERROR(__xludf.DUMMYFUNCTION("""COMPUTED_VALUE"""),45798.0)</f>
        <v>45798</v>
      </c>
      <c r="F200" s="24"/>
      <c r="G200" s="27">
        <f>IFERROR(__xludf.DUMMYFUNCTION("""COMPUTED_VALUE"""),16.5)</f>
        <v>16.5</v>
      </c>
      <c r="H200" s="23">
        <f>IFERROR(__xludf.DUMMYFUNCTION("""COMPUTED_VALUE"""),34956.0)</f>
        <v>34956</v>
      </c>
      <c r="I200" s="27">
        <f>IFERROR(__xludf.DUMMYFUNCTION("""COMPUTED_VALUE"""),29.68611111111111)</f>
        <v>29.68611111</v>
      </c>
      <c r="J200" s="29">
        <f>IFERROR(__xludf.DUMMYFUNCTION("""COMPUTED_VALUE"""),82.0)</f>
        <v>82</v>
      </c>
      <c r="K200" s="29">
        <f>IFERROR(__xludf.DUMMYFUNCTION("""COMPUTED_VALUE"""),7.0)</f>
        <v>7</v>
      </c>
      <c r="L200" s="31" t="str">
        <f>IFERROR(__xludf.DUMMYFUNCTION("""COMPUTED_VALUE"""),"Strategy")</f>
        <v>Strategy</v>
      </c>
    </row>
    <row r="201">
      <c r="A201" s="17" t="str">
        <f>IFERROR(__xludf.DUMMYFUNCTION("""COMPUTED_VALUE"""),"Pitfall II: Lost Caverns")</f>
        <v>Pitfall II: Lost Caverns</v>
      </c>
      <c r="B201" s="20" t="str">
        <f>IFERROR(__xludf.DUMMYFUNCTION("""COMPUTED_VALUE"""),"Xbox / PC")</f>
        <v>Xbox / PC</v>
      </c>
      <c r="C201" s="21" t="str">
        <f>IFERROR(__xludf.DUMMYFUNCTION("""COMPUTED_VALUE"""),"Yes")</f>
        <v>Yes</v>
      </c>
      <c r="D201" s="21" t="str">
        <f>IFERROR(__xludf.DUMMYFUNCTION("""COMPUTED_VALUE"""),"Active")</f>
        <v>Active</v>
      </c>
      <c r="E201" s="23">
        <f>IFERROR(__xludf.DUMMYFUNCTION("""COMPUTED_VALUE"""),45798.0)</f>
        <v>45798</v>
      </c>
      <c r="F201" s="24"/>
      <c r="G201" s="27">
        <f>IFERROR(__xludf.DUMMYFUNCTION("""COMPUTED_VALUE"""),16.5)</f>
        <v>16.5</v>
      </c>
      <c r="H201" s="23">
        <f>IFERROR(__xludf.DUMMYFUNCTION("""COMPUTED_VALUE"""),30575.0)</f>
        <v>30575</v>
      </c>
      <c r="I201" s="27">
        <f>IFERROR(__xludf.DUMMYFUNCTION("""COMPUTED_VALUE"""),41.68055555555556)</f>
        <v>41.68055556</v>
      </c>
      <c r="J201" s="29">
        <f>IFERROR(__xludf.DUMMYFUNCTION("""COMPUTED_VALUE"""),82.0)</f>
        <v>82</v>
      </c>
      <c r="K201" s="29"/>
      <c r="L201" s="31" t="str">
        <f>IFERROR(__xludf.DUMMYFUNCTION("""COMPUTED_VALUE"""),"Platformer")</f>
        <v>Platformer</v>
      </c>
    </row>
    <row r="202">
      <c r="A202" s="17" t="str">
        <f>IFERROR(__xludf.DUMMYFUNCTION("""COMPUTED_VALUE"""),"The Elder Scrolls IV: Oblivion - Remastered")</f>
        <v>The Elder Scrolls IV: Oblivion - Remastered</v>
      </c>
      <c r="B202" s="20" t="str">
        <f>IFERROR(__xludf.DUMMYFUNCTION("""COMPUTED_VALUE"""),"Xbox / PC")</f>
        <v>Xbox / PC</v>
      </c>
      <c r="C202" s="21" t="str">
        <f>IFERROR(__xludf.DUMMYFUNCTION("""COMPUTED_VALUE"""),"Yes")</f>
        <v>Yes</v>
      </c>
      <c r="D202" s="21" t="str">
        <f>IFERROR(__xludf.DUMMYFUNCTION("""COMPUTED_VALUE"""),"Active")</f>
        <v>Active</v>
      </c>
      <c r="E202" s="23">
        <f>IFERROR(__xludf.DUMMYFUNCTION("""COMPUTED_VALUE"""),45769.0)</f>
        <v>45769</v>
      </c>
      <c r="F202" s="24"/>
      <c r="G202" s="27">
        <f>IFERROR(__xludf.DUMMYFUNCTION("""COMPUTED_VALUE"""),17.466666666666665)</f>
        <v>17.46666667</v>
      </c>
      <c r="H202" s="23">
        <f>IFERROR(__xludf.DUMMYFUNCTION("""COMPUTED_VALUE"""),45769.0)</f>
        <v>45769</v>
      </c>
      <c r="I202" s="27">
        <f>IFERROR(__xludf.DUMMYFUNCTION("""COMPUTED_VALUE"""),0.0)</f>
        <v>0</v>
      </c>
      <c r="J202" s="29">
        <f>IFERROR(__xludf.DUMMYFUNCTION("""COMPUTED_VALUE"""),82.0)</f>
        <v>82</v>
      </c>
      <c r="K202" s="29">
        <f>IFERROR(__xludf.DUMMYFUNCTION("""COMPUTED_VALUE"""),14.0)</f>
        <v>14</v>
      </c>
      <c r="L202" s="31" t="str">
        <f>IFERROR(__xludf.DUMMYFUNCTION("""COMPUTED_VALUE"""),"RPG")</f>
        <v>RPG</v>
      </c>
    </row>
    <row r="203">
      <c r="A203" s="17" t="str">
        <f>IFERROR(__xludf.DUMMYFUNCTION("""COMPUTED_VALUE"""),"Spyro Reignited Trilogy")</f>
        <v>Spyro Reignited Trilogy</v>
      </c>
      <c r="B203" s="20" t="str">
        <f>IFERROR(__xludf.DUMMYFUNCTION("""COMPUTED_VALUE"""),"Xbox / PC")</f>
        <v>Xbox / PC</v>
      </c>
      <c r="C203" s="21"/>
      <c r="D203" s="21" t="str">
        <f>IFERROR(__xludf.DUMMYFUNCTION("""COMPUTED_VALUE"""),"Active")</f>
        <v>Active</v>
      </c>
      <c r="E203" s="23">
        <f>IFERROR(__xludf.DUMMYFUNCTION("""COMPUTED_VALUE"""),45608.0)</f>
        <v>45608</v>
      </c>
      <c r="F203" s="24"/>
      <c r="G203" s="27">
        <f>IFERROR(__xludf.DUMMYFUNCTION("""COMPUTED_VALUE"""),22.799999999999997)</f>
        <v>22.8</v>
      </c>
      <c r="H203" s="23">
        <f>IFERROR(__xludf.DUMMYFUNCTION("""COMPUTED_VALUE"""),43417.0)</f>
        <v>43417</v>
      </c>
      <c r="I203" s="27">
        <f>IFERROR(__xludf.DUMMYFUNCTION("""COMPUTED_VALUE"""),5.997222222222222)</f>
        <v>5.997222222</v>
      </c>
      <c r="J203" s="29">
        <f>IFERROR(__xludf.DUMMYFUNCTION("""COMPUTED_VALUE"""),82.0)</f>
        <v>82</v>
      </c>
      <c r="K203" s="29">
        <f>IFERROR(__xludf.DUMMYFUNCTION("""COMPUTED_VALUE"""),17.0)</f>
        <v>17</v>
      </c>
      <c r="L203" s="31" t="str">
        <f>IFERROR(__xludf.DUMMYFUNCTION("""COMPUTED_VALUE"""),"Platformer")</f>
        <v>Platformer</v>
      </c>
    </row>
    <row r="204">
      <c r="A204" s="17" t="str">
        <f>IFERROR(__xludf.DUMMYFUNCTION("""COMPUTED_VALUE"""),"DOOM + DOOM II: Enhanced")</f>
        <v>DOOM + DOOM II: Enhanced</v>
      </c>
      <c r="B204" s="20" t="str">
        <f>IFERROR(__xludf.DUMMYFUNCTION("""COMPUTED_VALUE"""),"Xbox / PC")</f>
        <v>Xbox / PC</v>
      </c>
      <c r="C204" s="21" t="str">
        <f>IFERROR(__xludf.DUMMYFUNCTION("""COMPUTED_VALUE"""),"Yes")</f>
        <v>Yes</v>
      </c>
      <c r="D204" s="21" t="str">
        <f>IFERROR(__xludf.DUMMYFUNCTION("""COMPUTED_VALUE"""),"Active")</f>
        <v>Active</v>
      </c>
      <c r="E204" s="23">
        <f>IFERROR(__xludf.DUMMYFUNCTION("""COMPUTED_VALUE"""),45512.0)</f>
        <v>45512</v>
      </c>
      <c r="F204" s="24"/>
      <c r="G204" s="27">
        <f>IFERROR(__xludf.DUMMYFUNCTION("""COMPUTED_VALUE"""),25.93333333333333)</f>
        <v>25.93333333</v>
      </c>
      <c r="H204" s="23">
        <f>IFERROR(__xludf.DUMMYFUNCTION("""COMPUTED_VALUE"""),45512.0)</f>
        <v>45512</v>
      </c>
      <c r="I204" s="27">
        <f>IFERROR(__xludf.DUMMYFUNCTION("""COMPUTED_VALUE"""),0.0)</f>
        <v>0</v>
      </c>
      <c r="J204" s="29">
        <f>IFERROR(__xludf.DUMMYFUNCTION("""COMPUTED_VALUE"""),82.0)</f>
        <v>82</v>
      </c>
      <c r="K204" s="29">
        <f>IFERROR(__xludf.DUMMYFUNCTION("""COMPUTED_VALUE"""),12.0)</f>
        <v>12</v>
      </c>
      <c r="L204" s="31" t="str">
        <f>IFERROR(__xludf.DUMMYFUNCTION("""COMPUTED_VALUE"""),"Shooter")</f>
        <v>Shooter</v>
      </c>
    </row>
    <row r="205">
      <c r="A205" s="17" t="str">
        <f>IFERROR(__xludf.DUMMYFUNCTION("""COMPUTED_VALUE"""),"Superhot: Mind Control Delete")</f>
        <v>Superhot: Mind Control Delete</v>
      </c>
      <c r="B205" s="20" t="str">
        <f>IFERROR(__xludf.DUMMYFUNCTION("""COMPUTED_VALUE"""),"Xbox / PC")</f>
        <v>Xbox / PC</v>
      </c>
      <c r="C205" s="21" t="str">
        <f>IFERROR(__xludf.DUMMYFUNCTION("""COMPUTED_VALUE"""),"Yes")</f>
        <v>Yes</v>
      </c>
      <c r="D205" s="21" t="str">
        <f>IFERROR(__xludf.DUMMYFUNCTION("""COMPUTED_VALUE"""),"Active")</f>
        <v>Active</v>
      </c>
      <c r="E205" s="23">
        <f>IFERROR(__xludf.DUMMYFUNCTION("""COMPUTED_VALUE"""),45384.0)</f>
        <v>45384</v>
      </c>
      <c r="F205" s="24"/>
      <c r="G205" s="27">
        <f>IFERROR(__xludf.DUMMYFUNCTION("""COMPUTED_VALUE"""),30.133333333333333)</f>
        <v>30.13333333</v>
      </c>
      <c r="H205" s="23">
        <f>IFERROR(__xludf.DUMMYFUNCTION("""COMPUTED_VALUE"""),44028.0)</f>
        <v>44028</v>
      </c>
      <c r="I205" s="27">
        <f>IFERROR(__xludf.DUMMYFUNCTION("""COMPUTED_VALUE"""),3.7111111111111112)</f>
        <v>3.711111111</v>
      </c>
      <c r="J205" s="29">
        <f>IFERROR(__xludf.DUMMYFUNCTION("""COMPUTED_VALUE"""),82.0)</f>
        <v>82</v>
      </c>
      <c r="K205" s="29">
        <f>IFERROR(__xludf.DUMMYFUNCTION("""COMPUTED_VALUE"""),5.5)</f>
        <v>5.5</v>
      </c>
      <c r="L205" s="31" t="str">
        <f>IFERROR(__xludf.DUMMYFUNCTION("""COMPUTED_VALUE"""),"Shooter")</f>
        <v>Shooter</v>
      </c>
    </row>
    <row r="206">
      <c r="A206" s="111" t="str">
        <f>IFERROR(__xludf.DUMMYFUNCTION("""COMPUTED_VALUE"""),"Clone Drone in the Danger Zone")</f>
        <v>Clone Drone in the Danger Zone</v>
      </c>
      <c r="B206" s="20" t="str">
        <f>IFERROR(__xludf.DUMMYFUNCTION("""COMPUTED_VALUE"""),"Xbox / PC")</f>
        <v>Xbox / PC</v>
      </c>
      <c r="C206" s="21" t="str">
        <f>IFERROR(__xludf.DUMMYFUNCTION("""COMPUTED_VALUE"""),"Yes")</f>
        <v>Yes</v>
      </c>
      <c r="D206" s="21" t="str">
        <f>IFERROR(__xludf.DUMMYFUNCTION("""COMPUTED_VALUE"""),"Active")</f>
        <v>Active</v>
      </c>
      <c r="E206" s="23">
        <f>IFERROR(__xludf.DUMMYFUNCTION("""COMPUTED_VALUE"""),45265.0)</f>
        <v>45265</v>
      </c>
      <c r="F206" s="24"/>
      <c r="G206" s="27">
        <f>IFERROR(__xludf.DUMMYFUNCTION("""COMPUTED_VALUE"""),34.03333333333333)</f>
        <v>34.03333333</v>
      </c>
      <c r="H206" s="23">
        <f>IFERROR(__xludf.DUMMYFUNCTION("""COMPUTED_VALUE"""),42702.0)</f>
        <v>42702</v>
      </c>
      <c r="I206" s="27">
        <f>IFERROR(__xludf.DUMMYFUNCTION("""COMPUTED_VALUE"""),7.019444444444445)</f>
        <v>7.019444444</v>
      </c>
      <c r="J206" s="29">
        <f>IFERROR(__xludf.DUMMYFUNCTION("""COMPUTED_VALUE"""),82.0)</f>
        <v>82</v>
      </c>
      <c r="K206" s="29">
        <f>IFERROR(__xludf.DUMMYFUNCTION("""COMPUTED_VALUE"""),2.0)</f>
        <v>2</v>
      </c>
      <c r="L206" s="31" t="str">
        <f>IFERROR(__xludf.DUMMYFUNCTION("""COMPUTED_VALUE"""),"Action")</f>
        <v>Action</v>
      </c>
    </row>
    <row r="207">
      <c r="A207" s="17" t="str">
        <f>IFERROR(__xludf.DUMMYFUNCTION("""COMPUTED_VALUE"""),"Chivalry II")</f>
        <v>Chivalry II</v>
      </c>
      <c r="B207" s="20" t="str">
        <f>IFERROR(__xludf.DUMMYFUNCTION("""COMPUTED_VALUE"""),"Xbox / PC")</f>
        <v>Xbox / PC</v>
      </c>
      <c r="C207" s="21" t="str">
        <f>IFERROR(__xludf.DUMMYFUNCTION("""COMPUTED_VALUE"""),"Yes")</f>
        <v>Yes</v>
      </c>
      <c r="D207" s="21" t="str">
        <f>IFERROR(__xludf.DUMMYFUNCTION("""COMPUTED_VALUE"""),"Active")</f>
        <v>Active</v>
      </c>
      <c r="E207" s="23">
        <f>IFERROR(__xludf.DUMMYFUNCTION("""COMPUTED_VALUE"""),44838.0)</f>
        <v>44838</v>
      </c>
      <c r="F207" s="24"/>
      <c r="G207" s="27">
        <f>IFERROR(__xludf.DUMMYFUNCTION("""COMPUTED_VALUE"""),48.06666666666666)</f>
        <v>48.06666667</v>
      </c>
      <c r="H207" s="23">
        <f>IFERROR(__xludf.DUMMYFUNCTION("""COMPUTED_VALUE"""),44355.0)</f>
        <v>44355</v>
      </c>
      <c r="I207" s="27">
        <f>IFERROR(__xludf.DUMMYFUNCTION("""COMPUTED_VALUE"""),1.3222222222222222)</f>
        <v>1.322222222</v>
      </c>
      <c r="J207" s="29">
        <f>IFERROR(__xludf.DUMMYFUNCTION("""COMPUTED_VALUE"""),82.0)</f>
        <v>82</v>
      </c>
      <c r="K207" s="29">
        <f>IFERROR(__xludf.DUMMYFUNCTION("""COMPUTED_VALUE"""),42.5)</f>
        <v>42.5</v>
      </c>
      <c r="L207" s="31" t="str">
        <f>IFERROR(__xludf.DUMMYFUNCTION("""COMPUTED_VALUE"""),"Action")</f>
        <v>Action</v>
      </c>
    </row>
    <row r="208">
      <c r="A208" s="17" t="str">
        <f>IFERROR(__xludf.DUMMYFUNCTION("""COMPUTED_VALUE"""),"Ni no Kuni: Wrath of the White Witch - Remastered")</f>
        <v>Ni no Kuni: Wrath of the White Witch - Remastered</v>
      </c>
      <c r="B208" s="20" t="str">
        <f>IFERROR(__xludf.DUMMYFUNCTION("""COMPUTED_VALUE"""),"Xbox / PC")</f>
        <v>Xbox / PC</v>
      </c>
      <c r="C208" s="21" t="str">
        <f>IFERROR(__xludf.DUMMYFUNCTION("""COMPUTED_VALUE"""),"Touch Controls")</f>
        <v>Touch Controls</v>
      </c>
      <c r="D208" s="21" t="str">
        <f>IFERROR(__xludf.DUMMYFUNCTION("""COMPUTED_VALUE"""),"Active")</f>
        <v>Active</v>
      </c>
      <c r="E208" s="23">
        <f>IFERROR(__xludf.DUMMYFUNCTION("""COMPUTED_VALUE"""),44819.0)</f>
        <v>44819</v>
      </c>
      <c r="F208" s="24"/>
      <c r="G208" s="27">
        <f>IFERROR(__xludf.DUMMYFUNCTION("""COMPUTED_VALUE"""),48.7)</f>
        <v>48.7</v>
      </c>
      <c r="H208" s="23">
        <f>IFERROR(__xludf.DUMMYFUNCTION("""COMPUTED_VALUE"""),43728.0)</f>
        <v>43728</v>
      </c>
      <c r="I208" s="27">
        <f>IFERROR(__xludf.DUMMYFUNCTION("""COMPUTED_VALUE"""),2.986111111111111)</f>
        <v>2.986111111</v>
      </c>
      <c r="J208" s="29">
        <f>IFERROR(__xludf.DUMMYFUNCTION("""COMPUTED_VALUE"""),82.0)</f>
        <v>82</v>
      </c>
      <c r="K208" s="29">
        <f>IFERROR(__xludf.DUMMYFUNCTION("""COMPUTED_VALUE"""),44.5)</f>
        <v>44.5</v>
      </c>
      <c r="L208" s="31" t="str">
        <f>IFERROR(__xludf.DUMMYFUNCTION("""COMPUTED_VALUE"""),"RPG")</f>
        <v>RPG</v>
      </c>
    </row>
    <row r="209">
      <c r="A209" s="17" t="str">
        <f>IFERROR(__xludf.DUMMYFUNCTION("""COMPUTED_VALUE"""),"Fallout Tactics: Brotherhood of Steel")</f>
        <v>Fallout Tactics: Brotherhood of Steel</v>
      </c>
      <c r="B209" s="20" t="str">
        <f>IFERROR(__xludf.DUMMYFUNCTION("""COMPUTED_VALUE"""),"PC")</f>
        <v>PC</v>
      </c>
      <c r="C209" s="21"/>
      <c r="D209" s="21" t="str">
        <f>IFERROR(__xludf.DUMMYFUNCTION("""COMPUTED_VALUE"""),"Active")</f>
        <v>Active</v>
      </c>
      <c r="E209" s="23">
        <f>IFERROR(__xludf.DUMMYFUNCTION("""COMPUTED_VALUE"""),44360.0)</f>
        <v>44360</v>
      </c>
      <c r="F209" s="24"/>
      <c r="G209" s="27">
        <f>IFERROR(__xludf.DUMMYFUNCTION("""COMPUTED_VALUE"""),63.766666666666666)</f>
        <v>63.76666667</v>
      </c>
      <c r="H209" s="23">
        <f>IFERROR(__xludf.DUMMYFUNCTION("""COMPUTED_VALUE"""),36964.0)</f>
        <v>36964</v>
      </c>
      <c r="I209" s="27">
        <f>IFERROR(__xludf.DUMMYFUNCTION("""COMPUTED_VALUE"""),20.247222222222224)</f>
        <v>20.24722222</v>
      </c>
      <c r="J209" s="29">
        <f>IFERROR(__xludf.DUMMYFUNCTION("""COMPUTED_VALUE"""),82.0)</f>
        <v>82</v>
      </c>
      <c r="K209" s="29">
        <f>IFERROR(__xludf.DUMMYFUNCTION("""COMPUTED_VALUE"""),31.0)</f>
        <v>31</v>
      </c>
      <c r="L209" s="31" t="str">
        <f>IFERROR(__xludf.DUMMYFUNCTION("""COMPUTED_VALUE"""),"RPG")</f>
        <v>RPG</v>
      </c>
    </row>
    <row r="210">
      <c r="A210" s="17" t="str">
        <f>IFERROR(__xludf.DUMMYFUNCTION("""COMPUTED_VALUE"""),"Command &amp; Conquer: Remastered Collection")</f>
        <v>Command &amp; Conquer: Remastered Collection</v>
      </c>
      <c r="B210" s="20" t="str">
        <f>IFERROR(__xludf.DUMMYFUNCTION("""COMPUTED_VALUE"""),"PC")</f>
        <v>PC</v>
      </c>
      <c r="C210" s="21"/>
      <c r="D210" s="21" t="str">
        <f>IFERROR(__xludf.DUMMYFUNCTION("""COMPUTED_VALUE"""),"Active")</f>
        <v>Active</v>
      </c>
      <c r="E210" s="23">
        <f>IFERROR(__xludf.DUMMYFUNCTION("""COMPUTED_VALUE"""),44273.0)</f>
        <v>44273</v>
      </c>
      <c r="F210" s="24"/>
      <c r="G210" s="27">
        <f>IFERROR(__xludf.DUMMYFUNCTION("""COMPUTED_VALUE"""),66.6)</f>
        <v>66.6</v>
      </c>
      <c r="H210" s="23">
        <f>IFERROR(__xludf.DUMMYFUNCTION("""COMPUTED_VALUE"""),43987.0)</f>
        <v>43987</v>
      </c>
      <c r="I210" s="27">
        <f>IFERROR(__xludf.DUMMYFUNCTION("""COMPUTED_VALUE"""),0.7861111111111111)</f>
        <v>0.7861111111</v>
      </c>
      <c r="J210" s="29">
        <f>IFERROR(__xludf.DUMMYFUNCTION("""COMPUTED_VALUE"""),82.0)</f>
        <v>82</v>
      </c>
      <c r="K210" s="29">
        <f>IFERROR(__xludf.DUMMYFUNCTION("""COMPUTED_VALUE"""),29.5)</f>
        <v>29.5</v>
      </c>
      <c r="L210" s="31" t="str">
        <f>IFERROR(__xludf.DUMMYFUNCTION("""COMPUTED_VALUE"""),"Shooter")</f>
        <v>Shooter</v>
      </c>
    </row>
    <row r="211">
      <c r="A211" s="17" t="str">
        <f>IFERROR(__xludf.DUMMYFUNCTION("""COMPUTED_VALUE"""),"Wreckfest")</f>
        <v>Wreckfest</v>
      </c>
      <c r="B211" s="20" t="str">
        <f>IFERROR(__xludf.DUMMYFUNCTION("""COMPUTED_VALUE"""),"Xbox / PC")</f>
        <v>Xbox / PC</v>
      </c>
      <c r="C211" s="21" t="str">
        <f>IFERROR(__xludf.DUMMYFUNCTION("""COMPUTED_VALUE"""),"Touch Controls")</f>
        <v>Touch Controls</v>
      </c>
      <c r="D211" s="21" t="str">
        <f>IFERROR(__xludf.DUMMYFUNCTION("""COMPUTED_VALUE"""),"Active")</f>
        <v>Active</v>
      </c>
      <c r="E211" s="23">
        <f>IFERROR(__xludf.DUMMYFUNCTION("""COMPUTED_VALUE"""),44245.0)</f>
        <v>44245</v>
      </c>
      <c r="F211" s="24"/>
      <c r="G211" s="27">
        <f>IFERROR(__xludf.DUMMYFUNCTION("""COMPUTED_VALUE"""),67.60000000000001)</f>
        <v>67.6</v>
      </c>
      <c r="H211" s="23">
        <f>IFERROR(__xludf.DUMMYFUNCTION("""COMPUTED_VALUE"""),43265.0)</f>
        <v>43265</v>
      </c>
      <c r="I211" s="27">
        <f>IFERROR(__xludf.DUMMYFUNCTION("""COMPUTED_VALUE"""),2.6777777777777776)</f>
        <v>2.677777778</v>
      </c>
      <c r="J211" s="29">
        <f>IFERROR(__xludf.DUMMYFUNCTION("""COMPUTED_VALUE"""),82.0)</f>
        <v>82</v>
      </c>
      <c r="K211" s="29">
        <f>IFERROR(__xludf.DUMMYFUNCTION("""COMPUTED_VALUE"""),19.5)</f>
        <v>19.5</v>
      </c>
      <c r="L211" s="31" t="str">
        <f>IFERROR(__xludf.DUMMYFUNCTION("""COMPUTED_VALUE"""),"Racing")</f>
        <v>Racing</v>
      </c>
    </row>
    <row r="212">
      <c r="A212" s="17" t="str">
        <f>IFERROR(__xludf.DUMMYFUNCTION("""COMPUTED_VALUE"""),"The Elder Scrolls V: Skyrim Special Edition")</f>
        <v>The Elder Scrolls V: Skyrim Special Edition</v>
      </c>
      <c r="B212" s="20" t="str">
        <f>IFERROR(__xludf.DUMMYFUNCTION("""COMPUTED_VALUE"""),"Xbox / PC")</f>
        <v>Xbox / PC</v>
      </c>
      <c r="C212" s="21" t="str">
        <f>IFERROR(__xludf.DUMMYFUNCTION("""COMPUTED_VALUE"""),"Yes")</f>
        <v>Yes</v>
      </c>
      <c r="D212" s="21" t="str">
        <f>IFERROR(__xludf.DUMMYFUNCTION("""COMPUTED_VALUE"""),"Active")</f>
        <v>Active</v>
      </c>
      <c r="E212" s="23">
        <f>IFERROR(__xludf.DUMMYFUNCTION("""COMPUTED_VALUE"""),44180.0)</f>
        <v>44180</v>
      </c>
      <c r="F212" s="24"/>
      <c r="G212" s="27">
        <f>IFERROR(__xludf.DUMMYFUNCTION("""COMPUTED_VALUE"""),69.7)</f>
        <v>69.7</v>
      </c>
      <c r="H212" s="23">
        <f>IFERROR(__xludf.DUMMYFUNCTION("""COMPUTED_VALUE"""),42671.0)</f>
        <v>42671</v>
      </c>
      <c r="I212" s="27">
        <f>IFERROR(__xludf.DUMMYFUNCTION("""COMPUTED_VALUE"""),4.1305555555555555)</f>
        <v>4.130555556</v>
      </c>
      <c r="J212" s="29">
        <f>IFERROR(__xludf.DUMMYFUNCTION("""COMPUTED_VALUE"""),82.0)</f>
        <v>82</v>
      </c>
      <c r="K212" s="29">
        <f>IFERROR(__xludf.DUMMYFUNCTION("""COMPUTED_VALUE"""),25.5)</f>
        <v>25.5</v>
      </c>
      <c r="L212" s="31" t="str">
        <f>IFERROR(__xludf.DUMMYFUNCTION("""COMPUTED_VALUE"""),"RPG")</f>
        <v>RPG</v>
      </c>
    </row>
    <row r="213">
      <c r="A213" s="17" t="str">
        <f>IFERROR(__xludf.DUMMYFUNCTION("""COMPUTED_VALUE"""),"Monster Sanctuary")</f>
        <v>Monster Sanctuary</v>
      </c>
      <c r="B213" s="20" t="str">
        <f>IFERROR(__xludf.DUMMYFUNCTION("""COMPUTED_VALUE"""),"Xbox / PC")</f>
        <v>Xbox / PC</v>
      </c>
      <c r="C213" s="21" t="str">
        <f>IFERROR(__xludf.DUMMYFUNCTION("""COMPUTED_VALUE"""),"Touch Controls")</f>
        <v>Touch Controls</v>
      </c>
      <c r="D213" s="21" t="str">
        <f>IFERROR(__xludf.DUMMYFUNCTION("""COMPUTED_VALUE"""),"Active")</f>
        <v>Active</v>
      </c>
      <c r="E213" s="23">
        <f>IFERROR(__xludf.DUMMYFUNCTION("""COMPUTED_VALUE"""),44173.0)</f>
        <v>44173</v>
      </c>
      <c r="F213" s="24"/>
      <c r="G213" s="27">
        <f>IFERROR(__xludf.DUMMYFUNCTION("""COMPUTED_VALUE"""),69.93333333333334)</f>
        <v>69.93333333</v>
      </c>
      <c r="H213" s="23">
        <f>IFERROR(__xludf.DUMMYFUNCTION("""COMPUTED_VALUE"""),43705.0)</f>
        <v>43705</v>
      </c>
      <c r="I213" s="27">
        <f>IFERROR(__xludf.DUMMYFUNCTION("""COMPUTED_VALUE"""),1.2777777777777777)</f>
        <v>1.277777778</v>
      </c>
      <c r="J213" s="29">
        <f>IFERROR(__xludf.DUMMYFUNCTION("""COMPUTED_VALUE"""),82.0)</f>
        <v>82</v>
      </c>
      <c r="K213" s="29">
        <f>IFERROR(__xludf.DUMMYFUNCTION("""COMPUTED_VALUE"""),27.0)</f>
        <v>27</v>
      </c>
      <c r="L213" s="31" t="str">
        <f>IFERROR(__xludf.DUMMYFUNCTION("""COMPUTED_VALUE"""),"Platformer")</f>
        <v>Platformer</v>
      </c>
    </row>
    <row r="214">
      <c r="A214" s="17" t="str">
        <f>IFERROR(__xludf.DUMMYFUNCTION("""COMPUTED_VALUE"""),"Gears of War: Ultimate Edition")</f>
        <v>Gears of War: Ultimate Edition</v>
      </c>
      <c r="B214" s="20" t="str">
        <f>IFERROR(__xludf.DUMMYFUNCTION("""COMPUTED_VALUE"""),"Xbox / PC")</f>
        <v>Xbox / PC</v>
      </c>
      <c r="C214" s="21" t="str">
        <f>IFERROR(__xludf.DUMMYFUNCTION("""COMPUTED_VALUE"""),"Yes")</f>
        <v>Yes</v>
      </c>
      <c r="D214" s="21" t="str">
        <f>IFERROR(__xludf.DUMMYFUNCTION("""COMPUTED_VALUE"""),"Active")</f>
        <v>Active</v>
      </c>
      <c r="E214" s="23">
        <f>IFERROR(__xludf.DUMMYFUNCTION("""COMPUTED_VALUE"""),42887.0)</f>
        <v>42887</v>
      </c>
      <c r="F214" s="24"/>
      <c r="G214" s="27">
        <f>IFERROR(__xludf.DUMMYFUNCTION("""COMPUTED_VALUE"""),112.16666666666666)</f>
        <v>112.1666667</v>
      </c>
      <c r="H214" s="23">
        <f>IFERROR(__xludf.DUMMYFUNCTION("""COMPUTED_VALUE"""),39028.0)</f>
        <v>39028</v>
      </c>
      <c r="I214" s="27">
        <f>IFERROR(__xludf.DUMMYFUNCTION("""COMPUTED_VALUE"""),10.566666666666666)</f>
        <v>10.56666667</v>
      </c>
      <c r="J214" s="29">
        <f>IFERROR(__xludf.DUMMYFUNCTION("""COMPUTED_VALUE"""),82.0)</f>
        <v>82</v>
      </c>
      <c r="K214" s="29">
        <f>IFERROR(__xludf.DUMMYFUNCTION("""COMPUTED_VALUE"""),9.0)</f>
        <v>9</v>
      </c>
      <c r="L214" s="31" t="str">
        <f>IFERROR(__xludf.DUMMYFUNCTION("""COMPUTED_VALUE"""),"Shooter")</f>
        <v>Shooter</v>
      </c>
    </row>
    <row r="215">
      <c r="A215" s="17" t="str">
        <f>IFERROR(__xludf.DUMMYFUNCTION("""COMPUTED_VALUE"""),"Donut County")</f>
        <v>Donut County</v>
      </c>
      <c r="B215" s="20" t="str">
        <f>IFERROR(__xludf.DUMMYFUNCTION("""COMPUTED_VALUE"""),"Xbox / PC")</f>
        <v>Xbox / PC</v>
      </c>
      <c r="C215" s="21" t="str">
        <f>IFERROR(__xludf.DUMMYFUNCTION("""COMPUTED_VALUE"""),"Touch Controls")</f>
        <v>Touch Controls</v>
      </c>
      <c r="D215" s="21" t="str">
        <f>IFERROR(__xludf.DUMMYFUNCTION("""COMPUTED_VALUE"""),"Leaving Soon")</f>
        <v>Leaving Soon</v>
      </c>
      <c r="E215" s="23">
        <f>IFERROR(__xludf.DUMMYFUNCTION("""COMPUTED_VALUE"""),45582.0)</f>
        <v>45582</v>
      </c>
      <c r="F215" s="24">
        <f>IFERROR(__xludf.DUMMYFUNCTION("""COMPUTED_VALUE"""),46310.0)</f>
        <v>46310</v>
      </c>
      <c r="G215" s="27">
        <f>IFERROR(__xludf.DUMMYFUNCTION("""COMPUTED_VALUE"""),23.933333333333334)</f>
        <v>23.93333333</v>
      </c>
      <c r="H215" s="23">
        <f>IFERROR(__xludf.DUMMYFUNCTION("""COMPUTED_VALUE"""),43340.0)</f>
        <v>43340</v>
      </c>
      <c r="I215" s="27">
        <f>IFERROR(__xludf.DUMMYFUNCTION("""COMPUTED_VALUE"""),6.136111111111111)</f>
        <v>6.136111111</v>
      </c>
      <c r="J215" s="29">
        <f>IFERROR(__xludf.DUMMYFUNCTION("""COMPUTED_VALUE"""),82.0)</f>
        <v>82</v>
      </c>
      <c r="K215" s="29">
        <f>IFERROR(__xludf.DUMMYFUNCTION("""COMPUTED_VALUE"""),2.0)</f>
        <v>2</v>
      </c>
      <c r="L215" s="31" t="str">
        <f>IFERROR(__xludf.DUMMYFUNCTION("""COMPUTED_VALUE"""),"Action")</f>
        <v>Action</v>
      </c>
    </row>
    <row r="216">
      <c r="A216" s="17" t="str">
        <f>IFERROR(__xludf.DUMMYFUNCTION("""COMPUTED_VALUE"""),"Super Mega Baseball 3")</f>
        <v>Super Mega Baseball 3</v>
      </c>
      <c r="B216" s="20" t="str">
        <f>IFERROR(__xludf.DUMMYFUNCTION("""COMPUTED_VALUE"""),"Xbox / PC")</f>
        <v>Xbox / PC</v>
      </c>
      <c r="C216" s="21" t="str">
        <f>IFERROR(__xludf.DUMMYFUNCTION("""COMPUTED_VALUE"""),"Touch Controls")</f>
        <v>Touch Controls</v>
      </c>
      <c r="D216" s="21" t="str">
        <f>IFERROR(__xludf.DUMMYFUNCTION("""COMPUTED_VALUE"""),"Active")</f>
        <v>Active</v>
      </c>
      <c r="E216" s="23">
        <f>IFERROR(__xludf.DUMMYFUNCTION("""COMPUTED_VALUE"""),44616.0)</f>
        <v>44616</v>
      </c>
      <c r="F216" s="24"/>
      <c r="G216" s="27">
        <f>IFERROR(__xludf.DUMMYFUNCTION("""COMPUTED_VALUE"""),55.39999999999999)</f>
        <v>55.4</v>
      </c>
      <c r="H216" s="23">
        <f>IFERROR(__xludf.DUMMYFUNCTION("""COMPUTED_VALUE"""),43964.0)</f>
        <v>43964</v>
      </c>
      <c r="I216" s="27">
        <f>IFERROR(__xludf.DUMMYFUNCTION("""COMPUTED_VALUE"""),1.7805555555555554)</f>
        <v>1.780555556</v>
      </c>
      <c r="J216" s="29">
        <f>IFERROR(__xludf.DUMMYFUNCTION("""COMPUTED_VALUE"""),81.5)</f>
        <v>81.5</v>
      </c>
      <c r="K216" s="29">
        <f>IFERROR(__xludf.DUMMYFUNCTION("""COMPUTED_VALUE"""),24.0)</f>
        <v>24</v>
      </c>
      <c r="L216" s="31" t="str">
        <f>IFERROR(__xludf.DUMMYFUNCTION("""COMPUTED_VALUE"""),"Sports")</f>
        <v>Sports</v>
      </c>
    </row>
    <row r="217">
      <c r="A217" s="17" t="str">
        <f>IFERROR(__xludf.DUMMYFUNCTION("""COMPUTED_VALUE"""),"The Planet Crafter")</f>
        <v>The Planet Crafter</v>
      </c>
      <c r="B217" s="20" t="str">
        <f>IFERROR(__xludf.DUMMYFUNCTION("""COMPUTED_VALUE"""),"Xbox / PC")</f>
        <v>Xbox / PC</v>
      </c>
      <c r="C217" s="21" t="str">
        <f>IFERROR(__xludf.DUMMYFUNCTION("""COMPUTED_VALUE"""),"Yes")</f>
        <v>Yes</v>
      </c>
      <c r="D217" s="21" t="str">
        <f>IFERROR(__xludf.DUMMYFUNCTION("""COMPUTED_VALUE"""),"Active")</f>
        <v>Active</v>
      </c>
      <c r="E217" s="23">
        <f>IFERROR(__xludf.DUMMYFUNCTION("""COMPUTED_VALUE"""),46224.0)</f>
        <v>46224</v>
      </c>
      <c r="F217" s="24"/>
      <c r="G217" s="27">
        <f>IFERROR(__xludf.DUMMYFUNCTION("""COMPUTED_VALUE"""),2.5)</f>
        <v>2.5</v>
      </c>
      <c r="H217" s="23">
        <f>IFERROR(__xludf.DUMMYFUNCTION("""COMPUTED_VALUE"""),44644.0)</f>
        <v>44644</v>
      </c>
      <c r="I217" s="27">
        <f>IFERROR(__xludf.DUMMYFUNCTION("""COMPUTED_VALUE"""),4.325)</f>
        <v>4.325</v>
      </c>
      <c r="J217" s="29">
        <f>IFERROR(__xludf.DUMMYFUNCTION("""COMPUTED_VALUE"""),81.0)</f>
        <v>81</v>
      </c>
      <c r="K217" s="29">
        <f>IFERROR(__xludf.DUMMYFUNCTION("""COMPUTED_VALUE"""),35.0)</f>
        <v>35</v>
      </c>
      <c r="L217" s="31" t="str">
        <f>IFERROR(__xludf.DUMMYFUNCTION("""COMPUTED_VALUE"""),"Sandbox")</f>
        <v>Sandbox</v>
      </c>
    </row>
    <row r="218">
      <c r="A218" s="17" t="str">
        <f>IFERROR(__xludf.DUMMYFUNCTION("""COMPUTED_VALUE"""),"Jurassic World Evolution 3")</f>
        <v>Jurassic World Evolution 3</v>
      </c>
      <c r="B218" s="20" t="str">
        <f>IFERROR(__xludf.DUMMYFUNCTION("""COMPUTED_VALUE"""),"Xbox / PC")</f>
        <v>Xbox / PC</v>
      </c>
      <c r="C218" s="21" t="str">
        <f>IFERROR(__xludf.DUMMYFUNCTION("""COMPUTED_VALUE"""),"Yes")</f>
        <v>Yes</v>
      </c>
      <c r="D218" s="21" t="str">
        <f>IFERROR(__xludf.DUMMYFUNCTION("""COMPUTED_VALUE"""),"Active")</f>
        <v>Active</v>
      </c>
      <c r="E218" s="23">
        <f>IFERROR(__xludf.DUMMYFUNCTION("""COMPUTED_VALUE"""),46175.0)</f>
        <v>46175</v>
      </c>
      <c r="F218" s="24"/>
      <c r="G218" s="27">
        <f>IFERROR(__xludf.DUMMYFUNCTION("""COMPUTED_VALUE"""),4.133333333333333)</f>
        <v>4.133333333</v>
      </c>
      <c r="H218" s="23">
        <f>IFERROR(__xludf.DUMMYFUNCTION("""COMPUTED_VALUE"""),45951.0)</f>
        <v>45951</v>
      </c>
      <c r="I218" s="27">
        <f>IFERROR(__xludf.DUMMYFUNCTION("""COMPUTED_VALUE"""),0.6138888888888889)</f>
        <v>0.6138888889</v>
      </c>
      <c r="J218" s="29">
        <f>IFERROR(__xludf.DUMMYFUNCTION("""COMPUTED_VALUE"""),81.0)</f>
        <v>81</v>
      </c>
      <c r="K218" s="29">
        <f>IFERROR(__xludf.DUMMYFUNCTION("""COMPUTED_VALUE"""),20.0)</f>
        <v>20</v>
      </c>
      <c r="L218" s="31" t="str">
        <f>IFERROR(__xludf.DUMMYFUNCTION("""COMPUTED_VALUE"""),"Simulation")</f>
        <v>Simulation</v>
      </c>
    </row>
    <row r="219">
      <c r="A219" s="17" t="str">
        <f>IFERROR(__xludf.DUMMYFUNCTION("""COMPUTED_VALUE"""),"Escape Simulator")</f>
        <v>Escape Simulator</v>
      </c>
      <c r="B219" s="20" t="str">
        <f>IFERROR(__xludf.DUMMYFUNCTION("""COMPUTED_VALUE"""),"Xbox / PC")</f>
        <v>Xbox / PC</v>
      </c>
      <c r="C219" s="21" t="str">
        <f>IFERROR(__xludf.DUMMYFUNCTION("""COMPUTED_VALUE"""),"Yes")</f>
        <v>Yes</v>
      </c>
      <c r="D219" s="21" t="str">
        <f>IFERROR(__xludf.DUMMYFUNCTION("""COMPUTED_VALUE"""),"Active")</f>
        <v>Active</v>
      </c>
      <c r="E219" s="23">
        <f>IFERROR(__xludf.DUMMYFUNCTION("""COMPUTED_VALUE"""),46168.0)</f>
        <v>46168</v>
      </c>
      <c r="F219" s="24"/>
      <c r="G219" s="27">
        <f>IFERROR(__xludf.DUMMYFUNCTION("""COMPUTED_VALUE"""),4.333333333333333)</f>
        <v>4.333333333</v>
      </c>
      <c r="H219" s="23">
        <f>IFERROR(__xludf.DUMMYFUNCTION("""COMPUTED_VALUE"""),44491.0)</f>
        <v>44491</v>
      </c>
      <c r="I219" s="27">
        <f>IFERROR(__xludf.DUMMYFUNCTION("""COMPUTED_VALUE"""),4.594444444444444)</f>
        <v>4.594444444</v>
      </c>
      <c r="J219" s="29">
        <f>IFERROR(__xludf.DUMMYFUNCTION("""COMPUTED_VALUE"""),81.0)</f>
        <v>81</v>
      </c>
      <c r="K219" s="29">
        <f>IFERROR(__xludf.DUMMYFUNCTION("""COMPUTED_VALUE"""),6.0)</f>
        <v>6</v>
      </c>
      <c r="L219" s="31" t="str">
        <f>IFERROR(__xludf.DUMMYFUNCTION("""COMPUTED_VALUE"""),"Puzzle")</f>
        <v>Puzzle</v>
      </c>
    </row>
    <row r="220">
      <c r="A220" s="17" t="str">
        <f>IFERROR(__xludf.DUMMYFUNCTION("""COMPUTED_VALUE"""),"Luna Abyss")</f>
        <v>Luna Abyss</v>
      </c>
      <c r="B220" s="20" t="str">
        <f>IFERROR(__xludf.DUMMYFUNCTION("""COMPUTED_VALUE"""),"Xbox / PC")</f>
        <v>Xbox / PC</v>
      </c>
      <c r="C220" s="21" t="str">
        <f>IFERROR(__xludf.DUMMYFUNCTION("""COMPUTED_VALUE"""),"Yes")</f>
        <v>Yes</v>
      </c>
      <c r="D220" s="21" t="str">
        <f>IFERROR(__xludf.DUMMYFUNCTION("""COMPUTED_VALUE"""),"Active")</f>
        <v>Active</v>
      </c>
      <c r="E220" s="23">
        <f>IFERROR(__xludf.DUMMYFUNCTION("""COMPUTED_VALUE"""),46163.0)</f>
        <v>46163</v>
      </c>
      <c r="F220" s="24"/>
      <c r="G220" s="27">
        <f>IFERROR(__xludf.DUMMYFUNCTION("""COMPUTED_VALUE"""),4.5)</f>
        <v>4.5</v>
      </c>
      <c r="H220" s="23">
        <f>IFERROR(__xludf.DUMMYFUNCTION("""COMPUTED_VALUE"""),46163.0)</f>
        <v>46163</v>
      </c>
      <c r="I220" s="27">
        <f>IFERROR(__xludf.DUMMYFUNCTION("""COMPUTED_VALUE"""),0.0)</f>
        <v>0</v>
      </c>
      <c r="J220" s="29">
        <f>IFERROR(__xludf.DUMMYFUNCTION("""COMPUTED_VALUE"""),81.0)</f>
        <v>81</v>
      </c>
      <c r="K220" s="29">
        <f>IFERROR(__xludf.DUMMYFUNCTION("""COMPUTED_VALUE"""),8.0)</f>
        <v>8</v>
      </c>
      <c r="L220" s="31" t="str">
        <f>IFERROR(__xludf.DUMMYFUNCTION("""COMPUTED_VALUE"""),"Shooter")</f>
        <v>Shooter</v>
      </c>
    </row>
    <row r="221">
      <c r="A221" s="17" t="str">
        <f>IFERROR(__xludf.DUMMYFUNCTION("""COMPUTED_VALUE"""),"Tiny Bookshop")</f>
        <v>Tiny Bookshop</v>
      </c>
      <c r="B221" s="20" t="str">
        <f>IFERROR(__xludf.DUMMYFUNCTION("""COMPUTED_VALUE"""),"Xbox / PC")</f>
        <v>Xbox / PC</v>
      </c>
      <c r="C221" s="21" t="str">
        <f>IFERROR(__xludf.DUMMYFUNCTION("""COMPUTED_VALUE"""),"Yes")</f>
        <v>Yes</v>
      </c>
      <c r="D221" s="21" t="str">
        <f>IFERROR(__xludf.DUMMYFUNCTION("""COMPUTED_VALUE"""),"Active")</f>
        <v>Active</v>
      </c>
      <c r="E221" s="23">
        <f>IFERROR(__xludf.DUMMYFUNCTION("""COMPUTED_VALUE"""),46122.0)</f>
        <v>46122</v>
      </c>
      <c r="F221" s="24"/>
      <c r="G221" s="27">
        <f>IFERROR(__xludf.DUMMYFUNCTION("""COMPUTED_VALUE"""),5.866666666666666)</f>
        <v>5.866666667</v>
      </c>
      <c r="H221" s="23">
        <f>IFERROR(__xludf.DUMMYFUNCTION("""COMPUTED_VALUE"""),45876.0)</f>
        <v>45876</v>
      </c>
      <c r="I221" s="27">
        <f>IFERROR(__xludf.DUMMYFUNCTION("""COMPUTED_VALUE"""),0.675)</f>
        <v>0.675</v>
      </c>
      <c r="J221" s="29">
        <f>IFERROR(__xludf.DUMMYFUNCTION("""COMPUTED_VALUE"""),81.0)</f>
        <v>81</v>
      </c>
      <c r="K221" s="29">
        <f>IFERROR(__xludf.DUMMYFUNCTION("""COMPUTED_VALUE"""),16.0)</f>
        <v>16</v>
      </c>
      <c r="L221" s="31" t="str">
        <f>IFERROR(__xludf.DUMMYFUNCTION("""COMPUTED_VALUE"""),"Tycoon")</f>
        <v>Tycoon</v>
      </c>
    </row>
    <row r="222">
      <c r="A222" s="17" t="str">
        <f>IFERROR(__xludf.DUMMYFUNCTION("""COMPUTED_VALUE"""),"Marvel Cosmic Invasion")</f>
        <v>Marvel Cosmic Invasion</v>
      </c>
      <c r="B222" s="20" t="str">
        <f>IFERROR(__xludf.DUMMYFUNCTION("""COMPUTED_VALUE"""),"Xbox / PC")</f>
        <v>Xbox / PC</v>
      </c>
      <c r="C222" s="21" t="str">
        <f>IFERROR(__xludf.DUMMYFUNCTION("""COMPUTED_VALUE"""),"Yes")</f>
        <v>Yes</v>
      </c>
      <c r="D222" s="21" t="str">
        <f>IFERROR(__xludf.DUMMYFUNCTION("""COMPUTED_VALUE"""),"Active")</f>
        <v>Active</v>
      </c>
      <c r="E222" s="23">
        <f>IFERROR(__xludf.DUMMYFUNCTION("""COMPUTED_VALUE"""),45992.0)</f>
        <v>45992</v>
      </c>
      <c r="F222" s="24"/>
      <c r="G222" s="27">
        <f>IFERROR(__xludf.DUMMYFUNCTION("""COMPUTED_VALUE"""),10.166666666666666)</f>
        <v>10.16666667</v>
      </c>
      <c r="H222" s="23">
        <f>IFERROR(__xludf.DUMMYFUNCTION("""COMPUTED_VALUE"""),45992.0)</f>
        <v>45992</v>
      </c>
      <c r="I222" s="27">
        <f>IFERROR(__xludf.DUMMYFUNCTION("""COMPUTED_VALUE"""),0.0)</f>
        <v>0</v>
      </c>
      <c r="J222" s="29">
        <f>IFERROR(__xludf.DUMMYFUNCTION("""COMPUTED_VALUE"""),81.0)</f>
        <v>81</v>
      </c>
      <c r="K222" s="29">
        <f>IFERROR(__xludf.DUMMYFUNCTION("""COMPUTED_VALUE"""),4.0)</f>
        <v>4</v>
      </c>
      <c r="L222" s="31" t="str">
        <f>IFERROR(__xludf.DUMMYFUNCTION("""COMPUTED_VALUE"""),"Beat ’em up")</f>
        <v>Beat ’em up</v>
      </c>
    </row>
    <row r="223">
      <c r="A223" s="17" t="str">
        <f>IFERROR(__xludf.DUMMYFUNCTION("""COMPUTED_VALUE"""),"Great God Grove")</f>
        <v>Great God Grove</v>
      </c>
      <c r="B223" s="20" t="str">
        <f>IFERROR(__xludf.DUMMYFUNCTION("""COMPUTED_VALUE"""),"Xbox / PC")</f>
        <v>Xbox / PC</v>
      </c>
      <c r="C223" s="21" t="str">
        <f>IFERROR(__xludf.DUMMYFUNCTION("""COMPUTED_VALUE"""),"Yes")</f>
        <v>Yes</v>
      </c>
      <c r="D223" s="21" t="str">
        <f>IFERROR(__xludf.DUMMYFUNCTION("""COMPUTED_VALUE"""),"Active")</f>
        <v>Active</v>
      </c>
      <c r="E223" s="23">
        <f>IFERROR(__xludf.DUMMYFUNCTION("""COMPUTED_VALUE"""),45972.0)</f>
        <v>45972</v>
      </c>
      <c r="F223" s="24"/>
      <c r="G223" s="27">
        <f>IFERROR(__xludf.DUMMYFUNCTION("""COMPUTED_VALUE"""),10.833333333333334)</f>
        <v>10.83333333</v>
      </c>
      <c r="H223" s="23">
        <f>IFERROR(__xludf.DUMMYFUNCTION("""COMPUTED_VALUE"""),45611.0)</f>
        <v>45611</v>
      </c>
      <c r="I223" s="27">
        <f>IFERROR(__xludf.DUMMYFUNCTION("""COMPUTED_VALUE"""),0.9888888888888889)</f>
        <v>0.9888888889</v>
      </c>
      <c r="J223" s="29">
        <f>IFERROR(__xludf.DUMMYFUNCTION("""COMPUTED_VALUE"""),81.0)</f>
        <v>81</v>
      </c>
      <c r="K223" s="29">
        <f>IFERROR(__xludf.DUMMYFUNCTION("""COMPUTED_VALUE"""),6.0)</f>
        <v>6</v>
      </c>
      <c r="L223" s="31" t="str">
        <f>IFERROR(__xludf.DUMMYFUNCTION("""COMPUTED_VALUE"""),"Action-Adventure")</f>
        <v>Action-Adventure</v>
      </c>
    </row>
    <row r="224">
      <c r="A224" s="17" t="str">
        <f>IFERROR(__xludf.DUMMYFUNCTION("""COMPUTED_VALUE"""),"Moonsweeper")</f>
        <v>Moonsweeper</v>
      </c>
      <c r="B224" s="20" t="str">
        <f>IFERROR(__xludf.DUMMYFUNCTION("""COMPUTED_VALUE"""),"Xbox / PC")</f>
        <v>Xbox / PC</v>
      </c>
      <c r="C224" s="21" t="str">
        <f>IFERROR(__xludf.DUMMYFUNCTION("""COMPUTED_VALUE"""),"Yes")</f>
        <v>Yes</v>
      </c>
      <c r="D224" s="21" t="str">
        <f>IFERROR(__xludf.DUMMYFUNCTION("""COMPUTED_VALUE"""),"Active")</f>
        <v>Active</v>
      </c>
      <c r="E224" s="23">
        <f>IFERROR(__xludf.DUMMYFUNCTION("""COMPUTED_VALUE"""),45945.0)</f>
        <v>45945</v>
      </c>
      <c r="F224" s="24"/>
      <c r="G224" s="27">
        <f>IFERROR(__xludf.DUMMYFUNCTION("""COMPUTED_VALUE"""),11.7)</f>
        <v>11.7</v>
      </c>
      <c r="H224" s="23">
        <f>IFERROR(__xludf.DUMMYFUNCTION("""COMPUTED_VALUE"""),30529.0)</f>
        <v>30529</v>
      </c>
      <c r="I224" s="27">
        <f>IFERROR(__xludf.DUMMYFUNCTION("""COMPUTED_VALUE"""),42.205555555555556)</f>
        <v>42.20555556</v>
      </c>
      <c r="J224" s="29">
        <f>IFERROR(__xludf.DUMMYFUNCTION("""COMPUTED_VALUE"""),81.0)</f>
        <v>81</v>
      </c>
      <c r="K224" s="29"/>
      <c r="L224" s="31" t="str">
        <f>IFERROR(__xludf.DUMMYFUNCTION("""COMPUTED_VALUE"""),"Action-Adventure")</f>
        <v>Action-Adventure</v>
      </c>
    </row>
    <row r="225">
      <c r="A225" s="17" t="str">
        <f>IFERROR(__xludf.DUMMYFUNCTION("""COMPUTED_VALUE"""),"Trackmania Turbo")</f>
        <v>Trackmania Turbo</v>
      </c>
      <c r="B225" s="20" t="str">
        <f>IFERROR(__xludf.DUMMYFUNCTION("""COMPUTED_VALUE"""),"Xbox / PC")</f>
        <v>Xbox / PC</v>
      </c>
      <c r="C225" s="21" t="str">
        <f>IFERROR(__xludf.DUMMYFUNCTION("""COMPUTED_VALUE"""),"Yes")</f>
        <v>Yes</v>
      </c>
      <c r="D225" s="21" t="str">
        <f>IFERROR(__xludf.DUMMYFUNCTION("""COMPUTED_VALUE"""),"Active")</f>
        <v>Active</v>
      </c>
      <c r="E225" s="23">
        <f>IFERROR(__xludf.DUMMYFUNCTION("""COMPUTED_VALUE"""),45931.0)</f>
        <v>45931</v>
      </c>
      <c r="F225" s="24"/>
      <c r="G225" s="27">
        <f>IFERROR(__xludf.DUMMYFUNCTION("""COMPUTED_VALUE"""),12.166666666666666)</f>
        <v>12.16666667</v>
      </c>
      <c r="H225" s="23">
        <f>IFERROR(__xludf.DUMMYFUNCTION("""COMPUTED_VALUE"""),42451.0)</f>
        <v>42451</v>
      </c>
      <c r="I225" s="27">
        <f>IFERROR(__xludf.DUMMYFUNCTION("""COMPUTED_VALUE"""),9.525)</f>
        <v>9.525</v>
      </c>
      <c r="J225" s="29">
        <f>IFERROR(__xludf.DUMMYFUNCTION("""COMPUTED_VALUE"""),81.0)</f>
        <v>81</v>
      </c>
      <c r="K225" s="29">
        <f>IFERROR(__xludf.DUMMYFUNCTION("""COMPUTED_VALUE"""),13.0)</f>
        <v>13</v>
      </c>
      <c r="L225" s="31" t="str">
        <f>IFERROR(__xludf.DUMMYFUNCTION("""COMPUTED_VALUE"""),"Racing")</f>
        <v>Racing</v>
      </c>
    </row>
    <row r="226">
      <c r="A226" s="17" t="str">
        <f>IFERROR(__xludf.DUMMYFUNCTION("""COMPUTED_VALUE"""),"Uno")</f>
        <v>Uno</v>
      </c>
      <c r="B226" s="20" t="str">
        <f>IFERROR(__xludf.DUMMYFUNCTION("""COMPUTED_VALUE"""),"Xbox / PC")</f>
        <v>Xbox / PC</v>
      </c>
      <c r="C226" s="21" t="str">
        <f>IFERROR(__xludf.DUMMYFUNCTION("""COMPUTED_VALUE"""),"Yes")</f>
        <v>Yes</v>
      </c>
      <c r="D226" s="21" t="str">
        <f>IFERROR(__xludf.DUMMYFUNCTION("""COMPUTED_VALUE"""),"Active")</f>
        <v>Active</v>
      </c>
      <c r="E226" s="23">
        <f>IFERROR(__xludf.DUMMYFUNCTION("""COMPUTED_VALUE"""),45931.0)</f>
        <v>45931</v>
      </c>
      <c r="F226" s="24"/>
      <c r="G226" s="27">
        <f>IFERROR(__xludf.DUMMYFUNCTION("""COMPUTED_VALUE"""),12.166666666666666)</f>
        <v>12.16666667</v>
      </c>
      <c r="H226" s="23">
        <f>IFERROR(__xludf.DUMMYFUNCTION("""COMPUTED_VALUE"""),38846.0)</f>
        <v>38846</v>
      </c>
      <c r="I226" s="27">
        <f>IFERROR(__xludf.DUMMYFUNCTION("""COMPUTED_VALUE"""),19.394444444444446)</f>
        <v>19.39444444</v>
      </c>
      <c r="J226" s="29">
        <f>IFERROR(__xludf.DUMMYFUNCTION("""COMPUTED_VALUE"""),81.0)</f>
        <v>81</v>
      </c>
      <c r="K226" s="29">
        <f>IFERROR(__xludf.DUMMYFUNCTION("""COMPUTED_VALUE"""),3.0)</f>
        <v>3</v>
      </c>
      <c r="L226" s="31" t="str">
        <f>IFERROR(__xludf.DUMMYFUNCTION("""COMPUTED_VALUE"""),"Board")</f>
        <v>Board</v>
      </c>
    </row>
    <row r="227">
      <c r="A227" s="17" t="str">
        <f>IFERROR(__xludf.DUMMYFUNCTION("""COMPUTED_VALUE"""),"The Rogue Prince of Persia")</f>
        <v>The Rogue Prince of Persia</v>
      </c>
      <c r="B227" s="20" t="str">
        <f>IFERROR(__xludf.DUMMYFUNCTION("""COMPUTED_VALUE"""),"Xbox / PC")</f>
        <v>Xbox / PC</v>
      </c>
      <c r="C227" s="21" t="str">
        <f>IFERROR(__xludf.DUMMYFUNCTION("""COMPUTED_VALUE"""),"Yes")</f>
        <v>Yes</v>
      </c>
      <c r="D227" s="21" t="str">
        <f>IFERROR(__xludf.DUMMYFUNCTION("""COMPUTED_VALUE"""),"Active")</f>
        <v>Active</v>
      </c>
      <c r="E227" s="23">
        <f>IFERROR(__xludf.DUMMYFUNCTION("""COMPUTED_VALUE"""),45889.0)</f>
        <v>45889</v>
      </c>
      <c r="F227" s="24"/>
      <c r="G227" s="27">
        <f>IFERROR(__xludf.DUMMYFUNCTION("""COMPUTED_VALUE"""),13.533333333333333)</f>
        <v>13.53333333</v>
      </c>
      <c r="H227" s="23">
        <f>IFERROR(__xludf.DUMMYFUNCTION("""COMPUTED_VALUE"""),45889.0)</f>
        <v>45889</v>
      </c>
      <c r="I227" s="27">
        <f>IFERROR(__xludf.DUMMYFUNCTION("""COMPUTED_VALUE"""),0.0)</f>
        <v>0</v>
      </c>
      <c r="J227" s="29">
        <f>IFERROR(__xludf.DUMMYFUNCTION("""COMPUTED_VALUE"""),81.0)</f>
        <v>81</v>
      </c>
      <c r="K227" s="29">
        <f>IFERROR(__xludf.DUMMYFUNCTION("""COMPUTED_VALUE"""),8.0)</f>
        <v>8</v>
      </c>
      <c r="L227" s="31" t="str">
        <f>IFERROR(__xludf.DUMMYFUNCTION("""COMPUTED_VALUE"""),"Platformer")</f>
        <v>Platformer</v>
      </c>
    </row>
    <row r="228">
      <c r="A228" s="17" t="str">
        <f>IFERROR(__xludf.DUMMYFUNCTION("""COMPUTED_VALUE"""),"Anno 1800")</f>
        <v>Anno 1800</v>
      </c>
      <c r="B228" s="20" t="str">
        <f>IFERROR(__xludf.DUMMYFUNCTION("""COMPUTED_VALUE"""),"Xbox / PC")</f>
        <v>Xbox / PC</v>
      </c>
      <c r="C228" s="21" t="str">
        <f>IFERROR(__xludf.DUMMYFUNCTION("""COMPUTED_VALUE"""),"Yes")</f>
        <v>Yes</v>
      </c>
      <c r="D228" s="21" t="str">
        <f>IFERROR(__xludf.DUMMYFUNCTION("""COMPUTED_VALUE"""),"Active")</f>
        <v>Active</v>
      </c>
      <c r="E228" s="23">
        <f>IFERROR(__xludf.DUMMYFUNCTION("""COMPUTED_VALUE"""),45778.0)</f>
        <v>45778</v>
      </c>
      <c r="F228" s="24"/>
      <c r="G228" s="27">
        <f>IFERROR(__xludf.DUMMYFUNCTION("""COMPUTED_VALUE"""),17.166666666666668)</f>
        <v>17.16666667</v>
      </c>
      <c r="H228" s="23">
        <f>IFERROR(__xludf.DUMMYFUNCTION("""COMPUTED_VALUE"""),43571.0)</f>
        <v>43571</v>
      </c>
      <c r="I228" s="27">
        <f>IFERROR(__xludf.DUMMYFUNCTION("""COMPUTED_VALUE"""),6.041666666666667)</f>
        <v>6.041666667</v>
      </c>
      <c r="J228" s="29">
        <f>IFERROR(__xludf.DUMMYFUNCTION("""COMPUTED_VALUE"""),81.0)</f>
        <v>81</v>
      </c>
      <c r="K228" s="29">
        <f>IFERROR(__xludf.DUMMYFUNCTION("""COMPUTED_VALUE"""),15.0)</f>
        <v>15</v>
      </c>
      <c r="L228" s="31" t="str">
        <f>IFERROR(__xludf.DUMMYFUNCTION("""COMPUTED_VALUE"""),"Management")</f>
        <v>Management</v>
      </c>
    </row>
    <row r="229">
      <c r="A229" s="17" t="str">
        <f>IFERROR(__xludf.DUMMYFUNCTION("""COMPUTED_VALUE"""),"Avowed")</f>
        <v>Avowed</v>
      </c>
      <c r="B229" s="20" t="str">
        <f>IFERROR(__xludf.DUMMYFUNCTION("""COMPUTED_VALUE"""),"Xbox / PC")</f>
        <v>Xbox / PC</v>
      </c>
      <c r="C229" s="21" t="str">
        <f>IFERROR(__xludf.DUMMYFUNCTION("""COMPUTED_VALUE"""),"Yes")</f>
        <v>Yes</v>
      </c>
      <c r="D229" s="21" t="str">
        <f>IFERROR(__xludf.DUMMYFUNCTION("""COMPUTED_VALUE"""),"Active")</f>
        <v>Active</v>
      </c>
      <c r="E229" s="23">
        <f>IFERROR(__xludf.DUMMYFUNCTION("""COMPUTED_VALUE"""),45706.0)</f>
        <v>45706</v>
      </c>
      <c r="F229" s="24"/>
      <c r="G229" s="27">
        <f>IFERROR(__xludf.DUMMYFUNCTION("""COMPUTED_VALUE"""),19.6)</f>
        <v>19.6</v>
      </c>
      <c r="H229" s="23">
        <f>IFERROR(__xludf.DUMMYFUNCTION("""COMPUTED_VALUE"""),45706.0)</f>
        <v>45706</v>
      </c>
      <c r="I229" s="27">
        <f>IFERROR(__xludf.DUMMYFUNCTION("""COMPUTED_VALUE"""),0.0)</f>
        <v>0</v>
      </c>
      <c r="J229" s="29">
        <f>IFERROR(__xludf.DUMMYFUNCTION("""COMPUTED_VALUE"""),81.0)</f>
        <v>81</v>
      </c>
      <c r="K229" s="29">
        <f>IFERROR(__xludf.DUMMYFUNCTION("""COMPUTED_VALUE"""),17.0)</f>
        <v>17</v>
      </c>
      <c r="L229" s="31" t="str">
        <f>IFERROR(__xludf.DUMMYFUNCTION("""COMPUTED_VALUE"""),"RPG")</f>
        <v>RPG</v>
      </c>
    </row>
    <row r="230">
      <c r="A230" s="17" t="str">
        <f>IFERROR(__xludf.DUMMYFUNCTION("""COMPUTED_VALUE"""),"Ni no Kuni II: Revenant Kingdom - The Prince's Edition")</f>
        <v>Ni no Kuni II: Revenant Kingdom - The Prince's Edition</v>
      </c>
      <c r="B230" s="20" t="str">
        <f>IFERROR(__xludf.DUMMYFUNCTION("""COMPUTED_VALUE"""),"Xbox / PC")</f>
        <v>Xbox / PC</v>
      </c>
      <c r="C230" s="21"/>
      <c r="D230" s="21" t="str">
        <f>IFERROR(__xludf.DUMMYFUNCTION("""COMPUTED_VALUE"""),"Active")</f>
        <v>Active</v>
      </c>
      <c r="E230" s="23">
        <f>IFERROR(__xludf.DUMMYFUNCTION("""COMPUTED_VALUE"""),45006.0)</f>
        <v>45006</v>
      </c>
      <c r="F230" s="24"/>
      <c r="G230" s="27">
        <f>IFERROR(__xludf.DUMMYFUNCTION("""COMPUTED_VALUE"""),42.5)</f>
        <v>42.5</v>
      </c>
      <c r="H230" s="23">
        <f>IFERROR(__xludf.DUMMYFUNCTION("""COMPUTED_VALUE"""),43182.0)</f>
        <v>43182</v>
      </c>
      <c r="I230" s="27">
        <f>IFERROR(__xludf.DUMMYFUNCTION("""COMPUTED_VALUE"""),4.9944444444444445)</f>
        <v>4.994444444</v>
      </c>
      <c r="J230" s="29">
        <f>IFERROR(__xludf.DUMMYFUNCTION("""COMPUTED_VALUE"""),81.0)</f>
        <v>81</v>
      </c>
      <c r="K230" s="29">
        <f>IFERROR(__xludf.DUMMYFUNCTION("""COMPUTED_VALUE"""),39.0)</f>
        <v>39</v>
      </c>
      <c r="L230" s="31" t="str">
        <f>IFERROR(__xludf.DUMMYFUNCTION("""COMPUTED_VALUE"""),"RPG")</f>
        <v>RPG</v>
      </c>
    </row>
    <row r="231">
      <c r="A231" s="17" t="str">
        <f>IFERROR(__xludf.DUMMYFUNCTION("""COMPUTED_VALUE"""),"Immortals Fenyx Rising")</f>
        <v>Immortals Fenyx Rising</v>
      </c>
      <c r="B231" s="20" t="str">
        <f>IFERROR(__xludf.DUMMYFUNCTION("""COMPUTED_VALUE"""),"Xbox / PC")</f>
        <v>Xbox / PC</v>
      </c>
      <c r="C231" s="21" t="str">
        <f>IFERROR(__xludf.DUMMYFUNCTION("""COMPUTED_VALUE"""),"Touch Controls")</f>
        <v>Touch Controls</v>
      </c>
      <c r="D231" s="21" t="str">
        <f>IFERROR(__xludf.DUMMYFUNCTION("""COMPUTED_VALUE"""),"Active")</f>
        <v>Active</v>
      </c>
      <c r="E231" s="23">
        <f>IFERROR(__xludf.DUMMYFUNCTION("""COMPUTED_VALUE"""),44803.0)</f>
        <v>44803</v>
      </c>
      <c r="F231" s="24"/>
      <c r="G231" s="27">
        <f>IFERROR(__xludf.DUMMYFUNCTION("""COMPUTED_VALUE"""),49.199999999999996)</f>
        <v>49.2</v>
      </c>
      <c r="H231" s="23">
        <f>IFERROR(__xludf.DUMMYFUNCTION("""COMPUTED_VALUE"""),44168.0)</f>
        <v>44168</v>
      </c>
      <c r="I231" s="27">
        <f>IFERROR(__xludf.DUMMYFUNCTION("""COMPUTED_VALUE"""),1.7416666666666667)</f>
        <v>1.741666667</v>
      </c>
      <c r="J231" s="29">
        <f>IFERROR(__xludf.DUMMYFUNCTION("""COMPUTED_VALUE"""),81.0)</f>
        <v>81</v>
      </c>
      <c r="K231" s="29">
        <f>IFERROR(__xludf.DUMMYFUNCTION("""COMPUTED_VALUE"""),25.5)</f>
        <v>25.5</v>
      </c>
      <c r="L231" s="31" t="str">
        <f>IFERROR(__xludf.DUMMYFUNCTION("""COMPUTED_VALUE"""),"RPG")</f>
        <v>RPG</v>
      </c>
    </row>
    <row r="232">
      <c r="A232" s="17" t="str">
        <f>IFERROR(__xludf.DUMMYFUNCTION("""COMPUTED_VALUE"""),"Quake 4")</f>
        <v>Quake 4</v>
      </c>
      <c r="B232" s="20" t="str">
        <f>IFERROR(__xludf.DUMMYFUNCTION("""COMPUTED_VALUE"""),"PC")</f>
        <v>PC</v>
      </c>
      <c r="C232" s="21"/>
      <c r="D232" s="21" t="str">
        <f>IFERROR(__xludf.DUMMYFUNCTION("""COMPUTED_VALUE"""),"Active")</f>
        <v>Active</v>
      </c>
      <c r="E232" s="23">
        <f>IFERROR(__xludf.DUMMYFUNCTION("""COMPUTED_VALUE"""),44791.0)</f>
        <v>44791</v>
      </c>
      <c r="F232" s="24"/>
      <c r="G232" s="27">
        <f>IFERROR(__xludf.DUMMYFUNCTION("""COMPUTED_VALUE"""),49.60000000000001)</f>
        <v>49.6</v>
      </c>
      <c r="H232" s="23">
        <f>IFERROR(__xludf.DUMMYFUNCTION("""COMPUTED_VALUE"""),38643.0)</f>
        <v>38643</v>
      </c>
      <c r="I232" s="27">
        <f>IFERROR(__xludf.DUMMYFUNCTION("""COMPUTED_VALUE"""),16.833333333333332)</f>
        <v>16.83333333</v>
      </c>
      <c r="J232" s="29">
        <f>IFERROR(__xludf.DUMMYFUNCTION("""COMPUTED_VALUE"""),81.0)</f>
        <v>81</v>
      </c>
      <c r="K232" s="29">
        <f>IFERROR(__xludf.DUMMYFUNCTION("""COMPUTED_VALUE"""),8.0)</f>
        <v>8</v>
      </c>
      <c r="L232" s="31" t="str">
        <f>IFERROR(__xludf.DUMMYFUNCTION("""COMPUTED_VALUE"""),"Shooter")</f>
        <v>Shooter</v>
      </c>
    </row>
    <row r="233">
      <c r="A233" s="17" t="str">
        <f>IFERROR(__xludf.DUMMYFUNCTION("""COMPUTED_VALUE"""),"Age of Empires IV: Anniversary Edition")</f>
        <v>Age of Empires IV: Anniversary Edition</v>
      </c>
      <c r="B233" s="20" t="str">
        <f>IFERROR(__xludf.DUMMYFUNCTION("""COMPUTED_VALUE"""),"Xbox / PC")</f>
        <v>Xbox / PC</v>
      </c>
      <c r="C233" s="21" t="str">
        <f>IFERROR(__xludf.DUMMYFUNCTION("""COMPUTED_VALUE"""),"Yes")</f>
        <v>Yes</v>
      </c>
      <c r="D233" s="21" t="str">
        <f>IFERROR(__xludf.DUMMYFUNCTION("""COMPUTED_VALUE"""),"Active")</f>
        <v>Active</v>
      </c>
      <c r="E233" s="23">
        <f>IFERROR(__xludf.DUMMYFUNCTION("""COMPUTED_VALUE"""),44497.0)</f>
        <v>44497</v>
      </c>
      <c r="F233" s="24"/>
      <c r="G233" s="27">
        <f>IFERROR(__xludf.DUMMYFUNCTION("""COMPUTED_VALUE"""),59.266666666666666)</f>
        <v>59.26666667</v>
      </c>
      <c r="H233" s="23">
        <f>IFERROR(__xludf.DUMMYFUNCTION("""COMPUTED_VALUE"""),44497.0)</f>
        <v>44497</v>
      </c>
      <c r="I233" s="27">
        <f>IFERROR(__xludf.DUMMYFUNCTION("""COMPUTED_VALUE"""),0.0)</f>
        <v>0</v>
      </c>
      <c r="J233" s="29">
        <f>IFERROR(__xludf.DUMMYFUNCTION("""COMPUTED_VALUE"""),81.0)</f>
        <v>81</v>
      </c>
      <c r="K233" s="29">
        <f>IFERROR(__xludf.DUMMYFUNCTION("""COMPUTED_VALUE"""),24.5)</f>
        <v>24.5</v>
      </c>
      <c r="L233" s="31" t="str">
        <f>IFERROR(__xludf.DUMMYFUNCTION("""COMPUTED_VALUE"""),"Real-Time Strategy")</f>
        <v>Real-Time Strategy</v>
      </c>
    </row>
    <row r="234">
      <c r="A234" s="17" t="str">
        <f>IFERROR(__xludf.DUMMYFUNCTION("""COMPUTED_VALUE"""),"The Evil Within 2")</f>
        <v>The Evil Within 2</v>
      </c>
      <c r="B234" s="20" t="str">
        <f>IFERROR(__xludf.DUMMYFUNCTION("""COMPUTED_VALUE"""),"Xbox / PC")</f>
        <v>Xbox / PC</v>
      </c>
      <c r="C234" s="21" t="str">
        <f>IFERROR(__xludf.DUMMYFUNCTION("""COMPUTED_VALUE"""),"Yes")</f>
        <v>Yes</v>
      </c>
      <c r="D234" s="21" t="str">
        <f>IFERROR(__xludf.DUMMYFUNCTION("""COMPUTED_VALUE"""),"Active")</f>
        <v>Active</v>
      </c>
      <c r="E234" s="23">
        <f>IFERROR(__xludf.DUMMYFUNCTION("""COMPUTED_VALUE"""),44360.0)</f>
        <v>44360</v>
      </c>
      <c r="F234" s="24"/>
      <c r="G234" s="27">
        <f>IFERROR(__xludf.DUMMYFUNCTION("""COMPUTED_VALUE"""),63.766666666666666)</f>
        <v>63.76666667</v>
      </c>
      <c r="H234" s="23">
        <f>IFERROR(__xludf.DUMMYFUNCTION("""COMPUTED_VALUE"""),43021.0)</f>
        <v>43021</v>
      </c>
      <c r="I234" s="27">
        <f>IFERROR(__xludf.DUMMYFUNCTION("""COMPUTED_VALUE"""),3.6666666666666665)</f>
        <v>3.666666667</v>
      </c>
      <c r="J234" s="29">
        <f>IFERROR(__xludf.DUMMYFUNCTION("""COMPUTED_VALUE"""),81.0)</f>
        <v>81</v>
      </c>
      <c r="K234" s="29">
        <f>IFERROR(__xludf.DUMMYFUNCTION("""COMPUTED_VALUE"""),13.5)</f>
        <v>13.5</v>
      </c>
      <c r="L234" s="31" t="str">
        <f>IFERROR(__xludf.DUMMYFUNCTION("""COMPUTED_VALUE"""),"Shooter")</f>
        <v>Shooter</v>
      </c>
    </row>
    <row r="235">
      <c r="A235" s="17" t="str">
        <f>IFERROR(__xludf.DUMMYFUNCTION("""COMPUTED_VALUE"""),"SnowRunner")</f>
        <v>SnowRunner</v>
      </c>
      <c r="B235" s="20" t="str">
        <f>IFERROR(__xludf.DUMMYFUNCTION("""COMPUTED_VALUE"""),"Xbox / PC")</f>
        <v>Xbox / PC</v>
      </c>
      <c r="C235" s="21" t="str">
        <f>IFERROR(__xludf.DUMMYFUNCTION("""COMPUTED_VALUE"""),"Yes")</f>
        <v>Yes</v>
      </c>
      <c r="D235" s="21" t="str">
        <f>IFERROR(__xludf.DUMMYFUNCTION("""COMPUTED_VALUE"""),"Active")</f>
        <v>Active</v>
      </c>
      <c r="E235" s="23">
        <f>IFERROR(__xludf.DUMMYFUNCTION("""COMPUTED_VALUE"""),44334.0)</f>
        <v>44334</v>
      </c>
      <c r="F235" s="24"/>
      <c r="G235" s="27">
        <f>IFERROR(__xludf.DUMMYFUNCTION("""COMPUTED_VALUE"""),64.60000000000001)</f>
        <v>64.6</v>
      </c>
      <c r="H235" s="23">
        <f>IFERROR(__xludf.DUMMYFUNCTION("""COMPUTED_VALUE"""),43949.0)</f>
        <v>43949</v>
      </c>
      <c r="I235" s="27">
        <f>IFERROR(__xludf.DUMMYFUNCTION("""COMPUTED_VALUE"""),1.0555555555555556)</f>
        <v>1.055555556</v>
      </c>
      <c r="J235" s="29">
        <f>IFERROR(__xludf.DUMMYFUNCTION("""COMPUTED_VALUE"""),81.0)</f>
        <v>81</v>
      </c>
      <c r="K235" s="29">
        <f>IFERROR(__xludf.DUMMYFUNCTION("""COMPUTED_VALUE"""),90.0)</f>
        <v>90</v>
      </c>
      <c r="L235" s="31" t="str">
        <f>IFERROR(__xludf.DUMMYFUNCTION("""COMPUTED_VALUE"""),"Racing")</f>
        <v>Racing</v>
      </c>
    </row>
    <row r="236">
      <c r="A236" s="17" t="str">
        <f>IFERROR(__xludf.DUMMYFUNCTION("""COMPUTED_VALUE"""),"Jade Empire: Special Edition")</f>
        <v>Jade Empire: Special Edition</v>
      </c>
      <c r="B236" s="20" t="str">
        <f>IFERROR(__xludf.DUMMYFUNCTION("""COMPUTED_VALUE"""),"PC")</f>
        <v>PC</v>
      </c>
      <c r="C236" s="21"/>
      <c r="D236" s="21" t="str">
        <f>IFERROR(__xludf.DUMMYFUNCTION("""COMPUTED_VALUE"""),"Active")</f>
        <v>Active</v>
      </c>
      <c r="E236" s="23">
        <f>IFERROR(__xludf.DUMMYFUNCTION("""COMPUTED_VALUE"""),44273.0)</f>
        <v>44273</v>
      </c>
      <c r="F236" s="24"/>
      <c r="G236" s="27">
        <f>IFERROR(__xludf.DUMMYFUNCTION("""COMPUTED_VALUE"""),66.6)</f>
        <v>66.6</v>
      </c>
      <c r="H236" s="23">
        <f>IFERROR(__xludf.DUMMYFUNCTION("""COMPUTED_VALUE"""),38454.0)</f>
        <v>38454</v>
      </c>
      <c r="I236" s="27">
        <f>IFERROR(__xludf.DUMMYFUNCTION("""COMPUTED_VALUE"""),15.933333333333334)</f>
        <v>15.93333333</v>
      </c>
      <c r="J236" s="29">
        <f>IFERROR(__xludf.DUMMYFUNCTION("""COMPUTED_VALUE"""),81.0)</f>
        <v>81</v>
      </c>
      <c r="K236" s="29">
        <f>IFERROR(__xludf.DUMMYFUNCTION("""COMPUTED_VALUE"""),15.0)</f>
        <v>15</v>
      </c>
      <c r="L236" s="31" t="str">
        <f>IFERROR(__xludf.DUMMYFUNCTION("""COMPUTED_VALUE"""),"RPG")</f>
        <v>RPG</v>
      </c>
    </row>
    <row r="237">
      <c r="A237" s="17" t="str">
        <f>IFERROR(__xludf.DUMMYFUNCTION("""COMPUTED_VALUE"""),"Battlefield 4: Premium Edition")</f>
        <v>Battlefield 4: Premium Edition</v>
      </c>
      <c r="B237" s="20" t="str">
        <f>IFERROR(__xludf.DUMMYFUNCTION("""COMPUTED_VALUE"""),"Xbox / PC")</f>
        <v>Xbox / PC</v>
      </c>
      <c r="C237" s="21" t="str">
        <f>IFERROR(__xludf.DUMMYFUNCTION("""COMPUTED_VALUE"""),"Yes")</f>
        <v>Yes</v>
      </c>
      <c r="D237" s="21" t="str">
        <f>IFERROR(__xludf.DUMMYFUNCTION("""COMPUTED_VALUE"""),"Active")</f>
        <v>Active</v>
      </c>
      <c r="E237" s="23">
        <f>IFERROR(__xludf.DUMMYFUNCTION("""COMPUTED_VALUE"""),44145.0)</f>
        <v>44145</v>
      </c>
      <c r="F237" s="24"/>
      <c r="G237" s="27">
        <f>IFERROR(__xludf.DUMMYFUNCTION("""COMPUTED_VALUE"""),70.86666666666667)</f>
        <v>70.86666667</v>
      </c>
      <c r="H237" s="23">
        <f>IFERROR(__xludf.DUMMYFUNCTION("""COMPUTED_VALUE"""),41576.0)</f>
        <v>41576</v>
      </c>
      <c r="I237" s="27">
        <f>IFERROR(__xludf.DUMMYFUNCTION("""COMPUTED_VALUE"""),7.030555555555556)</f>
        <v>7.030555556</v>
      </c>
      <c r="J237" s="29">
        <f>IFERROR(__xludf.DUMMYFUNCTION("""COMPUTED_VALUE"""),81.0)</f>
        <v>81</v>
      </c>
      <c r="K237" s="29">
        <f>IFERROR(__xludf.DUMMYFUNCTION("""COMPUTED_VALUE"""),6.0)</f>
        <v>6</v>
      </c>
      <c r="L237" s="31" t="str">
        <f>IFERROR(__xludf.DUMMYFUNCTION("""COMPUTED_VALUE"""),"Shooter")</f>
        <v>Shooter</v>
      </c>
    </row>
    <row r="238">
      <c r="A238" s="17" t="str">
        <f>IFERROR(__xludf.DUMMYFUNCTION("""COMPUTED_VALUE"""),"Crysis")</f>
        <v>Crysis</v>
      </c>
      <c r="B238" s="20" t="str">
        <f>IFERROR(__xludf.DUMMYFUNCTION("""COMPUTED_VALUE"""),"Xbox / PC")</f>
        <v>Xbox / PC</v>
      </c>
      <c r="C238" s="21"/>
      <c r="D238" s="21" t="str">
        <f>IFERROR(__xludf.DUMMYFUNCTION("""COMPUTED_VALUE"""),"Active")</f>
        <v>Active</v>
      </c>
      <c r="E238" s="23">
        <f>IFERROR(__xludf.DUMMYFUNCTION("""COMPUTED_VALUE"""),44145.0)</f>
        <v>44145</v>
      </c>
      <c r="F238" s="24"/>
      <c r="G238" s="27">
        <f>IFERROR(__xludf.DUMMYFUNCTION("""COMPUTED_VALUE"""),70.86666666666667)</f>
        <v>70.86666667</v>
      </c>
      <c r="H238" s="23">
        <f>IFERROR(__xludf.DUMMYFUNCTION("""COMPUTED_VALUE"""),39399.0)</f>
        <v>39399</v>
      </c>
      <c r="I238" s="27">
        <f>IFERROR(__xludf.DUMMYFUNCTION("""COMPUTED_VALUE"""),12.991666666666667)</f>
        <v>12.99166667</v>
      </c>
      <c r="J238" s="29">
        <f>IFERROR(__xludf.DUMMYFUNCTION("""COMPUTED_VALUE"""),81.0)</f>
        <v>81</v>
      </c>
      <c r="K238" s="29">
        <f>IFERROR(__xludf.DUMMYFUNCTION("""COMPUTED_VALUE"""),10.0)</f>
        <v>10</v>
      </c>
      <c r="L238" s="31" t="str">
        <f>IFERROR(__xludf.DUMMYFUNCTION("""COMPUTED_VALUE"""),"Shooter")</f>
        <v>Shooter</v>
      </c>
    </row>
    <row r="239">
      <c r="A239" s="17" t="str">
        <f>IFERROR(__xludf.DUMMYFUNCTION("""COMPUTED_VALUE"""),"Star Wars Jedi: Fallen Order")</f>
        <v>Star Wars Jedi: Fallen Order</v>
      </c>
      <c r="B239" s="20" t="str">
        <f>IFERROR(__xludf.DUMMYFUNCTION("""COMPUTED_VALUE"""),"Xbox / PC")</f>
        <v>Xbox / PC</v>
      </c>
      <c r="C239" s="21" t="str">
        <f>IFERROR(__xludf.DUMMYFUNCTION("""COMPUTED_VALUE"""),"Yes")</f>
        <v>Yes</v>
      </c>
      <c r="D239" s="21" t="str">
        <f>IFERROR(__xludf.DUMMYFUNCTION("""COMPUTED_VALUE"""),"Active")</f>
        <v>Active</v>
      </c>
      <c r="E239" s="23">
        <f>IFERROR(__xludf.DUMMYFUNCTION("""COMPUTED_VALUE"""),44145.0)</f>
        <v>44145</v>
      </c>
      <c r="F239" s="24"/>
      <c r="G239" s="27">
        <f>IFERROR(__xludf.DUMMYFUNCTION("""COMPUTED_VALUE"""),70.86666666666667)</f>
        <v>70.86666667</v>
      </c>
      <c r="H239" s="23">
        <f>IFERROR(__xludf.DUMMYFUNCTION("""COMPUTED_VALUE"""),43784.0)</f>
        <v>43784</v>
      </c>
      <c r="I239" s="27">
        <f>IFERROR(__xludf.DUMMYFUNCTION("""COMPUTED_VALUE"""),0.9861111111111112)</f>
        <v>0.9861111111</v>
      </c>
      <c r="J239" s="29">
        <f>IFERROR(__xludf.DUMMYFUNCTION("""COMPUTED_VALUE"""),81.0)</f>
        <v>81</v>
      </c>
      <c r="K239" s="29">
        <f>IFERROR(__xludf.DUMMYFUNCTION("""COMPUTED_VALUE"""),24.0)</f>
        <v>24</v>
      </c>
      <c r="L239" s="31" t="str">
        <f>IFERROR(__xludf.DUMMYFUNCTION("""COMPUTED_VALUE"""),"Action-Adventure")</f>
        <v>Action-Adventure</v>
      </c>
    </row>
    <row r="240">
      <c r="A240" s="17" t="str">
        <f>IFERROR(__xludf.DUMMYFUNCTION("""COMPUTED_VALUE"""),"Unravel Two")</f>
        <v>Unravel Two</v>
      </c>
      <c r="B240" s="20" t="str">
        <f>IFERROR(__xludf.DUMMYFUNCTION("""COMPUTED_VALUE"""),"Xbox / PC")</f>
        <v>Xbox / PC</v>
      </c>
      <c r="C240" s="21" t="str">
        <f>IFERROR(__xludf.DUMMYFUNCTION("""COMPUTED_VALUE"""),"Yes")</f>
        <v>Yes</v>
      </c>
      <c r="D240" s="21" t="str">
        <f>IFERROR(__xludf.DUMMYFUNCTION("""COMPUTED_VALUE"""),"Active")</f>
        <v>Active</v>
      </c>
      <c r="E240" s="23">
        <f>IFERROR(__xludf.DUMMYFUNCTION("""COMPUTED_VALUE"""),44145.0)</f>
        <v>44145</v>
      </c>
      <c r="F240" s="24"/>
      <c r="G240" s="27">
        <f>IFERROR(__xludf.DUMMYFUNCTION("""COMPUTED_VALUE"""),70.86666666666667)</f>
        <v>70.86666667</v>
      </c>
      <c r="H240" s="23">
        <f>IFERROR(__xludf.DUMMYFUNCTION("""COMPUTED_VALUE"""),43260.0)</f>
        <v>43260</v>
      </c>
      <c r="I240" s="27">
        <f>IFERROR(__xludf.DUMMYFUNCTION("""COMPUTED_VALUE"""),2.4194444444444443)</f>
        <v>2.419444444</v>
      </c>
      <c r="J240" s="29">
        <f>IFERROR(__xludf.DUMMYFUNCTION("""COMPUTED_VALUE"""),81.0)</f>
        <v>81</v>
      </c>
      <c r="K240" s="29">
        <f>IFERROR(__xludf.DUMMYFUNCTION("""COMPUTED_VALUE"""),5.0)</f>
        <v>5</v>
      </c>
      <c r="L240" s="31" t="str">
        <f>IFERROR(__xludf.DUMMYFUNCTION("""COMPUTED_VALUE"""),"Platformer")</f>
        <v>Platformer</v>
      </c>
    </row>
    <row r="241">
      <c r="A241" s="17" t="str">
        <f>IFERROR(__xludf.DUMMYFUNCTION("""COMPUTED_VALUE"""),"Gears Tactics")</f>
        <v>Gears Tactics</v>
      </c>
      <c r="B241" s="20" t="str">
        <f>IFERROR(__xludf.DUMMYFUNCTION("""COMPUTED_VALUE"""),"Xbox / PC")</f>
        <v>Xbox / PC</v>
      </c>
      <c r="C241" s="21" t="str">
        <f>IFERROR(__xludf.DUMMYFUNCTION("""COMPUTED_VALUE"""),"M+KB")</f>
        <v>M+KB</v>
      </c>
      <c r="D241" s="21" t="str">
        <f>IFERROR(__xludf.DUMMYFUNCTION("""COMPUTED_VALUE"""),"Active")</f>
        <v>Active</v>
      </c>
      <c r="E241" s="23">
        <f>IFERROR(__xludf.DUMMYFUNCTION("""COMPUTED_VALUE"""),43949.0)</f>
        <v>43949</v>
      </c>
      <c r="F241" s="24"/>
      <c r="G241" s="27">
        <f>IFERROR(__xludf.DUMMYFUNCTION("""COMPUTED_VALUE"""),77.26666666666667)</f>
        <v>77.26666667</v>
      </c>
      <c r="H241" s="23">
        <f>IFERROR(__xludf.DUMMYFUNCTION("""COMPUTED_VALUE"""),43949.0)</f>
        <v>43949</v>
      </c>
      <c r="I241" s="27">
        <f>IFERROR(__xludf.DUMMYFUNCTION("""COMPUTED_VALUE"""),0.0)</f>
        <v>0</v>
      </c>
      <c r="J241" s="29">
        <f>IFERROR(__xludf.DUMMYFUNCTION("""COMPUTED_VALUE"""),81.0)</f>
        <v>81</v>
      </c>
      <c r="K241" s="29">
        <f>IFERROR(__xludf.DUMMYFUNCTION("""COMPUTED_VALUE"""),22.5)</f>
        <v>22.5</v>
      </c>
      <c r="L241" s="31" t="str">
        <f>IFERROR(__xludf.DUMMYFUNCTION("""COMPUTED_VALUE"""),"Strategy")</f>
        <v>Strategy</v>
      </c>
    </row>
    <row r="242">
      <c r="A242" s="17" t="str">
        <f>IFERROR(__xludf.DUMMYFUNCTION("""COMPUTED_VALUE"""),"Torment: Tides of Numenera")</f>
        <v>Torment: Tides of Numenera</v>
      </c>
      <c r="B242" s="20" t="str">
        <f>IFERROR(__xludf.DUMMYFUNCTION("""COMPUTED_VALUE"""),"Xbox / PC")</f>
        <v>Xbox / PC</v>
      </c>
      <c r="C242" s="21" t="str">
        <f>IFERROR(__xludf.DUMMYFUNCTION("""COMPUTED_VALUE"""),"Touch Controls")</f>
        <v>Touch Controls</v>
      </c>
      <c r="D242" s="21" t="str">
        <f>IFERROR(__xludf.DUMMYFUNCTION("""COMPUTED_VALUE"""),"Active")</f>
        <v>Active</v>
      </c>
      <c r="E242" s="23">
        <f>IFERROR(__xludf.DUMMYFUNCTION("""COMPUTED_VALUE"""),43643.0)</f>
        <v>43643</v>
      </c>
      <c r="F242" s="24"/>
      <c r="G242" s="27">
        <f>IFERROR(__xludf.DUMMYFUNCTION("""COMPUTED_VALUE"""),87.30000000000001)</f>
        <v>87.3</v>
      </c>
      <c r="H242" s="23">
        <f>IFERROR(__xludf.DUMMYFUNCTION("""COMPUTED_VALUE"""),42794.0)</f>
        <v>42794</v>
      </c>
      <c r="I242" s="27">
        <f>IFERROR(__xludf.DUMMYFUNCTION("""COMPUTED_VALUE"""),2.3305555555555557)</f>
        <v>2.330555556</v>
      </c>
      <c r="J242" s="29">
        <f>IFERROR(__xludf.DUMMYFUNCTION("""COMPUTED_VALUE"""),81.0)</f>
        <v>81</v>
      </c>
      <c r="K242" s="29">
        <f>IFERROR(__xludf.DUMMYFUNCTION("""COMPUTED_VALUE"""),26.0)</f>
        <v>26</v>
      </c>
      <c r="L242" s="31" t="str">
        <f>IFERROR(__xludf.DUMMYFUNCTION("""COMPUTED_VALUE"""),"RPG")</f>
        <v>RPG</v>
      </c>
    </row>
    <row r="243">
      <c r="A243" s="17" t="str">
        <f>IFERROR(__xludf.DUMMYFUNCTION("""COMPUTED_VALUE"""),"Halo Wars: Definitive Edition")</f>
        <v>Halo Wars: Definitive Edition</v>
      </c>
      <c r="B243" s="20" t="str">
        <f>IFERROR(__xludf.DUMMYFUNCTION("""COMPUTED_VALUE"""),"Xbox / PC")</f>
        <v>Xbox / PC</v>
      </c>
      <c r="C243" s="21" t="str">
        <f>IFERROR(__xludf.DUMMYFUNCTION("""COMPUTED_VALUE"""),"Touch Controls")</f>
        <v>Touch Controls</v>
      </c>
      <c r="D243" s="21" t="str">
        <f>IFERROR(__xludf.DUMMYFUNCTION("""COMPUTED_VALUE"""),"Active")</f>
        <v>Active</v>
      </c>
      <c r="E243" s="23">
        <f>IFERROR(__xludf.DUMMYFUNCTION("""COMPUTED_VALUE"""),43040.0)</f>
        <v>43040</v>
      </c>
      <c r="F243" s="24"/>
      <c r="G243" s="27">
        <f>IFERROR(__xludf.DUMMYFUNCTION("""COMPUTED_VALUE"""),107.16666666666666)</f>
        <v>107.1666667</v>
      </c>
      <c r="H243" s="23">
        <f>IFERROR(__xludf.DUMMYFUNCTION("""COMPUTED_VALUE"""),39870.0)</f>
        <v>39870</v>
      </c>
      <c r="I243" s="27">
        <f>IFERROR(__xludf.DUMMYFUNCTION("""COMPUTED_VALUE"""),8.680555555555555)</f>
        <v>8.680555556</v>
      </c>
      <c r="J243" s="29">
        <f>IFERROR(__xludf.DUMMYFUNCTION("""COMPUTED_VALUE"""),81.0)</f>
        <v>81</v>
      </c>
      <c r="K243" s="29">
        <f>IFERROR(__xludf.DUMMYFUNCTION("""COMPUTED_VALUE"""),9.0)</f>
        <v>9</v>
      </c>
      <c r="L243" s="31" t="str">
        <f>IFERROR(__xludf.DUMMYFUNCTION("""COMPUTED_VALUE"""),"RPG")</f>
        <v>RPG</v>
      </c>
    </row>
    <row r="244">
      <c r="A244" s="17" t="str">
        <f>IFERROR(__xludf.DUMMYFUNCTION("""COMPUTED_VALUE"""),"Sunset Overdrive")</f>
        <v>Sunset Overdrive</v>
      </c>
      <c r="B244" s="20" t="str">
        <f>IFERROR(__xludf.DUMMYFUNCTION("""COMPUTED_VALUE"""),"Xbox / PC")</f>
        <v>Xbox / PC</v>
      </c>
      <c r="C244" s="21"/>
      <c r="D244" s="21" t="str">
        <f>IFERROR(__xludf.DUMMYFUNCTION("""COMPUTED_VALUE"""),"Active")</f>
        <v>Active</v>
      </c>
      <c r="E244" s="23">
        <f>IFERROR(__xludf.DUMMYFUNCTION("""COMPUTED_VALUE"""),42887.0)</f>
        <v>42887</v>
      </c>
      <c r="F244" s="24"/>
      <c r="G244" s="27">
        <f>IFERROR(__xludf.DUMMYFUNCTION("""COMPUTED_VALUE"""),112.16666666666666)</f>
        <v>112.1666667</v>
      </c>
      <c r="H244" s="23">
        <f>IFERROR(__xludf.DUMMYFUNCTION("""COMPUTED_VALUE"""),41940.0)</f>
        <v>41940</v>
      </c>
      <c r="I244" s="27">
        <f>IFERROR(__xludf.DUMMYFUNCTION("""COMPUTED_VALUE"""),2.591666666666667)</f>
        <v>2.591666667</v>
      </c>
      <c r="J244" s="29">
        <f>IFERROR(__xludf.DUMMYFUNCTION("""COMPUTED_VALUE"""),81.0)</f>
        <v>81</v>
      </c>
      <c r="K244" s="29">
        <f>IFERROR(__xludf.DUMMYFUNCTION("""COMPUTED_VALUE"""),10.0)</f>
        <v>10</v>
      </c>
      <c r="L244" s="31" t="str">
        <f>IFERROR(__xludf.DUMMYFUNCTION("""COMPUTED_VALUE"""),"Shooter")</f>
        <v>Shooter</v>
      </c>
    </row>
    <row r="245">
      <c r="A245" s="17" t="str">
        <f>IFERROR(__xludf.DUMMYFUNCTION("""COMPUTED_VALUE"""),"The Royal Writ")</f>
        <v>The Royal Writ</v>
      </c>
      <c r="B245" s="20" t="str">
        <f>IFERROR(__xludf.DUMMYFUNCTION("""COMPUTED_VALUE"""),"Xbox / PC")</f>
        <v>Xbox / PC</v>
      </c>
      <c r="C245" s="21" t="str">
        <f>IFERROR(__xludf.DUMMYFUNCTION("""COMPUTED_VALUE"""),"Yes")</f>
        <v>Yes</v>
      </c>
      <c r="D245" s="21" t="str">
        <f>IFERROR(__xludf.DUMMYFUNCTION("""COMPUTED_VALUE"""),"Active")</f>
        <v>Active</v>
      </c>
      <c r="E245" s="23">
        <f>IFERROR(__xludf.DUMMYFUNCTION("""COMPUTED_VALUE"""),46275.0)</f>
        <v>46275</v>
      </c>
      <c r="F245" s="24"/>
      <c r="G245" s="27">
        <f>IFERROR(__xludf.DUMMYFUNCTION("""COMPUTED_VALUE"""),0.8666666666666666)</f>
        <v>0.8666666667</v>
      </c>
      <c r="H245" s="23">
        <f>IFERROR(__xludf.DUMMYFUNCTION("""COMPUTED_VALUE"""),45876.0)</f>
        <v>45876</v>
      </c>
      <c r="I245" s="27">
        <f>IFERROR(__xludf.DUMMYFUNCTION("""COMPUTED_VALUE"""),1.0916666666666666)</f>
        <v>1.091666667</v>
      </c>
      <c r="J245" s="29">
        <f>IFERROR(__xludf.DUMMYFUNCTION("""COMPUTED_VALUE"""),80.0)</f>
        <v>80</v>
      </c>
      <c r="K245" s="29">
        <f>IFERROR(__xludf.DUMMYFUNCTION("""COMPUTED_VALUE"""),5.0)</f>
        <v>5</v>
      </c>
      <c r="L245" s="31" t="str">
        <f>IFERROR(__xludf.DUMMYFUNCTION("""COMPUTED_VALUE"""),"Card Battle")</f>
        <v>Card Battle</v>
      </c>
    </row>
    <row r="246">
      <c r="A246" s="17" t="str">
        <f>IFERROR(__xludf.DUMMYFUNCTION("""COMPUTED_VALUE"""),"Halo: Campaign Evolved")</f>
        <v>Halo: Campaign Evolved</v>
      </c>
      <c r="B246" s="20" t="str">
        <f>IFERROR(__xludf.DUMMYFUNCTION("""COMPUTED_VALUE"""),"Xbox / PC")</f>
        <v>Xbox / PC</v>
      </c>
      <c r="C246" s="21" t="str">
        <f>IFERROR(__xludf.DUMMYFUNCTION("""COMPUTED_VALUE"""),"Yes")</f>
        <v>Yes</v>
      </c>
      <c r="D246" s="21" t="str">
        <f>IFERROR(__xludf.DUMMYFUNCTION("""COMPUTED_VALUE"""),"Active")</f>
        <v>Active</v>
      </c>
      <c r="E246" s="23">
        <f>IFERROR(__xludf.DUMMYFUNCTION("""COMPUTED_VALUE"""),46231.0)</f>
        <v>46231</v>
      </c>
      <c r="F246" s="24"/>
      <c r="G246" s="27">
        <f>IFERROR(__xludf.DUMMYFUNCTION("""COMPUTED_VALUE"""),2.2666666666666666)</f>
        <v>2.266666667</v>
      </c>
      <c r="H246" s="23">
        <f>IFERROR(__xludf.DUMMYFUNCTION("""COMPUTED_VALUE"""),46231.0)</f>
        <v>46231</v>
      </c>
      <c r="I246" s="27">
        <f>IFERROR(__xludf.DUMMYFUNCTION("""COMPUTED_VALUE"""),0.0)</f>
        <v>0</v>
      </c>
      <c r="J246" s="29">
        <f>IFERROR(__xludf.DUMMYFUNCTION("""COMPUTED_VALUE"""),80.0)</f>
        <v>80</v>
      </c>
      <c r="K246" s="29">
        <f>IFERROR(__xludf.DUMMYFUNCTION("""COMPUTED_VALUE"""),9.0)</f>
        <v>9</v>
      </c>
      <c r="L246" s="31" t="str">
        <f>IFERROR(__xludf.DUMMYFUNCTION("""COMPUTED_VALUE"""),"Shooter")</f>
        <v>Shooter</v>
      </c>
    </row>
    <row r="247">
      <c r="A247" s="17" t="str">
        <f>IFERROR(__xludf.DUMMYFUNCTION("""COMPUTED_VALUE"""),"Shift at Midnight")</f>
        <v>Shift at Midnight</v>
      </c>
      <c r="B247" s="20" t="str">
        <f>IFERROR(__xludf.DUMMYFUNCTION("""COMPUTED_VALUE"""),"Xbox / PC")</f>
        <v>Xbox / PC</v>
      </c>
      <c r="C247" s="21" t="str">
        <f>IFERROR(__xludf.DUMMYFUNCTION("""COMPUTED_VALUE"""),"Yes")</f>
        <v>Yes</v>
      </c>
      <c r="D247" s="21" t="str">
        <f>IFERROR(__xludf.DUMMYFUNCTION("""COMPUTED_VALUE"""),"Active")</f>
        <v>Active</v>
      </c>
      <c r="E247" s="23">
        <f>IFERROR(__xludf.DUMMYFUNCTION("""COMPUTED_VALUE"""),46225.0)</f>
        <v>46225</v>
      </c>
      <c r="F247" s="24"/>
      <c r="G247" s="27">
        <f>IFERROR(__xludf.DUMMYFUNCTION("""COMPUTED_VALUE"""),2.466666666666667)</f>
        <v>2.466666667</v>
      </c>
      <c r="H247" s="23">
        <f>IFERROR(__xludf.DUMMYFUNCTION("""COMPUTED_VALUE"""),46225.0)</f>
        <v>46225</v>
      </c>
      <c r="I247" s="27">
        <f>IFERROR(__xludf.DUMMYFUNCTION("""COMPUTED_VALUE"""),0.0)</f>
        <v>0</v>
      </c>
      <c r="J247" s="29">
        <f>IFERROR(__xludf.DUMMYFUNCTION("""COMPUTED_VALUE"""),80.0)</f>
        <v>80</v>
      </c>
      <c r="K247" s="29">
        <f>IFERROR(__xludf.DUMMYFUNCTION("""COMPUTED_VALUE"""),5.0)</f>
        <v>5</v>
      </c>
      <c r="L247" s="31" t="str">
        <f>IFERROR(__xludf.DUMMYFUNCTION("""COMPUTED_VALUE"""),"Horror")</f>
        <v>Horror</v>
      </c>
    </row>
    <row r="248">
      <c r="A248" s="17" t="str">
        <f>IFERROR(__xludf.DUMMYFUNCTION("""COMPUTED_VALUE"""),"FixForce")</f>
        <v>FixForce</v>
      </c>
      <c r="B248" s="20" t="str">
        <f>IFERROR(__xludf.DUMMYFUNCTION("""COMPUTED_VALUE"""),"Xbox / PC")</f>
        <v>Xbox / PC</v>
      </c>
      <c r="C248" s="21" t="str">
        <f>IFERROR(__xludf.DUMMYFUNCTION("""COMPUTED_VALUE"""),"Yes")</f>
        <v>Yes</v>
      </c>
      <c r="D248" s="21" t="str">
        <f>IFERROR(__xludf.DUMMYFUNCTION("""COMPUTED_VALUE"""),"Active")</f>
        <v>Active</v>
      </c>
      <c r="E248" s="23">
        <f>IFERROR(__xludf.DUMMYFUNCTION("""COMPUTED_VALUE"""),46220.0)</f>
        <v>46220</v>
      </c>
      <c r="F248" s="24"/>
      <c r="G248" s="27">
        <f>IFERROR(__xludf.DUMMYFUNCTION("""COMPUTED_VALUE"""),2.6333333333333333)</f>
        <v>2.633333333</v>
      </c>
      <c r="H248" s="23">
        <f>IFERROR(__xludf.DUMMYFUNCTION("""COMPUTED_VALUE"""),46220.0)</f>
        <v>46220</v>
      </c>
      <c r="I248" s="27">
        <f>IFERROR(__xludf.DUMMYFUNCTION("""COMPUTED_VALUE"""),0.0)</f>
        <v>0</v>
      </c>
      <c r="J248" s="29">
        <f>IFERROR(__xludf.DUMMYFUNCTION("""COMPUTED_VALUE"""),80.0)</f>
        <v>80</v>
      </c>
      <c r="K248" s="29"/>
      <c r="L248" s="31" t="str">
        <f>IFERROR(__xludf.DUMMYFUNCTION("""COMPUTED_VALUE"""),"Platformer")</f>
        <v>Platformer</v>
      </c>
    </row>
    <row r="249">
      <c r="A249" s="17" t="str">
        <f>IFERROR(__xludf.DUMMYFUNCTION("""COMPUTED_VALUE"""),"Abyssus")</f>
        <v>Abyssus</v>
      </c>
      <c r="B249" s="20" t="str">
        <f>IFERROR(__xludf.DUMMYFUNCTION("""COMPUTED_VALUE"""),"Xbox / PC")</f>
        <v>Xbox / PC</v>
      </c>
      <c r="C249" s="21" t="str">
        <f>IFERROR(__xludf.DUMMYFUNCTION("""COMPUTED_VALUE"""),"Yes")</f>
        <v>Yes</v>
      </c>
      <c r="D249" s="21" t="str">
        <f>IFERROR(__xludf.DUMMYFUNCTION("""COMPUTED_VALUE"""),"Active")</f>
        <v>Active</v>
      </c>
      <c r="E249" s="23">
        <f>IFERROR(__xludf.DUMMYFUNCTION("""COMPUTED_VALUE"""),46198.0)</f>
        <v>46198</v>
      </c>
      <c r="F249" s="24"/>
      <c r="G249" s="27">
        <f>IFERROR(__xludf.DUMMYFUNCTION("""COMPUTED_VALUE"""),3.3666666666666667)</f>
        <v>3.366666667</v>
      </c>
      <c r="H249" s="23">
        <f>IFERROR(__xludf.DUMMYFUNCTION("""COMPUTED_VALUE"""),46198.0)</f>
        <v>46198</v>
      </c>
      <c r="I249" s="27">
        <f>IFERROR(__xludf.DUMMYFUNCTION("""COMPUTED_VALUE"""),0.0)</f>
        <v>0</v>
      </c>
      <c r="J249" s="29">
        <f>IFERROR(__xludf.DUMMYFUNCTION("""COMPUTED_VALUE"""),80.0)</f>
        <v>80</v>
      </c>
      <c r="K249" s="29">
        <f>IFERROR(__xludf.DUMMYFUNCTION("""COMPUTED_VALUE"""),25.0)</f>
        <v>25</v>
      </c>
      <c r="L249" s="31" t="str">
        <f>IFERROR(__xludf.DUMMYFUNCTION("""COMPUTED_VALUE"""),"Shooter")</f>
        <v>Shooter</v>
      </c>
    </row>
    <row r="250">
      <c r="A250" s="17" t="str">
        <f>IFERROR(__xludf.DUMMYFUNCTION("""COMPUTED_VALUE"""),"Wo Long: Fallen Dynasty")</f>
        <v>Wo Long: Fallen Dynasty</v>
      </c>
      <c r="B250" s="20" t="str">
        <f>IFERROR(__xludf.DUMMYFUNCTION("""COMPUTED_VALUE"""),"Xbox / PC")</f>
        <v>Xbox / PC</v>
      </c>
      <c r="C250" s="21" t="str">
        <f>IFERROR(__xludf.DUMMYFUNCTION("""COMPUTED_VALUE"""),"Yes")</f>
        <v>Yes</v>
      </c>
      <c r="D250" s="21" t="str">
        <f>IFERROR(__xludf.DUMMYFUNCTION("""COMPUTED_VALUE"""),"Active")</f>
        <v>Active</v>
      </c>
      <c r="E250" s="23">
        <f>IFERROR(__xludf.DUMMYFUNCTION("""COMPUTED_VALUE"""),46180.0)</f>
        <v>46180</v>
      </c>
      <c r="F250" s="24"/>
      <c r="G250" s="27">
        <f>IFERROR(__xludf.DUMMYFUNCTION("""COMPUTED_VALUE"""),3.966666666666667)</f>
        <v>3.966666667</v>
      </c>
      <c r="H250" s="23">
        <f>IFERROR(__xludf.DUMMYFUNCTION("""COMPUTED_VALUE"""),44988.0)</f>
        <v>44988</v>
      </c>
      <c r="I250" s="27">
        <f>IFERROR(__xludf.DUMMYFUNCTION("""COMPUTED_VALUE"""),3.261111111111111)</f>
        <v>3.261111111</v>
      </c>
      <c r="J250" s="29">
        <f>IFERROR(__xludf.DUMMYFUNCTION("""COMPUTED_VALUE"""),80.0)</f>
        <v>80</v>
      </c>
      <c r="K250" s="29">
        <f>IFERROR(__xludf.DUMMYFUNCTION("""COMPUTED_VALUE"""),29.0)</f>
        <v>29</v>
      </c>
      <c r="L250" s="31" t="str">
        <f>IFERROR(__xludf.DUMMYFUNCTION("""COMPUTED_VALUE"""),"Action")</f>
        <v>Action</v>
      </c>
    </row>
    <row r="251">
      <c r="A251" s="17" t="str">
        <f>IFERROR(__xludf.DUMMYFUNCTION("""COMPUTED_VALUE"""),"Escape the Backrooms")</f>
        <v>Escape the Backrooms</v>
      </c>
      <c r="B251" s="20" t="str">
        <f>IFERROR(__xludf.DUMMYFUNCTION("""COMPUTED_VALUE"""),"Xbox / PC")</f>
        <v>Xbox / PC</v>
      </c>
      <c r="C251" s="21" t="str">
        <f>IFERROR(__xludf.DUMMYFUNCTION("""COMPUTED_VALUE"""),"Yes")</f>
        <v>Yes</v>
      </c>
      <c r="D251" s="21" t="str">
        <f>IFERROR(__xludf.DUMMYFUNCTION("""COMPUTED_VALUE"""),"Active")</f>
        <v>Active</v>
      </c>
      <c r="E251" s="23">
        <f>IFERROR(__xludf.DUMMYFUNCTION("""COMPUTED_VALUE"""),46170.0)</f>
        <v>46170</v>
      </c>
      <c r="F251" s="24"/>
      <c r="G251" s="27">
        <f>IFERROR(__xludf.DUMMYFUNCTION("""COMPUTED_VALUE"""),4.266666666666667)</f>
        <v>4.266666667</v>
      </c>
      <c r="H251" s="23">
        <f>IFERROR(__xludf.DUMMYFUNCTION("""COMPUTED_VALUE"""),45953.0)</f>
        <v>45953</v>
      </c>
      <c r="I251" s="27">
        <f>IFERROR(__xludf.DUMMYFUNCTION("""COMPUTED_VALUE"""),0.5972222222222222)</f>
        <v>0.5972222222</v>
      </c>
      <c r="J251" s="29">
        <f>IFERROR(__xludf.DUMMYFUNCTION("""COMPUTED_VALUE"""),80.0)</f>
        <v>80</v>
      </c>
      <c r="K251" s="29">
        <f>IFERROR(__xludf.DUMMYFUNCTION("""COMPUTED_VALUE"""),9.0)</f>
        <v>9</v>
      </c>
      <c r="L251" s="31" t="str">
        <f>IFERROR(__xludf.DUMMYFUNCTION("""COMPUTED_VALUE"""),"Survival")</f>
        <v>Survival</v>
      </c>
    </row>
    <row r="252">
      <c r="A252" s="17" t="str">
        <f>IFERROR(__xludf.DUMMYFUNCTION("""COMPUTED_VALUE"""),"Crashout Crew")</f>
        <v>Crashout Crew</v>
      </c>
      <c r="B252" s="20" t="str">
        <f>IFERROR(__xludf.DUMMYFUNCTION("""COMPUTED_VALUE"""),"Xbox / PC")</f>
        <v>Xbox / PC</v>
      </c>
      <c r="C252" s="21" t="str">
        <f>IFERROR(__xludf.DUMMYFUNCTION("""COMPUTED_VALUE"""),"Yes")</f>
        <v>Yes</v>
      </c>
      <c r="D252" s="21" t="str">
        <f>IFERROR(__xludf.DUMMYFUNCTION("""COMPUTED_VALUE"""),"Active")</f>
        <v>Active</v>
      </c>
      <c r="E252" s="23">
        <f>IFERROR(__xludf.DUMMYFUNCTION("""COMPUTED_VALUE"""),46170.0)</f>
        <v>46170</v>
      </c>
      <c r="F252" s="24"/>
      <c r="G252" s="27">
        <f>IFERROR(__xludf.DUMMYFUNCTION("""COMPUTED_VALUE"""),4.266666666666667)</f>
        <v>4.266666667</v>
      </c>
      <c r="H252" s="23">
        <f>IFERROR(__xludf.DUMMYFUNCTION("""COMPUTED_VALUE"""),46170.0)</f>
        <v>46170</v>
      </c>
      <c r="I252" s="27">
        <f>IFERROR(__xludf.DUMMYFUNCTION("""COMPUTED_VALUE"""),0.0)</f>
        <v>0</v>
      </c>
      <c r="J252" s="29">
        <f>IFERROR(__xludf.DUMMYFUNCTION("""COMPUTED_VALUE"""),80.0)</f>
        <v>80</v>
      </c>
      <c r="K252" s="29">
        <f>IFERROR(__xludf.DUMMYFUNCTION("""COMPUTED_VALUE"""),12.0)</f>
        <v>12</v>
      </c>
      <c r="L252" s="31" t="str">
        <f>IFERROR(__xludf.DUMMYFUNCTION("""COMPUTED_VALUE"""),"Action-Adventure")</f>
        <v>Action-Adventure</v>
      </c>
    </row>
    <row r="253">
      <c r="A253" s="17" t="str">
        <f>IFERROR(__xludf.DUMMYFUNCTION("""COMPUTED_VALUE"""),"Heroes of Might &amp; Magic: Olden Era (Game Preview)")</f>
        <v>Heroes of Might &amp; Magic: Olden Era (Game Preview)</v>
      </c>
      <c r="B253" s="20" t="str">
        <f>IFERROR(__xludf.DUMMYFUNCTION("""COMPUTED_VALUE"""),"PC")</f>
        <v>PC</v>
      </c>
      <c r="C253" s="21"/>
      <c r="D253" s="21" t="str">
        <f>IFERROR(__xludf.DUMMYFUNCTION("""COMPUTED_VALUE"""),"Active")</f>
        <v>Active</v>
      </c>
      <c r="E253" s="23">
        <f>IFERROR(__xludf.DUMMYFUNCTION("""COMPUTED_VALUE"""),46142.0)</f>
        <v>46142</v>
      </c>
      <c r="F253" s="24"/>
      <c r="G253" s="27">
        <f>IFERROR(__xludf.DUMMYFUNCTION("""COMPUTED_VALUE"""),5.2)</f>
        <v>5.2</v>
      </c>
      <c r="H253" s="23">
        <f>IFERROR(__xludf.DUMMYFUNCTION("""COMPUTED_VALUE"""),46142.0)</f>
        <v>46142</v>
      </c>
      <c r="I253" s="27">
        <f>IFERROR(__xludf.DUMMYFUNCTION("""COMPUTED_VALUE"""),0.0)</f>
        <v>0</v>
      </c>
      <c r="J253" s="29">
        <f>IFERROR(__xludf.DUMMYFUNCTION("""COMPUTED_VALUE"""),80.0)</f>
        <v>80</v>
      </c>
      <c r="K253" s="29">
        <f>IFERROR(__xludf.DUMMYFUNCTION("""COMPUTED_VALUE"""),18.0)</f>
        <v>18</v>
      </c>
      <c r="L253" s="31" t="str">
        <f>IFERROR(__xludf.DUMMYFUNCTION("""COMPUTED_VALUE"""),"Strategy")</f>
        <v>Strategy</v>
      </c>
    </row>
    <row r="254">
      <c r="A254" s="17" t="str">
        <f>IFERROR(__xludf.DUMMYFUNCTION("""COMPUTED_VALUE"""),"Call of Duty: Modern Warfare (2019)")</f>
        <v>Call of Duty: Modern Warfare (2019)</v>
      </c>
      <c r="B254" s="20" t="str">
        <f>IFERROR(__xludf.DUMMYFUNCTION("""COMPUTED_VALUE"""),"Xbox / PC")</f>
        <v>Xbox / PC</v>
      </c>
      <c r="C254" s="21" t="str">
        <f>IFERROR(__xludf.DUMMYFUNCTION("""COMPUTED_VALUE"""),"Yes")</f>
        <v>Yes</v>
      </c>
      <c r="D254" s="21" t="str">
        <f>IFERROR(__xludf.DUMMYFUNCTION("""COMPUTED_VALUE"""),"Active")</f>
        <v>Active</v>
      </c>
      <c r="E254" s="23">
        <f>IFERROR(__xludf.DUMMYFUNCTION("""COMPUTED_VALUE"""),46129.0)</f>
        <v>46129</v>
      </c>
      <c r="F254" s="24"/>
      <c r="G254" s="27">
        <f>IFERROR(__xludf.DUMMYFUNCTION("""COMPUTED_VALUE"""),5.633333333333333)</f>
        <v>5.633333333</v>
      </c>
      <c r="H254" s="23">
        <f>IFERROR(__xludf.DUMMYFUNCTION("""COMPUTED_VALUE"""),43763.0)</f>
        <v>43763</v>
      </c>
      <c r="I254" s="27">
        <f>IFERROR(__xludf.DUMMYFUNCTION("""COMPUTED_VALUE"""),6.477777777777778)</f>
        <v>6.477777778</v>
      </c>
      <c r="J254" s="29">
        <f>IFERROR(__xludf.DUMMYFUNCTION("""COMPUTED_VALUE"""),80.0)</f>
        <v>80</v>
      </c>
      <c r="K254" s="29">
        <f>IFERROR(__xludf.DUMMYFUNCTION("""COMPUTED_VALUE"""),6.0)</f>
        <v>6</v>
      </c>
      <c r="L254" s="31" t="str">
        <f>IFERROR(__xludf.DUMMYFUNCTION("""COMPUTED_VALUE"""),"Shooter")</f>
        <v>Shooter</v>
      </c>
    </row>
    <row r="255">
      <c r="A255" s="17" t="str">
        <f>IFERROR(__xludf.DUMMYFUNCTION("""COMPUTED_VALUE"""),"Barbie Horse Trails")</f>
        <v>Barbie Horse Trails</v>
      </c>
      <c r="B255" s="20" t="str">
        <f>IFERROR(__xludf.DUMMYFUNCTION("""COMPUTED_VALUE"""),"Xbox / PC")</f>
        <v>Xbox / PC</v>
      </c>
      <c r="C255" s="21" t="str">
        <f>IFERROR(__xludf.DUMMYFUNCTION("""COMPUTED_VALUE"""),"Yes")</f>
        <v>Yes</v>
      </c>
      <c r="D255" s="21" t="str">
        <f>IFERROR(__xludf.DUMMYFUNCTION("""COMPUTED_VALUE"""),"Active")</f>
        <v>Active</v>
      </c>
      <c r="E255" s="23">
        <f>IFERROR(__xludf.DUMMYFUNCTION("""COMPUTED_VALUE"""),46114.0)</f>
        <v>46114</v>
      </c>
      <c r="F255" s="24"/>
      <c r="G255" s="27">
        <f>IFERROR(__xludf.DUMMYFUNCTION("""COMPUTED_VALUE"""),6.133333333333333)</f>
        <v>6.133333333</v>
      </c>
      <c r="H255" s="23">
        <f>IFERROR(__xludf.DUMMYFUNCTION("""COMPUTED_VALUE"""),39734.0)</f>
        <v>39734</v>
      </c>
      <c r="I255" s="27">
        <f>IFERROR(__xludf.DUMMYFUNCTION("""COMPUTED_VALUE"""),17.469444444444445)</f>
        <v>17.46944444</v>
      </c>
      <c r="J255" s="29">
        <f>IFERROR(__xludf.DUMMYFUNCTION("""COMPUTED_VALUE"""),80.0)</f>
        <v>80</v>
      </c>
      <c r="K255" s="29">
        <f>IFERROR(__xludf.DUMMYFUNCTION("""COMPUTED_VALUE"""),6.0)</f>
        <v>6</v>
      </c>
      <c r="L255" s="31" t="str">
        <f>IFERROR(__xludf.DUMMYFUNCTION("""COMPUTED_VALUE"""),"Action-Adventure")</f>
        <v>Action-Adventure</v>
      </c>
    </row>
    <row r="256">
      <c r="A256" s="17" t="str">
        <f>IFERROR(__xludf.DUMMYFUNCTION("""COMPUTED_VALUE"""),"DreamWorks Gabby's Dollhouse: Ready to Party")</f>
        <v>DreamWorks Gabby's Dollhouse: Ready to Party</v>
      </c>
      <c r="B256" s="20" t="str">
        <f>IFERROR(__xludf.DUMMYFUNCTION("""COMPUTED_VALUE"""),"Xbox / PC")</f>
        <v>Xbox / PC</v>
      </c>
      <c r="C256" s="21" t="str">
        <f>IFERROR(__xludf.DUMMYFUNCTION("""COMPUTED_VALUE"""),"Yes")</f>
        <v>Yes</v>
      </c>
      <c r="D256" s="21" t="str">
        <f>IFERROR(__xludf.DUMMYFUNCTION("""COMPUTED_VALUE"""),"Active")</f>
        <v>Active</v>
      </c>
      <c r="E256" s="23">
        <f>IFERROR(__xludf.DUMMYFUNCTION("""COMPUTED_VALUE"""),46098.0)</f>
        <v>46098</v>
      </c>
      <c r="F256" s="24"/>
      <c r="G256" s="27">
        <f>IFERROR(__xludf.DUMMYFUNCTION("""COMPUTED_VALUE"""),6.633333333333334)</f>
        <v>6.633333333</v>
      </c>
      <c r="H256" s="23">
        <f>IFERROR(__xludf.DUMMYFUNCTION("""COMPUTED_VALUE"""),45919.0)</f>
        <v>45919</v>
      </c>
      <c r="I256" s="27">
        <f>IFERROR(__xludf.DUMMYFUNCTION("""COMPUTED_VALUE"""),0.49444444444444446)</f>
        <v>0.4944444444</v>
      </c>
      <c r="J256" s="29">
        <f>IFERROR(__xludf.DUMMYFUNCTION("""COMPUTED_VALUE"""),80.0)</f>
        <v>80</v>
      </c>
      <c r="K256" s="29">
        <f>IFERROR(__xludf.DUMMYFUNCTION("""COMPUTED_VALUE"""),3.0)</f>
        <v>3</v>
      </c>
      <c r="L256" s="31" t="str">
        <f>IFERROR(__xludf.DUMMYFUNCTION("""COMPUTED_VALUE"""),"Action-Adventure")</f>
        <v>Action-Adventure</v>
      </c>
    </row>
    <row r="257">
      <c r="A257" s="17" t="str">
        <f>IFERROR(__xludf.DUMMYFUNCTION("""COMPUTED_VALUE"""),"F1 25")</f>
        <v>F1 25</v>
      </c>
      <c r="B257" s="20" t="str">
        <f>IFERROR(__xludf.DUMMYFUNCTION("""COMPUTED_VALUE"""),"Xbox / PC")</f>
        <v>Xbox / PC</v>
      </c>
      <c r="C257" s="21" t="str">
        <f>IFERROR(__xludf.DUMMYFUNCTION("""COMPUTED_VALUE"""),"Yes")</f>
        <v>Yes</v>
      </c>
      <c r="D257" s="21" t="str">
        <f>IFERROR(__xludf.DUMMYFUNCTION("""COMPUTED_VALUE"""),"Active")</f>
        <v>Active</v>
      </c>
      <c r="E257" s="23">
        <f>IFERROR(__xludf.DUMMYFUNCTION("""COMPUTED_VALUE"""),46085.0)</f>
        <v>46085</v>
      </c>
      <c r="F257" s="24"/>
      <c r="G257" s="27">
        <f>IFERROR(__xludf.DUMMYFUNCTION("""COMPUTED_VALUE"""),7.066666666666666)</f>
        <v>7.066666667</v>
      </c>
      <c r="H257" s="23">
        <f>IFERROR(__xludf.DUMMYFUNCTION("""COMPUTED_VALUE"""),46085.0)</f>
        <v>46085</v>
      </c>
      <c r="I257" s="27">
        <f>IFERROR(__xludf.DUMMYFUNCTION("""COMPUTED_VALUE"""),0.0)</f>
        <v>0</v>
      </c>
      <c r="J257" s="29">
        <f>IFERROR(__xludf.DUMMYFUNCTION("""COMPUTED_VALUE"""),80.0)</f>
        <v>80</v>
      </c>
      <c r="K257" s="29">
        <f>IFERROR(__xludf.DUMMYFUNCTION("""COMPUTED_VALUE"""),6.0)</f>
        <v>6</v>
      </c>
      <c r="L257" s="31" t="str">
        <f>IFERROR(__xludf.DUMMYFUNCTION("""COMPUTED_VALUE"""),"Racing")</f>
        <v>Racing</v>
      </c>
    </row>
    <row r="258">
      <c r="A258" s="17" t="str">
        <f>IFERROR(__xludf.DUMMYFUNCTION("""COMPUTED_VALUE"""),"Diablo II: Resurrected")</f>
        <v>Diablo II: Resurrected</v>
      </c>
      <c r="B258" s="20" t="str">
        <f>IFERROR(__xludf.DUMMYFUNCTION("""COMPUTED_VALUE"""),"Xbox / PC")</f>
        <v>Xbox / PC</v>
      </c>
      <c r="C258" s="21" t="str">
        <f>IFERROR(__xludf.DUMMYFUNCTION("""COMPUTED_VALUE"""),"Yes")</f>
        <v>Yes</v>
      </c>
      <c r="D258" s="21" t="str">
        <f>IFERROR(__xludf.DUMMYFUNCTION("""COMPUTED_VALUE"""),"Active")</f>
        <v>Active</v>
      </c>
      <c r="E258" s="23">
        <f>IFERROR(__xludf.DUMMYFUNCTION("""COMPUTED_VALUE"""),46064.0)</f>
        <v>46064</v>
      </c>
      <c r="F258" s="24"/>
      <c r="G258" s="27">
        <f>IFERROR(__xludf.DUMMYFUNCTION("""COMPUTED_VALUE"""),7.833333333333334)</f>
        <v>7.833333333</v>
      </c>
      <c r="H258" s="23">
        <f>IFERROR(__xludf.DUMMYFUNCTION("""COMPUTED_VALUE"""),44462.0)</f>
        <v>44462</v>
      </c>
      <c r="I258" s="27">
        <f>IFERROR(__xludf.DUMMYFUNCTION("""COMPUTED_VALUE"""),4.383333333333334)</f>
        <v>4.383333333</v>
      </c>
      <c r="J258" s="29">
        <f>IFERROR(__xludf.DUMMYFUNCTION("""COMPUTED_VALUE"""),80.0)</f>
        <v>80</v>
      </c>
      <c r="K258" s="29">
        <f>IFERROR(__xludf.DUMMYFUNCTION("""COMPUTED_VALUE"""),22.0)</f>
        <v>22</v>
      </c>
      <c r="L258" s="31" t="str">
        <f>IFERROR(__xludf.DUMMYFUNCTION("""COMPUTED_VALUE"""),"RPG")</f>
        <v>RPG</v>
      </c>
    </row>
    <row r="259">
      <c r="A259" s="17" t="str">
        <f>IFERROR(__xludf.DUMMYFUNCTION("""COMPUTED_VALUE"""),"Like A Dragon: Pirate Yakuza in Hawaii")</f>
        <v>Like A Dragon: Pirate Yakuza in Hawaii</v>
      </c>
      <c r="B259" s="20" t="str">
        <f>IFERROR(__xludf.DUMMYFUNCTION("""COMPUTED_VALUE"""),"Xbox / PC")</f>
        <v>Xbox / PC</v>
      </c>
      <c r="C259" s="21" t="str">
        <f>IFERROR(__xludf.DUMMYFUNCTION("""COMPUTED_VALUE"""),"Yes")</f>
        <v>Yes</v>
      </c>
      <c r="D259" s="21" t="str">
        <f>IFERROR(__xludf.DUMMYFUNCTION("""COMPUTED_VALUE"""),"Active")</f>
        <v>Active</v>
      </c>
      <c r="E259" s="23">
        <f>IFERROR(__xludf.DUMMYFUNCTION("""COMPUTED_VALUE"""),46055.0)</f>
        <v>46055</v>
      </c>
      <c r="F259" s="24"/>
      <c r="G259" s="27">
        <f>IFERROR(__xludf.DUMMYFUNCTION("""COMPUTED_VALUE"""),8.133333333333333)</f>
        <v>8.133333333</v>
      </c>
      <c r="H259" s="23">
        <f>IFERROR(__xludf.DUMMYFUNCTION("""COMPUTED_VALUE"""),45709.0)</f>
        <v>45709</v>
      </c>
      <c r="I259" s="27">
        <f>IFERROR(__xludf.DUMMYFUNCTION("""COMPUTED_VALUE"""),0.9472222222222222)</f>
        <v>0.9472222222</v>
      </c>
      <c r="J259" s="29">
        <f>IFERROR(__xludf.DUMMYFUNCTION("""COMPUTED_VALUE"""),80.0)</f>
        <v>80</v>
      </c>
      <c r="K259" s="29">
        <f>IFERROR(__xludf.DUMMYFUNCTION("""COMPUTED_VALUE"""),35.0)</f>
        <v>35</v>
      </c>
      <c r="L259" s="31" t="str">
        <f>IFERROR(__xludf.DUMMYFUNCTION("""COMPUTED_VALUE"""),"Action-Adventure")</f>
        <v>Action-Adventure</v>
      </c>
    </row>
    <row r="260">
      <c r="A260" s="17" t="str">
        <f>IFERROR(__xludf.DUMMYFUNCTION("""COMPUTED_VALUE"""),"INDIKA")</f>
        <v>INDIKA</v>
      </c>
      <c r="B260" s="20" t="str">
        <f>IFERROR(__xludf.DUMMYFUNCTION("""COMPUTED_VALUE"""),"Xbox / PC")</f>
        <v>Xbox / PC</v>
      </c>
      <c r="C260" s="21" t="str">
        <f>IFERROR(__xludf.DUMMYFUNCTION("""COMPUTED_VALUE"""),"Yes")</f>
        <v>Yes</v>
      </c>
      <c r="D260" s="21" t="str">
        <f>IFERROR(__xludf.DUMMYFUNCTION("""COMPUTED_VALUE"""),"Active")</f>
        <v>Active</v>
      </c>
      <c r="E260" s="23">
        <f>IFERROR(__xludf.DUMMYFUNCTION("""COMPUTED_VALUE"""),46055.0)</f>
        <v>46055</v>
      </c>
      <c r="F260" s="24"/>
      <c r="G260" s="27">
        <f>IFERROR(__xludf.DUMMYFUNCTION("""COMPUTED_VALUE"""),8.133333333333333)</f>
        <v>8.133333333</v>
      </c>
      <c r="H260" s="23">
        <f>IFERROR(__xludf.DUMMYFUNCTION("""COMPUTED_VALUE"""),45414.0)</f>
        <v>45414</v>
      </c>
      <c r="I260" s="27">
        <f>IFERROR(__xludf.DUMMYFUNCTION("""COMPUTED_VALUE"""),1.75)</f>
        <v>1.75</v>
      </c>
      <c r="J260" s="29">
        <f>IFERROR(__xludf.DUMMYFUNCTION("""COMPUTED_VALUE"""),80.0)</f>
        <v>80</v>
      </c>
      <c r="K260" s="29">
        <f>IFERROR(__xludf.DUMMYFUNCTION("""COMPUTED_VALUE"""),4.0)</f>
        <v>4</v>
      </c>
      <c r="L260" s="31" t="str">
        <f>IFERROR(__xludf.DUMMYFUNCTION("""COMPUTED_VALUE"""),"Action-Adventure")</f>
        <v>Action-Adventure</v>
      </c>
    </row>
    <row r="261">
      <c r="A261" s="17" t="str">
        <f>IFERROR(__xludf.DUMMYFUNCTION("""COMPUTED_VALUE"""),"Ultimate Sheep Raccoon")</f>
        <v>Ultimate Sheep Raccoon</v>
      </c>
      <c r="B261" s="20" t="str">
        <f>IFERROR(__xludf.DUMMYFUNCTION("""COMPUTED_VALUE"""),"Xbox / PC")</f>
        <v>Xbox / PC</v>
      </c>
      <c r="C261" s="21" t="str">
        <f>IFERROR(__xludf.DUMMYFUNCTION("""COMPUTED_VALUE"""),"Yes")</f>
        <v>Yes</v>
      </c>
      <c r="D261" s="21" t="str">
        <f>IFERROR(__xludf.DUMMYFUNCTION("""COMPUTED_VALUE"""),"Active")</f>
        <v>Active</v>
      </c>
      <c r="E261" s="23">
        <f>IFERROR(__xludf.DUMMYFUNCTION("""COMPUTED_VALUE"""),46000.0)</f>
        <v>46000</v>
      </c>
      <c r="F261" s="24"/>
      <c r="G261" s="27">
        <f>IFERROR(__xludf.DUMMYFUNCTION("""COMPUTED_VALUE"""),9.899999999999999)</f>
        <v>9.9</v>
      </c>
      <c r="H261" s="23">
        <f>IFERROR(__xludf.DUMMYFUNCTION("""COMPUTED_VALUE"""),46000.0)</f>
        <v>46000</v>
      </c>
      <c r="I261" s="27">
        <f>IFERROR(__xludf.DUMMYFUNCTION("""COMPUTED_VALUE"""),0.0)</f>
        <v>0</v>
      </c>
      <c r="J261" s="29">
        <f>IFERROR(__xludf.DUMMYFUNCTION("""COMPUTED_VALUE"""),80.0)</f>
        <v>80</v>
      </c>
      <c r="K261" s="29"/>
      <c r="L261" s="31" t="str">
        <f>IFERROR(__xludf.DUMMYFUNCTION("""COMPUTED_VALUE"""),"Racing")</f>
        <v>Racing</v>
      </c>
    </row>
    <row r="262">
      <c r="A262" s="17" t="str">
        <f>IFERROR(__xludf.DUMMYFUNCTION("""COMPUTED_VALUE"""),"Total Chaos (2025)")</f>
        <v>Total Chaos (2025)</v>
      </c>
      <c r="B262" s="20" t="str">
        <f>IFERROR(__xludf.DUMMYFUNCTION("""COMPUTED_VALUE"""),"Xbox / PC")</f>
        <v>Xbox / PC</v>
      </c>
      <c r="C262" s="21" t="str">
        <f>IFERROR(__xludf.DUMMYFUNCTION("""COMPUTED_VALUE"""),"Yes")</f>
        <v>Yes</v>
      </c>
      <c r="D262" s="21" t="str">
        <f>IFERROR(__xludf.DUMMYFUNCTION("""COMPUTED_VALUE"""),"Active")</f>
        <v>Active</v>
      </c>
      <c r="E262" s="23">
        <f>IFERROR(__xludf.DUMMYFUNCTION("""COMPUTED_VALUE"""),45981.0)</f>
        <v>45981</v>
      </c>
      <c r="F262" s="24"/>
      <c r="G262" s="27">
        <f>IFERROR(__xludf.DUMMYFUNCTION("""COMPUTED_VALUE"""),10.533333333333333)</f>
        <v>10.53333333</v>
      </c>
      <c r="H262" s="23">
        <f>IFERROR(__xludf.DUMMYFUNCTION("""COMPUTED_VALUE"""),45981.0)</f>
        <v>45981</v>
      </c>
      <c r="I262" s="27">
        <f>IFERROR(__xludf.DUMMYFUNCTION("""COMPUTED_VALUE"""),0.0)</f>
        <v>0</v>
      </c>
      <c r="J262" s="29">
        <f>IFERROR(__xludf.DUMMYFUNCTION("""COMPUTED_VALUE"""),80.0)</f>
        <v>80</v>
      </c>
      <c r="K262" s="29">
        <f>IFERROR(__xludf.DUMMYFUNCTION("""COMPUTED_VALUE"""),11.0)</f>
        <v>11</v>
      </c>
      <c r="L262" s="31" t="str">
        <f>IFERROR(__xludf.DUMMYFUNCTION("""COMPUTED_VALUE"""),"Action-Adventure")</f>
        <v>Action-Adventure</v>
      </c>
    </row>
    <row r="263">
      <c r="A263" s="17" t="str">
        <f>IFERROR(__xludf.DUMMYFUNCTION("""COMPUTED_VALUE"""),"Egging On")</f>
        <v>Egging On</v>
      </c>
      <c r="B263" s="20" t="str">
        <f>IFERROR(__xludf.DUMMYFUNCTION("""COMPUTED_VALUE"""),"Xbox / PC")</f>
        <v>Xbox / PC</v>
      </c>
      <c r="C263" s="21" t="str">
        <f>IFERROR(__xludf.DUMMYFUNCTION("""COMPUTED_VALUE"""),"Yes")</f>
        <v>Yes</v>
      </c>
      <c r="D263" s="21" t="str">
        <f>IFERROR(__xludf.DUMMYFUNCTION("""COMPUTED_VALUE"""),"Active")</f>
        <v>Active</v>
      </c>
      <c r="E263" s="23">
        <f>IFERROR(__xludf.DUMMYFUNCTION("""COMPUTED_VALUE"""),45967.0)</f>
        <v>45967</v>
      </c>
      <c r="F263" s="24"/>
      <c r="G263" s="27">
        <f>IFERROR(__xludf.DUMMYFUNCTION("""COMPUTED_VALUE"""),11.0)</f>
        <v>11</v>
      </c>
      <c r="H263" s="23">
        <f>IFERROR(__xludf.DUMMYFUNCTION("""COMPUTED_VALUE"""),45967.0)</f>
        <v>45967</v>
      </c>
      <c r="I263" s="27">
        <f>IFERROR(__xludf.DUMMYFUNCTION("""COMPUTED_VALUE"""),0.0)</f>
        <v>0</v>
      </c>
      <c r="J263" s="29">
        <f>IFERROR(__xludf.DUMMYFUNCTION("""COMPUTED_VALUE"""),80.0)</f>
        <v>80</v>
      </c>
      <c r="K263" s="29">
        <f>IFERROR(__xludf.DUMMYFUNCTION("""COMPUTED_VALUE"""),8.0)</f>
        <v>8</v>
      </c>
      <c r="L263" s="31" t="str">
        <f>IFERROR(__xludf.DUMMYFUNCTION("""COMPUTED_VALUE"""),"Platformer")</f>
        <v>Platformer</v>
      </c>
    </row>
    <row r="264">
      <c r="A264" s="17" t="str">
        <f>IFERROR(__xludf.DUMMYFUNCTION("""COMPUTED_VALUE"""),"Keeper (2025)")</f>
        <v>Keeper (2025)</v>
      </c>
      <c r="B264" s="20" t="str">
        <f>IFERROR(__xludf.DUMMYFUNCTION("""COMPUTED_VALUE"""),"Xbox / PC")</f>
        <v>Xbox / PC</v>
      </c>
      <c r="C264" s="21" t="str">
        <f>IFERROR(__xludf.DUMMYFUNCTION("""COMPUTED_VALUE"""),"Yes")</f>
        <v>Yes</v>
      </c>
      <c r="D264" s="21" t="str">
        <f>IFERROR(__xludf.DUMMYFUNCTION("""COMPUTED_VALUE"""),"Active")</f>
        <v>Active</v>
      </c>
      <c r="E264" s="23">
        <f>IFERROR(__xludf.DUMMYFUNCTION("""COMPUTED_VALUE"""),45947.0)</f>
        <v>45947</v>
      </c>
      <c r="F264" s="24"/>
      <c r="G264" s="27">
        <f>IFERROR(__xludf.DUMMYFUNCTION("""COMPUTED_VALUE"""),11.633333333333333)</f>
        <v>11.63333333</v>
      </c>
      <c r="H264" s="23">
        <f>IFERROR(__xludf.DUMMYFUNCTION("""COMPUTED_VALUE"""),45947.0)</f>
        <v>45947</v>
      </c>
      <c r="I264" s="27">
        <f>IFERROR(__xludf.DUMMYFUNCTION("""COMPUTED_VALUE"""),0.0)</f>
        <v>0</v>
      </c>
      <c r="J264" s="29">
        <f>IFERROR(__xludf.DUMMYFUNCTION("""COMPUTED_VALUE"""),80.0)</f>
        <v>80</v>
      </c>
      <c r="K264" s="29">
        <f>IFERROR(__xludf.DUMMYFUNCTION("""COMPUTED_VALUE"""),5.0)</f>
        <v>5</v>
      </c>
      <c r="L264" s="31" t="str">
        <f>IFERROR(__xludf.DUMMYFUNCTION("""COMPUTED_VALUE"""),"Action-Adventure")</f>
        <v>Action-Adventure</v>
      </c>
    </row>
    <row r="265">
      <c r="A265" s="17" t="str">
        <f>IFERROR(__xludf.DUMMYFUNCTION("""COMPUTED_VALUE"""),"Assassin's Creed Revelations")</f>
        <v>Assassin's Creed Revelations</v>
      </c>
      <c r="B265" s="20" t="str">
        <f>IFERROR(__xludf.DUMMYFUNCTION("""COMPUTED_VALUE"""),"Xbox / PC")</f>
        <v>Xbox / PC</v>
      </c>
      <c r="C265" s="21"/>
      <c r="D265" s="21" t="str">
        <f>IFERROR(__xludf.DUMMYFUNCTION("""COMPUTED_VALUE"""),"Active")</f>
        <v>Active</v>
      </c>
      <c r="E265" s="23">
        <f>IFERROR(__xludf.DUMMYFUNCTION("""COMPUTED_VALUE"""),45931.0)</f>
        <v>45931</v>
      </c>
      <c r="F265" s="24"/>
      <c r="G265" s="27">
        <f>IFERROR(__xludf.DUMMYFUNCTION("""COMPUTED_VALUE"""),12.166666666666666)</f>
        <v>12.16666667</v>
      </c>
      <c r="H265" s="23">
        <f>IFERROR(__xludf.DUMMYFUNCTION("""COMPUTED_VALUE"""),40862.0)</f>
        <v>40862</v>
      </c>
      <c r="I265" s="27">
        <f>IFERROR(__xludf.DUMMYFUNCTION("""COMPUTED_VALUE"""),13.877777777777778)</f>
        <v>13.87777778</v>
      </c>
      <c r="J265" s="29">
        <f>IFERROR(__xludf.DUMMYFUNCTION("""COMPUTED_VALUE"""),80.0)</f>
        <v>80</v>
      </c>
      <c r="K265" s="29">
        <f>IFERROR(__xludf.DUMMYFUNCTION("""COMPUTED_VALUE"""),13.0)</f>
        <v>13</v>
      </c>
      <c r="L265" s="31" t="str">
        <f>IFERROR(__xludf.DUMMYFUNCTION("""COMPUTED_VALUE"""),"Action-Adventure")</f>
        <v>Action-Adventure</v>
      </c>
    </row>
    <row r="266">
      <c r="A266" s="17" t="str">
        <f>IFERROR(__xludf.DUMMYFUNCTION("""COMPUTED_VALUE"""),"Far Cry 3: Blood Dragon")</f>
        <v>Far Cry 3: Blood Dragon</v>
      </c>
      <c r="B266" s="20" t="str">
        <f>IFERROR(__xludf.DUMMYFUNCTION("""COMPUTED_VALUE"""),"Xbox / PC")</f>
        <v>Xbox / PC</v>
      </c>
      <c r="C266" s="21" t="str">
        <f>IFERROR(__xludf.DUMMYFUNCTION("""COMPUTED_VALUE"""),"Yes")</f>
        <v>Yes</v>
      </c>
      <c r="D266" s="21" t="str">
        <f>IFERROR(__xludf.DUMMYFUNCTION("""COMPUTED_VALUE"""),"Active")</f>
        <v>Active</v>
      </c>
      <c r="E266" s="23">
        <f>IFERROR(__xludf.DUMMYFUNCTION("""COMPUTED_VALUE"""),45931.0)</f>
        <v>45931</v>
      </c>
      <c r="F266" s="24"/>
      <c r="G266" s="27">
        <f>IFERROR(__xludf.DUMMYFUNCTION("""COMPUTED_VALUE"""),12.166666666666666)</f>
        <v>12.16666667</v>
      </c>
      <c r="H266" s="23">
        <f>IFERROR(__xludf.DUMMYFUNCTION("""COMPUTED_VALUE"""),41395.0)</f>
        <v>41395</v>
      </c>
      <c r="I266" s="27">
        <f>IFERROR(__xludf.DUMMYFUNCTION("""COMPUTED_VALUE"""),12.416666666666666)</f>
        <v>12.41666667</v>
      </c>
      <c r="J266" s="29">
        <f>IFERROR(__xludf.DUMMYFUNCTION("""COMPUTED_VALUE"""),80.0)</f>
        <v>80</v>
      </c>
      <c r="K266" s="29">
        <f>IFERROR(__xludf.DUMMYFUNCTION("""COMPUTED_VALUE"""),5.0)</f>
        <v>5</v>
      </c>
      <c r="L266" s="31" t="str">
        <f>IFERROR(__xludf.DUMMYFUNCTION("""COMPUTED_VALUE"""),"Action-Adventure")</f>
        <v>Action-Adventure</v>
      </c>
    </row>
    <row r="267">
      <c r="A267" s="17" t="str">
        <f>IFERROR(__xludf.DUMMYFUNCTION("""COMPUTED_VALUE"""),"Tom Clancy's The Division")</f>
        <v>Tom Clancy's The Division</v>
      </c>
      <c r="B267" s="20" t="str">
        <f>IFERROR(__xludf.DUMMYFUNCTION("""COMPUTED_VALUE"""),"Xbox / PC")</f>
        <v>Xbox / PC</v>
      </c>
      <c r="C267" s="21" t="str">
        <f>IFERROR(__xludf.DUMMYFUNCTION("""COMPUTED_VALUE"""),"Yes")</f>
        <v>Yes</v>
      </c>
      <c r="D267" s="21" t="str">
        <f>IFERROR(__xludf.DUMMYFUNCTION("""COMPUTED_VALUE"""),"Active")</f>
        <v>Active</v>
      </c>
      <c r="E267" s="23">
        <f>IFERROR(__xludf.DUMMYFUNCTION("""COMPUTED_VALUE"""),45931.0)</f>
        <v>45931</v>
      </c>
      <c r="F267" s="24"/>
      <c r="G267" s="27">
        <f>IFERROR(__xludf.DUMMYFUNCTION("""COMPUTED_VALUE"""),12.166666666666666)</f>
        <v>12.16666667</v>
      </c>
      <c r="H267" s="23">
        <f>IFERROR(__xludf.DUMMYFUNCTION("""COMPUTED_VALUE"""),42437.0)</f>
        <v>42437</v>
      </c>
      <c r="I267" s="27">
        <f>IFERROR(__xludf.DUMMYFUNCTION("""COMPUTED_VALUE"""),9.563888888888888)</f>
        <v>9.563888889</v>
      </c>
      <c r="J267" s="29">
        <f>IFERROR(__xludf.DUMMYFUNCTION("""COMPUTED_VALUE"""),80.0)</f>
        <v>80</v>
      </c>
      <c r="K267" s="29">
        <f>IFERROR(__xludf.DUMMYFUNCTION("""COMPUTED_VALUE"""),24.0)</f>
        <v>24</v>
      </c>
      <c r="L267" s="31" t="str">
        <f>IFERROR(__xludf.DUMMYFUNCTION("""COMPUTED_VALUE"""),"Shooter")</f>
        <v>Shooter</v>
      </c>
    </row>
    <row r="268">
      <c r="A268" s="17" t="str">
        <f>IFERROR(__xludf.DUMMYFUNCTION("""COMPUTED_VALUE"""),"Watch_Dogs")</f>
        <v>Watch_Dogs</v>
      </c>
      <c r="B268" s="20" t="str">
        <f>IFERROR(__xludf.DUMMYFUNCTION("""COMPUTED_VALUE"""),"Xbox / PC")</f>
        <v>Xbox / PC</v>
      </c>
      <c r="C268" s="21" t="str">
        <f>IFERROR(__xludf.DUMMYFUNCTION("""COMPUTED_VALUE"""),"Yes")</f>
        <v>Yes</v>
      </c>
      <c r="D268" s="21" t="str">
        <f>IFERROR(__xludf.DUMMYFUNCTION("""COMPUTED_VALUE"""),"Active")</f>
        <v>Active</v>
      </c>
      <c r="E268" s="23">
        <f>IFERROR(__xludf.DUMMYFUNCTION("""COMPUTED_VALUE"""),45931.0)</f>
        <v>45931</v>
      </c>
      <c r="F268" s="24"/>
      <c r="G268" s="27">
        <f>IFERROR(__xludf.DUMMYFUNCTION("""COMPUTED_VALUE"""),12.166666666666666)</f>
        <v>12.16666667</v>
      </c>
      <c r="H268" s="23">
        <f>IFERROR(__xludf.DUMMYFUNCTION("""COMPUTED_VALUE"""),41786.0)</f>
        <v>41786</v>
      </c>
      <c r="I268" s="27">
        <f>IFERROR(__xludf.DUMMYFUNCTION("""COMPUTED_VALUE"""),11.344444444444445)</f>
        <v>11.34444444</v>
      </c>
      <c r="J268" s="29">
        <f>IFERROR(__xludf.DUMMYFUNCTION("""COMPUTED_VALUE"""),80.0)</f>
        <v>80</v>
      </c>
      <c r="K268" s="29">
        <f>IFERROR(__xludf.DUMMYFUNCTION("""COMPUTED_VALUE"""),20.0)</f>
        <v>20</v>
      </c>
      <c r="L268" s="31" t="str">
        <f>IFERROR(__xludf.DUMMYFUNCTION("""COMPUTED_VALUE"""),"Action-Adventure")</f>
        <v>Action-Adventure</v>
      </c>
    </row>
    <row r="269">
      <c r="A269" s="17" t="str">
        <f>IFERROR(__xludf.DUMMYFUNCTION("""COMPUTED_VALUE"""),"Wobbly Life")</f>
        <v>Wobbly Life</v>
      </c>
      <c r="B269" s="20" t="str">
        <f>IFERROR(__xludf.DUMMYFUNCTION("""COMPUTED_VALUE"""),"Xbox / PC")</f>
        <v>Xbox / PC</v>
      </c>
      <c r="C269" s="21" t="str">
        <f>IFERROR(__xludf.DUMMYFUNCTION("""COMPUTED_VALUE"""),"Yes")</f>
        <v>Yes</v>
      </c>
      <c r="D269" s="21" t="str">
        <f>IFERROR(__xludf.DUMMYFUNCTION("""COMPUTED_VALUE"""),"Active")</f>
        <v>Active</v>
      </c>
      <c r="E269" s="23">
        <f>IFERROR(__xludf.DUMMYFUNCTION("""COMPUTED_VALUE"""),45918.0)</f>
        <v>45918</v>
      </c>
      <c r="F269" s="24"/>
      <c r="G269" s="27">
        <f>IFERROR(__xludf.DUMMYFUNCTION("""COMPUTED_VALUE"""),12.600000000000001)</f>
        <v>12.6</v>
      </c>
      <c r="H269" s="23">
        <f>IFERROR(__xludf.DUMMYFUNCTION("""COMPUTED_VALUE"""),45898.0)</f>
        <v>45898</v>
      </c>
      <c r="I269" s="27">
        <f>IFERROR(__xludf.DUMMYFUNCTION("""COMPUTED_VALUE"""),0.05277777777777778)</f>
        <v>0.05277777778</v>
      </c>
      <c r="J269" s="29">
        <f>IFERROR(__xludf.DUMMYFUNCTION("""COMPUTED_VALUE"""),80.0)</f>
        <v>80</v>
      </c>
      <c r="K269" s="29">
        <f>IFERROR(__xludf.DUMMYFUNCTION("""COMPUTED_VALUE"""),3.0)</f>
        <v>3</v>
      </c>
      <c r="L269" s="31" t="str">
        <f>IFERROR(__xludf.DUMMYFUNCTION("""COMPUTED_VALUE"""),"Action-Adventure")</f>
        <v>Action-Adventure</v>
      </c>
    </row>
    <row r="270">
      <c r="A270" s="17" t="str">
        <f>IFERROR(__xludf.DUMMYFUNCTION("""COMPUTED_VALUE"""),"9 Kings (Game Preview)")</f>
        <v>9 Kings (Game Preview)</v>
      </c>
      <c r="B270" s="20" t="str">
        <f>IFERROR(__xludf.DUMMYFUNCTION("""COMPUTED_VALUE"""),"PC")</f>
        <v>PC</v>
      </c>
      <c r="C270" s="21"/>
      <c r="D270" s="21" t="str">
        <f>IFERROR(__xludf.DUMMYFUNCTION("""COMPUTED_VALUE"""),"Active")</f>
        <v>Active</v>
      </c>
      <c r="E270" s="23">
        <f>IFERROR(__xludf.DUMMYFUNCTION("""COMPUTED_VALUE"""),45883.0)</f>
        <v>45883</v>
      </c>
      <c r="F270" s="24"/>
      <c r="G270" s="27">
        <f>IFERROR(__xludf.DUMMYFUNCTION("""COMPUTED_VALUE"""),13.733333333333333)</f>
        <v>13.73333333</v>
      </c>
      <c r="H270" s="23">
        <f>IFERROR(__xludf.DUMMYFUNCTION("""COMPUTED_VALUE"""),45883.0)</f>
        <v>45883</v>
      </c>
      <c r="I270" s="27">
        <f>IFERROR(__xludf.DUMMYFUNCTION("""COMPUTED_VALUE"""),0.0)</f>
        <v>0</v>
      </c>
      <c r="J270" s="29">
        <f>IFERROR(__xludf.DUMMYFUNCTION("""COMPUTED_VALUE"""),80.0)</f>
        <v>80</v>
      </c>
      <c r="K270" s="29">
        <f>IFERROR(__xludf.DUMMYFUNCTION("""COMPUTED_VALUE"""),3.0)</f>
        <v>3</v>
      </c>
      <c r="L270" s="31" t="str">
        <f>IFERROR(__xludf.DUMMYFUNCTION("""COMPUTED_VALUE"""),"Card Battle")</f>
        <v>Card Battle</v>
      </c>
    </row>
    <row r="271">
      <c r="A271" s="17" t="str">
        <f>IFERROR(__xludf.DUMMYFUNCTION("""COMPUTED_VALUE"""),"Climber 5")</f>
        <v>Climber 5</v>
      </c>
      <c r="B271" s="20" t="str">
        <f>IFERROR(__xludf.DUMMYFUNCTION("""COMPUTED_VALUE"""),"Xbox / PC")</f>
        <v>Xbox / PC</v>
      </c>
      <c r="C271" s="21" t="str">
        <f>IFERROR(__xludf.DUMMYFUNCTION("""COMPUTED_VALUE"""),"Yes")</f>
        <v>Yes</v>
      </c>
      <c r="D271" s="21" t="str">
        <f>IFERROR(__xludf.DUMMYFUNCTION("""COMPUTED_VALUE"""),"Active")</f>
        <v>Active</v>
      </c>
      <c r="E271" s="23">
        <f>IFERROR(__xludf.DUMMYFUNCTION("""COMPUTED_VALUE"""),45883.0)</f>
        <v>45883</v>
      </c>
      <c r="F271" s="24"/>
      <c r="G271" s="27">
        <f>IFERROR(__xludf.DUMMYFUNCTION("""COMPUTED_VALUE"""),13.733333333333333)</f>
        <v>13.73333333</v>
      </c>
      <c r="H271" s="23">
        <f>IFERROR(__xludf.DUMMYFUNCTION("""COMPUTED_VALUE"""),31048.0)</f>
        <v>31048</v>
      </c>
      <c r="I271" s="27">
        <f>IFERROR(__xludf.DUMMYFUNCTION("""COMPUTED_VALUE"""),40.61944444444445)</f>
        <v>40.61944444</v>
      </c>
      <c r="J271" s="29">
        <f>IFERROR(__xludf.DUMMYFUNCTION("""COMPUTED_VALUE"""),80.0)</f>
        <v>80</v>
      </c>
      <c r="K271" s="29"/>
      <c r="L271" s="31" t="str">
        <f>IFERROR(__xludf.DUMMYFUNCTION("""COMPUTED_VALUE"""),"Action")</f>
        <v>Action</v>
      </c>
    </row>
    <row r="272">
      <c r="A272" s="17" t="str">
        <f>IFERROR(__xludf.DUMMYFUNCTION("""COMPUTED_VALUE"""),"Kaboom!")</f>
        <v>Kaboom!</v>
      </c>
      <c r="B272" s="20" t="str">
        <f>IFERROR(__xludf.DUMMYFUNCTION("""COMPUTED_VALUE"""),"Xbox / PC")</f>
        <v>Xbox / PC</v>
      </c>
      <c r="C272" s="21" t="str">
        <f>IFERROR(__xludf.DUMMYFUNCTION("""COMPUTED_VALUE"""),"Yes")</f>
        <v>Yes</v>
      </c>
      <c r="D272" s="21" t="str">
        <f>IFERROR(__xludf.DUMMYFUNCTION("""COMPUTED_VALUE"""),"Active")</f>
        <v>Active</v>
      </c>
      <c r="E272" s="23">
        <f>IFERROR(__xludf.DUMMYFUNCTION("""COMPUTED_VALUE"""),45798.0)</f>
        <v>45798</v>
      </c>
      <c r="F272" s="24"/>
      <c r="G272" s="27">
        <f>IFERROR(__xludf.DUMMYFUNCTION("""COMPUTED_VALUE"""),16.5)</f>
        <v>16.5</v>
      </c>
      <c r="H272" s="23">
        <f>IFERROR(__xludf.DUMMYFUNCTION("""COMPUTED_VALUE"""),29768.0)</f>
        <v>29768</v>
      </c>
      <c r="I272" s="27">
        <f>IFERROR(__xludf.DUMMYFUNCTION("""COMPUTED_VALUE"""),43.888888888888886)</f>
        <v>43.88888889</v>
      </c>
      <c r="J272" s="29">
        <f>IFERROR(__xludf.DUMMYFUNCTION("""COMPUTED_VALUE"""),80.0)</f>
        <v>80</v>
      </c>
      <c r="K272" s="29"/>
      <c r="L272" s="31" t="str">
        <f>IFERROR(__xludf.DUMMYFUNCTION("""COMPUTED_VALUE"""),"Action‑Adventure")</f>
        <v>Action‑Adventure</v>
      </c>
    </row>
    <row r="273">
      <c r="A273" s="17" t="str">
        <f>IFERROR(__xludf.DUMMYFUNCTION("""COMPUTED_VALUE"""),"DREDGE")</f>
        <v>DREDGE</v>
      </c>
      <c r="B273" s="20" t="str">
        <f>IFERROR(__xludf.DUMMYFUNCTION("""COMPUTED_VALUE"""),"Xbox / PC")</f>
        <v>Xbox / PC</v>
      </c>
      <c r="C273" s="21" t="str">
        <f>IFERROR(__xludf.DUMMYFUNCTION("""COMPUTED_VALUE"""),"Yes")</f>
        <v>Yes</v>
      </c>
      <c r="D273" s="21" t="str">
        <f>IFERROR(__xludf.DUMMYFUNCTION("""COMPUTED_VALUE"""),"Active")</f>
        <v>Active</v>
      </c>
      <c r="E273" s="23">
        <f>IFERROR(__xludf.DUMMYFUNCTION("""COMPUTED_VALUE"""),45783.0)</f>
        <v>45783</v>
      </c>
      <c r="F273" s="24"/>
      <c r="G273" s="27">
        <f>IFERROR(__xludf.DUMMYFUNCTION("""COMPUTED_VALUE"""),17.0)</f>
        <v>17</v>
      </c>
      <c r="H273" s="23">
        <f>IFERROR(__xludf.DUMMYFUNCTION("""COMPUTED_VALUE"""),45015.0)</f>
        <v>45015</v>
      </c>
      <c r="I273" s="27">
        <f>IFERROR(__xludf.DUMMYFUNCTION("""COMPUTED_VALUE"""),2.1)</f>
        <v>2.1</v>
      </c>
      <c r="J273" s="29">
        <f>IFERROR(__xludf.DUMMYFUNCTION("""COMPUTED_VALUE"""),80.0)</f>
        <v>80</v>
      </c>
      <c r="K273" s="29">
        <f>IFERROR(__xludf.DUMMYFUNCTION("""COMPUTED_VALUE"""),10.0)</f>
        <v>10</v>
      </c>
      <c r="L273" s="31" t="str">
        <f>IFERROR(__xludf.DUMMYFUNCTION("""COMPUTED_VALUE"""),"Action-Adventure")</f>
        <v>Action-Adventure</v>
      </c>
    </row>
    <row r="274">
      <c r="A274" s="17" t="str">
        <f>IFERROR(__xludf.DUMMYFUNCTION("""COMPUTED_VALUE"""),"Ninja Gaiden II: Black")</f>
        <v>Ninja Gaiden II: Black</v>
      </c>
      <c r="B274" s="20" t="str">
        <f>IFERROR(__xludf.DUMMYFUNCTION("""COMPUTED_VALUE"""),"Xbox / PC")</f>
        <v>Xbox / PC</v>
      </c>
      <c r="C274" s="21" t="str">
        <f>IFERROR(__xludf.DUMMYFUNCTION("""COMPUTED_VALUE"""),"Yes")</f>
        <v>Yes</v>
      </c>
      <c r="D274" s="21" t="str">
        <f>IFERROR(__xludf.DUMMYFUNCTION("""COMPUTED_VALUE"""),"Active")</f>
        <v>Active</v>
      </c>
      <c r="E274" s="23">
        <f>IFERROR(__xludf.DUMMYFUNCTION("""COMPUTED_VALUE"""),45680.0)</f>
        <v>45680</v>
      </c>
      <c r="F274" s="24"/>
      <c r="G274" s="27">
        <f>IFERROR(__xludf.DUMMYFUNCTION("""COMPUTED_VALUE"""),20.433333333333334)</f>
        <v>20.43333333</v>
      </c>
      <c r="H274" s="23">
        <f>IFERROR(__xludf.DUMMYFUNCTION("""COMPUTED_VALUE"""),45680.0)</f>
        <v>45680</v>
      </c>
      <c r="I274" s="27">
        <f>IFERROR(__xludf.DUMMYFUNCTION("""COMPUTED_VALUE"""),0.0)</f>
        <v>0</v>
      </c>
      <c r="J274" s="29">
        <f>IFERROR(__xludf.DUMMYFUNCTION("""COMPUTED_VALUE"""),80.0)</f>
        <v>80</v>
      </c>
      <c r="K274" s="29">
        <f>IFERROR(__xludf.DUMMYFUNCTION("""COMPUTED_VALUE"""),10.0)</f>
        <v>10</v>
      </c>
      <c r="L274" s="31" t="str">
        <f>IFERROR(__xludf.DUMMYFUNCTION("""COMPUTED_VALUE"""),"Action-Adventure")</f>
        <v>Action-Adventure</v>
      </c>
    </row>
    <row r="275">
      <c r="A275" s="17" t="str">
        <f>IFERROR(__xludf.DUMMYFUNCTION("""COMPUTED_VALUE"""),"EA Sports WRC")</f>
        <v>EA Sports WRC</v>
      </c>
      <c r="B275" s="20" t="str">
        <f>IFERROR(__xludf.DUMMYFUNCTION("""COMPUTED_VALUE"""),"Xbox / PC")</f>
        <v>Xbox / PC</v>
      </c>
      <c r="C275" s="21" t="str">
        <f>IFERROR(__xludf.DUMMYFUNCTION("""COMPUTED_VALUE"""),"Yes")</f>
        <v>Yes</v>
      </c>
      <c r="D275" s="21" t="str">
        <f>IFERROR(__xludf.DUMMYFUNCTION("""COMPUTED_VALUE"""),"Active")</f>
        <v>Active</v>
      </c>
      <c r="E275" s="23">
        <f>IFERROR(__xludf.DUMMYFUNCTION("""COMPUTED_VALUE"""),45631.0)</f>
        <v>45631</v>
      </c>
      <c r="F275" s="24"/>
      <c r="G275" s="27">
        <f>IFERROR(__xludf.DUMMYFUNCTION("""COMPUTED_VALUE"""),22.03333333333333)</f>
        <v>22.03333333</v>
      </c>
      <c r="H275" s="23">
        <f>IFERROR(__xludf.DUMMYFUNCTION("""COMPUTED_VALUE"""),45233.0)</f>
        <v>45233</v>
      </c>
      <c r="I275" s="27">
        <f>IFERROR(__xludf.DUMMYFUNCTION("""COMPUTED_VALUE"""),1.0888888888888888)</f>
        <v>1.088888889</v>
      </c>
      <c r="J275" s="29">
        <f>IFERROR(__xludf.DUMMYFUNCTION("""COMPUTED_VALUE"""),80.0)</f>
        <v>80</v>
      </c>
      <c r="K275" s="29">
        <f>IFERROR(__xludf.DUMMYFUNCTION("""COMPUTED_VALUE"""),11.0)</f>
        <v>11</v>
      </c>
      <c r="L275" s="31" t="str">
        <f>IFERROR(__xludf.DUMMYFUNCTION("""COMPUTED_VALUE"""),"Racing")</f>
        <v>Racing</v>
      </c>
    </row>
    <row r="276">
      <c r="A276" s="17" t="str">
        <f>IFERROR(__xludf.DUMMYFUNCTION("""COMPUTED_VALUE"""),"Crash Bandicoot N. Sane Trilogy")</f>
        <v>Crash Bandicoot N. Sane Trilogy</v>
      </c>
      <c r="B276" s="20" t="str">
        <f>IFERROR(__xludf.DUMMYFUNCTION("""COMPUTED_VALUE"""),"Xbox / PC")</f>
        <v>Xbox / PC</v>
      </c>
      <c r="C276" s="21" t="str">
        <f>IFERROR(__xludf.DUMMYFUNCTION("""COMPUTED_VALUE"""),"Yes")</f>
        <v>Yes</v>
      </c>
      <c r="D276" s="21" t="str">
        <f>IFERROR(__xludf.DUMMYFUNCTION("""COMPUTED_VALUE"""),"Active")</f>
        <v>Active</v>
      </c>
      <c r="E276" s="23">
        <f>IFERROR(__xludf.DUMMYFUNCTION("""COMPUTED_VALUE"""),45512.0)</f>
        <v>45512</v>
      </c>
      <c r="F276" s="24"/>
      <c r="G276" s="27">
        <f>IFERROR(__xludf.DUMMYFUNCTION("""COMPUTED_VALUE"""),25.93333333333333)</f>
        <v>25.93333333</v>
      </c>
      <c r="H276" s="23">
        <f>IFERROR(__xludf.DUMMYFUNCTION("""COMPUTED_VALUE"""),42916.0)</f>
        <v>42916</v>
      </c>
      <c r="I276" s="27">
        <f>IFERROR(__xludf.DUMMYFUNCTION("""COMPUTED_VALUE"""),7.105555555555555)</f>
        <v>7.105555556</v>
      </c>
      <c r="J276" s="29">
        <f>IFERROR(__xludf.DUMMYFUNCTION("""COMPUTED_VALUE"""),80.0)</f>
        <v>80</v>
      </c>
      <c r="K276" s="29">
        <f>IFERROR(__xludf.DUMMYFUNCTION("""COMPUTED_VALUE"""),15.0)</f>
        <v>15</v>
      </c>
      <c r="L276" s="31" t="str">
        <f>IFERROR(__xludf.DUMMYFUNCTION("""COMPUTED_VALUE"""),"Platformer")</f>
        <v>Platformer</v>
      </c>
    </row>
    <row r="277">
      <c r="A277" s="17" t="str">
        <f>IFERROR(__xludf.DUMMYFUNCTION("""COMPUTED_VALUE"""),"Moving Out 2")</f>
        <v>Moving Out 2</v>
      </c>
      <c r="B277" s="20" t="str">
        <f>IFERROR(__xludf.DUMMYFUNCTION("""COMPUTED_VALUE"""),"Xbox / PC")</f>
        <v>Xbox / PC</v>
      </c>
      <c r="C277" s="21" t="str">
        <f>IFERROR(__xludf.DUMMYFUNCTION("""COMPUTED_VALUE"""),"Yes")</f>
        <v>Yes</v>
      </c>
      <c r="D277" s="21" t="str">
        <f>IFERROR(__xludf.DUMMYFUNCTION("""COMPUTED_VALUE"""),"Active")</f>
        <v>Active</v>
      </c>
      <c r="E277" s="23">
        <f>IFERROR(__xludf.DUMMYFUNCTION("""COMPUTED_VALUE"""),45440.0)</f>
        <v>45440</v>
      </c>
      <c r="F277" s="24"/>
      <c r="G277" s="27">
        <f>IFERROR(__xludf.DUMMYFUNCTION("""COMPUTED_VALUE"""),28.266666666666666)</f>
        <v>28.26666667</v>
      </c>
      <c r="H277" s="23">
        <f>IFERROR(__xludf.DUMMYFUNCTION("""COMPUTED_VALUE"""),45153.0)</f>
        <v>45153</v>
      </c>
      <c r="I277" s="27">
        <f>IFERROR(__xludf.DUMMYFUNCTION("""COMPUTED_VALUE"""),0.7861111111111111)</f>
        <v>0.7861111111</v>
      </c>
      <c r="J277" s="29">
        <f>IFERROR(__xludf.DUMMYFUNCTION("""COMPUTED_VALUE"""),80.0)</f>
        <v>80</v>
      </c>
      <c r="K277" s="29">
        <f>IFERROR(__xludf.DUMMYFUNCTION("""COMPUTED_VALUE"""),10.0)</f>
        <v>10</v>
      </c>
      <c r="L277" s="31" t="str">
        <f>IFERROR(__xludf.DUMMYFUNCTION("""COMPUTED_VALUE"""),"Simulation")</f>
        <v>Simulation</v>
      </c>
    </row>
    <row r="278">
      <c r="A278" s="17" t="str">
        <f>IFERROR(__xludf.DUMMYFUNCTION("""COMPUTED_VALUE"""),"Hellblade II: Senua’s Saga")</f>
        <v>Hellblade II: Senua’s Saga</v>
      </c>
      <c r="B278" s="20" t="str">
        <f>IFERROR(__xludf.DUMMYFUNCTION("""COMPUTED_VALUE"""),"Xbox / PC")</f>
        <v>Xbox / PC</v>
      </c>
      <c r="C278" s="21" t="str">
        <f>IFERROR(__xludf.DUMMYFUNCTION("""COMPUTED_VALUE"""),"Yes")</f>
        <v>Yes</v>
      </c>
      <c r="D278" s="21" t="str">
        <f>IFERROR(__xludf.DUMMYFUNCTION("""COMPUTED_VALUE"""),"Active")</f>
        <v>Active</v>
      </c>
      <c r="E278" s="23">
        <f>IFERROR(__xludf.DUMMYFUNCTION("""COMPUTED_VALUE"""),45433.0)</f>
        <v>45433</v>
      </c>
      <c r="F278" s="24"/>
      <c r="G278" s="27">
        <f>IFERROR(__xludf.DUMMYFUNCTION("""COMPUTED_VALUE"""),28.5)</f>
        <v>28.5</v>
      </c>
      <c r="H278" s="23">
        <f>IFERROR(__xludf.DUMMYFUNCTION("""COMPUTED_VALUE"""),45433.0)</f>
        <v>45433</v>
      </c>
      <c r="I278" s="27">
        <f>IFERROR(__xludf.DUMMYFUNCTION("""COMPUTED_VALUE"""),0.0)</f>
        <v>0</v>
      </c>
      <c r="J278" s="29">
        <f>IFERROR(__xludf.DUMMYFUNCTION("""COMPUTED_VALUE"""),80.0)</f>
        <v>80</v>
      </c>
      <c r="K278" s="29">
        <f>IFERROR(__xludf.DUMMYFUNCTION("""COMPUTED_VALUE"""),7.0)</f>
        <v>7</v>
      </c>
      <c r="L278" s="31" t="str">
        <f>IFERROR(__xludf.DUMMYFUNCTION("""COMPUTED_VALUE"""),"Action-Adventure")</f>
        <v>Action-Adventure</v>
      </c>
    </row>
    <row r="279">
      <c r="A279" s="17" t="str">
        <f>IFERROR(__xludf.DUMMYFUNCTION("""COMPUTED_VALUE"""),"Assassin's Creed Valhalla")</f>
        <v>Assassin's Creed Valhalla</v>
      </c>
      <c r="B279" s="20" t="str">
        <f>IFERROR(__xludf.DUMMYFUNCTION("""COMPUTED_VALUE"""),"Xbox / PC")</f>
        <v>Xbox / PC</v>
      </c>
      <c r="C279" s="21" t="str">
        <f>IFERROR(__xludf.DUMMYFUNCTION("""COMPUTED_VALUE"""),"Yes")</f>
        <v>Yes</v>
      </c>
      <c r="D279" s="21" t="str">
        <f>IFERROR(__xludf.DUMMYFUNCTION("""COMPUTED_VALUE"""),"Active")</f>
        <v>Active</v>
      </c>
      <c r="E279" s="23">
        <f>IFERROR(__xludf.DUMMYFUNCTION("""COMPUTED_VALUE"""),45300.0)</f>
        <v>45300</v>
      </c>
      <c r="F279" s="24"/>
      <c r="G279" s="27">
        <f>IFERROR(__xludf.DUMMYFUNCTION("""COMPUTED_VALUE"""),32.9)</f>
        <v>32.9</v>
      </c>
      <c r="H279" s="23">
        <f>IFERROR(__xludf.DUMMYFUNCTION("""COMPUTED_VALUE"""),44145.0)</f>
        <v>44145</v>
      </c>
      <c r="I279" s="27">
        <f>IFERROR(__xludf.DUMMYFUNCTION("""COMPUTED_VALUE"""),3.1638888888888888)</f>
        <v>3.163888889</v>
      </c>
      <c r="J279" s="29">
        <f>IFERROR(__xludf.DUMMYFUNCTION("""COMPUTED_VALUE"""),80.0)</f>
        <v>80</v>
      </c>
      <c r="K279" s="29">
        <f>IFERROR(__xludf.DUMMYFUNCTION("""COMPUTED_VALUE"""),61.0)</f>
        <v>61</v>
      </c>
      <c r="L279" s="31" t="str">
        <f>IFERROR(__xludf.DUMMYFUNCTION("""COMPUTED_VALUE"""),"RPG")</f>
        <v>RPG</v>
      </c>
    </row>
    <row r="280">
      <c r="A280" s="17" t="str">
        <f>IFERROR(__xludf.DUMMYFUNCTION("""COMPUTED_VALUE"""),"Wartales")</f>
        <v>Wartales</v>
      </c>
      <c r="B280" s="20" t="str">
        <f>IFERROR(__xludf.DUMMYFUNCTION("""COMPUTED_VALUE"""),"Xbox / PC")</f>
        <v>Xbox / PC</v>
      </c>
      <c r="C280" s="21" t="str">
        <f>IFERROR(__xludf.DUMMYFUNCTION("""COMPUTED_VALUE"""),"Yes")</f>
        <v>Yes</v>
      </c>
      <c r="D280" s="21" t="str">
        <f>IFERROR(__xludf.DUMMYFUNCTION("""COMPUTED_VALUE"""),"Active")</f>
        <v>Active</v>
      </c>
      <c r="E280" s="23">
        <f>IFERROR(__xludf.DUMMYFUNCTION("""COMPUTED_VALUE"""),45230.0)</f>
        <v>45230</v>
      </c>
      <c r="F280" s="24"/>
      <c r="G280" s="27">
        <f>IFERROR(__xludf.DUMMYFUNCTION("""COMPUTED_VALUE"""),35.199999999999996)</f>
        <v>35.2</v>
      </c>
      <c r="H280" s="23">
        <f>IFERROR(__xludf.DUMMYFUNCTION("""COMPUTED_VALUE"""),44531.0)</f>
        <v>44531</v>
      </c>
      <c r="I280" s="27">
        <f>IFERROR(__xludf.DUMMYFUNCTION("""COMPUTED_VALUE"""),1.913888888888889)</f>
        <v>1.913888889</v>
      </c>
      <c r="J280" s="29">
        <f>IFERROR(__xludf.DUMMYFUNCTION("""COMPUTED_VALUE"""),80.0)</f>
        <v>80</v>
      </c>
      <c r="K280" s="29">
        <f>IFERROR(__xludf.DUMMYFUNCTION("""COMPUTED_VALUE"""),38.0)</f>
        <v>38</v>
      </c>
      <c r="L280" s="31" t="str">
        <f>IFERROR(__xludf.DUMMYFUNCTION("""COMPUTED_VALUE"""),"RPG")</f>
        <v>RPG</v>
      </c>
    </row>
    <row r="281">
      <c r="A281" s="17" t="str">
        <f>IFERROR(__xludf.DUMMYFUNCTION("""COMPUTED_VALUE"""),"Crysis 3: Remastered")</f>
        <v>Crysis 3: Remastered</v>
      </c>
      <c r="B281" s="20" t="str">
        <f>IFERROR(__xludf.DUMMYFUNCTION("""COMPUTED_VALUE"""),"PC")</f>
        <v>PC</v>
      </c>
      <c r="C281" s="21"/>
      <c r="D281" s="21" t="str">
        <f>IFERROR(__xludf.DUMMYFUNCTION("""COMPUTED_VALUE"""),"Active")</f>
        <v>Active</v>
      </c>
      <c r="E281" s="23">
        <f>IFERROR(__xludf.DUMMYFUNCTION("""COMPUTED_VALUE"""),44901.0)</f>
        <v>44901</v>
      </c>
      <c r="F281" s="24"/>
      <c r="G281" s="27">
        <f>IFERROR(__xludf.DUMMYFUNCTION("""COMPUTED_VALUE"""),46.0)</f>
        <v>46</v>
      </c>
      <c r="H281" s="23">
        <f>IFERROR(__xludf.DUMMYFUNCTION("""COMPUTED_VALUE"""),44484.0)</f>
        <v>44484</v>
      </c>
      <c r="I281" s="27">
        <f>IFERROR(__xludf.DUMMYFUNCTION("""COMPUTED_VALUE"""),1.1416666666666666)</f>
        <v>1.141666667</v>
      </c>
      <c r="J281" s="29">
        <f>IFERROR(__xludf.DUMMYFUNCTION("""COMPUTED_VALUE"""),80.0)</f>
        <v>80</v>
      </c>
      <c r="K281" s="29">
        <f>IFERROR(__xludf.DUMMYFUNCTION("""COMPUTED_VALUE"""),7.0)</f>
        <v>7</v>
      </c>
      <c r="L281" s="31" t="str">
        <f>IFERROR(__xludf.DUMMYFUNCTION("""COMPUTED_VALUE"""),"Shooter")</f>
        <v>Shooter</v>
      </c>
    </row>
    <row r="282">
      <c r="A282" s="17" t="str">
        <f>IFERROR(__xludf.DUMMYFUNCTION("""COMPUTED_VALUE"""),"Crysis Trilogy: Remastered")</f>
        <v>Crysis Trilogy: Remastered</v>
      </c>
      <c r="B282" s="20" t="str">
        <f>IFERROR(__xludf.DUMMYFUNCTION("""COMPUTED_VALUE"""),"PC")</f>
        <v>PC</v>
      </c>
      <c r="C282" s="21"/>
      <c r="D282" s="21" t="str">
        <f>IFERROR(__xludf.DUMMYFUNCTION("""COMPUTED_VALUE"""),"Active")</f>
        <v>Active</v>
      </c>
      <c r="E282" s="23">
        <f>IFERROR(__xludf.DUMMYFUNCTION("""COMPUTED_VALUE"""),44901.0)</f>
        <v>44901</v>
      </c>
      <c r="F282" s="24"/>
      <c r="G282" s="27">
        <f>IFERROR(__xludf.DUMMYFUNCTION("""COMPUTED_VALUE"""),46.0)</f>
        <v>46</v>
      </c>
      <c r="H282" s="23">
        <f>IFERROR(__xludf.DUMMYFUNCTION("""COMPUTED_VALUE"""),44484.0)</f>
        <v>44484</v>
      </c>
      <c r="I282" s="27">
        <f>IFERROR(__xludf.DUMMYFUNCTION("""COMPUTED_VALUE"""),1.1416666666666666)</f>
        <v>1.141666667</v>
      </c>
      <c r="J282" s="29">
        <f>IFERROR(__xludf.DUMMYFUNCTION("""COMPUTED_VALUE"""),80.0)</f>
        <v>80</v>
      </c>
      <c r="K282" s="29">
        <f>IFERROR(__xludf.DUMMYFUNCTION("""COMPUTED_VALUE"""),26.0)</f>
        <v>26</v>
      </c>
      <c r="L282" s="31" t="str">
        <f>IFERROR(__xludf.DUMMYFUNCTION("""COMPUTED_VALUE"""),"Shooter")</f>
        <v>Shooter</v>
      </c>
    </row>
    <row r="283">
      <c r="A283" s="17" t="str">
        <f>IFERROR(__xludf.DUMMYFUNCTION("""COMPUTED_VALUE"""),"LEGO Star Wars: The Skywalker Saga")</f>
        <v>LEGO Star Wars: The Skywalker Saga</v>
      </c>
      <c r="B283" s="20" t="str">
        <f>IFERROR(__xludf.DUMMYFUNCTION("""COMPUTED_VALUE"""),"Xbox / PC")</f>
        <v>Xbox / PC</v>
      </c>
      <c r="C283" s="21" t="str">
        <f>IFERROR(__xludf.DUMMYFUNCTION("""COMPUTED_VALUE"""),"Yes")</f>
        <v>Yes</v>
      </c>
      <c r="D283" s="21" t="str">
        <f>IFERROR(__xludf.DUMMYFUNCTION("""COMPUTED_VALUE"""),"Active")</f>
        <v>Active</v>
      </c>
      <c r="E283" s="23">
        <f>IFERROR(__xludf.DUMMYFUNCTION("""COMPUTED_VALUE"""),44901.0)</f>
        <v>44901</v>
      </c>
      <c r="F283" s="24"/>
      <c r="G283" s="27">
        <f>IFERROR(__xludf.DUMMYFUNCTION("""COMPUTED_VALUE"""),46.0)</f>
        <v>46</v>
      </c>
      <c r="H283" s="23">
        <f>IFERROR(__xludf.DUMMYFUNCTION("""COMPUTED_VALUE"""),44656.0)</f>
        <v>44656</v>
      </c>
      <c r="I283" s="27">
        <f>IFERROR(__xludf.DUMMYFUNCTION("""COMPUTED_VALUE"""),0.6694444444444444)</f>
        <v>0.6694444444</v>
      </c>
      <c r="J283" s="29">
        <f>IFERROR(__xludf.DUMMYFUNCTION("""COMPUTED_VALUE"""),80.0)</f>
        <v>80</v>
      </c>
      <c r="K283" s="29">
        <f>IFERROR(__xludf.DUMMYFUNCTION("""COMPUTED_VALUE"""),19.0)</f>
        <v>19</v>
      </c>
      <c r="L283" s="31" t="str">
        <f>IFERROR(__xludf.DUMMYFUNCTION("""COMPUTED_VALUE"""),"Shooter")</f>
        <v>Shooter</v>
      </c>
    </row>
    <row r="284">
      <c r="A284" s="17" t="str">
        <f>IFERROR(__xludf.DUMMYFUNCTION("""COMPUTED_VALUE"""),"Far Cry 5")</f>
        <v>Far Cry 5</v>
      </c>
      <c r="B284" s="20" t="str">
        <f>IFERROR(__xludf.DUMMYFUNCTION("""COMPUTED_VALUE"""),"Xbox / PC")</f>
        <v>Xbox / PC</v>
      </c>
      <c r="C284" s="21" t="str">
        <f>IFERROR(__xludf.DUMMYFUNCTION("""COMPUTED_VALUE"""),"Yes")</f>
        <v>Yes</v>
      </c>
      <c r="D284" s="21" t="str">
        <f>IFERROR(__xludf.DUMMYFUNCTION("""COMPUTED_VALUE"""),"Active")</f>
        <v>Active</v>
      </c>
      <c r="E284" s="23">
        <f>IFERROR(__xludf.DUMMYFUNCTION("""COMPUTED_VALUE"""),44743.0)</f>
        <v>44743</v>
      </c>
      <c r="F284" s="24"/>
      <c r="G284" s="27">
        <f>IFERROR(__xludf.DUMMYFUNCTION("""COMPUTED_VALUE"""),51.16666666666667)</f>
        <v>51.16666667</v>
      </c>
      <c r="H284" s="23">
        <f>IFERROR(__xludf.DUMMYFUNCTION("""COMPUTED_VALUE"""),43186.0)</f>
        <v>43186</v>
      </c>
      <c r="I284" s="27">
        <f>IFERROR(__xludf.DUMMYFUNCTION("""COMPUTED_VALUE"""),4.261111111111111)</f>
        <v>4.261111111</v>
      </c>
      <c r="J284" s="29">
        <f>IFERROR(__xludf.DUMMYFUNCTION("""COMPUTED_VALUE"""),80.0)</f>
        <v>80</v>
      </c>
      <c r="K284" s="29">
        <f>IFERROR(__xludf.DUMMYFUNCTION("""COMPUTED_VALUE"""),18.0)</f>
        <v>18</v>
      </c>
      <c r="L284" s="31" t="str">
        <f>IFERROR(__xludf.DUMMYFUNCTION("""COMPUTED_VALUE"""),"Shooter")</f>
        <v>Shooter</v>
      </c>
    </row>
    <row r="285">
      <c r="A285" s="17" t="str">
        <f>IFERROR(__xludf.DUMMYFUNCTION("""COMPUTED_VALUE"""),"Populous II: Trials of the Olympian Gods")</f>
        <v>Populous II: Trials of the Olympian Gods</v>
      </c>
      <c r="B285" s="20" t="str">
        <f>IFERROR(__xludf.DUMMYFUNCTION("""COMPUTED_VALUE"""),"PC")</f>
        <v>PC</v>
      </c>
      <c r="C285" s="21"/>
      <c r="D285" s="21" t="str">
        <f>IFERROR(__xludf.DUMMYFUNCTION("""COMPUTED_VALUE"""),"Active")</f>
        <v>Active</v>
      </c>
      <c r="E285" s="23">
        <f>IFERROR(__xludf.DUMMYFUNCTION("""COMPUTED_VALUE"""),44273.0)</f>
        <v>44273</v>
      </c>
      <c r="F285" s="24"/>
      <c r="G285" s="27">
        <f>IFERROR(__xludf.DUMMYFUNCTION("""COMPUTED_VALUE"""),66.6)</f>
        <v>66.6</v>
      </c>
      <c r="H285" s="23">
        <f>IFERROR(__xludf.DUMMYFUNCTION("""COMPUTED_VALUE"""),33481.0)</f>
        <v>33481</v>
      </c>
      <c r="I285" s="27">
        <f>IFERROR(__xludf.DUMMYFUNCTION("""COMPUTED_VALUE"""),29.55)</f>
        <v>29.55</v>
      </c>
      <c r="J285" s="29">
        <f>IFERROR(__xludf.DUMMYFUNCTION("""COMPUTED_VALUE"""),80.0)</f>
        <v>80</v>
      </c>
      <c r="K285" s="29">
        <f>IFERROR(__xludf.DUMMYFUNCTION("""COMPUTED_VALUE"""),12.0)</f>
        <v>12</v>
      </c>
      <c r="L285" s="31" t="str">
        <f>IFERROR(__xludf.DUMMYFUNCTION("""COMPUTED_VALUE"""),"Strategy")</f>
        <v>Strategy</v>
      </c>
    </row>
    <row r="286">
      <c r="A286" s="17" t="str">
        <f>IFERROR(__xludf.DUMMYFUNCTION("""COMPUTED_VALUE"""),"Plants vs. Zombies: Garden Warfare 2 - Deluxe Edition")</f>
        <v>Plants vs. Zombies: Garden Warfare 2 - Deluxe Edition</v>
      </c>
      <c r="B286" s="20" t="str">
        <f>IFERROR(__xludf.DUMMYFUNCTION("""COMPUTED_VALUE"""),"Xbox / PC")</f>
        <v>Xbox / PC</v>
      </c>
      <c r="C286" s="21" t="str">
        <f>IFERROR(__xludf.DUMMYFUNCTION("""COMPUTED_VALUE"""),"Yes")</f>
        <v>Yes</v>
      </c>
      <c r="D286" s="21" t="str">
        <f>IFERROR(__xludf.DUMMYFUNCTION("""COMPUTED_VALUE"""),"Active")</f>
        <v>Active</v>
      </c>
      <c r="E286" s="23">
        <f>IFERROR(__xludf.DUMMYFUNCTION("""COMPUTED_VALUE"""),44145.0)</f>
        <v>44145</v>
      </c>
      <c r="F286" s="24"/>
      <c r="G286" s="27">
        <f>IFERROR(__xludf.DUMMYFUNCTION("""COMPUTED_VALUE"""),70.86666666666667)</f>
        <v>70.86666667</v>
      </c>
      <c r="H286" s="23">
        <f>IFERROR(__xludf.DUMMYFUNCTION("""COMPUTED_VALUE"""),42423.0)</f>
        <v>42423</v>
      </c>
      <c r="I286" s="27">
        <f>IFERROR(__xludf.DUMMYFUNCTION("""COMPUTED_VALUE"""),4.713888888888889)</f>
        <v>4.713888889</v>
      </c>
      <c r="J286" s="29">
        <f>IFERROR(__xludf.DUMMYFUNCTION("""COMPUTED_VALUE"""),80.0)</f>
        <v>80</v>
      </c>
      <c r="K286" s="29">
        <f>IFERROR(__xludf.DUMMYFUNCTION("""COMPUTED_VALUE"""),12.5)</f>
        <v>12.5</v>
      </c>
      <c r="L286" s="31" t="str">
        <f>IFERROR(__xludf.DUMMYFUNCTION("""COMPUTED_VALUE"""),"Action")</f>
        <v>Action</v>
      </c>
    </row>
    <row r="287">
      <c r="A287" s="17" t="str">
        <f>IFERROR(__xludf.DUMMYFUNCTION("""COMPUTED_VALUE"""),"Grim Fandango Remastered")</f>
        <v>Grim Fandango Remastered</v>
      </c>
      <c r="B287" s="20" t="str">
        <f>IFERROR(__xludf.DUMMYFUNCTION("""COMPUTED_VALUE"""),"Xbox / PC")</f>
        <v>Xbox / PC</v>
      </c>
      <c r="C287" s="21"/>
      <c r="D287" s="21" t="str">
        <f>IFERROR(__xludf.DUMMYFUNCTION("""COMPUTED_VALUE"""),"Active")</f>
        <v>Active</v>
      </c>
      <c r="E287" s="23">
        <f>IFERROR(__xludf.DUMMYFUNCTION("""COMPUTED_VALUE"""),44133.0)</f>
        <v>44133</v>
      </c>
      <c r="F287" s="24"/>
      <c r="G287" s="27">
        <f>IFERROR(__xludf.DUMMYFUNCTION("""COMPUTED_VALUE"""),71.23333333333333)</f>
        <v>71.23333333</v>
      </c>
      <c r="H287" s="23">
        <f>IFERROR(__xludf.DUMMYFUNCTION("""COMPUTED_VALUE"""),42031.0)</f>
        <v>42031</v>
      </c>
      <c r="I287" s="27">
        <f>IFERROR(__xludf.DUMMYFUNCTION("""COMPUTED_VALUE"""),5.7555555555555555)</f>
        <v>5.755555556</v>
      </c>
      <c r="J287" s="29">
        <f>IFERROR(__xludf.DUMMYFUNCTION("""COMPUTED_VALUE"""),80.0)</f>
        <v>80</v>
      </c>
      <c r="K287" s="29">
        <f>IFERROR(__xludf.DUMMYFUNCTION("""COMPUTED_VALUE"""),11.0)</f>
        <v>11</v>
      </c>
      <c r="L287" s="31" t="str">
        <f>IFERROR(__xludf.DUMMYFUNCTION("""COMPUTED_VALUE"""),"Adventure")</f>
        <v>Adventure</v>
      </c>
    </row>
    <row r="288">
      <c r="A288" s="17" t="str">
        <f>IFERROR(__xludf.DUMMYFUNCTION("""COMPUTED_VALUE"""),"Tell Me Why")</f>
        <v>Tell Me Why</v>
      </c>
      <c r="B288" s="20" t="str">
        <f>IFERROR(__xludf.DUMMYFUNCTION("""COMPUTED_VALUE"""),"Xbox / PC")</f>
        <v>Xbox / PC</v>
      </c>
      <c r="C288" s="21" t="str">
        <f>IFERROR(__xludf.DUMMYFUNCTION("""COMPUTED_VALUE"""),"Touch Controls")</f>
        <v>Touch Controls</v>
      </c>
      <c r="D288" s="21" t="str">
        <f>IFERROR(__xludf.DUMMYFUNCTION("""COMPUTED_VALUE"""),"Active")</f>
        <v>Active</v>
      </c>
      <c r="E288" s="23">
        <f>IFERROR(__xludf.DUMMYFUNCTION("""COMPUTED_VALUE"""),44070.0)</f>
        <v>44070</v>
      </c>
      <c r="F288" s="24"/>
      <c r="G288" s="27">
        <f>IFERROR(__xludf.DUMMYFUNCTION("""COMPUTED_VALUE"""),73.3)</f>
        <v>73.3</v>
      </c>
      <c r="H288" s="23">
        <f>IFERROR(__xludf.DUMMYFUNCTION("""COMPUTED_VALUE"""),44070.0)</f>
        <v>44070</v>
      </c>
      <c r="I288" s="27">
        <f>IFERROR(__xludf.DUMMYFUNCTION("""COMPUTED_VALUE"""),0.0)</f>
        <v>0</v>
      </c>
      <c r="J288" s="29">
        <f>IFERROR(__xludf.DUMMYFUNCTION("""COMPUTED_VALUE"""),80.0)</f>
        <v>80</v>
      </c>
      <c r="K288" s="29">
        <f>IFERROR(__xludf.DUMMYFUNCTION("""COMPUTED_VALUE"""),9.0)</f>
        <v>9</v>
      </c>
      <c r="L288" s="31" t="str">
        <f>IFERROR(__xludf.DUMMYFUNCTION("""COMPUTED_VALUE"""),"Adventure")</f>
        <v>Adventure</v>
      </c>
    </row>
    <row r="289">
      <c r="A289" s="17" t="str">
        <f>IFERROR(__xludf.DUMMYFUNCTION("""COMPUTED_VALUE"""),"Wolfenstein: The New Order")</f>
        <v>Wolfenstein: The New Order</v>
      </c>
      <c r="B289" s="20" t="str">
        <f>IFERROR(__xludf.DUMMYFUNCTION("""COMPUTED_VALUE"""),"Xbox / PC")</f>
        <v>Xbox / PC</v>
      </c>
      <c r="C289" s="21" t="str">
        <f>IFERROR(__xludf.DUMMYFUNCTION("""COMPUTED_VALUE"""),"Yes")</f>
        <v>Yes</v>
      </c>
      <c r="D289" s="21" t="str">
        <f>IFERROR(__xludf.DUMMYFUNCTION("""COMPUTED_VALUE"""),"Active")</f>
        <v>Active</v>
      </c>
      <c r="E289" s="23">
        <f>IFERROR(__xludf.DUMMYFUNCTION("""COMPUTED_VALUE"""),43374.0)</f>
        <v>43374</v>
      </c>
      <c r="F289" s="24"/>
      <c r="G289" s="27">
        <f>IFERROR(__xludf.DUMMYFUNCTION("""COMPUTED_VALUE"""),96.16666666666667)</f>
        <v>96.16666667</v>
      </c>
      <c r="H289" s="23">
        <f>IFERROR(__xludf.DUMMYFUNCTION("""COMPUTED_VALUE"""),41779.0)</f>
        <v>41779</v>
      </c>
      <c r="I289" s="27">
        <f>IFERROR(__xludf.DUMMYFUNCTION("""COMPUTED_VALUE"""),4.363888888888889)</f>
        <v>4.363888889</v>
      </c>
      <c r="J289" s="29">
        <f>IFERROR(__xludf.DUMMYFUNCTION("""COMPUTED_VALUE"""),80.0)</f>
        <v>80</v>
      </c>
      <c r="K289" s="29">
        <f>IFERROR(__xludf.DUMMYFUNCTION("""COMPUTED_VALUE"""),11.5)</f>
        <v>11.5</v>
      </c>
      <c r="L289" s="31" t="str">
        <f>IFERROR(__xludf.DUMMYFUNCTION("""COMPUTED_VALUE"""),"Shooter")</f>
        <v>Shooter</v>
      </c>
    </row>
    <row r="290">
      <c r="A290" s="17" t="str">
        <f>IFERROR(__xludf.DUMMYFUNCTION("""COMPUTED_VALUE"""),"Nova Roma (Game Preview)")</f>
        <v>Nova Roma (Game Preview)</v>
      </c>
      <c r="B290" s="20" t="str">
        <f>IFERROR(__xludf.DUMMYFUNCTION("""COMPUTED_VALUE"""),"PC")</f>
        <v>PC</v>
      </c>
      <c r="C290" s="21"/>
      <c r="D290" s="21" t="str">
        <f>IFERROR(__xludf.DUMMYFUNCTION("""COMPUTED_VALUE"""),"Leaving Soon")</f>
        <v>Leaving Soon</v>
      </c>
      <c r="E290" s="23">
        <f>IFERROR(__xludf.DUMMYFUNCTION("""COMPUTED_VALUE"""),46107.0)</f>
        <v>46107</v>
      </c>
      <c r="F290" s="24">
        <f>IFERROR(__xludf.DUMMYFUNCTION("""COMPUTED_VALUE"""),46310.0)</f>
        <v>46310</v>
      </c>
      <c r="G290" s="27">
        <f>IFERROR(__xludf.DUMMYFUNCTION("""COMPUTED_VALUE"""),6.633333333333334)</f>
        <v>6.633333333</v>
      </c>
      <c r="H290" s="23">
        <f>IFERROR(__xludf.DUMMYFUNCTION("""COMPUTED_VALUE"""),46107.0)</f>
        <v>46107</v>
      </c>
      <c r="I290" s="27">
        <f>IFERROR(__xludf.DUMMYFUNCTION("""COMPUTED_VALUE"""),0.0)</f>
        <v>0</v>
      </c>
      <c r="J290" s="29">
        <f>IFERROR(__xludf.DUMMYFUNCTION("""COMPUTED_VALUE"""),80.0)</f>
        <v>80</v>
      </c>
      <c r="K290" s="29">
        <f>IFERROR(__xludf.DUMMYFUNCTION("""COMPUTED_VALUE"""),7.0)</f>
        <v>7</v>
      </c>
      <c r="L290" s="31" t="str">
        <f>IFERROR(__xludf.DUMMYFUNCTION("""COMPUTED_VALUE"""),"Strategy")</f>
        <v>Strategy</v>
      </c>
    </row>
    <row r="291">
      <c r="A291" s="17" t="str">
        <f>IFERROR(__xludf.DUMMYFUNCTION("""COMPUTED_VALUE"""),"Shadowrun Trilogy")</f>
        <v>Shadowrun Trilogy</v>
      </c>
      <c r="B291" s="20" t="str">
        <f>IFERROR(__xludf.DUMMYFUNCTION("""COMPUTED_VALUE"""),"Xbox / PC")</f>
        <v>Xbox / PC</v>
      </c>
      <c r="C291" s="21" t="str">
        <f>IFERROR(__xludf.DUMMYFUNCTION("""COMPUTED_VALUE"""),"Touch Controls")</f>
        <v>Touch Controls</v>
      </c>
      <c r="D291" s="21" t="str">
        <f>IFERROR(__xludf.DUMMYFUNCTION("""COMPUTED_VALUE"""),"Active")</f>
        <v>Active</v>
      </c>
      <c r="E291" s="23">
        <f>IFERROR(__xludf.DUMMYFUNCTION("""COMPUTED_VALUE"""),44733.0)</f>
        <v>44733</v>
      </c>
      <c r="F291" s="24"/>
      <c r="G291" s="27">
        <f>IFERROR(__xludf.DUMMYFUNCTION("""COMPUTED_VALUE"""),51.5)</f>
        <v>51.5</v>
      </c>
      <c r="H291" s="23">
        <f>IFERROR(__xludf.DUMMYFUNCTION("""COMPUTED_VALUE"""),42236.0)</f>
        <v>42236</v>
      </c>
      <c r="I291" s="27">
        <f>IFERROR(__xludf.DUMMYFUNCTION("""COMPUTED_VALUE"""),6.836111111111111)</f>
        <v>6.836111111</v>
      </c>
      <c r="J291" s="29">
        <f>IFERROR(__xludf.DUMMYFUNCTION("""COMPUTED_VALUE"""),79.33333333333333)</f>
        <v>79.33333333</v>
      </c>
      <c r="K291" s="29">
        <f>IFERROR(__xludf.DUMMYFUNCTION("""COMPUTED_VALUE"""),53.5)</f>
        <v>53.5</v>
      </c>
      <c r="L291" s="31" t="str">
        <f>IFERROR(__xludf.DUMMYFUNCTION("""COMPUTED_VALUE"""),"RPG")</f>
        <v>RPG</v>
      </c>
    </row>
    <row r="292">
      <c r="A292" s="17" t="str">
        <f>IFERROR(__xludf.DUMMYFUNCTION("""COMPUTED_VALUE"""),"DiRT 5")</f>
        <v>DiRT 5</v>
      </c>
      <c r="B292" s="20" t="str">
        <f>IFERROR(__xludf.DUMMYFUNCTION("""COMPUTED_VALUE"""),"Xbox / PC")</f>
        <v>Xbox / PC</v>
      </c>
      <c r="C292" s="21" t="str">
        <f>IFERROR(__xludf.DUMMYFUNCTION("""COMPUTED_VALUE"""),"Touch Controls")</f>
        <v>Touch Controls</v>
      </c>
      <c r="D292" s="21" t="str">
        <f>IFERROR(__xludf.DUMMYFUNCTION("""COMPUTED_VALUE"""),"Active")</f>
        <v>Active</v>
      </c>
      <c r="E292" s="23">
        <f>IFERROR(__xludf.DUMMYFUNCTION("""COMPUTED_VALUE"""),44252.0)</f>
        <v>44252</v>
      </c>
      <c r="F292" s="24"/>
      <c r="G292" s="27">
        <f>IFERROR(__xludf.DUMMYFUNCTION("""COMPUTED_VALUE"""),67.36666666666667)</f>
        <v>67.36666667</v>
      </c>
      <c r="H292" s="23">
        <f>IFERROR(__xludf.DUMMYFUNCTION("""COMPUTED_VALUE"""),44120.0)</f>
        <v>44120</v>
      </c>
      <c r="I292" s="27">
        <f>IFERROR(__xludf.DUMMYFUNCTION("""COMPUTED_VALUE"""),0.35833333333333334)</f>
        <v>0.3583333333</v>
      </c>
      <c r="J292" s="29">
        <f>IFERROR(__xludf.DUMMYFUNCTION("""COMPUTED_VALUE"""),79.33333333333333)</f>
        <v>79.33333333</v>
      </c>
      <c r="K292" s="29">
        <f>IFERROR(__xludf.DUMMYFUNCTION("""COMPUTED_VALUE"""),8.0)</f>
        <v>8</v>
      </c>
      <c r="L292" s="31" t="str">
        <f>IFERROR(__xludf.DUMMYFUNCTION("""COMPUTED_VALUE"""),"Racing")</f>
        <v>Racing</v>
      </c>
    </row>
    <row r="293">
      <c r="A293" s="17" t="str">
        <f>IFERROR(__xludf.DUMMYFUNCTION("""COMPUTED_VALUE"""),"Tamashika")</f>
        <v>Tamashika</v>
      </c>
      <c r="B293" s="20" t="str">
        <f>IFERROR(__xludf.DUMMYFUNCTION("""COMPUTED_VALUE"""),"Xbox / PC")</f>
        <v>Xbox / PC</v>
      </c>
      <c r="C293" s="21" t="str">
        <f>IFERROR(__xludf.DUMMYFUNCTION("""COMPUTED_VALUE"""),"Yes")</f>
        <v>Yes</v>
      </c>
      <c r="D293" s="21" t="str">
        <f>IFERROR(__xludf.DUMMYFUNCTION("""COMPUTED_VALUE"""),"Active")</f>
        <v>Active</v>
      </c>
      <c r="E293" s="23">
        <f>IFERROR(__xludf.DUMMYFUNCTION("""COMPUTED_VALUE"""),46212.0)</f>
        <v>46212</v>
      </c>
      <c r="F293" s="24"/>
      <c r="G293" s="27">
        <f>IFERROR(__xludf.DUMMYFUNCTION("""COMPUTED_VALUE"""),2.9)</f>
        <v>2.9</v>
      </c>
      <c r="H293" s="23">
        <f>IFERROR(__xludf.DUMMYFUNCTION("""COMPUTED_VALUE"""),46122.0)</f>
        <v>46122</v>
      </c>
      <c r="I293" s="27">
        <f>IFERROR(__xludf.DUMMYFUNCTION("""COMPUTED_VALUE"""),0.24722222222222223)</f>
        <v>0.2472222222</v>
      </c>
      <c r="J293" s="29">
        <f>IFERROR(__xludf.DUMMYFUNCTION("""COMPUTED_VALUE"""),79.0)</f>
        <v>79</v>
      </c>
      <c r="K293" s="29">
        <f>IFERROR(__xludf.DUMMYFUNCTION("""COMPUTED_VALUE"""),2.0)</f>
        <v>2</v>
      </c>
      <c r="L293" s="31" t="str">
        <f>IFERROR(__xludf.DUMMYFUNCTION("""COMPUTED_VALUE"""),"Shooter")</f>
        <v>Shooter</v>
      </c>
    </row>
    <row r="294">
      <c r="A294" s="17" t="str">
        <f>IFERROR(__xludf.DUMMYFUNCTION("""COMPUTED_VALUE"""),"MOTORSLICE")</f>
        <v>MOTORSLICE</v>
      </c>
      <c r="B294" s="20" t="str">
        <f>IFERROR(__xludf.DUMMYFUNCTION("""COMPUTED_VALUE"""),"Xbox / PC")</f>
        <v>Xbox / PC</v>
      </c>
      <c r="C294" s="21" t="str">
        <f>IFERROR(__xludf.DUMMYFUNCTION("""COMPUTED_VALUE"""),"Yes")</f>
        <v>Yes</v>
      </c>
      <c r="D294" s="21" t="str">
        <f>IFERROR(__xludf.DUMMYFUNCTION("""COMPUTED_VALUE"""),"Active")</f>
        <v>Active</v>
      </c>
      <c r="E294" s="23">
        <f>IFERROR(__xludf.DUMMYFUNCTION("""COMPUTED_VALUE"""),46147.0)</f>
        <v>46147</v>
      </c>
      <c r="F294" s="24"/>
      <c r="G294" s="27">
        <f>IFERROR(__xludf.DUMMYFUNCTION("""COMPUTED_VALUE"""),5.033333333333333)</f>
        <v>5.033333333</v>
      </c>
      <c r="H294" s="23">
        <f>IFERROR(__xludf.DUMMYFUNCTION("""COMPUTED_VALUE"""),46147.0)</f>
        <v>46147</v>
      </c>
      <c r="I294" s="27">
        <f>IFERROR(__xludf.DUMMYFUNCTION("""COMPUTED_VALUE"""),0.0)</f>
        <v>0</v>
      </c>
      <c r="J294" s="29">
        <f>IFERROR(__xludf.DUMMYFUNCTION("""COMPUTED_VALUE"""),79.0)</f>
        <v>79</v>
      </c>
      <c r="K294" s="29">
        <f>IFERROR(__xludf.DUMMYFUNCTION("""COMPUTED_VALUE"""),8.0)</f>
        <v>8</v>
      </c>
      <c r="L294" s="31" t="str">
        <f>IFERROR(__xludf.DUMMYFUNCTION("""COMPUTED_VALUE"""),"Action-Adventure")</f>
        <v>Action-Adventure</v>
      </c>
    </row>
    <row r="295">
      <c r="A295" s="17" t="str">
        <f>IFERROR(__xludf.DUMMYFUNCTION("""COMPUTED_VALUE"""),"Trepang2")</f>
        <v>Trepang2</v>
      </c>
      <c r="B295" s="20" t="str">
        <f>IFERROR(__xludf.DUMMYFUNCTION("""COMPUTED_VALUE"""),"Xbox / PC")</f>
        <v>Xbox / PC</v>
      </c>
      <c r="C295" s="21" t="str">
        <f>IFERROR(__xludf.DUMMYFUNCTION("""COMPUTED_VALUE"""),"Yes")</f>
        <v>Yes</v>
      </c>
      <c r="D295" s="21" t="str">
        <f>IFERROR(__xludf.DUMMYFUNCTION("""COMPUTED_VALUE"""),"Active")</f>
        <v>Active</v>
      </c>
      <c r="E295" s="23">
        <f>IFERROR(__xludf.DUMMYFUNCTION("""COMPUTED_VALUE"""),46141.0)</f>
        <v>46141</v>
      </c>
      <c r="F295" s="24"/>
      <c r="G295" s="27">
        <f>IFERROR(__xludf.DUMMYFUNCTION("""COMPUTED_VALUE"""),5.233333333333333)</f>
        <v>5.233333333</v>
      </c>
      <c r="H295" s="23">
        <f>IFERROR(__xludf.DUMMYFUNCTION("""COMPUTED_VALUE"""),45098.0)</f>
        <v>45098</v>
      </c>
      <c r="I295" s="27">
        <f>IFERROR(__xludf.DUMMYFUNCTION("""COMPUTED_VALUE"""),2.8555555555555556)</f>
        <v>2.855555556</v>
      </c>
      <c r="J295" s="29">
        <f>IFERROR(__xludf.DUMMYFUNCTION("""COMPUTED_VALUE"""),79.0)</f>
        <v>79</v>
      </c>
      <c r="K295" s="29">
        <f>IFERROR(__xludf.DUMMYFUNCTION("""COMPUTED_VALUE"""),5.0)</f>
        <v>5</v>
      </c>
      <c r="L295" s="31" t="str">
        <f>IFERROR(__xludf.DUMMYFUNCTION("""COMPUTED_VALUE"""),"Shooter")</f>
        <v>Shooter</v>
      </c>
    </row>
    <row r="296">
      <c r="A296" s="17" t="str">
        <f>IFERROR(__xludf.DUMMYFUNCTION("""COMPUTED_VALUE"""),"Little Nightmares: Enhanced Edition")</f>
        <v>Little Nightmares: Enhanced Edition</v>
      </c>
      <c r="B296" s="20" t="str">
        <f>IFERROR(__xludf.DUMMYFUNCTION("""COMPUTED_VALUE"""),"Xbox / PC")</f>
        <v>Xbox / PC</v>
      </c>
      <c r="C296" s="21" t="str">
        <f>IFERROR(__xludf.DUMMYFUNCTION("""COMPUTED_VALUE"""),"Yes")</f>
        <v>Yes</v>
      </c>
      <c r="D296" s="21" t="str">
        <f>IFERROR(__xludf.DUMMYFUNCTION("""COMPUTED_VALUE"""),"Active")</f>
        <v>Active</v>
      </c>
      <c r="E296" s="23">
        <f>IFERROR(__xludf.DUMMYFUNCTION("""COMPUTED_VALUE"""),46028.0)</f>
        <v>46028</v>
      </c>
      <c r="F296" s="24"/>
      <c r="G296" s="27">
        <f>IFERROR(__xludf.DUMMYFUNCTION("""COMPUTED_VALUE"""),9.0)</f>
        <v>9</v>
      </c>
      <c r="H296" s="23">
        <f>IFERROR(__xludf.DUMMYFUNCTION("""COMPUTED_VALUE"""),43238.0)</f>
        <v>43238</v>
      </c>
      <c r="I296" s="27">
        <f>IFERROR(__xludf.DUMMYFUNCTION("""COMPUTED_VALUE"""),7.633333333333334)</f>
        <v>7.633333333</v>
      </c>
      <c r="J296" s="29">
        <f>IFERROR(__xludf.DUMMYFUNCTION("""COMPUTED_VALUE"""),79.0)</f>
        <v>79</v>
      </c>
      <c r="K296" s="29">
        <f>IFERROR(__xludf.DUMMYFUNCTION("""COMPUTED_VALUE"""),4.0)</f>
        <v>4</v>
      </c>
      <c r="L296" s="31" t="str">
        <f>IFERROR(__xludf.DUMMYFUNCTION("""COMPUTED_VALUE"""),"Action-Adventure")</f>
        <v>Action-Adventure</v>
      </c>
    </row>
    <row r="297">
      <c r="A297" s="17" t="str">
        <f>IFERROR(__xludf.DUMMYFUNCTION("""COMPUTED_VALUE"""),"ROUTINE")</f>
        <v>ROUTINE</v>
      </c>
      <c r="B297" s="20" t="str">
        <f>IFERROR(__xludf.DUMMYFUNCTION("""COMPUTED_VALUE"""),"Xbox / PC")</f>
        <v>Xbox / PC</v>
      </c>
      <c r="C297" s="21" t="str">
        <f>IFERROR(__xludf.DUMMYFUNCTION("""COMPUTED_VALUE"""),"Yes")</f>
        <v>Yes</v>
      </c>
      <c r="D297" s="21" t="str">
        <f>IFERROR(__xludf.DUMMYFUNCTION("""COMPUTED_VALUE"""),"Active")</f>
        <v>Active</v>
      </c>
      <c r="E297" s="23">
        <f>IFERROR(__xludf.DUMMYFUNCTION("""COMPUTED_VALUE"""),45995.0)</f>
        <v>45995</v>
      </c>
      <c r="F297" s="24"/>
      <c r="G297" s="27">
        <f>IFERROR(__xludf.DUMMYFUNCTION("""COMPUTED_VALUE"""),10.066666666666666)</f>
        <v>10.06666667</v>
      </c>
      <c r="H297" s="23">
        <f>IFERROR(__xludf.DUMMYFUNCTION("""COMPUTED_VALUE"""),45995.0)</f>
        <v>45995</v>
      </c>
      <c r="I297" s="27">
        <f>IFERROR(__xludf.DUMMYFUNCTION("""COMPUTED_VALUE"""),0.0)</f>
        <v>0</v>
      </c>
      <c r="J297" s="29">
        <f>IFERROR(__xludf.DUMMYFUNCTION("""COMPUTED_VALUE"""),79.0)</f>
        <v>79</v>
      </c>
      <c r="K297" s="29">
        <f>IFERROR(__xludf.DUMMYFUNCTION("""COMPUTED_VALUE"""),6.0)</f>
        <v>6</v>
      </c>
      <c r="L297" s="31" t="str">
        <f>IFERROR(__xludf.DUMMYFUNCTION("""COMPUTED_VALUE"""),"Action-Adventure")</f>
        <v>Action-Adventure</v>
      </c>
    </row>
    <row r="298">
      <c r="A298" s="17" t="str">
        <f>IFERROR(__xludf.DUMMYFUNCTION("""COMPUTED_VALUE"""),"Monsters are Coming! Rock &amp; Road")</f>
        <v>Monsters are Coming! Rock &amp; Road</v>
      </c>
      <c r="B298" s="20" t="str">
        <f>IFERROR(__xludf.DUMMYFUNCTION("""COMPUTED_VALUE"""),"PC")</f>
        <v>PC</v>
      </c>
      <c r="C298" s="21"/>
      <c r="D298" s="21" t="str">
        <f>IFERROR(__xludf.DUMMYFUNCTION("""COMPUTED_VALUE"""),"Active")</f>
        <v>Active</v>
      </c>
      <c r="E298" s="23">
        <f>IFERROR(__xludf.DUMMYFUNCTION("""COMPUTED_VALUE"""),45981.0)</f>
        <v>45981</v>
      </c>
      <c r="F298" s="24"/>
      <c r="G298" s="27">
        <f>IFERROR(__xludf.DUMMYFUNCTION("""COMPUTED_VALUE"""),10.533333333333333)</f>
        <v>10.53333333</v>
      </c>
      <c r="H298" s="23">
        <f>IFERROR(__xludf.DUMMYFUNCTION("""COMPUTED_VALUE"""),45981.0)</f>
        <v>45981</v>
      </c>
      <c r="I298" s="27">
        <f>IFERROR(__xludf.DUMMYFUNCTION("""COMPUTED_VALUE"""),0.0)</f>
        <v>0</v>
      </c>
      <c r="J298" s="29">
        <f>IFERROR(__xludf.DUMMYFUNCTION("""COMPUTED_VALUE"""),79.0)</f>
        <v>79</v>
      </c>
      <c r="K298" s="29">
        <f>IFERROR(__xludf.DUMMYFUNCTION("""COMPUTED_VALUE"""),3.0)</f>
        <v>3</v>
      </c>
      <c r="L298" s="31" t="str">
        <f>IFERROR(__xludf.DUMMYFUNCTION("""COMPUTED_VALUE"""),"Action-Adventure")</f>
        <v>Action-Adventure</v>
      </c>
    </row>
    <row r="299" ht="13.5" customHeight="1">
      <c r="A299" s="17" t="str">
        <f>IFERROR(__xludf.DUMMYFUNCTION("""COMPUTED_VALUE"""),"Trials Fusion")</f>
        <v>Trials Fusion</v>
      </c>
      <c r="B299" s="20" t="str">
        <f>IFERROR(__xludf.DUMMYFUNCTION("""COMPUTED_VALUE"""),"Xbox / PC")</f>
        <v>Xbox / PC</v>
      </c>
      <c r="C299" s="21" t="str">
        <f>IFERROR(__xludf.DUMMYFUNCTION("""COMPUTED_VALUE"""),"Yes")</f>
        <v>Yes</v>
      </c>
      <c r="D299" s="21" t="str">
        <f>IFERROR(__xludf.DUMMYFUNCTION("""COMPUTED_VALUE"""),"Active")</f>
        <v>Active</v>
      </c>
      <c r="E299" s="23">
        <f>IFERROR(__xludf.DUMMYFUNCTION("""COMPUTED_VALUE"""),45931.0)</f>
        <v>45931</v>
      </c>
      <c r="F299" s="24"/>
      <c r="G299" s="27">
        <f>IFERROR(__xludf.DUMMYFUNCTION("""COMPUTED_VALUE"""),12.166666666666666)</f>
        <v>12.16666667</v>
      </c>
      <c r="H299" s="23">
        <f>IFERROR(__xludf.DUMMYFUNCTION("""COMPUTED_VALUE"""),41744.0)</f>
        <v>41744</v>
      </c>
      <c r="I299" s="27">
        <f>IFERROR(__xludf.DUMMYFUNCTION("""COMPUTED_VALUE"""),11.46111111111111)</f>
        <v>11.46111111</v>
      </c>
      <c r="J299" s="29">
        <f>IFERROR(__xludf.DUMMYFUNCTION("""COMPUTED_VALUE"""),79.0)</f>
        <v>79</v>
      </c>
      <c r="K299" s="29">
        <f>IFERROR(__xludf.DUMMYFUNCTION("""COMPUTED_VALUE"""),7.0)</f>
        <v>7</v>
      </c>
      <c r="L299" s="31" t="str">
        <f>IFERROR(__xludf.DUMMYFUNCTION("""COMPUTED_VALUE"""),"Racing")</f>
        <v>Racing</v>
      </c>
    </row>
    <row r="300">
      <c r="A300" s="17" t="str">
        <f>IFERROR(__xludf.DUMMYFUNCTION("""COMPUTED_VALUE"""),"Trials Rising")</f>
        <v>Trials Rising</v>
      </c>
      <c r="B300" s="20" t="str">
        <f>IFERROR(__xludf.DUMMYFUNCTION("""COMPUTED_VALUE"""),"Xbox / PC")</f>
        <v>Xbox / PC</v>
      </c>
      <c r="C300" s="21" t="str">
        <f>IFERROR(__xludf.DUMMYFUNCTION("""COMPUTED_VALUE"""),"Yes")</f>
        <v>Yes</v>
      </c>
      <c r="D300" s="21" t="str">
        <f>IFERROR(__xludf.DUMMYFUNCTION("""COMPUTED_VALUE"""),"Active")</f>
        <v>Active</v>
      </c>
      <c r="E300" s="23">
        <f>IFERROR(__xludf.DUMMYFUNCTION("""COMPUTED_VALUE"""),45931.0)</f>
        <v>45931</v>
      </c>
      <c r="F300" s="24"/>
      <c r="G300" s="27">
        <f>IFERROR(__xludf.DUMMYFUNCTION("""COMPUTED_VALUE"""),12.166666666666666)</f>
        <v>12.16666667</v>
      </c>
      <c r="H300" s="23">
        <f>IFERROR(__xludf.DUMMYFUNCTION("""COMPUTED_VALUE"""),43522.0)</f>
        <v>43522</v>
      </c>
      <c r="I300" s="27">
        <f>IFERROR(__xludf.DUMMYFUNCTION("""COMPUTED_VALUE"""),6.597222222222222)</f>
        <v>6.597222222</v>
      </c>
      <c r="J300" s="29">
        <f>IFERROR(__xludf.DUMMYFUNCTION("""COMPUTED_VALUE"""),79.0)</f>
        <v>79</v>
      </c>
      <c r="K300" s="29">
        <f>IFERROR(__xludf.DUMMYFUNCTION("""COMPUTED_VALUE"""),18.0)</f>
        <v>18</v>
      </c>
      <c r="L300" s="31" t="str">
        <f>IFERROR(__xludf.DUMMYFUNCTION("""COMPUTED_VALUE"""),"Racing")</f>
        <v>Racing</v>
      </c>
    </row>
    <row r="301">
      <c r="A301" s="17" t="str">
        <f>IFERROR(__xludf.DUMMYFUNCTION("""COMPUTED_VALUE"""),"Gears of War: Reloaded")</f>
        <v>Gears of War: Reloaded</v>
      </c>
      <c r="B301" s="20" t="str">
        <f>IFERROR(__xludf.DUMMYFUNCTION("""COMPUTED_VALUE"""),"Xbox / PC")</f>
        <v>Xbox / PC</v>
      </c>
      <c r="C301" s="21" t="str">
        <f>IFERROR(__xludf.DUMMYFUNCTION("""COMPUTED_VALUE"""),"Yes")</f>
        <v>Yes</v>
      </c>
      <c r="D301" s="21" t="str">
        <f>IFERROR(__xludf.DUMMYFUNCTION("""COMPUTED_VALUE"""),"Active")</f>
        <v>Active</v>
      </c>
      <c r="E301" s="23">
        <f>IFERROR(__xludf.DUMMYFUNCTION("""COMPUTED_VALUE"""),45895.0)</f>
        <v>45895</v>
      </c>
      <c r="F301" s="24"/>
      <c r="G301" s="27">
        <f>IFERROR(__xludf.DUMMYFUNCTION("""COMPUTED_VALUE"""),13.333333333333334)</f>
        <v>13.33333333</v>
      </c>
      <c r="H301" s="23">
        <f>IFERROR(__xludf.DUMMYFUNCTION("""COMPUTED_VALUE"""),45895.0)</f>
        <v>45895</v>
      </c>
      <c r="I301" s="27">
        <f>IFERROR(__xludf.DUMMYFUNCTION("""COMPUTED_VALUE"""),0.0)</f>
        <v>0</v>
      </c>
      <c r="J301" s="29">
        <f>IFERROR(__xludf.DUMMYFUNCTION("""COMPUTED_VALUE"""),79.0)</f>
        <v>79</v>
      </c>
      <c r="K301" s="29">
        <f>IFERROR(__xludf.DUMMYFUNCTION("""COMPUTED_VALUE"""),7.0)</f>
        <v>7</v>
      </c>
      <c r="L301" s="31" t="str">
        <f>IFERROR(__xludf.DUMMYFUNCTION("""COMPUTED_VALUE"""),"Shooter")</f>
        <v>Shooter</v>
      </c>
    </row>
    <row r="302">
      <c r="A302" s="17" t="str">
        <f>IFERROR(__xludf.DUMMYFUNCTION("""COMPUTED_VALUE"""),"Conquests of Camelot: The Search for the Grail")</f>
        <v>Conquests of Camelot: The Search for the Grail</v>
      </c>
      <c r="B302" s="20" t="str">
        <f>IFERROR(__xludf.DUMMYFUNCTION("""COMPUTED_VALUE"""),"Xbox / PC")</f>
        <v>Xbox / PC</v>
      </c>
      <c r="C302" s="21" t="str">
        <f>IFERROR(__xludf.DUMMYFUNCTION("""COMPUTED_VALUE"""),"Yes")</f>
        <v>Yes</v>
      </c>
      <c r="D302" s="21" t="str">
        <f>IFERROR(__xludf.DUMMYFUNCTION("""COMPUTED_VALUE"""),"Active")</f>
        <v>Active</v>
      </c>
      <c r="E302" s="23">
        <f>IFERROR(__xludf.DUMMYFUNCTION("""COMPUTED_VALUE"""),45859.0)</f>
        <v>45859</v>
      </c>
      <c r="F302" s="24"/>
      <c r="G302" s="27">
        <f>IFERROR(__xludf.DUMMYFUNCTION("""COMPUTED_VALUE"""),14.5)</f>
        <v>14.5</v>
      </c>
      <c r="H302" s="23">
        <f>IFERROR(__xludf.DUMMYFUNCTION("""COMPUTED_VALUE"""),32933.0)</f>
        <v>32933</v>
      </c>
      <c r="I302" s="27">
        <f>IFERROR(__xludf.DUMMYFUNCTION("""COMPUTED_VALUE"""),35.388888888888886)</f>
        <v>35.38888889</v>
      </c>
      <c r="J302" s="29">
        <f>IFERROR(__xludf.DUMMYFUNCTION("""COMPUTED_VALUE"""),79.0)</f>
        <v>79</v>
      </c>
      <c r="K302" s="29">
        <f>IFERROR(__xludf.DUMMYFUNCTION("""COMPUTED_VALUE"""),4.0)</f>
        <v>4</v>
      </c>
      <c r="L302" s="31" t="str">
        <f>IFERROR(__xludf.DUMMYFUNCTION("""COMPUTED_VALUE"""),"Action-Adventure")</f>
        <v>Action-Adventure</v>
      </c>
    </row>
    <row r="303">
      <c r="A303" s="17" t="str">
        <f>IFERROR(__xludf.DUMMYFUNCTION("""COMPUTED_VALUE"""),"Call of Duty: WWII")</f>
        <v>Call of Duty: WWII</v>
      </c>
      <c r="B303" s="20" t="str">
        <f>IFERROR(__xludf.DUMMYFUNCTION("""COMPUTED_VALUE"""),"Xbox / PC")</f>
        <v>Xbox / PC</v>
      </c>
      <c r="C303" s="21"/>
      <c r="D303" s="21" t="str">
        <f>IFERROR(__xludf.DUMMYFUNCTION("""COMPUTED_VALUE"""),"Active")</f>
        <v>Active</v>
      </c>
      <c r="E303" s="23">
        <f>IFERROR(__xludf.DUMMYFUNCTION("""COMPUTED_VALUE"""),45838.0)</f>
        <v>45838</v>
      </c>
      <c r="F303" s="24"/>
      <c r="G303" s="27">
        <f>IFERROR(__xludf.DUMMYFUNCTION("""COMPUTED_VALUE"""),15.2)</f>
        <v>15.2</v>
      </c>
      <c r="H303" s="23">
        <f>IFERROR(__xludf.DUMMYFUNCTION("""COMPUTED_VALUE"""),43042.0)</f>
        <v>43042</v>
      </c>
      <c r="I303" s="27">
        <f>IFERROR(__xludf.DUMMYFUNCTION("""COMPUTED_VALUE"""),7.658333333333333)</f>
        <v>7.658333333</v>
      </c>
      <c r="J303" s="29">
        <f>IFERROR(__xludf.DUMMYFUNCTION("""COMPUTED_VALUE"""),79.0)</f>
        <v>79</v>
      </c>
      <c r="K303" s="29">
        <f>IFERROR(__xludf.DUMMYFUNCTION("""COMPUTED_VALUE"""),7.0)</f>
        <v>7</v>
      </c>
      <c r="L303" s="31" t="str">
        <f>IFERROR(__xludf.DUMMYFUNCTION("""COMPUTED_VALUE"""),"Shooter")</f>
        <v>Shooter</v>
      </c>
    </row>
    <row r="304">
      <c r="A304" s="17" t="str">
        <f>IFERROR(__xludf.DUMMYFUNCTION("""COMPUTED_VALUE"""),"33 Immortals")</f>
        <v>33 Immortals</v>
      </c>
      <c r="B304" s="20" t="str">
        <f>IFERROR(__xludf.DUMMYFUNCTION("""COMPUTED_VALUE"""),"Xbox / PC")</f>
        <v>Xbox / PC</v>
      </c>
      <c r="C304" s="21" t="str">
        <f>IFERROR(__xludf.DUMMYFUNCTION("""COMPUTED_VALUE"""),"Yes")</f>
        <v>Yes</v>
      </c>
      <c r="D304" s="21" t="str">
        <f>IFERROR(__xludf.DUMMYFUNCTION("""COMPUTED_VALUE"""),"Active")</f>
        <v>Active</v>
      </c>
      <c r="E304" s="23">
        <f>IFERROR(__xludf.DUMMYFUNCTION("""COMPUTED_VALUE"""),45734.0)</f>
        <v>45734</v>
      </c>
      <c r="F304" s="24"/>
      <c r="G304" s="27">
        <f>IFERROR(__xludf.DUMMYFUNCTION("""COMPUTED_VALUE"""),18.6)</f>
        <v>18.6</v>
      </c>
      <c r="H304" s="23">
        <f>IFERROR(__xludf.DUMMYFUNCTION("""COMPUTED_VALUE"""),45734.0)</f>
        <v>45734</v>
      </c>
      <c r="I304" s="27">
        <f>IFERROR(__xludf.DUMMYFUNCTION("""COMPUTED_VALUE"""),0.0)</f>
        <v>0</v>
      </c>
      <c r="J304" s="29">
        <f>IFERROR(__xludf.DUMMYFUNCTION("""COMPUTED_VALUE"""),79.0)</f>
        <v>79</v>
      </c>
      <c r="K304" s="29">
        <f>IFERROR(__xludf.DUMMYFUNCTION("""COMPUTED_VALUE"""),5.0)</f>
        <v>5</v>
      </c>
      <c r="L304" s="31" t="str">
        <f>IFERROR(__xludf.DUMMYFUNCTION("""COMPUTED_VALUE"""),"RPG")</f>
        <v>RPG</v>
      </c>
    </row>
    <row r="305">
      <c r="A305" s="17" t="str">
        <f>IFERROR(__xludf.DUMMYFUNCTION("""COMPUTED_VALUE"""),"Mechwarrior 5: Clans")</f>
        <v>Mechwarrior 5: Clans</v>
      </c>
      <c r="B305" s="20" t="str">
        <f>IFERROR(__xludf.DUMMYFUNCTION("""COMPUTED_VALUE"""),"Xbox / PC")</f>
        <v>Xbox / PC</v>
      </c>
      <c r="C305" s="21" t="str">
        <f>IFERROR(__xludf.DUMMYFUNCTION("""COMPUTED_VALUE"""),"Yes")</f>
        <v>Yes</v>
      </c>
      <c r="D305" s="21" t="str">
        <f>IFERROR(__xludf.DUMMYFUNCTION("""COMPUTED_VALUE"""),"Active")</f>
        <v>Active</v>
      </c>
      <c r="E305" s="23">
        <f>IFERROR(__xludf.DUMMYFUNCTION("""COMPUTED_VALUE"""),45582.0)</f>
        <v>45582</v>
      </c>
      <c r="F305" s="24"/>
      <c r="G305" s="27">
        <f>IFERROR(__xludf.DUMMYFUNCTION("""COMPUTED_VALUE"""),23.633333333333333)</f>
        <v>23.63333333</v>
      </c>
      <c r="H305" s="23">
        <f>IFERROR(__xludf.DUMMYFUNCTION("""COMPUTED_VALUE"""),45582.0)</f>
        <v>45582</v>
      </c>
      <c r="I305" s="27">
        <f>IFERROR(__xludf.DUMMYFUNCTION("""COMPUTED_VALUE"""),0.0)</f>
        <v>0</v>
      </c>
      <c r="J305" s="29">
        <f>IFERROR(__xludf.DUMMYFUNCTION("""COMPUTED_VALUE"""),79.0)</f>
        <v>79</v>
      </c>
      <c r="K305" s="29">
        <f>IFERROR(__xludf.DUMMYFUNCTION("""COMPUTED_VALUE"""),23.0)</f>
        <v>23</v>
      </c>
      <c r="L305" s="31" t="str">
        <f>IFERROR(__xludf.DUMMYFUNCTION("""COMPUTED_VALUE"""),"Simulation")</f>
        <v>Simulation</v>
      </c>
    </row>
    <row r="306">
      <c r="A306" s="17" t="str">
        <f>IFERROR(__xludf.DUMMYFUNCTION("""COMPUTED_VALUE"""),"Overwatch 2")</f>
        <v>Overwatch 2</v>
      </c>
      <c r="B306" s="20" t="str">
        <f>IFERROR(__xludf.DUMMYFUNCTION("""COMPUTED_VALUE"""),"Xbox / PC")</f>
        <v>Xbox / PC</v>
      </c>
      <c r="C306" s="21"/>
      <c r="D306" s="21" t="str">
        <f>IFERROR(__xludf.DUMMYFUNCTION("""COMPUTED_VALUE"""),"Active")</f>
        <v>Active</v>
      </c>
      <c r="E306" s="23">
        <f>IFERROR(__xludf.DUMMYFUNCTION("""COMPUTED_VALUE"""),45552.0)</f>
        <v>45552</v>
      </c>
      <c r="F306" s="24"/>
      <c r="G306" s="27">
        <f>IFERROR(__xludf.DUMMYFUNCTION("""COMPUTED_VALUE"""),24.633333333333333)</f>
        <v>24.63333333</v>
      </c>
      <c r="H306" s="23">
        <f>IFERROR(__xludf.DUMMYFUNCTION("""COMPUTED_VALUE"""),45148.0)</f>
        <v>45148</v>
      </c>
      <c r="I306" s="27">
        <f>IFERROR(__xludf.DUMMYFUNCTION("""COMPUTED_VALUE"""),1.1027777777777779)</f>
        <v>1.102777778</v>
      </c>
      <c r="J306" s="29">
        <f>IFERROR(__xludf.DUMMYFUNCTION("""COMPUTED_VALUE"""),79.0)</f>
        <v>79</v>
      </c>
      <c r="K306" s="29">
        <f>IFERROR(__xludf.DUMMYFUNCTION("""COMPUTED_VALUE"""),57.0)</f>
        <v>57</v>
      </c>
      <c r="L306" s="31" t="str">
        <f>IFERROR(__xludf.DUMMYFUNCTION("""COMPUTED_VALUE"""),"Shooter")</f>
        <v>Shooter</v>
      </c>
    </row>
    <row r="307">
      <c r="A307" s="17" t="str">
        <f>IFERROR(__xludf.DUMMYFUNCTION("""COMPUTED_VALUE"""),"Little Kitty, Big City")</f>
        <v>Little Kitty, Big City</v>
      </c>
      <c r="B307" s="20" t="str">
        <f>IFERROR(__xludf.DUMMYFUNCTION("""COMPUTED_VALUE"""),"Xbox / PC")</f>
        <v>Xbox / PC</v>
      </c>
      <c r="C307" s="21" t="str">
        <f>IFERROR(__xludf.DUMMYFUNCTION("""COMPUTED_VALUE"""),"Yes")</f>
        <v>Yes</v>
      </c>
      <c r="D307" s="21" t="str">
        <f>IFERROR(__xludf.DUMMYFUNCTION("""COMPUTED_VALUE"""),"Active")</f>
        <v>Active</v>
      </c>
      <c r="E307" s="23">
        <f>IFERROR(__xludf.DUMMYFUNCTION("""COMPUTED_VALUE"""),45421.0)</f>
        <v>45421</v>
      </c>
      <c r="F307" s="24"/>
      <c r="G307" s="27">
        <f>IFERROR(__xludf.DUMMYFUNCTION("""COMPUTED_VALUE"""),28.9)</f>
        <v>28.9</v>
      </c>
      <c r="H307" s="23">
        <f>IFERROR(__xludf.DUMMYFUNCTION("""COMPUTED_VALUE"""),45421.0)</f>
        <v>45421</v>
      </c>
      <c r="I307" s="27">
        <f>IFERROR(__xludf.DUMMYFUNCTION("""COMPUTED_VALUE"""),0.0)</f>
        <v>0</v>
      </c>
      <c r="J307" s="29">
        <f>IFERROR(__xludf.DUMMYFUNCTION("""COMPUTED_VALUE"""),79.0)</f>
        <v>79</v>
      </c>
      <c r="K307" s="29">
        <f>IFERROR(__xludf.DUMMYFUNCTION("""COMPUTED_VALUE"""),3.0)</f>
        <v>3</v>
      </c>
      <c r="L307" s="31" t="str">
        <f>IFERROR(__xludf.DUMMYFUNCTION("""COMPUTED_VALUE"""),"Action-Adventure")</f>
        <v>Action-Adventure</v>
      </c>
    </row>
    <row r="308">
      <c r="A308" s="17" t="str">
        <f>IFERROR(__xludf.DUMMYFUNCTION("""COMPUTED_VALUE"""),"Resident Evil 3")</f>
        <v>Resident Evil 3</v>
      </c>
      <c r="B308" s="20" t="str">
        <f>IFERROR(__xludf.DUMMYFUNCTION("""COMPUTED_VALUE"""),"Xbox / PC")</f>
        <v>Xbox / PC</v>
      </c>
      <c r="C308" s="21" t="str">
        <f>IFERROR(__xludf.DUMMYFUNCTION("""COMPUTED_VALUE"""),"Yes")</f>
        <v>Yes</v>
      </c>
      <c r="D308" s="21" t="str">
        <f>IFERROR(__xludf.DUMMYFUNCTION("""COMPUTED_VALUE"""),"Active")</f>
        <v>Active</v>
      </c>
      <c r="E308" s="23">
        <f>IFERROR(__xludf.DUMMYFUNCTION("""COMPUTED_VALUE"""),45335.0)</f>
        <v>45335</v>
      </c>
      <c r="F308" s="24"/>
      <c r="G308" s="27">
        <f>IFERROR(__xludf.DUMMYFUNCTION("""COMPUTED_VALUE"""),31.766666666666666)</f>
        <v>31.76666667</v>
      </c>
      <c r="H308" s="23">
        <f>IFERROR(__xludf.DUMMYFUNCTION("""COMPUTED_VALUE"""),43924.0)</f>
        <v>43924</v>
      </c>
      <c r="I308" s="27">
        <f>IFERROR(__xludf.DUMMYFUNCTION("""COMPUTED_VALUE"""),3.861111111111111)</f>
        <v>3.861111111</v>
      </c>
      <c r="J308" s="29">
        <f>IFERROR(__xludf.DUMMYFUNCTION("""COMPUTED_VALUE"""),79.0)</f>
        <v>79</v>
      </c>
      <c r="K308" s="29">
        <f>IFERROR(__xludf.DUMMYFUNCTION("""COMPUTED_VALUE"""),6.0)</f>
        <v>6</v>
      </c>
      <c r="L308" s="31" t="str">
        <f>IFERROR(__xludf.DUMMYFUNCTION("""COMPUTED_VALUE"""),"Shooter")</f>
        <v>Shooter</v>
      </c>
    </row>
    <row r="309">
      <c r="A309" s="17" t="str">
        <f>IFERROR(__xludf.DUMMYFUNCTION("""COMPUTED_VALUE"""),"Super Mega Baseball 4")</f>
        <v>Super Mega Baseball 4</v>
      </c>
      <c r="B309" s="20" t="str">
        <f>IFERROR(__xludf.DUMMYFUNCTION("""COMPUTED_VALUE"""),"Xbox / PC")</f>
        <v>Xbox / PC</v>
      </c>
      <c r="C309" s="21" t="str">
        <f>IFERROR(__xludf.DUMMYFUNCTION("""COMPUTED_VALUE"""),"Yes")</f>
        <v>Yes</v>
      </c>
      <c r="D309" s="21" t="str">
        <f>IFERROR(__xludf.DUMMYFUNCTION("""COMPUTED_VALUE"""),"Active")</f>
        <v>Active</v>
      </c>
      <c r="E309" s="23">
        <f>IFERROR(__xludf.DUMMYFUNCTION("""COMPUTED_VALUE"""),45302.0)</f>
        <v>45302</v>
      </c>
      <c r="F309" s="24"/>
      <c r="G309" s="27">
        <f>IFERROR(__xludf.DUMMYFUNCTION("""COMPUTED_VALUE"""),32.833333333333336)</f>
        <v>32.83333333</v>
      </c>
      <c r="H309" s="23">
        <f>IFERROR(__xludf.DUMMYFUNCTION("""COMPUTED_VALUE"""),45079.0)</f>
        <v>45079</v>
      </c>
      <c r="I309" s="27">
        <f>IFERROR(__xludf.DUMMYFUNCTION("""COMPUTED_VALUE"""),0.6083333333333333)</f>
        <v>0.6083333333</v>
      </c>
      <c r="J309" s="29">
        <f>IFERROR(__xludf.DUMMYFUNCTION("""COMPUTED_VALUE"""),79.0)</f>
        <v>79</v>
      </c>
      <c r="K309" s="29">
        <f>IFERROR(__xludf.DUMMYFUNCTION("""COMPUTED_VALUE"""),12.0)</f>
        <v>12</v>
      </c>
      <c r="L309" s="31" t="str">
        <f>IFERROR(__xludf.DUMMYFUNCTION("""COMPUTED_VALUE"""),"Sports")</f>
        <v>Sports</v>
      </c>
    </row>
    <row r="310">
      <c r="A310" s="17" t="str">
        <f>IFERROR(__xludf.DUMMYFUNCTION("""COMPUTED_VALUE"""),"Wild Hearts")</f>
        <v>Wild Hearts</v>
      </c>
      <c r="B310" s="20" t="str">
        <f>IFERROR(__xludf.DUMMYFUNCTION("""COMPUTED_VALUE"""),"Xbox / PC")</f>
        <v>Xbox / PC</v>
      </c>
      <c r="C310" s="21" t="str">
        <f>IFERROR(__xludf.DUMMYFUNCTION("""COMPUTED_VALUE"""),"Yes")</f>
        <v>Yes</v>
      </c>
      <c r="D310" s="21" t="str">
        <f>IFERROR(__xludf.DUMMYFUNCTION("""COMPUTED_VALUE"""),"Active")</f>
        <v>Active</v>
      </c>
      <c r="E310" s="23">
        <f>IFERROR(__xludf.DUMMYFUNCTION("""COMPUTED_VALUE"""),45239.0)</f>
        <v>45239</v>
      </c>
      <c r="F310" s="24"/>
      <c r="G310" s="27">
        <f>IFERROR(__xludf.DUMMYFUNCTION("""COMPUTED_VALUE"""),34.9)</f>
        <v>34.9</v>
      </c>
      <c r="H310" s="23">
        <f>IFERROR(__xludf.DUMMYFUNCTION("""COMPUTED_VALUE"""),44974.0)</f>
        <v>44974</v>
      </c>
      <c r="I310" s="27">
        <f>IFERROR(__xludf.DUMMYFUNCTION("""COMPUTED_VALUE"""),0.7277777777777777)</f>
        <v>0.7277777778</v>
      </c>
      <c r="J310" s="29">
        <f>IFERROR(__xludf.DUMMYFUNCTION("""COMPUTED_VALUE"""),79.0)</f>
        <v>79</v>
      </c>
      <c r="K310" s="29">
        <f>IFERROR(__xludf.DUMMYFUNCTION("""COMPUTED_VALUE"""),46.0)</f>
        <v>46</v>
      </c>
      <c r="L310" s="31" t="str">
        <f>IFERROR(__xludf.DUMMYFUNCTION("""COMPUTED_VALUE"""),"Action-Adventure")</f>
        <v>Action-Adventure</v>
      </c>
    </row>
    <row r="311">
      <c r="A311" s="17" t="str">
        <f>IFERROR(__xludf.DUMMYFUNCTION("""COMPUTED_VALUE"""),"Genesis Noir")</f>
        <v>Genesis Noir</v>
      </c>
      <c r="B311" s="20" t="str">
        <f>IFERROR(__xludf.DUMMYFUNCTION("""COMPUTED_VALUE"""),"Xbox / PC")</f>
        <v>Xbox / PC</v>
      </c>
      <c r="C311" s="21" t="str">
        <f>IFERROR(__xludf.DUMMYFUNCTION("""COMPUTED_VALUE"""),"Touch Controls")</f>
        <v>Touch Controls</v>
      </c>
      <c r="D311" s="21" t="str">
        <f>IFERROR(__xludf.DUMMYFUNCTION("""COMPUTED_VALUE"""),"Active")</f>
        <v>Active</v>
      </c>
      <c r="E311" s="23">
        <f>IFERROR(__xludf.DUMMYFUNCTION("""COMPUTED_VALUE"""),44280.0)</f>
        <v>44280</v>
      </c>
      <c r="F311" s="24"/>
      <c r="G311" s="27">
        <f>IFERROR(__xludf.DUMMYFUNCTION("""COMPUTED_VALUE"""),66.36666666666667)</f>
        <v>66.36666667</v>
      </c>
      <c r="H311" s="23">
        <f>IFERROR(__xludf.DUMMYFUNCTION("""COMPUTED_VALUE"""),44280.0)</f>
        <v>44280</v>
      </c>
      <c r="I311" s="27">
        <f>IFERROR(__xludf.DUMMYFUNCTION("""COMPUTED_VALUE"""),0.0)</f>
        <v>0</v>
      </c>
      <c r="J311" s="29">
        <f>IFERROR(__xludf.DUMMYFUNCTION("""COMPUTED_VALUE"""),79.0)</f>
        <v>79</v>
      </c>
      <c r="K311" s="29">
        <f>IFERROR(__xludf.DUMMYFUNCTION("""COMPUTED_VALUE"""),4.5)</f>
        <v>4.5</v>
      </c>
      <c r="L311" s="31" t="str">
        <f>IFERROR(__xludf.DUMMYFUNCTION("""COMPUTED_VALUE"""),"Adventure")</f>
        <v>Adventure</v>
      </c>
    </row>
    <row r="312">
      <c r="A312" s="17" t="str">
        <f>IFERROR(__xludf.DUMMYFUNCTION("""COMPUTED_VALUE"""),"A Way Out")</f>
        <v>A Way Out</v>
      </c>
      <c r="B312" s="20" t="str">
        <f>IFERROR(__xludf.DUMMYFUNCTION("""COMPUTED_VALUE"""),"Xbox / PC")</f>
        <v>Xbox / PC</v>
      </c>
      <c r="C312" s="21"/>
      <c r="D312" s="21" t="str">
        <f>IFERROR(__xludf.DUMMYFUNCTION("""COMPUTED_VALUE"""),"Active")</f>
        <v>Active</v>
      </c>
      <c r="E312" s="23">
        <f>IFERROR(__xludf.DUMMYFUNCTION("""COMPUTED_VALUE"""),44145.0)</f>
        <v>44145</v>
      </c>
      <c r="F312" s="24"/>
      <c r="G312" s="27">
        <f>IFERROR(__xludf.DUMMYFUNCTION("""COMPUTED_VALUE"""),70.86666666666667)</f>
        <v>70.86666667</v>
      </c>
      <c r="H312" s="23">
        <f>IFERROR(__xludf.DUMMYFUNCTION("""COMPUTED_VALUE"""),43182.0)</f>
        <v>43182</v>
      </c>
      <c r="I312" s="27">
        <f>IFERROR(__xludf.DUMMYFUNCTION("""COMPUTED_VALUE"""),2.6305555555555555)</f>
        <v>2.630555556</v>
      </c>
      <c r="J312" s="29">
        <f>IFERROR(__xludf.DUMMYFUNCTION("""COMPUTED_VALUE"""),79.0)</f>
        <v>79</v>
      </c>
      <c r="K312" s="29">
        <f>IFERROR(__xludf.DUMMYFUNCTION("""COMPUTED_VALUE"""),6.0)</f>
        <v>6</v>
      </c>
      <c r="L312" s="31" t="str">
        <f>IFERROR(__xludf.DUMMYFUNCTION("""COMPUTED_VALUE"""),"Action-Adventure")</f>
        <v>Action-Adventure</v>
      </c>
    </row>
    <row r="313">
      <c r="A313" s="17" t="str">
        <f>IFERROR(__xludf.DUMMYFUNCTION("""COMPUTED_VALUE"""),"Burnout: Paradise - Remastered")</f>
        <v>Burnout: Paradise - Remastered</v>
      </c>
      <c r="B313" s="20" t="str">
        <f>IFERROR(__xludf.DUMMYFUNCTION("""COMPUTED_VALUE"""),"Xbox / PC")</f>
        <v>Xbox / PC</v>
      </c>
      <c r="C313" s="21"/>
      <c r="D313" s="21" t="str">
        <f>IFERROR(__xludf.DUMMYFUNCTION("""COMPUTED_VALUE"""),"Active")</f>
        <v>Active</v>
      </c>
      <c r="E313" s="23">
        <f>IFERROR(__xludf.DUMMYFUNCTION("""COMPUTED_VALUE"""),44145.0)</f>
        <v>44145</v>
      </c>
      <c r="F313" s="24"/>
      <c r="G313" s="27">
        <f>IFERROR(__xludf.DUMMYFUNCTION("""COMPUTED_VALUE"""),70.86666666666667)</f>
        <v>70.86666667</v>
      </c>
      <c r="H313" s="23">
        <f>IFERROR(__xludf.DUMMYFUNCTION("""COMPUTED_VALUE"""),39469.0)</f>
        <v>39469</v>
      </c>
      <c r="I313" s="27">
        <f>IFERROR(__xludf.DUMMYFUNCTION("""COMPUTED_VALUE"""),12.8)</f>
        <v>12.8</v>
      </c>
      <c r="J313" s="29">
        <f>IFERROR(__xludf.DUMMYFUNCTION("""COMPUTED_VALUE"""),79.0)</f>
        <v>79</v>
      </c>
      <c r="K313" s="29">
        <f>IFERROR(__xludf.DUMMYFUNCTION("""COMPUTED_VALUE"""),10.5)</f>
        <v>10.5</v>
      </c>
      <c r="L313" s="31" t="str">
        <f>IFERROR(__xludf.DUMMYFUNCTION("""COMPUTED_VALUE"""),"Racing")</f>
        <v>Racing</v>
      </c>
    </row>
    <row r="314">
      <c r="A314" s="17" t="str">
        <f>IFERROR(__xludf.DUMMYFUNCTION("""COMPUTED_VALUE"""),"Dragon Age II")</f>
        <v>Dragon Age II</v>
      </c>
      <c r="B314" s="20" t="str">
        <f>IFERROR(__xludf.DUMMYFUNCTION("""COMPUTED_VALUE"""),"Xbox / PC")</f>
        <v>Xbox / PC</v>
      </c>
      <c r="C314" s="21" t="str">
        <f>IFERROR(__xludf.DUMMYFUNCTION("""COMPUTED_VALUE"""),"Touch Controls")</f>
        <v>Touch Controls</v>
      </c>
      <c r="D314" s="21" t="str">
        <f>IFERROR(__xludf.DUMMYFUNCTION("""COMPUTED_VALUE"""),"Active")</f>
        <v>Active</v>
      </c>
      <c r="E314" s="23">
        <f>IFERROR(__xludf.DUMMYFUNCTION("""COMPUTED_VALUE"""),44145.0)</f>
        <v>44145</v>
      </c>
      <c r="F314" s="24"/>
      <c r="G314" s="27">
        <f>IFERROR(__xludf.DUMMYFUNCTION("""COMPUTED_VALUE"""),70.86666666666667)</f>
        <v>70.86666667</v>
      </c>
      <c r="H314" s="23">
        <f>IFERROR(__xludf.DUMMYFUNCTION("""COMPUTED_VALUE"""),40610.0)</f>
        <v>40610</v>
      </c>
      <c r="I314" s="27">
        <f>IFERROR(__xludf.DUMMYFUNCTION("""COMPUTED_VALUE"""),9.672222222222222)</f>
        <v>9.672222222</v>
      </c>
      <c r="J314" s="29">
        <f>IFERROR(__xludf.DUMMYFUNCTION("""COMPUTED_VALUE"""),79.0)</f>
        <v>79</v>
      </c>
      <c r="K314" s="29">
        <f>IFERROR(__xludf.DUMMYFUNCTION("""COMPUTED_VALUE"""),26.5)</f>
        <v>26.5</v>
      </c>
      <c r="L314" s="31" t="str">
        <f>IFERROR(__xludf.DUMMYFUNCTION("""COMPUTED_VALUE"""),"RPG")</f>
        <v>RPG</v>
      </c>
    </row>
    <row r="315">
      <c r="A315" s="17" t="str">
        <f>IFERROR(__xludf.DUMMYFUNCTION("""COMPUTED_VALUE"""),"Mirror's Edge")</f>
        <v>Mirror's Edge</v>
      </c>
      <c r="B315" s="20" t="str">
        <f>IFERROR(__xludf.DUMMYFUNCTION("""COMPUTED_VALUE"""),"Xbox / PC")</f>
        <v>Xbox / PC</v>
      </c>
      <c r="C315" s="21"/>
      <c r="D315" s="21" t="str">
        <f>IFERROR(__xludf.DUMMYFUNCTION("""COMPUTED_VALUE"""),"Active")</f>
        <v>Active</v>
      </c>
      <c r="E315" s="23">
        <f>IFERROR(__xludf.DUMMYFUNCTION("""COMPUTED_VALUE"""),44145.0)</f>
        <v>44145</v>
      </c>
      <c r="F315" s="24"/>
      <c r="G315" s="27">
        <f>IFERROR(__xludf.DUMMYFUNCTION("""COMPUTED_VALUE"""),70.86666666666667)</f>
        <v>70.86666667</v>
      </c>
      <c r="H315" s="23">
        <f>IFERROR(__xludf.DUMMYFUNCTION("""COMPUTED_VALUE"""),40269.0)</f>
        <v>40269</v>
      </c>
      <c r="I315" s="27">
        <f>IFERROR(__xludf.DUMMYFUNCTION("""COMPUTED_VALUE"""),10.608333333333333)</f>
        <v>10.60833333</v>
      </c>
      <c r="J315" s="29">
        <f>IFERROR(__xludf.DUMMYFUNCTION("""COMPUTED_VALUE"""),79.0)</f>
        <v>79</v>
      </c>
      <c r="K315" s="29">
        <f>IFERROR(__xludf.DUMMYFUNCTION("""COMPUTED_VALUE"""),6.0)</f>
        <v>6</v>
      </c>
      <c r="L315" s="31" t="str">
        <f>IFERROR(__xludf.DUMMYFUNCTION("""COMPUTED_VALUE"""),"Platformer")</f>
        <v>Platformer</v>
      </c>
    </row>
    <row r="316">
      <c r="A316" s="17" t="str">
        <f>IFERROR(__xludf.DUMMYFUNCTION("""COMPUTED_VALUE"""),"Halo: Combat Evolved - Anniversary")</f>
        <v>Halo: Combat Evolved - Anniversary</v>
      </c>
      <c r="B316" s="20" t="str">
        <f>IFERROR(__xludf.DUMMYFUNCTION("""COMPUTED_VALUE"""),"Xbox / PC")</f>
        <v>Xbox / PC</v>
      </c>
      <c r="C316" s="21"/>
      <c r="D316" s="21" t="str">
        <f>IFERROR(__xludf.DUMMYFUNCTION("""COMPUTED_VALUE"""),"Active")</f>
        <v>Active</v>
      </c>
      <c r="E316" s="23">
        <f>IFERROR(__xludf.DUMMYFUNCTION("""COMPUTED_VALUE"""),43893.0)</f>
        <v>43893</v>
      </c>
      <c r="F316" s="24"/>
      <c r="G316" s="27">
        <f>IFERROR(__xludf.DUMMYFUNCTION("""COMPUTED_VALUE"""),79.1)</f>
        <v>79.1</v>
      </c>
      <c r="H316" s="23">
        <f>IFERROR(__xludf.DUMMYFUNCTION("""COMPUTED_VALUE"""),37210.0)</f>
        <v>37210</v>
      </c>
      <c r="I316" s="27">
        <f>IFERROR(__xludf.DUMMYFUNCTION("""COMPUTED_VALUE"""),18.3)</f>
        <v>18.3</v>
      </c>
      <c r="J316" s="29">
        <f>IFERROR(__xludf.DUMMYFUNCTION("""COMPUTED_VALUE"""),79.0)</f>
        <v>79</v>
      </c>
      <c r="K316" s="29">
        <f>IFERROR(__xludf.DUMMYFUNCTION("""COMPUTED_VALUE"""),10.0)</f>
        <v>10</v>
      </c>
      <c r="L316" s="31" t="str">
        <f>IFERROR(__xludf.DUMMYFUNCTION("""COMPUTED_VALUE"""),"Shooter")</f>
        <v>Shooter</v>
      </c>
    </row>
    <row r="317">
      <c r="A317" s="17" t="str">
        <f>IFERROR(__xludf.DUMMYFUNCTION("""COMPUTED_VALUE"""),"Halo Wars 2")</f>
        <v>Halo Wars 2</v>
      </c>
      <c r="B317" s="20" t="str">
        <f>IFERROR(__xludf.DUMMYFUNCTION("""COMPUTED_VALUE"""),"Xbox / PC")</f>
        <v>Xbox / PC</v>
      </c>
      <c r="C317" s="21" t="str">
        <f>IFERROR(__xludf.DUMMYFUNCTION("""COMPUTED_VALUE"""),"Touch Controls")</f>
        <v>Touch Controls</v>
      </c>
      <c r="D317" s="21" t="str">
        <f>IFERROR(__xludf.DUMMYFUNCTION("""COMPUTED_VALUE"""),"Active")</f>
        <v>Active</v>
      </c>
      <c r="E317" s="23">
        <f>IFERROR(__xludf.DUMMYFUNCTION("""COMPUTED_VALUE"""),43132.0)</f>
        <v>43132</v>
      </c>
      <c r="F317" s="24"/>
      <c r="G317" s="27">
        <f>IFERROR(__xludf.DUMMYFUNCTION("""COMPUTED_VALUE"""),104.16666666666666)</f>
        <v>104.1666667</v>
      </c>
      <c r="H317" s="23">
        <f>IFERROR(__xludf.DUMMYFUNCTION("""COMPUTED_VALUE"""),42783.0)</f>
        <v>42783</v>
      </c>
      <c r="I317" s="27">
        <f>IFERROR(__xludf.DUMMYFUNCTION("""COMPUTED_VALUE"""),0.9555555555555556)</f>
        <v>0.9555555556</v>
      </c>
      <c r="J317" s="29">
        <f>IFERROR(__xludf.DUMMYFUNCTION("""COMPUTED_VALUE"""),79.0)</f>
        <v>79</v>
      </c>
      <c r="K317" s="29">
        <f>IFERROR(__xludf.DUMMYFUNCTION("""COMPUTED_VALUE"""),8.0)</f>
        <v>8</v>
      </c>
      <c r="L317" s="31" t="str">
        <f>IFERROR(__xludf.DUMMYFUNCTION("""COMPUTED_VALUE"""),"Real-Time Strategy")</f>
        <v>Real-Time Strategy</v>
      </c>
    </row>
    <row r="318">
      <c r="A318" s="17" t="str">
        <f>IFERROR(__xludf.DUMMYFUNCTION("""COMPUTED_VALUE"""),"Pacific Drive")</f>
        <v>Pacific Drive</v>
      </c>
      <c r="B318" s="20" t="str">
        <f>IFERROR(__xludf.DUMMYFUNCTION("""COMPUTED_VALUE"""),"Xbox / PC")</f>
        <v>Xbox / PC</v>
      </c>
      <c r="C318" s="21" t="str">
        <f>IFERROR(__xludf.DUMMYFUNCTION("""COMPUTED_VALUE"""),"Yes")</f>
        <v>Yes</v>
      </c>
      <c r="D318" s="21" t="str">
        <f>IFERROR(__xludf.DUMMYFUNCTION("""COMPUTED_VALUE"""),"Leaving Soon")</f>
        <v>Leaving Soon</v>
      </c>
      <c r="E318" s="23">
        <f>IFERROR(__xludf.DUMMYFUNCTION("""COMPUTED_VALUE"""),45953.0)</f>
        <v>45953</v>
      </c>
      <c r="F318" s="24">
        <f>IFERROR(__xludf.DUMMYFUNCTION("""COMPUTED_VALUE"""),46310.0)</f>
        <v>46310</v>
      </c>
      <c r="G318" s="27">
        <f>IFERROR(__xludf.DUMMYFUNCTION("""COMPUTED_VALUE"""),11.733333333333333)</f>
        <v>11.73333333</v>
      </c>
      <c r="H318" s="23">
        <f>IFERROR(__xludf.DUMMYFUNCTION("""COMPUTED_VALUE"""),45343.0)</f>
        <v>45343</v>
      </c>
      <c r="I318" s="27">
        <f>IFERROR(__xludf.DUMMYFUNCTION("""COMPUTED_VALUE"""),1.6722222222222223)</f>
        <v>1.672222222</v>
      </c>
      <c r="J318" s="29">
        <f>IFERROR(__xludf.DUMMYFUNCTION("""COMPUTED_VALUE"""),79.0)</f>
        <v>79</v>
      </c>
      <c r="K318" s="29">
        <f>IFERROR(__xludf.DUMMYFUNCTION("""COMPUTED_VALUE"""),20.0)</f>
        <v>20</v>
      </c>
      <c r="L318" s="31" t="str">
        <f>IFERROR(__xludf.DUMMYFUNCTION("""COMPUTED_VALUE"""),"Racing")</f>
        <v>Racing</v>
      </c>
    </row>
    <row r="319">
      <c r="A319" s="17" t="str">
        <f>IFERROR(__xludf.DUMMYFUNCTION("""COMPUTED_VALUE"""),"Star Wars Squadrons")</f>
        <v>Star Wars Squadrons</v>
      </c>
      <c r="B319" s="20" t="str">
        <f>IFERROR(__xludf.DUMMYFUNCTION("""COMPUTED_VALUE"""),"Xbox / PC")</f>
        <v>Xbox / PC</v>
      </c>
      <c r="C319" s="21" t="str">
        <f>IFERROR(__xludf.DUMMYFUNCTION("""COMPUTED_VALUE"""),"Touch Controls")</f>
        <v>Touch Controls</v>
      </c>
      <c r="D319" s="21" t="str">
        <f>IFERROR(__xludf.DUMMYFUNCTION("""COMPUTED_VALUE"""),"Active")</f>
        <v>Active</v>
      </c>
      <c r="E319" s="23">
        <f>IFERROR(__xludf.DUMMYFUNCTION("""COMPUTED_VALUE"""),44273.0)</f>
        <v>44273</v>
      </c>
      <c r="F319" s="24"/>
      <c r="G319" s="27">
        <f>IFERROR(__xludf.DUMMYFUNCTION("""COMPUTED_VALUE"""),66.6)</f>
        <v>66.6</v>
      </c>
      <c r="H319" s="23">
        <f>IFERROR(__xludf.DUMMYFUNCTION("""COMPUTED_VALUE"""),44106.0)</f>
        <v>44106</v>
      </c>
      <c r="I319" s="27">
        <f>IFERROR(__xludf.DUMMYFUNCTION("""COMPUTED_VALUE"""),0.46111111111111114)</f>
        <v>0.4611111111</v>
      </c>
      <c r="J319" s="29">
        <f>IFERROR(__xludf.DUMMYFUNCTION("""COMPUTED_VALUE"""),78.5)</f>
        <v>78.5</v>
      </c>
      <c r="K319" s="29">
        <f>IFERROR(__xludf.DUMMYFUNCTION("""COMPUTED_VALUE"""),9.0)</f>
        <v>9</v>
      </c>
      <c r="L319" s="31" t="str">
        <f>IFERROR(__xludf.DUMMYFUNCTION("""COMPUTED_VALUE"""),"Flight")</f>
        <v>Flight</v>
      </c>
    </row>
    <row r="320">
      <c r="A320" s="17" t="str">
        <f>IFERROR(__xludf.DUMMYFUNCTION("""COMPUTED_VALUE"""),"Dune: Awakening")</f>
        <v>Dune: Awakening</v>
      </c>
      <c r="B320" s="20" t="str">
        <f>IFERROR(__xludf.DUMMYFUNCTION("""COMPUTED_VALUE"""),"Xbox / PC")</f>
        <v>Xbox / PC</v>
      </c>
      <c r="C320" s="21" t="str">
        <f>IFERROR(__xludf.DUMMYFUNCTION("""COMPUTED_VALUE"""),"Yes")</f>
        <v>Yes</v>
      </c>
      <c r="D320" s="21" t="str">
        <f>IFERROR(__xludf.DUMMYFUNCTION("""COMPUTED_VALUE"""),"Active")</f>
        <v>Active</v>
      </c>
      <c r="E320" s="23">
        <f>IFERROR(__xludf.DUMMYFUNCTION("""COMPUTED_VALUE"""),46287.0)</f>
        <v>46287</v>
      </c>
      <c r="F320" s="24"/>
      <c r="G320" s="27">
        <f>IFERROR(__xludf.DUMMYFUNCTION("""COMPUTED_VALUE"""),0.4666666666666667)</f>
        <v>0.4666666667</v>
      </c>
      <c r="H320" s="23">
        <f>IFERROR(__xludf.DUMMYFUNCTION("""COMPUTED_VALUE"""),45818.0)</f>
        <v>45818</v>
      </c>
      <c r="I320" s="27">
        <f>IFERROR(__xludf.DUMMYFUNCTION("""COMPUTED_VALUE"""),1.2833333333333334)</f>
        <v>1.283333333</v>
      </c>
      <c r="J320" s="29">
        <f>IFERROR(__xludf.DUMMYFUNCTION("""COMPUTED_VALUE"""),78.0)</f>
        <v>78</v>
      </c>
      <c r="K320" s="29">
        <f>IFERROR(__xludf.DUMMYFUNCTION("""COMPUTED_VALUE"""),114.0)</f>
        <v>114</v>
      </c>
      <c r="L320" s="31" t="str">
        <f>IFERROR(__xludf.DUMMYFUNCTION("""COMPUTED_VALUE"""),"Action-Adventure")</f>
        <v>Action-Adventure</v>
      </c>
    </row>
    <row r="321">
      <c r="A321" s="17" t="str">
        <f>IFERROR(__xludf.DUMMYFUNCTION("""COMPUTED_VALUE"""),"Virtua Fighter 5 R.E.V.O. World Stage")</f>
        <v>Virtua Fighter 5 R.E.V.O. World Stage</v>
      </c>
      <c r="B321" s="20" t="str">
        <f>IFERROR(__xludf.DUMMYFUNCTION("""COMPUTED_VALUE"""),"Xbox / PC")</f>
        <v>Xbox / PC</v>
      </c>
      <c r="C321" s="21" t="str">
        <f>IFERROR(__xludf.DUMMYFUNCTION("""COMPUTED_VALUE"""),"Yes")</f>
        <v>Yes</v>
      </c>
      <c r="D321" s="21" t="str">
        <f>IFERROR(__xludf.DUMMYFUNCTION("""COMPUTED_VALUE"""),"Active")</f>
        <v>Active</v>
      </c>
      <c r="E321" s="23">
        <f>IFERROR(__xludf.DUMMYFUNCTION("""COMPUTED_VALUE"""),46275.0)</f>
        <v>46275</v>
      </c>
      <c r="F321" s="24"/>
      <c r="G321" s="27">
        <f>IFERROR(__xludf.DUMMYFUNCTION("""COMPUTED_VALUE"""),0.8666666666666666)</f>
        <v>0.8666666667</v>
      </c>
      <c r="H321" s="23">
        <f>IFERROR(__xludf.DUMMYFUNCTION("""COMPUTED_VALUE"""),45960.0)</f>
        <v>45960</v>
      </c>
      <c r="I321" s="27">
        <f>IFERROR(__xludf.DUMMYFUNCTION("""COMPUTED_VALUE"""),0.8611111111111112)</f>
        <v>0.8611111111</v>
      </c>
      <c r="J321" s="29">
        <f>IFERROR(__xludf.DUMMYFUNCTION("""COMPUTED_VALUE"""),78.0)</f>
        <v>78</v>
      </c>
      <c r="K321" s="29">
        <f>IFERROR(__xludf.DUMMYFUNCTION("""COMPUTED_VALUE"""),1.0)</f>
        <v>1</v>
      </c>
      <c r="L321" s="31" t="str">
        <f>IFERROR(__xludf.DUMMYFUNCTION("""COMPUTED_VALUE"""),"Fighting")</f>
        <v>Fighting</v>
      </c>
    </row>
    <row r="322">
      <c r="A322" s="17" t="str">
        <f>IFERROR(__xludf.DUMMYFUNCTION("""COMPUTED_VALUE"""),"Resonance: A Plague Tale Legacy")</f>
        <v>Resonance: A Plague Tale Legacy</v>
      </c>
      <c r="B322" s="20" t="str">
        <f>IFERROR(__xludf.DUMMYFUNCTION("""COMPUTED_VALUE"""),"Xbox / PC")</f>
        <v>Xbox / PC</v>
      </c>
      <c r="C322" s="21" t="str">
        <f>IFERROR(__xludf.DUMMYFUNCTION("""COMPUTED_VALUE"""),"Yes")</f>
        <v>Yes</v>
      </c>
      <c r="D322" s="21" t="str">
        <f>IFERROR(__xludf.DUMMYFUNCTION("""COMPUTED_VALUE"""),"Active")</f>
        <v>Active</v>
      </c>
      <c r="E322" s="23">
        <f>IFERROR(__xludf.DUMMYFUNCTION("""COMPUTED_VALUE"""),46261.0)</f>
        <v>46261</v>
      </c>
      <c r="F322" s="24"/>
      <c r="G322" s="27">
        <f>IFERROR(__xludf.DUMMYFUNCTION("""COMPUTED_VALUE"""),1.3)</f>
        <v>1.3</v>
      </c>
      <c r="H322" s="23">
        <f>IFERROR(__xludf.DUMMYFUNCTION("""COMPUTED_VALUE"""),46261.0)</f>
        <v>46261</v>
      </c>
      <c r="I322" s="27">
        <f>IFERROR(__xludf.DUMMYFUNCTION("""COMPUTED_VALUE"""),0.0)</f>
        <v>0</v>
      </c>
      <c r="J322" s="29">
        <f>IFERROR(__xludf.DUMMYFUNCTION("""COMPUTED_VALUE"""),78.0)</f>
        <v>78</v>
      </c>
      <c r="K322" s="29">
        <f>IFERROR(__xludf.DUMMYFUNCTION("""COMPUTED_VALUE"""),12.0)</f>
        <v>12</v>
      </c>
      <c r="L322" s="31" t="str">
        <f>IFERROR(__xludf.DUMMYFUNCTION("""COMPUTED_VALUE"""),"Action-Adventure")</f>
        <v>Action-Adventure</v>
      </c>
    </row>
    <row r="323">
      <c r="A323" s="17" t="str">
        <f>IFERROR(__xludf.DUMMYFUNCTION("""COMPUTED_VALUE"""),"Date Everything!")</f>
        <v>Date Everything!</v>
      </c>
      <c r="B323" s="20" t="str">
        <f>IFERROR(__xludf.DUMMYFUNCTION("""COMPUTED_VALUE"""),"Xbox / PC")</f>
        <v>Xbox / PC</v>
      </c>
      <c r="C323" s="21" t="str">
        <f>IFERROR(__xludf.DUMMYFUNCTION("""COMPUTED_VALUE"""),"Yes")</f>
        <v>Yes</v>
      </c>
      <c r="D323" s="21" t="str">
        <f>IFERROR(__xludf.DUMMYFUNCTION("""COMPUTED_VALUE"""),"Active")</f>
        <v>Active</v>
      </c>
      <c r="E323" s="23">
        <f>IFERROR(__xludf.DUMMYFUNCTION("""COMPUTED_VALUE"""),46245.0)</f>
        <v>46245</v>
      </c>
      <c r="F323" s="24"/>
      <c r="G323" s="27">
        <f>IFERROR(__xludf.DUMMYFUNCTION("""COMPUTED_VALUE"""),1.8333333333333335)</f>
        <v>1.833333333</v>
      </c>
      <c r="H323" s="23">
        <f>IFERROR(__xludf.DUMMYFUNCTION("""COMPUTED_VALUE"""),45825.0)</f>
        <v>45825</v>
      </c>
      <c r="I323" s="27">
        <f>IFERROR(__xludf.DUMMYFUNCTION("""COMPUTED_VALUE"""),1.15)</f>
        <v>1.15</v>
      </c>
      <c r="J323" s="29">
        <f>IFERROR(__xludf.DUMMYFUNCTION("""COMPUTED_VALUE"""),78.0)</f>
        <v>78</v>
      </c>
      <c r="K323" s="29">
        <f>IFERROR(__xludf.DUMMYFUNCTION("""COMPUTED_VALUE"""),15.0)</f>
        <v>15</v>
      </c>
      <c r="L323" s="31" t="str">
        <f>IFERROR(__xludf.DUMMYFUNCTION("""COMPUTED_VALUE"""),"Simulation")</f>
        <v>Simulation</v>
      </c>
    </row>
    <row r="324">
      <c r="A324" s="17" t="str">
        <f>IFERROR(__xludf.DUMMYFUNCTION("""COMPUTED_VALUE"""),"Mavrix by Matt Jones")</f>
        <v>Mavrix by Matt Jones</v>
      </c>
      <c r="B324" s="20" t="str">
        <f>IFERROR(__xludf.DUMMYFUNCTION("""COMPUTED_VALUE"""),"Xbox / PC")</f>
        <v>Xbox / PC</v>
      </c>
      <c r="C324" s="21" t="str">
        <f>IFERROR(__xludf.DUMMYFUNCTION("""COMPUTED_VALUE"""),"Yes")</f>
        <v>Yes</v>
      </c>
      <c r="D324" s="21" t="str">
        <f>IFERROR(__xludf.DUMMYFUNCTION("""COMPUTED_VALUE"""),"Active")</f>
        <v>Active</v>
      </c>
      <c r="E324" s="23">
        <f>IFERROR(__xludf.DUMMYFUNCTION("""COMPUTED_VALUE"""),46219.0)</f>
        <v>46219</v>
      </c>
      <c r="F324" s="24"/>
      <c r="G324" s="27">
        <f>IFERROR(__xludf.DUMMYFUNCTION("""COMPUTED_VALUE"""),2.6666666666666665)</f>
        <v>2.666666667</v>
      </c>
      <c r="H324" s="23">
        <f>IFERROR(__xludf.DUMMYFUNCTION("""COMPUTED_VALUE"""),46219.0)</f>
        <v>46219</v>
      </c>
      <c r="I324" s="27">
        <f>IFERROR(__xludf.DUMMYFUNCTION("""COMPUTED_VALUE"""),0.0)</f>
        <v>0</v>
      </c>
      <c r="J324" s="29">
        <f>IFERROR(__xludf.DUMMYFUNCTION("""COMPUTED_VALUE"""),78.0)</f>
        <v>78</v>
      </c>
      <c r="K324" s="29"/>
      <c r="L324" s="31" t="str">
        <f>IFERROR(__xludf.DUMMYFUNCTION("""COMPUTED_VALUE"""),"Racing")</f>
        <v>Racing</v>
      </c>
    </row>
    <row r="325">
      <c r="A325" s="17" t="str">
        <f>IFERROR(__xludf.DUMMYFUNCTION("""COMPUTED_VALUE"""),"Junkster")</f>
        <v>Junkster</v>
      </c>
      <c r="B325" s="20" t="str">
        <f>IFERROR(__xludf.DUMMYFUNCTION("""COMPUTED_VALUE"""),"Xbox / PC")</f>
        <v>Xbox / PC</v>
      </c>
      <c r="C325" s="21" t="str">
        <f>IFERROR(__xludf.DUMMYFUNCTION("""COMPUTED_VALUE"""),"Yes")</f>
        <v>Yes</v>
      </c>
      <c r="D325" s="21" t="str">
        <f>IFERROR(__xludf.DUMMYFUNCTION("""COMPUTED_VALUE"""),"Active")</f>
        <v>Active</v>
      </c>
      <c r="E325" s="23">
        <f>IFERROR(__xludf.DUMMYFUNCTION("""COMPUTED_VALUE"""),46189.0)</f>
        <v>46189</v>
      </c>
      <c r="F325" s="24"/>
      <c r="G325" s="27">
        <f>IFERROR(__xludf.DUMMYFUNCTION("""COMPUTED_VALUE"""),3.666666666666667)</f>
        <v>3.666666667</v>
      </c>
      <c r="H325" s="23">
        <f>IFERROR(__xludf.DUMMYFUNCTION("""COMPUTED_VALUE"""),46189.0)</f>
        <v>46189</v>
      </c>
      <c r="I325" s="27">
        <f>IFERROR(__xludf.DUMMYFUNCTION("""COMPUTED_VALUE"""),0.0)</f>
        <v>0</v>
      </c>
      <c r="J325" s="29">
        <f>IFERROR(__xludf.DUMMYFUNCTION("""COMPUTED_VALUE"""),78.0)</f>
        <v>78</v>
      </c>
      <c r="K325" s="29">
        <f>IFERROR(__xludf.DUMMYFUNCTION("""COMPUTED_VALUE"""),4.0)</f>
        <v>4</v>
      </c>
      <c r="L325" s="31" t="str">
        <f>IFERROR(__xludf.DUMMYFUNCTION("""COMPUTED_VALUE"""),"Action-Adventure")</f>
        <v>Action-Adventure</v>
      </c>
    </row>
    <row r="326">
      <c r="A326" s="17" t="str">
        <f>IFERROR(__xludf.DUMMYFUNCTION("""COMPUTED_VALUE"""),"Kabuto Park")</f>
        <v>Kabuto Park</v>
      </c>
      <c r="B326" s="20" t="str">
        <f>IFERROR(__xludf.DUMMYFUNCTION("""COMPUTED_VALUE"""),"Xbox / PC")</f>
        <v>Xbox / PC</v>
      </c>
      <c r="C326" s="21" t="str">
        <f>IFERROR(__xludf.DUMMYFUNCTION("""COMPUTED_VALUE"""),"Yes")</f>
        <v>Yes</v>
      </c>
      <c r="D326" s="21" t="str">
        <f>IFERROR(__xludf.DUMMYFUNCTION("""COMPUTED_VALUE"""),"Active")</f>
        <v>Active</v>
      </c>
      <c r="E326" s="23">
        <f>IFERROR(__xludf.DUMMYFUNCTION("""COMPUTED_VALUE"""),46170.0)</f>
        <v>46170</v>
      </c>
      <c r="F326" s="24"/>
      <c r="G326" s="27">
        <f>IFERROR(__xludf.DUMMYFUNCTION("""COMPUTED_VALUE"""),4.266666666666667)</f>
        <v>4.266666667</v>
      </c>
      <c r="H326" s="23">
        <f>IFERROR(__xludf.DUMMYFUNCTION("""COMPUTED_VALUE"""),46170.0)</f>
        <v>46170</v>
      </c>
      <c r="I326" s="27">
        <f>IFERROR(__xludf.DUMMYFUNCTION("""COMPUTED_VALUE"""),0.0)</f>
        <v>0</v>
      </c>
      <c r="J326" s="29">
        <f>IFERROR(__xludf.DUMMYFUNCTION("""COMPUTED_VALUE"""),78.0)</f>
        <v>78</v>
      </c>
      <c r="K326" s="29">
        <f>IFERROR(__xludf.DUMMYFUNCTION("""COMPUTED_VALUE"""),2.0)</f>
        <v>2</v>
      </c>
      <c r="L326" s="31" t="str">
        <f>IFERROR(__xludf.DUMMYFUNCTION("""COMPUTED_VALUE"""),"Simulation")</f>
        <v>Simulation</v>
      </c>
    </row>
    <row r="327">
      <c r="A327" s="17" t="str">
        <f>IFERROR(__xludf.DUMMYFUNCTION("""COMPUTED_VALUE"""),"Kingdom Come: Deliverance")</f>
        <v>Kingdom Come: Deliverance</v>
      </c>
      <c r="B327" s="20" t="str">
        <f>IFERROR(__xludf.DUMMYFUNCTION("""COMPUTED_VALUE"""),"Xbox / PC")</f>
        <v>Xbox / PC</v>
      </c>
      <c r="C327" s="21" t="str">
        <f>IFERROR(__xludf.DUMMYFUNCTION("""COMPUTED_VALUE"""),"Yes")</f>
        <v>Yes</v>
      </c>
      <c r="D327" s="21" t="str">
        <f>IFERROR(__xludf.DUMMYFUNCTION("""COMPUTED_VALUE"""),"Active")</f>
        <v>Active</v>
      </c>
      <c r="E327" s="23">
        <f>IFERROR(__xludf.DUMMYFUNCTION("""COMPUTED_VALUE"""),46066.0)</f>
        <v>46066</v>
      </c>
      <c r="F327" s="24"/>
      <c r="G327" s="27">
        <f>IFERROR(__xludf.DUMMYFUNCTION("""COMPUTED_VALUE"""),7.7666666666666675)</f>
        <v>7.766666667</v>
      </c>
      <c r="H327" s="23">
        <f>IFERROR(__xludf.DUMMYFUNCTION("""COMPUTED_VALUE"""),43144.0)</f>
        <v>43144</v>
      </c>
      <c r="I327" s="27">
        <f>IFERROR(__xludf.DUMMYFUNCTION("""COMPUTED_VALUE"""),8.0)</f>
        <v>8</v>
      </c>
      <c r="J327" s="29">
        <f>IFERROR(__xludf.DUMMYFUNCTION("""COMPUTED_VALUE"""),78.0)</f>
        <v>78</v>
      </c>
      <c r="K327" s="29">
        <f>IFERROR(__xludf.DUMMYFUNCTION("""COMPUTED_VALUE"""),50.0)</f>
        <v>50</v>
      </c>
      <c r="L327" s="31" t="str">
        <f>IFERROR(__xludf.DUMMYFUNCTION("""COMPUTED_VALUE"""),"Action-Adventure")</f>
        <v>Action-Adventure</v>
      </c>
    </row>
    <row r="328">
      <c r="A328" s="17" t="str">
        <f>IFERROR(__xludf.DUMMYFUNCTION("""COMPUTED_VALUE"""),"Banishers: Ghosts of New Eden")</f>
        <v>Banishers: Ghosts of New Eden</v>
      </c>
      <c r="B328" s="20" t="str">
        <f>IFERROR(__xludf.DUMMYFUNCTION("""COMPUTED_VALUE"""),"Xbox / PC")</f>
        <v>Xbox / PC</v>
      </c>
      <c r="C328" s="21" t="str">
        <f>IFERROR(__xludf.DUMMYFUNCTION("""COMPUTED_VALUE"""),"Yes")</f>
        <v>Yes</v>
      </c>
      <c r="D328" s="21" t="str">
        <f>IFERROR(__xludf.DUMMYFUNCTION("""COMPUTED_VALUE"""),"Active")</f>
        <v>Active</v>
      </c>
      <c r="E328" s="23">
        <f>IFERROR(__xludf.DUMMYFUNCTION("""COMPUTED_VALUE"""),45986.0)</f>
        <v>45986</v>
      </c>
      <c r="F328" s="24"/>
      <c r="G328" s="27">
        <f>IFERROR(__xludf.DUMMYFUNCTION("""COMPUTED_VALUE"""),10.366666666666667)</f>
        <v>10.36666667</v>
      </c>
      <c r="H328" s="23">
        <f>IFERROR(__xludf.DUMMYFUNCTION("""COMPUTED_VALUE"""),45335.0)</f>
        <v>45335</v>
      </c>
      <c r="I328" s="27">
        <f>IFERROR(__xludf.DUMMYFUNCTION("""COMPUTED_VALUE"""),1.7833333333333334)</f>
        <v>1.783333333</v>
      </c>
      <c r="J328" s="29">
        <f>IFERROR(__xludf.DUMMYFUNCTION("""COMPUTED_VALUE"""),78.0)</f>
        <v>78</v>
      </c>
      <c r="K328" s="29">
        <f>IFERROR(__xludf.DUMMYFUNCTION("""COMPUTED_VALUE"""),27.0)</f>
        <v>27</v>
      </c>
      <c r="L328" s="31" t="str">
        <f>IFERROR(__xludf.DUMMYFUNCTION("""COMPUTED_VALUE"""),"Action-Adventure")</f>
        <v>Action-Adventure</v>
      </c>
    </row>
    <row r="329">
      <c r="A329" s="17" t="str">
        <f>IFERROR(__xludf.DUMMYFUNCTION("""COMPUTED_VALUE"""),"The Colonel's Bequest")</f>
        <v>The Colonel's Bequest</v>
      </c>
      <c r="B329" s="20" t="str">
        <f>IFERROR(__xludf.DUMMYFUNCTION("""COMPUTED_VALUE"""),"Xbox / PC")</f>
        <v>Xbox / PC</v>
      </c>
      <c r="C329" s="21" t="str">
        <f>IFERROR(__xludf.DUMMYFUNCTION("""COMPUTED_VALUE"""),"Yes")</f>
        <v>Yes</v>
      </c>
      <c r="D329" s="21" t="str">
        <f>IFERROR(__xludf.DUMMYFUNCTION("""COMPUTED_VALUE"""),"Active")</f>
        <v>Active</v>
      </c>
      <c r="E329" s="23">
        <f>IFERROR(__xludf.DUMMYFUNCTION("""COMPUTED_VALUE"""),45883.0)</f>
        <v>45883</v>
      </c>
      <c r="F329" s="24"/>
      <c r="G329" s="27">
        <f>IFERROR(__xludf.DUMMYFUNCTION("""COMPUTED_VALUE"""),13.733333333333333)</f>
        <v>13.73333333</v>
      </c>
      <c r="H329" s="23">
        <f>IFERROR(__xludf.DUMMYFUNCTION("""COMPUTED_VALUE"""),32782.0)</f>
        <v>32782</v>
      </c>
      <c r="I329" s="27">
        <f>IFERROR(__xludf.DUMMYFUNCTION("""COMPUTED_VALUE"""),35.86944444444445)</f>
        <v>35.86944444</v>
      </c>
      <c r="J329" s="29">
        <f>IFERROR(__xludf.DUMMYFUNCTION("""COMPUTED_VALUE"""),78.0)</f>
        <v>78</v>
      </c>
      <c r="K329" s="29">
        <f>IFERROR(__xludf.DUMMYFUNCTION("""COMPUTED_VALUE"""),3.5)</f>
        <v>3.5</v>
      </c>
      <c r="L329" s="31" t="str">
        <f>IFERROR(__xludf.DUMMYFUNCTION("""COMPUTED_VALUE"""),"Action-Adventure")</f>
        <v>Action-Adventure</v>
      </c>
    </row>
    <row r="330">
      <c r="A330" s="17" t="str">
        <f>IFERROR(__xludf.DUMMYFUNCTION("""COMPUTED_VALUE"""),"Rematch")</f>
        <v>Rematch</v>
      </c>
      <c r="B330" s="20" t="str">
        <f>IFERROR(__xludf.DUMMYFUNCTION("""COMPUTED_VALUE"""),"Xbox / PC")</f>
        <v>Xbox / PC</v>
      </c>
      <c r="C330" s="21" t="str">
        <f>IFERROR(__xludf.DUMMYFUNCTION("""COMPUTED_VALUE"""),"Yes")</f>
        <v>Yes</v>
      </c>
      <c r="D330" s="21" t="str">
        <f>IFERROR(__xludf.DUMMYFUNCTION("""COMPUTED_VALUE"""),"Active")</f>
        <v>Active</v>
      </c>
      <c r="E330" s="23">
        <f>IFERROR(__xludf.DUMMYFUNCTION("""COMPUTED_VALUE"""),45827.0)</f>
        <v>45827</v>
      </c>
      <c r="F330" s="24"/>
      <c r="G330" s="27">
        <f>IFERROR(__xludf.DUMMYFUNCTION("""COMPUTED_VALUE"""),15.566666666666666)</f>
        <v>15.56666667</v>
      </c>
      <c r="H330" s="23">
        <f>IFERROR(__xludf.DUMMYFUNCTION("""COMPUTED_VALUE"""),45827.0)</f>
        <v>45827</v>
      </c>
      <c r="I330" s="27">
        <f>IFERROR(__xludf.DUMMYFUNCTION("""COMPUTED_VALUE"""),0.0)</f>
        <v>0</v>
      </c>
      <c r="J330" s="29">
        <f>IFERROR(__xludf.DUMMYFUNCTION("""COMPUTED_VALUE"""),78.0)</f>
        <v>78</v>
      </c>
      <c r="K330" s="29">
        <f>IFERROR(__xludf.DUMMYFUNCTION("""COMPUTED_VALUE"""),37.0)</f>
        <v>37</v>
      </c>
      <c r="L330" s="31" t="str">
        <f>IFERROR(__xludf.DUMMYFUNCTION("""COMPUTED_VALUE"""),"Sports")</f>
        <v>Sports</v>
      </c>
    </row>
    <row r="331">
      <c r="A331" s="17" t="str">
        <f>IFERROR(__xludf.DUMMYFUNCTION("""COMPUTED_VALUE"""),"Lost in Random: The Eternal Die")</f>
        <v>Lost in Random: The Eternal Die</v>
      </c>
      <c r="B331" s="20" t="str">
        <f>IFERROR(__xludf.DUMMYFUNCTION("""COMPUTED_VALUE"""),"Xbox / PC")</f>
        <v>Xbox / PC</v>
      </c>
      <c r="C331" s="21" t="str">
        <f>IFERROR(__xludf.DUMMYFUNCTION("""COMPUTED_VALUE"""),"Yes")</f>
        <v>Yes</v>
      </c>
      <c r="D331" s="21" t="str">
        <f>IFERROR(__xludf.DUMMYFUNCTION("""COMPUTED_VALUE"""),"Active")</f>
        <v>Active</v>
      </c>
      <c r="E331" s="23">
        <f>IFERROR(__xludf.DUMMYFUNCTION("""COMPUTED_VALUE"""),45825.0)</f>
        <v>45825</v>
      </c>
      <c r="F331" s="24"/>
      <c r="G331" s="27">
        <f>IFERROR(__xludf.DUMMYFUNCTION("""COMPUTED_VALUE"""),15.633333333333333)</f>
        <v>15.63333333</v>
      </c>
      <c r="H331" s="23">
        <f>IFERROR(__xludf.DUMMYFUNCTION("""COMPUTED_VALUE"""),45825.0)</f>
        <v>45825</v>
      </c>
      <c r="I331" s="27">
        <f>IFERROR(__xludf.DUMMYFUNCTION("""COMPUTED_VALUE"""),0.0)</f>
        <v>0</v>
      </c>
      <c r="J331" s="29">
        <f>IFERROR(__xludf.DUMMYFUNCTION("""COMPUTED_VALUE"""),78.0)</f>
        <v>78</v>
      </c>
      <c r="K331" s="29">
        <f>IFERROR(__xludf.DUMMYFUNCTION("""COMPUTED_VALUE"""),6.0)</f>
        <v>6</v>
      </c>
      <c r="L331" s="31" t="str">
        <f>IFERROR(__xludf.DUMMYFUNCTION("""COMPUTED_VALUE"""),"Action-Adventure")</f>
        <v>Action-Adventure</v>
      </c>
    </row>
    <row r="332">
      <c r="A332" s="17" t="str">
        <f>IFERROR(__xludf.DUMMYFUNCTION("""COMPUTED_VALUE"""),"Baldur's Gate: Enhanced Edition")</f>
        <v>Baldur's Gate: Enhanced Edition</v>
      </c>
      <c r="B332" s="20" t="str">
        <f>IFERROR(__xludf.DUMMYFUNCTION("""COMPUTED_VALUE"""),"Xbox / PC")</f>
        <v>Xbox / PC</v>
      </c>
      <c r="C332" s="21" t="str">
        <f>IFERROR(__xludf.DUMMYFUNCTION("""COMPUTED_VALUE"""),"Yes")</f>
        <v>Yes</v>
      </c>
      <c r="D332" s="21" t="str">
        <f>IFERROR(__xludf.DUMMYFUNCTION("""COMPUTED_VALUE"""),"Active")</f>
        <v>Active</v>
      </c>
      <c r="E332" s="23">
        <f>IFERROR(__xludf.DUMMYFUNCTION("""COMPUTED_VALUE"""),45813.0)</f>
        <v>45813</v>
      </c>
      <c r="F332" s="24"/>
      <c r="G332" s="27">
        <f>IFERROR(__xludf.DUMMYFUNCTION("""COMPUTED_VALUE"""),16.03333333333333)</f>
        <v>16.03333333</v>
      </c>
      <c r="H332" s="23">
        <f>IFERROR(__xludf.DUMMYFUNCTION("""COMPUTED_VALUE"""),41241.0)</f>
        <v>41241</v>
      </c>
      <c r="I332" s="27">
        <f>IFERROR(__xludf.DUMMYFUNCTION("""COMPUTED_VALUE"""),12.519444444444444)</f>
        <v>12.51944444</v>
      </c>
      <c r="J332" s="29">
        <f>IFERROR(__xludf.DUMMYFUNCTION("""COMPUTED_VALUE"""),78.0)</f>
        <v>78</v>
      </c>
      <c r="K332" s="29">
        <f>IFERROR(__xludf.DUMMYFUNCTION("""COMPUTED_VALUE"""),31.0)</f>
        <v>31</v>
      </c>
      <c r="L332" s="31" t="str">
        <f>IFERROR(__xludf.DUMMYFUNCTION("""COMPUTED_VALUE"""),"RPG")</f>
        <v>RPG</v>
      </c>
    </row>
    <row r="333">
      <c r="A333" s="17" t="str">
        <f>IFERROR(__xludf.DUMMYFUNCTION("""COMPUTED_VALUE"""),"Baldur's Gate II: Enhanced Edition")</f>
        <v>Baldur's Gate II: Enhanced Edition</v>
      </c>
      <c r="B333" s="20" t="str">
        <f>IFERROR(__xludf.DUMMYFUNCTION("""COMPUTED_VALUE"""),"Xbox / PC")</f>
        <v>Xbox / PC</v>
      </c>
      <c r="C333" s="21" t="str">
        <f>IFERROR(__xludf.DUMMYFUNCTION("""COMPUTED_VALUE"""),"Yes")</f>
        <v>Yes</v>
      </c>
      <c r="D333" s="21" t="str">
        <f>IFERROR(__xludf.DUMMYFUNCTION("""COMPUTED_VALUE"""),"Active")</f>
        <v>Active</v>
      </c>
      <c r="E333" s="23">
        <f>IFERROR(__xludf.DUMMYFUNCTION("""COMPUTED_VALUE"""),45813.0)</f>
        <v>45813</v>
      </c>
      <c r="F333" s="24"/>
      <c r="G333" s="27">
        <f>IFERROR(__xludf.DUMMYFUNCTION("""COMPUTED_VALUE"""),16.03333333333333)</f>
        <v>16.03333333</v>
      </c>
      <c r="H333" s="23">
        <f>IFERROR(__xludf.DUMMYFUNCTION("""COMPUTED_VALUE"""),41593.0)</f>
        <v>41593</v>
      </c>
      <c r="I333" s="27">
        <f>IFERROR(__xludf.DUMMYFUNCTION("""COMPUTED_VALUE"""),11.555555555555555)</f>
        <v>11.55555556</v>
      </c>
      <c r="J333" s="29">
        <f>IFERROR(__xludf.DUMMYFUNCTION("""COMPUTED_VALUE"""),78.0)</f>
        <v>78</v>
      </c>
      <c r="K333" s="29">
        <f>IFERROR(__xludf.DUMMYFUNCTION("""COMPUTED_VALUE"""),45.0)</f>
        <v>45</v>
      </c>
      <c r="L333" s="31" t="str">
        <f>IFERROR(__xludf.DUMMYFUNCTION("""COMPUTED_VALUE"""),"RPG")</f>
        <v>RPG</v>
      </c>
    </row>
    <row r="334">
      <c r="A334" s="17" t="str">
        <f>IFERROR(__xludf.DUMMYFUNCTION("""COMPUTED_VALUE"""),"Atlantis")</f>
        <v>Atlantis</v>
      </c>
      <c r="B334" s="20" t="str">
        <f>IFERROR(__xludf.DUMMYFUNCTION("""COMPUTED_VALUE"""),"Xbox / PC")</f>
        <v>Xbox / PC</v>
      </c>
      <c r="C334" s="21" t="str">
        <f>IFERROR(__xludf.DUMMYFUNCTION("""COMPUTED_VALUE"""),"Yes")</f>
        <v>Yes</v>
      </c>
      <c r="D334" s="21" t="str">
        <f>IFERROR(__xludf.DUMMYFUNCTION("""COMPUTED_VALUE"""),"Active")</f>
        <v>Active</v>
      </c>
      <c r="E334" s="23">
        <f>IFERROR(__xludf.DUMMYFUNCTION("""COMPUTED_VALUE"""),45798.0)</f>
        <v>45798</v>
      </c>
      <c r="F334" s="24"/>
      <c r="G334" s="27">
        <f>IFERROR(__xludf.DUMMYFUNCTION("""COMPUTED_VALUE"""),16.5)</f>
        <v>16.5</v>
      </c>
      <c r="H334" s="23">
        <f>IFERROR(__xludf.DUMMYFUNCTION("""COMPUTED_VALUE"""),32255.0)</f>
        <v>32255</v>
      </c>
      <c r="I334" s="27">
        <f>IFERROR(__xludf.DUMMYFUNCTION("""COMPUTED_VALUE"""),37.080555555555556)</f>
        <v>37.08055556</v>
      </c>
      <c r="J334" s="29">
        <f>IFERROR(__xludf.DUMMYFUNCTION("""COMPUTED_VALUE"""),78.0)</f>
        <v>78</v>
      </c>
      <c r="K334" s="29"/>
      <c r="L334" s="31" t="str">
        <f>IFERROR(__xludf.DUMMYFUNCTION("""COMPUTED_VALUE"""),"Shooter")</f>
        <v>Shooter</v>
      </c>
    </row>
    <row r="335">
      <c r="A335" s="17" t="str">
        <f>IFERROR(__xludf.DUMMYFUNCTION("""COMPUTED_VALUE"""),"River Raid")</f>
        <v>River Raid</v>
      </c>
      <c r="B335" s="20" t="str">
        <f>IFERROR(__xludf.DUMMYFUNCTION("""COMPUTED_VALUE"""),"Xbox / PC")</f>
        <v>Xbox / PC</v>
      </c>
      <c r="C335" s="21" t="str">
        <f>IFERROR(__xludf.DUMMYFUNCTION("""COMPUTED_VALUE"""),"Yes")</f>
        <v>Yes</v>
      </c>
      <c r="D335" s="21" t="str">
        <f>IFERROR(__xludf.DUMMYFUNCTION("""COMPUTED_VALUE"""),"Active")</f>
        <v>Active</v>
      </c>
      <c r="E335" s="23">
        <f>IFERROR(__xludf.DUMMYFUNCTION("""COMPUTED_VALUE"""),45798.0)</f>
        <v>45798</v>
      </c>
      <c r="F335" s="24"/>
      <c r="G335" s="27">
        <f>IFERROR(__xludf.DUMMYFUNCTION("""COMPUTED_VALUE"""),16.5)</f>
        <v>16.5</v>
      </c>
      <c r="H335" s="23">
        <f>IFERROR(__xludf.DUMMYFUNCTION("""COMPUTED_VALUE"""),30164.0)</f>
        <v>30164</v>
      </c>
      <c r="I335" s="27">
        <f>IFERROR(__xludf.DUMMYFUNCTION("""COMPUTED_VALUE"""),42.80555555555556)</f>
        <v>42.80555556</v>
      </c>
      <c r="J335" s="29">
        <f>IFERROR(__xludf.DUMMYFUNCTION("""COMPUTED_VALUE"""),78.0)</f>
        <v>78</v>
      </c>
      <c r="K335" s="29">
        <f>IFERROR(__xludf.DUMMYFUNCTION("""COMPUTED_VALUE"""),1.0)</f>
        <v>1</v>
      </c>
      <c r="L335" s="31" t="str">
        <f>IFERROR(__xludf.DUMMYFUNCTION("""COMPUTED_VALUE"""),"Shooter")</f>
        <v>Shooter</v>
      </c>
    </row>
    <row r="336">
      <c r="A336" s="17" t="str">
        <f>IFERROR(__xludf.DUMMYFUNCTION("""COMPUTED_VALUE"""),"Microsoft Flight Simulator 2024")</f>
        <v>Microsoft Flight Simulator 2024</v>
      </c>
      <c r="B336" s="20" t="str">
        <f>IFERROR(__xludf.DUMMYFUNCTION("""COMPUTED_VALUE"""),"Xbox / PC")</f>
        <v>Xbox / PC</v>
      </c>
      <c r="C336" s="21" t="str">
        <f>IFERROR(__xludf.DUMMYFUNCTION("""COMPUTED_VALUE"""),"Yes")</f>
        <v>Yes</v>
      </c>
      <c r="D336" s="21" t="str">
        <f>IFERROR(__xludf.DUMMYFUNCTION("""COMPUTED_VALUE"""),"Active")</f>
        <v>Active</v>
      </c>
      <c r="E336" s="23">
        <f>IFERROR(__xludf.DUMMYFUNCTION("""COMPUTED_VALUE"""),45615.0)</f>
        <v>45615</v>
      </c>
      <c r="F336" s="24"/>
      <c r="G336" s="27">
        <f>IFERROR(__xludf.DUMMYFUNCTION("""COMPUTED_VALUE"""),22.566666666666666)</f>
        <v>22.56666667</v>
      </c>
      <c r="H336" s="23">
        <f>IFERROR(__xludf.DUMMYFUNCTION("""COMPUTED_VALUE"""),45615.0)</f>
        <v>45615</v>
      </c>
      <c r="I336" s="27">
        <f>IFERROR(__xludf.DUMMYFUNCTION("""COMPUTED_VALUE"""),0.0)</f>
        <v>0</v>
      </c>
      <c r="J336" s="29">
        <f>IFERROR(__xludf.DUMMYFUNCTION("""COMPUTED_VALUE"""),78.0)</f>
        <v>78</v>
      </c>
      <c r="K336" s="29">
        <f>IFERROR(__xludf.DUMMYFUNCTION("""COMPUTED_VALUE"""),50.0)</f>
        <v>50</v>
      </c>
      <c r="L336" s="31" t="str">
        <f>IFERROR(__xludf.DUMMYFUNCTION("""COMPUTED_VALUE"""),"Simulation")</f>
        <v>Simulation</v>
      </c>
    </row>
    <row r="337">
      <c r="A337" s="17" t="str">
        <f>IFERROR(__xludf.DUMMYFUNCTION("""COMPUTED_VALUE"""),"Palworld")</f>
        <v>Palworld</v>
      </c>
      <c r="B337" s="20" t="str">
        <f>IFERROR(__xludf.DUMMYFUNCTION("""COMPUTED_VALUE"""),"Xbox / PC")</f>
        <v>Xbox / PC</v>
      </c>
      <c r="C337" s="21" t="str">
        <f>IFERROR(__xludf.DUMMYFUNCTION("""COMPUTED_VALUE"""),"Yes")</f>
        <v>Yes</v>
      </c>
      <c r="D337" s="21" t="str">
        <f>IFERROR(__xludf.DUMMYFUNCTION("""COMPUTED_VALUE"""),"Active")</f>
        <v>Active</v>
      </c>
      <c r="E337" s="23">
        <f>IFERROR(__xludf.DUMMYFUNCTION("""COMPUTED_VALUE"""),45310.0)</f>
        <v>45310</v>
      </c>
      <c r="F337" s="24"/>
      <c r="G337" s="27">
        <f>IFERROR(__xludf.DUMMYFUNCTION("""COMPUTED_VALUE"""),32.56666666666667)</f>
        <v>32.56666667</v>
      </c>
      <c r="H337" s="23">
        <f>IFERROR(__xludf.DUMMYFUNCTION("""COMPUTED_VALUE"""),45310.0)</f>
        <v>45310</v>
      </c>
      <c r="I337" s="27">
        <f>IFERROR(__xludf.DUMMYFUNCTION("""COMPUTED_VALUE"""),0.0)</f>
        <v>0</v>
      </c>
      <c r="J337" s="29">
        <f>IFERROR(__xludf.DUMMYFUNCTION("""COMPUTED_VALUE"""),78.0)</f>
        <v>78</v>
      </c>
      <c r="K337" s="29">
        <f>IFERROR(__xludf.DUMMYFUNCTION("""COMPUTED_VALUE"""),31.0)</f>
        <v>31</v>
      </c>
      <c r="L337" s="31" t="str">
        <f>IFERROR(__xludf.DUMMYFUNCTION("""COMPUTED_VALUE"""),"Action")</f>
        <v>Action</v>
      </c>
    </row>
    <row r="338">
      <c r="A338" s="17" t="str">
        <f>IFERROR(__xludf.DUMMYFUNCTION("""COMPUTED_VALUE"""),"The Walking Dead: The Final Season")</f>
        <v>The Walking Dead: The Final Season</v>
      </c>
      <c r="B338" s="20" t="str">
        <f>IFERROR(__xludf.DUMMYFUNCTION("""COMPUTED_VALUE"""),"Xbox / PC")</f>
        <v>Xbox / PC</v>
      </c>
      <c r="C338" s="21" t="str">
        <f>IFERROR(__xludf.DUMMYFUNCTION("""COMPUTED_VALUE"""),"Yes")</f>
        <v>Yes</v>
      </c>
      <c r="D338" s="21" t="str">
        <f>IFERROR(__xludf.DUMMYFUNCTION("""COMPUTED_VALUE"""),"Active")</f>
        <v>Active</v>
      </c>
      <c r="E338" s="23">
        <f>IFERROR(__xludf.DUMMYFUNCTION("""COMPUTED_VALUE"""),44896.0)</f>
        <v>44896</v>
      </c>
      <c r="F338" s="24"/>
      <c r="G338" s="27">
        <f>IFERROR(__xludf.DUMMYFUNCTION("""COMPUTED_VALUE"""),46.16666666666667)</f>
        <v>46.16666667</v>
      </c>
      <c r="H338" s="23">
        <f>IFERROR(__xludf.DUMMYFUNCTION("""COMPUTED_VALUE"""),43325.0)</f>
        <v>43325</v>
      </c>
      <c r="I338" s="27">
        <f>IFERROR(__xludf.DUMMYFUNCTION("""COMPUTED_VALUE"""),4.3)</f>
        <v>4.3</v>
      </c>
      <c r="J338" s="29">
        <f>IFERROR(__xludf.DUMMYFUNCTION("""COMPUTED_VALUE"""),78.0)</f>
        <v>78</v>
      </c>
      <c r="K338" s="29">
        <f>IFERROR(__xludf.DUMMYFUNCTION("""COMPUTED_VALUE"""),10.0)</f>
        <v>10</v>
      </c>
      <c r="L338" s="31" t="str">
        <f>IFERROR(__xludf.DUMMYFUNCTION("""COMPUTED_VALUE"""),"Adventure")</f>
        <v>Adventure</v>
      </c>
    </row>
    <row r="339">
      <c r="A339" s="17" t="str">
        <f>IFERROR(__xludf.DUMMYFUNCTION("""COMPUTED_VALUE"""),"Warhammer 40,000: Darktide")</f>
        <v>Warhammer 40,000: Darktide</v>
      </c>
      <c r="B339" s="20" t="str">
        <f>IFERROR(__xludf.DUMMYFUNCTION("""COMPUTED_VALUE"""),"Xbox / PC")</f>
        <v>Xbox / PC</v>
      </c>
      <c r="C339" s="21" t="str">
        <f>IFERROR(__xludf.DUMMYFUNCTION("""COMPUTED_VALUE"""),"Yes")</f>
        <v>Yes</v>
      </c>
      <c r="D339" s="21" t="str">
        <f>IFERROR(__xludf.DUMMYFUNCTION("""COMPUTED_VALUE"""),"Active")</f>
        <v>Active</v>
      </c>
      <c r="E339" s="23">
        <f>IFERROR(__xludf.DUMMYFUNCTION("""COMPUTED_VALUE"""),44895.0)</f>
        <v>44895</v>
      </c>
      <c r="F339" s="24"/>
      <c r="G339" s="27">
        <f>IFERROR(__xludf.DUMMYFUNCTION("""COMPUTED_VALUE"""),46.2)</f>
        <v>46.2</v>
      </c>
      <c r="H339" s="23">
        <f>IFERROR(__xludf.DUMMYFUNCTION("""COMPUTED_VALUE"""),44895.0)</f>
        <v>44895</v>
      </c>
      <c r="I339" s="27">
        <f>IFERROR(__xludf.DUMMYFUNCTION("""COMPUTED_VALUE"""),0.0)</f>
        <v>0</v>
      </c>
      <c r="J339" s="29">
        <f>IFERROR(__xludf.DUMMYFUNCTION("""COMPUTED_VALUE"""),78.0)</f>
        <v>78</v>
      </c>
      <c r="K339" s="29">
        <f>IFERROR(__xludf.DUMMYFUNCTION("""COMPUTED_VALUE"""),41.0)</f>
        <v>41</v>
      </c>
      <c r="L339" s="31" t="str">
        <f>IFERROR(__xludf.DUMMYFUNCTION("""COMPUTED_VALUE"""),"Action")</f>
        <v>Action</v>
      </c>
    </row>
    <row r="340">
      <c r="A340" s="17" t="str">
        <f>IFERROR(__xludf.DUMMYFUNCTION("""COMPUTED_VALUE"""),"As Dusk Falls")</f>
        <v>As Dusk Falls</v>
      </c>
      <c r="B340" s="20" t="str">
        <f>IFERROR(__xludf.DUMMYFUNCTION("""COMPUTED_VALUE"""),"Xbox / PC")</f>
        <v>Xbox / PC</v>
      </c>
      <c r="C340" s="21" t="str">
        <f>IFERROR(__xludf.DUMMYFUNCTION("""COMPUTED_VALUE"""),"Touch Controls")</f>
        <v>Touch Controls</v>
      </c>
      <c r="D340" s="21" t="str">
        <f>IFERROR(__xludf.DUMMYFUNCTION("""COMPUTED_VALUE"""),"Active")</f>
        <v>Active</v>
      </c>
      <c r="E340" s="23">
        <f>IFERROR(__xludf.DUMMYFUNCTION("""COMPUTED_VALUE"""),44761.0)</f>
        <v>44761</v>
      </c>
      <c r="F340" s="24"/>
      <c r="G340" s="27">
        <f>IFERROR(__xludf.DUMMYFUNCTION("""COMPUTED_VALUE"""),50.56666666666666)</f>
        <v>50.56666667</v>
      </c>
      <c r="H340" s="23">
        <f>IFERROR(__xludf.DUMMYFUNCTION("""COMPUTED_VALUE"""),44761.0)</f>
        <v>44761</v>
      </c>
      <c r="I340" s="27">
        <f>IFERROR(__xludf.DUMMYFUNCTION("""COMPUTED_VALUE"""),0.0)</f>
        <v>0</v>
      </c>
      <c r="J340" s="29">
        <f>IFERROR(__xludf.DUMMYFUNCTION("""COMPUTED_VALUE"""),78.0)</f>
        <v>78</v>
      </c>
      <c r="K340" s="29">
        <f>IFERROR(__xludf.DUMMYFUNCTION("""COMPUTED_VALUE"""),6.0)</f>
        <v>6</v>
      </c>
      <c r="L340" s="31" t="str">
        <f>IFERROR(__xludf.DUMMYFUNCTION("""COMPUTED_VALUE"""),"Adventure")</f>
        <v>Adventure</v>
      </c>
    </row>
    <row r="341">
      <c r="A341" s="17" t="str">
        <f>IFERROR(__xludf.DUMMYFUNCTION("""COMPUTED_VALUE"""),"Watch_Dogs 2")</f>
        <v>Watch_Dogs 2</v>
      </c>
      <c r="B341" s="20" t="str">
        <f>IFERROR(__xludf.DUMMYFUNCTION("""COMPUTED_VALUE"""),"Xbox / PC")</f>
        <v>Xbox / PC</v>
      </c>
      <c r="C341" s="21" t="str">
        <f>IFERROR(__xludf.DUMMYFUNCTION("""COMPUTED_VALUE"""),"Yes")</f>
        <v>Yes</v>
      </c>
      <c r="D341" s="21" t="str">
        <f>IFERROR(__xludf.DUMMYFUNCTION("""COMPUTED_VALUE"""),"Active")</f>
        <v>Active</v>
      </c>
      <c r="E341" s="23">
        <f>IFERROR(__xludf.DUMMYFUNCTION("""COMPUTED_VALUE"""),44761.0)</f>
        <v>44761</v>
      </c>
      <c r="F341" s="24"/>
      <c r="G341" s="27">
        <f>IFERROR(__xludf.DUMMYFUNCTION("""COMPUTED_VALUE"""),50.56666666666666)</f>
        <v>50.56666667</v>
      </c>
      <c r="H341" s="23">
        <f>IFERROR(__xludf.DUMMYFUNCTION("""COMPUTED_VALUE"""),42689.0)</f>
        <v>42689</v>
      </c>
      <c r="I341" s="27">
        <f>IFERROR(__xludf.DUMMYFUNCTION("""COMPUTED_VALUE"""),5.677777777777778)</f>
        <v>5.677777778</v>
      </c>
      <c r="J341" s="29">
        <f>IFERROR(__xludf.DUMMYFUNCTION("""COMPUTED_VALUE"""),78.0)</f>
        <v>78</v>
      </c>
      <c r="K341" s="29">
        <f>IFERROR(__xludf.DUMMYFUNCTION("""COMPUTED_VALUE"""),19.0)</f>
        <v>19</v>
      </c>
      <c r="L341" s="31" t="str">
        <f>IFERROR(__xludf.DUMMYFUNCTION("""COMPUTED_VALUE"""),"Shooter")</f>
        <v>Shooter</v>
      </c>
    </row>
    <row r="342">
      <c r="A342" s="17" t="str">
        <f>IFERROR(__xludf.DUMMYFUNCTION("""COMPUTED_VALUE"""),"Need for Speed: Most Wanted")</f>
        <v>Need for Speed: Most Wanted</v>
      </c>
      <c r="B342" s="20" t="str">
        <f>IFERROR(__xludf.DUMMYFUNCTION("""COMPUTED_VALUE"""),"PC")</f>
        <v>PC</v>
      </c>
      <c r="C342" s="21"/>
      <c r="D342" s="21" t="str">
        <f>IFERROR(__xludf.DUMMYFUNCTION("""COMPUTED_VALUE"""),"Active")</f>
        <v>Active</v>
      </c>
      <c r="E342" s="23">
        <f>IFERROR(__xludf.DUMMYFUNCTION("""COMPUTED_VALUE"""),44273.0)</f>
        <v>44273</v>
      </c>
      <c r="F342" s="24"/>
      <c r="G342" s="27">
        <f>IFERROR(__xludf.DUMMYFUNCTION("""COMPUTED_VALUE"""),66.6)</f>
        <v>66.6</v>
      </c>
      <c r="H342" s="23">
        <f>IFERROR(__xludf.DUMMYFUNCTION("""COMPUTED_VALUE"""),41212.0)</f>
        <v>41212</v>
      </c>
      <c r="I342" s="27">
        <f>IFERROR(__xludf.DUMMYFUNCTION("""COMPUTED_VALUE"""),8.383333333333333)</f>
        <v>8.383333333</v>
      </c>
      <c r="J342" s="29">
        <f>IFERROR(__xludf.DUMMYFUNCTION("""COMPUTED_VALUE"""),78.0)</f>
        <v>78</v>
      </c>
      <c r="K342" s="29">
        <f>IFERROR(__xludf.DUMMYFUNCTION("""COMPUTED_VALUE"""),10.0)</f>
        <v>10</v>
      </c>
      <c r="L342" s="31" t="str">
        <f>IFERROR(__xludf.DUMMYFUNCTION("""COMPUTED_VALUE"""),"Racing")</f>
        <v>Racing</v>
      </c>
    </row>
    <row r="343">
      <c r="A343" s="17" t="str">
        <f>IFERROR(__xludf.DUMMYFUNCTION("""COMPUTED_VALUE"""),"Battlefield V: Year Two Edition")</f>
        <v>Battlefield V: Year Two Edition</v>
      </c>
      <c r="B343" s="20" t="str">
        <f>IFERROR(__xludf.DUMMYFUNCTION("""COMPUTED_VALUE"""),"Xbox / PC")</f>
        <v>Xbox / PC</v>
      </c>
      <c r="C343" s="21" t="str">
        <f>IFERROR(__xludf.DUMMYFUNCTION("""COMPUTED_VALUE"""),"Yes")</f>
        <v>Yes</v>
      </c>
      <c r="D343" s="21" t="str">
        <f>IFERROR(__xludf.DUMMYFUNCTION("""COMPUTED_VALUE"""),"Active")</f>
        <v>Active</v>
      </c>
      <c r="E343" s="23">
        <f>IFERROR(__xludf.DUMMYFUNCTION("""COMPUTED_VALUE"""),44145.0)</f>
        <v>44145</v>
      </c>
      <c r="F343" s="24"/>
      <c r="G343" s="27">
        <f>IFERROR(__xludf.DUMMYFUNCTION("""COMPUTED_VALUE"""),70.86666666666667)</f>
        <v>70.86666667</v>
      </c>
      <c r="H343" s="23">
        <f>IFERROR(__xludf.DUMMYFUNCTION("""COMPUTED_VALUE"""),43419.0)</f>
        <v>43419</v>
      </c>
      <c r="I343" s="27">
        <f>IFERROR(__xludf.DUMMYFUNCTION("""COMPUTED_VALUE"""),1.9861111111111112)</f>
        <v>1.986111111</v>
      </c>
      <c r="J343" s="29">
        <f>IFERROR(__xludf.DUMMYFUNCTION("""COMPUTED_VALUE"""),78.0)</f>
        <v>78</v>
      </c>
      <c r="K343" s="29">
        <f>IFERROR(__xludf.DUMMYFUNCTION("""COMPUTED_VALUE"""),6.0)</f>
        <v>6</v>
      </c>
      <c r="L343" s="31" t="str">
        <f>IFERROR(__xludf.DUMMYFUNCTION("""COMPUTED_VALUE"""),"Shooter")</f>
        <v>Shooter</v>
      </c>
    </row>
    <row r="344">
      <c r="A344" s="17" t="str">
        <f>IFERROR(__xludf.DUMMYFUNCTION("""COMPUTED_VALUE"""),"Dead Space 3")</f>
        <v>Dead Space 3</v>
      </c>
      <c r="B344" s="20" t="str">
        <f>IFERROR(__xludf.DUMMYFUNCTION("""COMPUTED_VALUE"""),"Xbox / PC")</f>
        <v>Xbox / PC</v>
      </c>
      <c r="C344" s="21" t="str">
        <f>IFERROR(__xludf.DUMMYFUNCTION("""COMPUTED_VALUE"""),"Yes")</f>
        <v>Yes</v>
      </c>
      <c r="D344" s="21" t="str">
        <f>IFERROR(__xludf.DUMMYFUNCTION("""COMPUTED_VALUE"""),"Active")</f>
        <v>Active</v>
      </c>
      <c r="E344" s="23">
        <f>IFERROR(__xludf.DUMMYFUNCTION("""COMPUTED_VALUE"""),44145.0)</f>
        <v>44145</v>
      </c>
      <c r="F344" s="24"/>
      <c r="G344" s="27">
        <f>IFERROR(__xludf.DUMMYFUNCTION("""COMPUTED_VALUE"""),70.86666666666667)</f>
        <v>70.86666667</v>
      </c>
      <c r="H344" s="23">
        <f>IFERROR(__xludf.DUMMYFUNCTION("""COMPUTED_VALUE"""),41310.0)</f>
        <v>41310</v>
      </c>
      <c r="I344" s="27">
        <f>IFERROR(__xludf.DUMMYFUNCTION("""COMPUTED_VALUE"""),7.763888888888889)</f>
        <v>7.763888889</v>
      </c>
      <c r="J344" s="29">
        <f>IFERROR(__xludf.DUMMYFUNCTION("""COMPUTED_VALUE"""),78.0)</f>
        <v>78</v>
      </c>
      <c r="K344" s="29">
        <f>IFERROR(__xludf.DUMMYFUNCTION("""COMPUTED_VALUE"""),13.0)</f>
        <v>13</v>
      </c>
      <c r="L344" s="31" t="str">
        <f>IFERROR(__xludf.DUMMYFUNCTION("""COMPUTED_VALUE"""),"Shooter")</f>
        <v>Shooter</v>
      </c>
    </row>
    <row r="345">
      <c r="A345" s="17" t="str">
        <f>IFERROR(__xludf.DUMMYFUNCTION("""COMPUTED_VALUE"""),"BattleTech")</f>
        <v>BattleTech</v>
      </c>
      <c r="B345" s="20" t="str">
        <f>IFERROR(__xludf.DUMMYFUNCTION("""COMPUTED_VALUE"""),"PC")</f>
        <v>PC</v>
      </c>
      <c r="C345" s="21"/>
      <c r="D345" s="21" t="str">
        <f>IFERROR(__xludf.DUMMYFUNCTION("""COMPUTED_VALUE"""),"Active")</f>
        <v>Active</v>
      </c>
      <c r="E345" s="23">
        <f>IFERROR(__xludf.DUMMYFUNCTION("""COMPUTED_VALUE"""),43993.0)</f>
        <v>43993</v>
      </c>
      <c r="F345" s="24"/>
      <c r="G345" s="27">
        <f>IFERROR(__xludf.DUMMYFUNCTION("""COMPUTED_VALUE"""),75.83333333333334)</f>
        <v>75.83333333</v>
      </c>
      <c r="H345" s="23">
        <f>IFERROR(__xludf.DUMMYFUNCTION("""COMPUTED_VALUE"""),43214.0)</f>
        <v>43214</v>
      </c>
      <c r="I345" s="27">
        <f>IFERROR(__xludf.DUMMYFUNCTION("""COMPUTED_VALUE"""),2.1305555555555555)</f>
        <v>2.130555556</v>
      </c>
      <c r="J345" s="29">
        <f>IFERROR(__xludf.DUMMYFUNCTION("""COMPUTED_VALUE"""),78.0)</f>
        <v>78</v>
      </c>
      <c r="K345" s="29">
        <f>IFERROR(__xludf.DUMMYFUNCTION("""COMPUTED_VALUE"""),54.0)</f>
        <v>54</v>
      </c>
      <c r="L345" s="31" t="str">
        <f>IFERROR(__xludf.DUMMYFUNCTION("""COMPUTED_VALUE"""),"RPG")</f>
        <v>RPG</v>
      </c>
    </row>
    <row r="346">
      <c r="A346" s="17" t="str">
        <f>IFERROR(__xludf.DUMMYFUNCTION("""COMPUTED_VALUE"""),"State of Decay 2: Juggernaut Edition")</f>
        <v>State of Decay 2: Juggernaut Edition</v>
      </c>
      <c r="B346" s="20" t="str">
        <f>IFERROR(__xludf.DUMMYFUNCTION("""COMPUTED_VALUE"""),"Xbox / PC")</f>
        <v>Xbox / PC</v>
      </c>
      <c r="C346" s="21" t="str">
        <f>IFERROR(__xludf.DUMMYFUNCTION("""COMPUTED_VALUE"""),"M+KB")</f>
        <v>M+KB</v>
      </c>
      <c r="D346" s="21" t="str">
        <f>IFERROR(__xludf.DUMMYFUNCTION("""COMPUTED_VALUE"""),"Active")</f>
        <v>Active</v>
      </c>
      <c r="E346" s="23">
        <f>IFERROR(__xludf.DUMMYFUNCTION("""COMPUTED_VALUE"""),43242.0)</f>
        <v>43242</v>
      </c>
      <c r="F346" s="24"/>
      <c r="G346" s="27">
        <f>IFERROR(__xludf.DUMMYFUNCTION("""COMPUTED_VALUE"""),100.46666666666667)</f>
        <v>100.4666667</v>
      </c>
      <c r="H346" s="23">
        <f>IFERROR(__xludf.DUMMYFUNCTION("""COMPUTED_VALUE"""),43238.0)</f>
        <v>43238</v>
      </c>
      <c r="I346" s="27">
        <f>IFERROR(__xludf.DUMMYFUNCTION("""COMPUTED_VALUE"""),0.011111111111111112)</f>
        <v>0.01111111111</v>
      </c>
      <c r="J346" s="29">
        <f>IFERROR(__xludf.DUMMYFUNCTION("""COMPUTED_VALUE"""),78.0)</f>
        <v>78</v>
      </c>
      <c r="K346" s="29">
        <f>IFERROR(__xludf.DUMMYFUNCTION("""COMPUTED_VALUE"""),36.5)</f>
        <v>36.5</v>
      </c>
      <c r="L346" s="31" t="str">
        <f>IFERROR(__xludf.DUMMYFUNCTION("""COMPUTED_VALUE"""),"Action-Adventure")</f>
        <v>Action-Adventure</v>
      </c>
    </row>
    <row r="347">
      <c r="A347" s="17" t="str">
        <f>IFERROR(__xludf.DUMMYFUNCTION("""COMPUTED_VALUE"""),"For Honor: Marching Fire Edition")</f>
        <v>For Honor: Marching Fire Edition</v>
      </c>
      <c r="B347" s="20" t="str">
        <f>IFERROR(__xludf.DUMMYFUNCTION("""COMPUTED_VALUE"""),"Xbox / PC")</f>
        <v>Xbox / PC</v>
      </c>
      <c r="C347" s="21" t="str">
        <f>IFERROR(__xludf.DUMMYFUNCTION("""COMPUTED_VALUE"""),"Yes")</f>
        <v>Yes</v>
      </c>
      <c r="D347" s="21" t="str">
        <f>IFERROR(__xludf.DUMMYFUNCTION("""COMPUTED_VALUE"""),"Active")</f>
        <v>Active</v>
      </c>
      <c r="E347" s="23">
        <f>IFERROR(__xludf.DUMMYFUNCTION("""COMPUTED_VALUE"""),44350.0)</f>
        <v>44350</v>
      </c>
      <c r="F347" s="24"/>
      <c r="G347" s="27">
        <f>IFERROR(__xludf.DUMMYFUNCTION("""COMPUTED_VALUE"""),64.1)</f>
        <v>64.1</v>
      </c>
      <c r="H347" s="23">
        <f>IFERROR(__xludf.DUMMYFUNCTION("""COMPUTED_VALUE"""),43083.0)</f>
        <v>43083</v>
      </c>
      <c r="I347" s="27">
        <f>IFERROR(__xludf.DUMMYFUNCTION("""COMPUTED_VALUE"""),3.4694444444444446)</f>
        <v>3.469444444</v>
      </c>
      <c r="J347" s="29">
        <f>IFERROR(__xludf.DUMMYFUNCTION("""COMPUTED_VALUE"""),77.5)</f>
        <v>77.5</v>
      </c>
      <c r="K347" s="29">
        <f>IFERROR(__xludf.DUMMYFUNCTION("""COMPUTED_VALUE"""),7.0)</f>
        <v>7</v>
      </c>
      <c r="L347" s="31" t="str">
        <f>IFERROR(__xludf.DUMMYFUNCTION("""COMPUTED_VALUE"""),"Action")</f>
        <v>Action</v>
      </c>
    </row>
    <row r="348">
      <c r="A348" s="17" t="str">
        <f>IFERROR(__xludf.DUMMYFUNCTION("""COMPUTED_VALUE"""),"Hell is Us")</f>
        <v>Hell is Us</v>
      </c>
      <c r="B348" s="20" t="str">
        <f>IFERROR(__xludf.DUMMYFUNCTION("""COMPUTED_VALUE"""),"Xbox / PC")</f>
        <v>Xbox / PC</v>
      </c>
      <c r="C348" s="21" t="str">
        <f>IFERROR(__xludf.DUMMYFUNCTION("""COMPUTED_VALUE"""),"Yes")</f>
        <v>Yes</v>
      </c>
      <c r="D348" s="21" t="str">
        <f>IFERROR(__xludf.DUMMYFUNCTION("""COMPUTED_VALUE"""),"Active")</f>
        <v>Active</v>
      </c>
      <c r="E348" s="23">
        <f>IFERROR(__xludf.DUMMYFUNCTION("""COMPUTED_VALUE"""),46226.0)</f>
        <v>46226</v>
      </c>
      <c r="F348" s="24"/>
      <c r="G348" s="27">
        <f>IFERROR(__xludf.DUMMYFUNCTION("""COMPUTED_VALUE"""),2.4333333333333336)</f>
        <v>2.433333333</v>
      </c>
      <c r="H348" s="23">
        <f>IFERROR(__xludf.DUMMYFUNCTION("""COMPUTED_VALUE"""),45904.0)</f>
        <v>45904</v>
      </c>
      <c r="I348" s="27">
        <f>IFERROR(__xludf.DUMMYFUNCTION("""COMPUTED_VALUE"""),0.8861111111111111)</f>
        <v>0.8861111111</v>
      </c>
      <c r="J348" s="29">
        <f>IFERROR(__xludf.DUMMYFUNCTION("""COMPUTED_VALUE"""),77.0)</f>
        <v>77</v>
      </c>
      <c r="K348" s="29">
        <f>IFERROR(__xludf.DUMMYFUNCTION("""COMPUTED_VALUE"""),18.0)</f>
        <v>18</v>
      </c>
      <c r="L348" s="31" t="str">
        <f>IFERROR(__xludf.DUMMYFUNCTION("""COMPUTED_VALUE"""),"Action-Adventure")</f>
        <v>Action-Adventure</v>
      </c>
    </row>
    <row r="349">
      <c r="A349" s="17" t="str">
        <f>IFERROR(__xludf.DUMMYFUNCTION("""COMPUTED_VALUE"""),"EA Sports FC 26")</f>
        <v>EA Sports FC 26</v>
      </c>
      <c r="B349" s="20" t="str">
        <f>IFERROR(__xludf.DUMMYFUNCTION("""COMPUTED_VALUE"""),"Xbox / PC")</f>
        <v>Xbox / PC</v>
      </c>
      <c r="C349" s="21" t="str">
        <f>IFERROR(__xludf.DUMMYFUNCTION("""COMPUTED_VALUE"""),"Yes")</f>
        <v>Yes</v>
      </c>
      <c r="D349" s="21" t="str">
        <f>IFERROR(__xludf.DUMMYFUNCTION("""COMPUTED_VALUE"""),"Active")</f>
        <v>Active</v>
      </c>
      <c r="E349" s="23">
        <f>IFERROR(__xludf.DUMMYFUNCTION("""COMPUTED_VALUE"""),46191.0)</f>
        <v>46191</v>
      </c>
      <c r="F349" s="24"/>
      <c r="G349" s="27">
        <f>IFERROR(__xludf.DUMMYFUNCTION("""COMPUTED_VALUE"""),3.5999999999999996)</f>
        <v>3.6</v>
      </c>
      <c r="H349" s="23">
        <f>IFERROR(__xludf.DUMMYFUNCTION("""COMPUTED_VALUE"""),45926.0)</f>
        <v>45926</v>
      </c>
      <c r="I349" s="27">
        <f>IFERROR(__xludf.DUMMYFUNCTION("""COMPUTED_VALUE"""),0.7277777777777777)</f>
        <v>0.7277777778</v>
      </c>
      <c r="J349" s="29">
        <f>IFERROR(__xludf.DUMMYFUNCTION("""COMPUTED_VALUE"""),77.0)</f>
        <v>77</v>
      </c>
      <c r="K349" s="29">
        <f>IFERROR(__xludf.DUMMYFUNCTION("""COMPUTED_VALUE"""),25.0)</f>
        <v>25</v>
      </c>
      <c r="L349" s="31" t="str">
        <f>IFERROR(__xludf.DUMMYFUNCTION("""COMPUTED_VALUE"""),"Sports")</f>
        <v>Sports</v>
      </c>
    </row>
    <row r="350">
      <c r="A350" s="17" t="str">
        <f>IFERROR(__xludf.DUMMYFUNCTION("""COMPUTED_VALUE"""),"The Long Dark")</f>
        <v>The Long Dark</v>
      </c>
      <c r="B350" s="20" t="str">
        <f>IFERROR(__xludf.DUMMYFUNCTION("""COMPUTED_VALUE"""),"Xbox / PC")</f>
        <v>Xbox / PC</v>
      </c>
      <c r="C350" s="21" t="str">
        <f>IFERROR(__xludf.DUMMYFUNCTION("""COMPUTED_VALUE"""),"Yes")</f>
        <v>Yes</v>
      </c>
      <c r="D350" s="21" t="str">
        <f>IFERROR(__xludf.DUMMYFUNCTION("""COMPUTED_VALUE"""),"Active")</f>
        <v>Active</v>
      </c>
      <c r="E350" s="23">
        <f>IFERROR(__xludf.DUMMYFUNCTION("""COMPUTED_VALUE"""),46111.0)</f>
        <v>46111</v>
      </c>
      <c r="F350" s="24"/>
      <c r="G350" s="27">
        <f>IFERROR(__xludf.DUMMYFUNCTION("""COMPUTED_VALUE"""),6.200000000000001)</f>
        <v>6.2</v>
      </c>
      <c r="H350" s="23">
        <f>IFERROR(__xludf.DUMMYFUNCTION("""COMPUTED_VALUE"""),42948.0)</f>
        <v>42948</v>
      </c>
      <c r="I350" s="27">
        <f>IFERROR(__xludf.DUMMYFUNCTION("""COMPUTED_VALUE"""),8.66388888888889)</f>
        <v>8.663888889</v>
      </c>
      <c r="J350" s="29">
        <f>IFERROR(__xludf.DUMMYFUNCTION("""COMPUTED_VALUE"""),77.0)</f>
        <v>77</v>
      </c>
      <c r="K350" s="29">
        <f>IFERROR(__xludf.DUMMYFUNCTION("""COMPUTED_VALUE"""),20.0)</f>
        <v>20</v>
      </c>
      <c r="L350" s="31" t="str">
        <f>IFERROR(__xludf.DUMMYFUNCTION("""COMPUTED_VALUE"""),"Action-Adventure")</f>
        <v>Action-Adventure</v>
      </c>
    </row>
    <row r="351">
      <c r="A351" s="17" t="str">
        <f>IFERROR(__xludf.DUMMYFUNCTION("""COMPUTED_VALUE"""),"Final Fantasy III")</f>
        <v>Final Fantasy III</v>
      </c>
      <c r="B351" s="20" t="str">
        <f>IFERROR(__xludf.DUMMYFUNCTION("""COMPUTED_VALUE"""),"Xbox / PC")</f>
        <v>Xbox / PC</v>
      </c>
      <c r="C351" s="21" t="str">
        <f>IFERROR(__xludf.DUMMYFUNCTION("""COMPUTED_VALUE"""),"Yes")</f>
        <v>Yes</v>
      </c>
      <c r="D351" s="21" t="str">
        <f>IFERROR(__xludf.DUMMYFUNCTION("""COMPUTED_VALUE"""),"Active")</f>
        <v>Active</v>
      </c>
      <c r="E351" s="23">
        <f>IFERROR(__xludf.DUMMYFUNCTION("""COMPUTED_VALUE"""),46084.0)</f>
        <v>46084</v>
      </c>
      <c r="F351" s="24"/>
      <c r="G351" s="27">
        <f>IFERROR(__xludf.DUMMYFUNCTION("""COMPUTED_VALUE"""),7.1)</f>
        <v>7.1</v>
      </c>
      <c r="H351" s="23">
        <f>IFERROR(__xludf.DUMMYFUNCTION("""COMPUTED_VALUE"""),33082.0)</f>
        <v>33082</v>
      </c>
      <c r="I351" s="27">
        <f>IFERROR(__xludf.DUMMYFUNCTION("""COMPUTED_VALUE"""),35.59722222222222)</f>
        <v>35.59722222</v>
      </c>
      <c r="J351" s="29">
        <f>IFERROR(__xludf.DUMMYFUNCTION("""COMPUTED_VALUE"""),77.0)</f>
        <v>77</v>
      </c>
      <c r="K351" s="29">
        <f>IFERROR(__xludf.DUMMYFUNCTION("""COMPUTED_VALUE"""),28.0)</f>
        <v>28</v>
      </c>
      <c r="L351" s="31" t="str">
        <f>IFERROR(__xludf.DUMMYFUNCTION("""COMPUTED_VALUE"""),"RPG")</f>
        <v>RPG</v>
      </c>
    </row>
    <row r="352">
      <c r="A352" s="17" t="str">
        <f>IFERROR(__xludf.DUMMYFUNCTION("""COMPUTED_VALUE"""),"Madden NFL 26")</f>
        <v>Madden NFL 26</v>
      </c>
      <c r="B352" s="20" t="str">
        <f>IFERROR(__xludf.DUMMYFUNCTION("""COMPUTED_VALUE"""),"Xbox / PC")</f>
        <v>Xbox / PC</v>
      </c>
      <c r="C352" s="21" t="str">
        <f>IFERROR(__xludf.DUMMYFUNCTION("""COMPUTED_VALUE"""),"Yes")</f>
        <v>Yes</v>
      </c>
      <c r="D352" s="21" t="str">
        <f>IFERROR(__xludf.DUMMYFUNCTION("""COMPUTED_VALUE"""),"Active")</f>
        <v>Active</v>
      </c>
      <c r="E352" s="23">
        <f>IFERROR(__xludf.DUMMYFUNCTION("""COMPUTED_VALUE"""),46058.0)</f>
        <v>46058</v>
      </c>
      <c r="F352" s="24"/>
      <c r="G352" s="27">
        <f>IFERROR(__xludf.DUMMYFUNCTION("""COMPUTED_VALUE"""),8.033333333333333)</f>
        <v>8.033333333</v>
      </c>
      <c r="H352" s="23">
        <f>IFERROR(__xludf.DUMMYFUNCTION("""COMPUTED_VALUE"""),45883.0)</f>
        <v>45883</v>
      </c>
      <c r="I352" s="27">
        <f>IFERROR(__xludf.DUMMYFUNCTION("""COMPUTED_VALUE"""),0.475)</f>
        <v>0.475</v>
      </c>
      <c r="J352" s="29">
        <f>IFERROR(__xludf.DUMMYFUNCTION("""COMPUTED_VALUE"""),77.0)</f>
        <v>77</v>
      </c>
      <c r="K352" s="29">
        <f>IFERROR(__xludf.DUMMYFUNCTION("""COMPUTED_VALUE"""),4.0)</f>
        <v>4</v>
      </c>
      <c r="L352" s="31" t="str">
        <f>IFERROR(__xludf.DUMMYFUNCTION("""COMPUTED_VALUE"""),"Sports")</f>
        <v>Sports</v>
      </c>
    </row>
    <row r="353">
      <c r="A353" s="17" t="str">
        <f>IFERROR(__xludf.DUMMYFUNCTION("""COMPUTED_VALUE"""),"Final Fantasy II")</f>
        <v>Final Fantasy II</v>
      </c>
      <c r="B353" s="20" t="str">
        <f>IFERROR(__xludf.DUMMYFUNCTION("""COMPUTED_VALUE"""),"Xbox / PC")</f>
        <v>Xbox / PC</v>
      </c>
      <c r="C353" s="21" t="str">
        <f>IFERROR(__xludf.DUMMYFUNCTION("""COMPUTED_VALUE"""),"Yes")</f>
        <v>Yes</v>
      </c>
      <c r="D353" s="21" t="str">
        <f>IFERROR(__xludf.DUMMYFUNCTION("""COMPUTED_VALUE"""),"Active")</f>
        <v>Active</v>
      </c>
      <c r="E353" s="23">
        <f>IFERROR(__xludf.DUMMYFUNCTION("""COMPUTED_VALUE"""),46056.0)</f>
        <v>46056</v>
      </c>
      <c r="F353" s="24"/>
      <c r="G353" s="27">
        <f>IFERROR(__xludf.DUMMYFUNCTION("""COMPUTED_VALUE"""),8.100000000000001)</f>
        <v>8.1</v>
      </c>
      <c r="H353" s="23">
        <f>IFERROR(__xludf.DUMMYFUNCTION("""COMPUTED_VALUE"""),44405.0)</f>
        <v>44405</v>
      </c>
      <c r="I353" s="27">
        <f>IFERROR(__xludf.DUMMYFUNCTION("""COMPUTED_VALUE"""),4.513888888888889)</f>
        <v>4.513888889</v>
      </c>
      <c r="J353" s="29">
        <f>IFERROR(__xludf.DUMMYFUNCTION("""COMPUTED_VALUE"""),77.0)</f>
        <v>77</v>
      </c>
      <c r="K353" s="29">
        <f>IFERROR(__xludf.DUMMYFUNCTION("""COMPUTED_VALUE"""),20.0)</f>
        <v>20</v>
      </c>
      <c r="L353" s="31" t="str">
        <f>IFERROR(__xludf.DUMMYFUNCTION("""COMPUTED_VALUE"""),"Action-Adventure")</f>
        <v>Action-Adventure</v>
      </c>
    </row>
    <row r="354">
      <c r="A354" s="17" t="str">
        <f>IFERROR(__xludf.DUMMYFUNCTION("""COMPUTED_VALUE"""),"Clover Pit")</f>
        <v>Clover Pit</v>
      </c>
      <c r="B354" s="20" t="str">
        <f>IFERROR(__xludf.DUMMYFUNCTION("""COMPUTED_VALUE"""),"Xbox / PC")</f>
        <v>Xbox / PC</v>
      </c>
      <c r="C354" s="21" t="str">
        <f>IFERROR(__xludf.DUMMYFUNCTION("""COMPUTED_VALUE"""),"Yes")</f>
        <v>Yes</v>
      </c>
      <c r="D354" s="21" t="str">
        <f>IFERROR(__xludf.DUMMYFUNCTION("""COMPUTED_VALUE"""),"Active")</f>
        <v>Active</v>
      </c>
      <c r="E354" s="23">
        <f>IFERROR(__xludf.DUMMYFUNCTION("""COMPUTED_VALUE"""),45981.0)</f>
        <v>45981</v>
      </c>
      <c r="F354" s="24"/>
      <c r="G354" s="27">
        <f>IFERROR(__xludf.DUMMYFUNCTION("""COMPUTED_VALUE"""),10.533333333333333)</f>
        <v>10.53333333</v>
      </c>
      <c r="H354" s="23">
        <f>IFERROR(__xludf.DUMMYFUNCTION("""COMPUTED_VALUE"""),45926.0)</f>
        <v>45926</v>
      </c>
      <c r="I354" s="27">
        <f>IFERROR(__xludf.DUMMYFUNCTION("""COMPUTED_VALUE"""),0.15)</f>
        <v>0.15</v>
      </c>
      <c r="J354" s="29">
        <f>IFERROR(__xludf.DUMMYFUNCTION("""COMPUTED_VALUE"""),77.0)</f>
        <v>77</v>
      </c>
      <c r="K354" s="29">
        <f>IFERROR(__xludf.DUMMYFUNCTION("""COMPUTED_VALUE"""),8.0)</f>
        <v>8</v>
      </c>
      <c r="L354" s="31" t="str">
        <f>IFERROR(__xludf.DUMMYFUNCTION("""COMPUTED_VALUE"""),"Action-Adventure")</f>
        <v>Action-Adventure</v>
      </c>
    </row>
    <row r="355">
      <c r="A355" s="17" t="str">
        <f>IFERROR(__xludf.DUMMYFUNCTION("""COMPUTED_VALUE"""),"Valiant Hearts: The Great War")</f>
        <v>Valiant Hearts: The Great War</v>
      </c>
      <c r="B355" s="20" t="str">
        <f>IFERROR(__xludf.DUMMYFUNCTION("""COMPUTED_VALUE"""),"Xbox / PC")</f>
        <v>Xbox / PC</v>
      </c>
      <c r="C355" s="21" t="str">
        <f>IFERROR(__xludf.DUMMYFUNCTION("""COMPUTED_VALUE"""),"Yes")</f>
        <v>Yes</v>
      </c>
      <c r="D355" s="21" t="str">
        <f>IFERROR(__xludf.DUMMYFUNCTION("""COMPUTED_VALUE"""),"Active")</f>
        <v>Active</v>
      </c>
      <c r="E355" s="23">
        <f>IFERROR(__xludf.DUMMYFUNCTION("""COMPUTED_VALUE"""),45931.0)</f>
        <v>45931</v>
      </c>
      <c r="F355" s="24"/>
      <c r="G355" s="27">
        <f>IFERROR(__xludf.DUMMYFUNCTION("""COMPUTED_VALUE"""),12.166666666666666)</f>
        <v>12.16666667</v>
      </c>
      <c r="H355" s="23">
        <f>IFERROR(__xludf.DUMMYFUNCTION("""COMPUTED_VALUE"""),41814.0)</f>
        <v>41814</v>
      </c>
      <c r="I355" s="27">
        <f>IFERROR(__xludf.DUMMYFUNCTION("""COMPUTED_VALUE"""),11.269444444444444)</f>
        <v>11.26944444</v>
      </c>
      <c r="J355" s="29">
        <f>IFERROR(__xludf.DUMMYFUNCTION("""COMPUTED_VALUE"""),77.0)</f>
        <v>77</v>
      </c>
      <c r="K355" s="29">
        <f>IFERROR(__xludf.DUMMYFUNCTION("""COMPUTED_VALUE"""),7.0)</f>
        <v>7</v>
      </c>
      <c r="L355" s="31" t="str">
        <f>IFERROR(__xludf.DUMMYFUNCTION("""COMPUTED_VALUE"""),"Platformer")</f>
        <v>Platformer</v>
      </c>
    </row>
    <row r="356">
      <c r="A356" s="17" t="str">
        <f>IFERROR(__xludf.DUMMYFUNCTION("""COMPUTED_VALUE"""),"RoadCraft")</f>
        <v>RoadCraft</v>
      </c>
      <c r="B356" s="20" t="str">
        <f>IFERROR(__xludf.DUMMYFUNCTION("""COMPUTED_VALUE"""),"Xbox / PC")</f>
        <v>Xbox / PC</v>
      </c>
      <c r="C356" s="21" t="str">
        <f>IFERROR(__xludf.DUMMYFUNCTION("""COMPUTED_VALUE"""),"Yes")</f>
        <v>Yes</v>
      </c>
      <c r="D356" s="21" t="str">
        <f>IFERROR(__xludf.DUMMYFUNCTION("""COMPUTED_VALUE"""),"Active")</f>
        <v>Active</v>
      </c>
      <c r="E356" s="23">
        <f>IFERROR(__xludf.DUMMYFUNCTION("""COMPUTED_VALUE"""),45916.0)</f>
        <v>45916</v>
      </c>
      <c r="F356" s="24"/>
      <c r="G356" s="27">
        <f>IFERROR(__xludf.DUMMYFUNCTION("""COMPUTED_VALUE"""),12.666666666666668)</f>
        <v>12.66666667</v>
      </c>
      <c r="H356" s="23">
        <f>IFERROR(__xludf.DUMMYFUNCTION("""COMPUTED_VALUE"""),45797.0)</f>
        <v>45797</v>
      </c>
      <c r="I356" s="27">
        <f>IFERROR(__xludf.DUMMYFUNCTION("""COMPUTED_VALUE"""),0.32222222222222224)</f>
        <v>0.3222222222</v>
      </c>
      <c r="J356" s="29">
        <f>IFERROR(__xludf.DUMMYFUNCTION("""COMPUTED_VALUE"""),77.0)</f>
        <v>77</v>
      </c>
      <c r="K356" s="29">
        <f>IFERROR(__xludf.DUMMYFUNCTION("""COMPUTED_VALUE"""),51.0)</f>
        <v>51</v>
      </c>
      <c r="L356" s="31" t="str">
        <f>IFERROR(__xludf.DUMMYFUNCTION("""COMPUTED_VALUE"""),"Racing")</f>
        <v>Racing</v>
      </c>
    </row>
    <row r="357">
      <c r="A357" s="17" t="str">
        <f>IFERROR(__xludf.DUMMYFUNCTION("""COMPUTED_VALUE"""),"Herdling")</f>
        <v>Herdling</v>
      </c>
      <c r="B357" s="20" t="str">
        <f>IFERROR(__xludf.DUMMYFUNCTION("""COMPUTED_VALUE"""),"Xbox / PC")</f>
        <v>Xbox / PC</v>
      </c>
      <c r="C357" s="21" t="str">
        <f>IFERROR(__xludf.DUMMYFUNCTION("""COMPUTED_VALUE"""),"Yes")</f>
        <v>Yes</v>
      </c>
      <c r="D357" s="21" t="str">
        <f>IFERROR(__xludf.DUMMYFUNCTION("""COMPUTED_VALUE"""),"Active")</f>
        <v>Active</v>
      </c>
      <c r="E357" s="23">
        <f>IFERROR(__xludf.DUMMYFUNCTION("""COMPUTED_VALUE"""),45890.0)</f>
        <v>45890</v>
      </c>
      <c r="F357" s="24"/>
      <c r="G357" s="27">
        <f>IFERROR(__xludf.DUMMYFUNCTION("""COMPUTED_VALUE"""),13.5)</f>
        <v>13.5</v>
      </c>
      <c r="H357" s="23">
        <f>IFERROR(__xludf.DUMMYFUNCTION("""COMPUTED_VALUE"""),45890.0)</f>
        <v>45890</v>
      </c>
      <c r="I357" s="27">
        <f>IFERROR(__xludf.DUMMYFUNCTION("""COMPUTED_VALUE"""),0.0)</f>
        <v>0</v>
      </c>
      <c r="J357" s="29">
        <f>IFERROR(__xludf.DUMMYFUNCTION("""COMPUTED_VALUE"""),77.0)</f>
        <v>77</v>
      </c>
      <c r="K357" s="29">
        <f>IFERROR(__xludf.DUMMYFUNCTION("""COMPUTED_VALUE"""),4.0)</f>
        <v>4</v>
      </c>
      <c r="L357" s="31" t="str">
        <f>IFERROR(__xludf.DUMMYFUNCTION("""COMPUTED_VALUE"""),"Action-Adventure")</f>
        <v>Action-Adventure</v>
      </c>
    </row>
    <row r="358">
      <c r="A358" s="17" t="str">
        <f>IFERROR(__xludf.DUMMYFUNCTION("""COMPUTED_VALUE"""),"Demon Attack")</f>
        <v>Demon Attack</v>
      </c>
      <c r="B358" s="20" t="str">
        <f>IFERROR(__xludf.DUMMYFUNCTION("""COMPUTED_VALUE"""),"Xbox / PC")</f>
        <v>Xbox / PC</v>
      </c>
      <c r="C358" s="21" t="str">
        <f>IFERROR(__xludf.DUMMYFUNCTION("""COMPUTED_VALUE"""),"Yes")</f>
        <v>Yes</v>
      </c>
      <c r="D358" s="21" t="str">
        <f>IFERROR(__xludf.DUMMYFUNCTION("""COMPUTED_VALUE"""),"Active")</f>
        <v>Active</v>
      </c>
      <c r="E358" s="23">
        <f>IFERROR(__xludf.DUMMYFUNCTION("""COMPUTED_VALUE"""),45798.0)</f>
        <v>45798</v>
      </c>
      <c r="F358" s="24"/>
      <c r="G358" s="27">
        <f>IFERROR(__xludf.DUMMYFUNCTION("""COMPUTED_VALUE"""),16.5)</f>
        <v>16.5</v>
      </c>
      <c r="H358" s="23">
        <f>IFERROR(__xludf.DUMMYFUNCTION("""COMPUTED_VALUE"""),32255.0)</f>
        <v>32255</v>
      </c>
      <c r="I358" s="27">
        <f>IFERROR(__xludf.DUMMYFUNCTION("""COMPUTED_VALUE"""),37.080555555555556)</f>
        <v>37.08055556</v>
      </c>
      <c r="J358" s="29">
        <f>IFERROR(__xludf.DUMMYFUNCTION("""COMPUTED_VALUE"""),77.0)</f>
        <v>77</v>
      </c>
      <c r="K358" s="29"/>
      <c r="L358" s="31" t="str">
        <f>IFERROR(__xludf.DUMMYFUNCTION("""COMPUTED_VALUE"""),"Shooter")</f>
        <v>Shooter</v>
      </c>
    </row>
    <row r="359">
      <c r="A359" s="17" t="str">
        <f>IFERROR(__xludf.DUMMYFUNCTION("""COMPUTED_VALUE"""),"Police Quest")</f>
        <v>Police Quest</v>
      </c>
      <c r="B359" s="20" t="str">
        <f>IFERROR(__xludf.DUMMYFUNCTION("""COMPUTED_VALUE"""),"Xbox / PC")</f>
        <v>Xbox / PC</v>
      </c>
      <c r="C359" s="21" t="str">
        <f>IFERROR(__xludf.DUMMYFUNCTION("""COMPUTED_VALUE"""),"Yes")</f>
        <v>Yes</v>
      </c>
      <c r="D359" s="21" t="str">
        <f>IFERROR(__xludf.DUMMYFUNCTION("""COMPUTED_VALUE"""),"Active")</f>
        <v>Active</v>
      </c>
      <c r="E359" s="23">
        <f>IFERROR(__xludf.DUMMYFUNCTION("""COMPUTED_VALUE"""),45798.0)</f>
        <v>45798</v>
      </c>
      <c r="F359" s="24"/>
      <c r="G359" s="27">
        <f>IFERROR(__xludf.DUMMYFUNCTION("""COMPUTED_VALUE"""),16.5)</f>
        <v>16.5</v>
      </c>
      <c r="H359" s="23">
        <f>IFERROR(__xludf.DUMMYFUNCTION("""COMPUTED_VALUE"""),31778.0)</f>
        <v>31778</v>
      </c>
      <c r="I359" s="27">
        <f>IFERROR(__xludf.DUMMYFUNCTION("""COMPUTED_VALUE"""),38.388888888888886)</f>
        <v>38.38888889</v>
      </c>
      <c r="J359" s="29">
        <f>IFERROR(__xludf.DUMMYFUNCTION("""COMPUTED_VALUE"""),77.0)</f>
        <v>77</v>
      </c>
      <c r="K359" s="29">
        <f>IFERROR(__xludf.DUMMYFUNCTION("""COMPUTED_VALUE"""),4.0)</f>
        <v>4</v>
      </c>
      <c r="L359" s="31" t="str">
        <f>IFERROR(__xludf.DUMMYFUNCTION("""COMPUTED_VALUE"""),"Adventure")</f>
        <v>Adventure</v>
      </c>
    </row>
    <row r="360">
      <c r="A360" s="17" t="str">
        <f>IFERROR(__xludf.DUMMYFUNCTION("""COMPUTED_VALUE"""),"South of Midnight")</f>
        <v>South of Midnight</v>
      </c>
      <c r="B360" s="20" t="str">
        <f>IFERROR(__xludf.DUMMYFUNCTION("""COMPUTED_VALUE"""),"Xbox / PC")</f>
        <v>Xbox / PC</v>
      </c>
      <c r="C360" s="21"/>
      <c r="D360" s="21" t="str">
        <f>IFERROR(__xludf.DUMMYFUNCTION("""COMPUTED_VALUE"""),"Active")</f>
        <v>Active</v>
      </c>
      <c r="E360" s="23">
        <f>IFERROR(__xludf.DUMMYFUNCTION("""COMPUTED_VALUE"""),45755.0)</f>
        <v>45755</v>
      </c>
      <c r="F360" s="24"/>
      <c r="G360" s="27">
        <f>IFERROR(__xludf.DUMMYFUNCTION("""COMPUTED_VALUE"""),17.933333333333334)</f>
        <v>17.93333333</v>
      </c>
      <c r="H360" s="23">
        <f>IFERROR(__xludf.DUMMYFUNCTION("""COMPUTED_VALUE"""),45755.0)</f>
        <v>45755</v>
      </c>
      <c r="I360" s="27">
        <f>IFERROR(__xludf.DUMMYFUNCTION("""COMPUTED_VALUE"""),0.0)</f>
        <v>0</v>
      </c>
      <c r="J360" s="29">
        <f>IFERROR(__xludf.DUMMYFUNCTION("""COMPUTED_VALUE"""),77.0)</f>
        <v>77</v>
      </c>
      <c r="K360" s="29">
        <f>IFERROR(__xludf.DUMMYFUNCTION("""COMPUTED_VALUE"""),10.0)</f>
        <v>10</v>
      </c>
      <c r="L360" s="31" t="str">
        <f>IFERROR(__xludf.DUMMYFUNCTION("""COMPUTED_VALUE"""),"Action-Adventure")</f>
        <v>Action-Adventure</v>
      </c>
    </row>
    <row r="361">
      <c r="A361" s="17" t="str">
        <f>IFERROR(__xludf.DUMMYFUNCTION("""COMPUTED_VALUE"""),"Riders Republic")</f>
        <v>Riders Republic</v>
      </c>
      <c r="B361" s="20" t="str">
        <f>IFERROR(__xludf.DUMMYFUNCTION("""COMPUTED_VALUE"""),"Xbox / PC")</f>
        <v>Xbox / PC</v>
      </c>
      <c r="C361" s="21" t="str">
        <f>IFERROR(__xludf.DUMMYFUNCTION("""COMPUTED_VALUE"""),"Yes")</f>
        <v>Yes</v>
      </c>
      <c r="D361" s="21" t="str">
        <f>IFERROR(__xludf.DUMMYFUNCTION("""COMPUTED_VALUE"""),"Active")</f>
        <v>Active</v>
      </c>
      <c r="E361" s="23">
        <f>IFERROR(__xludf.DUMMYFUNCTION("""COMPUTED_VALUE"""),45546.0)</f>
        <v>45546</v>
      </c>
      <c r="F361" s="24"/>
      <c r="G361" s="27">
        <f>IFERROR(__xludf.DUMMYFUNCTION("""COMPUTED_VALUE"""),24.833333333333336)</f>
        <v>24.83333333</v>
      </c>
      <c r="H361" s="23">
        <f>IFERROR(__xludf.DUMMYFUNCTION("""COMPUTED_VALUE"""),44497.0)</f>
        <v>44497</v>
      </c>
      <c r="I361" s="27">
        <f>IFERROR(__xludf.DUMMYFUNCTION("""COMPUTED_VALUE"""),2.8694444444444445)</f>
        <v>2.869444444</v>
      </c>
      <c r="J361" s="29">
        <f>IFERROR(__xludf.DUMMYFUNCTION("""COMPUTED_VALUE"""),77.0)</f>
        <v>77</v>
      </c>
      <c r="K361" s="29">
        <f>IFERROR(__xludf.DUMMYFUNCTION("""COMPUTED_VALUE"""),18.0)</f>
        <v>18</v>
      </c>
      <c r="L361" s="31" t="str">
        <f>IFERROR(__xludf.DUMMYFUNCTION("""COMPUTED_VALUE"""),"Sports")</f>
        <v>Sports</v>
      </c>
    </row>
    <row r="362">
      <c r="A362" s="17" t="str">
        <f>IFERROR(__xludf.DUMMYFUNCTION("""COMPUTED_VALUE"""),"Nickelodeon All-Star Brawl 2")</f>
        <v>Nickelodeon All-Star Brawl 2</v>
      </c>
      <c r="B362" s="20" t="str">
        <f>IFERROR(__xludf.DUMMYFUNCTION("""COMPUTED_VALUE"""),"Xbox / PC")</f>
        <v>Xbox / PC</v>
      </c>
      <c r="C362" s="21" t="str">
        <f>IFERROR(__xludf.DUMMYFUNCTION("""COMPUTED_VALUE"""),"Yes")</f>
        <v>Yes</v>
      </c>
      <c r="D362" s="21" t="str">
        <f>IFERROR(__xludf.DUMMYFUNCTION("""COMPUTED_VALUE"""),"Active")</f>
        <v>Active</v>
      </c>
      <c r="E362" s="23">
        <f>IFERROR(__xludf.DUMMYFUNCTION("""COMPUTED_VALUE"""),45476.0)</f>
        <v>45476</v>
      </c>
      <c r="F362" s="24"/>
      <c r="G362" s="27">
        <f>IFERROR(__xludf.DUMMYFUNCTION("""COMPUTED_VALUE"""),27.1)</f>
        <v>27.1</v>
      </c>
      <c r="H362" s="23">
        <f>IFERROR(__xludf.DUMMYFUNCTION("""COMPUTED_VALUE"""),45237.0)</f>
        <v>45237</v>
      </c>
      <c r="I362" s="27">
        <f>IFERROR(__xludf.DUMMYFUNCTION("""COMPUTED_VALUE"""),0.6555555555555556)</f>
        <v>0.6555555556</v>
      </c>
      <c r="J362" s="29">
        <f>IFERROR(__xludf.DUMMYFUNCTION("""COMPUTED_VALUE"""),77.0)</f>
        <v>77</v>
      </c>
      <c r="K362" s="29">
        <f>IFERROR(__xludf.DUMMYFUNCTION("""COMPUTED_VALUE"""),4.0)</f>
        <v>4</v>
      </c>
      <c r="L362" s="31" t="str">
        <f>IFERROR(__xludf.DUMMYFUNCTION("""COMPUTED_VALUE"""),"Fighting")</f>
        <v>Fighting</v>
      </c>
    </row>
    <row r="363">
      <c r="A363" s="17" t="str">
        <f>IFERROR(__xludf.DUMMYFUNCTION("""COMPUTED_VALUE"""),"SimCity 3000: Unlimited")</f>
        <v>SimCity 3000: Unlimited</v>
      </c>
      <c r="B363" s="20" t="str">
        <f>IFERROR(__xludf.DUMMYFUNCTION("""COMPUTED_VALUE"""),"PC")</f>
        <v>PC</v>
      </c>
      <c r="C363" s="21"/>
      <c r="D363" s="21" t="str">
        <f>IFERROR(__xludf.DUMMYFUNCTION("""COMPUTED_VALUE"""),"Active")</f>
        <v>Active</v>
      </c>
      <c r="E363" s="23">
        <f>IFERROR(__xludf.DUMMYFUNCTION("""COMPUTED_VALUE"""),45398.0)</f>
        <v>45398</v>
      </c>
      <c r="F363" s="24"/>
      <c r="G363" s="27">
        <f>IFERROR(__xludf.DUMMYFUNCTION("""COMPUTED_VALUE"""),29.666666666666668)</f>
        <v>29.66666667</v>
      </c>
      <c r="H363" s="23">
        <f>IFERROR(__xludf.DUMMYFUNCTION("""COMPUTED_VALUE"""),36662.0)</f>
        <v>36662</v>
      </c>
      <c r="I363" s="27">
        <f>IFERROR(__xludf.DUMMYFUNCTION("""COMPUTED_VALUE"""),23.916666666666668)</f>
        <v>23.91666667</v>
      </c>
      <c r="J363" s="29">
        <f>IFERROR(__xludf.DUMMYFUNCTION("""COMPUTED_VALUE"""),77.0)</f>
        <v>77</v>
      </c>
      <c r="K363" s="29">
        <f>IFERROR(__xludf.DUMMYFUNCTION("""COMPUTED_VALUE"""),4.0)</f>
        <v>4</v>
      </c>
      <c r="L363" s="31" t="str">
        <f>IFERROR(__xludf.DUMMYFUNCTION("""COMPUTED_VALUE"""),"Strategy")</f>
        <v>Strategy</v>
      </c>
    </row>
    <row r="364">
      <c r="A364" s="17" t="str">
        <f>IFERROR(__xludf.DUMMYFUNCTION("""COMPUTED_VALUE"""),"Need for Speed: Unbound")</f>
        <v>Need for Speed: Unbound</v>
      </c>
      <c r="B364" s="20" t="str">
        <f>IFERROR(__xludf.DUMMYFUNCTION("""COMPUTED_VALUE"""),"Xbox / PC")</f>
        <v>Xbox / PC</v>
      </c>
      <c r="C364" s="21" t="str">
        <f>IFERROR(__xludf.DUMMYFUNCTION("""COMPUTED_VALUE"""),"Yes")</f>
        <v>Yes</v>
      </c>
      <c r="D364" s="21" t="str">
        <f>IFERROR(__xludf.DUMMYFUNCTION("""COMPUTED_VALUE"""),"Active")</f>
        <v>Active</v>
      </c>
      <c r="E364" s="23">
        <f>IFERROR(__xludf.DUMMYFUNCTION("""COMPUTED_VALUE"""),45099.0)</f>
        <v>45099</v>
      </c>
      <c r="F364" s="24"/>
      <c r="G364" s="27">
        <f>IFERROR(__xludf.DUMMYFUNCTION("""COMPUTED_VALUE"""),39.46666666666667)</f>
        <v>39.46666667</v>
      </c>
      <c r="H364" s="23">
        <f>IFERROR(__xludf.DUMMYFUNCTION("""COMPUTED_VALUE"""),44894.0)</f>
        <v>44894</v>
      </c>
      <c r="I364" s="27">
        <f>IFERROR(__xludf.DUMMYFUNCTION("""COMPUTED_VALUE"""),0.5638888888888889)</f>
        <v>0.5638888889</v>
      </c>
      <c r="J364" s="29">
        <f>IFERROR(__xludf.DUMMYFUNCTION("""COMPUTED_VALUE"""),77.0)</f>
        <v>77</v>
      </c>
      <c r="K364" s="29">
        <f>IFERROR(__xludf.DUMMYFUNCTION("""COMPUTED_VALUE"""),23.0)</f>
        <v>23</v>
      </c>
      <c r="L364" s="31" t="str">
        <f>IFERROR(__xludf.DUMMYFUNCTION("""COMPUTED_VALUE"""),"Racing")</f>
        <v>Racing</v>
      </c>
    </row>
    <row r="365">
      <c r="A365" s="17" t="str">
        <f>IFERROR(__xludf.DUMMYFUNCTION("""COMPUTED_VALUE"""),"Broken Age")</f>
        <v>Broken Age</v>
      </c>
      <c r="B365" s="20" t="str">
        <f>IFERROR(__xludf.DUMMYFUNCTION("""COMPUTED_VALUE"""),"Xbox / PC")</f>
        <v>Xbox / PC</v>
      </c>
      <c r="C365" s="21" t="str">
        <f>IFERROR(__xludf.DUMMYFUNCTION("""COMPUTED_VALUE"""),"Touch Controls")</f>
        <v>Touch Controls</v>
      </c>
      <c r="D365" s="21" t="str">
        <f>IFERROR(__xludf.DUMMYFUNCTION("""COMPUTED_VALUE"""),"Active")</f>
        <v>Active</v>
      </c>
      <c r="E365" s="23">
        <f>IFERROR(__xludf.DUMMYFUNCTION("""COMPUTED_VALUE"""),44546.0)</f>
        <v>44546</v>
      </c>
      <c r="F365" s="24"/>
      <c r="G365" s="27">
        <f>IFERROR(__xludf.DUMMYFUNCTION("""COMPUTED_VALUE"""),57.666666666666664)</f>
        <v>57.66666667</v>
      </c>
      <c r="H365" s="23">
        <f>IFERROR(__xludf.DUMMYFUNCTION("""COMPUTED_VALUE"""),41653.0)</f>
        <v>41653</v>
      </c>
      <c r="I365" s="27">
        <f>IFERROR(__xludf.DUMMYFUNCTION("""COMPUTED_VALUE"""),7.9222222222222225)</f>
        <v>7.922222222</v>
      </c>
      <c r="J365" s="29">
        <f>IFERROR(__xludf.DUMMYFUNCTION("""COMPUTED_VALUE"""),77.0)</f>
        <v>77</v>
      </c>
      <c r="K365" s="29">
        <f>IFERROR(__xludf.DUMMYFUNCTION("""COMPUTED_VALUE"""),10.0)</f>
        <v>10</v>
      </c>
      <c r="L365" s="31" t="str">
        <f>IFERROR(__xludf.DUMMYFUNCTION("""COMPUTED_VALUE"""),"Adventure")</f>
        <v>Adventure</v>
      </c>
    </row>
    <row r="366">
      <c r="A366" s="17" t="str">
        <f>IFERROR(__xludf.DUMMYFUNCTION("""COMPUTED_VALUE"""),"Arx Fatalis")</f>
        <v>Arx Fatalis</v>
      </c>
      <c r="B366" s="20" t="str">
        <f>IFERROR(__xludf.DUMMYFUNCTION("""COMPUTED_VALUE"""),"PC")</f>
        <v>PC</v>
      </c>
      <c r="C366" s="21"/>
      <c r="D366" s="21" t="str">
        <f>IFERROR(__xludf.DUMMYFUNCTION("""COMPUTED_VALUE"""),"Active")</f>
        <v>Active</v>
      </c>
      <c r="E366" s="23">
        <f>IFERROR(__xludf.DUMMYFUNCTION("""COMPUTED_VALUE"""),44360.0)</f>
        <v>44360</v>
      </c>
      <c r="F366" s="24"/>
      <c r="G366" s="27">
        <f>IFERROR(__xludf.DUMMYFUNCTION("""COMPUTED_VALUE"""),63.766666666666666)</f>
        <v>63.76666667</v>
      </c>
      <c r="H366" s="23">
        <f>IFERROR(__xludf.DUMMYFUNCTION("""COMPUTED_VALUE"""),37571.0)</f>
        <v>37571</v>
      </c>
      <c r="I366" s="27">
        <f>IFERROR(__xludf.DUMMYFUNCTION("""COMPUTED_VALUE"""),18.58888888888889)</f>
        <v>18.58888889</v>
      </c>
      <c r="J366" s="29">
        <f>IFERROR(__xludf.DUMMYFUNCTION("""COMPUTED_VALUE"""),77.0)</f>
        <v>77</v>
      </c>
      <c r="K366" s="29">
        <f>IFERROR(__xludf.DUMMYFUNCTION("""COMPUTED_VALUE"""),20.0)</f>
        <v>20</v>
      </c>
      <c r="L366" s="31" t="str">
        <f>IFERROR(__xludf.DUMMYFUNCTION("""COMPUTED_VALUE"""),"RPG")</f>
        <v>RPG</v>
      </c>
    </row>
    <row r="367">
      <c r="A367" s="17" t="str">
        <f>IFERROR(__xludf.DUMMYFUNCTION("""COMPUTED_VALUE"""),"SimCity 2000: Special Edition")</f>
        <v>SimCity 2000: Special Edition</v>
      </c>
      <c r="B367" s="20" t="str">
        <f>IFERROR(__xludf.DUMMYFUNCTION("""COMPUTED_VALUE"""),"PC")</f>
        <v>PC</v>
      </c>
      <c r="C367" s="21"/>
      <c r="D367" s="21" t="str">
        <f>IFERROR(__xludf.DUMMYFUNCTION("""COMPUTED_VALUE"""),"Active")</f>
        <v>Active</v>
      </c>
      <c r="E367" s="23">
        <f>IFERROR(__xludf.DUMMYFUNCTION("""COMPUTED_VALUE"""),44273.0)</f>
        <v>44273</v>
      </c>
      <c r="F367" s="24"/>
      <c r="G367" s="27">
        <f>IFERROR(__xludf.DUMMYFUNCTION("""COMPUTED_VALUE"""),66.6)</f>
        <v>66.6</v>
      </c>
      <c r="H367" s="23">
        <f>IFERROR(__xludf.DUMMYFUNCTION("""COMPUTED_VALUE"""),34737.0)</f>
        <v>34737</v>
      </c>
      <c r="I367" s="27">
        <f>IFERROR(__xludf.DUMMYFUNCTION("""COMPUTED_VALUE"""),26.113888888888887)</f>
        <v>26.11388889</v>
      </c>
      <c r="J367" s="29">
        <f>IFERROR(__xludf.DUMMYFUNCTION("""COMPUTED_VALUE"""),77.0)</f>
        <v>77</v>
      </c>
      <c r="K367" s="29">
        <f>IFERROR(__xludf.DUMMYFUNCTION("""COMPUTED_VALUE"""),30.0)</f>
        <v>30</v>
      </c>
      <c r="L367" s="31" t="str">
        <f>IFERROR(__xludf.DUMMYFUNCTION("""COMPUTED_VALUE"""),"Simulation")</f>
        <v>Simulation</v>
      </c>
    </row>
    <row r="368">
      <c r="A368" s="17" t="str">
        <f>IFERROR(__xludf.DUMMYFUNCTION("""COMPUTED_VALUE"""),"DOOM 64")</f>
        <v>DOOM 64</v>
      </c>
      <c r="B368" s="20" t="str">
        <f>IFERROR(__xludf.DUMMYFUNCTION("""COMPUTED_VALUE"""),"Xbox / PC")</f>
        <v>Xbox / PC</v>
      </c>
      <c r="C368" s="21" t="str">
        <f>IFERROR(__xludf.DUMMYFUNCTION("""COMPUTED_VALUE"""),"M+KB")</f>
        <v>M+KB</v>
      </c>
      <c r="D368" s="21" t="str">
        <f>IFERROR(__xludf.DUMMYFUNCTION("""COMPUTED_VALUE"""),"Active")</f>
        <v>Active</v>
      </c>
      <c r="E368" s="23">
        <f>IFERROR(__xludf.DUMMYFUNCTION("""COMPUTED_VALUE"""),44267.0)</f>
        <v>44267</v>
      </c>
      <c r="F368" s="24"/>
      <c r="G368" s="27">
        <f>IFERROR(__xludf.DUMMYFUNCTION("""COMPUTED_VALUE"""),66.8)</f>
        <v>66.8</v>
      </c>
      <c r="H368" s="23">
        <f>IFERROR(__xludf.DUMMYFUNCTION("""COMPUTED_VALUE"""),35520.0)</f>
        <v>35520</v>
      </c>
      <c r="I368" s="27">
        <f>IFERROR(__xludf.DUMMYFUNCTION("""COMPUTED_VALUE"""),23.95)</f>
        <v>23.95</v>
      </c>
      <c r="J368" s="29">
        <f>IFERROR(__xludf.DUMMYFUNCTION("""COMPUTED_VALUE"""),77.0)</f>
        <v>77</v>
      </c>
      <c r="K368" s="29">
        <f>IFERROR(__xludf.DUMMYFUNCTION("""COMPUTED_VALUE"""),7.0)</f>
        <v>7</v>
      </c>
      <c r="L368" s="31" t="str">
        <f>IFERROR(__xludf.DUMMYFUNCTION("""COMPUTED_VALUE"""),"Shooter")</f>
        <v>Shooter</v>
      </c>
    </row>
    <row r="369">
      <c r="A369" s="17" t="str">
        <f>IFERROR(__xludf.DUMMYFUNCTION("""COMPUTED_VALUE"""),"Descenders")</f>
        <v>Descenders</v>
      </c>
      <c r="B369" s="20" t="str">
        <f>IFERROR(__xludf.DUMMYFUNCTION("""COMPUTED_VALUE"""),"Xbox / PC")</f>
        <v>Xbox / PC</v>
      </c>
      <c r="C369" s="21" t="str">
        <f>IFERROR(__xludf.DUMMYFUNCTION("""COMPUTED_VALUE"""),"Yes")</f>
        <v>Yes</v>
      </c>
      <c r="D369" s="21" t="str">
        <f>IFERROR(__xludf.DUMMYFUNCTION("""COMPUTED_VALUE"""),"Active")</f>
        <v>Active</v>
      </c>
      <c r="E369" s="23">
        <f>IFERROR(__xludf.DUMMYFUNCTION("""COMPUTED_VALUE"""),43592.0)</f>
        <v>43592</v>
      </c>
      <c r="F369" s="24"/>
      <c r="G369" s="27">
        <f>IFERROR(__xludf.DUMMYFUNCTION("""COMPUTED_VALUE"""),88.96666666666667)</f>
        <v>88.96666667</v>
      </c>
      <c r="H369" s="23">
        <f>IFERROR(__xludf.DUMMYFUNCTION("""COMPUTED_VALUE"""),43140.0)</f>
        <v>43140</v>
      </c>
      <c r="I369" s="27">
        <f>IFERROR(__xludf.DUMMYFUNCTION("""COMPUTED_VALUE"""),1.2444444444444445)</f>
        <v>1.244444444</v>
      </c>
      <c r="J369" s="29">
        <f>IFERROR(__xludf.DUMMYFUNCTION("""COMPUTED_VALUE"""),77.0)</f>
        <v>77</v>
      </c>
      <c r="K369" s="29">
        <f>IFERROR(__xludf.DUMMYFUNCTION("""COMPUTED_VALUE"""),4.0)</f>
        <v>4</v>
      </c>
      <c r="L369" s="31" t="str">
        <f>IFERROR(__xludf.DUMMYFUNCTION("""COMPUTED_VALUE"""),"Racing")</f>
        <v>Racing</v>
      </c>
    </row>
    <row r="370">
      <c r="A370" s="17" t="str">
        <f>IFERROR(__xludf.DUMMYFUNCTION("""COMPUTED_VALUE"""),"Quantum Break")</f>
        <v>Quantum Break</v>
      </c>
      <c r="B370" s="20" t="str">
        <f>IFERROR(__xludf.DUMMYFUNCTION("""COMPUTED_VALUE"""),"Xbox / PC")</f>
        <v>Xbox / PC</v>
      </c>
      <c r="C370" s="21"/>
      <c r="D370" s="21" t="str">
        <f>IFERROR(__xludf.DUMMYFUNCTION("""COMPUTED_VALUE"""),"Active")</f>
        <v>Active</v>
      </c>
      <c r="E370" s="23">
        <f>IFERROR(__xludf.DUMMYFUNCTION("""COMPUTED_VALUE"""),43344.0)</f>
        <v>43344</v>
      </c>
      <c r="F370" s="24"/>
      <c r="G370" s="27">
        <f>IFERROR(__xludf.DUMMYFUNCTION("""COMPUTED_VALUE"""),97.16666666666666)</f>
        <v>97.16666667</v>
      </c>
      <c r="H370" s="23">
        <f>IFERROR(__xludf.DUMMYFUNCTION("""COMPUTED_VALUE"""),42465.0)</f>
        <v>42465</v>
      </c>
      <c r="I370" s="27">
        <f>IFERROR(__xludf.DUMMYFUNCTION("""COMPUTED_VALUE"""),2.4055555555555554)</f>
        <v>2.405555556</v>
      </c>
      <c r="J370" s="29">
        <f>IFERROR(__xludf.DUMMYFUNCTION("""COMPUTED_VALUE"""),77.0)</f>
        <v>77</v>
      </c>
      <c r="K370" s="29">
        <f>IFERROR(__xludf.DUMMYFUNCTION("""COMPUTED_VALUE"""),10.0)</f>
        <v>10</v>
      </c>
      <c r="L370" s="31" t="str">
        <f>IFERROR(__xludf.DUMMYFUNCTION("""COMPUTED_VALUE"""),"Shooter")</f>
        <v>Shooter</v>
      </c>
    </row>
    <row r="371">
      <c r="A371" s="17" t="str">
        <f>IFERROR(__xludf.DUMMYFUNCTION("""COMPUTED_VALUE"""),"The Elder Scrolls Online")</f>
        <v>The Elder Scrolls Online</v>
      </c>
      <c r="B371" s="20" t="str">
        <f>IFERROR(__xludf.DUMMYFUNCTION("""COMPUTED_VALUE"""),"Xbox / PC")</f>
        <v>Xbox / PC</v>
      </c>
      <c r="C371" s="21"/>
      <c r="D371" s="21" t="str">
        <f>IFERROR(__xludf.DUMMYFUNCTION("""COMPUTED_VALUE"""),"Active")</f>
        <v>Active</v>
      </c>
      <c r="E371" s="23">
        <f>IFERROR(__xludf.DUMMYFUNCTION("""COMPUTED_VALUE"""),43261.0)</f>
        <v>43261</v>
      </c>
      <c r="F371" s="24"/>
      <c r="G371" s="27">
        <f>IFERROR(__xludf.DUMMYFUNCTION("""COMPUTED_VALUE"""),99.86666666666667)</f>
        <v>99.86666667</v>
      </c>
      <c r="H371" s="23">
        <f>IFERROR(__xludf.DUMMYFUNCTION("""COMPUTED_VALUE"""),41733.0)</f>
        <v>41733</v>
      </c>
      <c r="I371" s="27">
        <f>IFERROR(__xludf.DUMMYFUNCTION("""COMPUTED_VALUE"""),4.183333333333334)</f>
        <v>4.183333333</v>
      </c>
      <c r="J371" s="29">
        <f>IFERROR(__xludf.DUMMYFUNCTION("""COMPUTED_VALUE"""),77.0)</f>
        <v>77</v>
      </c>
      <c r="K371" s="29">
        <f>IFERROR(__xludf.DUMMYFUNCTION("""COMPUTED_VALUE"""),87.0)</f>
        <v>87</v>
      </c>
      <c r="L371" s="31" t="str">
        <f>IFERROR(__xludf.DUMMYFUNCTION("""COMPUTED_VALUE"""),"MMORPG")</f>
        <v>MMORPG</v>
      </c>
    </row>
    <row r="372">
      <c r="A372" s="17" t="str">
        <f>IFERROR(__xludf.DUMMYFUNCTION("""COMPUTED_VALUE"""),"Wasteland 2: Director's Cut")</f>
        <v>Wasteland 2: Director's Cut</v>
      </c>
      <c r="B372" s="20" t="str">
        <f>IFERROR(__xludf.DUMMYFUNCTION("""COMPUTED_VALUE"""),"Xbox / PC")</f>
        <v>Xbox / PC</v>
      </c>
      <c r="C372" s="21" t="str">
        <f>IFERROR(__xludf.DUMMYFUNCTION("""COMPUTED_VALUE"""),"Touch Controls")</f>
        <v>Touch Controls</v>
      </c>
      <c r="D372" s="21" t="str">
        <f>IFERROR(__xludf.DUMMYFUNCTION("""COMPUTED_VALUE"""),"Active")</f>
        <v>Active</v>
      </c>
      <c r="E372" s="23">
        <f>IFERROR(__xludf.DUMMYFUNCTION("""COMPUTED_VALUE"""),43252.0)</f>
        <v>43252</v>
      </c>
      <c r="F372" s="24"/>
      <c r="G372" s="27">
        <f>IFERROR(__xludf.DUMMYFUNCTION("""COMPUTED_VALUE"""),100.16666666666666)</f>
        <v>100.1666667</v>
      </c>
      <c r="H372" s="23">
        <f>IFERROR(__xludf.DUMMYFUNCTION("""COMPUTED_VALUE"""),41900.0)</f>
        <v>41900</v>
      </c>
      <c r="I372" s="27">
        <f>IFERROR(__xludf.DUMMYFUNCTION("""COMPUTED_VALUE"""),3.702777777777778)</f>
        <v>3.702777778</v>
      </c>
      <c r="J372" s="29">
        <f>IFERROR(__xludf.DUMMYFUNCTION("""COMPUTED_VALUE"""),77.0)</f>
        <v>77</v>
      </c>
      <c r="K372" s="29">
        <f>IFERROR(__xludf.DUMMYFUNCTION("""COMPUTED_VALUE"""),39.5)</f>
        <v>39.5</v>
      </c>
      <c r="L372" s="31" t="str">
        <f>IFERROR(__xludf.DUMMYFUNCTION("""COMPUTED_VALUE"""),"RPG")</f>
        <v>RPG</v>
      </c>
    </row>
    <row r="373">
      <c r="A373" s="17" t="str">
        <f>IFERROR(__xludf.DUMMYFUNCTION("""COMPUTED_VALUE"""),"Supermarket Simulator")</f>
        <v>Supermarket Simulator</v>
      </c>
      <c r="B373" s="20" t="str">
        <f>IFERROR(__xludf.DUMMYFUNCTION("""COMPUTED_VALUE"""),"Xbox / PC")</f>
        <v>Xbox / PC</v>
      </c>
      <c r="C373" s="21" t="str">
        <f>IFERROR(__xludf.DUMMYFUNCTION("""COMPUTED_VALUE"""),"Yes")</f>
        <v>Yes</v>
      </c>
      <c r="D373" s="21" t="str">
        <f>IFERROR(__xludf.DUMMYFUNCTION("""COMPUTED_VALUE"""),"Active")</f>
        <v>Active</v>
      </c>
      <c r="E373" s="23">
        <f>IFERROR(__xludf.DUMMYFUNCTION("""COMPUTED_VALUE"""),45938.0)</f>
        <v>45938</v>
      </c>
      <c r="F373" s="24"/>
      <c r="G373" s="27">
        <f>IFERROR(__xludf.DUMMYFUNCTION("""COMPUTED_VALUE"""),11.933333333333334)</f>
        <v>11.93333333</v>
      </c>
      <c r="H373" s="23">
        <f>IFERROR(__xludf.DUMMYFUNCTION("""COMPUTED_VALUE"""),45827.0)</f>
        <v>45827</v>
      </c>
      <c r="I373" s="27">
        <f>IFERROR(__xludf.DUMMYFUNCTION("""COMPUTED_VALUE"""),0.30277777777777776)</f>
        <v>0.3027777778</v>
      </c>
      <c r="J373" s="29">
        <f>IFERROR(__xludf.DUMMYFUNCTION("""COMPUTED_VALUE"""),76.66666666666667)</f>
        <v>76.66666667</v>
      </c>
      <c r="K373" s="29">
        <f>IFERROR(__xludf.DUMMYFUNCTION("""COMPUTED_VALUE"""),22.0)</f>
        <v>22</v>
      </c>
      <c r="L373" s="31" t="str">
        <f>IFERROR(__xludf.DUMMYFUNCTION("""COMPUTED_VALUE"""),"Simulation")</f>
        <v>Simulation</v>
      </c>
    </row>
    <row r="374">
      <c r="A374" s="17" t="str">
        <f>IFERROR(__xludf.DUMMYFUNCTION("""COMPUTED_VALUE"""),"Crime Scene Cleaner")</f>
        <v>Crime Scene Cleaner</v>
      </c>
      <c r="B374" s="20" t="str">
        <f>IFERROR(__xludf.DUMMYFUNCTION("""COMPUTED_VALUE"""),"Xbox / PC")</f>
        <v>Xbox / PC</v>
      </c>
      <c r="C374" s="21" t="str">
        <f>IFERROR(__xludf.DUMMYFUNCTION("""COMPUTED_VALUE"""),"Yes")</f>
        <v>Yes</v>
      </c>
      <c r="D374" s="21" t="str">
        <f>IFERROR(__xludf.DUMMYFUNCTION("""COMPUTED_VALUE"""),"Leaving Soon")</f>
        <v>Leaving Soon</v>
      </c>
      <c r="E374" s="23">
        <f>IFERROR(__xludf.DUMMYFUNCTION("""COMPUTED_VALUE"""),45764.0)</f>
        <v>45764</v>
      </c>
      <c r="F374" s="24">
        <f>IFERROR(__xludf.DUMMYFUNCTION("""COMPUTED_VALUE"""),46310.0)</f>
        <v>46310</v>
      </c>
      <c r="G374" s="27">
        <f>IFERROR(__xludf.DUMMYFUNCTION("""COMPUTED_VALUE"""),17.933333333333334)</f>
        <v>17.93333333</v>
      </c>
      <c r="H374" s="23">
        <f>IFERROR(__xludf.DUMMYFUNCTION("""COMPUTED_VALUE"""),45518.0)</f>
        <v>45518</v>
      </c>
      <c r="I374" s="27">
        <f>IFERROR(__xludf.DUMMYFUNCTION("""COMPUTED_VALUE"""),0.675)</f>
        <v>0.675</v>
      </c>
      <c r="J374" s="29">
        <f>IFERROR(__xludf.DUMMYFUNCTION("""COMPUTED_VALUE"""),76.66666666666667)</f>
        <v>76.66666667</v>
      </c>
      <c r="K374" s="29">
        <f>IFERROR(__xludf.DUMMYFUNCTION("""COMPUTED_VALUE"""),13.0)</f>
        <v>13</v>
      </c>
      <c r="L374" s="31" t="str">
        <f>IFERROR(__xludf.DUMMYFUNCTION("""COMPUTED_VALUE"""),"Simulation")</f>
        <v>Simulation</v>
      </c>
    </row>
    <row r="375">
      <c r="A375" s="17" t="str">
        <f>IFERROR(__xludf.DUMMYFUNCTION("""COMPUTED_VALUE"""),"Call of Duty: Black Ops Cold War")</f>
        <v>Call of Duty: Black Ops Cold War</v>
      </c>
      <c r="B375" s="20" t="str">
        <f>IFERROR(__xludf.DUMMYFUNCTION("""COMPUTED_VALUE"""),"Xbox / PC")</f>
        <v>Xbox / PC</v>
      </c>
      <c r="C375" s="21" t="str">
        <f>IFERROR(__xludf.DUMMYFUNCTION("""COMPUTED_VALUE"""),"Yes")</f>
        <v>Yes</v>
      </c>
      <c r="D375" s="21" t="str">
        <f>IFERROR(__xludf.DUMMYFUNCTION("""COMPUTED_VALUE"""),"Active")</f>
        <v>Active</v>
      </c>
      <c r="E375" s="23">
        <f>IFERROR(__xludf.DUMMYFUNCTION("""COMPUTED_VALUE"""),46273.0)</f>
        <v>46273</v>
      </c>
      <c r="F375" s="24"/>
      <c r="G375" s="27">
        <f>IFERROR(__xludf.DUMMYFUNCTION("""COMPUTED_VALUE"""),0.9333333333333333)</f>
        <v>0.9333333333</v>
      </c>
      <c r="H375" s="23">
        <f>IFERROR(__xludf.DUMMYFUNCTION("""COMPUTED_VALUE"""),44148.0)</f>
        <v>44148</v>
      </c>
      <c r="I375" s="27">
        <f>IFERROR(__xludf.DUMMYFUNCTION("""COMPUTED_VALUE"""),5.819444444444445)</f>
        <v>5.819444444</v>
      </c>
      <c r="J375" s="29">
        <f>IFERROR(__xludf.DUMMYFUNCTION("""COMPUTED_VALUE"""),76.0)</f>
        <v>76</v>
      </c>
      <c r="K375" s="29">
        <f>IFERROR(__xludf.DUMMYFUNCTION("""COMPUTED_VALUE"""),5.5)</f>
        <v>5.5</v>
      </c>
      <c r="L375" s="31" t="str">
        <f>IFERROR(__xludf.DUMMYFUNCTION("""COMPUTED_VALUE"""),"Shooter")</f>
        <v>Shooter</v>
      </c>
    </row>
    <row r="376">
      <c r="A376" s="17" t="str">
        <f>IFERROR(__xludf.DUMMYFUNCTION("""COMPUTED_VALUE"""),"Call of the Elder Gods")</f>
        <v>Call of the Elder Gods</v>
      </c>
      <c r="B376" s="20" t="str">
        <f>IFERROR(__xludf.DUMMYFUNCTION("""COMPUTED_VALUE"""),"Xbox / PC")</f>
        <v>Xbox / PC</v>
      </c>
      <c r="C376" s="21" t="str">
        <f>IFERROR(__xludf.DUMMYFUNCTION("""COMPUTED_VALUE"""),"Yes")</f>
        <v>Yes</v>
      </c>
      <c r="D376" s="21" t="str">
        <f>IFERROR(__xludf.DUMMYFUNCTION("""COMPUTED_VALUE"""),"Active")</f>
        <v>Active</v>
      </c>
      <c r="E376" s="23">
        <f>IFERROR(__xludf.DUMMYFUNCTION("""COMPUTED_VALUE"""),46154.0)</f>
        <v>46154</v>
      </c>
      <c r="F376" s="24"/>
      <c r="G376" s="27">
        <f>IFERROR(__xludf.DUMMYFUNCTION("""COMPUTED_VALUE"""),4.800000000000001)</f>
        <v>4.8</v>
      </c>
      <c r="H376" s="23">
        <f>IFERROR(__xludf.DUMMYFUNCTION("""COMPUTED_VALUE"""),46154.0)</f>
        <v>46154</v>
      </c>
      <c r="I376" s="27">
        <f>IFERROR(__xludf.DUMMYFUNCTION("""COMPUTED_VALUE"""),0.0)</f>
        <v>0</v>
      </c>
      <c r="J376" s="29">
        <f>IFERROR(__xludf.DUMMYFUNCTION("""COMPUTED_VALUE"""),76.0)</f>
        <v>76</v>
      </c>
      <c r="K376" s="29">
        <f>IFERROR(__xludf.DUMMYFUNCTION("""COMPUTED_VALUE"""),6.0)</f>
        <v>6</v>
      </c>
      <c r="L376" s="31" t="str">
        <f>IFERROR(__xludf.DUMMYFUNCTION("""COMPUTED_VALUE"""),"Action-Adventure")</f>
        <v>Action-Adventure</v>
      </c>
    </row>
    <row r="377">
      <c r="A377" s="17" t="str">
        <f>IFERROR(__xludf.DUMMYFUNCTION("""COMPUTED_VALUE"""),"REPLACED")</f>
        <v>REPLACED</v>
      </c>
      <c r="B377" s="20" t="str">
        <f>IFERROR(__xludf.DUMMYFUNCTION("""COMPUTED_VALUE"""),"Xbox / PC")</f>
        <v>Xbox / PC</v>
      </c>
      <c r="C377" s="21" t="str">
        <f>IFERROR(__xludf.DUMMYFUNCTION("""COMPUTED_VALUE"""),"Yes")</f>
        <v>Yes</v>
      </c>
      <c r="D377" s="21" t="str">
        <f>IFERROR(__xludf.DUMMYFUNCTION("""COMPUTED_VALUE"""),"Active")</f>
        <v>Active</v>
      </c>
      <c r="E377" s="23">
        <f>IFERROR(__xludf.DUMMYFUNCTION("""COMPUTED_VALUE"""),46126.0)</f>
        <v>46126</v>
      </c>
      <c r="F377" s="24"/>
      <c r="G377" s="27">
        <f>IFERROR(__xludf.DUMMYFUNCTION("""COMPUTED_VALUE"""),5.733333333333333)</f>
        <v>5.733333333</v>
      </c>
      <c r="H377" s="23">
        <f>IFERROR(__xludf.DUMMYFUNCTION("""COMPUTED_VALUE"""),46126.0)</f>
        <v>46126</v>
      </c>
      <c r="I377" s="27">
        <f>IFERROR(__xludf.DUMMYFUNCTION("""COMPUTED_VALUE"""),0.0)</f>
        <v>0</v>
      </c>
      <c r="J377" s="29">
        <f>IFERROR(__xludf.DUMMYFUNCTION("""COMPUTED_VALUE"""),76.0)</f>
        <v>76</v>
      </c>
      <c r="K377" s="29">
        <f>IFERROR(__xludf.DUMMYFUNCTION("""COMPUTED_VALUE"""),11.0)</f>
        <v>11</v>
      </c>
      <c r="L377" s="31" t="str">
        <f>IFERROR(__xludf.DUMMYFUNCTION("""COMPUTED_VALUE"""),"Action-Adventure")</f>
        <v>Action-Adventure</v>
      </c>
    </row>
    <row r="378">
      <c r="A378" s="17" t="str">
        <f>IFERROR(__xludf.DUMMYFUNCTION("""COMPUTED_VALUE"""),"Planet Coaster 2")</f>
        <v>Planet Coaster 2</v>
      </c>
      <c r="B378" s="20" t="str">
        <f>IFERROR(__xludf.DUMMYFUNCTION("""COMPUTED_VALUE"""),"Xbox / PC")</f>
        <v>Xbox / PC</v>
      </c>
      <c r="C378" s="21" t="str">
        <f>IFERROR(__xludf.DUMMYFUNCTION("""COMPUTED_VALUE"""),"Yes")</f>
        <v>Yes</v>
      </c>
      <c r="D378" s="21" t="str">
        <f>IFERROR(__xludf.DUMMYFUNCTION("""COMPUTED_VALUE"""),"Active")</f>
        <v>Active</v>
      </c>
      <c r="E378" s="23">
        <f>IFERROR(__xludf.DUMMYFUNCTION("""COMPUTED_VALUE"""),46121.0)</f>
        <v>46121</v>
      </c>
      <c r="F378" s="24"/>
      <c r="G378" s="27">
        <f>IFERROR(__xludf.DUMMYFUNCTION("""COMPUTED_VALUE"""),5.8999999999999995)</f>
        <v>5.9</v>
      </c>
      <c r="H378" s="23">
        <f>IFERROR(__xludf.DUMMYFUNCTION("""COMPUTED_VALUE"""),45602.0)</f>
        <v>45602</v>
      </c>
      <c r="I378" s="27">
        <f>IFERROR(__xludf.DUMMYFUNCTION("""COMPUTED_VALUE"""),1.425)</f>
        <v>1.425</v>
      </c>
      <c r="J378" s="29">
        <f>IFERROR(__xludf.DUMMYFUNCTION("""COMPUTED_VALUE"""),76.0)</f>
        <v>76</v>
      </c>
      <c r="K378" s="29">
        <f>IFERROR(__xludf.DUMMYFUNCTION("""COMPUTED_VALUE"""),32.0)</f>
        <v>32</v>
      </c>
      <c r="L378" s="31" t="str">
        <f>IFERROR(__xludf.DUMMYFUNCTION("""COMPUTED_VALUE"""),"Simulation")</f>
        <v>Simulation</v>
      </c>
    </row>
    <row r="379">
      <c r="A379" s="17" t="str">
        <f>IFERROR(__xludf.DUMMYFUNCTION("""COMPUTED_VALUE"""),"Relooted")</f>
        <v>Relooted</v>
      </c>
      <c r="B379" s="20" t="str">
        <f>IFERROR(__xludf.DUMMYFUNCTION("""COMPUTED_VALUE"""),"Xbox / PC")</f>
        <v>Xbox / PC</v>
      </c>
      <c r="C379" s="21" t="str">
        <f>IFERROR(__xludf.DUMMYFUNCTION("""COMPUTED_VALUE"""),"Yes")</f>
        <v>Yes</v>
      </c>
      <c r="D379" s="21" t="str">
        <f>IFERROR(__xludf.DUMMYFUNCTION("""COMPUTED_VALUE"""),"Active")</f>
        <v>Active</v>
      </c>
      <c r="E379" s="23">
        <f>IFERROR(__xludf.DUMMYFUNCTION("""COMPUTED_VALUE"""),46063.0)</f>
        <v>46063</v>
      </c>
      <c r="F379" s="24"/>
      <c r="G379" s="27">
        <f>IFERROR(__xludf.DUMMYFUNCTION("""COMPUTED_VALUE"""),7.866666666666667)</f>
        <v>7.866666667</v>
      </c>
      <c r="H379" s="23">
        <f>IFERROR(__xludf.DUMMYFUNCTION("""COMPUTED_VALUE"""),46063.0)</f>
        <v>46063</v>
      </c>
      <c r="I379" s="27">
        <f>IFERROR(__xludf.DUMMYFUNCTION("""COMPUTED_VALUE"""),0.0)</f>
        <v>0</v>
      </c>
      <c r="J379" s="29">
        <f>IFERROR(__xludf.DUMMYFUNCTION("""COMPUTED_VALUE"""),76.0)</f>
        <v>76</v>
      </c>
      <c r="K379" s="29">
        <f>IFERROR(__xludf.DUMMYFUNCTION("""COMPUTED_VALUE"""),6.0)</f>
        <v>6</v>
      </c>
      <c r="L379" s="31" t="str">
        <f>IFERROR(__xludf.DUMMYFUNCTION("""COMPUTED_VALUE"""),"Action-Adventure")</f>
        <v>Action-Adventure</v>
      </c>
    </row>
    <row r="380">
      <c r="A380" s="17" t="str">
        <f>IFERROR(__xludf.DUMMYFUNCTION("""COMPUTED_VALUE"""),"The Crew Motorfest")</f>
        <v>The Crew Motorfest</v>
      </c>
      <c r="B380" s="20" t="str">
        <f>IFERROR(__xludf.DUMMYFUNCTION("""COMPUTED_VALUE"""),"Xbox / PC")</f>
        <v>Xbox / PC</v>
      </c>
      <c r="C380" s="21" t="str">
        <f>IFERROR(__xludf.DUMMYFUNCTION("""COMPUTED_VALUE"""),"Yes")</f>
        <v>Yes</v>
      </c>
      <c r="D380" s="21" t="str">
        <f>IFERROR(__xludf.DUMMYFUNCTION("""COMPUTED_VALUE"""),"Active")</f>
        <v>Active</v>
      </c>
      <c r="E380" s="23">
        <f>IFERROR(__xludf.DUMMYFUNCTION("""COMPUTED_VALUE"""),45981.0)</f>
        <v>45981</v>
      </c>
      <c r="F380" s="24"/>
      <c r="G380" s="27">
        <f>IFERROR(__xludf.DUMMYFUNCTION("""COMPUTED_VALUE"""),10.533333333333333)</f>
        <v>10.53333333</v>
      </c>
      <c r="H380" s="23">
        <f>IFERROR(__xludf.DUMMYFUNCTION("""COMPUTED_VALUE"""),45183.0)</f>
        <v>45183</v>
      </c>
      <c r="I380" s="27">
        <f>IFERROR(__xludf.DUMMYFUNCTION("""COMPUTED_VALUE"""),2.183333333333333)</f>
        <v>2.183333333</v>
      </c>
      <c r="J380" s="29">
        <f>IFERROR(__xludf.DUMMYFUNCTION("""COMPUTED_VALUE"""),76.0)</f>
        <v>76</v>
      </c>
      <c r="K380" s="29">
        <f>IFERROR(__xludf.DUMMYFUNCTION("""COMPUTED_VALUE"""),21.0)</f>
        <v>21</v>
      </c>
      <c r="L380" s="31" t="str">
        <f>IFERROR(__xludf.DUMMYFUNCTION("""COMPUTED_VALUE"""),"Racing")</f>
        <v>Racing</v>
      </c>
    </row>
    <row r="381">
      <c r="A381" s="17" t="str">
        <f>IFERROR(__xludf.DUMMYFUNCTION("""COMPUTED_VALUE"""),"Assassin's Creed Syndicate")</f>
        <v>Assassin's Creed Syndicate</v>
      </c>
      <c r="B381" s="20" t="str">
        <f>IFERROR(__xludf.DUMMYFUNCTION("""COMPUTED_VALUE"""),"Xbox / PC")</f>
        <v>Xbox / PC</v>
      </c>
      <c r="C381" s="21" t="str">
        <f>IFERROR(__xludf.DUMMYFUNCTION("""COMPUTED_VALUE"""),"Yes")</f>
        <v>Yes</v>
      </c>
      <c r="D381" s="21" t="str">
        <f>IFERROR(__xludf.DUMMYFUNCTION("""COMPUTED_VALUE"""),"Active")</f>
        <v>Active</v>
      </c>
      <c r="E381" s="23">
        <f>IFERROR(__xludf.DUMMYFUNCTION("""COMPUTED_VALUE"""),45931.0)</f>
        <v>45931</v>
      </c>
      <c r="F381" s="24"/>
      <c r="G381" s="27">
        <f>IFERROR(__xludf.DUMMYFUNCTION("""COMPUTED_VALUE"""),12.166666666666666)</f>
        <v>12.16666667</v>
      </c>
      <c r="H381" s="23">
        <f>IFERROR(__xludf.DUMMYFUNCTION("""COMPUTED_VALUE"""),42300.0)</f>
        <v>42300</v>
      </c>
      <c r="I381" s="27">
        <f>IFERROR(__xludf.DUMMYFUNCTION("""COMPUTED_VALUE"""),9.938888888888888)</f>
        <v>9.938888889</v>
      </c>
      <c r="J381" s="29">
        <f>IFERROR(__xludf.DUMMYFUNCTION("""COMPUTED_VALUE"""),76.0)</f>
        <v>76</v>
      </c>
      <c r="K381" s="29">
        <f>IFERROR(__xludf.DUMMYFUNCTION("""COMPUTED_VALUE"""),19.0)</f>
        <v>19</v>
      </c>
      <c r="L381" s="31" t="str">
        <f>IFERROR(__xludf.DUMMYFUNCTION("""COMPUTED_VALUE"""),"Action-Adventure")</f>
        <v>Action-Adventure</v>
      </c>
    </row>
    <row r="382">
      <c r="A382" s="17" t="str">
        <f>IFERROR(__xludf.DUMMYFUNCTION("""COMPUTED_VALUE"""),"Far Cry Primal")</f>
        <v>Far Cry Primal</v>
      </c>
      <c r="B382" s="20" t="str">
        <f>IFERROR(__xludf.DUMMYFUNCTION("""COMPUTED_VALUE"""),"Xbox / PC")</f>
        <v>Xbox / PC</v>
      </c>
      <c r="C382" s="21" t="str">
        <f>IFERROR(__xludf.DUMMYFUNCTION("""COMPUTED_VALUE"""),"Yes")</f>
        <v>Yes</v>
      </c>
      <c r="D382" s="21" t="str">
        <f>IFERROR(__xludf.DUMMYFUNCTION("""COMPUTED_VALUE"""),"Active")</f>
        <v>Active</v>
      </c>
      <c r="E382" s="23">
        <f>IFERROR(__xludf.DUMMYFUNCTION("""COMPUTED_VALUE"""),45931.0)</f>
        <v>45931</v>
      </c>
      <c r="F382" s="24"/>
      <c r="G382" s="27">
        <f>IFERROR(__xludf.DUMMYFUNCTION("""COMPUTED_VALUE"""),12.166666666666666)</f>
        <v>12.16666667</v>
      </c>
      <c r="H382" s="23">
        <f>IFERROR(__xludf.DUMMYFUNCTION("""COMPUTED_VALUE"""),42423.0)</f>
        <v>42423</v>
      </c>
      <c r="I382" s="27">
        <f>IFERROR(__xludf.DUMMYFUNCTION("""COMPUTED_VALUE"""),9.605555555555556)</f>
        <v>9.605555556</v>
      </c>
      <c r="J382" s="29">
        <f>IFERROR(__xludf.DUMMYFUNCTION("""COMPUTED_VALUE"""),76.0)</f>
        <v>76</v>
      </c>
      <c r="K382" s="29">
        <f>IFERROR(__xludf.DUMMYFUNCTION("""COMPUTED_VALUE"""),15.0)</f>
        <v>15</v>
      </c>
      <c r="L382" s="31" t="str">
        <f>IFERROR(__xludf.DUMMYFUNCTION("""COMPUTED_VALUE"""),"Action-Adventure")</f>
        <v>Action-Adventure</v>
      </c>
    </row>
    <row r="383">
      <c r="A383" s="17" t="str">
        <f>IFERROR(__xludf.DUMMYFUNCTION("""COMPUTED_VALUE"""),"Shootin' Gallery")</f>
        <v>Shootin' Gallery</v>
      </c>
      <c r="B383" s="20" t="str">
        <f>IFERROR(__xludf.DUMMYFUNCTION("""COMPUTED_VALUE"""),"Xbox / PC")</f>
        <v>Xbox / PC</v>
      </c>
      <c r="C383" s="21" t="str">
        <f>IFERROR(__xludf.DUMMYFUNCTION("""COMPUTED_VALUE"""),"Yes")</f>
        <v>Yes</v>
      </c>
      <c r="D383" s="21" t="str">
        <f>IFERROR(__xludf.DUMMYFUNCTION("""COMPUTED_VALUE"""),"Active")</f>
        <v>Active</v>
      </c>
      <c r="E383" s="23">
        <f>IFERROR(__xludf.DUMMYFUNCTION("""COMPUTED_VALUE"""),45883.0)</f>
        <v>45883</v>
      </c>
      <c r="F383" s="24"/>
      <c r="G383" s="27">
        <f>IFERROR(__xludf.DUMMYFUNCTION("""COMPUTED_VALUE"""),13.733333333333333)</f>
        <v>13.73333333</v>
      </c>
      <c r="H383" s="23">
        <f>IFERROR(__xludf.DUMMYFUNCTION("""COMPUTED_VALUE"""),30376.0)</f>
        <v>30376</v>
      </c>
      <c r="I383" s="27">
        <f>IFERROR(__xludf.DUMMYFUNCTION("""COMPUTED_VALUE"""),42.452777777777776)</f>
        <v>42.45277778</v>
      </c>
      <c r="J383" s="29">
        <f>IFERROR(__xludf.DUMMYFUNCTION("""COMPUTED_VALUE"""),76.0)</f>
        <v>76</v>
      </c>
      <c r="K383" s="29"/>
      <c r="L383" s="31" t="str">
        <f>IFERROR(__xludf.DUMMYFUNCTION("""COMPUTED_VALUE"""),"Shooter")</f>
        <v>Shooter</v>
      </c>
    </row>
    <row r="384">
      <c r="A384" s="17" t="str">
        <f>IFERROR(__xludf.DUMMYFUNCTION("""COMPUTED_VALUE"""),"Assassin's Creed Mirage")</f>
        <v>Assassin's Creed Mirage</v>
      </c>
      <c r="B384" s="20" t="str">
        <f>IFERROR(__xludf.DUMMYFUNCTION("""COMPUTED_VALUE"""),"Xbox / PC")</f>
        <v>Xbox / PC</v>
      </c>
      <c r="C384" s="21" t="str">
        <f>IFERROR(__xludf.DUMMYFUNCTION("""COMPUTED_VALUE"""),"Yes")</f>
        <v>Yes</v>
      </c>
      <c r="D384" s="21" t="str">
        <f>IFERROR(__xludf.DUMMYFUNCTION("""COMPUTED_VALUE"""),"Active")</f>
        <v>Active</v>
      </c>
      <c r="E384" s="23">
        <f>IFERROR(__xludf.DUMMYFUNCTION("""COMPUTED_VALUE"""),45876.0)</f>
        <v>45876</v>
      </c>
      <c r="F384" s="24"/>
      <c r="G384" s="27">
        <f>IFERROR(__xludf.DUMMYFUNCTION("""COMPUTED_VALUE"""),13.966666666666669)</f>
        <v>13.96666667</v>
      </c>
      <c r="H384" s="23">
        <f>IFERROR(__xludf.DUMMYFUNCTION("""COMPUTED_VALUE"""),45204.0)</f>
        <v>45204</v>
      </c>
      <c r="I384" s="27">
        <f>IFERROR(__xludf.DUMMYFUNCTION("""COMPUTED_VALUE"""),1.8388888888888888)</f>
        <v>1.838888889</v>
      </c>
      <c r="J384" s="29">
        <f>IFERROR(__xludf.DUMMYFUNCTION("""COMPUTED_VALUE"""),76.0)</f>
        <v>76</v>
      </c>
      <c r="K384" s="29">
        <f>IFERROR(__xludf.DUMMYFUNCTION("""COMPUTED_VALUE"""),16.0)</f>
        <v>16</v>
      </c>
      <c r="L384" s="31" t="str">
        <f>IFERROR(__xludf.DUMMYFUNCTION("""COMPUTED_VALUE"""),"RPG")</f>
        <v>RPG</v>
      </c>
    </row>
    <row r="385">
      <c r="A385" s="17" t="str">
        <f>IFERROR(__xludf.DUMMYFUNCTION("""COMPUTED_VALUE"""),"EA Sports FC 25")</f>
        <v>EA Sports FC 25</v>
      </c>
      <c r="B385" s="20" t="str">
        <f>IFERROR(__xludf.DUMMYFUNCTION("""COMPUTED_VALUE"""),"Xbox / PC")</f>
        <v>Xbox / PC</v>
      </c>
      <c r="C385" s="21" t="str">
        <f>IFERROR(__xludf.DUMMYFUNCTION("""COMPUTED_VALUE"""),"Yes")</f>
        <v>Yes</v>
      </c>
      <c r="D385" s="21" t="str">
        <f>IFERROR(__xludf.DUMMYFUNCTION("""COMPUTED_VALUE"""),"Active")</f>
        <v>Active</v>
      </c>
      <c r="E385" s="23">
        <f>IFERROR(__xludf.DUMMYFUNCTION("""COMPUTED_VALUE"""),45820.0)</f>
        <v>45820</v>
      </c>
      <c r="F385" s="24"/>
      <c r="G385" s="27">
        <f>IFERROR(__xludf.DUMMYFUNCTION("""COMPUTED_VALUE"""),15.8)</f>
        <v>15.8</v>
      </c>
      <c r="H385" s="23">
        <f>IFERROR(__xludf.DUMMYFUNCTION("""COMPUTED_VALUE"""),45562.0)</f>
        <v>45562</v>
      </c>
      <c r="I385" s="27">
        <f>IFERROR(__xludf.DUMMYFUNCTION("""COMPUTED_VALUE"""),0.7083333333333334)</f>
        <v>0.7083333333</v>
      </c>
      <c r="J385" s="29">
        <f>IFERROR(__xludf.DUMMYFUNCTION("""COMPUTED_VALUE"""),76.0)</f>
        <v>76</v>
      </c>
      <c r="K385" s="29">
        <f>IFERROR(__xludf.DUMMYFUNCTION("""COMPUTED_VALUE"""),35.0)</f>
        <v>35</v>
      </c>
      <c r="L385" s="31" t="str">
        <f>IFERROR(__xludf.DUMMYFUNCTION("""COMPUTED_VALUE"""),"Sports")</f>
        <v>Sports</v>
      </c>
    </row>
    <row r="386">
      <c r="A386" s="17" t="str">
        <f>IFERROR(__xludf.DUMMYFUNCTION("""COMPUTED_VALUE"""),"Tales of Kenzera: ZAU")</f>
        <v>Tales of Kenzera: ZAU</v>
      </c>
      <c r="B386" s="20" t="str">
        <f>IFERROR(__xludf.DUMMYFUNCTION("""COMPUTED_VALUE"""),"Xbox / PC")</f>
        <v>Xbox / PC</v>
      </c>
      <c r="C386" s="21" t="str">
        <f>IFERROR(__xludf.DUMMYFUNCTION("""COMPUTED_VALUE"""),"Yes")</f>
        <v>Yes</v>
      </c>
      <c r="D386" s="21" t="str">
        <f>IFERROR(__xludf.DUMMYFUNCTION("""COMPUTED_VALUE"""),"Active")</f>
        <v>Active</v>
      </c>
      <c r="E386" s="23">
        <f>IFERROR(__xludf.DUMMYFUNCTION("""COMPUTED_VALUE"""),45799.0)</f>
        <v>45799</v>
      </c>
      <c r="F386" s="24"/>
      <c r="G386" s="27">
        <f>IFERROR(__xludf.DUMMYFUNCTION("""COMPUTED_VALUE"""),16.46666666666667)</f>
        <v>16.46666667</v>
      </c>
      <c r="H386" s="23">
        <f>IFERROR(__xludf.DUMMYFUNCTION("""COMPUTED_VALUE"""),45405.0)</f>
        <v>45405</v>
      </c>
      <c r="I386" s="27">
        <f>IFERROR(__xludf.DUMMYFUNCTION("""COMPUTED_VALUE"""),1.0805555555555555)</f>
        <v>1.080555556</v>
      </c>
      <c r="J386" s="29">
        <f>IFERROR(__xludf.DUMMYFUNCTION("""COMPUTED_VALUE"""),76.0)</f>
        <v>76</v>
      </c>
      <c r="K386" s="29">
        <f>IFERROR(__xludf.DUMMYFUNCTION("""COMPUTED_VALUE"""),8.0)</f>
        <v>8</v>
      </c>
      <c r="L386" s="31" t="str">
        <f>IFERROR(__xludf.DUMMYFUNCTION("""COMPUTED_VALUE"""),"Metroidvania ")</f>
        <v>Metroidvania </v>
      </c>
    </row>
    <row r="387">
      <c r="A387" s="17" t="str">
        <f>IFERROR(__xludf.DUMMYFUNCTION("""COMPUTED_VALUE"""),"Beamrider")</f>
        <v>Beamrider</v>
      </c>
      <c r="B387" s="20" t="str">
        <f>IFERROR(__xludf.DUMMYFUNCTION("""COMPUTED_VALUE"""),"Xbox / PC")</f>
        <v>Xbox / PC</v>
      </c>
      <c r="C387" s="21" t="str">
        <f>IFERROR(__xludf.DUMMYFUNCTION("""COMPUTED_VALUE"""),"Yes")</f>
        <v>Yes</v>
      </c>
      <c r="D387" s="21" t="str">
        <f>IFERROR(__xludf.DUMMYFUNCTION("""COMPUTED_VALUE"""),"Active")</f>
        <v>Active</v>
      </c>
      <c r="E387" s="23">
        <f>IFERROR(__xludf.DUMMYFUNCTION("""COMPUTED_VALUE"""),45798.0)</f>
        <v>45798</v>
      </c>
      <c r="F387" s="24"/>
      <c r="G387" s="27">
        <f>IFERROR(__xludf.DUMMYFUNCTION("""COMPUTED_VALUE"""),16.5)</f>
        <v>16.5</v>
      </c>
      <c r="H387" s="23">
        <f>IFERROR(__xludf.DUMMYFUNCTION("""COMPUTED_VALUE"""),30705.0)</f>
        <v>30705</v>
      </c>
      <c r="I387" s="27">
        <f>IFERROR(__xludf.DUMMYFUNCTION("""COMPUTED_VALUE"""),41.325)</f>
        <v>41.325</v>
      </c>
      <c r="J387" s="29">
        <f>IFERROR(__xludf.DUMMYFUNCTION("""COMPUTED_VALUE"""),76.0)</f>
        <v>76</v>
      </c>
      <c r="K387" s="29"/>
      <c r="L387" s="31" t="str">
        <f>IFERROR(__xludf.DUMMYFUNCTION("""COMPUTED_VALUE"""),"Shooter")</f>
        <v>Shooter</v>
      </c>
    </row>
    <row r="388">
      <c r="A388" s="17" t="str">
        <f>IFERROR(__xludf.DUMMYFUNCTION("""COMPUTED_VALUE"""),"Chopper Command")</f>
        <v>Chopper Command</v>
      </c>
      <c r="B388" s="20" t="str">
        <f>IFERROR(__xludf.DUMMYFUNCTION("""COMPUTED_VALUE"""),"Xbox / PC")</f>
        <v>Xbox / PC</v>
      </c>
      <c r="C388" s="21" t="str">
        <f>IFERROR(__xludf.DUMMYFUNCTION("""COMPUTED_VALUE"""),"Yes")</f>
        <v>Yes</v>
      </c>
      <c r="D388" s="21" t="str">
        <f>IFERROR(__xludf.DUMMYFUNCTION("""COMPUTED_VALUE"""),"Active")</f>
        <v>Active</v>
      </c>
      <c r="E388" s="23">
        <f>IFERROR(__xludf.DUMMYFUNCTION("""COMPUTED_VALUE"""),45798.0)</f>
        <v>45798</v>
      </c>
      <c r="F388" s="24"/>
      <c r="G388" s="27">
        <f>IFERROR(__xludf.DUMMYFUNCTION("""COMPUTED_VALUE"""),16.5)</f>
        <v>16.5</v>
      </c>
      <c r="H388" s="23">
        <f>IFERROR(__xludf.DUMMYFUNCTION("""COMPUTED_VALUE"""),30072.0)</f>
        <v>30072</v>
      </c>
      <c r="I388" s="27">
        <f>IFERROR(__xludf.DUMMYFUNCTION("""COMPUTED_VALUE"""),43.05555555555556)</f>
        <v>43.05555556</v>
      </c>
      <c r="J388" s="29">
        <f>IFERROR(__xludf.DUMMYFUNCTION("""COMPUTED_VALUE"""),76.0)</f>
        <v>76</v>
      </c>
      <c r="K388" s="29"/>
      <c r="L388" s="31" t="str">
        <f>IFERROR(__xludf.DUMMYFUNCTION("""COMPUTED_VALUE"""),"Shooter")</f>
        <v>Shooter</v>
      </c>
    </row>
    <row r="389">
      <c r="A389" s="17" t="str">
        <f>IFERROR(__xludf.DUMMYFUNCTION("""COMPUTED_VALUE"""),"Enduro")</f>
        <v>Enduro</v>
      </c>
      <c r="B389" s="20" t="str">
        <f>IFERROR(__xludf.DUMMYFUNCTION("""COMPUTED_VALUE"""),"Xbox / PC")</f>
        <v>Xbox / PC</v>
      </c>
      <c r="C389" s="21" t="str">
        <f>IFERROR(__xludf.DUMMYFUNCTION("""COMPUTED_VALUE"""),"Yes")</f>
        <v>Yes</v>
      </c>
      <c r="D389" s="21" t="str">
        <f>IFERROR(__xludf.DUMMYFUNCTION("""COMPUTED_VALUE"""),"Active")</f>
        <v>Active</v>
      </c>
      <c r="E389" s="23">
        <f>IFERROR(__xludf.DUMMYFUNCTION("""COMPUTED_VALUE"""),45798.0)</f>
        <v>45798</v>
      </c>
      <c r="F389" s="24"/>
      <c r="G389" s="27">
        <f>IFERROR(__xludf.DUMMYFUNCTION("""COMPUTED_VALUE"""),16.5)</f>
        <v>16.5</v>
      </c>
      <c r="H389" s="23">
        <f>IFERROR(__xludf.DUMMYFUNCTION("""COMPUTED_VALUE"""),30348.0)</f>
        <v>30348</v>
      </c>
      <c r="I389" s="27">
        <f>IFERROR(__xludf.DUMMYFUNCTION("""COMPUTED_VALUE"""),42.30555555555556)</f>
        <v>42.30555556</v>
      </c>
      <c r="J389" s="29">
        <f>IFERROR(__xludf.DUMMYFUNCTION("""COMPUTED_VALUE"""),76.0)</f>
        <v>76</v>
      </c>
      <c r="K389" s="29">
        <f>IFERROR(__xludf.DUMMYFUNCTION("""COMPUTED_VALUE"""),1.0)</f>
        <v>1</v>
      </c>
      <c r="L389" s="31" t="str">
        <f>IFERROR(__xludf.DUMMYFUNCTION("""COMPUTED_VALUE"""),"Racing")</f>
        <v>Racing</v>
      </c>
    </row>
    <row r="390">
      <c r="A390" s="17" t="str">
        <f>IFERROR(__xludf.DUMMYFUNCTION("""COMPUTED_VALUE"""),"Watch Dogs: Legion")</f>
        <v>Watch Dogs: Legion</v>
      </c>
      <c r="B390" s="20" t="str">
        <f>IFERROR(__xludf.DUMMYFUNCTION("""COMPUTED_VALUE"""),"Xbox / PC")</f>
        <v>Xbox / PC</v>
      </c>
      <c r="C390" s="21" t="str">
        <f>IFERROR(__xludf.DUMMYFUNCTION("""COMPUTED_VALUE"""),"Yes")</f>
        <v>Yes</v>
      </c>
      <c r="D390" s="21" t="str">
        <f>IFERROR(__xludf.DUMMYFUNCTION("""COMPUTED_VALUE"""),"Active")</f>
        <v>Active</v>
      </c>
      <c r="E390" s="23">
        <f>IFERROR(__xludf.DUMMYFUNCTION("""COMPUTED_VALUE"""),45713.0)</f>
        <v>45713</v>
      </c>
      <c r="F390" s="24"/>
      <c r="G390" s="27">
        <f>IFERROR(__xludf.DUMMYFUNCTION("""COMPUTED_VALUE"""),19.366666666666667)</f>
        <v>19.36666667</v>
      </c>
      <c r="H390" s="23">
        <f>IFERROR(__xludf.DUMMYFUNCTION("""COMPUTED_VALUE"""),44133.0)</f>
        <v>44133</v>
      </c>
      <c r="I390" s="27">
        <f>IFERROR(__xludf.DUMMYFUNCTION("""COMPUTED_VALUE"""),4.322222222222222)</f>
        <v>4.322222222</v>
      </c>
      <c r="J390" s="29">
        <f>IFERROR(__xludf.DUMMYFUNCTION("""COMPUTED_VALUE"""),76.0)</f>
        <v>76</v>
      </c>
      <c r="K390" s="29">
        <f>IFERROR(__xludf.DUMMYFUNCTION("""COMPUTED_VALUE"""),18.0)</f>
        <v>18</v>
      </c>
      <c r="L390" s="31" t="str">
        <f>IFERROR(__xludf.DUMMYFUNCTION("""COMPUTED_VALUE"""),"Action-Adventure")</f>
        <v>Action-Adventure</v>
      </c>
    </row>
    <row r="391">
      <c r="A391" s="17" t="str">
        <f>IFERROR(__xludf.DUMMYFUNCTION("""COMPUTED_VALUE"""),"For The King II")</f>
        <v>For The King II</v>
      </c>
      <c r="B391" s="20" t="str">
        <f>IFERROR(__xludf.DUMMYFUNCTION("""COMPUTED_VALUE"""),"Xbox / PC")</f>
        <v>Xbox / PC</v>
      </c>
      <c r="C391" s="21" t="str">
        <f>IFERROR(__xludf.DUMMYFUNCTION("""COMPUTED_VALUE"""),"Yes")</f>
        <v>Yes</v>
      </c>
      <c r="D391" s="21" t="str">
        <f>IFERROR(__xludf.DUMMYFUNCTION("""COMPUTED_VALUE"""),"Active")</f>
        <v>Active</v>
      </c>
      <c r="E391" s="23">
        <f>IFERROR(__xludf.DUMMYFUNCTION("""COMPUTED_VALUE"""),45638.0)</f>
        <v>45638</v>
      </c>
      <c r="F391" s="24"/>
      <c r="G391" s="27">
        <f>IFERROR(__xludf.DUMMYFUNCTION("""COMPUTED_VALUE"""),21.8)</f>
        <v>21.8</v>
      </c>
      <c r="H391" s="23">
        <f>IFERROR(__xludf.DUMMYFUNCTION("""COMPUTED_VALUE"""),45232.0)</f>
        <v>45232</v>
      </c>
      <c r="I391" s="27">
        <f>IFERROR(__xludf.DUMMYFUNCTION("""COMPUTED_VALUE"""),1.1111111111111112)</f>
        <v>1.111111111</v>
      </c>
      <c r="J391" s="29">
        <f>IFERROR(__xludf.DUMMYFUNCTION("""COMPUTED_VALUE"""),76.0)</f>
        <v>76</v>
      </c>
      <c r="K391" s="29">
        <f>IFERROR(__xludf.DUMMYFUNCTION("""COMPUTED_VALUE"""),15.0)</f>
        <v>15</v>
      </c>
      <c r="L391" s="31" t="str">
        <f>IFERROR(__xludf.DUMMYFUNCTION("""COMPUTED_VALUE"""),"Roguelike")</f>
        <v>Roguelike</v>
      </c>
    </row>
    <row r="392">
      <c r="A392" s="17" t="str">
        <f>IFERROR(__xludf.DUMMYFUNCTION("""COMPUTED_VALUE"""),"Trials of Mana (2020)")</f>
        <v>Trials of Mana (2020)</v>
      </c>
      <c r="B392" s="20" t="str">
        <f>IFERROR(__xludf.DUMMYFUNCTION("""COMPUTED_VALUE"""),"Xbox / PC")</f>
        <v>Xbox / PC</v>
      </c>
      <c r="C392" s="21" t="str">
        <f>IFERROR(__xludf.DUMMYFUNCTION("""COMPUTED_VALUE"""),"Yes")</f>
        <v>Yes</v>
      </c>
      <c r="D392" s="21" t="str">
        <f>IFERROR(__xludf.DUMMYFUNCTION("""COMPUTED_VALUE"""),"Active")</f>
        <v>Active</v>
      </c>
      <c r="E392" s="23">
        <f>IFERROR(__xludf.DUMMYFUNCTION("""COMPUTED_VALUE"""),45561.0)</f>
        <v>45561</v>
      </c>
      <c r="F392" s="24"/>
      <c r="G392" s="27">
        <f>IFERROR(__xludf.DUMMYFUNCTION("""COMPUTED_VALUE"""),24.333333333333332)</f>
        <v>24.33333333</v>
      </c>
      <c r="H392" s="23">
        <f>IFERROR(__xludf.DUMMYFUNCTION("""COMPUTED_VALUE"""),43945.0)</f>
        <v>43945</v>
      </c>
      <c r="I392" s="27">
        <f>IFERROR(__xludf.DUMMYFUNCTION("""COMPUTED_VALUE"""),4.4222222222222225)</f>
        <v>4.422222222</v>
      </c>
      <c r="J392" s="29">
        <f>IFERROR(__xludf.DUMMYFUNCTION("""COMPUTED_VALUE"""),76.0)</f>
        <v>76</v>
      </c>
      <c r="K392" s="29">
        <f>IFERROR(__xludf.DUMMYFUNCTION("""COMPUTED_VALUE"""),21.0)</f>
        <v>21</v>
      </c>
      <c r="L392" s="31" t="str">
        <f>IFERROR(__xludf.DUMMYFUNCTION("""COMPUTED_VALUE"""),"RPG")</f>
        <v>RPG</v>
      </c>
    </row>
    <row r="393">
      <c r="A393" s="17" t="str">
        <f>IFERROR(__xludf.DUMMYFUNCTION("""COMPUTED_VALUE"""),"Ara: History Untold")</f>
        <v>Ara: History Untold</v>
      </c>
      <c r="B393" s="20" t="str">
        <f>IFERROR(__xludf.DUMMYFUNCTION("""COMPUTED_VALUE"""),"PC")</f>
        <v>PC</v>
      </c>
      <c r="C393" s="21"/>
      <c r="D393" s="21" t="str">
        <f>IFERROR(__xludf.DUMMYFUNCTION("""COMPUTED_VALUE"""),"Active")</f>
        <v>Active</v>
      </c>
      <c r="E393" s="23">
        <f>IFERROR(__xludf.DUMMYFUNCTION("""COMPUTED_VALUE"""),45559.0)</f>
        <v>45559</v>
      </c>
      <c r="F393" s="24"/>
      <c r="G393" s="27">
        <f>IFERROR(__xludf.DUMMYFUNCTION("""COMPUTED_VALUE"""),24.4)</f>
        <v>24.4</v>
      </c>
      <c r="H393" s="23">
        <f>IFERROR(__xludf.DUMMYFUNCTION("""COMPUTED_VALUE"""),45559.0)</f>
        <v>45559</v>
      </c>
      <c r="I393" s="27">
        <f>IFERROR(__xludf.DUMMYFUNCTION("""COMPUTED_VALUE"""),0.0)</f>
        <v>0</v>
      </c>
      <c r="J393" s="29">
        <f>IFERROR(__xludf.DUMMYFUNCTION("""COMPUTED_VALUE"""),76.0)</f>
        <v>76</v>
      </c>
      <c r="K393" s="29">
        <f>IFERROR(__xludf.DUMMYFUNCTION("""COMPUTED_VALUE"""),13.0)</f>
        <v>13</v>
      </c>
      <c r="L393" s="31" t="str">
        <f>IFERROR(__xludf.DUMMYFUNCTION("""COMPUTED_VALUE"""),"Strategy")</f>
        <v>Strategy</v>
      </c>
    </row>
    <row r="394">
      <c r="A394" s="17" t="str">
        <f>IFERROR(__xludf.DUMMYFUNCTION("""COMPUTED_VALUE"""),"EA Sports PGA Tour")</f>
        <v>EA Sports PGA Tour</v>
      </c>
      <c r="B394" s="20" t="str">
        <f>IFERROR(__xludf.DUMMYFUNCTION("""COMPUTED_VALUE"""),"Xbox / PC")</f>
        <v>Xbox / PC</v>
      </c>
      <c r="C394" s="21" t="str">
        <f>IFERROR(__xludf.DUMMYFUNCTION("""COMPUTED_VALUE"""),"Yes")</f>
        <v>Yes</v>
      </c>
      <c r="D394" s="21" t="str">
        <f>IFERROR(__xludf.DUMMYFUNCTION("""COMPUTED_VALUE"""),"Active")</f>
        <v>Active</v>
      </c>
      <c r="E394" s="23">
        <f>IFERROR(__xludf.DUMMYFUNCTION("""COMPUTED_VALUE"""),45386.0)</f>
        <v>45386</v>
      </c>
      <c r="F394" s="24"/>
      <c r="G394" s="27">
        <f>IFERROR(__xludf.DUMMYFUNCTION("""COMPUTED_VALUE"""),30.066666666666666)</f>
        <v>30.06666667</v>
      </c>
      <c r="H394" s="23">
        <f>IFERROR(__xludf.DUMMYFUNCTION("""COMPUTED_VALUE"""),45020.0)</f>
        <v>45020</v>
      </c>
      <c r="I394" s="27">
        <f>IFERROR(__xludf.DUMMYFUNCTION("""COMPUTED_VALUE"""),1.0)</f>
        <v>1</v>
      </c>
      <c r="J394" s="29">
        <f>IFERROR(__xludf.DUMMYFUNCTION("""COMPUTED_VALUE"""),76.0)</f>
        <v>76</v>
      </c>
      <c r="K394" s="29">
        <f>IFERROR(__xludf.DUMMYFUNCTION("""COMPUTED_VALUE"""),31.0)</f>
        <v>31</v>
      </c>
      <c r="L394" s="31" t="str">
        <f>IFERROR(__xludf.DUMMYFUNCTION("""COMPUTED_VALUE"""),"Sports")</f>
        <v>Sports</v>
      </c>
    </row>
    <row r="395">
      <c r="A395" s="17" t="str">
        <f>IFERROR(__xludf.DUMMYFUNCTION("""COMPUTED_VALUE"""),"Brotato")</f>
        <v>Brotato</v>
      </c>
      <c r="B395" s="20" t="str">
        <f>IFERROR(__xludf.DUMMYFUNCTION("""COMPUTED_VALUE"""),"Xbox / PC")</f>
        <v>Xbox / PC</v>
      </c>
      <c r="C395" s="21" t="str">
        <f>IFERROR(__xludf.DUMMYFUNCTION("""COMPUTED_VALUE"""),"Yes")</f>
        <v>Yes</v>
      </c>
      <c r="D395" s="21" t="str">
        <f>IFERROR(__xludf.DUMMYFUNCTION("""COMPUTED_VALUE"""),"Active")</f>
        <v>Active</v>
      </c>
      <c r="E395" s="23">
        <f>IFERROR(__xludf.DUMMYFUNCTION("""COMPUTED_VALUE"""),45321.0)</f>
        <v>45321</v>
      </c>
      <c r="F395" s="24"/>
      <c r="G395" s="27">
        <f>IFERROR(__xludf.DUMMYFUNCTION("""COMPUTED_VALUE"""),32.199999999999996)</f>
        <v>32.2</v>
      </c>
      <c r="H395" s="23">
        <f>IFERROR(__xludf.DUMMYFUNCTION("""COMPUTED_VALUE"""),44619.0)</f>
        <v>44619</v>
      </c>
      <c r="I395" s="27">
        <f>IFERROR(__xludf.DUMMYFUNCTION("""COMPUTED_VALUE"""),1.925)</f>
        <v>1.925</v>
      </c>
      <c r="J395" s="29">
        <f>IFERROR(__xludf.DUMMYFUNCTION("""COMPUTED_VALUE"""),76.0)</f>
        <v>76</v>
      </c>
      <c r="K395" s="29">
        <f>IFERROR(__xludf.DUMMYFUNCTION("""COMPUTED_VALUE"""),5.0)</f>
        <v>5</v>
      </c>
      <c r="L395" s="31" t="str">
        <f>IFERROR(__xludf.DUMMYFUNCTION("""COMPUTED_VALUE"""),"Action")</f>
        <v>Action</v>
      </c>
    </row>
    <row r="396">
      <c r="A396" s="17" t="str">
        <f>IFERROR(__xludf.DUMMYFUNCTION("""COMPUTED_VALUE"""),"Ghostwire: Tokyo")</f>
        <v>Ghostwire: Tokyo</v>
      </c>
      <c r="B396" s="20" t="str">
        <f>IFERROR(__xludf.DUMMYFUNCTION("""COMPUTED_VALUE"""),"Xbox / PC")</f>
        <v>Xbox / PC</v>
      </c>
      <c r="C396" s="21" t="str">
        <f>IFERROR(__xludf.DUMMYFUNCTION("""COMPUTED_VALUE"""),"Yes")</f>
        <v>Yes</v>
      </c>
      <c r="D396" s="21" t="str">
        <f>IFERROR(__xludf.DUMMYFUNCTION("""COMPUTED_VALUE"""),"Active")</f>
        <v>Active</v>
      </c>
      <c r="E396" s="23">
        <f>IFERROR(__xludf.DUMMYFUNCTION("""COMPUTED_VALUE"""),45028.0)</f>
        <v>45028</v>
      </c>
      <c r="F396" s="24"/>
      <c r="G396" s="27">
        <f>IFERROR(__xludf.DUMMYFUNCTION("""COMPUTED_VALUE"""),41.8)</f>
        <v>41.8</v>
      </c>
      <c r="H396" s="23">
        <f>IFERROR(__xludf.DUMMYFUNCTION("""COMPUTED_VALUE"""),44645.0)</f>
        <v>44645</v>
      </c>
      <c r="I396" s="27">
        <f>IFERROR(__xludf.DUMMYFUNCTION("""COMPUTED_VALUE"""),1.0472222222222223)</f>
        <v>1.047222222</v>
      </c>
      <c r="J396" s="29">
        <f>IFERROR(__xludf.DUMMYFUNCTION("""COMPUTED_VALUE"""),76.0)</f>
        <v>76</v>
      </c>
      <c r="K396" s="29">
        <f>IFERROR(__xludf.DUMMYFUNCTION("""COMPUTED_VALUE"""),11.0)</f>
        <v>11</v>
      </c>
      <c r="L396" s="31" t="str">
        <f>IFERROR(__xludf.DUMMYFUNCTION("""COMPUTED_VALUE"""),"Action-Adventure")</f>
        <v>Action-Adventure</v>
      </c>
    </row>
    <row r="397">
      <c r="A397" s="17" t="str">
        <f>IFERROR(__xludf.DUMMYFUNCTION("""COMPUTED_VALUE"""),"Tom Clancy's Ghost Recon: Wildlands")</f>
        <v>Tom Clancy's Ghost Recon: Wildlands</v>
      </c>
      <c r="B397" s="20" t="str">
        <f>IFERROR(__xludf.DUMMYFUNCTION("""COMPUTED_VALUE"""),"Xbox / PC")</f>
        <v>Xbox / PC</v>
      </c>
      <c r="C397" s="21" t="str">
        <f>IFERROR(__xludf.DUMMYFUNCTION("""COMPUTED_VALUE"""),"Yes")</f>
        <v>Yes</v>
      </c>
      <c r="D397" s="21" t="str">
        <f>IFERROR(__xludf.DUMMYFUNCTION("""COMPUTED_VALUE"""),"Active")</f>
        <v>Active</v>
      </c>
      <c r="E397" s="23">
        <f>IFERROR(__xludf.DUMMYFUNCTION("""COMPUTED_VALUE"""),44774.0)</f>
        <v>44774</v>
      </c>
      <c r="F397" s="24"/>
      <c r="G397" s="27">
        <f>IFERROR(__xludf.DUMMYFUNCTION("""COMPUTED_VALUE"""),50.166666666666664)</f>
        <v>50.16666667</v>
      </c>
      <c r="H397" s="23">
        <f>IFERROR(__xludf.DUMMYFUNCTION("""COMPUTED_VALUE"""),42801.0)</f>
        <v>42801</v>
      </c>
      <c r="I397" s="27">
        <f>IFERROR(__xludf.DUMMYFUNCTION("""COMPUTED_VALUE"""),5.4)</f>
        <v>5.4</v>
      </c>
      <c r="J397" s="29">
        <f>IFERROR(__xludf.DUMMYFUNCTION("""COMPUTED_VALUE"""),76.0)</f>
        <v>76</v>
      </c>
      <c r="K397" s="29">
        <f>IFERROR(__xludf.DUMMYFUNCTION("""COMPUTED_VALUE"""),26.5)</f>
        <v>26.5</v>
      </c>
      <c r="L397" s="31" t="str">
        <f>IFERROR(__xludf.DUMMYFUNCTION("""COMPUTED_VALUE"""),"Shooter")</f>
        <v>Shooter</v>
      </c>
    </row>
    <row r="398">
      <c r="A398" s="17" t="str">
        <f>IFERROR(__xludf.DUMMYFUNCTION("""COMPUTED_VALUE"""),"Peggle Nights")</f>
        <v>Peggle Nights</v>
      </c>
      <c r="B398" s="20" t="str">
        <f>IFERROR(__xludf.DUMMYFUNCTION("""COMPUTED_VALUE"""),"PC")</f>
        <v>PC</v>
      </c>
      <c r="C398" s="21"/>
      <c r="D398" s="21" t="str">
        <f>IFERROR(__xludf.DUMMYFUNCTION("""COMPUTED_VALUE"""),"Active")</f>
        <v>Active</v>
      </c>
      <c r="E398" s="23">
        <f>IFERROR(__xludf.DUMMYFUNCTION("""COMPUTED_VALUE"""),44597.0)</f>
        <v>44597</v>
      </c>
      <c r="F398" s="24"/>
      <c r="G398" s="27">
        <f>IFERROR(__xludf.DUMMYFUNCTION("""COMPUTED_VALUE"""),56.03333333333333)</f>
        <v>56.03333333</v>
      </c>
      <c r="H398" s="23">
        <f>IFERROR(__xludf.DUMMYFUNCTION("""COMPUTED_VALUE"""),39708.0)</f>
        <v>39708</v>
      </c>
      <c r="I398" s="27">
        <f>IFERROR(__xludf.DUMMYFUNCTION("""COMPUTED_VALUE"""),13.383333333333333)</f>
        <v>13.38333333</v>
      </c>
      <c r="J398" s="29">
        <f>IFERROR(__xludf.DUMMYFUNCTION("""COMPUTED_VALUE"""),76.0)</f>
        <v>76</v>
      </c>
      <c r="K398" s="29">
        <f>IFERROR(__xludf.DUMMYFUNCTION("""COMPUTED_VALUE"""),3.5)</f>
        <v>3.5</v>
      </c>
      <c r="L398" s="31" t="str">
        <f>IFERROR(__xludf.DUMMYFUNCTION("""COMPUTED_VALUE"""),"Puzzle")</f>
        <v>Puzzle</v>
      </c>
    </row>
    <row r="399">
      <c r="A399" s="17" t="str">
        <f>IFERROR(__xludf.DUMMYFUNCTION("""COMPUTED_VALUE"""),"Need for Speed: Hot Pursuit - Remastered")</f>
        <v>Need for Speed: Hot Pursuit - Remastered</v>
      </c>
      <c r="B399" s="20" t="str">
        <f>IFERROR(__xludf.DUMMYFUNCTION("""COMPUTED_VALUE"""),"Xbox / PC")</f>
        <v>Xbox / PC</v>
      </c>
      <c r="C399" s="21" t="str">
        <f>IFERROR(__xludf.DUMMYFUNCTION("""COMPUTED_VALUE"""),"Touch Controls")</f>
        <v>Touch Controls</v>
      </c>
      <c r="D399" s="21" t="str">
        <f>IFERROR(__xludf.DUMMYFUNCTION("""COMPUTED_VALUE"""),"Active")</f>
        <v>Active</v>
      </c>
      <c r="E399" s="23">
        <f>IFERROR(__xludf.DUMMYFUNCTION("""COMPUTED_VALUE"""),44371.0)</f>
        <v>44371</v>
      </c>
      <c r="F399" s="24"/>
      <c r="G399" s="27">
        <f>IFERROR(__xludf.DUMMYFUNCTION("""COMPUTED_VALUE"""),63.4)</f>
        <v>63.4</v>
      </c>
      <c r="H399" s="23">
        <f>IFERROR(__xludf.DUMMYFUNCTION("""COMPUTED_VALUE"""),44141.0)</f>
        <v>44141</v>
      </c>
      <c r="I399" s="27">
        <f>IFERROR(__xludf.DUMMYFUNCTION("""COMPUTED_VALUE"""),0.6333333333333333)</f>
        <v>0.6333333333</v>
      </c>
      <c r="J399" s="29">
        <f>IFERROR(__xludf.DUMMYFUNCTION("""COMPUTED_VALUE"""),76.0)</f>
        <v>76</v>
      </c>
      <c r="K399" s="29">
        <f>IFERROR(__xludf.DUMMYFUNCTION("""COMPUTED_VALUE"""),15.5)</f>
        <v>15.5</v>
      </c>
      <c r="L399" s="31" t="str">
        <f>IFERROR(__xludf.DUMMYFUNCTION("""COMPUTED_VALUE"""),"Racing")</f>
        <v>Racing</v>
      </c>
    </row>
    <row r="400">
      <c r="A400" s="17" t="str">
        <f>IFERROR(__xludf.DUMMYFUNCTION("""COMPUTED_VALUE"""),"The Saboteur")</f>
        <v>The Saboteur</v>
      </c>
      <c r="B400" s="20" t="str">
        <f>IFERROR(__xludf.DUMMYFUNCTION("""COMPUTED_VALUE"""),"PC")</f>
        <v>PC</v>
      </c>
      <c r="C400" s="21"/>
      <c r="D400" s="21" t="str">
        <f>IFERROR(__xludf.DUMMYFUNCTION("""COMPUTED_VALUE"""),"Active")</f>
        <v>Active</v>
      </c>
      <c r="E400" s="23">
        <f>IFERROR(__xludf.DUMMYFUNCTION("""COMPUTED_VALUE"""),44273.0)</f>
        <v>44273</v>
      </c>
      <c r="F400" s="24"/>
      <c r="G400" s="27">
        <f>IFERROR(__xludf.DUMMYFUNCTION("""COMPUTED_VALUE"""),66.6)</f>
        <v>66.6</v>
      </c>
      <c r="H400" s="23">
        <f>IFERROR(__xludf.DUMMYFUNCTION("""COMPUTED_VALUE"""),40155.0)</f>
        <v>40155</v>
      </c>
      <c r="I400" s="27">
        <f>IFERROR(__xludf.DUMMYFUNCTION("""COMPUTED_VALUE"""),11.277777777777779)</f>
        <v>11.27777778</v>
      </c>
      <c r="J400" s="29">
        <f>IFERROR(__xludf.DUMMYFUNCTION("""COMPUTED_VALUE"""),76.0)</f>
        <v>76</v>
      </c>
      <c r="K400" s="29">
        <f>IFERROR(__xludf.DUMMYFUNCTION("""COMPUTED_VALUE"""),11.0)</f>
        <v>11</v>
      </c>
      <c r="L400" s="31" t="str">
        <f>IFERROR(__xludf.DUMMYFUNCTION("""COMPUTED_VALUE"""),"Shooter")</f>
        <v>Shooter</v>
      </c>
    </row>
    <row r="401">
      <c r="A401" s="17" t="str">
        <f>IFERROR(__xludf.DUMMYFUNCTION("""COMPUTED_VALUE"""),"Dishonored: Definitive Edition")</f>
        <v>Dishonored: Definitive Edition</v>
      </c>
      <c r="B401" s="20" t="str">
        <f>IFERROR(__xludf.DUMMYFUNCTION("""COMPUTED_VALUE"""),"Xbox / PC")</f>
        <v>Xbox / PC</v>
      </c>
      <c r="C401" s="21" t="str">
        <f>IFERROR(__xludf.DUMMYFUNCTION("""COMPUTED_VALUE"""),"Yes")</f>
        <v>Yes</v>
      </c>
      <c r="D401" s="21" t="str">
        <f>IFERROR(__xludf.DUMMYFUNCTION("""COMPUTED_VALUE"""),"Active")</f>
        <v>Active</v>
      </c>
      <c r="E401" s="23">
        <f>IFERROR(__xludf.DUMMYFUNCTION("""COMPUTED_VALUE"""),44267.0)</f>
        <v>44267</v>
      </c>
      <c r="F401" s="24"/>
      <c r="G401" s="27">
        <f>IFERROR(__xludf.DUMMYFUNCTION("""COMPUTED_VALUE"""),66.8)</f>
        <v>66.8</v>
      </c>
      <c r="H401" s="23">
        <f>IFERROR(__xludf.DUMMYFUNCTION("""COMPUTED_VALUE"""),43337.0)</f>
        <v>43337</v>
      </c>
      <c r="I401" s="27">
        <f>IFERROR(__xludf.DUMMYFUNCTION("""COMPUTED_VALUE"""),2.547222222222222)</f>
        <v>2.547222222</v>
      </c>
      <c r="J401" s="29">
        <f>IFERROR(__xludf.DUMMYFUNCTION("""COMPUTED_VALUE"""),76.0)</f>
        <v>76</v>
      </c>
      <c r="K401" s="29">
        <f>IFERROR(__xludf.DUMMYFUNCTION("""COMPUTED_VALUE"""),12.5)</f>
        <v>12.5</v>
      </c>
      <c r="L401" s="31" t="str">
        <f>IFERROR(__xludf.DUMMYFUNCTION("""COMPUTED_VALUE"""),"Shooter")</f>
        <v>Shooter</v>
      </c>
    </row>
    <row r="402">
      <c r="A402" s="17" t="str">
        <f>IFERROR(__xludf.DUMMYFUNCTION("""COMPUTED_VALUE"""),"Crysis 3")</f>
        <v>Crysis 3</v>
      </c>
      <c r="B402" s="20" t="str">
        <f>IFERROR(__xludf.DUMMYFUNCTION("""COMPUTED_VALUE"""),"Xbox / PC")</f>
        <v>Xbox / PC</v>
      </c>
      <c r="C402" s="21"/>
      <c r="D402" s="21" t="str">
        <f>IFERROR(__xludf.DUMMYFUNCTION("""COMPUTED_VALUE"""),"Active")</f>
        <v>Active</v>
      </c>
      <c r="E402" s="23">
        <f>IFERROR(__xludf.DUMMYFUNCTION("""COMPUTED_VALUE"""),44145.0)</f>
        <v>44145</v>
      </c>
      <c r="F402" s="24"/>
      <c r="G402" s="27">
        <f>IFERROR(__xludf.DUMMYFUNCTION("""COMPUTED_VALUE"""),70.86666666666667)</f>
        <v>70.86666667</v>
      </c>
      <c r="H402" s="23">
        <f>IFERROR(__xludf.DUMMYFUNCTION("""COMPUTED_VALUE"""),41324.0)</f>
        <v>41324</v>
      </c>
      <c r="I402" s="27">
        <f>IFERROR(__xludf.DUMMYFUNCTION("""COMPUTED_VALUE"""),7.725)</f>
        <v>7.725</v>
      </c>
      <c r="J402" s="29">
        <f>IFERROR(__xludf.DUMMYFUNCTION("""COMPUTED_VALUE"""),76.0)</f>
        <v>76</v>
      </c>
      <c r="K402" s="29">
        <f>IFERROR(__xludf.DUMMYFUNCTION("""COMPUTED_VALUE"""),7.0)</f>
        <v>7</v>
      </c>
      <c r="L402" s="31" t="str">
        <f>IFERROR(__xludf.DUMMYFUNCTION("""COMPUTED_VALUE"""),"Shooter")</f>
        <v>Shooter</v>
      </c>
    </row>
    <row r="403">
      <c r="A403" s="17" t="str">
        <f>IFERROR(__xludf.DUMMYFUNCTION("""COMPUTED_VALUE"""),"Mass Effect: Andromeda - Deluxe Edition")</f>
        <v>Mass Effect: Andromeda - Deluxe Edition</v>
      </c>
      <c r="B403" s="20" t="str">
        <f>IFERROR(__xludf.DUMMYFUNCTION("""COMPUTED_VALUE"""),"Xbox / PC")</f>
        <v>Xbox / PC</v>
      </c>
      <c r="C403" s="21" t="str">
        <f>IFERROR(__xludf.DUMMYFUNCTION("""COMPUTED_VALUE"""),"Yes")</f>
        <v>Yes</v>
      </c>
      <c r="D403" s="21" t="str">
        <f>IFERROR(__xludf.DUMMYFUNCTION("""COMPUTED_VALUE"""),"Active")</f>
        <v>Active</v>
      </c>
      <c r="E403" s="23">
        <f>IFERROR(__xludf.DUMMYFUNCTION("""COMPUTED_VALUE"""),44145.0)</f>
        <v>44145</v>
      </c>
      <c r="F403" s="24"/>
      <c r="G403" s="27">
        <f>IFERROR(__xludf.DUMMYFUNCTION("""COMPUTED_VALUE"""),70.86666666666667)</f>
        <v>70.86666667</v>
      </c>
      <c r="H403" s="23">
        <f>IFERROR(__xludf.DUMMYFUNCTION("""COMPUTED_VALUE"""),42815.0)</f>
        <v>42815</v>
      </c>
      <c r="I403" s="27">
        <f>IFERROR(__xludf.DUMMYFUNCTION("""COMPUTED_VALUE"""),3.636111111111111)</f>
        <v>3.636111111</v>
      </c>
      <c r="J403" s="29">
        <f>IFERROR(__xludf.DUMMYFUNCTION("""COMPUTED_VALUE"""),76.0)</f>
        <v>76</v>
      </c>
      <c r="K403" s="29">
        <f>IFERROR(__xludf.DUMMYFUNCTION("""COMPUTED_VALUE"""),18.5)</f>
        <v>18.5</v>
      </c>
      <c r="L403" s="31" t="str">
        <f>IFERROR(__xludf.DUMMYFUNCTION("""COMPUTED_VALUE"""),"RPG")</f>
        <v>RPG</v>
      </c>
    </row>
    <row r="404">
      <c r="A404" s="17" t="str">
        <f>IFERROR(__xludf.DUMMYFUNCTION("""COMPUTED_VALUE"""),"Plants vs. Zombies: Battle for Neighborville - Deluxe Edition")</f>
        <v>Plants vs. Zombies: Battle for Neighborville - Deluxe Edition</v>
      </c>
      <c r="B404" s="20" t="str">
        <f>IFERROR(__xludf.DUMMYFUNCTION("""COMPUTED_VALUE"""),"Xbox / PC")</f>
        <v>Xbox / PC</v>
      </c>
      <c r="C404" s="21" t="str">
        <f>IFERROR(__xludf.DUMMYFUNCTION("""COMPUTED_VALUE"""),"Yes")</f>
        <v>Yes</v>
      </c>
      <c r="D404" s="21" t="str">
        <f>IFERROR(__xludf.DUMMYFUNCTION("""COMPUTED_VALUE"""),"Active")</f>
        <v>Active</v>
      </c>
      <c r="E404" s="23">
        <f>IFERROR(__xludf.DUMMYFUNCTION("""COMPUTED_VALUE"""),44145.0)</f>
        <v>44145</v>
      </c>
      <c r="F404" s="24"/>
      <c r="G404" s="27">
        <f>IFERROR(__xludf.DUMMYFUNCTION("""COMPUTED_VALUE"""),70.86666666666667)</f>
        <v>70.86666667</v>
      </c>
      <c r="H404" s="23">
        <f>IFERROR(__xludf.DUMMYFUNCTION("""COMPUTED_VALUE"""),43756.0)</f>
        <v>43756</v>
      </c>
      <c r="I404" s="27">
        <f>IFERROR(__xludf.DUMMYFUNCTION("""COMPUTED_VALUE"""),1.0611111111111111)</f>
        <v>1.061111111</v>
      </c>
      <c r="J404" s="29">
        <f>IFERROR(__xludf.DUMMYFUNCTION("""COMPUTED_VALUE"""),76.0)</f>
        <v>76</v>
      </c>
      <c r="K404" s="29">
        <f>IFERROR(__xludf.DUMMYFUNCTION("""COMPUTED_VALUE"""),4.5)</f>
        <v>4.5</v>
      </c>
      <c r="L404" s="31" t="str">
        <f>IFERROR(__xludf.DUMMYFUNCTION("""COMPUTED_VALUE"""),"Shooter")</f>
        <v>Shooter</v>
      </c>
    </row>
    <row r="405">
      <c r="A405" s="17" t="str">
        <f>IFERROR(__xludf.DUMMYFUNCTION("""COMPUTED_VALUE"""),"Plants vs. Zombies: Garden Warfare")</f>
        <v>Plants vs. Zombies: Garden Warfare</v>
      </c>
      <c r="B405" s="20" t="str">
        <f>IFERROR(__xludf.DUMMYFUNCTION("""COMPUTED_VALUE"""),"Xbox / PC")</f>
        <v>Xbox / PC</v>
      </c>
      <c r="C405" s="21" t="str">
        <f>IFERROR(__xludf.DUMMYFUNCTION("""COMPUTED_VALUE"""),"Yes")</f>
        <v>Yes</v>
      </c>
      <c r="D405" s="21" t="str">
        <f>IFERROR(__xludf.DUMMYFUNCTION("""COMPUTED_VALUE"""),"Active")</f>
        <v>Active</v>
      </c>
      <c r="E405" s="23">
        <f>IFERROR(__xludf.DUMMYFUNCTION("""COMPUTED_VALUE"""),44145.0)</f>
        <v>44145</v>
      </c>
      <c r="F405" s="24"/>
      <c r="G405" s="27">
        <f>IFERROR(__xludf.DUMMYFUNCTION("""COMPUTED_VALUE"""),70.86666666666667)</f>
        <v>70.86666667</v>
      </c>
      <c r="H405" s="23">
        <f>IFERROR(__xludf.DUMMYFUNCTION("""COMPUTED_VALUE"""),41688.0)</f>
        <v>41688</v>
      </c>
      <c r="I405" s="27">
        <f>IFERROR(__xludf.DUMMYFUNCTION("""COMPUTED_VALUE"""),6.727777777777778)</f>
        <v>6.727777778</v>
      </c>
      <c r="J405" s="29">
        <f>IFERROR(__xludf.DUMMYFUNCTION("""COMPUTED_VALUE"""),76.0)</f>
        <v>76</v>
      </c>
      <c r="K405" s="29">
        <f>IFERROR(__xludf.DUMMYFUNCTION("""COMPUTED_VALUE"""),67.5)</f>
        <v>67.5</v>
      </c>
      <c r="L405" s="31" t="str">
        <f>IFERROR(__xludf.DUMMYFUNCTION("""COMPUTED_VALUE"""),"Shooter")</f>
        <v>Shooter</v>
      </c>
    </row>
    <row r="406">
      <c r="A406" s="17" t="str">
        <f>IFERROR(__xludf.DUMMYFUNCTION("""COMPUTED_VALUE"""),"Full Throttle Remastered")</f>
        <v>Full Throttle Remastered</v>
      </c>
      <c r="B406" s="20" t="str">
        <f>IFERROR(__xludf.DUMMYFUNCTION("""COMPUTED_VALUE"""),"Xbox / PC")</f>
        <v>Xbox / PC</v>
      </c>
      <c r="C406" s="21"/>
      <c r="D406" s="21" t="str">
        <f>IFERROR(__xludf.DUMMYFUNCTION("""COMPUTED_VALUE"""),"Active")</f>
        <v>Active</v>
      </c>
      <c r="E406" s="23">
        <f>IFERROR(__xludf.DUMMYFUNCTION("""COMPUTED_VALUE"""),44133.0)</f>
        <v>44133</v>
      </c>
      <c r="F406" s="24"/>
      <c r="G406" s="27">
        <f>IFERROR(__xludf.DUMMYFUNCTION("""COMPUTED_VALUE"""),71.23333333333333)</f>
        <v>71.23333333</v>
      </c>
      <c r="H406" s="23">
        <f>IFERROR(__xludf.DUMMYFUNCTION("""COMPUTED_VALUE"""),42843.0)</f>
        <v>42843</v>
      </c>
      <c r="I406" s="27">
        <f>IFERROR(__xludf.DUMMYFUNCTION("""COMPUTED_VALUE"""),3.5305555555555554)</f>
        <v>3.530555556</v>
      </c>
      <c r="J406" s="29">
        <f>IFERROR(__xludf.DUMMYFUNCTION("""COMPUTED_VALUE"""),76.0)</f>
        <v>76</v>
      </c>
      <c r="K406" s="29">
        <f>IFERROR(__xludf.DUMMYFUNCTION("""COMPUTED_VALUE"""),4.0)</f>
        <v>4</v>
      </c>
      <c r="L406" s="31" t="str">
        <f>IFERROR(__xludf.DUMMYFUNCTION("""COMPUTED_VALUE"""),"Adventure")</f>
        <v>Adventure</v>
      </c>
    </row>
    <row r="407">
      <c r="A407" s="17" t="str">
        <f>IFERROR(__xludf.DUMMYFUNCTION("""COMPUTED_VALUE"""),"Age of Empires III: Definitive Edition")</f>
        <v>Age of Empires III: Definitive Edition</v>
      </c>
      <c r="B407" s="20" t="str">
        <f>IFERROR(__xludf.DUMMYFUNCTION("""COMPUTED_VALUE"""),"PC")</f>
        <v>PC</v>
      </c>
      <c r="C407" s="21"/>
      <c r="D407" s="21" t="str">
        <f>IFERROR(__xludf.DUMMYFUNCTION("""COMPUTED_VALUE"""),"Active")</f>
        <v>Active</v>
      </c>
      <c r="E407" s="23">
        <f>IFERROR(__xludf.DUMMYFUNCTION("""COMPUTED_VALUE"""),44119.0)</f>
        <v>44119</v>
      </c>
      <c r="F407" s="24"/>
      <c r="G407" s="27">
        <f>IFERROR(__xludf.DUMMYFUNCTION("""COMPUTED_VALUE"""),71.69999999999999)</f>
        <v>71.7</v>
      </c>
      <c r="H407" s="23">
        <f>IFERROR(__xludf.DUMMYFUNCTION("""COMPUTED_VALUE"""),44119.0)</f>
        <v>44119</v>
      </c>
      <c r="I407" s="27">
        <f>IFERROR(__xludf.DUMMYFUNCTION("""COMPUTED_VALUE"""),0.0)</f>
        <v>0</v>
      </c>
      <c r="J407" s="29">
        <f>IFERROR(__xludf.DUMMYFUNCTION("""COMPUTED_VALUE"""),76.0)</f>
        <v>76</v>
      </c>
      <c r="K407" s="29">
        <f>IFERROR(__xludf.DUMMYFUNCTION("""COMPUTED_VALUE"""),10.5)</f>
        <v>10.5</v>
      </c>
      <c r="L407" s="31" t="str">
        <f>IFERROR(__xludf.DUMMYFUNCTION("""COMPUTED_VALUE"""),"Strategy")</f>
        <v>Strategy</v>
      </c>
    </row>
    <row r="408">
      <c r="A408" s="17" t="str">
        <f>IFERROR(__xludf.DUMMYFUNCTION("""COMPUTED_VALUE"""),"New Super Lucky's Tale")</f>
        <v>New Super Lucky's Tale</v>
      </c>
      <c r="B408" s="20" t="str">
        <f>IFERROR(__xludf.DUMMYFUNCTION("""COMPUTED_VALUE"""),"Xbox / PC")</f>
        <v>Xbox / PC</v>
      </c>
      <c r="C408" s="21" t="str">
        <f>IFERROR(__xludf.DUMMYFUNCTION("""COMPUTED_VALUE"""),"Touch Controls")</f>
        <v>Touch Controls</v>
      </c>
      <c r="D408" s="21" t="str">
        <f>IFERROR(__xludf.DUMMYFUNCTION("""COMPUTED_VALUE"""),"Active")</f>
        <v>Active</v>
      </c>
      <c r="E408" s="23">
        <f>IFERROR(__xludf.DUMMYFUNCTION("""COMPUTED_VALUE"""),44063.0)</f>
        <v>44063</v>
      </c>
      <c r="F408" s="24"/>
      <c r="G408" s="27">
        <f>IFERROR(__xludf.DUMMYFUNCTION("""COMPUTED_VALUE"""),73.53333333333333)</f>
        <v>73.53333333</v>
      </c>
      <c r="H408" s="23">
        <f>IFERROR(__xludf.DUMMYFUNCTION("""COMPUTED_VALUE"""),43777.0)</f>
        <v>43777</v>
      </c>
      <c r="I408" s="27">
        <f>IFERROR(__xludf.DUMMYFUNCTION("""COMPUTED_VALUE"""),0.7833333333333333)</f>
        <v>0.7833333333</v>
      </c>
      <c r="J408" s="29">
        <f>IFERROR(__xludf.DUMMYFUNCTION("""COMPUTED_VALUE"""),76.0)</f>
        <v>76</v>
      </c>
      <c r="K408" s="29">
        <f>IFERROR(__xludf.DUMMYFUNCTION("""COMPUTED_VALUE"""),7.5)</f>
        <v>7.5</v>
      </c>
      <c r="L408" s="31" t="str">
        <f>IFERROR(__xludf.DUMMYFUNCTION("""COMPUTED_VALUE"""),"Platformer")</f>
        <v>Platformer</v>
      </c>
    </row>
    <row r="409">
      <c r="A409" s="17" t="str">
        <f>IFERROR(__xludf.DUMMYFUNCTION("""COMPUTED_VALUE"""),"Totally Accurate Battle Simulator")</f>
        <v>Totally Accurate Battle Simulator</v>
      </c>
      <c r="B409" s="20" t="str">
        <f>IFERROR(__xludf.DUMMYFUNCTION("""COMPUTED_VALUE"""),"Xbox / PC")</f>
        <v>Xbox / PC</v>
      </c>
      <c r="C409" s="21" t="str">
        <f>IFERROR(__xludf.DUMMYFUNCTION("""COMPUTED_VALUE"""),"Touch Controls")</f>
        <v>Touch Controls</v>
      </c>
      <c r="D409" s="21" t="str">
        <f>IFERROR(__xludf.DUMMYFUNCTION("""COMPUTED_VALUE"""),"Active")</f>
        <v>Active</v>
      </c>
      <c r="E409" s="23">
        <f>IFERROR(__xludf.DUMMYFUNCTION("""COMPUTED_VALUE"""),43819.0)</f>
        <v>43819</v>
      </c>
      <c r="F409" s="24"/>
      <c r="G409" s="27">
        <f>IFERROR(__xludf.DUMMYFUNCTION("""COMPUTED_VALUE"""),81.53333333333333)</f>
        <v>81.53333333</v>
      </c>
      <c r="H409" s="23">
        <f>IFERROR(__xludf.DUMMYFUNCTION("""COMPUTED_VALUE"""),43556.0)</f>
        <v>43556</v>
      </c>
      <c r="I409" s="27">
        <f>IFERROR(__xludf.DUMMYFUNCTION("""COMPUTED_VALUE"""),0.7194444444444444)</f>
        <v>0.7194444444</v>
      </c>
      <c r="J409" s="29">
        <f>IFERROR(__xludf.DUMMYFUNCTION("""COMPUTED_VALUE"""),76.0)</f>
        <v>76</v>
      </c>
      <c r="K409" s="29">
        <f>IFERROR(__xludf.DUMMYFUNCTION("""COMPUTED_VALUE"""),4.5)</f>
        <v>4.5</v>
      </c>
      <c r="L409" s="31" t="str">
        <f>IFERROR(__xludf.DUMMYFUNCTION("""COMPUTED_VALUE"""),"Strategy")</f>
        <v>Strategy</v>
      </c>
    </row>
    <row r="410">
      <c r="A410" s="17" t="str">
        <f>IFERROR(__xludf.DUMMYFUNCTION("""COMPUTED_VALUE"""),"Zombie Army 4: Dead War")</f>
        <v>Zombie Army 4: Dead War</v>
      </c>
      <c r="B410" s="20" t="str">
        <f>IFERROR(__xludf.DUMMYFUNCTION("""COMPUTED_VALUE"""),"Xbox / PC")</f>
        <v>Xbox / PC</v>
      </c>
      <c r="C410" s="21" t="str">
        <f>IFERROR(__xludf.DUMMYFUNCTION("""COMPUTED_VALUE"""),"M+KB")</f>
        <v>M+KB</v>
      </c>
      <c r="D410" s="21" t="str">
        <f>IFERROR(__xludf.DUMMYFUNCTION("""COMPUTED_VALUE"""),"Active")</f>
        <v>Active</v>
      </c>
      <c r="E410" s="23">
        <f>IFERROR(__xludf.DUMMYFUNCTION("""COMPUTED_VALUE"""),44294.0)</f>
        <v>44294</v>
      </c>
      <c r="F410" s="24"/>
      <c r="G410" s="27">
        <f>IFERROR(__xludf.DUMMYFUNCTION("""COMPUTED_VALUE"""),65.93333333333334)</f>
        <v>65.93333333</v>
      </c>
      <c r="H410" s="23">
        <f>IFERROR(__xludf.DUMMYFUNCTION("""COMPUTED_VALUE"""),43865.0)</f>
        <v>43865</v>
      </c>
      <c r="I410" s="27">
        <f>IFERROR(__xludf.DUMMYFUNCTION("""COMPUTED_VALUE"""),1.1777777777777778)</f>
        <v>1.177777778</v>
      </c>
      <c r="J410" s="29">
        <f>IFERROR(__xludf.DUMMYFUNCTION("""COMPUTED_VALUE"""),75.5)</f>
        <v>75.5</v>
      </c>
      <c r="K410" s="29">
        <f>IFERROR(__xludf.DUMMYFUNCTION("""COMPUTED_VALUE"""),11.5)</f>
        <v>11.5</v>
      </c>
      <c r="L410" s="31" t="str">
        <f>IFERROR(__xludf.DUMMYFUNCTION("""COMPUTED_VALUE"""),"Shooter")</f>
        <v>Shooter</v>
      </c>
    </row>
    <row r="411">
      <c r="A411" s="17" t="str">
        <f>IFERROR(__xludf.DUMMYFUNCTION("""COMPUTED_VALUE"""),"Wolfenstein: The Old Blood")</f>
        <v>Wolfenstein: The Old Blood</v>
      </c>
      <c r="B411" s="20" t="str">
        <f>IFERROR(__xludf.DUMMYFUNCTION("""COMPUTED_VALUE"""),"Xbox / PC")</f>
        <v>Xbox / PC</v>
      </c>
      <c r="C411" s="21" t="str">
        <f>IFERROR(__xludf.DUMMYFUNCTION("""COMPUTED_VALUE"""),"Yes")</f>
        <v>Yes</v>
      </c>
      <c r="D411" s="21" t="str">
        <f>IFERROR(__xludf.DUMMYFUNCTION("""COMPUTED_VALUE"""),"Active")</f>
        <v>Active</v>
      </c>
      <c r="E411" s="23">
        <f>IFERROR(__xludf.DUMMYFUNCTION("""COMPUTED_VALUE"""),44267.0)</f>
        <v>44267</v>
      </c>
      <c r="F411" s="24"/>
      <c r="G411" s="27">
        <f>IFERROR(__xludf.DUMMYFUNCTION("""COMPUTED_VALUE"""),66.8)</f>
        <v>66.8</v>
      </c>
      <c r="H411" s="23">
        <f>IFERROR(__xludf.DUMMYFUNCTION("""COMPUTED_VALUE"""),42129.0)</f>
        <v>42129</v>
      </c>
      <c r="I411" s="27">
        <f>IFERROR(__xludf.DUMMYFUNCTION("""COMPUTED_VALUE"""),5.852777777777778)</f>
        <v>5.852777778</v>
      </c>
      <c r="J411" s="29">
        <f>IFERROR(__xludf.DUMMYFUNCTION("""COMPUTED_VALUE"""),75.5)</f>
        <v>75.5</v>
      </c>
      <c r="K411" s="29">
        <f>IFERROR(__xludf.DUMMYFUNCTION("""COMPUTED_VALUE"""),6.0)</f>
        <v>6</v>
      </c>
      <c r="L411" s="31" t="str">
        <f>IFERROR(__xludf.DUMMYFUNCTION("""COMPUTED_VALUE"""),"Shooter")</f>
        <v>Shooter</v>
      </c>
    </row>
    <row r="412">
      <c r="A412" s="17" t="str">
        <f>IFERROR(__xludf.DUMMYFUNCTION("""COMPUTED_VALUE"""),"Cricket 26")</f>
        <v>Cricket 26</v>
      </c>
      <c r="B412" s="20" t="str">
        <f>IFERROR(__xludf.DUMMYFUNCTION("""COMPUTED_VALUE"""),"Xbox / PC")</f>
        <v>Xbox / PC</v>
      </c>
      <c r="C412" s="21" t="str">
        <f>IFERROR(__xludf.DUMMYFUNCTION("""COMPUTED_VALUE"""),"Yes")</f>
        <v>Yes</v>
      </c>
      <c r="D412" s="21" t="str">
        <f>IFERROR(__xludf.DUMMYFUNCTION("""COMPUTED_VALUE"""),"Active")</f>
        <v>Active</v>
      </c>
      <c r="E412" s="23">
        <f>IFERROR(__xludf.DUMMYFUNCTION("""COMPUTED_VALUE"""),46247.0)</f>
        <v>46247</v>
      </c>
      <c r="F412" s="24"/>
      <c r="G412" s="27">
        <f>IFERROR(__xludf.DUMMYFUNCTION("""COMPUTED_VALUE"""),1.7666666666666666)</f>
        <v>1.766666667</v>
      </c>
      <c r="H412" s="23">
        <f>IFERROR(__xludf.DUMMYFUNCTION("""COMPUTED_VALUE"""),45974.0)</f>
        <v>45974</v>
      </c>
      <c r="I412" s="27">
        <f>IFERROR(__xludf.DUMMYFUNCTION("""COMPUTED_VALUE"""),0.75)</f>
        <v>0.75</v>
      </c>
      <c r="J412" s="29">
        <f>IFERROR(__xludf.DUMMYFUNCTION("""COMPUTED_VALUE"""),75.0)</f>
        <v>75</v>
      </c>
      <c r="K412" s="29">
        <f>IFERROR(__xludf.DUMMYFUNCTION("""COMPUTED_VALUE"""),33.0)</f>
        <v>33</v>
      </c>
      <c r="L412" s="31" t="str">
        <f>IFERROR(__xludf.DUMMYFUNCTION("""COMPUTED_VALUE"""),"Sports")</f>
        <v>Sports</v>
      </c>
    </row>
    <row r="413">
      <c r="A413" s="17" t="str">
        <f>IFERROR(__xludf.DUMMYFUNCTION("""COMPUTED_VALUE"""),"Tears of Metal (Game Preview)")</f>
        <v>Tears of Metal (Game Preview)</v>
      </c>
      <c r="B413" s="20" t="str">
        <f>IFERROR(__xludf.DUMMYFUNCTION("""COMPUTED_VALUE"""),"PC")</f>
        <v>PC</v>
      </c>
      <c r="C413" s="21"/>
      <c r="D413" s="21" t="str">
        <f>IFERROR(__xludf.DUMMYFUNCTION("""COMPUTED_VALUE"""),"Active")</f>
        <v>Active</v>
      </c>
      <c r="E413" s="23">
        <f>IFERROR(__xludf.DUMMYFUNCTION("""COMPUTED_VALUE"""),46225.0)</f>
        <v>46225</v>
      </c>
      <c r="F413" s="24"/>
      <c r="G413" s="27">
        <f>IFERROR(__xludf.DUMMYFUNCTION("""COMPUTED_VALUE"""),2.466666666666667)</f>
        <v>2.466666667</v>
      </c>
      <c r="H413" s="23">
        <f>IFERROR(__xludf.DUMMYFUNCTION("""COMPUTED_VALUE"""),46225.0)</f>
        <v>46225</v>
      </c>
      <c r="I413" s="27">
        <f>IFERROR(__xludf.DUMMYFUNCTION("""COMPUTED_VALUE"""),0.0)</f>
        <v>0</v>
      </c>
      <c r="J413" s="29">
        <f>IFERROR(__xludf.DUMMYFUNCTION("""COMPUTED_VALUE"""),75.0)</f>
        <v>75</v>
      </c>
      <c r="K413" s="29">
        <f>IFERROR(__xludf.DUMMYFUNCTION("""COMPUTED_VALUE"""),4.0)</f>
        <v>4</v>
      </c>
      <c r="L413" s="31" t="str">
        <f>IFERROR(__xludf.DUMMYFUNCTION("""COMPUTED_VALUE"""),"Action-Adventure")</f>
        <v>Action-Adventure</v>
      </c>
    </row>
    <row r="414">
      <c r="A414" s="17" t="str">
        <f>IFERROR(__xludf.DUMMYFUNCTION("""COMPUTED_VALUE"""),"Super Meat Boy 3D")</f>
        <v>Super Meat Boy 3D</v>
      </c>
      <c r="B414" s="20" t="str">
        <f>IFERROR(__xludf.DUMMYFUNCTION("""COMPUTED_VALUE"""),"Xbox / PC")</f>
        <v>Xbox / PC</v>
      </c>
      <c r="C414" s="21" t="str">
        <f>IFERROR(__xludf.DUMMYFUNCTION("""COMPUTED_VALUE"""),"Yes")</f>
        <v>Yes</v>
      </c>
      <c r="D414" s="21" t="str">
        <f>IFERROR(__xludf.DUMMYFUNCTION("""COMPUTED_VALUE"""),"Active")</f>
        <v>Active</v>
      </c>
      <c r="E414" s="23">
        <f>IFERROR(__xludf.DUMMYFUNCTION("""COMPUTED_VALUE"""),46112.0)</f>
        <v>46112</v>
      </c>
      <c r="F414" s="24"/>
      <c r="G414" s="27">
        <f>IFERROR(__xludf.DUMMYFUNCTION("""COMPUTED_VALUE"""),6.200000000000001)</f>
        <v>6.2</v>
      </c>
      <c r="H414" s="23">
        <f>IFERROR(__xludf.DUMMYFUNCTION("""COMPUTED_VALUE"""),46112.0)</f>
        <v>46112</v>
      </c>
      <c r="I414" s="27">
        <f>IFERROR(__xludf.DUMMYFUNCTION("""COMPUTED_VALUE"""),0.0)</f>
        <v>0</v>
      </c>
      <c r="J414" s="29">
        <f>IFERROR(__xludf.DUMMYFUNCTION("""COMPUTED_VALUE"""),75.0)</f>
        <v>75</v>
      </c>
      <c r="K414" s="29">
        <f>IFERROR(__xludf.DUMMYFUNCTION("""COMPUTED_VALUE"""),6.0)</f>
        <v>6</v>
      </c>
      <c r="L414" s="31" t="str">
        <f>IFERROR(__xludf.DUMMYFUNCTION("""COMPUTED_VALUE"""),"Platformer")</f>
        <v>Platformer</v>
      </c>
    </row>
    <row r="415">
      <c r="A415" s="17" t="str">
        <f>IFERROR(__xludf.DUMMYFUNCTION("""COMPUTED_VALUE"""),"Star Wars Outlaws")</f>
        <v>Star Wars Outlaws</v>
      </c>
      <c r="B415" s="20" t="str">
        <f>IFERROR(__xludf.DUMMYFUNCTION("""COMPUTED_VALUE"""),"Xbox / PC")</f>
        <v>Xbox / PC</v>
      </c>
      <c r="C415" s="21" t="str">
        <f>IFERROR(__xludf.DUMMYFUNCTION("""COMPUTED_VALUE"""),"Yes")</f>
        <v>Yes</v>
      </c>
      <c r="D415" s="21" t="str">
        <f>IFERROR(__xludf.DUMMYFUNCTION("""COMPUTED_VALUE"""),"Active")</f>
        <v>Active</v>
      </c>
      <c r="E415" s="23">
        <f>IFERROR(__xludf.DUMMYFUNCTION("""COMPUTED_VALUE"""),46035.0)</f>
        <v>46035</v>
      </c>
      <c r="F415" s="24"/>
      <c r="G415" s="27">
        <f>IFERROR(__xludf.DUMMYFUNCTION("""COMPUTED_VALUE"""),8.766666666666666)</f>
        <v>8.766666667</v>
      </c>
      <c r="H415" s="23">
        <f>IFERROR(__xludf.DUMMYFUNCTION("""COMPUTED_VALUE"""),45531.0)</f>
        <v>45531</v>
      </c>
      <c r="I415" s="27">
        <f>IFERROR(__xludf.DUMMYFUNCTION("""COMPUTED_VALUE"""),1.3777777777777778)</f>
        <v>1.377777778</v>
      </c>
      <c r="J415" s="29">
        <f>IFERROR(__xludf.DUMMYFUNCTION("""COMPUTED_VALUE"""),75.0)</f>
        <v>75</v>
      </c>
      <c r="K415" s="29">
        <f>IFERROR(__xludf.DUMMYFUNCTION("""COMPUTED_VALUE"""),19.0)</f>
        <v>19</v>
      </c>
      <c r="L415" s="31" t="str">
        <f>IFERROR(__xludf.DUMMYFUNCTION("""COMPUTED_VALUE"""),"Action-Adventure")</f>
        <v>Action-Adventure</v>
      </c>
    </row>
    <row r="416">
      <c r="A416" s="17" t="str">
        <f>IFERROR(__xludf.DUMMYFUNCTION("""COMPUTED_VALUE"""),"A Game About Digging A Hole")</f>
        <v>A Game About Digging A Hole</v>
      </c>
      <c r="B416" s="20" t="str">
        <f>IFERROR(__xludf.DUMMYFUNCTION("""COMPUTED_VALUE"""),"Xbox / PC")</f>
        <v>Xbox / PC</v>
      </c>
      <c r="C416" s="21" t="str">
        <f>IFERROR(__xludf.DUMMYFUNCTION("""COMPUTED_VALUE"""),"Yes")</f>
        <v>Yes</v>
      </c>
      <c r="D416" s="21" t="str">
        <f>IFERROR(__xludf.DUMMYFUNCTION("""COMPUTED_VALUE"""),"Active")</f>
        <v>Active</v>
      </c>
      <c r="E416" s="23">
        <f>IFERROR(__xludf.DUMMYFUNCTION("""COMPUTED_VALUE"""),46000.0)</f>
        <v>46000</v>
      </c>
      <c r="F416" s="24"/>
      <c r="G416" s="27">
        <f>IFERROR(__xludf.DUMMYFUNCTION("""COMPUTED_VALUE"""),9.899999999999999)</f>
        <v>9.9</v>
      </c>
      <c r="H416" s="23">
        <f>IFERROR(__xludf.DUMMYFUNCTION("""COMPUTED_VALUE"""),45695.0)</f>
        <v>45695</v>
      </c>
      <c r="I416" s="27">
        <f>IFERROR(__xludf.DUMMYFUNCTION("""COMPUTED_VALUE"""),0.8388888888888889)</f>
        <v>0.8388888889</v>
      </c>
      <c r="J416" s="29">
        <f>IFERROR(__xludf.DUMMYFUNCTION("""COMPUTED_VALUE"""),75.0)</f>
        <v>75</v>
      </c>
      <c r="K416" s="29">
        <f>IFERROR(__xludf.DUMMYFUNCTION("""COMPUTED_VALUE"""),2.35)</f>
        <v>2.35</v>
      </c>
      <c r="L416" s="31" t="str">
        <f>IFERROR(__xludf.DUMMYFUNCTION("""COMPUTED_VALUE"""),"Adventure")</f>
        <v>Adventure</v>
      </c>
    </row>
    <row r="417">
      <c r="A417" s="17" t="str">
        <f>IFERROR(__xludf.DUMMYFUNCTION("""COMPUTED_VALUE"""),"Visions of Mana")</f>
        <v>Visions of Mana</v>
      </c>
      <c r="B417" s="20" t="str">
        <f>IFERROR(__xludf.DUMMYFUNCTION("""COMPUTED_VALUE"""),"Xbox / PC")</f>
        <v>Xbox / PC</v>
      </c>
      <c r="C417" s="21" t="str">
        <f>IFERROR(__xludf.DUMMYFUNCTION("""COMPUTED_VALUE"""),"Yes")</f>
        <v>Yes</v>
      </c>
      <c r="D417" s="21" t="str">
        <f>IFERROR(__xludf.DUMMYFUNCTION("""COMPUTED_VALUE"""),"Active")</f>
        <v>Active</v>
      </c>
      <c r="E417" s="23">
        <f>IFERROR(__xludf.DUMMYFUNCTION("""COMPUTED_VALUE"""),45925.0)</f>
        <v>45925</v>
      </c>
      <c r="F417" s="24"/>
      <c r="G417" s="27">
        <f>IFERROR(__xludf.DUMMYFUNCTION("""COMPUTED_VALUE"""),12.366666666666665)</f>
        <v>12.36666667</v>
      </c>
      <c r="H417" s="23">
        <f>IFERROR(__xludf.DUMMYFUNCTION("""COMPUTED_VALUE"""),45533.0)</f>
        <v>45533</v>
      </c>
      <c r="I417" s="27">
        <f>IFERROR(__xludf.DUMMYFUNCTION("""COMPUTED_VALUE"""),1.0722222222222222)</f>
        <v>1.072222222</v>
      </c>
      <c r="J417" s="29">
        <f>IFERROR(__xludf.DUMMYFUNCTION("""COMPUTED_VALUE"""),75.0)</f>
        <v>75</v>
      </c>
      <c r="K417" s="29">
        <f>IFERROR(__xludf.DUMMYFUNCTION("""COMPUTED_VALUE"""),29.0)</f>
        <v>29</v>
      </c>
      <c r="L417" s="31" t="str">
        <f>IFERROR(__xludf.DUMMYFUNCTION("""COMPUTED_VALUE"""),"RPG")</f>
        <v>RPG</v>
      </c>
    </row>
    <row r="418">
      <c r="A418" s="17" t="str">
        <f>IFERROR(__xludf.DUMMYFUNCTION("""COMPUTED_VALUE"""),"Farming Simulator 25")</f>
        <v>Farming Simulator 25</v>
      </c>
      <c r="B418" s="20" t="str">
        <f>IFERROR(__xludf.DUMMYFUNCTION("""COMPUTED_VALUE"""),"Xbox / PC")</f>
        <v>Xbox / PC</v>
      </c>
      <c r="C418" s="21" t="str">
        <f>IFERROR(__xludf.DUMMYFUNCTION("""COMPUTED_VALUE"""),"Yes")</f>
        <v>Yes</v>
      </c>
      <c r="D418" s="21" t="str">
        <f>IFERROR(__xludf.DUMMYFUNCTION("""COMPUTED_VALUE"""),"Active")</f>
        <v>Active</v>
      </c>
      <c r="E418" s="23">
        <f>IFERROR(__xludf.DUMMYFUNCTION("""COMPUTED_VALUE"""),45870.0)</f>
        <v>45870</v>
      </c>
      <c r="F418" s="24"/>
      <c r="G418" s="27">
        <f>IFERROR(__xludf.DUMMYFUNCTION("""COMPUTED_VALUE"""),14.166666666666668)</f>
        <v>14.16666667</v>
      </c>
      <c r="H418" s="23">
        <f>IFERROR(__xludf.DUMMYFUNCTION("""COMPUTED_VALUE"""),45608.0)</f>
        <v>45608</v>
      </c>
      <c r="I418" s="27">
        <f>IFERROR(__xludf.DUMMYFUNCTION("""COMPUTED_VALUE"""),0.7194444444444444)</f>
        <v>0.7194444444</v>
      </c>
      <c r="J418" s="29">
        <f>IFERROR(__xludf.DUMMYFUNCTION("""COMPUTED_VALUE"""),75.0)</f>
        <v>75</v>
      </c>
      <c r="K418" s="29">
        <f>IFERROR(__xludf.DUMMYFUNCTION("""COMPUTED_VALUE"""),45.0)</f>
        <v>45</v>
      </c>
      <c r="L418" s="31" t="str">
        <f>IFERROR(__xludf.DUMMYFUNCTION("""COMPUTED_VALUE"""),"Simulation")</f>
        <v>Simulation</v>
      </c>
    </row>
    <row r="419">
      <c r="A419" s="17" t="str">
        <f>IFERROR(__xludf.DUMMYFUNCTION("""COMPUTED_VALUE"""),"Skeleton+")</f>
        <v>Skeleton+</v>
      </c>
      <c r="B419" s="20" t="str">
        <f>IFERROR(__xludf.DUMMYFUNCTION("""COMPUTED_VALUE"""),"Xbox / PC")</f>
        <v>Xbox / PC</v>
      </c>
      <c r="C419" s="21" t="str">
        <f>IFERROR(__xludf.DUMMYFUNCTION("""COMPUTED_VALUE"""),"Yes")</f>
        <v>Yes</v>
      </c>
      <c r="D419" s="21" t="str">
        <f>IFERROR(__xludf.DUMMYFUNCTION("""COMPUTED_VALUE"""),"Active")</f>
        <v>Active</v>
      </c>
      <c r="E419" s="23">
        <f>IFERROR(__xludf.DUMMYFUNCTION("""COMPUTED_VALUE"""),45859.0)</f>
        <v>45859</v>
      </c>
      <c r="F419" s="24"/>
      <c r="G419" s="27">
        <f>IFERROR(__xludf.DUMMYFUNCTION("""COMPUTED_VALUE"""),14.5)</f>
        <v>14.5</v>
      </c>
      <c r="H419" s="23">
        <f>IFERROR(__xludf.DUMMYFUNCTION("""COMPUTED_VALUE"""),37774.0)</f>
        <v>37774</v>
      </c>
      <c r="I419" s="27">
        <f>IFERROR(__xludf.DUMMYFUNCTION("""COMPUTED_VALUE"""),22.136111111111113)</f>
        <v>22.13611111</v>
      </c>
      <c r="J419" s="29">
        <f>IFERROR(__xludf.DUMMYFUNCTION("""COMPUTED_VALUE"""),75.0)</f>
        <v>75</v>
      </c>
      <c r="K419" s="29">
        <f>IFERROR(__xludf.DUMMYFUNCTION("""COMPUTED_VALUE"""),2.0)</f>
        <v>2</v>
      </c>
      <c r="L419" s="31" t="str">
        <f>IFERROR(__xludf.DUMMYFUNCTION("""COMPUTED_VALUE"""),"Action")</f>
        <v>Action</v>
      </c>
    </row>
    <row r="420">
      <c r="A420" s="17" t="str">
        <f>IFERROR(__xludf.DUMMYFUNCTION("""COMPUTED_VALUE"""),"Call of Duty: Modern Warfare II")</f>
        <v>Call of Duty: Modern Warfare II</v>
      </c>
      <c r="B420" s="20" t="str">
        <f>IFERROR(__xludf.DUMMYFUNCTION("""COMPUTED_VALUE"""),"Xbox / PC")</f>
        <v>Xbox / PC</v>
      </c>
      <c r="C420" s="21" t="str">
        <f>IFERROR(__xludf.DUMMYFUNCTION("""COMPUTED_VALUE"""),"Yes")</f>
        <v>Yes</v>
      </c>
      <c r="D420" s="21" t="str">
        <f>IFERROR(__xludf.DUMMYFUNCTION("""COMPUTED_VALUE"""),"Active")</f>
        <v>Active</v>
      </c>
      <c r="E420" s="23">
        <f>IFERROR(__xludf.DUMMYFUNCTION("""COMPUTED_VALUE"""),45778.0)</f>
        <v>45778</v>
      </c>
      <c r="F420" s="24"/>
      <c r="G420" s="27">
        <f>IFERROR(__xludf.DUMMYFUNCTION("""COMPUTED_VALUE"""),17.166666666666668)</f>
        <v>17.16666667</v>
      </c>
      <c r="H420" s="23">
        <f>IFERROR(__xludf.DUMMYFUNCTION("""COMPUTED_VALUE"""),44862.0)</f>
        <v>44862</v>
      </c>
      <c r="I420" s="27">
        <f>IFERROR(__xludf.DUMMYFUNCTION("""COMPUTED_VALUE"""),2.5083333333333333)</f>
        <v>2.508333333</v>
      </c>
      <c r="J420" s="29">
        <f>IFERROR(__xludf.DUMMYFUNCTION("""COMPUTED_VALUE"""),75.0)</f>
        <v>75</v>
      </c>
      <c r="K420" s="29">
        <f>IFERROR(__xludf.DUMMYFUNCTION("""COMPUTED_VALUE"""),8.0)</f>
        <v>8</v>
      </c>
      <c r="L420" s="31" t="str">
        <f>IFERROR(__xludf.DUMMYFUNCTION("""COMPUTED_VALUE"""),"Shooter")</f>
        <v>Shooter</v>
      </c>
    </row>
    <row r="421">
      <c r="A421" s="17" t="str">
        <f>IFERROR(__xludf.DUMMYFUNCTION("""COMPUTED_VALUE"""),"Blizzard Arcade Collection")</f>
        <v>Blizzard Arcade Collection</v>
      </c>
      <c r="B421" s="20" t="str">
        <f>IFERROR(__xludf.DUMMYFUNCTION("""COMPUTED_VALUE"""),"Xbox / PC")</f>
        <v>Xbox / PC</v>
      </c>
      <c r="C421" s="21" t="str">
        <f>IFERROR(__xludf.DUMMYFUNCTION("""COMPUTED_VALUE"""),"Yes")</f>
        <v>Yes</v>
      </c>
      <c r="D421" s="21" t="str">
        <f>IFERROR(__xludf.DUMMYFUNCTION("""COMPUTED_VALUE"""),"Active")</f>
        <v>Active</v>
      </c>
      <c r="E421" s="23">
        <f>IFERROR(__xludf.DUMMYFUNCTION("""COMPUTED_VALUE"""),45741.0)</f>
        <v>45741</v>
      </c>
      <c r="F421" s="24"/>
      <c r="G421" s="27">
        <f>IFERROR(__xludf.DUMMYFUNCTION("""COMPUTED_VALUE"""),18.366666666666667)</f>
        <v>18.36666667</v>
      </c>
      <c r="H421" s="23">
        <f>IFERROR(__xludf.DUMMYFUNCTION("""COMPUTED_VALUE"""),44246.0)</f>
        <v>44246</v>
      </c>
      <c r="I421" s="27">
        <f>IFERROR(__xludf.DUMMYFUNCTION("""COMPUTED_VALUE"""),4.1)</f>
        <v>4.1</v>
      </c>
      <c r="J421" s="29">
        <f>IFERROR(__xludf.DUMMYFUNCTION("""COMPUTED_VALUE"""),75.0)</f>
        <v>75</v>
      </c>
      <c r="K421" s="29">
        <f>IFERROR(__xludf.DUMMYFUNCTION("""COMPUTED_VALUE"""),5.0)</f>
        <v>5</v>
      </c>
      <c r="L421" s="31" t="str">
        <f>IFERROR(__xludf.DUMMYFUNCTION("""COMPUTED_VALUE"""),"Compilation")</f>
        <v>Compilation</v>
      </c>
    </row>
    <row r="422">
      <c r="A422" s="17" t="str">
        <f>IFERROR(__xludf.DUMMYFUNCTION("""COMPUTED_VALUE"""),"Aliens: Dark Descent")</f>
        <v>Aliens: Dark Descent</v>
      </c>
      <c r="B422" s="20" t="str">
        <f>IFERROR(__xludf.DUMMYFUNCTION("""COMPUTED_VALUE"""),"Xbox / PC")</f>
        <v>Xbox / PC</v>
      </c>
      <c r="C422" s="21" t="str">
        <f>IFERROR(__xludf.DUMMYFUNCTION("""COMPUTED_VALUE"""),"Yes")</f>
        <v>Yes</v>
      </c>
      <c r="D422" s="21" t="str">
        <f>IFERROR(__xludf.DUMMYFUNCTION("""COMPUTED_VALUE"""),"Active")</f>
        <v>Active</v>
      </c>
      <c r="E422" s="23">
        <f>IFERROR(__xludf.DUMMYFUNCTION("""COMPUTED_VALUE"""),45623.0)</f>
        <v>45623</v>
      </c>
      <c r="F422" s="24"/>
      <c r="G422" s="27">
        <f>IFERROR(__xludf.DUMMYFUNCTION("""COMPUTED_VALUE"""),22.3)</f>
        <v>22.3</v>
      </c>
      <c r="H422" s="23">
        <f>IFERROR(__xludf.DUMMYFUNCTION("""COMPUTED_VALUE"""),45097.0)</f>
        <v>45097</v>
      </c>
      <c r="I422" s="27">
        <f>IFERROR(__xludf.DUMMYFUNCTION("""COMPUTED_VALUE"""),1.4361111111111111)</f>
        <v>1.436111111</v>
      </c>
      <c r="J422" s="29">
        <f>IFERROR(__xludf.DUMMYFUNCTION("""COMPUTED_VALUE"""),75.0)</f>
        <v>75</v>
      </c>
      <c r="K422" s="29">
        <f>IFERROR(__xludf.DUMMYFUNCTION("""COMPUTED_VALUE"""),24.0)</f>
        <v>24</v>
      </c>
      <c r="L422" s="31" t="str">
        <f>IFERROR(__xludf.DUMMYFUNCTION("""COMPUTED_VALUE"""),"Strategy")</f>
        <v>Strategy</v>
      </c>
    </row>
    <row r="423">
      <c r="A423" s="17" t="str">
        <f>IFERROR(__xludf.DUMMYFUNCTION("""COMPUTED_VALUE"""),"South Park: The Fractured but Whole")</f>
        <v>South Park: The Fractured but Whole</v>
      </c>
      <c r="B423" s="20" t="str">
        <f>IFERROR(__xludf.DUMMYFUNCTION("""COMPUTED_VALUE"""),"Xbox / PC")</f>
        <v>Xbox / PC</v>
      </c>
      <c r="C423" s="21" t="str">
        <f>IFERROR(__xludf.DUMMYFUNCTION("""COMPUTED_VALUE"""),"Yes")</f>
        <v>Yes</v>
      </c>
      <c r="D423" s="21" t="str">
        <f>IFERROR(__xludf.DUMMYFUNCTION("""COMPUTED_VALUE"""),"Active")</f>
        <v>Active</v>
      </c>
      <c r="E423" s="23">
        <f>IFERROR(__xludf.DUMMYFUNCTION("""COMPUTED_VALUE"""),45581.0)</f>
        <v>45581</v>
      </c>
      <c r="F423" s="24"/>
      <c r="G423" s="27">
        <f>IFERROR(__xludf.DUMMYFUNCTION("""COMPUTED_VALUE"""),23.666666666666668)</f>
        <v>23.66666667</v>
      </c>
      <c r="H423" s="23">
        <f>IFERROR(__xludf.DUMMYFUNCTION("""COMPUTED_VALUE"""),43312.0)</f>
        <v>43312</v>
      </c>
      <c r="I423" s="27">
        <f>IFERROR(__xludf.DUMMYFUNCTION("""COMPUTED_VALUE"""),6.211111111111111)</f>
        <v>6.211111111</v>
      </c>
      <c r="J423" s="29">
        <f>IFERROR(__xludf.DUMMYFUNCTION("""COMPUTED_VALUE"""),75.0)</f>
        <v>75</v>
      </c>
      <c r="K423" s="29">
        <f>IFERROR(__xludf.DUMMYFUNCTION("""COMPUTED_VALUE"""),18.0)</f>
        <v>18</v>
      </c>
      <c r="L423" s="31" t="str">
        <f>IFERROR(__xludf.DUMMYFUNCTION("""COMPUTED_VALUE"""),"RPG")</f>
        <v>RPG</v>
      </c>
    </row>
    <row r="424">
      <c r="A424" s="17" t="str">
        <f>IFERROR(__xludf.DUMMYFUNCTION("""COMPUTED_VALUE"""),"Cities: Skylines II")</f>
        <v>Cities: Skylines II</v>
      </c>
      <c r="B424" s="20" t="str">
        <f>IFERROR(__xludf.DUMMYFUNCTION("""COMPUTED_VALUE"""),"PC")</f>
        <v>PC</v>
      </c>
      <c r="C424" s="21"/>
      <c r="D424" s="21" t="str">
        <f>IFERROR(__xludf.DUMMYFUNCTION("""COMPUTED_VALUE"""),"Active")</f>
        <v>Active</v>
      </c>
      <c r="E424" s="23">
        <f>IFERROR(__xludf.DUMMYFUNCTION("""COMPUTED_VALUE"""),45223.0)</f>
        <v>45223</v>
      </c>
      <c r="F424" s="24"/>
      <c r="G424" s="27">
        <f>IFERROR(__xludf.DUMMYFUNCTION("""COMPUTED_VALUE"""),35.400000000000006)</f>
        <v>35.4</v>
      </c>
      <c r="H424" s="23">
        <f>IFERROR(__xludf.DUMMYFUNCTION("""COMPUTED_VALUE"""),45223.0)</f>
        <v>45223</v>
      </c>
      <c r="I424" s="27">
        <f>IFERROR(__xludf.DUMMYFUNCTION("""COMPUTED_VALUE"""),0.0)</f>
        <v>0</v>
      </c>
      <c r="J424" s="29">
        <f>IFERROR(__xludf.DUMMYFUNCTION("""COMPUTED_VALUE"""),75.0)</f>
        <v>75</v>
      </c>
      <c r="K424" s="29">
        <f>IFERROR(__xludf.DUMMYFUNCTION("""COMPUTED_VALUE"""),25.0)</f>
        <v>25</v>
      </c>
      <c r="L424" s="31" t="str">
        <f>IFERROR(__xludf.DUMMYFUNCTION("""COMPUTED_VALUE"""),"Simulation")</f>
        <v>Simulation</v>
      </c>
    </row>
    <row r="425">
      <c r="A425" s="17" t="str">
        <f>IFERROR(__xludf.DUMMYFUNCTION("""COMPUTED_VALUE"""),"Disney Dreamlight Valley: Founder's Edition")</f>
        <v>Disney Dreamlight Valley: Founder's Edition</v>
      </c>
      <c r="B425" s="20" t="str">
        <f>IFERROR(__xludf.DUMMYFUNCTION("""COMPUTED_VALUE"""),"Xbox / PC")</f>
        <v>Xbox / PC</v>
      </c>
      <c r="C425" s="21" t="str">
        <f>IFERROR(__xludf.DUMMYFUNCTION("""COMPUTED_VALUE"""),"Touch Controls")</f>
        <v>Touch Controls</v>
      </c>
      <c r="D425" s="21" t="str">
        <f>IFERROR(__xludf.DUMMYFUNCTION("""COMPUTED_VALUE"""),"Active")</f>
        <v>Active</v>
      </c>
      <c r="E425" s="23">
        <f>IFERROR(__xludf.DUMMYFUNCTION("""COMPUTED_VALUE"""),44810.0)</f>
        <v>44810</v>
      </c>
      <c r="F425" s="24"/>
      <c r="G425" s="27">
        <f>IFERROR(__xludf.DUMMYFUNCTION("""COMPUTED_VALUE"""),49.0)</f>
        <v>49</v>
      </c>
      <c r="H425" s="23">
        <f>IFERROR(__xludf.DUMMYFUNCTION("""COMPUTED_VALUE"""),44810.0)</f>
        <v>44810</v>
      </c>
      <c r="I425" s="27">
        <f>IFERROR(__xludf.DUMMYFUNCTION("""COMPUTED_VALUE"""),0.0)</f>
        <v>0</v>
      </c>
      <c r="J425" s="29">
        <f>IFERROR(__xludf.DUMMYFUNCTION("""COMPUTED_VALUE"""),75.0)</f>
        <v>75</v>
      </c>
      <c r="K425" s="29">
        <f>IFERROR(__xludf.DUMMYFUNCTION("""COMPUTED_VALUE"""),15.5)</f>
        <v>15.5</v>
      </c>
      <c r="L425" s="31" t="str">
        <f>IFERROR(__xludf.DUMMYFUNCTION("""COMPUTED_VALUE"""),"Simulation")</f>
        <v>Simulation</v>
      </c>
    </row>
    <row r="426">
      <c r="A426" s="17" t="str">
        <f>IFERROR(__xludf.DUMMYFUNCTION("""COMPUTED_VALUE"""),"GRID: Legends")</f>
        <v>GRID: Legends</v>
      </c>
      <c r="B426" s="20" t="str">
        <f>IFERROR(__xludf.DUMMYFUNCTION("""COMPUTED_VALUE"""),"Xbox / PC")</f>
        <v>Xbox / PC</v>
      </c>
      <c r="C426" s="21" t="str">
        <f>IFERROR(__xludf.DUMMYFUNCTION("""COMPUTED_VALUE"""),"Yes")</f>
        <v>Yes</v>
      </c>
      <c r="D426" s="21" t="str">
        <f>IFERROR(__xludf.DUMMYFUNCTION("""COMPUTED_VALUE"""),"Active")</f>
        <v>Active</v>
      </c>
      <c r="E426" s="23">
        <f>IFERROR(__xludf.DUMMYFUNCTION("""COMPUTED_VALUE"""),44805.0)</f>
        <v>44805</v>
      </c>
      <c r="F426" s="24"/>
      <c r="G426" s="27">
        <f>IFERROR(__xludf.DUMMYFUNCTION("""COMPUTED_VALUE"""),49.16666666666667)</f>
        <v>49.16666667</v>
      </c>
      <c r="H426" s="23">
        <f>IFERROR(__xludf.DUMMYFUNCTION("""COMPUTED_VALUE"""),44617.0)</f>
        <v>44617</v>
      </c>
      <c r="I426" s="27">
        <f>IFERROR(__xludf.DUMMYFUNCTION("""COMPUTED_VALUE"""),0.5166666666666667)</f>
        <v>0.5166666667</v>
      </c>
      <c r="J426" s="29">
        <f>IFERROR(__xludf.DUMMYFUNCTION("""COMPUTED_VALUE"""),75.0)</f>
        <v>75</v>
      </c>
      <c r="K426" s="29">
        <f>IFERROR(__xludf.DUMMYFUNCTION("""COMPUTED_VALUE"""),6.0)</f>
        <v>6</v>
      </c>
      <c r="L426" s="31" t="str">
        <f>IFERROR(__xludf.DUMMYFUNCTION("""COMPUTED_VALUE"""),"Racing")</f>
        <v>Racing</v>
      </c>
    </row>
    <row r="427">
      <c r="A427" s="17" t="str">
        <f>IFERROR(__xludf.DUMMYFUNCTION("""COMPUTED_VALUE"""),"Rebel Galaxy")</f>
        <v>Rebel Galaxy</v>
      </c>
      <c r="B427" s="20" t="str">
        <f>IFERROR(__xludf.DUMMYFUNCTION("""COMPUTED_VALUE"""),"PC")</f>
        <v>PC</v>
      </c>
      <c r="C427" s="21"/>
      <c r="D427" s="21" t="str">
        <f>IFERROR(__xludf.DUMMYFUNCTION("""COMPUTED_VALUE"""),"Active")</f>
        <v>Active</v>
      </c>
      <c r="E427" s="23">
        <f>IFERROR(__xludf.DUMMYFUNCTION("""COMPUTED_VALUE"""),44273.0)</f>
        <v>44273</v>
      </c>
      <c r="F427" s="24"/>
      <c r="G427" s="27">
        <f>IFERROR(__xludf.DUMMYFUNCTION("""COMPUTED_VALUE"""),66.6)</f>
        <v>66.6</v>
      </c>
      <c r="H427" s="23">
        <f>IFERROR(__xludf.DUMMYFUNCTION("""COMPUTED_VALUE"""),42297.0)</f>
        <v>42297</v>
      </c>
      <c r="I427" s="27">
        <f>IFERROR(__xludf.DUMMYFUNCTION("""COMPUTED_VALUE"""),5.411111111111111)</f>
        <v>5.411111111</v>
      </c>
      <c r="J427" s="29">
        <f>IFERROR(__xludf.DUMMYFUNCTION("""COMPUTED_VALUE"""),75.0)</f>
        <v>75</v>
      </c>
      <c r="K427" s="29">
        <f>IFERROR(__xludf.DUMMYFUNCTION("""COMPUTED_VALUE"""),22.0)</f>
        <v>22</v>
      </c>
      <c r="L427" s="31" t="str">
        <f>IFERROR(__xludf.DUMMYFUNCTION("""COMPUTED_VALUE"""),"RPG")</f>
        <v>RPG</v>
      </c>
    </row>
    <row r="428">
      <c r="A428" s="17" t="str">
        <f>IFERROR(__xludf.DUMMYFUNCTION("""COMPUTED_VALUE"""),"Need for Speed: Rivals - Complete Edition")</f>
        <v>Need for Speed: Rivals - Complete Edition</v>
      </c>
      <c r="B428" s="20" t="str">
        <f>IFERROR(__xludf.DUMMYFUNCTION("""COMPUTED_VALUE"""),"Xbox / PC")</f>
        <v>Xbox / PC</v>
      </c>
      <c r="C428" s="21"/>
      <c r="D428" s="21" t="str">
        <f>IFERROR(__xludf.DUMMYFUNCTION("""COMPUTED_VALUE"""),"Active")</f>
        <v>Active</v>
      </c>
      <c r="E428" s="23">
        <f>IFERROR(__xludf.DUMMYFUNCTION("""COMPUTED_VALUE"""),44145.0)</f>
        <v>44145</v>
      </c>
      <c r="F428" s="24"/>
      <c r="G428" s="27">
        <f>IFERROR(__xludf.DUMMYFUNCTION("""COMPUTED_VALUE"""),70.86666666666667)</f>
        <v>70.86666667</v>
      </c>
      <c r="H428" s="23">
        <f>IFERROR(__xludf.DUMMYFUNCTION("""COMPUTED_VALUE"""),41593.0)</f>
        <v>41593</v>
      </c>
      <c r="I428" s="27">
        <f>IFERROR(__xludf.DUMMYFUNCTION("""COMPUTED_VALUE"""),6.986111111111111)</f>
        <v>6.986111111</v>
      </c>
      <c r="J428" s="29">
        <f>IFERROR(__xludf.DUMMYFUNCTION("""COMPUTED_VALUE"""),75.0)</f>
        <v>75</v>
      </c>
      <c r="K428" s="29">
        <f>IFERROR(__xludf.DUMMYFUNCTION("""COMPUTED_VALUE"""),13.0)</f>
        <v>13</v>
      </c>
      <c r="L428" s="31" t="str">
        <f>IFERROR(__xludf.DUMMYFUNCTION("""COMPUTED_VALUE"""),"Racing")</f>
        <v>Racing</v>
      </c>
    </row>
    <row r="429">
      <c r="A429" s="17" t="str">
        <f>IFERROR(__xludf.DUMMYFUNCTION("""COMPUTED_VALUE"""),"Star Wars Battlefront: Ultimate Edition")</f>
        <v>Star Wars Battlefront: Ultimate Edition</v>
      </c>
      <c r="B429" s="20" t="str">
        <f>IFERROR(__xludf.DUMMYFUNCTION("""COMPUTED_VALUE"""),"Xbox / PC")</f>
        <v>Xbox / PC</v>
      </c>
      <c r="C429" s="21"/>
      <c r="D429" s="21" t="str">
        <f>IFERROR(__xludf.DUMMYFUNCTION("""COMPUTED_VALUE"""),"Active")</f>
        <v>Active</v>
      </c>
      <c r="E429" s="23">
        <f>IFERROR(__xludf.DUMMYFUNCTION("""COMPUTED_VALUE"""),44145.0)</f>
        <v>44145</v>
      </c>
      <c r="F429" s="24"/>
      <c r="G429" s="27">
        <f>IFERROR(__xludf.DUMMYFUNCTION("""COMPUTED_VALUE"""),70.86666666666667)</f>
        <v>70.86666667</v>
      </c>
      <c r="H429" s="23">
        <f>IFERROR(__xludf.DUMMYFUNCTION("""COMPUTED_VALUE"""),42325.0)</f>
        <v>42325</v>
      </c>
      <c r="I429" s="27">
        <f>IFERROR(__xludf.DUMMYFUNCTION("""COMPUTED_VALUE"""),4.980555555555555)</f>
        <v>4.980555556</v>
      </c>
      <c r="J429" s="29">
        <f>IFERROR(__xludf.DUMMYFUNCTION("""COMPUTED_VALUE"""),75.0)</f>
        <v>75</v>
      </c>
      <c r="K429" s="29">
        <f>IFERROR(__xludf.DUMMYFUNCTION("""COMPUTED_VALUE"""),14.5)</f>
        <v>14.5</v>
      </c>
      <c r="L429" s="31" t="str">
        <f>IFERROR(__xludf.DUMMYFUNCTION("""COMPUTED_VALUE"""),"Shooter")</f>
        <v>Shooter</v>
      </c>
    </row>
    <row r="430">
      <c r="A430" s="17" t="str">
        <f>IFERROR(__xludf.DUMMYFUNCTION("""COMPUTED_VALUE"""),"Unravel")</f>
        <v>Unravel</v>
      </c>
      <c r="B430" s="20" t="str">
        <f>IFERROR(__xludf.DUMMYFUNCTION("""COMPUTED_VALUE"""),"Xbox / PC")</f>
        <v>Xbox / PC</v>
      </c>
      <c r="C430" s="21"/>
      <c r="D430" s="21" t="str">
        <f>IFERROR(__xludf.DUMMYFUNCTION("""COMPUTED_VALUE"""),"Active")</f>
        <v>Active</v>
      </c>
      <c r="E430" s="23">
        <f>IFERROR(__xludf.DUMMYFUNCTION("""COMPUTED_VALUE"""),44145.0)</f>
        <v>44145</v>
      </c>
      <c r="F430" s="24"/>
      <c r="G430" s="27">
        <f>IFERROR(__xludf.DUMMYFUNCTION("""COMPUTED_VALUE"""),70.86666666666667)</f>
        <v>70.86666667</v>
      </c>
      <c r="H430" s="23">
        <f>IFERROR(__xludf.DUMMYFUNCTION("""COMPUTED_VALUE"""),42409.0)</f>
        <v>42409</v>
      </c>
      <c r="I430" s="27">
        <f>IFERROR(__xludf.DUMMYFUNCTION("""COMPUTED_VALUE"""),4.752777777777778)</f>
        <v>4.752777778</v>
      </c>
      <c r="J430" s="29">
        <f>IFERROR(__xludf.DUMMYFUNCTION("""COMPUTED_VALUE"""),75.0)</f>
        <v>75</v>
      </c>
      <c r="K430" s="29">
        <f>IFERROR(__xludf.DUMMYFUNCTION("""COMPUTED_VALUE"""),6.0)</f>
        <v>6</v>
      </c>
      <c r="L430" s="31" t="str">
        <f>IFERROR(__xludf.DUMMYFUNCTION("""COMPUTED_VALUE"""),"Platformer")</f>
        <v>Platformer</v>
      </c>
    </row>
    <row r="431">
      <c r="A431" s="17" t="str">
        <f>IFERROR(__xludf.DUMMYFUNCTION("""COMPUTED_VALUE"""),"Blood Dungeon")</f>
        <v>Blood Dungeon</v>
      </c>
      <c r="B431" s="20" t="str">
        <f>IFERROR(__xludf.DUMMYFUNCTION("""COMPUTED_VALUE"""),"Xbox / PC")</f>
        <v>Xbox / PC</v>
      </c>
      <c r="C431" s="21" t="str">
        <f>IFERROR(__xludf.DUMMYFUNCTION("""COMPUTED_VALUE"""),"Yes")</f>
        <v>Yes</v>
      </c>
      <c r="D431" s="21" t="str">
        <f>IFERROR(__xludf.DUMMYFUNCTION("""COMPUTED_VALUE"""),"Active")</f>
        <v>Active</v>
      </c>
      <c r="E431" s="23">
        <f>IFERROR(__xludf.DUMMYFUNCTION("""COMPUTED_VALUE"""),46259.0)</f>
        <v>46259</v>
      </c>
      <c r="F431" s="24"/>
      <c r="G431" s="27">
        <f>IFERROR(__xludf.DUMMYFUNCTION("""COMPUTED_VALUE"""),1.3666666666666667)</f>
        <v>1.366666667</v>
      </c>
      <c r="H431" s="23">
        <f>IFERROR(__xludf.DUMMYFUNCTION("""COMPUTED_VALUE"""),46259.0)</f>
        <v>46259</v>
      </c>
      <c r="I431" s="27">
        <f>IFERROR(__xludf.DUMMYFUNCTION("""COMPUTED_VALUE"""),0.0)</f>
        <v>0</v>
      </c>
      <c r="J431" s="29">
        <f>IFERROR(__xludf.DUMMYFUNCTION("""COMPUTED_VALUE"""),74.0)</f>
        <v>74</v>
      </c>
      <c r="K431" s="29">
        <f>IFERROR(__xludf.DUMMYFUNCTION("""COMPUTED_VALUE"""),2.0)</f>
        <v>2</v>
      </c>
      <c r="L431" s="31" t="str">
        <f>IFERROR(__xludf.DUMMYFUNCTION("""COMPUTED_VALUE"""),"Action-Adventure")</f>
        <v>Action-Adventure</v>
      </c>
    </row>
    <row r="432">
      <c r="A432" s="17" t="str">
        <f>IFERROR(__xludf.DUMMYFUNCTION("""COMPUTED_VALUE"""),"The Thaumaturge")</f>
        <v>The Thaumaturge</v>
      </c>
      <c r="B432" s="20" t="str">
        <f>IFERROR(__xludf.DUMMYFUNCTION("""COMPUTED_VALUE"""),"Xbox / PC")</f>
        <v>Xbox / PC</v>
      </c>
      <c r="C432" s="21" t="str">
        <f>IFERROR(__xludf.DUMMYFUNCTION("""COMPUTED_VALUE"""),"Yes")</f>
        <v>Yes</v>
      </c>
      <c r="D432" s="21" t="str">
        <f>IFERROR(__xludf.DUMMYFUNCTION("""COMPUTED_VALUE"""),"Active")</f>
        <v>Active</v>
      </c>
      <c r="E432" s="23">
        <f>IFERROR(__xludf.DUMMYFUNCTION("""COMPUTED_VALUE"""),46126.0)</f>
        <v>46126</v>
      </c>
      <c r="F432" s="24"/>
      <c r="G432" s="27">
        <f>IFERROR(__xludf.DUMMYFUNCTION("""COMPUTED_VALUE"""),5.733333333333333)</f>
        <v>5.733333333</v>
      </c>
      <c r="H432" s="23">
        <f>IFERROR(__xludf.DUMMYFUNCTION("""COMPUTED_VALUE"""),45355.0)</f>
        <v>45355</v>
      </c>
      <c r="I432" s="27">
        <f>IFERROR(__xludf.DUMMYFUNCTION("""COMPUTED_VALUE"""),2.111111111111111)</f>
        <v>2.111111111</v>
      </c>
      <c r="J432" s="29">
        <f>IFERROR(__xludf.DUMMYFUNCTION("""COMPUTED_VALUE"""),74.0)</f>
        <v>74</v>
      </c>
      <c r="K432" s="29">
        <f>IFERROR(__xludf.DUMMYFUNCTION("""COMPUTED_VALUE"""),16.0)</f>
        <v>16</v>
      </c>
      <c r="L432" s="31" t="str">
        <f>IFERROR(__xludf.DUMMYFUNCTION("""COMPUTED_VALUE"""),"RPG")</f>
        <v>RPG</v>
      </c>
    </row>
    <row r="433">
      <c r="A433" s="17" t="str">
        <f>IFERROR(__xludf.DUMMYFUNCTION("""COMPUTED_VALUE"""),"Lost Records: Bloom &amp; Rage")</f>
        <v>Lost Records: Bloom &amp; Rage</v>
      </c>
      <c r="B433" s="20" t="str">
        <f>IFERROR(__xludf.DUMMYFUNCTION("""COMPUTED_VALUE"""),"Xbox / PC")</f>
        <v>Xbox / PC</v>
      </c>
      <c r="C433" s="21" t="str">
        <f>IFERROR(__xludf.DUMMYFUNCTION("""COMPUTED_VALUE"""),"Yes")</f>
        <v>Yes</v>
      </c>
      <c r="D433" s="21" t="str">
        <f>IFERROR(__xludf.DUMMYFUNCTION("""COMPUTED_VALUE"""),"Active")</f>
        <v>Active</v>
      </c>
      <c r="E433" s="23">
        <f>IFERROR(__xludf.DUMMYFUNCTION("""COMPUTED_VALUE"""),45993.0)</f>
        <v>45993</v>
      </c>
      <c r="F433" s="24"/>
      <c r="G433" s="27">
        <f>IFERROR(__xludf.DUMMYFUNCTION("""COMPUTED_VALUE"""),10.133333333333333)</f>
        <v>10.13333333</v>
      </c>
      <c r="H433" s="23">
        <f>IFERROR(__xludf.DUMMYFUNCTION("""COMPUTED_VALUE"""),45706.0)</f>
        <v>45706</v>
      </c>
      <c r="I433" s="27">
        <f>IFERROR(__xludf.DUMMYFUNCTION("""COMPUTED_VALUE"""),0.7888888888888889)</f>
        <v>0.7888888889</v>
      </c>
      <c r="J433" s="29">
        <f>IFERROR(__xludf.DUMMYFUNCTION("""COMPUTED_VALUE"""),74.0)</f>
        <v>74</v>
      </c>
      <c r="K433" s="29">
        <f>IFERROR(__xludf.DUMMYFUNCTION("""COMPUTED_VALUE"""),11.0)</f>
        <v>11</v>
      </c>
      <c r="L433" s="31" t="str">
        <f>IFERROR(__xludf.DUMMYFUNCTION("""COMPUTED_VALUE"""),"Action-Adventure")</f>
        <v>Action-Adventure</v>
      </c>
    </row>
    <row r="434">
      <c r="A434" s="17" t="str">
        <f>IFERROR(__xludf.DUMMYFUNCTION("""COMPUTED_VALUE"""),"Lara Croft and the Temple of Osiris")</f>
        <v>Lara Croft and the Temple of Osiris</v>
      </c>
      <c r="B434" s="20" t="str">
        <f>IFERROR(__xludf.DUMMYFUNCTION("""COMPUTED_VALUE"""),"Xbox / PC")</f>
        <v>Xbox / PC</v>
      </c>
      <c r="C434" s="21" t="str">
        <f>IFERROR(__xludf.DUMMYFUNCTION("""COMPUTED_VALUE"""),"Yes")</f>
        <v>Yes</v>
      </c>
      <c r="D434" s="21" t="str">
        <f>IFERROR(__xludf.DUMMYFUNCTION("""COMPUTED_VALUE"""),"Active")</f>
        <v>Active</v>
      </c>
      <c r="E434" s="23">
        <f>IFERROR(__xludf.DUMMYFUNCTION("""COMPUTED_VALUE"""),45972.0)</f>
        <v>45972</v>
      </c>
      <c r="F434" s="24"/>
      <c r="G434" s="27">
        <f>IFERROR(__xludf.DUMMYFUNCTION("""COMPUTED_VALUE"""),10.833333333333334)</f>
        <v>10.83333333</v>
      </c>
      <c r="H434" s="23">
        <f>IFERROR(__xludf.DUMMYFUNCTION("""COMPUTED_VALUE"""),41982.0)</f>
        <v>41982</v>
      </c>
      <c r="I434" s="27">
        <f>IFERROR(__xludf.DUMMYFUNCTION("""COMPUTED_VALUE"""),10.922222222222222)</f>
        <v>10.92222222</v>
      </c>
      <c r="J434" s="29">
        <f>IFERROR(__xludf.DUMMYFUNCTION("""COMPUTED_VALUE"""),74.0)</f>
        <v>74</v>
      </c>
      <c r="K434" s="29">
        <f>IFERROR(__xludf.DUMMYFUNCTION("""COMPUTED_VALUE"""),5.0)</f>
        <v>5</v>
      </c>
      <c r="L434" s="31" t="str">
        <f>IFERROR(__xludf.DUMMYFUNCTION("""COMPUTED_VALUE"""),"Action-Adventure")</f>
        <v>Action-Adventure</v>
      </c>
    </row>
    <row r="435">
      <c r="A435" s="17" t="str">
        <f>IFERROR(__xludf.DUMMYFUNCTION("""COMPUTED_VALUE"""),"Bounty Star: The Morose Tale of Graveyard Clem")</f>
        <v>Bounty Star: The Morose Tale of Graveyard Clem</v>
      </c>
      <c r="B435" s="20" t="str">
        <f>IFERROR(__xludf.DUMMYFUNCTION("""COMPUTED_VALUE"""),"Xbox / PC")</f>
        <v>Xbox / PC</v>
      </c>
      <c r="C435" s="21" t="str">
        <f>IFERROR(__xludf.DUMMYFUNCTION("""COMPUTED_VALUE"""),"Yes")</f>
        <v>Yes</v>
      </c>
      <c r="D435" s="21" t="str">
        <f>IFERROR(__xludf.DUMMYFUNCTION("""COMPUTED_VALUE"""),"Active")</f>
        <v>Active</v>
      </c>
      <c r="E435" s="23">
        <f>IFERROR(__xludf.DUMMYFUNCTION("""COMPUTED_VALUE"""),45953.0)</f>
        <v>45953</v>
      </c>
      <c r="F435" s="24"/>
      <c r="G435" s="27">
        <f>IFERROR(__xludf.DUMMYFUNCTION("""COMPUTED_VALUE"""),11.433333333333334)</f>
        <v>11.43333333</v>
      </c>
      <c r="H435" s="23">
        <f>IFERROR(__xludf.DUMMYFUNCTION("""COMPUTED_VALUE"""),45953.0)</f>
        <v>45953</v>
      </c>
      <c r="I435" s="27">
        <f>IFERROR(__xludf.DUMMYFUNCTION("""COMPUTED_VALUE"""),0.0)</f>
        <v>0</v>
      </c>
      <c r="J435" s="29">
        <f>IFERROR(__xludf.DUMMYFUNCTION("""COMPUTED_VALUE"""),74.0)</f>
        <v>74</v>
      </c>
      <c r="K435" s="29">
        <f>IFERROR(__xludf.DUMMYFUNCTION("""COMPUTED_VALUE"""),13.0)</f>
        <v>13</v>
      </c>
      <c r="L435" s="31" t="str">
        <f>IFERROR(__xludf.DUMMYFUNCTION("""COMPUTED_VALUE"""),"Shooter")</f>
        <v>Shooter</v>
      </c>
    </row>
    <row r="436">
      <c r="A436" s="17" t="str">
        <f>IFERROR(__xludf.DUMMYFUNCTION("""COMPUTED_VALUE"""),"Monopoly (2024)")</f>
        <v>Monopoly (2024)</v>
      </c>
      <c r="B436" s="20" t="str">
        <f>IFERROR(__xludf.DUMMYFUNCTION("""COMPUTED_VALUE"""),"Xbox / PC")</f>
        <v>Xbox / PC</v>
      </c>
      <c r="C436" s="21" t="str">
        <f>IFERROR(__xludf.DUMMYFUNCTION("""COMPUTED_VALUE"""),"Yes")</f>
        <v>Yes</v>
      </c>
      <c r="D436" s="21" t="str">
        <f>IFERROR(__xludf.DUMMYFUNCTION("""COMPUTED_VALUE"""),"Active")</f>
        <v>Active</v>
      </c>
      <c r="E436" s="23">
        <f>IFERROR(__xludf.DUMMYFUNCTION("""COMPUTED_VALUE"""),45931.0)</f>
        <v>45931</v>
      </c>
      <c r="F436" s="24"/>
      <c r="G436" s="27">
        <f>IFERROR(__xludf.DUMMYFUNCTION("""COMPUTED_VALUE"""),12.166666666666666)</f>
        <v>12.16666667</v>
      </c>
      <c r="H436" s="23">
        <f>IFERROR(__xludf.DUMMYFUNCTION("""COMPUTED_VALUE"""),45561.0)</f>
        <v>45561</v>
      </c>
      <c r="I436" s="27">
        <f>IFERROR(__xludf.DUMMYFUNCTION("""COMPUTED_VALUE"""),1.0138888888888888)</f>
        <v>1.013888889</v>
      </c>
      <c r="J436" s="29">
        <f>IFERROR(__xludf.DUMMYFUNCTION("""COMPUTED_VALUE"""),74.0)</f>
        <v>74</v>
      </c>
      <c r="K436" s="29">
        <f>IFERROR(__xludf.DUMMYFUNCTION("""COMPUTED_VALUE"""),14.0)</f>
        <v>14</v>
      </c>
      <c r="L436" s="31" t="str">
        <f>IFERROR(__xludf.DUMMYFUNCTION("""COMPUTED_VALUE"""),"Board")</f>
        <v>Board</v>
      </c>
    </row>
    <row r="437">
      <c r="A437" s="17" t="str">
        <f>IFERROR(__xludf.DUMMYFUNCTION("""COMPUTED_VALUE"""),"Starlink: Battle for Atlas")</f>
        <v>Starlink: Battle for Atlas</v>
      </c>
      <c r="B437" s="20" t="str">
        <f>IFERROR(__xludf.DUMMYFUNCTION("""COMPUTED_VALUE"""),"Xbox / PC")</f>
        <v>Xbox / PC</v>
      </c>
      <c r="C437" s="21" t="str">
        <f>IFERROR(__xludf.DUMMYFUNCTION("""COMPUTED_VALUE"""),"Yes")</f>
        <v>Yes</v>
      </c>
      <c r="D437" s="21" t="str">
        <f>IFERROR(__xludf.DUMMYFUNCTION("""COMPUTED_VALUE"""),"Active")</f>
        <v>Active</v>
      </c>
      <c r="E437" s="23">
        <f>IFERROR(__xludf.DUMMYFUNCTION("""COMPUTED_VALUE"""),45931.0)</f>
        <v>45931</v>
      </c>
      <c r="F437" s="24"/>
      <c r="G437" s="27">
        <f>IFERROR(__xludf.DUMMYFUNCTION("""COMPUTED_VALUE"""),12.166666666666666)</f>
        <v>12.16666667</v>
      </c>
      <c r="H437" s="23">
        <f>IFERROR(__xludf.DUMMYFUNCTION("""COMPUTED_VALUE"""),43389.0)</f>
        <v>43389</v>
      </c>
      <c r="I437" s="27">
        <f>IFERROR(__xludf.DUMMYFUNCTION("""COMPUTED_VALUE"""),6.958333333333333)</f>
        <v>6.958333333</v>
      </c>
      <c r="J437" s="29">
        <f>IFERROR(__xludf.DUMMYFUNCTION("""COMPUTED_VALUE"""),74.0)</f>
        <v>74</v>
      </c>
      <c r="K437" s="29">
        <f>IFERROR(__xludf.DUMMYFUNCTION("""COMPUTED_VALUE"""),15.0)</f>
        <v>15</v>
      </c>
      <c r="L437" s="31" t="str">
        <f>IFERROR(__xludf.DUMMYFUNCTION("""COMPUTED_VALUE"""),"Simulation")</f>
        <v>Simulation</v>
      </c>
    </row>
    <row r="438">
      <c r="A438" s="17" t="str">
        <f>IFERROR(__xludf.DUMMYFUNCTION("""COMPUTED_VALUE"""),"WUCHANG: Fallen Feathers")</f>
        <v>WUCHANG: Fallen Feathers</v>
      </c>
      <c r="B438" s="20" t="str">
        <f>IFERROR(__xludf.DUMMYFUNCTION("""COMPUTED_VALUE"""),"Xbox / PC")</f>
        <v>Xbox / PC</v>
      </c>
      <c r="C438" s="21" t="str">
        <f>IFERROR(__xludf.DUMMYFUNCTION("""COMPUTED_VALUE"""),"Yes")</f>
        <v>Yes</v>
      </c>
      <c r="D438" s="21" t="str">
        <f>IFERROR(__xludf.DUMMYFUNCTION("""COMPUTED_VALUE"""),"Active")</f>
        <v>Active</v>
      </c>
      <c r="E438" s="23">
        <f>IFERROR(__xludf.DUMMYFUNCTION("""COMPUTED_VALUE"""),45862.0)</f>
        <v>45862</v>
      </c>
      <c r="F438" s="24"/>
      <c r="G438" s="27">
        <f>IFERROR(__xludf.DUMMYFUNCTION("""COMPUTED_VALUE"""),14.399999999999999)</f>
        <v>14.4</v>
      </c>
      <c r="H438" s="23">
        <f>IFERROR(__xludf.DUMMYFUNCTION("""COMPUTED_VALUE"""),45862.0)</f>
        <v>45862</v>
      </c>
      <c r="I438" s="27">
        <f>IFERROR(__xludf.DUMMYFUNCTION("""COMPUTED_VALUE"""),0.0)</f>
        <v>0</v>
      </c>
      <c r="J438" s="29">
        <f>IFERROR(__xludf.DUMMYFUNCTION("""COMPUTED_VALUE"""),74.0)</f>
        <v>74</v>
      </c>
      <c r="K438" s="29">
        <f>IFERROR(__xludf.DUMMYFUNCTION("""COMPUTED_VALUE"""),32.0)</f>
        <v>32</v>
      </c>
      <c r="L438" s="31" t="str">
        <f>IFERROR(__xludf.DUMMYFUNCTION("""COMPUTED_VALUE"""),"RPG")</f>
        <v>RPG</v>
      </c>
    </row>
    <row r="439">
      <c r="A439" s="17" t="str">
        <f>IFERROR(__xludf.DUMMYFUNCTION("""COMPUTED_VALUE"""),"Fathom")</f>
        <v>Fathom</v>
      </c>
      <c r="B439" s="20" t="str">
        <f>IFERROR(__xludf.DUMMYFUNCTION("""COMPUTED_VALUE"""),"Xbox / PC")</f>
        <v>Xbox / PC</v>
      </c>
      <c r="C439" s="21" t="str">
        <f>IFERROR(__xludf.DUMMYFUNCTION("""COMPUTED_VALUE"""),"Yes")</f>
        <v>Yes</v>
      </c>
      <c r="D439" s="21" t="str">
        <f>IFERROR(__xludf.DUMMYFUNCTION("""COMPUTED_VALUE"""),"Active")</f>
        <v>Active</v>
      </c>
      <c r="E439" s="23">
        <f>IFERROR(__xludf.DUMMYFUNCTION("""COMPUTED_VALUE"""),45798.0)</f>
        <v>45798</v>
      </c>
      <c r="F439" s="24"/>
      <c r="G439" s="27">
        <f>IFERROR(__xludf.DUMMYFUNCTION("""COMPUTED_VALUE"""),16.5)</f>
        <v>16.5</v>
      </c>
      <c r="H439" s="23">
        <f>IFERROR(__xludf.DUMMYFUNCTION("""COMPUTED_VALUE"""),30529.0)</f>
        <v>30529</v>
      </c>
      <c r="I439" s="27">
        <f>IFERROR(__xludf.DUMMYFUNCTION("""COMPUTED_VALUE"""),41.80555555555556)</f>
        <v>41.80555556</v>
      </c>
      <c r="J439" s="29">
        <f>IFERROR(__xludf.DUMMYFUNCTION("""COMPUTED_VALUE"""),74.0)</f>
        <v>74</v>
      </c>
      <c r="K439" s="29"/>
      <c r="L439" s="31" t="str">
        <f>IFERROR(__xludf.DUMMYFUNCTION("""COMPUTED_VALUE"""),"Action‑Adventure")</f>
        <v>Action‑Adventure</v>
      </c>
    </row>
    <row r="440">
      <c r="A440" s="17" t="str">
        <f>IFERROR(__xludf.DUMMYFUNCTION("""COMPUTED_VALUE"""),"Tempopo")</f>
        <v>Tempopo</v>
      </c>
      <c r="B440" s="20" t="str">
        <f>IFERROR(__xludf.DUMMYFUNCTION("""COMPUTED_VALUE"""),"Xbox / PC")</f>
        <v>Xbox / PC</v>
      </c>
      <c r="C440" s="21" t="str">
        <f>IFERROR(__xludf.DUMMYFUNCTION("""COMPUTED_VALUE"""),"Yes")</f>
        <v>Yes</v>
      </c>
      <c r="D440" s="21" t="str">
        <f>IFERROR(__xludf.DUMMYFUNCTION("""COMPUTED_VALUE"""),"Active")</f>
        <v>Active</v>
      </c>
      <c r="E440" s="23">
        <f>IFERROR(__xludf.DUMMYFUNCTION("""COMPUTED_VALUE"""),45764.0)</f>
        <v>45764</v>
      </c>
      <c r="F440" s="24"/>
      <c r="G440" s="27">
        <f>IFERROR(__xludf.DUMMYFUNCTION("""COMPUTED_VALUE"""),17.633333333333333)</f>
        <v>17.63333333</v>
      </c>
      <c r="H440" s="23">
        <f>IFERROR(__xludf.DUMMYFUNCTION("""COMPUTED_VALUE"""),45764.0)</f>
        <v>45764</v>
      </c>
      <c r="I440" s="27">
        <f>IFERROR(__xludf.DUMMYFUNCTION("""COMPUTED_VALUE"""),0.0)</f>
        <v>0</v>
      </c>
      <c r="J440" s="29">
        <f>IFERROR(__xludf.DUMMYFUNCTION("""COMPUTED_VALUE"""),74.0)</f>
        <v>74</v>
      </c>
      <c r="K440" s="29">
        <f>IFERROR(__xludf.DUMMYFUNCTION("""COMPUTED_VALUE"""),5.0)</f>
        <v>5</v>
      </c>
      <c r="L440" s="31" t="str">
        <f>IFERROR(__xludf.DUMMYFUNCTION("""COMPUTED_VALUE"""),"Acton Puzzle")</f>
        <v>Acton Puzzle</v>
      </c>
    </row>
    <row r="441">
      <c r="A441" s="17" t="str">
        <f>IFERROR(__xludf.DUMMYFUNCTION("""COMPUTED_VALUE"""),"Star Trucker")</f>
        <v>Star Trucker</v>
      </c>
      <c r="B441" s="20" t="str">
        <f>IFERROR(__xludf.DUMMYFUNCTION("""COMPUTED_VALUE"""),"Xbox / PC")</f>
        <v>Xbox / PC</v>
      </c>
      <c r="C441" s="21" t="str">
        <f>IFERROR(__xludf.DUMMYFUNCTION("""COMPUTED_VALUE"""),"Yes")</f>
        <v>Yes</v>
      </c>
      <c r="D441" s="21" t="str">
        <f>IFERROR(__xludf.DUMMYFUNCTION("""COMPUTED_VALUE"""),"Active")</f>
        <v>Active</v>
      </c>
      <c r="E441" s="23">
        <f>IFERROR(__xludf.DUMMYFUNCTION("""COMPUTED_VALUE"""),45538.0)</f>
        <v>45538</v>
      </c>
      <c r="F441" s="24"/>
      <c r="G441" s="27">
        <f>IFERROR(__xludf.DUMMYFUNCTION("""COMPUTED_VALUE"""),25.1)</f>
        <v>25.1</v>
      </c>
      <c r="H441" s="23">
        <f>IFERROR(__xludf.DUMMYFUNCTION("""COMPUTED_VALUE"""),45538.0)</f>
        <v>45538</v>
      </c>
      <c r="I441" s="27">
        <f>IFERROR(__xludf.DUMMYFUNCTION("""COMPUTED_VALUE"""),0.0)</f>
        <v>0</v>
      </c>
      <c r="J441" s="29">
        <f>IFERROR(__xludf.DUMMYFUNCTION("""COMPUTED_VALUE"""),74.0)</f>
        <v>74</v>
      </c>
      <c r="K441" s="29">
        <f>IFERROR(__xludf.DUMMYFUNCTION("""COMPUTED_VALUE"""),25.0)</f>
        <v>25</v>
      </c>
      <c r="L441" s="31" t="str">
        <f>IFERROR(__xludf.DUMMYFUNCTION("""COMPUTED_VALUE"""),"Simulation")</f>
        <v>Simulation</v>
      </c>
    </row>
    <row r="442">
      <c r="A442" s="17" t="str">
        <f>IFERROR(__xludf.DUMMYFUNCTION("""COMPUTED_VALUE"""),"Need for Speed: Heat - Deluxe Edition")</f>
        <v>Need for Speed: Heat - Deluxe Edition</v>
      </c>
      <c r="B442" s="20" t="str">
        <f>IFERROR(__xludf.DUMMYFUNCTION("""COMPUTED_VALUE"""),"Xbox / PC")</f>
        <v>Xbox / PC</v>
      </c>
      <c r="C442" s="21" t="str">
        <f>IFERROR(__xludf.DUMMYFUNCTION("""COMPUTED_VALUE"""),"Touch Controls")</f>
        <v>Touch Controls</v>
      </c>
      <c r="D442" s="21" t="str">
        <f>IFERROR(__xludf.DUMMYFUNCTION("""COMPUTED_VALUE"""),"Active")</f>
        <v>Active</v>
      </c>
      <c r="E442" s="23">
        <f>IFERROR(__xludf.DUMMYFUNCTION("""COMPUTED_VALUE"""),44145.0)</f>
        <v>44145</v>
      </c>
      <c r="F442" s="24"/>
      <c r="G442" s="27">
        <f>IFERROR(__xludf.DUMMYFUNCTION("""COMPUTED_VALUE"""),70.86666666666667)</f>
        <v>70.86666667</v>
      </c>
      <c r="H442" s="23">
        <f>IFERROR(__xludf.DUMMYFUNCTION("""COMPUTED_VALUE"""),43777.0)</f>
        <v>43777</v>
      </c>
      <c r="I442" s="27">
        <f>IFERROR(__xludf.DUMMYFUNCTION("""COMPUTED_VALUE"""),1.0055555555555555)</f>
        <v>1.005555556</v>
      </c>
      <c r="J442" s="29">
        <f>IFERROR(__xludf.DUMMYFUNCTION("""COMPUTED_VALUE"""),74.0)</f>
        <v>74</v>
      </c>
      <c r="K442" s="29">
        <f>IFERROR(__xludf.DUMMYFUNCTION("""COMPUTED_VALUE"""),12.5)</f>
        <v>12.5</v>
      </c>
      <c r="L442" s="31" t="str">
        <f>IFERROR(__xludf.DUMMYFUNCTION("""COMPUTED_VALUE"""),"Racing")</f>
        <v>Racing</v>
      </c>
    </row>
    <row r="443">
      <c r="A443" s="17" t="str">
        <f>IFERROR(__xludf.DUMMYFUNCTION("""COMPUTED_VALUE"""),"Tom Clancy's Rainbow Six: Siege - Deluxe Edition")</f>
        <v>Tom Clancy's Rainbow Six: Siege - Deluxe Edition</v>
      </c>
      <c r="B443" s="20" t="str">
        <f>IFERROR(__xludf.DUMMYFUNCTION("""COMPUTED_VALUE"""),"Xbox / PC")</f>
        <v>Xbox / PC</v>
      </c>
      <c r="C443" s="21" t="str">
        <f>IFERROR(__xludf.DUMMYFUNCTION("""COMPUTED_VALUE"""),"Yes")</f>
        <v>Yes</v>
      </c>
      <c r="D443" s="21" t="str">
        <f>IFERROR(__xludf.DUMMYFUNCTION("""COMPUTED_VALUE"""),"Active")</f>
        <v>Active</v>
      </c>
      <c r="E443" s="23">
        <f>IFERROR(__xludf.DUMMYFUNCTION("""COMPUTED_VALUE"""),44126.0)</f>
        <v>44126</v>
      </c>
      <c r="F443" s="24"/>
      <c r="G443" s="27">
        <f>IFERROR(__xludf.DUMMYFUNCTION("""COMPUTED_VALUE"""),71.46666666666667)</f>
        <v>71.46666667</v>
      </c>
      <c r="H443" s="23">
        <f>IFERROR(__xludf.DUMMYFUNCTION("""COMPUTED_VALUE"""),42339.0)</f>
        <v>42339</v>
      </c>
      <c r="I443" s="27">
        <f>IFERROR(__xludf.DUMMYFUNCTION("""COMPUTED_VALUE"""),4.891666666666667)</f>
        <v>4.891666667</v>
      </c>
      <c r="J443" s="29">
        <f>IFERROR(__xludf.DUMMYFUNCTION("""COMPUTED_VALUE"""),74.0)</f>
        <v>74</v>
      </c>
      <c r="K443" s="29">
        <f>IFERROR(__xludf.DUMMYFUNCTION("""COMPUTED_VALUE"""),7.5)</f>
        <v>7.5</v>
      </c>
      <c r="L443" s="31" t="str">
        <f>IFERROR(__xludf.DUMMYFUNCTION("""COMPUTED_VALUE"""),"Shooter")</f>
        <v>Shooter</v>
      </c>
    </row>
    <row r="444">
      <c r="A444" s="17" t="str">
        <f>IFERROR(__xludf.DUMMYFUNCTION("""COMPUTED_VALUE"""),"MechWarrior 5: Mercenaries")</f>
        <v>MechWarrior 5: Mercenaries</v>
      </c>
      <c r="B444" s="20" t="str">
        <f>IFERROR(__xludf.DUMMYFUNCTION("""COMPUTED_VALUE"""),"Xbox / PC")</f>
        <v>Xbox / PC</v>
      </c>
      <c r="C444" s="21" t="str">
        <f>IFERROR(__xludf.DUMMYFUNCTION("""COMPUTED_VALUE"""),"Yes")</f>
        <v>Yes</v>
      </c>
      <c r="D444" s="21" t="str">
        <f>IFERROR(__xludf.DUMMYFUNCTION("""COMPUTED_VALUE"""),"Active")</f>
        <v>Active</v>
      </c>
      <c r="E444" s="23">
        <f>IFERROR(__xludf.DUMMYFUNCTION("""COMPUTED_VALUE"""),43958.0)</f>
        <v>43958</v>
      </c>
      <c r="F444" s="24"/>
      <c r="G444" s="27">
        <f>IFERROR(__xludf.DUMMYFUNCTION("""COMPUTED_VALUE"""),76.96666666666667)</f>
        <v>76.96666667</v>
      </c>
      <c r="H444" s="23">
        <f>IFERROR(__xludf.DUMMYFUNCTION("""COMPUTED_VALUE"""),43809.0)</f>
        <v>43809</v>
      </c>
      <c r="I444" s="27">
        <f>IFERROR(__xludf.DUMMYFUNCTION("""COMPUTED_VALUE"""),0.4083333333333333)</f>
        <v>0.4083333333</v>
      </c>
      <c r="J444" s="29">
        <f>IFERROR(__xludf.DUMMYFUNCTION("""COMPUTED_VALUE"""),74.0)</f>
        <v>74</v>
      </c>
      <c r="K444" s="29">
        <f>IFERROR(__xludf.DUMMYFUNCTION("""COMPUTED_VALUE"""),46.5)</f>
        <v>46.5</v>
      </c>
      <c r="L444" s="31" t="str">
        <f>IFERROR(__xludf.DUMMYFUNCTION("""COMPUTED_VALUE"""),"Shooter")</f>
        <v>Shooter</v>
      </c>
    </row>
    <row r="445">
      <c r="A445" s="17" t="str">
        <f>IFERROR(__xludf.DUMMYFUNCTION("""COMPUTED_VALUE"""),"Phoenix Point")</f>
        <v>Phoenix Point</v>
      </c>
      <c r="B445" s="20" t="str">
        <f>IFERROR(__xludf.DUMMYFUNCTION("""COMPUTED_VALUE"""),"Xbox / PC")</f>
        <v>Xbox / PC</v>
      </c>
      <c r="C445" s="21" t="str">
        <f>IFERROR(__xludf.DUMMYFUNCTION("""COMPUTED_VALUE"""),"Touch Controls")</f>
        <v>Touch Controls</v>
      </c>
      <c r="D445" s="21" t="str">
        <f>IFERROR(__xludf.DUMMYFUNCTION("""COMPUTED_VALUE"""),"Active")</f>
        <v>Active</v>
      </c>
      <c r="E445" s="23">
        <f>IFERROR(__xludf.DUMMYFUNCTION("""COMPUTED_VALUE"""),43819.0)</f>
        <v>43819</v>
      </c>
      <c r="F445" s="24"/>
      <c r="G445" s="27">
        <f>IFERROR(__xludf.DUMMYFUNCTION("""COMPUTED_VALUE"""),81.53333333333333)</f>
        <v>81.53333333</v>
      </c>
      <c r="H445" s="23">
        <f>IFERROR(__xludf.DUMMYFUNCTION("""COMPUTED_VALUE"""),43802.0)</f>
        <v>43802</v>
      </c>
      <c r="I445" s="27">
        <f>IFERROR(__xludf.DUMMYFUNCTION("""COMPUTED_VALUE"""),0.04722222222222222)</f>
        <v>0.04722222222</v>
      </c>
      <c r="J445" s="29">
        <f>IFERROR(__xludf.DUMMYFUNCTION("""COMPUTED_VALUE"""),74.0)</f>
        <v>74</v>
      </c>
      <c r="K445" s="29">
        <f>IFERROR(__xludf.DUMMYFUNCTION("""COMPUTED_VALUE"""),32.0)</f>
        <v>32</v>
      </c>
      <c r="L445" s="31" t="str">
        <f>IFERROR(__xludf.DUMMYFUNCTION("""COMPUTED_VALUE"""),"Strategy")</f>
        <v>Strategy</v>
      </c>
    </row>
    <row r="446">
      <c r="A446" s="17" t="str">
        <f>IFERROR(__xludf.DUMMYFUNCTION("""COMPUTED_VALUE"""),"The Evil Within")</f>
        <v>The Evil Within</v>
      </c>
      <c r="B446" s="20" t="str">
        <f>IFERROR(__xludf.DUMMYFUNCTION("""COMPUTED_VALUE"""),"Xbox / PC")</f>
        <v>Xbox / PC</v>
      </c>
      <c r="C446" s="21" t="str">
        <f>IFERROR(__xludf.DUMMYFUNCTION("""COMPUTED_VALUE"""),"Yes")</f>
        <v>Yes</v>
      </c>
      <c r="D446" s="21" t="str">
        <f>IFERROR(__xludf.DUMMYFUNCTION("""COMPUTED_VALUE"""),"Active")</f>
        <v>Active</v>
      </c>
      <c r="E446" s="23">
        <f>IFERROR(__xludf.DUMMYFUNCTION("""COMPUTED_VALUE"""),44267.0)</f>
        <v>44267</v>
      </c>
      <c r="F446" s="24"/>
      <c r="G446" s="27">
        <f>IFERROR(__xludf.DUMMYFUNCTION("""COMPUTED_VALUE"""),66.8)</f>
        <v>66.8</v>
      </c>
      <c r="H446" s="23">
        <f>IFERROR(__xludf.DUMMYFUNCTION("""COMPUTED_VALUE"""),41926.0)</f>
        <v>41926</v>
      </c>
      <c r="I446" s="27">
        <f>IFERROR(__xludf.DUMMYFUNCTION("""COMPUTED_VALUE"""),6.411111111111111)</f>
        <v>6.411111111</v>
      </c>
      <c r="J446" s="29">
        <f>IFERROR(__xludf.DUMMYFUNCTION("""COMPUTED_VALUE"""),73.5)</f>
        <v>73.5</v>
      </c>
      <c r="K446" s="29">
        <f>IFERROR(__xludf.DUMMYFUNCTION("""COMPUTED_VALUE"""),16.0)</f>
        <v>16</v>
      </c>
      <c r="L446" s="31" t="str">
        <f>IFERROR(__xludf.DUMMYFUNCTION("""COMPUTED_VALUE"""),"Shooter")</f>
        <v>Shooter</v>
      </c>
    </row>
    <row r="447">
      <c r="A447" s="17" t="str">
        <f>IFERROR(__xludf.DUMMYFUNCTION("""COMPUTED_VALUE"""),"Fogpiercer")</f>
        <v>Fogpiercer</v>
      </c>
      <c r="B447" s="20" t="str">
        <f>IFERROR(__xludf.DUMMYFUNCTION("""COMPUTED_VALUE"""),"PC")</f>
        <v>PC</v>
      </c>
      <c r="C447" s="21"/>
      <c r="D447" s="21" t="str">
        <f>IFERROR(__xludf.DUMMYFUNCTION("""COMPUTED_VALUE"""),"Active")</f>
        <v>Active</v>
      </c>
      <c r="E447" s="23">
        <f>IFERROR(__xludf.DUMMYFUNCTION("""COMPUTED_VALUE"""),46220.0)</f>
        <v>46220</v>
      </c>
      <c r="F447" s="24"/>
      <c r="G447" s="27">
        <f>IFERROR(__xludf.DUMMYFUNCTION("""COMPUTED_VALUE"""),2.6333333333333333)</f>
        <v>2.633333333</v>
      </c>
      <c r="H447" s="23">
        <f>IFERROR(__xludf.DUMMYFUNCTION("""COMPUTED_VALUE"""),46220.0)</f>
        <v>46220</v>
      </c>
      <c r="I447" s="27">
        <f>IFERROR(__xludf.DUMMYFUNCTION("""COMPUTED_VALUE"""),0.0)</f>
        <v>0</v>
      </c>
      <c r="J447" s="29">
        <f>IFERROR(__xludf.DUMMYFUNCTION("""COMPUTED_VALUE"""),73.0)</f>
        <v>73</v>
      </c>
      <c r="K447" s="29">
        <f>IFERROR(__xludf.DUMMYFUNCTION("""COMPUTED_VALUE"""),5.0)</f>
        <v>5</v>
      </c>
      <c r="L447" s="31" t="str">
        <f>IFERROR(__xludf.DUMMYFUNCTION("""COMPUTED_VALUE"""),"Strategy")</f>
        <v>Strategy</v>
      </c>
    </row>
    <row r="448">
      <c r="A448" s="17" t="str">
        <f>IFERROR(__xludf.DUMMYFUNCTION("""COMPUTED_VALUE"""),"Call of Duty: Vanguard")</f>
        <v>Call of Duty: Vanguard</v>
      </c>
      <c r="B448" s="20" t="str">
        <f>IFERROR(__xludf.DUMMYFUNCTION("""COMPUTED_VALUE"""),"Xbox / PC")</f>
        <v>Xbox / PC</v>
      </c>
      <c r="C448" s="21" t="str">
        <f>IFERROR(__xludf.DUMMYFUNCTION("""COMPUTED_VALUE"""),"Yes")</f>
        <v>Yes</v>
      </c>
      <c r="D448" s="21" t="str">
        <f>IFERROR(__xludf.DUMMYFUNCTION("""COMPUTED_VALUE"""),"Active")</f>
        <v>Active</v>
      </c>
      <c r="E448" s="23">
        <f>IFERROR(__xludf.DUMMYFUNCTION("""COMPUTED_VALUE"""),46190.0)</f>
        <v>46190</v>
      </c>
      <c r="F448" s="24"/>
      <c r="G448" s="27">
        <f>IFERROR(__xludf.DUMMYFUNCTION("""COMPUTED_VALUE"""),3.633333333333333)</f>
        <v>3.633333333</v>
      </c>
      <c r="H448" s="23">
        <f>IFERROR(__xludf.DUMMYFUNCTION("""COMPUTED_VALUE"""),44504.0)</f>
        <v>44504</v>
      </c>
      <c r="I448" s="27">
        <f>IFERROR(__xludf.DUMMYFUNCTION("""COMPUTED_VALUE"""),4.6194444444444445)</f>
        <v>4.619444444</v>
      </c>
      <c r="J448" s="29">
        <f>IFERROR(__xludf.DUMMYFUNCTION("""COMPUTED_VALUE"""),73.0)</f>
        <v>73</v>
      </c>
      <c r="K448" s="29">
        <f>IFERROR(__xludf.DUMMYFUNCTION("""COMPUTED_VALUE"""),6.0)</f>
        <v>6</v>
      </c>
      <c r="L448" s="31" t="str">
        <f>IFERROR(__xludf.DUMMYFUNCTION("""COMPUTED_VALUE"""),"Shooter")</f>
        <v>Shooter</v>
      </c>
    </row>
    <row r="449">
      <c r="A449" s="17" t="str">
        <f>IFERROR(__xludf.DUMMYFUNCTION("""COMPUTED_VALUE"""),"Beastro")</f>
        <v>Beastro</v>
      </c>
      <c r="B449" s="20" t="str">
        <f>IFERROR(__xludf.DUMMYFUNCTION("""COMPUTED_VALUE"""),"Xbox / PC")</f>
        <v>Xbox / PC</v>
      </c>
      <c r="C449" s="21" t="str">
        <f>IFERROR(__xludf.DUMMYFUNCTION("""COMPUTED_VALUE"""),"Yes")</f>
        <v>Yes</v>
      </c>
      <c r="D449" s="21" t="str">
        <f>IFERROR(__xludf.DUMMYFUNCTION("""COMPUTED_VALUE"""),"Active")</f>
        <v>Active</v>
      </c>
      <c r="E449" s="23">
        <f>IFERROR(__xludf.DUMMYFUNCTION("""COMPUTED_VALUE"""),46184.0)</f>
        <v>46184</v>
      </c>
      <c r="F449" s="24"/>
      <c r="G449" s="27">
        <f>IFERROR(__xludf.DUMMYFUNCTION("""COMPUTED_VALUE"""),3.833333333333333)</f>
        <v>3.833333333</v>
      </c>
      <c r="H449" s="23">
        <f>IFERROR(__xludf.DUMMYFUNCTION("""COMPUTED_VALUE"""),46163.0)</f>
        <v>46163</v>
      </c>
      <c r="I449" s="27">
        <f>IFERROR(__xludf.DUMMYFUNCTION("""COMPUTED_VALUE"""),0.05555555555555555)</f>
        <v>0.05555555556</v>
      </c>
      <c r="J449" s="29">
        <f>IFERROR(__xludf.DUMMYFUNCTION("""COMPUTED_VALUE"""),73.0)</f>
        <v>73</v>
      </c>
      <c r="K449" s="29">
        <f>IFERROR(__xludf.DUMMYFUNCTION("""COMPUTED_VALUE"""),9.0)</f>
        <v>9</v>
      </c>
      <c r="L449" s="31" t="str">
        <f>IFERROR(__xludf.DUMMYFUNCTION("""COMPUTED_VALUE"""),"Action-Adventure")</f>
        <v>Action-Adventure</v>
      </c>
    </row>
    <row r="450">
      <c r="A450" s="17" t="str">
        <f>IFERROR(__xludf.DUMMYFUNCTION("""COMPUTED_VALUE"""),"Undisputed")</f>
        <v>Undisputed</v>
      </c>
      <c r="B450" s="20" t="str">
        <f>IFERROR(__xludf.DUMMYFUNCTION("""COMPUTED_VALUE"""),"Xbox / PC")</f>
        <v>Xbox / PC</v>
      </c>
      <c r="C450" s="21" t="str">
        <f>IFERROR(__xludf.DUMMYFUNCTION("""COMPUTED_VALUE"""),"Yes")</f>
        <v>Yes</v>
      </c>
      <c r="D450" s="21" t="str">
        <f>IFERROR(__xludf.DUMMYFUNCTION("""COMPUTED_VALUE"""),"Active")</f>
        <v>Active</v>
      </c>
      <c r="E450" s="23">
        <f>IFERROR(__xludf.DUMMYFUNCTION("""COMPUTED_VALUE"""),46181.0)</f>
        <v>46181</v>
      </c>
      <c r="F450" s="24"/>
      <c r="G450" s="27">
        <f>IFERROR(__xludf.DUMMYFUNCTION("""COMPUTED_VALUE"""),3.9333333333333336)</f>
        <v>3.933333333</v>
      </c>
      <c r="H450" s="23">
        <f>IFERROR(__xludf.DUMMYFUNCTION("""COMPUTED_VALUE"""),45576.0)</f>
        <v>45576</v>
      </c>
      <c r="I450" s="27">
        <f>IFERROR(__xludf.DUMMYFUNCTION("""COMPUTED_VALUE"""),1.6583333333333334)</f>
        <v>1.658333333</v>
      </c>
      <c r="J450" s="29">
        <f>IFERROR(__xludf.DUMMYFUNCTION("""COMPUTED_VALUE"""),73.0)</f>
        <v>73</v>
      </c>
      <c r="K450" s="29">
        <f>IFERROR(__xludf.DUMMYFUNCTION("""COMPUTED_VALUE"""),15.0)</f>
        <v>15</v>
      </c>
      <c r="L450" s="31" t="str">
        <f>IFERROR(__xludf.DUMMYFUNCTION("""COMPUTED_VALUE"""),"Sports")</f>
        <v>Sports</v>
      </c>
    </row>
    <row r="451">
      <c r="A451" s="17" t="str">
        <f>IFERROR(__xludf.DUMMYFUNCTION("""COMPUTED_VALUE"""),"Easy Delivery Co.")</f>
        <v>Easy Delivery Co.</v>
      </c>
      <c r="B451" s="20" t="str">
        <f>IFERROR(__xludf.DUMMYFUNCTION("""COMPUTED_VALUE"""),"Xbox / PC")</f>
        <v>Xbox / PC</v>
      </c>
      <c r="C451" s="21" t="str">
        <f>IFERROR(__xludf.DUMMYFUNCTION("""COMPUTED_VALUE"""),"Yes")</f>
        <v>Yes</v>
      </c>
      <c r="D451" s="21" t="str">
        <f>IFERROR(__xludf.DUMMYFUNCTION("""COMPUTED_VALUE"""),"Active")</f>
        <v>Active</v>
      </c>
      <c r="E451" s="23">
        <f>IFERROR(__xludf.DUMMYFUNCTION("""COMPUTED_VALUE"""),46107.0)</f>
        <v>46107</v>
      </c>
      <c r="F451" s="24"/>
      <c r="G451" s="27">
        <f>IFERROR(__xludf.DUMMYFUNCTION("""COMPUTED_VALUE"""),6.333333333333334)</f>
        <v>6.333333333</v>
      </c>
      <c r="H451" s="23">
        <f>IFERROR(__xludf.DUMMYFUNCTION("""COMPUTED_VALUE"""),45918.0)</f>
        <v>45918</v>
      </c>
      <c r="I451" s="27">
        <f>IFERROR(__xludf.DUMMYFUNCTION("""COMPUTED_VALUE"""),0.5222222222222223)</f>
        <v>0.5222222222</v>
      </c>
      <c r="J451" s="29">
        <f>IFERROR(__xludf.DUMMYFUNCTION("""COMPUTED_VALUE"""),73.0)</f>
        <v>73</v>
      </c>
      <c r="K451" s="29">
        <f>IFERROR(__xludf.DUMMYFUNCTION("""COMPUTED_VALUE"""),5.0)</f>
        <v>5</v>
      </c>
      <c r="L451" s="31" t="str">
        <f>IFERROR(__xludf.DUMMYFUNCTION("""COMPUTED_VALUE"""),"Action-Adventure")</f>
        <v>Action-Adventure</v>
      </c>
    </row>
    <row r="452">
      <c r="A452" s="17" t="str">
        <f>IFERROR(__xludf.DUMMYFUNCTION("""COMPUTED_VALUE"""),"Seaquest")</f>
        <v>Seaquest</v>
      </c>
      <c r="B452" s="20" t="str">
        <f>IFERROR(__xludf.DUMMYFUNCTION("""COMPUTED_VALUE"""),"Xbox / PC")</f>
        <v>Xbox / PC</v>
      </c>
      <c r="C452" s="21" t="str">
        <f>IFERROR(__xludf.DUMMYFUNCTION("""COMPUTED_VALUE"""),"Yes")</f>
        <v>Yes</v>
      </c>
      <c r="D452" s="21" t="str">
        <f>IFERROR(__xludf.DUMMYFUNCTION("""COMPUTED_VALUE"""),"Active")</f>
        <v>Active</v>
      </c>
      <c r="E452" s="23">
        <f>IFERROR(__xludf.DUMMYFUNCTION("""COMPUTED_VALUE"""),46072.0)</f>
        <v>46072</v>
      </c>
      <c r="F452" s="24"/>
      <c r="G452" s="27">
        <f>IFERROR(__xludf.DUMMYFUNCTION("""COMPUTED_VALUE"""),7.566666666666666)</f>
        <v>7.566666667</v>
      </c>
      <c r="H452" s="23">
        <f>IFERROR(__xludf.DUMMYFUNCTION("""COMPUTED_VALUE"""),30348.0)</f>
        <v>30348</v>
      </c>
      <c r="I452" s="27">
        <f>IFERROR(__xludf.DUMMYFUNCTION("""COMPUTED_VALUE"""),43.05)</f>
        <v>43.05</v>
      </c>
      <c r="J452" s="29">
        <f>IFERROR(__xludf.DUMMYFUNCTION("""COMPUTED_VALUE"""),73.0)</f>
        <v>73</v>
      </c>
      <c r="K452" s="29"/>
      <c r="L452" s="31" t="str">
        <f>IFERROR(__xludf.DUMMYFUNCTION("""COMPUTED_VALUE"""),"Strategy")</f>
        <v>Strategy</v>
      </c>
    </row>
    <row r="453">
      <c r="A453" s="17" t="str">
        <f>IFERROR(__xludf.DUMMYFUNCTION("""COMPUTED_VALUE"""),"High on Life 2")</f>
        <v>High on Life 2</v>
      </c>
      <c r="B453" s="20" t="str">
        <f>IFERROR(__xludf.DUMMYFUNCTION("""COMPUTED_VALUE"""),"Xbox / PC")</f>
        <v>Xbox / PC</v>
      </c>
      <c r="C453" s="21" t="str">
        <f>IFERROR(__xludf.DUMMYFUNCTION("""COMPUTED_VALUE"""),"Yes")</f>
        <v>Yes</v>
      </c>
      <c r="D453" s="21" t="str">
        <f>IFERROR(__xludf.DUMMYFUNCTION("""COMPUTED_VALUE"""),"Active")</f>
        <v>Active</v>
      </c>
      <c r="E453" s="23">
        <f>IFERROR(__xludf.DUMMYFUNCTION("""COMPUTED_VALUE"""),46066.0)</f>
        <v>46066</v>
      </c>
      <c r="F453" s="24"/>
      <c r="G453" s="27">
        <f>IFERROR(__xludf.DUMMYFUNCTION("""COMPUTED_VALUE"""),7.7666666666666675)</f>
        <v>7.766666667</v>
      </c>
      <c r="H453" s="23">
        <f>IFERROR(__xludf.DUMMYFUNCTION("""COMPUTED_VALUE"""),46066.0)</f>
        <v>46066</v>
      </c>
      <c r="I453" s="27">
        <f>IFERROR(__xludf.DUMMYFUNCTION("""COMPUTED_VALUE"""),0.0)</f>
        <v>0</v>
      </c>
      <c r="J453" s="29">
        <f>IFERROR(__xludf.DUMMYFUNCTION("""COMPUTED_VALUE"""),73.0)</f>
        <v>73</v>
      </c>
      <c r="K453" s="29">
        <f>IFERROR(__xludf.DUMMYFUNCTION("""COMPUTED_VALUE"""),12.0)</f>
        <v>12</v>
      </c>
      <c r="L453" s="31" t="str">
        <f>IFERROR(__xludf.DUMMYFUNCTION("""COMPUTED_VALUE"""),"Shooter")</f>
        <v>Shooter</v>
      </c>
    </row>
    <row r="454">
      <c r="A454" s="17" t="str">
        <f>IFERROR(__xludf.DUMMYFUNCTION("""COMPUTED_VALUE"""),"To a T")</f>
        <v>To a T</v>
      </c>
      <c r="B454" s="20" t="str">
        <f>IFERROR(__xludf.DUMMYFUNCTION("""COMPUTED_VALUE"""),"Xbox / PC")</f>
        <v>Xbox / PC</v>
      </c>
      <c r="C454" s="21" t="str">
        <f>IFERROR(__xludf.DUMMYFUNCTION("""COMPUTED_VALUE"""),"Yes")</f>
        <v>Yes</v>
      </c>
      <c r="D454" s="21" t="str">
        <f>IFERROR(__xludf.DUMMYFUNCTION("""COMPUTED_VALUE"""),"Active")</f>
        <v>Active</v>
      </c>
      <c r="E454" s="23">
        <f>IFERROR(__xludf.DUMMYFUNCTION("""COMPUTED_VALUE"""),45805.0)</f>
        <v>45805</v>
      </c>
      <c r="F454" s="24"/>
      <c r="G454" s="27">
        <f>IFERROR(__xludf.DUMMYFUNCTION("""COMPUTED_VALUE"""),16.266666666666666)</f>
        <v>16.26666667</v>
      </c>
      <c r="H454" s="23">
        <f>IFERROR(__xludf.DUMMYFUNCTION("""COMPUTED_VALUE"""),45805.0)</f>
        <v>45805</v>
      </c>
      <c r="I454" s="27">
        <f>IFERROR(__xludf.DUMMYFUNCTION("""COMPUTED_VALUE"""),0.0)</f>
        <v>0</v>
      </c>
      <c r="J454" s="29">
        <f>IFERROR(__xludf.DUMMYFUNCTION("""COMPUTED_VALUE"""),73.0)</f>
        <v>73</v>
      </c>
      <c r="K454" s="29">
        <f>IFERROR(__xludf.DUMMYFUNCTION("""COMPUTED_VALUE"""),6.0)</f>
        <v>6</v>
      </c>
      <c r="L454" s="31" t="str">
        <f>IFERROR(__xludf.DUMMYFUNCTION("""COMPUTED_VALUE"""),"Action-Adventure")</f>
        <v>Action-Adventure</v>
      </c>
    </row>
    <row r="455">
      <c r="A455" s="17" t="str">
        <f>IFERROR(__xludf.DUMMYFUNCTION("""COMPUTED_VALUE"""),"MechWarrior")</f>
        <v>MechWarrior</v>
      </c>
      <c r="B455" s="20" t="str">
        <f>IFERROR(__xludf.DUMMYFUNCTION("""COMPUTED_VALUE"""),"Xbox / PC")</f>
        <v>Xbox / PC</v>
      </c>
      <c r="C455" s="21" t="str">
        <f>IFERROR(__xludf.DUMMYFUNCTION("""COMPUTED_VALUE"""),"Yes")</f>
        <v>Yes</v>
      </c>
      <c r="D455" s="21" t="str">
        <f>IFERROR(__xludf.DUMMYFUNCTION("""COMPUTED_VALUE"""),"Active")</f>
        <v>Active</v>
      </c>
      <c r="E455" s="23">
        <f>IFERROR(__xludf.DUMMYFUNCTION("""COMPUTED_VALUE"""),45798.0)</f>
        <v>45798</v>
      </c>
      <c r="F455" s="24"/>
      <c r="G455" s="27">
        <f>IFERROR(__xludf.DUMMYFUNCTION("""COMPUTED_VALUE"""),16.5)</f>
        <v>16.5</v>
      </c>
      <c r="H455" s="23">
        <f>IFERROR(__xludf.DUMMYFUNCTION("""COMPUTED_VALUE"""),32843.0)</f>
        <v>32843</v>
      </c>
      <c r="I455" s="27">
        <f>IFERROR(__xludf.DUMMYFUNCTION("""COMPUTED_VALUE"""),35.47222222222222)</f>
        <v>35.47222222</v>
      </c>
      <c r="J455" s="29">
        <f>IFERROR(__xludf.DUMMYFUNCTION("""COMPUTED_VALUE"""),73.0)</f>
        <v>73</v>
      </c>
      <c r="K455" s="29">
        <f>IFERROR(__xludf.DUMMYFUNCTION("""COMPUTED_VALUE"""),12.0)</f>
        <v>12</v>
      </c>
      <c r="L455" s="31" t="str">
        <f>IFERROR(__xludf.DUMMYFUNCTION("""COMPUTED_VALUE"""),"Shooter")</f>
        <v>Shooter</v>
      </c>
    </row>
    <row r="456">
      <c r="A456" s="17" t="str">
        <f>IFERROR(__xludf.DUMMYFUNCTION("""COMPUTED_VALUE"""),"Megamania")</f>
        <v>Megamania</v>
      </c>
      <c r="B456" s="20" t="str">
        <f>IFERROR(__xludf.DUMMYFUNCTION("""COMPUTED_VALUE"""),"Xbox / PC")</f>
        <v>Xbox / PC</v>
      </c>
      <c r="C456" s="21" t="str">
        <f>IFERROR(__xludf.DUMMYFUNCTION("""COMPUTED_VALUE"""),"Yes")</f>
        <v>Yes</v>
      </c>
      <c r="D456" s="21" t="str">
        <f>IFERROR(__xludf.DUMMYFUNCTION("""COMPUTED_VALUE"""),"Active")</f>
        <v>Active</v>
      </c>
      <c r="E456" s="23">
        <f>IFERROR(__xludf.DUMMYFUNCTION("""COMPUTED_VALUE"""),45798.0)</f>
        <v>45798</v>
      </c>
      <c r="F456" s="24"/>
      <c r="G456" s="27">
        <f>IFERROR(__xludf.DUMMYFUNCTION("""COMPUTED_VALUE"""),16.5)</f>
        <v>16.5</v>
      </c>
      <c r="H456" s="23">
        <f>IFERROR(__xludf.DUMMYFUNCTION("""COMPUTED_VALUE"""),30050.0)</f>
        <v>30050</v>
      </c>
      <c r="I456" s="27">
        <f>IFERROR(__xludf.DUMMYFUNCTION("""COMPUTED_VALUE"""),43.11666666666667)</f>
        <v>43.11666667</v>
      </c>
      <c r="J456" s="29">
        <f>IFERROR(__xludf.DUMMYFUNCTION("""COMPUTED_VALUE"""),73.0)</f>
        <v>73</v>
      </c>
      <c r="K456" s="29"/>
      <c r="L456" s="31" t="str">
        <f>IFERROR(__xludf.DUMMYFUNCTION("""COMPUTED_VALUE"""),"Shooter")</f>
        <v>Shooter</v>
      </c>
    </row>
    <row r="457">
      <c r="A457" s="17" t="str">
        <f>IFERROR(__xludf.DUMMYFUNCTION("""COMPUTED_VALUE"""),"River Raid II")</f>
        <v>River Raid II</v>
      </c>
      <c r="B457" s="20" t="str">
        <f>IFERROR(__xludf.DUMMYFUNCTION("""COMPUTED_VALUE"""),"Xbox / PC")</f>
        <v>Xbox / PC</v>
      </c>
      <c r="C457" s="21" t="str">
        <f>IFERROR(__xludf.DUMMYFUNCTION("""COMPUTED_VALUE"""),"Yes")</f>
        <v>Yes</v>
      </c>
      <c r="D457" s="21" t="str">
        <f>IFERROR(__xludf.DUMMYFUNCTION("""COMPUTED_VALUE"""),"Active")</f>
        <v>Active</v>
      </c>
      <c r="E457" s="23">
        <f>IFERROR(__xludf.DUMMYFUNCTION("""COMPUTED_VALUE"""),45798.0)</f>
        <v>45798</v>
      </c>
      <c r="F457" s="24"/>
      <c r="G457" s="27">
        <f>IFERROR(__xludf.DUMMYFUNCTION("""COMPUTED_VALUE"""),16.5)</f>
        <v>16.5</v>
      </c>
      <c r="H457" s="23">
        <f>IFERROR(__xludf.DUMMYFUNCTION("""COMPUTED_VALUE"""),32352.0)</f>
        <v>32352</v>
      </c>
      <c r="I457" s="27">
        <f>IFERROR(__xludf.DUMMYFUNCTION("""COMPUTED_VALUE"""),36.81388888888889)</f>
        <v>36.81388889</v>
      </c>
      <c r="J457" s="29">
        <f>IFERROR(__xludf.DUMMYFUNCTION("""COMPUTED_VALUE"""),73.0)</f>
        <v>73</v>
      </c>
      <c r="K457" s="29"/>
      <c r="L457" s="31" t="str">
        <f>IFERROR(__xludf.DUMMYFUNCTION("""COMPUTED_VALUE"""),"Shooter")</f>
        <v>Shooter</v>
      </c>
    </row>
    <row r="458">
      <c r="A458" s="17" t="str">
        <f>IFERROR(__xludf.DUMMYFUNCTION("""COMPUTED_VALUE"""),"Robot Tank")</f>
        <v>Robot Tank</v>
      </c>
      <c r="B458" s="20" t="str">
        <f>IFERROR(__xludf.DUMMYFUNCTION("""COMPUTED_VALUE"""),"Xbox / PC")</f>
        <v>Xbox / PC</v>
      </c>
      <c r="C458" s="21" t="str">
        <f>IFERROR(__xludf.DUMMYFUNCTION("""COMPUTED_VALUE"""),"Yes")</f>
        <v>Yes</v>
      </c>
      <c r="D458" s="21" t="str">
        <f>IFERROR(__xludf.DUMMYFUNCTION("""COMPUTED_VALUE"""),"Active")</f>
        <v>Active</v>
      </c>
      <c r="E458" s="23">
        <f>IFERROR(__xludf.DUMMYFUNCTION("""COMPUTED_VALUE"""),45798.0)</f>
        <v>45798</v>
      </c>
      <c r="F458" s="24"/>
      <c r="G458" s="27">
        <f>IFERROR(__xludf.DUMMYFUNCTION("""COMPUTED_VALUE"""),16.5)</f>
        <v>16.5</v>
      </c>
      <c r="H458" s="23">
        <f>IFERROR(__xludf.DUMMYFUNCTION("""COMPUTED_VALUE"""),30399.0)</f>
        <v>30399</v>
      </c>
      <c r="I458" s="27">
        <f>IFERROR(__xludf.DUMMYFUNCTION("""COMPUTED_VALUE"""),42.15833333333333)</f>
        <v>42.15833333</v>
      </c>
      <c r="J458" s="29">
        <f>IFERROR(__xludf.DUMMYFUNCTION("""COMPUTED_VALUE"""),73.0)</f>
        <v>73</v>
      </c>
      <c r="K458" s="29"/>
      <c r="L458" s="31" t="str">
        <f>IFERROR(__xludf.DUMMYFUNCTION("""COMPUTED_VALUE"""),"Shooter")</f>
        <v>Shooter</v>
      </c>
    </row>
    <row r="459">
      <c r="A459" s="17" t="str">
        <f>IFERROR(__xludf.DUMMYFUNCTION("""COMPUTED_VALUE"""),"The Dagger of Amon Ra")</f>
        <v>The Dagger of Amon Ra</v>
      </c>
      <c r="B459" s="20" t="str">
        <f>IFERROR(__xludf.DUMMYFUNCTION("""COMPUTED_VALUE"""),"Xbox / PC")</f>
        <v>Xbox / PC</v>
      </c>
      <c r="C459" s="21" t="str">
        <f>IFERROR(__xludf.DUMMYFUNCTION("""COMPUTED_VALUE"""),"Yes")</f>
        <v>Yes</v>
      </c>
      <c r="D459" s="21" t="str">
        <f>IFERROR(__xludf.DUMMYFUNCTION("""COMPUTED_VALUE"""),"Active")</f>
        <v>Active</v>
      </c>
      <c r="E459" s="23">
        <f>IFERROR(__xludf.DUMMYFUNCTION("""COMPUTED_VALUE"""),45798.0)</f>
        <v>45798</v>
      </c>
      <c r="F459" s="24"/>
      <c r="G459" s="27">
        <f>IFERROR(__xludf.DUMMYFUNCTION("""COMPUTED_VALUE"""),16.5)</f>
        <v>16.5</v>
      </c>
      <c r="H459" s="23">
        <f>IFERROR(__xludf.DUMMYFUNCTION("""COMPUTED_VALUE"""),33604.0)</f>
        <v>33604</v>
      </c>
      <c r="I459" s="27">
        <f>IFERROR(__xludf.DUMMYFUNCTION("""COMPUTED_VALUE"""),33.388888888888886)</f>
        <v>33.38888889</v>
      </c>
      <c r="J459" s="29">
        <f>IFERROR(__xludf.DUMMYFUNCTION("""COMPUTED_VALUE"""),73.0)</f>
        <v>73</v>
      </c>
      <c r="K459" s="29">
        <f>IFERROR(__xludf.DUMMYFUNCTION("""COMPUTED_VALUE"""),4.0)</f>
        <v>4</v>
      </c>
      <c r="L459" s="31" t="str">
        <f>IFERROR(__xludf.DUMMYFUNCTION("""COMPUTED_VALUE"""),"Action‑Adventure")</f>
        <v>Action‑Adventure</v>
      </c>
    </row>
    <row r="460">
      <c r="A460" s="17" t="str">
        <f>IFERROR(__xludf.DUMMYFUNCTION("""COMPUTED_VALUE"""),"Towerborne")</f>
        <v>Towerborne</v>
      </c>
      <c r="B460" s="20" t="str">
        <f>IFERROR(__xludf.DUMMYFUNCTION("""COMPUTED_VALUE"""),"Xbox / PC")</f>
        <v>Xbox / PC</v>
      </c>
      <c r="C460" s="21" t="str">
        <f>IFERROR(__xludf.DUMMYFUNCTION("""COMPUTED_VALUE"""),"Yes")</f>
        <v>Yes</v>
      </c>
      <c r="D460" s="21" t="str">
        <f>IFERROR(__xludf.DUMMYFUNCTION("""COMPUTED_VALUE"""),"Active")</f>
        <v>Active</v>
      </c>
      <c r="E460" s="23">
        <f>IFERROR(__xludf.DUMMYFUNCTION("""COMPUTED_VALUE"""),45776.0)</f>
        <v>45776</v>
      </c>
      <c r="F460" s="24"/>
      <c r="G460" s="27">
        <f>IFERROR(__xludf.DUMMYFUNCTION("""COMPUTED_VALUE"""),17.233333333333334)</f>
        <v>17.23333333</v>
      </c>
      <c r="H460" s="23">
        <f>IFERROR(__xludf.DUMMYFUNCTION("""COMPUTED_VALUE"""),45776.0)</f>
        <v>45776</v>
      </c>
      <c r="I460" s="27">
        <f>IFERROR(__xludf.DUMMYFUNCTION("""COMPUTED_VALUE"""),0.0)</f>
        <v>0</v>
      </c>
      <c r="J460" s="29">
        <f>IFERROR(__xludf.DUMMYFUNCTION("""COMPUTED_VALUE"""),73.0)</f>
        <v>73</v>
      </c>
      <c r="K460" s="29">
        <f>IFERROR(__xludf.DUMMYFUNCTION("""COMPUTED_VALUE"""),15.0)</f>
        <v>15</v>
      </c>
      <c r="L460" s="31" t="str">
        <f>IFERROR(__xludf.DUMMYFUNCTION("""COMPUTED_VALUE"""),"Beat-'Em-Up ")</f>
        <v>Beat-'Em-Up </v>
      </c>
    </row>
    <row r="461">
      <c r="A461" s="17" t="str">
        <f>IFERROR(__xludf.DUMMYFUNCTION("""COMPUTED_VALUE"""),"Manor Lords (Game Preview)")</f>
        <v>Manor Lords (Game Preview)</v>
      </c>
      <c r="B461" s="20" t="str">
        <f>IFERROR(__xludf.DUMMYFUNCTION("""COMPUTED_VALUE"""),"PC")</f>
        <v>PC</v>
      </c>
      <c r="C461" s="21"/>
      <c r="D461" s="21" t="str">
        <f>IFERROR(__xludf.DUMMYFUNCTION("""COMPUTED_VALUE"""),"Active")</f>
        <v>Active</v>
      </c>
      <c r="E461" s="23">
        <f>IFERROR(__xludf.DUMMYFUNCTION("""COMPUTED_VALUE"""),45408.0)</f>
        <v>45408</v>
      </c>
      <c r="F461" s="24"/>
      <c r="G461" s="27">
        <f>IFERROR(__xludf.DUMMYFUNCTION("""COMPUTED_VALUE"""),29.333333333333336)</f>
        <v>29.33333333</v>
      </c>
      <c r="H461" s="23">
        <f>IFERROR(__xludf.DUMMYFUNCTION("""COMPUTED_VALUE"""),45408.0)</f>
        <v>45408</v>
      </c>
      <c r="I461" s="27">
        <f>IFERROR(__xludf.DUMMYFUNCTION("""COMPUTED_VALUE"""),0.0)</f>
        <v>0</v>
      </c>
      <c r="J461" s="29">
        <f>IFERROR(__xludf.DUMMYFUNCTION("""COMPUTED_VALUE"""),73.0)</f>
        <v>73</v>
      </c>
      <c r="K461" s="29">
        <f>IFERROR(__xludf.DUMMYFUNCTION("""COMPUTED_VALUE"""),7.0)</f>
        <v>7</v>
      </c>
      <c r="L461" s="31" t="str">
        <f>IFERROR(__xludf.DUMMYFUNCTION("""COMPUTED_VALUE"""),"Strategy")</f>
        <v>Strategy</v>
      </c>
    </row>
    <row r="462">
      <c r="A462" s="17" t="str">
        <f>IFERROR(__xludf.DUMMYFUNCTION("""COMPUTED_VALUE"""),"Dead Island 2")</f>
        <v>Dead Island 2</v>
      </c>
      <c r="B462" s="20" t="str">
        <f>IFERROR(__xludf.DUMMYFUNCTION("""COMPUTED_VALUE"""),"Xbox / PC")</f>
        <v>Xbox / PC</v>
      </c>
      <c r="C462" s="21" t="str">
        <f>IFERROR(__xludf.DUMMYFUNCTION("""COMPUTED_VALUE"""),"Yes")</f>
        <v>Yes</v>
      </c>
      <c r="D462" s="21" t="str">
        <f>IFERROR(__xludf.DUMMYFUNCTION("""COMPUTED_VALUE"""),"Active")</f>
        <v>Active</v>
      </c>
      <c r="E462" s="23">
        <f>IFERROR(__xludf.DUMMYFUNCTION("""COMPUTED_VALUE"""),45342.0)</f>
        <v>45342</v>
      </c>
      <c r="F462" s="24"/>
      <c r="G462" s="27">
        <f>IFERROR(__xludf.DUMMYFUNCTION("""COMPUTED_VALUE"""),31.53333333333333)</f>
        <v>31.53333333</v>
      </c>
      <c r="H462" s="23">
        <f>IFERROR(__xludf.DUMMYFUNCTION("""COMPUTED_VALUE"""),45037.0)</f>
        <v>45037</v>
      </c>
      <c r="I462" s="27">
        <f>IFERROR(__xludf.DUMMYFUNCTION("""COMPUTED_VALUE"""),0.8305555555555556)</f>
        <v>0.8305555556</v>
      </c>
      <c r="J462" s="29">
        <f>IFERROR(__xludf.DUMMYFUNCTION("""COMPUTED_VALUE"""),73.0)</f>
        <v>73</v>
      </c>
      <c r="K462" s="29">
        <f>IFERROR(__xludf.DUMMYFUNCTION("""COMPUTED_VALUE"""),16.0)</f>
        <v>16</v>
      </c>
      <c r="L462" s="31" t="str">
        <f>IFERROR(__xludf.DUMMYFUNCTION("""COMPUTED_VALUE"""),"Shooter")</f>
        <v>Shooter</v>
      </c>
    </row>
    <row r="463">
      <c r="A463" s="17" t="str">
        <f>IFERROR(__xludf.DUMMYFUNCTION("""COMPUTED_VALUE"""),"PlateUp!")</f>
        <v>PlateUp!</v>
      </c>
      <c r="B463" s="20" t="str">
        <f>IFERROR(__xludf.DUMMYFUNCTION("""COMPUTED_VALUE"""),"Xbox / PC")</f>
        <v>Xbox / PC</v>
      </c>
      <c r="C463" s="21" t="str">
        <f>IFERROR(__xludf.DUMMYFUNCTION("""COMPUTED_VALUE"""),"Yes")</f>
        <v>Yes</v>
      </c>
      <c r="D463" s="21" t="str">
        <f>IFERROR(__xludf.DUMMYFUNCTION("""COMPUTED_VALUE"""),"Active")</f>
        <v>Active</v>
      </c>
      <c r="E463" s="23">
        <f>IFERROR(__xludf.DUMMYFUNCTION("""COMPUTED_VALUE"""),45337.0)</f>
        <v>45337</v>
      </c>
      <c r="F463" s="24"/>
      <c r="G463" s="27">
        <f>IFERROR(__xludf.DUMMYFUNCTION("""COMPUTED_VALUE"""),31.7)</f>
        <v>31.7</v>
      </c>
      <c r="H463" s="23">
        <f>IFERROR(__xludf.DUMMYFUNCTION("""COMPUTED_VALUE"""),44777.0)</f>
        <v>44777</v>
      </c>
      <c r="I463" s="27">
        <f>IFERROR(__xludf.DUMMYFUNCTION("""COMPUTED_VALUE"""),1.5305555555555554)</f>
        <v>1.530555556</v>
      </c>
      <c r="J463" s="29">
        <f>IFERROR(__xludf.DUMMYFUNCTION("""COMPUTED_VALUE"""),73.0)</f>
        <v>73</v>
      </c>
      <c r="K463" s="29">
        <f>IFERROR(__xludf.DUMMYFUNCTION("""COMPUTED_VALUE"""),19.0)</f>
        <v>19</v>
      </c>
      <c r="L463" s="31" t="str">
        <f>IFERROR(__xludf.DUMMYFUNCTION("""COMPUTED_VALUE"""),"Strategy")</f>
        <v>Strategy</v>
      </c>
    </row>
    <row r="464">
      <c r="A464" s="111" t="str">
        <f>IFERROR(__xludf.DUMMYFUNCTION("""COMPUTED_VALUE"""),"Far Cry 6")</f>
        <v>Far Cry 6</v>
      </c>
      <c r="B464" s="20" t="str">
        <f>IFERROR(__xludf.DUMMYFUNCTION("""COMPUTED_VALUE"""),"Xbox / PC")</f>
        <v>Xbox / PC</v>
      </c>
      <c r="C464" s="21" t="str">
        <f>IFERROR(__xludf.DUMMYFUNCTION("""COMPUTED_VALUE"""),"Yes")</f>
        <v>Yes</v>
      </c>
      <c r="D464" s="21" t="str">
        <f>IFERROR(__xludf.DUMMYFUNCTION("""COMPUTED_VALUE"""),"Active")</f>
        <v>Active</v>
      </c>
      <c r="E464" s="23">
        <f>IFERROR(__xludf.DUMMYFUNCTION("""COMPUTED_VALUE"""),45274.0)</f>
        <v>45274</v>
      </c>
      <c r="F464" s="24"/>
      <c r="G464" s="27">
        <f>IFERROR(__xludf.DUMMYFUNCTION("""COMPUTED_VALUE"""),33.733333333333334)</f>
        <v>33.73333333</v>
      </c>
      <c r="H464" s="23">
        <f>IFERROR(__xludf.DUMMYFUNCTION("""COMPUTED_VALUE"""),44476.0)</f>
        <v>44476</v>
      </c>
      <c r="I464" s="27">
        <f>IFERROR(__xludf.DUMMYFUNCTION("""COMPUTED_VALUE"""),2.186111111111111)</f>
        <v>2.186111111</v>
      </c>
      <c r="J464" s="29">
        <f>IFERROR(__xludf.DUMMYFUNCTION("""COMPUTED_VALUE"""),73.0)</f>
        <v>73</v>
      </c>
      <c r="K464" s="29">
        <f>IFERROR(__xludf.DUMMYFUNCTION("""COMPUTED_VALUE"""),24.0)</f>
        <v>24</v>
      </c>
      <c r="L464" s="31" t="str">
        <f>IFERROR(__xludf.DUMMYFUNCTION("""COMPUTED_VALUE"""),"Shooter")</f>
        <v>Shooter</v>
      </c>
    </row>
    <row r="465">
      <c r="A465" s="17" t="str">
        <f>IFERROR(__xludf.DUMMYFUNCTION("""COMPUTED_VALUE"""),"World War Z: Aftermath")</f>
        <v>World War Z: Aftermath</v>
      </c>
      <c r="B465" s="20" t="str">
        <f>IFERROR(__xludf.DUMMYFUNCTION("""COMPUTED_VALUE"""),"Xbox / PC")</f>
        <v>Xbox / PC</v>
      </c>
      <c r="C465" s="21" t="str">
        <f>IFERROR(__xludf.DUMMYFUNCTION("""COMPUTED_VALUE"""),"Yes")</f>
        <v>Yes</v>
      </c>
      <c r="D465" s="21" t="str">
        <f>IFERROR(__xludf.DUMMYFUNCTION("""COMPUTED_VALUE"""),"Active")</f>
        <v>Active</v>
      </c>
      <c r="E465" s="23">
        <f>IFERROR(__xludf.DUMMYFUNCTION("""COMPUTED_VALUE"""),45265.0)</f>
        <v>45265</v>
      </c>
      <c r="F465" s="24"/>
      <c r="G465" s="27">
        <f>IFERROR(__xludf.DUMMYFUNCTION("""COMPUTED_VALUE"""),34.03333333333333)</f>
        <v>34.03333333</v>
      </c>
      <c r="H465" s="23">
        <f>IFERROR(__xludf.DUMMYFUNCTION("""COMPUTED_VALUE"""),43571.0)</f>
        <v>43571</v>
      </c>
      <c r="I465" s="27">
        <f>IFERROR(__xludf.DUMMYFUNCTION("""COMPUTED_VALUE"""),4.636111111111111)</f>
        <v>4.636111111</v>
      </c>
      <c r="J465" s="29">
        <f>IFERROR(__xludf.DUMMYFUNCTION("""COMPUTED_VALUE"""),73.0)</f>
        <v>73</v>
      </c>
      <c r="K465" s="29">
        <f>IFERROR(__xludf.DUMMYFUNCTION("""COMPUTED_VALUE"""),7.0)</f>
        <v>7</v>
      </c>
      <c r="L465" s="31" t="str">
        <f>IFERROR(__xludf.DUMMYFUNCTION("""COMPUTED_VALUE"""),"Action")</f>
        <v>Action</v>
      </c>
    </row>
    <row r="466">
      <c r="A466" s="17" t="str">
        <f>IFERROR(__xludf.DUMMYFUNCTION("""COMPUTED_VALUE"""),"The Elder Scrolls Adventures: Redguard")</f>
        <v>The Elder Scrolls Adventures: Redguard</v>
      </c>
      <c r="B466" s="20" t="str">
        <f>IFERROR(__xludf.DUMMYFUNCTION("""COMPUTED_VALUE"""),"PC")</f>
        <v>PC</v>
      </c>
      <c r="C466" s="21"/>
      <c r="D466" s="21" t="str">
        <f>IFERROR(__xludf.DUMMYFUNCTION("""COMPUTED_VALUE"""),"Active")</f>
        <v>Active</v>
      </c>
      <c r="E466" s="23">
        <f>IFERROR(__xludf.DUMMYFUNCTION("""COMPUTED_VALUE"""),44791.0)</f>
        <v>44791</v>
      </c>
      <c r="F466" s="24"/>
      <c r="G466" s="27">
        <f>IFERROR(__xludf.DUMMYFUNCTION("""COMPUTED_VALUE"""),49.60000000000001)</f>
        <v>49.6</v>
      </c>
      <c r="H466" s="23">
        <f>IFERROR(__xludf.DUMMYFUNCTION("""COMPUTED_VALUE"""),36099.0)</f>
        <v>36099</v>
      </c>
      <c r="I466" s="27">
        <f>IFERROR(__xludf.DUMMYFUNCTION("""COMPUTED_VALUE"""),23.8)</f>
        <v>23.8</v>
      </c>
      <c r="J466" s="29">
        <f>IFERROR(__xludf.DUMMYFUNCTION("""COMPUTED_VALUE"""),73.0)</f>
        <v>73</v>
      </c>
      <c r="K466" s="29">
        <f>IFERROR(__xludf.DUMMYFUNCTION("""COMPUTED_VALUE"""),17.0)</f>
        <v>17</v>
      </c>
      <c r="L466" s="31" t="str">
        <f>IFERROR(__xludf.DUMMYFUNCTION("""COMPUTED_VALUE"""),"Action-Adventure")</f>
        <v>Action-Adventure</v>
      </c>
    </row>
    <row r="467">
      <c r="A467" s="17" t="str">
        <f>IFERROR(__xludf.DUMMYFUNCTION("""COMPUTED_VALUE"""),"Medieval Dynasty")</f>
        <v>Medieval Dynasty</v>
      </c>
      <c r="B467" s="20" t="str">
        <f>IFERROR(__xludf.DUMMYFUNCTION("""COMPUTED_VALUE"""),"Xbox / PC")</f>
        <v>Xbox / PC</v>
      </c>
      <c r="C467" s="21" t="str">
        <f>IFERROR(__xludf.DUMMYFUNCTION("""COMPUTED_VALUE"""),"Yes")</f>
        <v>Yes</v>
      </c>
      <c r="D467" s="21" t="str">
        <f>IFERROR(__xludf.DUMMYFUNCTION("""COMPUTED_VALUE"""),"Active")</f>
        <v>Active</v>
      </c>
      <c r="E467" s="23">
        <f>IFERROR(__xludf.DUMMYFUNCTION("""COMPUTED_VALUE"""),44364.0)</f>
        <v>44364</v>
      </c>
      <c r="F467" s="24"/>
      <c r="G467" s="27">
        <f>IFERROR(__xludf.DUMMYFUNCTION("""COMPUTED_VALUE"""),63.63333333333334)</f>
        <v>63.63333333</v>
      </c>
      <c r="H467" s="23">
        <f>IFERROR(__xludf.DUMMYFUNCTION("""COMPUTED_VALUE"""),44091.0)</f>
        <v>44091</v>
      </c>
      <c r="I467" s="27">
        <f>IFERROR(__xludf.DUMMYFUNCTION("""COMPUTED_VALUE"""),0.75)</f>
        <v>0.75</v>
      </c>
      <c r="J467" s="29">
        <f>IFERROR(__xludf.DUMMYFUNCTION("""COMPUTED_VALUE"""),73.0)</f>
        <v>73</v>
      </c>
      <c r="K467" s="29">
        <f>IFERROR(__xludf.DUMMYFUNCTION("""COMPUTED_VALUE"""),29.5)</f>
        <v>29.5</v>
      </c>
      <c r="L467" s="31" t="str">
        <f>IFERROR(__xludf.DUMMYFUNCTION("""COMPUTED_VALUE"""),"RPG")</f>
        <v>RPG</v>
      </c>
    </row>
    <row r="468">
      <c r="A468" s="17" t="str">
        <f>IFERROR(__xludf.DUMMYFUNCTION("""COMPUTED_VALUE"""),"Medal of Honor: Airborne")</f>
        <v>Medal of Honor: Airborne</v>
      </c>
      <c r="B468" s="20" t="str">
        <f>IFERROR(__xludf.DUMMYFUNCTION("""COMPUTED_VALUE"""),"Xbox / PC")</f>
        <v>Xbox / PC</v>
      </c>
      <c r="C468" s="21"/>
      <c r="D468" s="21" t="str">
        <f>IFERROR(__xludf.DUMMYFUNCTION("""COMPUTED_VALUE"""),"Active")</f>
        <v>Active</v>
      </c>
      <c r="E468" s="23">
        <f>IFERROR(__xludf.DUMMYFUNCTION("""COMPUTED_VALUE"""),44145.0)</f>
        <v>44145</v>
      </c>
      <c r="F468" s="24"/>
      <c r="G468" s="27">
        <f>IFERROR(__xludf.DUMMYFUNCTION("""COMPUTED_VALUE"""),70.86666666666667)</f>
        <v>70.86666667</v>
      </c>
      <c r="H468" s="23">
        <f>IFERROR(__xludf.DUMMYFUNCTION("""COMPUTED_VALUE"""),39329.0)</f>
        <v>39329</v>
      </c>
      <c r="I468" s="27">
        <f>IFERROR(__xludf.DUMMYFUNCTION("""COMPUTED_VALUE"""),13.183333333333334)</f>
        <v>13.18333333</v>
      </c>
      <c r="J468" s="29">
        <f>IFERROR(__xludf.DUMMYFUNCTION("""COMPUTED_VALUE"""),73.0)</f>
        <v>73</v>
      </c>
      <c r="K468" s="29">
        <f>IFERROR(__xludf.DUMMYFUNCTION("""COMPUTED_VALUE"""),6.0)</f>
        <v>6</v>
      </c>
      <c r="L468" s="31" t="str">
        <f>IFERROR(__xludf.DUMMYFUNCTION("""COMPUTED_VALUE"""),"Shooter")</f>
        <v>Shooter</v>
      </c>
    </row>
    <row r="469">
      <c r="A469" s="17" t="str">
        <f>IFERROR(__xludf.DUMMYFUNCTION("""COMPUTED_VALUE"""),"The Walking Dead: A New Frontier")</f>
        <v>The Walking Dead: A New Frontier</v>
      </c>
      <c r="B469" s="20" t="str">
        <f>IFERROR(__xludf.DUMMYFUNCTION("""COMPUTED_VALUE"""),"Xbox / PC")</f>
        <v>Xbox / PC</v>
      </c>
      <c r="C469" s="21" t="str">
        <f>IFERROR(__xludf.DUMMYFUNCTION("""COMPUTED_VALUE"""),"Touch Controls")</f>
        <v>Touch Controls</v>
      </c>
      <c r="D469" s="21" t="str">
        <f>IFERROR(__xludf.DUMMYFUNCTION("""COMPUTED_VALUE"""),"Active")</f>
        <v>Active</v>
      </c>
      <c r="E469" s="23">
        <f>IFERROR(__xludf.DUMMYFUNCTION("""COMPUTED_VALUE"""),43573.0)</f>
        <v>43573</v>
      </c>
      <c r="F469" s="24"/>
      <c r="G469" s="27">
        <f>IFERROR(__xludf.DUMMYFUNCTION("""COMPUTED_VALUE"""),89.6)</f>
        <v>89.6</v>
      </c>
      <c r="H469" s="23">
        <f>IFERROR(__xludf.DUMMYFUNCTION("""COMPUTED_VALUE"""),42724.0)</f>
        <v>42724</v>
      </c>
      <c r="I469" s="27">
        <f>IFERROR(__xludf.DUMMYFUNCTION("""COMPUTED_VALUE"""),2.327777777777778)</f>
        <v>2.327777778</v>
      </c>
      <c r="J469" s="29">
        <f>IFERROR(__xludf.DUMMYFUNCTION("""COMPUTED_VALUE"""),73.0)</f>
        <v>73</v>
      </c>
      <c r="K469" s="29">
        <f>IFERROR(__xludf.DUMMYFUNCTION("""COMPUTED_VALUE"""),8.0)</f>
        <v>8</v>
      </c>
      <c r="L469" s="31" t="str">
        <f>IFERROR(__xludf.DUMMYFUNCTION("""COMPUTED_VALUE"""),"Adventure")</f>
        <v>Adventure</v>
      </c>
    </row>
    <row r="470">
      <c r="A470" s="17" t="str">
        <f>IFERROR(__xludf.DUMMYFUNCTION("""COMPUTED_VALUE"""),"Human: Fall Flat")</f>
        <v>Human: Fall Flat</v>
      </c>
      <c r="B470" s="20" t="str">
        <f>IFERROR(__xludf.DUMMYFUNCTION("""COMPUTED_VALUE"""),"Xbox / PC")</f>
        <v>Xbox / PC</v>
      </c>
      <c r="C470" s="21" t="str">
        <f>IFERROR(__xludf.DUMMYFUNCTION("""COMPUTED_VALUE"""),"Yes")</f>
        <v>Yes</v>
      </c>
      <c r="D470" s="21" t="str">
        <f>IFERROR(__xludf.DUMMYFUNCTION("""COMPUTED_VALUE"""),"Active")</f>
        <v>Active</v>
      </c>
      <c r="E470" s="23">
        <f>IFERROR(__xludf.DUMMYFUNCTION("""COMPUTED_VALUE"""),43282.0)</f>
        <v>43282</v>
      </c>
      <c r="F470" s="24"/>
      <c r="G470" s="27">
        <f>IFERROR(__xludf.DUMMYFUNCTION("""COMPUTED_VALUE"""),99.16666666666667)</f>
        <v>99.16666667</v>
      </c>
      <c r="H470" s="23">
        <f>IFERROR(__xludf.DUMMYFUNCTION("""COMPUTED_VALUE"""),42573.0)</f>
        <v>42573</v>
      </c>
      <c r="I470" s="27">
        <f>IFERROR(__xludf.DUMMYFUNCTION("""COMPUTED_VALUE"""),1.9416666666666667)</f>
        <v>1.941666667</v>
      </c>
      <c r="J470" s="29">
        <f>IFERROR(__xludf.DUMMYFUNCTION("""COMPUTED_VALUE"""),73.0)</f>
        <v>73</v>
      </c>
      <c r="K470" s="29">
        <f>IFERROR(__xludf.DUMMYFUNCTION("""COMPUTED_VALUE"""),5.5)</f>
        <v>5.5</v>
      </c>
      <c r="L470" s="31" t="str">
        <f>IFERROR(__xludf.DUMMYFUNCTION("""COMPUTED_VALUE"""),"Puzzle")</f>
        <v>Puzzle</v>
      </c>
    </row>
    <row r="471">
      <c r="A471" s="17" t="str">
        <f>IFERROR(__xludf.DUMMYFUNCTION("""COMPUTED_VALUE"""),"Evil West")</f>
        <v>Evil West</v>
      </c>
      <c r="B471" s="20" t="str">
        <f>IFERROR(__xludf.DUMMYFUNCTION("""COMPUTED_VALUE"""),"Xbox / PC")</f>
        <v>Xbox / PC</v>
      </c>
      <c r="C471" s="21" t="str">
        <f>IFERROR(__xludf.DUMMYFUNCTION("""COMPUTED_VALUE"""),"Yes")</f>
        <v>Yes</v>
      </c>
      <c r="D471" s="21" t="str">
        <f>IFERROR(__xludf.DUMMYFUNCTION("""COMPUTED_VALUE"""),"Leaving Soon")</f>
        <v>Leaving Soon</v>
      </c>
      <c r="E471" s="23">
        <f>IFERROR(__xludf.DUMMYFUNCTION("""COMPUTED_VALUE"""),45951.0)</f>
        <v>45951</v>
      </c>
      <c r="F471" s="24">
        <f>IFERROR(__xludf.DUMMYFUNCTION("""COMPUTED_VALUE"""),46310.0)</f>
        <v>46310</v>
      </c>
      <c r="G471" s="27">
        <f>IFERROR(__xludf.DUMMYFUNCTION("""COMPUTED_VALUE"""),11.799999999999999)</f>
        <v>11.8</v>
      </c>
      <c r="H471" s="23">
        <f>IFERROR(__xludf.DUMMYFUNCTION("""COMPUTED_VALUE"""),44887.0)</f>
        <v>44887</v>
      </c>
      <c r="I471" s="27">
        <f>IFERROR(__xludf.DUMMYFUNCTION("""COMPUTED_VALUE"""),2.9138888888888888)</f>
        <v>2.913888889</v>
      </c>
      <c r="J471" s="29">
        <f>IFERROR(__xludf.DUMMYFUNCTION("""COMPUTED_VALUE"""),73.0)</f>
        <v>73</v>
      </c>
      <c r="K471" s="29">
        <f>IFERROR(__xludf.DUMMYFUNCTION("""COMPUTED_VALUE"""),11.0)</f>
        <v>11</v>
      </c>
      <c r="L471" s="31" t="str">
        <f>IFERROR(__xludf.DUMMYFUNCTION("""COMPUTED_VALUE"""),"Shooter")</f>
        <v>Shooter</v>
      </c>
    </row>
    <row r="472">
      <c r="A472" s="17" t="str">
        <f>IFERROR(__xludf.DUMMYFUNCTION("""COMPUTED_VALUE"""),"Battletoads")</f>
        <v>Battletoads</v>
      </c>
      <c r="B472" s="20" t="str">
        <f>IFERROR(__xludf.DUMMYFUNCTION("""COMPUTED_VALUE"""),"Xbox / PC")</f>
        <v>Xbox / PC</v>
      </c>
      <c r="C472" s="21" t="str">
        <f>IFERROR(__xludf.DUMMYFUNCTION("""COMPUTED_VALUE"""),"Yes")</f>
        <v>Yes</v>
      </c>
      <c r="D472" s="21" t="str">
        <f>IFERROR(__xludf.DUMMYFUNCTION("""COMPUTED_VALUE"""),"Active")</f>
        <v>Active</v>
      </c>
      <c r="E472" s="23">
        <f>IFERROR(__xludf.DUMMYFUNCTION("""COMPUTED_VALUE"""),44063.0)</f>
        <v>44063</v>
      </c>
      <c r="F472" s="24"/>
      <c r="G472" s="27">
        <f>IFERROR(__xludf.DUMMYFUNCTION("""COMPUTED_VALUE"""),73.53333333333333)</f>
        <v>73.53333333</v>
      </c>
      <c r="H472" s="23">
        <f>IFERROR(__xludf.DUMMYFUNCTION("""COMPUTED_VALUE"""),44063.0)</f>
        <v>44063</v>
      </c>
      <c r="I472" s="27">
        <f>IFERROR(__xludf.DUMMYFUNCTION("""COMPUTED_VALUE"""),0.0)</f>
        <v>0</v>
      </c>
      <c r="J472" s="29">
        <f>IFERROR(__xludf.DUMMYFUNCTION("""COMPUTED_VALUE"""),72.5)</f>
        <v>72.5</v>
      </c>
      <c r="K472" s="29">
        <f>IFERROR(__xludf.DUMMYFUNCTION("""COMPUTED_VALUE"""),4.0)</f>
        <v>4</v>
      </c>
      <c r="L472" s="31" t="str">
        <f>IFERROR(__xludf.DUMMYFUNCTION("""COMPUTED_VALUE"""),"Brawler")</f>
        <v>Brawler</v>
      </c>
    </row>
    <row r="473">
      <c r="A473" s="17" t="str">
        <f>IFERROR(__xludf.DUMMYFUNCTION("""COMPUTED_VALUE"""),"Minecraft Dungeons")</f>
        <v>Minecraft Dungeons</v>
      </c>
      <c r="B473" s="20" t="str">
        <f>IFERROR(__xludf.DUMMYFUNCTION("""COMPUTED_VALUE"""),"Xbox / PC")</f>
        <v>Xbox / PC</v>
      </c>
      <c r="C473" s="21" t="str">
        <f>IFERROR(__xludf.DUMMYFUNCTION("""COMPUTED_VALUE"""),"Touch Controls")</f>
        <v>Touch Controls</v>
      </c>
      <c r="D473" s="21" t="str">
        <f>IFERROR(__xludf.DUMMYFUNCTION("""COMPUTED_VALUE"""),"Active")</f>
        <v>Active</v>
      </c>
      <c r="E473" s="23">
        <f>IFERROR(__xludf.DUMMYFUNCTION("""COMPUTED_VALUE"""),43977.0)</f>
        <v>43977</v>
      </c>
      <c r="F473" s="24"/>
      <c r="G473" s="27">
        <f>IFERROR(__xludf.DUMMYFUNCTION("""COMPUTED_VALUE"""),76.33333333333333)</f>
        <v>76.33333333</v>
      </c>
      <c r="H473" s="23">
        <f>IFERROR(__xludf.DUMMYFUNCTION("""COMPUTED_VALUE"""),43977.0)</f>
        <v>43977</v>
      </c>
      <c r="I473" s="27">
        <f>IFERROR(__xludf.DUMMYFUNCTION("""COMPUTED_VALUE"""),0.0)</f>
        <v>0</v>
      </c>
      <c r="J473" s="29">
        <f>IFERROR(__xludf.DUMMYFUNCTION("""COMPUTED_VALUE"""),72.5)</f>
        <v>72.5</v>
      </c>
      <c r="K473" s="29">
        <f>IFERROR(__xludf.DUMMYFUNCTION("""COMPUTED_VALUE"""),5.0)</f>
        <v>5</v>
      </c>
      <c r="L473" s="31" t="str">
        <f>IFERROR(__xludf.DUMMYFUNCTION("""COMPUTED_VALUE"""),"RPG")</f>
        <v>RPG</v>
      </c>
    </row>
    <row r="474">
      <c r="A474" s="17" t="str">
        <f>IFERROR(__xludf.DUMMYFUNCTION("""COMPUTED_VALUE"""),"Beast of Reincarnation")</f>
        <v>Beast of Reincarnation</v>
      </c>
      <c r="B474" s="20" t="str">
        <f>IFERROR(__xludf.DUMMYFUNCTION("""COMPUTED_VALUE"""),"Xbox / PC")</f>
        <v>Xbox / PC</v>
      </c>
      <c r="C474" s="21" t="str">
        <f>IFERROR(__xludf.DUMMYFUNCTION("""COMPUTED_VALUE"""),"Yes")</f>
        <v>Yes</v>
      </c>
      <c r="D474" s="21" t="str">
        <f>IFERROR(__xludf.DUMMYFUNCTION("""COMPUTED_VALUE"""),"Active")</f>
        <v>Active</v>
      </c>
      <c r="E474" s="23">
        <f>IFERROR(__xludf.DUMMYFUNCTION("""COMPUTED_VALUE"""),46238.0)</f>
        <v>46238</v>
      </c>
      <c r="F474" s="24"/>
      <c r="G474" s="27">
        <f>IFERROR(__xludf.DUMMYFUNCTION("""COMPUTED_VALUE"""),2.0666666666666664)</f>
        <v>2.066666667</v>
      </c>
      <c r="H474" s="23">
        <f>IFERROR(__xludf.DUMMYFUNCTION("""COMPUTED_VALUE"""),46238.0)</f>
        <v>46238</v>
      </c>
      <c r="I474" s="27">
        <f>IFERROR(__xludf.DUMMYFUNCTION("""COMPUTED_VALUE"""),0.0)</f>
        <v>0</v>
      </c>
      <c r="J474" s="29">
        <f>IFERROR(__xludf.DUMMYFUNCTION("""COMPUTED_VALUE"""),72.0)</f>
        <v>72</v>
      </c>
      <c r="K474" s="29">
        <f>IFERROR(__xludf.DUMMYFUNCTION("""COMPUTED_VALUE"""),23.0)</f>
        <v>23</v>
      </c>
      <c r="L474" s="31" t="str">
        <f>IFERROR(__xludf.DUMMYFUNCTION("""COMPUTED_VALUE"""),"RPG")</f>
        <v>RPG</v>
      </c>
    </row>
    <row r="475">
      <c r="A475" s="12" t="str">
        <f>IFERROR(__xludf.DUMMYFUNCTION("""COMPUTED_VALUE"""),"Winds of Arcana: Ruination")</f>
        <v>Winds of Arcana: Ruination</v>
      </c>
      <c r="B475" s="13" t="str">
        <f>IFERROR(__xludf.DUMMYFUNCTION("""COMPUTED_VALUE"""),"Xbox / PC")</f>
        <v>Xbox / PC</v>
      </c>
      <c r="C475" s="14" t="str">
        <f>IFERROR(__xludf.DUMMYFUNCTION("""COMPUTED_VALUE"""),"Yes")</f>
        <v>Yes</v>
      </c>
      <c r="D475" s="14" t="str">
        <f>IFERROR(__xludf.DUMMYFUNCTION("""COMPUTED_VALUE"""),"Active")</f>
        <v>Active</v>
      </c>
      <c r="E475" s="15">
        <f>IFERROR(__xludf.DUMMYFUNCTION("""COMPUTED_VALUE"""),46209.0)</f>
        <v>46209</v>
      </c>
      <c r="F475" s="16"/>
      <c r="G475" s="18">
        <f>IFERROR(__xludf.DUMMYFUNCTION("""COMPUTED_VALUE"""),3.0)</f>
        <v>3</v>
      </c>
      <c r="H475" s="15">
        <f>IFERROR(__xludf.DUMMYFUNCTION("""COMPUTED_VALUE"""),45975.0)</f>
        <v>45975</v>
      </c>
      <c r="I475" s="18">
        <f>IFERROR(__xludf.DUMMYFUNCTION("""COMPUTED_VALUE"""),0.6444444444444445)</f>
        <v>0.6444444444</v>
      </c>
      <c r="J475" s="22">
        <f>IFERROR(__xludf.DUMMYFUNCTION("""COMPUTED_VALUE"""),72.0)</f>
        <v>72</v>
      </c>
      <c r="K475" s="22">
        <f>IFERROR(__xludf.DUMMYFUNCTION("""COMPUTED_VALUE"""),9.0)</f>
        <v>9</v>
      </c>
      <c r="L475" s="26" t="str">
        <f>IFERROR(__xludf.DUMMYFUNCTION("""COMPUTED_VALUE"""),"RPG")</f>
        <v>RPG</v>
      </c>
    </row>
    <row r="476">
      <c r="A476" s="12" t="str">
        <f>IFERROR(__xludf.DUMMYFUNCTION("""COMPUTED_VALUE"""),"Wildgate")</f>
        <v>Wildgate</v>
      </c>
      <c r="B476" s="13" t="str">
        <f>IFERROR(__xludf.DUMMYFUNCTION("""COMPUTED_VALUE"""),"Xbox / PC")</f>
        <v>Xbox / PC</v>
      </c>
      <c r="C476" s="14" t="str">
        <f>IFERROR(__xludf.DUMMYFUNCTION("""COMPUTED_VALUE"""),"Yes")</f>
        <v>Yes</v>
      </c>
      <c r="D476" s="14" t="str">
        <f>IFERROR(__xludf.DUMMYFUNCTION("""COMPUTED_VALUE"""),"Active")</f>
        <v>Active</v>
      </c>
      <c r="E476" s="15">
        <f>IFERROR(__xludf.DUMMYFUNCTION("""COMPUTED_VALUE"""),46148.0)</f>
        <v>46148</v>
      </c>
      <c r="F476" s="16"/>
      <c r="G476" s="18">
        <f>IFERROR(__xludf.DUMMYFUNCTION("""COMPUTED_VALUE"""),5.0)</f>
        <v>5</v>
      </c>
      <c r="H476" s="15">
        <f>IFERROR(__xludf.DUMMYFUNCTION("""COMPUTED_VALUE"""),45860.0)</f>
        <v>45860</v>
      </c>
      <c r="I476" s="18">
        <f>IFERROR(__xludf.DUMMYFUNCTION("""COMPUTED_VALUE"""),0.7888888888888889)</f>
        <v>0.7888888889</v>
      </c>
      <c r="J476" s="22">
        <f>IFERROR(__xludf.DUMMYFUNCTION("""COMPUTED_VALUE"""),72.0)</f>
        <v>72</v>
      </c>
      <c r="K476" s="22">
        <f>IFERROR(__xludf.DUMMYFUNCTION("""COMPUTED_VALUE"""),19.0)</f>
        <v>19</v>
      </c>
      <c r="L476" s="26" t="str">
        <f>IFERROR(__xludf.DUMMYFUNCTION("""COMPUTED_VALUE"""),"Shooter")</f>
        <v>Shooter</v>
      </c>
    </row>
    <row r="477">
      <c r="A477" s="12" t="str">
        <f>IFERROR(__xludf.DUMMYFUNCTION("""COMPUTED_VALUE"""),"Construction Simulator")</f>
        <v>Construction Simulator</v>
      </c>
      <c r="B477" s="13" t="str">
        <f>IFERROR(__xludf.DUMMYFUNCTION("""COMPUTED_VALUE"""),"Xbox / PC")</f>
        <v>Xbox / PC</v>
      </c>
      <c r="C477" s="14" t="str">
        <f>IFERROR(__xludf.DUMMYFUNCTION("""COMPUTED_VALUE"""),"Yes")</f>
        <v>Yes</v>
      </c>
      <c r="D477" s="14" t="str">
        <f>IFERROR(__xludf.DUMMYFUNCTION("""COMPUTED_VALUE"""),"Active")</f>
        <v>Active</v>
      </c>
      <c r="E477" s="15">
        <f>IFERROR(__xludf.DUMMYFUNCTION("""COMPUTED_VALUE"""),46091.0)</f>
        <v>46091</v>
      </c>
      <c r="F477" s="16"/>
      <c r="G477" s="18">
        <f>IFERROR(__xludf.DUMMYFUNCTION("""COMPUTED_VALUE"""),6.866666666666666)</f>
        <v>6.866666667</v>
      </c>
      <c r="H477" s="15">
        <f>IFERROR(__xludf.DUMMYFUNCTION("""COMPUTED_VALUE"""),43775.0)</f>
        <v>43775</v>
      </c>
      <c r="I477" s="18">
        <f>IFERROR(__xludf.DUMMYFUNCTION("""COMPUTED_VALUE"""),6.344444444444444)</f>
        <v>6.344444444</v>
      </c>
      <c r="J477" s="22">
        <f>IFERROR(__xludf.DUMMYFUNCTION("""COMPUTED_VALUE"""),72.0)</f>
        <v>72</v>
      </c>
      <c r="K477" s="22">
        <f>IFERROR(__xludf.DUMMYFUNCTION("""COMPUTED_VALUE"""),43.0)</f>
        <v>43</v>
      </c>
      <c r="L477" s="26" t="str">
        <f>IFERROR(__xludf.DUMMYFUNCTION("""COMPUTED_VALUE"""),"Simulation")</f>
        <v>Simulation</v>
      </c>
    </row>
    <row r="478">
      <c r="A478" s="12" t="str">
        <f>IFERROR(__xludf.DUMMYFUNCTION("""COMPUTED_VALUE"""),"Avatar: Frontiers of Pandora")</f>
        <v>Avatar: Frontiers of Pandora</v>
      </c>
      <c r="B478" s="13" t="str">
        <f>IFERROR(__xludf.DUMMYFUNCTION("""COMPUTED_VALUE"""),"Xbox / PC")</f>
        <v>Xbox / PC</v>
      </c>
      <c r="C478" s="14" t="str">
        <f>IFERROR(__xludf.DUMMYFUNCTION("""COMPUTED_VALUE"""),"Yes")</f>
        <v>Yes</v>
      </c>
      <c r="D478" s="14" t="str">
        <f>IFERROR(__xludf.DUMMYFUNCTION("""COMPUTED_VALUE"""),"Active")</f>
        <v>Active</v>
      </c>
      <c r="E478" s="15">
        <f>IFERROR(__xludf.DUMMYFUNCTION("""COMPUTED_VALUE"""),46070.0)</f>
        <v>46070</v>
      </c>
      <c r="F478" s="16"/>
      <c r="G478" s="18">
        <f>IFERROR(__xludf.DUMMYFUNCTION("""COMPUTED_VALUE"""),7.633333333333333)</f>
        <v>7.633333333</v>
      </c>
      <c r="H478" s="15">
        <f>IFERROR(__xludf.DUMMYFUNCTION("""COMPUTED_VALUE"""),45267.0)</f>
        <v>45267</v>
      </c>
      <c r="I478" s="18">
        <f>IFERROR(__xludf.DUMMYFUNCTION("""COMPUTED_VALUE"""),2.1944444444444446)</f>
        <v>2.194444444</v>
      </c>
      <c r="J478" s="22">
        <f>IFERROR(__xludf.DUMMYFUNCTION("""COMPUTED_VALUE"""),72.0)</f>
        <v>72</v>
      </c>
      <c r="K478" s="22">
        <f>IFERROR(__xludf.DUMMYFUNCTION("""COMPUTED_VALUE"""),18.0)</f>
        <v>18</v>
      </c>
      <c r="L478" s="26" t="str">
        <f>IFERROR(__xludf.DUMMYFUNCTION("""COMPUTED_VALUE"""),"Shooter")</f>
        <v>Shooter</v>
      </c>
    </row>
    <row r="479">
      <c r="A479" s="12" t="str">
        <f>IFERROR(__xludf.DUMMYFUNCTION("""COMPUTED_VALUE"""),"MySims: Cozy Bundle")</f>
        <v>MySims: Cozy Bundle</v>
      </c>
      <c r="B479" s="13" t="str">
        <f>IFERROR(__xludf.DUMMYFUNCTION("""COMPUTED_VALUE"""),"PC")</f>
        <v>PC</v>
      </c>
      <c r="C479" s="14"/>
      <c r="D479" s="14" t="str">
        <f>IFERROR(__xludf.DUMMYFUNCTION("""COMPUTED_VALUE"""),"Active")</f>
        <v>Active</v>
      </c>
      <c r="E479" s="15">
        <f>IFERROR(__xludf.DUMMYFUNCTION("""COMPUTED_VALUE"""),46051.0)</f>
        <v>46051</v>
      </c>
      <c r="F479" s="16"/>
      <c r="G479" s="18">
        <f>IFERROR(__xludf.DUMMYFUNCTION("""COMPUTED_VALUE"""),8.233333333333334)</f>
        <v>8.233333333</v>
      </c>
      <c r="H479" s="15">
        <f>IFERROR(__xludf.DUMMYFUNCTION("""COMPUTED_VALUE"""),45615.0)</f>
        <v>45615</v>
      </c>
      <c r="I479" s="18">
        <f>IFERROR(__xludf.DUMMYFUNCTION("""COMPUTED_VALUE"""),1.1944444444444444)</f>
        <v>1.194444444</v>
      </c>
      <c r="J479" s="22">
        <f>IFERROR(__xludf.DUMMYFUNCTION("""COMPUTED_VALUE"""),72.0)</f>
        <v>72</v>
      </c>
      <c r="K479" s="22">
        <f>IFERROR(__xludf.DUMMYFUNCTION("""COMPUTED_VALUE"""),44.0)</f>
        <v>44</v>
      </c>
      <c r="L479" s="26" t="str">
        <f>IFERROR(__xludf.DUMMYFUNCTION("""COMPUTED_VALUE"""),"Simulation")</f>
        <v>Simulation</v>
      </c>
    </row>
    <row r="480">
      <c r="A480" s="12" t="str">
        <f>IFERROR(__xludf.DUMMYFUNCTION("""COMPUTED_VALUE"""),"Assassin's Creed III: Remastered")</f>
        <v>Assassin's Creed III: Remastered</v>
      </c>
      <c r="B480" s="13" t="str">
        <f>IFERROR(__xludf.DUMMYFUNCTION("""COMPUTED_VALUE"""),"Xbox / PC")</f>
        <v>Xbox / PC</v>
      </c>
      <c r="C480" s="14" t="str">
        <f>IFERROR(__xludf.DUMMYFUNCTION("""COMPUTED_VALUE"""),"Yes")</f>
        <v>Yes</v>
      </c>
      <c r="D480" s="14" t="str">
        <f>IFERROR(__xludf.DUMMYFUNCTION("""COMPUTED_VALUE"""),"Active")</f>
        <v>Active</v>
      </c>
      <c r="E480" s="15">
        <f>IFERROR(__xludf.DUMMYFUNCTION("""COMPUTED_VALUE"""),45931.0)</f>
        <v>45931</v>
      </c>
      <c r="F480" s="16"/>
      <c r="G480" s="18">
        <f>IFERROR(__xludf.DUMMYFUNCTION("""COMPUTED_VALUE"""),12.166666666666666)</f>
        <v>12.16666667</v>
      </c>
      <c r="H480" s="15">
        <f>IFERROR(__xludf.DUMMYFUNCTION("""COMPUTED_VALUE"""),43553.0)</f>
        <v>43553</v>
      </c>
      <c r="I480" s="18">
        <f>IFERROR(__xludf.DUMMYFUNCTION("""COMPUTED_VALUE"""),6.5055555555555555)</f>
        <v>6.505555556</v>
      </c>
      <c r="J480" s="22">
        <f>IFERROR(__xludf.DUMMYFUNCTION("""COMPUTED_VALUE"""),72.0)</f>
        <v>72</v>
      </c>
      <c r="K480" s="22">
        <f>IFERROR(__xludf.DUMMYFUNCTION("""COMPUTED_VALUE"""),15.0)</f>
        <v>15</v>
      </c>
      <c r="L480" s="26" t="str">
        <f>IFERROR(__xludf.DUMMYFUNCTION("""COMPUTED_VALUE"""),"Action-Adventure")</f>
        <v>Action-Adventure</v>
      </c>
    </row>
    <row r="481">
      <c r="A481" s="12" t="str">
        <f>IFERROR(__xludf.DUMMYFUNCTION("""COMPUTED_VALUE"""),"Assassin's Creed: The Ezio Collection")</f>
        <v>Assassin's Creed: The Ezio Collection</v>
      </c>
      <c r="B481" s="13" t="str">
        <f>IFERROR(__xludf.DUMMYFUNCTION("""COMPUTED_VALUE"""),"Xbox / PC")</f>
        <v>Xbox / PC</v>
      </c>
      <c r="C481" s="14" t="str">
        <f>IFERROR(__xludf.DUMMYFUNCTION("""COMPUTED_VALUE"""),"Yes")</f>
        <v>Yes</v>
      </c>
      <c r="D481" s="14" t="str">
        <f>IFERROR(__xludf.DUMMYFUNCTION("""COMPUTED_VALUE"""),"Active")</f>
        <v>Active</v>
      </c>
      <c r="E481" s="15">
        <f>IFERROR(__xludf.DUMMYFUNCTION("""COMPUTED_VALUE"""),45931.0)</f>
        <v>45931</v>
      </c>
      <c r="F481" s="16"/>
      <c r="G481" s="18">
        <f>IFERROR(__xludf.DUMMYFUNCTION("""COMPUTED_VALUE"""),12.166666666666666)</f>
        <v>12.16666667</v>
      </c>
      <c r="H481" s="15">
        <f>IFERROR(__xludf.DUMMYFUNCTION("""COMPUTED_VALUE"""),42689.0)</f>
        <v>42689</v>
      </c>
      <c r="I481" s="18">
        <f>IFERROR(__xludf.DUMMYFUNCTION("""COMPUTED_VALUE"""),8.877777777777778)</f>
        <v>8.877777778</v>
      </c>
      <c r="J481" s="22">
        <f>IFERROR(__xludf.DUMMYFUNCTION("""COMPUTED_VALUE"""),72.0)</f>
        <v>72</v>
      </c>
      <c r="K481" s="22">
        <f>IFERROR(__xludf.DUMMYFUNCTION("""COMPUTED_VALUE"""),72.0)</f>
        <v>72</v>
      </c>
      <c r="L481" s="26" t="str">
        <f>IFERROR(__xludf.DUMMYFUNCTION("""COMPUTED_VALUE"""),"Action-Adventure")</f>
        <v>Action-Adventure</v>
      </c>
    </row>
    <row r="482">
      <c r="A482" s="12" t="str">
        <f>IFERROR(__xludf.DUMMYFUNCTION("""COMPUTED_VALUE"""),"Assassin's Creed Unity")</f>
        <v>Assassin's Creed Unity</v>
      </c>
      <c r="B482" s="13" t="str">
        <f>IFERROR(__xludf.DUMMYFUNCTION("""COMPUTED_VALUE"""),"Xbox / PC")</f>
        <v>Xbox / PC</v>
      </c>
      <c r="C482" s="14" t="str">
        <f>IFERROR(__xludf.DUMMYFUNCTION("""COMPUTED_VALUE"""),"Yes")</f>
        <v>Yes</v>
      </c>
      <c r="D482" s="14" t="str">
        <f>IFERROR(__xludf.DUMMYFUNCTION("""COMPUTED_VALUE"""),"Active")</f>
        <v>Active</v>
      </c>
      <c r="E482" s="15">
        <f>IFERROR(__xludf.DUMMYFUNCTION("""COMPUTED_VALUE"""),45931.0)</f>
        <v>45931</v>
      </c>
      <c r="F482" s="16"/>
      <c r="G482" s="18">
        <f>IFERROR(__xludf.DUMMYFUNCTION("""COMPUTED_VALUE"""),12.166666666666666)</f>
        <v>12.16666667</v>
      </c>
      <c r="H482" s="15">
        <f>IFERROR(__xludf.DUMMYFUNCTION("""COMPUTED_VALUE"""),41954.0)</f>
        <v>41954</v>
      </c>
      <c r="I482" s="18">
        <f>IFERROR(__xludf.DUMMYFUNCTION("""COMPUTED_VALUE"""),10.88888888888889)</f>
        <v>10.88888889</v>
      </c>
      <c r="J482" s="22">
        <f>IFERROR(__xludf.DUMMYFUNCTION("""COMPUTED_VALUE"""),72.0)</f>
        <v>72</v>
      </c>
      <c r="K482" s="22">
        <f>IFERROR(__xludf.DUMMYFUNCTION("""COMPUTED_VALUE"""),17.0)</f>
        <v>17</v>
      </c>
      <c r="L482" s="26" t="str">
        <f>IFERROR(__xludf.DUMMYFUNCTION("""COMPUTED_VALUE"""),"Action-Adventure")</f>
        <v>Action-Adventure</v>
      </c>
    </row>
    <row r="483">
      <c r="A483" s="12" t="str">
        <f>IFERROR(__xludf.DUMMYFUNCTION("""COMPUTED_VALUE"""),"Caesar")</f>
        <v>Caesar</v>
      </c>
      <c r="B483" s="13" t="str">
        <f>IFERROR(__xludf.DUMMYFUNCTION("""COMPUTED_VALUE"""),"Xbox / PC")</f>
        <v>Xbox / PC</v>
      </c>
      <c r="C483" s="14" t="str">
        <f>IFERROR(__xludf.DUMMYFUNCTION("""COMPUTED_VALUE"""),"Yes")</f>
        <v>Yes</v>
      </c>
      <c r="D483" s="14" t="str">
        <f>IFERROR(__xludf.DUMMYFUNCTION("""COMPUTED_VALUE"""),"Active")</f>
        <v>Active</v>
      </c>
      <c r="E483" s="15">
        <f>IFERROR(__xludf.DUMMYFUNCTION("""COMPUTED_VALUE"""),45859.0)</f>
        <v>45859</v>
      </c>
      <c r="F483" s="16"/>
      <c r="G483" s="18">
        <f>IFERROR(__xludf.DUMMYFUNCTION("""COMPUTED_VALUE"""),14.5)</f>
        <v>14.5</v>
      </c>
      <c r="H483" s="15">
        <f>IFERROR(__xludf.DUMMYFUNCTION("""COMPUTED_VALUE"""),33889.0)</f>
        <v>33889</v>
      </c>
      <c r="I483" s="18">
        <f>IFERROR(__xludf.DUMMYFUNCTION("""COMPUTED_VALUE"""),32.775)</f>
        <v>32.775</v>
      </c>
      <c r="J483" s="22">
        <f>IFERROR(__xludf.DUMMYFUNCTION("""COMPUTED_VALUE"""),72.0)</f>
        <v>72</v>
      </c>
      <c r="K483" s="22">
        <f>IFERROR(__xludf.DUMMYFUNCTION("""COMPUTED_VALUE"""),8.0)</f>
        <v>8</v>
      </c>
      <c r="L483" s="26" t="str">
        <f>IFERROR(__xludf.DUMMYFUNCTION("""COMPUTED_VALUE"""),"City‑building")</f>
        <v>City‑building</v>
      </c>
    </row>
    <row r="484">
      <c r="A484" s="12" t="str">
        <f>IFERROR(__xludf.DUMMYFUNCTION("""COMPUTED_VALUE"""),"Hard Head")</f>
        <v>Hard Head</v>
      </c>
      <c r="B484" s="13" t="str">
        <f>IFERROR(__xludf.DUMMYFUNCTION("""COMPUTED_VALUE"""),"Xbox / PC")</f>
        <v>Xbox / PC</v>
      </c>
      <c r="C484" s="14" t="str">
        <f>IFERROR(__xludf.DUMMYFUNCTION("""COMPUTED_VALUE"""),"Yes")</f>
        <v>Yes</v>
      </c>
      <c r="D484" s="14" t="str">
        <f>IFERROR(__xludf.DUMMYFUNCTION("""COMPUTED_VALUE"""),"Active")</f>
        <v>Active</v>
      </c>
      <c r="E484" s="15">
        <f>IFERROR(__xludf.DUMMYFUNCTION("""COMPUTED_VALUE"""),45859.0)</f>
        <v>45859</v>
      </c>
      <c r="F484" s="16"/>
      <c r="G484" s="18">
        <f>IFERROR(__xludf.DUMMYFUNCTION("""COMPUTED_VALUE"""),14.5)</f>
        <v>14.5</v>
      </c>
      <c r="H484" s="15">
        <f>IFERROR(__xludf.DUMMYFUNCTION("""COMPUTED_VALUE"""),30682.0)</f>
        <v>30682</v>
      </c>
      <c r="I484" s="18">
        <f>IFERROR(__xludf.DUMMYFUNCTION("""COMPUTED_VALUE"""),41.55555555555556)</f>
        <v>41.55555556</v>
      </c>
      <c r="J484" s="22">
        <f>IFERROR(__xludf.DUMMYFUNCTION("""COMPUTED_VALUE"""),72.0)</f>
        <v>72</v>
      </c>
      <c r="K484" s="22"/>
      <c r="L484" s="26" t="str">
        <f>IFERROR(__xludf.DUMMYFUNCTION("""COMPUTED_VALUE"""),"Action")</f>
        <v>Action</v>
      </c>
    </row>
    <row r="485">
      <c r="A485" s="12" t="str">
        <f>IFERROR(__xludf.DUMMYFUNCTION("""COMPUTED_VALUE"""),"RoboCop: Rogue City")</f>
        <v>RoboCop: Rogue City</v>
      </c>
      <c r="B485" s="13" t="str">
        <f>IFERROR(__xludf.DUMMYFUNCTION("""COMPUTED_VALUE"""),"Xbox / PC")</f>
        <v>Xbox / PC</v>
      </c>
      <c r="C485" s="14" t="str">
        <f>IFERROR(__xludf.DUMMYFUNCTION("""COMPUTED_VALUE"""),"Yes")</f>
        <v>Yes</v>
      </c>
      <c r="D485" s="14" t="str">
        <f>IFERROR(__xludf.DUMMYFUNCTION("""COMPUTED_VALUE"""),"Active")</f>
        <v>Active</v>
      </c>
      <c r="E485" s="15">
        <f>IFERROR(__xludf.DUMMYFUNCTION("""COMPUTED_VALUE"""),45855.0)</f>
        <v>45855</v>
      </c>
      <c r="F485" s="16"/>
      <c r="G485" s="18">
        <f>IFERROR(__xludf.DUMMYFUNCTION("""COMPUTED_VALUE"""),14.633333333333335)</f>
        <v>14.63333333</v>
      </c>
      <c r="H485" s="15">
        <f>IFERROR(__xludf.DUMMYFUNCTION("""COMPUTED_VALUE"""),45232.0)</f>
        <v>45232</v>
      </c>
      <c r="I485" s="18">
        <f>IFERROR(__xludf.DUMMYFUNCTION("""COMPUTED_VALUE"""),1.7083333333333333)</f>
        <v>1.708333333</v>
      </c>
      <c r="J485" s="22">
        <f>IFERROR(__xludf.DUMMYFUNCTION("""COMPUTED_VALUE"""),72.0)</f>
        <v>72</v>
      </c>
      <c r="K485" s="22">
        <f>IFERROR(__xludf.DUMMYFUNCTION("""COMPUTED_VALUE"""),12.0)</f>
        <v>12</v>
      </c>
      <c r="L485" s="26" t="str">
        <f>IFERROR(__xludf.DUMMYFUNCTION("""COMPUTED_VALUE"""),"Shooter")</f>
        <v>Shooter</v>
      </c>
    </row>
    <row r="486">
      <c r="A486" s="12" t="str">
        <f>IFERROR(__xludf.DUMMYFUNCTION("""COMPUTED_VALUE"""),"Skiing")</f>
        <v>Skiing</v>
      </c>
      <c r="B486" s="13" t="str">
        <f>IFERROR(__xludf.DUMMYFUNCTION("""COMPUTED_VALUE"""),"Xbox / PC")</f>
        <v>Xbox / PC</v>
      </c>
      <c r="C486" s="14" t="str">
        <f>IFERROR(__xludf.DUMMYFUNCTION("""COMPUTED_VALUE"""),"Yes")</f>
        <v>Yes</v>
      </c>
      <c r="D486" s="14" t="str">
        <f>IFERROR(__xludf.DUMMYFUNCTION("""COMPUTED_VALUE"""),"Active")</f>
        <v>Active</v>
      </c>
      <c r="E486" s="15">
        <f>IFERROR(__xludf.DUMMYFUNCTION("""COMPUTED_VALUE"""),45839.0)</f>
        <v>45839</v>
      </c>
      <c r="F486" s="16"/>
      <c r="G486" s="18">
        <f>IFERROR(__xludf.DUMMYFUNCTION("""COMPUTED_VALUE"""),15.166666666666666)</f>
        <v>15.16666667</v>
      </c>
      <c r="H486" s="15">
        <f>IFERROR(__xludf.DUMMYFUNCTION("""COMPUTED_VALUE"""),29556.0)</f>
        <v>29556</v>
      </c>
      <c r="I486" s="18">
        <f>IFERROR(__xludf.DUMMYFUNCTION("""COMPUTED_VALUE"""),44.583333333333336)</f>
        <v>44.58333333</v>
      </c>
      <c r="J486" s="22">
        <f>IFERROR(__xludf.DUMMYFUNCTION("""COMPUTED_VALUE"""),72.0)</f>
        <v>72</v>
      </c>
      <c r="K486" s="22">
        <f>IFERROR(__xludf.DUMMYFUNCTION("""COMPUTED_VALUE"""),1.0)</f>
        <v>1</v>
      </c>
      <c r="L486" s="26" t="str">
        <f>IFERROR(__xludf.DUMMYFUNCTION("""COMPUTED_VALUE"""),"Sports")</f>
        <v>Sports</v>
      </c>
    </row>
    <row r="487">
      <c r="A487" s="12" t="str">
        <f>IFERROR(__xludf.DUMMYFUNCTION("""COMPUTED_VALUE"""),"Atlantis II")</f>
        <v>Atlantis II</v>
      </c>
      <c r="B487" s="13" t="str">
        <f>IFERROR(__xludf.DUMMYFUNCTION("""COMPUTED_VALUE"""),"Xbox / PC")</f>
        <v>Xbox / PC</v>
      </c>
      <c r="C487" s="14" t="str">
        <f>IFERROR(__xludf.DUMMYFUNCTION("""COMPUTED_VALUE"""),"Yes")</f>
        <v>Yes</v>
      </c>
      <c r="D487" s="14" t="str">
        <f>IFERROR(__xludf.DUMMYFUNCTION("""COMPUTED_VALUE"""),"Active")</f>
        <v>Active</v>
      </c>
      <c r="E487" s="15">
        <f>IFERROR(__xludf.DUMMYFUNCTION("""COMPUTED_VALUE"""),45798.0)</f>
        <v>45798</v>
      </c>
      <c r="F487" s="16"/>
      <c r="G487" s="18">
        <f>IFERROR(__xludf.DUMMYFUNCTION("""COMPUTED_VALUE"""),16.5)</f>
        <v>16.5</v>
      </c>
      <c r="H487" s="15">
        <f>IFERROR(__xludf.DUMMYFUNCTION("""COMPUTED_VALUE"""),32255.0)</f>
        <v>32255</v>
      </c>
      <c r="I487" s="18">
        <f>IFERROR(__xludf.DUMMYFUNCTION("""COMPUTED_VALUE"""),37.080555555555556)</f>
        <v>37.08055556</v>
      </c>
      <c r="J487" s="22">
        <f>IFERROR(__xludf.DUMMYFUNCTION("""COMPUTED_VALUE"""),72.0)</f>
        <v>72</v>
      </c>
      <c r="K487" s="22">
        <f>IFERROR(__xludf.DUMMYFUNCTION("""COMPUTED_VALUE"""),7.0)</f>
        <v>7</v>
      </c>
      <c r="L487" s="26" t="str">
        <f>IFERROR(__xludf.DUMMYFUNCTION("""COMPUTED_VALUE"""),"Shooter")</f>
        <v>Shooter</v>
      </c>
    </row>
    <row r="488">
      <c r="A488" s="12" t="str">
        <f>IFERROR(__xludf.DUMMYFUNCTION("""COMPUTED_VALUE"""),"Frostbite")</f>
        <v>Frostbite</v>
      </c>
      <c r="B488" s="13" t="str">
        <f>IFERROR(__xludf.DUMMYFUNCTION("""COMPUTED_VALUE"""),"Xbox / PC")</f>
        <v>Xbox / PC</v>
      </c>
      <c r="C488" s="14" t="str">
        <f>IFERROR(__xludf.DUMMYFUNCTION("""COMPUTED_VALUE"""),"Yes")</f>
        <v>Yes</v>
      </c>
      <c r="D488" s="14" t="str">
        <f>IFERROR(__xludf.DUMMYFUNCTION("""COMPUTED_VALUE"""),"Active")</f>
        <v>Active</v>
      </c>
      <c r="E488" s="15">
        <f>IFERROR(__xludf.DUMMYFUNCTION("""COMPUTED_VALUE"""),45798.0)</f>
        <v>45798</v>
      </c>
      <c r="F488" s="16"/>
      <c r="G488" s="18">
        <f>IFERROR(__xludf.DUMMYFUNCTION("""COMPUTED_VALUE"""),16.5)</f>
        <v>16.5</v>
      </c>
      <c r="H488" s="15">
        <f>IFERROR(__xludf.DUMMYFUNCTION("""COMPUTED_VALUE"""),30542.0)</f>
        <v>30542</v>
      </c>
      <c r="I488" s="18">
        <f>IFERROR(__xludf.DUMMYFUNCTION("""COMPUTED_VALUE"""),41.769444444444446)</f>
        <v>41.76944444</v>
      </c>
      <c r="J488" s="22">
        <f>IFERROR(__xludf.DUMMYFUNCTION("""COMPUTED_VALUE"""),72.0)</f>
        <v>72</v>
      </c>
      <c r="K488" s="22"/>
      <c r="L488" s="26" t="str">
        <f>IFERROR(__xludf.DUMMYFUNCTION("""COMPUTED_VALUE"""),"Action‑Adventure")</f>
        <v>Action‑Adventure</v>
      </c>
    </row>
    <row r="489">
      <c r="A489" s="12" t="str">
        <f>IFERROR(__xludf.DUMMYFUNCTION("""COMPUTED_VALUE"""),"Spider Fighter")</f>
        <v>Spider Fighter</v>
      </c>
      <c r="B489" s="13" t="str">
        <f>IFERROR(__xludf.DUMMYFUNCTION("""COMPUTED_VALUE"""),"Xbox / PC")</f>
        <v>Xbox / PC</v>
      </c>
      <c r="C489" s="14" t="str">
        <f>IFERROR(__xludf.DUMMYFUNCTION("""COMPUTED_VALUE"""),"Yes")</f>
        <v>Yes</v>
      </c>
      <c r="D489" s="14" t="str">
        <f>IFERROR(__xludf.DUMMYFUNCTION("""COMPUTED_VALUE"""),"Active")</f>
        <v>Active</v>
      </c>
      <c r="E489" s="15">
        <f>IFERROR(__xludf.DUMMYFUNCTION("""COMPUTED_VALUE"""),45798.0)</f>
        <v>45798</v>
      </c>
      <c r="F489" s="16"/>
      <c r="G489" s="18">
        <f>IFERROR(__xludf.DUMMYFUNCTION("""COMPUTED_VALUE"""),16.5)</f>
        <v>16.5</v>
      </c>
      <c r="H489" s="15">
        <f>IFERROR(__xludf.DUMMYFUNCTION("""COMPUTED_VALUE"""),30317.0)</f>
        <v>30317</v>
      </c>
      <c r="I489" s="18">
        <f>IFERROR(__xludf.DUMMYFUNCTION("""COMPUTED_VALUE"""),42.388888888888886)</f>
        <v>42.38888889</v>
      </c>
      <c r="J489" s="22">
        <f>IFERROR(__xludf.DUMMYFUNCTION("""COMPUTED_VALUE"""),72.0)</f>
        <v>72</v>
      </c>
      <c r="K489" s="22"/>
      <c r="L489" s="26" t="str">
        <f>IFERROR(__xludf.DUMMYFUNCTION("""COMPUTED_VALUE"""),"Shooter")</f>
        <v>Shooter</v>
      </c>
    </row>
    <row r="490">
      <c r="A490" s="12" t="str">
        <f>IFERROR(__xludf.DUMMYFUNCTION("""COMPUTED_VALUE"""),"F1 24")</f>
        <v>F1 24</v>
      </c>
      <c r="B490" s="13" t="str">
        <f>IFERROR(__xludf.DUMMYFUNCTION("""COMPUTED_VALUE"""),"Xbox / PC")</f>
        <v>Xbox / PC</v>
      </c>
      <c r="C490" s="14" t="str">
        <f>IFERROR(__xludf.DUMMYFUNCTION("""COMPUTED_VALUE"""),"Yes")</f>
        <v>Yes</v>
      </c>
      <c r="D490" s="14" t="str">
        <f>IFERROR(__xludf.DUMMYFUNCTION("""COMPUTED_VALUE"""),"Active")</f>
        <v>Active</v>
      </c>
      <c r="E490" s="15">
        <f>IFERROR(__xludf.DUMMYFUNCTION("""COMPUTED_VALUE"""),45708.0)</f>
        <v>45708</v>
      </c>
      <c r="F490" s="16"/>
      <c r="G490" s="18">
        <f>IFERROR(__xludf.DUMMYFUNCTION("""COMPUTED_VALUE"""),19.53333333333333)</f>
        <v>19.53333333</v>
      </c>
      <c r="H490" s="15">
        <f>IFERROR(__xludf.DUMMYFUNCTION("""COMPUTED_VALUE"""),45443.0)</f>
        <v>45443</v>
      </c>
      <c r="I490" s="18">
        <f>IFERROR(__xludf.DUMMYFUNCTION("""COMPUTED_VALUE"""),0.7222222222222222)</f>
        <v>0.7222222222</v>
      </c>
      <c r="J490" s="22">
        <f>IFERROR(__xludf.DUMMYFUNCTION("""COMPUTED_VALUE"""),72.0)</f>
        <v>72</v>
      </c>
      <c r="K490" s="22">
        <f>IFERROR(__xludf.DUMMYFUNCTION("""COMPUTED_VALUE"""),7.0)</f>
        <v>7</v>
      </c>
      <c r="L490" s="26" t="str">
        <f>IFERROR(__xludf.DUMMYFUNCTION("""COMPUTED_VALUE"""),"Racing")</f>
        <v>Racing</v>
      </c>
    </row>
    <row r="491">
      <c r="A491" s="12" t="str">
        <f>IFERROR(__xludf.DUMMYFUNCTION("""COMPUTED_VALUE"""),"Legend of Mana (2021)")</f>
        <v>Legend of Mana (2021)</v>
      </c>
      <c r="B491" s="13" t="str">
        <f>IFERROR(__xludf.DUMMYFUNCTION("""COMPUTED_VALUE"""),"Xbox / PC")</f>
        <v>Xbox / PC</v>
      </c>
      <c r="C491" s="14" t="str">
        <f>IFERROR(__xludf.DUMMYFUNCTION("""COMPUTED_VALUE"""),"Yes")</f>
        <v>Yes</v>
      </c>
      <c r="D491" s="14" t="str">
        <f>IFERROR(__xludf.DUMMYFUNCTION("""COMPUTED_VALUE"""),"Active")</f>
        <v>Active</v>
      </c>
      <c r="E491" s="15">
        <f>IFERROR(__xludf.DUMMYFUNCTION("""COMPUTED_VALUE"""),45561.0)</f>
        <v>45561</v>
      </c>
      <c r="F491" s="16"/>
      <c r="G491" s="18">
        <f>IFERROR(__xludf.DUMMYFUNCTION("""COMPUTED_VALUE"""),24.333333333333332)</f>
        <v>24.33333333</v>
      </c>
      <c r="H491" s="15">
        <f>IFERROR(__xludf.DUMMYFUNCTION("""COMPUTED_VALUE"""),44371.0)</f>
        <v>44371</v>
      </c>
      <c r="I491" s="18">
        <f>IFERROR(__xludf.DUMMYFUNCTION("""COMPUTED_VALUE"""),3.2555555555555555)</f>
        <v>3.255555556</v>
      </c>
      <c r="J491" s="22">
        <f>IFERROR(__xludf.DUMMYFUNCTION("""COMPUTED_VALUE"""),72.0)</f>
        <v>72</v>
      </c>
      <c r="K491" s="22">
        <f>IFERROR(__xludf.DUMMYFUNCTION("""COMPUTED_VALUE"""),18.0)</f>
        <v>18</v>
      </c>
      <c r="L491" s="26" t="str">
        <f>IFERROR(__xludf.DUMMYFUNCTION("""COMPUTED_VALUE"""),"RPG")</f>
        <v>RPG</v>
      </c>
    </row>
    <row r="492">
      <c r="A492" s="12" t="str">
        <f>IFERROR(__xludf.DUMMYFUNCTION("""COMPUTED_VALUE"""),"Mirror's Edge: Catalyst")</f>
        <v>Mirror's Edge: Catalyst</v>
      </c>
      <c r="B492" s="13" t="str">
        <f>IFERROR(__xludf.DUMMYFUNCTION("""COMPUTED_VALUE"""),"Xbox / PC")</f>
        <v>Xbox / PC</v>
      </c>
      <c r="C492" s="14" t="str">
        <f>IFERROR(__xludf.DUMMYFUNCTION("""COMPUTED_VALUE"""),"Yes")</f>
        <v>Yes</v>
      </c>
      <c r="D492" s="14" t="str">
        <f>IFERROR(__xludf.DUMMYFUNCTION("""COMPUTED_VALUE"""),"Active")</f>
        <v>Active</v>
      </c>
      <c r="E492" s="15">
        <f>IFERROR(__xludf.DUMMYFUNCTION("""COMPUTED_VALUE"""),44145.0)</f>
        <v>44145</v>
      </c>
      <c r="F492" s="16"/>
      <c r="G492" s="18">
        <f>IFERROR(__xludf.DUMMYFUNCTION("""COMPUTED_VALUE"""),70.86666666666667)</f>
        <v>70.86666667</v>
      </c>
      <c r="H492" s="15">
        <f>IFERROR(__xludf.DUMMYFUNCTION("""COMPUTED_VALUE"""),42528.0)</f>
        <v>42528</v>
      </c>
      <c r="I492" s="18">
        <f>IFERROR(__xludf.DUMMYFUNCTION("""COMPUTED_VALUE"""),4.425)</f>
        <v>4.425</v>
      </c>
      <c r="J492" s="22">
        <f>IFERROR(__xludf.DUMMYFUNCTION("""COMPUTED_VALUE"""),72.0)</f>
        <v>72</v>
      </c>
      <c r="K492" s="22">
        <f>IFERROR(__xludf.DUMMYFUNCTION("""COMPUTED_VALUE"""),8.5)</f>
        <v>8.5</v>
      </c>
      <c r="L492" s="26" t="str">
        <f>IFERROR(__xludf.DUMMYFUNCTION("""COMPUTED_VALUE"""),"Action-Adventure")</f>
        <v>Action-Adventure</v>
      </c>
    </row>
    <row r="493">
      <c r="A493" s="12" t="str">
        <f>IFERROR(__xludf.DUMMYFUNCTION("""COMPUTED_VALUE"""),"Sea of Solitude")</f>
        <v>Sea of Solitude</v>
      </c>
      <c r="B493" s="13" t="str">
        <f>IFERROR(__xludf.DUMMYFUNCTION("""COMPUTED_VALUE"""),"Xbox / PC")</f>
        <v>Xbox / PC</v>
      </c>
      <c r="C493" s="14"/>
      <c r="D493" s="14" t="str">
        <f>IFERROR(__xludf.DUMMYFUNCTION("""COMPUTED_VALUE"""),"Active")</f>
        <v>Active</v>
      </c>
      <c r="E493" s="15">
        <f>IFERROR(__xludf.DUMMYFUNCTION("""COMPUTED_VALUE"""),44145.0)</f>
        <v>44145</v>
      </c>
      <c r="F493" s="16"/>
      <c r="G493" s="18">
        <f>IFERROR(__xludf.DUMMYFUNCTION("""COMPUTED_VALUE"""),70.86666666666667)</f>
        <v>70.86666667</v>
      </c>
      <c r="H493" s="15">
        <f>IFERROR(__xludf.DUMMYFUNCTION("""COMPUTED_VALUE"""),43651.0)</f>
        <v>43651</v>
      </c>
      <c r="I493" s="18">
        <f>IFERROR(__xludf.DUMMYFUNCTION("""COMPUTED_VALUE"""),1.3472222222222223)</f>
        <v>1.347222222</v>
      </c>
      <c r="J493" s="22">
        <f>IFERROR(__xludf.DUMMYFUNCTION("""COMPUTED_VALUE"""),72.0)</f>
        <v>72</v>
      </c>
      <c r="K493" s="22">
        <f>IFERROR(__xludf.DUMMYFUNCTION("""COMPUTED_VALUE"""),3.0)</f>
        <v>3</v>
      </c>
      <c r="L493" s="26" t="str">
        <f>IFERROR(__xludf.DUMMYFUNCTION("""COMPUTED_VALUE"""),"Adventure")</f>
        <v>Adventure</v>
      </c>
    </row>
    <row r="494">
      <c r="A494" s="12" t="str">
        <f>IFERROR(__xludf.DUMMYFUNCTION("""COMPUTED_VALUE"""),"RAGE 2")</f>
        <v>RAGE 2</v>
      </c>
      <c r="B494" s="13" t="str">
        <f>IFERROR(__xludf.DUMMYFUNCTION("""COMPUTED_VALUE"""),"Xbox / PC")</f>
        <v>Xbox / PC</v>
      </c>
      <c r="C494" s="14" t="str">
        <f>IFERROR(__xludf.DUMMYFUNCTION("""COMPUTED_VALUE"""),"Yes")</f>
        <v>Yes</v>
      </c>
      <c r="D494" s="14" t="str">
        <f>IFERROR(__xludf.DUMMYFUNCTION("""COMPUTED_VALUE"""),"Active")</f>
        <v>Active</v>
      </c>
      <c r="E494" s="15">
        <f>IFERROR(__xludf.DUMMYFUNCTION("""COMPUTED_VALUE"""),43783.0)</f>
        <v>43783</v>
      </c>
      <c r="F494" s="16"/>
      <c r="G494" s="18">
        <f>IFERROR(__xludf.DUMMYFUNCTION("""COMPUTED_VALUE"""),82.73333333333333)</f>
        <v>82.73333333</v>
      </c>
      <c r="H494" s="15">
        <f>IFERROR(__xludf.DUMMYFUNCTION("""COMPUTED_VALUE"""),43599.0)</f>
        <v>43599</v>
      </c>
      <c r="I494" s="18">
        <f>IFERROR(__xludf.DUMMYFUNCTION("""COMPUTED_VALUE"""),0.5)</f>
        <v>0.5</v>
      </c>
      <c r="J494" s="22">
        <f>IFERROR(__xludf.DUMMYFUNCTION("""COMPUTED_VALUE"""),72.0)</f>
        <v>72</v>
      </c>
      <c r="K494" s="22">
        <f>IFERROR(__xludf.DUMMYFUNCTION("""COMPUTED_VALUE"""),10.0)</f>
        <v>10</v>
      </c>
      <c r="L494" s="26" t="str">
        <f>IFERROR(__xludf.DUMMYFUNCTION("""COMPUTED_VALUE"""),"Shooter")</f>
        <v>Shooter</v>
      </c>
    </row>
    <row r="495">
      <c r="A495" s="12" t="str">
        <f>IFERROR(__xludf.DUMMYFUNCTION("""COMPUTED_VALUE"""),"ASTRONEER")</f>
        <v>ASTRONEER</v>
      </c>
      <c r="B495" s="13" t="str">
        <f>IFERROR(__xludf.DUMMYFUNCTION("""COMPUTED_VALUE"""),"Xbox / PC")</f>
        <v>Xbox / PC</v>
      </c>
      <c r="C495" s="14" t="str">
        <f>IFERROR(__xludf.DUMMYFUNCTION("""COMPUTED_VALUE"""),"Yes")</f>
        <v>Yes</v>
      </c>
      <c r="D495" s="14" t="str">
        <f>IFERROR(__xludf.DUMMYFUNCTION("""COMPUTED_VALUE"""),"Active")</f>
        <v>Active</v>
      </c>
      <c r="E495" s="15">
        <f>IFERROR(__xludf.DUMMYFUNCTION("""COMPUTED_VALUE"""),43625.0)</f>
        <v>43625</v>
      </c>
      <c r="F495" s="16"/>
      <c r="G495" s="18">
        <f>IFERROR(__xludf.DUMMYFUNCTION("""COMPUTED_VALUE"""),87.9)</f>
        <v>87.9</v>
      </c>
      <c r="H495" s="15">
        <f>IFERROR(__xludf.DUMMYFUNCTION("""COMPUTED_VALUE"""),42720.0)</f>
        <v>42720</v>
      </c>
      <c r="I495" s="18">
        <f>IFERROR(__xludf.DUMMYFUNCTION("""COMPUTED_VALUE"""),2.4805555555555556)</f>
        <v>2.480555556</v>
      </c>
      <c r="J495" s="22">
        <f>IFERROR(__xludf.DUMMYFUNCTION("""COMPUTED_VALUE"""),72.0)</f>
        <v>72</v>
      </c>
      <c r="K495" s="22">
        <f>IFERROR(__xludf.DUMMYFUNCTION("""COMPUTED_VALUE"""),18.5)</f>
        <v>18.5</v>
      </c>
      <c r="L495" s="26" t="str">
        <f>IFERROR(__xludf.DUMMYFUNCTION("""COMPUTED_VALUE"""),"Adventure")</f>
        <v>Adventure</v>
      </c>
    </row>
    <row r="496">
      <c r="A496" s="12" t="str">
        <f>IFERROR(__xludf.DUMMYFUNCTION("""COMPUTED_VALUE"""),"Tom Clancy's Rainbow Six: Extraction")</f>
        <v>Tom Clancy's Rainbow Six: Extraction</v>
      </c>
      <c r="B496" s="13" t="str">
        <f>IFERROR(__xludf.DUMMYFUNCTION("""COMPUTED_VALUE"""),"Xbox / PC")</f>
        <v>Xbox / PC</v>
      </c>
      <c r="C496" s="14" t="str">
        <f>IFERROR(__xludf.DUMMYFUNCTION("""COMPUTED_VALUE"""),"Yes")</f>
        <v>Yes</v>
      </c>
      <c r="D496" s="14" t="str">
        <f>IFERROR(__xludf.DUMMYFUNCTION("""COMPUTED_VALUE"""),"Active")</f>
        <v>Active</v>
      </c>
      <c r="E496" s="15">
        <f>IFERROR(__xludf.DUMMYFUNCTION("""COMPUTED_VALUE"""),45931.0)</f>
        <v>45931</v>
      </c>
      <c r="F496" s="16"/>
      <c r="G496" s="18">
        <f>IFERROR(__xludf.DUMMYFUNCTION("""COMPUTED_VALUE"""),12.166666666666666)</f>
        <v>12.16666667</v>
      </c>
      <c r="H496" s="15">
        <f>IFERROR(__xludf.DUMMYFUNCTION("""COMPUTED_VALUE"""),44581.0)</f>
        <v>44581</v>
      </c>
      <c r="I496" s="18">
        <f>IFERROR(__xludf.DUMMYFUNCTION("""COMPUTED_VALUE"""),3.6972222222222224)</f>
        <v>3.697222222</v>
      </c>
      <c r="J496" s="22">
        <f>IFERROR(__xludf.DUMMYFUNCTION("""COMPUTED_VALUE"""),71.5)</f>
        <v>71.5</v>
      </c>
      <c r="K496" s="22">
        <f>IFERROR(__xludf.DUMMYFUNCTION("""COMPUTED_VALUE"""),8.0)</f>
        <v>8</v>
      </c>
      <c r="L496" s="26" t="str">
        <f>IFERROR(__xludf.DUMMYFUNCTION("""COMPUTED_VALUE"""),"Shooter")</f>
        <v>Shooter</v>
      </c>
    </row>
    <row r="497">
      <c r="A497" s="12" t="str">
        <f>IFERROR(__xludf.DUMMYFUNCTION("""COMPUTED_VALUE"""),"Warcraft II: Remastered")</f>
        <v>Warcraft II: Remastered</v>
      </c>
      <c r="B497" s="13" t="str">
        <f>IFERROR(__xludf.DUMMYFUNCTION("""COMPUTED_VALUE"""),"PC")</f>
        <v>PC</v>
      </c>
      <c r="C497" s="14"/>
      <c r="D497" s="14" t="str">
        <f>IFERROR(__xludf.DUMMYFUNCTION("""COMPUTED_VALUE"""),"Active")</f>
        <v>Active</v>
      </c>
      <c r="E497" s="15">
        <f>IFERROR(__xludf.DUMMYFUNCTION("""COMPUTED_VALUE"""),45834.0)</f>
        <v>45834</v>
      </c>
      <c r="F497" s="16"/>
      <c r="G497" s="18">
        <f>IFERROR(__xludf.DUMMYFUNCTION("""COMPUTED_VALUE"""),15.333333333333332)</f>
        <v>15.33333333</v>
      </c>
      <c r="H497" s="15">
        <f>IFERROR(__xludf.DUMMYFUNCTION("""COMPUTED_VALUE"""),45609.0)</f>
        <v>45609</v>
      </c>
      <c r="I497" s="18">
        <f>IFERROR(__xludf.DUMMYFUNCTION("""COMPUTED_VALUE"""),0.6194444444444445)</f>
        <v>0.6194444444</v>
      </c>
      <c r="J497" s="22">
        <f>IFERROR(__xludf.DUMMYFUNCTION("""COMPUTED_VALUE"""),71.5)</f>
        <v>71.5</v>
      </c>
      <c r="K497" s="22">
        <f>IFERROR(__xludf.DUMMYFUNCTION("""COMPUTED_VALUE"""),21.0)</f>
        <v>21</v>
      </c>
      <c r="L497" s="26" t="str">
        <f>IFERROR(__xludf.DUMMYFUNCTION("""COMPUTED_VALUE"""),"Strategy")</f>
        <v>Strategy</v>
      </c>
    </row>
    <row r="498">
      <c r="A498" s="12" t="str">
        <f>IFERROR(__xludf.DUMMYFUNCTION("""COMPUTED_VALUE"""),"RV There Yet?")</f>
        <v>RV There Yet?</v>
      </c>
      <c r="B498" s="13" t="str">
        <f>IFERROR(__xludf.DUMMYFUNCTION("""COMPUTED_VALUE"""),"Xbox / PC")</f>
        <v>Xbox / PC</v>
      </c>
      <c r="C498" s="14" t="str">
        <f>IFERROR(__xludf.DUMMYFUNCTION("""COMPUTED_VALUE"""),"Yes")</f>
        <v>Yes</v>
      </c>
      <c r="D498" s="14" t="str">
        <f>IFERROR(__xludf.DUMMYFUNCTION("""COMPUTED_VALUE"""),"Active")</f>
        <v>Active</v>
      </c>
      <c r="E498" s="15">
        <f>IFERROR(__xludf.DUMMYFUNCTION("""COMPUTED_VALUE"""),46203.0)</f>
        <v>46203</v>
      </c>
      <c r="F498" s="16"/>
      <c r="G498" s="18">
        <f>IFERROR(__xludf.DUMMYFUNCTION("""COMPUTED_VALUE"""),3.2)</f>
        <v>3.2</v>
      </c>
      <c r="H498" s="15">
        <f>IFERROR(__xludf.DUMMYFUNCTION("""COMPUTED_VALUE"""),46203.0)</f>
        <v>46203</v>
      </c>
      <c r="I498" s="18">
        <f>IFERROR(__xludf.DUMMYFUNCTION("""COMPUTED_VALUE"""),0.0)</f>
        <v>0</v>
      </c>
      <c r="J498" s="22">
        <f>IFERROR(__xludf.DUMMYFUNCTION("""COMPUTED_VALUE"""),71.0)</f>
        <v>71</v>
      </c>
      <c r="K498" s="22">
        <f>IFERROR(__xludf.DUMMYFUNCTION("""COMPUTED_VALUE"""),4.0)</f>
        <v>4</v>
      </c>
      <c r="L498" s="26" t="str">
        <f>IFERROR(__xludf.DUMMYFUNCTION("""COMPUTED_VALUE"""),"Action-Adventure")</f>
        <v>Action-Adventure</v>
      </c>
    </row>
    <row r="499">
      <c r="A499" s="12" t="str">
        <f>IFERROR(__xludf.DUMMYFUNCTION("""COMPUTED_VALUE"""),"ANNO: Mutationem")</f>
        <v>ANNO: Mutationem</v>
      </c>
      <c r="B499" s="13" t="str">
        <f>IFERROR(__xludf.DUMMYFUNCTION("""COMPUTED_VALUE"""),"Xbox / PC")</f>
        <v>Xbox / PC</v>
      </c>
      <c r="C499" s="14" t="str">
        <f>IFERROR(__xludf.DUMMYFUNCTION("""COMPUTED_VALUE"""),"Yes")</f>
        <v>Yes</v>
      </c>
      <c r="D499" s="14" t="str">
        <f>IFERROR(__xludf.DUMMYFUNCTION("""COMPUTED_VALUE"""),"Active")</f>
        <v>Active</v>
      </c>
      <c r="E499" s="15">
        <f>IFERROR(__xludf.DUMMYFUNCTION("""COMPUTED_VALUE"""),46050.0)</f>
        <v>46050</v>
      </c>
      <c r="F499" s="16"/>
      <c r="G499" s="18">
        <f>IFERROR(__xludf.DUMMYFUNCTION("""COMPUTED_VALUE"""),8.266666666666666)</f>
        <v>8.266666667</v>
      </c>
      <c r="H499" s="15">
        <f>IFERROR(__xludf.DUMMYFUNCTION("""COMPUTED_VALUE"""),44637.0)</f>
        <v>44637</v>
      </c>
      <c r="I499" s="18">
        <f>IFERROR(__xludf.DUMMYFUNCTION("""COMPUTED_VALUE"""),3.863888888888889)</f>
        <v>3.863888889</v>
      </c>
      <c r="J499" s="22">
        <f>IFERROR(__xludf.DUMMYFUNCTION("""COMPUTED_VALUE"""),71.0)</f>
        <v>71</v>
      </c>
      <c r="K499" s="22">
        <f>IFERROR(__xludf.DUMMYFUNCTION("""COMPUTED_VALUE"""),11.0)</f>
        <v>11</v>
      </c>
      <c r="L499" s="26" t="str">
        <f>IFERROR(__xludf.DUMMYFUNCTION("""COMPUTED_VALUE"""),"Action-Adventure")</f>
        <v>Action-Adventure</v>
      </c>
    </row>
    <row r="500">
      <c r="A500" s="12" t="str">
        <f>IFERROR(__xludf.DUMMYFUNCTION("""COMPUTED_VALUE"""),"Assassin's Creed IV Black Flag: Freedom Cry")</f>
        <v>Assassin's Creed IV Black Flag: Freedom Cry</v>
      </c>
      <c r="B500" s="13" t="str">
        <f>IFERROR(__xludf.DUMMYFUNCTION("""COMPUTED_VALUE"""),"Xbox / PC")</f>
        <v>Xbox / PC</v>
      </c>
      <c r="C500" s="14"/>
      <c r="D500" s="14" t="str">
        <f>IFERROR(__xludf.DUMMYFUNCTION("""COMPUTED_VALUE"""),"Active")</f>
        <v>Active</v>
      </c>
      <c r="E500" s="15">
        <f>IFERROR(__xludf.DUMMYFUNCTION("""COMPUTED_VALUE"""),45931.0)</f>
        <v>45931</v>
      </c>
      <c r="F500" s="16"/>
      <c r="G500" s="18">
        <f>IFERROR(__xludf.DUMMYFUNCTION("""COMPUTED_VALUE"""),12.166666666666666)</f>
        <v>12.16666667</v>
      </c>
      <c r="H500" s="15">
        <f>IFERROR(__xludf.DUMMYFUNCTION("""COMPUTED_VALUE"""),41626.0)</f>
        <v>41626</v>
      </c>
      <c r="I500" s="18">
        <f>IFERROR(__xludf.DUMMYFUNCTION("""COMPUTED_VALUE"""),11.786111111111111)</f>
        <v>11.78611111</v>
      </c>
      <c r="J500" s="22">
        <f>IFERROR(__xludf.DUMMYFUNCTION("""COMPUTED_VALUE"""),71.0)</f>
        <v>71</v>
      </c>
      <c r="K500" s="22">
        <f>IFERROR(__xludf.DUMMYFUNCTION("""COMPUTED_VALUE"""),4.0)</f>
        <v>4</v>
      </c>
      <c r="L500" s="26" t="str">
        <f>IFERROR(__xludf.DUMMYFUNCTION("""COMPUTED_VALUE"""),"Action-Adventure")</f>
        <v>Action-Adventure</v>
      </c>
    </row>
    <row r="501">
      <c r="A501" s="12" t="str">
        <f>IFERROR(__xludf.DUMMYFUNCTION("""COMPUTED_VALUE"""),"Assassin's Creed Rogue: Remastered")</f>
        <v>Assassin's Creed Rogue: Remastered</v>
      </c>
      <c r="B501" s="13" t="str">
        <f>IFERROR(__xludf.DUMMYFUNCTION("""COMPUTED_VALUE"""),"Xbox / PC")</f>
        <v>Xbox / PC</v>
      </c>
      <c r="C501" s="14" t="str">
        <f>IFERROR(__xludf.DUMMYFUNCTION("""COMPUTED_VALUE"""),"Yes")</f>
        <v>Yes</v>
      </c>
      <c r="D501" s="14" t="str">
        <f>IFERROR(__xludf.DUMMYFUNCTION("""COMPUTED_VALUE"""),"Active")</f>
        <v>Active</v>
      </c>
      <c r="E501" s="15">
        <f>IFERROR(__xludf.DUMMYFUNCTION("""COMPUTED_VALUE"""),45931.0)</f>
        <v>45931</v>
      </c>
      <c r="F501" s="16"/>
      <c r="G501" s="18">
        <f>IFERROR(__xludf.DUMMYFUNCTION("""COMPUTED_VALUE"""),12.166666666666666)</f>
        <v>12.16666667</v>
      </c>
      <c r="H501" s="15">
        <f>IFERROR(__xludf.DUMMYFUNCTION("""COMPUTED_VALUE"""),43179.0)</f>
        <v>43179</v>
      </c>
      <c r="I501" s="18">
        <f>IFERROR(__xludf.DUMMYFUNCTION("""COMPUTED_VALUE"""),7.530555555555556)</f>
        <v>7.530555556</v>
      </c>
      <c r="J501" s="22">
        <f>IFERROR(__xludf.DUMMYFUNCTION("""COMPUTED_VALUE"""),71.0)</f>
        <v>71</v>
      </c>
      <c r="K501" s="22">
        <f>IFERROR(__xludf.DUMMYFUNCTION("""COMPUTED_VALUE"""),11.0)</f>
        <v>11</v>
      </c>
      <c r="L501" s="26" t="str">
        <f>IFERROR(__xludf.DUMMYFUNCTION("""COMPUTED_VALUE"""),"Action-Adventure")</f>
        <v>Action-Adventure</v>
      </c>
    </row>
    <row r="502">
      <c r="A502" s="12" t="str">
        <f>IFERROR(__xludf.DUMMYFUNCTION("""COMPUTED_VALUE"""),"Monopoly Madness")</f>
        <v>Monopoly Madness</v>
      </c>
      <c r="B502" s="13" t="str">
        <f>IFERROR(__xludf.DUMMYFUNCTION("""COMPUTED_VALUE"""),"Xbox / PC")</f>
        <v>Xbox / PC</v>
      </c>
      <c r="C502" s="14" t="str">
        <f>IFERROR(__xludf.DUMMYFUNCTION("""COMPUTED_VALUE"""),"Yes")</f>
        <v>Yes</v>
      </c>
      <c r="D502" s="14" t="str">
        <f>IFERROR(__xludf.DUMMYFUNCTION("""COMPUTED_VALUE"""),"Active")</f>
        <v>Active</v>
      </c>
      <c r="E502" s="15">
        <f>IFERROR(__xludf.DUMMYFUNCTION("""COMPUTED_VALUE"""),45931.0)</f>
        <v>45931</v>
      </c>
      <c r="F502" s="16"/>
      <c r="G502" s="18">
        <f>IFERROR(__xludf.DUMMYFUNCTION("""COMPUTED_VALUE"""),12.166666666666666)</f>
        <v>12.16666667</v>
      </c>
      <c r="H502" s="15">
        <f>IFERROR(__xludf.DUMMYFUNCTION("""COMPUTED_VALUE"""),44914.0)</f>
        <v>44914</v>
      </c>
      <c r="I502" s="18">
        <f>IFERROR(__xludf.DUMMYFUNCTION("""COMPUTED_VALUE"""),2.783333333333333)</f>
        <v>2.783333333</v>
      </c>
      <c r="J502" s="22">
        <f>IFERROR(__xludf.DUMMYFUNCTION("""COMPUTED_VALUE"""),71.0)</f>
        <v>71</v>
      </c>
      <c r="K502" s="22">
        <f>IFERROR(__xludf.DUMMYFUNCTION("""COMPUTED_VALUE"""),6.0)</f>
        <v>6</v>
      </c>
      <c r="L502" s="26" t="str">
        <f>IFERROR(__xludf.DUMMYFUNCTION("""COMPUTED_VALUE"""),"Party")</f>
        <v>Party</v>
      </c>
    </row>
    <row r="503">
      <c r="A503" s="12" t="str">
        <f>IFERROR(__xludf.DUMMYFUNCTION("""COMPUTED_VALUE"""),"OddBallers")</f>
        <v>OddBallers</v>
      </c>
      <c r="B503" s="13" t="str">
        <f>IFERROR(__xludf.DUMMYFUNCTION("""COMPUTED_VALUE"""),"Xbox / PC")</f>
        <v>Xbox / PC</v>
      </c>
      <c r="C503" s="14" t="str">
        <f>IFERROR(__xludf.DUMMYFUNCTION("""COMPUTED_VALUE"""),"Yes")</f>
        <v>Yes</v>
      </c>
      <c r="D503" s="14" t="str">
        <f>IFERROR(__xludf.DUMMYFUNCTION("""COMPUTED_VALUE"""),"Active")</f>
        <v>Active</v>
      </c>
      <c r="E503" s="15">
        <f>IFERROR(__xludf.DUMMYFUNCTION("""COMPUTED_VALUE"""),45931.0)</f>
        <v>45931</v>
      </c>
      <c r="F503" s="16"/>
      <c r="G503" s="18">
        <f>IFERROR(__xludf.DUMMYFUNCTION("""COMPUTED_VALUE"""),12.166666666666666)</f>
        <v>12.16666667</v>
      </c>
      <c r="H503" s="15">
        <f>IFERROR(__xludf.DUMMYFUNCTION("""COMPUTED_VALUE"""),44952.0)</f>
        <v>44952</v>
      </c>
      <c r="I503" s="18">
        <f>IFERROR(__xludf.DUMMYFUNCTION("""COMPUTED_VALUE"""),2.6805555555555554)</f>
        <v>2.680555556</v>
      </c>
      <c r="J503" s="22">
        <f>IFERROR(__xludf.DUMMYFUNCTION("""COMPUTED_VALUE"""),71.0)</f>
        <v>71</v>
      </c>
      <c r="K503" s="22">
        <f>IFERROR(__xludf.DUMMYFUNCTION("""COMPUTED_VALUE"""),8.0)</f>
        <v>8</v>
      </c>
      <c r="L503" s="26" t="str">
        <f>IFERROR(__xludf.DUMMYFUNCTION("""COMPUTED_VALUE"""),"Party")</f>
        <v>Party</v>
      </c>
    </row>
    <row r="504">
      <c r="A504" s="12" t="str">
        <f>IFERROR(__xludf.DUMMYFUNCTION("""COMPUTED_VALUE"""),"Steep")</f>
        <v>Steep</v>
      </c>
      <c r="B504" s="13" t="str">
        <f>IFERROR(__xludf.DUMMYFUNCTION("""COMPUTED_VALUE"""),"Xbox / PC")</f>
        <v>Xbox / PC</v>
      </c>
      <c r="C504" s="14" t="str">
        <f>IFERROR(__xludf.DUMMYFUNCTION("""COMPUTED_VALUE"""),"Touch Controls")</f>
        <v>Touch Controls</v>
      </c>
      <c r="D504" s="14" t="str">
        <f>IFERROR(__xludf.DUMMYFUNCTION("""COMPUTED_VALUE"""),"Active")</f>
        <v>Active</v>
      </c>
      <c r="E504" s="15">
        <f>IFERROR(__xludf.DUMMYFUNCTION("""COMPUTED_VALUE"""),45931.0)</f>
        <v>45931</v>
      </c>
      <c r="F504" s="16"/>
      <c r="G504" s="18">
        <f>IFERROR(__xludf.DUMMYFUNCTION("""COMPUTED_VALUE"""),12.166666666666666)</f>
        <v>12.16666667</v>
      </c>
      <c r="H504" s="15">
        <f>IFERROR(__xludf.DUMMYFUNCTION("""COMPUTED_VALUE"""),42703.0)</f>
        <v>42703</v>
      </c>
      <c r="I504" s="18">
        <f>IFERROR(__xludf.DUMMYFUNCTION("""COMPUTED_VALUE"""),8.838888888888889)</f>
        <v>8.838888889</v>
      </c>
      <c r="J504" s="22">
        <f>IFERROR(__xludf.DUMMYFUNCTION("""COMPUTED_VALUE"""),71.0)</f>
        <v>71</v>
      </c>
      <c r="K504" s="22">
        <f>IFERROR(__xludf.DUMMYFUNCTION("""COMPUTED_VALUE"""),12.0)</f>
        <v>12</v>
      </c>
      <c r="L504" s="26" t="str">
        <f>IFERROR(__xludf.DUMMYFUNCTION("""COMPUTED_VALUE"""),"Sports")</f>
        <v>Sports</v>
      </c>
    </row>
    <row r="505">
      <c r="A505" s="12" t="str">
        <f>IFERROR(__xludf.DUMMYFUNCTION("""COMPUTED_VALUE"""),"Wheel World")</f>
        <v>Wheel World</v>
      </c>
      <c r="B505" s="13" t="str">
        <f>IFERROR(__xludf.DUMMYFUNCTION("""COMPUTED_VALUE"""),"Xbox / PC")</f>
        <v>Xbox / PC</v>
      </c>
      <c r="C505" s="14" t="str">
        <f>IFERROR(__xludf.DUMMYFUNCTION("""COMPUTED_VALUE"""),"Yes")</f>
        <v>Yes</v>
      </c>
      <c r="D505" s="14" t="str">
        <f>IFERROR(__xludf.DUMMYFUNCTION("""COMPUTED_VALUE"""),"Active")</f>
        <v>Active</v>
      </c>
      <c r="E505" s="15">
        <f>IFERROR(__xludf.DUMMYFUNCTION("""COMPUTED_VALUE"""),45861.0)</f>
        <v>45861</v>
      </c>
      <c r="F505" s="16"/>
      <c r="G505" s="18">
        <f>IFERROR(__xludf.DUMMYFUNCTION("""COMPUTED_VALUE"""),14.433333333333334)</f>
        <v>14.43333333</v>
      </c>
      <c r="H505" s="15">
        <f>IFERROR(__xludf.DUMMYFUNCTION("""COMPUTED_VALUE"""),45861.0)</f>
        <v>45861</v>
      </c>
      <c r="I505" s="18">
        <f>IFERROR(__xludf.DUMMYFUNCTION("""COMPUTED_VALUE"""),0.0)</f>
        <v>0</v>
      </c>
      <c r="J505" s="22">
        <f>IFERROR(__xludf.DUMMYFUNCTION("""COMPUTED_VALUE"""),71.0)</f>
        <v>71</v>
      </c>
      <c r="K505" s="22">
        <f>IFERROR(__xludf.DUMMYFUNCTION("""COMPUTED_VALUE"""),5.0)</f>
        <v>5</v>
      </c>
      <c r="L505" s="26" t="str">
        <f>IFERROR(__xludf.DUMMYFUNCTION("""COMPUTED_VALUE"""),"Action-Adventure")</f>
        <v>Action-Adventure</v>
      </c>
    </row>
    <row r="506">
      <c r="A506" s="12" t="str">
        <f>IFERROR(__xludf.DUMMYFUNCTION("""COMPUTED_VALUE"""),"Solar Storm")</f>
        <v>Solar Storm</v>
      </c>
      <c r="B506" s="13" t="str">
        <f>IFERROR(__xludf.DUMMYFUNCTION("""COMPUTED_VALUE"""),"Xbox / PC")</f>
        <v>Xbox / PC</v>
      </c>
      <c r="C506" s="14" t="str">
        <f>IFERROR(__xludf.DUMMYFUNCTION("""COMPUTED_VALUE"""),"Yes")</f>
        <v>Yes</v>
      </c>
      <c r="D506" s="14" t="str">
        <f>IFERROR(__xludf.DUMMYFUNCTION("""COMPUTED_VALUE"""),"Active")</f>
        <v>Active</v>
      </c>
      <c r="E506" s="15">
        <f>IFERROR(__xludf.DUMMYFUNCTION("""COMPUTED_VALUE"""),45839.0)</f>
        <v>45839</v>
      </c>
      <c r="F506" s="16"/>
      <c r="G506" s="18">
        <f>IFERROR(__xludf.DUMMYFUNCTION("""COMPUTED_VALUE"""),15.166666666666666)</f>
        <v>15.16666667</v>
      </c>
      <c r="H506" s="15">
        <f>IFERROR(__xludf.DUMMYFUNCTION("""COMPUTED_VALUE"""),30468.0)</f>
        <v>30468</v>
      </c>
      <c r="I506" s="18">
        <f>IFERROR(__xludf.DUMMYFUNCTION("""COMPUTED_VALUE"""),42.083333333333336)</f>
        <v>42.08333333</v>
      </c>
      <c r="J506" s="22">
        <f>IFERROR(__xludf.DUMMYFUNCTION("""COMPUTED_VALUE"""),71.0)</f>
        <v>71</v>
      </c>
      <c r="K506" s="22"/>
      <c r="L506" s="26" t="str">
        <f>IFERROR(__xludf.DUMMYFUNCTION("""COMPUTED_VALUE"""),"Action-Adventure")</f>
        <v>Action-Adventure</v>
      </c>
    </row>
    <row r="507">
      <c r="A507" s="12" t="str">
        <f>IFERROR(__xludf.DUMMYFUNCTION("""COMPUTED_VALUE"""),"Warcraft I: Remastered")</f>
        <v>Warcraft I: Remastered</v>
      </c>
      <c r="B507" s="13" t="str">
        <f>IFERROR(__xludf.DUMMYFUNCTION("""COMPUTED_VALUE"""),"PC")</f>
        <v>PC</v>
      </c>
      <c r="C507" s="14"/>
      <c r="D507" s="14" t="str">
        <f>IFERROR(__xludf.DUMMYFUNCTION("""COMPUTED_VALUE"""),"Active")</f>
        <v>Active</v>
      </c>
      <c r="E507" s="15">
        <f>IFERROR(__xludf.DUMMYFUNCTION("""COMPUTED_VALUE"""),45834.0)</f>
        <v>45834</v>
      </c>
      <c r="F507" s="16"/>
      <c r="G507" s="18">
        <f>IFERROR(__xludf.DUMMYFUNCTION("""COMPUTED_VALUE"""),15.333333333333332)</f>
        <v>15.33333333</v>
      </c>
      <c r="H507" s="15">
        <f>IFERROR(__xludf.DUMMYFUNCTION("""COMPUTED_VALUE"""),45609.0)</f>
        <v>45609</v>
      </c>
      <c r="I507" s="18">
        <f>IFERROR(__xludf.DUMMYFUNCTION("""COMPUTED_VALUE"""),0.6194444444444445)</f>
        <v>0.6194444444</v>
      </c>
      <c r="J507" s="22">
        <f>IFERROR(__xludf.DUMMYFUNCTION("""COMPUTED_VALUE"""),71.0)</f>
        <v>71</v>
      </c>
      <c r="K507" s="22">
        <f>IFERROR(__xludf.DUMMYFUNCTION("""COMPUTED_VALUE"""),15.0)</f>
        <v>15</v>
      </c>
      <c r="L507" s="26" t="str">
        <f>IFERROR(__xludf.DUMMYFUNCTION("""COMPUTED_VALUE"""),"Strategy")</f>
        <v>Strategy</v>
      </c>
    </row>
    <row r="508">
      <c r="A508" s="12" t="str">
        <f>IFERROR(__xludf.DUMMYFUNCTION("""COMPUTED_VALUE"""),"Cosmic Ark")</f>
        <v>Cosmic Ark</v>
      </c>
      <c r="B508" s="13" t="str">
        <f>IFERROR(__xludf.DUMMYFUNCTION("""COMPUTED_VALUE"""),"Xbox / PC")</f>
        <v>Xbox / PC</v>
      </c>
      <c r="C508" s="14" t="str">
        <f>IFERROR(__xludf.DUMMYFUNCTION("""COMPUTED_VALUE"""),"Yes")</f>
        <v>Yes</v>
      </c>
      <c r="D508" s="14" t="str">
        <f>IFERROR(__xludf.DUMMYFUNCTION("""COMPUTED_VALUE"""),"Active")</f>
        <v>Active</v>
      </c>
      <c r="E508" s="15">
        <f>IFERROR(__xludf.DUMMYFUNCTION("""COMPUTED_VALUE"""),45798.0)</f>
        <v>45798</v>
      </c>
      <c r="F508" s="16"/>
      <c r="G508" s="18">
        <f>IFERROR(__xludf.DUMMYFUNCTION("""COMPUTED_VALUE"""),16.5)</f>
        <v>16.5</v>
      </c>
      <c r="H508" s="15">
        <f>IFERROR(__xludf.DUMMYFUNCTION("""COMPUTED_VALUE"""),30164.0)</f>
        <v>30164</v>
      </c>
      <c r="I508" s="18">
        <f>IFERROR(__xludf.DUMMYFUNCTION("""COMPUTED_VALUE"""),42.80555555555556)</f>
        <v>42.80555556</v>
      </c>
      <c r="J508" s="22">
        <f>IFERROR(__xludf.DUMMYFUNCTION("""COMPUTED_VALUE"""),71.0)</f>
        <v>71</v>
      </c>
      <c r="K508" s="22"/>
      <c r="L508" s="26" t="str">
        <f>IFERROR(__xludf.DUMMYFUNCTION("""COMPUTED_VALUE"""),"Action‑Adventure")</f>
        <v>Action‑Adventure</v>
      </c>
    </row>
    <row r="509">
      <c r="A509" s="12" t="str">
        <f>IFERROR(__xludf.DUMMYFUNCTION("""COMPUTED_VALUE"""),"Pitfall!")</f>
        <v>Pitfall!</v>
      </c>
      <c r="B509" s="13" t="str">
        <f>IFERROR(__xludf.DUMMYFUNCTION("""COMPUTED_VALUE"""),"Xbox / PC")</f>
        <v>Xbox / PC</v>
      </c>
      <c r="C509" s="14" t="str">
        <f>IFERROR(__xludf.DUMMYFUNCTION("""COMPUTED_VALUE"""),"Yes")</f>
        <v>Yes</v>
      </c>
      <c r="D509" s="14" t="str">
        <f>IFERROR(__xludf.DUMMYFUNCTION("""COMPUTED_VALUE"""),"Active")</f>
        <v>Active</v>
      </c>
      <c r="E509" s="15">
        <f>IFERROR(__xludf.DUMMYFUNCTION("""COMPUTED_VALUE"""),45798.0)</f>
        <v>45798</v>
      </c>
      <c r="F509" s="16"/>
      <c r="G509" s="18">
        <f>IFERROR(__xludf.DUMMYFUNCTION("""COMPUTED_VALUE"""),16.5)</f>
        <v>16.5</v>
      </c>
      <c r="H509" s="15">
        <f>IFERROR(__xludf.DUMMYFUNCTION("""COMPUTED_VALUE"""),30061.0)</f>
        <v>30061</v>
      </c>
      <c r="I509" s="18">
        <f>IFERROR(__xludf.DUMMYFUNCTION("""COMPUTED_VALUE"""),43.08611111111111)</f>
        <v>43.08611111</v>
      </c>
      <c r="J509" s="22">
        <f>IFERROR(__xludf.DUMMYFUNCTION("""COMPUTED_VALUE"""),71.0)</f>
        <v>71</v>
      </c>
      <c r="K509" s="22">
        <f>IFERROR(__xludf.DUMMYFUNCTION("""COMPUTED_VALUE"""),1.0)</f>
        <v>1</v>
      </c>
      <c r="L509" s="26" t="str">
        <f>IFERROR(__xludf.DUMMYFUNCTION("""COMPUTED_VALUE"""),"Platformer")</f>
        <v>Platformer</v>
      </c>
    </row>
    <row r="510">
      <c r="A510" s="12" t="str">
        <f>IFERROR(__xludf.DUMMYFUNCTION("""COMPUTED_VALUE"""),"Pressure Cooker")</f>
        <v>Pressure Cooker</v>
      </c>
      <c r="B510" s="13" t="str">
        <f>IFERROR(__xludf.DUMMYFUNCTION("""COMPUTED_VALUE"""),"Xbox / PC")</f>
        <v>Xbox / PC</v>
      </c>
      <c r="C510" s="14" t="str">
        <f>IFERROR(__xludf.DUMMYFUNCTION("""COMPUTED_VALUE"""),"Yes")</f>
        <v>Yes</v>
      </c>
      <c r="D510" s="14" t="str">
        <f>IFERROR(__xludf.DUMMYFUNCTION("""COMPUTED_VALUE"""),"Active")</f>
        <v>Active</v>
      </c>
      <c r="E510" s="15">
        <f>IFERROR(__xludf.DUMMYFUNCTION("""COMPUTED_VALUE"""),45798.0)</f>
        <v>45798</v>
      </c>
      <c r="F510" s="16"/>
      <c r="G510" s="18">
        <f>IFERROR(__xludf.DUMMYFUNCTION("""COMPUTED_VALUE"""),16.5)</f>
        <v>16.5</v>
      </c>
      <c r="H510" s="15">
        <f>IFERROR(__xludf.DUMMYFUNCTION("""COMPUTED_VALUE"""),30369.0)</f>
        <v>30369</v>
      </c>
      <c r="I510" s="18">
        <f>IFERROR(__xludf.DUMMYFUNCTION("""COMPUTED_VALUE"""),42.24722222222222)</f>
        <v>42.24722222</v>
      </c>
      <c r="J510" s="22">
        <f>IFERROR(__xludf.DUMMYFUNCTION("""COMPUTED_VALUE"""),71.0)</f>
        <v>71</v>
      </c>
      <c r="K510" s="22"/>
      <c r="L510" s="26" t="str">
        <f>IFERROR(__xludf.DUMMYFUNCTION("""COMPUTED_VALUE"""),"Simulation")</f>
        <v>Simulation</v>
      </c>
    </row>
    <row r="511">
      <c r="A511" s="12" t="str">
        <f>IFERROR(__xludf.DUMMYFUNCTION("""COMPUTED_VALUE"""),"Space Quest 6")</f>
        <v>Space Quest 6</v>
      </c>
      <c r="B511" s="13" t="str">
        <f>IFERROR(__xludf.DUMMYFUNCTION("""COMPUTED_VALUE"""),"Xbox / PC")</f>
        <v>Xbox / PC</v>
      </c>
      <c r="C511" s="14" t="str">
        <f>IFERROR(__xludf.DUMMYFUNCTION("""COMPUTED_VALUE"""),"Yes")</f>
        <v>Yes</v>
      </c>
      <c r="D511" s="14" t="str">
        <f>IFERROR(__xludf.DUMMYFUNCTION("""COMPUTED_VALUE"""),"Active")</f>
        <v>Active</v>
      </c>
      <c r="E511" s="15">
        <f>IFERROR(__xludf.DUMMYFUNCTION("""COMPUTED_VALUE"""),45798.0)</f>
        <v>45798</v>
      </c>
      <c r="F511" s="16"/>
      <c r="G511" s="18">
        <f>IFERROR(__xludf.DUMMYFUNCTION("""COMPUTED_VALUE"""),16.5)</f>
        <v>16.5</v>
      </c>
      <c r="H511" s="15">
        <f>IFERROR(__xludf.DUMMYFUNCTION("""COMPUTED_VALUE"""),34891.0)</f>
        <v>34891</v>
      </c>
      <c r="I511" s="18">
        <f>IFERROR(__xludf.DUMMYFUNCTION("""COMPUTED_VALUE"""),29.86111111111111)</f>
        <v>29.86111111</v>
      </c>
      <c r="J511" s="22">
        <f>IFERROR(__xludf.DUMMYFUNCTION("""COMPUTED_VALUE"""),71.0)</f>
        <v>71</v>
      </c>
      <c r="K511" s="22">
        <f>IFERROR(__xludf.DUMMYFUNCTION("""COMPUTED_VALUE"""),4.0)</f>
        <v>4</v>
      </c>
      <c r="L511" s="26" t="str">
        <f>IFERROR(__xludf.DUMMYFUNCTION("""COMPUTED_VALUE"""),"Action‑Adventure")</f>
        <v>Action‑Adventure</v>
      </c>
    </row>
    <row r="512">
      <c r="A512" s="12" t="str">
        <f>IFERROR(__xludf.DUMMYFUNCTION("""COMPUTED_VALUE"""),"The Adventures of Willy Beamish")</f>
        <v>The Adventures of Willy Beamish</v>
      </c>
      <c r="B512" s="13" t="str">
        <f>IFERROR(__xludf.DUMMYFUNCTION("""COMPUTED_VALUE"""),"Xbox / PC")</f>
        <v>Xbox / PC</v>
      </c>
      <c r="C512" s="14" t="str">
        <f>IFERROR(__xludf.DUMMYFUNCTION("""COMPUTED_VALUE"""),"Yes")</f>
        <v>Yes</v>
      </c>
      <c r="D512" s="14" t="str">
        <f>IFERROR(__xludf.DUMMYFUNCTION("""COMPUTED_VALUE"""),"Active")</f>
        <v>Active</v>
      </c>
      <c r="E512" s="15">
        <f>IFERROR(__xludf.DUMMYFUNCTION("""COMPUTED_VALUE"""),45798.0)</f>
        <v>45798</v>
      </c>
      <c r="F512" s="16"/>
      <c r="G512" s="18">
        <f>IFERROR(__xludf.DUMMYFUNCTION("""COMPUTED_VALUE"""),16.5)</f>
        <v>16.5</v>
      </c>
      <c r="H512" s="15">
        <f>IFERROR(__xludf.DUMMYFUNCTION("""COMPUTED_VALUE"""),33506.0)</f>
        <v>33506</v>
      </c>
      <c r="I512" s="18">
        <f>IFERROR(__xludf.DUMMYFUNCTION("""COMPUTED_VALUE"""),33.65555555555556)</f>
        <v>33.65555556</v>
      </c>
      <c r="J512" s="22">
        <f>IFERROR(__xludf.DUMMYFUNCTION("""COMPUTED_VALUE"""),71.0)</f>
        <v>71</v>
      </c>
      <c r="K512" s="22">
        <f>IFERROR(__xludf.DUMMYFUNCTION("""COMPUTED_VALUE"""),5.0)</f>
        <v>5</v>
      </c>
      <c r="L512" s="26" t="str">
        <f>IFERROR(__xludf.DUMMYFUNCTION("""COMPUTED_VALUE"""),"Action‑Adventure")</f>
        <v>Action‑Adventure</v>
      </c>
    </row>
    <row r="513">
      <c r="A513" s="12" t="str">
        <f>IFERROR(__xludf.DUMMYFUNCTION("""COMPUTED_VALUE"""),"Far Cry: New Dawn")</f>
        <v>Far Cry: New Dawn</v>
      </c>
      <c r="B513" s="13" t="str">
        <f>IFERROR(__xludf.DUMMYFUNCTION("""COMPUTED_VALUE"""),"Xbox / PC")</f>
        <v>Xbox / PC</v>
      </c>
      <c r="C513" s="14" t="str">
        <f>IFERROR(__xludf.DUMMYFUNCTION("""COMPUTED_VALUE"""),"Yes")</f>
        <v>Yes</v>
      </c>
      <c r="D513" s="14" t="str">
        <f>IFERROR(__xludf.DUMMYFUNCTION("""COMPUTED_VALUE"""),"Active")</f>
        <v>Active</v>
      </c>
      <c r="E513" s="15">
        <f>IFERROR(__xludf.DUMMYFUNCTION("""COMPUTED_VALUE"""),45692.0)</f>
        <v>45692</v>
      </c>
      <c r="F513" s="16"/>
      <c r="G513" s="18">
        <f>IFERROR(__xludf.DUMMYFUNCTION("""COMPUTED_VALUE"""),20.066666666666666)</f>
        <v>20.06666667</v>
      </c>
      <c r="H513" s="15">
        <f>IFERROR(__xludf.DUMMYFUNCTION("""COMPUTED_VALUE"""),43511.0)</f>
        <v>43511</v>
      </c>
      <c r="I513" s="18">
        <f>IFERROR(__xludf.DUMMYFUNCTION("""COMPUTED_VALUE"""),5.969444444444444)</f>
        <v>5.969444444</v>
      </c>
      <c r="J513" s="22">
        <f>IFERROR(__xludf.DUMMYFUNCTION("""COMPUTED_VALUE"""),71.0)</f>
        <v>71</v>
      </c>
      <c r="K513" s="22">
        <f>IFERROR(__xludf.DUMMYFUNCTION("""COMPUTED_VALUE"""),11.0)</f>
        <v>11</v>
      </c>
      <c r="L513" s="26" t="str">
        <f>IFERROR(__xludf.DUMMYFUNCTION("""COMPUTED_VALUE"""),"Shooter")</f>
        <v>Shooter</v>
      </c>
    </row>
    <row r="514">
      <c r="A514" s="12" t="str">
        <f>IFERROR(__xludf.DUMMYFUNCTION("""COMPUTED_VALUE"""),"Blinx: The Time Sweeper")</f>
        <v>Blinx: The Time Sweeper</v>
      </c>
      <c r="B514" s="13" t="str">
        <f>IFERROR(__xludf.DUMMYFUNCTION("""COMPUTED_VALUE"""),"Xbox / PC")</f>
        <v>Xbox / PC</v>
      </c>
      <c r="C514" s="14" t="str">
        <f>IFERROR(__xludf.DUMMYFUNCTION("""COMPUTED_VALUE"""),"Touch Controls")</f>
        <v>Touch Controls</v>
      </c>
      <c r="D514" s="14" t="str">
        <f>IFERROR(__xludf.DUMMYFUNCTION("""COMPUTED_VALUE"""),"Active")</f>
        <v>Active</v>
      </c>
      <c r="E514" s="15">
        <f>IFERROR(__xludf.DUMMYFUNCTION("""COMPUTED_VALUE"""),44399.0)</f>
        <v>44399</v>
      </c>
      <c r="F514" s="16"/>
      <c r="G514" s="18">
        <f>IFERROR(__xludf.DUMMYFUNCTION("""COMPUTED_VALUE"""),62.46666666666667)</f>
        <v>62.46666667</v>
      </c>
      <c r="H514" s="15">
        <f>IFERROR(__xludf.DUMMYFUNCTION("""COMPUTED_VALUE"""),37536.0)</f>
        <v>37536</v>
      </c>
      <c r="I514" s="18">
        <f>IFERROR(__xludf.DUMMYFUNCTION("""COMPUTED_VALUE"""),18.791666666666668)</f>
        <v>18.79166667</v>
      </c>
      <c r="J514" s="22">
        <f>IFERROR(__xludf.DUMMYFUNCTION("""COMPUTED_VALUE"""),71.0)</f>
        <v>71</v>
      </c>
      <c r="K514" s="22">
        <f>IFERROR(__xludf.DUMMYFUNCTION("""COMPUTED_VALUE"""),10.0)</f>
        <v>10</v>
      </c>
      <c r="L514" s="26" t="str">
        <f>IFERROR(__xludf.DUMMYFUNCTION("""COMPUTED_VALUE"""),"Action")</f>
        <v>Action</v>
      </c>
    </row>
    <row r="515">
      <c r="A515" s="12" t="str">
        <f>IFERROR(__xludf.DUMMYFUNCTION("""COMPUTED_VALUE"""),"Battlefield: Hardline - Ultimate Edition")</f>
        <v>Battlefield: Hardline - Ultimate Edition</v>
      </c>
      <c r="B515" s="13" t="str">
        <f>IFERROR(__xludf.DUMMYFUNCTION("""COMPUTED_VALUE"""),"Xbox / PC")</f>
        <v>Xbox / PC</v>
      </c>
      <c r="C515" s="14"/>
      <c r="D515" s="14" t="str">
        <f>IFERROR(__xludf.DUMMYFUNCTION("""COMPUTED_VALUE"""),"Active")</f>
        <v>Active</v>
      </c>
      <c r="E515" s="15">
        <f>IFERROR(__xludf.DUMMYFUNCTION("""COMPUTED_VALUE"""),44145.0)</f>
        <v>44145</v>
      </c>
      <c r="F515" s="16"/>
      <c r="G515" s="18">
        <f>IFERROR(__xludf.DUMMYFUNCTION("""COMPUTED_VALUE"""),70.86666666666667)</f>
        <v>70.86666667</v>
      </c>
      <c r="H515" s="15">
        <f>IFERROR(__xludf.DUMMYFUNCTION("""COMPUTED_VALUE"""),42080.0)</f>
        <v>42080</v>
      </c>
      <c r="I515" s="18">
        <f>IFERROR(__xludf.DUMMYFUNCTION("""COMPUTED_VALUE"""),5.647222222222222)</f>
        <v>5.647222222</v>
      </c>
      <c r="J515" s="22">
        <f>IFERROR(__xludf.DUMMYFUNCTION("""COMPUTED_VALUE"""),71.0)</f>
        <v>71</v>
      </c>
      <c r="K515" s="22">
        <f>IFERROR(__xludf.DUMMYFUNCTION("""COMPUTED_VALUE"""),7.5)</f>
        <v>7.5</v>
      </c>
      <c r="L515" s="26" t="str">
        <f>IFERROR(__xludf.DUMMYFUNCTION("""COMPUTED_VALUE"""),"Shooter")</f>
        <v>Shooter</v>
      </c>
    </row>
    <row r="516">
      <c r="A516" s="12" t="str">
        <f>IFERROR(__xludf.DUMMYFUNCTION("""COMPUTED_VALUE"""),"Halo 2: Anniversary")</f>
        <v>Halo 2: Anniversary</v>
      </c>
      <c r="B516" s="13" t="str">
        <f>IFERROR(__xludf.DUMMYFUNCTION("""COMPUTED_VALUE"""),"Xbox / PC")</f>
        <v>Xbox / PC</v>
      </c>
      <c r="C516" s="14"/>
      <c r="D516" s="14" t="str">
        <f>IFERROR(__xludf.DUMMYFUNCTION("""COMPUTED_VALUE"""),"Active")</f>
        <v>Active</v>
      </c>
      <c r="E516" s="15">
        <f>IFERROR(__xludf.DUMMYFUNCTION("""COMPUTED_VALUE"""),43963.0)</f>
        <v>43963</v>
      </c>
      <c r="F516" s="16"/>
      <c r="G516" s="18">
        <f>IFERROR(__xludf.DUMMYFUNCTION("""COMPUTED_VALUE"""),76.80000000000001)</f>
        <v>76.8</v>
      </c>
      <c r="H516" s="15">
        <f>IFERROR(__xludf.DUMMYFUNCTION("""COMPUTED_VALUE"""),38300.0)</f>
        <v>38300</v>
      </c>
      <c r="I516" s="18">
        <f>IFERROR(__xludf.DUMMYFUNCTION("""COMPUTED_VALUE"""),15.508333333333333)</f>
        <v>15.50833333</v>
      </c>
      <c r="J516" s="22">
        <f>IFERROR(__xludf.DUMMYFUNCTION("""COMPUTED_VALUE"""),71.0)</f>
        <v>71</v>
      </c>
      <c r="K516" s="22">
        <f>IFERROR(__xludf.DUMMYFUNCTION("""COMPUTED_VALUE"""),8.0)</f>
        <v>8</v>
      </c>
      <c r="L516" s="26" t="str">
        <f>IFERROR(__xludf.DUMMYFUNCTION("""COMPUTED_VALUE"""),"Shooter")</f>
        <v>Shooter</v>
      </c>
    </row>
    <row r="517">
      <c r="A517" s="12" t="str">
        <f>IFERROR(__xludf.DUMMYFUNCTION("""COMPUTED_VALUE"""),"Corsair Cove")</f>
        <v>Corsair Cove</v>
      </c>
      <c r="B517" s="13" t="str">
        <f>IFERROR(__xludf.DUMMYFUNCTION("""COMPUTED_VALUE"""),"PC")</f>
        <v>PC</v>
      </c>
      <c r="C517" s="14"/>
      <c r="D517" s="14" t="str">
        <f>IFERROR(__xludf.DUMMYFUNCTION("""COMPUTED_VALUE"""),"Active")</f>
        <v>Active</v>
      </c>
      <c r="E517" s="15">
        <f>IFERROR(__xludf.DUMMYFUNCTION("""COMPUTED_VALUE"""),46234.0)</f>
        <v>46234</v>
      </c>
      <c r="F517" s="16"/>
      <c r="G517" s="18">
        <f>IFERROR(__xludf.DUMMYFUNCTION("""COMPUTED_VALUE"""),2.1999999999999997)</f>
        <v>2.2</v>
      </c>
      <c r="H517" s="15">
        <f>IFERROR(__xludf.DUMMYFUNCTION("""COMPUTED_VALUE"""),46234.0)</f>
        <v>46234</v>
      </c>
      <c r="I517" s="18">
        <f>IFERROR(__xludf.DUMMYFUNCTION("""COMPUTED_VALUE"""),0.0)</f>
        <v>0</v>
      </c>
      <c r="J517" s="22">
        <f>IFERROR(__xludf.DUMMYFUNCTION("""COMPUTED_VALUE"""),70.0)</f>
        <v>70</v>
      </c>
      <c r="K517" s="22">
        <f>IFERROR(__xludf.DUMMYFUNCTION("""COMPUTED_VALUE"""),29.0)</f>
        <v>29</v>
      </c>
      <c r="L517" s="26" t="str">
        <f>IFERROR(__xludf.DUMMYFUNCTION("""COMPUTED_VALUE"""),"Simulation")</f>
        <v>Simulation</v>
      </c>
    </row>
    <row r="518">
      <c r="A518" s="12" t="str">
        <f>IFERROR(__xludf.DUMMYFUNCTION("""COMPUTED_VALUE"""),"Mistfall Hunter")</f>
        <v>Mistfall Hunter</v>
      </c>
      <c r="B518" s="13" t="str">
        <f>IFERROR(__xludf.DUMMYFUNCTION("""COMPUTED_VALUE"""),"Xbox / PC")</f>
        <v>Xbox / PC</v>
      </c>
      <c r="C518" s="14" t="str">
        <f>IFERROR(__xludf.DUMMYFUNCTION("""COMPUTED_VALUE"""),"Yes")</f>
        <v>Yes</v>
      </c>
      <c r="D518" s="14" t="str">
        <f>IFERROR(__xludf.DUMMYFUNCTION("""COMPUTED_VALUE"""),"Active")</f>
        <v>Active</v>
      </c>
      <c r="E518" s="15">
        <f>IFERROR(__xludf.DUMMYFUNCTION("""COMPUTED_VALUE"""),46233.0)</f>
        <v>46233</v>
      </c>
      <c r="F518" s="16"/>
      <c r="G518" s="18">
        <f>IFERROR(__xludf.DUMMYFUNCTION("""COMPUTED_VALUE"""),2.1999999999999997)</f>
        <v>2.2</v>
      </c>
      <c r="H518" s="15">
        <f>IFERROR(__xludf.DUMMYFUNCTION("""COMPUTED_VALUE"""),46233.0)</f>
        <v>46233</v>
      </c>
      <c r="I518" s="18">
        <f>IFERROR(__xludf.DUMMYFUNCTION("""COMPUTED_VALUE"""),0.0)</f>
        <v>0</v>
      </c>
      <c r="J518" s="22">
        <f>IFERROR(__xludf.DUMMYFUNCTION("""COMPUTED_VALUE"""),70.0)</f>
        <v>70</v>
      </c>
      <c r="K518" s="22"/>
      <c r="L518" s="26" t="str">
        <f>IFERROR(__xludf.DUMMYFUNCTION("""COMPUTED_VALUE"""),"RPG")</f>
        <v>RPG</v>
      </c>
    </row>
    <row r="519">
      <c r="A519" s="12" t="str">
        <f>IFERROR(__xludf.DUMMYFUNCTION("""COMPUTED_VALUE"""),"PBA Pro Bowling 2026")</f>
        <v>PBA Pro Bowling 2026</v>
      </c>
      <c r="B519" s="13" t="str">
        <f>IFERROR(__xludf.DUMMYFUNCTION("""COMPUTED_VALUE"""),"Xbox / PC")</f>
        <v>Xbox / PC</v>
      </c>
      <c r="C519" s="14" t="str">
        <f>IFERROR(__xludf.DUMMYFUNCTION("""COMPUTED_VALUE"""),"Yes")</f>
        <v>Yes</v>
      </c>
      <c r="D519" s="14" t="str">
        <f>IFERROR(__xludf.DUMMYFUNCTION("""COMPUTED_VALUE"""),"Active")</f>
        <v>Active</v>
      </c>
      <c r="E519" s="15">
        <f>IFERROR(__xludf.DUMMYFUNCTION("""COMPUTED_VALUE"""),46217.0)</f>
        <v>46217</v>
      </c>
      <c r="F519" s="16"/>
      <c r="G519" s="18">
        <f>IFERROR(__xludf.DUMMYFUNCTION("""COMPUTED_VALUE"""),2.7333333333333334)</f>
        <v>2.733333333</v>
      </c>
      <c r="H519" s="15">
        <f>IFERROR(__xludf.DUMMYFUNCTION("""COMPUTED_VALUE"""),46217.0)</f>
        <v>46217</v>
      </c>
      <c r="I519" s="18">
        <f>IFERROR(__xludf.DUMMYFUNCTION("""COMPUTED_VALUE"""),0.0)</f>
        <v>0</v>
      </c>
      <c r="J519" s="22">
        <f>IFERROR(__xludf.DUMMYFUNCTION("""COMPUTED_VALUE"""),70.0)</f>
        <v>70</v>
      </c>
      <c r="K519" s="22">
        <f>IFERROR(__xludf.DUMMYFUNCTION("""COMPUTED_VALUE"""),5.0)</f>
        <v>5</v>
      </c>
      <c r="L519" s="26" t="str">
        <f>IFERROR(__xludf.DUMMYFUNCTION("""COMPUTED_VALUE"""),"Sports")</f>
        <v>Sports</v>
      </c>
    </row>
    <row r="520">
      <c r="A520" s="12" t="str">
        <f>IFERROR(__xludf.DUMMYFUNCTION("""COMPUTED_VALUE"""),"Frog Sqwad")</f>
        <v>Frog Sqwad</v>
      </c>
      <c r="B520" s="13" t="str">
        <f>IFERROR(__xludf.DUMMYFUNCTION("""COMPUTED_VALUE"""),"Xbox / PC")</f>
        <v>Xbox / PC</v>
      </c>
      <c r="C520" s="14" t="str">
        <f>IFERROR(__xludf.DUMMYFUNCTION("""COMPUTED_VALUE"""),"Yes")</f>
        <v>Yes</v>
      </c>
      <c r="D520" s="14" t="str">
        <f>IFERROR(__xludf.DUMMYFUNCTION("""COMPUTED_VALUE"""),"Active")</f>
        <v>Active</v>
      </c>
      <c r="E520" s="15">
        <f>IFERROR(__xludf.DUMMYFUNCTION("""COMPUTED_VALUE"""),46184.0)</f>
        <v>46184</v>
      </c>
      <c r="F520" s="16"/>
      <c r="G520" s="18">
        <f>IFERROR(__xludf.DUMMYFUNCTION("""COMPUTED_VALUE"""),3.833333333333333)</f>
        <v>3.833333333</v>
      </c>
      <c r="H520" s="15">
        <f>IFERROR(__xludf.DUMMYFUNCTION("""COMPUTED_VALUE"""),46184.0)</f>
        <v>46184</v>
      </c>
      <c r="I520" s="18">
        <f>IFERROR(__xludf.DUMMYFUNCTION("""COMPUTED_VALUE"""),0.0)</f>
        <v>0</v>
      </c>
      <c r="J520" s="22">
        <f>IFERROR(__xludf.DUMMYFUNCTION("""COMPUTED_VALUE"""),70.0)</f>
        <v>70</v>
      </c>
      <c r="K520" s="22">
        <f>IFERROR(__xludf.DUMMYFUNCTION("""COMPUTED_VALUE"""),1.0)</f>
        <v>1</v>
      </c>
      <c r="L520" s="26" t="str">
        <f>IFERROR(__xludf.DUMMYFUNCTION("""COMPUTED_VALUE"""),"Puzzle")</f>
        <v>Puzzle</v>
      </c>
    </row>
    <row r="521">
      <c r="A521" s="12" t="str">
        <f>IFERROR(__xludf.DUMMYFUNCTION("""COMPUTED_VALUE"""),"Echo Generation 2")</f>
        <v>Echo Generation 2</v>
      </c>
      <c r="B521" s="13" t="str">
        <f>IFERROR(__xludf.DUMMYFUNCTION("""COMPUTED_VALUE"""),"Xbox / PC")</f>
        <v>Xbox / PC</v>
      </c>
      <c r="C521" s="14" t="str">
        <f>IFERROR(__xludf.DUMMYFUNCTION("""COMPUTED_VALUE"""),"Yes")</f>
        <v>Yes</v>
      </c>
      <c r="D521" s="14" t="str">
        <f>IFERROR(__xludf.DUMMYFUNCTION("""COMPUTED_VALUE"""),"Active")</f>
        <v>Active</v>
      </c>
      <c r="E521" s="15">
        <f>IFERROR(__xludf.DUMMYFUNCTION("""COMPUTED_VALUE"""),46169.0)</f>
        <v>46169</v>
      </c>
      <c r="F521" s="16"/>
      <c r="G521" s="18">
        <f>IFERROR(__xludf.DUMMYFUNCTION("""COMPUTED_VALUE"""),4.3)</f>
        <v>4.3</v>
      </c>
      <c r="H521" s="15">
        <f>IFERROR(__xludf.DUMMYFUNCTION("""COMPUTED_VALUE"""),46169.0)</f>
        <v>46169</v>
      </c>
      <c r="I521" s="18">
        <f>IFERROR(__xludf.DUMMYFUNCTION("""COMPUTED_VALUE"""),0.0)</f>
        <v>0</v>
      </c>
      <c r="J521" s="22">
        <f>IFERROR(__xludf.DUMMYFUNCTION("""COMPUTED_VALUE"""),70.0)</f>
        <v>70</v>
      </c>
      <c r="K521" s="22">
        <f>IFERROR(__xludf.DUMMYFUNCTION("""COMPUTED_VALUE"""),9.0)</f>
        <v>9</v>
      </c>
      <c r="L521" s="26" t="str">
        <f>IFERROR(__xludf.DUMMYFUNCTION("""COMPUTED_VALUE"""),"RPG")</f>
        <v>RPG</v>
      </c>
    </row>
    <row r="522">
      <c r="A522" s="12" t="str">
        <f>IFERROR(__xludf.DUMMYFUNCTION("""COMPUTED_VALUE"""),"Ben 10: Power Trip")</f>
        <v>Ben 10: Power Trip</v>
      </c>
      <c r="B522" s="13" t="str">
        <f>IFERROR(__xludf.DUMMYFUNCTION("""COMPUTED_VALUE"""),"Xbox / PC")</f>
        <v>Xbox / PC</v>
      </c>
      <c r="C522" s="14" t="str">
        <f>IFERROR(__xludf.DUMMYFUNCTION("""COMPUTED_VALUE"""),"Touch Controls")</f>
        <v>Touch Controls</v>
      </c>
      <c r="D522" s="14" t="str">
        <f>IFERROR(__xludf.DUMMYFUNCTION("""COMPUTED_VALUE"""),"Active")</f>
        <v>Active</v>
      </c>
      <c r="E522" s="15">
        <f>IFERROR(__xludf.DUMMYFUNCTION("""COMPUTED_VALUE"""),46148.0)</f>
        <v>46148</v>
      </c>
      <c r="F522" s="16"/>
      <c r="G522" s="18">
        <f>IFERROR(__xludf.DUMMYFUNCTION("""COMPUTED_VALUE"""),5.0)</f>
        <v>5</v>
      </c>
      <c r="H522" s="15">
        <f>IFERROR(__xludf.DUMMYFUNCTION("""COMPUTED_VALUE"""),44113.0)</f>
        <v>44113</v>
      </c>
      <c r="I522" s="18">
        <f>IFERROR(__xludf.DUMMYFUNCTION("""COMPUTED_VALUE"""),5.575)</f>
        <v>5.575</v>
      </c>
      <c r="J522" s="22">
        <f>IFERROR(__xludf.DUMMYFUNCTION("""COMPUTED_VALUE"""),70.0)</f>
        <v>70</v>
      </c>
      <c r="K522" s="22">
        <f>IFERROR(__xludf.DUMMYFUNCTION("""COMPUTED_VALUE"""),5.0)</f>
        <v>5</v>
      </c>
      <c r="L522" s="26" t="str">
        <f>IFERROR(__xludf.DUMMYFUNCTION("""COMPUTED_VALUE"""),"Action-Adventure")</f>
        <v>Action-Adventure</v>
      </c>
    </row>
    <row r="523">
      <c r="A523" s="12" t="str">
        <f>IFERROR(__xludf.DUMMYFUNCTION("""COMPUTED_VALUE"""),"Kill It With Fire! 2")</f>
        <v>Kill It With Fire! 2</v>
      </c>
      <c r="B523" s="13" t="str">
        <f>IFERROR(__xludf.DUMMYFUNCTION("""COMPUTED_VALUE"""),"Xbox / PC")</f>
        <v>Xbox / PC</v>
      </c>
      <c r="C523" s="14" t="str">
        <f>IFERROR(__xludf.DUMMYFUNCTION("""COMPUTED_VALUE"""),"Yes")</f>
        <v>Yes</v>
      </c>
      <c r="D523" s="14" t="str">
        <f>IFERROR(__xludf.DUMMYFUNCTION("""COMPUTED_VALUE"""),"Active")</f>
        <v>Active</v>
      </c>
      <c r="E523" s="15">
        <f>IFERROR(__xludf.DUMMYFUNCTION("""COMPUTED_VALUE"""),45986.0)</f>
        <v>45986</v>
      </c>
      <c r="F523" s="16"/>
      <c r="G523" s="18">
        <f>IFERROR(__xludf.DUMMYFUNCTION("""COMPUTED_VALUE"""),10.366666666666667)</f>
        <v>10.36666667</v>
      </c>
      <c r="H523" s="15">
        <f>IFERROR(__xludf.DUMMYFUNCTION("""COMPUTED_VALUE"""),45986.0)</f>
        <v>45986</v>
      </c>
      <c r="I523" s="18">
        <f>IFERROR(__xludf.DUMMYFUNCTION("""COMPUTED_VALUE"""),0.0)</f>
        <v>0</v>
      </c>
      <c r="J523" s="22">
        <f>IFERROR(__xludf.DUMMYFUNCTION("""COMPUTED_VALUE"""),70.0)</f>
        <v>70</v>
      </c>
      <c r="K523" s="22">
        <f>IFERROR(__xludf.DUMMYFUNCTION("""COMPUTED_VALUE"""),8.0)</f>
        <v>8</v>
      </c>
      <c r="L523" s="26" t="str">
        <f>IFERROR(__xludf.DUMMYFUNCTION("""COMPUTED_VALUE"""),"Shooter")</f>
        <v>Shooter</v>
      </c>
    </row>
    <row r="524">
      <c r="A524" s="12" t="str">
        <f>IFERROR(__xludf.DUMMYFUNCTION("""COMPUTED_VALUE"""),"Pax Dei")</f>
        <v>Pax Dei</v>
      </c>
      <c r="B524" s="13" t="str">
        <f>IFERROR(__xludf.DUMMYFUNCTION("""COMPUTED_VALUE"""),"PC")</f>
        <v>PC</v>
      </c>
      <c r="C524" s="14"/>
      <c r="D524" s="14" t="str">
        <f>IFERROR(__xludf.DUMMYFUNCTION("""COMPUTED_VALUE"""),"Active")</f>
        <v>Active</v>
      </c>
      <c r="E524" s="15">
        <f>IFERROR(__xludf.DUMMYFUNCTION("""COMPUTED_VALUE"""),45946.0)</f>
        <v>45946</v>
      </c>
      <c r="F524" s="16"/>
      <c r="G524" s="18">
        <f>IFERROR(__xludf.DUMMYFUNCTION("""COMPUTED_VALUE"""),11.666666666666666)</f>
        <v>11.66666667</v>
      </c>
      <c r="H524" s="15">
        <f>IFERROR(__xludf.DUMMYFUNCTION("""COMPUTED_VALUE"""),45946.0)</f>
        <v>45946</v>
      </c>
      <c r="I524" s="18">
        <f>IFERROR(__xludf.DUMMYFUNCTION("""COMPUTED_VALUE"""),0.0)</f>
        <v>0</v>
      </c>
      <c r="J524" s="22">
        <f>IFERROR(__xludf.DUMMYFUNCTION("""COMPUTED_VALUE"""),70.0)</f>
        <v>70</v>
      </c>
      <c r="K524" s="22"/>
      <c r="L524" s="26" t="str">
        <f>IFERROR(__xludf.DUMMYFUNCTION("""COMPUTED_VALUE"""),"RPG")</f>
        <v>RPG</v>
      </c>
    </row>
    <row r="525">
      <c r="A525" s="12" t="str">
        <f>IFERROR(__xludf.DUMMYFUNCTION("""COMPUTED_VALUE"""),"Boxing")</f>
        <v>Boxing</v>
      </c>
      <c r="B525" s="13" t="str">
        <f>IFERROR(__xludf.DUMMYFUNCTION("""COMPUTED_VALUE"""),"Xbox / PC")</f>
        <v>Xbox / PC</v>
      </c>
      <c r="C525" s="14" t="str">
        <f>IFERROR(__xludf.DUMMYFUNCTION("""COMPUTED_VALUE"""),"Yes")</f>
        <v>Yes</v>
      </c>
      <c r="D525" s="14" t="str">
        <f>IFERROR(__xludf.DUMMYFUNCTION("""COMPUTED_VALUE"""),"Active")</f>
        <v>Active</v>
      </c>
      <c r="E525" s="15">
        <f>IFERROR(__xludf.DUMMYFUNCTION("""COMPUTED_VALUE"""),45798.0)</f>
        <v>45798</v>
      </c>
      <c r="F525" s="16"/>
      <c r="G525" s="18">
        <f>IFERROR(__xludf.DUMMYFUNCTION("""COMPUTED_VALUE"""),16.5)</f>
        <v>16.5</v>
      </c>
      <c r="H525" s="15">
        <f>IFERROR(__xludf.DUMMYFUNCTION("""COMPUTED_VALUE"""),29403.0)</f>
        <v>29403</v>
      </c>
      <c r="I525" s="18">
        <f>IFERROR(__xludf.DUMMYFUNCTION("""COMPUTED_VALUE"""),44.888888888888886)</f>
        <v>44.88888889</v>
      </c>
      <c r="J525" s="22">
        <f>IFERROR(__xludf.DUMMYFUNCTION("""COMPUTED_VALUE"""),70.0)</f>
        <v>70</v>
      </c>
      <c r="K525" s="22"/>
      <c r="L525" s="26" t="str">
        <f>IFERROR(__xludf.DUMMYFUNCTION("""COMPUTED_VALUE"""),"Sports")</f>
        <v>Sports</v>
      </c>
    </row>
    <row r="526">
      <c r="A526" s="12" t="str">
        <f>IFERROR(__xludf.DUMMYFUNCTION("""COMPUTED_VALUE"""),"Riddle of the Sphinx")</f>
        <v>Riddle of the Sphinx</v>
      </c>
      <c r="B526" s="13" t="str">
        <f>IFERROR(__xludf.DUMMYFUNCTION("""COMPUTED_VALUE"""),"Xbox / PC")</f>
        <v>Xbox / PC</v>
      </c>
      <c r="C526" s="14" t="str">
        <f>IFERROR(__xludf.DUMMYFUNCTION("""COMPUTED_VALUE"""),"Yes")</f>
        <v>Yes</v>
      </c>
      <c r="D526" s="14" t="str">
        <f>IFERROR(__xludf.DUMMYFUNCTION("""COMPUTED_VALUE"""),"Active")</f>
        <v>Active</v>
      </c>
      <c r="E526" s="15">
        <f>IFERROR(__xludf.DUMMYFUNCTION("""COMPUTED_VALUE"""),45798.0)</f>
        <v>45798</v>
      </c>
      <c r="F526" s="16"/>
      <c r="G526" s="18">
        <f>IFERROR(__xludf.DUMMYFUNCTION("""COMPUTED_VALUE"""),16.5)</f>
        <v>16.5</v>
      </c>
      <c r="H526" s="15">
        <f>IFERROR(__xludf.DUMMYFUNCTION("""COMPUTED_VALUE"""),30195.0)</f>
        <v>30195</v>
      </c>
      <c r="I526" s="18">
        <f>IFERROR(__xludf.DUMMYFUNCTION("""COMPUTED_VALUE"""),42.72222222222222)</f>
        <v>42.72222222</v>
      </c>
      <c r="J526" s="22">
        <f>IFERROR(__xludf.DUMMYFUNCTION("""COMPUTED_VALUE"""),70.0)</f>
        <v>70</v>
      </c>
      <c r="K526" s="22"/>
      <c r="L526" s="26" t="str">
        <f>IFERROR(__xludf.DUMMYFUNCTION("""COMPUTED_VALUE"""),"Action‑Adventure")</f>
        <v>Action‑Adventure</v>
      </c>
    </row>
    <row r="527">
      <c r="A527" s="12" t="str">
        <f>IFERROR(__xludf.DUMMYFUNCTION("""COMPUTED_VALUE"""),"Madden NFL 25 (2024)")</f>
        <v>Madden NFL 25 (2024)</v>
      </c>
      <c r="B527" s="13" t="str">
        <f>IFERROR(__xludf.DUMMYFUNCTION("""COMPUTED_VALUE"""),"Xbox / PC")</f>
        <v>Xbox / PC</v>
      </c>
      <c r="C527" s="14" t="str">
        <f>IFERROR(__xludf.DUMMYFUNCTION("""COMPUTED_VALUE"""),"Yes")</f>
        <v>Yes</v>
      </c>
      <c r="D527" s="14" t="str">
        <f>IFERROR(__xludf.DUMMYFUNCTION("""COMPUTED_VALUE"""),"Active")</f>
        <v>Active</v>
      </c>
      <c r="E527" s="15">
        <f>IFERROR(__xludf.DUMMYFUNCTION("""COMPUTED_VALUE"""),45694.0)</f>
        <v>45694</v>
      </c>
      <c r="F527" s="16"/>
      <c r="G527" s="18">
        <f>IFERROR(__xludf.DUMMYFUNCTION("""COMPUTED_VALUE"""),20.0)</f>
        <v>20</v>
      </c>
      <c r="H527" s="15">
        <f>IFERROR(__xludf.DUMMYFUNCTION("""COMPUTED_VALUE"""),45520.0)</f>
        <v>45520</v>
      </c>
      <c r="I527" s="18">
        <f>IFERROR(__xludf.DUMMYFUNCTION("""COMPUTED_VALUE"""),0.4722222222222222)</f>
        <v>0.4722222222</v>
      </c>
      <c r="J527" s="22">
        <f>IFERROR(__xludf.DUMMYFUNCTION("""COMPUTED_VALUE"""),70.0)</f>
        <v>70</v>
      </c>
      <c r="K527" s="22">
        <f>IFERROR(__xludf.DUMMYFUNCTION("""COMPUTED_VALUE"""),3.1)</f>
        <v>3.1</v>
      </c>
      <c r="L527" s="26" t="str">
        <f>IFERROR(__xludf.DUMMYFUNCTION("""COMPUTED_VALUE"""),"Sports")</f>
        <v>Sports</v>
      </c>
    </row>
    <row r="528">
      <c r="A528" s="12" t="str">
        <f>IFERROR(__xludf.DUMMYFUNCTION("""COMPUTED_VALUE"""),"Car Mechanic Simulator 2021")</f>
        <v>Car Mechanic Simulator 2021</v>
      </c>
      <c r="B528" s="13" t="str">
        <f>IFERROR(__xludf.DUMMYFUNCTION("""COMPUTED_VALUE"""),"Xbox / PC")</f>
        <v>Xbox / PC</v>
      </c>
      <c r="C528" s="14" t="str">
        <f>IFERROR(__xludf.DUMMYFUNCTION("""COMPUTED_VALUE"""),"Yes")</f>
        <v>Yes</v>
      </c>
      <c r="D528" s="14" t="str">
        <f>IFERROR(__xludf.DUMMYFUNCTION("""COMPUTED_VALUE"""),"Active")</f>
        <v>Active</v>
      </c>
      <c r="E528" s="15">
        <f>IFERROR(__xludf.DUMMYFUNCTION("""COMPUTED_VALUE"""),45078.0)</f>
        <v>45078</v>
      </c>
      <c r="F528" s="16"/>
      <c r="G528" s="18">
        <f>IFERROR(__xludf.DUMMYFUNCTION("""COMPUTED_VALUE"""),40.16666666666667)</f>
        <v>40.16666667</v>
      </c>
      <c r="H528" s="15">
        <f>IFERROR(__xludf.DUMMYFUNCTION("""COMPUTED_VALUE"""),44419.0)</f>
        <v>44419</v>
      </c>
      <c r="I528" s="18">
        <f>IFERROR(__xludf.DUMMYFUNCTION("""COMPUTED_VALUE"""),1.8055555555555556)</f>
        <v>1.805555556</v>
      </c>
      <c r="J528" s="22">
        <f>IFERROR(__xludf.DUMMYFUNCTION("""COMPUTED_VALUE"""),70.0)</f>
        <v>70</v>
      </c>
      <c r="K528" s="22">
        <f>IFERROR(__xludf.DUMMYFUNCTION("""COMPUTED_VALUE"""),23.0)</f>
        <v>23</v>
      </c>
      <c r="L528" s="26" t="str">
        <f>IFERROR(__xludf.DUMMYFUNCTION("""COMPUTED_VALUE"""),"Simulation")</f>
        <v>Simulation</v>
      </c>
    </row>
    <row r="529">
      <c r="A529" s="12" t="str">
        <f>IFERROR(__xludf.DUMMYFUNCTION("""COMPUTED_VALUE"""),"Crysis 2: Remastered")</f>
        <v>Crysis 2: Remastered</v>
      </c>
      <c r="B529" s="13" t="str">
        <f>IFERROR(__xludf.DUMMYFUNCTION("""COMPUTED_VALUE"""),"PC")</f>
        <v>PC</v>
      </c>
      <c r="C529" s="14"/>
      <c r="D529" s="14" t="str">
        <f>IFERROR(__xludf.DUMMYFUNCTION("""COMPUTED_VALUE"""),"Active")</f>
        <v>Active</v>
      </c>
      <c r="E529" s="15">
        <f>IFERROR(__xludf.DUMMYFUNCTION("""COMPUTED_VALUE"""),44901.0)</f>
        <v>44901</v>
      </c>
      <c r="F529" s="16"/>
      <c r="G529" s="18">
        <f>IFERROR(__xludf.DUMMYFUNCTION("""COMPUTED_VALUE"""),46.0)</f>
        <v>46</v>
      </c>
      <c r="H529" s="15">
        <f>IFERROR(__xludf.DUMMYFUNCTION("""COMPUTED_VALUE"""),44484.0)</f>
        <v>44484</v>
      </c>
      <c r="I529" s="18">
        <f>IFERROR(__xludf.DUMMYFUNCTION("""COMPUTED_VALUE"""),1.1416666666666666)</f>
        <v>1.141666667</v>
      </c>
      <c r="J529" s="22">
        <f>IFERROR(__xludf.DUMMYFUNCTION("""COMPUTED_VALUE"""),70.0)</f>
        <v>70</v>
      </c>
      <c r="K529" s="22">
        <f>IFERROR(__xludf.DUMMYFUNCTION("""COMPUTED_VALUE"""),9.0)</f>
        <v>9</v>
      </c>
      <c r="L529" s="26" t="str">
        <f>IFERROR(__xludf.DUMMYFUNCTION("""COMPUTED_VALUE"""),"Shooter")</f>
        <v>Shooter</v>
      </c>
    </row>
    <row r="530">
      <c r="A530" s="12" t="str">
        <f>IFERROR(__xludf.DUMMYFUNCTION("""COMPUTED_VALUE"""),"Microsoft Solitaire Collection: Premium Edition")</f>
        <v>Microsoft Solitaire Collection: Premium Edition</v>
      </c>
      <c r="B530" s="13" t="str">
        <f>IFERROR(__xludf.DUMMYFUNCTION("""COMPUTED_VALUE"""),"PC")</f>
        <v>PC</v>
      </c>
      <c r="C530" s="14"/>
      <c r="D530" s="14" t="str">
        <f>IFERROR(__xludf.DUMMYFUNCTION("""COMPUTED_VALUE"""),"Active")</f>
        <v>Active</v>
      </c>
      <c r="E530" s="15">
        <f>IFERROR(__xludf.DUMMYFUNCTION("""COMPUTED_VALUE"""),44425.0)</f>
        <v>44425</v>
      </c>
      <c r="F530" s="16"/>
      <c r="G530" s="18">
        <f>IFERROR(__xludf.DUMMYFUNCTION("""COMPUTED_VALUE"""),61.63333333333333)</f>
        <v>61.63333333</v>
      </c>
      <c r="H530" s="15">
        <f>IFERROR(__xludf.DUMMYFUNCTION("""COMPUTED_VALUE"""),41208.0)</f>
        <v>41208</v>
      </c>
      <c r="I530" s="18">
        <f>IFERROR(__xludf.DUMMYFUNCTION("""COMPUTED_VALUE"""),8.808333333333334)</f>
        <v>8.808333333</v>
      </c>
      <c r="J530" s="22">
        <f>IFERROR(__xludf.DUMMYFUNCTION("""COMPUTED_VALUE"""),70.0)</f>
        <v>70</v>
      </c>
      <c r="K530" s="22">
        <f>IFERROR(__xludf.DUMMYFUNCTION("""COMPUTED_VALUE"""),80.0)</f>
        <v>80</v>
      </c>
      <c r="L530" s="26" t="str">
        <f>IFERROR(__xludf.DUMMYFUNCTION("""COMPUTED_VALUE"""),"Card Game")</f>
        <v>Card Game</v>
      </c>
    </row>
    <row r="531">
      <c r="A531" s="12" t="str">
        <f>IFERROR(__xludf.DUMMYFUNCTION("""COMPUTED_VALUE"""),"Alice: Madness Returns")</f>
        <v>Alice: Madness Returns</v>
      </c>
      <c r="B531" s="13" t="str">
        <f>IFERROR(__xludf.DUMMYFUNCTION("""COMPUTED_VALUE"""),"Xbox / PC")</f>
        <v>Xbox / PC</v>
      </c>
      <c r="C531" s="14"/>
      <c r="D531" s="14" t="str">
        <f>IFERROR(__xludf.DUMMYFUNCTION("""COMPUTED_VALUE"""),"Active")</f>
        <v>Active</v>
      </c>
      <c r="E531" s="15">
        <f>IFERROR(__xludf.DUMMYFUNCTION("""COMPUTED_VALUE"""),44145.0)</f>
        <v>44145</v>
      </c>
      <c r="F531" s="16"/>
      <c r="G531" s="18">
        <f>IFERROR(__xludf.DUMMYFUNCTION("""COMPUTED_VALUE"""),70.86666666666667)</f>
        <v>70.86666667</v>
      </c>
      <c r="H531" s="15">
        <f>IFERROR(__xludf.DUMMYFUNCTION("""COMPUTED_VALUE"""),40708.0)</f>
        <v>40708</v>
      </c>
      <c r="I531" s="18">
        <f>IFERROR(__xludf.DUMMYFUNCTION("""COMPUTED_VALUE"""),9.405555555555555)</f>
        <v>9.405555556</v>
      </c>
      <c r="J531" s="22">
        <f>IFERROR(__xludf.DUMMYFUNCTION("""COMPUTED_VALUE"""),70.0)</f>
        <v>70</v>
      </c>
      <c r="K531" s="22">
        <f>IFERROR(__xludf.DUMMYFUNCTION("""COMPUTED_VALUE"""),14.0)</f>
        <v>14</v>
      </c>
      <c r="L531" s="26" t="str">
        <f>IFERROR(__xludf.DUMMYFUNCTION("""COMPUTED_VALUE"""),"Platformer")</f>
        <v>Platformer</v>
      </c>
    </row>
    <row r="532">
      <c r="A532" s="12" t="str">
        <f>IFERROR(__xludf.DUMMYFUNCTION("""COMPUTED_VALUE"""),"Fe")</f>
        <v>Fe</v>
      </c>
      <c r="B532" s="13" t="str">
        <f>IFERROR(__xludf.DUMMYFUNCTION("""COMPUTED_VALUE"""),"Xbox / PC")</f>
        <v>Xbox / PC</v>
      </c>
      <c r="C532" s="14"/>
      <c r="D532" s="14" t="str">
        <f>IFERROR(__xludf.DUMMYFUNCTION("""COMPUTED_VALUE"""),"Active")</f>
        <v>Active</v>
      </c>
      <c r="E532" s="15">
        <f>IFERROR(__xludf.DUMMYFUNCTION("""COMPUTED_VALUE"""),44145.0)</f>
        <v>44145</v>
      </c>
      <c r="F532" s="16"/>
      <c r="G532" s="18">
        <f>IFERROR(__xludf.DUMMYFUNCTION("""COMPUTED_VALUE"""),70.86666666666667)</f>
        <v>70.86666667</v>
      </c>
      <c r="H532" s="15">
        <f>IFERROR(__xludf.DUMMYFUNCTION("""COMPUTED_VALUE"""),43147.0)</f>
        <v>43147</v>
      </c>
      <c r="I532" s="18">
        <f>IFERROR(__xludf.DUMMYFUNCTION("""COMPUTED_VALUE"""),2.7333333333333334)</f>
        <v>2.733333333</v>
      </c>
      <c r="J532" s="22">
        <f>IFERROR(__xludf.DUMMYFUNCTION("""COMPUTED_VALUE"""),70.0)</f>
        <v>70</v>
      </c>
      <c r="K532" s="22">
        <f>IFERROR(__xludf.DUMMYFUNCTION("""COMPUTED_VALUE"""),5.5)</f>
        <v>5.5</v>
      </c>
      <c r="L532" s="26" t="str">
        <f>IFERROR(__xludf.DUMMYFUNCTION("""COMPUTED_VALUE"""),"Action-Adventure")</f>
        <v>Action-Adventure</v>
      </c>
    </row>
    <row r="533">
      <c r="A533" s="12" t="str">
        <f>IFERROR(__xludf.DUMMYFUNCTION("""COMPUTED_VALUE"""),"Trailmakers")</f>
        <v>Trailmakers</v>
      </c>
      <c r="B533" s="13" t="str">
        <f>IFERROR(__xludf.DUMMYFUNCTION("""COMPUTED_VALUE"""),"Xbox / PC")</f>
        <v>Xbox / PC</v>
      </c>
      <c r="C533" s="14" t="str">
        <f>IFERROR(__xludf.DUMMYFUNCTION("""COMPUTED_VALUE"""),"Yes")</f>
        <v>Yes</v>
      </c>
      <c r="D533" s="14" t="str">
        <f>IFERROR(__xludf.DUMMYFUNCTION("""COMPUTED_VALUE"""),"Active")</f>
        <v>Active</v>
      </c>
      <c r="E533" s="15">
        <f>IFERROR(__xludf.DUMMYFUNCTION("""COMPUTED_VALUE"""),44049.0)</f>
        <v>44049</v>
      </c>
      <c r="F533" s="16"/>
      <c r="G533" s="18">
        <f>IFERROR(__xludf.DUMMYFUNCTION("""COMPUTED_VALUE"""),74.0)</f>
        <v>74</v>
      </c>
      <c r="H533" s="15">
        <f>IFERROR(__xludf.DUMMYFUNCTION("""COMPUTED_VALUE"""),43726.0)</f>
        <v>43726</v>
      </c>
      <c r="I533" s="18">
        <f>IFERROR(__xludf.DUMMYFUNCTION("""COMPUTED_VALUE"""),0.8833333333333333)</f>
        <v>0.8833333333</v>
      </c>
      <c r="J533" s="22">
        <f>IFERROR(__xludf.DUMMYFUNCTION("""COMPUTED_VALUE"""),70.0)</f>
        <v>70</v>
      </c>
      <c r="K533" s="22">
        <f>IFERROR(__xludf.DUMMYFUNCTION("""COMPUTED_VALUE"""),11.5)</f>
        <v>11.5</v>
      </c>
      <c r="L533" s="26" t="str">
        <f>IFERROR(__xludf.DUMMYFUNCTION("""COMPUTED_VALUE"""),"Racing")</f>
        <v>Racing</v>
      </c>
    </row>
    <row r="534">
      <c r="A534" s="12" t="str">
        <f>IFERROR(__xludf.DUMMYFUNCTION("""COMPUTED_VALUE"""),"Bleeding Edge")</f>
        <v>Bleeding Edge</v>
      </c>
      <c r="B534" s="13" t="str">
        <f>IFERROR(__xludf.DUMMYFUNCTION("""COMPUTED_VALUE"""),"Xbox / PC")</f>
        <v>Xbox / PC</v>
      </c>
      <c r="C534" s="14" t="str">
        <f>IFERROR(__xludf.DUMMYFUNCTION("""COMPUTED_VALUE"""),"Yes")</f>
        <v>Yes</v>
      </c>
      <c r="D534" s="14" t="str">
        <f>IFERROR(__xludf.DUMMYFUNCTION("""COMPUTED_VALUE"""),"Active")</f>
        <v>Active</v>
      </c>
      <c r="E534" s="15">
        <f>IFERROR(__xludf.DUMMYFUNCTION("""COMPUTED_VALUE"""),43914.0)</f>
        <v>43914</v>
      </c>
      <c r="F534" s="16"/>
      <c r="G534" s="18">
        <f>IFERROR(__xludf.DUMMYFUNCTION("""COMPUTED_VALUE"""),78.4)</f>
        <v>78.4</v>
      </c>
      <c r="H534" s="15">
        <f>IFERROR(__xludf.DUMMYFUNCTION("""COMPUTED_VALUE"""),43914.0)</f>
        <v>43914</v>
      </c>
      <c r="I534" s="18">
        <f>IFERROR(__xludf.DUMMYFUNCTION("""COMPUTED_VALUE"""),0.0)</f>
        <v>0</v>
      </c>
      <c r="J534" s="22">
        <f>IFERROR(__xludf.DUMMYFUNCTION("""COMPUTED_VALUE"""),70.0)</f>
        <v>70</v>
      </c>
      <c r="K534" s="22">
        <f>IFERROR(__xludf.DUMMYFUNCTION("""COMPUTED_VALUE"""),6.5)</f>
        <v>6.5</v>
      </c>
      <c r="L534" s="26" t="str">
        <f>IFERROR(__xludf.DUMMYFUNCTION("""COMPUTED_VALUE"""),"Action")</f>
        <v>Action</v>
      </c>
    </row>
    <row r="535">
      <c r="A535" s="12" t="str">
        <f>IFERROR(__xludf.DUMMYFUNCTION("""COMPUTED_VALUE"""),"The Bard's Tale IV: Director's Cut")</f>
        <v>The Bard's Tale IV: Director's Cut</v>
      </c>
      <c r="B535" s="13" t="str">
        <f>IFERROR(__xludf.DUMMYFUNCTION("""COMPUTED_VALUE"""),"Xbox / PC")</f>
        <v>Xbox / PC</v>
      </c>
      <c r="C535" s="14" t="str">
        <f>IFERROR(__xludf.DUMMYFUNCTION("""COMPUTED_VALUE"""),"Touch Controls")</f>
        <v>Touch Controls</v>
      </c>
      <c r="D535" s="14" t="str">
        <f>IFERROR(__xludf.DUMMYFUNCTION("""COMPUTED_VALUE"""),"Active")</f>
        <v>Active</v>
      </c>
      <c r="E535" s="15">
        <f>IFERROR(__xludf.DUMMYFUNCTION("""COMPUTED_VALUE"""),43704.0)</f>
        <v>43704</v>
      </c>
      <c r="F535" s="16"/>
      <c r="G535" s="18">
        <f>IFERROR(__xludf.DUMMYFUNCTION("""COMPUTED_VALUE"""),85.3)</f>
        <v>85.3</v>
      </c>
      <c r="H535" s="15">
        <f>IFERROR(__xludf.DUMMYFUNCTION("""COMPUTED_VALUE"""),43361.0)</f>
        <v>43361</v>
      </c>
      <c r="I535" s="18">
        <f>IFERROR(__xludf.DUMMYFUNCTION("""COMPUTED_VALUE"""),0.9416666666666667)</f>
        <v>0.9416666667</v>
      </c>
      <c r="J535" s="22">
        <f>IFERROR(__xludf.DUMMYFUNCTION("""COMPUTED_VALUE"""),70.0)</f>
        <v>70</v>
      </c>
      <c r="K535" s="22">
        <f>IFERROR(__xludf.DUMMYFUNCTION("""COMPUTED_VALUE"""),59.5)</f>
        <v>59.5</v>
      </c>
      <c r="L535" s="26" t="str">
        <f>IFERROR(__xludf.DUMMYFUNCTION("""COMPUTED_VALUE"""),"RPG")</f>
        <v>RPG</v>
      </c>
    </row>
    <row r="536">
      <c r="A536" s="12" t="str">
        <f>IFERROR(__xludf.DUMMYFUNCTION("""COMPUTED_VALUE"""),"The Bard's Tale Trilogy")</f>
        <v>The Bard's Tale Trilogy</v>
      </c>
      <c r="B536" s="13" t="str">
        <f>IFERROR(__xludf.DUMMYFUNCTION("""COMPUTED_VALUE"""),"Xbox / PC")</f>
        <v>Xbox / PC</v>
      </c>
      <c r="C536" s="14" t="str">
        <f>IFERROR(__xludf.DUMMYFUNCTION("""COMPUTED_VALUE"""),"Touch Controls")</f>
        <v>Touch Controls</v>
      </c>
      <c r="D536" s="14" t="str">
        <f>IFERROR(__xludf.DUMMYFUNCTION("""COMPUTED_VALUE"""),"Active")</f>
        <v>Active</v>
      </c>
      <c r="E536" s="15">
        <f>IFERROR(__xludf.DUMMYFUNCTION("""COMPUTED_VALUE"""),43690.0)</f>
        <v>43690</v>
      </c>
      <c r="F536" s="16"/>
      <c r="G536" s="18">
        <f>IFERROR(__xludf.DUMMYFUNCTION("""COMPUTED_VALUE"""),85.76666666666667)</f>
        <v>85.76666667</v>
      </c>
      <c r="H536" s="15">
        <f>IFERROR(__xludf.DUMMYFUNCTION("""COMPUTED_VALUE"""),43326.0)</f>
        <v>43326</v>
      </c>
      <c r="I536" s="18">
        <f>IFERROR(__xludf.DUMMYFUNCTION("""COMPUTED_VALUE"""),0.9972222222222222)</f>
        <v>0.9972222222</v>
      </c>
      <c r="J536" s="22">
        <f>IFERROR(__xludf.DUMMYFUNCTION("""COMPUTED_VALUE"""),70.0)</f>
        <v>70</v>
      </c>
      <c r="K536" s="22">
        <f>IFERROR(__xludf.DUMMYFUNCTION("""COMPUTED_VALUE"""),24.0)</f>
        <v>24</v>
      </c>
      <c r="L536" s="26" t="str">
        <f>IFERROR(__xludf.DUMMYFUNCTION("""COMPUTED_VALUE"""),"RPG")</f>
        <v>RPG</v>
      </c>
    </row>
    <row r="537">
      <c r="A537" s="12" t="str">
        <f>IFERROR(__xludf.DUMMYFUNCTION("""COMPUTED_VALUE"""),"Fuzion Frenzy")</f>
        <v>Fuzion Frenzy</v>
      </c>
      <c r="B537" s="13" t="str">
        <f>IFERROR(__xludf.DUMMYFUNCTION("""COMPUTED_VALUE"""),"Xbox / PC")</f>
        <v>Xbox / PC</v>
      </c>
      <c r="C537" s="14" t="str">
        <f>IFERROR(__xludf.DUMMYFUNCTION("""COMPUTED_VALUE"""),"Touch Controls")</f>
        <v>Touch Controls</v>
      </c>
      <c r="D537" s="14" t="str">
        <f>IFERROR(__xludf.DUMMYFUNCTION("""COMPUTED_VALUE"""),"Active")</f>
        <v>Active</v>
      </c>
      <c r="E537" s="15">
        <f>IFERROR(__xludf.DUMMYFUNCTION("""COMPUTED_VALUE"""),42887.0)</f>
        <v>42887</v>
      </c>
      <c r="F537" s="16"/>
      <c r="G537" s="18">
        <f>IFERROR(__xludf.DUMMYFUNCTION("""COMPUTED_VALUE"""),112.16666666666666)</f>
        <v>112.1666667</v>
      </c>
      <c r="H537" s="15">
        <f>IFERROR(__xludf.DUMMYFUNCTION("""COMPUTED_VALUE"""),37209.0)</f>
        <v>37209</v>
      </c>
      <c r="I537" s="18">
        <f>IFERROR(__xludf.DUMMYFUNCTION("""COMPUTED_VALUE"""),15.547222222222222)</f>
        <v>15.54722222</v>
      </c>
      <c r="J537" s="22">
        <f>IFERROR(__xludf.DUMMYFUNCTION("""COMPUTED_VALUE"""),70.0)</f>
        <v>70</v>
      </c>
      <c r="K537" s="22">
        <f>IFERROR(__xludf.DUMMYFUNCTION("""COMPUTED_VALUE"""),4.0)</f>
        <v>4</v>
      </c>
      <c r="L537" s="26" t="str">
        <f>IFERROR(__xludf.DUMMYFUNCTION("""COMPUTED_VALUE"""),"Minigame Collection")</f>
        <v>Minigame Collection</v>
      </c>
    </row>
    <row r="538">
      <c r="A538" s="12" t="str">
        <f>IFERROR(__xludf.DUMMYFUNCTION("""COMPUTED_VALUE"""),"BattleTech: The Crescent Hawk's Revenge")</f>
        <v>BattleTech: The Crescent Hawk's Revenge</v>
      </c>
      <c r="B538" s="13" t="str">
        <f>IFERROR(__xludf.DUMMYFUNCTION("""COMPUTED_VALUE"""),"Xbox / PC")</f>
        <v>Xbox / PC</v>
      </c>
      <c r="C538" s="14" t="str">
        <f>IFERROR(__xludf.DUMMYFUNCTION("""COMPUTED_VALUE"""),"Yes")</f>
        <v>Yes</v>
      </c>
      <c r="D538" s="14" t="str">
        <f>IFERROR(__xludf.DUMMYFUNCTION("""COMPUTED_VALUE"""),"Active")</f>
        <v>Active</v>
      </c>
      <c r="E538" s="15">
        <f>IFERROR(__xludf.DUMMYFUNCTION("""COMPUTED_VALUE"""),45945.0)</f>
        <v>45945</v>
      </c>
      <c r="F538" s="16"/>
      <c r="G538" s="18">
        <f>IFERROR(__xludf.DUMMYFUNCTION("""COMPUTED_VALUE"""),11.7)</f>
        <v>11.7</v>
      </c>
      <c r="H538" s="15">
        <f>IFERROR(__xludf.DUMMYFUNCTION("""COMPUTED_VALUE"""),32874.0)</f>
        <v>32874</v>
      </c>
      <c r="I538" s="18">
        <f>IFERROR(__xludf.DUMMYFUNCTION("""COMPUTED_VALUE"""),35.78888888888889)</f>
        <v>35.78888889</v>
      </c>
      <c r="J538" s="22">
        <f>IFERROR(__xludf.DUMMYFUNCTION("""COMPUTED_VALUE"""),69.0)</f>
        <v>69</v>
      </c>
      <c r="K538" s="22"/>
      <c r="L538" s="26" t="str">
        <f>IFERROR(__xludf.DUMMYFUNCTION("""COMPUTED_VALUE"""),"Strategy")</f>
        <v>Strategy</v>
      </c>
    </row>
    <row r="539">
      <c r="A539" s="12" t="str">
        <f>IFERROR(__xludf.DUMMYFUNCTION("""COMPUTED_VALUE"""),"Assassin's Creed Chronicles: China")</f>
        <v>Assassin's Creed Chronicles: China</v>
      </c>
      <c r="B539" s="13" t="str">
        <f>IFERROR(__xludf.DUMMYFUNCTION("""COMPUTED_VALUE"""),"Xbox / PC")</f>
        <v>Xbox / PC</v>
      </c>
      <c r="C539" s="14" t="str">
        <f>IFERROR(__xludf.DUMMYFUNCTION("""COMPUTED_VALUE"""),"Yes")</f>
        <v>Yes</v>
      </c>
      <c r="D539" s="14" t="str">
        <f>IFERROR(__xludf.DUMMYFUNCTION("""COMPUTED_VALUE"""),"Active")</f>
        <v>Active</v>
      </c>
      <c r="E539" s="15">
        <f>IFERROR(__xludf.DUMMYFUNCTION("""COMPUTED_VALUE"""),45931.0)</f>
        <v>45931</v>
      </c>
      <c r="F539" s="16"/>
      <c r="G539" s="18">
        <f>IFERROR(__xludf.DUMMYFUNCTION("""COMPUTED_VALUE"""),12.166666666666666)</f>
        <v>12.16666667</v>
      </c>
      <c r="H539" s="15">
        <f>IFERROR(__xludf.DUMMYFUNCTION("""COMPUTED_VALUE"""),42115.0)</f>
        <v>42115</v>
      </c>
      <c r="I539" s="18">
        <f>IFERROR(__xludf.DUMMYFUNCTION("""COMPUTED_VALUE"""),10.444444444444445)</f>
        <v>10.44444444</v>
      </c>
      <c r="J539" s="22">
        <f>IFERROR(__xludf.DUMMYFUNCTION("""COMPUTED_VALUE"""),69.0)</f>
        <v>69</v>
      </c>
      <c r="K539" s="22">
        <f>IFERROR(__xludf.DUMMYFUNCTION("""COMPUTED_VALUE"""),6.0)</f>
        <v>6</v>
      </c>
      <c r="L539" s="26" t="str">
        <f>IFERROR(__xludf.DUMMYFUNCTION("""COMPUTED_VALUE"""),"Action-Adventure")</f>
        <v>Action-Adventure</v>
      </c>
    </row>
    <row r="540">
      <c r="A540" s="12" t="str">
        <f>IFERROR(__xludf.DUMMYFUNCTION("""COMPUTED_VALUE"""),"Rabbids: Party of Legends")</f>
        <v>Rabbids: Party of Legends</v>
      </c>
      <c r="B540" s="13" t="str">
        <f>IFERROR(__xludf.DUMMYFUNCTION("""COMPUTED_VALUE"""),"Xbox / PC")</f>
        <v>Xbox / PC</v>
      </c>
      <c r="C540" s="14" t="str">
        <f>IFERROR(__xludf.DUMMYFUNCTION("""COMPUTED_VALUE"""),"Yes")</f>
        <v>Yes</v>
      </c>
      <c r="D540" s="14" t="str">
        <f>IFERROR(__xludf.DUMMYFUNCTION("""COMPUTED_VALUE"""),"Active")</f>
        <v>Active</v>
      </c>
      <c r="E540" s="15">
        <f>IFERROR(__xludf.DUMMYFUNCTION("""COMPUTED_VALUE"""),45931.0)</f>
        <v>45931</v>
      </c>
      <c r="F540" s="16"/>
      <c r="G540" s="18">
        <f>IFERROR(__xludf.DUMMYFUNCTION("""COMPUTED_VALUE"""),12.166666666666666)</f>
        <v>12.16666667</v>
      </c>
      <c r="H540" s="15">
        <f>IFERROR(__xludf.DUMMYFUNCTION("""COMPUTED_VALUE"""),44742.0)</f>
        <v>44742</v>
      </c>
      <c r="I540" s="18">
        <f>IFERROR(__xludf.DUMMYFUNCTION("""COMPUTED_VALUE"""),3.2527777777777778)</f>
        <v>3.252777778</v>
      </c>
      <c r="J540" s="22">
        <f>IFERROR(__xludf.DUMMYFUNCTION("""COMPUTED_VALUE"""),69.0)</f>
        <v>69</v>
      </c>
      <c r="K540" s="22">
        <f>IFERROR(__xludf.DUMMYFUNCTION("""COMPUTED_VALUE"""),3.0)</f>
        <v>3</v>
      </c>
      <c r="L540" s="26" t="str">
        <f>IFERROR(__xludf.DUMMYFUNCTION("""COMPUTED_VALUE"""),"Party")</f>
        <v>Party</v>
      </c>
    </row>
    <row r="541">
      <c r="A541" s="12" t="str">
        <f>IFERROR(__xludf.DUMMYFUNCTION("""COMPUTED_VALUE"""),"Immortals of Aveum")</f>
        <v>Immortals of Aveum</v>
      </c>
      <c r="B541" s="13" t="str">
        <f>IFERROR(__xludf.DUMMYFUNCTION("""COMPUTED_VALUE"""),"Xbox / PC")</f>
        <v>Xbox / PC</v>
      </c>
      <c r="C541" s="14" t="str">
        <f>IFERROR(__xludf.DUMMYFUNCTION("""COMPUTED_VALUE"""),"Yes")</f>
        <v>Yes</v>
      </c>
      <c r="D541" s="14" t="str">
        <f>IFERROR(__xludf.DUMMYFUNCTION("""COMPUTED_VALUE"""),"Active")</f>
        <v>Active</v>
      </c>
      <c r="E541" s="15">
        <f>IFERROR(__xludf.DUMMYFUNCTION("""COMPUTED_VALUE"""),45427.0)</f>
        <v>45427</v>
      </c>
      <c r="F541" s="16"/>
      <c r="G541" s="18">
        <f>IFERROR(__xludf.DUMMYFUNCTION("""COMPUTED_VALUE"""),28.7)</f>
        <v>28.7</v>
      </c>
      <c r="H541" s="15">
        <f>IFERROR(__xludf.DUMMYFUNCTION("""COMPUTED_VALUE"""),45160.0)</f>
        <v>45160</v>
      </c>
      <c r="I541" s="18">
        <f>IFERROR(__xludf.DUMMYFUNCTION("""COMPUTED_VALUE"""),0.7305555555555555)</f>
        <v>0.7305555556</v>
      </c>
      <c r="J541" s="22">
        <f>IFERROR(__xludf.DUMMYFUNCTION("""COMPUTED_VALUE"""),69.0)</f>
        <v>69</v>
      </c>
      <c r="K541" s="22">
        <f>IFERROR(__xludf.DUMMYFUNCTION("""COMPUTED_VALUE"""),15.0)</f>
        <v>15</v>
      </c>
      <c r="L541" s="26" t="str">
        <f>IFERROR(__xludf.DUMMYFUNCTION("""COMPUTED_VALUE"""),"Shooter")</f>
        <v>Shooter</v>
      </c>
    </row>
    <row r="542">
      <c r="A542" s="12" t="str">
        <f>IFERROR(__xludf.DUMMYFUNCTION("""COMPUTED_VALUE"""),"Minecraft: Legends")</f>
        <v>Minecraft: Legends</v>
      </c>
      <c r="B542" s="13" t="str">
        <f>IFERROR(__xludf.DUMMYFUNCTION("""COMPUTED_VALUE"""),"Xbox / PC")</f>
        <v>Xbox / PC</v>
      </c>
      <c r="C542" s="14" t="str">
        <f>IFERROR(__xludf.DUMMYFUNCTION("""COMPUTED_VALUE"""),"Yes")</f>
        <v>Yes</v>
      </c>
      <c r="D542" s="14" t="str">
        <f>IFERROR(__xludf.DUMMYFUNCTION("""COMPUTED_VALUE"""),"Active")</f>
        <v>Active</v>
      </c>
      <c r="E542" s="15">
        <f>IFERROR(__xludf.DUMMYFUNCTION("""COMPUTED_VALUE"""),45034.0)</f>
        <v>45034</v>
      </c>
      <c r="F542" s="16"/>
      <c r="G542" s="18">
        <f>IFERROR(__xludf.DUMMYFUNCTION("""COMPUTED_VALUE"""),41.6)</f>
        <v>41.6</v>
      </c>
      <c r="H542" s="15">
        <f>IFERROR(__xludf.DUMMYFUNCTION("""COMPUTED_VALUE"""),45034.0)</f>
        <v>45034</v>
      </c>
      <c r="I542" s="18">
        <f>IFERROR(__xludf.DUMMYFUNCTION("""COMPUTED_VALUE"""),0.0)</f>
        <v>0</v>
      </c>
      <c r="J542" s="22">
        <f>IFERROR(__xludf.DUMMYFUNCTION("""COMPUTED_VALUE"""),69.0)</f>
        <v>69</v>
      </c>
      <c r="K542" s="22">
        <f>IFERROR(__xludf.DUMMYFUNCTION("""COMPUTED_VALUE"""),8.0)</f>
        <v>8</v>
      </c>
      <c r="L542" s="26" t="str">
        <f>IFERROR(__xludf.DUMMYFUNCTION("""COMPUTED_VALUE"""),"Action-Adventure")</f>
        <v>Action-Adventure</v>
      </c>
    </row>
    <row r="543">
      <c r="A543" s="12" t="str">
        <f>IFERROR(__xludf.DUMMYFUNCTION("""COMPUTED_VALUE"""),"Crysis: Remastered")</f>
        <v>Crysis: Remastered</v>
      </c>
      <c r="B543" s="13" t="str">
        <f>IFERROR(__xludf.DUMMYFUNCTION("""COMPUTED_VALUE"""),"PC")</f>
        <v>PC</v>
      </c>
      <c r="C543" s="14"/>
      <c r="D543" s="14" t="str">
        <f>IFERROR(__xludf.DUMMYFUNCTION("""COMPUTED_VALUE"""),"Active")</f>
        <v>Active</v>
      </c>
      <c r="E543" s="15">
        <f>IFERROR(__xludf.DUMMYFUNCTION("""COMPUTED_VALUE"""),44469.0)</f>
        <v>44469</v>
      </c>
      <c r="F543" s="16"/>
      <c r="G543" s="18">
        <f>IFERROR(__xludf.DUMMYFUNCTION("""COMPUTED_VALUE"""),60.2)</f>
        <v>60.2</v>
      </c>
      <c r="H543" s="15">
        <f>IFERROR(__xludf.DUMMYFUNCTION("""COMPUTED_VALUE"""),44092.0)</f>
        <v>44092</v>
      </c>
      <c r="I543" s="18">
        <f>IFERROR(__xludf.DUMMYFUNCTION("""COMPUTED_VALUE"""),1.0333333333333334)</f>
        <v>1.033333333</v>
      </c>
      <c r="J543" s="22">
        <f>IFERROR(__xludf.DUMMYFUNCTION("""COMPUTED_VALUE"""),69.0)</f>
        <v>69</v>
      </c>
      <c r="K543" s="22">
        <f>IFERROR(__xludf.DUMMYFUNCTION("""COMPUTED_VALUE"""),10.0)</f>
        <v>10</v>
      </c>
      <c r="L543" s="26" t="str">
        <f>IFERROR(__xludf.DUMMYFUNCTION("""COMPUTED_VALUE"""),"Shooter")</f>
        <v>Shooter</v>
      </c>
    </row>
    <row r="544">
      <c r="A544" s="12" t="str">
        <f>IFERROR(__xludf.DUMMYFUNCTION("""COMPUTED_VALUE"""),"No Man's Sky")</f>
        <v>No Man's Sky</v>
      </c>
      <c r="B544" s="13" t="str">
        <f>IFERROR(__xludf.DUMMYFUNCTION("""COMPUTED_VALUE"""),"Xbox / PC")</f>
        <v>Xbox / PC</v>
      </c>
      <c r="C544" s="14" t="str">
        <f>IFERROR(__xludf.DUMMYFUNCTION("""COMPUTED_VALUE"""),"Yes")</f>
        <v>Yes</v>
      </c>
      <c r="D544" s="14" t="str">
        <f>IFERROR(__xludf.DUMMYFUNCTION("""COMPUTED_VALUE"""),"Active")</f>
        <v>Active</v>
      </c>
      <c r="E544" s="15">
        <f>IFERROR(__xludf.DUMMYFUNCTION("""COMPUTED_VALUE"""),43993.0)</f>
        <v>43993</v>
      </c>
      <c r="F544" s="16"/>
      <c r="G544" s="18">
        <f>IFERROR(__xludf.DUMMYFUNCTION("""COMPUTED_VALUE"""),75.83333333333334)</f>
        <v>75.83333333</v>
      </c>
      <c r="H544" s="15">
        <f>IFERROR(__xludf.DUMMYFUNCTION("""COMPUTED_VALUE"""),42591.0)</f>
        <v>42591</v>
      </c>
      <c r="I544" s="18">
        <f>IFERROR(__xludf.DUMMYFUNCTION("""COMPUTED_VALUE"""),3.838888888888889)</f>
        <v>3.838888889</v>
      </c>
      <c r="J544" s="22">
        <f>IFERROR(__xludf.DUMMYFUNCTION("""COMPUTED_VALUE"""),69.0)</f>
        <v>69</v>
      </c>
      <c r="K544" s="22">
        <f>IFERROR(__xludf.DUMMYFUNCTION("""COMPUTED_VALUE"""),30.5)</f>
        <v>30.5</v>
      </c>
      <c r="L544" s="26" t="str">
        <f>IFERROR(__xludf.DUMMYFUNCTION("""COMPUTED_VALUE"""),"Action-Adventure")</f>
        <v>Action-Adventure</v>
      </c>
    </row>
    <row r="545">
      <c r="A545" s="12" t="str">
        <f>IFERROR(__xludf.DUMMYFUNCTION("""COMPUTED_VALUE"""),"ARK: Ultimate Survivor Edition ")</f>
        <v>ARK: Ultimate Survivor Edition </v>
      </c>
      <c r="B545" s="13" t="str">
        <f>IFERROR(__xludf.DUMMYFUNCTION("""COMPUTED_VALUE"""),"Xbox / PC")</f>
        <v>Xbox / PC</v>
      </c>
      <c r="C545" s="14" t="str">
        <f>IFERROR(__xludf.DUMMYFUNCTION("""COMPUTED_VALUE"""),"Yes")</f>
        <v>Yes</v>
      </c>
      <c r="D545" s="14" t="str">
        <f>IFERROR(__xludf.DUMMYFUNCTION("""COMPUTED_VALUE"""),"Active")</f>
        <v>Active</v>
      </c>
      <c r="E545" s="15">
        <f>IFERROR(__xludf.DUMMYFUNCTION("""COMPUTED_VALUE"""),43468.0)</f>
        <v>43468</v>
      </c>
      <c r="F545" s="16"/>
      <c r="G545" s="18">
        <f>IFERROR(__xludf.DUMMYFUNCTION("""COMPUTED_VALUE"""),93.10000000000001)</f>
        <v>93.1</v>
      </c>
      <c r="H545" s="15">
        <f>IFERROR(__xludf.DUMMYFUNCTION("""COMPUTED_VALUE"""),42710.0)</f>
        <v>42710</v>
      </c>
      <c r="I545" s="18">
        <f>IFERROR(__xludf.DUMMYFUNCTION("""COMPUTED_VALUE"""),2.075)</f>
        <v>2.075</v>
      </c>
      <c r="J545" s="22">
        <f>IFERROR(__xludf.DUMMYFUNCTION("""COMPUTED_VALUE"""),69.0)</f>
        <v>69</v>
      </c>
      <c r="K545" s="22">
        <f>IFERROR(__xludf.DUMMYFUNCTION("""COMPUTED_VALUE"""),123.0)</f>
        <v>123</v>
      </c>
      <c r="L545" s="26" t="str">
        <f>IFERROR(__xludf.DUMMYFUNCTION("""COMPUTED_VALUE"""),"Action-Adventure")</f>
        <v>Action-Adventure</v>
      </c>
    </row>
    <row r="546">
      <c r="A546" s="12" t="str">
        <f>IFERROR(__xludf.DUMMYFUNCTION("""COMPUTED_VALUE"""),"Sea of Thieves")</f>
        <v>Sea of Thieves</v>
      </c>
      <c r="B546" s="13" t="str">
        <f>IFERROR(__xludf.DUMMYFUNCTION("""COMPUTED_VALUE"""),"Xbox / PC")</f>
        <v>Xbox / PC</v>
      </c>
      <c r="C546" s="14" t="str">
        <f>IFERROR(__xludf.DUMMYFUNCTION("""COMPUTED_VALUE"""),"Touch Controls, M+KB")</f>
        <v>Touch Controls, M+KB</v>
      </c>
      <c r="D546" s="14" t="str">
        <f>IFERROR(__xludf.DUMMYFUNCTION("""COMPUTED_VALUE"""),"Active")</f>
        <v>Active</v>
      </c>
      <c r="E546" s="15">
        <f>IFERROR(__xludf.DUMMYFUNCTION("""COMPUTED_VALUE"""),43179.0)</f>
        <v>43179</v>
      </c>
      <c r="F546" s="16"/>
      <c r="G546" s="18">
        <f>IFERROR(__xludf.DUMMYFUNCTION("""COMPUTED_VALUE"""),102.53333333333333)</f>
        <v>102.5333333</v>
      </c>
      <c r="H546" s="15">
        <f>IFERROR(__xludf.DUMMYFUNCTION("""COMPUTED_VALUE"""),43179.0)</f>
        <v>43179</v>
      </c>
      <c r="I546" s="18">
        <f>IFERROR(__xludf.DUMMYFUNCTION("""COMPUTED_VALUE"""),0.0)</f>
        <v>0</v>
      </c>
      <c r="J546" s="22">
        <f>IFERROR(__xludf.DUMMYFUNCTION("""COMPUTED_VALUE"""),69.0)</f>
        <v>69</v>
      </c>
      <c r="K546" s="22">
        <f>IFERROR(__xludf.DUMMYFUNCTION("""COMPUTED_VALUE"""),33.5)</f>
        <v>33.5</v>
      </c>
      <c r="L546" s="26" t="str">
        <f>IFERROR(__xludf.DUMMYFUNCTION("""COMPUTED_VALUE"""),"Action-Adventure")</f>
        <v>Action-Adventure</v>
      </c>
    </row>
    <row r="547">
      <c r="A547" s="12" t="str">
        <f>IFERROR(__xludf.DUMMYFUNCTION("""COMPUTED_VALUE"""),"The Gunk")</f>
        <v>The Gunk</v>
      </c>
      <c r="B547" s="13" t="str">
        <f>IFERROR(__xludf.DUMMYFUNCTION("""COMPUTED_VALUE"""),"Xbox / PC")</f>
        <v>Xbox / PC</v>
      </c>
      <c r="C547" s="14" t="str">
        <f>IFERROR(__xludf.DUMMYFUNCTION("""COMPUTED_VALUE"""),"Touch Controls")</f>
        <v>Touch Controls</v>
      </c>
      <c r="D547" s="14" t="str">
        <f>IFERROR(__xludf.DUMMYFUNCTION("""COMPUTED_VALUE"""),"Active")</f>
        <v>Active</v>
      </c>
      <c r="E547" s="15">
        <f>IFERROR(__xludf.DUMMYFUNCTION("""COMPUTED_VALUE"""),44546.0)</f>
        <v>44546</v>
      </c>
      <c r="F547" s="16"/>
      <c r="G547" s="18">
        <f>IFERROR(__xludf.DUMMYFUNCTION("""COMPUTED_VALUE"""),57.666666666666664)</f>
        <v>57.66666667</v>
      </c>
      <c r="H547" s="15">
        <f>IFERROR(__xludf.DUMMYFUNCTION("""COMPUTED_VALUE"""),44546.0)</f>
        <v>44546</v>
      </c>
      <c r="I547" s="18">
        <f>IFERROR(__xludf.DUMMYFUNCTION("""COMPUTED_VALUE"""),0.0)</f>
        <v>0</v>
      </c>
      <c r="J547" s="22">
        <f>IFERROR(__xludf.DUMMYFUNCTION("""COMPUTED_VALUE"""),68.33333333333333)</f>
        <v>68.33333333</v>
      </c>
      <c r="K547" s="22">
        <f>IFERROR(__xludf.DUMMYFUNCTION("""COMPUTED_VALUE"""),4.5)</f>
        <v>4.5</v>
      </c>
      <c r="L547" s="26" t="str">
        <f>IFERROR(__xludf.DUMMYFUNCTION("""COMPUTED_VALUE"""),"Action-Adventure")</f>
        <v>Action-Adventure</v>
      </c>
    </row>
    <row r="548">
      <c r="A548" s="12" t="str">
        <f>IFERROR(__xludf.DUMMYFUNCTION("""COMPUTED_VALUE"""),"Kiln")</f>
        <v>Kiln</v>
      </c>
      <c r="B548" s="13" t="str">
        <f>IFERROR(__xludf.DUMMYFUNCTION("""COMPUTED_VALUE"""),"Xbox / PC")</f>
        <v>Xbox / PC</v>
      </c>
      <c r="C548" s="14" t="str">
        <f>IFERROR(__xludf.DUMMYFUNCTION("""COMPUTED_VALUE"""),"Yes")</f>
        <v>Yes</v>
      </c>
      <c r="D548" s="14" t="str">
        <f>IFERROR(__xludf.DUMMYFUNCTION("""COMPUTED_VALUE"""),"Active")</f>
        <v>Active</v>
      </c>
      <c r="E548" s="15">
        <f>IFERROR(__xludf.DUMMYFUNCTION("""COMPUTED_VALUE"""),46135.0)</f>
        <v>46135</v>
      </c>
      <c r="F548" s="16"/>
      <c r="G548" s="18">
        <f>IFERROR(__xludf.DUMMYFUNCTION("""COMPUTED_VALUE"""),5.433333333333334)</f>
        <v>5.433333333</v>
      </c>
      <c r="H548" s="15">
        <f>IFERROR(__xludf.DUMMYFUNCTION("""COMPUTED_VALUE"""),46135.0)</f>
        <v>46135</v>
      </c>
      <c r="I548" s="18">
        <f>IFERROR(__xludf.DUMMYFUNCTION("""COMPUTED_VALUE"""),0.0)</f>
        <v>0</v>
      </c>
      <c r="J548" s="22">
        <f>IFERROR(__xludf.DUMMYFUNCTION("""COMPUTED_VALUE"""),68.0)</f>
        <v>68</v>
      </c>
      <c r="K548" s="22">
        <f>IFERROR(__xludf.DUMMYFUNCTION("""COMPUTED_VALUE"""),6.0)</f>
        <v>6</v>
      </c>
      <c r="L548" s="26" t="str">
        <f>IFERROR(__xludf.DUMMYFUNCTION("""COMPUTED_VALUE"""),"Shooter")</f>
        <v>Shooter</v>
      </c>
    </row>
    <row r="549">
      <c r="A549" s="12" t="str">
        <f>IFERROR(__xludf.DUMMYFUNCTION("""COMPUTED_VALUE"""),"Winter Burrow")</f>
        <v>Winter Burrow</v>
      </c>
      <c r="B549" s="13" t="str">
        <f>IFERROR(__xludf.DUMMYFUNCTION("""COMPUTED_VALUE"""),"Xbox / PC")</f>
        <v>Xbox / PC</v>
      </c>
      <c r="C549" s="14" t="str">
        <f>IFERROR(__xludf.DUMMYFUNCTION("""COMPUTED_VALUE"""),"Yes")</f>
        <v>Yes</v>
      </c>
      <c r="D549" s="14" t="str">
        <f>IFERROR(__xludf.DUMMYFUNCTION("""COMPUTED_VALUE"""),"Active")</f>
        <v>Active</v>
      </c>
      <c r="E549" s="15">
        <f>IFERROR(__xludf.DUMMYFUNCTION("""COMPUTED_VALUE"""),45973.0)</f>
        <v>45973</v>
      </c>
      <c r="F549" s="16"/>
      <c r="G549" s="18">
        <f>IFERROR(__xludf.DUMMYFUNCTION("""COMPUTED_VALUE"""),10.8)</f>
        <v>10.8</v>
      </c>
      <c r="H549" s="15">
        <f>IFERROR(__xludf.DUMMYFUNCTION("""COMPUTED_VALUE"""),45973.0)</f>
        <v>45973</v>
      </c>
      <c r="I549" s="18">
        <f>IFERROR(__xludf.DUMMYFUNCTION("""COMPUTED_VALUE"""),0.0)</f>
        <v>0</v>
      </c>
      <c r="J549" s="22">
        <f>IFERROR(__xludf.DUMMYFUNCTION("""COMPUTED_VALUE"""),68.0)</f>
        <v>68</v>
      </c>
      <c r="K549" s="22">
        <f>IFERROR(__xludf.DUMMYFUNCTION("""COMPUTED_VALUE"""),8.0)</f>
        <v>8</v>
      </c>
      <c r="L549" s="26" t="str">
        <f>IFERROR(__xludf.DUMMYFUNCTION("""COMPUTED_VALUE"""),"Action-Adventure")</f>
        <v>Action-Adventure</v>
      </c>
    </row>
    <row r="550">
      <c r="A550" s="12" t="str">
        <f>IFERROR(__xludf.DUMMYFUNCTION("""COMPUTED_VALUE"""),"Football Manager 26")</f>
        <v>Football Manager 26</v>
      </c>
      <c r="B550" s="13" t="str">
        <f>IFERROR(__xludf.DUMMYFUNCTION("""COMPUTED_VALUE"""),"PC")</f>
        <v>PC</v>
      </c>
      <c r="C550" s="14"/>
      <c r="D550" s="14" t="str">
        <f>IFERROR(__xludf.DUMMYFUNCTION("""COMPUTED_VALUE"""),"Active")</f>
        <v>Active</v>
      </c>
      <c r="E550" s="15">
        <f>IFERROR(__xludf.DUMMYFUNCTION("""COMPUTED_VALUE"""),45965.0)</f>
        <v>45965</v>
      </c>
      <c r="F550" s="16"/>
      <c r="G550" s="18">
        <f>IFERROR(__xludf.DUMMYFUNCTION("""COMPUTED_VALUE"""),11.066666666666666)</f>
        <v>11.06666667</v>
      </c>
      <c r="H550" s="15">
        <f>IFERROR(__xludf.DUMMYFUNCTION("""COMPUTED_VALUE"""),45965.0)</f>
        <v>45965</v>
      </c>
      <c r="I550" s="18">
        <f>IFERROR(__xludf.DUMMYFUNCTION("""COMPUTED_VALUE"""),0.0)</f>
        <v>0</v>
      </c>
      <c r="J550" s="22">
        <f>IFERROR(__xludf.DUMMYFUNCTION("""COMPUTED_VALUE"""),68.0)</f>
        <v>68</v>
      </c>
      <c r="K550" s="22">
        <f>IFERROR(__xludf.DUMMYFUNCTION("""COMPUTED_VALUE"""),64.0)</f>
        <v>64</v>
      </c>
      <c r="L550" s="26" t="str">
        <f>IFERROR(__xludf.DUMMYFUNCTION("""COMPUTED_VALUE"""),"Management")</f>
        <v>Management</v>
      </c>
    </row>
    <row r="551">
      <c r="A551" s="12" t="str">
        <f>IFERROR(__xludf.DUMMYFUNCTION("""COMPUTED_VALUE"""),"Subterranea")</f>
        <v>Subterranea</v>
      </c>
      <c r="B551" s="13" t="str">
        <f>IFERROR(__xludf.DUMMYFUNCTION("""COMPUTED_VALUE"""),"Xbox / PC")</f>
        <v>Xbox / PC</v>
      </c>
      <c r="C551" s="14" t="str">
        <f>IFERROR(__xludf.DUMMYFUNCTION("""COMPUTED_VALUE"""),"Yes")</f>
        <v>Yes</v>
      </c>
      <c r="D551" s="14" t="str">
        <f>IFERROR(__xludf.DUMMYFUNCTION("""COMPUTED_VALUE"""),"Active")</f>
        <v>Active</v>
      </c>
      <c r="E551" s="15">
        <f>IFERROR(__xludf.DUMMYFUNCTION("""COMPUTED_VALUE"""),45839.0)</f>
        <v>45839</v>
      </c>
      <c r="F551" s="16"/>
      <c r="G551" s="18">
        <f>IFERROR(__xludf.DUMMYFUNCTION("""COMPUTED_VALUE"""),15.166666666666666)</f>
        <v>15.16666667</v>
      </c>
      <c r="H551" s="15">
        <f>IFERROR(__xludf.DUMMYFUNCTION("""COMPUTED_VALUE"""),30317.0)</f>
        <v>30317</v>
      </c>
      <c r="I551" s="18">
        <f>IFERROR(__xludf.DUMMYFUNCTION("""COMPUTED_VALUE"""),42.5)</f>
        <v>42.5</v>
      </c>
      <c r="J551" s="22">
        <f>IFERROR(__xludf.DUMMYFUNCTION("""COMPUTED_VALUE"""),68.0)</f>
        <v>68</v>
      </c>
      <c r="K551" s="22"/>
      <c r="L551" s="26" t="str">
        <f>IFERROR(__xludf.DUMMYFUNCTION("""COMPUTED_VALUE"""),"Shooter")</f>
        <v>Shooter</v>
      </c>
    </row>
    <row r="552">
      <c r="A552" s="12" t="str">
        <f>IFERROR(__xludf.DUMMYFUNCTION("""COMPUTED_VALUE"""),"Bridge")</f>
        <v>Bridge</v>
      </c>
      <c r="B552" s="13" t="str">
        <f>IFERROR(__xludf.DUMMYFUNCTION("""COMPUTED_VALUE"""),"Xbox / PC")</f>
        <v>Xbox / PC</v>
      </c>
      <c r="C552" s="14" t="str">
        <f>IFERROR(__xludf.DUMMYFUNCTION("""COMPUTED_VALUE"""),"Yes")</f>
        <v>Yes</v>
      </c>
      <c r="D552" s="14" t="str">
        <f>IFERROR(__xludf.DUMMYFUNCTION("""COMPUTED_VALUE"""),"Active")</f>
        <v>Active</v>
      </c>
      <c r="E552" s="15">
        <f>IFERROR(__xludf.DUMMYFUNCTION("""COMPUTED_VALUE"""),45798.0)</f>
        <v>45798</v>
      </c>
      <c r="F552" s="16"/>
      <c r="G552" s="18">
        <f>IFERROR(__xludf.DUMMYFUNCTION("""COMPUTED_VALUE"""),16.5)</f>
        <v>16.5</v>
      </c>
      <c r="H552" s="15">
        <f>IFERROR(__xludf.DUMMYFUNCTION("""COMPUTED_VALUE"""),29556.0)</f>
        <v>29556</v>
      </c>
      <c r="I552" s="18">
        <f>IFERROR(__xludf.DUMMYFUNCTION("""COMPUTED_VALUE"""),44.47222222222222)</f>
        <v>44.47222222</v>
      </c>
      <c r="J552" s="22">
        <f>IFERROR(__xludf.DUMMYFUNCTION("""COMPUTED_VALUE"""),68.0)</f>
        <v>68</v>
      </c>
      <c r="K552" s="22"/>
      <c r="L552" s="26" t="str">
        <f>IFERROR(__xludf.DUMMYFUNCTION("""COMPUTED_VALUE"""),"Strategy")</f>
        <v>Strategy</v>
      </c>
    </row>
    <row r="553">
      <c r="A553" s="12" t="str">
        <f>IFERROR(__xludf.DUMMYFUNCTION("""COMPUTED_VALUE"""),"Eternal Strands")</f>
        <v>Eternal Strands</v>
      </c>
      <c r="B553" s="13" t="str">
        <f>IFERROR(__xludf.DUMMYFUNCTION("""COMPUTED_VALUE"""),"Xbox / PC")</f>
        <v>Xbox / PC</v>
      </c>
      <c r="C553" s="14" t="str">
        <f>IFERROR(__xludf.DUMMYFUNCTION("""COMPUTED_VALUE"""),"Yes")</f>
        <v>Yes</v>
      </c>
      <c r="D553" s="14" t="str">
        <f>IFERROR(__xludf.DUMMYFUNCTION("""COMPUTED_VALUE"""),"Active")</f>
        <v>Active</v>
      </c>
      <c r="E553" s="15">
        <f>IFERROR(__xludf.DUMMYFUNCTION("""COMPUTED_VALUE"""),45685.0)</f>
        <v>45685</v>
      </c>
      <c r="F553" s="16"/>
      <c r="G553" s="18">
        <f>IFERROR(__xludf.DUMMYFUNCTION("""COMPUTED_VALUE"""),20.266666666666666)</f>
        <v>20.26666667</v>
      </c>
      <c r="H553" s="15">
        <f>IFERROR(__xludf.DUMMYFUNCTION("""COMPUTED_VALUE"""),45685.0)</f>
        <v>45685</v>
      </c>
      <c r="I553" s="18">
        <f>IFERROR(__xludf.DUMMYFUNCTION("""COMPUTED_VALUE"""),0.0)</f>
        <v>0</v>
      </c>
      <c r="J553" s="22">
        <f>IFERROR(__xludf.DUMMYFUNCTION("""COMPUTED_VALUE"""),68.0)</f>
        <v>68</v>
      </c>
      <c r="K553" s="22">
        <f>IFERROR(__xludf.DUMMYFUNCTION("""COMPUTED_VALUE"""),18.0)</f>
        <v>18</v>
      </c>
      <c r="L553" s="26" t="str">
        <f>IFERROR(__xludf.DUMMYFUNCTION("""COMPUTED_VALUE"""),"Action-Adventure")</f>
        <v>Action-Adventure</v>
      </c>
    </row>
    <row r="554">
      <c r="A554" s="119" t="str">
        <f>IFERROR(__xludf.DUMMYFUNCTION("""COMPUTED_VALUE"""),"Goat Simulator 3")</f>
        <v>Goat Simulator 3</v>
      </c>
      <c r="B554" s="13" t="str">
        <f>IFERROR(__xludf.DUMMYFUNCTION("""COMPUTED_VALUE"""),"Xbox / PC")</f>
        <v>Xbox / PC</v>
      </c>
      <c r="C554" s="14" t="str">
        <f>IFERROR(__xludf.DUMMYFUNCTION("""COMPUTED_VALUE"""),"Yes")</f>
        <v>Yes</v>
      </c>
      <c r="D554" s="14" t="str">
        <f>IFERROR(__xludf.DUMMYFUNCTION("""COMPUTED_VALUE"""),"Active")</f>
        <v>Active</v>
      </c>
      <c r="E554" s="15">
        <f>IFERROR(__xludf.DUMMYFUNCTION("""COMPUTED_VALUE"""),45267.0)</f>
        <v>45267</v>
      </c>
      <c r="F554" s="16"/>
      <c r="G554" s="18">
        <f>IFERROR(__xludf.DUMMYFUNCTION("""COMPUTED_VALUE"""),33.96666666666667)</f>
        <v>33.96666667</v>
      </c>
      <c r="H554" s="15">
        <f>IFERROR(__xludf.DUMMYFUNCTION("""COMPUTED_VALUE"""),44882.0)</f>
        <v>44882</v>
      </c>
      <c r="I554" s="18">
        <f>IFERROR(__xludf.DUMMYFUNCTION("""COMPUTED_VALUE"""),1.0555555555555556)</f>
        <v>1.055555556</v>
      </c>
      <c r="J554" s="22">
        <f>IFERROR(__xludf.DUMMYFUNCTION("""COMPUTED_VALUE"""),68.0)</f>
        <v>68</v>
      </c>
      <c r="K554" s="22">
        <f>IFERROR(__xludf.DUMMYFUNCTION("""COMPUTED_VALUE"""),8.0)</f>
        <v>8</v>
      </c>
      <c r="L554" s="26" t="str">
        <f>IFERROR(__xludf.DUMMYFUNCTION("""COMPUTED_VALUE"""),"Simulation")</f>
        <v>Simulation</v>
      </c>
    </row>
    <row r="555">
      <c r="A555" s="12" t="str">
        <f>IFERROR(__xludf.DUMMYFUNCTION("""COMPUTED_VALUE"""),"House Flipper")</f>
        <v>House Flipper</v>
      </c>
      <c r="B555" s="13" t="str">
        <f>IFERROR(__xludf.DUMMYFUNCTION("""COMPUTED_VALUE"""),"Xbox / PC")</f>
        <v>Xbox / PC</v>
      </c>
      <c r="C555" s="14" t="str">
        <f>IFERROR(__xludf.DUMMYFUNCTION("""COMPUTED_VALUE"""),"M+KB")</f>
        <v>M+KB</v>
      </c>
      <c r="D555" s="14" t="str">
        <f>IFERROR(__xludf.DUMMYFUNCTION("""COMPUTED_VALUE"""),"Active")</f>
        <v>Active</v>
      </c>
      <c r="E555" s="15">
        <f>IFERROR(__xludf.DUMMYFUNCTION("""COMPUTED_VALUE"""),44742.0)</f>
        <v>44742</v>
      </c>
      <c r="F555" s="16"/>
      <c r="G555" s="18">
        <f>IFERROR(__xludf.DUMMYFUNCTION("""COMPUTED_VALUE"""),51.2)</f>
        <v>51.2</v>
      </c>
      <c r="H555" s="15">
        <f>IFERROR(__xludf.DUMMYFUNCTION("""COMPUTED_VALUE"""),43237.0)</f>
        <v>43237</v>
      </c>
      <c r="I555" s="18">
        <f>IFERROR(__xludf.DUMMYFUNCTION("""COMPUTED_VALUE"""),4.1194444444444445)</f>
        <v>4.119444444</v>
      </c>
      <c r="J555" s="22">
        <f>IFERROR(__xludf.DUMMYFUNCTION("""COMPUTED_VALUE"""),68.0)</f>
        <v>68</v>
      </c>
      <c r="K555" s="22">
        <f>IFERROR(__xludf.DUMMYFUNCTION("""COMPUTED_VALUE"""),12.0)</f>
        <v>12</v>
      </c>
      <c r="L555" s="26" t="str">
        <f>IFERROR(__xludf.DUMMYFUNCTION("""COMPUTED_VALUE"""),"Simulation")</f>
        <v>Simulation</v>
      </c>
    </row>
    <row r="556">
      <c r="A556" s="12" t="str">
        <f>IFERROR(__xludf.DUMMYFUNCTION("""COMPUTED_VALUE"""),"Fallout 76")</f>
        <v>Fallout 76</v>
      </c>
      <c r="B556" s="13" t="str">
        <f>IFERROR(__xludf.DUMMYFUNCTION("""COMPUTED_VALUE"""),"Xbox / PC")</f>
        <v>Xbox / PC</v>
      </c>
      <c r="C556" s="14" t="str">
        <f>IFERROR(__xludf.DUMMYFUNCTION("""COMPUTED_VALUE"""),"Yes")</f>
        <v>Yes</v>
      </c>
      <c r="D556" s="14" t="str">
        <f>IFERROR(__xludf.DUMMYFUNCTION("""COMPUTED_VALUE"""),"Active")</f>
        <v>Active</v>
      </c>
      <c r="E556" s="15">
        <f>IFERROR(__xludf.DUMMYFUNCTION("""COMPUTED_VALUE"""),44021.0)</f>
        <v>44021</v>
      </c>
      <c r="F556" s="16"/>
      <c r="G556" s="18">
        <f>IFERROR(__xludf.DUMMYFUNCTION("""COMPUTED_VALUE"""),74.89999999999999)</f>
        <v>74.9</v>
      </c>
      <c r="H556" s="15">
        <f>IFERROR(__xludf.DUMMYFUNCTION("""COMPUTED_VALUE"""),43418.0)</f>
        <v>43418</v>
      </c>
      <c r="I556" s="18">
        <f>IFERROR(__xludf.DUMMYFUNCTION("""COMPUTED_VALUE"""),1.6527777777777777)</f>
        <v>1.652777778</v>
      </c>
      <c r="J556" s="22">
        <f>IFERROR(__xludf.DUMMYFUNCTION("""COMPUTED_VALUE"""),68.0)</f>
        <v>68</v>
      </c>
      <c r="K556" s="22">
        <f>IFERROR(__xludf.DUMMYFUNCTION("""COMPUTED_VALUE"""),29.5)</f>
        <v>29.5</v>
      </c>
      <c r="L556" s="26" t="str">
        <f>IFERROR(__xludf.DUMMYFUNCTION("""COMPUTED_VALUE"""),"RPG")</f>
        <v>RPG</v>
      </c>
    </row>
    <row r="557">
      <c r="A557" s="12" t="str">
        <f>IFERROR(__xludf.DUMMYFUNCTION("""COMPUTED_VALUE"""),"Wolfenstein: Youngblood")</f>
        <v>Wolfenstein: Youngblood</v>
      </c>
      <c r="B557" s="13" t="str">
        <f>IFERROR(__xludf.DUMMYFUNCTION("""COMPUTED_VALUE"""),"Xbox / PC")</f>
        <v>Xbox / PC</v>
      </c>
      <c r="C557" s="14" t="str">
        <f>IFERROR(__xludf.DUMMYFUNCTION("""COMPUTED_VALUE"""),"Yes")</f>
        <v>Yes</v>
      </c>
      <c r="D557" s="14" t="str">
        <f>IFERROR(__xludf.DUMMYFUNCTION("""COMPUTED_VALUE"""),"Active")</f>
        <v>Active</v>
      </c>
      <c r="E557" s="15">
        <f>IFERROR(__xludf.DUMMYFUNCTION("""COMPUTED_VALUE"""),43867.0)</f>
        <v>43867</v>
      </c>
      <c r="F557" s="16"/>
      <c r="G557" s="18">
        <f>IFERROR(__xludf.DUMMYFUNCTION("""COMPUTED_VALUE"""),80.0)</f>
        <v>80</v>
      </c>
      <c r="H557" s="15">
        <f>IFERROR(__xludf.DUMMYFUNCTION("""COMPUTED_VALUE"""),43671.0)</f>
        <v>43671</v>
      </c>
      <c r="I557" s="18">
        <f>IFERROR(__xludf.DUMMYFUNCTION("""COMPUTED_VALUE"""),0.5305555555555556)</f>
        <v>0.5305555556</v>
      </c>
      <c r="J557" s="22">
        <f>IFERROR(__xludf.DUMMYFUNCTION("""COMPUTED_VALUE"""),68.0)</f>
        <v>68</v>
      </c>
      <c r="K557" s="22">
        <f>IFERROR(__xludf.DUMMYFUNCTION("""COMPUTED_VALUE"""),9.0)</f>
        <v>9</v>
      </c>
      <c r="L557" s="26" t="str">
        <f>IFERROR(__xludf.DUMMYFUNCTION("""COMPUTED_VALUE"""),"Shooter")</f>
        <v>Shooter</v>
      </c>
    </row>
    <row r="558">
      <c r="A558" s="12" t="str">
        <f>IFERROR(__xludf.DUMMYFUNCTION("""COMPUTED_VALUE"""),"Rush: A Disney Pixar Adventure")</f>
        <v>Rush: A Disney Pixar Adventure</v>
      </c>
      <c r="B558" s="13" t="str">
        <f>IFERROR(__xludf.DUMMYFUNCTION("""COMPUTED_VALUE"""),"Xbox / PC")</f>
        <v>Xbox / PC</v>
      </c>
      <c r="C558" s="14" t="str">
        <f>IFERROR(__xludf.DUMMYFUNCTION("""COMPUTED_VALUE"""),"Yes")</f>
        <v>Yes</v>
      </c>
      <c r="D558" s="14" t="str">
        <f>IFERROR(__xludf.DUMMYFUNCTION("""COMPUTED_VALUE"""),"Active")</f>
        <v>Active</v>
      </c>
      <c r="E558" s="15">
        <f>IFERROR(__xludf.DUMMYFUNCTION("""COMPUTED_VALUE"""),43313.0)</f>
        <v>43313</v>
      </c>
      <c r="F558" s="16"/>
      <c r="G558" s="18">
        <f>IFERROR(__xludf.DUMMYFUNCTION("""COMPUTED_VALUE"""),98.16666666666666)</f>
        <v>98.16666667</v>
      </c>
      <c r="H558" s="15">
        <f>IFERROR(__xludf.DUMMYFUNCTION("""COMPUTED_VALUE"""),40988.0)</f>
        <v>40988</v>
      </c>
      <c r="I558" s="18">
        <f>IFERROR(__xludf.DUMMYFUNCTION("""COMPUTED_VALUE"""),6.363888888888889)</f>
        <v>6.363888889</v>
      </c>
      <c r="J558" s="22">
        <f>IFERROR(__xludf.DUMMYFUNCTION("""COMPUTED_VALUE"""),68.0)</f>
        <v>68</v>
      </c>
      <c r="K558" s="22">
        <f>IFERROR(__xludf.DUMMYFUNCTION("""COMPUTED_VALUE"""),3.0)</f>
        <v>3</v>
      </c>
      <c r="L558" s="26" t="str">
        <f>IFERROR(__xludf.DUMMYFUNCTION("""COMPUTED_VALUE"""),"Platformer")</f>
        <v>Platformer</v>
      </c>
    </row>
    <row r="559">
      <c r="A559" s="12" t="str">
        <f>IFERROR(__xludf.DUMMYFUNCTION("""COMPUTED_VALUE"""),"Zoo Tycoon: Ultimate Animal Collection")</f>
        <v>Zoo Tycoon: Ultimate Animal Collection</v>
      </c>
      <c r="B559" s="13" t="str">
        <f>IFERROR(__xludf.DUMMYFUNCTION("""COMPUTED_VALUE"""),"Xbox / PC")</f>
        <v>Xbox / PC</v>
      </c>
      <c r="C559" s="14"/>
      <c r="D559" s="14" t="str">
        <f>IFERROR(__xludf.DUMMYFUNCTION("""COMPUTED_VALUE"""),"Active")</f>
        <v>Active</v>
      </c>
      <c r="E559" s="15">
        <f>IFERROR(__xludf.DUMMYFUNCTION("""COMPUTED_VALUE"""),43101.0)</f>
        <v>43101</v>
      </c>
      <c r="F559" s="16"/>
      <c r="G559" s="18">
        <f>IFERROR(__xludf.DUMMYFUNCTION("""COMPUTED_VALUE"""),105.16666666666667)</f>
        <v>105.1666667</v>
      </c>
      <c r="H559" s="15">
        <f>IFERROR(__xludf.DUMMYFUNCTION("""COMPUTED_VALUE"""),43039.0)</f>
        <v>43039</v>
      </c>
      <c r="I559" s="18">
        <f>IFERROR(__xludf.DUMMYFUNCTION("""COMPUTED_VALUE"""),0.16944444444444445)</f>
        <v>0.1694444444</v>
      </c>
      <c r="J559" s="22">
        <f>IFERROR(__xludf.DUMMYFUNCTION("""COMPUTED_VALUE"""),68.0)</f>
        <v>68</v>
      </c>
      <c r="K559" s="22">
        <f>IFERROR(__xludf.DUMMYFUNCTION("""COMPUTED_VALUE"""),14.0)</f>
        <v>14</v>
      </c>
      <c r="L559" s="26" t="str">
        <f>IFERROR(__xludf.DUMMYFUNCTION("""COMPUTED_VALUE"""),"Simulation")</f>
        <v>Simulation</v>
      </c>
    </row>
    <row r="560">
      <c r="A560" s="12" t="str">
        <f>IFERROR(__xludf.DUMMYFUNCTION("""COMPUTED_VALUE"""),"The Casting of Frank Stone")</f>
        <v>The Casting of Frank Stone</v>
      </c>
      <c r="B560" s="13" t="str">
        <f>IFERROR(__xludf.DUMMYFUNCTION("""COMPUTED_VALUE"""),"Xbox / PC")</f>
        <v>Xbox / PC</v>
      </c>
      <c r="C560" s="14" t="str">
        <f>IFERROR(__xludf.DUMMYFUNCTION("""COMPUTED_VALUE"""),"Yes")</f>
        <v>Yes</v>
      </c>
      <c r="D560" s="14" t="str">
        <f>IFERROR(__xludf.DUMMYFUNCTION("""COMPUTED_VALUE"""),"Leaving Soon")</f>
        <v>Leaving Soon</v>
      </c>
      <c r="E560" s="15">
        <f>IFERROR(__xludf.DUMMYFUNCTION("""COMPUTED_VALUE"""),45944.0)</f>
        <v>45944</v>
      </c>
      <c r="F560" s="16">
        <f>IFERROR(__xludf.DUMMYFUNCTION("""COMPUTED_VALUE"""),46310.0)</f>
        <v>46310</v>
      </c>
      <c r="G560" s="18">
        <f>IFERROR(__xludf.DUMMYFUNCTION("""COMPUTED_VALUE"""),12.033333333333333)</f>
        <v>12.03333333</v>
      </c>
      <c r="H560" s="15">
        <f>IFERROR(__xludf.DUMMYFUNCTION("""COMPUTED_VALUE"""),45538.0)</f>
        <v>45538</v>
      </c>
      <c r="I560" s="18">
        <f>IFERROR(__xludf.DUMMYFUNCTION("""COMPUTED_VALUE"""),1.113888888888889)</f>
        <v>1.113888889</v>
      </c>
      <c r="J560" s="22">
        <f>IFERROR(__xludf.DUMMYFUNCTION("""COMPUTED_VALUE"""),68.0)</f>
        <v>68</v>
      </c>
      <c r="K560" s="22">
        <f>IFERROR(__xludf.DUMMYFUNCTION("""COMPUTED_VALUE"""),6.0)</f>
        <v>6</v>
      </c>
      <c r="L560" s="26" t="str">
        <f>IFERROR(__xludf.DUMMYFUNCTION("""COMPUTED_VALUE"""),"Action-Adventure")</f>
        <v>Action-Adventure</v>
      </c>
    </row>
    <row r="561">
      <c r="A561" s="12" t="str">
        <f>IFERROR(__xludf.DUMMYFUNCTION("""COMPUTED_VALUE"""),"My Friend Peppa Pig")</f>
        <v>My Friend Peppa Pig</v>
      </c>
      <c r="B561" s="13" t="str">
        <f>IFERROR(__xludf.DUMMYFUNCTION("""COMPUTED_VALUE"""),"Xbox / PC")</f>
        <v>Xbox / PC</v>
      </c>
      <c r="C561" s="14" t="str">
        <f>IFERROR(__xludf.DUMMYFUNCTION("""COMPUTED_VALUE"""),"Touch Controls")</f>
        <v>Touch Controls</v>
      </c>
      <c r="D561" s="14" t="str">
        <f>IFERROR(__xludf.DUMMYFUNCTION("""COMPUTED_VALUE"""),"Active")</f>
        <v>Active</v>
      </c>
      <c r="E561" s="15">
        <f>IFERROR(__xludf.DUMMYFUNCTION("""COMPUTED_VALUE"""),46162.0)</f>
        <v>46162</v>
      </c>
      <c r="F561" s="16"/>
      <c r="G561" s="18">
        <f>IFERROR(__xludf.DUMMYFUNCTION("""COMPUTED_VALUE"""),4.533333333333333)</f>
        <v>4.533333333</v>
      </c>
      <c r="H561" s="15">
        <f>IFERROR(__xludf.DUMMYFUNCTION("""COMPUTED_VALUE"""),44491.0)</f>
        <v>44491</v>
      </c>
      <c r="I561" s="18">
        <f>IFERROR(__xludf.DUMMYFUNCTION("""COMPUTED_VALUE"""),4.5777777777777775)</f>
        <v>4.577777778</v>
      </c>
      <c r="J561" s="22">
        <f>IFERROR(__xludf.DUMMYFUNCTION("""COMPUTED_VALUE"""),67.0)</f>
        <v>67</v>
      </c>
      <c r="K561" s="22">
        <f>IFERROR(__xludf.DUMMYFUNCTION("""COMPUTED_VALUE"""),3.0)</f>
        <v>3</v>
      </c>
      <c r="L561" s="26" t="str">
        <f>IFERROR(__xludf.DUMMYFUNCTION("""COMPUTED_VALUE"""),"Action-Adventure")</f>
        <v>Action-Adventure</v>
      </c>
    </row>
    <row r="562">
      <c r="A562" s="12" t="str">
        <f>IFERROR(__xludf.DUMMYFUNCTION("""COMPUTED_VALUE"""),"Final Fantasy IV")</f>
        <v>Final Fantasy IV</v>
      </c>
      <c r="B562" s="13" t="str">
        <f>IFERROR(__xludf.DUMMYFUNCTION("""COMPUTED_VALUE"""),"Xbox / PC")</f>
        <v>Xbox / PC</v>
      </c>
      <c r="C562" s="14" t="str">
        <f>IFERROR(__xludf.DUMMYFUNCTION("""COMPUTED_VALUE"""),"Yes")</f>
        <v>Yes</v>
      </c>
      <c r="D562" s="14" t="str">
        <f>IFERROR(__xludf.DUMMYFUNCTION("""COMPUTED_VALUE"""),"Active")</f>
        <v>Active</v>
      </c>
      <c r="E562" s="15">
        <f>IFERROR(__xludf.DUMMYFUNCTION("""COMPUTED_VALUE"""),46119.0)</f>
        <v>46119</v>
      </c>
      <c r="F562" s="16"/>
      <c r="G562" s="18">
        <f>IFERROR(__xludf.DUMMYFUNCTION("""COMPUTED_VALUE"""),5.966666666666667)</f>
        <v>5.966666667</v>
      </c>
      <c r="H562" s="15">
        <f>IFERROR(__xludf.DUMMYFUNCTION("""COMPUTED_VALUE"""),41899.0)</f>
        <v>41899</v>
      </c>
      <c r="I562" s="18">
        <f>IFERROR(__xludf.DUMMYFUNCTION("""COMPUTED_VALUE"""),11.555555555555555)</f>
        <v>11.55555556</v>
      </c>
      <c r="J562" s="22">
        <f>IFERROR(__xludf.DUMMYFUNCTION("""COMPUTED_VALUE"""),67.0)</f>
        <v>67</v>
      </c>
      <c r="K562" s="22">
        <f>IFERROR(__xludf.DUMMYFUNCTION("""COMPUTED_VALUE"""),23.0)</f>
        <v>23</v>
      </c>
      <c r="L562" s="26" t="str">
        <f>IFERROR(__xludf.DUMMYFUNCTION("""COMPUTED_VALUE"""),"RPG")</f>
        <v>RPG</v>
      </c>
    </row>
    <row r="563">
      <c r="A563" s="12" t="str">
        <f>IFERROR(__xludf.DUMMYFUNCTION("""COMPUTED_VALUE"""),"Quarantine Zone: The Last Check")</f>
        <v>Quarantine Zone: The Last Check</v>
      </c>
      <c r="B563" s="13" t="str">
        <f>IFERROR(__xludf.DUMMYFUNCTION("""COMPUTED_VALUE"""),"PC")</f>
        <v>PC</v>
      </c>
      <c r="C563" s="14"/>
      <c r="D563" s="14" t="str">
        <f>IFERROR(__xludf.DUMMYFUNCTION("""COMPUTED_VALUE"""),"Active")</f>
        <v>Active</v>
      </c>
      <c r="E563" s="15">
        <f>IFERROR(__xludf.DUMMYFUNCTION("""COMPUTED_VALUE"""),46034.0)</f>
        <v>46034</v>
      </c>
      <c r="F563" s="16"/>
      <c r="G563" s="18">
        <f>IFERROR(__xludf.DUMMYFUNCTION("""COMPUTED_VALUE"""),8.799999999999999)</f>
        <v>8.8</v>
      </c>
      <c r="H563" s="15">
        <f>IFERROR(__xludf.DUMMYFUNCTION("""COMPUTED_VALUE"""),46034.0)</f>
        <v>46034</v>
      </c>
      <c r="I563" s="18">
        <f>IFERROR(__xludf.DUMMYFUNCTION("""COMPUTED_VALUE"""),0.0)</f>
        <v>0</v>
      </c>
      <c r="J563" s="22">
        <f>IFERROR(__xludf.DUMMYFUNCTION("""COMPUTED_VALUE"""),67.0)</f>
        <v>67</v>
      </c>
      <c r="K563" s="22">
        <f>IFERROR(__xludf.DUMMYFUNCTION("""COMPUTED_VALUE"""),9.0)</f>
        <v>9</v>
      </c>
      <c r="L563" s="26" t="str">
        <f>IFERROR(__xludf.DUMMYFUNCTION("""COMPUTED_VALUE"""),"Action-Adventure")</f>
        <v>Action-Adventure</v>
      </c>
    </row>
    <row r="564">
      <c r="A564" s="12" t="str">
        <f>IFERROR(__xludf.DUMMYFUNCTION("""COMPUTED_VALUE"""),"FINAL FANTASY")</f>
        <v>FINAL FANTASY</v>
      </c>
      <c r="B564" s="13" t="str">
        <f>IFERROR(__xludf.DUMMYFUNCTION("""COMPUTED_VALUE"""),"Xbox / PC")</f>
        <v>Xbox / PC</v>
      </c>
      <c r="C564" s="14" t="str">
        <f>IFERROR(__xludf.DUMMYFUNCTION("""COMPUTED_VALUE"""),"Yes")</f>
        <v>Yes</v>
      </c>
      <c r="D564" s="14" t="str">
        <f>IFERROR(__xludf.DUMMYFUNCTION("""COMPUTED_VALUE"""),"Active")</f>
        <v>Active</v>
      </c>
      <c r="E564" s="15">
        <f>IFERROR(__xludf.DUMMYFUNCTION("""COMPUTED_VALUE"""),46030.0)</f>
        <v>46030</v>
      </c>
      <c r="F564" s="16"/>
      <c r="G564" s="18">
        <f>IFERROR(__xludf.DUMMYFUNCTION("""COMPUTED_VALUE"""),8.933333333333334)</f>
        <v>8.933333333</v>
      </c>
      <c r="H564" s="15">
        <f>IFERROR(__xludf.DUMMYFUNCTION("""COMPUTED_VALUE"""),39259.0)</f>
        <v>39259</v>
      </c>
      <c r="I564" s="18">
        <f>IFERROR(__xludf.DUMMYFUNCTION("""COMPUTED_VALUE"""),18.533333333333335)</f>
        <v>18.53333333</v>
      </c>
      <c r="J564" s="22">
        <f>IFERROR(__xludf.DUMMYFUNCTION("""COMPUTED_VALUE"""),67.0)</f>
        <v>67</v>
      </c>
      <c r="K564" s="22">
        <f>IFERROR(__xludf.DUMMYFUNCTION("""COMPUTED_VALUE"""),16.0)</f>
        <v>16</v>
      </c>
      <c r="L564" s="26" t="str">
        <f>IFERROR(__xludf.DUMMYFUNCTION("""COMPUTED_VALUE"""),"Action-Adventure")</f>
        <v>Action-Adventure</v>
      </c>
    </row>
    <row r="565">
      <c r="A565" s="12" t="str">
        <f>IFERROR(__xludf.DUMMYFUNCTION("""COMPUTED_VALUE"""),"High on Life")</f>
        <v>High on Life</v>
      </c>
      <c r="B565" s="13" t="str">
        <f>IFERROR(__xludf.DUMMYFUNCTION("""COMPUTED_VALUE"""),"Xbox / PC")</f>
        <v>Xbox / PC</v>
      </c>
      <c r="C565" s="14" t="str">
        <f>IFERROR(__xludf.DUMMYFUNCTION("""COMPUTED_VALUE"""),"M+KB")</f>
        <v>M+KB</v>
      </c>
      <c r="D565" s="14" t="str">
        <f>IFERROR(__xludf.DUMMYFUNCTION("""COMPUTED_VALUE"""),"Active")</f>
        <v>Active</v>
      </c>
      <c r="E565" s="15">
        <f>IFERROR(__xludf.DUMMYFUNCTION("""COMPUTED_VALUE"""),45853.0)</f>
        <v>45853</v>
      </c>
      <c r="F565" s="16"/>
      <c r="G565" s="18">
        <f>IFERROR(__xludf.DUMMYFUNCTION("""COMPUTED_VALUE"""),14.700000000000001)</f>
        <v>14.7</v>
      </c>
      <c r="H565" s="15">
        <f>IFERROR(__xludf.DUMMYFUNCTION("""COMPUTED_VALUE"""),44908.0)</f>
        <v>44908</v>
      </c>
      <c r="I565" s="18">
        <f>IFERROR(__xludf.DUMMYFUNCTION("""COMPUTED_VALUE"""),2.588888888888889)</f>
        <v>2.588888889</v>
      </c>
      <c r="J565" s="22">
        <f>IFERROR(__xludf.DUMMYFUNCTION("""COMPUTED_VALUE"""),67.0)</f>
        <v>67</v>
      </c>
      <c r="K565" s="22">
        <f>IFERROR(__xludf.DUMMYFUNCTION("""COMPUTED_VALUE"""),9.0)</f>
        <v>9</v>
      </c>
      <c r="L565" s="26" t="str">
        <f>IFERROR(__xludf.DUMMYFUNCTION("""COMPUTED_VALUE"""),"Shooter")</f>
        <v>Shooter</v>
      </c>
    </row>
    <row r="566">
      <c r="A566" s="12" t="str">
        <f>IFERROR(__xludf.DUMMYFUNCTION("""COMPUTED_VALUE"""),"Cosmic Commuter")</f>
        <v>Cosmic Commuter</v>
      </c>
      <c r="B566" s="13" t="str">
        <f>IFERROR(__xludf.DUMMYFUNCTION("""COMPUTED_VALUE"""),"Xbox / PC")</f>
        <v>Xbox / PC</v>
      </c>
      <c r="C566" s="14" t="str">
        <f>IFERROR(__xludf.DUMMYFUNCTION("""COMPUTED_VALUE"""),"Yes")</f>
        <v>Yes</v>
      </c>
      <c r="D566" s="14" t="str">
        <f>IFERROR(__xludf.DUMMYFUNCTION("""COMPUTED_VALUE"""),"Active")</f>
        <v>Active</v>
      </c>
      <c r="E566" s="15">
        <f>IFERROR(__xludf.DUMMYFUNCTION("""COMPUTED_VALUE"""),45839.0)</f>
        <v>45839</v>
      </c>
      <c r="F566" s="16"/>
      <c r="G566" s="18">
        <f>IFERROR(__xludf.DUMMYFUNCTION("""COMPUTED_VALUE"""),15.166666666666666)</f>
        <v>15.16666667</v>
      </c>
      <c r="H566" s="15">
        <f>IFERROR(__xludf.DUMMYFUNCTION("""COMPUTED_VALUE"""),31048.0)</f>
        <v>31048</v>
      </c>
      <c r="I566" s="18">
        <f>IFERROR(__xludf.DUMMYFUNCTION("""COMPUTED_VALUE"""),40.5)</f>
        <v>40.5</v>
      </c>
      <c r="J566" s="22">
        <f>IFERROR(__xludf.DUMMYFUNCTION("""COMPUTED_VALUE"""),67.0)</f>
        <v>67</v>
      </c>
      <c r="K566" s="22"/>
      <c r="L566" s="26" t="str">
        <f>IFERROR(__xludf.DUMMYFUNCTION("""COMPUTED_VALUE"""),"Shooter")</f>
        <v>Shooter</v>
      </c>
    </row>
    <row r="567">
      <c r="A567" s="12" t="str">
        <f>IFERROR(__xludf.DUMMYFUNCTION("""COMPUTED_VALUE"""),"Freeway")</f>
        <v>Freeway</v>
      </c>
      <c r="B567" s="13" t="str">
        <f>IFERROR(__xludf.DUMMYFUNCTION("""COMPUTED_VALUE"""),"Xbox / PC")</f>
        <v>Xbox / PC</v>
      </c>
      <c r="C567" s="14" t="str">
        <f>IFERROR(__xludf.DUMMYFUNCTION("""COMPUTED_VALUE"""),"Yes")</f>
        <v>Yes</v>
      </c>
      <c r="D567" s="14" t="str">
        <f>IFERROR(__xludf.DUMMYFUNCTION("""COMPUTED_VALUE"""),"Active")</f>
        <v>Active</v>
      </c>
      <c r="E567" s="15">
        <f>IFERROR(__xludf.DUMMYFUNCTION("""COMPUTED_VALUE"""),45798.0)</f>
        <v>45798</v>
      </c>
      <c r="F567" s="16"/>
      <c r="G567" s="18">
        <f>IFERROR(__xludf.DUMMYFUNCTION("""COMPUTED_VALUE"""),16.5)</f>
        <v>16.5</v>
      </c>
      <c r="H567" s="15">
        <f>IFERROR(__xludf.DUMMYFUNCTION("""COMPUTED_VALUE"""),29768.0)</f>
        <v>29768</v>
      </c>
      <c r="I567" s="18">
        <f>IFERROR(__xludf.DUMMYFUNCTION("""COMPUTED_VALUE"""),43.888888888888886)</f>
        <v>43.88888889</v>
      </c>
      <c r="J567" s="22">
        <f>IFERROR(__xludf.DUMMYFUNCTION("""COMPUTED_VALUE"""),67.0)</f>
        <v>67</v>
      </c>
      <c r="K567" s="22"/>
      <c r="L567" s="26" t="str">
        <f>IFERROR(__xludf.DUMMYFUNCTION("""COMPUTED_VALUE"""),"Racing")</f>
        <v>Racing</v>
      </c>
    </row>
    <row r="568">
      <c r="A568" s="12" t="str">
        <f>IFERROR(__xludf.DUMMYFUNCTION("""COMPUTED_VALUE"""),"SpongeBob SquarePants: The Patrick Star Game")</f>
        <v>SpongeBob SquarePants: The Patrick Star Game</v>
      </c>
      <c r="B568" s="13" t="str">
        <f>IFERROR(__xludf.DUMMYFUNCTION("""COMPUTED_VALUE"""),"Xbox / PC")</f>
        <v>Xbox / PC</v>
      </c>
      <c r="C568" s="14" t="str">
        <f>IFERROR(__xludf.DUMMYFUNCTION("""COMPUTED_VALUE"""),"Yes")</f>
        <v>Yes</v>
      </c>
      <c r="D568" s="14" t="str">
        <f>IFERROR(__xludf.DUMMYFUNCTION("""COMPUTED_VALUE"""),"Active")</f>
        <v>Active</v>
      </c>
      <c r="E568" s="15">
        <f>IFERROR(__xludf.DUMMYFUNCTION("""COMPUTED_VALUE"""),45763.0)</f>
        <v>45763</v>
      </c>
      <c r="F568" s="16"/>
      <c r="G568" s="18">
        <f>IFERROR(__xludf.DUMMYFUNCTION("""COMPUTED_VALUE"""),17.666666666666668)</f>
        <v>17.66666667</v>
      </c>
      <c r="H568" s="15">
        <f>IFERROR(__xludf.DUMMYFUNCTION("""COMPUTED_VALUE"""),45569.0)</f>
        <v>45569</v>
      </c>
      <c r="I568" s="18">
        <f>IFERROR(__xludf.DUMMYFUNCTION("""COMPUTED_VALUE"""),0.5333333333333333)</f>
        <v>0.5333333333</v>
      </c>
      <c r="J568" s="22">
        <f>IFERROR(__xludf.DUMMYFUNCTION("""COMPUTED_VALUE"""),67.0)</f>
        <v>67</v>
      </c>
      <c r="K568" s="22">
        <f>IFERROR(__xludf.DUMMYFUNCTION("""COMPUTED_VALUE"""),4.0)</f>
        <v>4</v>
      </c>
      <c r="L568" s="26" t="str">
        <f>IFERROR(__xludf.DUMMYFUNCTION("""COMPUTED_VALUE"""),"Platformer")</f>
        <v>Platformer</v>
      </c>
    </row>
    <row r="569">
      <c r="A569" s="12" t="str">
        <f>IFERROR(__xludf.DUMMYFUNCTION("""COMPUTED_VALUE"""),"Gang Beasts")</f>
        <v>Gang Beasts</v>
      </c>
      <c r="B569" s="13" t="str">
        <f>IFERROR(__xludf.DUMMYFUNCTION("""COMPUTED_VALUE"""),"Xbox / PC")</f>
        <v>Xbox / PC</v>
      </c>
      <c r="C569" s="14" t="str">
        <f>IFERROR(__xludf.DUMMYFUNCTION("""COMPUTED_VALUE"""),"Yes")</f>
        <v>Yes</v>
      </c>
      <c r="D569" s="14" t="str">
        <f>IFERROR(__xludf.DUMMYFUNCTION("""COMPUTED_VALUE"""),"Active")</f>
        <v>Active</v>
      </c>
      <c r="E569" s="15">
        <f>IFERROR(__xludf.DUMMYFUNCTION("""COMPUTED_VALUE"""),44378.0)</f>
        <v>44378</v>
      </c>
      <c r="F569" s="16"/>
      <c r="G569" s="18">
        <f>IFERROR(__xludf.DUMMYFUNCTION("""COMPUTED_VALUE"""),63.16666666666667)</f>
        <v>63.16666667</v>
      </c>
      <c r="H569" s="15">
        <f>IFERROR(__xludf.DUMMYFUNCTION("""COMPUTED_VALUE"""),41880.0)</f>
        <v>41880</v>
      </c>
      <c r="I569" s="18">
        <f>IFERROR(__xludf.DUMMYFUNCTION("""COMPUTED_VALUE"""),6.838888888888889)</f>
        <v>6.838888889</v>
      </c>
      <c r="J569" s="22">
        <f>IFERROR(__xludf.DUMMYFUNCTION("""COMPUTED_VALUE"""),67.0)</f>
        <v>67</v>
      </c>
      <c r="K569" s="22">
        <f>IFERROR(__xludf.DUMMYFUNCTION("""COMPUTED_VALUE"""),3.5)</f>
        <v>3.5</v>
      </c>
      <c r="L569" s="26" t="str">
        <f>IFERROR(__xludf.DUMMYFUNCTION("""COMPUTED_VALUE"""),"Brawler")</f>
        <v>Brawler</v>
      </c>
    </row>
    <row r="570">
      <c r="A570" s="12" t="str">
        <f>IFERROR(__xludf.DUMMYFUNCTION("""COMPUTED_VALUE"""),"Disneyland Adventures")</f>
        <v>Disneyland Adventures</v>
      </c>
      <c r="B570" s="13" t="str">
        <f>IFERROR(__xludf.DUMMYFUNCTION("""COMPUTED_VALUE"""),"Xbox / PC")</f>
        <v>Xbox / PC</v>
      </c>
      <c r="C570" s="14" t="str">
        <f>IFERROR(__xludf.DUMMYFUNCTION("""COMPUTED_VALUE"""),"Yes")</f>
        <v>Yes</v>
      </c>
      <c r="D570" s="14" t="str">
        <f>IFERROR(__xludf.DUMMYFUNCTION("""COMPUTED_VALUE"""),"Active")</f>
        <v>Active</v>
      </c>
      <c r="E570" s="15">
        <f>IFERROR(__xludf.DUMMYFUNCTION("""COMPUTED_VALUE"""),43252.0)</f>
        <v>43252</v>
      </c>
      <c r="F570" s="16"/>
      <c r="G570" s="18">
        <f>IFERROR(__xludf.DUMMYFUNCTION("""COMPUTED_VALUE"""),100.16666666666666)</f>
        <v>100.1666667</v>
      </c>
      <c r="H570" s="15">
        <f>IFERROR(__xludf.DUMMYFUNCTION("""COMPUTED_VALUE"""),40862.0)</f>
        <v>40862</v>
      </c>
      <c r="I570" s="18">
        <f>IFERROR(__xludf.DUMMYFUNCTION("""COMPUTED_VALUE"""),6.544444444444444)</f>
        <v>6.544444444</v>
      </c>
      <c r="J570" s="22">
        <f>IFERROR(__xludf.DUMMYFUNCTION("""COMPUTED_VALUE"""),67.0)</f>
        <v>67</v>
      </c>
      <c r="K570" s="22">
        <f>IFERROR(__xludf.DUMMYFUNCTION("""COMPUTED_VALUE"""),16.0)</f>
        <v>16</v>
      </c>
      <c r="L570" s="26" t="str">
        <f>IFERROR(__xludf.DUMMYFUNCTION("""COMPUTED_VALUE"""),"Adventure")</f>
        <v>Adventure</v>
      </c>
    </row>
    <row r="571">
      <c r="A571" s="12" t="str">
        <f>IFERROR(__xludf.DUMMYFUNCTION("""COMPUTED_VALUE"""),"Ark: Survival Ascended")</f>
        <v>Ark: Survival Ascended</v>
      </c>
      <c r="B571" s="13" t="str">
        <f>IFERROR(__xludf.DUMMYFUNCTION("""COMPUTED_VALUE"""),"Xbox / PC")</f>
        <v>Xbox / PC</v>
      </c>
      <c r="C571" s="14" t="str">
        <f>IFERROR(__xludf.DUMMYFUNCTION("""COMPUTED_VALUE"""),"M+KB")</f>
        <v>M+KB</v>
      </c>
      <c r="D571" s="14" t="str">
        <f>IFERROR(__xludf.DUMMYFUNCTION("""COMPUTED_VALUE"""),"Active")</f>
        <v>Active</v>
      </c>
      <c r="E571" s="15">
        <f>IFERROR(__xludf.DUMMYFUNCTION("""COMPUTED_VALUE"""),45383.0)</f>
        <v>45383</v>
      </c>
      <c r="F571" s="16"/>
      <c r="G571" s="18">
        <f>IFERROR(__xludf.DUMMYFUNCTION("""COMPUTED_VALUE"""),30.166666666666664)</f>
        <v>30.16666667</v>
      </c>
      <c r="H571" s="15">
        <f>IFERROR(__xludf.DUMMYFUNCTION("""COMPUTED_VALUE"""),45260.0)</f>
        <v>45260</v>
      </c>
      <c r="I571" s="18">
        <f>IFERROR(__xludf.DUMMYFUNCTION("""COMPUTED_VALUE"""),0.33611111111111114)</f>
        <v>0.3361111111</v>
      </c>
      <c r="J571" s="22">
        <f>IFERROR(__xludf.DUMMYFUNCTION("""COMPUTED_VALUE"""),66.66666666666667)</f>
        <v>66.66666667</v>
      </c>
      <c r="K571" s="22">
        <f>IFERROR(__xludf.DUMMYFUNCTION("""COMPUTED_VALUE"""),380.0)</f>
        <v>380</v>
      </c>
      <c r="L571" s="26" t="str">
        <f>IFERROR(__xludf.DUMMYFUNCTION("""COMPUTED_VALUE"""),"Sandbox")</f>
        <v>Sandbox</v>
      </c>
    </row>
    <row r="572">
      <c r="A572" s="12" t="str">
        <f>IFERROR(__xludf.DUMMYFUNCTION("""COMPUTED_VALUE"""),"Battlefield 2042")</f>
        <v>Battlefield 2042</v>
      </c>
      <c r="B572" s="13" t="str">
        <f>IFERROR(__xludf.DUMMYFUNCTION("""COMPUTED_VALUE"""),"Xbox / PC")</f>
        <v>Xbox / PC</v>
      </c>
      <c r="C572" s="14" t="str">
        <f>IFERROR(__xludf.DUMMYFUNCTION("""COMPUTED_VALUE"""),"Yes")</f>
        <v>Yes</v>
      </c>
      <c r="D572" s="14" t="str">
        <f>IFERROR(__xludf.DUMMYFUNCTION("""COMPUTED_VALUE"""),"Active")</f>
        <v>Active</v>
      </c>
      <c r="E572" s="15">
        <f>IFERROR(__xludf.DUMMYFUNCTION("""COMPUTED_VALUE"""),44887.0)</f>
        <v>44887</v>
      </c>
      <c r="F572" s="16"/>
      <c r="G572" s="18">
        <f>IFERROR(__xludf.DUMMYFUNCTION("""COMPUTED_VALUE"""),46.46666666666667)</f>
        <v>46.46666667</v>
      </c>
      <c r="H572" s="15">
        <f>IFERROR(__xludf.DUMMYFUNCTION("""COMPUTED_VALUE"""),44512.0)</f>
        <v>44512</v>
      </c>
      <c r="I572" s="18">
        <f>IFERROR(__xludf.DUMMYFUNCTION("""COMPUTED_VALUE"""),1.0277777777777777)</f>
        <v>1.027777778</v>
      </c>
      <c r="J572" s="22">
        <f>IFERROR(__xludf.DUMMYFUNCTION("""COMPUTED_VALUE"""),66.0)</f>
        <v>66</v>
      </c>
      <c r="K572" s="22">
        <f>IFERROR(__xludf.DUMMYFUNCTION("""COMPUTED_VALUE"""),58.0)</f>
        <v>58</v>
      </c>
      <c r="L572" s="26" t="str">
        <f>IFERROR(__xludf.DUMMYFUNCTION("""COMPUTED_VALUE"""),"Shooter")</f>
        <v>Shooter</v>
      </c>
    </row>
    <row r="573">
      <c r="A573" s="12" t="str">
        <f>IFERROR(__xludf.DUMMYFUNCTION("""COMPUTED_VALUE"""),"Star Wars Battlefront II: Celebration Edition")</f>
        <v>Star Wars Battlefront II: Celebration Edition</v>
      </c>
      <c r="B573" s="13" t="str">
        <f>IFERROR(__xludf.DUMMYFUNCTION("""COMPUTED_VALUE"""),"Xbox / PC")</f>
        <v>Xbox / PC</v>
      </c>
      <c r="C573" s="14" t="str">
        <f>IFERROR(__xludf.DUMMYFUNCTION("""COMPUTED_VALUE"""),"Yes")</f>
        <v>Yes</v>
      </c>
      <c r="D573" s="14" t="str">
        <f>IFERROR(__xludf.DUMMYFUNCTION("""COMPUTED_VALUE"""),"Active")</f>
        <v>Active</v>
      </c>
      <c r="E573" s="15">
        <f>IFERROR(__xludf.DUMMYFUNCTION("""COMPUTED_VALUE"""),44145.0)</f>
        <v>44145</v>
      </c>
      <c r="F573" s="16"/>
      <c r="G573" s="18">
        <f>IFERROR(__xludf.DUMMYFUNCTION("""COMPUTED_VALUE"""),70.86666666666667)</f>
        <v>70.86666667</v>
      </c>
      <c r="H573" s="15">
        <f>IFERROR(__xludf.DUMMYFUNCTION("""COMPUTED_VALUE"""),43056.0)</f>
        <v>43056</v>
      </c>
      <c r="I573" s="18">
        <f>IFERROR(__xludf.DUMMYFUNCTION("""COMPUTED_VALUE"""),2.9805555555555556)</f>
        <v>2.980555556</v>
      </c>
      <c r="J573" s="22">
        <f>IFERROR(__xludf.DUMMYFUNCTION("""COMPUTED_VALUE"""),66.0)</f>
        <v>66</v>
      </c>
      <c r="K573" s="22">
        <f>IFERROR(__xludf.DUMMYFUNCTION("""COMPUTED_VALUE"""),6.0)</f>
        <v>6</v>
      </c>
      <c r="L573" s="26" t="str">
        <f>IFERROR(__xludf.DUMMYFUNCTION("""COMPUTED_VALUE"""),"Shooter")</f>
        <v>Shooter</v>
      </c>
    </row>
    <row r="574">
      <c r="A574" s="12" t="str">
        <f>IFERROR(__xludf.DUMMYFUNCTION("""COMPUTED_VALUE"""),"The Sims 4: Deluxe Party Edition")</f>
        <v>The Sims 4: Deluxe Party Edition</v>
      </c>
      <c r="B574" s="13" t="str">
        <f>IFERROR(__xludf.DUMMYFUNCTION("""COMPUTED_VALUE"""),"Xbox / PC")</f>
        <v>Xbox / PC</v>
      </c>
      <c r="C574" s="14" t="str">
        <f>IFERROR(__xludf.DUMMYFUNCTION("""COMPUTED_VALUE"""),"M+KB")</f>
        <v>M+KB</v>
      </c>
      <c r="D574" s="14" t="str">
        <f>IFERROR(__xludf.DUMMYFUNCTION("""COMPUTED_VALUE"""),"Active")</f>
        <v>Active</v>
      </c>
      <c r="E574" s="15">
        <f>IFERROR(__xludf.DUMMYFUNCTION("""COMPUTED_VALUE"""),44145.0)</f>
        <v>44145</v>
      </c>
      <c r="F574" s="16"/>
      <c r="G574" s="18">
        <f>IFERROR(__xludf.DUMMYFUNCTION("""COMPUTED_VALUE"""),70.86666666666667)</f>
        <v>70.86666667</v>
      </c>
      <c r="H574" s="15">
        <f>IFERROR(__xludf.DUMMYFUNCTION("""COMPUTED_VALUE"""),41884.0)</f>
        <v>41884</v>
      </c>
      <c r="I574" s="18">
        <f>IFERROR(__xludf.DUMMYFUNCTION("""COMPUTED_VALUE"""),6.188888888888889)</f>
        <v>6.188888889</v>
      </c>
      <c r="J574" s="22">
        <f>IFERROR(__xludf.DUMMYFUNCTION("""COMPUTED_VALUE"""),66.0)</f>
        <v>66</v>
      </c>
      <c r="K574" s="22">
        <f>IFERROR(__xludf.DUMMYFUNCTION("""COMPUTED_VALUE"""),40.0)</f>
        <v>40</v>
      </c>
      <c r="L574" s="26" t="str">
        <f>IFERROR(__xludf.DUMMYFUNCTION("""COMPUTED_VALUE"""),"Simulation")</f>
        <v>Simulation</v>
      </c>
    </row>
    <row r="575">
      <c r="A575" s="12" t="str">
        <f>IFERROR(__xludf.DUMMYFUNCTION("""COMPUTED_VALUE"""),"Halo: Spartan Strike")</f>
        <v>Halo: Spartan Strike</v>
      </c>
      <c r="B575" s="13" t="str">
        <f>IFERROR(__xludf.DUMMYFUNCTION("""COMPUTED_VALUE"""),"PC")</f>
        <v>PC</v>
      </c>
      <c r="C575" s="14"/>
      <c r="D575" s="14" t="str">
        <f>IFERROR(__xludf.DUMMYFUNCTION("""COMPUTED_VALUE"""),"Active")</f>
        <v>Active</v>
      </c>
      <c r="E575" s="15">
        <f>IFERROR(__xludf.DUMMYFUNCTION("""COMPUTED_VALUE"""),43625.0)</f>
        <v>43625</v>
      </c>
      <c r="F575" s="16"/>
      <c r="G575" s="18">
        <f>IFERROR(__xludf.DUMMYFUNCTION("""COMPUTED_VALUE"""),87.9)</f>
        <v>87.9</v>
      </c>
      <c r="H575" s="15">
        <f>IFERROR(__xludf.DUMMYFUNCTION("""COMPUTED_VALUE"""),42110.0)</f>
        <v>42110</v>
      </c>
      <c r="I575" s="18">
        <f>IFERROR(__xludf.DUMMYFUNCTION("""COMPUTED_VALUE"""),4.147222222222222)</f>
        <v>4.147222222</v>
      </c>
      <c r="J575" s="22">
        <f>IFERROR(__xludf.DUMMYFUNCTION("""COMPUTED_VALUE"""),66.0)</f>
        <v>66</v>
      </c>
      <c r="K575" s="22">
        <f>IFERROR(__xludf.DUMMYFUNCTION("""COMPUTED_VALUE"""),5.5)</f>
        <v>5.5</v>
      </c>
      <c r="L575" s="26" t="str">
        <f>IFERROR(__xludf.DUMMYFUNCTION("""COMPUTED_VALUE"""),"Shooter")</f>
        <v>Shooter</v>
      </c>
    </row>
    <row r="576">
      <c r="A576" s="12" t="str">
        <f>IFERROR(__xludf.DUMMYFUNCTION("""COMPUTED_VALUE"""),"Solarpunk")</f>
        <v>Solarpunk</v>
      </c>
      <c r="B576" s="13" t="str">
        <f>IFERROR(__xludf.DUMMYFUNCTION("""COMPUTED_VALUE"""),"Xbox / PC")</f>
        <v>Xbox / PC</v>
      </c>
      <c r="C576" s="14" t="str">
        <f>IFERROR(__xludf.DUMMYFUNCTION("""COMPUTED_VALUE"""),"Yes")</f>
        <v>Yes</v>
      </c>
      <c r="D576" s="14" t="str">
        <f>IFERROR(__xludf.DUMMYFUNCTION("""COMPUTED_VALUE"""),"Active")</f>
        <v>Active</v>
      </c>
      <c r="E576" s="15">
        <f>IFERROR(__xludf.DUMMYFUNCTION("""COMPUTED_VALUE"""),46181.0)</f>
        <v>46181</v>
      </c>
      <c r="F576" s="16"/>
      <c r="G576" s="18">
        <f>IFERROR(__xludf.DUMMYFUNCTION("""COMPUTED_VALUE"""),3.9333333333333336)</f>
        <v>3.933333333</v>
      </c>
      <c r="H576" s="15">
        <f>IFERROR(__xludf.DUMMYFUNCTION("""COMPUTED_VALUE"""),46181.0)</f>
        <v>46181</v>
      </c>
      <c r="I576" s="18">
        <f>IFERROR(__xludf.DUMMYFUNCTION("""COMPUTED_VALUE"""),0.0)</f>
        <v>0</v>
      </c>
      <c r="J576" s="22">
        <f>IFERROR(__xludf.DUMMYFUNCTION("""COMPUTED_VALUE"""),65.0)</f>
        <v>65</v>
      </c>
      <c r="K576" s="22">
        <f>IFERROR(__xludf.DUMMYFUNCTION("""COMPUTED_VALUE"""),17.0)</f>
        <v>17</v>
      </c>
      <c r="L576" s="26" t="str">
        <f>IFERROR(__xludf.DUMMYFUNCTION("""COMPUTED_VALUE"""),"Simulation")</f>
        <v>Simulation</v>
      </c>
    </row>
    <row r="577">
      <c r="A577" s="12" t="str">
        <f>IFERROR(__xludf.DUMMYFUNCTION("""COMPUTED_VALUE"""),"Call of Duty: Black Ops 7")</f>
        <v>Call of Duty: Black Ops 7</v>
      </c>
      <c r="B577" s="13" t="str">
        <f>IFERROR(__xludf.DUMMYFUNCTION("""COMPUTED_VALUE"""),"Xbox / PC")</f>
        <v>Xbox / PC</v>
      </c>
      <c r="C577" s="14" t="str">
        <f>IFERROR(__xludf.DUMMYFUNCTION("""COMPUTED_VALUE"""),"Yes")</f>
        <v>Yes</v>
      </c>
      <c r="D577" s="14" t="str">
        <f>IFERROR(__xludf.DUMMYFUNCTION("""COMPUTED_VALUE"""),"Active")</f>
        <v>Active</v>
      </c>
      <c r="E577" s="15">
        <f>IFERROR(__xludf.DUMMYFUNCTION("""COMPUTED_VALUE"""),45975.0)</f>
        <v>45975</v>
      </c>
      <c r="F577" s="16"/>
      <c r="G577" s="18">
        <f>IFERROR(__xludf.DUMMYFUNCTION("""COMPUTED_VALUE"""),10.733333333333334)</f>
        <v>10.73333333</v>
      </c>
      <c r="H577" s="15">
        <f>IFERROR(__xludf.DUMMYFUNCTION("""COMPUTED_VALUE"""),45975.0)</f>
        <v>45975</v>
      </c>
      <c r="I577" s="18">
        <f>IFERROR(__xludf.DUMMYFUNCTION("""COMPUTED_VALUE"""),0.0)</f>
        <v>0</v>
      </c>
      <c r="J577" s="22">
        <f>IFERROR(__xludf.DUMMYFUNCTION("""COMPUTED_VALUE"""),65.0)</f>
        <v>65</v>
      </c>
      <c r="K577" s="22">
        <f>IFERROR(__xludf.DUMMYFUNCTION("""COMPUTED_VALUE"""),5.0)</f>
        <v>5</v>
      </c>
      <c r="L577" s="26" t="str">
        <f>IFERROR(__xludf.DUMMYFUNCTION("""COMPUTED_VALUE"""),"Shooter")</f>
        <v>Shooter</v>
      </c>
    </row>
    <row r="578">
      <c r="A578" s="12" t="str">
        <f>IFERROR(__xludf.DUMMYFUNCTION("""COMPUTED_VALUE"""),"Heroes of Might and Magic III: Complete Edition")</f>
        <v>Heroes of Might and Magic III: Complete Edition</v>
      </c>
      <c r="B578" s="13" t="str">
        <f>IFERROR(__xludf.DUMMYFUNCTION("""COMPUTED_VALUE"""),"PC")</f>
        <v>PC</v>
      </c>
      <c r="C578" s="14"/>
      <c r="D578" s="14" t="str">
        <f>IFERROR(__xludf.DUMMYFUNCTION("""COMPUTED_VALUE"""),"Active")</f>
        <v>Active</v>
      </c>
      <c r="E578" s="15">
        <f>IFERROR(__xludf.DUMMYFUNCTION("""COMPUTED_VALUE"""),45940.0)</f>
        <v>45940</v>
      </c>
      <c r="F578" s="16"/>
      <c r="G578" s="18">
        <f>IFERROR(__xludf.DUMMYFUNCTION("""COMPUTED_VALUE"""),11.866666666666667)</f>
        <v>11.86666667</v>
      </c>
      <c r="H578" s="15">
        <f>IFERROR(__xludf.DUMMYFUNCTION("""COMPUTED_VALUE"""),36219.0)</f>
        <v>36219</v>
      </c>
      <c r="I578" s="18">
        <f>IFERROR(__xludf.DUMMYFUNCTION("""COMPUTED_VALUE"""),26.616666666666667)</f>
        <v>26.61666667</v>
      </c>
      <c r="J578" s="22">
        <f>IFERROR(__xludf.DUMMYFUNCTION("""COMPUTED_VALUE"""),65.0)</f>
        <v>65</v>
      </c>
      <c r="K578" s="22">
        <f>IFERROR(__xludf.DUMMYFUNCTION("""COMPUTED_VALUE"""),153.0)</f>
        <v>153</v>
      </c>
      <c r="L578" s="26" t="str">
        <f>IFERROR(__xludf.DUMMYFUNCTION("""COMPUTED_VALUE"""),"Strategy")</f>
        <v>Strategy</v>
      </c>
    </row>
    <row r="579">
      <c r="A579" s="12" t="str">
        <f>IFERROR(__xludf.DUMMYFUNCTION("""COMPUTED_VALUE"""),"Zombi")</f>
        <v>Zombi</v>
      </c>
      <c r="B579" s="13" t="str">
        <f>IFERROR(__xludf.DUMMYFUNCTION("""COMPUTED_VALUE"""),"Xbox / PC")</f>
        <v>Xbox / PC</v>
      </c>
      <c r="C579" s="14" t="str">
        <f>IFERROR(__xludf.DUMMYFUNCTION("""COMPUTED_VALUE"""),"Yes")</f>
        <v>Yes</v>
      </c>
      <c r="D579" s="14" t="str">
        <f>IFERROR(__xludf.DUMMYFUNCTION("""COMPUTED_VALUE"""),"Active")</f>
        <v>Active</v>
      </c>
      <c r="E579" s="15">
        <f>IFERROR(__xludf.DUMMYFUNCTION("""COMPUTED_VALUE"""),45931.0)</f>
        <v>45931</v>
      </c>
      <c r="F579" s="16"/>
      <c r="G579" s="18">
        <f>IFERROR(__xludf.DUMMYFUNCTION("""COMPUTED_VALUE"""),12.166666666666666)</f>
        <v>12.16666667</v>
      </c>
      <c r="H579" s="15">
        <f>IFERROR(__xludf.DUMMYFUNCTION("""COMPUTED_VALUE"""),42234.0)</f>
        <v>42234</v>
      </c>
      <c r="I579" s="18">
        <f>IFERROR(__xludf.DUMMYFUNCTION("""COMPUTED_VALUE"""),10.119444444444444)</f>
        <v>10.11944444</v>
      </c>
      <c r="J579" s="22">
        <f>IFERROR(__xludf.DUMMYFUNCTION("""COMPUTED_VALUE"""),65.0)</f>
        <v>65</v>
      </c>
      <c r="K579" s="22">
        <f>IFERROR(__xludf.DUMMYFUNCTION("""COMPUTED_VALUE"""),12.0)</f>
        <v>12</v>
      </c>
      <c r="L579" s="26" t="str">
        <f>IFERROR(__xludf.DUMMYFUNCTION("""COMPUTED_VALUE"""),"Survival")</f>
        <v>Survival</v>
      </c>
    </row>
    <row r="580">
      <c r="A580" s="12" t="str">
        <f>IFERROR(__xludf.DUMMYFUNCTION("""COMPUTED_VALUE"""),"Crackpots")</f>
        <v>Crackpots</v>
      </c>
      <c r="B580" s="13" t="str">
        <f>IFERROR(__xludf.DUMMYFUNCTION("""COMPUTED_VALUE"""),"Xbox / PC")</f>
        <v>Xbox / PC</v>
      </c>
      <c r="C580" s="14" t="str">
        <f>IFERROR(__xludf.DUMMYFUNCTION("""COMPUTED_VALUE"""),"Yes")</f>
        <v>Yes</v>
      </c>
      <c r="D580" s="14" t="str">
        <f>IFERROR(__xludf.DUMMYFUNCTION("""COMPUTED_VALUE"""),"Active")</f>
        <v>Active</v>
      </c>
      <c r="E580" s="15">
        <f>IFERROR(__xludf.DUMMYFUNCTION("""COMPUTED_VALUE"""),45798.0)</f>
        <v>45798</v>
      </c>
      <c r="F580" s="16"/>
      <c r="G580" s="18">
        <f>IFERROR(__xludf.DUMMYFUNCTION("""COMPUTED_VALUE"""),16.5)</f>
        <v>16.5</v>
      </c>
      <c r="H580" s="15">
        <f>IFERROR(__xludf.DUMMYFUNCTION("""COMPUTED_VALUE"""),30452.0)</f>
        <v>30452</v>
      </c>
      <c r="I580" s="18">
        <f>IFERROR(__xludf.DUMMYFUNCTION("""COMPUTED_VALUE"""),42.013888888888886)</f>
        <v>42.01388889</v>
      </c>
      <c r="J580" s="22">
        <f>IFERROR(__xludf.DUMMYFUNCTION("""COMPUTED_VALUE"""),65.0)</f>
        <v>65</v>
      </c>
      <c r="K580" s="22">
        <f>IFERROR(__xludf.DUMMYFUNCTION("""COMPUTED_VALUE"""),2.0)</f>
        <v>2</v>
      </c>
      <c r="L580" s="26" t="str">
        <f>IFERROR(__xludf.DUMMYFUNCTION("""COMPUTED_VALUE"""),"Shooter")</f>
        <v>Shooter</v>
      </c>
    </row>
    <row r="581">
      <c r="A581" s="12" t="str">
        <f>IFERROR(__xludf.DUMMYFUNCTION("""COMPUTED_VALUE"""),"Decathlon")</f>
        <v>Decathlon</v>
      </c>
      <c r="B581" s="13" t="str">
        <f>IFERROR(__xludf.DUMMYFUNCTION("""COMPUTED_VALUE"""),"Xbox / PC")</f>
        <v>Xbox / PC</v>
      </c>
      <c r="C581" s="14" t="str">
        <f>IFERROR(__xludf.DUMMYFUNCTION("""COMPUTED_VALUE"""),"Yes")</f>
        <v>Yes</v>
      </c>
      <c r="D581" s="14" t="str">
        <f>IFERROR(__xludf.DUMMYFUNCTION("""COMPUTED_VALUE"""),"Active")</f>
        <v>Active</v>
      </c>
      <c r="E581" s="15">
        <f>IFERROR(__xludf.DUMMYFUNCTION("""COMPUTED_VALUE"""),45798.0)</f>
        <v>45798</v>
      </c>
      <c r="F581" s="16"/>
      <c r="G581" s="18">
        <f>IFERROR(__xludf.DUMMYFUNCTION("""COMPUTED_VALUE"""),16.5)</f>
        <v>16.5</v>
      </c>
      <c r="H581" s="15">
        <f>IFERROR(__xludf.DUMMYFUNCTION("""COMPUTED_VALUE"""),30393.0)</f>
        <v>30393</v>
      </c>
      <c r="I581" s="18">
        <f>IFERROR(__xludf.DUMMYFUNCTION("""COMPUTED_VALUE"""),42.175)</f>
        <v>42.175</v>
      </c>
      <c r="J581" s="22">
        <f>IFERROR(__xludf.DUMMYFUNCTION("""COMPUTED_VALUE"""),65.0)</f>
        <v>65</v>
      </c>
      <c r="K581" s="22"/>
      <c r="L581" s="26" t="str">
        <f>IFERROR(__xludf.DUMMYFUNCTION("""COMPUTED_VALUE"""),"Sports")</f>
        <v>Sports</v>
      </c>
    </row>
    <row r="582">
      <c r="A582" s="12" t="str">
        <f>IFERROR(__xludf.DUMMYFUNCTION("""COMPUTED_VALUE"""),"Dolphin")</f>
        <v>Dolphin</v>
      </c>
      <c r="B582" s="13" t="str">
        <f>IFERROR(__xludf.DUMMYFUNCTION("""COMPUTED_VALUE"""),"Xbox / PC")</f>
        <v>Xbox / PC</v>
      </c>
      <c r="C582" s="14" t="str">
        <f>IFERROR(__xludf.DUMMYFUNCTION("""COMPUTED_VALUE"""),"Yes")</f>
        <v>Yes</v>
      </c>
      <c r="D582" s="14" t="str">
        <f>IFERROR(__xludf.DUMMYFUNCTION("""COMPUTED_VALUE"""),"Active")</f>
        <v>Active</v>
      </c>
      <c r="E582" s="15">
        <f>IFERROR(__xludf.DUMMYFUNCTION("""COMPUTED_VALUE"""),45798.0)</f>
        <v>45798</v>
      </c>
      <c r="F582" s="16"/>
      <c r="G582" s="18">
        <f>IFERROR(__xludf.DUMMYFUNCTION("""COMPUTED_VALUE"""),16.5)</f>
        <v>16.5</v>
      </c>
      <c r="H582" s="15">
        <f>IFERROR(__xludf.DUMMYFUNCTION("""COMPUTED_VALUE"""),30677.0)</f>
        <v>30677</v>
      </c>
      <c r="I582" s="18">
        <f>IFERROR(__xludf.DUMMYFUNCTION("""COMPUTED_VALUE"""),41.4)</f>
        <v>41.4</v>
      </c>
      <c r="J582" s="22">
        <f>IFERROR(__xludf.DUMMYFUNCTION("""COMPUTED_VALUE"""),65.0)</f>
        <v>65</v>
      </c>
      <c r="K582" s="22"/>
      <c r="L582" s="26" t="str">
        <f>IFERROR(__xludf.DUMMYFUNCTION("""COMPUTED_VALUE"""),"Action")</f>
        <v>Action</v>
      </c>
    </row>
    <row r="583">
      <c r="A583" s="12" t="str">
        <f>IFERROR(__xludf.DUMMYFUNCTION("""COMPUTED_VALUE"""),"Fishing Derby")</f>
        <v>Fishing Derby</v>
      </c>
      <c r="B583" s="13" t="str">
        <f>IFERROR(__xludf.DUMMYFUNCTION("""COMPUTED_VALUE"""),"Xbox / PC")</f>
        <v>Xbox / PC</v>
      </c>
      <c r="C583" s="14" t="str">
        <f>IFERROR(__xludf.DUMMYFUNCTION("""COMPUTED_VALUE"""),"Yes")</f>
        <v>Yes</v>
      </c>
      <c r="D583" s="14" t="str">
        <f>IFERROR(__xludf.DUMMYFUNCTION("""COMPUTED_VALUE"""),"Active")</f>
        <v>Active</v>
      </c>
      <c r="E583" s="15">
        <f>IFERROR(__xludf.DUMMYFUNCTION("""COMPUTED_VALUE"""),45798.0)</f>
        <v>45798</v>
      </c>
      <c r="F583" s="16"/>
      <c r="G583" s="18">
        <f>IFERROR(__xludf.DUMMYFUNCTION("""COMPUTED_VALUE"""),16.5)</f>
        <v>16.5</v>
      </c>
      <c r="H583" s="15">
        <f>IFERROR(__xludf.DUMMYFUNCTION("""COMPUTED_VALUE"""),29403.0)</f>
        <v>29403</v>
      </c>
      <c r="I583" s="18">
        <f>IFERROR(__xludf.DUMMYFUNCTION("""COMPUTED_VALUE"""),44.888888888888886)</f>
        <v>44.88888889</v>
      </c>
      <c r="J583" s="22">
        <f>IFERROR(__xludf.DUMMYFUNCTION("""COMPUTED_VALUE"""),65.0)</f>
        <v>65</v>
      </c>
      <c r="K583" s="22"/>
      <c r="L583" s="26" t="str">
        <f>IFERROR(__xludf.DUMMYFUNCTION("""COMPUTED_VALUE"""),"Sports")</f>
        <v>Sports</v>
      </c>
    </row>
    <row r="584">
      <c r="A584" s="12" t="str">
        <f>IFERROR(__xludf.DUMMYFUNCTION("""COMPUTED_VALUE"""),"Grand Prix")</f>
        <v>Grand Prix</v>
      </c>
      <c r="B584" s="13" t="str">
        <f>IFERROR(__xludf.DUMMYFUNCTION("""COMPUTED_VALUE"""),"Xbox / PC")</f>
        <v>Xbox / PC</v>
      </c>
      <c r="C584" s="14" t="str">
        <f>IFERROR(__xludf.DUMMYFUNCTION("""COMPUTED_VALUE"""),"Yes")</f>
        <v>Yes</v>
      </c>
      <c r="D584" s="14" t="str">
        <f>IFERROR(__xludf.DUMMYFUNCTION("""COMPUTED_VALUE"""),"Active")</f>
        <v>Active</v>
      </c>
      <c r="E584" s="15">
        <f>IFERROR(__xludf.DUMMYFUNCTION("""COMPUTED_VALUE"""),45798.0)</f>
        <v>45798</v>
      </c>
      <c r="F584" s="16"/>
      <c r="G584" s="18">
        <f>IFERROR(__xludf.DUMMYFUNCTION("""COMPUTED_VALUE"""),16.5)</f>
        <v>16.5</v>
      </c>
      <c r="H584" s="15">
        <f>IFERROR(__xludf.DUMMYFUNCTION("""COMPUTED_VALUE"""),30011.0)</f>
        <v>30011</v>
      </c>
      <c r="I584" s="18">
        <f>IFERROR(__xludf.DUMMYFUNCTION("""COMPUTED_VALUE"""),43.22222222222222)</f>
        <v>43.22222222</v>
      </c>
      <c r="J584" s="22">
        <f>IFERROR(__xludf.DUMMYFUNCTION("""COMPUTED_VALUE"""),65.0)</f>
        <v>65</v>
      </c>
      <c r="K584" s="22"/>
      <c r="L584" s="26" t="str">
        <f>IFERROR(__xludf.DUMMYFUNCTION("""COMPUTED_VALUE"""),"Racing")</f>
        <v>Racing</v>
      </c>
    </row>
    <row r="585">
      <c r="A585" s="12" t="str">
        <f>IFERROR(__xludf.DUMMYFUNCTION("""COMPUTED_VALUE"""),"Need for Speed: Deluxe Edition")</f>
        <v>Need for Speed: Deluxe Edition</v>
      </c>
      <c r="B585" s="13" t="str">
        <f>IFERROR(__xludf.DUMMYFUNCTION("""COMPUTED_VALUE"""),"Xbox / PC")</f>
        <v>Xbox / PC</v>
      </c>
      <c r="C585" s="14"/>
      <c r="D585" s="14" t="str">
        <f>IFERROR(__xludf.DUMMYFUNCTION("""COMPUTED_VALUE"""),"Active")</f>
        <v>Active</v>
      </c>
      <c r="E585" s="15">
        <f>IFERROR(__xludf.DUMMYFUNCTION("""COMPUTED_VALUE"""),44145.0)</f>
        <v>44145</v>
      </c>
      <c r="F585" s="16"/>
      <c r="G585" s="18">
        <f>IFERROR(__xludf.DUMMYFUNCTION("""COMPUTED_VALUE"""),70.86666666666667)</f>
        <v>70.86666667</v>
      </c>
      <c r="H585" s="15">
        <f>IFERROR(__xludf.DUMMYFUNCTION("""COMPUTED_VALUE"""),42311.0)</f>
        <v>42311</v>
      </c>
      <c r="I585" s="18">
        <f>IFERROR(__xludf.DUMMYFUNCTION("""COMPUTED_VALUE"""),5.019444444444445)</f>
        <v>5.019444444</v>
      </c>
      <c r="J585" s="22">
        <f>IFERROR(__xludf.DUMMYFUNCTION("""COMPUTED_VALUE"""),65.0)</f>
        <v>65</v>
      </c>
      <c r="K585" s="22">
        <f>IFERROR(__xludf.DUMMYFUNCTION("""COMPUTED_VALUE"""),15.5)</f>
        <v>15.5</v>
      </c>
      <c r="L585" s="26" t="str">
        <f>IFERROR(__xludf.DUMMYFUNCTION("""COMPUTED_VALUE"""),"Racing")</f>
        <v>Racing</v>
      </c>
    </row>
    <row r="586">
      <c r="A586" s="12" t="str">
        <f>IFERROR(__xludf.DUMMYFUNCTION("""COMPUTED_VALUE"""),"Grounded")</f>
        <v>Grounded</v>
      </c>
      <c r="B586" s="13" t="str">
        <f>IFERROR(__xludf.DUMMYFUNCTION("""COMPUTED_VALUE"""),"Xbox / PC")</f>
        <v>Xbox / PC</v>
      </c>
      <c r="C586" s="14" t="str">
        <f>IFERROR(__xludf.DUMMYFUNCTION("""COMPUTED_VALUE"""),"M+KB")</f>
        <v>M+KB</v>
      </c>
      <c r="D586" s="14" t="str">
        <f>IFERROR(__xludf.DUMMYFUNCTION("""COMPUTED_VALUE"""),"Active")</f>
        <v>Active</v>
      </c>
      <c r="E586" s="15">
        <f>IFERROR(__xludf.DUMMYFUNCTION("""COMPUTED_VALUE"""),44040.0)</f>
        <v>44040</v>
      </c>
      <c r="F586" s="16"/>
      <c r="G586" s="18">
        <f>IFERROR(__xludf.DUMMYFUNCTION("""COMPUTED_VALUE"""),74.26666666666667)</f>
        <v>74.26666667</v>
      </c>
      <c r="H586" s="15">
        <f>IFERROR(__xludf.DUMMYFUNCTION("""COMPUTED_VALUE"""),44040.0)</f>
        <v>44040</v>
      </c>
      <c r="I586" s="18">
        <f>IFERROR(__xludf.DUMMYFUNCTION("""COMPUTED_VALUE"""),0.0)</f>
        <v>0</v>
      </c>
      <c r="J586" s="22">
        <f>IFERROR(__xludf.DUMMYFUNCTION("""COMPUTED_VALUE"""),65.0)</f>
        <v>65</v>
      </c>
      <c r="K586" s="22">
        <f>IFERROR(__xludf.DUMMYFUNCTION("""COMPUTED_VALUE"""),6.5)</f>
        <v>6.5</v>
      </c>
      <c r="L586" s="26" t="str">
        <f>IFERROR(__xludf.DUMMYFUNCTION("""COMPUTED_VALUE"""),"Action-Adventure")</f>
        <v>Action-Adventure</v>
      </c>
    </row>
    <row r="587">
      <c r="A587" s="12" t="str">
        <f>IFERROR(__xludf.DUMMYFUNCTION("""COMPUTED_VALUE"""),"Beatdown City Survivors")</f>
        <v>Beatdown City Survivors</v>
      </c>
      <c r="B587" s="13" t="str">
        <f>IFERROR(__xludf.DUMMYFUNCTION("""COMPUTED_VALUE"""),"Xbox / PC")</f>
        <v>Xbox / PC</v>
      </c>
      <c r="C587" s="14" t="str">
        <f>IFERROR(__xludf.DUMMYFUNCTION("""COMPUTED_VALUE"""),"Yes")</f>
        <v>Yes</v>
      </c>
      <c r="D587" s="14" t="str">
        <f>IFERROR(__xludf.DUMMYFUNCTION("""COMPUTED_VALUE"""),"Active")</f>
        <v>Active</v>
      </c>
      <c r="E587" s="15">
        <f>IFERROR(__xludf.DUMMYFUNCTION("""COMPUTED_VALUE"""),46183.0)</f>
        <v>46183</v>
      </c>
      <c r="F587" s="16"/>
      <c r="G587" s="18">
        <f>IFERROR(__xludf.DUMMYFUNCTION("""COMPUTED_VALUE"""),3.866666666666667)</f>
        <v>3.866666667</v>
      </c>
      <c r="H587" s="15">
        <f>IFERROR(__xludf.DUMMYFUNCTION("""COMPUTED_VALUE"""),45693.0)</f>
        <v>45693</v>
      </c>
      <c r="I587" s="18">
        <f>IFERROR(__xludf.DUMMYFUNCTION("""COMPUTED_VALUE"""),1.3472222222222223)</f>
        <v>1.347222222</v>
      </c>
      <c r="J587" s="22">
        <f>IFERROR(__xludf.DUMMYFUNCTION("""COMPUTED_VALUE"""),64.0)</f>
        <v>64</v>
      </c>
      <c r="K587" s="22">
        <f>IFERROR(__xludf.DUMMYFUNCTION("""COMPUTED_VALUE"""),10.0)</f>
        <v>10</v>
      </c>
      <c r="L587" s="26" t="str">
        <f>IFERROR(__xludf.DUMMYFUNCTION("""COMPUTED_VALUE"""),"Action-Adventure")</f>
        <v>Action-Adventure</v>
      </c>
    </row>
    <row r="588">
      <c r="A588" s="12" t="str">
        <f>IFERROR(__xludf.DUMMYFUNCTION("""COMPUTED_VALUE"""),"Outbound")</f>
        <v>Outbound</v>
      </c>
      <c r="B588" s="13" t="str">
        <f>IFERROR(__xludf.DUMMYFUNCTION("""COMPUTED_VALUE"""),"Xbox / PC")</f>
        <v>Xbox / PC</v>
      </c>
      <c r="C588" s="14" t="str">
        <f>IFERROR(__xludf.DUMMYFUNCTION("""COMPUTED_VALUE"""),"Yes")</f>
        <v>Yes</v>
      </c>
      <c r="D588" s="14" t="str">
        <f>IFERROR(__xludf.DUMMYFUNCTION("""COMPUTED_VALUE"""),"Active")</f>
        <v>Active</v>
      </c>
      <c r="E588" s="15">
        <f>IFERROR(__xludf.DUMMYFUNCTION("""COMPUTED_VALUE"""),46153.0)</f>
        <v>46153</v>
      </c>
      <c r="F588" s="16"/>
      <c r="G588" s="18">
        <f>IFERROR(__xludf.DUMMYFUNCTION("""COMPUTED_VALUE"""),4.833333333333334)</f>
        <v>4.833333333</v>
      </c>
      <c r="H588" s="15">
        <f>IFERROR(__xludf.DUMMYFUNCTION("""COMPUTED_VALUE"""),46153.0)</f>
        <v>46153</v>
      </c>
      <c r="I588" s="18">
        <f>IFERROR(__xludf.DUMMYFUNCTION("""COMPUTED_VALUE"""),0.0)</f>
        <v>0</v>
      </c>
      <c r="J588" s="22">
        <f>IFERROR(__xludf.DUMMYFUNCTION("""COMPUTED_VALUE"""),64.0)</f>
        <v>64</v>
      </c>
      <c r="K588" s="22">
        <f>IFERROR(__xludf.DUMMYFUNCTION("""COMPUTED_VALUE"""),15.0)</f>
        <v>15</v>
      </c>
      <c r="L588" s="26" t="str">
        <f>IFERROR(__xludf.DUMMYFUNCTION("""COMPUTED_VALUE"""),"Survival Crafting")</f>
        <v>Survival Crafting</v>
      </c>
    </row>
    <row r="589">
      <c r="A589" s="12" t="str">
        <f>IFERROR(__xludf.DUMMYFUNCTION("""COMPUTED_VALUE"""),"Pigeon Simulator")</f>
        <v>Pigeon Simulator</v>
      </c>
      <c r="B589" s="13" t="str">
        <f>IFERROR(__xludf.DUMMYFUNCTION("""COMPUTED_VALUE"""),"Xbox / PC")</f>
        <v>Xbox / PC</v>
      </c>
      <c r="C589" s="14" t="str">
        <f>IFERROR(__xludf.DUMMYFUNCTION("""COMPUTED_VALUE"""),"Yes")</f>
        <v>Yes</v>
      </c>
      <c r="D589" s="14" t="str">
        <f>IFERROR(__xludf.DUMMYFUNCTION("""COMPUTED_VALUE"""),"Active")</f>
        <v>Active</v>
      </c>
      <c r="E589" s="15">
        <f>IFERROR(__xludf.DUMMYFUNCTION("""COMPUTED_VALUE"""),45972.0)</f>
        <v>45972</v>
      </c>
      <c r="F589" s="16"/>
      <c r="G589" s="18">
        <f>IFERROR(__xludf.DUMMYFUNCTION("""COMPUTED_VALUE"""),10.833333333333334)</f>
        <v>10.83333333</v>
      </c>
      <c r="H589" s="15">
        <f>IFERROR(__xludf.DUMMYFUNCTION("""COMPUTED_VALUE"""),45972.0)</f>
        <v>45972</v>
      </c>
      <c r="I589" s="18">
        <f>IFERROR(__xludf.DUMMYFUNCTION("""COMPUTED_VALUE"""),0.0)</f>
        <v>0</v>
      </c>
      <c r="J589" s="22">
        <f>IFERROR(__xludf.DUMMYFUNCTION("""COMPUTED_VALUE"""),64.0)</f>
        <v>64</v>
      </c>
      <c r="K589" s="22">
        <f>IFERROR(__xludf.DUMMYFUNCTION("""COMPUTED_VALUE"""),7.0)</f>
        <v>7</v>
      </c>
      <c r="L589" s="26" t="str">
        <f>IFERROR(__xludf.DUMMYFUNCTION("""COMPUTED_VALUE"""),"Sandbox")</f>
        <v>Sandbox</v>
      </c>
    </row>
    <row r="590">
      <c r="A590" s="12" t="str">
        <f>IFERROR(__xludf.DUMMYFUNCTION("""COMPUTED_VALUE"""),"The Crew 2")</f>
        <v>The Crew 2</v>
      </c>
      <c r="B590" s="13" t="str">
        <f>IFERROR(__xludf.DUMMYFUNCTION("""COMPUTED_VALUE"""),"Xbox / PC")</f>
        <v>Xbox / PC</v>
      </c>
      <c r="C590" s="14" t="str">
        <f>IFERROR(__xludf.DUMMYFUNCTION("""COMPUTED_VALUE"""),"Yes")</f>
        <v>Yes</v>
      </c>
      <c r="D590" s="14" t="str">
        <f>IFERROR(__xludf.DUMMYFUNCTION("""COMPUTED_VALUE"""),"Active")</f>
        <v>Active</v>
      </c>
      <c r="E590" s="15">
        <f>IFERROR(__xludf.DUMMYFUNCTION("""COMPUTED_VALUE"""),45931.0)</f>
        <v>45931</v>
      </c>
      <c r="F590" s="16"/>
      <c r="G590" s="18">
        <f>IFERROR(__xludf.DUMMYFUNCTION("""COMPUTED_VALUE"""),12.166666666666666)</f>
        <v>12.16666667</v>
      </c>
      <c r="H590" s="15">
        <f>IFERROR(__xludf.DUMMYFUNCTION("""COMPUTED_VALUE"""),43277.0)</f>
        <v>43277</v>
      </c>
      <c r="I590" s="18">
        <f>IFERROR(__xludf.DUMMYFUNCTION("""COMPUTED_VALUE"""),7.263888888888889)</f>
        <v>7.263888889</v>
      </c>
      <c r="J590" s="22">
        <f>IFERROR(__xludf.DUMMYFUNCTION("""COMPUTED_VALUE"""),64.0)</f>
        <v>64</v>
      </c>
      <c r="K590" s="22">
        <f>IFERROR(__xludf.DUMMYFUNCTION("""COMPUTED_VALUE"""),21.0)</f>
        <v>21</v>
      </c>
      <c r="L590" s="26" t="str">
        <f>IFERROR(__xludf.DUMMYFUNCTION("""COMPUTED_VALUE"""),"Racing")</f>
        <v>Racing</v>
      </c>
    </row>
    <row r="591">
      <c r="A591" s="12" t="str">
        <f>IFERROR(__xludf.DUMMYFUNCTION("""COMPUTED_VALUE"""),"FBC: Firebreak")</f>
        <v>FBC: Firebreak</v>
      </c>
      <c r="B591" s="13" t="str">
        <f>IFERROR(__xludf.DUMMYFUNCTION("""COMPUTED_VALUE"""),"Xbox / PC")</f>
        <v>Xbox / PC</v>
      </c>
      <c r="C591" s="14" t="str">
        <f>IFERROR(__xludf.DUMMYFUNCTION("""COMPUTED_VALUE"""),"Yes")</f>
        <v>Yes</v>
      </c>
      <c r="D591" s="14" t="str">
        <f>IFERROR(__xludf.DUMMYFUNCTION("""COMPUTED_VALUE"""),"Active")</f>
        <v>Active</v>
      </c>
      <c r="E591" s="15">
        <f>IFERROR(__xludf.DUMMYFUNCTION("""COMPUTED_VALUE"""),45825.0)</f>
        <v>45825</v>
      </c>
      <c r="F591" s="16"/>
      <c r="G591" s="18">
        <f>IFERROR(__xludf.DUMMYFUNCTION("""COMPUTED_VALUE"""),15.633333333333333)</f>
        <v>15.63333333</v>
      </c>
      <c r="H591" s="15">
        <f>IFERROR(__xludf.DUMMYFUNCTION("""COMPUTED_VALUE"""),45825.0)</f>
        <v>45825</v>
      </c>
      <c r="I591" s="18">
        <f>IFERROR(__xludf.DUMMYFUNCTION("""COMPUTED_VALUE"""),0.0)</f>
        <v>0</v>
      </c>
      <c r="J591" s="22">
        <f>IFERROR(__xludf.DUMMYFUNCTION("""COMPUTED_VALUE"""),64.0)</f>
        <v>64</v>
      </c>
      <c r="K591" s="22">
        <f>IFERROR(__xludf.DUMMYFUNCTION("""COMPUTED_VALUE"""),7.0)</f>
        <v>7</v>
      </c>
      <c r="L591" s="26" t="str">
        <f>IFERROR(__xludf.DUMMYFUNCTION("""COMPUTED_VALUE"""),"Shooter")</f>
        <v>Shooter</v>
      </c>
    </row>
    <row r="592">
      <c r="A592" s="12" t="str">
        <f>IFERROR(__xludf.DUMMYFUNCTION("""COMPUTED_VALUE"""),"We Happy Few")</f>
        <v>We Happy Few</v>
      </c>
      <c r="B592" s="13" t="str">
        <f>IFERROR(__xludf.DUMMYFUNCTION("""COMPUTED_VALUE"""),"Xbox / PC")</f>
        <v>Xbox / PC</v>
      </c>
      <c r="C592" s="14" t="str">
        <f>IFERROR(__xludf.DUMMYFUNCTION("""COMPUTED_VALUE"""),"Yes")</f>
        <v>Yes</v>
      </c>
      <c r="D592" s="14" t="str">
        <f>IFERROR(__xludf.DUMMYFUNCTION("""COMPUTED_VALUE"""),"Active")</f>
        <v>Active</v>
      </c>
      <c r="E592" s="15">
        <f>IFERROR(__xludf.DUMMYFUNCTION("""COMPUTED_VALUE"""),45302.0)</f>
        <v>45302</v>
      </c>
      <c r="F592" s="16"/>
      <c r="G592" s="18">
        <f>IFERROR(__xludf.DUMMYFUNCTION("""COMPUTED_VALUE"""),32.833333333333336)</f>
        <v>32.83333333</v>
      </c>
      <c r="H592" s="15">
        <f>IFERROR(__xludf.DUMMYFUNCTION("""COMPUTED_VALUE"""),43322.0)</f>
        <v>43322</v>
      </c>
      <c r="I592" s="18">
        <f>IFERROR(__xludf.DUMMYFUNCTION("""COMPUTED_VALUE"""),5.419444444444444)</f>
        <v>5.419444444</v>
      </c>
      <c r="J592" s="22">
        <f>IFERROR(__xludf.DUMMYFUNCTION("""COMPUTED_VALUE"""),64.0)</f>
        <v>64</v>
      </c>
      <c r="K592" s="22">
        <f>IFERROR(__xludf.DUMMYFUNCTION("""COMPUTED_VALUE"""),21.0)</f>
        <v>21</v>
      </c>
      <c r="L592" s="26" t="str">
        <f>IFERROR(__xludf.DUMMYFUNCTION("""COMPUTED_VALUE"""),"Shooter")</f>
        <v>Shooter</v>
      </c>
    </row>
    <row r="593">
      <c r="A593" s="12" t="str">
        <f>IFERROR(__xludf.DUMMYFUNCTION("""COMPUTED_VALUE"""),"Cooking Simulator")</f>
        <v>Cooking Simulator</v>
      </c>
      <c r="B593" s="13" t="str">
        <f>IFERROR(__xludf.DUMMYFUNCTION("""COMPUTED_VALUE"""),"Xbox / PC")</f>
        <v>Xbox / PC</v>
      </c>
      <c r="C593" s="14" t="str">
        <f>IFERROR(__xludf.DUMMYFUNCTION("""COMPUTED_VALUE"""),"Yes")</f>
        <v>Yes</v>
      </c>
      <c r="D593" s="14" t="str">
        <f>IFERROR(__xludf.DUMMYFUNCTION("""COMPUTED_VALUE"""),"Active")</f>
        <v>Active</v>
      </c>
      <c r="E593" s="15">
        <f>IFERROR(__xludf.DUMMYFUNCTION("""COMPUTED_VALUE"""),44784.0)</f>
        <v>44784</v>
      </c>
      <c r="F593" s="16"/>
      <c r="G593" s="18">
        <f>IFERROR(__xludf.DUMMYFUNCTION("""COMPUTED_VALUE"""),49.83333333333333)</f>
        <v>49.83333333</v>
      </c>
      <c r="H593" s="15">
        <f>IFERROR(__xludf.DUMMYFUNCTION("""COMPUTED_VALUE"""),43622.0)</f>
        <v>43622</v>
      </c>
      <c r="I593" s="18">
        <f>IFERROR(__xludf.DUMMYFUNCTION("""COMPUTED_VALUE"""),3.1805555555555554)</f>
        <v>3.180555556</v>
      </c>
      <c r="J593" s="22">
        <f>IFERROR(__xludf.DUMMYFUNCTION("""COMPUTED_VALUE"""),64.0)</f>
        <v>64</v>
      </c>
      <c r="K593" s="22">
        <f>IFERROR(__xludf.DUMMYFUNCTION("""COMPUTED_VALUE"""),8.5)</f>
        <v>8.5</v>
      </c>
      <c r="L593" s="26" t="str">
        <f>IFERROR(__xludf.DUMMYFUNCTION("""COMPUTED_VALUE"""),"Simulation")</f>
        <v>Simulation</v>
      </c>
    </row>
    <row r="594">
      <c r="A594" s="12" t="str">
        <f>IFERROR(__xludf.DUMMYFUNCTION("""COMPUTED_VALUE"""),"SimCity: Complete Edition")</f>
        <v>SimCity: Complete Edition</v>
      </c>
      <c r="B594" s="13" t="str">
        <f>IFERROR(__xludf.DUMMYFUNCTION("""COMPUTED_VALUE"""),"PC")</f>
        <v>PC</v>
      </c>
      <c r="C594" s="14"/>
      <c r="D594" s="14" t="str">
        <f>IFERROR(__xludf.DUMMYFUNCTION("""COMPUTED_VALUE"""),"Active")</f>
        <v>Active</v>
      </c>
      <c r="E594" s="15">
        <f>IFERROR(__xludf.DUMMYFUNCTION("""COMPUTED_VALUE"""),44273.0)</f>
        <v>44273</v>
      </c>
      <c r="F594" s="16"/>
      <c r="G594" s="18">
        <f>IFERROR(__xludf.DUMMYFUNCTION("""COMPUTED_VALUE"""),66.6)</f>
        <v>66.6</v>
      </c>
      <c r="H594" s="15">
        <f>IFERROR(__xludf.DUMMYFUNCTION("""COMPUTED_VALUE"""),41338.0)</f>
        <v>41338</v>
      </c>
      <c r="I594" s="18">
        <f>IFERROR(__xludf.DUMMYFUNCTION("""COMPUTED_VALUE"""),8.036111111111111)</f>
        <v>8.036111111</v>
      </c>
      <c r="J594" s="22">
        <f>IFERROR(__xludf.DUMMYFUNCTION("""COMPUTED_VALUE"""),64.0)</f>
        <v>64</v>
      </c>
      <c r="K594" s="22">
        <f>IFERROR(__xludf.DUMMYFUNCTION("""COMPUTED_VALUE"""),25.5)</f>
        <v>25.5</v>
      </c>
      <c r="L594" s="26" t="str">
        <f>IFERROR(__xludf.DUMMYFUNCTION("""COMPUTED_VALUE"""),"Simulation")</f>
        <v>Simulation</v>
      </c>
    </row>
    <row r="595">
      <c r="A595" s="12" t="str">
        <f>IFERROR(__xludf.DUMMYFUNCTION("""COMPUTED_VALUE"""),"The Walking Dead: Michonne")</f>
        <v>The Walking Dead: Michonne</v>
      </c>
      <c r="B595" s="13" t="str">
        <f>IFERROR(__xludf.DUMMYFUNCTION("""COMPUTED_VALUE"""),"Xbox / PC")</f>
        <v>Xbox / PC</v>
      </c>
      <c r="C595" s="14" t="str">
        <f>IFERROR(__xludf.DUMMYFUNCTION("""COMPUTED_VALUE"""),"Touch Controls")</f>
        <v>Touch Controls</v>
      </c>
      <c r="D595" s="14" t="str">
        <f>IFERROR(__xludf.DUMMYFUNCTION("""COMPUTED_VALUE"""),"Active")</f>
        <v>Active</v>
      </c>
      <c r="E595" s="15">
        <f>IFERROR(__xludf.DUMMYFUNCTION("""COMPUTED_VALUE"""),43552.0)</f>
        <v>43552</v>
      </c>
      <c r="F595" s="16"/>
      <c r="G595" s="18">
        <f>IFERROR(__xludf.DUMMYFUNCTION("""COMPUTED_VALUE"""),90.26666666666667)</f>
        <v>90.26666667</v>
      </c>
      <c r="H595" s="15">
        <f>IFERROR(__xludf.DUMMYFUNCTION("""COMPUTED_VALUE"""),42423.0)</f>
        <v>42423</v>
      </c>
      <c r="I595" s="18">
        <f>IFERROR(__xludf.DUMMYFUNCTION("""COMPUTED_VALUE"""),3.0972222222222223)</f>
        <v>3.097222222</v>
      </c>
      <c r="J595" s="22">
        <f>IFERROR(__xludf.DUMMYFUNCTION("""COMPUTED_VALUE"""),64.0)</f>
        <v>64</v>
      </c>
      <c r="K595" s="22">
        <f>IFERROR(__xludf.DUMMYFUNCTION("""COMPUTED_VALUE"""),4.0)</f>
        <v>4</v>
      </c>
      <c r="L595" s="26" t="str">
        <f>IFERROR(__xludf.DUMMYFUNCTION("""COMPUTED_VALUE"""),"Adventure")</f>
        <v>Adventure</v>
      </c>
    </row>
    <row r="596">
      <c r="A596" s="12" t="str">
        <f>IFERROR(__xludf.DUMMYFUNCTION("""COMPUTED_VALUE"""),"Super Lucky's Tale")</f>
        <v>Super Lucky's Tale</v>
      </c>
      <c r="B596" s="13" t="str">
        <f>IFERROR(__xludf.DUMMYFUNCTION("""COMPUTED_VALUE"""),"Xbox / PC")</f>
        <v>Xbox / PC</v>
      </c>
      <c r="C596" s="14"/>
      <c r="D596" s="14" t="str">
        <f>IFERROR(__xludf.DUMMYFUNCTION("""COMPUTED_VALUE"""),"Active")</f>
        <v>Active</v>
      </c>
      <c r="E596" s="15">
        <f>IFERROR(__xludf.DUMMYFUNCTION("""COMPUTED_VALUE"""),43160.0)</f>
        <v>43160</v>
      </c>
      <c r="F596" s="16"/>
      <c r="G596" s="18">
        <f>IFERROR(__xludf.DUMMYFUNCTION("""COMPUTED_VALUE"""),103.16666666666666)</f>
        <v>103.1666667</v>
      </c>
      <c r="H596" s="15">
        <f>IFERROR(__xludf.DUMMYFUNCTION("""COMPUTED_VALUE"""),43046.0)</f>
        <v>43046</v>
      </c>
      <c r="I596" s="18">
        <f>IFERROR(__xludf.DUMMYFUNCTION("""COMPUTED_VALUE"""),0.31666666666666665)</f>
        <v>0.3166666667</v>
      </c>
      <c r="J596" s="22">
        <f>IFERROR(__xludf.DUMMYFUNCTION("""COMPUTED_VALUE"""),64.0)</f>
        <v>64</v>
      </c>
      <c r="K596" s="22">
        <f>IFERROR(__xludf.DUMMYFUNCTION("""COMPUTED_VALUE"""),6.0)</f>
        <v>6</v>
      </c>
      <c r="L596" s="26" t="str">
        <f>IFERROR(__xludf.DUMMYFUNCTION("""COMPUTED_VALUE"""),"Platformer")</f>
        <v>Platformer</v>
      </c>
    </row>
    <row r="597">
      <c r="A597" s="12" t="str">
        <f>IFERROR(__xludf.DUMMYFUNCTION("""COMPUTED_VALUE"""),"Aphelion")</f>
        <v>Aphelion</v>
      </c>
      <c r="B597" s="13" t="str">
        <f>IFERROR(__xludf.DUMMYFUNCTION("""COMPUTED_VALUE"""),"Xbox / PC")</f>
        <v>Xbox / PC</v>
      </c>
      <c r="C597" s="14" t="str">
        <f>IFERROR(__xludf.DUMMYFUNCTION("""COMPUTED_VALUE"""),"Yes")</f>
        <v>Yes</v>
      </c>
      <c r="D597" s="14" t="str">
        <f>IFERROR(__xludf.DUMMYFUNCTION("""COMPUTED_VALUE"""),"Active")</f>
        <v>Active</v>
      </c>
      <c r="E597" s="15">
        <f>IFERROR(__xludf.DUMMYFUNCTION("""COMPUTED_VALUE"""),46140.0)</f>
        <v>46140</v>
      </c>
      <c r="F597" s="16"/>
      <c r="G597" s="18">
        <f>IFERROR(__xludf.DUMMYFUNCTION("""COMPUTED_VALUE"""),5.266666666666667)</f>
        <v>5.266666667</v>
      </c>
      <c r="H597" s="15">
        <f>IFERROR(__xludf.DUMMYFUNCTION("""COMPUTED_VALUE"""),46140.0)</f>
        <v>46140</v>
      </c>
      <c r="I597" s="18">
        <f>IFERROR(__xludf.DUMMYFUNCTION("""COMPUTED_VALUE"""),0.0)</f>
        <v>0</v>
      </c>
      <c r="J597" s="22">
        <f>IFERROR(__xludf.DUMMYFUNCTION("""COMPUTED_VALUE"""),63.0)</f>
        <v>63</v>
      </c>
      <c r="K597" s="22">
        <f>IFERROR(__xludf.DUMMYFUNCTION("""COMPUTED_VALUE"""),7.0)</f>
        <v>7</v>
      </c>
      <c r="L597" s="26" t="str">
        <f>IFERROR(__xludf.DUMMYFUNCTION("""COMPUTED_VALUE"""),"Action-Adventure")</f>
        <v>Action-Adventure</v>
      </c>
    </row>
    <row r="598">
      <c r="A598" s="12" t="str">
        <f>IFERROR(__xludf.DUMMYFUNCTION("""COMPUTED_VALUE"""),"Assassin's Creed Chronicles: India")</f>
        <v>Assassin's Creed Chronicles: India</v>
      </c>
      <c r="B598" s="13" t="str">
        <f>IFERROR(__xludf.DUMMYFUNCTION("""COMPUTED_VALUE"""),"Xbox / PC")</f>
        <v>Xbox / PC</v>
      </c>
      <c r="C598" s="14" t="str">
        <f>IFERROR(__xludf.DUMMYFUNCTION("""COMPUTED_VALUE"""),"Yes")</f>
        <v>Yes</v>
      </c>
      <c r="D598" s="14" t="str">
        <f>IFERROR(__xludf.DUMMYFUNCTION("""COMPUTED_VALUE"""),"Active")</f>
        <v>Active</v>
      </c>
      <c r="E598" s="15">
        <f>IFERROR(__xludf.DUMMYFUNCTION("""COMPUTED_VALUE"""),45931.0)</f>
        <v>45931</v>
      </c>
      <c r="F598" s="16"/>
      <c r="G598" s="18">
        <f>IFERROR(__xludf.DUMMYFUNCTION("""COMPUTED_VALUE"""),12.166666666666666)</f>
        <v>12.16666667</v>
      </c>
      <c r="H598" s="15">
        <f>IFERROR(__xludf.DUMMYFUNCTION("""COMPUTED_VALUE"""),42382.0)</f>
        <v>42382</v>
      </c>
      <c r="I598" s="18">
        <f>IFERROR(__xludf.DUMMYFUNCTION("""COMPUTED_VALUE"""),9.716666666666667)</f>
        <v>9.716666667</v>
      </c>
      <c r="J598" s="22">
        <f>IFERROR(__xludf.DUMMYFUNCTION("""COMPUTED_VALUE"""),63.0)</f>
        <v>63</v>
      </c>
      <c r="K598" s="22">
        <f>IFERROR(__xludf.DUMMYFUNCTION("""COMPUTED_VALUE"""),6.0)</f>
        <v>6</v>
      </c>
      <c r="L598" s="26" t="str">
        <f>IFERROR(__xludf.DUMMYFUNCTION("""COMPUTED_VALUE"""),"Action-Adventure")</f>
        <v>Action-Adventure</v>
      </c>
    </row>
    <row r="599">
      <c r="A599" s="12" t="str">
        <f>IFERROR(__xludf.DUMMYFUNCTION("""COMPUTED_VALUE"""),"Fire Fighter")</f>
        <v>Fire Fighter</v>
      </c>
      <c r="B599" s="13" t="str">
        <f>IFERROR(__xludf.DUMMYFUNCTION("""COMPUTED_VALUE"""),"Xbox / PC")</f>
        <v>Xbox / PC</v>
      </c>
      <c r="C599" s="14" t="str">
        <f>IFERROR(__xludf.DUMMYFUNCTION("""COMPUTED_VALUE"""),"Yes")</f>
        <v>Yes</v>
      </c>
      <c r="D599" s="14" t="str">
        <f>IFERROR(__xludf.DUMMYFUNCTION("""COMPUTED_VALUE"""),"Active")</f>
        <v>Active</v>
      </c>
      <c r="E599" s="15">
        <f>IFERROR(__xludf.DUMMYFUNCTION("""COMPUTED_VALUE"""),45798.0)</f>
        <v>45798</v>
      </c>
      <c r="F599" s="16"/>
      <c r="G599" s="18">
        <f>IFERROR(__xludf.DUMMYFUNCTION("""COMPUTED_VALUE"""),16.5)</f>
        <v>16.5</v>
      </c>
      <c r="H599" s="15">
        <f>IFERROR(__xludf.DUMMYFUNCTION("""COMPUTED_VALUE"""),30195.0)</f>
        <v>30195</v>
      </c>
      <c r="I599" s="18">
        <f>IFERROR(__xludf.DUMMYFUNCTION("""COMPUTED_VALUE"""),42.72222222222222)</f>
        <v>42.72222222</v>
      </c>
      <c r="J599" s="22">
        <f>IFERROR(__xludf.DUMMYFUNCTION("""COMPUTED_VALUE"""),63.0)</f>
        <v>63</v>
      </c>
      <c r="K599" s="22"/>
      <c r="L599" s="26" t="str">
        <f>IFERROR(__xludf.DUMMYFUNCTION("""COMPUTED_VALUE"""),"Action‑Adventure")</f>
        <v>Action‑Adventure</v>
      </c>
    </row>
    <row r="600">
      <c r="A600" s="12" t="str">
        <f>IFERROR(__xludf.DUMMYFUNCTION("""COMPUTED_VALUE"""),"Sky Jinks")</f>
        <v>Sky Jinks</v>
      </c>
      <c r="B600" s="13" t="str">
        <f>IFERROR(__xludf.DUMMYFUNCTION("""COMPUTED_VALUE"""),"Xbox / PC")</f>
        <v>Xbox / PC</v>
      </c>
      <c r="C600" s="14" t="str">
        <f>IFERROR(__xludf.DUMMYFUNCTION("""COMPUTED_VALUE"""),"Yes")</f>
        <v>Yes</v>
      </c>
      <c r="D600" s="14" t="str">
        <f>IFERROR(__xludf.DUMMYFUNCTION("""COMPUTED_VALUE"""),"Active")</f>
        <v>Active</v>
      </c>
      <c r="E600" s="15">
        <f>IFERROR(__xludf.DUMMYFUNCTION("""COMPUTED_VALUE"""),45798.0)</f>
        <v>45798</v>
      </c>
      <c r="F600" s="16"/>
      <c r="G600" s="18">
        <f>IFERROR(__xludf.DUMMYFUNCTION("""COMPUTED_VALUE"""),16.5)</f>
        <v>16.5</v>
      </c>
      <c r="H600" s="15">
        <f>IFERROR(__xludf.DUMMYFUNCTION("""COMPUTED_VALUE"""),30256.0)</f>
        <v>30256</v>
      </c>
      <c r="I600" s="18">
        <f>IFERROR(__xludf.DUMMYFUNCTION("""COMPUTED_VALUE"""),42.55555555555556)</f>
        <v>42.55555556</v>
      </c>
      <c r="J600" s="22">
        <f>IFERROR(__xludf.DUMMYFUNCTION("""COMPUTED_VALUE"""),63.0)</f>
        <v>63</v>
      </c>
      <c r="K600" s="22"/>
      <c r="L600" s="26" t="str">
        <f>IFERROR(__xludf.DUMMYFUNCTION("""COMPUTED_VALUE"""),"Shooter")</f>
        <v>Shooter</v>
      </c>
    </row>
    <row r="601">
      <c r="A601" s="12" t="str">
        <f>IFERROR(__xludf.DUMMYFUNCTION("""COMPUTED_VALUE"""),"Call of the Wild: The Angler")</f>
        <v>Call of the Wild: The Angler</v>
      </c>
      <c r="B601" s="13" t="str">
        <f>IFERROR(__xludf.DUMMYFUNCTION("""COMPUTED_VALUE"""),"Xbox / PC")</f>
        <v>Xbox / PC</v>
      </c>
      <c r="C601" s="14"/>
      <c r="D601" s="14" t="str">
        <f>IFERROR(__xludf.DUMMYFUNCTION("""COMPUTED_VALUE"""),"Active")</f>
        <v>Active</v>
      </c>
      <c r="E601" s="15">
        <f>IFERROR(__xludf.DUMMYFUNCTION("""COMPUTED_VALUE"""),45167.0)</f>
        <v>45167</v>
      </c>
      <c r="F601" s="16"/>
      <c r="G601" s="18">
        <f>IFERROR(__xludf.DUMMYFUNCTION("""COMPUTED_VALUE"""),37.233333333333334)</f>
        <v>37.23333333</v>
      </c>
      <c r="H601" s="15">
        <f>IFERROR(__xludf.DUMMYFUNCTION("""COMPUTED_VALUE"""),44804.0)</f>
        <v>44804</v>
      </c>
      <c r="I601" s="18">
        <f>IFERROR(__xludf.DUMMYFUNCTION("""COMPUTED_VALUE"""),0.9972222222222222)</f>
        <v>0.9972222222</v>
      </c>
      <c r="J601" s="22">
        <f>IFERROR(__xludf.DUMMYFUNCTION("""COMPUTED_VALUE"""),63.0)</f>
        <v>63</v>
      </c>
      <c r="K601" s="22">
        <f>IFERROR(__xludf.DUMMYFUNCTION("""COMPUTED_VALUE"""),11.5)</f>
        <v>11.5</v>
      </c>
      <c r="L601" s="26" t="str">
        <f>IFERROR(__xludf.DUMMYFUNCTION("""COMPUTED_VALUE"""),"Sports")</f>
        <v>Sports</v>
      </c>
    </row>
    <row r="602">
      <c r="A602" s="12" t="str">
        <f>IFERROR(__xludf.DUMMYFUNCTION("""COMPUTED_VALUE"""),"Assassin's Creed Chronicles: Russia")</f>
        <v>Assassin's Creed Chronicles: Russia</v>
      </c>
      <c r="B602" s="13" t="str">
        <f>IFERROR(__xludf.DUMMYFUNCTION("""COMPUTED_VALUE"""),"Xbox / PC")</f>
        <v>Xbox / PC</v>
      </c>
      <c r="C602" s="14" t="str">
        <f>IFERROR(__xludf.DUMMYFUNCTION("""COMPUTED_VALUE"""),"Yes")</f>
        <v>Yes</v>
      </c>
      <c r="D602" s="14" t="str">
        <f>IFERROR(__xludf.DUMMYFUNCTION("""COMPUTED_VALUE"""),"Active")</f>
        <v>Active</v>
      </c>
      <c r="E602" s="15">
        <f>IFERROR(__xludf.DUMMYFUNCTION("""COMPUTED_VALUE"""),45931.0)</f>
        <v>45931</v>
      </c>
      <c r="F602" s="16"/>
      <c r="G602" s="18">
        <f>IFERROR(__xludf.DUMMYFUNCTION("""COMPUTED_VALUE"""),12.166666666666666)</f>
        <v>12.16666667</v>
      </c>
      <c r="H602" s="15">
        <f>IFERROR(__xludf.DUMMYFUNCTION("""COMPUTED_VALUE"""),42409.0)</f>
        <v>42409</v>
      </c>
      <c r="I602" s="18">
        <f>IFERROR(__xludf.DUMMYFUNCTION("""COMPUTED_VALUE"""),9.644444444444444)</f>
        <v>9.644444444</v>
      </c>
      <c r="J602" s="22">
        <f>IFERROR(__xludf.DUMMYFUNCTION("""COMPUTED_VALUE"""),62.0)</f>
        <v>62</v>
      </c>
      <c r="K602" s="22">
        <f>IFERROR(__xludf.DUMMYFUNCTION("""COMPUTED_VALUE"""),7.0)</f>
        <v>7</v>
      </c>
      <c r="L602" s="26" t="str">
        <f>IFERROR(__xludf.DUMMYFUNCTION("""COMPUTED_VALUE"""),"Action-Adventure")</f>
        <v>Action-Adventure</v>
      </c>
    </row>
    <row r="603">
      <c r="A603" s="12" t="str">
        <f>IFERROR(__xludf.DUMMYFUNCTION("""COMPUTED_VALUE"""),"Assassin's Creed Liberation HD")</f>
        <v>Assassin's Creed Liberation HD</v>
      </c>
      <c r="B603" s="13" t="str">
        <f>IFERROR(__xludf.DUMMYFUNCTION("""COMPUTED_VALUE"""),"Xbox / PC")</f>
        <v>Xbox / PC</v>
      </c>
      <c r="C603" s="14"/>
      <c r="D603" s="14" t="str">
        <f>IFERROR(__xludf.DUMMYFUNCTION("""COMPUTED_VALUE"""),"Active")</f>
        <v>Active</v>
      </c>
      <c r="E603" s="15">
        <f>IFERROR(__xludf.DUMMYFUNCTION("""COMPUTED_VALUE"""),45931.0)</f>
        <v>45931</v>
      </c>
      <c r="F603" s="16"/>
      <c r="G603" s="18">
        <f>IFERROR(__xludf.DUMMYFUNCTION("""COMPUTED_VALUE"""),12.166666666666666)</f>
        <v>12.16666667</v>
      </c>
      <c r="H603" s="15">
        <f>IFERROR(__xludf.DUMMYFUNCTION("""COMPUTED_VALUE"""),41654.0)</f>
        <v>41654</v>
      </c>
      <c r="I603" s="18">
        <f>IFERROR(__xludf.DUMMYFUNCTION("""COMPUTED_VALUE"""),11.71111111111111)</f>
        <v>11.71111111</v>
      </c>
      <c r="J603" s="22">
        <f>IFERROR(__xludf.DUMMYFUNCTION("""COMPUTED_VALUE"""),62.0)</f>
        <v>62</v>
      </c>
      <c r="K603" s="22">
        <f>IFERROR(__xludf.DUMMYFUNCTION("""COMPUTED_VALUE"""),8.0)</f>
        <v>8</v>
      </c>
      <c r="L603" s="26" t="str">
        <f>IFERROR(__xludf.DUMMYFUNCTION("""COMPUTED_VALUE"""),"Action-Adventure")</f>
        <v>Action-Adventure</v>
      </c>
    </row>
    <row r="604">
      <c r="A604" s="12" t="str">
        <f>IFERROR(__xludf.DUMMYFUNCTION("""COMPUTED_VALUE"""),"Barnstorming")</f>
        <v>Barnstorming</v>
      </c>
      <c r="B604" s="13" t="str">
        <f>IFERROR(__xludf.DUMMYFUNCTION("""COMPUTED_VALUE"""),"Xbox / PC")</f>
        <v>Xbox / PC</v>
      </c>
      <c r="C604" s="14" t="str">
        <f>IFERROR(__xludf.DUMMYFUNCTION("""COMPUTED_VALUE"""),"Yes")</f>
        <v>Yes</v>
      </c>
      <c r="D604" s="14" t="str">
        <f>IFERROR(__xludf.DUMMYFUNCTION("""COMPUTED_VALUE"""),"Active")</f>
        <v>Active</v>
      </c>
      <c r="E604" s="15">
        <f>IFERROR(__xludf.DUMMYFUNCTION("""COMPUTED_VALUE"""),45798.0)</f>
        <v>45798</v>
      </c>
      <c r="F604" s="16"/>
      <c r="G604" s="18">
        <f>IFERROR(__xludf.DUMMYFUNCTION("""COMPUTED_VALUE"""),16.5)</f>
        <v>16.5</v>
      </c>
      <c r="H604" s="15">
        <f>IFERROR(__xludf.DUMMYFUNCTION("""COMPUTED_VALUE"""),30011.0)</f>
        <v>30011</v>
      </c>
      <c r="I604" s="18">
        <f>IFERROR(__xludf.DUMMYFUNCTION("""COMPUTED_VALUE"""),43.22222222222222)</f>
        <v>43.22222222</v>
      </c>
      <c r="J604" s="22">
        <f>IFERROR(__xludf.DUMMYFUNCTION("""COMPUTED_VALUE"""),62.0)</f>
        <v>62</v>
      </c>
      <c r="K604" s="22"/>
      <c r="L604" s="26" t="str">
        <f>IFERROR(__xludf.DUMMYFUNCTION("""COMPUTED_VALUE"""),"Racing")</f>
        <v>Racing</v>
      </c>
    </row>
    <row r="605">
      <c r="A605" s="12" t="str">
        <f>IFERROR(__xludf.DUMMYFUNCTION("""COMPUTED_VALUE"""),"Baseball")</f>
        <v>Baseball</v>
      </c>
      <c r="B605" s="13" t="str">
        <f>IFERROR(__xludf.DUMMYFUNCTION("""COMPUTED_VALUE"""),"Xbox / PC")</f>
        <v>Xbox / PC</v>
      </c>
      <c r="C605" s="14" t="str">
        <f>IFERROR(__xludf.DUMMYFUNCTION("""COMPUTED_VALUE"""),"Yes")</f>
        <v>Yes</v>
      </c>
      <c r="D605" s="14" t="str">
        <f>IFERROR(__xludf.DUMMYFUNCTION("""COMPUTED_VALUE"""),"Active")</f>
        <v>Active</v>
      </c>
      <c r="E605" s="15">
        <f>IFERROR(__xludf.DUMMYFUNCTION("""COMPUTED_VALUE"""),45798.0)</f>
        <v>45798</v>
      </c>
      <c r="F605" s="16"/>
      <c r="G605" s="18">
        <f>IFERROR(__xludf.DUMMYFUNCTION("""COMPUTED_VALUE"""),16.5)</f>
        <v>16.5</v>
      </c>
      <c r="H605" s="15">
        <f>IFERROR(__xludf.DUMMYFUNCTION("""COMPUTED_VALUE"""),32214.0)</f>
        <v>32214</v>
      </c>
      <c r="I605" s="18">
        <f>IFERROR(__xludf.DUMMYFUNCTION("""COMPUTED_VALUE"""),37.19166666666667)</f>
        <v>37.19166667</v>
      </c>
      <c r="J605" s="22">
        <f>IFERROR(__xludf.DUMMYFUNCTION("""COMPUTED_VALUE"""),62.0)</f>
        <v>62</v>
      </c>
      <c r="K605" s="22"/>
      <c r="L605" s="26" t="str">
        <f>IFERROR(__xludf.DUMMYFUNCTION("""COMPUTED_VALUE"""),"Sports")</f>
        <v>Sports</v>
      </c>
    </row>
    <row r="606">
      <c r="A606" s="12" t="str">
        <f>IFERROR(__xludf.DUMMYFUNCTION("""COMPUTED_VALUE"""),"Wing War")</f>
        <v>Wing War</v>
      </c>
      <c r="B606" s="13" t="str">
        <f>IFERROR(__xludf.DUMMYFUNCTION("""COMPUTED_VALUE"""),"Xbox / PC")</f>
        <v>Xbox / PC</v>
      </c>
      <c r="C606" s="14" t="str">
        <f>IFERROR(__xludf.DUMMYFUNCTION("""COMPUTED_VALUE"""),"Yes")</f>
        <v>Yes</v>
      </c>
      <c r="D606" s="14" t="str">
        <f>IFERROR(__xludf.DUMMYFUNCTION("""COMPUTED_VALUE"""),"Active")</f>
        <v>Active</v>
      </c>
      <c r="E606" s="15">
        <f>IFERROR(__xludf.DUMMYFUNCTION("""COMPUTED_VALUE"""),45883.0)</f>
        <v>45883</v>
      </c>
      <c r="F606" s="16"/>
      <c r="G606" s="18">
        <f>IFERROR(__xludf.DUMMYFUNCTION("""COMPUTED_VALUE"""),13.733333333333333)</f>
        <v>13.73333333</v>
      </c>
      <c r="H606" s="15">
        <f>IFERROR(__xludf.DUMMYFUNCTION("""COMPUTED_VALUE"""),30681.0)</f>
        <v>30681</v>
      </c>
      <c r="I606" s="18">
        <f>IFERROR(__xludf.DUMMYFUNCTION("""COMPUTED_VALUE"""),41.62222222222222)</f>
        <v>41.62222222</v>
      </c>
      <c r="J606" s="22">
        <f>IFERROR(__xludf.DUMMYFUNCTION("""COMPUTED_VALUE"""),61.0)</f>
        <v>61</v>
      </c>
      <c r="K606" s="22"/>
      <c r="L606" s="26" t="str">
        <f>IFERROR(__xludf.DUMMYFUNCTION("""COMPUTED_VALUE"""),"Action")</f>
        <v>Action</v>
      </c>
    </row>
    <row r="607">
      <c r="A607" s="12" t="str">
        <f>IFERROR(__xludf.DUMMYFUNCTION("""COMPUTED_VALUE"""),"Need for Speed: Payback - Deluxe Edition")</f>
        <v>Need for Speed: Payback - Deluxe Edition</v>
      </c>
      <c r="B607" s="13" t="str">
        <f>IFERROR(__xludf.DUMMYFUNCTION("""COMPUTED_VALUE"""),"Xbox / PC")</f>
        <v>Xbox / PC</v>
      </c>
      <c r="C607" s="14"/>
      <c r="D607" s="14" t="str">
        <f>IFERROR(__xludf.DUMMYFUNCTION("""COMPUTED_VALUE"""),"Active")</f>
        <v>Active</v>
      </c>
      <c r="E607" s="15">
        <f>IFERROR(__xludf.DUMMYFUNCTION("""COMPUTED_VALUE"""),44145.0)</f>
        <v>44145</v>
      </c>
      <c r="F607" s="16"/>
      <c r="G607" s="18">
        <f>IFERROR(__xludf.DUMMYFUNCTION("""COMPUTED_VALUE"""),70.86666666666667)</f>
        <v>70.86666667</v>
      </c>
      <c r="H607" s="15">
        <f>IFERROR(__xludf.DUMMYFUNCTION("""COMPUTED_VALUE"""),43049.0)</f>
        <v>43049</v>
      </c>
      <c r="I607" s="18">
        <f>IFERROR(__xludf.DUMMYFUNCTION("""COMPUTED_VALUE"""),3.0)</f>
        <v>3</v>
      </c>
      <c r="J607" s="22">
        <f>IFERROR(__xludf.DUMMYFUNCTION("""COMPUTED_VALUE"""),61.0)</f>
        <v>61</v>
      </c>
      <c r="K607" s="22">
        <f>IFERROR(__xludf.DUMMYFUNCTION("""COMPUTED_VALUE"""),18.5)</f>
        <v>18.5</v>
      </c>
      <c r="L607" s="26" t="str">
        <f>IFERROR(__xludf.DUMMYFUNCTION("""COMPUTED_VALUE"""),"Racing")</f>
        <v>Racing</v>
      </c>
    </row>
    <row r="608">
      <c r="A608" s="12" t="str">
        <f>IFERROR(__xludf.DUMMYFUNCTION("""COMPUTED_VALUE"""),"ReCore: Definitive Edition")</f>
        <v>ReCore: Definitive Edition</v>
      </c>
      <c r="B608" s="13" t="str">
        <f>IFERROR(__xludf.DUMMYFUNCTION("""COMPUTED_VALUE"""),"Xbox / PC")</f>
        <v>Xbox / PC</v>
      </c>
      <c r="C608" s="14" t="str">
        <f>IFERROR(__xludf.DUMMYFUNCTION("""COMPUTED_VALUE"""),"Yes")</f>
        <v>Yes</v>
      </c>
      <c r="D608" s="14" t="str">
        <f>IFERROR(__xludf.DUMMYFUNCTION("""COMPUTED_VALUE"""),"Active")</f>
        <v>Active</v>
      </c>
      <c r="E608" s="15">
        <f>IFERROR(__xludf.DUMMYFUNCTION("""COMPUTED_VALUE"""),42976.0)</f>
        <v>42976</v>
      </c>
      <c r="F608" s="16"/>
      <c r="G608" s="18">
        <f>IFERROR(__xludf.DUMMYFUNCTION("""COMPUTED_VALUE"""),109.23333333333333)</f>
        <v>109.2333333</v>
      </c>
      <c r="H608" s="15">
        <f>IFERROR(__xludf.DUMMYFUNCTION("""COMPUTED_VALUE"""),42626.0)</f>
        <v>42626</v>
      </c>
      <c r="I608" s="18">
        <f>IFERROR(__xludf.DUMMYFUNCTION("""COMPUTED_VALUE"""),0.9611111111111111)</f>
        <v>0.9611111111</v>
      </c>
      <c r="J608" s="22">
        <f>IFERROR(__xludf.DUMMYFUNCTION("""COMPUTED_VALUE"""),61.0)</f>
        <v>61</v>
      </c>
      <c r="K608" s="22">
        <f>IFERROR(__xludf.DUMMYFUNCTION("""COMPUTED_VALUE"""),12.0)</f>
        <v>12</v>
      </c>
      <c r="L608" s="26" t="str">
        <f>IFERROR(__xludf.DUMMYFUNCTION("""COMPUTED_VALUE"""),"Adventure")</f>
        <v>Adventure</v>
      </c>
    </row>
    <row r="609">
      <c r="A609" s="12" t="str">
        <f>IFERROR(__xludf.DUMMYFUNCTION("""COMPUTED_VALUE"""),"Sledding Game (Game Preview)")</f>
        <v>Sledding Game (Game Preview)</v>
      </c>
      <c r="B609" s="13" t="str">
        <f>IFERROR(__xludf.DUMMYFUNCTION("""COMPUTED_VALUE"""),"Xbox / PC")</f>
        <v>Xbox / PC</v>
      </c>
      <c r="C609" s="14" t="str">
        <f>IFERROR(__xludf.DUMMYFUNCTION("""COMPUTED_VALUE"""),"Yes")</f>
        <v>Yes</v>
      </c>
      <c r="D609" s="14" t="str">
        <f>IFERROR(__xludf.DUMMYFUNCTION("""COMPUTED_VALUE"""),"Active")</f>
        <v>Active</v>
      </c>
      <c r="E609" s="15">
        <f>IFERROR(__xludf.DUMMYFUNCTION("""COMPUTED_VALUE"""),46142.0)</f>
        <v>46142</v>
      </c>
      <c r="F609" s="16"/>
      <c r="G609" s="18">
        <f>IFERROR(__xludf.DUMMYFUNCTION("""COMPUTED_VALUE"""),5.2)</f>
        <v>5.2</v>
      </c>
      <c r="H609" s="15">
        <f>IFERROR(__xludf.DUMMYFUNCTION("""COMPUTED_VALUE"""),46142.0)</f>
        <v>46142</v>
      </c>
      <c r="I609" s="18">
        <f>IFERROR(__xludf.DUMMYFUNCTION("""COMPUTED_VALUE"""),0.0)</f>
        <v>0</v>
      </c>
      <c r="J609" s="22">
        <f>IFERROR(__xludf.DUMMYFUNCTION("""COMPUTED_VALUE"""),60.0)</f>
        <v>60</v>
      </c>
      <c r="K609" s="22">
        <f>IFERROR(__xludf.DUMMYFUNCTION("""COMPUTED_VALUE"""),27.0)</f>
        <v>27</v>
      </c>
      <c r="L609" s="26" t="str">
        <f>IFERROR(__xludf.DUMMYFUNCTION("""COMPUTED_VALUE"""),"Sports")</f>
        <v>Sports</v>
      </c>
    </row>
    <row r="610">
      <c r="A610" s="12" t="str">
        <f>IFERROR(__xludf.DUMMYFUNCTION("""COMPUTED_VALUE"""),"Aerial_Knight's DropShot")</f>
        <v>Aerial_Knight's DropShot</v>
      </c>
      <c r="B610" s="13" t="str">
        <f>IFERROR(__xludf.DUMMYFUNCTION("""COMPUTED_VALUE"""),"Xbox / PC")</f>
        <v>Xbox / PC</v>
      </c>
      <c r="C610" s="14" t="str">
        <f>IFERROR(__xludf.DUMMYFUNCTION("""COMPUTED_VALUE"""),"Yes")</f>
        <v>Yes</v>
      </c>
      <c r="D610" s="14" t="str">
        <f>IFERROR(__xludf.DUMMYFUNCTION("""COMPUTED_VALUE"""),"Active")</f>
        <v>Active</v>
      </c>
      <c r="E610" s="15">
        <f>IFERROR(__xludf.DUMMYFUNCTION("""COMPUTED_VALUE"""),46070.0)</f>
        <v>46070</v>
      </c>
      <c r="F610" s="16"/>
      <c r="G610" s="18">
        <f>IFERROR(__xludf.DUMMYFUNCTION("""COMPUTED_VALUE"""),7.633333333333333)</f>
        <v>7.633333333</v>
      </c>
      <c r="H610" s="15">
        <f>IFERROR(__xludf.DUMMYFUNCTION("""COMPUTED_VALUE"""),45337.0)</f>
        <v>45337</v>
      </c>
      <c r="I610" s="18">
        <f>IFERROR(__xludf.DUMMYFUNCTION("""COMPUTED_VALUE"""),2.0055555555555555)</f>
        <v>2.005555556</v>
      </c>
      <c r="J610" s="22">
        <f>IFERROR(__xludf.DUMMYFUNCTION("""COMPUTED_VALUE"""),60.0)</f>
        <v>60</v>
      </c>
      <c r="K610" s="22">
        <f>IFERROR(__xludf.DUMMYFUNCTION("""COMPUTED_VALUE"""),2.0)</f>
        <v>2</v>
      </c>
      <c r="L610" s="26" t="str">
        <f>IFERROR(__xludf.DUMMYFUNCTION("""COMPUTED_VALUE"""),"Action-Adventure")</f>
        <v>Action-Adventure</v>
      </c>
    </row>
    <row r="611">
      <c r="A611" s="12" t="str">
        <f>IFERROR(__xludf.DUMMYFUNCTION("""COMPUTED_VALUE"""),"Brews &amp; Bastards")</f>
        <v>Brews &amp; Bastards</v>
      </c>
      <c r="B611" s="13" t="str">
        <f>IFERROR(__xludf.DUMMYFUNCTION("""COMPUTED_VALUE"""),"Xbox / PC")</f>
        <v>Xbox / PC</v>
      </c>
      <c r="C611" s="14" t="str">
        <f>IFERROR(__xludf.DUMMYFUNCTION("""COMPUTED_VALUE"""),"Yes")</f>
        <v>Yes</v>
      </c>
      <c r="D611" s="14" t="str">
        <f>IFERROR(__xludf.DUMMYFUNCTION("""COMPUTED_VALUE"""),"Active")</f>
        <v>Active</v>
      </c>
      <c r="E611" s="15">
        <f>IFERROR(__xludf.DUMMYFUNCTION("""COMPUTED_VALUE"""),46028.0)</f>
        <v>46028</v>
      </c>
      <c r="F611" s="16"/>
      <c r="G611" s="18">
        <f>IFERROR(__xludf.DUMMYFUNCTION("""COMPUTED_VALUE"""),9.0)</f>
        <v>9</v>
      </c>
      <c r="H611" s="15">
        <f>IFERROR(__xludf.DUMMYFUNCTION("""COMPUTED_VALUE"""),45922.0)</f>
        <v>45922</v>
      </c>
      <c r="I611" s="18">
        <f>IFERROR(__xludf.DUMMYFUNCTION("""COMPUTED_VALUE"""),0.28888888888888886)</f>
        <v>0.2888888889</v>
      </c>
      <c r="J611" s="22">
        <f>IFERROR(__xludf.DUMMYFUNCTION("""COMPUTED_VALUE"""),60.0)</f>
        <v>60</v>
      </c>
      <c r="K611" s="22">
        <f>IFERROR(__xludf.DUMMYFUNCTION("""COMPUTED_VALUE"""),4.0)</f>
        <v>4</v>
      </c>
      <c r="L611" s="26" t="str">
        <f>IFERROR(__xludf.DUMMYFUNCTION("""COMPUTED_VALUE"""),"Action-Adventure")</f>
        <v>Action-Adventure</v>
      </c>
    </row>
    <row r="612">
      <c r="A612" s="12" t="str">
        <f>IFERROR(__xludf.DUMMYFUNCTION("""COMPUTED_VALUE"""),"Tennis")</f>
        <v>Tennis</v>
      </c>
      <c r="B612" s="13" t="str">
        <f>IFERROR(__xludf.DUMMYFUNCTION("""COMPUTED_VALUE"""),"Xbox / PC")</f>
        <v>Xbox / PC</v>
      </c>
      <c r="C612" s="14" t="str">
        <f>IFERROR(__xludf.DUMMYFUNCTION("""COMPUTED_VALUE"""),"Yes")</f>
        <v>Yes</v>
      </c>
      <c r="D612" s="14" t="str">
        <f>IFERROR(__xludf.DUMMYFUNCTION("""COMPUTED_VALUE"""),"Active")</f>
        <v>Active</v>
      </c>
      <c r="E612" s="15">
        <f>IFERROR(__xludf.DUMMYFUNCTION("""COMPUTED_VALUE"""),45798.0)</f>
        <v>45798</v>
      </c>
      <c r="F612" s="16"/>
      <c r="G612" s="18">
        <f>IFERROR(__xludf.DUMMYFUNCTION("""COMPUTED_VALUE"""),16.5)</f>
        <v>16.5</v>
      </c>
      <c r="H612" s="15">
        <f>IFERROR(__xludf.DUMMYFUNCTION("""COMPUTED_VALUE"""),29646.0)</f>
        <v>29646</v>
      </c>
      <c r="I612" s="18">
        <f>IFERROR(__xludf.DUMMYFUNCTION("""COMPUTED_VALUE"""),44.22222222222222)</f>
        <v>44.22222222</v>
      </c>
      <c r="J612" s="22">
        <f>IFERROR(__xludf.DUMMYFUNCTION("""COMPUTED_VALUE"""),60.0)</f>
        <v>60</v>
      </c>
      <c r="K612" s="22"/>
      <c r="L612" s="26" t="str">
        <f>IFERROR(__xludf.DUMMYFUNCTION("""COMPUTED_VALUE"""),"Sports")</f>
        <v>Sports</v>
      </c>
    </row>
    <row r="613">
      <c r="A613" s="12" t="str">
        <f>IFERROR(__xludf.DUMMYFUNCTION("""COMPUTED_VALUE"""),"Trick Shot")</f>
        <v>Trick Shot</v>
      </c>
      <c r="B613" s="13" t="str">
        <f>IFERROR(__xludf.DUMMYFUNCTION("""COMPUTED_VALUE"""),"Xbox / PC")</f>
        <v>Xbox / PC</v>
      </c>
      <c r="C613" s="14" t="str">
        <f>IFERROR(__xludf.DUMMYFUNCTION("""COMPUTED_VALUE"""),"Yes")</f>
        <v>Yes</v>
      </c>
      <c r="D613" s="14" t="str">
        <f>IFERROR(__xludf.DUMMYFUNCTION("""COMPUTED_VALUE"""),"Active")</f>
        <v>Active</v>
      </c>
      <c r="E613" s="15">
        <f>IFERROR(__xludf.DUMMYFUNCTION("""COMPUTED_VALUE"""),45798.0)</f>
        <v>45798</v>
      </c>
      <c r="F613" s="16"/>
      <c r="G613" s="18">
        <f>IFERROR(__xludf.DUMMYFUNCTION("""COMPUTED_VALUE"""),16.5)</f>
        <v>16.5</v>
      </c>
      <c r="H613" s="15">
        <f>IFERROR(__xludf.DUMMYFUNCTION("""COMPUTED_VALUE"""),29952.0)</f>
        <v>29952</v>
      </c>
      <c r="I613" s="18">
        <f>IFERROR(__xludf.DUMMYFUNCTION("""COMPUTED_VALUE"""),43.388888888888886)</f>
        <v>43.38888889</v>
      </c>
      <c r="J613" s="22">
        <f>IFERROR(__xludf.DUMMYFUNCTION("""COMPUTED_VALUE"""),60.0)</f>
        <v>60</v>
      </c>
      <c r="K613" s="22"/>
      <c r="L613" s="26" t="str">
        <f>IFERROR(__xludf.DUMMYFUNCTION("""COMPUTED_VALUE"""),"Sports")</f>
        <v>Sports</v>
      </c>
    </row>
    <row r="614">
      <c r="A614" s="12" t="str">
        <f>IFERROR(__xludf.DUMMYFUNCTION("""COMPUTED_VALUE"""),"Firefighting Simulator: The Squad")</f>
        <v>Firefighting Simulator: The Squad</v>
      </c>
      <c r="B614" s="13" t="str">
        <f>IFERROR(__xludf.DUMMYFUNCTION("""COMPUTED_VALUE"""),"Xbox / PC")</f>
        <v>Xbox / PC</v>
      </c>
      <c r="C614" s="14" t="str">
        <f>IFERROR(__xludf.DUMMYFUNCTION("""COMPUTED_VALUE"""),"Yes")</f>
        <v>Yes</v>
      </c>
      <c r="D614" s="14" t="str">
        <f>IFERROR(__xludf.DUMMYFUNCTION("""COMPUTED_VALUE"""),"Active")</f>
        <v>Active</v>
      </c>
      <c r="E614" s="15">
        <f>IFERROR(__xludf.DUMMYFUNCTION("""COMPUTED_VALUE"""),45797.0)</f>
        <v>45797</v>
      </c>
      <c r="F614" s="16"/>
      <c r="G614" s="18">
        <f>IFERROR(__xludf.DUMMYFUNCTION("""COMPUTED_VALUE"""),16.53333333333333)</f>
        <v>16.53333333</v>
      </c>
      <c r="H614" s="15">
        <f>IFERROR(__xludf.DUMMYFUNCTION("""COMPUTED_VALUE"""),44901.0)</f>
        <v>44901</v>
      </c>
      <c r="I614" s="18">
        <f>IFERROR(__xludf.DUMMYFUNCTION("""COMPUTED_VALUE"""),2.4555555555555557)</f>
        <v>2.455555556</v>
      </c>
      <c r="J614" s="22">
        <f>IFERROR(__xludf.DUMMYFUNCTION("""COMPUTED_VALUE"""),60.0)</f>
        <v>60</v>
      </c>
      <c r="K614" s="22">
        <f>IFERROR(__xludf.DUMMYFUNCTION("""COMPUTED_VALUE"""),10.0)</f>
        <v>10</v>
      </c>
      <c r="L614" s="26" t="str">
        <f>IFERROR(__xludf.DUMMYFUNCTION("""COMPUTED_VALUE"""),"Simulation")</f>
        <v>Simulation</v>
      </c>
    </row>
    <row r="615">
      <c r="A615" s="12" t="str">
        <f>IFERROR(__xludf.DUMMYFUNCTION("""COMPUTED_VALUE"""),"Totally Reliable Delivery Service")</f>
        <v>Totally Reliable Delivery Service</v>
      </c>
      <c r="B615" s="13" t="str">
        <f>IFERROR(__xludf.DUMMYFUNCTION("""COMPUTED_VALUE"""),"Xbox / PC")</f>
        <v>Xbox / PC</v>
      </c>
      <c r="C615" s="14" t="str">
        <f>IFERROR(__xludf.DUMMYFUNCTION("""COMPUTED_VALUE"""),"Yes")</f>
        <v>Yes</v>
      </c>
      <c r="D615" s="14" t="str">
        <f>IFERROR(__xludf.DUMMYFUNCTION("""COMPUTED_VALUE"""),"Active")</f>
        <v>Active</v>
      </c>
      <c r="E615" s="15">
        <f>IFERROR(__xludf.DUMMYFUNCTION("""COMPUTED_VALUE"""),43922.0)</f>
        <v>43922</v>
      </c>
      <c r="F615" s="16"/>
      <c r="G615" s="18">
        <f>IFERROR(__xludf.DUMMYFUNCTION("""COMPUTED_VALUE"""),78.16666666666667)</f>
        <v>78.16666667</v>
      </c>
      <c r="H615" s="15">
        <f>IFERROR(__xludf.DUMMYFUNCTION("""COMPUTED_VALUE"""),43922.0)</f>
        <v>43922</v>
      </c>
      <c r="I615" s="18">
        <f>IFERROR(__xludf.DUMMYFUNCTION("""COMPUTED_VALUE"""),0.0)</f>
        <v>0</v>
      </c>
      <c r="J615" s="22">
        <f>IFERROR(__xludf.DUMMYFUNCTION("""COMPUTED_VALUE"""),60.0)</f>
        <v>60</v>
      </c>
      <c r="K615" s="22">
        <f>IFERROR(__xludf.DUMMYFUNCTION("""COMPUTED_VALUE"""),1.0)</f>
        <v>1</v>
      </c>
      <c r="L615" s="26" t="str">
        <f>IFERROR(__xludf.DUMMYFUNCTION("""COMPUTED_VALUE"""),"Action")</f>
        <v>Action</v>
      </c>
    </row>
    <row r="616">
      <c r="A616" s="12" t="str">
        <f>IFERROR(__xludf.DUMMYFUNCTION("""COMPUTED_VALUE"""),"Wasteland Remastered")</f>
        <v>Wasteland Remastered</v>
      </c>
      <c r="B616" s="13" t="str">
        <f>IFERROR(__xludf.DUMMYFUNCTION("""COMPUTED_VALUE"""),"Xbox / PC")</f>
        <v>Xbox / PC</v>
      </c>
      <c r="C616" s="14" t="str">
        <f>IFERROR(__xludf.DUMMYFUNCTION("""COMPUTED_VALUE"""),"Touch Controls")</f>
        <v>Touch Controls</v>
      </c>
      <c r="D616" s="14" t="str">
        <f>IFERROR(__xludf.DUMMYFUNCTION("""COMPUTED_VALUE"""),"Active")</f>
        <v>Active</v>
      </c>
      <c r="E616" s="15">
        <f>IFERROR(__xludf.DUMMYFUNCTION("""COMPUTED_VALUE"""),43886.0)</f>
        <v>43886</v>
      </c>
      <c r="F616" s="16"/>
      <c r="G616" s="18">
        <f>IFERROR(__xludf.DUMMYFUNCTION("""COMPUTED_VALUE"""),79.36666666666667)</f>
        <v>79.36666667</v>
      </c>
      <c r="H616" s="15">
        <f>IFERROR(__xludf.DUMMYFUNCTION("""COMPUTED_VALUE"""),43886.0)</f>
        <v>43886</v>
      </c>
      <c r="I616" s="18">
        <f>IFERROR(__xludf.DUMMYFUNCTION("""COMPUTED_VALUE"""),0.0)</f>
        <v>0</v>
      </c>
      <c r="J616" s="22">
        <f>IFERROR(__xludf.DUMMYFUNCTION("""COMPUTED_VALUE"""),60.0)</f>
        <v>60</v>
      </c>
      <c r="K616" s="22">
        <f>IFERROR(__xludf.DUMMYFUNCTION("""COMPUTED_VALUE"""),18.5)</f>
        <v>18.5</v>
      </c>
      <c r="L616" s="26" t="str">
        <f>IFERROR(__xludf.DUMMYFUNCTION("""COMPUTED_VALUE"""),"RPG")</f>
        <v>RPG</v>
      </c>
    </row>
    <row r="617">
      <c r="A617" s="12" t="str">
        <f>IFERROR(__xludf.DUMMYFUNCTION("""COMPUTED_VALUE"""),"Crackdown 3")</f>
        <v>Crackdown 3</v>
      </c>
      <c r="B617" s="13" t="str">
        <f>IFERROR(__xludf.DUMMYFUNCTION("""COMPUTED_VALUE"""),"Xbox / PC")</f>
        <v>Xbox / PC</v>
      </c>
      <c r="C617" s="14" t="str">
        <f>IFERROR(__xludf.DUMMYFUNCTION("""COMPUTED_VALUE"""),"Yes")</f>
        <v>Yes</v>
      </c>
      <c r="D617" s="14" t="str">
        <f>IFERROR(__xludf.DUMMYFUNCTION("""COMPUTED_VALUE"""),"Active")</f>
        <v>Active</v>
      </c>
      <c r="E617" s="15">
        <f>IFERROR(__xludf.DUMMYFUNCTION("""COMPUTED_VALUE"""),43511.0)</f>
        <v>43511</v>
      </c>
      <c r="F617" s="16"/>
      <c r="G617" s="18">
        <f>IFERROR(__xludf.DUMMYFUNCTION("""COMPUTED_VALUE"""),91.7)</f>
        <v>91.7</v>
      </c>
      <c r="H617" s="15">
        <f>IFERROR(__xludf.DUMMYFUNCTION("""COMPUTED_VALUE"""),43511.0)</f>
        <v>43511</v>
      </c>
      <c r="I617" s="18">
        <f>IFERROR(__xludf.DUMMYFUNCTION("""COMPUTED_VALUE"""),0.0)</f>
        <v>0</v>
      </c>
      <c r="J617" s="22">
        <f>IFERROR(__xludf.DUMMYFUNCTION("""COMPUTED_VALUE"""),60.0)</f>
        <v>60</v>
      </c>
      <c r="K617" s="22">
        <f>IFERROR(__xludf.DUMMYFUNCTION("""COMPUTED_VALUE"""),6.5)</f>
        <v>6.5</v>
      </c>
      <c r="L617" s="26" t="str">
        <f>IFERROR(__xludf.DUMMYFUNCTION("""COMPUTED_VALUE"""),"Action-Adventure")</f>
        <v>Action-Adventure</v>
      </c>
    </row>
    <row r="618">
      <c r="A618" s="12" t="str">
        <f>IFERROR(__xludf.DUMMYFUNCTION("""COMPUTED_VALUE"""),"Skull and Bones")</f>
        <v>Skull and Bones</v>
      </c>
      <c r="B618" s="13" t="str">
        <f>IFERROR(__xludf.DUMMYFUNCTION("""COMPUTED_VALUE"""),"Xbox / PC")</f>
        <v>Xbox / PC</v>
      </c>
      <c r="C618" s="14" t="str">
        <f>IFERROR(__xludf.DUMMYFUNCTION("""COMPUTED_VALUE"""),"Yes")</f>
        <v>Yes</v>
      </c>
      <c r="D618" s="14" t="str">
        <f>IFERROR(__xludf.DUMMYFUNCTION("""COMPUTED_VALUE"""),"Active")</f>
        <v>Active</v>
      </c>
      <c r="E618" s="15">
        <f>IFERROR(__xludf.DUMMYFUNCTION("""COMPUTED_VALUE"""),45931.0)</f>
        <v>45931</v>
      </c>
      <c r="F618" s="16"/>
      <c r="G618" s="18">
        <f>IFERROR(__xludf.DUMMYFUNCTION("""COMPUTED_VALUE"""),12.166666666666666)</f>
        <v>12.16666667</v>
      </c>
      <c r="H618" s="15">
        <f>IFERROR(__xludf.DUMMYFUNCTION("""COMPUTED_VALUE"""),45338.0)</f>
        <v>45338</v>
      </c>
      <c r="I618" s="18">
        <f>IFERROR(__xludf.DUMMYFUNCTION("""COMPUTED_VALUE"""),1.625)</f>
        <v>1.625</v>
      </c>
      <c r="J618" s="22">
        <f>IFERROR(__xludf.DUMMYFUNCTION("""COMPUTED_VALUE"""),59.0)</f>
        <v>59</v>
      </c>
      <c r="K618" s="22">
        <f>IFERROR(__xludf.DUMMYFUNCTION("""COMPUTED_VALUE"""),32.0)</f>
        <v>32</v>
      </c>
      <c r="L618" s="26" t="str">
        <f>IFERROR(__xludf.DUMMYFUNCTION("""COMPUTED_VALUE"""),"Action-Adventure")</f>
        <v>Action-Adventure</v>
      </c>
    </row>
    <row r="619">
      <c r="A619" s="12" t="str">
        <f>IFERROR(__xludf.DUMMYFUNCTION("""COMPUTED_VALUE"""),"Warcraft III: Reforged")</f>
        <v>Warcraft III: Reforged</v>
      </c>
      <c r="B619" s="13" t="str">
        <f>IFERROR(__xludf.DUMMYFUNCTION("""COMPUTED_VALUE"""),"PC")</f>
        <v>PC</v>
      </c>
      <c r="C619" s="14"/>
      <c r="D619" s="14" t="str">
        <f>IFERROR(__xludf.DUMMYFUNCTION("""COMPUTED_VALUE"""),"Active")</f>
        <v>Active</v>
      </c>
      <c r="E619" s="15">
        <f>IFERROR(__xludf.DUMMYFUNCTION("""COMPUTED_VALUE"""),45834.0)</f>
        <v>45834</v>
      </c>
      <c r="F619" s="16"/>
      <c r="G619" s="18">
        <f>IFERROR(__xludf.DUMMYFUNCTION("""COMPUTED_VALUE"""),15.333333333333332)</f>
        <v>15.33333333</v>
      </c>
      <c r="H619" s="15">
        <f>IFERROR(__xludf.DUMMYFUNCTION("""COMPUTED_VALUE"""),43858.0)</f>
        <v>43858</v>
      </c>
      <c r="I619" s="18">
        <f>IFERROR(__xludf.DUMMYFUNCTION("""COMPUTED_VALUE"""),5.411111111111111)</f>
        <v>5.411111111</v>
      </c>
      <c r="J619" s="22">
        <f>IFERROR(__xludf.DUMMYFUNCTION("""COMPUTED_VALUE"""),59.0)</f>
        <v>59</v>
      </c>
      <c r="K619" s="22">
        <f>IFERROR(__xludf.DUMMYFUNCTION("""COMPUTED_VALUE"""),31.0)</f>
        <v>31</v>
      </c>
      <c r="L619" s="26" t="str">
        <f>IFERROR(__xludf.DUMMYFUNCTION("""COMPUTED_VALUE"""),"Strategy")</f>
        <v>Strategy</v>
      </c>
    </row>
    <row r="620">
      <c r="A620" s="12" t="str">
        <f>IFERROR(__xludf.DUMMYFUNCTION("""COMPUTED_VALUE"""),"Star Voyager")</f>
        <v>Star Voyager</v>
      </c>
      <c r="B620" s="13" t="str">
        <f>IFERROR(__xludf.DUMMYFUNCTION("""COMPUTED_VALUE"""),"Xbox / PC")</f>
        <v>Xbox / PC</v>
      </c>
      <c r="C620" s="14" t="str">
        <f>IFERROR(__xludf.DUMMYFUNCTION("""COMPUTED_VALUE"""),"Yes")</f>
        <v>Yes</v>
      </c>
      <c r="D620" s="14" t="str">
        <f>IFERROR(__xludf.DUMMYFUNCTION("""COMPUTED_VALUE"""),"Active")</f>
        <v>Active</v>
      </c>
      <c r="E620" s="15">
        <f>IFERROR(__xludf.DUMMYFUNCTION("""COMPUTED_VALUE"""),45798.0)</f>
        <v>45798</v>
      </c>
      <c r="F620" s="16"/>
      <c r="G620" s="18">
        <f>IFERROR(__xludf.DUMMYFUNCTION("""COMPUTED_VALUE"""),16.5)</f>
        <v>16.5</v>
      </c>
      <c r="H620" s="15">
        <f>IFERROR(__xludf.DUMMYFUNCTION("""COMPUTED_VALUE"""),30042.0)</f>
        <v>30042</v>
      </c>
      <c r="I620" s="18">
        <f>IFERROR(__xludf.DUMMYFUNCTION("""COMPUTED_VALUE"""),43.138888888888886)</f>
        <v>43.13888889</v>
      </c>
      <c r="J620" s="22">
        <f>IFERROR(__xludf.DUMMYFUNCTION("""COMPUTED_VALUE"""),59.0)</f>
        <v>59</v>
      </c>
      <c r="K620" s="22"/>
      <c r="L620" s="26" t="str">
        <f>IFERROR(__xludf.DUMMYFUNCTION("""COMPUTED_VALUE"""),"Shooter")</f>
        <v>Shooter</v>
      </c>
    </row>
    <row r="621">
      <c r="A621" s="12" t="str">
        <f>IFERROR(__xludf.DUMMYFUNCTION("""COMPUTED_VALUE"""),"Hungry Shark World")</f>
        <v>Hungry Shark World</v>
      </c>
      <c r="B621" s="13" t="str">
        <f>IFERROR(__xludf.DUMMYFUNCTION("""COMPUTED_VALUE"""),"Xbox / PC")</f>
        <v>Xbox / PC</v>
      </c>
      <c r="C621" s="14" t="str">
        <f>IFERROR(__xludf.DUMMYFUNCTION("""COMPUTED_VALUE"""),"Yes")</f>
        <v>Yes</v>
      </c>
      <c r="D621" s="14" t="str">
        <f>IFERROR(__xludf.DUMMYFUNCTION("""COMPUTED_VALUE"""),"Active")</f>
        <v>Active</v>
      </c>
      <c r="E621" s="15">
        <f>IFERROR(__xludf.DUMMYFUNCTION("""COMPUTED_VALUE"""),45931.0)</f>
        <v>45931</v>
      </c>
      <c r="F621" s="16"/>
      <c r="G621" s="18">
        <f>IFERROR(__xludf.DUMMYFUNCTION("""COMPUTED_VALUE"""),12.166666666666666)</f>
        <v>12.16666667</v>
      </c>
      <c r="H621" s="15">
        <f>IFERROR(__xludf.DUMMYFUNCTION("""COMPUTED_VALUE"""),43298.0)</f>
        <v>43298</v>
      </c>
      <c r="I621" s="18">
        <f>IFERROR(__xludf.DUMMYFUNCTION("""COMPUTED_VALUE"""),7.205555555555556)</f>
        <v>7.205555556</v>
      </c>
      <c r="J621" s="22">
        <f>IFERROR(__xludf.DUMMYFUNCTION("""COMPUTED_VALUE"""),58.0)</f>
        <v>58</v>
      </c>
      <c r="K621" s="22">
        <f>IFERROR(__xludf.DUMMYFUNCTION("""COMPUTED_VALUE"""),8.0)</f>
        <v>8</v>
      </c>
      <c r="L621" s="26" t="str">
        <f>IFERROR(__xludf.DUMMYFUNCTION("""COMPUTED_VALUE"""),"Action-Adventure")</f>
        <v>Action-Adventure</v>
      </c>
    </row>
    <row r="622">
      <c r="A622" s="12" t="str">
        <f>IFERROR(__xludf.DUMMYFUNCTION("""COMPUTED_VALUE"""),"Skate Boardin'")</f>
        <v>Skate Boardin'</v>
      </c>
      <c r="B622" s="13" t="str">
        <f>IFERROR(__xludf.DUMMYFUNCTION("""COMPUTED_VALUE"""),"Xbox / PC")</f>
        <v>Xbox / PC</v>
      </c>
      <c r="C622" s="14" t="str">
        <f>IFERROR(__xludf.DUMMYFUNCTION("""COMPUTED_VALUE"""),"Yes")</f>
        <v>Yes</v>
      </c>
      <c r="D622" s="14" t="str">
        <f>IFERROR(__xludf.DUMMYFUNCTION("""COMPUTED_VALUE"""),"Active")</f>
        <v>Active</v>
      </c>
      <c r="E622" s="15">
        <f>IFERROR(__xludf.DUMMYFUNCTION("""COMPUTED_VALUE"""),45859.0)</f>
        <v>45859</v>
      </c>
      <c r="F622" s="16"/>
      <c r="G622" s="18">
        <f>IFERROR(__xludf.DUMMYFUNCTION("""COMPUTED_VALUE"""),14.5)</f>
        <v>14.5</v>
      </c>
      <c r="H622" s="15">
        <f>IFERROR(__xludf.DUMMYFUNCTION("""COMPUTED_VALUE"""),31972.0)</f>
        <v>31972</v>
      </c>
      <c r="I622" s="18">
        <f>IFERROR(__xludf.DUMMYFUNCTION("""COMPUTED_VALUE"""),38.019444444444446)</f>
        <v>38.01944444</v>
      </c>
      <c r="J622" s="22">
        <f>IFERROR(__xludf.DUMMYFUNCTION("""COMPUTED_VALUE"""),58.0)</f>
        <v>58</v>
      </c>
      <c r="K622" s="22">
        <f>IFERROR(__xludf.DUMMYFUNCTION("""COMPUTED_VALUE"""),1.0)</f>
        <v>1</v>
      </c>
      <c r="L622" s="26" t="str">
        <f>IFERROR(__xludf.DUMMYFUNCTION("""COMPUTED_VALUE"""),"Sports")</f>
        <v>Sports</v>
      </c>
    </row>
    <row r="623">
      <c r="A623" s="12" t="str">
        <f>IFERROR(__xludf.DUMMYFUNCTION("""COMPUTED_VALUE"""),"Checkers")</f>
        <v>Checkers</v>
      </c>
      <c r="B623" s="13" t="str">
        <f>IFERROR(__xludf.DUMMYFUNCTION("""COMPUTED_VALUE"""),"Xbox / PC")</f>
        <v>Xbox / PC</v>
      </c>
      <c r="C623" s="14" t="str">
        <f>IFERROR(__xludf.DUMMYFUNCTION("""COMPUTED_VALUE"""),"Yes")</f>
        <v>Yes</v>
      </c>
      <c r="D623" s="14" t="str">
        <f>IFERROR(__xludf.DUMMYFUNCTION("""COMPUTED_VALUE"""),"Active")</f>
        <v>Active</v>
      </c>
      <c r="E623" s="15">
        <f>IFERROR(__xludf.DUMMYFUNCTION("""COMPUTED_VALUE"""),45798.0)</f>
        <v>45798</v>
      </c>
      <c r="F623" s="16"/>
      <c r="G623" s="18">
        <f>IFERROR(__xludf.DUMMYFUNCTION("""COMPUTED_VALUE"""),16.5)</f>
        <v>16.5</v>
      </c>
      <c r="H623" s="15">
        <f>IFERROR(__xludf.DUMMYFUNCTION("""COMPUTED_VALUE"""),29403.0)</f>
        <v>29403</v>
      </c>
      <c r="I623" s="18">
        <f>IFERROR(__xludf.DUMMYFUNCTION("""COMPUTED_VALUE"""),44.888888888888886)</f>
        <v>44.88888889</v>
      </c>
      <c r="J623" s="22">
        <f>IFERROR(__xludf.DUMMYFUNCTION("""COMPUTED_VALUE"""),58.0)</f>
        <v>58</v>
      </c>
      <c r="K623" s="22"/>
      <c r="L623" s="26" t="str">
        <f>IFERROR(__xludf.DUMMYFUNCTION("""COMPUTED_VALUE"""),"Strategy")</f>
        <v>Strategy</v>
      </c>
    </row>
    <row r="624">
      <c r="A624" s="12" t="str">
        <f>IFERROR(__xludf.DUMMYFUNCTION("""COMPUTED_VALUE"""),"Police Simulator: Patrol Officers")</f>
        <v>Police Simulator: Patrol Officers</v>
      </c>
      <c r="B624" s="13" t="str">
        <f>IFERROR(__xludf.DUMMYFUNCTION("""COMPUTED_VALUE"""),"Xbox / PC")</f>
        <v>Xbox / PC</v>
      </c>
      <c r="C624" s="14" t="str">
        <f>IFERROR(__xludf.DUMMYFUNCTION("""COMPUTED_VALUE"""),"Yes")</f>
        <v>Yes</v>
      </c>
      <c r="D624" s="14" t="str">
        <f>IFERROR(__xludf.DUMMYFUNCTION("""COMPUTED_VALUE"""),"Active")</f>
        <v>Active</v>
      </c>
      <c r="E624" s="15">
        <f>IFERROR(__xludf.DUMMYFUNCTION("""COMPUTED_VALUE"""),45797.0)</f>
        <v>45797</v>
      </c>
      <c r="F624" s="16"/>
      <c r="G624" s="18">
        <f>IFERROR(__xludf.DUMMYFUNCTION("""COMPUTED_VALUE"""),16.53333333333333)</f>
        <v>16.53333333</v>
      </c>
      <c r="H624" s="15">
        <f>IFERROR(__xludf.DUMMYFUNCTION("""COMPUTED_VALUE"""),44875.0)</f>
        <v>44875</v>
      </c>
      <c r="I624" s="18">
        <f>IFERROR(__xludf.DUMMYFUNCTION("""COMPUTED_VALUE"""),2.5277777777777777)</f>
        <v>2.527777778</v>
      </c>
      <c r="J624" s="22">
        <f>IFERROR(__xludf.DUMMYFUNCTION("""COMPUTED_VALUE"""),58.0)</f>
        <v>58</v>
      </c>
      <c r="K624" s="22">
        <f>IFERROR(__xludf.DUMMYFUNCTION("""COMPUTED_VALUE"""),16.0)</f>
        <v>16</v>
      </c>
      <c r="L624" s="26" t="str">
        <f>IFERROR(__xludf.DUMMYFUNCTION("""COMPUTED_VALUE"""),"Simulation")</f>
        <v>Simulation</v>
      </c>
    </row>
    <row r="625">
      <c r="A625" s="12" t="str">
        <f>IFERROR(__xludf.DUMMYFUNCTION("""COMPUTED_VALUE"""),"Dead by Daylight: Special Edition")</f>
        <v>Dead by Daylight: Special Edition</v>
      </c>
      <c r="B625" s="13" t="str">
        <f>IFERROR(__xludf.DUMMYFUNCTION("""COMPUTED_VALUE"""),"Xbox / PC")</f>
        <v>Xbox / PC</v>
      </c>
      <c r="C625" s="14" t="str">
        <f>IFERROR(__xludf.DUMMYFUNCTION("""COMPUTED_VALUE"""),"Yes")</f>
        <v>Yes</v>
      </c>
      <c r="D625" s="14" t="str">
        <f>IFERROR(__xludf.DUMMYFUNCTION("""COMPUTED_VALUE"""),"Active")</f>
        <v>Active</v>
      </c>
      <c r="E625" s="15">
        <f>IFERROR(__xludf.DUMMYFUNCTION("""COMPUTED_VALUE"""),43615.0)</f>
        <v>43615</v>
      </c>
      <c r="F625" s="16"/>
      <c r="G625" s="18">
        <f>IFERROR(__xludf.DUMMYFUNCTION("""COMPUTED_VALUE"""),88.19999999999999)</f>
        <v>88.2</v>
      </c>
      <c r="H625" s="15">
        <f>IFERROR(__xludf.DUMMYFUNCTION("""COMPUTED_VALUE"""),42535.0)</f>
        <v>42535</v>
      </c>
      <c r="I625" s="18">
        <f>IFERROR(__xludf.DUMMYFUNCTION("""COMPUTED_VALUE"""),2.9611111111111112)</f>
        <v>2.961111111</v>
      </c>
      <c r="J625" s="22">
        <f>IFERROR(__xludf.DUMMYFUNCTION("""COMPUTED_VALUE"""),58.0)</f>
        <v>58</v>
      </c>
      <c r="K625" s="22">
        <f>IFERROR(__xludf.DUMMYFUNCTION("""COMPUTED_VALUE"""),608.0)</f>
        <v>608</v>
      </c>
      <c r="L625" s="26" t="str">
        <f>IFERROR(__xludf.DUMMYFUNCTION("""COMPUTED_VALUE"""),"Action")</f>
        <v>Action</v>
      </c>
    </row>
    <row r="626">
      <c r="A626" s="12" t="str">
        <f>IFERROR(__xludf.DUMMYFUNCTION("""COMPUTED_VALUE"""),"Tom Clancy's Ghost Recon Breakpoint")</f>
        <v>Tom Clancy's Ghost Recon Breakpoint</v>
      </c>
      <c r="B626" s="13" t="str">
        <f>IFERROR(__xludf.DUMMYFUNCTION("""COMPUTED_VALUE"""),"Xbox / PC")</f>
        <v>Xbox / PC</v>
      </c>
      <c r="C626" s="14" t="str">
        <f>IFERROR(__xludf.DUMMYFUNCTION("""COMPUTED_VALUE"""),"Yes")</f>
        <v>Yes</v>
      </c>
      <c r="D626" s="14" t="str">
        <f>IFERROR(__xludf.DUMMYFUNCTION("""COMPUTED_VALUE"""),"Active")</f>
        <v>Active</v>
      </c>
      <c r="E626" s="15">
        <f>IFERROR(__xludf.DUMMYFUNCTION("""COMPUTED_VALUE"""),45931.0)</f>
        <v>45931</v>
      </c>
      <c r="F626" s="16"/>
      <c r="G626" s="18">
        <f>IFERROR(__xludf.DUMMYFUNCTION("""COMPUTED_VALUE"""),12.166666666666666)</f>
        <v>12.16666667</v>
      </c>
      <c r="H626" s="15">
        <f>IFERROR(__xludf.DUMMYFUNCTION("""COMPUTED_VALUE"""),43739.0)</f>
        <v>43739</v>
      </c>
      <c r="I626" s="18">
        <f>IFERROR(__xludf.DUMMYFUNCTION("""COMPUTED_VALUE"""),6.0)</f>
        <v>6</v>
      </c>
      <c r="J626" s="22">
        <f>IFERROR(__xludf.DUMMYFUNCTION("""COMPUTED_VALUE"""),56.0)</f>
        <v>56</v>
      </c>
      <c r="K626" s="22">
        <f>IFERROR(__xludf.DUMMYFUNCTION("""COMPUTED_VALUE"""),23.0)</f>
        <v>23</v>
      </c>
      <c r="L626" s="26" t="str">
        <f>IFERROR(__xludf.DUMMYFUNCTION("""COMPUTED_VALUE"""),"Shooter")</f>
        <v>Shooter</v>
      </c>
    </row>
    <row r="627">
      <c r="A627" s="12" t="str">
        <f>IFERROR(__xludf.DUMMYFUNCTION("""COMPUTED_VALUE"""),"Commando")</f>
        <v>Commando</v>
      </c>
      <c r="B627" s="13" t="str">
        <f>IFERROR(__xludf.DUMMYFUNCTION("""COMPUTED_VALUE"""),"Xbox / PC")</f>
        <v>Xbox / PC</v>
      </c>
      <c r="C627" s="14" t="str">
        <f>IFERROR(__xludf.DUMMYFUNCTION("""COMPUTED_VALUE"""),"Yes")</f>
        <v>Yes</v>
      </c>
      <c r="D627" s="14" t="str">
        <f>IFERROR(__xludf.DUMMYFUNCTION("""COMPUTED_VALUE"""),"Active")</f>
        <v>Active</v>
      </c>
      <c r="E627" s="15">
        <f>IFERROR(__xludf.DUMMYFUNCTION("""COMPUTED_VALUE"""),45798.0)</f>
        <v>45798</v>
      </c>
      <c r="F627" s="16"/>
      <c r="G627" s="18">
        <f>IFERROR(__xludf.DUMMYFUNCTION("""COMPUTED_VALUE"""),16.5)</f>
        <v>16.5</v>
      </c>
      <c r="H627" s="15">
        <f>IFERROR(__xludf.DUMMYFUNCTION("""COMPUTED_VALUE"""),30393.0)</f>
        <v>30393</v>
      </c>
      <c r="I627" s="18">
        <f>IFERROR(__xludf.DUMMYFUNCTION("""COMPUTED_VALUE"""),42.175)</f>
        <v>42.175</v>
      </c>
      <c r="J627" s="22">
        <f>IFERROR(__xludf.DUMMYFUNCTION("""COMPUTED_VALUE"""),56.0)</f>
        <v>56</v>
      </c>
      <c r="K627" s="22"/>
      <c r="L627" s="26" t="str">
        <f>IFERROR(__xludf.DUMMYFUNCTION("""COMPUTED_VALUE"""),"Shooter")</f>
        <v>Shooter</v>
      </c>
    </row>
    <row r="628">
      <c r="A628" s="12" t="str">
        <f>IFERROR(__xludf.DUMMYFUNCTION("""COMPUTED_VALUE"""),"Call of Duty: Modern Warfare III")</f>
        <v>Call of Duty: Modern Warfare III</v>
      </c>
      <c r="B628" s="13" t="str">
        <f>IFERROR(__xludf.DUMMYFUNCTION("""COMPUTED_VALUE"""),"Xbox / PC")</f>
        <v>Xbox / PC</v>
      </c>
      <c r="C628" s="14" t="str">
        <f>IFERROR(__xludf.DUMMYFUNCTION("""COMPUTED_VALUE"""),"Yes")</f>
        <v>Yes</v>
      </c>
      <c r="D628" s="14" t="str">
        <f>IFERROR(__xludf.DUMMYFUNCTION("""COMPUTED_VALUE"""),"Active")</f>
        <v>Active</v>
      </c>
      <c r="E628" s="15">
        <f>IFERROR(__xludf.DUMMYFUNCTION("""COMPUTED_VALUE"""),45497.0)</f>
        <v>45497</v>
      </c>
      <c r="F628" s="16"/>
      <c r="G628" s="18">
        <f>IFERROR(__xludf.DUMMYFUNCTION("""COMPUTED_VALUE"""),26.400000000000002)</f>
        <v>26.4</v>
      </c>
      <c r="H628" s="15">
        <f>IFERROR(__xludf.DUMMYFUNCTION("""COMPUTED_VALUE"""),45211.0)</f>
        <v>45211</v>
      </c>
      <c r="I628" s="18">
        <f>IFERROR(__xludf.DUMMYFUNCTION("""COMPUTED_VALUE"""),0.7833333333333333)</f>
        <v>0.7833333333</v>
      </c>
      <c r="J628" s="22">
        <f>IFERROR(__xludf.DUMMYFUNCTION("""COMPUTED_VALUE"""),56.0)</f>
        <v>56</v>
      </c>
      <c r="K628" s="22">
        <f>IFERROR(__xludf.DUMMYFUNCTION("""COMPUTED_VALUE"""),5.0)</f>
        <v>5</v>
      </c>
      <c r="L628" s="26" t="str">
        <f>IFERROR(__xludf.DUMMYFUNCTION("""COMPUTED_VALUE"""),"Shooter")</f>
        <v>Shooter</v>
      </c>
    </row>
    <row r="629">
      <c r="A629" s="12" t="str">
        <f>IFERROR(__xludf.DUMMYFUNCTION("""COMPUTED_VALUE"""),"Bluey: The Videogame")</f>
        <v>Bluey: The Videogame</v>
      </c>
      <c r="B629" s="13" t="str">
        <f>IFERROR(__xludf.DUMMYFUNCTION("""COMPUTED_VALUE"""),"Xbox / PC")</f>
        <v>Xbox / PC</v>
      </c>
      <c r="C629" s="14" t="str">
        <f>IFERROR(__xludf.DUMMYFUNCTION("""COMPUTED_VALUE"""),"Yes")</f>
        <v>Yes</v>
      </c>
      <c r="D629" s="14" t="str">
        <f>IFERROR(__xludf.DUMMYFUNCTION("""COMPUTED_VALUE"""),"Active")</f>
        <v>Active</v>
      </c>
      <c r="E629" s="15">
        <f>IFERROR(__xludf.DUMMYFUNCTION("""COMPUTED_VALUE"""),45344.0)</f>
        <v>45344</v>
      </c>
      <c r="F629" s="16"/>
      <c r="G629" s="18">
        <f>IFERROR(__xludf.DUMMYFUNCTION("""COMPUTED_VALUE"""),31.46666666666667)</f>
        <v>31.46666667</v>
      </c>
      <c r="H629" s="15">
        <f>IFERROR(__xludf.DUMMYFUNCTION("""COMPUTED_VALUE"""),45247.0)</f>
        <v>45247</v>
      </c>
      <c r="I629" s="18">
        <f>IFERROR(__xludf.DUMMYFUNCTION("""COMPUTED_VALUE"""),0.2638888888888889)</f>
        <v>0.2638888889</v>
      </c>
      <c r="J629" s="22">
        <f>IFERROR(__xludf.DUMMYFUNCTION("""COMPUTED_VALUE"""),56.0)</f>
        <v>56</v>
      </c>
      <c r="K629" s="22">
        <f>IFERROR(__xludf.DUMMYFUNCTION("""COMPUTED_VALUE"""),1.0)</f>
        <v>1</v>
      </c>
      <c r="L629" s="26" t="str">
        <f>IFERROR(__xludf.DUMMYFUNCTION("""COMPUTED_VALUE"""),"Adventure")</f>
        <v>Adventure</v>
      </c>
    </row>
    <row r="630">
      <c r="A630" s="12" t="str">
        <f>IFERROR(__xludf.DUMMYFUNCTION("""COMPUTED_VALUE"""),"An Elder Scrolls Legend: Battlespire")</f>
        <v>An Elder Scrolls Legend: Battlespire</v>
      </c>
      <c r="B630" s="13" t="str">
        <f>IFERROR(__xludf.DUMMYFUNCTION("""COMPUTED_VALUE"""),"PC")</f>
        <v>PC</v>
      </c>
      <c r="C630" s="14"/>
      <c r="D630" s="14" t="str">
        <f>IFERROR(__xludf.DUMMYFUNCTION("""COMPUTED_VALUE"""),"Active")</f>
        <v>Active</v>
      </c>
      <c r="E630" s="15">
        <f>IFERROR(__xludf.DUMMYFUNCTION("""COMPUTED_VALUE"""),44791.0)</f>
        <v>44791</v>
      </c>
      <c r="F630" s="16"/>
      <c r="G630" s="18">
        <f>IFERROR(__xludf.DUMMYFUNCTION("""COMPUTED_VALUE"""),49.60000000000001)</f>
        <v>49.6</v>
      </c>
      <c r="H630" s="15">
        <f>IFERROR(__xludf.DUMMYFUNCTION("""COMPUTED_VALUE"""),35764.0)</f>
        <v>35764</v>
      </c>
      <c r="I630" s="18">
        <f>IFERROR(__xludf.DUMMYFUNCTION("""COMPUTED_VALUE"""),24.716666666666665)</f>
        <v>24.71666667</v>
      </c>
      <c r="J630" s="22">
        <f>IFERROR(__xludf.DUMMYFUNCTION("""COMPUTED_VALUE"""),56.0)</f>
        <v>56</v>
      </c>
      <c r="K630" s="22">
        <f>IFERROR(__xludf.DUMMYFUNCTION("""COMPUTED_VALUE"""),15.5)</f>
        <v>15.5</v>
      </c>
      <c r="L630" s="26" t="str">
        <f>IFERROR(__xludf.DUMMYFUNCTION("""COMPUTED_VALUE"""),"RPG")</f>
        <v>RPG</v>
      </c>
    </row>
    <row r="631">
      <c r="A631" s="12" t="str">
        <f>IFERROR(__xludf.DUMMYFUNCTION("""COMPUTED_VALUE"""),"DayZ")</f>
        <v>DayZ</v>
      </c>
      <c r="B631" s="13" t="str">
        <f>IFERROR(__xludf.DUMMYFUNCTION("""COMPUTED_VALUE"""),"Xbox / PC")</f>
        <v>Xbox / PC</v>
      </c>
      <c r="C631" s="14" t="str">
        <f>IFERROR(__xludf.DUMMYFUNCTION("""COMPUTED_VALUE"""),"Yes")</f>
        <v>Yes</v>
      </c>
      <c r="D631" s="14" t="str">
        <f>IFERROR(__xludf.DUMMYFUNCTION("""COMPUTED_VALUE"""),"Active")</f>
        <v>Active</v>
      </c>
      <c r="E631" s="15">
        <f>IFERROR(__xludf.DUMMYFUNCTION("""COMPUTED_VALUE"""),43958.0)</f>
        <v>43958</v>
      </c>
      <c r="F631" s="16"/>
      <c r="G631" s="18">
        <f>IFERROR(__xludf.DUMMYFUNCTION("""COMPUTED_VALUE"""),76.96666666666667)</f>
        <v>76.96666667</v>
      </c>
      <c r="H631" s="15">
        <f>IFERROR(__xludf.DUMMYFUNCTION("""COMPUTED_VALUE"""),41621.0)</f>
        <v>41621</v>
      </c>
      <c r="I631" s="18">
        <f>IFERROR(__xludf.DUMMYFUNCTION("""COMPUTED_VALUE"""),6.4)</f>
        <v>6.4</v>
      </c>
      <c r="J631" s="22">
        <f>IFERROR(__xludf.DUMMYFUNCTION("""COMPUTED_VALUE"""),56.0)</f>
        <v>56</v>
      </c>
      <c r="K631" s="22">
        <f>IFERROR(__xludf.DUMMYFUNCTION("""COMPUTED_VALUE"""),65.5)</f>
        <v>65.5</v>
      </c>
      <c r="L631" s="26" t="str">
        <f>IFERROR(__xludf.DUMMYFUNCTION("""COMPUTED_VALUE"""),"Shooter")</f>
        <v>Shooter</v>
      </c>
    </row>
    <row r="632">
      <c r="A632" s="12" t="str">
        <f>IFERROR(__xludf.DUMMYFUNCTION("""COMPUTED_VALUE"""),"Trials of the Blood Dragon")</f>
        <v>Trials of the Blood Dragon</v>
      </c>
      <c r="B632" s="13" t="str">
        <f>IFERROR(__xludf.DUMMYFUNCTION("""COMPUTED_VALUE"""),"Xbox / PC")</f>
        <v>Xbox / PC</v>
      </c>
      <c r="C632" s="14" t="str">
        <f>IFERROR(__xludf.DUMMYFUNCTION("""COMPUTED_VALUE"""),"Yes")</f>
        <v>Yes</v>
      </c>
      <c r="D632" s="14" t="str">
        <f>IFERROR(__xludf.DUMMYFUNCTION("""COMPUTED_VALUE"""),"Active")</f>
        <v>Active</v>
      </c>
      <c r="E632" s="15">
        <f>IFERROR(__xludf.DUMMYFUNCTION("""COMPUTED_VALUE"""),45931.0)</f>
        <v>45931</v>
      </c>
      <c r="F632" s="16"/>
      <c r="G632" s="18">
        <f>IFERROR(__xludf.DUMMYFUNCTION("""COMPUTED_VALUE"""),12.166666666666666)</f>
        <v>12.16666667</v>
      </c>
      <c r="H632" s="15">
        <f>IFERROR(__xludf.DUMMYFUNCTION("""COMPUTED_VALUE"""),42534.0)</f>
        <v>42534</v>
      </c>
      <c r="I632" s="18">
        <f>IFERROR(__xludf.DUMMYFUNCTION("""COMPUTED_VALUE"""),9.3)</f>
        <v>9.3</v>
      </c>
      <c r="J632" s="22">
        <f>IFERROR(__xludf.DUMMYFUNCTION("""COMPUTED_VALUE"""),55.0)</f>
        <v>55</v>
      </c>
      <c r="K632" s="22">
        <f>IFERROR(__xludf.DUMMYFUNCTION("""COMPUTED_VALUE"""),3.0)</f>
        <v>3</v>
      </c>
      <c r="L632" s="26" t="str">
        <f>IFERROR(__xludf.DUMMYFUNCTION("""COMPUTED_VALUE"""),"Racing")</f>
        <v>Racing</v>
      </c>
    </row>
    <row r="633">
      <c r="A633" s="12" t="str">
        <f>IFERROR(__xludf.DUMMYFUNCTION("""COMPUTED_VALUE"""),"Bloody Human Freeway")</f>
        <v>Bloody Human Freeway</v>
      </c>
      <c r="B633" s="13" t="str">
        <f>IFERROR(__xludf.DUMMYFUNCTION("""COMPUTED_VALUE"""),"Xbox / PC")</f>
        <v>Xbox / PC</v>
      </c>
      <c r="C633" s="14" t="str">
        <f>IFERROR(__xludf.DUMMYFUNCTION("""COMPUTED_VALUE"""),"Yes")</f>
        <v>Yes</v>
      </c>
      <c r="D633" s="14" t="str">
        <f>IFERROR(__xludf.DUMMYFUNCTION("""COMPUTED_VALUE"""),"Active")</f>
        <v>Active</v>
      </c>
      <c r="E633" s="15">
        <f>IFERROR(__xludf.DUMMYFUNCTION("""COMPUTED_VALUE"""),45798.0)</f>
        <v>45798</v>
      </c>
      <c r="F633" s="16"/>
      <c r="G633" s="18">
        <f>IFERROR(__xludf.DUMMYFUNCTION("""COMPUTED_VALUE"""),16.5)</f>
        <v>16.5</v>
      </c>
      <c r="H633" s="15">
        <f>IFERROR(__xludf.DUMMYFUNCTION("""COMPUTED_VALUE"""),29768.0)</f>
        <v>29768</v>
      </c>
      <c r="I633" s="18">
        <f>IFERROR(__xludf.DUMMYFUNCTION("""COMPUTED_VALUE"""),43.888888888888886)</f>
        <v>43.88888889</v>
      </c>
      <c r="J633" s="22">
        <f>IFERROR(__xludf.DUMMYFUNCTION("""COMPUTED_VALUE"""),55.0)</f>
        <v>55</v>
      </c>
      <c r="K633" s="22"/>
      <c r="L633" s="26" t="str">
        <f>IFERROR(__xludf.DUMMYFUNCTION("""COMPUTED_VALUE"""),"Action")</f>
        <v>Action</v>
      </c>
    </row>
    <row r="634">
      <c r="A634" s="12" t="str">
        <f>IFERROR(__xludf.DUMMYFUNCTION("""COMPUTED_VALUE"""),"Laser Blast")</f>
        <v>Laser Blast</v>
      </c>
      <c r="B634" s="13" t="str">
        <f>IFERROR(__xludf.DUMMYFUNCTION("""COMPUTED_VALUE"""),"Xbox / PC")</f>
        <v>Xbox / PC</v>
      </c>
      <c r="C634" s="14" t="str">
        <f>IFERROR(__xludf.DUMMYFUNCTION("""COMPUTED_VALUE"""),"Yes")</f>
        <v>Yes</v>
      </c>
      <c r="D634" s="14" t="str">
        <f>IFERROR(__xludf.DUMMYFUNCTION("""COMPUTED_VALUE"""),"Active")</f>
        <v>Active</v>
      </c>
      <c r="E634" s="15">
        <f>IFERROR(__xludf.DUMMYFUNCTION("""COMPUTED_VALUE"""),45798.0)</f>
        <v>45798</v>
      </c>
      <c r="F634" s="16"/>
      <c r="G634" s="18">
        <f>IFERROR(__xludf.DUMMYFUNCTION("""COMPUTED_VALUE"""),16.5)</f>
        <v>16.5</v>
      </c>
      <c r="H634" s="15">
        <f>IFERROR(__xludf.DUMMYFUNCTION("""COMPUTED_VALUE"""),29646.0)</f>
        <v>29646</v>
      </c>
      <c r="I634" s="18">
        <f>IFERROR(__xludf.DUMMYFUNCTION("""COMPUTED_VALUE"""),44.22222222222222)</f>
        <v>44.22222222</v>
      </c>
      <c r="J634" s="22">
        <f>IFERROR(__xludf.DUMMYFUNCTION("""COMPUTED_VALUE"""),55.0)</f>
        <v>55</v>
      </c>
      <c r="K634" s="22"/>
      <c r="L634" s="26" t="str">
        <f>IFERROR(__xludf.DUMMYFUNCTION("""COMPUTED_VALUE"""),"Shooter")</f>
        <v>Shooter</v>
      </c>
    </row>
    <row r="635">
      <c r="A635" s="12" t="str">
        <f>IFERROR(__xludf.DUMMYFUNCTION("""COMPUTED_VALUE"""),"Redfall")</f>
        <v>Redfall</v>
      </c>
      <c r="B635" s="13" t="str">
        <f>IFERROR(__xludf.DUMMYFUNCTION("""COMPUTED_VALUE"""),"Xbox / PC")</f>
        <v>Xbox / PC</v>
      </c>
      <c r="C635" s="14" t="str">
        <f>IFERROR(__xludf.DUMMYFUNCTION("""COMPUTED_VALUE"""),"Yes")</f>
        <v>Yes</v>
      </c>
      <c r="D635" s="14" t="str">
        <f>IFERROR(__xludf.DUMMYFUNCTION("""COMPUTED_VALUE"""),"Active")</f>
        <v>Active</v>
      </c>
      <c r="E635" s="15">
        <f>IFERROR(__xludf.DUMMYFUNCTION("""COMPUTED_VALUE"""),45048.0)</f>
        <v>45048</v>
      </c>
      <c r="F635" s="16"/>
      <c r="G635" s="18">
        <f>IFERROR(__xludf.DUMMYFUNCTION("""COMPUTED_VALUE"""),41.13333333333333)</f>
        <v>41.13333333</v>
      </c>
      <c r="H635" s="15">
        <f>IFERROR(__xludf.DUMMYFUNCTION("""COMPUTED_VALUE"""),45048.0)</f>
        <v>45048</v>
      </c>
      <c r="I635" s="18">
        <f>IFERROR(__xludf.DUMMYFUNCTION("""COMPUTED_VALUE"""),0.0)</f>
        <v>0</v>
      </c>
      <c r="J635" s="22">
        <f>IFERROR(__xludf.DUMMYFUNCTION("""COMPUTED_VALUE"""),55.0)</f>
        <v>55</v>
      </c>
      <c r="K635" s="22">
        <f>IFERROR(__xludf.DUMMYFUNCTION("""COMPUTED_VALUE"""),11.0)</f>
        <v>11</v>
      </c>
      <c r="L635" s="26" t="str">
        <f>IFERROR(__xludf.DUMMYFUNCTION("""COMPUTED_VALUE"""),"Shooter")</f>
        <v>Shooter</v>
      </c>
    </row>
    <row r="636">
      <c r="A636" s="12" t="str">
        <f>IFERROR(__xludf.DUMMYFUNCTION("""COMPUTED_VALUE"""),"The Settlers: New Allies")</f>
        <v>The Settlers: New Allies</v>
      </c>
      <c r="B636" s="13" t="str">
        <f>IFERROR(__xludf.DUMMYFUNCTION("""COMPUTED_VALUE"""),"Xbox / PC")</f>
        <v>Xbox / PC</v>
      </c>
      <c r="C636" s="14" t="str">
        <f>IFERROR(__xludf.DUMMYFUNCTION("""COMPUTED_VALUE"""),"Yes")</f>
        <v>Yes</v>
      </c>
      <c r="D636" s="14" t="str">
        <f>IFERROR(__xludf.DUMMYFUNCTION("""COMPUTED_VALUE"""),"Active")</f>
        <v>Active</v>
      </c>
      <c r="E636" s="15">
        <f>IFERROR(__xludf.DUMMYFUNCTION("""COMPUTED_VALUE"""),45931.0)</f>
        <v>45931</v>
      </c>
      <c r="F636" s="16"/>
      <c r="G636" s="18">
        <f>IFERROR(__xludf.DUMMYFUNCTION("""COMPUTED_VALUE"""),12.166666666666666)</f>
        <v>12.16666667</v>
      </c>
      <c r="H636" s="15">
        <f>IFERROR(__xludf.DUMMYFUNCTION("""COMPUTED_VALUE"""),44974.0)</f>
        <v>44974</v>
      </c>
      <c r="I636" s="18">
        <f>IFERROR(__xludf.DUMMYFUNCTION("""COMPUTED_VALUE"""),2.6222222222222222)</f>
        <v>2.622222222</v>
      </c>
      <c r="J636" s="22">
        <f>IFERROR(__xludf.DUMMYFUNCTION("""COMPUTED_VALUE"""),54.0)</f>
        <v>54</v>
      </c>
      <c r="K636" s="22">
        <f>IFERROR(__xludf.DUMMYFUNCTION("""COMPUTED_VALUE"""),35.0)</f>
        <v>35</v>
      </c>
      <c r="L636" s="26" t="str">
        <f>IFERROR(__xludf.DUMMYFUNCTION("""COMPUTED_VALUE"""),"Management")</f>
        <v>Management</v>
      </c>
    </row>
    <row r="637">
      <c r="A637" s="12" t="str">
        <f>IFERROR(__xludf.DUMMYFUNCTION("""COMPUTED_VALUE"""),"Halo: Spartan Assault")</f>
        <v>Halo: Spartan Assault</v>
      </c>
      <c r="B637" s="13" t="str">
        <f>IFERROR(__xludf.DUMMYFUNCTION("""COMPUTED_VALUE"""),"Xbox / PC")</f>
        <v>Xbox / PC</v>
      </c>
      <c r="C637" s="14" t="str">
        <f>IFERROR(__xludf.DUMMYFUNCTION("""COMPUTED_VALUE"""),"Touch Controls")</f>
        <v>Touch Controls</v>
      </c>
      <c r="D637" s="14" t="str">
        <f>IFERROR(__xludf.DUMMYFUNCTION("""COMPUTED_VALUE"""),"Active")</f>
        <v>Active</v>
      </c>
      <c r="E637" s="15">
        <f>IFERROR(__xludf.DUMMYFUNCTION("""COMPUTED_VALUE"""),42887.0)</f>
        <v>42887</v>
      </c>
      <c r="F637" s="16"/>
      <c r="G637" s="18">
        <f>IFERROR(__xludf.DUMMYFUNCTION("""COMPUTED_VALUE"""),112.16666666666666)</f>
        <v>112.1666667</v>
      </c>
      <c r="H637" s="15">
        <f>IFERROR(__xludf.DUMMYFUNCTION("""COMPUTED_VALUE"""),41473.0)</f>
        <v>41473</v>
      </c>
      <c r="I637" s="18">
        <f>IFERROR(__xludf.DUMMYFUNCTION("""COMPUTED_VALUE"""),3.8694444444444445)</f>
        <v>3.869444444</v>
      </c>
      <c r="J637" s="22">
        <f>IFERROR(__xludf.DUMMYFUNCTION("""COMPUTED_VALUE"""),53.0)</f>
        <v>53</v>
      </c>
      <c r="K637" s="22">
        <f>IFERROR(__xludf.DUMMYFUNCTION("""COMPUTED_VALUE"""),4.0)</f>
        <v>4</v>
      </c>
      <c r="L637" s="26" t="str">
        <f>IFERROR(__xludf.DUMMYFUNCTION("""COMPUTED_VALUE"""),"Shooter")</f>
        <v>Shooter</v>
      </c>
    </row>
    <row r="638">
      <c r="A638" s="12" t="str">
        <f>IFERROR(__xludf.DUMMYFUNCTION("""COMPUTED_VALUE"""),"Generation Zero")</f>
        <v>Generation Zero</v>
      </c>
      <c r="B638" s="13" t="str">
        <f>IFERROR(__xludf.DUMMYFUNCTION("""COMPUTED_VALUE"""),"Xbox / PC")</f>
        <v>Xbox / PC</v>
      </c>
      <c r="C638" s="14" t="str">
        <f>IFERROR(__xludf.DUMMYFUNCTION("""COMPUTED_VALUE"""),"Yes")</f>
        <v>Yes</v>
      </c>
      <c r="D638" s="14" t="str">
        <f>IFERROR(__xludf.DUMMYFUNCTION("""COMPUTED_VALUE"""),"Active")</f>
        <v>Active</v>
      </c>
      <c r="E638" s="15">
        <f>IFERROR(__xludf.DUMMYFUNCTION("""COMPUTED_VALUE"""),44531.0)</f>
        <v>44531</v>
      </c>
      <c r="F638" s="16"/>
      <c r="G638" s="18">
        <f>IFERROR(__xludf.DUMMYFUNCTION("""COMPUTED_VALUE"""),58.16666666666667)</f>
        <v>58.16666667</v>
      </c>
      <c r="H638" s="15">
        <f>IFERROR(__xludf.DUMMYFUNCTION("""COMPUTED_VALUE"""),43550.0)</f>
        <v>43550</v>
      </c>
      <c r="I638" s="18">
        <f>IFERROR(__xludf.DUMMYFUNCTION("""COMPUTED_VALUE"""),2.6805555555555554)</f>
        <v>2.680555556</v>
      </c>
      <c r="J638" s="22">
        <f>IFERROR(__xludf.DUMMYFUNCTION("""COMPUTED_VALUE"""),50.5)</f>
        <v>50.5</v>
      </c>
      <c r="K638" s="22">
        <f>IFERROR(__xludf.DUMMYFUNCTION("""COMPUTED_VALUE"""),21.5)</f>
        <v>21.5</v>
      </c>
      <c r="L638" s="26" t="str">
        <f>IFERROR(__xludf.DUMMYFUNCTION("""COMPUTED_VALUE"""),"Shooter")</f>
        <v>Shooter</v>
      </c>
    </row>
    <row r="639">
      <c r="A639" s="12" t="str">
        <f>IFERROR(__xludf.DUMMYFUNCTION("""COMPUTED_VALUE"""),"Title Match Pro Wrestling")</f>
        <v>Title Match Pro Wrestling</v>
      </c>
      <c r="B639" s="13" t="str">
        <f>IFERROR(__xludf.DUMMYFUNCTION("""COMPUTED_VALUE"""),"Xbox / PC")</f>
        <v>Xbox / PC</v>
      </c>
      <c r="C639" s="14" t="str">
        <f>IFERROR(__xludf.DUMMYFUNCTION("""COMPUTED_VALUE"""),"Yes")</f>
        <v>Yes</v>
      </c>
      <c r="D639" s="14" t="str">
        <f>IFERROR(__xludf.DUMMYFUNCTION("""COMPUTED_VALUE"""),"Active")</f>
        <v>Active</v>
      </c>
      <c r="E639" s="15">
        <f>IFERROR(__xludf.DUMMYFUNCTION("""COMPUTED_VALUE"""),45798.0)</f>
        <v>45798</v>
      </c>
      <c r="F639" s="16"/>
      <c r="G639" s="18">
        <f>IFERROR(__xludf.DUMMYFUNCTION("""COMPUTED_VALUE"""),16.5)</f>
        <v>16.5</v>
      </c>
      <c r="H639" s="15">
        <f>IFERROR(__xludf.DUMMYFUNCTION("""COMPUTED_VALUE"""),31972.0)</f>
        <v>31972</v>
      </c>
      <c r="I639" s="18">
        <f>IFERROR(__xludf.DUMMYFUNCTION("""COMPUTED_VALUE"""),37.852777777777774)</f>
        <v>37.85277778</v>
      </c>
      <c r="J639" s="22">
        <f>IFERROR(__xludf.DUMMYFUNCTION("""COMPUTED_VALUE"""),50.0)</f>
        <v>50</v>
      </c>
      <c r="K639" s="22"/>
      <c r="L639" s="26" t="str">
        <f>IFERROR(__xludf.DUMMYFUNCTION("""COMPUTED_VALUE"""),"Sports")</f>
        <v>Sports</v>
      </c>
    </row>
    <row r="640">
      <c r="A640" s="12" t="str">
        <f>IFERROR(__xludf.DUMMYFUNCTION("""COMPUTED_VALUE"""),"Private Eye")</f>
        <v>Private Eye</v>
      </c>
      <c r="B640" s="13" t="str">
        <f>IFERROR(__xludf.DUMMYFUNCTION("""COMPUTED_VALUE"""),"Xbox / PC")</f>
        <v>Xbox / PC</v>
      </c>
      <c r="C640" s="14" t="str">
        <f>IFERROR(__xludf.DUMMYFUNCTION("""COMPUTED_VALUE"""),"Yes")</f>
        <v>Yes</v>
      </c>
      <c r="D640" s="14" t="str">
        <f>IFERROR(__xludf.DUMMYFUNCTION("""COMPUTED_VALUE"""),"Active")</f>
        <v>Active</v>
      </c>
      <c r="E640" s="15">
        <f>IFERROR(__xludf.DUMMYFUNCTION("""COMPUTED_VALUE"""),45883.0)</f>
        <v>45883</v>
      </c>
      <c r="F640" s="16"/>
      <c r="G640" s="18">
        <f>IFERROR(__xludf.DUMMYFUNCTION("""COMPUTED_VALUE"""),13.733333333333333)</f>
        <v>13.73333333</v>
      </c>
      <c r="H640" s="15">
        <f>IFERROR(__xludf.DUMMYFUNCTION("""COMPUTED_VALUE"""),30713.0)</f>
        <v>30713</v>
      </c>
      <c r="I640" s="18">
        <f>IFERROR(__xludf.DUMMYFUNCTION("""COMPUTED_VALUE"""),41.53611111111111)</f>
        <v>41.53611111</v>
      </c>
      <c r="J640" s="22">
        <f>IFERROR(__xludf.DUMMYFUNCTION("""COMPUTED_VALUE"""),45.0)</f>
        <v>45</v>
      </c>
      <c r="K640" s="22">
        <f>IFERROR(__xludf.DUMMYFUNCTION("""COMPUTED_VALUE"""),12.0)</f>
        <v>12</v>
      </c>
      <c r="L640" s="26" t="str">
        <f>IFERROR(__xludf.DUMMYFUNCTION("""COMPUTED_VALUE"""),"Action")</f>
        <v>Action</v>
      </c>
    </row>
    <row r="641">
      <c r="A641" s="12" t="str">
        <f>IFERROR(__xludf.DUMMYFUNCTION("""COMPUTED_VALUE"""),"Dragster")</f>
        <v>Dragster</v>
      </c>
      <c r="B641" s="13" t="str">
        <f>IFERROR(__xludf.DUMMYFUNCTION("""COMPUTED_VALUE"""),"Xbox / PC")</f>
        <v>Xbox / PC</v>
      </c>
      <c r="C641" s="14" t="str">
        <f>IFERROR(__xludf.DUMMYFUNCTION("""COMPUTED_VALUE"""),"Yes")</f>
        <v>Yes</v>
      </c>
      <c r="D641" s="14" t="str">
        <f>IFERROR(__xludf.DUMMYFUNCTION("""COMPUTED_VALUE"""),"Active")</f>
        <v>Active</v>
      </c>
      <c r="E641" s="15">
        <f>IFERROR(__xludf.DUMMYFUNCTION("""COMPUTED_VALUE"""),45798.0)</f>
        <v>45798</v>
      </c>
      <c r="F641" s="16"/>
      <c r="G641" s="18">
        <f>IFERROR(__xludf.DUMMYFUNCTION("""COMPUTED_VALUE"""),16.5)</f>
        <v>16.5</v>
      </c>
      <c r="H641" s="15">
        <f>IFERROR(__xludf.DUMMYFUNCTION("""COMPUTED_VALUE"""),29403.0)</f>
        <v>29403</v>
      </c>
      <c r="I641" s="18">
        <f>IFERROR(__xludf.DUMMYFUNCTION("""COMPUTED_VALUE"""),44.888888888888886)</f>
        <v>44.88888889</v>
      </c>
      <c r="J641" s="22">
        <f>IFERROR(__xludf.DUMMYFUNCTION("""COMPUTED_VALUE"""),45.0)</f>
        <v>45</v>
      </c>
      <c r="K641" s="22"/>
      <c r="L641" s="26" t="str">
        <f>IFERROR(__xludf.DUMMYFUNCTION("""COMPUTED_VALUE"""),"Racing")</f>
        <v>Racing</v>
      </c>
    </row>
    <row r="642">
      <c r="A642" s="12" t="str">
        <f>IFERROR(__xludf.DUMMYFUNCTION("""COMPUTED_VALUE"""),"Dead Static Drive")</f>
        <v>Dead Static Drive</v>
      </c>
      <c r="B642" s="13" t="str">
        <f>IFERROR(__xludf.DUMMYFUNCTION("""COMPUTED_VALUE"""),"Xbox / PC")</f>
        <v>Xbox / PC</v>
      </c>
      <c r="C642" s="14" t="str">
        <f>IFERROR(__xludf.DUMMYFUNCTION("""COMPUTED_VALUE"""),"Yes")</f>
        <v>Yes</v>
      </c>
      <c r="D642" s="14" t="str">
        <f>IFERROR(__xludf.DUMMYFUNCTION("""COMPUTED_VALUE"""),"Active")</f>
        <v>Active</v>
      </c>
      <c r="E642" s="15">
        <f>IFERROR(__xludf.DUMMYFUNCTION("""COMPUTED_VALUE"""),45966.0)</f>
        <v>45966</v>
      </c>
      <c r="F642" s="16"/>
      <c r="G642" s="18">
        <f>IFERROR(__xludf.DUMMYFUNCTION("""COMPUTED_VALUE"""),11.033333333333333)</f>
        <v>11.03333333</v>
      </c>
      <c r="H642" s="15">
        <f>IFERROR(__xludf.DUMMYFUNCTION("""COMPUTED_VALUE"""),45966.0)</f>
        <v>45966</v>
      </c>
      <c r="I642" s="18">
        <f>IFERROR(__xludf.DUMMYFUNCTION("""COMPUTED_VALUE"""),0.0)</f>
        <v>0</v>
      </c>
      <c r="J642" s="22">
        <f>IFERROR(__xludf.DUMMYFUNCTION("""COMPUTED_VALUE"""),35.0)</f>
        <v>35</v>
      </c>
      <c r="K642" s="22">
        <f>IFERROR(__xludf.DUMMYFUNCTION("""COMPUTED_VALUE"""),4.0)</f>
        <v>4</v>
      </c>
      <c r="L642" s="26" t="str">
        <f>IFERROR(__xludf.DUMMYFUNCTION("""COMPUTED_VALUE"""),"Survival")</f>
        <v>Survival</v>
      </c>
    </row>
    <row r="643">
      <c r="A643" s="12" t="str">
        <f>IFERROR(__xludf.DUMMYFUNCTION("""COMPUTED_VALUE"""),"Gears of War: E-Day")</f>
        <v>Gears of War: E-Day</v>
      </c>
      <c r="B643" s="13" t="str">
        <f>IFERROR(__xludf.DUMMYFUNCTION("""COMPUTED_VALUE"""),"Xbox / PC")</f>
        <v>Xbox / PC</v>
      </c>
      <c r="C643" s="14" t="str">
        <f>IFERROR(__xludf.DUMMYFUNCTION("""COMPUTED_VALUE"""),"Yes")</f>
        <v>Yes</v>
      </c>
      <c r="D643" s="14" t="str">
        <f>IFERROR(__xludf.DUMMYFUNCTION("""COMPUTED_VALUE"""),"Active")</f>
        <v>Active</v>
      </c>
      <c r="E643" s="15">
        <f>IFERROR(__xludf.DUMMYFUNCTION("""COMPUTED_VALUE"""),46301.0)</f>
        <v>46301</v>
      </c>
      <c r="F643" s="16"/>
      <c r="G643" s="18">
        <f>IFERROR(__xludf.DUMMYFUNCTION("""COMPUTED_VALUE"""),0.0)</f>
        <v>0</v>
      </c>
      <c r="H643" s="15">
        <f>IFERROR(__xludf.DUMMYFUNCTION("""COMPUTED_VALUE"""),46301.0)</f>
        <v>46301</v>
      </c>
      <c r="I643" s="18">
        <f>IFERROR(__xludf.DUMMYFUNCTION("""COMPUTED_VALUE"""),0.0)</f>
        <v>0</v>
      </c>
      <c r="J643" s="22"/>
      <c r="K643" s="22"/>
      <c r="L643" s="26" t="str">
        <f>IFERROR(__xludf.DUMMYFUNCTION("""COMPUTED_VALUE"""),"Shooter")</f>
        <v>Shooter</v>
      </c>
    </row>
    <row r="644">
      <c r="A644" s="12" t="str">
        <f>IFERROR(__xludf.DUMMYFUNCTION("""COMPUTED_VALUE"""),"Minecraft Dungeons II")</f>
        <v>Minecraft Dungeons II</v>
      </c>
      <c r="B644" s="13" t="str">
        <f>IFERROR(__xludf.DUMMYFUNCTION("""COMPUTED_VALUE"""),"Xbox / PC")</f>
        <v>Xbox / PC</v>
      </c>
      <c r="C644" s="14" t="str">
        <f>IFERROR(__xludf.DUMMYFUNCTION("""COMPUTED_VALUE"""),"Yes")</f>
        <v>Yes</v>
      </c>
      <c r="D644" s="14" t="str">
        <f>IFERROR(__xludf.DUMMYFUNCTION("""COMPUTED_VALUE"""),"Active")</f>
        <v>Active</v>
      </c>
      <c r="E644" s="15">
        <f>IFERROR(__xludf.DUMMYFUNCTION("""COMPUTED_VALUE"""),46294.0)</f>
        <v>46294</v>
      </c>
      <c r="F644" s="16"/>
      <c r="G644" s="18">
        <f>IFERROR(__xludf.DUMMYFUNCTION("""COMPUTED_VALUE"""),0.23333333333333334)</f>
        <v>0.2333333333</v>
      </c>
      <c r="H644" s="15">
        <f>IFERROR(__xludf.DUMMYFUNCTION("""COMPUTED_VALUE"""),46294.0)</f>
        <v>46294</v>
      </c>
      <c r="I644" s="18">
        <f>IFERROR(__xludf.DUMMYFUNCTION("""COMPUTED_VALUE"""),0.0)</f>
        <v>0</v>
      </c>
      <c r="J644" s="22"/>
      <c r="K644" s="22"/>
      <c r="L644" s="26" t="str">
        <f>IFERROR(__xludf.DUMMYFUNCTION("""COMPUTED_VALUE"""),"Action-Adventure")</f>
        <v>Action-Adventure</v>
      </c>
    </row>
    <row r="645">
      <c r="A645" s="12" t="str">
        <f>IFERROR(__xludf.DUMMYFUNCTION("""COMPUTED_VALUE"""),"Mad King Redemption")</f>
        <v>Mad King Redemption</v>
      </c>
      <c r="B645" s="13" t="str">
        <f>IFERROR(__xludf.DUMMYFUNCTION("""COMPUTED_VALUE"""),"Xbox / PC")</f>
        <v>Xbox / PC</v>
      </c>
      <c r="C645" s="14" t="str">
        <f>IFERROR(__xludf.DUMMYFUNCTION("""COMPUTED_VALUE"""),"Yes")</f>
        <v>Yes</v>
      </c>
      <c r="D645" s="14" t="str">
        <f>IFERROR(__xludf.DUMMYFUNCTION("""COMPUTED_VALUE"""),"Active")</f>
        <v>Active</v>
      </c>
      <c r="E645" s="15">
        <f>IFERROR(__xludf.DUMMYFUNCTION("""COMPUTED_VALUE"""),46288.0)</f>
        <v>46288</v>
      </c>
      <c r="F645" s="16"/>
      <c r="G645" s="18">
        <f>IFERROR(__xludf.DUMMYFUNCTION("""COMPUTED_VALUE"""),0.4333333333333333)</f>
        <v>0.4333333333</v>
      </c>
      <c r="H645" s="15">
        <f>IFERROR(__xludf.DUMMYFUNCTION("""COMPUTED_VALUE"""),46288.0)</f>
        <v>46288</v>
      </c>
      <c r="I645" s="18">
        <f>IFERROR(__xludf.DUMMYFUNCTION("""COMPUTED_VALUE"""),0.0)</f>
        <v>0</v>
      </c>
      <c r="J645" s="22"/>
      <c r="K645" s="22"/>
      <c r="L645" s="26" t="str">
        <f>IFERROR(__xludf.DUMMYFUNCTION("""COMPUTED_VALUE"""),"Action-Adventure")</f>
        <v>Action-Adventure</v>
      </c>
    </row>
    <row r="646">
      <c r="A646" s="12" t="str">
        <f>IFERROR(__xludf.DUMMYFUNCTION("""COMPUTED_VALUE"""),"Well Dweller")</f>
        <v>Well Dweller</v>
      </c>
      <c r="B646" s="13" t="str">
        <f>IFERROR(__xludf.DUMMYFUNCTION("""COMPUTED_VALUE"""),"Xbox / PC")</f>
        <v>Xbox / PC</v>
      </c>
      <c r="C646" s="14" t="str">
        <f>IFERROR(__xludf.DUMMYFUNCTION("""COMPUTED_VALUE"""),"Yes")</f>
        <v>Yes</v>
      </c>
      <c r="D646" s="14" t="str">
        <f>IFERROR(__xludf.DUMMYFUNCTION("""COMPUTED_VALUE"""),"Active")</f>
        <v>Active</v>
      </c>
      <c r="E646" s="15">
        <f>IFERROR(__xludf.DUMMYFUNCTION("""COMPUTED_VALUE"""),46287.0)</f>
        <v>46287</v>
      </c>
      <c r="F646" s="16"/>
      <c r="G646" s="18">
        <f>IFERROR(__xludf.DUMMYFUNCTION("""COMPUTED_VALUE"""),0.4666666666666667)</f>
        <v>0.4666666667</v>
      </c>
      <c r="H646" s="15">
        <f>IFERROR(__xludf.DUMMYFUNCTION("""COMPUTED_VALUE"""),46287.0)</f>
        <v>46287</v>
      </c>
      <c r="I646" s="18">
        <f>IFERROR(__xludf.DUMMYFUNCTION("""COMPUTED_VALUE"""),0.0)</f>
        <v>0</v>
      </c>
      <c r="J646" s="22"/>
      <c r="K646" s="22"/>
      <c r="L646" s="26" t="str">
        <f>IFERROR(__xludf.DUMMYFUNCTION("""COMPUTED_VALUE"""),"Action-Adventure")</f>
        <v>Action-Adventure</v>
      </c>
    </row>
    <row r="647">
      <c r="A647" s="12" t="str">
        <f>IFERROR(__xludf.DUMMYFUNCTION("""COMPUTED_VALUE"""),"Kernel Hearts")</f>
        <v>Kernel Hearts</v>
      </c>
      <c r="B647" s="13" t="str">
        <f>IFERROR(__xludf.DUMMYFUNCTION("""COMPUTED_VALUE"""),"Xbox / PC")</f>
        <v>Xbox / PC</v>
      </c>
      <c r="C647" s="14" t="str">
        <f>IFERROR(__xludf.DUMMYFUNCTION("""COMPUTED_VALUE"""),"Yes")</f>
        <v>Yes</v>
      </c>
      <c r="D647" s="14" t="str">
        <f>IFERROR(__xludf.DUMMYFUNCTION("""COMPUTED_VALUE"""),"Active")</f>
        <v>Active</v>
      </c>
      <c r="E647" s="15">
        <f>IFERROR(__xludf.DUMMYFUNCTION("""COMPUTED_VALUE"""),46282.0)</f>
        <v>46282</v>
      </c>
      <c r="F647" s="16"/>
      <c r="G647" s="18">
        <f>IFERROR(__xludf.DUMMYFUNCTION("""COMPUTED_VALUE"""),0.6333333333333333)</f>
        <v>0.6333333333</v>
      </c>
      <c r="H647" s="15">
        <f>IFERROR(__xludf.DUMMYFUNCTION("""COMPUTED_VALUE"""),46282.0)</f>
        <v>46282</v>
      </c>
      <c r="I647" s="18">
        <f>IFERROR(__xludf.DUMMYFUNCTION("""COMPUTED_VALUE"""),0.0)</f>
        <v>0</v>
      </c>
      <c r="J647" s="22"/>
      <c r="K647" s="22"/>
      <c r="L647" s="26" t="str">
        <f>IFERROR(__xludf.DUMMYFUNCTION("""COMPUTED_VALUE"""),"RPG")</f>
        <v>RPG</v>
      </c>
    </row>
    <row r="648">
      <c r="A648" s="12" t="str">
        <f>IFERROR(__xludf.DUMMYFUNCTION("""COMPUTED_VALUE"""),"RuneScape: Dragonwilds")</f>
        <v>RuneScape: Dragonwilds</v>
      </c>
      <c r="B648" s="13" t="str">
        <f>IFERROR(__xludf.DUMMYFUNCTION("""COMPUTED_VALUE"""),"Xbox / PC")</f>
        <v>Xbox / PC</v>
      </c>
      <c r="C648" s="14" t="str">
        <f>IFERROR(__xludf.DUMMYFUNCTION("""COMPUTED_VALUE"""),"Yes")</f>
        <v>Yes</v>
      </c>
      <c r="D648" s="14" t="str">
        <f>IFERROR(__xludf.DUMMYFUNCTION("""COMPUTED_VALUE"""),"Active")</f>
        <v>Active</v>
      </c>
      <c r="E648" s="15">
        <f>IFERROR(__xludf.DUMMYFUNCTION("""COMPUTED_VALUE"""),46280.0)</f>
        <v>46280</v>
      </c>
      <c r="F648" s="16"/>
      <c r="G648" s="18">
        <f>IFERROR(__xludf.DUMMYFUNCTION("""COMPUTED_VALUE"""),0.7)</f>
        <v>0.7</v>
      </c>
      <c r="H648" s="15">
        <f>IFERROR(__xludf.DUMMYFUNCTION("""COMPUTED_VALUE"""),46280.0)</f>
        <v>46280</v>
      </c>
      <c r="I648" s="18">
        <f>IFERROR(__xludf.DUMMYFUNCTION("""COMPUTED_VALUE"""),0.0)</f>
        <v>0</v>
      </c>
      <c r="J648" s="22"/>
      <c r="K648" s="22">
        <f>IFERROR(__xludf.DUMMYFUNCTION("""COMPUTED_VALUE"""),23.0)</f>
        <v>23</v>
      </c>
      <c r="L648" s="26" t="str">
        <f>IFERROR(__xludf.DUMMYFUNCTION("""COMPUTED_VALUE"""),"Action-Adventure")</f>
        <v>Action-Adventure</v>
      </c>
    </row>
    <row r="649">
      <c r="A649" s="12" t="str">
        <f>IFERROR(__xludf.DUMMYFUNCTION("""COMPUTED_VALUE"""),"Speedrunners 2: King of Speed")</f>
        <v>Speedrunners 2: King of Speed</v>
      </c>
      <c r="B649" s="13" t="str">
        <f>IFERROR(__xludf.DUMMYFUNCTION("""COMPUTED_VALUE"""),"Xbox / PC")</f>
        <v>Xbox / PC</v>
      </c>
      <c r="C649" s="14" t="str">
        <f>IFERROR(__xludf.DUMMYFUNCTION("""COMPUTED_VALUE"""),"Yes")</f>
        <v>Yes</v>
      </c>
      <c r="D649" s="14" t="str">
        <f>IFERROR(__xludf.DUMMYFUNCTION("""COMPUTED_VALUE"""),"Active")</f>
        <v>Active</v>
      </c>
      <c r="E649" s="15">
        <f>IFERROR(__xludf.DUMMYFUNCTION("""COMPUTED_VALUE"""),46268.0)</f>
        <v>46268</v>
      </c>
      <c r="F649" s="16"/>
      <c r="G649" s="18">
        <f>IFERROR(__xludf.DUMMYFUNCTION("""COMPUTED_VALUE"""),1.0999999999999999)</f>
        <v>1.1</v>
      </c>
      <c r="H649" s="15">
        <f>IFERROR(__xludf.DUMMYFUNCTION("""COMPUTED_VALUE"""),46268.0)</f>
        <v>46268</v>
      </c>
      <c r="I649" s="18">
        <f>IFERROR(__xludf.DUMMYFUNCTION("""COMPUTED_VALUE"""),0.0)</f>
        <v>0</v>
      </c>
      <c r="J649" s="22"/>
      <c r="K649" s="22">
        <f>IFERROR(__xludf.DUMMYFUNCTION("""COMPUTED_VALUE"""),3.0)</f>
        <v>3</v>
      </c>
      <c r="L649" s="26" t="str">
        <f>IFERROR(__xludf.DUMMYFUNCTION("""COMPUTED_VALUE"""),"Racing")</f>
        <v>Racing</v>
      </c>
    </row>
    <row r="650">
      <c r="A650" s="124" t="str">
        <f>IFERROR(__xludf.DUMMYFUNCTION("""COMPUTED_VALUE"""),"Shelldiver")</f>
        <v>Shelldiver</v>
      </c>
      <c r="B650" s="13" t="str">
        <f>IFERROR(__xludf.DUMMYFUNCTION("""COMPUTED_VALUE"""),"Xbox / PC")</f>
        <v>Xbox / PC</v>
      </c>
      <c r="C650" s="14" t="str">
        <f>IFERROR(__xludf.DUMMYFUNCTION("""COMPUTED_VALUE"""),"Yes")</f>
        <v>Yes</v>
      </c>
      <c r="D650" s="14" t="str">
        <f>IFERROR(__xludf.DUMMYFUNCTION("""COMPUTED_VALUE"""),"Active")</f>
        <v>Active</v>
      </c>
      <c r="E650" s="15">
        <f>IFERROR(__xludf.DUMMYFUNCTION("""COMPUTED_VALUE"""),46266.0)</f>
        <v>46266</v>
      </c>
      <c r="F650" s="16"/>
      <c r="G650" s="18">
        <f>IFERROR(__xludf.DUMMYFUNCTION("""COMPUTED_VALUE"""),1.1666666666666667)</f>
        <v>1.166666667</v>
      </c>
      <c r="H650" s="15">
        <f>IFERROR(__xludf.DUMMYFUNCTION("""COMPUTED_VALUE"""),45977.0)</f>
        <v>45977</v>
      </c>
      <c r="I650" s="18">
        <f>IFERROR(__xludf.DUMMYFUNCTION("""COMPUTED_VALUE"""),0.7916666666666666)</f>
        <v>0.7916666667</v>
      </c>
      <c r="J650" s="22"/>
      <c r="K650" s="22">
        <f>IFERROR(__xludf.DUMMYFUNCTION("""COMPUTED_VALUE"""),4.0)</f>
        <v>4</v>
      </c>
      <c r="L650" s="26" t="str">
        <f>IFERROR(__xludf.DUMMYFUNCTION("""COMPUTED_VALUE"""),"Platformer")</f>
        <v>Platformer</v>
      </c>
    </row>
    <row r="651">
      <c r="A651" s="12" t="str">
        <f>IFERROR(__xludf.DUMMYFUNCTION("""COMPUTED_VALUE"""),"Vapor World: Over the Mind (Game Preview)")</f>
        <v>Vapor World: Over the Mind (Game Preview)</v>
      </c>
      <c r="B651" s="13" t="str">
        <f>IFERROR(__xludf.DUMMYFUNCTION("""COMPUTED_VALUE"""),"Xbox / PC")</f>
        <v>Xbox / PC</v>
      </c>
      <c r="C651" s="14" t="str">
        <f>IFERROR(__xludf.DUMMYFUNCTION("""COMPUTED_VALUE"""),"Yes")</f>
        <v>Yes</v>
      </c>
      <c r="D651" s="14" t="str">
        <f>IFERROR(__xludf.DUMMYFUNCTION("""COMPUTED_VALUE"""),"Active")</f>
        <v>Active</v>
      </c>
      <c r="E651" s="15">
        <f>IFERROR(__xludf.DUMMYFUNCTION("""COMPUTED_VALUE"""),46253.0)</f>
        <v>46253</v>
      </c>
      <c r="F651" s="16"/>
      <c r="G651" s="18">
        <f>IFERROR(__xludf.DUMMYFUNCTION("""COMPUTED_VALUE"""),1.5666666666666669)</f>
        <v>1.566666667</v>
      </c>
      <c r="H651" s="15">
        <f>IFERROR(__xludf.DUMMYFUNCTION("""COMPUTED_VALUE"""),46253.0)</f>
        <v>46253</v>
      </c>
      <c r="I651" s="18">
        <f>IFERROR(__xludf.DUMMYFUNCTION("""COMPUTED_VALUE"""),0.0)</f>
        <v>0</v>
      </c>
      <c r="J651" s="22"/>
      <c r="K651" s="22">
        <f>IFERROR(__xludf.DUMMYFUNCTION("""COMPUTED_VALUE"""),12.0)</f>
        <v>12</v>
      </c>
      <c r="L651" s="26" t="str">
        <f>IFERROR(__xludf.DUMMYFUNCTION("""COMPUTED_VALUE"""),"Action-Adventure")</f>
        <v>Action-Adventure</v>
      </c>
    </row>
    <row r="652">
      <c r="A652" s="12" t="str">
        <f>IFERROR(__xludf.DUMMYFUNCTION("""COMPUTED_VALUE"""),"Sandustry (Game Preview)")</f>
        <v>Sandustry (Game Preview)</v>
      </c>
      <c r="B652" s="13" t="str">
        <f>IFERROR(__xludf.DUMMYFUNCTION("""COMPUTED_VALUE"""),"PC")</f>
        <v>PC</v>
      </c>
      <c r="C652" s="14"/>
      <c r="D652" s="14" t="str">
        <f>IFERROR(__xludf.DUMMYFUNCTION("""COMPUTED_VALUE"""),"Active")</f>
        <v>Active</v>
      </c>
      <c r="E652" s="15">
        <f>IFERROR(__xludf.DUMMYFUNCTION("""COMPUTED_VALUE"""),46247.0)</f>
        <v>46247</v>
      </c>
      <c r="F652" s="16"/>
      <c r="G652" s="18">
        <f>IFERROR(__xludf.DUMMYFUNCTION("""COMPUTED_VALUE"""),1.7666666666666666)</f>
        <v>1.766666667</v>
      </c>
      <c r="H652" s="15">
        <f>IFERROR(__xludf.DUMMYFUNCTION("""COMPUTED_VALUE"""),46247.0)</f>
        <v>46247</v>
      </c>
      <c r="I652" s="18">
        <f>IFERROR(__xludf.DUMMYFUNCTION("""COMPUTED_VALUE"""),0.0)</f>
        <v>0</v>
      </c>
      <c r="J652" s="22"/>
      <c r="K652" s="22">
        <f>IFERROR(__xludf.DUMMYFUNCTION("""COMPUTED_VALUE"""),8.0)</f>
        <v>8</v>
      </c>
      <c r="L652" s="26" t="str">
        <f>IFERROR(__xludf.DUMMYFUNCTION("""COMPUTED_VALUE"""),"Simulation")</f>
        <v>Simulation</v>
      </c>
    </row>
    <row r="653">
      <c r="A653" s="12" t="str">
        <f>IFERROR(__xludf.DUMMYFUNCTION("""COMPUTED_VALUE"""),"Starseeker: Astroneer Expeditions (Game Preview)")</f>
        <v>Starseeker: Astroneer Expeditions (Game Preview)</v>
      </c>
      <c r="B653" s="13" t="str">
        <f>IFERROR(__xludf.DUMMYFUNCTION("""COMPUTED_VALUE"""),"Xbox / PC")</f>
        <v>Xbox / PC</v>
      </c>
      <c r="C653" s="14" t="str">
        <f>IFERROR(__xludf.DUMMYFUNCTION("""COMPUTED_VALUE"""),"Yes")</f>
        <v>Yes</v>
      </c>
      <c r="D653" s="14" t="str">
        <f>IFERROR(__xludf.DUMMYFUNCTION("""COMPUTED_VALUE"""),"Active")</f>
        <v>Active</v>
      </c>
      <c r="E653" s="15">
        <f>IFERROR(__xludf.DUMMYFUNCTION("""COMPUTED_VALUE"""),46184.0)</f>
        <v>46184</v>
      </c>
      <c r="F653" s="16"/>
      <c r="G653" s="18">
        <f>IFERROR(__xludf.DUMMYFUNCTION("""COMPUTED_VALUE"""),3.833333333333333)</f>
        <v>3.833333333</v>
      </c>
      <c r="H653" s="15">
        <f>IFERROR(__xludf.DUMMYFUNCTION("""COMPUTED_VALUE"""),46184.0)</f>
        <v>46184</v>
      </c>
      <c r="I653" s="18">
        <f>IFERROR(__xludf.DUMMYFUNCTION("""COMPUTED_VALUE"""),0.0)</f>
        <v>0</v>
      </c>
      <c r="J653" s="22"/>
      <c r="K653" s="22">
        <f>IFERROR(__xludf.DUMMYFUNCTION("""COMPUTED_VALUE"""),1.0)</f>
        <v>1</v>
      </c>
      <c r="L653" s="26" t="str">
        <f>IFERROR(__xludf.DUMMYFUNCTION("""COMPUTED_VALUE"""),"Action-Adventure")</f>
        <v>Action-Adventure</v>
      </c>
    </row>
    <row r="654">
      <c r="A654" s="12" t="str">
        <f>IFERROR(__xludf.DUMMYFUNCTION("""COMPUTED_VALUE"""),"Subnautica 2 (Game Preview)")</f>
        <v>Subnautica 2 (Game Preview)</v>
      </c>
      <c r="B654" s="13" t="str">
        <f>IFERROR(__xludf.DUMMYFUNCTION("""COMPUTED_VALUE"""),"Xbox / PC")</f>
        <v>Xbox / PC</v>
      </c>
      <c r="C654" s="14" t="str">
        <f>IFERROR(__xludf.DUMMYFUNCTION("""COMPUTED_VALUE"""),"Yes")</f>
        <v>Yes</v>
      </c>
      <c r="D654" s="14" t="str">
        <f>IFERROR(__xludf.DUMMYFUNCTION("""COMPUTED_VALUE"""),"Active")</f>
        <v>Active</v>
      </c>
      <c r="E654" s="15">
        <f>IFERROR(__xludf.DUMMYFUNCTION("""COMPUTED_VALUE"""),46156.0)</f>
        <v>46156</v>
      </c>
      <c r="F654" s="16"/>
      <c r="G654" s="18">
        <f>IFERROR(__xludf.DUMMYFUNCTION("""COMPUTED_VALUE"""),4.733333333333333)</f>
        <v>4.733333333</v>
      </c>
      <c r="H654" s="15">
        <f>IFERROR(__xludf.DUMMYFUNCTION("""COMPUTED_VALUE"""),46156.0)</f>
        <v>46156</v>
      </c>
      <c r="I654" s="18">
        <f>IFERROR(__xludf.DUMMYFUNCTION("""COMPUTED_VALUE"""),0.0)</f>
        <v>0</v>
      </c>
      <c r="J654" s="22"/>
      <c r="K654" s="22">
        <f>IFERROR(__xludf.DUMMYFUNCTION("""COMPUTED_VALUE"""),13.0)</f>
        <v>13</v>
      </c>
      <c r="L654" s="26" t="str">
        <f>IFERROR(__xludf.DUMMYFUNCTION("""COMPUTED_VALUE"""),"Action-Adventure")</f>
        <v>Action-Adventure</v>
      </c>
    </row>
    <row r="655">
      <c r="A655" s="12" t="str">
        <f>IFERROR(__xludf.DUMMYFUNCTION("""COMPUTED_VALUE"""),"TCG Card Shop Simulator (Game Preview)")</f>
        <v>TCG Card Shop Simulator (Game Preview)</v>
      </c>
      <c r="B655" s="13" t="str">
        <f>IFERROR(__xludf.DUMMYFUNCTION("""COMPUTED_VALUE"""),"Xbox / PC")</f>
        <v>Xbox / PC</v>
      </c>
      <c r="C655" s="14" t="str">
        <f>IFERROR(__xludf.DUMMYFUNCTION("""COMPUTED_VALUE"""),"Yes")</f>
        <v>Yes</v>
      </c>
      <c r="D655" s="14" t="str">
        <f>IFERROR(__xludf.DUMMYFUNCTION("""COMPUTED_VALUE"""),"Active")</f>
        <v>Active</v>
      </c>
      <c r="E655" s="15">
        <f>IFERROR(__xludf.DUMMYFUNCTION("""COMPUTED_VALUE"""),46077.0)</f>
        <v>46077</v>
      </c>
      <c r="F655" s="16"/>
      <c r="G655" s="18">
        <f>IFERROR(__xludf.DUMMYFUNCTION("""COMPUTED_VALUE"""),7.4)</f>
        <v>7.4</v>
      </c>
      <c r="H655" s="15">
        <f>IFERROR(__xludf.DUMMYFUNCTION("""COMPUTED_VALUE"""),45184.0)</f>
        <v>45184</v>
      </c>
      <c r="I655" s="18">
        <f>IFERROR(__xludf.DUMMYFUNCTION("""COMPUTED_VALUE"""),2.441666666666667)</f>
        <v>2.441666667</v>
      </c>
      <c r="J655" s="22"/>
      <c r="K655" s="22">
        <f>IFERROR(__xludf.DUMMYFUNCTION("""COMPUTED_VALUE"""),32.0)</f>
        <v>32</v>
      </c>
      <c r="L655" s="26" t="str">
        <f>IFERROR(__xludf.DUMMYFUNCTION("""COMPUTED_VALUE"""),"Simulation")</f>
        <v>Simulation</v>
      </c>
    </row>
    <row r="656">
      <c r="A656" s="12" t="str">
        <f>IFERROR(__xludf.DUMMYFUNCTION("""COMPUTED_VALUE"""),"Kabobber")</f>
        <v>Kabobber</v>
      </c>
      <c r="B656" s="13" t="str">
        <f>IFERROR(__xludf.DUMMYFUNCTION("""COMPUTED_VALUE"""),"Xbox / PC")</f>
        <v>Xbox / PC</v>
      </c>
      <c r="C656" s="14" t="str">
        <f>IFERROR(__xludf.DUMMYFUNCTION("""COMPUTED_VALUE"""),"Yes")</f>
        <v>Yes</v>
      </c>
      <c r="D656" s="14" t="str">
        <f>IFERROR(__xludf.DUMMYFUNCTION("""COMPUTED_VALUE"""),"Active")</f>
        <v>Active</v>
      </c>
      <c r="E656" s="15">
        <f>IFERROR(__xludf.DUMMYFUNCTION("""COMPUTED_VALUE"""),46072.0)</f>
        <v>46072</v>
      </c>
      <c r="F656" s="16"/>
      <c r="G656" s="18">
        <f>IFERROR(__xludf.DUMMYFUNCTION("""COMPUTED_VALUE"""),7.566666666666666)</f>
        <v>7.566666667</v>
      </c>
      <c r="H656" s="15">
        <f>IFERROR(__xludf.DUMMYFUNCTION("""COMPUTED_VALUE"""),30317.0)</f>
        <v>30317</v>
      </c>
      <c r="I656" s="18">
        <f>IFERROR(__xludf.DUMMYFUNCTION("""COMPUTED_VALUE"""),43.13333333333333)</f>
        <v>43.13333333</v>
      </c>
      <c r="J656" s="22"/>
      <c r="K656" s="22"/>
      <c r="L656" s="26" t="str">
        <f>IFERROR(__xludf.DUMMYFUNCTION("""COMPUTED_VALUE"""),"Action")</f>
        <v>Action</v>
      </c>
    </row>
    <row r="657">
      <c r="A657" s="12" t="str">
        <f>IFERROR(__xludf.DUMMYFUNCTION("""COMPUTED_VALUE"""),"Return to Zork")</f>
        <v>Return to Zork</v>
      </c>
      <c r="B657" s="13" t="str">
        <f>IFERROR(__xludf.DUMMYFUNCTION("""COMPUTED_VALUE"""),"Xbox / PC")</f>
        <v>Xbox / PC</v>
      </c>
      <c r="C657" s="14" t="str">
        <f>IFERROR(__xludf.DUMMYFUNCTION("""COMPUTED_VALUE"""),"Yes")</f>
        <v>Yes</v>
      </c>
      <c r="D657" s="14" t="str">
        <f>IFERROR(__xludf.DUMMYFUNCTION("""COMPUTED_VALUE"""),"Active")</f>
        <v>Active</v>
      </c>
      <c r="E657" s="15">
        <f>IFERROR(__xludf.DUMMYFUNCTION("""COMPUTED_VALUE"""),46072.0)</f>
        <v>46072</v>
      </c>
      <c r="F657" s="16"/>
      <c r="G657" s="18">
        <f>IFERROR(__xludf.DUMMYFUNCTION("""COMPUTED_VALUE"""),7.566666666666666)</f>
        <v>7.566666667</v>
      </c>
      <c r="H657" s="15">
        <f>IFERROR(__xludf.DUMMYFUNCTION("""COMPUTED_VALUE"""),34192.0)</f>
        <v>34192</v>
      </c>
      <c r="I657" s="18">
        <f>IFERROR(__xludf.DUMMYFUNCTION("""COMPUTED_VALUE"""),32.522222222222226)</f>
        <v>32.52222222</v>
      </c>
      <c r="J657" s="22"/>
      <c r="K657" s="22">
        <f>IFERROR(__xludf.DUMMYFUNCTION("""COMPUTED_VALUE"""),7.0)</f>
        <v>7</v>
      </c>
      <c r="L657" s="26" t="str">
        <f>IFERROR(__xludf.DUMMYFUNCTION("""COMPUTED_VALUE"""),"Point and Click")</f>
        <v>Point and Click</v>
      </c>
    </row>
    <row r="658">
      <c r="A658" s="12" t="str">
        <f>IFERROR(__xludf.DUMMYFUNCTION("""COMPUTED_VALUE"""),"Roadside Research (Game Preview)")</f>
        <v>Roadside Research (Game Preview)</v>
      </c>
      <c r="B658" s="13" t="str">
        <f>IFERROR(__xludf.DUMMYFUNCTION("""COMPUTED_VALUE"""),"Xbox / PC")</f>
        <v>Xbox / PC</v>
      </c>
      <c r="C658" s="14"/>
      <c r="D658" s="14" t="str">
        <f>IFERROR(__xludf.DUMMYFUNCTION("""COMPUTED_VALUE"""),"Active")</f>
        <v>Active</v>
      </c>
      <c r="E658" s="15">
        <f>IFERROR(__xludf.DUMMYFUNCTION("""COMPUTED_VALUE"""),46065.0)</f>
        <v>46065</v>
      </c>
      <c r="F658" s="16"/>
      <c r="G658" s="18">
        <f>IFERROR(__xludf.DUMMYFUNCTION("""COMPUTED_VALUE"""),7.800000000000001)</f>
        <v>7.8</v>
      </c>
      <c r="H658" s="15">
        <f>IFERROR(__xludf.DUMMYFUNCTION("""COMPUTED_VALUE"""),46065.0)</f>
        <v>46065</v>
      </c>
      <c r="I658" s="18">
        <f>IFERROR(__xludf.DUMMYFUNCTION("""COMPUTED_VALUE"""),0.0)</f>
        <v>0</v>
      </c>
      <c r="J658" s="22"/>
      <c r="K658" s="22">
        <f>IFERROR(__xludf.DUMMYFUNCTION("""COMPUTED_VALUE"""),24.0)</f>
        <v>24</v>
      </c>
      <c r="L658" s="26" t="str">
        <f>IFERROR(__xludf.DUMMYFUNCTION("""COMPUTED_VALUE"""),"Action-Adventure")</f>
        <v>Action-Adventure</v>
      </c>
    </row>
    <row r="659">
      <c r="A659" s="12" t="str">
        <f>IFERROR(__xludf.DUMMYFUNCTION("""COMPUTED_VALUE"""),"Young Suns")</f>
        <v>Young Suns</v>
      </c>
      <c r="B659" s="13" t="str">
        <f>IFERROR(__xludf.DUMMYFUNCTION("""COMPUTED_VALUE"""),"Xbox / PC")</f>
        <v>Xbox / PC</v>
      </c>
      <c r="C659" s="14" t="str">
        <f>IFERROR(__xludf.DUMMYFUNCTION("""COMPUTED_VALUE"""),"Yes")</f>
        <v>Yes</v>
      </c>
      <c r="D659" s="14" t="str">
        <f>IFERROR(__xludf.DUMMYFUNCTION("""COMPUTED_VALUE"""),"Active")</f>
        <v>Active</v>
      </c>
      <c r="E659" s="15">
        <f>IFERROR(__xludf.DUMMYFUNCTION("""COMPUTED_VALUE"""),45986.0)</f>
        <v>45986</v>
      </c>
      <c r="F659" s="16"/>
      <c r="G659" s="18">
        <f>IFERROR(__xludf.DUMMYFUNCTION("""COMPUTED_VALUE"""),10.366666666666667)</f>
        <v>10.36666667</v>
      </c>
      <c r="H659" s="15">
        <f>IFERROR(__xludf.DUMMYFUNCTION("""COMPUTED_VALUE"""),45986.0)</f>
        <v>45986</v>
      </c>
      <c r="I659" s="18">
        <f>IFERROR(__xludf.DUMMYFUNCTION("""COMPUTED_VALUE"""),0.0)</f>
        <v>0</v>
      </c>
      <c r="J659" s="22"/>
      <c r="K659" s="22">
        <f>IFERROR(__xludf.DUMMYFUNCTION("""COMPUTED_VALUE"""),2.0)</f>
        <v>2</v>
      </c>
      <c r="L659" s="26" t="str">
        <f>IFERROR(__xludf.DUMMYFUNCTION("""COMPUTED_VALUE"""),"Virtual Life")</f>
        <v>Virtual Life</v>
      </c>
    </row>
    <row r="660">
      <c r="A660" s="12" t="str">
        <f>IFERROR(__xludf.DUMMYFUNCTION("""COMPUTED_VALUE"""),"Moonlighter 2: The Endless Vault (Game Preview)")</f>
        <v>Moonlighter 2: The Endless Vault (Game Preview)</v>
      </c>
      <c r="B660" s="13" t="str">
        <f>IFERROR(__xludf.DUMMYFUNCTION("""COMPUTED_VALUE"""),"PC")</f>
        <v>PC</v>
      </c>
      <c r="C660" s="14"/>
      <c r="D660" s="14" t="str">
        <f>IFERROR(__xludf.DUMMYFUNCTION("""COMPUTED_VALUE"""),"Active")</f>
        <v>Active</v>
      </c>
      <c r="E660" s="15">
        <f>IFERROR(__xludf.DUMMYFUNCTION("""COMPUTED_VALUE"""),45980.0)</f>
        <v>45980</v>
      </c>
      <c r="F660" s="16"/>
      <c r="G660" s="18">
        <f>IFERROR(__xludf.DUMMYFUNCTION("""COMPUTED_VALUE"""),10.566666666666666)</f>
        <v>10.56666667</v>
      </c>
      <c r="H660" s="15">
        <f>IFERROR(__xludf.DUMMYFUNCTION("""COMPUTED_VALUE"""),45980.0)</f>
        <v>45980</v>
      </c>
      <c r="I660" s="18">
        <f>IFERROR(__xludf.DUMMYFUNCTION("""COMPUTED_VALUE"""),0.0)</f>
        <v>0</v>
      </c>
      <c r="J660" s="22"/>
      <c r="K660" s="22">
        <f>IFERROR(__xludf.DUMMYFUNCTION("""COMPUTED_VALUE"""),13.0)</f>
        <v>13</v>
      </c>
      <c r="L660" s="26" t="str">
        <f>IFERROR(__xludf.DUMMYFUNCTION("""COMPUTED_VALUE"""),"Action-Adventure")</f>
        <v>Action-Adventure</v>
      </c>
    </row>
    <row r="661">
      <c r="A661" s="12" t="str">
        <f>IFERROR(__xludf.DUMMYFUNCTION("""COMPUTED_VALUE"""),"Relic Hunters Legend")</f>
        <v>Relic Hunters Legend</v>
      </c>
      <c r="B661" s="13" t="str">
        <f>IFERROR(__xludf.DUMMYFUNCTION("""COMPUTED_VALUE"""),"Xbox / PC")</f>
        <v>Xbox / PC</v>
      </c>
      <c r="C661" s="14" t="str">
        <f>IFERROR(__xludf.DUMMYFUNCTION("""COMPUTED_VALUE"""),"Yes")</f>
        <v>Yes</v>
      </c>
      <c r="D661" s="14" t="str">
        <f>IFERROR(__xludf.DUMMYFUNCTION("""COMPUTED_VALUE"""),"Active")</f>
        <v>Active</v>
      </c>
      <c r="E661" s="15">
        <f>IFERROR(__xludf.DUMMYFUNCTION("""COMPUTED_VALUE"""),45973.0)</f>
        <v>45973</v>
      </c>
      <c r="F661" s="16"/>
      <c r="G661" s="18">
        <f>IFERROR(__xludf.DUMMYFUNCTION("""COMPUTED_VALUE"""),10.8)</f>
        <v>10.8</v>
      </c>
      <c r="H661" s="15">
        <f>IFERROR(__xludf.DUMMYFUNCTION("""COMPUTED_VALUE"""),45883.0)</f>
        <v>45883</v>
      </c>
      <c r="I661" s="18">
        <f>IFERROR(__xludf.DUMMYFUNCTION("""COMPUTED_VALUE"""),0.24444444444444444)</f>
        <v>0.2444444444</v>
      </c>
      <c r="J661" s="22"/>
      <c r="K661" s="22">
        <f>IFERROR(__xludf.DUMMYFUNCTION("""COMPUTED_VALUE"""),29.0)</f>
        <v>29</v>
      </c>
      <c r="L661" s="26" t="str">
        <f>IFERROR(__xludf.DUMMYFUNCTION("""COMPUTED_VALUE"""),"Shoot-’Em-Up")</f>
        <v>Shoot-’Em-Up</v>
      </c>
    </row>
    <row r="662">
      <c r="A662" s="12" t="str">
        <f>IFERROR(__xludf.DUMMYFUNCTION("""COMPUTED_VALUE"""),"BattleTech: The Crescent Hawk's Inception")</f>
        <v>BattleTech: The Crescent Hawk's Inception</v>
      </c>
      <c r="B662" s="13" t="str">
        <f>IFERROR(__xludf.DUMMYFUNCTION("""COMPUTED_VALUE"""),"Xbox / PC")</f>
        <v>Xbox / PC</v>
      </c>
      <c r="C662" s="14" t="str">
        <f>IFERROR(__xludf.DUMMYFUNCTION("""COMPUTED_VALUE"""),"Yes")</f>
        <v>Yes</v>
      </c>
      <c r="D662" s="14" t="str">
        <f>IFERROR(__xludf.DUMMYFUNCTION("""COMPUTED_VALUE"""),"Active")</f>
        <v>Active</v>
      </c>
      <c r="E662" s="15">
        <f>IFERROR(__xludf.DUMMYFUNCTION("""COMPUTED_VALUE"""),45945.0)</f>
        <v>45945</v>
      </c>
      <c r="F662" s="16"/>
      <c r="G662" s="18">
        <f>IFERROR(__xludf.DUMMYFUNCTION("""COMPUTED_VALUE"""),11.7)</f>
        <v>11.7</v>
      </c>
      <c r="H662" s="15">
        <f>IFERROR(__xludf.DUMMYFUNCTION("""COMPUTED_VALUE"""),32813.0)</f>
        <v>32813</v>
      </c>
      <c r="I662" s="18">
        <f>IFERROR(__xludf.DUMMYFUNCTION("""COMPUTED_VALUE"""),35.955555555555556)</f>
        <v>35.95555556</v>
      </c>
      <c r="J662" s="22"/>
      <c r="K662" s="22">
        <f>IFERROR(__xludf.DUMMYFUNCTION("""COMPUTED_VALUE"""),8.0)</f>
        <v>8</v>
      </c>
      <c r="L662" s="26" t="str">
        <f>IFERROR(__xludf.DUMMYFUNCTION("""COMPUTED_VALUE"""),"RPG")</f>
        <v>RPG</v>
      </c>
    </row>
    <row r="663">
      <c r="A663" s="12" t="str">
        <f>IFERROR(__xludf.DUMMYFUNCTION("""COMPUTED_VALUE"""),"VOID/BREAKER")</f>
        <v>VOID/BREAKER</v>
      </c>
      <c r="B663" s="13" t="str">
        <f>IFERROR(__xludf.DUMMYFUNCTION("""COMPUTED_VALUE"""),"PC")</f>
        <v>PC</v>
      </c>
      <c r="C663" s="14"/>
      <c r="D663" s="14" t="str">
        <f>IFERROR(__xludf.DUMMYFUNCTION("""COMPUTED_VALUE"""),"Active")</f>
        <v>Active</v>
      </c>
      <c r="E663" s="15">
        <f>IFERROR(__xludf.DUMMYFUNCTION("""COMPUTED_VALUE"""),45888.0)</f>
        <v>45888</v>
      </c>
      <c r="F663" s="16"/>
      <c r="G663" s="18">
        <f>IFERROR(__xludf.DUMMYFUNCTION("""COMPUTED_VALUE"""),13.566666666666666)</f>
        <v>13.56666667</v>
      </c>
      <c r="H663" s="15">
        <f>IFERROR(__xludf.DUMMYFUNCTION("""COMPUTED_VALUE"""),45888.0)</f>
        <v>45888</v>
      </c>
      <c r="I663" s="18">
        <f>IFERROR(__xludf.DUMMYFUNCTION("""COMPUTED_VALUE"""),0.0)</f>
        <v>0</v>
      </c>
      <c r="J663" s="22"/>
      <c r="K663" s="22">
        <f>IFERROR(__xludf.DUMMYFUNCTION("""COMPUTED_VALUE"""),3.0)</f>
        <v>3</v>
      </c>
      <c r="L663" s="26" t="str">
        <f>IFERROR(__xludf.DUMMYFUNCTION("""COMPUTED_VALUE"""),"Shooter")</f>
        <v>Shooter</v>
      </c>
    </row>
    <row r="664">
      <c r="A664" s="12" t="str">
        <f>IFERROR(__xludf.DUMMYFUNCTION("""COMPUTED_VALUE"""),"Grounded 2 (Game Preview)")</f>
        <v>Grounded 2 (Game Preview)</v>
      </c>
      <c r="B664" s="13" t="str">
        <f>IFERROR(__xludf.DUMMYFUNCTION("""COMPUTED_VALUE"""),"Xbox / PC")</f>
        <v>Xbox / PC</v>
      </c>
      <c r="C664" s="14" t="str">
        <f>IFERROR(__xludf.DUMMYFUNCTION("""COMPUTED_VALUE"""),"Yes")</f>
        <v>Yes</v>
      </c>
      <c r="D664" s="14" t="str">
        <f>IFERROR(__xludf.DUMMYFUNCTION("""COMPUTED_VALUE"""),"Active")</f>
        <v>Active</v>
      </c>
      <c r="E664" s="15">
        <f>IFERROR(__xludf.DUMMYFUNCTION("""COMPUTED_VALUE"""),45867.0)</f>
        <v>45867</v>
      </c>
      <c r="F664" s="16"/>
      <c r="G664" s="18">
        <f>IFERROR(__xludf.DUMMYFUNCTION("""COMPUTED_VALUE"""),14.233333333333334)</f>
        <v>14.23333333</v>
      </c>
      <c r="H664" s="15">
        <f>IFERROR(__xludf.DUMMYFUNCTION("""COMPUTED_VALUE"""),45867.0)</f>
        <v>45867</v>
      </c>
      <c r="I664" s="18">
        <f>IFERROR(__xludf.DUMMYFUNCTION("""COMPUTED_VALUE"""),0.0)</f>
        <v>0</v>
      </c>
      <c r="J664" s="22"/>
      <c r="K664" s="22">
        <f>IFERROR(__xludf.DUMMYFUNCTION("""COMPUTED_VALUE"""),14.0)</f>
        <v>14</v>
      </c>
      <c r="L664" s="26" t="str">
        <f>IFERROR(__xludf.DUMMYFUNCTION("""COMPUTED_VALUE"""),"Sandbox")</f>
        <v>Sandbox</v>
      </c>
    </row>
    <row r="665">
      <c r="A665" s="12" t="str">
        <f>IFERROR(__xludf.DUMMYFUNCTION("""COMPUTED_VALUE"""),"Descenders Next (Game Preview)")</f>
        <v>Descenders Next (Game Preview)</v>
      </c>
      <c r="B665" s="13" t="str">
        <f>IFERROR(__xludf.DUMMYFUNCTION("""COMPUTED_VALUE"""),"Xbox / PC")</f>
        <v>Xbox / PC</v>
      </c>
      <c r="C665" s="14" t="str">
        <f>IFERROR(__xludf.DUMMYFUNCTION("""COMPUTED_VALUE"""),"Yes")</f>
        <v>Yes</v>
      </c>
      <c r="D665" s="14" t="str">
        <f>IFERROR(__xludf.DUMMYFUNCTION("""COMPUTED_VALUE"""),"Active")</f>
        <v>Active</v>
      </c>
      <c r="E665" s="15">
        <f>IFERROR(__xludf.DUMMYFUNCTION("""COMPUTED_VALUE"""),45859.0)</f>
        <v>45859</v>
      </c>
      <c r="F665" s="16"/>
      <c r="G665" s="18">
        <f>IFERROR(__xludf.DUMMYFUNCTION("""COMPUTED_VALUE"""),14.5)</f>
        <v>14.5</v>
      </c>
      <c r="H665" s="15">
        <f>IFERROR(__xludf.DUMMYFUNCTION("""COMPUTED_VALUE"""),45859.0)</f>
        <v>45859</v>
      </c>
      <c r="I665" s="18">
        <f>IFERROR(__xludf.DUMMYFUNCTION("""COMPUTED_VALUE"""),0.0)</f>
        <v>0</v>
      </c>
      <c r="J665" s="22"/>
      <c r="K665" s="22"/>
      <c r="L665" s="26" t="str">
        <f>IFERROR(__xludf.DUMMYFUNCTION("""COMPUTED_VALUE"""),"Sports")</f>
        <v>Sports</v>
      </c>
    </row>
    <row r="666">
      <c r="A666" s="12" t="str">
        <f>IFERROR(__xludf.DUMMYFUNCTION("""COMPUTED_VALUE"""),"Okie Dokie")</f>
        <v>Okie Dokie</v>
      </c>
      <c r="B666" s="13" t="str">
        <f>IFERROR(__xludf.DUMMYFUNCTION("""COMPUTED_VALUE"""),"Xbox / PC")</f>
        <v>Xbox / PC</v>
      </c>
      <c r="C666" s="14" t="str">
        <f>IFERROR(__xludf.DUMMYFUNCTION("""COMPUTED_VALUE"""),"Yes")</f>
        <v>Yes</v>
      </c>
      <c r="D666" s="14" t="str">
        <f>IFERROR(__xludf.DUMMYFUNCTION("""COMPUTED_VALUE"""),"Active")</f>
        <v>Active</v>
      </c>
      <c r="E666" s="15">
        <f>IFERROR(__xludf.DUMMYFUNCTION("""COMPUTED_VALUE"""),45859.0)</f>
        <v>45859</v>
      </c>
      <c r="F666" s="16"/>
      <c r="G666" s="18">
        <f>IFERROR(__xludf.DUMMYFUNCTION("""COMPUTED_VALUE"""),14.5)</f>
        <v>14.5</v>
      </c>
      <c r="H666" s="15">
        <f>IFERROR(__xludf.DUMMYFUNCTION("""COMPUTED_VALUE"""),31048.0)</f>
        <v>31048</v>
      </c>
      <c r="I666" s="18">
        <f>IFERROR(__xludf.DUMMYFUNCTION("""COMPUTED_VALUE"""),40.55555555555556)</f>
        <v>40.55555556</v>
      </c>
      <c r="J666" s="22"/>
      <c r="K666" s="22"/>
      <c r="L666" s="26" t="str">
        <f>IFERROR(__xludf.DUMMYFUNCTION("""COMPUTED_VALUE"""),"Puzzle")</f>
        <v>Puzzle</v>
      </c>
    </row>
    <row r="667">
      <c r="A667" s="12" t="str">
        <f>IFERROR(__xludf.DUMMYFUNCTION("""COMPUTED_VALUE"""),"Heart of China")</f>
        <v>Heart of China</v>
      </c>
      <c r="B667" s="13" t="str">
        <f>IFERROR(__xludf.DUMMYFUNCTION("""COMPUTED_VALUE"""),"Xbox / PC")</f>
        <v>Xbox / PC</v>
      </c>
      <c r="C667" s="14" t="str">
        <f>IFERROR(__xludf.DUMMYFUNCTION("""COMPUTED_VALUE"""),"Yes")</f>
        <v>Yes</v>
      </c>
      <c r="D667" s="14" t="str">
        <f>IFERROR(__xludf.DUMMYFUNCTION("""COMPUTED_VALUE"""),"Active")</f>
        <v>Active</v>
      </c>
      <c r="E667" s="15">
        <f>IFERROR(__xludf.DUMMYFUNCTION("""COMPUTED_VALUE"""),45839.0)</f>
        <v>45839</v>
      </c>
      <c r="F667" s="16"/>
      <c r="G667" s="18">
        <f>IFERROR(__xludf.DUMMYFUNCTION("""COMPUTED_VALUE"""),15.166666666666666)</f>
        <v>15.16666667</v>
      </c>
      <c r="H667" s="15">
        <f>IFERROR(__xludf.DUMMYFUNCTION("""COMPUTED_VALUE"""),33239.0)</f>
        <v>33239</v>
      </c>
      <c r="I667" s="18">
        <f>IFERROR(__xludf.DUMMYFUNCTION("""COMPUTED_VALUE"""),34.5)</f>
        <v>34.5</v>
      </c>
      <c r="J667" s="22"/>
      <c r="K667" s="22">
        <f>IFERROR(__xludf.DUMMYFUNCTION("""COMPUTED_VALUE"""),4.0)</f>
        <v>4</v>
      </c>
      <c r="L667" s="26" t="str">
        <f>IFERROR(__xludf.DUMMYFUNCTION("""COMPUTED_VALUE"""),"Adventure")</f>
        <v>Adventure</v>
      </c>
    </row>
    <row r="668">
      <c r="A668" s="12" t="str">
        <f>IFERROR(__xludf.DUMMYFUNCTION("""COMPUTED_VALUE"""),"Activision Prototype #1")</f>
        <v>Activision Prototype #1</v>
      </c>
      <c r="B668" s="13" t="str">
        <f>IFERROR(__xludf.DUMMYFUNCTION("""COMPUTED_VALUE"""),"Xbox / PC")</f>
        <v>Xbox / PC</v>
      </c>
      <c r="C668" s="14" t="str">
        <f>IFERROR(__xludf.DUMMYFUNCTION("""COMPUTED_VALUE"""),"Yes")</f>
        <v>Yes</v>
      </c>
      <c r="D668" s="14" t="str">
        <f>IFERROR(__xludf.DUMMYFUNCTION("""COMPUTED_VALUE"""),"Active")</f>
        <v>Active</v>
      </c>
      <c r="E668" s="15">
        <f>IFERROR(__xludf.DUMMYFUNCTION("""COMPUTED_VALUE"""),45798.0)</f>
        <v>45798</v>
      </c>
      <c r="F668" s="16"/>
      <c r="G668" s="18">
        <f>IFERROR(__xludf.DUMMYFUNCTION("""COMPUTED_VALUE"""),16.5)</f>
        <v>16.5</v>
      </c>
      <c r="H668" s="15">
        <f>IFERROR(__xludf.DUMMYFUNCTION("""COMPUTED_VALUE"""),30317.0)</f>
        <v>30317</v>
      </c>
      <c r="I668" s="18">
        <f>IFERROR(__xludf.DUMMYFUNCTION("""COMPUTED_VALUE"""),42.388888888888886)</f>
        <v>42.38888889</v>
      </c>
      <c r="J668" s="22"/>
      <c r="K668" s="22"/>
      <c r="L668" s="26" t="str">
        <f>IFERROR(__xludf.DUMMYFUNCTION("""COMPUTED_VALUE"""),"Action")</f>
        <v>Action</v>
      </c>
    </row>
    <row r="669">
      <c r="A669" s="12" t="str">
        <f>IFERROR(__xludf.DUMMYFUNCTION("""COMPUTED_VALUE"""),"Space Treat Deluxe")</f>
        <v>Space Treat Deluxe</v>
      </c>
      <c r="B669" s="13" t="str">
        <f>IFERROR(__xludf.DUMMYFUNCTION("""COMPUTED_VALUE"""),"Xbox / PC")</f>
        <v>Xbox / PC</v>
      </c>
      <c r="C669" s="14" t="str">
        <f>IFERROR(__xludf.DUMMYFUNCTION("""COMPUTED_VALUE"""),"Yes")</f>
        <v>Yes</v>
      </c>
      <c r="D669" s="14" t="str">
        <f>IFERROR(__xludf.DUMMYFUNCTION("""COMPUTED_VALUE"""),"Active")</f>
        <v>Active</v>
      </c>
      <c r="E669" s="15">
        <f>IFERROR(__xludf.DUMMYFUNCTION("""COMPUTED_VALUE"""),45798.0)</f>
        <v>45798</v>
      </c>
      <c r="F669" s="16"/>
      <c r="G669" s="18">
        <f>IFERROR(__xludf.DUMMYFUNCTION("""COMPUTED_VALUE"""),16.5)</f>
        <v>16.5</v>
      </c>
      <c r="H669" s="15">
        <f>IFERROR(__xludf.DUMMYFUNCTION("""COMPUTED_VALUE"""),37714.0)</f>
        <v>37714</v>
      </c>
      <c r="I669" s="18">
        <f>IFERROR(__xludf.DUMMYFUNCTION("""COMPUTED_VALUE"""),22.133333333333333)</f>
        <v>22.13333333</v>
      </c>
      <c r="J669" s="22"/>
      <c r="K669" s="22"/>
      <c r="L669" s="26" t="str">
        <f>IFERROR(__xludf.DUMMYFUNCTION("""COMPUTED_VALUE"""),"Action")</f>
        <v>Action</v>
      </c>
    </row>
    <row r="670">
      <c r="A670" s="12" t="str">
        <f>IFERROR(__xludf.DUMMYFUNCTION("""COMPUTED_VALUE"""),"Thwocker")</f>
        <v>Thwocker</v>
      </c>
      <c r="B670" s="13" t="str">
        <f>IFERROR(__xludf.DUMMYFUNCTION("""COMPUTED_VALUE"""),"Xbox / PC")</f>
        <v>Xbox / PC</v>
      </c>
      <c r="C670" s="14" t="str">
        <f>IFERROR(__xludf.DUMMYFUNCTION("""COMPUTED_VALUE"""),"Yes")</f>
        <v>Yes</v>
      </c>
      <c r="D670" s="14" t="str">
        <f>IFERROR(__xludf.DUMMYFUNCTION("""COMPUTED_VALUE"""),"Active")</f>
        <v>Active</v>
      </c>
      <c r="E670" s="15">
        <f>IFERROR(__xludf.DUMMYFUNCTION("""COMPUTED_VALUE"""),45798.0)</f>
        <v>45798</v>
      </c>
      <c r="F670" s="16"/>
      <c r="G670" s="18">
        <f>IFERROR(__xludf.DUMMYFUNCTION("""COMPUTED_VALUE"""),16.5)</f>
        <v>16.5</v>
      </c>
      <c r="H670" s="15">
        <f>IFERROR(__xludf.DUMMYFUNCTION("""COMPUTED_VALUE"""),30682.0)</f>
        <v>30682</v>
      </c>
      <c r="I670" s="18">
        <f>IFERROR(__xludf.DUMMYFUNCTION("""COMPUTED_VALUE"""),41.388888888888886)</f>
        <v>41.38888889</v>
      </c>
      <c r="J670" s="22"/>
      <c r="K670" s="22"/>
      <c r="L670" s="26" t="str">
        <f>IFERROR(__xludf.DUMMYFUNCTION("""COMPUTED_VALUE"""),"Action")</f>
        <v>Action</v>
      </c>
    </row>
    <row r="671">
      <c r="A671" s="12" t="str">
        <f>IFERROR(__xludf.DUMMYFUNCTION("""COMPUTED_VALUE"""),"Torin's Passage")</f>
        <v>Torin's Passage</v>
      </c>
      <c r="B671" s="13" t="str">
        <f>IFERROR(__xludf.DUMMYFUNCTION("""COMPUTED_VALUE"""),"Xbox / PC")</f>
        <v>Xbox / PC</v>
      </c>
      <c r="C671" s="14" t="str">
        <f>IFERROR(__xludf.DUMMYFUNCTION("""COMPUTED_VALUE"""),"Yes")</f>
        <v>Yes</v>
      </c>
      <c r="D671" s="14" t="str">
        <f>IFERROR(__xludf.DUMMYFUNCTION("""COMPUTED_VALUE"""),"Active")</f>
        <v>Active</v>
      </c>
      <c r="E671" s="15">
        <f>IFERROR(__xludf.DUMMYFUNCTION("""COMPUTED_VALUE"""),45798.0)</f>
        <v>45798</v>
      </c>
      <c r="F671" s="16"/>
      <c r="G671" s="18">
        <f>IFERROR(__xludf.DUMMYFUNCTION("""COMPUTED_VALUE"""),16.5)</f>
        <v>16.5</v>
      </c>
      <c r="H671" s="15">
        <f>IFERROR(__xludf.DUMMYFUNCTION("""COMPUTED_VALUE"""),35003.0)</f>
        <v>35003</v>
      </c>
      <c r="I671" s="18">
        <f>IFERROR(__xludf.DUMMYFUNCTION("""COMPUTED_VALUE"""),29.558333333333334)</f>
        <v>29.55833333</v>
      </c>
      <c r="J671" s="22"/>
      <c r="K671" s="22">
        <f>IFERROR(__xludf.DUMMYFUNCTION("""COMPUTED_VALUE"""),4.0)</f>
        <v>4</v>
      </c>
      <c r="L671" s="26" t="str">
        <f>IFERROR(__xludf.DUMMYFUNCTION("""COMPUTED_VALUE"""),"Action‑Adventure")</f>
        <v>Action‑Adventure</v>
      </c>
    </row>
    <row r="672">
      <c r="A672" s="12" t="str">
        <f>IFERROR(__xludf.DUMMYFUNCTION("""COMPUTED_VALUE"""),"Vault Assault")</f>
        <v>Vault Assault</v>
      </c>
      <c r="B672" s="13" t="str">
        <f>IFERROR(__xludf.DUMMYFUNCTION("""COMPUTED_VALUE"""),"Xbox / PC")</f>
        <v>Xbox / PC</v>
      </c>
      <c r="C672" s="14" t="str">
        <f>IFERROR(__xludf.DUMMYFUNCTION("""COMPUTED_VALUE"""),"Yes")</f>
        <v>Yes</v>
      </c>
      <c r="D672" s="14" t="str">
        <f>IFERROR(__xludf.DUMMYFUNCTION("""COMPUTED_VALUE"""),"Active")</f>
        <v>Active</v>
      </c>
      <c r="E672" s="15">
        <f>IFERROR(__xludf.DUMMYFUNCTION("""COMPUTED_VALUE"""),45798.0)</f>
        <v>45798</v>
      </c>
      <c r="F672" s="16"/>
      <c r="G672" s="18">
        <f>IFERROR(__xludf.DUMMYFUNCTION("""COMPUTED_VALUE"""),16.5)</f>
        <v>16.5</v>
      </c>
      <c r="H672" s="15">
        <f>IFERROR(__xludf.DUMMYFUNCTION("""COMPUTED_VALUE"""),37114.0)</f>
        <v>37114</v>
      </c>
      <c r="I672" s="18">
        <f>IFERROR(__xludf.DUMMYFUNCTION("""COMPUTED_VALUE"""),23.77777777777778)</f>
        <v>23.77777778</v>
      </c>
      <c r="J672" s="22"/>
      <c r="K672" s="22"/>
      <c r="L672" s="26" t="str">
        <f>IFERROR(__xludf.DUMMYFUNCTION("""COMPUTED_VALUE"""),"Shooter")</f>
        <v>Shooter</v>
      </c>
    </row>
    <row r="673">
      <c r="A673" s="12" t="str">
        <f>IFERROR(__xludf.DUMMYFUNCTION("""COMPUTED_VALUE"""),"Venetian Blinds")</f>
        <v>Venetian Blinds</v>
      </c>
      <c r="B673" s="13" t="str">
        <f>IFERROR(__xludf.DUMMYFUNCTION("""COMPUTED_VALUE"""),"Xbox / PC")</f>
        <v>Xbox / PC</v>
      </c>
      <c r="C673" s="14" t="str">
        <f>IFERROR(__xludf.DUMMYFUNCTION("""COMPUTED_VALUE"""),"Yes")</f>
        <v>Yes</v>
      </c>
      <c r="D673" s="14" t="str">
        <f>IFERROR(__xludf.DUMMYFUNCTION("""COMPUTED_VALUE"""),"Active")</f>
        <v>Active</v>
      </c>
      <c r="E673" s="15">
        <f>IFERROR(__xludf.DUMMYFUNCTION("""COMPUTED_VALUE"""),45798.0)</f>
        <v>45798</v>
      </c>
      <c r="F673" s="16"/>
      <c r="G673" s="18">
        <f>IFERROR(__xludf.DUMMYFUNCTION("""COMPUTED_VALUE"""),16.5)</f>
        <v>16.5</v>
      </c>
      <c r="H673" s="15">
        <f>IFERROR(__xludf.DUMMYFUNCTION("""COMPUTED_VALUE"""),37622.0)</f>
        <v>37622</v>
      </c>
      <c r="I673" s="18">
        <f>IFERROR(__xludf.DUMMYFUNCTION("""COMPUTED_VALUE"""),22.38888888888889)</f>
        <v>22.38888889</v>
      </c>
      <c r="J673" s="22"/>
      <c r="K673" s="22"/>
      <c r="L673" s="26" t="str">
        <f>IFERROR(__xludf.DUMMYFUNCTION("""COMPUTED_VALUE"""),"Simulation")</f>
        <v>Simulation</v>
      </c>
    </row>
    <row r="674">
      <c r="A674" s="12" t="str">
        <f>IFERROR(__xludf.DUMMYFUNCTION("""COMPUTED_VALUE"""),"Zork Zero: The Revenge of Megaboz")</f>
        <v>Zork Zero: The Revenge of Megaboz</v>
      </c>
      <c r="B674" s="13" t="str">
        <f>IFERROR(__xludf.DUMMYFUNCTION("""COMPUTED_VALUE"""),"Xbox / PC")</f>
        <v>Xbox / PC</v>
      </c>
      <c r="C674" s="14" t="str">
        <f>IFERROR(__xludf.DUMMYFUNCTION("""COMPUTED_VALUE"""),"Yes")</f>
        <v>Yes</v>
      </c>
      <c r="D674" s="14" t="str">
        <f>IFERROR(__xludf.DUMMYFUNCTION("""COMPUTED_VALUE"""),"Active")</f>
        <v>Active</v>
      </c>
      <c r="E674" s="15">
        <f>IFERROR(__xludf.DUMMYFUNCTION("""COMPUTED_VALUE"""),45798.0)</f>
        <v>45798</v>
      </c>
      <c r="F674" s="16"/>
      <c r="G674" s="18">
        <f>IFERROR(__xludf.DUMMYFUNCTION("""COMPUTED_VALUE"""),16.5)</f>
        <v>16.5</v>
      </c>
      <c r="H674" s="15">
        <f>IFERROR(__xludf.DUMMYFUNCTION("""COMPUTED_VALUE"""),32435.0)</f>
        <v>32435</v>
      </c>
      <c r="I674" s="18">
        <f>IFERROR(__xludf.DUMMYFUNCTION("""COMPUTED_VALUE"""),36.58888888888889)</f>
        <v>36.58888889</v>
      </c>
      <c r="J674" s="22"/>
      <c r="K674" s="22">
        <f>IFERROR(__xludf.DUMMYFUNCTION("""COMPUTED_VALUE"""),7.0)</f>
        <v>7</v>
      </c>
      <c r="L674" s="26" t="str">
        <f>IFERROR(__xludf.DUMMYFUNCTION("""COMPUTED_VALUE"""),"Action‑Adventure")</f>
        <v>Action‑Adventure</v>
      </c>
    </row>
    <row r="675">
      <c r="A675" s="12" t="str">
        <f>IFERROR(__xludf.DUMMYFUNCTION("""COMPUTED_VALUE"""),"Overthrown (Game Preview)")</f>
        <v>Overthrown (Game Preview)</v>
      </c>
      <c r="B675" s="13" t="str">
        <f>IFERROR(__xludf.DUMMYFUNCTION("""COMPUTED_VALUE"""),"Xbox / PC")</f>
        <v>Xbox / PC</v>
      </c>
      <c r="C675" s="14" t="str">
        <f>IFERROR(__xludf.DUMMYFUNCTION("""COMPUTED_VALUE"""),"Yes")</f>
        <v>Yes</v>
      </c>
      <c r="D675" s="14" t="str">
        <f>IFERROR(__xludf.DUMMYFUNCTION("""COMPUTED_VALUE"""),"Active")</f>
        <v>Active</v>
      </c>
      <c r="E675" s="15">
        <f>IFERROR(__xludf.DUMMYFUNCTION("""COMPUTED_VALUE"""),45631.0)</f>
        <v>45631</v>
      </c>
      <c r="F675" s="16"/>
      <c r="G675" s="18">
        <f>IFERROR(__xludf.DUMMYFUNCTION("""COMPUTED_VALUE"""),22.03333333333333)</f>
        <v>22.03333333</v>
      </c>
      <c r="H675" s="15">
        <f>IFERROR(__xludf.DUMMYFUNCTION("""COMPUTED_VALUE"""),45631.0)</f>
        <v>45631</v>
      </c>
      <c r="I675" s="18">
        <f>IFERROR(__xludf.DUMMYFUNCTION("""COMPUTED_VALUE"""),0.0)</f>
        <v>0</v>
      </c>
      <c r="J675" s="22"/>
      <c r="K675" s="22">
        <f>IFERROR(__xludf.DUMMYFUNCTION("""COMPUTED_VALUE"""),12.0)</f>
        <v>12</v>
      </c>
      <c r="L675" s="26" t="str">
        <f>IFERROR(__xludf.DUMMYFUNCTION("""COMPUTED_VALUE"""),"Sandbox")</f>
        <v>Sandbox</v>
      </c>
    </row>
    <row r="676">
      <c r="A676" s="12"/>
      <c r="B676" s="13"/>
      <c r="C676" s="14"/>
      <c r="D676" s="14"/>
      <c r="E676" s="15"/>
      <c r="F676" s="16"/>
      <c r="G676" s="18"/>
      <c r="H676" s="15"/>
      <c r="I676" s="18"/>
      <c r="J676" s="22"/>
      <c r="K676" s="108"/>
      <c r="L676" s="26"/>
    </row>
    <row r="677">
      <c r="A677" s="12"/>
      <c r="B677" s="13"/>
      <c r="C677" s="14"/>
      <c r="D677" s="14"/>
      <c r="E677" s="15"/>
      <c r="F677" s="16"/>
      <c r="G677" s="18"/>
      <c r="H677" s="15"/>
      <c r="I677" s="18"/>
      <c r="J677" s="22"/>
      <c r="K677" s="108"/>
      <c r="L677" s="26"/>
    </row>
    <row r="678">
      <c r="A678" s="12"/>
      <c r="B678" s="13"/>
      <c r="C678" s="14"/>
      <c r="D678" s="14"/>
      <c r="E678" s="15"/>
      <c r="F678" s="16"/>
      <c r="G678" s="18"/>
      <c r="H678" s="15"/>
      <c r="I678" s="18"/>
      <c r="J678" s="22"/>
      <c r="K678" s="108"/>
      <c r="L678" s="26"/>
    </row>
    <row r="679">
      <c r="A679" s="12"/>
      <c r="B679" s="13"/>
      <c r="C679" s="14"/>
      <c r="D679" s="14"/>
      <c r="E679" s="15"/>
      <c r="F679" s="16"/>
      <c r="G679" s="18"/>
      <c r="H679" s="15"/>
      <c r="I679" s="18"/>
      <c r="J679" s="22"/>
      <c r="K679" s="108"/>
      <c r="L679" s="26"/>
    </row>
    <row r="680">
      <c r="A680" s="12"/>
      <c r="B680" s="13"/>
      <c r="C680" s="14"/>
      <c r="D680" s="14"/>
      <c r="E680" s="15"/>
      <c r="F680" s="16"/>
      <c r="G680" s="18"/>
      <c r="H680" s="15"/>
      <c r="I680" s="18"/>
      <c r="J680" s="22"/>
      <c r="K680" s="108"/>
      <c r="L680" s="26"/>
    </row>
    <row r="681">
      <c r="A681" s="12"/>
      <c r="B681" s="13"/>
      <c r="C681" s="14"/>
      <c r="D681" s="14"/>
      <c r="E681" s="15"/>
      <c r="F681" s="16"/>
      <c r="G681" s="18"/>
      <c r="H681" s="15"/>
      <c r="I681" s="18"/>
      <c r="J681" s="22"/>
      <c r="K681" s="108"/>
      <c r="L681" s="26"/>
    </row>
    <row r="682">
      <c r="A682" s="12"/>
      <c r="B682" s="13"/>
      <c r="C682" s="14"/>
      <c r="D682" s="14"/>
      <c r="E682" s="15"/>
      <c r="F682" s="16"/>
      <c r="G682" s="18"/>
      <c r="H682" s="15"/>
      <c r="I682" s="18"/>
      <c r="J682" s="22"/>
      <c r="K682" s="108"/>
      <c r="L682" s="26"/>
    </row>
    <row r="683">
      <c r="A683" s="12"/>
      <c r="B683" s="13"/>
      <c r="C683" s="14"/>
      <c r="D683" s="14"/>
      <c r="E683" s="15"/>
      <c r="F683" s="16"/>
      <c r="G683" s="18"/>
      <c r="H683" s="15"/>
      <c r="I683" s="18"/>
      <c r="J683" s="22"/>
      <c r="K683" s="108"/>
      <c r="L683" s="26"/>
    </row>
    <row r="684">
      <c r="A684" s="12"/>
      <c r="B684" s="13"/>
      <c r="C684" s="14"/>
      <c r="D684" s="14"/>
      <c r="E684" s="15"/>
      <c r="F684" s="16"/>
      <c r="G684" s="18"/>
      <c r="H684" s="15"/>
      <c r="I684" s="18"/>
      <c r="J684" s="22"/>
      <c r="K684" s="108"/>
      <c r="L684" s="26"/>
    </row>
    <row r="685">
      <c r="A685" s="12"/>
      <c r="B685" s="13"/>
      <c r="C685" s="14"/>
      <c r="D685" s="14"/>
      <c r="E685" s="15"/>
      <c r="F685" s="16"/>
      <c r="G685" s="18"/>
      <c r="H685" s="15"/>
      <c r="I685" s="18"/>
      <c r="J685" s="22"/>
      <c r="K685" s="108"/>
      <c r="L685" s="26"/>
    </row>
    <row r="686">
      <c r="A686" s="12"/>
      <c r="B686" s="13"/>
      <c r="C686" s="14"/>
      <c r="D686" s="14"/>
      <c r="E686" s="15"/>
      <c r="F686" s="16"/>
      <c r="G686" s="18"/>
      <c r="H686" s="15"/>
      <c r="I686" s="18"/>
      <c r="J686" s="22"/>
      <c r="K686" s="108"/>
      <c r="L686" s="26"/>
    </row>
    <row r="687">
      <c r="A687" s="12"/>
      <c r="B687" s="13"/>
      <c r="C687" s="14"/>
      <c r="D687" s="14"/>
      <c r="E687" s="15"/>
      <c r="F687" s="16"/>
      <c r="G687" s="18"/>
      <c r="H687" s="15"/>
      <c r="I687" s="18"/>
      <c r="J687" s="22"/>
      <c r="K687" s="108"/>
      <c r="L687" s="26"/>
    </row>
    <row r="688">
      <c r="A688" s="12"/>
      <c r="B688" s="13"/>
      <c r="C688" s="14"/>
      <c r="D688" s="14"/>
      <c r="E688" s="15"/>
      <c r="F688" s="16"/>
      <c r="G688" s="18"/>
      <c r="H688" s="15"/>
      <c r="I688" s="18"/>
      <c r="J688" s="22"/>
      <c r="K688" s="108"/>
      <c r="L688" s="26"/>
    </row>
    <row r="689">
      <c r="A689" s="12"/>
      <c r="B689" s="13"/>
      <c r="C689" s="14"/>
      <c r="D689" s="14"/>
      <c r="E689" s="15"/>
      <c r="F689" s="16"/>
      <c r="G689" s="18"/>
      <c r="H689" s="15"/>
      <c r="I689" s="18"/>
      <c r="J689" s="22"/>
      <c r="K689" s="108"/>
      <c r="L689" s="26"/>
    </row>
    <row r="690">
      <c r="A690" s="12"/>
      <c r="B690" s="13"/>
      <c r="C690" s="14"/>
      <c r="D690" s="14"/>
      <c r="E690" s="15"/>
      <c r="F690" s="16"/>
      <c r="G690" s="18"/>
      <c r="H690" s="15"/>
      <c r="I690" s="18"/>
      <c r="J690" s="22"/>
      <c r="K690" s="108"/>
      <c r="L690" s="26"/>
    </row>
    <row r="691">
      <c r="A691" s="12"/>
      <c r="B691" s="13"/>
      <c r="C691" s="14"/>
      <c r="D691" s="14"/>
      <c r="E691" s="15"/>
      <c r="F691" s="16"/>
      <c r="G691" s="18"/>
      <c r="H691" s="15"/>
      <c r="I691" s="18"/>
      <c r="J691" s="22"/>
      <c r="K691" s="108"/>
      <c r="L691" s="26"/>
    </row>
    <row r="692">
      <c r="A692" s="12"/>
      <c r="B692" s="13"/>
      <c r="C692" s="14"/>
      <c r="D692" s="14"/>
      <c r="E692" s="15"/>
      <c r="F692" s="16"/>
      <c r="G692" s="18"/>
      <c r="H692" s="15"/>
      <c r="I692" s="18"/>
      <c r="J692" s="22"/>
      <c r="K692" s="108"/>
      <c r="L692" s="26"/>
    </row>
    <row r="693">
      <c r="A693" s="12"/>
      <c r="B693" s="13"/>
      <c r="C693" s="14"/>
      <c r="D693" s="14"/>
      <c r="E693" s="15"/>
      <c r="F693" s="16"/>
      <c r="G693" s="18"/>
      <c r="H693" s="15"/>
      <c r="I693" s="18"/>
      <c r="J693" s="22"/>
      <c r="K693" s="108"/>
      <c r="L693" s="26"/>
    </row>
    <row r="694">
      <c r="A694" s="12"/>
      <c r="B694" s="13"/>
      <c r="C694" s="14"/>
      <c r="D694" s="14"/>
      <c r="E694" s="15"/>
      <c r="F694" s="16"/>
      <c r="G694" s="18"/>
      <c r="H694" s="15"/>
      <c r="I694" s="18"/>
      <c r="J694" s="22"/>
      <c r="K694" s="108"/>
      <c r="L694" s="26"/>
    </row>
    <row r="695">
      <c r="A695" s="12"/>
      <c r="B695" s="13"/>
      <c r="C695" s="14"/>
      <c r="D695" s="14"/>
      <c r="E695" s="15"/>
      <c r="F695" s="16"/>
      <c r="G695" s="18"/>
      <c r="H695" s="15"/>
      <c r="I695" s="18"/>
      <c r="J695" s="22"/>
      <c r="K695" s="108"/>
      <c r="L695" s="26"/>
    </row>
    <row r="696">
      <c r="A696" s="12"/>
      <c r="B696" s="13"/>
      <c r="C696" s="14"/>
      <c r="D696" s="14"/>
      <c r="E696" s="15"/>
      <c r="F696" s="16"/>
      <c r="G696" s="18"/>
      <c r="H696" s="15"/>
      <c r="I696" s="18"/>
      <c r="J696" s="22"/>
      <c r="K696" s="108"/>
      <c r="L696" s="26"/>
    </row>
    <row r="697">
      <c r="A697" s="12"/>
      <c r="B697" s="13"/>
      <c r="C697" s="14"/>
      <c r="D697" s="14"/>
      <c r="E697" s="15"/>
      <c r="F697" s="16"/>
      <c r="G697" s="18"/>
      <c r="H697" s="15"/>
      <c r="I697" s="18"/>
      <c r="J697" s="22"/>
      <c r="K697" s="108"/>
      <c r="L697" s="26"/>
    </row>
    <row r="698">
      <c r="A698" s="12"/>
      <c r="B698" s="13"/>
      <c r="C698" s="14"/>
      <c r="D698" s="14"/>
      <c r="E698" s="15"/>
      <c r="F698" s="16"/>
      <c r="G698" s="18"/>
      <c r="H698" s="15"/>
      <c r="I698" s="18"/>
      <c r="J698" s="22"/>
      <c r="K698" s="108"/>
      <c r="L698" s="26"/>
    </row>
    <row r="699">
      <c r="A699" s="12"/>
      <c r="B699" s="13"/>
      <c r="C699" s="14"/>
      <c r="D699" s="14"/>
      <c r="E699" s="15"/>
      <c r="F699" s="16"/>
      <c r="G699" s="18"/>
      <c r="H699" s="15"/>
      <c r="I699" s="18"/>
      <c r="J699" s="22"/>
      <c r="K699" s="108"/>
      <c r="L699" s="26"/>
    </row>
    <row r="700">
      <c r="A700" s="12"/>
      <c r="B700" s="13"/>
      <c r="C700" s="14"/>
      <c r="D700" s="14"/>
      <c r="E700" s="15"/>
      <c r="F700" s="16"/>
      <c r="G700" s="18"/>
      <c r="H700" s="15"/>
      <c r="I700" s="18"/>
      <c r="J700" s="22"/>
      <c r="K700" s="108"/>
      <c r="L700" s="26"/>
    </row>
    <row r="701">
      <c r="A701" s="12"/>
      <c r="B701" s="13"/>
      <c r="C701" s="14"/>
      <c r="D701" s="14"/>
      <c r="E701" s="15"/>
      <c r="F701" s="16"/>
      <c r="G701" s="18"/>
      <c r="H701" s="15"/>
      <c r="I701" s="18"/>
      <c r="J701" s="22"/>
      <c r="K701" s="108"/>
      <c r="L701" s="26"/>
    </row>
    <row r="702">
      <c r="A702" s="12"/>
      <c r="B702" s="13"/>
      <c r="C702" s="14"/>
      <c r="D702" s="14"/>
      <c r="E702" s="15"/>
      <c r="F702" s="16"/>
      <c r="G702" s="18"/>
      <c r="H702" s="15"/>
      <c r="I702" s="18"/>
      <c r="J702" s="22"/>
      <c r="K702" s="108"/>
      <c r="L702" s="26"/>
    </row>
    <row r="703">
      <c r="A703" s="12"/>
      <c r="B703" s="13"/>
      <c r="C703" s="14"/>
      <c r="D703" s="14"/>
      <c r="E703" s="15"/>
      <c r="F703" s="16"/>
      <c r="G703" s="18"/>
      <c r="H703" s="15"/>
      <c r="I703" s="18"/>
      <c r="J703" s="22"/>
      <c r="K703" s="108"/>
      <c r="L703" s="26"/>
    </row>
    <row r="704">
      <c r="A704" s="12"/>
      <c r="B704" s="13"/>
      <c r="C704" s="14"/>
      <c r="D704" s="14"/>
      <c r="E704" s="15"/>
      <c r="F704" s="16"/>
      <c r="G704" s="18"/>
      <c r="H704" s="15"/>
      <c r="I704" s="18"/>
      <c r="J704" s="22"/>
      <c r="K704" s="108"/>
      <c r="L704" s="26"/>
    </row>
    <row r="705">
      <c r="A705" s="12"/>
      <c r="B705" s="13"/>
      <c r="C705" s="14"/>
      <c r="D705" s="14"/>
      <c r="E705" s="15"/>
      <c r="F705" s="16"/>
      <c r="G705" s="18"/>
      <c r="H705" s="15"/>
      <c r="I705" s="18"/>
      <c r="J705" s="22"/>
      <c r="K705" s="108"/>
      <c r="L705" s="26"/>
    </row>
    <row r="706">
      <c r="A706" s="12"/>
      <c r="B706" s="13"/>
      <c r="C706" s="14"/>
      <c r="D706" s="14"/>
      <c r="E706" s="15"/>
      <c r="F706" s="16"/>
      <c r="G706" s="18"/>
      <c r="H706" s="15"/>
      <c r="I706" s="18"/>
      <c r="J706" s="22"/>
      <c r="K706" s="108"/>
      <c r="L706" s="26"/>
    </row>
    <row r="707">
      <c r="A707" s="12"/>
      <c r="B707" s="13"/>
      <c r="C707" s="14"/>
      <c r="D707" s="14"/>
      <c r="E707" s="15"/>
      <c r="F707" s="16"/>
      <c r="G707" s="18"/>
      <c r="H707" s="15"/>
      <c r="I707" s="18"/>
      <c r="J707" s="22"/>
      <c r="K707" s="108"/>
      <c r="L707" s="26"/>
    </row>
    <row r="708">
      <c r="A708" s="12"/>
      <c r="B708" s="13"/>
      <c r="C708" s="14"/>
      <c r="D708" s="14"/>
      <c r="E708" s="15"/>
      <c r="F708" s="16"/>
      <c r="G708" s="18"/>
      <c r="H708" s="15"/>
      <c r="I708" s="18"/>
      <c r="J708" s="22"/>
      <c r="K708" s="108"/>
      <c r="L708" s="26"/>
    </row>
    <row r="709">
      <c r="A709" s="12"/>
      <c r="B709" s="13"/>
      <c r="C709" s="14"/>
      <c r="D709" s="14"/>
      <c r="E709" s="15"/>
      <c r="F709" s="16"/>
      <c r="G709" s="18"/>
      <c r="H709" s="15"/>
      <c r="I709" s="18"/>
      <c r="J709" s="22"/>
      <c r="K709" s="108"/>
      <c r="L709" s="26"/>
    </row>
    <row r="710">
      <c r="A710" s="12"/>
      <c r="B710" s="13"/>
      <c r="C710" s="14"/>
      <c r="D710" s="14"/>
      <c r="E710" s="15"/>
      <c r="F710" s="16"/>
      <c r="G710" s="18"/>
      <c r="H710" s="15"/>
      <c r="I710" s="18"/>
      <c r="J710" s="22"/>
      <c r="K710" s="108"/>
      <c r="L710" s="26"/>
    </row>
    <row r="711">
      <c r="A711" s="12"/>
      <c r="B711" s="13"/>
      <c r="C711" s="14"/>
      <c r="D711" s="14"/>
      <c r="E711" s="15"/>
      <c r="F711" s="16"/>
      <c r="G711" s="18"/>
      <c r="H711" s="15"/>
      <c r="I711" s="18"/>
      <c r="J711" s="22"/>
      <c r="K711" s="108"/>
      <c r="L711" s="26"/>
    </row>
    <row r="712">
      <c r="A712" s="12"/>
      <c r="B712" s="13"/>
      <c r="C712" s="14"/>
      <c r="D712" s="14"/>
      <c r="E712" s="15"/>
      <c r="F712" s="16"/>
      <c r="G712" s="18"/>
      <c r="H712" s="15"/>
      <c r="I712" s="18"/>
      <c r="J712" s="22"/>
      <c r="K712" s="108"/>
      <c r="L712" s="26"/>
    </row>
    <row r="713">
      <c r="A713" s="12"/>
      <c r="B713" s="13"/>
      <c r="C713" s="14"/>
      <c r="D713" s="14"/>
      <c r="E713" s="15"/>
      <c r="F713" s="16"/>
      <c r="G713" s="18"/>
      <c r="H713" s="15"/>
      <c r="I713" s="18"/>
      <c r="J713" s="22"/>
      <c r="K713" s="108"/>
      <c r="L713" s="26"/>
    </row>
    <row r="714">
      <c r="A714" s="12"/>
      <c r="B714" s="13"/>
      <c r="C714" s="14"/>
      <c r="D714" s="14"/>
      <c r="E714" s="15"/>
      <c r="F714" s="16"/>
      <c r="G714" s="18"/>
      <c r="H714" s="15"/>
      <c r="I714" s="18"/>
      <c r="J714" s="22"/>
      <c r="K714" s="108"/>
      <c r="L714" s="26"/>
    </row>
    <row r="715">
      <c r="A715" s="12"/>
      <c r="B715" s="13"/>
      <c r="C715" s="14"/>
      <c r="D715" s="14"/>
      <c r="E715" s="15"/>
      <c r="F715" s="16"/>
      <c r="G715" s="18"/>
      <c r="H715" s="15"/>
      <c r="I715" s="18"/>
      <c r="J715" s="22"/>
      <c r="K715" s="108"/>
      <c r="L715" s="26"/>
    </row>
    <row r="716">
      <c r="A716" s="12"/>
      <c r="B716" s="13"/>
      <c r="C716" s="14"/>
      <c r="D716" s="14"/>
      <c r="E716" s="15"/>
      <c r="F716" s="16"/>
      <c r="G716" s="18"/>
      <c r="H716" s="15"/>
      <c r="I716" s="18"/>
      <c r="J716" s="22"/>
      <c r="K716" s="108"/>
      <c r="L716" s="26"/>
    </row>
    <row r="717">
      <c r="A717" s="12"/>
      <c r="B717" s="13"/>
      <c r="C717" s="14"/>
      <c r="D717" s="14"/>
      <c r="E717" s="15"/>
      <c r="F717" s="16"/>
      <c r="G717" s="18"/>
      <c r="H717" s="15"/>
      <c r="I717" s="18"/>
      <c r="J717" s="22"/>
      <c r="K717" s="108"/>
      <c r="L717" s="26"/>
    </row>
    <row r="718">
      <c r="A718" s="12"/>
      <c r="B718" s="13"/>
      <c r="C718" s="14"/>
      <c r="D718" s="14"/>
      <c r="E718" s="15"/>
      <c r="F718" s="16"/>
      <c r="G718" s="18"/>
      <c r="H718" s="15"/>
      <c r="I718" s="18"/>
      <c r="J718" s="22"/>
      <c r="K718" s="108"/>
      <c r="L718" s="26"/>
    </row>
    <row r="719">
      <c r="A719" s="12"/>
      <c r="B719" s="13"/>
      <c r="C719" s="14"/>
      <c r="D719" s="14"/>
      <c r="E719" s="15"/>
      <c r="F719" s="16"/>
      <c r="G719" s="18"/>
      <c r="H719" s="15"/>
      <c r="I719" s="18"/>
      <c r="J719" s="22"/>
      <c r="K719" s="108"/>
      <c r="L719" s="26"/>
    </row>
    <row r="720">
      <c r="A720" s="12"/>
      <c r="B720" s="13"/>
      <c r="C720" s="14"/>
      <c r="D720" s="14"/>
      <c r="E720" s="15"/>
      <c r="F720" s="16"/>
      <c r="G720" s="18"/>
      <c r="H720" s="15"/>
      <c r="I720" s="18"/>
      <c r="J720" s="22"/>
      <c r="K720" s="108"/>
      <c r="L720" s="26"/>
    </row>
    <row r="721">
      <c r="A721" s="12"/>
      <c r="B721" s="13"/>
      <c r="C721" s="14"/>
      <c r="D721" s="14"/>
      <c r="E721" s="15"/>
      <c r="F721" s="16"/>
      <c r="G721" s="18"/>
      <c r="H721" s="15"/>
      <c r="I721" s="18"/>
      <c r="J721" s="22"/>
      <c r="K721" s="108"/>
      <c r="L721" s="26"/>
    </row>
    <row r="722">
      <c r="A722" s="12"/>
      <c r="B722" s="13"/>
      <c r="C722" s="14"/>
      <c r="D722" s="14"/>
      <c r="E722" s="15"/>
      <c r="F722" s="16"/>
      <c r="G722" s="18"/>
      <c r="H722" s="15"/>
      <c r="I722" s="18"/>
      <c r="J722" s="22"/>
      <c r="K722" s="108"/>
      <c r="L722" s="26"/>
    </row>
    <row r="723">
      <c r="A723" s="12"/>
      <c r="B723" s="13"/>
      <c r="C723" s="14"/>
      <c r="D723" s="14"/>
      <c r="E723" s="15"/>
      <c r="F723" s="16"/>
      <c r="G723" s="18"/>
      <c r="H723" s="15"/>
      <c r="I723" s="18"/>
      <c r="J723" s="22"/>
      <c r="K723" s="108"/>
      <c r="L723" s="26"/>
    </row>
    <row r="724">
      <c r="A724" s="12"/>
      <c r="B724" s="13"/>
      <c r="C724" s="14"/>
      <c r="D724" s="14"/>
      <c r="E724" s="15"/>
      <c r="F724" s="16"/>
      <c r="G724" s="18"/>
      <c r="H724" s="15"/>
      <c r="I724" s="18"/>
      <c r="J724" s="22"/>
      <c r="K724" s="108"/>
      <c r="L724" s="26"/>
    </row>
    <row r="725">
      <c r="A725" s="12"/>
      <c r="B725" s="13"/>
      <c r="C725" s="14"/>
      <c r="D725" s="14"/>
      <c r="E725" s="15"/>
      <c r="F725" s="16"/>
      <c r="G725" s="18"/>
      <c r="H725" s="15"/>
      <c r="I725" s="18"/>
      <c r="J725" s="22"/>
      <c r="K725" s="108"/>
      <c r="L725" s="26"/>
    </row>
    <row r="726">
      <c r="A726" s="12"/>
      <c r="B726" s="13"/>
      <c r="C726" s="14"/>
      <c r="D726" s="14"/>
      <c r="E726" s="15"/>
      <c r="F726" s="16"/>
      <c r="G726" s="18"/>
      <c r="H726" s="15"/>
      <c r="I726" s="18"/>
      <c r="J726" s="22"/>
      <c r="K726" s="108"/>
      <c r="L726" s="26"/>
    </row>
    <row r="727">
      <c r="A727" s="12"/>
      <c r="B727" s="13"/>
      <c r="C727" s="14"/>
      <c r="D727" s="14"/>
      <c r="E727" s="15"/>
      <c r="F727" s="16"/>
      <c r="G727" s="18"/>
      <c r="H727" s="15"/>
      <c r="I727" s="18"/>
      <c r="J727" s="22"/>
      <c r="K727" s="108"/>
      <c r="L727" s="26"/>
    </row>
    <row r="728">
      <c r="A728" s="12"/>
      <c r="B728" s="13"/>
      <c r="C728" s="14"/>
      <c r="D728" s="14"/>
      <c r="E728" s="15"/>
      <c r="F728" s="16"/>
      <c r="G728" s="18"/>
      <c r="H728" s="15"/>
      <c r="I728" s="18"/>
      <c r="J728" s="22"/>
      <c r="K728" s="108"/>
      <c r="L728" s="26"/>
    </row>
    <row r="729">
      <c r="A729" s="12"/>
      <c r="B729" s="13"/>
      <c r="C729" s="14"/>
      <c r="D729" s="14"/>
      <c r="E729" s="15"/>
      <c r="F729" s="16"/>
      <c r="G729" s="18"/>
      <c r="H729" s="15"/>
      <c r="I729" s="18"/>
      <c r="J729" s="22"/>
      <c r="K729" s="108"/>
      <c r="L729" s="26"/>
    </row>
    <row r="730">
      <c r="A730" s="12"/>
      <c r="B730" s="13"/>
      <c r="C730" s="14"/>
      <c r="D730" s="14"/>
      <c r="E730" s="15"/>
      <c r="F730" s="16"/>
      <c r="G730" s="18"/>
      <c r="H730" s="15"/>
      <c r="I730" s="18"/>
      <c r="J730" s="22"/>
      <c r="K730" s="108"/>
      <c r="L730" s="26"/>
    </row>
    <row r="731">
      <c r="A731" s="12"/>
      <c r="B731" s="13"/>
      <c r="C731" s="14"/>
      <c r="D731" s="14"/>
      <c r="E731" s="15"/>
      <c r="F731" s="16"/>
      <c r="G731" s="18"/>
      <c r="H731" s="15"/>
      <c r="I731" s="18"/>
      <c r="J731" s="22"/>
      <c r="K731" s="108"/>
      <c r="L731" s="26"/>
    </row>
    <row r="732">
      <c r="A732" s="12"/>
      <c r="B732" s="13"/>
      <c r="C732" s="14"/>
      <c r="D732" s="14"/>
      <c r="E732" s="15"/>
      <c r="F732" s="16"/>
      <c r="G732" s="18"/>
      <c r="H732" s="15"/>
      <c r="I732" s="18"/>
      <c r="J732" s="22"/>
      <c r="K732" s="108"/>
      <c r="L732" s="26"/>
    </row>
    <row r="733">
      <c r="A733" s="12"/>
      <c r="B733" s="13"/>
      <c r="C733" s="14"/>
      <c r="D733" s="14"/>
      <c r="E733" s="15"/>
      <c r="F733" s="16"/>
      <c r="G733" s="18"/>
      <c r="H733" s="15"/>
      <c r="I733" s="18"/>
      <c r="J733" s="22"/>
      <c r="K733" s="108"/>
      <c r="L733" s="26"/>
    </row>
    <row r="734">
      <c r="A734" s="12"/>
      <c r="B734" s="13"/>
      <c r="C734" s="14"/>
      <c r="D734" s="14"/>
      <c r="E734" s="15"/>
      <c r="F734" s="16"/>
      <c r="G734" s="18"/>
      <c r="H734" s="15"/>
      <c r="I734" s="18"/>
      <c r="J734" s="22"/>
      <c r="K734" s="108"/>
      <c r="L734" s="26"/>
    </row>
    <row r="735">
      <c r="A735" s="12"/>
      <c r="B735" s="13"/>
      <c r="C735" s="14"/>
      <c r="D735" s="14"/>
      <c r="E735" s="15"/>
      <c r="F735" s="16"/>
      <c r="G735" s="18"/>
      <c r="H735" s="15"/>
      <c r="I735" s="18"/>
      <c r="J735" s="22"/>
      <c r="K735" s="108"/>
      <c r="L735" s="26"/>
    </row>
    <row r="736">
      <c r="A736" s="12"/>
      <c r="B736" s="13"/>
      <c r="C736" s="14"/>
      <c r="D736" s="14"/>
      <c r="E736" s="15"/>
      <c r="F736" s="16"/>
      <c r="G736" s="18"/>
      <c r="H736" s="15"/>
      <c r="I736" s="18"/>
      <c r="J736" s="22"/>
      <c r="K736" s="108"/>
      <c r="L736" s="26"/>
    </row>
    <row r="737">
      <c r="A737" s="12"/>
      <c r="B737" s="13"/>
      <c r="C737" s="14"/>
      <c r="D737" s="14"/>
      <c r="E737" s="15"/>
      <c r="F737" s="16"/>
      <c r="G737" s="18"/>
      <c r="H737" s="15"/>
      <c r="I737" s="18"/>
      <c r="J737" s="22"/>
      <c r="K737" s="108"/>
      <c r="L737" s="26"/>
    </row>
    <row r="738">
      <c r="A738" s="12"/>
      <c r="B738" s="13"/>
      <c r="C738" s="14"/>
      <c r="D738" s="14"/>
      <c r="E738" s="15"/>
      <c r="F738" s="16"/>
      <c r="G738" s="18"/>
      <c r="H738" s="15"/>
      <c r="I738" s="18"/>
      <c r="J738" s="22"/>
      <c r="K738" s="108"/>
      <c r="L738" s="26"/>
    </row>
    <row r="739">
      <c r="A739" s="12"/>
      <c r="B739" s="13"/>
      <c r="C739" s="14"/>
      <c r="D739" s="14"/>
      <c r="E739" s="15"/>
      <c r="F739" s="16"/>
      <c r="G739" s="18"/>
      <c r="H739" s="15"/>
      <c r="I739" s="18"/>
      <c r="J739" s="22"/>
      <c r="K739" s="108"/>
      <c r="L739" s="26"/>
    </row>
    <row r="740">
      <c r="A740" s="12"/>
      <c r="B740" s="13"/>
      <c r="C740" s="14"/>
      <c r="D740" s="14"/>
      <c r="E740" s="15"/>
      <c r="F740" s="16"/>
      <c r="G740" s="18"/>
      <c r="H740" s="15"/>
      <c r="I740" s="18"/>
      <c r="J740" s="22"/>
      <c r="K740" s="108"/>
      <c r="L740" s="26"/>
    </row>
    <row r="741">
      <c r="A741" s="12"/>
      <c r="B741" s="13"/>
      <c r="C741" s="14"/>
      <c r="D741" s="14"/>
      <c r="E741" s="15"/>
      <c r="F741" s="16"/>
      <c r="G741" s="18"/>
      <c r="H741" s="15"/>
      <c r="I741" s="18"/>
      <c r="J741" s="22"/>
      <c r="K741" s="108"/>
      <c r="L741" s="26"/>
    </row>
    <row r="742">
      <c r="A742" s="12"/>
      <c r="B742" s="13"/>
      <c r="C742" s="14"/>
      <c r="D742" s="14"/>
      <c r="E742" s="15"/>
      <c r="F742" s="16"/>
      <c r="G742" s="18"/>
      <c r="H742" s="15"/>
      <c r="I742" s="18"/>
      <c r="J742" s="22"/>
      <c r="K742" s="108"/>
      <c r="L742" s="26"/>
    </row>
    <row r="743">
      <c r="A743" s="12"/>
      <c r="B743" s="13"/>
      <c r="C743" s="14"/>
      <c r="D743" s="14"/>
      <c r="E743" s="15"/>
      <c r="F743" s="16"/>
      <c r="G743" s="18"/>
      <c r="H743" s="15"/>
      <c r="I743" s="18"/>
      <c r="J743" s="22"/>
      <c r="K743" s="108"/>
      <c r="L743" s="26"/>
    </row>
    <row r="744">
      <c r="A744" s="12"/>
      <c r="B744" s="13"/>
      <c r="C744" s="14"/>
      <c r="D744" s="14"/>
      <c r="E744" s="15"/>
      <c r="F744" s="16"/>
      <c r="G744" s="18"/>
      <c r="H744" s="15"/>
      <c r="I744" s="18"/>
      <c r="J744" s="22"/>
      <c r="K744" s="108"/>
      <c r="L744" s="26"/>
    </row>
    <row r="745">
      <c r="A745" s="12"/>
      <c r="B745" s="13"/>
      <c r="C745" s="14"/>
      <c r="D745" s="14"/>
      <c r="E745" s="15"/>
      <c r="F745" s="16"/>
      <c r="G745" s="18"/>
      <c r="H745" s="15"/>
      <c r="I745" s="18"/>
      <c r="J745" s="22"/>
      <c r="K745" s="108"/>
      <c r="L745" s="26"/>
    </row>
    <row r="746">
      <c r="A746" s="12"/>
      <c r="B746" s="13"/>
      <c r="C746" s="14"/>
      <c r="D746" s="14"/>
      <c r="E746" s="15"/>
      <c r="F746" s="16"/>
      <c r="G746" s="18"/>
      <c r="H746" s="15"/>
      <c r="I746" s="18"/>
      <c r="J746" s="22"/>
      <c r="K746" s="108"/>
      <c r="L746" s="26"/>
    </row>
    <row r="747">
      <c r="A747" s="12"/>
      <c r="B747" s="13"/>
      <c r="C747" s="14"/>
      <c r="D747" s="14"/>
      <c r="E747" s="15"/>
      <c r="F747" s="16"/>
      <c r="G747" s="18"/>
      <c r="H747" s="15"/>
      <c r="I747" s="18"/>
      <c r="J747" s="22"/>
      <c r="K747" s="108"/>
      <c r="L747" s="26"/>
    </row>
    <row r="748">
      <c r="A748" s="12"/>
      <c r="B748" s="13"/>
      <c r="C748" s="14"/>
      <c r="D748" s="14"/>
      <c r="E748" s="15"/>
      <c r="F748" s="16"/>
      <c r="G748" s="18"/>
      <c r="H748" s="15"/>
      <c r="I748" s="18"/>
      <c r="J748" s="22"/>
      <c r="K748" s="108"/>
      <c r="L748" s="26"/>
    </row>
    <row r="749">
      <c r="A749" s="12"/>
      <c r="B749" s="13"/>
      <c r="C749" s="14"/>
      <c r="D749" s="14"/>
      <c r="E749" s="15"/>
      <c r="F749" s="16"/>
      <c r="G749" s="18"/>
      <c r="H749" s="15"/>
      <c r="I749" s="18"/>
      <c r="J749" s="22"/>
      <c r="K749" s="108"/>
      <c r="L749" s="26"/>
    </row>
    <row r="750">
      <c r="A750" s="12"/>
      <c r="B750" s="13"/>
      <c r="C750" s="14"/>
      <c r="D750" s="14"/>
      <c r="E750" s="15"/>
      <c r="F750" s="16"/>
      <c r="G750" s="18"/>
      <c r="H750" s="15"/>
      <c r="I750" s="18"/>
      <c r="J750" s="22"/>
      <c r="K750" s="108"/>
      <c r="L750" s="26"/>
    </row>
    <row r="751">
      <c r="A751" s="12"/>
      <c r="B751" s="13"/>
      <c r="C751" s="14"/>
      <c r="D751" s="14"/>
      <c r="E751" s="15"/>
      <c r="F751" s="16"/>
      <c r="G751" s="18"/>
      <c r="H751" s="15"/>
      <c r="I751" s="18"/>
      <c r="J751" s="22"/>
      <c r="K751" s="108"/>
      <c r="L751" s="26"/>
    </row>
    <row r="752">
      <c r="A752" s="12"/>
      <c r="B752" s="13"/>
      <c r="C752" s="14"/>
      <c r="D752" s="14"/>
      <c r="E752" s="15"/>
      <c r="F752" s="16"/>
      <c r="G752" s="18"/>
      <c r="H752" s="15"/>
      <c r="I752" s="18"/>
      <c r="J752" s="22"/>
      <c r="K752" s="108"/>
      <c r="L752" s="26"/>
    </row>
    <row r="753">
      <c r="A753" s="12"/>
      <c r="B753" s="13"/>
      <c r="C753" s="14"/>
      <c r="D753" s="14"/>
      <c r="E753" s="15"/>
      <c r="F753" s="16"/>
      <c r="G753" s="18"/>
      <c r="H753" s="15"/>
      <c r="I753" s="18"/>
      <c r="J753" s="22"/>
      <c r="K753" s="108"/>
      <c r="L753" s="26"/>
    </row>
    <row r="754">
      <c r="A754" s="12"/>
      <c r="B754" s="13"/>
      <c r="C754" s="14"/>
      <c r="D754" s="14"/>
      <c r="E754" s="15"/>
      <c r="F754" s="16"/>
      <c r="G754" s="18"/>
      <c r="H754" s="15"/>
      <c r="I754" s="18"/>
      <c r="J754" s="22"/>
      <c r="K754" s="108"/>
      <c r="L754" s="26"/>
    </row>
    <row r="755">
      <c r="A755" s="12"/>
      <c r="B755" s="13"/>
      <c r="C755" s="14"/>
      <c r="D755" s="14"/>
      <c r="E755" s="15"/>
      <c r="F755" s="16"/>
      <c r="G755" s="18"/>
      <c r="H755" s="15"/>
      <c r="I755" s="18"/>
      <c r="J755" s="22"/>
      <c r="K755" s="108"/>
      <c r="L755" s="26"/>
    </row>
    <row r="756">
      <c r="A756" s="12"/>
      <c r="B756" s="13"/>
      <c r="C756" s="14"/>
      <c r="D756" s="14"/>
      <c r="E756" s="15"/>
      <c r="F756" s="16"/>
      <c r="G756" s="18"/>
      <c r="H756" s="15"/>
      <c r="I756" s="18"/>
      <c r="J756" s="22"/>
      <c r="K756" s="108"/>
      <c r="L756" s="26"/>
    </row>
    <row r="757">
      <c r="A757" s="12"/>
      <c r="B757" s="13"/>
      <c r="C757" s="14"/>
      <c r="D757" s="14"/>
      <c r="E757" s="15"/>
      <c r="F757" s="16"/>
      <c r="G757" s="18"/>
      <c r="H757" s="15"/>
      <c r="I757" s="18"/>
      <c r="J757" s="22"/>
      <c r="K757" s="108"/>
      <c r="L757" s="26"/>
    </row>
    <row r="758">
      <c r="A758" s="12"/>
      <c r="B758" s="13"/>
      <c r="C758" s="14"/>
      <c r="D758" s="14"/>
      <c r="E758" s="15"/>
      <c r="F758" s="16"/>
      <c r="G758" s="18"/>
      <c r="H758" s="15"/>
      <c r="I758" s="18"/>
      <c r="J758" s="22"/>
      <c r="K758" s="108"/>
      <c r="L758" s="26"/>
    </row>
    <row r="759">
      <c r="A759" s="12"/>
      <c r="B759" s="13"/>
      <c r="C759" s="14"/>
      <c r="D759" s="14"/>
      <c r="E759" s="15"/>
      <c r="F759" s="16"/>
      <c r="G759" s="18"/>
      <c r="H759" s="15"/>
      <c r="I759" s="18"/>
      <c r="J759" s="22"/>
      <c r="K759" s="108"/>
      <c r="L759" s="26"/>
    </row>
    <row r="760">
      <c r="A760" s="12"/>
      <c r="B760" s="13"/>
      <c r="C760" s="14"/>
      <c r="D760" s="14"/>
      <c r="E760" s="15"/>
      <c r="F760" s="16"/>
      <c r="G760" s="18"/>
      <c r="H760" s="15"/>
      <c r="I760" s="18"/>
      <c r="J760" s="22"/>
      <c r="K760" s="108"/>
      <c r="L760" s="26"/>
    </row>
    <row r="761">
      <c r="A761" s="12"/>
      <c r="B761" s="13"/>
      <c r="C761" s="14"/>
      <c r="D761" s="14"/>
      <c r="E761" s="15"/>
      <c r="F761" s="16"/>
      <c r="G761" s="18"/>
      <c r="H761" s="15"/>
      <c r="I761" s="18"/>
      <c r="J761" s="22"/>
      <c r="K761" s="108"/>
      <c r="L761" s="26"/>
    </row>
    <row r="762">
      <c r="A762" s="12"/>
      <c r="B762" s="13"/>
      <c r="C762" s="14"/>
      <c r="D762" s="14"/>
      <c r="E762" s="15"/>
      <c r="F762" s="16"/>
      <c r="G762" s="18"/>
      <c r="H762" s="15"/>
      <c r="I762" s="18"/>
      <c r="J762" s="22"/>
      <c r="K762" s="108"/>
      <c r="L762" s="26"/>
    </row>
    <row r="763">
      <c r="A763" s="12"/>
      <c r="B763" s="13"/>
      <c r="C763" s="14"/>
      <c r="D763" s="14"/>
      <c r="E763" s="15"/>
      <c r="F763" s="16"/>
      <c r="G763" s="18"/>
      <c r="H763" s="15"/>
      <c r="I763" s="18"/>
      <c r="J763" s="22"/>
      <c r="K763" s="108"/>
      <c r="L763" s="26"/>
    </row>
    <row r="764">
      <c r="A764" s="12"/>
      <c r="B764" s="13"/>
      <c r="C764" s="14"/>
      <c r="D764" s="14"/>
      <c r="E764" s="15"/>
      <c r="F764" s="16"/>
      <c r="G764" s="18"/>
      <c r="H764" s="15"/>
      <c r="I764" s="18"/>
      <c r="J764" s="22"/>
      <c r="K764" s="108"/>
      <c r="L764" s="26"/>
    </row>
    <row r="765">
      <c r="A765" s="12"/>
      <c r="B765" s="13"/>
      <c r="C765" s="14"/>
      <c r="D765" s="14"/>
      <c r="E765" s="15"/>
      <c r="F765" s="16"/>
      <c r="G765" s="18"/>
      <c r="H765" s="15"/>
      <c r="I765" s="18"/>
      <c r="J765" s="22"/>
      <c r="K765" s="108"/>
      <c r="L765" s="26"/>
    </row>
    <row r="766">
      <c r="A766" s="12"/>
      <c r="B766" s="13"/>
      <c r="C766" s="14"/>
      <c r="D766" s="14"/>
      <c r="E766" s="15"/>
      <c r="F766" s="16"/>
      <c r="G766" s="18"/>
      <c r="H766" s="15"/>
      <c r="I766" s="18"/>
      <c r="J766" s="22"/>
      <c r="K766" s="108"/>
      <c r="L766" s="26"/>
    </row>
    <row r="767">
      <c r="A767" s="12"/>
      <c r="B767" s="13"/>
      <c r="C767" s="14"/>
      <c r="D767" s="14"/>
      <c r="E767" s="15"/>
      <c r="F767" s="16"/>
      <c r="G767" s="18"/>
      <c r="H767" s="15"/>
      <c r="I767" s="18"/>
      <c r="J767" s="22"/>
      <c r="K767" s="108"/>
      <c r="L767" s="26"/>
    </row>
    <row r="768">
      <c r="A768" s="12"/>
      <c r="B768" s="13"/>
      <c r="C768" s="14"/>
      <c r="D768" s="14"/>
      <c r="E768" s="15"/>
      <c r="F768" s="16"/>
      <c r="G768" s="18"/>
      <c r="H768" s="15"/>
      <c r="I768" s="18"/>
      <c r="J768" s="22"/>
      <c r="K768" s="108"/>
      <c r="L768" s="26"/>
    </row>
    <row r="769">
      <c r="A769" s="12"/>
      <c r="B769" s="13"/>
      <c r="C769" s="14"/>
      <c r="D769" s="14"/>
      <c r="E769" s="15"/>
      <c r="F769" s="16"/>
      <c r="G769" s="18"/>
      <c r="H769" s="15"/>
      <c r="I769" s="18"/>
      <c r="J769" s="22"/>
      <c r="K769" s="108"/>
      <c r="L769" s="26"/>
    </row>
    <row r="770">
      <c r="A770" s="12"/>
      <c r="B770" s="13"/>
      <c r="C770" s="14"/>
      <c r="D770" s="14"/>
      <c r="E770" s="15"/>
      <c r="F770" s="16"/>
      <c r="G770" s="18"/>
      <c r="H770" s="15"/>
      <c r="I770" s="18"/>
      <c r="J770" s="22"/>
      <c r="K770" s="108"/>
      <c r="L770" s="26"/>
    </row>
    <row r="771">
      <c r="A771" s="12"/>
      <c r="B771" s="13"/>
      <c r="C771" s="14"/>
      <c r="D771" s="14"/>
      <c r="E771" s="15"/>
      <c r="F771" s="16"/>
      <c r="G771" s="18"/>
      <c r="H771" s="15"/>
      <c r="I771" s="18"/>
      <c r="J771" s="22"/>
      <c r="K771" s="108"/>
      <c r="L771" s="26"/>
    </row>
    <row r="772">
      <c r="A772" s="12"/>
      <c r="B772" s="13"/>
      <c r="C772" s="14"/>
      <c r="D772" s="14"/>
      <c r="E772" s="15"/>
      <c r="F772" s="16"/>
      <c r="G772" s="18"/>
      <c r="H772" s="15"/>
      <c r="I772" s="18"/>
      <c r="J772" s="22"/>
      <c r="K772" s="108"/>
      <c r="L772" s="26"/>
    </row>
    <row r="773">
      <c r="A773" s="12"/>
      <c r="B773" s="13"/>
      <c r="C773" s="14"/>
      <c r="D773" s="14"/>
      <c r="E773" s="15"/>
      <c r="F773" s="16"/>
      <c r="G773" s="18"/>
      <c r="H773" s="15"/>
      <c r="I773" s="18"/>
      <c r="J773" s="22"/>
      <c r="K773" s="108"/>
      <c r="L773" s="26"/>
    </row>
    <row r="774">
      <c r="A774" s="12"/>
      <c r="B774" s="13"/>
      <c r="C774" s="14"/>
      <c r="D774" s="14"/>
      <c r="E774" s="15"/>
      <c r="F774" s="16"/>
      <c r="G774" s="18"/>
      <c r="H774" s="15"/>
      <c r="I774" s="18"/>
      <c r="J774" s="22"/>
      <c r="K774" s="108"/>
      <c r="L774" s="26"/>
    </row>
    <row r="775">
      <c r="A775" s="12"/>
      <c r="B775" s="13"/>
      <c r="C775" s="14"/>
      <c r="D775" s="14"/>
      <c r="E775" s="15"/>
      <c r="F775" s="16"/>
      <c r="G775" s="18"/>
      <c r="H775" s="15"/>
      <c r="I775" s="18"/>
      <c r="J775" s="22"/>
      <c r="K775" s="108"/>
      <c r="L775" s="26"/>
    </row>
    <row r="776">
      <c r="A776" s="12"/>
      <c r="B776" s="13"/>
      <c r="C776" s="14"/>
      <c r="D776" s="14"/>
      <c r="E776" s="15"/>
      <c r="F776" s="16"/>
      <c r="G776" s="18"/>
      <c r="H776" s="15"/>
      <c r="I776" s="18"/>
      <c r="J776" s="22"/>
      <c r="K776" s="108"/>
      <c r="L776" s="26"/>
    </row>
    <row r="777">
      <c r="A777" s="12"/>
      <c r="B777" s="13"/>
      <c r="C777" s="14"/>
      <c r="D777" s="14"/>
      <c r="E777" s="15"/>
      <c r="F777" s="16"/>
      <c r="G777" s="18"/>
      <c r="H777" s="15"/>
      <c r="I777" s="18"/>
      <c r="J777" s="22"/>
      <c r="K777" s="108"/>
      <c r="L777" s="26"/>
    </row>
    <row r="778">
      <c r="A778" s="12"/>
      <c r="B778" s="13"/>
      <c r="C778" s="14"/>
      <c r="D778" s="14"/>
      <c r="E778" s="15"/>
      <c r="F778" s="16"/>
      <c r="G778" s="18"/>
      <c r="H778" s="15"/>
      <c r="I778" s="18"/>
      <c r="J778" s="22"/>
      <c r="K778" s="108"/>
      <c r="L778" s="26"/>
    </row>
    <row r="779">
      <c r="A779" s="12"/>
      <c r="B779" s="13"/>
      <c r="C779" s="14"/>
      <c r="D779" s="14"/>
      <c r="E779" s="15"/>
      <c r="F779" s="16"/>
      <c r="G779" s="18"/>
      <c r="H779" s="15"/>
      <c r="I779" s="18"/>
      <c r="J779" s="22"/>
      <c r="K779" s="108"/>
      <c r="L779" s="26"/>
    </row>
    <row r="780">
      <c r="A780" s="12"/>
      <c r="B780" s="13"/>
      <c r="C780" s="14"/>
      <c r="D780" s="14"/>
      <c r="E780" s="15"/>
      <c r="F780" s="16"/>
      <c r="G780" s="18"/>
      <c r="H780" s="15"/>
      <c r="I780" s="18"/>
      <c r="J780" s="22"/>
      <c r="K780" s="108"/>
      <c r="L780" s="26"/>
    </row>
    <row r="781">
      <c r="A781" s="12"/>
      <c r="B781" s="13"/>
      <c r="C781" s="14"/>
      <c r="D781" s="14"/>
      <c r="E781" s="15"/>
      <c r="F781" s="16"/>
      <c r="G781" s="18"/>
      <c r="H781" s="15"/>
      <c r="I781" s="18"/>
      <c r="J781" s="22"/>
      <c r="K781" s="108"/>
      <c r="L781" s="26"/>
    </row>
    <row r="782">
      <c r="A782" s="12"/>
      <c r="B782" s="13"/>
      <c r="C782" s="14"/>
      <c r="D782" s="14"/>
      <c r="E782" s="15"/>
      <c r="F782" s="16"/>
      <c r="G782" s="18"/>
      <c r="H782" s="15"/>
      <c r="I782" s="18"/>
      <c r="J782" s="22"/>
      <c r="K782" s="108"/>
      <c r="L782" s="26"/>
    </row>
    <row r="783">
      <c r="A783" s="12"/>
      <c r="B783" s="13"/>
      <c r="C783" s="14"/>
      <c r="D783" s="14"/>
      <c r="E783" s="15"/>
      <c r="F783" s="16"/>
      <c r="G783" s="18"/>
      <c r="H783" s="15"/>
      <c r="I783" s="18"/>
      <c r="J783" s="22"/>
      <c r="K783" s="108"/>
      <c r="L783" s="26"/>
    </row>
    <row r="784">
      <c r="A784" s="12"/>
      <c r="B784" s="13"/>
      <c r="C784" s="14"/>
      <c r="D784" s="14"/>
      <c r="E784" s="15"/>
      <c r="F784" s="16"/>
      <c r="G784" s="18"/>
      <c r="H784" s="15"/>
      <c r="I784" s="18"/>
      <c r="J784" s="22"/>
      <c r="K784" s="108"/>
      <c r="L784" s="26"/>
    </row>
    <row r="785">
      <c r="A785" s="12"/>
      <c r="B785" s="13"/>
      <c r="C785" s="14"/>
      <c r="D785" s="14"/>
      <c r="E785" s="15"/>
      <c r="F785" s="16"/>
      <c r="G785" s="18"/>
      <c r="H785" s="15"/>
      <c r="I785" s="18"/>
      <c r="J785" s="22"/>
      <c r="K785" s="108"/>
      <c r="L785" s="26"/>
    </row>
    <row r="786">
      <c r="A786" s="12"/>
      <c r="B786" s="13"/>
      <c r="C786" s="14"/>
      <c r="D786" s="14"/>
      <c r="E786" s="15"/>
      <c r="F786" s="16"/>
      <c r="G786" s="18"/>
      <c r="H786" s="15"/>
      <c r="I786" s="18"/>
      <c r="J786" s="22"/>
      <c r="K786" s="108"/>
      <c r="L786" s="26"/>
    </row>
    <row r="787">
      <c r="A787" s="12"/>
      <c r="B787" s="13"/>
      <c r="C787" s="14"/>
      <c r="D787" s="14"/>
      <c r="E787" s="15"/>
      <c r="F787" s="16"/>
      <c r="G787" s="18"/>
      <c r="H787" s="15"/>
      <c r="I787" s="18"/>
      <c r="J787" s="22"/>
      <c r="K787" s="108"/>
      <c r="L787" s="26"/>
    </row>
    <row r="788">
      <c r="A788" s="12"/>
      <c r="B788" s="13"/>
      <c r="C788" s="14"/>
      <c r="D788" s="14"/>
      <c r="E788" s="15"/>
      <c r="F788" s="16"/>
      <c r="G788" s="18"/>
      <c r="H788" s="15"/>
      <c r="I788" s="18"/>
      <c r="J788" s="22"/>
      <c r="K788" s="108"/>
      <c r="L788" s="26"/>
    </row>
    <row r="789">
      <c r="A789" s="12"/>
      <c r="B789" s="13"/>
      <c r="C789" s="14"/>
      <c r="D789" s="14"/>
      <c r="E789" s="15"/>
      <c r="F789" s="16"/>
      <c r="G789" s="18"/>
      <c r="H789" s="15"/>
      <c r="I789" s="18"/>
      <c r="J789" s="22"/>
      <c r="K789" s="108"/>
      <c r="L789" s="26"/>
    </row>
    <row r="790">
      <c r="A790" s="12"/>
      <c r="B790" s="13"/>
      <c r="C790" s="14"/>
      <c r="D790" s="14"/>
      <c r="E790" s="15"/>
      <c r="F790" s="16"/>
      <c r="G790" s="18"/>
      <c r="H790" s="15"/>
      <c r="I790" s="18"/>
      <c r="J790" s="22"/>
      <c r="K790" s="108"/>
      <c r="L790" s="26"/>
    </row>
    <row r="791">
      <c r="A791" s="12"/>
      <c r="B791" s="13"/>
      <c r="C791" s="14"/>
      <c r="D791" s="14"/>
      <c r="E791" s="15"/>
      <c r="F791" s="16"/>
      <c r="G791" s="18"/>
      <c r="H791" s="15"/>
      <c r="I791" s="18"/>
      <c r="J791" s="22"/>
      <c r="K791" s="108"/>
      <c r="L791" s="26"/>
    </row>
    <row r="792">
      <c r="A792" s="12"/>
      <c r="B792" s="13"/>
      <c r="C792" s="14"/>
      <c r="D792" s="14"/>
      <c r="E792" s="15"/>
      <c r="F792" s="16"/>
      <c r="G792" s="18"/>
      <c r="H792" s="15"/>
      <c r="I792" s="18"/>
      <c r="J792" s="22"/>
      <c r="K792" s="108"/>
      <c r="L792" s="26"/>
    </row>
    <row r="793">
      <c r="A793" s="12"/>
      <c r="B793" s="13"/>
      <c r="C793" s="14"/>
      <c r="D793" s="14"/>
      <c r="E793" s="15"/>
      <c r="F793" s="16"/>
      <c r="G793" s="18"/>
      <c r="H793" s="15"/>
      <c r="I793" s="18"/>
      <c r="J793" s="22"/>
      <c r="K793" s="108"/>
      <c r="L793" s="26"/>
    </row>
    <row r="794">
      <c r="A794" s="12"/>
      <c r="B794" s="13"/>
      <c r="C794" s="14"/>
      <c r="D794" s="14"/>
      <c r="E794" s="15"/>
      <c r="F794" s="16"/>
      <c r="G794" s="18"/>
      <c r="H794" s="15"/>
      <c r="I794" s="18"/>
      <c r="J794" s="22"/>
      <c r="K794" s="108"/>
      <c r="L794" s="26"/>
    </row>
    <row r="795">
      <c r="A795" s="12"/>
      <c r="B795" s="13"/>
      <c r="C795" s="14"/>
      <c r="D795" s="14"/>
      <c r="E795" s="15"/>
      <c r="F795" s="16"/>
      <c r="G795" s="18"/>
      <c r="H795" s="15"/>
      <c r="I795" s="18"/>
      <c r="J795" s="22"/>
      <c r="K795" s="108"/>
      <c r="L795" s="26"/>
    </row>
    <row r="796">
      <c r="A796" s="12"/>
      <c r="B796" s="13"/>
      <c r="C796" s="14"/>
      <c r="D796" s="14"/>
      <c r="E796" s="15"/>
      <c r="F796" s="16"/>
      <c r="G796" s="18"/>
      <c r="H796" s="15"/>
      <c r="I796" s="18"/>
      <c r="J796" s="22"/>
      <c r="K796" s="108"/>
      <c r="L796" s="26"/>
    </row>
    <row r="797">
      <c r="A797" s="12"/>
      <c r="B797" s="13"/>
      <c r="C797" s="14"/>
      <c r="D797" s="14"/>
      <c r="E797" s="15"/>
      <c r="F797" s="16"/>
      <c r="G797" s="18"/>
      <c r="H797" s="15"/>
      <c r="I797" s="18"/>
      <c r="J797" s="22"/>
      <c r="K797" s="108"/>
      <c r="L797" s="26"/>
    </row>
    <row r="798">
      <c r="A798" s="12"/>
      <c r="B798" s="13"/>
      <c r="C798" s="14"/>
      <c r="D798" s="14"/>
      <c r="E798" s="15"/>
      <c r="F798" s="16"/>
      <c r="G798" s="18"/>
      <c r="H798" s="15"/>
      <c r="I798" s="18"/>
      <c r="J798" s="22"/>
      <c r="K798" s="108"/>
      <c r="L798" s="26"/>
    </row>
    <row r="799">
      <c r="A799" s="12"/>
      <c r="B799" s="13"/>
      <c r="C799" s="14"/>
      <c r="D799" s="14"/>
      <c r="E799" s="15"/>
      <c r="F799" s="16"/>
      <c r="G799" s="18"/>
      <c r="H799" s="15"/>
      <c r="I799" s="18"/>
      <c r="J799" s="22"/>
      <c r="K799" s="108"/>
      <c r="L799" s="26"/>
    </row>
    <row r="800">
      <c r="A800" s="12"/>
      <c r="B800" s="13"/>
      <c r="C800" s="14"/>
      <c r="D800" s="14"/>
      <c r="E800" s="15"/>
      <c r="F800" s="16"/>
      <c r="G800" s="18"/>
      <c r="H800" s="15"/>
      <c r="I800" s="18"/>
      <c r="J800" s="22"/>
      <c r="K800" s="108"/>
      <c r="L800" s="26"/>
    </row>
    <row r="801">
      <c r="A801" s="12"/>
      <c r="B801" s="13"/>
      <c r="C801" s="14"/>
      <c r="D801" s="14"/>
      <c r="E801" s="15"/>
      <c r="F801" s="16"/>
      <c r="G801" s="18"/>
      <c r="H801" s="15"/>
      <c r="I801" s="18"/>
      <c r="J801" s="22"/>
      <c r="K801" s="108"/>
      <c r="L801" s="26"/>
    </row>
    <row r="802">
      <c r="A802" s="12"/>
      <c r="B802" s="13"/>
      <c r="C802" s="14"/>
      <c r="D802" s="14"/>
      <c r="E802" s="15"/>
      <c r="F802" s="16"/>
      <c r="G802" s="18"/>
      <c r="H802" s="15"/>
      <c r="I802" s="18"/>
      <c r="J802" s="22"/>
      <c r="K802" s="108"/>
      <c r="L802" s="26"/>
    </row>
    <row r="803">
      <c r="A803" s="12"/>
      <c r="B803" s="13"/>
      <c r="C803" s="14"/>
      <c r="D803" s="14"/>
      <c r="E803" s="15"/>
      <c r="F803" s="16"/>
      <c r="G803" s="18"/>
      <c r="H803" s="15"/>
      <c r="I803" s="18"/>
      <c r="J803" s="22"/>
      <c r="K803" s="108"/>
      <c r="L803" s="26"/>
    </row>
    <row r="804">
      <c r="A804" s="12"/>
      <c r="B804" s="13"/>
      <c r="C804" s="14"/>
      <c r="D804" s="14"/>
      <c r="E804" s="15"/>
      <c r="F804" s="16"/>
      <c r="G804" s="18"/>
      <c r="H804" s="15"/>
      <c r="I804" s="18"/>
      <c r="J804" s="22"/>
      <c r="K804" s="108"/>
      <c r="L804" s="26"/>
    </row>
    <row r="805">
      <c r="A805" s="12"/>
      <c r="B805" s="13"/>
      <c r="C805" s="14"/>
      <c r="D805" s="14"/>
      <c r="E805" s="15"/>
      <c r="F805" s="16"/>
      <c r="G805" s="18"/>
      <c r="H805" s="15"/>
      <c r="I805" s="18"/>
      <c r="J805" s="22"/>
      <c r="K805" s="108"/>
      <c r="L805" s="26"/>
    </row>
    <row r="806">
      <c r="A806" s="12"/>
      <c r="B806" s="13"/>
      <c r="C806" s="14"/>
      <c r="D806" s="14"/>
      <c r="E806" s="15"/>
      <c r="F806" s="16"/>
      <c r="G806" s="18"/>
      <c r="H806" s="15"/>
      <c r="I806" s="18"/>
      <c r="J806" s="22"/>
      <c r="K806" s="108"/>
      <c r="L806" s="26"/>
    </row>
    <row r="807">
      <c r="A807" s="12"/>
      <c r="B807" s="13"/>
      <c r="C807" s="14"/>
      <c r="D807" s="14"/>
      <c r="E807" s="15"/>
      <c r="F807" s="16"/>
      <c r="G807" s="18"/>
      <c r="H807" s="15"/>
      <c r="I807" s="18"/>
      <c r="J807" s="22"/>
      <c r="K807" s="108"/>
      <c r="L807" s="26"/>
    </row>
    <row r="808">
      <c r="A808" s="12"/>
      <c r="B808" s="13"/>
      <c r="C808" s="14"/>
      <c r="D808" s="14"/>
      <c r="E808" s="15"/>
      <c r="F808" s="16"/>
      <c r="G808" s="18"/>
      <c r="H808" s="15"/>
      <c r="I808" s="18"/>
      <c r="J808" s="22"/>
      <c r="K808" s="108"/>
      <c r="L808" s="26"/>
    </row>
    <row r="809">
      <c r="A809" s="12"/>
      <c r="B809" s="13"/>
      <c r="C809" s="14"/>
      <c r="D809" s="14"/>
      <c r="E809" s="15"/>
      <c r="F809" s="16"/>
      <c r="G809" s="18"/>
      <c r="H809" s="15"/>
      <c r="I809" s="18"/>
      <c r="J809" s="22"/>
      <c r="K809" s="108"/>
      <c r="L809" s="26"/>
    </row>
    <row r="810">
      <c r="A810" s="12"/>
      <c r="B810" s="13"/>
      <c r="C810" s="14"/>
      <c r="D810" s="14"/>
      <c r="E810" s="15"/>
      <c r="F810" s="16"/>
      <c r="G810" s="18"/>
      <c r="H810" s="15"/>
      <c r="I810" s="18"/>
      <c r="J810" s="22"/>
      <c r="K810" s="108"/>
      <c r="L810" s="26"/>
    </row>
    <row r="811">
      <c r="A811" s="12"/>
      <c r="B811" s="13"/>
      <c r="C811" s="14"/>
      <c r="D811" s="14"/>
      <c r="E811" s="15"/>
      <c r="F811" s="16"/>
      <c r="G811" s="18"/>
      <c r="H811" s="15"/>
      <c r="I811" s="18"/>
      <c r="J811" s="22"/>
      <c r="K811" s="108"/>
      <c r="L811" s="26"/>
    </row>
    <row r="812">
      <c r="A812" s="12"/>
      <c r="B812" s="13"/>
      <c r="C812" s="14"/>
      <c r="D812" s="14"/>
      <c r="E812" s="15"/>
      <c r="F812" s="16"/>
      <c r="G812" s="18"/>
      <c r="H812" s="15"/>
      <c r="I812" s="18"/>
      <c r="J812" s="22"/>
      <c r="K812" s="108"/>
      <c r="L812" s="26"/>
    </row>
    <row r="813">
      <c r="A813" s="12"/>
      <c r="B813" s="13"/>
      <c r="C813" s="14"/>
      <c r="D813" s="14"/>
      <c r="E813" s="15"/>
      <c r="F813" s="16"/>
      <c r="G813" s="18"/>
      <c r="H813" s="15"/>
      <c r="I813" s="18"/>
      <c r="J813" s="22"/>
      <c r="K813" s="108"/>
      <c r="L813" s="26"/>
    </row>
    <row r="814">
      <c r="A814" s="12"/>
      <c r="B814" s="13"/>
      <c r="C814" s="14"/>
      <c r="D814" s="14"/>
      <c r="E814" s="15"/>
      <c r="F814" s="16"/>
      <c r="G814" s="18"/>
      <c r="H814" s="15"/>
      <c r="I814" s="18"/>
      <c r="J814" s="22"/>
      <c r="K814" s="108"/>
      <c r="L814" s="26"/>
    </row>
    <row r="815">
      <c r="A815" s="12"/>
      <c r="B815" s="13"/>
      <c r="C815" s="14"/>
      <c r="D815" s="14"/>
      <c r="E815" s="15"/>
      <c r="F815" s="16"/>
      <c r="G815" s="18"/>
      <c r="H815" s="15"/>
      <c r="I815" s="18"/>
      <c r="J815" s="22"/>
      <c r="K815" s="108"/>
      <c r="L815" s="26"/>
    </row>
    <row r="816">
      <c r="A816" s="12"/>
      <c r="B816" s="13"/>
      <c r="C816" s="14"/>
      <c r="D816" s="14"/>
      <c r="E816" s="15"/>
      <c r="F816" s="16"/>
      <c r="G816" s="18"/>
      <c r="H816" s="15"/>
      <c r="I816" s="18"/>
      <c r="J816" s="22"/>
      <c r="K816" s="108"/>
      <c r="L816" s="26"/>
    </row>
    <row r="817">
      <c r="A817" s="12"/>
      <c r="B817" s="13"/>
      <c r="C817" s="14"/>
      <c r="D817" s="14"/>
      <c r="E817" s="15"/>
      <c r="F817" s="16"/>
      <c r="G817" s="18"/>
      <c r="H817" s="15"/>
      <c r="I817" s="18"/>
      <c r="J817" s="22"/>
      <c r="K817" s="108"/>
      <c r="L817" s="26"/>
    </row>
    <row r="818">
      <c r="A818" s="12"/>
      <c r="B818" s="13"/>
      <c r="C818" s="14"/>
      <c r="D818" s="14"/>
      <c r="E818" s="15"/>
      <c r="F818" s="16"/>
      <c r="G818" s="18"/>
      <c r="H818" s="15"/>
      <c r="I818" s="18"/>
      <c r="J818" s="22"/>
      <c r="K818" s="108"/>
      <c r="L818" s="26"/>
    </row>
    <row r="819">
      <c r="A819" s="12"/>
      <c r="B819" s="13"/>
      <c r="C819" s="14"/>
      <c r="D819" s="14"/>
      <c r="E819" s="15"/>
      <c r="F819" s="16"/>
      <c r="G819" s="18"/>
      <c r="H819" s="15"/>
      <c r="I819" s="18"/>
      <c r="J819" s="22"/>
      <c r="K819" s="108"/>
      <c r="L819" s="26"/>
    </row>
    <row r="820">
      <c r="A820" s="12"/>
      <c r="B820" s="13"/>
      <c r="C820" s="14"/>
      <c r="D820" s="14"/>
      <c r="E820" s="15"/>
      <c r="F820" s="16"/>
      <c r="G820" s="18"/>
      <c r="H820" s="15"/>
      <c r="I820" s="18"/>
      <c r="J820" s="22"/>
      <c r="K820" s="108"/>
      <c r="L820" s="26"/>
    </row>
    <row r="821">
      <c r="A821" s="12"/>
      <c r="B821" s="13"/>
      <c r="C821" s="14"/>
      <c r="D821" s="14"/>
      <c r="E821" s="15"/>
      <c r="F821" s="16"/>
      <c r="G821" s="18"/>
      <c r="H821" s="15"/>
      <c r="I821" s="18"/>
      <c r="J821" s="22"/>
      <c r="K821" s="108"/>
      <c r="L821" s="26"/>
    </row>
    <row r="822">
      <c r="A822" s="12"/>
      <c r="B822" s="13"/>
      <c r="C822" s="14"/>
      <c r="D822" s="14"/>
      <c r="E822" s="15"/>
      <c r="F822" s="16"/>
      <c r="G822" s="18"/>
      <c r="H822" s="15"/>
      <c r="I822" s="18"/>
      <c r="J822" s="22"/>
      <c r="K822" s="108"/>
      <c r="L822" s="26"/>
    </row>
    <row r="823">
      <c r="A823" s="12"/>
      <c r="B823" s="13"/>
      <c r="C823" s="14"/>
      <c r="D823" s="14"/>
      <c r="E823" s="15"/>
      <c r="F823" s="16"/>
      <c r="G823" s="18"/>
      <c r="H823" s="15"/>
      <c r="I823" s="18"/>
      <c r="J823" s="22"/>
      <c r="K823" s="108"/>
      <c r="L823" s="26"/>
    </row>
    <row r="824">
      <c r="A824" s="12"/>
      <c r="B824" s="13"/>
      <c r="C824" s="14"/>
      <c r="D824" s="14"/>
      <c r="E824" s="15"/>
      <c r="F824" s="16"/>
      <c r="G824" s="18"/>
      <c r="H824" s="15"/>
      <c r="I824" s="18"/>
      <c r="J824" s="22"/>
      <c r="K824" s="108"/>
      <c r="L824" s="26"/>
    </row>
    <row r="825">
      <c r="A825" s="12"/>
      <c r="B825" s="13"/>
      <c r="C825" s="14"/>
      <c r="D825" s="14"/>
      <c r="E825" s="15"/>
      <c r="F825" s="16"/>
      <c r="G825" s="18"/>
      <c r="H825" s="15"/>
      <c r="I825" s="18"/>
      <c r="J825" s="22"/>
      <c r="K825" s="108"/>
      <c r="L825" s="26"/>
    </row>
    <row r="826">
      <c r="A826" s="12"/>
      <c r="B826" s="13"/>
      <c r="C826" s="14"/>
      <c r="D826" s="14"/>
      <c r="E826" s="15"/>
      <c r="F826" s="16"/>
      <c r="G826" s="18"/>
      <c r="H826" s="15"/>
      <c r="I826" s="18"/>
      <c r="J826" s="22"/>
      <c r="K826" s="108"/>
      <c r="L826" s="26"/>
    </row>
    <row r="827">
      <c r="A827" s="12"/>
      <c r="B827" s="13"/>
      <c r="C827" s="14"/>
      <c r="D827" s="14"/>
      <c r="E827" s="15"/>
      <c r="F827" s="16"/>
      <c r="G827" s="18"/>
      <c r="H827" s="15"/>
      <c r="I827" s="18"/>
      <c r="J827" s="22"/>
      <c r="K827" s="108"/>
      <c r="L827" s="26"/>
    </row>
    <row r="828">
      <c r="A828" s="12"/>
      <c r="B828" s="13"/>
      <c r="C828" s="14"/>
      <c r="D828" s="14"/>
      <c r="E828" s="15"/>
      <c r="F828" s="16"/>
      <c r="G828" s="18"/>
      <c r="H828" s="15"/>
      <c r="I828" s="18"/>
      <c r="J828" s="22"/>
      <c r="K828" s="108"/>
      <c r="L828" s="26"/>
    </row>
    <row r="829">
      <c r="A829" s="12"/>
      <c r="B829" s="13"/>
      <c r="C829" s="14"/>
      <c r="D829" s="14"/>
      <c r="E829" s="15"/>
      <c r="F829" s="16"/>
      <c r="G829" s="18"/>
      <c r="H829" s="15"/>
      <c r="I829" s="18"/>
      <c r="J829" s="22"/>
      <c r="K829" s="108"/>
      <c r="L829" s="26"/>
    </row>
    <row r="830">
      <c r="A830" s="12"/>
      <c r="B830" s="13"/>
      <c r="C830" s="14"/>
      <c r="D830" s="14"/>
      <c r="E830" s="15"/>
      <c r="F830" s="16"/>
      <c r="G830" s="18"/>
      <c r="H830" s="15"/>
      <c r="I830" s="18"/>
      <c r="J830" s="22"/>
      <c r="K830" s="108"/>
      <c r="L830" s="26"/>
    </row>
    <row r="831">
      <c r="A831" s="12"/>
      <c r="B831" s="13"/>
      <c r="C831" s="14"/>
      <c r="D831" s="14"/>
      <c r="E831" s="15"/>
      <c r="F831" s="16"/>
      <c r="G831" s="18"/>
      <c r="H831" s="15"/>
      <c r="I831" s="18"/>
      <c r="J831" s="22"/>
      <c r="K831" s="108"/>
      <c r="L831" s="26"/>
    </row>
    <row r="832">
      <c r="A832" s="12"/>
      <c r="B832" s="13"/>
      <c r="C832" s="14"/>
      <c r="D832" s="14"/>
      <c r="E832" s="15"/>
      <c r="F832" s="16"/>
      <c r="G832" s="18"/>
      <c r="H832" s="15"/>
      <c r="I832" s="18"/>
      <c r="J832" s="22"/>
      <c r="K832" s="108"/>
      <c r="L832" s="26"/>
    </row>
    <row r="833">
      <c r="A833" s="12"/>
      <c r="B833" s="13"/>
      <c r="C833" s="14"/>
      <c r="D833" s="14"/>
      <c r="E833" s="15"/>
      <c r="F833" s="16"/>
      <c r="G833" s="18"/>
      <c r="H833" s="15"/>
      <c r="I833" s="18"/>
      <c r="J833" s="22"/>
      <c r="K833" s="108"/>
      <c r="L833" s="26"/>
    </row>
    <row r="834">
      <c r="A834" s="12"/>
      <c r="B834" s="13"/>
      <c r="C834" s="14"/>
      <c r="D834" s="14"/>
      <c r="E834" s="15"/>
      <c r="F834" s="16"/>
      <c r="G834" s="18"/>
      <c r="H834" s="15"/>
      <c r="I834" s="18"/>
      <c r="J834" s="22"/>
      <c r="K834" s="108"/>
      <c r="L834" s="26"/>
    </row>
    <row r="835">
      <c r="A835" s="12"/>
      <c r="B835" s="13"/>
      <c r="C835" s="14"/>
      <c r="D835" s="14"/>
      <c r="E835" s="15"/>
      <c r="F835" s="16"/>
      <c r="G835" s="18"/>
      <c r="H835" s="15"/>
      <c r="I835" s="18"/>
      <c r="J835" s="22"/>
      <c r="K835" s="108"/>
      <c r="L835" s="26"/>
    </row>
    <row r="836">
      <c r="A836" s="12"/>
      <c r="B836" s="13"/>
      <c r="C836" s="14"/>
      <c r="D836" s="14"/>
      <c r="E836" s="15"/>
      <c r="F836" s="16"/>
      <c r="G836" s="18"/>
      <c r="H836" s="15"/>
      <c r="I836" s="18"/>
      <c r="J836" s="22"/>
      <c r="K836" s="108"/>
      <c r="L836" s="26"/>
    </row>
    <row r="837">
      <c r="A837" s="12"/>
      <c r="B837" s="13"/>
      <c r="C837" s="14"/>
      <c r="D837" s="14"/>
      <c r="E837" s="15"/>
      <c r="F837" s="16"/>
      <c r="G837" s="18"/>
      <c r="H837" s="15"/>
      <c r="I837" s="18"/>
      <c r="J837" s="22"/>
      <c r="K837" s="108"/>
      <c r="L837" s="26"/>
    </row>
    <row r="838">
      <c r="A838" s="12"/>
      <c r="B838" s="13"/>
      <c r="C838" s="14"/>
      <c r="D838" s="14"/>
      <c r="E838" s="15"/>
      <c r="F838" s="16"/>
      <c r="G838" s="18"/>
      <c r="H838" s="15"/>
      <c r="I838" s="18"/>
      <c r="J838" s="22"/>
      <c r="K838" s="108"/>
      <c r="L838" s="26"/>
    </row>
    <row r="839">
      <c r="A839" s="12"/>
      <c r="B839" s="13"/>
      <c r="C839" s="14"/>
      <c r="D839" s="14"/>
      <c r="E839" s="15"/>
      <c r="F839" s="16"/>
      <c r="G839" s="18"/>
      <c r="H839" s="15"/>
      <c r="I839" s="18"/>
      <c r="J839" s="22"/>
      <c r="K839" s="108"/>
      <c r="L839" s="26"/>
    </row>
    <row r="840">
      <c r="A840" s="12"/>
      <c r="B840" s="13"/>
      <c r="C840" s="14"/>
      <c r="D840" s="14"/>
      <c r="E840" s="15"/>
      <c r="F840" s="16"/>
      <c r="G840" s="18"/>
      <c r="H840" s="15"/>
      <c r="I840" s="18"/>
      <c r="J840" s="22"/>
      <c r="K840" s="108"/>
      <c r="L840" s="26"/>
    </row>
    <row r="841">
      <c r="A841" s="12"/>
      <c r="B841" s="13"/>
      <c r="C841" s="14"/>
      <c r="D841" s="14"/>
      <c r="E841" s="15"/>
      <c r="F841" s="16"/>
      <c r="G841" s="18"/>
      <c r="H841" s="15"/>
      <c r="I841" s="18"/>
      <c r="J841" s="22"/>
      <c r="K841" s="108"/>
      <c r="L841" s="26"/>
    </row>
    <row r="842">
      <c r="A842" s="12"/>
      <c r="B842" s="13"/>
      <c r="C842" s="14"/>
      <c r="D842" s="14"/>
      <c r="E842" s="15"/>
      <c r="F842" s="16"/>
      <c r="G842" s="18"/>
      <c r="H842" s="15"/>
      <c r="I842" s="18"/>
      <c r="J842" s="22"/>
      <c r="K842" s="108"/>
      <c r="L842" s="26"/>
    </row>
    <row r="843">
      <c r="A843" s="12"/>
      <c r="B843" s="13"/>
      <c r="C843" s="14"/>
      <c r="D843" s="14"/>
      <c r="E843" s="15"/>
      <c r="F843" s="16"/>
      <c r="G843" s="18"/>
      <c r="H843" s="15"/>
      <c r="I843" s="18"/>
      <c r="J843" s="22"/>
      <c r="K843" s="108"/>
      <c r="L843" s="26"/>
    </row>
    <row r="844">
      <c r="A844" s="12"/>
      <c r="B844" s="13"/>
      <c r="C844" s="14"/>
      <c r="D844" s="14"/>
      <c r="E844" s="15"/>
      <c r="F844" s="16"/>
      <c r="G844" s="18"/>
      <c r="H844" s="15"/>
      <c r="I844" s="18"/>
      <c r="J844" s="22"/>
      <c r="K844" s="108"/>
      <c r="L844" s="26"/>
    </row>
    <row r="845">
      <c r="A845" s="12"/>
      <c r="B845" s="13"/>
      <c r="C845" s="14"/>
      <c r="D845" s="14"/>
      <c r="E845" s="15"/>
      <c r="F845" s="16"/>
      <c r="G845" s="18"/>
      <c r="H845" s="15"/>
      <c r="I845" s="18"/>
      <c r="J845" s="22"/>
      <c r="K845" s="108"/>
      <c r="L845" s="26"/>
    </row>
    <row r="846">
      <c r="A846" s="12"/>
      <c r="B846" s="13"/>
      <c r="C846" s="14"/>
      <c r="D846" s="14"/>
      <c r="E846" s="15"/>
      <c r="F846" s="16"/>
      <c r="G846" s="18"/>
      <c r="H846" s="15"/>
      <c r="I846" s="18"/>
      <c r="J846" s="22"/>
      <c r="K846" s="108"/>
      <c r="L846" s="26"/>
    </row>
    <row r="847">
      <c r="A847" s="12"/>
      <c r="B847" s="13"/>
      <c r="C847" s="14"/>
      <c r="D847" s="14"/>
      <c r="E847" s="15"/>
      <c r="F847" s="16"/>
      <c r="G847" s="18"/>
      <c r="H847" s="15"/>
      <c r="I847" s="18"/>
      <c r="J847" s="22"/>
      <c r="K847" s="108"/>
      <c r="L847" s="26"/>
    </row>
    <row r="848">
      <c r="A848" s="12"/>
      <c r="B848" s="13"/>
      <c r="C848" s="14"/>
      <c r="D848" s="14"/>
      <c r="E848" s="15"/>
      <c r="F848" s="16"/>
      <c r="G848" s="18"/>
      <c r="H848" s="15"/>
      <c r="I848" s="18"/>
      <c r="J848" s="22"/>
      <c r="K848" s="108"/>
      <c r="L848" s="26"/>
    </row>
    <row r="849">
      <c r="A849" s="12"/>
      <c r="B849" s="13"/>
      <c r="C849" s="14"/>
      <c r="D849" s="14"/>
      <c r="E849" s="15"/>
      <c r="F849" s="16"/>
      <c r="G849" s="18"/>
      <c r="H849" s="15"/>
      <c r="I849" s="18"/>
      <c r="J849" s="22"/>
      <c r="K849" s="108"/>
      <c r="L849" s="26"/>
    </row>
    <row r="850">
      <c r="A850" s="12"/>
      <c r="B850" s="13"/>
      <c r="C850" s="14"/>
      <c r="D850" s="14"/>
      <c r="E850" s="15"/>
      <c r="F850" s="16"/>
      <c r="G850" s="18"/>
      <c r="H850" s="15"/>
      <c r="I850" s="18"/>
      <c r="J850" s="22"/>
      <c r="K850" s="108"/>
      <c r="L850" s="26"/>
    </row>
    <row r="851">
      <c r="A851" s="12"/>
      <c r="B851" s="13"/>
      <c r="C851" s="14"/>
      <c r="D851" s="14"/>
      <c r="E851" s="15"/>
      <c r="F851" s="16"/>
      <c r="G851" s="18"/>
      <c r="H851" s="15"/>
      <c r="I851" s="18"/>
      <c r="J851" s="22"/>
      <c r="K851" s="108"/>
      <c r="L851" s="26"/>
    </row>
    <row r="852">
      <c r="A852" s="12"/>
      <c r="B852" s="13"/>
      <c r="C852" s="14"/>
      <c r="D852" s="14"/>
      <c r="E852" s="15"/>
      <c r="F852" s="16"/>
      <c r="G852" s="18"/>
      <c r="H852" s="15"/>
      <c r="I852" s="18"/>
      <c r="J852" s="22"/>
      <c r="K852" s="108"/>
      <c r="L852" s="26"/>
    </row>
    <row r="853">
      <c r="A853" s="12"/>
      <c r="B853" s="13"/>
      <c r="C853" s="14"/>
      <c r="D853" s="14"/>
      <c r="E853" s="15"/>
      <c r="F853" s="16"/>
      <c r="G853" s="18"/>
      <c r="H853" s="15"/>
      <c r="I853" s="18"/>
      <c r="J853" s="22"/>
      <c r="K853" s="108"/>
      <c r="L853" s="26"/>
    </row>
    <row r="854">
      <c r="A854" s="12"/>
      <c r="B854" s="13"/>
      <c r="C854" s="14"/>
      <c r="D854" s="14"/>
      <c r="E854" s="15"/>
      <c r="F854" s="16"/>
      <c r="G854" s="18"/>
      <c r="H854" s="15"/>
      <c r="I854" s="18"/>
      <c r="J854" s="22"/>
      <c r="K854" s="108"/>
      <c r="L854" s="26"/>
    </row>
    <row r="855">
      <c r="A855" s="12"/>
      <c r="B855" s="13"/>
      <c r="C855" s="14"/>
      <c r="D855" s="14"/>
      <c r="E855" s="15"/>
      <c r="F855" s="16"/>
      <c r="G855" s="18"/>
      <c r="H855" s="15"/>
      <c r="I855" s="18"/>
      <c r="J855" s="22"/>
      <c r="K855" s="108"/>
      <c r="L855" s="26"/>
    </row>
    <row r="856">
      <c r="A856" s="12"/>
      <c r="B856" s="13"/>
      <c r="C856" s="14"/>
      <c r="D856" s="14"/>
      <c r="E856" s="15"/>
      <c r="F856" s="16"/>
      <c r="G856" s="18"/>
      <c r="H856" s="15"/>
      <c r="I856" s="18"/>
      <c r="J856" s="22"/>
      <c r="K856" s="108"/>
      <c r="L856" s="26"/>
    </row>
    <row r="857">
      <c r="A857" s="12"/>
      <c r="B857" s="13"/>
      <c r="C857" s="14"/>
      <c r="D857" s="14"/>
      <c r="E857" s="15"/>
      <c r="F857" s="16"/>
      <c r="G857" s="18"/>
      <c r="H857" s="15"/>
      <c r="I857" s="18"/>
      <c r="J857" s="22"/>
      <c r="K857" s="108"/>
      <c r="L857" s="26"/>
    </row>
    <row r="858">
      <c r="A858" s="12"/>
      <c r="B858" s="13"/>
      <c r="C858" s="14"/>
      <c r="D858" s="14"/>
      <c r="E858" s="15"/>
      <c r="F858" s="16"/>
      <c r="G858" s="18"/>
      <c r="H858" s="15"/>
      <c r="I858" s="18"/>
      <c r="J858" s="22"/>
      <c r="K858" s="108"/>
      <c r="L858" s="26"/>
    </row>
    <row r="859">
      <c r="A859" s="12"/>
      <c r="B859" s="13"/>
      <c r="C859" s="14"/>
      <c r="D859" s="14"/>
      <c r="E859" s="15"/>
      <c r="F859" s="16"/>
      <c r="G859" s="18"/>
      <c r="H859" s="15"/>
      <c r="I859" s="18"/>
      <c r="J859" s="22"/>
      <c r="K859" s="108"/>
      <c r="L859" s="26"/>
    </row>
    <row r="860">
      <c r="A860" s="12"/>
      <c r="B860" s="13"/>
      <c r="C860" s="14"/>
      <c r="D860" s="14"/>
      <c r="E860" s="15"/>
      <c r="F860" s="16"/>
      <c r="G860" s="18"/>
      <c r="H860" s="15"/>
      <c r="I860" s="18"/>
      <c r="J860" s="22"/>
      <c r="K860" s="108"/>
      <c r="L860" s="26"/>
    </row>
    <row r="861">
      <c r="A861" s="12"/>
      <c r="B861" s="13"/>
      <c r="C861" s="14"/>
      <c r="D861" s="14"/>
      <c r="E861" s="15"/>
      <c r="F861" s="16"/>
      <c r="G861" s="18"/>
      <c r="H861" s="15"/>
      <c r="I861" s="18"/>
      <c r="J861" s="22"/>
      <c r="K861" s="108"/>
      <c r="L861" s="26"/>
    </row>
    <row r="862">
      <c r="A862" s="12"/>
      <c r="B862" s="13"/>
      <c r="C862" s="14"/>
      <c r="D862" s="14"/>
      <c r="E862" s="15"/>
      <c r="F862" s="16"/>
      <c r="G862" s="18"/>
      <c r="H862" s="15"/>
      <c r="I862" s="18"/>
      <c r="J862" s="22"/>
      <c r="K862" s="108"/>
      <c r="L862" s="26"/>
    </row>
    <row r="863">
      <c r="A863" s="12"/>
      <c r="B863" s="13"/>
      <c r="C863" s="14"/>
      <c r="D863" s="14"/>
      <c r="E863" s="15"/>
      <c r="F863" s="16"/>
      <c r="G863" s="18"/>
      <c r="H863" s="15"/>
      <c r="I863" s="18"/>
      <c r="J863" s="22"/>
      <c r="K863" s="108"/>
      <c r="L863" s="26"/>
    </row>
    <row r="864">
      <c r="A864" s="12"/>
      <c r="B864" s="13"/>
      <c r="C864" s="14"/>
      <c r="D864" s="14"/>
      <c r="E864" s="15"/>
      <c r="F864" s="16"/>
      <c r="G864" s="18"/>
      <c r="H864" s="15"/>
      <c r="I864" s="18"/>
      <c r="J864" s="22"/>
      <c r="K864" s="108"/>
      <c r="L864" s="26"/>
    </row>
    <row r="865">
      <c r="A865" s="12"/>
      <c r="B865" s="13"/>
      <c r="C865" s="14"/>
      <c r="D865" s="14"/>
      <c r="E865" s="15"/>
      <c r="F865" s="16"/>
      <c r="G865" s="18"/>
      <c r="H865" s="15"/>
      <c r="I865" s="18"/>
      <c r="J865" s="22"/>
      <c r="K865" s="108"/>
      <c r="L865" s="26"/>
    </row>
    <row r="866">
      <c r="A866" s="12"/>
      <c r="B866" s="13"/>
      <c r="C866" s="14"/>
      <c r="D866" s="14"/>
      <c r="E866" s="15"/>
      <c r="F866" s="16"/>
      <c r="G866" s="18"/>
      <c r="H866" s="15"/>
      <c r="I866" s="18"/>
      <c r="J866" s="22"/>
      <c r="K866" s="108"/>
      <c r="L866" s="26"/>
    </row>
    <row r="867">
      <c r="A867" s="12"/>
      <c r="B867" s="13"/>
      <c r="C867" s="14"/>
      <c r="D867" s="14"/>
      <c r="E867" s="15"/>
      <c r="F867" s="16"/>
      <c r="G867" s="18"/>
      <c r="H867" s="15"/>
      <c r="I867" s="18"/>
      <c r="J867" s="22"/>
      <c r="K867" s="108"/>
      <c r="L867" s="26"/>
    </row>
    <row r="868">
      <c r="A868" s="12"/>
      <c r="B868" s="13"/>
      <c r="C868" s="14"/>
      <c r="D868" s="14"/>
      <c r="E868" s="15"/>
      <c r="F868" s="16"/>
      <c r="G868" s="18"/>
      <c r="H868" s="15"/>
      <c r="I868" s="18"/>
      <c r="J868" s="22"/>
      <c r="K868" s="108"/>
      <c r="L868" s="26"/>
    </row>
    <row r="869">
      <c r="A869" s="12"/>
      <c r="B869" s="13"/>
      <c r="C869" s="14"/>
      <c r="D869" s="14"/>
      <c r="E869" s="15"/>
      <c r="F869" s="16"/>
      <c r="G869" s="18"/>
      <c r="H869" s="15"/>
      <c r="I869" s="18"/>
      <c r="J869" s="22"/>
      <c r="K869" s="108"/>
      <c r="L869" s="26"/>
    </row>
    <row r="870">
      <c r="A870" s="12"/>
      <c r="B870" s="13"/>
      <c r="C870" s="14"/>
      <c r="D870" s="14"/>
      <c r="E870" s="15"/>
      <c r="F870" s="16"/>
      <c r="G870" s="18"/>
      <c r="H870" s="15"/>
      <c r="I870" s="18"/>
      <c r="J870" s="22"/>
      <c r="K870" s="108"/>
      <c r="L870" s="26"/>
    </row>
    <row r="871">
      <c r="A871" s="12"/>
      <c r="B871" s="13"/>
      <c r="C871" s="14"/>
      <c r="D871" s="14"/>
      <c r="E871" s="15"/>
      <c r="F871" s="16"/>
      <c r="G871" s="18"/>
      <c r="H871" s="15"/>
      <c r="I871" s="18"/>
      <c r="J871" s="22"/>
      <c r="K871" s="108"/>
      <c r="L871" s="26"/>
    </row>
    <row r="872">
      <c r="A872" s="12"/>
      <c r="B872" s="13"/>
      <c r="C872" s="14"/>
      <c r="D872" s="14"/>
      <c r="E872" s="15"/>
      <c r="F872" s="16"/>
      <c r="G872" s="18"/>
      <c r="H872" s="15"/>
      <c r="I872" s="18"/>
      <c r="J872" s="22"/>
      <c r="K872" s="108"/>
      <c r="L872" s="26"/>
    </row>
    <row r="873">
      <c r="A873" s="12"/>
      <c r="B873" s="13"/>
      <c r="C873" s="14"/>
      <c r="D873" s="14"/>
      <c r="E873" s="15"/>
      <c r="F873" s="16"/>
      <c r="G873" s="18"/>
      <c r="H873" s="15"/>
      <c r="I873" s="18"/>
      <c r="J873" s="22"/>
      <c r="K873" s="108"/>
      <c r="L873" s="26"/>
    </row>
    <row r="874">
      <c r="A874" s="12"/>
      <c r="B874" s="13"/>
      <c r="C874" s="14"/>
      <c r="D874" s="14"/>
      <c r="E874" s="15"/>
      <c r="F874" s="16"/>
      <c r="G874" s="18"/>
      <c r="H874" s="15"/>
      <c r="I874" s="18"/>
      <c r="J874" s="22"/>
      <c r="K874" s="108"/>
      <c r="L874" s="26"/>
    </row>
    <row r="875">
      <c r="A875" s="12"/>
      <c r="B875" s="13"/>
      <c r="C875" s="14"/>
      <c r="D875" s="14"/>
      <c r="E875" s="15"/>
      <c r="F875" s="16"/>
      <c r="G875" s="18"/>
      <c r="H875" s="15"/>
      <c r="I875" s="18"/>
      <c r="J875" s="22"/>
      <c r="K875" s="108"/>
      <c r="L875" s="26"/>
    </row>
    <row r="876">
      <c r="A876" s="12"/>
      <c r="B876" s="13"/>
      <c r="C876" s="14"/>
      <c r="D876" s="14"/>
      <c r="E876" s="15"/>
      <c r="F876" s="16"/>
      <c r="G876" s="18"/>
      <c r="H876" s="15"/>
      <c r="I876" s="18"/>
      <c r="J876" s="22"/>
      <c r="K876" s="108"/>
      <c r="L876" s="26"/>
    </row>
    <row r="877">
      <c r="A877" s="12"/>
      <c r="B877" s="13"/>
      <c r="C877" s="14"/>
      <c r="D877" s="14"/>
      <c r="E877" s="15"/>
      <c r="F877" s="16"/>
      <c r="G877" s="18"/>
      <c r="H877" s="15"/>
      <c r="I877" s="18"/>
      <c r="J877" s="22"/>
      <c r="K877" s="108"/>
      <c r="L877" s="26"/>
    </row>
    <row r="878">
      <c r="A878" s="12"/>
      <c r="B878" s="13"/>
      <c r="C878" s="14"/>
      <c r="D878" s="14"/>
      <c r="E878" s="15"/>
      <c r="F878" s="16"/>
      <c r="G878" s="18"/>
      <c r="H878" s="15"/>
      <c r="I878" s="18"/>
      <c r="J878" s="22"/>
      <c r="K878" s="108"/>
      <c r="L878" s="26"/>
    </row>
    <row r="879">
      <c r="A879" s="12"/>
      <c r="B879" s="13"/>
      <c r="C879" s="14"/>
      <c r="D879" s="14"/>
      <c r="E879" s="15"/>
      <c r="F879" s="16"/>
      <c r="G879" s="18"/>
      <c r="H879" s="15"/>
      <c r="I879" s="18"/>
      <c r="J879" s="22"/>
      <c r="K879" s="108"/>
      <c r="L879" s="26"/>
    </row>
    <row r="880">
      <c r="A880" s="12"/>
      <c r="B880" s="13"/>
      <c r="C880" s="14"/>
      <c r="D880" s="14"/>
      <c r="E880" s="15"/>
      <c r="F880" s="16"/>
      <c r="G880" s="18"/>
      <c r="H880" s="15"/>
      <c r="I880" s="18"/>
      <c r="J880" s="22"/>
      <c r="K880" s="108"/>
      <c r="L880" s="26"/>
    </row>
    <row r="881">
      <c r="A881" s="12"/>
      <c r="B881" s="13"/>
      <c r="C881" s="14"/>
      <c r="D881" s="14"/>
      <c r="E881" s="15"/>
      <c r="F881" s="16"/>
      <c r="G881" s="18"/>
      <c r="H881" s="15"/>
      <c r="I881" s="18"/>
      <c r="J881" s="22"/>
      <c r="K881" s="108"/>
      <c r="L881" s="26"/>
    </row>
    <row r="882">
      <c r="A882" s="12"/>
      <c r="B882" s="13"/>
      <c r="C882" s="14"/>
      <c r="D882" s="14"/>
      <c r="E882" s="15"/>
      <c r="F882" s="16"/>
      <c r="G882" s="18"/>
      <c r="H882" s="15"/>
      <c r="I882" s="18"/>
      <c r="J882" s="22"/>
      <c r="K882" s="108"/>
      <c r="L882" s="26"/>
    </row>
    <row r="883">
      <c r="A883" s="12"/>
      <c r="B883" s="13"/>
      <c r="C883" s="14"/>
      <c r="D883" s="14"/>
      <c r="E883" s="15"/>
      <c r="F883" s="16"/>
      <c r="G883" s="18"/>
      <c r="H883" s="15"/>
      <c r="I883" s="18"/>
      <c r="J883" s="22"/>
      <c r="K883" s="108"/>
      <c r="L883" s="26"/>
    </row>
    <row r="884">
      <c r="A884" s="12"/>
      <c r="B884" s="13"/>
      <c r="C884" s="14"/>
      <c r="D884" s="14"/>
      <c r="E884" s="15"/>
      <c r="F884" s="16"/>
      <c r="G884" s="18"/>
      <c r="H884" s="15"/>
      <c r="I884" s="18"/>
      <c r="J884" s="22"/>
      <c r="K884" s="108"/>
      <c r="L884" s="26"/>
    </row>
    <row r="885">
      <c r="A885" s="12"/>
      <c r="B885" s="13"/>
      <c r="C885" s="14"/>
      <c r="D885" s="14"/>
      <c r="E885" s="15"/>
      <c r="F885" s="16"/>
      <c r="G885" s="18"/>
      <c r="H885" s="15"/>
      <c r="I885" s="18"/>
      <c r="J885" s="22"/>
      <c r="K885" s="108"/>
      <c r="L885" s="26"/>
    </row>
    <row r="886">
      <c r="A886" s="12"/>
      <c r="B886" s="13"/>
      <c r="C886" s="14"/>
      <c r="D886" s="14"/>
      <c r="E886" s="15"/>
      <c r="F886" s="16"/>
      <c r="G886" s="18"/>
      <c r="H886" s="15"/>
      <c r="I886" s="18"/>
      <c r="J886" s="22"/>
      <c r="K886" s="108"/>
      <c r="L886" s="26"/>
    </row>
    <row r="887">
      <c r="A887" s="12"/>
      <c r="B887" s="13"/>
      <c r="C887" s="14"/>
      <c r="D887" s="14"/>
      <c r="E887" s="15"/>
      <c r="F887" s="16"/>
      <c r="G887" s="18"/>
      <c r="H887" s="15"/>
      <c r="I887" s="18"/>
      <c r="J887" s="22"/>
      <c r="K887" s="108"/>
      <c r="L887" s="26"/>
    </row>
    <row r="888">
      <c r="A888" s="12"/>
      <c r="B888" s="13"/>
      <c r="C888" s="14"/>
      <c r="D888" s="14"/>
      <c r="E888" s="15"/>
      <c r="F888" s="16"/>
      <c r="G888" s="18"/>
      <c r="H888" s="15"/>
      <c r="I888" s="18"/>
      <c r="J888" s="22"/>
      <c r="K888" s="108"/>
      <c r="L888" s="26"/>
    </row>
    <row r="889">
      <c r="A889" s="12"/>
      <c r="B889" s="13"/>
      <c r="C889" s="14"/>
      <c r="D889" s="14"/>
      <c r="E889" s="15"/>
      <c r="F889" s="16"/>
      <c r="G889" s="18"/>
      <c r="H889" s="15"/>
      <c r="I889" s="18"/>
      <c r="J889" s="22"/>
      <c r="K889" s="108"/>
      <c r="L889" s="26"/>
    </row>
    <row r="890">
      <c r="A890" s="12"/>
      <c r="B890" s="13"/>
      <c r="C890" s="14"/>
      <c r="D890" s="14"/>
      <c r="E890" s="15"/>
      <c r="F890" s="16"/>
      <c r="G890" s="18"/>
      <c r="H890" s="15"/>
      <c r="I890" s="18"/>
      <c r="J890" s="22"/>
      <c r="K890" s="108"/>
      <c r="L890" s="26"/>
    </row>
    <row r="891">
      <c r="A891" s="12"/>
      <c r="B891" s="13"/>
      <c r="C891" s="14"/>
      <c r="D891" s="14"/>
      <c r="E891" s="15"/>
      <c r="F891" s="16"/>
      <c r="G891" s="18"/>
      <c r="H891" s="15"/>
      <c r="I891" s="18"/>
      <c r="J891" s="22"/>
      <c r="K891" s="108"/>
      <c r="L891" s="26"/>
    </row>
    <row r="892">
      <c r="A892" s="12"/>
      <c r="B892" s="13"/>
      <c r="C892" s="14"/>
      <c r="D892" s="14"/>
      <c r="E892" s="15"/>
      <c r="F892" s="16"/>
      <c r="G892" s="18"/>
      <c r="H892" s="15"/>
      <c r="I892" s="18"/>
      <c r="J892" s="22"/>
      <c r="K892" s="108"/>
      <c r="L892" s="26"/>
    </row>
    <row r="893">
      <c r="A893" s="12"/>
      <c r="B893" s="13"/>
      <c r="C893" s="14"/>
      <c r="D893" s="14"/>
      <c r="E893" s="15"/>
      <c r="F893" s="16"/>
      <c r="G893" s="18"/>
      <c r="H893" s="15"/>
      <c r="I893" s="18"/>
      <c r="J893" s="22"/>
      <c r="K893" s="108"/>
      <c r="L893" s="26"/>
    </row>
    <row r="894">
      <c r="A894" s="12"/>
      <c r="B894" s="13"/>
      <c r="C894" s="14"/>
      <c r="D894" s="14"/>
      <c r="E894" s="15"/>
      <c r="F894" s="16"/>
      <c r="G894" s="18"/>
      <c r="H894" s="15"/>
      <c r="I894" s="18"/>
      <c r="J894" s="22"/>
      <c r="K894" s="108"/>
      <c r="L894" s="26"/>
    </row>
    <row r="895">
      <c r="A895" s="12"/>
      <c r="B895" s="13"/>
      <c r="C895" s="14"/>
      <c r="D895" s="14"/>
      <c r="E895" s="15"/>
      <c r="F895" s="16"/>
      <c r="G895" s="18"/>
      <c r="H895" s="15"/>
      <c r="I895" s="18"/>
      <c r="J895" s="22"/>
      <c r="K895" s="108"/>
      <c r="L895" s="26"/>
    </row>
    <row r="896">
      <c r="A896" s="12"/>
      <c r="B896" s="13"/>
      <c r="C896" s="14"/>
      <c r="D896" s="14"/>
      <c r="E896" s="15"/>
      <c r="F896" s="16"/>
      <c r="G896" s="18"/>
      <c r="H896" s="15"/>
      <c r="I896" s="18"/>
      <c r="J896" s="22"/>
      <c r="K896" s="108"/>
      <c r="L896" s="26"/>
    </row>
    <row r="897">
      <c r="A897" s="12"/>
      <c r="B897" s="13"/>
      <c r="C897" s="14"/>
      <c r="D897" s="14"/>
      <c r="E897" s="15"/>
      <c r="F897" s="16"/>
      <c r="G897" s="18"/>
      <c r="H897" s="15"/>
      <c r="I897" s="18"/>
      <c r="J897" s="22"/>
      <c r="K897" s="108"/>
      <c r="L897" s="26"/>
    </row>
    <row r="898">
      <c r="A898" s="12"/>
      <c r="B898" s="13"/>
      <c r="C898" s="14"/>
      <c r="D898" s="14"/>
      <c r="E898" s="15"/>
      <c r="F898" s="16"/>
      <c r="G898" s="18"/>
      <c r="H898" s="15"/>
      <c r="I898" s="18"/>
      <c r="J898" s="22"/>
      <c r="K898" s="108"/>
      <c r="L898" s="26"/>
    </row>
    <row r="899">
      <c r="A899" s="12"/>
      <c r="B899" s="13"/>
      <c r="C899" s="14"/>
      <c r="D899" s="14"/>
      <c r="E899" s="15"/>
      <c r="F899" s="16"/>
      <c r="G899" s="18"/>
      <c r="H899" s="15"/>
      <c r="I899" s="18"/>
      <c r="J899" s="22"/>
      <c r="K899" s="108"/>
      <c r="L899" s="26"/>
    </row>
    <row r="900">
      <c r="A900" s="12"/>
      <c r="B900" s="13"/>
      <c r="C900" s="14"/>
      <c r="D900" s="14"/>
      <c r="E900" s="15"/>
      <c r="F900" s="16"/>
      <c r="G900" s="18"/>
      <c r="H900" s="15"/>
      <c r="I900" s="18"/>
      <c r="J900" s="22"/>
      <c r="K900" s="108"/>
      <c r="L900" s="26"/>
    </row>
    <row r="901">
      <c r="A901" s="12"/>
      <c r="B901" s="13"/>
      <c r="C901" s="14"/>
      <c r="D901" s="14"/>
      <c r="E901" s="15"/>
      <c r="F901" s="16"/>
      <c r="G901" s="18"/>
      <c r="H901" s="15"/>
      <c r="I901" s="18"/>
      <c r="J901" s="22"/>
      <c r="K901" s="108"/>
      <c r="L901" s="26"/>
    </row>
    <row r="902">
      <c r="A902" s="12"/>
      <c r="B902" s="13"/>
      <c r="C902" s="14"/>
      <c r="D902" s="14"/>
      <c r="E902" s="15"/>
      <c r="F902" s="16"/>
      <c r="G902" s="18"/>
      <c r="H902" s="15"/>
      <c r="I902" s="18"/>
      <c r="J902" s="22"/>
      <c r="K902" s="108"/>
      <c r="L902" s="26"/>
    </row>
    <row r="903">
      <c r="A903" s="12"/>
      <c r="B903" s="13"/>
      <c r="C903" s="14"/>
      <c r="D903" s="14"/>
      <c r="E903" s="15"/>
      <c r="F903" s="16"/>
      <c r="G903" s="18"/>
      <c r="H903" s="15"/>
      <c r="I903" s="18"/>
      <c r="J903" s="22"/>
      <c r="K903" s="108"/>
      <c r="L903" s="26"/>
    </row>
    <row r="904">
      <c r="A904" s="12"/>
      <c r="B904" s="13"/>
      <c r="C904" s="14"/>
      <c r="D904" s="14"/>
      <c r="E904" s="15"/>
      <c r="F904" s="16"/>
      <c r="G904" s="18"/>
      <c r="H904" s="15"/>
      <c r="I904" s="18"/>
      <c r="J904" s="22"/>
      <c r="K904" s="108"/>
      <c r="L904" s="26"/>
    </row>
    <row r="905">
      <c r="A905" s="12"/>
      <c r="B905" s="13"/>
      <c r="C905" s="14"/>
      <c r="D905" s="14"/>
      <c r="E905" s="15"/>
      <c r="F905" s="16"/>
      <c r="G905" s="18"/>
      <c r="H905" s="15"/>
      <c r="I905" s="18"/>
      <c r="J905" s="22"/>
      <c r="K905" s="108"/>
      <c r="L905" s="26"/>
    </row>
    <row r="906">
      <c r="A906" s="12"/>
      <c r="B906" s="13"/>
      <c r="C906" s="14"/>
      <c r="D906" s="14"/>
      <c r="E906" s="15"/>
      <c r="F906" s="16"/>
      <c r="G906" s="18"/>
      <c r="H906" s="15"/>
      <c r="I906" s="18"/>
      <c r="J906" s="22"/>
      <c r="K906" s="108"/>
      <c r="L906" s="26"/>
    </row>
    <row r="907">
      <c r="A907" s="12"/>
      <c r="B907" s="13"/>
      <c r="C907" s="14"/>
      <c r="D907" s="14"/>
      <c r="E907" s="15"/>
      <c r="F907" s="16"/>
      <c r="G907" s="18"/>
      <c r="H907" s="15"/>
      <c r="I907" s="18"/>
      <c r="J907" s="22"/>
      <c r="K907" s="108"/>
      <c r="L907" s="26"/>
    </row>
    <row r="908">
      <c r="A908" s="12"/>
      <c r="B908" s="13"/>
      <c r="C908" s="14"/>
      <c r="D908" s="14"/>
      <c r="E908" s="15"/>
      <c r="F908" s="16"/>
      <c r="G908" s="18"/>
      <c r="H908" s="15"/>
      <c r="I908" s="18"/>
      <c r="J908" s="22"/>
      <c r="K908" s="108"/>
      <c r="L908" s="26"/>
    </row>
    <row r="909">
      <c r="A909" s="12"/>
      <c r="B909" s="13"/>
      <c r="C909" s="14"/>
      <c r="D909" s="14"/>
      <c r="E909" s="15"/>
      <c r="F909" s="16"/>
      <c r="G909" s="18"/>
      <c r="H909" s="15"/>
      <c r="I909" s="18"/>
      <c r="J909" s="22"/>
      <c r="K909" s="108"/>
      <c r="L909" s="26"/>
    </row>
    <row r="910">
      <c r="A910" s="12"/>
      <c r="B910" s="13"/>
      <c r="C910" s="14"/>
      <c r="D910" s="14"/>
      <c r="E910" s="15"/>
      <c r="F910" s="16"/>
      <c r="G910" s="18"/>
      <c r="H910" s="15"/>
      <c r="I910" s="18"/>
      <c r="J910" s="22"/>
      <c r="K910" s="108"/>
      <c r="L910" s="26"/>
    </row>
    <row r="911">
      <c r="A911" s="12"/>
      <c r="B911" s="13"/>
      <c r="C911" s="14"/>
      <c r="D911" s="14"/>
      <c r="E911" s="15"/>
      <c r="F911" s="16"/>
      <c r="G911" s="18"/>
      <c r="H911" s="15"/>
      <c r="I911" s="18"/>
      <c r="J911" s="22"/>
      <c r="K911" s="108"/>
      <c r="L911" s="26"/>
    </row>
    <row r="912">
      <c r="A912" s="12"/>
      <c r="B912" s="13"/>
      <c r="C912" s="14"/>
      <c r="D912" s="14"/>
      <c r="E912" s="15"/>
      <c r="F912" s="16"/>
      <c r="G912" s="18"/>
      <c r="H912" s="15"/>
      <c r="I912" s="18"/>
      <c r="J912" s="22"/>
      <c r="K912" s="108"/>
      <c r="L912" s="26"/>
    </row>
    <row r="913">
      <c r="A913" s="12"/>
      <c r="B913" s="13"/>
      <c r="C913" s="14"/>
      <c r="D913" s="14"/>
      <c r="E913" s="15"/>
      <c r="F913" s="16"/>
      <c r="G913" s="18"/>
      <c r="H913" s="15"/>
      <c r="I913" s="18"/>
      <c r="J913" s="22"/>
      <c r="K913" s="108"/>
      <c r="L913" s="26"/>
    </row>
    <row r="914">
      <c r="A914" s="12"/>
      <c r="B914" s="13"/>
      <c r="C914" s="14"/>
      <c r="D914" s="14"/>
      <c r="E914" s="15"/>
      <c r="F914" s="16"/>
      <c r="G914" s="18"/>
      <c r="H914" s="15"/>
      <c r="I914" s="18"/>
      <c r="J914" s="22"/>
      <c r="K914" s="108"/>
      <c r="L914" s="26"/>
    </row>
    <row r="915">
      <c r="A915" s="12"/>
      <c r="B915" s="13"/>
      <c r="C915" s="14"/>
      <c r="D915" s="14"/>
      <c r="E915" s="15"/>
      <c r="F915" s="16"/>
      <c r="G915" s="18"/>
      <c r="H915" s="15"/>
      <c r="I915" s="18"/>
      <c r="J915" s="22"/>
      <c r="K915" s="108"/>
      <c r="L915" s="26"/>
    </row>
    <row r="916">
      <c r="A916" s="12"/>
      <c r="B916" s="13"/>
      <c r="C916" s="14"/>
      <c r="D916" s="14"/>
      <c r="E916" s="15"/>
      <c r="F916" s="16"/>
      <c r="G916" s="18"/>
      <c r="H916" s="15"/>
      <c r="I916" s="18"/>
      <c r="J916" s="22"/>
      <c r="K916" s="108"/>
      <c r="L916" s="26"/>
    </row>
    <row r="917">
      <c r="A917" s="12"/>
      <c r="B917" s="13"/>
      <c r="C917" s="14"/>
      <c r="D917" s="14"/>
      <c r="E917" s="15"/>
      <c r="F917" s="16"/>
      <c r="G917" s="18"/>
      <c r="H917" s="15"/>
      <c r="I917" s="18"/>
      <c r="J917" s="22"/>
      <c r="K917" s="108"/>
      <c r="L917" s="26"/>
    </row>
    <row r="918">
      <c r="A918" s="12"/>
      <c r="B918" s="13"/>
      <c r="C918" s="14"/>
      <c r="D918" s="14"/>
      <c r="E918" s="15"/>
      <c r="F918" s="16"/>
      <c r="G918" s="18"/>
      <c r="H918" s="15"/>
      <c r="I918" s="18"/>
      <c r="J918" s="22"/>
      <c r="K918" s="108"/>
      <c r="L918" s="26"/>
    </row>
    <row r="919">
      <c r="A919" s="12"/>
      <c r="B919" s="13"/>
      <c r="C919" s="14"/>
      <c r="D919" s="14"/>
      <c r="E919" s="15"/>
      <c r="F919" s="16"/>
      <c r="G919" s="18"/>
      <c r="H919" s="15"/>
      <c r="I919" s="18"/>
      <c r="J919" s="22"/>
      <c r="K919" s="108"/>
      <c r="L919" s="26"/>
    </row>
    <row r="920">
      <c r="A920" s="12"/>
      <c r="B920" s="13"/>
      <c r="C920" s="14"/>
      <c r="D920" s="14"/>
      <c r="E920" s="15"/>
      <c r="F920" s="16"/>
      <c r="G920" s="18"/>
      <c r="H920" s="15"/>
      <c r="I920" s="18"/>
      <c r="J920" s="22"/>
      <c r="K920" s="108"/>
      <c r="L920" s="26"/>
    </row>
    <row r="921">
      <c r="A921" s="12"/>
      <c r="B921" s="13"/>
      <c r="C921" s="14"/>
      <c r="D921" s="14"/>
      <c r="E921" s="15"/>
      <c r="F921" s="16"/>
      <c r="G921" s="18"/>
      <c r="H921" s="15"/>
      <c r="I921" s="18"/>
      <c r="J921" s="22"/>
      <c r="K921" s="108"/>
      <c r="L921" s="26"/>
    </row>
    <row r="922">
      <c r="A922" s="12"/>
      <c r="B922" s="13"/>
      <c r="C922" s="14"/>
      <c r="D922" s="14"/>
      <c r="E922" s="15"/>
      <c r="F922" s="16"/>
      <c r="G922" s="18"/>
      <c r="H922" s="15"/>
      <c r="I922" s="18"/>
      <c r="J922" s="22"/>
      <c r="K922" s="108"/>
      <c r="L922" s="26"/>
    </row>
    <row r="923">
      <c r="A923" s="12"/>
      <c r="B923" s="13"/>
      <c r="C923" s="14"/>
      <c r="D923" s="14"/>
      <c r="E923" s="15"/>
      <c r="F923" s="16"/>
      <c r="G923" s="18"/>
      <c r="H923" s="15"/>
      <c r="I923" s="18"/>
      <c r="J923" s="22"/>
      <c r="K923" s="108"/>
      <c r="L923" s="26"/>
    </row>
    <row r="924">
      <c r="A924" s="12"/>
      <c r="B924" s="13"/>
      <c r="C924" s="14"/>
      <c r="D924" s="14"/>
      <c r="E924" s="15"/>
      <c r="F924" s="16"/>
      <c r="G924" s="18"/>
      <c r="H924" s="15"/>
      <c r="I924" s="18"/>
      <c r="J924" s="22"/>
      <c r="K924" s="108"/>
      <c r="L924" s="26"/>
    </row>
    <row r="925">
      <c r="A925" s="12"/>
      <c r="B925" s="13"/>
      <c r="C925" s="14"/>
      <c r="D925" s="14"/>
      <c r="E925" s="15"/>
      <c r="F925" s="16"/>
      <c r="G925" s="18"/>
      <c r="H925" s="15"/>
      <c r="I925" s="18"/>
      <c r="J925" s="22"/>
      <c r="K925" s="108"/>
      <c r="L925" s="26"/>
    </row>
    <row r="926">
      <c r="A926" s="12"/>
      <c r="B926" s="13"/>
      <c r="C926" s="14"/>
      <c r="D926" s="14"/>
      <c r="E926" s="15"/>
      <c r="F926" s="16"/>
      <c r="G926" s="18"/>
      <c r="H926" s="15"/>
      <c r="I926" s="18"/>
      <c r="J926" s="22"/>
      <c r="K926" s="108"/>
      <c r="L926" s="26"/>
    </row>
    <row r="927">
      <c r="A927" s="12"/>
      <c r="B927" s="13"/>
      <c r="C927" s="14"/>
      <c r="D927" s="14"/>
      <c r="E927" s="15"/>
      <c r="F927" s="16"/>
      <c r="G927" s="18"/>
      <c r="H927" s="15"/>
      <c r="I927" s="18"/>
      <c r="J927" s="22"/>
      <c r="K927" s="108"/>
      <c r="L927" s="26"/>
    </row>
    <row r="928">
      <c r="A928" s="12"/>
      <c r="B928" s="13"/>
      <c r="C928" s="14"/>
      <c r="D928" s="14"/>
      <c r="E928" s="15"/>
      <c r="F928" s="16"/>
      <c r="G928" s="18"/>
      <c r="H928" s="15"/>
      <c r="I928" s="18"/>
      <c r="J928" s="22"/>
      <c r="K928" s="108"/>
      <c r="L928" s="26"/>
    </row>
    <row r="929">
      <c r="A929" s="12"/>
      <c r="B929" s="13"/>
      <c r="C929" s="14"/>
      <c r="D929" s="14"/>
      <c r="E929" s="15"/>
      <c r="F929" s="16"/>
      <c r="G929" s="18"/>
      <c r="H929" s="15"/>
      <c r="I929" s="18"/>
      <c r="J929" s="22"/>
      <c r="K929" s="108"/>
      <c r="L929" s="26"/>
    </row>
    <row r="930">
      <c r="A930" s="12"/>
      <c r="B930" s="13"/>
      <c r="C930" s="14"/>
      <c r="D930" s="14"/>
      <c r="E930" s="15"/>
      <c r="F930" s="16"/>
      <c r="G930" s="18"/>
      <c r="H930" s="15"/>
      <c r="I930" s="18"/>
      <c r="J930" s="22"/>
      <c r="K930" s="108"/>
      <c r="L930" s="26"/>
    </row>
    <row r="931">
      <c r="A931" s="12"/>
      <c r="B931" s="13"/>
      <c r="C931" s="14"/>
      <c r="D931" s="14"/>
      <c r="E931" s="15"/>
      <c r="F931" s="16"/>
      <c r="G931" s="18"/>
      <c r="H931" s="15"/>
      <c r="I931" s="18"/>
      <c r="J931" s="22"/>
      <c r="K931" s="108"/>
      <c r="L931" s="26"/>
    </row>
    <row r="932">
      <c r="A932" s="12"/>
      <c r="B932" s="13"/>
      <c r="C932" s="14"/>
      <c r="D932" s="14"/>
      <c r="E932" s="15"/>
      <c r="F932" s="16"/>
      <c r="G932" s="18"/>
      <c r="H932" s="15"/>
      <c r="I932" s="18"/>
      <c r="J932" s="22"/>
      <c r="K932" s="108"/>
      <c r="L932" s="26"/>
    </row>
    <row r="933">
      <c r="A933" s="12"/>
      <c r="B933" s="13"/>
      <c r="C933" s="14"/>
      <c r="D933" s="14"/>
      <c r="E933" s="15"/>
      <c r="F933" s="16"/>
      <c r="G933" s="18"/>
      <c r="H933" s="15"/>
      <c r="I933" s="18"/>
      <c r="J933" s="22"/>
      <c r="K933" s="108"/>
      <c r="L933" s="26"/>
    </row>
    <row r="934">
      <c r="A934" s="12"/>
      <c r="B934" s="13"/>
      <c r="C934" s="14"/>
      <c r="D934" s="14"/>
      <c r="E934" s="15"/>
      <c r="F934" s="16"/>
      <c r="G934" s="18"/>
      <c r="H934" s="15"/>
      <c r="I934" s="18"/>
      <c r="J934" s="22"/>
      <c r="K934" s="108"/>
      <c r="L934" s="26"/>
    </row>
    <row r="935">
      <c r="A935" s="12"/>
      <c r="B935" s="13"/>
      <c r="C935" s="14"/>
      <c r="D935" s="14"/>
      <c r="E935" s="15"/>
      <c r="F935" s="16"/>
      <c r="G935" s="18"/>
      <c r="H935" s="15"/>
      <c r="I935" s="18"/>
      <c r="J935" s="22"/>
      <c r="K935" s="108"/>
      <c r="L935" s="26"/>
    </row>
    <row r="936">
      <c r="A936" s="12"/>
      <c r="B936" s="13"/>
      <c r="C936" s="14"/>
      <c r="D936" s="14"/>
      <c r="E936" s="15"/>
      <c r="F936" s="16"/>
      <c r="G936" s="18"/>
      <c r="H936" s="15"/>
      <c r="I936" s="18"/>
      <c r="J936" s="22"/>
      <c r="K936" s="108"/>
      <c r="L936" s="26"/>
    </row>
    <row r="937">
      <c r="A937" s="12"/>
      <c r="B937" s="13"/>
      <c r="C937" s="14"/>
      <c r="D937" s="14"/>
      <c r="E937" s="15"/>
      <c r="F937" s="16"/>
      <c r="G937" s="18"/>
      <c r="H937" s="15"/>
      <c r="I937" s="18"/>
      <c r="J937" s="22"/>
      <c r="K937" s="108"/>
      <c r="L937" s="26"/>
    </row>
    <row r="938">
      <c r="A938" s="12"/>
      <c r="B938" s="13"/>
      <c r="C938" s="14"/>
      <c r="D938" s="14"/>
      <c r="E938" s="15"/>
      <c r="F938" s="16"/>
      <c r="G938" s="18"/>
      <c r="H938" s="15"/>
      <c r="I938" s="18"/>
      <c r="J938" s="22"/>
      <c r="K938" s="108"/>
      <c r="L938" s="26"/>
    </row>
    <row r="939">
      <c r="A939" s="12"/>
      <c r="B939" s="13"/>
      <c r="C939" s="14"/>
      <c r="D939" s="14"/>
      <c r="E939" s="15"/>
      <c r="F939" s="16"/>
      <c r="G939" s="18"/>
      <c r="H939" s="15"/>
      <c r="I939" s="18"/>
      <c r="J939" s="22"/>
      <c r="K939" s="108"/>
      <c r="L939" s="26"/>
    </row>
    <row r="940">
      <c r="A940" s="12"/>
      <c r="B940" s="13"/>
      <c r="C940" s="14"/>
      <c r="D940" s="14"/>
      <c r="E940" s="15"/>
      <c r="F940" s="16"/>
      <c r="G940" s="18"/>
      <c r="H940" s="15"/>
      <c r="I940" s="18"/>
      <c r="J940" s="22"/>
      <c r="K940" s="108"/>
      <c r="L940" s="26"/>
    </row>
    <row r="941">
      <c r="A941" s="12"/>
      <c r="B941" s="13"/>
      <c r="C941" s="14"/>
      <c r="D941" s="14"/>
      <c r="E941" s="15"/>
      <c r="F941" s="16"/>
      <c r="G941" s="18"/>
      <c r="H941" s="15"/>
      <c r="I941" s="18"/>
      <c r="J941" s="22"/>
      <c r="K941" s="108"/>
      <c r="L941" s="26"/>
    </row>
    <row r="942">
      <c r="A942" s="12"/>
      <c r="B942" s="13"/>
      <c r="C942" s="14"/>
      <c r="D942" s="14"/>
      <c r="E942" s="15"/>
      <c r="F942" s="16"/>
      <c r="G942" s="18"/>
      <c r="H942" s="15"/>
      <c r="I942" s="18"/>
      <c r="J942" s="22"/>
      <c r="K942" s="108"/>
      <c r="L942" s="26"/>
    </row>
    <row r="943">
      <c r="A943" s="12"/>
      <c r="B943" s="13"/>
      <c r="C943" s="14"/>
      <c r="D943" s="14"/>
      <c r="E943" s="15"/>
      <c r="F943" s="16"/>
      <c r="G943" s="18"/>
      <c r="H943" s="15"/>
      <c r="I943" s="18"/>
      <c r="J943" s="22"/>
      <c r="K943" s="108"/>
      <c r="L943" s="26"/>
    </row>
    <row r="944">
      <c r="A944" s="12"/>
      <c r="B944" s="13"/>
      <c r="C944" s="14"/>
      <c r="D944" s="14"/>
      <c r="E944" s="15"/>
      <c r="F944" s="16"/>
      <c r="G944" s="18"/>
      <c r="H944" s="15"/>
      <c r="I944" s="18"/>
      <c r="J944" s="22"/>
      <c r="K944" s="108"/>
      <c r="L944" s="26"/>
    </row>
    <row r="945">
      <c r="A945" s="12"/>
      <c r="B945" s="13"/>
      <c r="C945" s="14"/>
      <c r="D945" s="14"/>
      <c r="E945" s="15"/>
      <c r="F945" s="16"/>
      <c r="G945" s="18"/>
      <c r="H945" s="15"/>
      <c r="I945" s="18"/>
      <c r="J945" s="22"/>
      <c r="K945" s="108"/>
      <c r="L945" s="26"/>
    </row>
    <row r="946">
      <c r="A946" s="12"/>
      <c r="B946" s="13"/>
      <c r="C946" s="14"/>
      <c r="D946" s="14"/>
      <c r="E946" s="15"/>
      <c r="F946" s="16"/>
      <c r="G946" s="18"/>
      <c r="H946" s="15"/>
      <c r="I946" s="18"/>
      <c r="J946" s="22"/>
      <c r="K946" s="108"/>
      <c r="L946" s="26"/>
    </row>
    <row r="947">
      <c r="A947" s="12"/>
      <c r="B947" s="13"/>
      <c r="C947" s="14"/>
      <c r="D947" s="14"/>
      <c r="E947" s="15"/>
      <c r="F947" s="16"/>
      <c r="G947" s="18"/>
      <c r="H947" s="15"/>
      <c r="I947" s="18"/>
      <c r="J947" s="22"/>
      <c r="K947" s="108"/>
      <c r="L947" s="26"/>
    </row>
    <row r="948">
      <c r="A948" s="12"/>
      <c r="B948" s="13"/>
      <c r="C948" s="14"/>
      <c r="D948" s="14"/>
      <c r="E948" s="15"/>
      <c r="F948" s="16"/>
      <c r="G948" s="18"/>
      <c r="H948" s="15"/>
      <c r="I948" s="18"/>
      <c r="J948" s="22"/>
      <c r="K948" s="108"/>
      <c r="L948" s="26"/>
    </row>
    <row r="949">
      <c r="A949" s="12"/>
      <c r="B949" s="13"/>
      <c r="C949" s="14"/>
      <c r="D949" s="14"/>
      <c r="E949" s="15"/>
      <c r="F949" s="16"/>
      <c r="G949" s="18"/>
      <c r="H949" s="15"/>
      <c r="I949" s="18"/>
      <c r="J949" s="22"/>
      <c r="K949" s="108"/>
      <c r="L949" s="26"/>
    </row>
    <row r="950">
      <c r="A950" s="12"/>
      <c r="B950" s="13"/>
      <c r="C950" s="14"/>
      <c r="D950" s="14"/>
      <c r="E950" s="15"/>
      <c r="F950" s="16"/>
      <c r="G950" s="18"/>
      <c r="H950" s="15"/>
      <c r="I950" s="18"/>
      <c r="J950" s="22"/>
      <c r="K950" s="108"/>
      <c r="L950" s="26"/>
    </row>
    <row r="951">
      <c r="A951" s="12"/>
      <c r="B951" s="13"/>
      <c r="C951" s="14"/>
      <c r="D951" s="14"/>
      <c r="E951" s="15"/>
      <c r="F951" s="16"/>
      <c r="G951" s="18"/>
      <c r="H951" s="15"/>
      <c r="I951" s="18"/>
      <c r="J951" s="22"/>
      <c r="K951" s="108"/>
      <c r="L951" s="26"/>
    </row>
    <row r="952">
      <c r="A952" s="12"/>
      <c r="B952" s="13"/>
      <c r="C952" s="14"/>
      <c r="D952" s="14"/>
      <c r="E952" s="15"/>
      <c r="F952" s="16"/>
      <c r="G952" s="18"/>
      <c r="H952" s="15"/>
      <c r="I952" s="18"/>
      <c r="J952" s="22"/>
      <c r="K952" s="108"/>
      <c r="L952" s="26"/>
    </row>
    <row r="953">
      <c r="A953" s="12"/>
      <c r="B953" s="13"/>
      <c r="C953" s="14"/>
      <c r="D953" s="14"/>
      <c r="E953" s="15"/>
      <c r="F953" s="16"/>
      <c r="G953" s="18"/>
      <c r="H953" s="15"/>
      <c r="I953" s="18"/>
      <c r="J953" s="22"/>
      <c r="K953" s="108"/>
      <c r="L953" s="26"/>
    </row>
    <row r="954">
      <c r="A954" s="12"/>
      <c r="B954" s="13"/>
      <c r="C954" s="14"/>
      <c r="D954" s="14"/>
      <c r="E954" s="15"/>
      <c r="F954" s="16"/>
      <c r="G954" s="18"/>
      <c r="H954" s="15"/>
      <c r="I954" s="18"/>
      <c r="J954" s="22"/>
      <c r="K954" s="108"/>
      <c r="L954" s="26"/>
    </row>
    <row r="955">
      <c r="A955" s="12"/>
      <c r="B955" s="13"/>
      <c r="C955" s="14"/>
      <c r="D955" s="14"/>
      <c r="E955" s="15"/>
      <c r="F955" s="16"/>
      <c r="G955" s="18"/>
      <c r="H955" s="15"/>
      <c r="I955" s="18"/>
      <c r="J955" s="22"/>
      <c r="K955" s="108"/>
      <c r="L955" s="26"/>
    </row>
    <row r="956">
      <c r="A956" s="12"/>
      <c r="B956" s="13"/>
      <c r="C956" s="14"/>
      <c r="D956" s="14"/>
      <c r="E956" s="15"/>
      <c r="F956" s="16"/>
      <c r="G956" s="18"/>
      <c r="H956" s="15"/>
      <c r="I956" s="18"/>
      <c r="J956" s="22"/>
      <c r="K956" s="108"/>
      <c r="L956" s="26"/>
    </row>
    <row r="957">
      <c r="A957" s="12"/>
      <c r="B957" s="13"/>
      <c r="C957" s="14"/>
      <c r="D957" s="14"/>
      <c r="E957" s="15"/>
      <c r="F957" s="16"/>
      <c r="G957" s="18"/>
      <c r="H957" s="15"/>
      <c r="I957" s="18"/>
      <c r="J957" s="22"/>
      <c r="K957" s="108"/>
      <c r="L957" s="26"/>
    </row>
    <row r="958">
      <c r="A958" s="12"/>
      <c r="B958" s="13"/>
      <c r="C958" s="14"/>
      <c r="D958" s="14"/>
      <c r="E958" s="15"/>
      <c r="F958" s="16"/>
      <c r="G958" s="18"/>
      <c r="H958" s="15"/>
      <c r="I958" s="18"/>
      <c r="J958" s="22"/>
      <c r="K958" s="108"/>
      <c r="L958" s="26"/>
    </row>
    <row r="959">
      <c r="A959" s="12"/>
      <c r="B959" s="13"/>
      <c r="C959" s="14"/>
      <c r="D959" s="14"/>
      <c r="E959" s="15"/>
      <c r="F959" s="16"/>
      <c r="G959" s="18"/>
      <c r="H959" s="15"/>
      <c r="I959" s="18"/>
      <c r="J959" s="22"/>
      <c r="K959" s="108"/>
      <c r="L959" s="26"/>
    </row>
    <row r="960">
      <c r="A960" s="12"/>
      <c r="B960" s="13"/>
      <c r="C960" s="14"/>
      <c r="D960" s="14"/>
      <c r="E960" s="15"/>
      <c r="F960" s="16"/>
      <c r="G960" s="18"/>
      <c r="H960" s="15"/>
      <c r="I960" s="18"/>
      <c r="J960" s="22"/>
      <c r="K960" s="108"/>
      <c r="L960" s="26"/>
    </row>
    <row r="961">
      <c r="A961" s="12"/>
      <c r="B961" s="13"/>
      <c r="C961" s="14"/>
      <c r="D961" s="14"/>
      <c r="E961" s="15"/>
      <c r="F961" s="16"/>
      <c r="G961" s="18"/>
      <c r="H961" s="15"/>
      <c r="I961" s="18"/>
      <c r="J961" s="22"/>
      <c r="K961" s="108"/>
      <c r="L961" s="26"/>
    </row>
    <row r="962">
      <c r="A962" s="12"/>
      <c r="B962" s="13"/>
      <c r="C962" s="14"/>
      <c r="D962" s="14"/>
      <c r="E962" s="15"/>
      <c r="F962" s="16"/>
      <c r="G962" s="18"/>
      <c r="H962" s="15"/>
      <c r="I962" s="18"/>
      <c r="J962" s="22"/>
      <c r="K962" s="108"/>
      <c r="L962" s="26"/>
    </row>
    <row r="963">
      <c r="A963" s="12"/>
      <c r="B963" s="13"/>
      <c r="C963" s="14"/>
      <c r="D963" s="14"/>
      <c r="E963" s="15"/>
      <c r="F963" s="16"/>
      <c r="G963" s="18"/>
      <c r="H963" s="15"/>
      <c r="I963" s="18"/>
      <c r="J963" s="22"/>
      <c r="K963" s="108"/>
      <c r="L963" s="26"/>
    </row>
    <row r="964">
      <c r="A964" s="12"/>
      <c r="B964" s="13"/>
      <c r="C964" s="14"/>
      <c r="D964" s="14"/>
      <c r="E964" s="15"/>
      <c r="F964" s="16"/>
      <c r="G964" s="18"/>
      <c r="H964" s="15"/>
      <c r="I964" s="18"/>
      <c r="J964" s="22"/>
      <c r="K964" s="108"/>
      <c r="L964" s="26"/>
    </row>
    <row r="965">
      <c r="A965" s="12"/>
      <c r="B965" s="13"/>
      <c r="C965" s="14"/>
      <c r="D965" s="14"/>
      <c r="E965" s="15"/>
      <c r="F965" s="16"/>
      <c r="G965" s="18"/>
      <c r="H965" s="15"/>
      <c r="I965" s="18"/>
      <c r="J965" s="22"/>
      <c r="K965" s="108"/>
      <c r="L965" s="26"/>
    </row>
    <row r="966">
      <c r="A966" s="12"/>
      <c r="B966" s="13"/>
      <c r="C966" s="14"/>
      <c r="D966" s="14"/>
      <c r="E966" s="15"/>
      <c r="F966" s="16"/>
      <c r="G966" s="18"/>
      <c r="H966" s="15"/>
      <c r="I966" s="18"/>
      <c r="J966" s="22"/>
      <c r="K966" s="108"/>
      <c r="L966" s="26"/>
    </row>
    <row r="967">
      <c r="A967" s="12"/>
      <c r="B967" s="13"/>
      <c r="C967" s="14"/>
      <c r="D967" s="14"/>
      <c r="E967" s="15"/>
      <c r="F967" s="16"/>
      <c r="G967" s="18"/>
      <c r="H967" s="15"/>
      <c r="I967" s="18"/>
      <c r="J967" s="22"/>
      <c r="K967" s="108"/>
      <c r="L967" s="26"/>
    </row>
    <row r="968">
      <c r="A968" s="12"/>
      <c r="B968" s="13"/>
      <c r="C968" s="14"/>
      <c r="D968" s="14"/>
      <c r="E968" s="15"/>
      <c r="F968" s="16"/>
      <c r="G968" s="18"/>
      <c r="H968" s="15"/>
      <c r="I968" s="18"/>
      <c r="J968" s="22"/>
      <c r="K968" s="108"/>
      <c r="L968" s="26"/>
    </row>
    <row r="969">
      <c r="A969" s="12"/>
      <c r="B969" s="13"/>
      <c r="C969" s="14"/>
      <c r="D969" s="14"/>
      <c r="E969" s="15"/>
      <c r="F969" s="16"/>
      <c r="G969" s="18"/>
      <c r="H969" s="15"/>
      <c r="I969" s="18"/>
      <c r="J969" s="22"/>
      <c r="K969" s="108"/>
      <c r="L969" s="26"/>
    </row>
    <row r="970">
      <c r="A970" s="12"/>
      <c r="B970" s="13"/>
      <c r="C970" s="14"/>
      <c r="D970" s="14"/>
      <c r="E970" s="15"/>
      <c r="F970" s="16"/>
      <c r="G970" s="18"/>
      <c r="H970" s="15"/>
      <c r="I970" s="18"/>
      <c r="J970" s="22"/>
      <c r="K970" s="108"/>
      <c r="L970" s="26"/>
    </row>
    <row r="971">
      <c r="A971" s="12"/>
      <c r="B971" s="13"/>
      <c r="C971" s="14"/>
      <c r="D971" s="14"/>
      <c r="E971" s="15"/>
      <c r="F971" s="16"/>
      <c r="G971" s="18"/>
      <c r="H971" s="15"/>
      <c r="I971" s="18"/>
      <c r="J971" s="22"/>
      <c r="K971" s="108"/>
      <c r="L971" s="26"/>
    </row>
    <row r="972">
      <c r="A972" s="12"/>
      <c r="B972" s="13"/>
      <c r="C972" s="14"/>
      <c r="D972" s="14"/>
      <c r="E972" s="15"/>
      <c r="F972" s="16"/>
      <c r="G972" s="18"/>
      <c r="H972" s="15"/>
      <c r="I972" s="18"/>
      <c r="J972" s="22"/>
      <c r="K972" s="108"/>
      <c r="L972" s="26"/>
    </row>
    <row r="973">
      <c r="A973" s="12"/>
      <c r="B973" s="13"/>
      <c r="C973" s="14"/>
      <c r="D973" s="14"/>
      <c r="E973" s="15"/>
      <c r="F973" s="16"/>
      <c r="G973" s="18"/>
      <c r="H973" s="15"/>
      <c r="I973" s="18"/>
      <c r="J973" s="22"/>
      <c r="K973" s="108"/>
      <c r="L973" s="26"/>
    </row>
    <row r="974">
      <c r="A974" s="12"/>
      <c r="B974" s="13"/>
      <c r="C974" s="14"/>
      <c r="D974" s="14"/>
      <c r="E974" s="15"/>
      <c r="F974" s="16"/>
      <c r="G974" s="18"/>
      <c r="H974" s="15"/>
      <c r="I974" s="18"/>
      <c r="J974" s="22"/>
      <c r="K974" s="108"/>
      <c r="L974" s="26"/>
    </row>
    <row r="975">
      <c r="A975" s="12"/>
      <c r="B975" s="13"/>
      <c r="C975" s="14"/>
      <c r="D975" s="14"/>
      <c r="E975" s="15"/>
      <c r="F975" s="16"/>
      <c r="G975" s="18"/>
      <c r="H975" s="15"/>
      <c r="I975" s="18"/>
      <c r="J975" s="22"/>
      <c r="K975" s="108"/>
      <c r="L975" s="26"/>
    </row>
  </sheetData>
  <autoFilter ref="$A$2:$K$474"/>
  <conditionalFormatting sqref="B1">
    <cfRule type="cellIs" dxfId="4" priority="1" operator="equal">
      <formula>"Xbox"</formula>
    </cfRule>
  </conditionalFormatting>
  <conditionalFormatting sqref="E3:E975 I3:I975">
    <cfRule type="expression" dxfId="5" priority="2">
      <formula>AND($E3&lt;&gt;"",(($E3-$H3)/365*12)&lt;1)</formula>
    </cfRule>
  </conditionalFormatting>
  <conditionalFormatting sqref="A2:A975 D2:D975">
    <cfRule type="expression" dxfId="13" priority="3">
      <formula>$D2="Coming Soon"</formula>
    </cfRule>
  </conditionalFormatting>
  <conditionalFormatting sqref="A2:A975 D2:D975">
    <cfRule type="expression" dxfId="7" priority="4">
      <formula>$D2="Removed"</formula>
    </cfRule>
  </conditionalFormatting>
  <conditionalFormatting sqref="A2:A975 D2:D975">
    <cfRule type="expression" dxfId="6" priority="5">
      <formula>MATCH(A2,INDIRECT("'Xbox Game Studios'!A:A"),0)</formula>
    </cfRule>
  </conditionalFormatting>
  <conditionalFormatting sqref="A2:A975 D2:D975">
    <cfRule type="expression" dxfId="10" priority="6">
      <formula>$D2="Leaving Soon"</formula>
    </cfRule>
  </conditionalFormatting>
  <conditionalFormatting sqref="D3:D975 H3:H975 G4:G5 G208:G209">
    <cfRule type="expression" dxfId="5" priority="7">
      <formula>AND($D3&lt;&gt;"",(($D3-$G3)/365*12)&lt;1)</formula>
    </cfRule>
  </conditionalFormatting>
  <conditionalFormatting sqref="J2:J975">
    <cfRule type="cellIs" dxfId="5" priority="8" operator="between">
      <formula>75</formula>
      <formula>100</formula>
    </cfRule>
  </conditionalFormatting>
  <conditionalFormatting sqref="J2:J975">
    <cfRule type="cellIs" dxfId="6" priority="9" operator="between">
      <formula>50</formula>
      <formula>74</formula>
    </cfRule>
  </conditionalFormatting>
  <conditionalFormatting sqref="J2:J975">
    <cfRule type="cellIs" dxfId="7" priority="10" operator="between">
      <formula>1</formula>
      <formula>49</formula>
    </cfRule>
  </conditionalFormatting>
  <conditionalFormatting sqref="B3:B975">
    <cfRule type="expression" dxfId="14" priority="11">
      <formula>AND(MATCH(A3,INDIRECT("'Cross Play'!D2:D"),0),MATCH(A3,INDIRECT("'Cross Play'!A2:A"),0))</formula>
    </cfRule>
  </conditionalFormatting>
  <conditionalFormatting sqref="B3:B975">
    <cfRule type="expression" dxfId="15" priority="12">
      <formula>MATCH(A3,INDIRECT("'Cross Play'!A2:A"),0)</formula>
    </cfRule>
  </conditionalFormatting>
  <conditionalFormatting sqref="B3:B975">
    <cfRule type="expression" dxfId="16" priority="13">
      <formula>MATCH(A3,INDIRECT("'Cross Play'!D2:D"),0)</formula>
    </cfRule>
  </conditionalFormatting>
  <conditionalFormatting sqref="B1:B975">
    <cfRule type="cellIs" dxfId="17" priority="14" operator="equal">
      <formula>"PC"</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6BDC6"/>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2"/>
  <cols>
    <col customWidth="1" min="1" max="1" width="39.88"/>
    <col customWidth="1" min="2" max="2" width="9.38"/>
    <col customWidth="1" min="3" max="3" width="12.13"/>
    <col customWidth="1" min="4" max="4" width="11.13"/>
    <col customWidth="1" min="5" max="5" width="11.5"/>
    <col customWidth="1" min="6" max="6" width="17.38"/>
    <col customWidth="1" min="7" max="7" width="9.63"/>
    <col customWidth="1" min="8" max="8" width="9.75"/>
    <col customWidth="1" min="9" max="9" width="7.75"/>
    <col customWidth="1" min="10" max="10" width="11.88"/>
    <col customWidth="1" min="11" max="11" width="12.63"/>
    <col customWidth="1" min="12" max="13" width="42.25"/>
  </cols>
  <sheetData>
    <row r="1">
      <c r="A1" s="2" t="s">
        <v>231</v>
      </c>
      <c r="B1" s="6">
        <f>COUNTA(A3:A2747)</f>
        <v>589</v>
      </c>
      <c r="C1" s="2"/>
      <c r="D1" s="2"/>
      <c r="E1" s="2"/>
      <c r="F1" s="2"/>
      <c r="G1" s="2"/>
      <c r="H1" s="2"/>
      <c r="I1" s="2"/>
      <c r="J1" s="2"/>
      <c r="K1" s="2"/>
      <c r="L1" s="2"/>
      <c r="M1" s="2"/>
    </row>
    <row r="2">
      <c r="A2" s="1" t="str">
        <f>IFERROR(__xludf.DUMMYFUNCTION("SORT(FILTER('Master List'!A2:M2747, NOT(ISBLANK('Master List'!C2:C2747)), NOT(REGEXMATCH('Master List'!D2:D2747, ""Removed"")) ), 10, false)"),"Game")</f>
        <v>Game</v>
      </c>
      <c r="B2" s="8" t="str">
        <f>IFERROR(__xludf.DUMMYFUNCTION("""COMPUTED_VALUE"""),"System")</f>
        <v>System</v>
      </c>
      <c r="C2" s="9" t="str">
        <f>IFERROR(__xludf.DUMMYFUNCTION("""COMPUTED_VALUE"""),"xCloud")</f>
        <v>xCloud</v>
      </c>
      <c r="D2" s="8" t="str">
        <f>IFERROR(__xludf.DUMMYFUNCTION("""COMPUTED_VALUE"""),"Status")</f>
        <v>Status</v>
      </c>
      <c r="E2" s="8" t="str">
        <f>IFERROR(__xludf.DUMMYFUNCTION("""COMPUTED_VALUE"""),"Added")</f>
        <v>Added</v>
      </c>
      <c r="F2" s="9" t="str">
        <f>IFERROR(__xludf.DUMMYFUNCTION("""COMPUTED_VALUE"""),"Removed")</f>
        <v>Removed</v>
      </c>
      <c r="G2" s="11" t="str">
        <f>IFERROR(__xludf.DUMMYFUNCTION("""COMPUTED_VALUE"""),"Months")</f>
        <v>Months</v>
      </c>
      <c r="H2" s="7" t="str">
        <f>IFERROR(__xludf.DUMMYFUNCTION("""COMPUTED_VALUE"""),"Release")</f>
        <v>Release</v>
      </c>
      <c r="I2" s="7" t="str">
        <f>IFERROR(__xludf.DUMMYFUNCTION("""COMPUTED_VALUE"""),"Age")</f>
        <v>Age</v>
      </c>
      <c r="J2" s="7" t="str">
        <f>IFERROR(__xludf.DUMMYFUNCTION("""COMPUTED_VALUE"""),"Metacritic")</f>
        <v>Metacritic</v>
      </c>
      <c r="K2" s="7" t="str">
        <f>IFERROR(__xludf.DUMMYFUNCTION("""COMPUTED_VALUE"""),"Completion")</f>
        <v>Completion</v>
      </c>
      <c r="L2" s="7" t="str">
        <f>IFERROR(__xludf.DUMMYFUNCTION("""COMPUTED_VALUE"""),"Genre")</f>
        <v>Genre</v>
      </c>
      <c r="M2" s="7" t="str">
        <f>IFERROR(__xludf.DUMMYFUNCTION("""COMPUTED_VALUE"""),"Series X|S")</f>
        <v>Series X|S</v>
      </c>
    </row>
    <row r="3">
      <c r="A3" s="17" t="str">
        <f>IFERROR(__xludf.DUMMYFUNCTION("""COMPUTED_VALUE"""),"GoldenEye 007 (2023)")</f>
        <v>GoldenEye 007 (2023)</v>
      </c>
      <c r="B3" s="20" t="str">
        <f>IFERROR(__xludf.DUMMYFUNCTION("""COMPUTED_VALUE"""),"Xbox")</f>
        <v>Xbox</v>
      </c>
      <c r="C3" s="21" t="str">
        <f>IFERROR(__xludf.DUMMYFUNCTION("""COMPUTED_VALUE"""),"Yes")</f>
        <v>Yes</v>
      </c>
      <c r="D3" s="21" t="str">
        <f>IFERROR(__xludf.DUMMYFUNCTION("""COMPUTED_VALUE"""),"Active")</f>
        <v>Active</v>
      </c>
      <c r="E3" s="23">
        <f>IFERROR(__xludf.DUMMYFUNCTION("""COMPUTED_VALUE"""),44953.0)</f>
        <v>44953</v>
      </c>
      <c r="F3" s="24"/>
      <c r="G3" s="27">
        <f>IFERROR(__xludf.DUMMYFUNCTION("""COMPUTED_VALUE"""),44.300000000000004)</f>
        <v>44.3</v>
      </c>
      <c r="H3" s="23">
        <f>IFERROR(__xludf.DUMMYFUNCTION("""COMPUTED_VALUE"""),44953.0)</f>
        <v>44953</v>
      </c>
      <c r="I3" s="27">
        <f>IFERROR(__xludf.DUMMYFUNCTION("""COMPUTED_VALUE"""),0.0)</f>
        <v>0</v>
      </c>
      <c r="J3" s="29">
        <f>IFERROR(__xludf.DUMMYFUNCTION("""COMPUTED_VALUE"""),96.0)</f>
        <v>96</v>
      </c>
      <c r="K3" s="29">
        <f>IFERROR(__xludf.DUMMYFUNCTION("""COMPUTED_VALUE"""),10.0)</f>
        <v>10</v>
      </c>
      <c r="L3" s="31" t="str">
        <f>IFERROR(__xludf.DUMMYFUNCTION("""COMPUTED_VALUE"""),"Shooter")</f>
        <v>Shooter</v>
      </c>
      <c r="M3" s="31"/>
    </row>
    <row r="4">
      <c r="A4" s="17" t="str">
        <f>IFERROR(__xludf.DUMMYFUNCTION("""COMPUTED_VALUE"""),"Persona 5 Royal")</f>
        <v>Persona 5 Royal</v>
      </c>
      <c r="B4" s="20" t="str">
        <f>IFERROR(__xludf.DUMMYFUNCTION("""COMPUTED_VALUE"""),"Xbox / PC")</f>
        <v>Xbox / PC</v>
      </c>
      <c r="C4" s="21" t="str">
        <f>IFERROR(__xludf.DUMMYFUNCTION("""COMPUTED_VALUE"""),"Touch Controls")</f>
        <v>Touch Controls</v>
      </c>
      <c r="D4" s="21" t="str">
        <f>IFERROR(__xludf.DUMMYFUNCTION("""COMPUTED_VALUE"""),"Active")</f>
        <v>Active</v>
      </c>
      <c r="E4" s="23">
        <f>IFERROR(__xludf.DUMMYFUNCTION("""COMPUTED_VALUE"""),46182.0)</f>
        <v>46182</v>
      </c>
      <c r="F4" s="24"/>
      <c r="G4" s="27">
        <f>IFERROR(__xludf.DUMMYFUNCTION("""COMPUTED_VALUE"""),3.9000000000000004)</f>
        <v>3.9</v>
      </c>
      <c r="H4" s="23">
        <f>IFERROR(__xludf.DUMMYFUNCTION("""COMPUTED_VALUE"""),43921.0)</f>
        <v>43921</v>
      </c>
      <c r="I4" s="27">
        <f>IFERROR(__xludf.DUMMYFUNCTION("""COMPUTED_VALUE"""),6.191666666666666)</f>
        <v>6.191666667</v>
      </c>
      <c r="J4" s="29">
        <f>IFERROR(__xludf.DUMMYFUNCTION("""COMPUTED_VALUE"""),95.0)</f>
        <v>95</v>
      </c>
      <c r="K4" s="29">
        <f>IFERROR(__xludf.DUMMYFUNCTION("""COMPUTED_VALUE"""),101.0)</f>
        <v>101</v>
      </c>
      <c r="L4" s="31" t="str">
        <f>IFERROR(__xludf.DUMMYFUNCTION("""COMPUTED_VALUE"""),"RPG")</f>
        <v>RPG</v>
      </c>
      <c r="M4" s="31"/>
    </row>
    <row r="5">
      <c r="A5" s="17" t="str">
        <f>IFERROR(__xludf.DUMMYFUNCTION("""COMPUTED_VALUE"""),"Hades II")</f>
        <v>Hades II</v>
      </c>
      <c r="B5" s="20" t="str">
        <f>IFERROR(__xludf.DUMMYFUNCTION("""COMPUTED_VALUE"""),"Xbox / PC")</f>
        <v>Xbox / PC</v>
      </c>
      <c r="C5" s="21" t="str">
        <f>IFERROR(__xludf.DUMMYFUNCTION("""COMPUTED_VALUE"""),"Yes")</f>
        <v>Yes</v>
      </c>
      <c r="D5" s="21" t="str">
        <f>IFERROR(__xludf.DUMMYFUNCTION("""COMPUTED_VALUE"""),"Active")</f>
        <v>Active</v>
      </c>
      <c r="E5" s="23">
        <f>IFERROR(__xludf.DUMMYFUNCTION("""COMPUTED_VALUE"""),46126.0)</f>
        <v>46126</v>
      </c>
      <c r="F5" s="24"/>
      <c r="G5" s="27">
        <f>IFERROR(__xludf.DUMMYFUNCTION("""COMPUTED_VALUE"""),5.733333333333333)</f>
        <v>5.733333333</v>
      </c>
      <c r="H5" s="23">
        <f>IFERROR(__xludf.DUMMYFUNCTION("""COMPUTED_VALUE"""),45925.0)</f>
        <v>45925</v>
      </c>
      <c r="I5" s="27">
        <f>IFERROR(__xludf.DUMMYFUNCTION("""COMPUTED_VALUE"""),0.5527777777777778)</f>
        <v>0.5527777778</v>
      </c>
      <c r="J5" s="29">
        <f>IFERROR(__xludf.DUMMYFUNCTION("""COMPUTED_VALUE"""),95.0)</f>
        <v>95</v>
      </c>
      <c r="K5" s="29">
        <f>IFERROR(__xludf.DUMMYFUNCTION("""COMPUTED_VALUE"""),22.0)</f>
        <v>22</v>
      </c>
      <c r="L5" s="31" t="str">
        <f>IFERROR(__xludf.DUMMYFUNCTION("""COMPUTED_VALUE"""),"RPG")</f>
        <v>RPG</v>
      </c>
      <c r="M5" s="31" t="str">
        <f>IFERROR(__xludf.DUMMYFUNCTION("""COMPUTED_VALUE"""),"Exclusive")</f>
        <v>Exclusive</v>
      </c>
    </row>
    <row r="6">
      <c r="A6" s="17" t="str">
        <f>IFERROR(__xludf.DUMMYFUNCTION("""COMPUTED_VALUE"""),"Quake")</f>
        <v>Quake</v>
      </c>
      <c r="B6" s="20" t="str">
        <f>IFERROR(__xludf.DUMMYFUNCTION("""COMPUTED_VALUE"""),"Xbox / PC")</f>
        <v>Xbox / PC</v>
      </c>
      <c r="C6" s="21" t="str">
        <f>IFERROR(__xludf.DUMMYFUNCTION("""COMPUTED_VALUE"""),"M+KB")</f>
        <v>M+KB</v>
      </c>
      <c r="D6" s="21" t="str">
        <f>IFERROR(__xludf.DUMMYFUNCTION("""COMPUTED_VALUE"""),"Active")</f>
        <v>Active</v>
      </c>
      <c r="E6" s="23">
        <f>IFERROR(__xludf.DUMMYFUNCTION("""COMPUTED_VALUE"""),44427.0)</f>
        <v>44427</v>
      </c>
      <c r="F6" s="24"/>
      <c r="G6" s="27">
        <f>IFERROR(__xludf.DUMMYFUNCTION("""COMPUTED_VALUE"""),61.56666666666666)</f>
        <v>61.56666667</v>
      </c>
      <c r="H6" s="23">
        <f>IFERROR(__xludf.DUMMYFUNCTION("""COMPUTED_VALUE"""),35269.0)</f>
        <v>35269</v>
      </c>
      <c r="I6" s="27">
        <f>IFERROR(__xludf.DUMMYFUNCTION("""COMPUTED_VALUE"""),25.072222222222223)</f>
        <v>25.07222222</v>
      </c>
      <c r="J6" s="29">
        <f>IFERROR(__xludf.DUMMYFUNCTION("""COMPUTED_VALUE"""),94.0)</f>
        <v>94</v>
      </c>
      <c r="K6" s="29">
        <f>IFERROR(__xludf.DUMMYFUNCTION("""COMPUTED_VALUE"""),5.5)</f>
        <v>5.5</v>
      </c>
      <c r="L6" s="31" t="str">
        <f>IFERROR(__xludf.DUMMYFUNCTION("""COMPUTED_VALUE"""),"Shooter")</f>
        <v>Shooter</v>
      </c>
      <c r="M6" s="31"/>
    </row>
    <row r="7">
      <c r="A7" s="17" t="str">
        <f>IFERROR(__xludf.DUMMYFUNCTION("""COMPUTED_VALUE"""),"The Elder Scrolls IV: Oblivion")</f>
        <v>The Elder Scrolls IV: Oblivion</v>
      </c>
      <c r="B7" s="20" t="str">
        <f>IFERROR(__xludf.DUMMYFUNCTION("""COMPUTED_VALUE"""),"Xbox / PC")</f>
        <v>Xbox / PC</v>
      </c>
      <c r="C7" s="21" t="str">
        <f>IFERROR(__xludf.DUMMYFUNCTION("""COMPUTED_VALUE"""),"Yes")</f>
        <v>Yes</v>
      </c>
      <c r="D7" s="21" t="str">
        <f>IFERROR(__xludf.DUMMYFUNCTION("""COMPUTED_VALUE"""),"Active")</f>
        <v>Active</v>
      </c>
      <c r="E7" s="23">
        <f>IFERROR(__xludf.DUMMYFUNCTION("""COMPUTED_VALUE"""),43282.0)</f>
        <v>43282</v>
      </c>
      <c r="F7" s="24"/>
      <c r="G7" s="27">
        <f>IFERROR(__xludf.DUMMYFUNCTION("""COMPUTED_VALUE"""),99.16666666666667)</f>
        <v>99.16666667</v>
      </c>
      <c r="H7" s="23">
        <f>IFERROR(__xludf.DUMMYFUNCTION("""COMPUTED_VALUE"""),38796.0)</f>
        <v>38796</v>
      </c>
      <c r="I7" s="27">
        <f>IFERROR(__xludf.DUMMYFUNCTION("""COMPUTED_VALUE"""),12.280555555555555)</f>
        <v>12.28055556</v>
      </c>
      <c r="J7" s="29">
        <f>IFERROR(__xludf.DUMMYFUNCTION("""COMPUTED_VALUE"""),94.0)</f>
        <v>94</v>
      </c>
      <c r="K7" s="29">
        <f>IFERROR(__xludf.DUMMYFUNCTION("""COMPUTED_VALUE"""),27.5)</f>
        <v>27.5</v>
      </c>
      <c r="L7" s="31" t="str">
        <f>IFERROR(__xludf.DUMMYFUNCTION("""COMPUTED_VALUE"""),"RPG")</f>
        <v>RPG</v>
      </c>
      <c r="M7" s="31" t="str">
        <f>IFERROR(__xludf.DUMMYFUNCTION("""COMPUTED_VALUE"""),"FPS Boost")</f>
        <v>FPS Boost</v>
      </c>
    </row>
    <row r="8">
      <c r="A8" s="17" t="str">
        <f>IFERROR(__xludf.DUMMYFUNCTION("""COMPUTED_VALUE"""),"Hades")</f>
        <v>Hades</v>
      </c>
      <c r="B8" s="20" t="str">
        <f>IFERROR(__xludf.DUMMYFUNCTION("""COMPUTED_VALUE"""),"Xbox / PC")</f>
        <v>Xbox / PC</v>
      </c>
      <c r="C8" s="21" t="str">
        <f>IFERROR(__xludf.DUMMYFUNCTION("""COMPUTED_VALUE"""),"Touch Controls")</f>
        <v>Touch Controls</v>
      </c>
      <c r="D8" s="21" t="str">
        <f>IFERROR(__xludf.DUMMYFUNCTION("""COMPUTED_VALUE"""),"Active")</f>
        <v>Active</v>
      </c>
      <c r="E8" s="23">
        <f>IFERROR(__xludf.DUMMYFUNCTION("""COMPUTED_VALUE"""),45919.0)</f>
        <v>45919</v>
      </c>
      <c r="F8" s="24"/>
      <c r="G8" s="27">
        <f>IFERROR(__xludf.DUMMYFUNCTION("""COMPUTED_VALUE"""),12.566666666666666)</f>
        <v>12.56666667</v>
      </c>
      <c r="H8" s="23">
        <f>IFERROR(__xludf.DUMMYFUNCTION("""COMPUTED_VALUE"""),43441.0)</f>
        <v>43441</v>
      </c>
      <c r="I8" s="27">
        <f>IFERROR(__xludf.DUMMYFUNCTION("""COMPUTED_VALUE"""),6.783333333333333)</f>
        <v>6.783333333</v>
      </c>
      <c r="J8" s="29">
        <f>IFERROR(__xludf.DUMMYFUNCTION("""COMPUTED_VALUE"""),93.5)</f>
        <v>93.5</v>
      </c>
      <c r="K8" s="29">
        <f>IFERROR(__xludf.DUMMYFUNCTION("""COMPUTED_VALUE"""),21.0)</f>
        <v>21</v>
      </c>
      <c r="L8" s="31" t="str">
        <f>IFERROR(__xludf.DUMMYFUNCTION("""COMPUTED_VALUE"""),"RPG")</f>
        <v>RPG</v>
      </c>
      <c r="M8" s="31" t="str">
        <f>IFERROR(__xludf.DUMMYFUNCTION("""COMPUTED_VALUE"""),"Optimized")</f>
        <v>Optimized</v>
      </c>
    </row>
    <row r="9">
      <c r="A9" s="17" t="str">
        <f>IFERROR(__xludf.DUMMYFUNCTION("""COMPUTED_VALUE"""),"Blue Prince")</f>
        <v>Blue Prince</v>
      </c>
      <c r="B9" s="20" t="str">
        <f>IFERROR(__xludf.DUMMYFUNCTION("""COMPUTED_VALUE"""),"Xbox / PC")</f>
        <v>Xbox / PC</v>
      </c>
      <c r="C9" s="21" t="str">
        <f>IFERROR(__xludf.DUMMYFUNCTION("""COMPUTED_VALUE"""),"Yes")</f>
        <v>Yes</v>
      </c>
      <c r="D9" s="21" t="str">
        <f>IFERROR(__xludf.DUMMYFUNCTION("""COMPUTED_VALUE"""),"Active")</f>
        <v>Active</v>
      </c>
      <c r="E9" s="23">
        <f>IFERROR(__xludf.DUMMYFUNCTION("""COMPUTED_VALUE"""),45757.0)</f>
        <v>45757</v>
      </c>
      <c r="F9" s="24"/>
      <c r="G9" s="27">
        <f>IFERROR(__xludf.DUMMYFUNCTION("""COMPUTED_VALUE"""),17.866666666666667)</f>
        <v>17.86666667</v>
      </c>
      <c r="H9" s="23">
        <f>IFERROR(__xludf.DUMMYFUNCTION("""COMPUTED_VALUE"""),45757.0)</f>
        <v>45757</v>
      </c>
      <c r="I9" s="27">
        <f>IFERROR(__xludf.DUMMYFUNCTION("""COMPUTED_VALUE"""),0.0)</f>
        <v>0</v>
      </c>
      <c r="J9" s="29">
        <f>IFERROR(__xludf.DUMMYFUNCTION("""COMPUTED_VALUE"""),93.0)</f>
        <v>93</v>
      </c>
      <c r="K9" s="29">
        <f>IFERROR(__xludf.DUMMYFUNCTION("""COMPUTED_VALUE"""),14.0)</f>
        <v>14</v>
      </c>
      <c r="L9" s="31" t="str">
        <f>IFERROR(__xludf.DUMMYFUNCTION("""COMPUTED_VALUE"""),"Action-Adventure")</f>
        <v>Action-Adventure</v>
      </c>
      <c r="M9" s="31" t="str">
        <f>IFERROR(__xludf.DUMMYFUNCTION("""COMPUTED_VALUE"""),"Exclusive")</f>
        <v>Exclusive</v>
      </c>
    </row>
    <row r="10">
      <c r="A10" s="17" t="str">
        <f>IFERROR(__xludf.DUMMYFUNCTION("""COMPUTED_VALUE"""),"Inside")</f>
        <v>Inside</v>
      </c>
      <c r="B10" s="20" t="str">
        <f>IFERROR(__xludf.DUMMYFUNCTION("""COMPUTED_VALUE"""),"Xbox / PC")</f>
        <v>Xbox / PC</v>
      </c>
      <c r="C10" s="21" t="str">
        <f>IFERROR(__xludf.DUMMYFUNCTION("""COMPUTED_VALUE"""),"Yes")</f>
        <v>Yes</v>
      </c>
      <c r="D10" s="21" t="str">
        <f>IFERROR(__xludf.DUMMYFUNCTION("""COMPUTED_VALUE"""),"Active")</f>
        <v>Active</v>
      </c>
      <c r="E10" s="23">
        <f>IFERROR(__xludf.DUMMYFUNCTION("""COMPUTED_VALUE"""),44763.0)</f>
        <v>44763</v>
      </c>
      <c r="F10" s="24"/>
      <c r="G10" s="27">
        <f>IFERROR(__xludf.DUMMYFUNCTION("""COMPUTED_VALUE"""),50.5)</f>
        <v>50.5</v>
      </c>
      <c r="H10" s="23">
        <f>IFERROR(__xludf.DUMMYFUNCTION("""COMPUTED_VALUE"""),42550.0)</f>
        <v>42550</v>
      </c>
      <c r="I10" s="27">
        <f>IFERROR(__xludf.DUMMYFUNCTION("""COMPUTED_VALUE"""),6.061111111111111)</f>
        <v>6.061111111</v>
      </c>
      <c r="J10" s="29">
        <f>IFERROR(__xludf.DUMMYFUNCTION("""COMPUTED_VALUE"""),93.0)</f>
        <v>93</v>
      </c>
      <c r="K10" s="29">
        <f>IFERROR(__xludf.DUMMYFUNCTION("""COMPUTED_VALUE"""),3.5)</f>
        <v>3.5</v>
      </c>
      <c r="L10" s="31" t="str">
        <f>IFERROR(__xludf.DUMMYFUNCTION("""COMPUTED_VALUE"""),"Platformer")</f>
        <v>Platformer</v>
      </c>
      <c r="M10" s="31"/>
    </row>
    <row r="11">
      <c r="A11" s="17" t="str">
        <f>IFERROR(__xludf.DUMMYFUNCTION("""COMPUTED_VALUE"""),"Fallout 3: Game of the Year Edition")</f>
        <v>Fallout 3: Game of the Year Edition</v>
      </c>
      <c r="B11" s="20" t="str">
        <f>IFERROR(__xludf.DUMMYFUNCTION("""COMPUTED_VALUE"""),"Xbox / PC")</f>
        <v>Xbox / PC</v>
      </c>
      <c r="C11" s="21" t="str">
        <f>IFERROR(__xludf.DUMMYFUNCTION("""COMPUTED_VALUE"""),"Yes")</f>
        <v>Yes</v>
      </c>
      <c r="D11" s="21" t="str">
        <f>IFERROR(__xludf.DUMMYFUNCTION("""COMPUTED_VALUE"""),"Active")</f>
        <v>Active</v>
      </c>
      <c r="E11" s="23">
        <f>IFERROR(__xludf.DUMMYFUNCTION("""COMPUTED_VALUE"""),43282.0)</f>
        <v>43282</v>
      </c>
      <c r="F11" s="24"/>
      <c r="G11" s="27">
        <f>IFERROR(__xludf.DUMMYFUNCTION("""COMPUTED_VALUE"""),99.16666666666667)</f>
        <v>99.16666667</v>
      </c>
      <c r="H11" s="23">
        <f>IFERROR(__xludf.DUMMYFUNCTION("""COMPUTED_VALUE"""),39749.0)</f>
        <v>39749</v>
      </c>
      <c r="I11" s="27">
        <f>IFERROR(__xludf.DUMMYFUNCTION("""COMPUTED_VALUE"""),9.675)</f>
        <v>9.675</v>
      </c>
      <c r="J11" s="29">
        <f>IFERROR(__xludf.DUMMYFUNCTION("""COMPUTED_VALUE"""),93.0)</f>
        <v>93</v>
      </c>
      <c r="K11" s="29">
        <f>IFERROR(__xludf.DUMMYFUNCTION("""COMPUTED_VALUE"""),22.5)</f>
        <v>22.5</v>
      </c>
      <c r="L11" s="31" t="str">
        <f>IFERROR(__xludf.DUMMYFUNCTION("""COMPUTED_VALUE"""),"Shooter")</f>
        <v>Shooter</v>
      </c>
      <c r="M11" s="31" t="str">
        <f>IFERROR(__xludf.DUMMYFUNCTION("""COMPUTED_VALUE"""),"FPS Boost")</f>
        <v>FPS Boost</v>
      </c>
    </row>
    <row r="12">
      <c r="A12" s="17" t="str">
        <f>IFERROR(__xludf.DUMMYFUNCTION("""COMPUTED_VALUE"""),"Gears of War 2")</f>
        <v>Gears of War 2</v>
      </c>
      <c r="B12" s="20" t="str">
        <f>IFERROR(__xludf.DUMMYFUNCTION("""COMPUTED_VALUE"""),"Xbox")</f>
        <v>Xbox</v>
      </c>
      <c r="C12" s="21" t="str">
        <f>IFERROR(__xludf.DUMMYFUNCTION("""COMPUTED_VALUE"""),"Yes")</f>
        <v>Yes</v>
      </c>
      <c r="D12" s="21" t="str">
        <f>IFERROR(__xludf.DUMMYFUNCTION("""COMPUTED_VALUE"""),"Active")</f>
        <v>Active</v>
      </c>
      <c r="E12" s="23">
        <f>IFERROR(__xludf.DUMMYFUNCTION("""COMPUTED_VALUE"""),42887.0)</f>
        <v>42887</v>
      </c>
      <c r="F12" s="24"/>
      <c r="G12" s="27">
        <f>IFERROR(__xludf.DUMMYFUNCTION("""COMPUTED_VALUE"""),112.16666666666666)</f>
        <v>112.1666667</v>
      </c>
      <c r="H12" s="23">
        <f>IFERROR(__xludf.DUMMYFUNCTION("""COMPUTED_VALUE"""),39759.0)</f>
        <v>39759</v>
      </c>
      <c r="I12" s="27">
        <f>IFERROR(__xludf.DUMMYFUNCTION("""COMPUTED_VALUE"""),8.566666666666666)</f>
        <v>8.566666667</v>
      </c>
      <c r="J12" s="29">
        <f>IFERROR(__xludf.DUMMYFUNCTION("""COMPUTED_VALUE"""),93.0)</f>
        <v>93</v>
      </c>
      <c r="K12" s="29">
        <f>IFERROR(__xludf.DUMMYFUNCTION("""COMPUTED_VALUE"""),10.0)</f>
        <v>10</v>
      </c>
      <c r="L12" s="31" t="str">
        <f>IFERROR(__xludf.DUMMYFUNCTION("""COMPUTED_VALUE"""),"Shooter")</f>
        <v>Shooter</v>
      </c>
      <c r="M12" s="31" t="str">
        <f>IFERROR(__xludf.DUMMYFUNCTION("""COMPUTED_VALUE"""),"FPS Boost")</f>
        <v>FPS Boost</v>
      </c>
    </row>
    <row r="13">
      <c r="A13" s="17" t="str">
        <f>IFERROR(__xludf.DUMMYFUNCTION("""COMPUTED_VALUE"""),"Forza Horizon 6")</f>
        <v>Forza Horizon 6</v>
      </c>
      <c r="B13" s="20" t="str">
        <f>IFERROR(__xludf.DUMMYFUNCTION("""COMPUTED_VALUE"""),"Xbox / PC")</f>
        <v>Xbox / PC</v>
      </c>
      <c r="C13" s="21" t="str">
        <f>IFERROR(__xludf.DUMMYFUNCTION("""COMPUTED_VALUE"""),"Yes")</f>
        <v>Yes</v>
      </c>
      <c r="D13" s="21" t="str">
        <f>IFERROR(__xludf.DUMMYFUNCTION("""COMPUTED_VALUE"""),"Active")</f>
        <v>Active</v>
      </c>
      <c r="E13" s="23">
        <f>IFERROR(__xludf.DUMMYFUNCTION("""COMPUTED_VALUE"""),46161.0)</f>
        <v>46161</v>
      </c>
      <c r="F13" s="24"/>
      <c r="G13" s="27">
        <f>IFERROR(__xludf.DUMMYFUNCTION("""COMPUTED_VALUE"""),4.566666666666666)</f>
        <v>4.566666667</v>
      </c>
      <c r="H13" s="23">
        <f>IFERROR(__xludf.DUMMYFUNCTION("""COMPUTED_VALUE"""),46161.0)</f>
        <v>46161</v>
      </c>
      <c r="I13" s="27">
        <f>IFERROR(__xludf.DUMMYFUNCTION("""COMPUTED_VALUE"""),0.0)</f>
        <v>0</v>
      </c>
      <c r="J13" s="29">
        <f>IFERROR(__xludf.DUMMYFUNCTION("""COMPUTED_VALUE"""),92.0)</f>
        <v>92</v>
      </c>
      <c r="K13" s="29">
        <f>IFERROR(__xludf.DUMMYFUNCTION("""COMPUTED_VALUE"""),17.0)</f>
        <v>17</v>
      </c>
      <c r="L13" s="31" t="str">
        <f>IFERROR(__xludf.DUMMYFUNCTION("""COMPUTED_VALUE"""),"Racing")</f>
        <v>Racing</v>
      </c>
      <c r="M13" s="31" t="str">
        <f>IFERROR(__xludf.DUMMYFUNCTION("""COMPUTED_VALUE"""),"Exclusive")</f>
        <v>Exclusive</v>
      </c>
    </row>
    <row r="14">
      <c r="A14" s="17" t="str">
        <f>IFERROR(__xludf.DUMMYFUNCTION("""COMPUTED_VALUE"""),"Rayman Legends")</f>
        <v>Rayman Legends</v>
      </c>
      <c r="B14" s="20" t="str">
        <f>IFERROR(__xludf.DUMMYFUNCTION("""COMPUTED_VALUE"""),"Xbox / PC")</f>
        <v>Xbox / PC</v>
      </c>
      <c r="C14" s="21" t="str">
        <f>IFERROR(__xludf.DUMMYFUNCTION("""COMPUTED_VALUE"""),"Yes")</f>
        <v>Yes</v>
      </c>
      <c r="D14" s="21" t="str">
        <f>IFERROR(__xludf.DUMMYFUNCTION("""COMPUTED_VALUE"""),"Active")</f>
        <v>Active</v>
      </c>
      <c r="E14" s="23">
        <f>IFERROR(__xludf.DUMMYFUNCTION("""COMPUTED_VALUE"""),45931.0)</f>
        <v>45931</v>
      </c>
      <c r="F14" s="24"/>
      <c r="G14" s="27">
        <f>IFERROR(__xludf.DUMMYFUNCTION("""COMPUTED_VALUE"""),12.166666666666666)</f>
        <v>12.16666667</v>
      </c>
      <c r="H14" s="23">
        <f>IFERROR(__xludf.DUMMYFUNCTION("""COMPUTED_VALUE"""),41520.0)</f>
        <v>41520</v>
      </c>
      <c r="I14" s="27">
        <f>IFERROR(__xludf.DUMMYFUNCTION("""COMPUTED_VALUE"""),12.077777777777778)</f>
        <v>12.07777778</v>
      </c>
      <c r="J14" s="29">
        <f>IFERROR(__xludf.DUMMYFUNCTION("""COMPUTED_VALUE"""),92.0)</f>
        <v>92</v>
      </c>
      <c r="K14" s="29">
        <f>IFERROR(__xludf.DUMMYFUNCTION("""COMPUTED_VALUE"""),10.0)</f>
        <v>10</v>
      </c>
      <c r="L14" s="31" t="str">
        <f>IFERROR(__xludf.DUMMYFUNCTION("""COMPUTED_VALUE"""),"Platformer")</f>
        <v>Platformer</v>
      </c>
      <c r="M14" s="31"/>
    </row>
    <row r="15">
      <c r="A15" s="17" t="str">
        <f>IFERROR(__xludf.DUMMYFUNCTION("""COMPUTED_VALUE"""),"Oystron")</f>
        <v>Oystron</v>
      </c>
      <c r="B15" s="20" t="str">
        <f>IFERROR(__xludf.DUMMYFUNCTION("""COMPUTED_VALUE"""),"Xbox / PC")</f>
        <v>Xbox / PC</v>
      </c>
      <c r="C15" s="21" t="str">
        <f>IFERROR(__xludf.DUMMYFUNCTION("""COMPUTED_VALUE"""),"Yes")</f>
        <v>Yes</v>
      </c>
      <c r="D15" s="21" t="str">
        <f>IFERROR(__xludf.DUMMYFUNCTION("""COMPUTED_VALUE"""),"Active")</f>
        <v>Active</v>
      </c>
      <c r="E15" s="23">
        <f>IFERROR(__xludf.DUMMYFUNCTION("""COMPUTED_VALUE"""),45883.0)</f>
        <v>45883</v>
      </c>
      <c r="F15" s="24"/>
      <c r="G15" s="27">
        <f>IFERROR(__xludf.DUMMYFUNCTION("""COMPUTED_VALUE"""),13.733333333333333)</f>
        <v>13.73333333</v>
      </c>
      <c r="H15" s="23">
        <f>IFERROR(__xludf.DUMMYFUNCTION("""COMPUTED_VALUE"""),35431.0)</f>
        <v>35431</v>
      </c>
      <c r="I15" s="27">
        <f>IFERROR(__xludf.DUMMYFUNCTION("""COMPUTED_VALUE"""),28.619444444444444)</f>
        <v>28.61944444</v>
      </c>
      <c r="J15" s="29">
        <f>IFERROR(__xludf.DUMMYFUNCTION("""COMPUTED_VALUE"""),92.0)</f>
        <v>92</v>
      </c>
      <c r="K15" s="29"/>
      <c r="L15" s="31" t="str">
        <f>IFERROR(__xludf.DUMMYFUNCTION("""COMPUTED_VALUE"""),"Action")</f>
        <v>Action</v>
      </c>
      <c r="M15" s="31"/>
    </row>
    <row r="16">
      <c r="A16" s="17" t="str">
        <f>IFERROR(__xludf.DUMMYFUNCTION("""COMPUTED_VALUE"""),"Microsoft Flight Simulator (2020): Game of the Year Edition")</f>
        <v>Microsoft Flight Simulator (2020): Game of the Year Edition</v>
      </c>
      <c r="B16" s="20" t="str">
        <f>IFERROR(__xludf.DUMMYFUNCTION("""COMPUTED_VALUE"""),"Xbox / PC")</f>
        <v>Xbox / PC</v>
      </c>
      <c r="C16" s="21" t="str">
        <f>IFERROR(__xludf.DUMMYFUNCTION("""COMPUTED_VALUE"""),"Yes")</f>
        <v>Yes</v>
      </c>
      <c r="D16" s="21" t="str">
        <f>IFERROR(__xludf.DUMMYFUNCTION("""COMPUTED_VALUE"""),"Active")</f>
        <v>Active</v>
      </c>
      <c r="E16" s="23">
        <f>IFERROR(__xludf.DUMMYFUNCTION("""COMPUTED_VALUE"""),44061.0)</f>
        <v>44061</v>
      </c>
      <c r="F16" s="24"/>
      <c r="G16" s="27">
        <f>IFERROR(__xludf.DUMMYFUNCTION("""COMPUTED_VALUE"""),73.60000000000001)</f>
        <v>73.6</v>
      </c>
      <c r="H16" s="23">
        <f>IFERROR(__xludf.DUMMYFUNCTION("""COMPUTED_VALUE"""),44061.0)</f>
        <v>44061</v>
      </c>
      <c r="I16" s="27">
        <f>IFERROR(__xludf.DUMMYFUNCTION("""COMPUTED_VALUE"""),0.0)</f>
        <v>0</v>
      </c>
      <c r="J16" s="29">
        <f>IFERROR(__xludf.DUMMYFUNCTION("""COMPUTED_VALUE"""),92.0)</f>
        <v>92</v>
      </c>
      <c r="K16" s="29">
        <f>IFERROR(__xludf.DUMMYFUNCTION("""COMPUTED_VALUE"""),41.5)</f>
        <v>41.5</v>
      </c>
      <c r="L16" s="31" t="str">
        <f>IFERROR(__xludf.DUMMYFUNCTION("""COMPUTED_VALUE"""),"Flight")</f>
        <v>Flight</v>
      </c>
      <c r="M16" s="31" t="str">
        <f>IFERROR(__xludf.DUMMYFUNCTION("""COMPUTED_VALUE"""),"Exclusive, Optimized")</f>
        <v>Exclusive, Optimized</v>
      </c>
    </row>
    <row r="17">
      <c r="A17" s="17" t="str">
        <f>IFERROR(__xludf.DUMMYFUNCTION("""COMPUTED_VALUE"""),"Clair Obscur: Expedition 33")</f>
        <v>Clair Obscur: Expedition 33</v>
      </c>
      <c r="B17" s="20" t="str">
        <f>IFERROR(__xludf.DUMMYFUNCTION("""COMPUTED_VALUE"""),"Xbox / PC")</f>
        <v>Xbox / PC</v>
      </c>
      <c r="C17" s="21" t="str">
        <f>IFERROR(__xludf.DUMMYFUNCTION("""COMPUTED_VALUE"""),"Yes")</f>
        <v>Yes</v>
      </c>
      <c r="D17" s="21" t="str">
        <f>IFERROR(__xludf.DUMMYFUNCTION("""COMPUTED_VALUE"""),"Leaving Soon")</f>
        <v>Leaving Soon</v>
      </c>
      <c r="E17" s="23">
        <f>IFERROR(__xludf.DUMMYFUNCTION("""COMPUTED_VALUE"""),45771.0)</f>
        <v>45771</v>
      </c>
      <c r="F17" s="24">
        <f>IFERROR(__xludf.DUMMYFUNCTION("""COMPUTED_VALUE"""),46310.0)</f>
        <v>46310</v>
      </c>
      <c r="G17" s="27">
        <f>IFERROR(__xludf.DUMMYFUNCTION("""COMPUTED_VALUE"""),17.700000000000003)</f>
        <v>17.7</v>
      </c>
      <c r="H17" s="23">
        <f>IFERROR(__xludf.DUMMYFUNCTION("""COMPUTED_VALUE"""),45771.0)</f>
        <v>45771</v>
      </c>
      <c r="I17" s="27">
        <f>IFERROR(__xludf.DUMMYFUNCTION("""COMPUTED_VALUE"""),0.0)</f>
        <v>0</v>
      </c>
      <c r="J17" s="29">
        <f>IFERROR(__xludf.DUMMYFUNCTION("""COMPUTED_VALUE"""),92.0)</f>
        <v>92</v>
      </c>
      <c r="K17" s="29">
        <f>IFERROR(__xludf.DUMMYFUNCTION("""COMPUTED_VALUE"""),26.0)</f>
        <v>26</v>
      </c>
      <c r="L17" s="31" t="str">
        <f>IFERROR(__xludf.DUMMYFUNCTION("""COMPUTED_VALUE"""),"RPG")</f>
        <v>RPG</v>
      </c>
      <c r="M17" s="31" t="str">
        <f>IFERROR(__xludf.DUMMYFUNCTION("""COMPUTED_VALUE"""),"Exclusive")</f>
        <v>Exclusive</v>
      </c>
    </row>
    <row r="18">
      <c r="A18" s="17" t="str">
        <f>IFERROR(__xludf.DUMMYFUNCTION("""COMPUTED_VALUE"""),"Forza Horizon 5")</f>
        <v>Forza Horizon 5</v>
      </c>
      <c r="B18" s="20" t="str">
        <f>IFERROR(__xludf.DUMMYFUNCTION("""COMPUTED_VALUE"""),"Xbox / PC")</f>
        <v>Xbox / PC</v>
      </c>
      <c r="C18" s="21" t="str">
        <f>IFERROR(__xludf.DUMMYFUNCTION("""COMPUTED_VALUE"""),"Yes")</f>
        <v>Yes</v>
      </c>
      <c r="D18" s="21" t="str">
        <f>IFERROR(__xludf.DUMMYFUNCTION("""COMPUTED_VALUE"""),"Active")</f>
        <v>Active</v>
      </c>
      <c r="E18" s="23">
        <f>IFERROR(__xludf.DUMMYFUNCTION("""COMPUTED_VALUE"""),44509.0)</f>
        <v>44509</v>
      </c>
      <c r="F18" s="24"/>
      <c r="G18" s="27">
        <f>IFERROR(__xludf.DUMMYFUNCTION("""COMPUTED_VALUE"""),58.9)</f>
        <v>58.9</v>
      </c>
      <c r="H18" s="23">
        <f>IFERROR(__xludf.DUMMYFUNCTION("""COMPUTED_VALUE"""),44509.0)</f>
        <v>44509</v>
      </c>
      <c r="I18" s="27">
        <f>IFERROR(__xludf.DUMMYFUNCTION("""COMPUTED_VALUE"""),0.0)</f>
        <v>0</v>
      </c>
      <c r="J18" s="29">
        <f>IFERROR(__xludf.DUMMYFUNCTION("""COMPUTED_VALUE"""),91.5)</f>
        <v>91.5</v>
      </c>
      <c r="K18" s="29">
        <f>IFERROR(__xludf.DUMMYFUNCTION("""COMPUTED_VALUE"""),17.0)</f>
        <v>17</v>
      </c>
      <c r="L18" s="31" t="str">
        <f>IFERROR(__xludf.DUMMYFUNCTION("""COMPUTED_VALUE"""),"Racing")</f>
        <v>Racing</v>
      </c>
      <c r="M18" s="31"/>
    </row>
    <row r="19">
      <c r="A19" s="17" t="str">
        <f>IFERROR(__xludf.DUMMYFUNCTION("""COMPUTED_VALUE"""),"Disco Elysium")</f>
        <v>Disco Elysium</v>
      </c>
      <c r="B19" s="20" t="str">
        <f>IFERROR(__xludf.DUMMYFUNCTION("""COMPUTED_VALUE"""),"Xbox / PC")</f>
        <v>Xbox / PC</v>
      </c>
      <c r="C19" s="21" t="str">
        <f>IFERROR(__xludf.DUMMYFUNCTION("""COMPUTED_VALUE"""),"Yes")</f>
        <v>Yes</v>
      </c>
      <c r="D19" s="21" t="str">
        <f>IFERROR(__xludf.DUMMYFUNCTION("""COMPUTED_VALUE"""),"Active")</f>
        <v>Active</v>
      </c>
      <c r="E19" s="23">
        <f>IFERROR(__xludf.DUMMYFUNCTION("""COMPUTED_VALUE"""),46100.0)</f>
        <v>46100</v>
      </c>
      <c r="F19" s="24"/>
      <c r="G19" s="27">
        <f>IFERROR(__xludf.DUMMYFUNCTION("""COMPUTED_VALUE"""),6.566666666666667)</f>
        <v>6.566666667</v>
      </c>
      <c r="H19" s="23">
        <f>IFERROR(__xludf.DUMMYFUNCTION("""COMPUTED_VALUE"""),43753.0)</f>
        <v>43753</v>
      </c>
      <c r="I19" s="27">
        <f>IFERROR(__xludf.DUMMYFUNCTION("""COMPUTED_VALUE"""),6.427777777777778)</f>
        <v>6.427777778</v>
      </c>
      <c r="J19" s="29">
        <f>IFERROR(__xludf.DUMMYFUNCTION("""COMPUTED_VALUE"""),91.0)</f>
        <v>91</v>
      </c>
      <c r="K19" s="29">
        <f>IFERROR(__xludf.DUMMYFUNCTION("""COMPUTED_VALUE"""),23.0)</f>
        <v>23</v>
      </c>
      <c r="L19" s="31" t="str">
        <f>IFERROR(__xludf.DUMMYFUNCTION("""COMPUTED_VALUE"""),"RPG")</f>
        <v>RPG</v>
      </c>
      <c r="M19" s="31" t="str">
        <f>IFERROR(__xludf.DUMMYFUNCTION("""COMPUTED_VALUE"""),"Exclusive")</f>
        <v>Exclusive</v>
      </c>
    </row>
    <row r="20">
      <c r="A20" s="17" t="str">
        <f>IFERROR(__xludf.DUMMYFUNCTION("""COMPUTED_VALUE"""),"Conquests of the Longbow: The Legend of Robin Hood")</f>
        <v>Conquests of the Longbow: The Legend of Robin Hood</v>
      </c>
      <c r="B20" s="20" t="str">
        <f>IFERROR(__xludf.DUMMYFUNCTION("""COMPUTED_VALUE"""),"Xbox / PC")</f>
        <v>Xbox / PC</v>
      </c>
      <c r="C20" s="21" t="str">
        <f>IFERROR(__xludf.DUMMYFUNCTION("""COMPUTED_VALUE"""),"Yes")</f>
        <v>Yes</v>
      </c>
      <c r="D20" s="21" t="str">
        <f>IFERROR(__xludf.DUMMYFUNCTION("""COMPUTED_VALUE"""),"Active")</f>
        <v>Active</v>
      </c>
      <c r="E20" s="23">
        <f>IFERROR(__xludf.DUMMYFUNCTION("""COMPUTED_VALUE"""),45798.0)</f>
        <v>45798</v>
      </c>
      <c r="F20" s="24"/>
      <c r="G20" s="27">
        <f>IFERROR(__xludf.DUMMYFUNCTION("""COMPUTED_VALUE"""),16.5)</f>
        <v>16.5</v>
      </c>
      <c r="H20" s="23">
        <f>IFERROR(__xludf.DUMMYFUNCTION("""COMPUTED_VALUE"""),33616.0)</f>
        <v>33616</v>
      </c>
      <c r="I20" s="27">
        <f>IFERROR(__xludf.DUMMYFUNCTION("""COMPUTED_VALUE"""),33.355555555555554)</f>
        <v>33.35555556</v>
      </c>
      <c r="J20" s="29">
        <f>IFERROR(__xludf.DUMMYFUNCTION("""COMPUTED_VALUE"""),91.0)</f>
        <v>91</v>
      </c>
      <c r="K20" s="29">
        <f>IFERROR(__xludf.DUMMYFUNCTION("""COMPUTED_VALUE"""),6.0)</f>
        <v>6</v>
      </c>
      <c r="L20" s="31" t="str">
        <f>IFERROR(__xludf.DUMMYFUNCTION("""COMPUTED_VALUE"""),"Action‑Adventure")</f>
        <v>Action‑Adventure</v>
      </c>
      <c r="M20" s="31"/>
    </row>
    <row r="21">
      <c r="A21" s="17" t="str">
        <f>IFERROR(__xludf.DUMMYFUNCTION("""COMPUTED_VALUE"""),"Resident Evil 2 (2019)")</f>
        <v>Resident Evil 2 (2019)</v>
      </c>
      <c r="B21" s="20" t="str">
        <f>IFERROR(__xludf.DUMMYFUNCTION("""COMPUTED_VALUE"""),"Xbox / PC")</f>
        <v>Xbox / PC</v>
      </c>
      <c r="C21" s="21" t="str">
        <f>IFERROR(__xludf.DUMMYFUNCTION("""COMPUTED_VALUE"""),"Yes")</f>
        <v>Yes</v>
      </c>
      <c r="D21" s="21" t="str">
        <f>IFERROR(__xludf.DUMMYFUNCTION("""COMPUTED_VALUE"""),"Active")</f>
        <v>Active</v>
      </c>
      <c r="E21" s="23">
        <f>IFERROR(__xludf.DUMMYFUNCTION("""COMPUTED_VALUE"""),45307.0)</f>
        <v>45307</v>
      </c>
      <c r="F21" s="24"/>
      <c r="G21" s="27">
        <f>IFERROR(__xludf.DUMMYFUNCTION("""COMPUTED_VALUE"""),32.66666666666667)</f>
        <v>32.66666667</v>
      </c>
      <c r="H21" s="23">
        <f>IFERROR(__xludf.DUMMYFUNCTION("""COMPUTED_VALUE"""),43480.0)</f>
        <v>43480</v>
      </c>
      <c r="I21" s="27">
        <f>IFERROR(__xludf.DUMMYFUNCTION("""COMPUTED_VALUE"""),5.002777777777778)</f>
        <v>5.002777778</v>
      </c>
      <c r="J21" s="29">
        <f>IFERROR(__xludf.DUMMYFUNCTION("""COMPUTED_VALUE"""),91.0)</f>
        <v>91</v>
      </c>
      <c r="K21" s="29">
        <f>IFERROR(__xludf.DUMMYFUNCTION("""COMPUTED_VALUE"""),9.0)</f>
        <v>9</v>
      </c>
      <c r="L21" s="31" t="str">
        <f>IFERROR(__xludf.DUMMYFUNCTION("""COMPUTED_VALUE"""),"Shooter")</f>
        <v>Shooter</v>
      </c>
      <c r="M21" s="31"/>
    </row>
    <row r="22">
      <c r="A22" s="17" t="str">
        <f>IFERROR(__xludf.DUMMYFUNCTION("""COMPUTED_VALUE"""),"Gears of War 3")</f>
        <v>Gears of War 3</v>
      </c>
      <c r="B22" s="20" t="str">
        <f>IFERROR(__xludf.DUMMYFUNCTION("""COMPUTED_VALUE"""),"Xbox")</f>
        <v>Xbox</v>
      </c>
      <c r="C22" s="21" t="str">
        <f>IFERROR(__xludf.DUMMYFUNCTION("""COMPUTED_VALUE"""),"Yes")</f>
        <v>Yes</v>
      </c>
      <c r="D22" s="21" t="str">
        <f>IFERROR(__xludf.DUMMYFUNCTION("""COMPUTED_VALUE"""),"Active")</f>
        <v>Active</v>
      </c>
      <c r="E22" s="23">
        <f>IFERROR(__xludf.DUMMYFUNCTION("""COMPUTED_VALUE"""),42887.0)</f>
        <v>42887</v>
      </c>
      <c r="F22" s="24"/>
      <c r="G22" s="27">
        <f>IFERROR(__xludf.DUMMYFUNCTION("""COMPUTED_VALUE"""),112.16666666666666)</f>
        <v>112.1666667</v>
      </c>
      <c r="H22" s="23">
        <f>IFERROR(__xludf.DUMMYFUNCTION("""COMPUTED_VALUE"""),40806.0)</f>
        <v>40806</v>
      </c>
      <c r="I22" s="27">
        <f>IFERROR(__xludf.DUMMYFUNCTION("""COMPUTED_VALUE"""),5.697222222222222)</f>
        <v>5.697222222</v>
      </c>
      <c r="J22" s="29">
        <f>IFERROR(__xludf.DUMMYFUNCTION("""COMPUTED_VALUE"""),91.0)</f>
        <v>91</v>
      </c>
      <c r="K22" s="29">
        <f>IFERROR(__xludf.DUMMYFUNCTION("""COMPUTED_VALUE"""),9.5)</f>
        <v>9.5</v>
      </c>
      <c r="L22" s="31" t="str">
        <f>IFERROR(__xludf.DUMMYFUNCTION("""COMPUTED_VALUE"""),"Shooter")</f>
        <v>Shooter</v>
      </c>
      <c r="M22" s="31" t="str">
        <f>IFERROR(__xludf.DUMMYFUNCTION("""COMPUTED_VALUE"""),"FPS Boost")</f>
        <v>FPS Boost</v>
      </c>
    </row>
    <row r="23">
      <c r="A23" s="17" t="str">
        <f>IFERROR(__xludf.DUMMYFUNCTION("""COMPUTED_VALUE"""),"Starsand Island")</f>
        <v>Starsand Island</v>
      </c>
      <c r="B23" s="20" t="str">
        <f>IFERROR(__xludf.DUMMYFUNCTION("""COMPUTED_VALUE"""),"Xbox / PC")</f>
        <v>Xbox / PC</v>
      </c>
      <c r="C23" s="21" t="str">
        <f>IFERROR(__xludf.DUMMYFUNCTION("""COMPUTED_VALUE"""),"Yes")</f>
        <v>Yes</v>
      </c>
      <c r="D23" s="21" t="str">
        <f>IFERROR(__xludf.DUMMYFUNCTION("""COMPUTED_VALUE"""),"Active")</f>
        <v>Active</v>
      </c>
      <c r="E23" s="23">
        <f>IFERROR(__xludf.DUMMYFUNCTION("""COMPUTED_VALUE"""),46064.0)</f>
        <v>46064</v>
      </c>
      <c r="F23" s="24"/>
      <c r="G23" s="27">
        <f>IFERROR(__xludf.DUMMYFUNCTION("""COMPUTED_VALUE"""),7.833333333333334)</f>
        <v>7.833333333</v>
      </c>
      <c r="H23" s="23">
        <f>IFERROR(__xludf.DUMMYFUNCTION("""COMPUTED_VALUE"""),46065.0)</f>
        <v>46065</v>
      </c>
      <c r="I23" s="27">
        <f>IFERROR(__xludf.DUMMYFUNCTION("""COMPUTED_VALUE"""),-0.002777777777777778)</f>
        <v>-0.002777777778</v>
      </c>
      <c r="J23" s="29">
        <f>IFERROR(__xludf.DUMMYFUNCTION("""COMPUTED_VALUE"""),90.0)</f>
        <v>90</v>
      </c>
      <c r="K23" s="29">
        <f>IFERROR(__xludf.DUMMYFUNCTION("""COMPUTED_VALUE"""),66.0)</f>
        <v>66</v>
      </c>
      <c r="L23" s="31" t="str">
        <f>IFERROR(__xludf.DUMMYFUNCTION("""COMPUTED_VALUE"""),"Action-Adventure")</f>
        <v>Action-Adventure</v>
      </c>
      <c r="M23" s="31" t="str">
        <f>IFERROR(__xludf.DUMMYFUNCTION("""COMPUTED_VALUE"""),"Exclusive")</f>
        <v>Exclusive</v>
      </c>
    </row>
    <row r="24">
      <c r="A24" s="17" t="str">
        <f>IFERROR(__xludf.DUMMYFUNCTION("""COMPUTED_VALUE"""),"Dome Keeper")</f>
        <v>Dome Keeper</v>
      </c>
      <c r="B24" s="20" t="str">
        <f>IFERROR(__xludf.DUMMYFUNCTION("""COMPUTED_VALUE"""),"Xbox / PC")</f>
        <v>Xbox / PC</v>
      </c>
      <c r="C24" s="21" t="str">
        <f>IFERROR(__xludf.DUMMYFUNCTION("""COMPUTED_VALUE"""),"Yes")</f>
        <v>Yes</v>
      </c>
      <c r="D24" s="21" t="str">
        <f>IFERROR(__xludf.DUMMYFUNCTION("""COMPUTED_VALUE"""),"Active")</f>
        <v>Active</v>
      </c>
      <c r="E24" s="23">
        <f>IFERROR(__xludf.DUMMYFUNCTION("""COMPUTED_VALUE"""),46000.0)</f>
        <v>46000</v>
      </c>
      <c r="F24" s="24"/>
      <c r="G24" s="27">
        <f>IFERROR(__xludf.DUMMYFUNCTION("""COMPUTED_VALUE"""),9.899999999999999)</f>
        <v>9.9</v>
      </c>
      <c r="H24" s="23">
        <f>IFERROR(__xludf.DUMMYFUNCTION("""COMPUTED_VALUE"""),44831.0)</f>
        <v>44831</v>
      </c>
      <c r="I24" s="27">
        <f>IFERROR(__xludf.DUMMYFUNCTION("""COMPUTED_VALUE"""),3.2)</f>
        <v>3.2</v>
      </c>
      <c r="J24" s="29">
        <f>IFERROR(__xludf.DUMMYFUNCTION("""COMPUTED_VALUE"""),90.0)</f>
        <v>90</v>
      </c>
      <c r="K24" s="29">
        <f>IFERROR(__xludf.DUMMYFUNCTION("""COMPUTED_VALUE"""),5.0)</f>
        <v>5</v>
      </c>
      <c r="L24" s="31" t="str">
        <f>IFERROR(__xludf.DUMMYFUNCTION("""COMPUTED_VALUE"""),"Action")</f>
        <v>Action</v>
      </c>
      <c r="M24" s="31"/>
    </row>
    <row r="25">
      <c r="A25" s="17" t="str">
        <f>IFERROR(__xludf.DUMMYFUNCTION("""COMPUTED_VALUE"""),"Hollow Knight: Silksong")</f>
        <v>Hollow Knight: Silksong</v>
      </c>
      <c r="B25" s="20" t="str">
        <f>IFERROR(__xludf.DUMMYFUNCTION("""COMPUTED_VALUE"""),"Xbox / PC")</f>
        <v>Xbox / PC</v>
      </c>
      <c r="C25" s="21" t="str">
        <f>IFERROR(__xludf.DUMMYFUNCTION("""COMPUTED_VALUE"""),"Yes")</f>
        <v>Yes</v>
      </c>
      <c r="D25" s="21" t="str">
        <f>IFERROR(__xludf.DUMMYFUNCTION("""COMPUTED_VALUE"""),"Active")</f>
        <v>Active</v>
      </c>
      <c r="E25" s="23">
        <f>IFERROR(__xludf.DUMMYFUNCTION("""COMPUTED_VALUE"""),45904.0)</f>
        <v>45904</v>
      </c>
      <c r="F25" s="24"/>
      <c r="G25" s="27">
        <f>IFERROR(__xludf.DUMMYFUNCTION("""COMPUTED_VALUE"""),13.066666666666666)</f>
        <v>13.06666667</v>
      </c>
      <c r="H25" s="23">
        <f>IFERROR(__xludf.DUMMYFUNCTION("""COMPUTED_VALUE"""),45904.0)</f>
        <v>45904</v>
      </c>
      <c r="I25" s="27">
        <f>IFERROR(__xludf.DUMMYFUNCTION("""COMPUTED_VALUE"""),0.0)</f>
        <v>0</v>
      </c>
      <c r="J25" s="29">
        <f>IFERROR(__xludf.DUMMYFUNCTION("""COMPUTED_VALUE"""),90.0)</f>
        <v>90</v>
      </c>
      <c r="K25" s="29">
        <f>IFERROR(__xludf.DUMMYFUNCTION("""COMPUTED_VALUE"""),28.0)</f>
        <v>28</v>
      </c>
      <c r="L25" s="31" t="str">
        <f>IFERROR(__xludf.DUMMYFUNCTION("""COMPUTED_VALUE"""),"Metroidvania")</f>
        <v>Metroidvania</v>
      </c>
      <c r="M25" s="31"/>
    </row>
    <row r="26">
      <c r="A26" s="17" t="str">
        <f>IFERROR(__xludf.DUMMYFUNCTION("""COMPUTED_VALUE"""),"Freddy Pharkas: Frontier Pharmacist")</f>
        <v>Freddy Pharkas: Frontier Pharmacist</v>
      </c>
      <c r="B26" s="20" t="str">
        <f>IFERROR(__xludf.DUMMYFUNCTION("""COMPUTED_VALUE"""),"Xbox / PC")</f>
        <v>Xbox / PC</v>
      </c>
      <c r="C26" s="21" t="str">
        <f>IFERROR(__xludf.DUMMYFUNCTION("""COMPUTED_VALUE"""),"Yes")</f>
        <v>Yes</v>
      </c>
      <c r="D26" s="21" t="str">
        <f>IFERROR(__xludf.DUMMYFUNCTION("""COMPUTED_VALUE"""),"Active")</f>
        <v>Active</v>
      </c>
      <c r="E26" s="23">
        <f>IFERROR(__xludf.DUMMYFUNCTION("""COMPUTED_VALUE"""),45798.0)</f>
        <v>45798</v>
      </c>
      <c r="F26" s="24"/>
      <c r="G26" s="27">
        <f>IFERROR(__xludf.DUMMYFUNCTION("""COMPUTED_VALUE"""),16.5)</f>
        <v>16.5</v>
      </c>
      <c r="H26" s="23">
        <f>IFERROR(__xludf.DUMMYFUNCTION("""COMPUTED_VALUE"""),34121.0)</f>
        <v>34121</v>
      </c>
      <c r="I26" s="27">
        <f>IFERROR(__xludf.DUMMYFUNCTION("""COMPUTED_VALUE"""),31.97222222222222)</f>
        <v>31.97222222</v>
      </c>
      <c r="J26" s="29">
        <f>IFERROR(__xludf.DUMMYFUNCTION("""COMPUTED_VALUE"""),90.0)</f>
        <v>90</v>
      </c>
      <c r="K26" s="29">
        <f>IFERROR(__xludf.DUMMYFUNCTION("""COMPUTED_VALUE"""),17.0)</f>
        <v>17</v>
      </c>
      <c r="L26" s="31" t="str">
        <f>IFERROR(__xludf.DUMMYFUNCTION("""COMPUTED_VALUE"""),"Adventure")</f>
        <v>Adventure</v>
      </c>
      <c r="M26" s="31"/>
    </row>
    <row r="27">
      <c r="A27" s="17" t="str">
        <f>IFERROR(__xludf.DUMMYFUNCTION("""COMPUTED_VALUE"""),"Monster Train 2")</f>
        <v>Monster Train 2</v>
      </c>
      <c r="B27" s="20" t="str">
        <f>IFERROR(__xludf.DUMMYFUNCTION("""COMPUTED_VALUE"""),"Xbox / PC")</f>
        <v>Xbox / PC</v>
      </c>
      <c r="C27" s="21" t="str">
        <f>IFERROR(__xludf.DUMMYFUNCTION("""COMPUTED_VALUE"""),"Yes")</f>
        <v>Yes</v>
      </c>
      <c r="D27" s="21" t="str">
        <f>IFERROR(__xludf.DUMMYFUNCTION("""COMPUTED_VALUE"""),"Active")</f>
        <v>Active</v>
      </c>
      <c r="E27" s="23">
        <f>IFERROR(__xludf.DUMMYFUNCTION("""COMPUTED_VALUE"""),45798.0)</f>
        <v>45798</v>
      </c>
      <c r="F27" s="24"/>
      <c r="G27" s="27">
        <f>IFERROR(__xludf.DUMMYFUNCTION("""COMPUTED_VALUE"""),16.5)</f>
        <v>16.5</v>
      </c>
      <c r="H27" s="23">
        <f>IFERROR(__xludf.DUMMYFUNCTION("""COMPUTED_VALUE"""),45798.0)</f>
        <v>45798</v>
      </c>
      <c r="I27" s="27">
        <f>IFERROR(__xludf.DUMMYFUNCTION("""COMPUTED_VALUE"""),0.0)</f>
        <v>0</v>
      </c>
      <c r="J27" s="29">
        <f>IFERROR(__xludf.DUMMYFUNCTION("""COMPUTED_VALUE"""),90.0)</f>
        <v>90</v>
      </c>
      <c r="K27" s="29">
        <f>IFERROR(__xludf.DUMMYFUNCTION("""COMPUTED_VALUE"""),6.0)</f>
        <v>6</v>
      </c>
      <c r="L27" s="31" t="str">
        <f>IFERROR(__xludf.DUMMYFUNCTION("""COMPUTED_VALUE"""),"Card Battle")</f>
        <v>Card Battle</v>
      </c>
      <c r="M27" s="31" t="str">
        <f>IFERROR(__xludf.DUMMYFUNCTION("""COMPUTED_VALUE"""),"Exclusive")</f>
        <v>Exclusive</v>
      </c>
    </row>
    <row r="28">
      <c r="A28" s="17" t="str">
        <f>IFERROR(__xludf.DUMMYFUNCTION("""COMPUTED_VALUE"""),"Balatro")</f>
        <v>Balatro</v>
      </c>
      <c r="B28" s="20" t="str">
        <f>IFERROR(__xludf.DUMMYFUNCTION("""COMPUTED_VALUE"""),"Xbox / PC")</f>
        <v>Xbox / PC</v>
      </c>
      <c r="C28" s="21" t="str">
        <f>IFERROR(__xludf.DUMMYFUNCTION("""COMPUTED_VALUE"""),"Yes")</f>
        <v>Yes</v>
      </c>
      <c r="D28" s="21" t="str">
        <f>IFERROR(__xludf.DUMMYFUNCTION("""COMPUTED_VALUE"""),"Active")</f>
        <v>Active</v>
      </c>
      <c r="E28" s="23">
        <f>IFERROR(__xludf.DUMMYFUNCTION("""COMPUTED_VALUE"""),45712.0)</f>
        <v>45712</v>
      </c>
      <c r="F28" s="24"/>
      <c r="G28" s="27">
        <f>IFERROR(__xludf.DUMMYFUNCTION("""COMPUTED_VALUE"""),19.4)</f>
        <v>19.4</v>
      </c>
      <c r="H28" s="23">
        <f>IFERROR(__xludf.DUMMYFUNCTION("""COMPUTED_VALUE"""),45616.0)</f>
        <v>45616</v>
      </c>
      <c r="I28" s="27">
        <f>IFERROR(__xludf.DUMMYFUNCTION("""COMPUTED_VALUE"""),0.2611111111111111)</f>
        <v>0.2611111111</v>
      </c>
      <c r="J28" s="29">
        <f>IFERROR(__xludf.DUMMYFUNCTION("""COMPUTED_VALUE"""),90.0)</f>
        <v>90</v>
      </c>
      <c r="K28" s="29">
        <f>IFERROR(__xludf.DUMMYFUNCTION("""COMPUTED_VALUE"""),7.0)</f>
        <v>7</v>
      </c>
      <c r="L28" s="31" t="str">
        <f>IFERROR(__xludf.DUMMYFUNCTION("""COMPUTED_VALUE"""),"Card Battle")</f>
        <v>Card Battle</v>
      </c>
      <c r="M28" s="31"/>
    </row>
    <row r="29">
      <c r="A29" s="17" t="str">
        <f>IFERROR(__xludf.DUMMYFUNCTION("""COMPUTED_VALUE"""),"Dead Space 2")</f>
        <v>Dead Space 2</v>
      </c>
      <c r="B29" s="20" t="str">
        <f>IFERROR(__xludf.DUMMYFUNCTION("""COMPUTED_VALUE"""),"Xbox / PC")</f>
        <v>Xbox / PC</v>
      </c>
      <c r="C29" s="21" t="str">
        <f>IFERROR(__xludf.DUMMYFUNCTION("""COMPUTED_VALUE"""),"Yes")</f>
        <v>Yes</v>
      </c>
      <c r="D29" s="21" t="str">
        <f>IFERROR(__xludf.DUMMYFUNCTION("""COMPUTED_VALUE"""),"Active")</f>
        <v>Active</v>
      </c>
      <c r="E29" s="23">
        <f>IFERROR(__xludf.DUMMYFUNCTION("""COMPUTED_VALUE"""),44145.0)</f>
        <v>44145</v>
      </c>
      <c r="F29" s="24"/>
      <c r="G29" s="27">
        <f>IFERROR(__xludf.DUMMYFUNCTION("""COMPUTED_VALUE"""),70.86666666666667)</f>
        <v>70.86666667</v>
      </c>
      <c r="H29" s="23">
        <f>IFERROR(__xludf.DUMMYFUNCTION("""COMPUTED_VALUE"""),40568.0)</f>
        <v>40568</v>
      </c>
      <c r="I29" s="27">
        <f>IFERROR(__xludf.DUMMYFUNCTION("""COMPUTED_VALUE"""),9.791666666666666)</f>
        <v>9.791666667</v>
      </c>
      <c r="J29" s="29">
        <f>IFERROR(__xludf.DUMMYFUNCTION("""COMPUTED_VALUE"""),90.0)</f>
        <v>90</v>
      </c>
      <c r="K29" s="29">
        <f>IFERROR(__xludf.DUMMYFUNCTION("""COMPUTED_VALUE"""),9.0)</f>
        <v>9</v>
      </c>
      <c r="L29" s="31" t="str">
        <f>IFERROR(__xludf.DUMMYFUNCTION("""COMPUTED_VALUE"""),"Shooter")</f>
        <v>Shooter</v>
      </c>
      <c r="M29" s="31" t="str">
        <f>IFERROR(__xludf.DUMMYFUNCTION("""COMPUTED_VALUE"""),"FPS Boost")</f>
        <v>FPS Boost</v>
      </c>
    </row>
    <row r="30">
      <c r="A30" s="17" t="str">
        <f>IFERROR(__xludf.DUMMYFUNCTION("""COMPUTED_VALUE"""),"The Bard's Tale ARPG: Remastered and Resnarkled")</f>
        <v>The Bard's Tale ARPG: Remastered and Resnarkled</v>
      </c>
      <c r="B30" s="20" t="str">
        <f>IFERROR(__xludf.DUMMYFUNCTION("""COMPUTED_VALUE"""),"Xbox / PC")</f>
        <v>Xbox / PC</v>
      </c>
      <c r="C30" s="21" t="str">
        <f>IFERROR(__xludf.DUMMYFUNCTION("""COMPUTED_VALUE"""),"Touch Controls")</f>
        <v>Touch Controls</v>
      </c>
      <c r="D30" s="21" t="str">
        <f>IFERROR(__xludf.DUMMYFUNCTION("""COMPUTED_VALUE"""),"Active")</f>
        <v>Active</v>
      </c>
      <c r="E30" s="23">
        <f>IFERROR(__xludf.DUMMYFUNCTION("""COMPUTED_VALUE"""),44000.0)</f>
        <v>44000</v>
      </c>
      <c r="F30" s="24"/>
      <c r="G30" s="27">
        <f>IFERROR(__xludf.DUMMYFUNCTION("""COMPUTED_VALUE"""),75.6)</f>
        <v>75.6</v>
      </c>
      <c r="H30" s="23">
        <f>IFERROR(__xludf.DUMMYFUNCTION("""COMPUTED_VALUE"""),44000.0)</f>
        <v>44000</v>
      </c>
      <c r="I30" s="27">
        <f>IFERROR(__xludf.DUMMYFUNCTION("""COMPUTED_VALUE"""),0.0)</f>
        <v>0</v>
      </c>
      <c r="J30" s="29">
        <f>IFERROR(__xludf.DUMMYFUNCTION("""COMPUTED_VALUE"""),90.0)</f>
        <v>90</v>
      </c>
      <c r="K30" s="29">
        <f>IFERROR(__xludf.DUMMYFUNCTION("""COMPUTED_VALUE"""),14.0)</f>
        <v>14</v>
      </c>
      <c r="L30" s="31" t="str">
        <f>IFERROR(__xludf.DUMMYFUNCTION("""COMPUTED_VALUE"""),"RPG")</f>
        <v>RPG</v>
      </c>
      <c r="M30" s="31"/>
    </row>
    <row r="31">
      <c r="A31" s="17" t="str">
        <f>IFERROR(__xludf.DUMMYFUNCTION("""COMPUTED_VALUE"""),"Ori and the Will of the Wisps")</f>
        <v>Ori and the Will of the Wisps</v>
      </c>
      <c r="B31" s="20" t="str">
        <f>IFERROR(__xludf.DUMMYFUNCTION("""COMPUTED_VALUE"""),"Xbox / PC")</f>
        <v>Xbox / PC</v>
      </c>
      <c r="C31" s="21" t="str">
        <f>IFERROR(__xludf.DUMMYFUNCTION("""COMPUTED_VALUE"""),"Yes")</f>
        <v>Yes</v>
      </c>
      <c r="D31" s="21" t="str">
        <f>IFERROR(__xludf.DUMMYFUNCTION("""COMPUTED_VALUE"""),"Active")</f>
        <v>Active</v>
      </c>
      <c r="E31" s="23">
        <f>IFERROR(__xludf.DUMMYFUNCTION("""COMPUTED_VALUE"""),43901.0)</f>
        <v>43901</v>
      </c>
      <c r="F31" s="24"/>
      <c r="G31" s="27">
        <f>IFERROR(__xludf.DUMMYFUNCTION("""COMPUTED_VALUE"""),78.83333333333334)</f>
        <v>78.83333333</v>
      </c>
      <c r="H31" s="23">
        <f>IFERROR(__xludf.DUMMYFUNCTION("""COMPUTED_VALUE"""),43901.0)</f>
        <v>43901</v>
      </c>
      <c r="I31" s="27">
        <f>IFERROR(__xludf.DUMMYFUNCTION("""COMPUTED_VALUE"""),0.0)</f>
        <v>0</v>
      </c>
      <c r="J31" s="29">
        <f>IFERROR(__xludf.DUMMYFUNCTION("""COMPUTED_VALUE"""),90.0)</f>
        <v>90</v>
      </c>
      <c r="K31" s="29">
        <f>IFERROR(__xludf.DUMMYFUNCTION("""COMPUTED_VALUE"""),11.0)</f>
        <v>11</v>
      </c>
      <c r="L31" s="31" t="str">
        <f>IFERROR(__xludf.DUMMYFUNCTION("""COMPUTED_VALUE"""),"Platformer")</f>
        <v>Platformer</v>
      </c>
      <c r="M31" s="31" t="str">
        <f>IFERROR(__xludf.DUMMYFUNCTION("""COMPUTED_VALUE"""),"Optimized")</f>
        <v>Optimized</v>
      </c>
    </row>
    <row r="32">
      <c r="A32" s="17" t="str">
        <f>IFERROR(__xludf.DUMMYFUNCTION("""COMPUTED_VALUE"""),"Like a Dragon: Infinite Wealth")</f>
        <v>Like a Dragon: Infinite Wealth</v>
      </c>
      <c r="B32" s="20" t="str">
        <f>IFERROR(__xludf.DUMMYFUNCTION("""COMPUTED_VALUE"""),"Xbox / PC")</f>
        <v>Xbox / PC</v>
      </c>
      <c r="C32" s="21" t="str">
        <f>IFERROR(__xludf.DUMMYFUNCTION("""COMPUTED_VALUE"""),"Yes")</f>
        <v>Yes</v>
      </c>
      <c r="D32" s="21" t="str">
        <f>IFERROR(__xludf.DUMMYFUNCTION("""COMPUTED_VALUE"""),"Active")</f>
        <v>Active</v>
      </c>
      <c r="E32" s="23">
        <f>IFERROR(__xludf.DUMMYFUNCTION("""COMPUTED_VALUE"""),46105.0)</f>
        <v>46105</v>
      </c>
      <c r="F32" s="24"/>
      <c r="G32" s="27">
        <f>IFERROR(__xludf.DUMMYFUNCTION("""COMPUTED_VALUE"""),6.4)</f>
        <v>6.4</v>
      </c>
      <c r="H32" s="23">
        <f>IFERROR(__xludf.DUMMYFUNCTION("""COMPUTED_VALUE"""),45317.0)</f>
        <v>45317</v>
      </c>
      <c r="I32" s="27">
        <f>IFERROR(__xludf.DUMMYFUNCTION("""COMPUTED_VALUE"""),2.161111111111111)</f>
        <v>2.161111111</v>
      </c>
      <c r="J32" s="29">
        <f>IFERROR(__xludf.DUMMYFUNCTION("""COMPUTED_VALUE"""),89.0)</f>
        <v>89</v>
      </c>
      <c r="K32" s="29">
        <f>IFERROR(__xludf.DUMMYFUNCTION("""COMPUTED_VALUE"""),45.0)</f>
        <v>45</v>
      </c>
      <c r="L32" s="31" t="str">
        <f>IFERROR(__xludf.DUMMYFUNCTION("""COMPUTED_VALUE"""),"RPG")</f>
        <v>RPG</v>
      </c>
      <c r="M32" s="31"/>
    </row>
    <row r="33">
      <c r="A33" s="17" t="str">
        <f>IFERROR(__xludf.DUMMYFUNCTION("""COMPUTED_VALUE"""),"Gabriel Knight: Sins of the Fathers")</f>
        <v>Gabriel Knight: Sins of the Fathers</v>
      </c>
      <c r="B33" s="20" t="str">
        <f>IFERROR(__xludf.DUMMYFUNCTION("""COMPUTED_VALUE"""),"Xbox / PC")</f>
        <v>Xbox / PC</v>
      </c>
      <c r="C33" s="21" t="str">
        <f>IFERROR(__xludf.DUMMYFUNCTION("""COMPUTED_VALUE"""),"Yes")</f>
        <v>Yes</v>
      </c>
      <c r="D33" s="21" t="str">
        <f>IFERROR(__xludf.DUMMYFUNCTION("""COMPUTED_VALUE"""),"Active")</f>
        <v>Active</v>
      </c>
      <c r="E33" s="23">
        <f>IFERROR(__xludf.DUMMYFUNCTION("""COMPUTED_VALUE"""),45859.0)</f>
        <v>45859</v>
      </c>
      <c r="F33" s="24"/>
      <c r="G33" s="27">
        <f>IFERROR(__xludf.DUMMYFUNCTION("""COMPUTED_VALUE"""),14.5)</f>
        <v>14.5</v>
      </c>
      <c r="H33" s="23">
        <f>IFERROR(__xludf.DUMMYFUNCTION("""COMPUTED_VALUE"""),34320.0)</f>
        <v>34320</v>
      </c>
      <c r="I33" s="27">
        <f>IFERROR(__xludf.DUMMYFUNCTION("""COMPUTED_VALUE"""),31.594444444444445)</f>
        <v>31.59444444</v>
      </c>
      <c r="J33" s="29">
        <f>IFERROR(__xludf.DUMMYFUNCTION("""COMPUTED_VALUE"""),89.0)</f>
        <v>89</v>
      </c>
      <c r="K33" s="29">
        <f>IFERROR(__xludf.DUMMYFUNCTION("""COMPUTED_VALUE"""),11.0)</f>
        <v>11</v>
      </c>
      <c r="L33" s="31" t="str">
        <f>IFERROR(__xludf.DUMMYFUNCTION("""COMPUTED_VALUE"""),"Action-Adventure")</f>
        <v>Action-Adventure</v>
      </c>
      <c r="M33" s="31"/>
    </row>
    <row r="34">
      <c r="A34" s="17" t="str">
        <f>IFERROR(__xludf.DUMMYFUNCTION("""COMPUTED_VALUE"""),"Hi-Fi RUSH")</f>
        <v>Hi-Fi RUSH</v>
      </c>
      <c r="B34" s="20" t="str">
        <f>IFERROR(__xludf.DUMMYFUNCTION("""COMPUTED_VALUE"""),"Xbox / PC")</f>
        <v>Xbox / PC</v>
      </c>
      <c r="C34" s="21" t="str">
        <f>IFERROR(__xludf.DUMMYFUNCTION("""COMPUTED_VALUE"""),"Yes")</f>
        <v>Yes</v>
      </c>
      <c r="D34" s="21" t="str">
        <f>IFERROR(__xludf.DUMMYFUNCTION("""COMPUTED_VALUE"""),"Active")</f>
        <v>Active</v>
      </c>
      <c r="E34" s="23">
        <f>IFERROR(__xludf.DUMMYFUNCTION("""COMPUTED_VALUE"""),44951.0)</f>
        <v>44951</v>
      </c>
      <c r="F34" s="24"/>
      <c r="G34" s="27">
        <f>IFERROR(__xludf.DUMMYFUNCTION("""COMPUTED_VALUE"""),44.36666666666667)</f>
        <v>44.36666667</v>
      </c>
      <c r="H34" s="23">
        <f>IFERROR(__xludf.DUMMYFUNCTION("""COMPUTED_VALUE"""),44951.0)</f>
        <v>44951</v>
      </c>
      <c r="I34" s="27">
        <f>IFERROR(__xludf.DUMMYFUNCTION("""COMPUTED_VALUE"""),0.0)</f>
        <v>0</v>
      </c>
      <c r="J34" s="29">
        <f>IFERROR(__xludf.DUMMYFUNCTION("""COMPUTED_VALUE"""),89.0)</f>
        <v>89</v>
      </c>
      <c r="K34" s="29">
        <f>IFERROR(__xludf.DUMMYFUNCTION("""COMPUTED_VALUE"""),10.0)</f>
        <v>10</v>
      </c>
      <c r="L34" s="31" t="str">
        <f>IFERROR(__xludf.DUMMYFUNCTION("""COMPUTED_VALUE"""),"Action-Adventure")</f>
        <v>Action-Adventure</v>
      </c>
      <c r="M34" s="31" t="str">
        <f>IFERROR(__xludf.DUMMYFUNCTION("""COMPUTED_VALUE"""),"Exclusive")</f>
        <v>Exclusive</v>
      </c>
    </row>
    <row r="35">
      <c r="A35" s="17" t="str">
        <f>IFERROR(__xludf.DUMMYFUNCTION("""COMPUTED_VALUE"""),"DEATHLOOP")</f>
        <v>DEATHLOOP</v>
      </c>
      <c r="B35" s="20" t="str">
        <f>IFERROR(__xludf.DUMMYFUNCTION("""COMPUTED_VALUE"""),"Xbox / PC")</f>
        <v>Xbox / PC</v>
      </c>
      <c r="C35" s="21" t="str">
        <f>IFERROR(__xludf.DUMMYFUNCTION("""COMPUTED_VALUE"""),"Yes")</f>
        <v>Yes</v>
      </c>
      <c r="D35" s="21" t="str">
        <f>IFERROR(__xludf.DUMMYFUNCTION("""COMPUTED_VALUE"""),"Active")</f>
        <v>Active</v>
      </c>
      <c r="E35" s="23">
        <f>IFERROR(__xludf.DUMMYFUNCTION("""COMPUTED_VALUE"""),44824.0)</f>
        <v>44824</v>
      </c>
      <c r="F35" s="24"/>
      <c r="G35" s="27">
        <f>IFERROR(__xludf.DUMMYFUNCTION("""COMPUTED_VALUE"""),48.53333333333333)</f>
        <v>48.53333333</v>
      </c>
      <c r="H35" s="23">
        <f>IFERROR(__xludf.DUMMYFUNCTION("""COMPUTED_VALUE"""),44453.0)</f>
        <v>44453</v>
      </c>
      <c r="I35" s="27">
        <f>IFERROR(__xludf.DUMMYFUNCTION("""COMPUTED_VALUE"""),1.0166666666666666)</f>
        <v>1.016666667</v>
      </c>
      <c r="J35" s="29">
        <f>IFERROR(__xludf.DUMMYFUNCTION("""COMPUTED_VALUE"""),89.0)</f>
        <v>89</v>
      </c>
      <c r="K35" s="29">
        <f>IFERROR(__xludf.DUMMYFUNCTION("""COMPUTED_VALUE"""),16.0)</f>
        <v>16</v>
      </c>
      <c r="L35" s="31" t="str">
        <f>IFERROR(__xludf.DUMMYFUNCTION("""COMPUTED_VALUE"""),"Shooter")</f>
        <v>Shooter</v>
      </c>
      <c r="M35" s="31" t="str">
        <f>IFERROR(__xludf.DUMMYFUNCTION("""COMPUTED_VALUE"""),"Exclusive")</f>
        <v>Exclusive</v>
      </c>
    </row>
    <row r="36">
      <c r="A36" s="17" t="str">
        <f>IFERROR(__xludf.DUMMYFUNCTION("""COMPUTED_VALUE"""),"Stardew Valley")</f>
        <v>Stardew Valley</v>
      </c>
      <c r="B36" s="20" t="str">
        <f>IFERROR(__xludf.DUMMYFUNCTION("""COMPUTED_VALUE"""),"Xbox / PC")</f>
        <v>Xbox / PC</v>
      </c>
      <c r="C36" s="21" t="str">
        <f>IFERROR(__xludf.DUMMYFUNCTION("""COMPUTED_VALUE"""),"Touch Controls")</f>
        <v>Touch Controls</v>
      </c>
      <c r="D36" s="21" t="str">
        <f>IFERROR(__xludf.DUMMYFUNCTION("""COMPUTED_VALUE"""),"Active")</f>
        <v>Active</v>
      </c>
      <c r="E36" s="23">
        <f>IFERROR(__xludf.DUMMYFUNCTION("""COMPUTED_VALUE"""),44532.0)</f>
        <v>44532</v>
      </c>
      <c r="F36" s="24"/>
      <c r="G36" s="27">
        <f>IFERROR(__xludf.DUMMYFUNCTION("""COMPUTED_VALUE"""),58.133333333333326)</f>
        <v>58.13333333</v>
      </c>
      <c r="H36" s="23">
        <f>IFERROR(__xludf.DUMMYFUNCTION("""COMPUTED_VALUE"""),42426.0)</f>
        <v>42426</v>
      </c>
      <c r="I36" s="27">
        <f>IFERROR(__xludf.DUMMYFUNCTION("""COMPUTED_VALUE"""),5.766666666666667)</f>
        <v>5.766666667</v>
      </c>
      <c r="J36" s="29">
        <f>IFERROR(__xludf.DUMMYFUNCTION("""COMPUTED_VALUE"""),89.0)</f>
        <v>89</v>
      </c>
      <c r="K36" s="29">
        <f>IFERROR(__xludf.DUMMYFUNCTION("""COMPUTED_VALUE"""),52.5)</f>
        <v>52.5</v>
      </c>
      <c r="L36" s="31" t="str">
        <f>IFERROR(__xludf.DUMMYFUNCTION("""COMPUTED_VALUE"""),"RPG")</f>
        <v>RPG</v>
      </c>
      <c r="M36" s="31"/>
    </row>
    <row r="37">
      <c r="A37" s="17" t="str">
        <f>IFERROR(__xludf.DUMMYFUNCTION("""COMPUTED_VALUE"""),"Psychonauts 2")</f>
        <v>Psychonauts 2</v>
      </c>
      <c r="B37" s="20" t="str">
        <f>IFERROR(__xludf.DUMMYFUNCTION("""COMPUTED_VALUE"""),"Xbox / PC")</f>
        <v>Xbox / PC</v>
      </c>
      <c r="C37" s="21" t="str">
        <f>IFERROR(__xludf.DUMMYFUNCTION("""COMPUTED_VALUE"""),"Touch Controls")</f>
        <v>Touch Controls</v>
      </c>
      <c r="D37" s="21" t="str">
        <f>IFERROR(__xludf.DUMMYFUNCTION("""COMPUTED_VALUE"""),"Active")</f>
        <v>Active</v>
      </c>
      <c r="E37" s="23">
        <f>IFERROR(__xludf.DUMMYFUNCTION("""COMPUTED_VALUE"""),44433.0)</f>
        <v>44433</v>
      </c>
      <c r="F37" s="24"/>
      <c r="G37" s="27">
        <f>IFERROR(__xludf.DUMMYFUNCTION("""COMPUTED_VALUE"""),61.36666666666667)</f>
        <v>61.36666667</v>
      </c>
      <c r="H37" s="23">
        <f>IFERROR(__xludf.DUMMYFUNCTION("""COMPUTED_VALUE"""),44433.0)</f>
        <v>44433</v>
      </c>
      <c r="I37" s="27">
        <f>IFERROR(__xludf.DUMMYFUNCTION("""COMPUTED_VALUE"""),0.0)</f>
        <v>0</v>
      </c>
      <c r="J37" s="29">
        <f>IFERROR(__xludf.DUMMYFUNCTION("""COMPUTED_VALUE"""),89.0)</f>
        <v>89</v>
      </c>
      <c r="K37" s="29">
        <f>IFERROR(__xludf.DUMMYFUNCTION("""COMPUTED_VALUE"""),14.0)</f>
        <v>14</v>
      </c>
      <c r="L37" s="31" t="str">
        <f>IFERROR(__xludf.DUMMYFUNCTION("""COMPUTED_VALUE"""),"Platformer")</f>
        <v>Platformer</v>
      </c>
      <c r="M37" s="31"/>
    </row>
    <row r="38">
      <c r="A38" s="17" t="str">
        <f>IFERROR(__xludf.DUMMYFUNCTION("""COMPUTED_VALUE"""),"Quake II")</f>
        <v>Quake II</v>
      </c>
      <c r="B38" s="20" t="str">
        <f>IFERROR(__xludf.DUMMYFUNCTION("""COMPUTED_VALUE"""),"Xbox / PC")</f>
        <v>Xbox / PC</v>
      </c>
      <c r="C38" s="21" t="str">
        <f>IFERROR(__xludf.DUMMYFUNCTION("""COMPUTED_VALUE"""),"M+KB")</f>
        <v>M+KB</v>
      </c>
      <c r="D38" s="21" t="str">
        <f>IFERROR(__xludf.DUMMYFUNCTION("""COMPUTED_VALUE"""),"Active")</f>
        <v>Active</v>
      </c>
      <c r="E38" s="23">
        <f>IFERROR(__xludf.DUMMYFUNCTION("""COMPUTED_VALUE"""),44427.0)</f>
        <v>44427</v>
      </c>
      <c r="F38" s="24"/>
      <c r="G38" s="27">
        <f>IFERROR(__xludf.DUMMYFUNCTION("""COMPUTED_VALUE"""),61.56666666666666)</f>
        <v>61.56666667</v>
      </c>
      <c r="H38" s="23">
        <f>IFERROR(__xludf.DUMMYFUNCTION("""COMPUTED_VALUE"""),35773.0)</f>
        <v>35773</v>
      </c>
      <c r="I38" s="27">
        <f>IFERROR(__xludf.DUMMYFUNCTION("""COMPUTED_VALUE"""),23.694444444444443)</f>
        <v>23.69444444</v>
      </c>
      <c r="J38" s="29">
        <f>IFERROR(__xludf.DUMMYFUNCTION("""COMPUTED_VALUE"""),89.0)</f>
        <v>89</v>
      </c>
      <c r="K38" s="29">
        <f>IFERROR(__xludf.DUMMYFUNCTION("""COMPUTED_VALUE"""),8.0)</f>
        <v>8</v>
      </c>
      <c r="L38" s="31" t="str">
        <f>IFERROR(__xludf.DUMMYFUNCTION("""COMPUTED_VALUE"""),"Shooter")</f>
        <v>Shooter</v>
      </c>
      <c r="M38" s="31"/>
    </row>
    <row r="39">
      <c r="A39" s="17" t="str">
        <f>IFERROR(__xludf.DUMMYFUNCTION("""COMPUTED_VALUE"""),"Dead Space")</f>
        <v>Dead Space</v>
      </c>
      <c r="B39" s="20" t="str">
        <f>IFERROR(__xludf.DUMMYFUNCTION("""COMPUTED_VALUE"""),"Xbox / PC")</f>
        <v>Xbox / PC</v>
      </c>
      <c r="C39" s="21" t="str">
        <f>IFERROR(__xludf.DUMMYFUNCTION("""COMPUTED_VALUE"""),"Yes")</f>
        <v>Yes</v>
      </c>
      <c r="D39" s="21" t="str">
        <f>IFERROR(__xludf.DUMMYFUNCTION("""COMPUTED_VALUE"""),"Active")</f>
        <v>Active</v>
      </c>
      <c r="E39" s="23">
        <f>IFERROR(__xludf.DUMMYFUNCTION("""COMPUTED_VALUE"""),44145.0)</f>
        <v>44145</v>
      </c>
      <c r="F39" s="24"/>
      <c r="G39" s="27">
        <f>IFERROR(__xludf.DUMMYFUNCTION("""COMPUTED_VALUE"""),70.86666666666667)</f>
        <v>70.86666667</v>
      </c>
      <c r="H39" s="23">
        <f>IFERROR(__xludf.DUMMYFUNCTION("""COMPUTED_VALUE"""),39735.0)</f>
        <v>39735</v>
      </c>
      <c r="I39" s="27">
        <f>IFERROR(__xludf.DUMMYFUNCTION("""COMPUTED_VALUE"""),12.072222222222223)</f>
        <v>12.07222222</v>
      </c>
      <c r="J39" s="29">
        <f>IFERROR(__xludf.DUMMYFUNCTION("""COMPUTED_VALUE"""),89.0)</f>
        <v>89</v>
      </c>
      <c r="K39" s="29">
        <f>IFERROR(__xludf.DUMMYFUNCTION("""COMPUTED_VALUE"""),11.0)</f>
        <v>11</v>
      </c>
      <c r="L39" s="31" t="str">
        <f>IFERROR(__xludf.DUMMYFUNCTION("""COMPUTED_VALUE"""),"Action")</f>
        <v>Action</v>
      </c>
      <c r="M39" s="31"/>
    </row>
    <row r="40">
      <c r="A40" s="17" t="str">
        <f>IFERROR(__xludf.DUMMYFUNCTION("""COMPUTED_VALUE"""),"Peggle 2")</f>
        <v>Peggle 2</v>
      </c>
      <c r="B40" s="20" t="str">
        <f>IFERROR(__xludf.DUMMYFUNCTION("""COMPUTED_VALUE"""),"Xbox")</f>
        <v>Xbox</v>
      </c>
      <c r="C40" s="21" t="str">
        <f>IFERROR(__xludf.DUMMYFUNCTION("""COMPUTED_VALUE"""),"Touch Controls")</f>
        <v>Touch Controls</v>
      </c>
      <c r="D40" s="21" t="str">
        <f>IFERROR(__xludf.DUMMYFUNCTION("""COMPUTED_VALUE"""),"Active")</f>
        <v>Active</v>
      </c>
      <c r="E40" s="23">
        <f>IFERROR(__xludf.DUMMYFUNCTION("""COMPUTED_VALUE"""),44145.0)</f>
        <v>44145</v>
      </c>
      <c r="F40" s="24"/>
      <c r="G40" s="27">
        <f>IFERROR(__xludf.DUMMYFUNCTION("""COMPUTED_VALUE"""),70.86666666666667)</f>
        <v>70.86666667</v>
      </c>
      <c r="H40" s="23">
        <f>IFERROR(__xludf.DUMMYFUNCTION("""COMPUTED_VALUE"""),41529.0)</f>
        <v>41529</v>
      </c>
      <c r="I40" s="27">
        <f>IFERROR(__xludf.DUMMYFUNCTION("""COMPUTED_VALUE"""),7.161111111111111)</f>
        <v>7.161111111</v>
      </c>
      <c r="J40" s="29">
        <f>IFERROR(__xludf.DUMMYFUNCTION("""COMPUTED_VALUE"""),89.0)</f>
        <v>89</v>
      </c>
      <c r="K40" s="29">
        <f>IFERROR(__xludf.DUMMYFUNCTION("""COMPUTED_VALUE"""),6.0)</f>
        <v>6</v>
      </c>
      <c r="L40" s="31" t="str">
        <f>IFERROR(__xludf.DUMMYFUNCTION("""COMPUTED_VALUE"""),"Puzzle")</f>
        <v>Puzzle</v>
      </c>
      <c r="M40" s="31"/>
    </row>
    <row r="41">
      <c r="A41" s="17" t="str">
        <f>IFERROR(__xludf.DUMMYFUNCTION("""COMPUTED_VALUE"""),"Hollow Knight: Voidheart Edition")</f>
        <v>Hollow Knight: Voidheart Edition</v>
      </c>
      <c r="B41" s="20" t="str">
        <f>IFERROR(__xludf.DUMMYFUNCTION("""COMPUTED_VALUE"""),"Xbox / PC")</f>
        <v>Xbox / PC</v>
      </c>
      <c r="C41" s="21" t="str">
        <f>IFERROR(__xludf.DUMMYFUNCTION("""COMPUTED_VALUE"""),"Yes")</f>
        <v>Yes</v>
      </c>
      <c r="D41" s="21" t="str">
        <f>IFERROR(__xludf.DUMMYFUNCTION("""COMPUTED_VALUE"""),"Active")</f>
        <v>Active</v>
      </c>
      <c r="E41" s="23">
        <f>IFERROR(__xludf.DUMMYFUNCTION("""COMPUTED_VALUE"""),43625.0)</f>
        <v>43625</v>
      </c>
      <c r="F41" s="24"/>
      <c r="G41" s="27">
        <f>IFERROR(__xludf.DUMMYFUNCTION("""COMPUTED_VALUE"""),87.9)</f>
        <v>87.9</v>
      </c>
      <c r="H41" s="23">
        <f>IFERROR(__xludf.DUMMYFUNCTION("""COMPUTED_VALUE"""),42790.0)</f>
        <v>42790</v>
      </c>
      <c r="I41" s="27">
        <f>IFERROR(__xludf.DUMMYFUNCTION("""COMPUTED_VALUE"""),2.2916666666666665)</f>
        <v>2.291666667</v>
      </c>
      <c r="J41" s="29">
        <f>IFERROR(__xludf.DUMMYFUNCTION("""COMPUTED_VALUE"""),89.0)</f>
        <v>89</v>
      </c>
      <c r="K41" s="29">
        <f>IFERROR(__xludf.DUMMYFUNCTION("""COMPUTED_VALUE"""),25.0)</f>
        <v>25</v>
      </c>
      <c r="L41" s="31" t="str">
        <f>IFERROR(__xludf.DUMMYFUNCTION("""COMPUTED_VALUE"""),"Platformer")</f>
        <v>Platformer</v>
      </c>
      <c r="M41" s="31" t="str">
        <f>IFERROR(__xludf.DUMMYFUNCTION("""COMPUTED_VALUE"""),"FPS Boost")</f>
        <v>FPS Boost</v>
      </c>
    </row>
    <row r="42">
      <c r="A42" s="17" t="str">
        <f>IFERROR(__xludf.DUMMYFUNCTION("""COMPUTED_VALUE"""),"The Walking Dead: The Complete First Season")</f>
        <v>The Walking Dead: The Complete First Season</v>
      </c>
      <c r="B42" s="20" t="str">
        <f>IFERROR(__xludf.DUMMYFUNCTION("""COMPUTED_VALUE"""),"Xbox / PC")</f>
        <v>Xbox / PC</v>
      </c>
      <c r="C42" s="21" t="str">
        <f>IFERROR(__xludf.DUMMYFUNCTION("""COMPUTED_VALUE"""),"Touch Controls")</f>
        <v>Touch Controls</v>
      </c>
      <c r="D42" s="21" t="str">
        <f>IFERROR(__xludf.DUMMYFUNCTION("""COMPUTED_VALUE"""),"Active")</f>
        <v>Active</v>
      </c>
      <c r="E42" s="23">
        <f>IFERROR(__xludf.DUMMYFUNCTION("""COMPUTED_VALUE"""),43503.0)</f>
        <v>43503</v>
      </c>
      <c r="F42" s="24"/>
      <c r="G42" s="27">
        <f>IFERROR(__xludf.DUMMYFUNCTION("""COMPUTED_VALUE"""),91.96666666666667)</f>
        <v>91.96666667</v>
      </c>
      <c r="H42" s="23">
        <f>IFERROR(__xludf.DUMMYFUNCTION("""COMPUTED_VALUE"""),43074.0)</f>
        <v>43074</v>
      </c>
      <c r="I42" s="27">
        <f>IFERROR(__xludf.DUMMYFUNCTION("""COMPUTED_VALUE"""),1.1722222222222223)</f>
        <v>1.172222222</v>
      </c>
      <c r="J42" s="29">
        <f>IFERROR(__xludf.DUMMYFUNCTION("""COMPUTED_VALUE"""),89.0)</f>
        <v>89</v>
      </c>
      <c r="K42" s="29">
        <f>IFERROR(__xludf.DUMMYFUNCTION("""COMPUTED_VALUE"""),13.0)</f>
        <v>13</v>
      </c>
      <c r="L42" s="31" t="str">
        <f>IFERROR(__xludf.DUMMYFUNCTION("""COMPUTED_VALUE"""),"Shooter")</f>
        <v>Shooter</v>
      </c>
      <c r="M42" s="31"/>
    </row>
    <row r="43">
      <c r="A43" s="17" t="str">
        <f>IFERROR(__xludf.DUMMYFUNCTION("""COMPUTED_VALUE"""),"Fable II")</f>
        <v>Fable II</v>
      </c>
      <c r="B43" s="20" t="str">
        <f>IFERROR(__xludf.DUMMYFUNCTION("""COMPUTED_VALUE"""),"Xbox")</f>
        <v>Xbox</v>
      </c>
      <c r="C43" s="21" t="str">
        <f>IFERROR(__xludf.DUMMYFUNCTION("""COMPUTED_VALUE"""),"Touch Controls")</f>
        <v>Touch Controls</v>
      </c>
      <c r="D43" s="21" t="str">
        <f>IFERROR(__xludf.DUMMYFUNCTION("""COMPUTED_VALUE"""),"Active")</f>
        <v>Active</v>
      </c>
      <c r="E43" s="23">
        <f>IFERROR(__xludf.DUMMYFUNCTION("""COMPUTED_VALUE"""),42979.0)</f>
        <v>42979</v>
      </c>
      <c r="F43" s="24"/>
      <c r="G43" s="27">
        <f>IFERROR(__xludf.DUMMYFUNCTION("""COMPUTED_VALUE"""),109.16666666666666)</f>
        <v>109.1666667</v>
      </c>
      <c r="H43" s="23">
        <f>IFERROR(__xludf.DUMMYFUNCTION("""COMPUTED_VALUE"""),39742.0)</f>
        <v>39742</v>
      </c>
      <c r="I43" s="27">
        <f>IFERROR(__xludf.DUMMYFUNCTION("""COMPUTED_VALUE"""),8.86111111111111)</f>
        <v>8.861111111</v>
      </c>
      <c r="J43" s="29">
        <f>IFERROR(__xludf.DUMMYFUNCTION("""COMPUTED_VALUE"""),89.0)</f>
        <v>89</v>
      </c>
      <c r="K43" s="29">
        <f>IFERROR(__xludf.DUMMYFUNCTION("""COMPUTED_VALUE"""),13.0)</f>
        <v>13</v>
      </c>
      <c r="L43" s="31" t="str">
        <f>IFERROR(__xludf.DUMMYFUNCTION("""COMPUTED_VALUE"""),"Adventure")</f>
        <v>Adventure</v>
      </c>
      <c r="M43" s="31"/>
    </row>
    <row r="44">
      <c r="A44" s="17" t="str">
        <f>IFERROR(__xludf.DUMMYFUNCTION("""COMPUTED_VALUE"""),"It Takes Two")</f>
        <v>It Takes Two</v>
      </c>
      <c r="B44" s="20" t="str">
        <f>IFERROR(__xludf.DUMMYFUNCTION("""COMPUTED_VALUE"""),"Xbox / PC")</f>
        <v>Xbox / PC</v>
      </c>
      <c r="C44" s="21" t="str">
        <f>IFERROR(__xludf.DUMMYFUNCTION("""COMPUTED_VALUE"""),"Yes")</f>
        <v>Yes</v>
      </c>
      <c r="D44" s="21" t="str">
        <f>IFERROR(__xludf.DUMMYFUNCTION("""COMPUTED_VALUE"""),"Active")</f>
        <v>Active</v>
      </c>
      <c r="E44" s="23">
        <f>IFERROR(__xludf.DUMMYFUNCTION("""COMPUTED_VALUE"""),44504.0)</f>
        <v>44504</v>
      </c>
      <c r="F44" s="24"/>
      <c r="G44" s="27">
        <f>IFERROR(__xludf.DUMMYFUNCTION("""COMPUTED_VALUE"""),59.06666666666667)</f>
        <v>59.06666667</v>
      </c>
      <c r="H44" s="23">
        <f>IFERROR(__xludf.DUMMYFUNCTION("""COMPUTED_VALUE"""),44281.0)</f>
        <v>44281</v>
      </c>
      <c r="I44" s="27">
        <f>IFERROR(__xludf.DUMMYFUNCTION("""COMPUTED_VALUE"""),0.6055555555555555)</f>
        <v>0.6055555556</v>
      </c>
      <c r="J44" s="29">
        <f>IFERROR(__xludf.DUMMYFUNCTION("""COMPUTED_VALUE"""),88.5)</f>
        <v>88.5</v>
      </c>
      <c r="K44" s="29">
        <f>IFERROR(__xludf.DUMMYFUNCTION("""COMPUTED_VALUE"""),12.0)</f>
        <v>12</v>
      </c>
      <c r="L44" s="31" t="str">
        <f>IFERROR(__xludf.DUMMYFUNCTION("""COMPUTED_VALUE"""),"Platformer")</f>
        <v>Platformer</v>
      </c>
      <c r="M44" s="31" t="str">
        <f>IFERROR(__xludf.DUMMYFUNCTION("""COMPUTED_VALUE"""),"Optimized")</f>
        <v>Optimized</v>
      </c>
    </row>
    <row r="45">
      <c r="A45" s="17" t="str">
        <f>IFERROR(__xludf.DUMMYFUNCTION("""COMPUTED_VALUE"""),"Denshattack!")</f>
        <v>Denshattack!</v>
      </c>
      <c r="B45" s="20" t="str">
        <f>IFERROR(__xludf.DUMMYFUNCTION("""COMPUTED_VALUE"""),"Xbox / PC")</f>
        <v>Xbox / PC</v>
      </c>
      <c r="C45" s="21" t="str">
        <f>IFERROR(__xludf.DUMMYFUNCTION("""COMPUTED_VALUE"""),"Yes")</f>
        <v>Yes</v>
      </c>
      <c r="D45" s="21" t="str">
        <f>IFERROR(__xludf.DUMMYFUNCTION("""COMPUTED_VALUE"""),"Active")</f>
        <v>Active</v>
      </c>
      <c r="E45" s="23">
        <f>IFERROR(__xludf.DUMMYFUNCTION("""COMPUTED_VALUE"""),46218.0)</f>
        <v>46218</v>
      </c>
      <c r="F45" s="24"/>
      <c r="G45" s="27">
        <f>IFERROR(__xludf.DUMMYFUNCTION("""COMPUTED_VALUE"""),2.7)</f>
        <v>2.7</v>
      </c>
      <c r="H45" s="23">
        <f>IFERROR(__xludf.DUMMYFUNCTION("""COMPUTED_VALUE"""),45853.0)</f>
        <v>45853</v>
      </c>
      <c r="I45" s="27">
        <f>IFERROR(__xludf.DUMMYFUNCTION("""COMPUTED_VALUE"""),1.0)</f>
        <v>1</v>
      </c>
      <c r="J45" s="29">
        <f>IFERROR(__xludf.DUMMYFUNCTION("""COMPUTED_VALUE"""),88.0)</f>
        <v>88</v>
      </c>
      <c r="K45" s="29">
        <f>IFERROR(__xludf.DUMMYFUNCTION("""COMPUTED_VALUE"""),9.0)</f>
        <v>9</v>
      </c>
      <c r="L45" s="31" t="str">
        <f>IFERROR(__xludf.DUMMYFUNCTION("""COMPUTED_VALUE"""),"Action-Adventure")</f>
        <v>Action-Adventure</v>
      </c>
      <c r="M45" s="31" t="str">
        <f>IFERROR(__xludf.DUMMYFUNCTION("""COMPUTED_VALUE"""),"Exclusive")</f>
        <v>Exclusive</v>
      </c>
    </row>
    <row r="46">
      <c r="A46" s="17" t="str">
        <f>IFERROR(__xludf.DUMMYFUNCTION("""COMPUTED_VALUE"""),"Kingdom Come: Deliverance II")</f>
        <v>Kingdom Come: Deliverance II</v>
      </c>
      <c r="B46" s="20" t="str">
        <f>IFERROR(__xludf.DUMMYFUNCTION("""COMPUTED_VALUE"""),"Xbox / PC")</f>
        <v>Xbox / PC</v>
      </c>
      <c r="C46" s="21" t="str">
        <f>IFERROR(__xludf.DUMMYFUNCTION("""COMPUTED_VALUE"""),"Yes")</f>
        <v>Yes</v>
      </c>
      <c r="D46" s="21" t="str">
        <f>IFERROR(__xludf.DUMMYFUNCTION("""COMPUTED_VALUE"""),"Active")</f>
        <v>Active</v>
      </c>
      <c r="E46" s="23">
        <f>IFERROR(__xludf.DUMMYFUNCTION("""COMPUTED_VALUE"""),46084.0)</f>
        <v>46084</v>
      </c>
      <c r="F46" s="24"/>
      <c r="G46" s="27">
        <f>IFERROR(__xludf.DUMMYFUNCTION("""COMPUTED_VALUE"""),7.1)</f>
        <v>7.1</v>
      </c>
      <c r="H46" s="23">
        <f>IFERROR(__xludf.DUMMYFUNCTION("""COMPUTED_VALUE"""),45699.0)</f>
        <v>45699</v>
      </c>
      <c r="I46" s="27">
        <f>IFERROR(__xludf.DUMMYFUNCTION("""COMPUTED_VALUE"""),1.0611111111111111)</f>
        <v>1.061111111</v>
      </c>
      <c r="J46" s="29">
        <f>IFERROR(__xludf.DUMMYFUNCTION("""COMPUTED_VALUE"""),88.0)</f>
        <v>88</v>
      </c>
      <c r="K46" s="29">
        <f>IFERROR(__xludf.DUMMYFUNCTION("""COMPUTED_VALUE"""),40.0)</f>
        <v>40</v>
      </c>
      <c r="L46" s="31" t="str">
        <f>IFERROR(__xludf.DUMMYFUNCTION("""COMPUTED_VALUE"""),"Action-Adventure")</f>
        <v>Action-Adventure</v>
      </c>
      <c r="M46" s="31" t="str">
        <f>IFERROR(__xludf.DUMMYFUNCTION("""COMPUTED_VALUE"""),"Exclusive")</f>
        <v>Exclusive</v>
      </c>
    </row>
    <row r="47">
      <c r="A47" s="17" t="str">
        <f>IFERROR(__xludf.DUMMYFUNCTION("""COMPUTED_VALUE"""),"Halls of Torment")</f>
        <v>Halls of Torment</v>
      </c>
      <c r="B47" s="20" t="str">
        <f>IFERROR(__xludf.DUMMYFUNCTION("""COMPUTED_VALUE"""),"Xbox / PC")</f>
        <v>Xbox / PC</v>
      </c>
      <c r="C47" s="21" t="str">
        <f>IFERROR(__xludf.DUMMYFUNCTION("""COMPUTED_VALUE"""),"Yes")</f>
        <v>Yes</v>
      </c>
      <c r="D47" s="21" t="str">
        <f>IFERROR(__xludf.DUMMYFUNCTION("""COMPUTED_VALUE"""),"Active")</f>
        <v>Active</v>
      </c>
      <c r="E47" s="23">
        <f>IFERROR(__xludf.DUMMYFUNCTION("""COMPUTED_VALUE"""),45958.0)</f>
        <v>45958</v>
      </c>
      <c r="F47" s="24"/>
      <c r="G47" s="27">
        <f>IFERROR(__xludf.DUMMYFUNCTION("""COMPUTED_VALUE"""),11.266666666666666)</f>
        <v>11.26666667</v>
      </c>
      <c r="H47" s="23">
        <f>IFERROR(__xludf.DUMMYFUNCTION("""COMPUTED_VALUE"""),45559.0)</f>
        <v>45559</v>
      </c>
      <c r="I47" s="27">
        <f>IFERROR(__xludf.DUMMYFUNCTION("""COMPUTED_VALUE"""),1.0944444444444446)</f>
        <v>1.094444444</v>
      </c>
      <c r="J47" s="29">
        <f>IFERROR(__xludf.DUMMYFUNCTION("""COMPUTED_VALUE"""),88.0)</f>
        <v>88</v>
      </c>
      <c r="K47" s="29">
        <f>IFERROR(__xludf.DUMMYFUNCTION("""COMPUTED_VALUE"""),12.0)</f>
        <v>12</v>
      </c>
      <c r="L47" s="31" t="str">
        <f>IFERROR(__xludf.DUMMYFUNCTION("""COMPUTED_VALUE"""),"Shoot-'Em-Up")</f>
        <v>Shoot-'Em-Up</v>
      </c>
      <c r="M47" s="31" t="str">
        <f>IFERROR(__xludf.DUMMYFUNCTION("""COMPUTED_VALUE"""),"Exclusive")</f>
        <v>Exclusive</v>
      </c>
    </row>
    <row r="48">
      <c r="A48" s="17" t="str">
        <f>IFERROR(__xludf.DUMMYFUNCTION("""COMPUTED_VALUE"""),"Assassin's Creed IV Black Flag")</f>
        <v>Assassin's Creed IV Black Flag</v>
      </c>
      <c r="B48" s="20" t="str">
        <f>IFERROR(__xludf.DUMMYFUNCTION("""COMPUTED_VALUE"""),"Xbox / PC")</f>
        <v>Xbox / PC</v>
      </c>
      <c r="C48" s="21" t="str">
        <f>IFERROR(__xludf.DUMMYFUNCTION("""COMPUTED_VALUE"""),"Yes")</f>
        <v>Yes</v>
      </c>
      <c r="D48" s="21" t="str">
        <f>IFERROR(__xludf.DUMMYFUNCTION("""COMPUTED_VALUE"""),"Active")</f>
        <v>Active</v>
      </c>
      <c r="E48" s="23">
        <f>IFERROR(__xludf.DUMMYFUNCTION("""COMPUTED_VALUE"""),45931.0)</f>
        <v>45931</v>
      </c>
      <c r="F48" s="24"/>
      <c r="G48" s="27">
        <f>IFERROR(__xludf.DUMMYFUNCTION("""COMPUTED_VALUE"""),12.166666666666666)</f>
        <v>12.16666667</v>
      </c>
      <c r="H48" s="23">
        <f>IFERROR(__xludf.DUMMYFUNCTION("""COMPUTED_VALUE"""),41576.0)</f>
        <v>41576</v>
      </c>
      <c r="I48" s="27">
        <f>IFERROR(__xludf.DUMMYFUNCTION("""COMPUTED_VALUE"""),11.922222222222222)</f>
        <v>11.92222222</v>
      </c>
      <c r="J48" s="29">
        <f>IFERROR(__xludf.DUMMYFUNCTION("""COMPUTED_VALUE"""),88.0)</f>
        <v>88</v>
      </c>
      <c r="K48" s="29">
        <f>IFERROR(__xludf.DUMMYFUNCTION("""COMPUTED_VALUE"""),24.0)</f>
        <v>24</v>
      </c>
      <c r="L48" s="31" t="str">
        <f>IFERROR(__xludf.DUMMYFUNCTION("""COMPUTED_VALUE"""),"Action-Adventure")</f>
        <v>Action-Adventure</v>
      </c>
      <c r="M48" s="31"/>
    </row>
    <row r="49">
      <c r="A49" s="17" t="str">
        <f>IFERROR(__xludf.DUMMYFUNCTION("""COMPUTED_VALUE"""),"Far Cry 3")</f>
        <v>Far Cry 3</v>
      </c>
      <c r="B49" s="20" t="str">
        <f>IFERROR(__xludf.DUMMYFUNCTION("""COMPUTED_VALUE"""),"Xbox / PC")</f>
        <v>Xbox / PC</v>
      </c>
      <c r="C49" s="21" t="str">
        <f>IFERROR(__xludf.DUMMYFUNCTION("""COMPUTED_VALUE"""),"Yes")</f>
        <v>Yes</v>
      </c>
      <c r="D49" s="21" t="str">
        <f>IFERROR(__xludf.DUMMYFUNCTION("""COMPUTED_VALUE"""),"Active")</f>
        <v>Active</v>
      </c>
      <c r="E49" s="23">
        <f>IFERROR(__xludf.DUMMYFUNCTION("""COMPUTED_VALUE"""),45931.0)</f>
        <v>45931</v>
      </c>
      <c r="F49" s="24"/>
      <c r="G49" s="27">
        <f>IFERROR(__xludf.DUMMYFUNCTION("""COMPUTED_VALUE"""),12.166666666666666)</f>
        <v>12.16666667</v>
      </c>
      <c r="H49" s="23">
        <f>IFERROR(__xludf.DUMMYFUNCTION("""COMPUTED_VALUE"""),41247.0)</f>
        <v>41247</v>
      </c>
      <c r="I49" s="27">
        <f>IFERROR(__xludf.DUMMYFUNCTION("""COMPUTED_VALUE"""),12.825)</f>
        <v>12.825</v>
      </c>
      <c r="J49" s="29">
        <f>IFERROR(__xludf.DUMMYFUNCTION("""COMPUTED_VALUE"""),88.0)</f>
        <v>88</v>
      </c>
      <c r="K49" s="29">
        <f>IFERROR(__xludf.DUMMYFUNCTION("""COMPUTED_VALUE"""),16.0)</f>
        <v>16</v>
      </c>
      <c r="L49" s="31" t="str">
        <f>IFERROR(__xludf.DUMMYFUNCTION("""COMPUTED_VALUE"""),"Action-Adventure")</f>
        <v>Action-Adventure</v>
      </c>
      <c r="M49" s="31"/>
    </row>
    <row r="50">
      <c r="A50" s="17" t="str">
        <f>IFERROR(__xludf.DUMMYFUNCTION("""COMPUTED_VALUE"""),"Abiotic Factor")</f>
        <v>Abiotic Factor</v>
      </c>
      <c r="B50" s="20" t="str">
        <f>IFERROR(__xludf.DUMMYFUNCTION("""COMPUTED_VALUE"""),"Xbox / PC")</f>
        <v>Xbox / PC</v>
      </c>
      <c r="C50" s="21" t="str">
        <f>IFERROR(__xludf.DUMMYFUNCTION("""COMPUTED_VALUE"""),"Yes")</f>
        <v>Yes</v>
      </c>
      <c r="D50" s="21" t="str">
        <f>IFERROR(__xludf.DUMMYFUNCTION("""COMPUTED_VALUE"""),"Active")</f>
        <v>Active</v>
      </c>
      <c r="E50" s="23">
        <f>IFERROR(__xludf.DUMMYFUNCTION("""COMPUTED_VALUE"""),45860.0)</f>
        <v>45860</v>
      </c>
      <c r="F50" s="24"/>
      <c r="G50" s="27">
        <f>IFERROR(__xludf.DUMMYFUNCTION("""COMPUTED_VALUE"""),14.466666666666665)</f>
        <v>14.46666667</v>
      </c>
      <c r="H50" s="23">
        <f>IFERROR(__xludf.DUMMYFUNCTION("""COMPUTED_VALUE"""),45860.0)</f>
        <v>45860</v>
      </c>
      <c r="I50" s="27">
        <f>IFERROR(__xludf.DUMMYFUNCTION("""COMPUTED_VALUE"""),0.0)</f>
        <v>0</v>
      </c>
      <c r="J50" s="29">
        <f>IFERROR(__xludf.DUMMYFUNCTION("""COMPUTED_VALUE"""),88.0)</f>
        <v>88</v>
      </c>
      <c r="K50" s="29">
        <f>IFERROR(__xludf.DUMMYFUNCTION("""COMPUTED_VALUE"""),33.0)</f>
        <v>33</v>
      </c>
      <c r="L50" s="31" t="str">
        <f>IFERROR(__xludf.DUMMYFUNCTION("""COMPUTED_VALUE"""),"Survival")</f>
        <v>Survival</v>
      </c>
      <c r="M50" s="31" t="str">
        <f>IFERROR(__xludf.DUMMYFUNCTION("""COMPUTED_VALUE"""),"Exclusive")</f>
        <v>Exclusive</v>
      </c>
    </row>
    <row r="51">
      <c r="A51" s="17" t="str">
        <f>IFERROR(__xludf.DUMMYFUNCTION("""COMPUTED_VALUE"""),"Quest for Glory: So You Want to Be a Hero")</f>
        <v>Quest for Glory: So You Want to Be a Hero</v>
      </c>
      <c r="B51" s="20" t="str">
        <f>IFERROR(__xludf.DUMMYFUNCTION("""COMPUTED_VALUE"""),"Xbox / PC")</f>
        <v>Xbox / PC</v>
      </c>
      <c r="C51" s="21" t="str">
        <f>IFERROR(__xludf.DUMMYFUNCTION("""COMPUTED_VALUE"""),"Yes")</f>
        <v>Yes</v>
      </c>
      <c r="D51" s="21" t="str">
        <f>IFERROR(__xludf.DUMMYFUNCTION("""COMPUTED_VALUE"""),"Active")</f>
        <v>Active</v>
      </c>
      <c r="E51" s="23">
        <f>IFERROR(__xludf.DUMMYFUNCTION("""COMPUTED_VALUE"""),45798.0)</f>
        <v>45798</v>
      </c>
      <c r="F51" s="24"/>
      <c r="G51" s="27">
        <f>IFERROR(__xludf.DUMMYFUNCTION("""COMPUTED_VALUE"""),16.5)</f>
        <v>16.5</v>
      </c>
      <c r="H51" s="23">
        <f>IFERROR(__xludf.DUMMYFUNCTION("""COMPUTED_VALUE"""),32782.0)</f>
        <v>32782</v>
      </c>
      <c r="I51" s="27">
        <f>IFERROR(__xludf.DUMMYFUNCTION("""COMPUTED_VALUE"""),35.638888888888886)</f>
        <v>35.63888889</v>
      </c>
      <c r="J51" s="29">
        <f>IFERROR(__xludf.DUMMYFUNCTION("""COMPUTED_VALUE"""),88.0)</f>
        <v>88</v>
      </c>
      <c r="K51" s="29">
        <f>IFERROR(__xludf.DUMMYFUNCTION("""COMPUTED_VALUE"""),7.0)</f>
        <v>7</v>
      </c>
      <c r="L51" s="31" t="str">
        <f>IFERROR(__xludf.DUMMYFUNCTION("""COMPUTED_VALUE"""),"Action‑Adventure")</f>
        <v>Action‑Adventure</v>
      </c>
      <c r="M51" s="31"/>
    </row>
    <row r="52">
      <c r="A52" s="17" t="str">
        <f>IFERROR(__xludf.DUMMYFUNCTION("""COMPUTED_VALUE"""),"Dead Space (2023)")</f>
        <v>Dead Space (2023)</v>
      </c>
      <c r="B52" s="20" t="str">
        <f>IFERROR(__xludf.DUMMYFUNCTION("""COMPUTED_VALUE"""),"Xbox / PC")</f>
        <v>Xbox / PC</v>
      </c>
      <c r="C52" s="21" t="str">
        <f>IFERROR(__xludf.DUMMYFUNCTION("""COMPUTED_VALUE"""),"Yes")</f>
        <v>Yes</v>
      </c>
      <c r="D52" s="21" t="str">
        <f>IFERROR(__xludf.DUMMYFUNCTION("""COMPUTED_VALUE"""),"Active")</f>
        <v>Active</v>
      </c>
      <c r="E52" s="23">
        <f>IFERROR(__xludf.DUMMYFUNCTION("""COMPUTED_VALUE"""),45225.0)</f>
        <v>45225</v>
      </c>
      <c r="F52" s="24"/>
      <c r="G52" s="27">
        <f>IFERROR(__xludf.DUMMYFUNCTION("""COMPUTED_VALUE"""),35.333333333333336)</f>
        <v>35.33333333</v>
      </c>
      <c r="H52" s="23">
        <f>IFERROR(__xludf.DUMMYFUNCTION("""COMPUTED_VALUE"""),44953.0)</f>
        <v>44953</v>
      </c>
      <c r="I52" s="27">
        <f>IFERROR(__xludf.DUMMYFUNCTION("""COMPUTED_VALUE"""),0.7472222222222222)</f>
        <v>0.7472222222</v>
      </c>
      <c r="J52" s="29">
        <f>IFERROR(__xludf.DUMMYFUNCTION("""COMPUTED_VALUE"""),88.0)</f>
        <v>88</v>
      </c>
      <c r="K52" s="29">
        <f>IFERROR(__xludf.DUMMYFUNCTION("""COMPUTED_VALUE"""),12.0)</f>
        <v>12</v>
      </c>
      <c r="L52" s="31" t="str">
        <f>IFERROR(__xludf.DUMMYFUNCTION("""COMPUTED_VALUE"""),"Shooter")</f>
        <v>Shooter</v>
      </c>
      <c r="M52" s="31" t="str">
        <f>IFERROR(__xludf.DUMMYFUNCTION("""COMPUTED_VALUE"""),"Exclusive")</f>
        <v>Exclusive</v>
      </c>
    </row>
    <row r="53">
      <c r="A53" s="17" t="str">
        <f>IFERROR(__xludf.DUMMYFUNCTION("""COMPUTED_VALUE"""),"Mass Effect: Legendary Edition")</f>
        <v>Mass Effect: Legendary Edition</v>
      </c>
      <c r="B53" s="20" t="str">
        <f>IFERROR(__xludf.DUMMYFUNCTION("""COMPUTED_VALUE"""),"Xbox / PC")</f>
        <v>Xbox / PC</v>
      </c>
      <c r="C53" s="21" t="str">
        <f>IFERROR(__xludf.DUMMYFUNCTION("""COMPUTED_VALUE"""),"Yes")</f>
        <v>Yes</v>
      </c>
      <c r="D53" s="21" t="str">
        <f>IFERROR(__xludf.DUMMYFUNCTION("""COMPUTED_VALUE"""),"Active")</f>
        <v>Active</v>
      </c>
      <c r="E53" s="23">
        <f>IFERROR(__xludf.DUMMYFUNCTION("""COMPUTED_VALUE"""),44567.0)</f>
        <v>44567</v>
      </c>
      <c r="F53" s="24"/>
      <c r="G53" s="27">
        <f>IFERROR(__xludf.DUMMYFUNCTION("""COMPUTED_VALUE"""),57.0)</f>
        <v>57</v>
      </c>
      <c r="H53" s="23">
        <f>IFERROR(__xludf.DUMMYFUNCTION("""COMPUTED_VALUE"""),44330.0)</f>
        <v>44330</v>
      </c>
      <c r="I53" s="27">
        <f>IFERROR(__xludf.DUMMYFUNCTION("""COMPUTED_VALUE"""),0.6444444444444445)</f>
        <v>0.6444444444</v>
      </c>
      <c r="J53" s="29">
        <f>IFERROR(__xludf.DUMMYFUNCTION("""COMPUTED_VALUE"""),88.0)</f>
        <v>88</v>
      </c>
      <c r="K53" s="29">
        <f>IFERROR(__xludf.DUMMYFUNCTION("""COMPUTED_VALUE"""),106.0)</f>
        <v>106</v>
      </c>
      <c r="L53" s="31" t="str">
        <f>IFERROR(__xludf.DUMMYFUNCTION("""COMPUTED_VALUE"""),"Shooter")</f>
        <v>Shooter</v>
      </c>
      <c r="M53" s="31"/>
    </row>
    <row r="54">
      <c r="A54" s="17" t="str">
        <f>IFERROR(__xludf.DUMMYFUNCTION("""COMPUTED_VALUE"""),"Crimson Skies: High Road to Revenge")</f>
        <v>Crimson Skies: High Road to Revenge</v>
      </c>
      <c r="B54" s="20" t="str">
        <f>IFERROR(__xludf.DUMMYFUNCTION("""COMPUTED_VALUE"""),"Xbox / PC")</f>
        <v>Xbox / PC</v>
      </c>
      <c r="C54" s="21" t="str">
        <f>IFERROR(__xludf.DUMMYFUNCTION("""COMPUTED_VALUE"""),"Touch Controls")</f>
        <v>Touch Controls</v>
      </c>
      <c r="D54" s="21" t="str">
        <f>IFERROR(__xludf.DUMMYFUNCTION("""COMPUTED_VALUE"""),"Active")</f>
        <v>Active</v>
      </c>
      <c r="E54" s="23">
        <f>IFERROR(__xludf.DUMMYFUNCTION("""COMPUTED_VALUE"""),44403.0)</f>
        <v>44403</v>
      </c>
      <c r="F54" s="24"/>
      <c r="G54" s="27">
        <f>IFERROR(__xludf.DUMMYFUNCTION("""COMPUTED_VALUE"""),62.333333333333336)</f>
        <v>62.33333333</v>
      </c>
      <c r="H54" s="23">
        <f>IFERROR(__xludf.DUMMYFUNCTION("""COMPUTED_VALUE"""),37915.0)</f>
        <v>37915</v>
      </c>
      <c r="I54" s="27">
        <f>IFERROR(__xludf.DUMMYFUNCTION("""COMPUTED_VALUE"""),17.76388888888889)</f>
        <v>17.76388889</v>
      </c>
      <c r="J54" s="29">
        <f>IFERROR(__xludf.DUMMYFUNCTION("""COMPUTED_VALUE"""),88.0)</f>
        <v>88</v>
      </c>
      <c r="K54" s="29">
        <f>IFERROR(__xludf.DUMMYFUNCTION("""COMPUTED_VALUE"""),8.0)</f>
        <v>8</v>
      </c>
      <c r="L54" s="31" t="str">
        <f>IFERROR(__xludf.DUMMYFUNCTION("""COMPUTED_VALUE"""),"Flight")</f>
        <v>Flight</v>
      </c>
      <c r="M54" s="31"/>
    </row>
    <row r="55">
      <c r="A55" s="17" t="str">
        <f>IFERROR(__xludf.DUMMYFUNCTION("""COMPUTED_VALUE"""),"DOOM 3")</f>
        <v>DOOM 3</v>
      </c>
      <c r="B55" s="20" t="str">
        <f>IFERROR(__xludf.DUMMYFUNCTION("""COMPUTED_VALUE"""),"Xbox / PC")</f>
        <v>Xbox / PC</v>
      </c>
      <c r="C55" s="21" t="str">
        <f>IFERROR(__xludf.DUMMYFUNCTION("""COMPUTED_VALUE"""),"Yes")</f>
        <v>Yes</v>
      </c>
      <c r="D55" s="21" t="str">
        <f>IFERROR(__xludf.DUMMYFUNCTION("""COMPUTED_VALUE"""),"Active")</f>
        <v>Active</v>
      </c>
      <c r="E55" s="23">
        <f>IFERROR(__xludf.DUMMYFUNCTION("""COMPUTED_VALUE"""),44267.0)</f>
        <v>44267</v>
      </c>
      <c r="F55" s="24"/>
      <c r="G55" s="27">
        <f>IFERROR(__xludf.DUMMYFUNCTION("""COMPUTED_VALUE"""),66.8)</f>
        <v>66.8</v>
      </c>
      <c r="H55" s="23">
        <f>IFERROR(__xludf.DUMMYFUNCTION("""COMPUTED_VALUE"""),38202.0)</f>
        <v>38202</v>
      </c>
      <c r="I55" s="27">
        <f>IFERROR(__xludf.DUMMYFUNCTION("""COMPUTED_VALUE"""),16.608333333333334)</f>
        <v>16.60833333</v>
      </c>
      <c r="J55" s="29">
        <f>IFERROR(__xludf.DUMMYFUNCTION("""COMPUTED_VALUE"""),88.0)</f>
        <v>88</v>
      </c>
      <c r="K55" s="29">
        <f>IFERROR(__xludf.DUMMYFUNCTION("""COMPUTED_VALUE"""),11.0)</f>
        <v>11</v>
      </c>
      <c r="L55" s="31" t="str">
        <f>IFERROR(__xludf.DUMMYFUNCTION("""COMPUTED_VALUE"""),"Shooter")</f>
        <v>Shooter</v>
      </c>
      <c r="M55" s="31"/>
    </row>
    <row r="56">
      <c r="A56" s="17" t="str">
        <f>IFERROR(__xludf.DUMMYFUNCTION("""COMPUTED_VALUE"""),"The Elder Scrolls III: Morrowind")</f>
        <v>The Elder Scrolls III: Morrowind</v>
      </c>
      <c r="B56" s="20" t="str">
        <f>IFERROR(__xludf.DUMMYFUNCTION("""COMPUTED_VALUE"""),"Xbox / PC")</f>
        <v>Xbox / PC</v>
      </c>
      <c r="C56" s="21" t="str">
        <f>IFERROR(__xludf.DUMMYFUNCTION("""COMPUTED_VALUE"""),"Yes")</f>
        <v>Yes</v>
      </c>
      <c r="D56" s="21" t="str">
        <f>IFERROR(__xludf.DUMMYFUNCTION("""COMPUTED_VALUE"""),"Active")</f>
        <v>Active</v>
      </c>
      <c r="E56" s="23">
        <f>IFERROR(__xludf.DUMMYFUNCTION("""COMPUTED_VALUE"""),44267.0)</f>
        <v>44267</v>
      </c>
      <c r="F56" s="24"/>
      <c r="G56" s="27">
        <f>IFERROR(__xludf.DUMMYFUNCTION("""COMPUTED_VALUE"""),66.8)</f>
        <v>66.8</v>
      </c>
      <c r="H56" s="23">
        <f>IFERROR(__xludf.DUMMYFUNCTION("""COMPUTED_VALUE"""),37377.0)</f>
        <v>37377</v>
      </c>
      <c r="I56" s="27">
        <f>IFERROR(__xludf.DUMMYFUNCTION("""COMPUTED_VALUE"""),18.863888888888887)</f>
        <v>18.86388889</v>
      </c>
      <c r="J56" s="29">
        <f>IFERROR(__xludf.DUMMYFUNCTION("""COMPUTED_VALUE"""),88.0)</f>
        <v>88</v>
      </c>
      <c r="K56" s="29">
        <f>IFERROR(__xludf.DUMMYFUNCTION("""COMPUTED_VALUE"""),44.5)</f>
        <v>44.5</v>
      </c>
      <c r="L56" s="31" t="str">
        <f>IFERROR(__xludf.DUMMYFUNCTION("""COMPUTED_VALUE"""),"RPG")</f>
        <v>RPG</v>
      </c>
      <c r="M56" s="31"/>
    </row>
    <row r="57">
      <c r="A57" s="17" t="str">
        <f>IFERROR(__xludf.DUMMYFUNCTION("""COMPUTED_VALUE"""),"Pillars of Eternity II: Deadfire - Ultimate Edition")</f>
        <v>Pillars of Eternity II: Deadfire - Ultimate Edition</v>
      </c>
      <c r="B57" s="20" t="str">
        <f>IFERROR(__xludf.DUMMYFUNCTION("""COMPUTED_VALUE"""),"Xbox / PC")</f>
        <v>Xbox / PC</v>
      </c>
      <c r="C57" s="21" t="str">
        <f>IFERROR(__xludf.DUMMYFUNCTION("""COMPUTED_VALUE"""),"Touch Controls")</f>
        <v>Touch Controls</v>
      </c>
      <c r="D57" s="21" t="str">
        <f>IFERROR(__xludf.DUMMYFUNCTION("""COMPUTED_VALUE"""),"Active")</f>
        <v>Active</v>
      </c>
      <c r="E57" s="23">
        <f>IFERROR(__xludf.DUMMYFUNCTION("""COMPUTED_VALUE"""),44245.0)</f>
        <v>44245</v>
      </c>
      <c r="F57" s="24"/>
      <c r="G57" s="27">
        <f>IFERROR(__xludf.DUMMYFUNCTION("""COMPUTED_VALUE"""),67.60000000000001)</f>
        <v>67.6</v>
      </c>
      <c r="H57" s="23">
        <f>IFERROR(__xludf.DUMMYFUNCTION("""COMPUTED_VALUE"""),43228.0)</f>
        <v>43228</v>
      </c>
      <c r="I57" s="27">
        <f>IFERROR(__xludf.DUMMYFUNCTION("""COMPUTED_VALUE"""),2.7777777777777777)</f>
        <v>2.777777778</v>
      </c>
      <c r="J57" s="29">
        <f>IFERROR(__xludf.DUMMYFUNCTION("""COMPUTED_VALUE"""),88.0)</f>
        <v>88</v>
      </c>
      <c r="K57" s="29">
        <f>IFERROR(__xludf.DUMMYFUNCTION("""COMPUTED_VALUE"""),42.0)</f>
        <v>42</v>
      </c>
      <c r="L57" s="31" t="str">
        <f>IFERROR(__xludf.DUMMYFUNCTION("""COMPUTED_VALUE"""),"RPG")</f>
        <v>RPG</v>
      </c>
      <c r="M57" s="31"/>
    </row>
    <row r="58">
      <c r="A58" s="17" t="str">
        <f>IFERROR(__xludf.DUMMYFUNCTION("""COMPUTED_VALUE"""),"DOOM Eternal")</f>
        <v>DOOM Eternal</v>
      </c>
      <c r="B58" s="20" t="str">
        <f>IFERROR(__xludf.DUMMYFUNCTION("""COMPUTED_VALUE"""),"Xbox / PC")</f>
        <v>Xbox / PC</v>
      </c>
      <c r="C58" s="21" t="str">
        <f>IFERROR(__xludf.DUMMYFUNCTION("""COMPUTED_VALUE"""),"Yes")</f>
        <v>Yes</v>
      </c>
      <c r="D58" s="21" t="str">
        <f>IFERROR(__xludf.DUMMYFUNCTION("""COMPUTED_VALUE"""),"Active")</f>
        <v>Active</v>
      </c>
      <c r="E58" s="23">
        <f>IFERROR(__xludf.DUMMYFUNCTION("""COMPUTED_VALUE"""),44105.0)</f>
        <v>44105</v>
      </c>
      <c r="F58" s="24"/>
      <c r="G58" s="27">
        <f>IFERROR(__xludf.DUMMYFUNCTION("""COMPUTED_VALUE"""),72.16666666666667)</f>
        <v>72.16666667</v>
      </c>
      <c r="H58" s="23">
        <f>IFERROR(__xludf.DUMMYFUNCTION("""COMPUTED_VALUE"""),43910.0)</f>
        <v>43910</v>
      </c>
      <c r="I58" s="27">
        <f>IFERROR(__xludf.DUMMYFUNCTION("""COMPUTED_VALUE"""),0.5305555555555556)</f>
        <v>0.5305555556</v>
      </c>
      <c r="J58" s="29">
        <f>IFERROR(__xludf.DUMMYFUNCTION("""COMPUTED_VALUE"""),88.0)</f>
        <v>88</v>
      </c>
      <c r="K58" s="29">
        <f>IFERROR(__xludf.DUMMYFUNCTION("""COMPUTED_VALUE"""),13.5)</f>
        <v>13.5</v>
      </c>
      <c r="L58" s="31" t="str">
        <f>IFERROR(__xludf.DUMMYFUNCTION("""COMPUTED_VALUE"""),"Shooter")</f>
        <v>Shooter</v>
      </c>
      <c r="M58" s="31" t="str">
        <f>IFERROR(__xludf.DUMMYFUNCTION("""COMPUTED_VALUE"""),"Optimized")</f>
        <v>Optimized</v>
      </c>
    </row>
    <row r="59">
      <c r="A59" s="17" t="str">
        <f>IFERROR(__xludf.DUMMYFUNCTION("""COMPUTED_VALUE"""),"Dishonored 2")</f>
        <v>Dishonored 2</v>
      </c>
      <c r="B59" s="20" t="str">
        <f>IFERROR(__xludf.DUMMYFUNCTION("""COMPUTED_VALUE"""),"Xbox / PC")</f>
        <v>Xbox / PC</v>
      </c>
      <c r="C59" s="21" t="str">
        <f>IFERROR(__xludf.DUMMYFUNCTION("""COMPUTED_VALUE"""),"Yes")</f>
        <v>Yes</v>
      </c>
      <c r="D59" s="21" t="str">
        <f>IFERROR(__xludf.DUMMYFUNCTION("""COMPUTED_VALUE"""),"Active")</f>
        <v>Active</v>
      </c>
      <c r="E59" s="23">
        <f>IFERROR(__xludf.DUMMYFUNCTION("""COMPUTED_VALUE"""),43741.0)</f>
        <v>43741</v>
      </c>
      <c r="F59" s="24"/>
      <c r="G59" s="27">
        <f>IFERROR(__xludf.DUMMYFUNCTION("""COMPUTED_VALUE"""),84.10000000000001)</f>
        <v>84.1</v>
      </c>
      <c r="H59" s="23">
        <f>IFERROR(__xludf.DUMMYFUNCTION("""COMPUTED_VALUE"""),42685.0)</f>
        <v>42685</v>
      </c>
      <c r="I59" s="27">
        <f>IFERROR(__xludf.DUMMYFUNCTION("""COMPUTED_VALUE"""),2.8944444444444444)</f>
        <v>2.894444444</v>
      </c>
      <c r="J59" s="29">
        <f>IFERROR(__xludf.DUMMYFUNCTION("""COMPUTED_VALUE"""),88.0)</f>
        <v>88</v>
      </c>
      <c r="K59" s="29">
        <f>IFERROR(__xludf.DUMMYFUNCTION("""COMPUTED_VALUE"""),12.5)</f>
        <v>12.5</v>
      </c>
      <c r="L59" s="31" t="str">
        <f>IFERROR(__xludf.DUMMYFUNCTION("""COMPUTED_VALUE"""),"Action-Adventure")</f>
        <v>Action-Adventure</v>
      </c>
      <c r="M59" s="31"/>
    </row>
    <row r="60">
      <c r="A60" s="17" t="str">
        <f>IFERROR(__xludf.DUMMYFUNCTION("""COMPUTED_VALUE"""),"Wolfenstein II: The New Colossus")</f>
        <v>Wolfenstein II: The New Colossus</v>
      </c>
      <c r="B60" s="20" t="str">
        <f>IFERROR(__xludf.DUMMYFUNCTION("""COMPUTED_VALUE"""),"Xbox / PC")</f>
        <v>Xbox / PC</v>
      </c>
      <c r="C60" s="21" t="str">
        <f>IFERROR(__xludf.DUMMYFUNCTION("""COMPUTED_VALUE"""),"Yes")</f>
        <v>Yes</v>
      </c>
      <c r="D60" s="21" t="str">
        <f>IFERROR(__xludf.DUMMYFUNCTION("""COMPUTED_VALUE"""),"Active")</f>
        <v>Active</v>
      </c>
      <c r="E60" s="23">
        <f>IFERROR(__xludf.DUMMYFUNCTION("""COMPUTED_VALUE"""),43587.0)</f>
        <v>43587</v>
      </c>
      <c r="F60" s="24"/>
      <c r="G60" s="27">
        <f>IFERROR(__xludf.DUMMYFUNCTION("""COMPUTED_VALUE"""),89.13333333333334)</f>
        <v>89.13333333</v>
      </c>
      <c r="H60" s="23">
        <f>IFERROR(__xludf.DUMMYFUNCTION("""COMPUTED_VALUE"""),43035.0)</f>
        <v>43035</v>
      </c>
      <c r="I60" s="27">
        <f>IFERROR(__xludf.DUMMYFUNCTION("""COMPUTED_VALUE"""),1.5138888888888888)</f>
        <v>1.513888889</v>
      </c>
      <c r="J60" s="29">
        <f>IFERROR(__xludf.DUMMYFUNCTION("""COMPUTED_VALUE"""),88.0)</f>
        <v>88</v>
      </c>
      <c r="K60" s="29">
        <f>IFERROR(__xludf.DUMMYFUNCTION("""COMPUTED_VALUE"""),10.5)</f>
        <v>10.5</v>
      </c>
      <c r="L60" s="31" t="str">
        <f>IFERROR(__xludf.DUMMYFUNCTION("""COMPUTED_VALUE"""),"Shooter")</f>
        <v>Shooter</v>
      </c>
      <c r="M60" s="31"/>
    </row>
    <row r="61">
      <c r="A61" s="17" t="str">
        <f>IFERROR(__xludf.DUMMYFUNCTION("""COMPUTED_VALUE"""),"Fallout 4")</f>
        <v>Fallout 4</v>
      </c>
      <c r="B61" s="20" t="str">
        <f>IFERROR(__xludf.DUMMYFUNCTION("""COMPUTED_VALUE"""),"Xbox / PC")</f>
        <v>Xbox / PC</v>
      </c>
      <c r="C61" s="21" t="str">
        <f>IFERROR(__xludf.DUMMYFUNCTION("""COMPUTED_VALUE"""),"Yes")</f>
        <v>Yes</v>
      </c>
      <c r="D61" s="21" t="str">
        <f>IFERROR(__xludf.DUMMYFUNCTION("""COMPUTED_VALUE"""),"Active")</f>
        <v>Active</v>
      </c>
      <c r="E61" s="23">
        <f>IFERROR(__xludf.DUMMYFUNCTION("""COMPUTED_VALUE"""),43538.0)</f>
        <v>43538</v>
      </c>
      <c r="F61" s="24"/>
      <c r="G61" s="27">
        <f>IFERROR(__xludf.DUMMYFUNCTION("""COMPUTED_VALUE"""),90.73333333333333)</f>
        <v>90.73333333</v>
      </c>
      <c r="H61" s="23">
        <f>IFERROR(__xludf.DUMMYFUNCTION("""COMPUTED_VALUE"""),42318.0)</f>
        <v>42318</v>
      </c>
      <c r="I61" s="27">
        <f>IFERROR(__xludf.DUMMYFUNCTION("""COMPUTED_VALUE"""),3.3444444444444446)</f>
        <v>3.344444444</v>
      </c>
      <c r="J61" s="29">
        <f>IFERROR(__xludf.DUMMYFUNCTION("""COMPUTED_VALUE"""),88.0)</f>
        <v>88</v>
      </c>
      <c r="K61" s="29">
        <f>IFERROR(__xludf.DUMMYFUNCTION("""COMPUTED_VALUE"""),26.5)</f>
        <v>26.5</v>
      </c>
      <c r="L61" s="31" t="str">
        <f>IFERROR(__xludf.DUMMYFUNCTION("""COMPUTED_VALUE"""),"Shooter")</f>
        <v>Shooter</v>
      </c>
      <c r="M61" s="31" t="str">
        <f>IFERROR(__xludf.DUMMYFUNCTION("""COMPUTED_VALUE"""),"FPS Boost")</f>
        <v>FPS Boost</v>
      </c>
    </row>
    <row r="62">
      <c r="A62" s="17" t="str">
        <f>IFERROR(__xludf.DUMMYFUNCTION("""COMPUTED_VALUE"""),"Ori and the Blind Forest: Definitive Edition")</f>
        <v>Ori and the Blind Forest: Definitive Edition</v>
      </c>
      <c r="B62" s="20" t="str">
        <f>IFERROR(__xludf.DUMMYFUNCTION("""COMPUTED_VALUE"""),"Xbox / PC")</f>
        <v>Xbox / PC</v>
      </c>
      <c r="C62" s="21" t="str">
        <f>IFERROR(__xludf.DUMMYFUNCTION("""COMPUTED_VALUE"""),"Yes")</f>
        <v>Yes</v>
      </c>
      <c r="D62" s="21" t="str">
        <f>IFERROR(__xludf.DUMMYFUNCTION("""COMPUTED_VALUE"""),"Active")</f>
        <v>Active</v>
      </c>
      <c r="E62" s="23">
        <f>IFERROR(__xludf.DUMMYFUNCTION("""COMPUTED_VALUE"""),43454.0)</f>
        <v>43454</v>
      </c>
      <c r="F62" s="24"/>
      <c r="G62" s="27">
        <f>IFERROR(__xludf.DUMMYFUNCTION("""COMPUTED_VALUE"""),93.53333333333333)</f>
        <v>93.53333333</v>
      </c>
      <c r="H62" s="23">
        <f>IFERROR(__xludf.DUMMYFUNCTION("""COMPUTED_VALUE"""),42074.0)</f>
        <v>42074</v>
      </c>
      <c r="I62" s="27">
        <f>IFERROR(__xludf.DUMMYFUNCTION("""COMPUTED_VALUE"""),3.775)</f>
        <v>3.775</v>
      </c>
      <c r="J62" s="29">
        <f>IFERROR(__xludf.DUMMYFUNCTION("""COMPUTED_VALUE"""),88.0)</f>
        <v>88</v>
      </c>
      <c r="K62" s="29">
        <f>IFERROR(__xludf.DUMMYFUNCTION("""COMPUTED_VALUE"""),8.5)</f>
        <v>8.5</v>
      </c>
      <c r="L62" s="31" t="str">
        <f>IFERROR(__xludf.DUMMYFUNCTION("""COMPUTED_VALUE"""),"Platformer")</f>
        <v>Platformer</v>
      </c>
      <c r="M62" s="31"/>
    </row>
    <row r="63">
      <c r="A63" s="17" t="str">
        <f>IFERROR(__xludf.DUMMYFUNCTION("""COMPUTED_VALUE"""),"Hellblade: Senua's Sacrifice")</f>
        <v>Hellblade: Senua's Sacrifice</v>
      </c>
      <c r="B63" s="20" t="str">
        <f>IFERROR(__xludf.DUMMYFUNCTION("""COMPUTED_VALUE"""),"Xbox / PC")</f>
        <v>Xbox / PC</v>
      </c>
      <c r="C63" s="21" t="str">
        <f>IFERROR(__xludf.DUMMYFUNCTION("""COMPUTED_VALUE"""),"Touch Controls")</f>
        <v>Touch Controls</v>
      </c>
      <c r="D63" s="21" t="str">
        <f>IFERROR(__xludf.DUMMYFUNCTION("""COMPUTED_VALUE"""),"Active")</f>
        <v>Active</v>
      </c>
      <c r="E63" s="23">
        <f>IFERROR(__xludf.DUMMYFUNCTION("""COMPUTED_VALUE"""),43451.0)</f>
        <v>43451</v>
      </c>
      <c r="F63" s="24"/>
      <c r="G63" s="27">
        <f>IFERROR(__xludf.DUMMYFUNCTION("""COMPUTED_VALUE"""),93.63333333333334)</f>
        <v>93.63333333</v>
      </c>
      <c r="H63" s="23">
        <f>IFERROR(__xludf.DUMMYFUNCTION("""COMPUTED_VALUE"""),42955.0)</f>
        <v>42955</v>
      </c>
      <c r="I63" s="27">
        <f>IFERROR(__xludf.DUMMYFUNCTION("""COMPUTED_VALUE"""),1.3583333333333334)</f>
        <v>1.358333333</v>
      </c>
      <c r="J63" s="29">
        <f>IFERROR(__xludf.DUMMYFUNCTION("""COMPUTED_VALUE"""),88.0)</f>
        <v>88</v>
      </c>
      <c r="K63" s="29">
        <f>IFERROR(__xludf.DUMMYFUNCTION("""COMPUTED_VALUE"""),7.5)</f>
        <v>7.5</v>
      </c>
      <c r="L63" s="31" t="str">
        <f>IFERROR(__xludf.DUMMYFUNCTION("""COMPUTED_VALUE"""),"Action-Adventure")</f>
        <v>Action-Adventure</v>
      </c>
      <c r="M63" s="31" t="str">
        <f>IFERROR(__xludf.DUMMYFUNCTION("""COMPUTED_VALUE"""),"Optimized")</f>
        <v>Optimized</v>
      </c>
    </row>
    <row r="64">
      <c r="A64" s="17" t="str">
        <f>IFERROR(__xludf.DUMMYFUNCTION("""COMPUTED_VALUE"""),"Psychonauts")</f>
        <v>Psychonauts</v>
      </c>
      <c r="B64" s="20" t="str">
        <f>IFERROR(__xludf.DUMMYFUNCTION("""COMPUTED_VALUE"""),"Xbox / PC")</f>
        <v>Xbox / PC</v>
      </c>
      <c r="C64" s="21" t="str">
        <f>IFERROR(__xludf.DUMMYFUNCTION("""COMPUTED_VALUE"""),"Touch Controls")</f>
        <v>Touch Controls</v>
      </c>
      <c r="D64" s="21" t="str">
        <f>IFERROR(__xludf.DUMMYFUNCTION("""COMPUTED_VALUE"""),"Active")</f>
        <v>Active</v>
      </c>
      <c r="E64" s="23">
        <f>IFERROR(__xludf.DUMMYFUNCTION("""COMPUTED_VALUE"""),44329.0)</f>
        <v>44329</v>
      </c>
      <c r="F64" s="24"/>
      <c r="G64" s="27">
        <f>IFERROR(__xludf.DUMMYFUNCTION("""COMPUTED_VALUE"""),64.76666666666667)</f>
        <v>64.76666667</v>
      </c>
      <c r="H64" s="23">
        <f>IFERROR(__xludf.DUMMYFUNCTION("""COMPUTED_VALUE"""),38461.0)</f>
        <v>38461</v>
      </c>
      <c r="I64" s="27">
        <f>IFERROR(__xludf.DUMMYFUNCTION("""COMPUTED_VALUE"""),16.066666666666666)</f>
        <v>16.06666667</v>
      </c>
      <c r="J64" s="29">
        <f>IFERROR(__xludf.DUMMYFUNCTION("""COMPUTED_VALUE"""),87.5)</f>
        <v>87.5</v>
      </c>
      <c r="K64" s="29">
        <f>IFERROR(__xludf.DUMMYFUNCTION("""COMPUTED_VALUE"""),12.5)</f>
        <v>12.5</v>
      </c>
      <c r="L64" s="31" t="str">
        <f>IFERROR(__xludf.DUMMYFUNCTION("""COMPUTED_VALUE"""),"Platformer")</f>
        <v>Platformer</v>
      </c>
      <c r="M64" s="31"/>
    </row>
    <row r="65">
      <c r="A65" s="17" t="str">
        <f>IFERROR(__xludf.DUMMYFUNCTION("""COMPUTED_VALUE"""),"Final Fantasy VI")</f>
        <v>Final Fantasy VI</v>
      </c>
      <c r="B65" s="20" t="str">
        <f>IFERROR(__xludf.DUMMYFUNCTION("""COMPUTED_VALUE"""),"Xbox / PC")</f>
        <v>Xbox / PC</v>
      </c>
      <c r="C65" s="21" t="str">
        <f>IFERROR(__xludf.DUMMYFUNCTION("""COMPUTED_VALUE"""),"Yes")</f>
        <v>Yes</v>
      </c>
      <c r="D65" s="21" t="str">
        <f>IFERROR(__xludf.DUMMYFUNCTION("""COMPUTED_VALUE"""),"Active")</f>
        <v>Active</v>
      </c>
      <c r="E65" s="23">
        <f>IFERROR(__xludf.DUMMYFUNCTION("""COMPUTED_VALUE"""),46175.0)</f>
        <v>46175</v>
      </c>
      <c r="F65" s="24"/>
      <c r="G65" s="27">
        <f>IFERROR(__xludf.DUMMYFUNCTION("""COMPUTED_VALUE"""),4.133333333333333)</f>
        <v>4.133333333</v>
      </c>
      <c r="H65" s="23">
        <f>IFERROR(__xludf.DUMMYFUNCTION("""COMPUTED_VALUE"""),45561.0)</f>
        <v>45561</v>
      </c>
      <c r="I65" s="27">
        <f>IFERROR(__xludf.DUMMYFUNCTION("""COMPUTED_VALUE"""),1.6833333333333333)</f>
        <v>1.683333333</v>
      </c>
      <c r="J65" s="29">
        <f>IFERROR(__xludf.DUMMYFUNCTION("""COMPUTED_VALUE"""),87.0)</f>
        <v>87</v>
      </c>
      <c r="K65" s="29">
        <f>IFERROR(__xludf.DUMMYFUNCTION("""COMPUTED_VALUE"""),36.0)</f>
        <v>36</v>
      </c>
      <c r="L65" s="31" t="str">
        <f>IFERROR(__xludf.DUMMYFUNCTION("""COMPUTED_VALUE"""),"RPG")</f>
        <v>RPG</v>
      </c>
      <c r="M65" s="31" t="str">
        <f>IFERROR(__xludf.DUMMYFUNCTION("""COMPUTED_VALUE"""),"Exclusive")</f>
        <v>Exclusive</v>
      </c>
    </row>
    <row r="66">
      <c r="A66" s="17" t="str">
        <f>IFERROR(__xludf.DUMMYFUNCTION("""COMPUTED_VALUE"""),"Absolum")</f>
        <v>Absolum</v>
      </c>
      <c r="B66" s="20" t="str">
        <f>IFERROR(__xludf.DUMMYFUNCTION("""COMPUTED_VALUE"""),"Xbox / PC")</f>
        <v>Xbox / PC</v>
      </c>
      <c r="C66" s="21" t="str">
        <f>IFERROR(__xludf.DUMMYFUNCTION("""COMPUTED_VALUE"""),"Yes")</f>
        <v>Yes</v>
      </c>
      <c r="D66" s="21" t="str">
        <f>IFERROR(__xludf.DUMMYFUNCTION("""COMPUTED_VALUE"""),"Active")</f>
        <v>Active</v>
      </c>
      <c r="E66" s="23">
        <f>IFERROR(__xludf.DUMMYFUNCTION("""COMPUTED_VALUE"""),46106.0)</f>
        <v>46106</v>
      </c>
      <c r="F66" s="24"/>
      <c r="G66" s="27">
        <f>IFERROR(__xludf.DUMMYFUNCTION("""COMPUTED_VALUE"""),6.366666666666667)</f>
        <v>6.366666667</v>
      </c>
      <c r="H66" s="23">
        <f>IFERROR(__xludf.DUMMYFUNCTION("""COMPUTED_VALUE"""),45939.0)</f>
        <v>45939</v>
      </c>
      <c r="I66" s="27">
        <f>IFERROR(__xludf.DUMMYFUNCTION("""COMPUTED_VALUE"""),0.46111111111111114)</f>
        <v>0.4611111111</v>
      </c>
      <c r="J66" s="29">
        <f>IFERROR(__xludf.DUMMYFUNCTION("""COMPUTED_VALUE"""),87.0)</f>
        <v>87</v>
      </c>
      <c r="K66" s="29">
        <f>IFERROR(__xludf.DUMMYFUNCTION("""COMPUTED_VALUE"""),9.0)</f>
        <v>9</v>
      </c>
      <c r="L66" s="31" t="str">
        <f>IFERROR(__xludf.DUMMYFUNCTION("""COMPUTED_VALUE"""),"Beat-’Em-Up")</f>
        <v>Beat-’Em-Up</v>
      </c>
      <c r="M66" s="31" t="str">
        <f>IFERROR(__xludf.DUMMYFUNCTION("""COMPUTED_VALUE"""),"Exclusive")</f>
        <v>Exclusive</v>
      </c>
    </row>
    <row r="67">
      <c r="A67" s="17" t="str">
        <f>IFERROR(__xludf.DUMMYFUNCTION("""COMPUTED_VALUE"""),"Minishoot' Adventures")</f>
        <v>Minishoot' Adventures</v>
      </c>
      <c r="B67" s="20" t="str">
        <f>IFERROR(__xludf.DUMMYFUNCTION("""COMPUTED_VALUE"""),"Xbox / PC")</f>
        <v>Xbox / PC</v>
      </c>
      <c r="C67" s="21" t="str">
        <f>IFERROR(__xludf.DUMMYFUNCTION("""COMPUTED_VALUE"""),"Yes")</f>
        <v>Yes</v>
      </c>
      <c r="D67" s="21" t="str">
        <f>IFERROR(__xludf.DUMMYFUNCTION("""COMPUTED_VALUE"""),"Active")</f>
        <v>Active</v>
      </c>
      <c r="E67" s="23">
        <f>IFERROR(__xludf.DUMMYFUNCTION("""COMPUTED_VALUE"""),46084.0)</f>
        <v>46084</v>
      </c>
      <c r="F67" s="24"/>
      <c r="G67" s="27">
        <f>IFERROR(__xludf.DUMMYFUNCTION("""COMPUTED_VALUE"""),7.1)</f>
        <v>7.1</v>
      </c>
      <c r="H67" s="23">
        <f>IFERROR(__xludf.DUMMYFUNCTION("""COMPUTED_VALUE"""),45384.0)</f>
        <v>45384</v>
      </c>
      <c r="I67" s="27">
        <f>IFERROR(__xludf.DUMMYFUNCTION("""COMPUTED_VALUE"""),1.9194444444444445)</f>
        <v>1.919444444</v>
      </c>
      <c r="J67" s="29">
        <f>IFERROR(__xludf.DUMMYFUNCTION("""COMPUTED_VALUE"""),87.0)</f>
        <v>87</v>
      </c>
      <c r="K67" s="29">
        <f>IFERROR(__xludf.DUMMYFUNCTION("""COMPUTED_VALUE"""),8.0)</f>
        <v>8</v>
      </c>
      <c r="L67" s="31" t="str">
        <f>IFERROR(__xludf.DUMMYFUNCTION("""COMPUTED_VALUE"""),"Strategy")</f>
        <v>Strategy</v>
      </c>
      <c r="M67" s="31"/>
    </row>
    <row r="68">
      <c r="A68" s="17" t="str">
        <f>IFERROR(__xludf.DUMMYFUNCTION("""COMPUTED_VALUE"""),"MechWarrior 2: 31st Century Combat")</f>
        <v>MechWarrior 2: 31st Century Combat</v>
      </c>
      <c r="B68" s="20" t="str">
        <f>IFERROR(__xludf.DUMMYFUNCTION("""COMPUTED_VALUE"""),"Xbox / PC")</f>
        <v>Xbox / PC</v>
      </c>
      <c r="C68" s="21" t="str">
        <f>IFERROR(__xludf.DUMMYFUNCTION("""COMPUTED_VALUE"""),"Yes")</f>
        <v>Yes</v>
      </c>
      <c r="D68" s="21" t="str">
        <f>IFERROR(__xludf.DUMMYFUNCTION("""COMPUTED_VALUE"""),"Active")</f>
        <v>Active</v>
      </c>
      <c r="E68" s="23">
        <f>IFERROR(__xludf.DUMMYFUNCTION("""COMPUTED_VALUE"""),45798.0)</f>
        <v>45798</v>
      </c>
      <c r="F68" s="24"/>
      <c r="G68" s="27">
        <f>IFERROR(__xludf.DUMMYFUNCTION("""COMPUTED_VALUE"""),16.5)</f>
        <v>16.5</v>
      </c>
      <c r="H68" s="23">
        <f>IFERROR(__xludf.DUMMYFUNCTION("""COMPUTED_VALUE"""),34904.0)</f>
        <v>34904</v>
      </c>
      <c r="I68" s="27">
        <f>IFERROR(__xludf.DUMMYFUNCTION("""COMPUTED_VALUE"""),29.825)</f>
        <v>29.825</v>
      </c>
      <c r="J68" s="29">
        <f>IFERROR(__xludf.DUMMYFUNCTION("""COMPUTED_VALUE"""),87.0)</f>
        <v>87</v>
      </c>
      <c r="K68" s="29">
        <f>IFERROR(__xludf.DUMMYFUNCTION("""COMPUTED_VALUE"""),20.0)</f>
        <v>20</v>
      </c>
      <c r="L68" s="31" t="str">
        <f>IFERROR(__xludf.DUMMYFUNCTION("""COMPUTED_VALUE"""),"Shooter")</f>
        <v>Shooter</v>
      </c>
      <c r="M68" s="31"/>
    </row>
    <row r="69">
      <c r="A69" s="17" t="str">
        <f>IFERROR(__xludf.DUMMYFUNCTION("""COMPUTED_VALUE"""),"Pentiment")</f>
        <v>Pentiment</v>
      </c>
      <c r="B69" s="20" t="str">
        <f>IFERROR(__xludf.DUMMYFUNCTION("""COMPUTED_VALUE"""),"Xbox / PC")</f>
        <v>Xbox / PC</v>
      </c>
      <c r="C69" s="21" t="str">
        <f>IFERROR(__xludf.DUMMYFUNCTION("""COMPUTED_VALUE"""),"Touch Controls, M+KB")</f>
        <v>Touch Controls, M+KB</v>
      </c>
      <c r="D69" s="21" t="str">
        <f>IFERROR(__xludf.DUMMYFUNCTION("""COMPUTED_VALUE"""),"Active")</f>
        <v>Active</v>
      </c>
      <c r="E69" s="23">
        <f>IFERROR(__xludf.DUMMYFUNCTION("""COMPUTED_VALUE"""),44880.0)</f>
        <v>44880</v>
      </c>
      <c r="F69" s="24"/>
      <c r="G69" s="27">
        <f>IFERROR(__xludf.DUMMYFUNCTION("""COMPUTED_VALUE"""),46.7)</f>
        <v>46.7</v>
      </c>
      <c r="H69" s="23">
        <f>IFERROR(__xludf.DUMMYFUNCTION("""COMPUTED_VALUE"""),44880.0)</f>
        <v>44880</v>
      </c>
      <c r="I69" s="27">
        <f>IFERROR(__xludf.DUMMYFUNCTION("""COMPUTED_VALUE"""),0.0)</f>
        <v>0</v>
      </c>
      <c r="J69" s="29">
        <f>IFERROR(__xludf.DUMMYFUNCTION("""COMPUTED_VALUE"""),87.0)</f>
        <v>87</v>
      </c>
      <c r="K69" s="29">
        <f>IFERROR(__xludf.DUMMYFUNCTION("""COMPUTED_VALUE"""),18.5)</f>
        <v>18.5</v>
      </c>
      <c r="L69" s="31" t="str">
        <f>IFERROR(__xludf.DUMMYFUNCTION("""COMPUTED_VALUE"""),"Adventure")</f>
        <v>Adventure</v>
      </c>
      <c r="M69" s="31"/>
    </row>
    <row r="70">
      <c r="A70" s="17" t="str">
        <f>IFERROR(__xludf.DUMMYFUNCTION("""COMPUTED_VALUE"""),"Assassin's Creed Odyssey")</f>
        <v>Assassin's Creed Odyssey</v>
      </c>
      <c r="B70" s="20" t="str">
        <f>IFERROR(__xludf.DUMMYFUNCTION("""COMPUTED_VALUE"""),"Xbox / PC")</f>
        <v>Xbox / PC</v>
      </c>
      <c r="C70" s="21" t="str">
        <f>IFERROR(__xludf.DUMMYFUNCTION("""COMPUTED_VALUE"""),"Touch Controls")</f>
        <v>Touch Controls</v>
      </c>
      <c r="D70" s="21" t="str">
        <f>IFERROR(__xludf.DUMMYFUNCTION("""COMPUTED_VALUE"""),"Active")</f>
        <v>Active</v>
      </c>
      <c r="E70" s="23">
        <f>IFERROR(__xludf.DUMMYFUNCTION("""COMPUTED_VALUE"""),44819.0)</f>
        <v>44819</v>
      </c>
      <c r="F70" s="24"/>
      <c r="G70" s="27">
        <f>IFERROR(__xludf.DUMMYFUNCTION("""COMPUTED_VALUE"""),48.7)</f>
        <v>48.7</v>
      </c>
      <c r="H70" s="23">
        <f>IFERROR(__xludf.DUMMYFUNCTION("""COMPUTED_VALUE"""),43375.0)</f>
        <v>43375</v>
      </c>
      <c r="I70" s="27">
        <f>IFERROR(__xludf.DUMMYFUNCTION("""COMPUTED_VALUE"""),3.952777777777778)</f>
        <v>3.952777778</v>
      </c>
      <c r="J70" s="29">
        <f>IFERROR(__xludf.DUMMYFUNCTION("""COMPUTED_VALUE"""),87.0)</f>
        <v>87</v>
      </c>
      <c r="K70" s="29">
        <f>IFERROR(__xludf.DUMMYFUNCTION("""COMPUTED_VALUE"""),44.5)</f>
        <v>44.5</v>
      </c>
      <c r="L70" s="31" t="str">
        <f>IFERROR(__xludf.DUMMYFUNCTION("""COMPUTED_VALUE"""),"RPG")</f>
        <v>RPG</v>
      </c>
      <c r="M70" s="31"/>
    </row>
    <row r="71">
      <c r="A71" s="17" t="str">
        <f>IFERROR(__xludf.DUMMYFUNCTION("""COMPUTED_VALUE"""),"Vampire Survivors")</f>
        <v>Vampire Survivors</v>
      </c>
      <c r="B71" s="20" t="str">
        <f>IFERROR(__xludf.DUMMYFUNCTION("""COMPUTED_VALUE"""),"Xbox / PC")</f>
        <v>Xbox / PC</v>
      </c>
      <c r="C71" s="21" t="str">
        <f>IFERROR(__xludf.DUMMYFUNCTION("""COMPUTED_VALUE"""),"Yes")</f>
        <v>Yes</v>
      </c>
      <c r="D71" s="21" t="str">
        <f>IFERROR(__xludf.DUMMYFUNCTION("""COMPUTED_VALUE"""),"Active")</f>
        <v>Active</v>
      </c>
      <c r="E71" s="23">
        <f>IFERROR(__xludf.DUMMYFUNCTION("""COMPUTED_VALUE"""),44700.0)</f>
        <v>44700</v>
      </c>
      <c r="F71" s="24"/>
      <c r="G71" s="27">
        <f>IFERROR(__xludf.DUMMYFUNCTION("""COMPUTED_VALUE"""),52.56666666666666)</f>
        <v>52.56666667</v>
      </c>
      <c r="H71" s="23">
        <f>IFERROR(__xludf.DUMMYFUNCTION("""COMPUTED_VALUE"""),44547.0)</f>
        <v>44547</v>
      </c>
      <c r="I71" s="27">
        <f>IFERROR(__xludf.DUMMYFUNCTION("""COMPUTED_VALUE"""),0.4222222222222222)</f>
        <v>0.4222222222</v>
      </c>
      <c r="J71" s="29">
        <f>IFERROR(__xludf.DUMMYFUNCTION("""COMPUTED_VALUE"""),87.0)</f>
        <v>87</v>
      </c>
      <c r="K71" s="29">
        <f>IFERROR(__xludf.DUMMYFUNCTION("""COMPUTED_VALUE"""),4.5)</f>
        <v>4.5</v>
      </c>
      <c r="L71" s="31" t="str">
        <f>IFERROR(__xludf.DUMMYFUNCTION("""COMPUTED_VALUE"""),"Action")</f>
        <v>Action</v>
      </c>
      <c r="M71" s="31"/>
    </row>
    <row r="72">
      <c r="A72" s="17" t="str">
        <f>IFERROR(__xludf.DUMMYFUNCTION("""COMPUTED_VALUE"""),"Battlefield 1: Revolution")</f>
        <v>Battlefield 1: Revolution</v>
      </c>
      <c r="B72" s="20" t="str">
        <f>IFERROR(__xludf.DUMMYFUNCTION("""COMPUTED_VALUE"""),"Xbox / PC")</f>
        <v>Xbox / PC</v>
      </c>
      <c r="C72" s="21" t="str">
        <f>IFERROR(__xludf.DUMMYFUNCTION("""COMPUTED_VALUE"""),"Yes")</f>
        <v>Yes</v>
      </c>
      <c r="D72" s="21" t="str">
        <f>IFERROR(__xludf.DUMMYFUNCTION("""COMPUTED_VALUE"""),"Active")</f>
        <v>Active</v>
      </c>
      <c r="E72" s="23">
        <f>IFERROR(__xludf.DUMMYFUNCTION("""COMPUTED_VALUE"""),44145.0)</f>
        <v>44145</v>
      </c>
      <c r="F72" s="24"/>
      <c r="G72" s="27">
        <f>IFERROR(__xludf.DUMMYFUNCTION("""COMPUTED_VALUE"""),70.86666666666667)</f>
        <v>70.86666667</v>
      </c>
      <c r="H72" s="23">
        <f>IFERROR(__xludf.DUMMYFUNCTION("""COMPUTED_VALUE"""),42664.0)</f>
        <v>42664</v>
      </c>
      <c r="I72" s="27">
        <f>IFERROR(__xludf.DUMMYFUNCTION("""COMPUTED_VALUE"""),4.052777777777778)</f>
        <v>4.052777778</v>
      </c>
      <c r="J72" s="29">
        <f>IFERROR(__xludf.DUMMYFUNCTION("""COMPUTED_VALUE"""),87.0)</f>
        <v>87</v>
      </c>
      <c r="K72" s="29">
        <f>IFERROR(__xludf.DUMMYFUNCTION("""COMPUTED_VALUE"""),6.5)</f>
        <v>6.5</v>
      </c>
      <c r="L72" s="31" t="str">
        <f>IFERROR(__xludf.DUMMYFUNCTION("""COMPUTED_VALUE"""),"Shooter")</f>
        <v>Shooter</v>
      </c>
      <c r="M72" s="31" t="str">
        <f>IFERROR(__xludf.DUMMYFUNCTION("""COMPUTED_VALUE"""),"FPS Boost X Only")</f>
        <v>FPS Boost X Only</v>
      </c>
    </row>
    <row r="73">
      <c r="A73" s="17" t="str">
        <f>IFERROR(__xludf.DUMMYFUNCTION("""COMPUTED_VALUE"""),"DOOM (2016)")</f>
        <v>DOOM (2016)</v>
      </c>
      <c r="B73" s="20" t="str">
        <f>IFERROR(__xludf.DUMMYFUNCTION("""COMPUTED_VALUE"""),"Xbox")</f>
        <v>Xbox</v>
      </c>
      <c r="C73" s="21" t="str">
        <f>IFERROR(__xludf.DUMMYFUNCTION("""COMPUTED_VALUE"""),"Yes")</f>
        <v>Yes</v>
      </c>
      <c r="D73" s="21" t="str">
        <f>IFERROR(__xludf.DUMMYFUNCTION("""COMPUTED_VALUE"""),"Active")</f>
        <v>Active</v>
      </c>
      <c r="E73" s="23">
        <f>IFERROR(__xludf.DUMMYFUNCTION("""COMPUTED_VALUE"""),43322.0)</f>
        <v>43322</v>
      </c>
      <c r="F73" s="24"/>
      <c r="G73" s="27">
        <f>IFERROR(__xludf.DUMMYFUNCTION("""COMPUTED_VALUE"""),97.86666666666666)</f>
        <v>97.86666667</v>
      </c>
      <c r="H73" s="23">
        <f>IFERROR(__xludf.DUMMYFUNCTION("""COMPUTED_VALUE"""),42503.0)</f>
        <v>42503</v>
      </c>
      <c r="I73" s="27">
        <f>IFERROR(__xludf.DUMMYFUNCTION("""COMPUTED_VALUE"""),2.2416666666666667)</f>
        <v>2.241666667</v>
      </c>
      <c r="J73" s="29">
        <f>IFERROR(__xludf.DUMMYFUNCTION("""COMPUTED_VALUE"""),87.0)</f>
        <v>87</v>
      </c>
      <c r="K73" s="29">
        <f>IFERROR(__xludf.DUMMYFUNCTION("""COMPUTED_VALUE"""),11.5)</f>
        <v>11.5</v>
      </c>
      <c r="L73" s="31" t="str">
        <f>IFERROR(__xludf.DUMMYFUNCTION("""COMPUTED_VALUE"""),"Shooter")</f>
        <v>Shooter</v>
      </c>
      <c r="M73" s="31"/>
    </row>
    <row r="74">
      <c r="A74" s="17" t="str">
        <f>IFERROR(__xludf.DUMMYFUNCTION("""COMPUTED_VALUE"""),"Mixtape")</f>
        <v>Mixtape</v>
      </c>
      <c r="B74" s="20" t="str">
        <f>IFERROR(__xludf.DUMMYFUNCTION("""COMPUTED_VALUE"""),"Xbox / PC")</f>
        <v>Xbox / PC</v>
      </c>
      <c r="C74" s="21" t="str">
        <f>IFERROR(__xludf.DUMMYFUNCTION("""COMPUTED_VALUE"""),"Yes")</f>
        <v>Yes</v>
      </c>
      <c r="D74" s="21" t="str">
        <f>IFERROR(__xludf.DUMMYFUNCTION("""COMPUTED_VALUE"""),"Active")</f>
        <v>Active</v>
      </c>
      <c r="E74" s="23">
        <f>IFERROR(__xludf.DUMMYFUNCTION("""COMPUTED_VALUE"""),46149.0)</f>
        <v>46149</v>
      </c>
      <c r="F74" s="24"/>
      <c r="G74" s="27">
        <f>IFERROR(__xludf.DUMMYFUNCTION("""COMPUTED_VALUE"""),4.966666666666667)</f>
        <v>4.966666667</v>
      </c>
      <c r="H74" s="23">
        <f>IFERROR(__xludf.DUMMYFUNCTION("""COMPUTED_VALUE"""),46148.0)</f>
        <v>46148</v>
      </c>
      <c r="I74" s="27">
        <f>IFERROR(__xludf.DUMMYFUNCTION("""COMPUTED_VALUE"""),0.002777777777777778)</f>
        <v>0.002777777778</v>
      </c>
      <c r="J74" s="29">
        <f>IFERROR(__xludf.DUMMYFUNCTION("""COMPUTED_VALUE"""),86.0)</f>
        <v>86</v>
      </c>
      <c r="K74" s="29">
        <f>IFERROR(__xludf.DUMMYFUNCTION("""COMPUTED_VALUE"""),3.0)</f>
        <v>3</v>
      </c>
      <c r="L74" s="31" t="str">
        <f>IFERROR(__xludf.DUMMYFUNCTION("""COMPUTED_VALUE"""),"Adventure")</f>
        <v>Adventure</v>
      </c>
      <c r="M74" s="31" t="str">
        <f>IFERROR(__xludf.DUMMYFUNCTION("""COMPUTED_VALUE"""),"Exclusive")</f>
        <v>Exclusive</v>
      </c>
    </row>
    <row r="75">
      <c r="A75" s="17" t="str">
        <f>IFERROR(__xludf.DUMMYFUNCTION("""COMPUTED_VALUE"""),"Resident Evil 7: Biohazard")</f>
        <v>Resident Evil 7: Biohazard</v>
      </c>
      <c r="B75" s="20" t="str">
        <f>IFERROR(__xludf.DUMMYFUNCTION("""COMPUTED_VALUE"""),"Xbox / PC")</f>
        <v>Xbox / PC</v>
      </c>
      <c r="C75" s="21" t="str">
        <f>IFERROR(__xludf.DUMMYFUNCTION("""COMPUTED_VALUE"""),"Yes")</f>
        <v>Yes</v>
      </c>
      <c r="D75" s="21" t="str">
        <f>IFERROR(__xludf.DUMMYFUNCTION("""COMPUTED_VALUE"""),"Active")</f>
        <v>Active</v>
      </c>
      <c r="E75" s="23">
        <f>IFERROR(__xludf.DUMMYFUNCTION("""COMPUTED_VALUE"""),46112.0)</f>
        <v>46112</v>
      </c>
      <c r="F75" s="24"/>
      <c r="G75" s="27">
        <f>IFERROR(__xludf.DUMMYFUNCTION("""COMPUTED_VALUE"""),6.200000000000001)</f>
        <v>6.2</v>
      </c>
      <c r="H75" s="23">
        <f>IFERROR(__xludf.DUMMYFUNCTION("""COMPUTED_VALUE"""),42759.0)</f>
        <v>42759</v>
      </c>
      <c r="I75" s="27">
        <f>IFERROR(__xludf.DUMMYFUNCTION("""COMPUTED_VALUE"""),9.183333333333334)</f>
        <v>9.183333333</v>
      </c>
      <c r="J75" s="29">
        <f>IFERROR(__xludf.DUMMYFUNCTION("""COMPUTED_VALUE"""),86.0)</f>
        <v>86</v>
      </c>
      <c r="K75" s="29">
        <f>IFERROR(__xludf.DUMMYFUNCTION("""COMPUTED_VALUE"""),9.0)</f>
        <v>9</v>
      </c>
      <c r="L75" s="31" t="str">
        <f>IFERROR(__xludf.DUMMYFUNCTION("""COMPUTED_VALUE"""),"Action-Adventure")</f>
        <v>Action-Adventure</v>
      </c>
      <c r="M75" s="31"/>
    </row>
    <row r="76">
      <c r="A76" s="17" t="str">
        <f>IFERROR(__xludf.DUMMYFUNCTION("""COMPUTED_VALUE"""),"1000xResist")</f>
        <v>1000xResist</v>
      </c>
      <c r="B76" s="20" t="str">
        <f>IFERROR(__xludf.DUMMYFUNCTION("""COMPUTED_VALUE"""),"Xbox / PC")</f>
        <v>Xbox / PC</v>
      </c>
      <c r="C76" s="21" t="str">
        <f>IFERROR(__xludf.DUMMYFUNCTION("""COMPUTED_VALUE"""),"Yes")</f>
        <v>Yes</v>
      </c>
      <c r="D76" s="21" t="str">
        <f>IFERROR(__xludf.DUMMYFUNCTION("""COMPUTED_VALUE"""),"Active")</f>
        <v>Active</v>
      </c>
      <c r="E76" s="23">
        <f>IFERROR(__xludf.DUMMYFUNCTION("""COMPUTED_VALUE"""),45965.0)</f>
        <v>45965</v>
      </c>
      <c r="F76" s="24"/>
      <c r="G76" s="27">
        <f>IFERROR(__xludf.DUMMYFUNCTION("""COMPUTED_VALUE"""),11.066666666666666)</f>
        <v>11.06666667</v>
      </c>
      <c r="H76" s="23">
        <f>IFERROR(__xludf.DUMMYFUNCTION("""COMPUTED_VALUE"""),45786.0)</f>
        <v>45786</v>
      </c>
      <c r="I76" s="27">
        <f>IFERROR(__xludf.DUMMYFUNCTION("""COMPUTED_VALUE"""),0.4861111111111111)</f>
        <v>0.4861111111</v>
      </c>
      <c r="J76" s="29">
        <f>IFERROR(__xludf.DUMMYFUNCTION("""COMPUTED_VALUE"""),86.0)</f>
        <v>86</v>
      </c>
      <c r="K76" s="29">
        <f>IFERROR(__xludf.DUMMYFUNCTION("""COMPUTED_VALUE"""),11.0)</f>
        <v>11</v>
      </c>
      <c r="L76" s="31" t="str">
        <f>IFERROR(__xludf.DUMMYFUNCTION("""COMPUTED_VALUE"""),"Action-Adventure")</f>
        <v>Action-Adventure</v>
      </c>
      <c r="M76" s="31" t="str">
        <f>IFERROR(__xludf.DUMMYFUNCTION("""COMPUTED_VALUE"""),"Exclusive")</f>
        <v>Exclusive</v>
      </c>
    </row>
    <row r="77">
      <c r="A77" s="17" t="str">
        <f>IFERROR(__xludf.DUMMYFUNCTION("""COMPUTED_VALUE"""),"Prince of Persia: The Lost Crown")</f>
        <v>Prince of Persia: The Lost Crown</v>
      </c>
      <c r="B77" s="20" t="str">
        <f>IFERROR(__xludf.DUMMYFUNCTION("""COMPUTED_VALUE"""),"Xbox / PC")</f>
        <v>Xbox / PC</v>
      </c>
      <c r="C77" s="21" t="str">
        <f>IFERROR(__xludf.DUMMYFUNCTION("""COMPUTED_VALUE"""),"Yes")</f>
        <v>Yes</v>
      </c>
      <c r="D77" s="21" t="str">
        <f>IFERROR(__xludf.DUMMYFUNCTION("""COMPUTED_VALUE"""),"Active")</f>
        <v>Active</v>
      </c>
      <c r="E77" s="23">
        <f>IFERROR(__xludf.DUMMYFUNCTION("""COMPUTED_VALUE"""),45931.0)</f>
        <v>45931</v>
      </c>
      <c r="F77" s="24"/>
      <c r="G77" s="27">
        <f>IFERROR(__xludf.DUMMYFUNCTION("""COMPUTED_VALUE"""),12.166666666666666)</f>
        <v>12.16666667</v>
      </c>
      <c r="H77" s="23">
        <f>IFERROR(__xludf.DUMMYFUNCTION("""COMPUTED_VALUE"""),45309.0)</f>
        <v>45309</v>
      </c>
      <c r="I77" s="27">
        <f>IFERROR(__xludf.DUMMYFUNCTION("""COMPUTED_VALUE"""),1.7027777777777777)</f>
        <v>1.702777778</v>
      </c>
      <c r="J77" s="29">
        <f>IFERROR(__xludf.DUMMYFUNCTION("""COMPUTED_VALUE"""),86.0)</f>
        <v>86</v>
      </c>
      <c r="K77" s="29">
        <f>IFERROR(__xludf.DUMMYFUNCTION("""COMPUTED_VALUE"""),17.0)</f>
        <v>17</v>
      </c>
      <c r="L77" s="31" t="str">
        <f>IFERROR(__xludf.DUMMYFUNCTION("""COMPUTED_VALUE"""),"Metroidvania")</f>
        <v>Metroidvania</v>
      </c>
      <c r="M77" s="31"/>
    </row>
    <row r="78">
      <c r="A78" s="17" t="str">
        <f>IFERROR(__xludf.DUMMYFUNCTION("""COMPUTED_VALUE"""),"Zork I: The Great Underground")</f>
        <v>Zork I: The Great Underground</v>
      </c>
      <c r="B78" s="20" t="str">
        <f>IFERROR(__xludf.DUMMYFUNCTION("""COMPUTED_VALUE"""),"Xbox / PC")</f>
        <v>Xbox / PC</v>
      </c>
      <c r="C78" s="21" t="str">
        <f>IFERROR(__xludf.DUMMYFUNCTION("""COMPUTED_VALUE"""),"Yes")</f>
        <v>Yes</v>
      </c>
      <c r="D78" s="21" t="str">
        <f>IFERROR(__xludf.DUMMYFUNCTION("""COMPUTED_VALUE"""),"Active")</f>
        <v>Active</v>
      </c>
      <c r="E78" s="23">
        <f>IFERROR(__xludf.DUMMYFUNCTION("""COMPUTED_VALUE"""),45798.0)</f>
        <v>45798</v>
      </c>
      <c r="F78" s="24"/>
      <c r="G78" s="27">
        <f>IFERROR(__xludf.DUMMYFUNCTION("""COMPUTED_VALUE"""),16.5)</f>
        <v>16.5</v>
      </c>
      <c r="H78" s="23">
        <f>IFERROR(__xludf.DUMMYFUNCTION("""COMPUTED_VALUE"""),29342.0)</f>
        <v>29342</v>
      </c>
      <c r="I78" s="27">
        <f>IFERROR(__xludf.DUMMYFUNCTION("""COMPUTED_VALUE"""),45.05555555555556)</f>
        <v>45.05555556</v>
      </c>
      <c r="J78" s="29">
        <f>IFERROR(__xludf.DUMMYFUNCTION("""COMPUTED_VALUE"""),86.0)</f>
        <v>86</v>
      </c>
      <c r="K78" s="29">
        <f>IFERROR(__xludf.DUMMYFUNCTION("""COMPUTED_VALUE"""),4.0)</f>
        <v>4</v>
      </c>
      <c r="L78" s="31" t="str">
        <f>IFERROR(__xludf.DUMMYFUNCTION("""COMPUTED_VALUE"""),"Action‑Adventure")</f>
        <v>Action‑Adventure</v>
      </c>
      <c r="M78" s="31"/>
    </row>
    <row r="79">
      <c r="A79" s="17" t="str">
        <f>IFERROR(__xludf.DUMMYFUNCTION("""COMPUTED_VALUE"""),"Warhammer 40,000: Rogue Trader")</f>
        <v>Warhammer 40,000: Rogue Trader</v>
      </c>
      <c r="B79" s="20" t="str">
        <f>IFERROR(__xludf.DUMMYFUNCTION("""COMPUTED_VALUE"""),"Xbox / PC")</f>
        <v>Xbox / PC</v>
      </c>
      <c r="C79" s="21" t="str">
        <f>IFERROR(__xludf.DUMMYFUNCTION("""COMPUTED_VALUE"""),"Yes")</f>
        <v>Yes</v>
      </c>
      <c r="D79" s="21" t="str">
        <f>IFERROR(__xludf.DUMMYFUNCTION("""COMPUTED_VALUE"""),"Active")</f>
        <v>Active</v>
      </c>
      <c r="E79" s="23">
        <f>IFERROR(__xludf.DUMMYFUNCTION("""COMPUTED_VALUE"""),45708.0)</f>
        <v>45708</v>
      </c>
      <c r="F79" s="24"/>
      <c r="G79" s="27">
        <f>IFERROR(__xludf.DUMMYFUNCTION("""COMPUTED_VALUE"""),19.53333333333333)</f>
        <v>19.53333333</v>
      </c>
      <c r="H79" s="23">
        <f>IFERROR(__xludf.DUMMYFUNCTION("""COMPUTED_VALUE"""),45559.0)</f>
        <v>45559</v>
      </c>
      <c r="I79" s="27">
        <f>IFERROR(__xludf.DUMMYFUNCTION("""COMPUTED_VALUE"""),0.40555555555555556)</f>
        <v>0.4055555556</v>
      </c>
      <c r="J79" s="29">
        <f>IFERROR(__xludf.DUMMYFUNCTION("""COMPUTED_VALUE"""),86.0)</f>
        <v>86</v>
      </c>
      <c r="K79" s="29">
        <f>IFERROR(__xludf.DUMMYFUNCTION("""COMPUTED_VALUE"""),65.0)</f>
        <v>65</v>
      </c>
      <c r="L79" s="31" t="str">
        <f>IFERROR(__xludf.DUMMYFUNCTION("""COMPUTED_VALUE"""),"RPG")</f>
        <v>RPG</v>
      </c>
      <c r="M79" s="31" t="str">
        <f>IFERROR(__xludf.DUMMYFUNCTION("""COMPUTED_VALUE"""),"Exclusive")</f>
        <v>Exclusive</v>
      </c>
    </row>
    <row r="80">
      <c r="A80" s="17" t="str">
        <f>IFERROR(__xludf.DUMMYFUNCTION("""COMPUTED_VALUE"""),"Indiana Jones and the Great Circle")</f>
        <v>Indiana Jones and the Great Circle</v>
      </c>
      <c r="B80" s="20" t="str">
        <f>IFERROR(__xludf.DUMMYFUNCTION("""COMPUTED_VALUE"""),"Xbox / PC")</f>
        <v>Xbox / PC</v>
      </c>
      <c r="C80" s="21" t="str">
        <f>IFERROR(__xludf.DUMMYFUNCTION("""COMPUTED_VALUE"""),"Yes")</f>
        <v>Yes</v>
      </c>
      <c r="D80" s="21" t="str">
        <f>IFERROR(__xludf.DUMMYFUNCTION("""COMPUTED_VALUE"""),"Active")</f>
        <v>Active</v>
      </c>
      <c r="E80" s="23">
        <f>IFERROR(__xludf.DUMMYFUNCTION("""COMPUTED_VALUE"""),45635.0)</f>
        <v>45635</v>
      </c>
      <c r="F80" s="24"/>
      <c r="G80" s="27">
        <f>IFERROR(__xludf.DUMMYFUNCTION("""COMPUTED_VALUE"""),21.9)</f>
        <v>21.9</v>
      </c>
      <c r="H80" s="23">
        <f>IFERROR(__xludf.DUMMYFUNCTION("""COMPUTED_VALUE"""),45635.0)</f>
        <v>45635</v>
      </c>
      <c r="I80" s="27">
        <f>IFERROR(__xludf.DUMMYFUNCTION("""COMPUTED_VALUE"""),0.0)</f>
        <v>0</v>
      </c>
      <c r="J80" s="29">
        <f>IFERROR(__xludf.DUMMYFUNCTION("""COMPUTED_VALUE"""),86.0)</f>
        <v>86</v>
      </c>
      <c r="K80" s="29">
        <f>IFERROR(__xludf.DUMMYFUNCTION("""COMPUTED_VALUE"""),15.0)</f>
        <v>15</v>
      </c>
      <c r="L80" s="31" t="str">
        <f>IFERROR(__xludf.DUMMYFUNCTION("""COMPUTED_VALUE"""),"Action-Adventure")</f>
        <v>Action-Adventure</v>
      </c>
      <c r="M80" s="31" t="str">
        <f>IFERROR(__xludf.DUMMYFUNCTION("""COMPUTED_VALUE"""),"Exclusive")</f>
        <v>Exclusive</v>
      </c>
    </row>
    <row r="81">
      <c r="A81" s="17" t="str">
        <f>IFERROR(__xludf.DUMMYFUNCTION("""COMPUTED_VALUE"""),"Skate")</f>
        <v>Skate</v>
      </c>
      <c r="B81" s="20" t="str">
        <f>IFERROR(__xludf.DUMMYFUNCTION("""COMPUTED_VALUE"""),"Xbox")</f>
        <v>Xbox</v>
      </c>
      <c r="C81" s="21" t="str">
        <f>IFERROR(__xludf.DUMMYFUNCTION("""COMPUTED_VALUE"""),"Touch Controls")</f>
        <v>Touch Controls</v>
      </c>
      <c r="D81" s="21" t="str">
        <f>IFERROR(__xludf.DUMMYFUNCTION("""COMPUTED_VALUE"""),"Active")</f>
        <v>Active</v>
      </c>
      <c r="E81" s="23">
        <f>IFERROR(__xludf.DUMMYFUNCTION("""COMPUTED_VALUE"""),44413.0)</f>
        <v>44413</v>
      </c>
      <c r="F81" s="24"/>
      <c r="G81" s="27">
        <f>IFERROR(__xludf.DUMMYFUNCTION("""COMPUTED_VALUE"""),62.03333333333333)</f>
        <v>62.03333333</v>
      </c>
      <c r="H81" s="23">
        <f>IFERROR(__xludf.DUMMYFUNCTION("""COMPUTED_VALUE"""),39339.0)</f>
        <v>39339</v>
      </c>
      <c r="I81" s="27">
        <f>IFERROR(__xludf.DUMMYFUNCTION("""COMPUTED_VALUE"""),13.891666666666667)</f>
        <v>13.89166667</v>
      </c>
      <c r="J81" s="29">
        <f>IFERROR(__xludf.DUMMYFUNCTION("""COMPUTED_VALUE"""),86.0)</f>
        <v>86</v>
      </c>
      <c r="K81" s="29">
        <f>IFERROR(__xludf.DUMMYFUNCTION("""COMPUTED_VALUE"""),11.5)</f>
        <v>11.5</v>
      </c>
      <c r="L81" s="31" t="str">
        <f>IFERROR(__xludf.DUMMYFUNCTION("""COMPUTED_VALUE"""),"Sports")</f>
        <v>Sports</v>
      </c>
      <c r="M81" s="31"/>
    </row>
    <row r="82">
      <c r="A82" s="17" t="str">
        <f>IFERROR(__xludf.DUMMYFUNCTION("""COMPUTED_VALUE"""),"Dragon Age: Inquisition - Game of the Year Edition")</f>
        <v>Dragon Age: Inquisition - Game of the Year Edition</v>
      </c>
      <c r="B82" s="20" t="str">
        <f>IFERROR(__xludf.DUMMYFUNCTION("""COMPUTED_VALUE"""),"Xbox / PC")</f>
        <v>Xbox / PC</v>
      </c>
      <c r="C82" s="21" t="str">
        <f>IFERROR(__xludf.DUMMYFUNCTION("""COMPUTED_VALUE"""),"Yes")</f>
        <v>Yes</v>
      </c>
      <c r="D82" s="21" t="str">
        <f>IFERROR(__xludf.DUMMYFUNCTION("""COMPUTED_VALUE"""),"Active")</f>
        <v>Active</v>
      </c>
      <c r="E82" s="23">
        <f>IFERROR(__xludf.DUMMYFUNCTION("""COMPUTED_VALUE"""),44145.0)</f>
        <v>44145</v>
      </c>
      <c r="F82" s="24"/>
      <c r="G82" s="27">
        <f>IFERROR(__xludf.DUMMYFUNCTION("""COMPUTED_VALUE"""),70.86666666666667)</f>
        <v>70.86666667</v>
      </c>
      <c r="H82" s="23">
        <f>IFERROR(__xludf.DUMMYFUNCTION("""COMPUTED_VALUE"""),41961.0)</f>
        <v>41961</v>
      </c>
      <c r="I82" s="27">
        <f>IFERROR(__xludf.DUMMYFUNCTION("""COMPUTED_VALUE"""),5.977777777777778)</f>
        <v>5.977777778</v>
      </c>
      <c r="J82" s="29">
        <f>IFERROR(__xludf.DUMMYFUNCTION("""COMPUTED_VALUE"""),86.0)</f>
        <v>86</v>
      </c>
      <c r="K82" s="29">
        <f>IFERROR(__xludf.DUMMYFUNCTION("""COMPUTED_VALUE"""),46.5)</f>
        <v>46.5</v>
      </c>
      <c r="L82" s="31" t="str">
        <f>IFERROR(__xludf.DUMMYFUNCTION("""COMPUTED_VALUE"""),"RPG")</f>
        <v>RPG</v>
      </c>
      <c r="M82" s="31" t="str">
        <f>IFERROR(__xludf.DUMMYFUNCTION("""COMPUTED_VALUE"""),"FPS Boost")</f>
        <v>FPS Boost</v>
      </c>
    </row>
    <row r="83">
      <c r="A83" s="17" t="str">
        <f>IFERROR(__xludf.DUMMYFUNCTION("""COMPUTED_VALUE"""),"Dragon Age: Origins - Ultimate Edition")</f>
        <v>Dragon Age: Origins - Ultimate Edition</v>
      </c>
      <c r="B83" s="20" t="str">
        <f>IFERROR(__xludf.DUMMYFUNCTION("""COMPUTED_VALUE"""),"Xbox / PC")</f>
        <v>Xbox / PC</v>
      </c>
      <c r="C83" s="21" t="str">
        <f>IFERROR(__xludf.DUMMYFUNCTION("""COMPUTED_VALUE"""),"Touch Controls")</f>
        <v>Touch Controls</v>
      </c>
      <c r="D83" s="21" t="str">
        <f>IFERROR(__xludf.DUMMYFUNCTION("""COMPUTED_VALUE"""),"Active")</f>
        <v>Active</v>
      </c>
      <c r="E83" s="23">
        <f>IFERROR(__xludf.DUMMYFUNCTION("""COMPUTED_VALUE"""),44145.0)</f>
        <v>44145</v>
      </c>
      <c r="F83" s="24"/>
      <c r="G83" s="27">
        <f>IFERROR(__xludf.DUMMYFUNCTION("""COMPUTED_VALUE"""),70.86666666666667)</f>
        <v>70.86666667</v>
      </c>
      <c r="H83" s="23">
        <f>IFERROR(__xludf.DUMMYFUNCTION("""COMPUTED_VALUE"""),40120.0)</f>
        <v>40120</v>
      </c>
      <c r="I83" s="27">
        <f>IFERROR(__xludf.DUMMYFUNCTION("""COMPUTED_VALUE"""),11.019444444444444)</f>
        <v>11.01944444</v>
      </c>
      <c r="J83" s="29">
        <f>IFERROR(__xludf.DUMMYFUNCTION("""COMPUTED_VALUE"""),86.0)</f>
        <v>86</v>
      </c>
      <c r="K83" s="29">
        <f>IFERROR(__xludf.DUMMYFUNCTION("""COMPUTED_VALUE"""),40.5)</f>
        <v>40.5</v>
      </c>
      <c r="L83" s="31" t="str">
        <f>IFERROR(__xludf.DUMMYFUNCTION("""COMPUTED_VALUE"""),"RPG")</f>
        <v>RPG</v>
      </c>
      <c r="M83" s="31" t="str">
        <f>IFERROR(__xludf.DUMMYFUNCTION("""COMPUTED_VALUE"""),"FPS Boost")</f>
        <v>FPS Boost</v>
      </c>
    </row>
    <row r="84">
      <c r="A84" s="17" t="str">
        <f>IFERROR(__xludf.DUMMYFUNCTION("""COMPUTED_VALUE"""),"Wasteland 3")</f>
        <v>Wasteland 3</v>
      </c>
      <c r="B84" s="20" t="str">
        <f>IFERROR(__xludf.DUMMYFUNCTION("""COMPUTED_VALUE"""),"Xbox / PC")</f>
        <v>Xbox / PC</v>
      </c>
      <c r="C84" s="21" t="str">
        <f>IFERROR(__xludf.DUMMYFUNCTION("""COMPUTED_VALUE"""),"Touch Controls")</f>
        <v>Touch Controls</v>
      </c>
      <c r="D84" s="21" t="str">
        <f>IFERROR(__xludf.DUMMYFUNCTION("""COMPUTED_VALUE"""),"Active")</f>
        <v>Active</v>
      </c>
      <c r="E84" s="23">
        <f>IFERROR(__xludf.DUMMYFUNCTION("""COMPUTED_VALUE"""),44071.0)</f>
        <v>44071</v>
      </c>
      <c r="F84" s="24"/>
      <c r="G84" s="27">
        <f>IFERROR(__xludf.DUMMYFUNCTION("""COMPUTED_VALUE"""),73.26666666666667)</f>
        <v>73.26666667</v>
      </c>
      <c r="H84" s="23">
        <f>IFERROR(__xludf.DUMMYFUNCTION("""COMPUTED_VALUE"""),44071.0)</f>
        <v>44071</v>
      </c>
      <c r="I84" s="27">
        <f>IFERROR(__xludf.DUMMYFUNCTION("""COMPUTED_VALUE"""),0.0)</f>
        <v>0</v>
      </c>
      <c r="J84" s="29">
        <f>IFERROR(__xludf.DUMMYFUNCTION("""COMPUTED_VALUE"""),86.0)</f>
        <v>86</v>
      </c>
      <c r="K84" s="29">
        <f>IFERROR(__xludf.DUMMYFUNCTION("""COMPUTED_VALUE"""),36.5)</f>
        <v>36.5</v>
      </c>
      <c r="L84" s="31" t="str">
        <f>IFERROR(__xludf.DUMMYFUNCTION("""COMPUTED_VALUE"""),"RPG")</f>
        <v>RPG</v>
      </c>
      <c r="M84" s="31" t="str">
        <f>IFERROR(__xludf.DUMMYFUNCTION("""COMPUTED_VALUE"""),"FPS Boost")</f>
        <v>FPS Boost</v>
      </c>
    </row>
    <row r="85">
      <c r="A85" s="17" t="str">
        <f>IFERROR(__xludf.DUMMYFUNCTION("""COMPUTED_VALUE"""),"Pillars of Eternity: Definitive Edition")</f>
        <v>Pillars of Eternity: Definitive Edition</v>
      </c>
      <c r="B85" s="20" t="str">
        <f>IFERROR(__xludf.DUMMYFUNCTION("""COMPUTED_VALUE"""),"Xbox / PC")</f>
        <v>Xbox / PC</v>
      </c>
      <c r="C85" s="21" t="str">
        <f>IFERROR(__xludf.DUMMYFUNCTION("""COMPUTED_VALUE"""),"Touch Controls")</f>
        <v>Touch Controls</v>
      </c>
      <c r="D85" s="21" t="str">
        <f>IFERROR(__xludf.DUMMYFUNCTION("""COMPUTED_VALUE"""),"Active")</f>
        <v>Active</v>
      </c>
      <c r="E85" s="23">
        <f>IFERROR(__xludf.DUMMYFUNCTION("""COMPUTED_VALUE"""),43818.0)</f>
        <v>43818</v>
      </c>
      <c r="F85" s="24"/>
      <c r="G85" s="27">
        <f>IFERROR(__xludf.DUMMYFUNCTION("""COMPUTED_VALUE"""),81.56666666666666)</f>
        <v>81.56666667</v>
      </c>
      <c r="H85" s="23">
        <f>IFERROR(__xludf.DUMMYFUNCTION("""COMPUTED_VALUE"""),42089.0)</f>
        <v>42089</v>
      </c>
      <c r="I85" s="27">
        <f>IFERROR(__xludf.DUMMYFUNCTION("""COMPUTED_VALUE"""),4.730555555555555)</f>
        <v>4.730555556</v>
      </c>
      <c r="J85" s="29">
        <f>IFERROR(__xludf.DUMMYFUNCTION("""COMPUTED_VALUE"""),86.0)</f>
        <v>86</v>
      </c>
      <c r="K85" s="29">
        <f>IFERROR(__xludf.DUMMYFUNCTION("""COMPUTED_VALUE"""),35.5)</f>
        <v>35.5</v>
      </c>
      <c r="L85" s="31" t="str">
        <f>IFERROR(__xludf.DUMMYFUNCTION("""COMPUTED_VALUE"""),"RPG")</f>
        <v>RPG</v>
      </c>
      <c r="M85" s="31"/>
    </row>
    <row r="86">
      <c r="A86" s="17" t="str">
        <f>IFERROR(__xludf.DUMMYFUNCTION("""COMPUTED_VALUE"""),"Killer Instinct (2013): Anniversary Edition")</f>
        <v>Killer Instinct (2013): Anniversary Edition</v>
      </c>
      <c r="B86" s="20" t="str">
        <f>IFERROR(__xludf.DUMMYFUNCTION("""COMPUTED_VALUE"""),"Xbox / PC")</f>
        <v>Xbox / PC</v>
      </c>
      <c r="C86" s="21" t="str">
        <f>IFERROR(__xludf.DUMMYFUNCTION("""COMPUTED_VALUE"""),"Touch Controls")</f>
        <v>Touch Controls</v>
      </c>
      <c r="D86" s="21" t="str">
        <f>IFERROR(__xludf.DUMMYFUNCTION("""COMPUTED_VALUE"""),"Active")</f>
        <v>Active</v>
      </c>
      <c r="E86" s="23">
        <f>IFERROR(__xludf.DUMMYFUNCTION("""COMPUTED_VALUE"""),43671.0)</f>
        <v>43671</v>
      </c>
      <c r="F86" s="24"/>
      <c r="G86" s="27">
        <f>IFERROR(__xludf.DUMMYFUNCTION("""COMPUTED_VALUE"""),86.36666666666666)</f>
        <v>86.36666667</v>
      </c>
      <c r="H86" s="23">
        <f>IFERROR(__xludf.DUMMYFUNCTION("""COMPUTED_VALUE"""),41600.0)</f>
        <v>41600</v>
      </c>
      <c r="I86" s="27">
        <f>IFERROR(__xludf.DUMMYFUNCTION("""COMPUTED_VALUE"""),5.675)</f>
        <v>5.675</v>
      </c>
      <c r="J86" s="29">
        <f>IFERROR(__xludf.DUMMYFUNCTION("""COMPUTED_VALUE"""),86.0)</f>
        <v>86</v>
      </c>
      <c r="K86" s="29">
        <f>IFERROR(__xludf.DUMMYFUNCTION("""COMPUTED_VALUE"""),2.0)</f>
        <v>2</v>
      </c>
      <c r="L86" s="31" t="str">
        <f>IFERROR(__xludf.DUMMYFUNCTION("""COMPUTED_VALUE"""),"Fighting")</f>
        <v>Fighting</v>
      </c>
      <c r="M86" s="31"/>
    </row>
    <row r="87">
      <c r="A87" s="17" t="str">
        <f>IFERROR(__xludf.DUMMYFUNCTION("""COMPUTED_VALUE"""),"Buckshot Roulette")</f>
        <v>Buckshot Roulette</v>
      </c>
      <c r="B87" s="20" t="str">
        <f>IFERROR(__xludf.DUMMYFUNCTION("""COMPUTED_VALUE"""),"Xbox / PC")</f>
        <v>Xbox / PC</v>
      </c>
      <c r="C87" s="21" t="str">
        <f>IFERROR(__xludf.DUMMYFUNCTION("""COMPUTED_VALUE"""),"Yes")</f>
        <v>Yes</v>
      </c>
      <c r="D87" s="21" t="str">
        <f>IFERROR(__xludf.DUMMYFUNCTION("""COMPUTED_VALUE"""),"Active")</f>
        <v>Active</v>
      </c>
      <c r="E87" s="23">
        <f>IFERROR(__xludf.DUMMYFUNCTION("""COMPUTED_VALUE"""),46211.0)</f>
        <v>46211</v>
      </c>
      <c r="F87" s="24"/>
      <c r="G87" s="27">
        <f>IFERROR(__xludf.DUMMYFUNCTION("""COMPUTED_VALUE"""),2.933333333333333)</f>
        <v>2.933333333</v>
      </c>
      <c r="H87" s="23">
        <f>IFERROR(__xludf.DUMMYFUNCTION("""COMPUTED_VALUE"""),45288.0)</f>
        <v>45288</v>
      </c>
      <c r="I87" s="27">
        <f>IFERROR(__xludf.DUMMYFUNCTION("""COMPUTED_VALUE"""),2.5277777777777777)</f>
        <v>2.527777778</v>
      </c>
      <c r="J87" s="29">
        <f>IFERROR(__xludf.DUMMYFUNCTION("""COMPUTED_VALUE"""),85.0)</f>
        <v>85</v>
      </c>
      <c r="K87" s="29">
        <f>IFERROR(__xludf.DUMMYFUNCTION("""COMPUTED_VALUE"""),1.0)</f>
        <v>1</v>
      </c>
      <c r="L87" s="31" t="str">
        <f>IFERROR(__xludf.DUMMYFUNCTION("""COMPUTED_VALUE"""),"Strategy")</f>
        <v>Strategy</v>
      </c>
      <c r="M87" s="31"/>
    </row>
    <row r="88">
      <c r="A88" s="17" t="str">
        <f>IFERROR(__xludf.DUMMYFUNCTION("""COMPUTED_VALUE"""),"TerraTech Legion")</f>
        <v>TerraTech Legion</v>
      </c>
      <c r="B88" s="20" t="str">
        <f>IFERROR(__xludf.DUMMYFUNCTION("""COMPUTED_VALUE"""),"Xbox / PC")</f>
        <v>Xbox / PC</v>
      </c>
      <c r="C88" s="21" t="str">
        <f>IFERROR(__xludf.DUMMYFUNCTION("""COMPUTED_VALUE"""),"Yes")</f>
        <v>Yes</v>
      </c>
      <c r="D88" s="21" t="str">
        <f>IFERROR(__xludf.DUMMYFUNCTION("""COMPUTED_VALUE"""),"Active")</f>
        <v>Active</v>
      </c>
      <c r="E88" s="23">
        <f>IFERROR(__xludf.DUMMYFUNCTION("""COMPUTED_VALUE"""),46142.0)</f>
        <v>46142</v>
      </c>
      <c r="F88" s="24"/>
      <c r="G88" s="27">
        <f>IFERROR(__xludf.DUMMYFUNCTION("""COMPUTED_VALUE"""),5.2)</f>
        <v>5.2</v>
      </c>
      <c r="H88" s="23">
        <f>IFERROR(__xludf.DUMMYFUNCTION("""COMPUTED_VALUE"""),46142.0)</f>
        <v>46142</v>
      </c>
      <c r="I88" s="27">
        <f>IFERROR(__xludf.DUMMYFUNCTION("""COMPUTED_VALUE"""),0.0)</f>
        <v>0</v>
      </c>
      <c r="J88" s="29">
        <f>IFERROR(__xludf.DUMMYFUNCTION("""COMPUTED_VALUE"""),85.0)</f>
        <v>85</v>
      </c>
      <c r="K88" s="29">
        <f>IFERROR(__xludf.DUMMYFUNCTION("""COMPUTED_VALUE"""),4.0)</f>
        <v>4</v>
      </c>
      <c r="L88" s="31" t="str">
        <f>IFERROR(__xludf.DUMMYFUNCTION("""COMPUTED_VALUE"""),"Action-Adventure")</f>
        <v>Action-Adventure</v>
      </c>
      <c r="M88" s="31" t="str">
        <f>IFERROR(__xludf.DUMMYFUNCTION("""COMPUTED_VALUE"""),"Exclusive")</f>
        <v>Exclusive</v>
      </c>
    </row>
    <row r="89">
      <c r="A89" s="17" t="str">
        <f>IFERROR(__xludf.DUMMYFUNCTION("""COMPUTED_VALUE"""),"Dice A Million")</f>
        <v>Dice A Million</v>
      </c>
      <c r="B89" s="20" t="str">
        <f>IFERROR(__xludf.DUMMYFUNCTION("""COMPUTED_VALUE"""),"Xbox / PC")</f>
        <v>Xbox / PC</v>
      </c>
      <c r="C89" s="21" t="str">
        <f>IFERROR(__xludf.DUMMYFUNCTION("""COMPUTED_VALUE"""),"Yes")</f>
        <v>Yes</v>
      </c>
      <c r="D89" s="21" t="str">
        <f>IFERROR(__xludf.DUMMYFUNCTION("""COMPUTED_VALUE"""),"Active")</f>
        <v>Active</v>
      </c>
      <c r="E89" s="23">
        <f>IFERROR(__xludf.DUMMYFUNCTION("""COMPUTED_VALUE"""),46078.0)</f>
        <v>46078</v>
      </c>
      <c r="F89" s="24"/>
      <c r="G89" s="27">
        <f>IFERROR(__xludf.DUMMYFUNCTION("""COMPUTED_VALUE"""),7.366666666666667)</f>
        <v>7.366666667</v>
      </c>
      <c r="H89" s="23">
        <f>IFERROR(__xludf.DUMMYFUNCTION("""COMPUTED_VALUE"""),46078.0)</f>
        <v>46078</v>
      </c>
      <c r="I89" s="27">
        <f>IFERROR(__xludf.DUMMYFUNCTION("""COMPUTED_VALUE"""),0.0)</f>
        <v>0</v>
      </c>
      <c r="J89" s="29">
        <f>IFERROR(__xludf.DUMMYFUNCTION("""COMPUTED_VALUE"""),85.0)</f>
        <v>85</v>
      </c>
      <c r="K89" s="29">
        <f>IFERROR(__xludf.DUMMYFUNCTION("""COMPUTED_VALUE"""),5.0)</f>
        <v>5</v>
      </c>
      <c r="L89" s="31" t="str">
        <f>IFERROR(__xludf.DUMMYFUNCTION("""COMPUTED_VALUE"""),"Strategy")</f>
        <v>Strategy</v>
      </c>
      <c r="M89" s="31" t="str">
        <f>IFERROR(__xludf.DUMMYFUNCTION("""COMPUTED_VALUE"""),"Exclusive")</f>
        <v>Exclusive</v>
      </c>
    </row>
    <row r="90">
      <c r="A90" s="17" t="str">
        <f>IFERROR(__xludf.DUMMYFUNCTION("""COMPUTED_VALUE"""),"Death Stranding: Director's Cut")</f>
        <v>Death Stranding: Director's Cut</v>
      </c>
      <c r="B90" s="20" t="str">
        <f>IFERROR(__xludf.DUMMYFUNCTION("""COMPUTED_VALUE"""),"Xbox / PC")</f>
        <v>Xbox / PC</v>
      </c>
      <c r="C90" s="21" t="str">
        <f>IFERROR(__xludf.DUMMYFUNCTION("""COMPUTED_VALUE"""),"Yes")</f>
        <v>Yes</v>
      </c>
      <c r="D90" s="21" t="str">
        <f>IFERROR(__xludf.DUMMYFUNCTION("""COMPUTED_VALUE"""),"Active")</f>
        <v>Active</v>
      </c>
      <c r="E90" s="23">
        <f>IFERROR(__xludf.DUMMYFUNCTION("""COMPUTED_VALUE"""),46043.0)</f>
        <v>46043</v>
      </c>
      <c r="F90" s="24"/>
      <c r="G90" s="27">
        <f>IFERROR(__xludf.DUMMYFUNCTION("""COMPUTED_VALUE"""),8.5)</f>
        <v>8.5</v>
      </c>
      <c r="H90" s="23">
        <f>IFERROR(__xludf.DUMMYFUNCTION("""COMPUTED_VALUE"""),44217.0)</f>
        <v>44217</v>
      </c>
      <c r="I90" s="27">
        <f>IFERROR(__xludf.DUMMYFUNCTION("""COMPUTED_VALUE"""),5.0)</f>
        <v>5</v>
      </c>
      <c r="J90" s="29">
        <f>IFERROR(__xludf.DUMMYFUNCTION("""COMPUTED_VALUE"""),85.0)</f>
        <v>85</v>
      </c>
      <c r="K90" s="29">
        <f>IFERROR(__xludf.DUMMYFUNCTION("""COMPUTED_VALUE"""),38.0)</f>
        <v>38</v>
      </c>
      <c r="L90" s="31" t="str">
        <f>IFERROR(__xludf.DUMMYFUNCTION("""COMPUTED_VALUE"""),"Action-Adventure")</f>
        <v>Action-Adventure</v>
      </c>
      <c r="M90" s="31" t="str">
        <f>IFERROR(__xludf.DUMMYFUNCTION("""COMPUTED_VALUE"""),"Exclusive")</f>
        <v>Exclusive</v>
      </c>
    </row>
    <row r="91">
      <c r="A91" s="17" t="str">
        <f>IFERROR(__xludf.DUMMYFUNCTION("""COMPUTED_VALUE"""),"Ice Hockey")</f>
        <v>Ice Hockey</v>
      </c>
      <c r="B91" s="20" t="str">
        <f>IFERROR(__xludf.DUMMYFUNCTION("""COMPUTED_VALUE"""),"Xbox / PC")</f>
        <v>Xbox / PC</v>
      </c>
      <c r="C91" s="21" t="str">
        <f>IFERROR(__xludf.DUMMYFUNCTION("""COMPUTED_VALUE"""),"Yes")</f>
        <v>Yes</v>
      </c>
      <c r="D91" s="21" t="str">
        <f>IFERROR(__xludf.DUMMYFUNCTION("""COMPUTED_VALUE"""),"Active")</f>
        <v>Active</v>
      </c>
      <c r="E91" s="23">
        <f>IFERROR(__xludf.DUMMYFUNCTION("""COMPUTED_VALUE"""),45945.0)</f>
        <v>45945</v>
      </c>
      <c r="F91" s="24"/>
      <c r="G91" s="27">
        <f>IFERROR(__xludf.DUMMYFUNCTION("""COMPUTED_VALUE"""),11.7)</f>
        <v>11.7</v>
      </c>
      <c r="H91" s="23">
        <f>IFERROR(__xludf.DUMMYFUNCTION("""COMPUTED_VALUE"""),29921.0)</f>
        <v>29921</v>
      </c>
      <c r="I91" s="27">
        <f>IFERROR(__xludf.DUMMYFUNCTION("""COMPUTED_VALUE"""),43.87222222222222)</f>
        <v>43.87222222</v>
      </c>
      <c r="J91" s="29">
        <f>IFERROR(__xludf.DUMMYFUNCTION("""COMPUTED_VALUE"""),85.0)</f>
        <v>85</v>
      </c>
      <c r="K91" s="29">
        <f>IFERROR(__xludf.DUMMYFUNCTION("""COMPUTED_VALUE"""),1.0)</f>
        <v>1</v>
      </c>
      <c r="L91" s="31" t="str">
        <f>IFERROR(__xludf.DUMMYFUNCTION("""COMPUTED_VALUE"""),"Sports")</f>
        <v>Sports</v>
      </c>
      <c r="M91" s="31"/>
    </row>
    <row r="92">
      <c r="A92" s="17" t="str">
        <f>IFERROR(__xludf.DUMMYFUNCTION("""COMPUTED_VALUE"""),"South Park: The Stick of Truth")</f>
        <v>South Park: The Stick of Truth</v>
      </c>
      <c r="B92" s="20" t="str">
        <f>IFERROR(__xludf.DUMMYFUNCTION("""COMPUTED_VALUE"""),"Xbox / PC")</f>
        <v>Xbox / PC</v>
      </c>
      <c r="C92" s="21" t="str">
        <f>IFERROR(__xludf.DUMMYFUNCTION("""COMPUTED_VALUE"""),"Yes")</f>
        <v>Yes</v>
      </c>
      <c r="D92" s="21" t="str">
        <f>IFERROR(__xludf.DUMMYFUNCTION("""COMPUTED_VALUE"""),"Active")</f>
        <v>Active</v>
      </c>
      <c r="E92" s="23">
        <f>IFERROR(__xludf.DUMMYFUNCTION("""COMPUTED_VALUE"""),45931.0)</f>
        <v>45931</v>
      </c>
      <c r="F92" s="24"/>
      <c r="G92" s="27">
        <f>IFERROR(__xludf.DUMMYFUNCTION("""COMPUTED_VALUE"""),12.166666666666666)</f>
        <v>12.16666667</v>
      </c>
      <c r="H92" s="23">
        <f>IFERROR(__xludf.DUMMYFUNCTION("""COMPUTED_VALUE"""),41702.0)</f>
        <v>41702</v>
      </c>
      <c r="I92" s="27">
        <f>IFERROR(__xludf.DUMMYFUNCTION("""COMPUTED_VALUE"""),11.575)</f>
        <v>11.575</v>
      </c>
      <c r="J92" s="29">
        <f>IFERROR(__xludf.DUMMYFUNCTION("""COMPUTED_VALUE"""),85.0)</f>
        <v>85</v>
      </c>
      <c r="K92" s="29">
        <f>IFERROR(__xludf.DUMMYFUNCTION("""COMPUTED_VALUE"""),12.0)</f>
        <v>12</v>
      </c>
      <c r="L92" s="31" t="str">
        <f>IFERROR(__xludf.DUMMYFUNCTION("""COMPUTED_VALUE"""),"RPG")</f>
        <v>RPG</v>
      </c>
      <c r="M92" s="31"/>
    </row>
    <row r="93">
      <c r="A93" s="17" t="str">
        <f>IFERROR(__xludf.DUMMYFUNCTION("""COMPUTED_VALUE"""),"Symphonia (2024)")</f>
        <v>Symphonia (2024)</v>
      </c>
      <c r="B93" s="20" t="str">
        <f>IFERROR(__xludf.DUMMYFUNCTION("""COMPUTED_VALUE"""),"Xbox / PC")</f>
        <v>Xbox / PC</v>
      </c>
      <c r="C93" s="21" t="str">
        <f>IFERROR(__xludf.DUMMYFUNCTION("""COMPUTED_VALUE"""),"Yes")</f>
        <v>Yes</v>
      </c>
      <c r="D93" s="21" t="str">
        <f>IFERROR(__xludf.DUMMYFUNCTION("""COMPUTED_VALUE"""),"Active")</f>
        <v>Active</v>
      </c>
      <c r="E93" s="23">
        <f>IFERROR(__xludf.DUMMYFUNCTION("""COMPUTED_VALUE"""),45811.0)</f>
        <v>45811</v>
      </c>
      <c r="F93" s="24"/>
      <c r="G93" s="27">
        <f>IFERROR(__xludf.DUMMYFUNCTION("""COMPUTED_VALUE"""),16.099999999999998)</f>
        <v>16.1</v>
      </c>
      <c r="H93" s="23">
        <f>IFERROR(__xludf.DUMMYFUNCTION("""COMPUTED_VALUE"""),45631.0)</f>
        <v>45631</v>
      </c>
      <c r="I93" s="27">
        <f>IFERROR(__xludf.DUMMYFUNCTION("""COMPUTED_VALUE"""),0.49444444444444446)</f>
        <v>0.4944444444</v>
      </c>
      <c r="J93" s="29">
        <f>IFERROR(__xludf.DUMMYFUNCTION("""COMPUTED_VALUE"""),85.0)</f>
        <v>85</v>
      </c>
      <c r="K93" s="29">
        <f>IFERROR(__xludf.DUMMYFUNCTION("""COMPUTED_VALUE"""),5.0)</f>
        <v>5</v>
      </c>
      <c r="L93" s="31" t="str">
        <f>IFERROR(__xludf.DUMMYFUNCTION("""COMPUTED_VALUE"""),"Platformer")</f>
        <v>Platformer</v>
      </c>
      <c r="M93" s="31"/>
    </row>
    <row r="94">
      <c r="A94" s="17" t="str">
        <f>IFERROR(__xludf.DUMMYFUNCTION("""COMPUTED_VALUE"""),"DOOM: The Dark Ages")</f>
        <v>DOOM: The Dark Ages</v>
      </c>
      <c r="B94" s="20" t="str">
        <f>IFERROR(__xludf.DUMMYFUNCTION("""COMPUTED_VALUE"""),"Xbox / PC")</f>
        <v>Xbox / PC</v>
      </c>
      <c r="C94" s="21" t="str">
        <f>IFERROR(__xludf.DUMMYFUNCTION("""COMPUTED_VALUE"""),"Yes")</f>
        <v>Yes</v>
      </c>
      <c r="D94" s="21" t="str">
        <f>IFERROR(__xludf.DUMMYFUNCTION("""COMPUTED_VALUE"""),"Active")</f>
        <v>Active</v>
      </c>
      <c r="E94" s="23">
        <f>IFERROR(__xludf.DUMMYFUNCTION("""COMPUTED_VALUE"""),45792.0)</f>
        <v>45792</v>
      </c>
      <c r="F94" s="24"/>
      <c r="G94" s="27">
        <f>IFERROR(__xludf.DUMMYFUNCTION("""COMPUTED_VALUE"""),16.7)</f>
        <v>16.7</v>
      </c>
      <c r="H94" s="23">
        <f>IFERROR(__xludf.DUMMYFUNCTION("""COMPUTED_VALUE"""),45792.0)</f>
        <v>45792</v>
      </c>
      <c r="I94" s="27">
        <f>IFERROR(__xludf.DUMMYFUNCTION("""COMPUTED_VALUE"""),0.0)</f>
        <v>0</v>
      </c>
      <c r="J94" s="29">
        <f>IFERROR(__xludf.DUMMYFUNCTION("""COMPUTED_VALUE"""),85.0)</f>
        <v>85</v>
      </c>
      <c r="K94" s="29">
        <f>IFERROR(__xludf.DUMMYFUNCTION("""COMPUTED_VALUE"""),13.0)</f>
        <v>13</v>
      </c>
      <c r="L94" s="31" t="str">
        <f>IFERROR(__xludf.DUMMYFUNCTION("""COMPUTED_VALUE"""),"Shooter")</f>
        <v>Shooter</v>
      </c>
      <c r="M94" s="31" t="str">
        <f>IFERROR(__xludf.DUMMYFUNCTION("""COMPUTED_VALUE"""),"Exclusive")</f>
        <v>Exclusive</v>
      </c>
    </row>
    <row r="95">
      <c r="A95" s="17" t="str">
        <f>IFERROR(__xludf.DUMMYFUNCTION("""COMPUTED_VALUE"""),"Far Cry 4")</f>
        <v>Far Cry 4</v>
      </c>
      <c r="B95" s="20" t="str">
        <f>IFERROR(__xludf.DUMMYFUNCTION("""COMPUTED_VALUE"""),"Xbox / PC")</f>
        <v>Xbox / PC</v>
      </c>
      <c r="C95" s="21" t="str">
        <f>IFERROR(__xludf.DUMMYFUNCTION("""COMPUTED_VALUE"""),"Yes")</f>
        <v>Yes</v>
      </c>
      <c r="D95" s="21" t="str">
        <f>IFERROR(__xludf.DUMMYFUNCTION("""COMPUTED_VALUE"""),"Active")</f>
        <v>Active</v>
      </c>
      <c r="E95" s="23">
        <f>IFERROR(__xludf.DUMMYFUNCTION("""COMPUTED_VALUE"""),45777.0)</f>
        <v>45777</v>
      </c>
      <c r="F95" s="24"/>
      <c r="G95" s="27">
        <f>IFERROR(__xludf.DUMMYFUNCTION("""COMPUTED_VALUE"""),17.2)</f>
        <v>17.2</v>
      </c>
      <c r="H95" s="23">
        <f>IFERROR(__xludf.DUMMYFUNCTION("""COMPUTED_VALUE"""),41961.0)</f>
        <v>41961</v>
      </c>
      <c r="I95" s="27">
        <f>IFERROR(__xludf.DUMMYFUNCTION("""COMPUTED_VALUE"""),10.45)</f>
        <v>10.45</v>
      </c>
      <c r="J95" s="29">
        <f>IFERROR(__xludf.DUMMYFUNCTION("""COMPUTED_VALUE"""),85.0)</f>
        <v>85</v>
      </c>
      <c r="K95" s="29">
        <f>IFERROR(__xludf.DUMMYFUNCTION("""COMPUTED_VALUE"""),18.0)</f>
        <v>18</v>
      </c>
      <c r="L95" s="31" t="str">
        <f>IFERROR(__xludf.DUMMYFUNCTION("""COMPUTED_VALUE"""),"Shooter")</f>
        <v>Shooter</v>
      </c>
      <c r="M95" s="31"/>
    </row>
    <row r="96">
      <c r="A96" s="17" t="str">
        <f>IFERROR(__xludf.DUMMYFUNCTION("""COMPUTED_VALUE"""),"Inscryption")</f>
        <v>Inscryption</v>
      </c>
      <c r="B96" s="20" t="str">
        <f>IFERROR(__xludf.DUMMYFUNCTION("""COMPUTED_VALUE"""),"Xbox / PC")</f>
        <v>Xbox / PC</v>
      </c>
      <c r="C96" s="21" t="str">
        <f>IFERROR(__xludf.DUMMYFUNCTION("""COMPUTED_VALUE"""),"Yes")</f>
        <v>Yes</v>
      </c>
      <c r="D96" s="21" t="str">
        <f>IFERROR(__xludf.DUMMYFUNCTION("""COMPUTED_VALUE"""),"Active")</f>
        <v>Active</v>
      </c>
      <c r="E96" s="23">
        <f>IFERROR(__xludf.DUMMYFUNCTION("""COMPUTED_VALUE"""),45575.0)</f>
        <v>45575</v>
      </c>
      <c r="F96" s="24"/>
      <c r="G96" s="27">
        <f>IFERROR(__xludf.DUMMYFUNCTION("""COMPUTED_VALUE"""),23.866666666666667)</f>
        <v>23.86666667</v>
      </c>
      <c r="H96" s="23">
        <f>IFERROR(__xludf.DUMMYFUNCTION("""COMPUTED_VALUE"""),44488.0)</f>
        <v>44488</v>
      </c>
      <c r="I96" s="27">
        <f>IFERROR(__xludf.DUMMYFUNCTION("""COMPUTED_VALUE"""),2.975)</f>
        <v>2.975</v>
      </c>
      <c r="J96" s="29">
        <f>IFERROR(__xludf.DUMMYFUNCTION("""COMPUTED_VALUE"""),85.0)</f>
        <v>85</v>
      </c>
      <c r="K96" s="29">
        <f>IFERROR(__xludf.DUMMYFUNCTION("""COMPUTED_VALUE"""),13.0)</f>
        <v>13</v>
      </c>
      <c r="L96" s="31" t="str">
        <f>IFERROR(__xludf.DUMMYFUNCTION("""COMPUTED_VALUE"""),"Card Battle")</f>
        <v>Card Battle</v>
      </c>
      <c r="M96" s="31"/>
    </row>
    <row r="97">
      <c r="A97" s="17" t="str">
        <f>IFERROR(__xludf.DUMMYFUNCTION("""COMPUTED_VALUE"""),"Control: Ultimate Edition")</f>
        <v>Control: Ultimate Edition</v>
      </c>
      <c r="B97" s="20" t="str">
        <f>IFERROR(__xludf.DUMMYFUNCTION("""COMPUTED_VALUE"""),"Xbox / PC")</f>
        <v>Xbox / PC</v>
      </c>
      <c r="C97" s="21" t="str">
        <f>IFERROR(__xludf.DUMMYFUNCTION("""COMPUTED_VALUE"""),"Yes")</f>
        <v>Yes</v>
      </c>
      <c r="D97" s="21" t="str">
        <f>IFERROR(__xludf.DUMMYFUNCTION("""COMPUTED_VALUE"""),"Active")</f>
        <v>Active</v>
      </c>
      <c r="E97" s="23">
        <f>IFERROR(__xludf.DUMMYFUNCTION("""COMPUTED_VALUE"""),45364.0)</f>
        <v>45364</v>
      </c>
      <c r="F97" s="24"/>
      <c r="G97" s="27">
        <f>IFERROR(__xludf.DUMMYFUNCTION("""COMPUTED_VALUE"""),30.76666666666667)</f>
        <v>30.76666667</v>
      </c>
      <c r="H97" s="23">
        <f>IFERROR(__xludf.DUMMYFUNCTION("""COMPUTED_VALUE"""),44229.0)</f>
        <v>44229</v>
      </c>
      <c r="I97" s="27">
        <f>IFERROR(__xludf.DUMMYFUNCTION("""COMPUTED_VALUE"""),3.113888888888889)</f>
        <v>3.113888889</v>
      </c>
      <c r="J97" s="29">
        <f>IFERROR(__xludf.DUMMYFUNCTION("""COMPUTED_VALUE"""),85.0)</f>
        <v>85</v>
      </c>
      <c r="K97" s="29">
        <f>IFERROR(__xludf.DUMMYFUNCTION("""COMPUTED_VALUE"""),13.0)</f>
        <v>13</v>
      </c>
      <c r="L97" s="31" t="str">
        <f>IFERROR(__xludf.DUMMYFUNCTION("""COMPUTED_VALUE"""),"Action")</f>
        <v>Action</v>
      </c>
      <c r="M97" s="31"/>
    </row>
    <row r="98">
      <c r="A98" s="17" t="str">
        <f>IFERROR(__xludf.DUMMYFUNCTION("""COMPUTED_VALUE"""),"Forza Motorsport (2023)")</f>
        <v>Forza Motorsport (2023)</v>
      </c>
      <c r="B98" s="20" t="str">
        <f>IFERROR(__xludf.DUMMYFUNCTION("""COMPUTED_VALUE"""),"Xbox / PC")</f>
        <v>Xbox / PC</v>
      </c>
      <c r="C98" s="21" t="str">
        <f>IFERROR(__xludf.DUMMYFUNCTION("""COMPUTED_VALUE"""),"Yes")</f>
        <v>Yes</v>
      </c>
      <c r="D98" s="21" t="str">
        <f>IFERROR(__xludf.DUMMYFUNCTION("""COMPUTED_VALUE"""),"Active")</f>
        <v>Active</v>
      </c>
      <c r="E98" s="23">
        <f>IFERROR(__xludf.DUMMYFUNCTION("""COMPUTED_VALUE"""),45209.0)</f>
        <v>45209</v>
      </c>
      <c r="F98" s="24"/>
      <c r="G98" s="27">
        <f>IFERROR(__xludf.DUMMYFUNCTION("""COMPUTED_VALUE"""),35.86666666666667)</f>
        <v>35.86666667</v>
      </c>
      <c r="H98" s="23">
        <f>IFERROR(__xludf.DUMMYFUNCTION("""COMPUTED_VALUE"""),45209.0)</f>
        <v>45209</v>
      </c>
      <c r="I98" s="27">
        <f>IFERROR(__xludf.DUMMYFUNCTION("""COMPUTED_VALUE"""),0.0)</f>
        <v>0</v>
      </c>
      <c r="J98" s="29">
        <f>IFERROR(__xludf.DUMMYFUNCTION("""COMPUTED_VALUE"""),85.0)</f>
        <v>85</v>
      </c>
      <c r="K98" s="29">
        <f>IFERROR(__xludf.DUMMYFUNCTION("""COMPUTED_VALUE"""),8.0)</f>
        <v>8</v>
      </c>
      <c r="L98" s="31" t="str">
        <f>IFERROR(__xludf.DUMMYFUNCTION("""COMPUTED_VALUE"""),"Racing")</f>
        <v>Racing</v>
      </c>
      <c r="M98" s="31" t="str">
        <f>IFERROR(__xludf.DUMMYFUNCTION("""COMPUTED_VALUE"""),"Exclusive")</f>
        <v>Exclusive</v>
      </c>
    </row>
    <row r="99">
      <c r="A99" s="17" t="str">
        <f>IFERROR(__xludf.DUMMYFUNCTION("""COMPUTED_VALUE"""),"Limbo")</f>
        <v>Limbo</v>
      </c>
      <c r="B99" s="20" t="str">
        <f>IFERROR(__xludf.DUMMYFUNCTION("""COMPUTED_VALUE"""),"Xbox / PC")</f>
        <v>Xbox / PC</v>
      </c>
      <c r="C99" s="21" t="str">
        <f>IFERROR(__xludf.DUMMYFUNCTION("""COMPUTED_VALUE"""),"Yes")</f>
        <v>Yes</v>
      </c>
      <c r="D99" s="21" t="str">
        <f>IFERROR(__xludf.DUMMYFUNCTION("""COMPUTED_VALUE"""),"Active")</f>
        <v>Active</v>
      </c>
      <c r="E99" s="23">
        <f>IFERROR(__xludf.DUMMYFUNCTION("""COMPUTED_VALUE"""),45147.0)</f>
        <v>45147</v>
      </c>
      <c r="F99" s="24"/>
      <c r="G99" s="27">
        <f>IFERROR(__xludf.DUMMYFUNCTION("""COMPUTED_VALUE"""),37.9)</f>
        <v>37.9</v>
      </c>
      <c r="H99" s="23">
        <f>IFERROR(__xludf.DUMMYFUNCTION("""COMPUTED_VALUE"""),40380.0)</f>
        <v>40380</v>
      </c>
      <c r="I99" s="27">
        <f>IFERROR(__xludf.DUMMYFUNCTION("""COMPUTED_VALUE"""),13.05)</f>
        <v>13.05</v>
      </c>
      <c r="J99" s="29">
        <f>IFERROR(__xludf.DUMMYFUNCTION("""COMPUTED_VALUE"""),85.0)</f>
        <v>85</v>
      </c>
      <c r="K99" s="29">
        <f>IFERROR(__xludf.DUMMYFUNCTION("""COMPUTED_VALUE"""),3.5)</f>
        <v>3.5</v>
      </c>
      <c r="L99" s="31" t="str">
        <f>IFERROR(__xludf.DUMMYFUNCTION("""COMPUTED_VALUE"""),"Platformer")</f>
        <v>Platformer</v>
      </c>
      <c r="M99" s="31"/>
    </row>
    <row r="100">
      <c r="A100" s="17" t="str">
        <f>IFERROR(__xludf.DUMMYFUNCTION("""COMPUTED_VALUE"""),"Wolfenstein 3D")</f>
        <v>Wolfenstein 3D</v>
      </c>
      <c r="B100" s="20" t="str">
        <f>IFERROR(__xludf.DUMMYFUNCTION("""COMPUTED_VALUE"""),"Xbox / PC")</f>
        <v>Xbox / PC</v>
      </c>
      <c r="C100" s="21" t="str">
        <f>IFERROR(__xludf.DUMMYFUNCTION("""COMPUTED_VALUE"""),"Yes")</f>
        <v>Yes</v>
      </c>
      <c r="D100" s="21" t="str">
        <f>IFERROR(__xludf.DUMMYFUNCTION("""COMPUTED_VALUE"""),"Active")</f>
        <v>Active</v>
      </c>
      <c r="E100" s="23">
        <f>IFERROR(__xludf.DUMMYFUNCTION("""COMPUTED_VALUE"""),44791.0)</f>
        <v>44791</v>
      </c>
      <c r="F100" s="24"/>
      <c r="G100" s="27">
        <f>IFERROR(__xludf.DUMMYFUNCTION("""COMPUTED_VALUE"""),49.60000000000001)</f>
        <v>49.6</v>
      </c>
      <c r="H100" s="23">
        <f>IFERROR(__xludf.DUMMYFUNCTION("""COMPUTED_VALUE"""),33729.0)</f>
        <v>33729</v>
      </c>
      <c r="I100" s="27">
        <f>IFERROR(__xludf.DUMMYFUNCTION("""COMPUTED_VALUE"""),30.28611111111111)</f>
        <v>30.28611111</v>
      </c>
      <c r="J100" s="29">
        <f>IFERROR(__xludf.DUMMYFUNCTION("""COMPUTED_VALUE"""),85.0)</f>
        <v>85</v>
      </c>
      <c r="K100" s="29">
        <f>IFERROR(__xludf.DUMMYFUNCTION("""COMPUTED_VALUE"""),6.5)</f>
        <v>6.5</v>
      </c>
      <c r="L100" s="31" t="str">
        <f>IFERROR(__xludf.DUMMYFUNCTION("""COMPUTED_VALUE"""),"Shooter")</f>
        <v>Shooter</v>
      </c>
      <c r="M100" s="31"/>
    </row>
    <row r="101">
      <c r="A101" s="17" t="str">
        <f>IFERROR(__xludf.DUMMYFUNCTION("""COMPUTED_VALUE"""),"Among Us")</f>
        <v>Among Us</v>
      </c>
      <c r="B101" s="20" t="str">
        <f>IFERROR(__xludf.DUMMYFUNCTION("""COMPUTED_VALUE"""),"Xbox / PC")</f>
        <v>Xbox / PC</v>
      </c>
      <c r="C101" s="21" t="str">
        <f>IFERROR(__xludf.DUMMYFUNCTION("""COMPUTED_VALUE"""),"Touch Controls")</f>
        <v>Touch Controls</v>
      </c>
      <c r="D101" s="21" t="str">
        <f>IFERROR(__xludf.DUMMYFUNCTION("""COMPUTED_VALUE"""),"Active")</f>
        <v>Active</v>
      </c>
      <c r="E101" s="23">
        <f>IFERROR(__xludf.DUMMYFUNCTION("""COMPUTED_VALUE"""),44182.0)</f>
        <v>44182</v>
      </c>
      <c r="F101" s="24"/>
      <c r="G101" s="27">
        <f>IFERROR(__xludf.DUMMYFUNCTION("""COMPUTED_VALUE"""),69.63333333333334)</f>
        <v>69.63333333</v>
      </c>
      <c r="H101" s="23">
        <f>IFERROR(__xludf.DUMMYFUNCTION("""COMPUTED_VALUE"""),43267.0)</f>
        <v>43267</v>
      </c>
      <c r="I101" s="27">
        <f>IFERROR(__xludf.DUMMYFUNCTION("""COMPUTED_VALUE"""),2.5027777777777778)</f>
        <v>2.502777778</v>
      </c>
      <c r="J101" s="29">
        <f>IFERROR(__xludf.DUMMYFUNCTION("""COMPUTED_VALUE"""),85.0)</f>
        <v>85</v>
      </c>
      <c r="K101" s="29">
        <f>IFERROR(__xludf.DUMMYFUNCTION("""COMPUTED_VALUE"""),14.0)</f>
        <v>14</v>
      </c>
      <c r="L101" s="31" t="str">
        <f>IFERROR(__xludf.DUMMYFUNCTION("""COMPUTED_VALUE"""),"Strategy")</f>
        <v>Strategy</v>
      </c>
      <c r="M101" s="31"/>
    </row>
    <row r="102">
      <c r="A102" s="17" t="str">
        <f>IFERROR(__xludf.DUMMYFUNCTION("""COMPUTED_VALUE"""),"The Outer Worlds")</f>
        <v>The Outer Worlds</v>
      </c>
      <c r="B102" s="20" t="str">
        <f>IFERROR(__xludf.DUMMYFUNCTION("""COMPUTED_VALUE"""),"Xbox / PC")</f>
        <v>Xbox / PC</v>
      </c>
      <c r="C102" s="21" t="str">
        <f>IFERROR(__xludf.DUMMYFUNCTION("""COMPUTED_VALUE"""),"Yes")</f>
        <v>Yes</v>
      </c>
      <c r="D102" s="21" t="str">
        <f>IFERROR(__xludf.DUMMYFUNCTION("""COMPUTED_VALUE"""),"Active")</f>
        <v>Active</v>
      </c>
      <c r="E102" s="23">
        <f>IFERROR(__xludf.DUMMYFUNCTION("""COMPUTED_VALUE"""),43763.0)</f>
        <v>43763</v>
      </c>
      <c r="F102" s="24"/>
      <c r="G102" s="27">
        <f>IFERROR(__xludf.DUMMYFUNCTION("""COMPUTED_VALUE"""),83.36666666666666)</f>
        <v>83.36666667</v>
      </c>
      <c r="H102" s="23">
        <f>IFERROR(__xludf.DUMMYFUNCTION("""COMPUTED_VALUE"""),43763.0)</f>
        <v>43763</v>
      </c>
      <c r="I102" s="27">
        <f>IFERROR(__xludf.DUMMYFUNCTION("""COMPUTED_VALUE"""),0.0)</f>
        <v>0</v>
      </c>
      <c r="J102" s="29">
        <f>IFERROR(__xludf.DUMMYFUNCTION("""COMPUTED_VALUE"""),85.0)</f>
        <v>85</v>
      </c>
      <c r="K102" s="29">
        <f>IFERROR(__xludf.DUMMYFUNCTION("""COMPUTED_VALUE"""),12.0)</f>
        <v>12</v>
      </c>
      <c r="L102" s="31" t="str">
        <f>IFERROR(__xludf.DUMMYFUNCTION("""COMPUTED_VALUE"""),"Shooter")</f>
        <v>Shooter</v>
      </c>
      <c r="M102" s="31"/>
    </row>
    <row r="103">
      <c r="A103" s="17" t="str">
        <f>IFERROR(__xludf.DUMMYFUNCTION("""COMPUTED_VALUE"""),"Batman: Arkham Knight")</f>
        <v>Batman: Arkham Knight</v>
      </c>
      <c r="B103" s="20" t="str">
        <f>IFERROR(__xludf.DUMMYFUNCTION("""COMPUTED_VALUE"""),"Xbox / PC")</f>
        <v>Xbox / PC</v>
      </c>
      <c r="C103" s="21" t="str">
        <f>IFERROR(__xludf.DUMMYFUNCTION("""COMPUTED_VALUE"""),"Yes")</f>
        <v>Yes</v>
      </c>
      <c r="D103" s="21" t="str">
        <f>IFERROR(__xludf.DUMMYFUNCTION("""COMPUTED_VALUE"""),"Active")</f>
        <v>Active</v>
      </c>
      <c r="E103" s="23">
        <f>IFERROR(__xludf.DUMMYFUNCTION("""COMPUTED_VALUE"""),43625.0)</f>
        <v>43625</v>
      </c>
      <c r="F103" s="24"/>
      <c r="G103" s="27">
        <f>IFERROR(__xludf.DUMMYFUNCTION("""COMPUTED_VALUE"""),87.9)</f>
        <v>87.9</v>
      </c>
      <c r="H103" s="23">
        <f>IFERROR(__xludf.DUMMYFUNCTION("""COMPUTED_VALUE"""),42178.0)</f>
        <v>42178</v>
      </c>
      <c r="I103" s="27">
        <f>IFERROR(__xludf.DUMMYFUNCTION("""COMPUTED_VALUE"""),3.9611111111111112)</f>
        <v>3.961111111</v>
      </c>
      <c r="J103" s="29">
        <f>IFERROR(__xludf.DUMMYFUNCTION("""COMPUTED_VALUE"""),85.0)</f>
        <v>85</v>
      </c>
      <c r="K103" s="29">
        <f>IFERROR(__xludf.DUMMYFUNCTION("""COMPUTED_VALUE"""),16.5)</f>
        <v>16.5</v>
      </c>
      <c r="L103" s="31" t="str">
        <f>IFERROR(__xludf.DUMMYFUNCTION("""COMPUTED_VALUE"""),"Action-Adventure")</f>
        <v>Action-Adventure</v>
      </c>
      <c r="M103" s="31"/>
    </row>
    <row r="104">
      <c r="A104" s="17" t="str">
        <f>IFERROR(__xludf.DUMMYFUNCTION("""COMPUTED_VALUE"""),"Halo: The Master Chief Collection")</f>
        <v>Halo: The Master Chief Collection</v>
      </c>
      <c r="B104" s="20" t="str">
        <f>IFERROR(__xludf.DUMMYFUNCTION("""COMPUTED_VALUE"""),"Xbox / PC")</f>
        <v>Xbox / PC</v>
      </c>
      <c r="C104" s="21" t="str">
        <f>IFERROR(__xludf.DUMMYFUNCTION("""COMPUTED_VALUE"""),"Yes")</f>
        <v>Yes</v>
      </c>
      <c r="D104" s="21" t="str">
        <f>IFERROR(__xludf.DUMMYFUNCTION("""COMPUTED_VALUE"""),"Active")</f>
        <v>Active</v>
      </c>
      <c r="E104" s="23">
        <f>IFERROR(__xludf.DUMMYFUNCTION("""COMPUTED_VALUE"""),43344.0)</f>
        <v>43344</v>
      </c>
      <c r="F104" s="24"/>
      <c r="G104" s="27">
        <f>IFERROR(__xludf.DUMMYFUNCTION("""COMPUTED_VALUE"""),97.16666666666666)</f>
        <v>97.16666667</v>
      </c>
      <c r="H104" s="23">
        <f>IFERROR(__xludf.DUMMYFUNCTION("""COMPUTED_VALUE"""),41954.0)</f>
        <v>41954</v>
      </c>
      <c r="I104" s="27">
        <f>IFERROR(__xludf.DUMMYFUNCTION("""COMPUTED_VALUE"""),3.8055555555555554)</f>
        <v>3.805555556</v>
      </c>
      <c r="J104" s="29">
        <f>IFERROR(__xludf.DUMMYFUNCTION("""COMPUTED_VALUE"""),85.0)</f>
        <v>85</v>
      </c>
      <c r="K104" s="29">
        <f>IFERROR(__xludf.DUMMYFUNCTION("""COMPUTED_VALUE"""),52.5)</f>
        <v>52.5</v>
      </c>
      <c r="L104" s="31" t="str">
        <f>IFERROR(__xludf.DUMMYFUNCTION("""COMPUTED_VALUE"""),"Shooter")</f>
        <v>Shooter</v>
      </c>
      <c r="M104" s="31" t="str">
        <f>IFERROR(__xludf.DUMMYFUNCTION("""COMPUTED_VALUE"""),"Optimized")</f>
        <v>Optimized</v>
      </c>
    </row>
    <row r="105">
      <c r="A105" s="17" t="str">
        <f>IFERROR(__xludf.DUMMYFUNCTION("""COMPUTED_VALUE"""),"A Plague Tale: Requiem")</f>
        <v>A Plague Tale: Requiem</v>
      </c>
      <c r="B105" s="20" t="str">
        <f>IFERROR(__xludf.DUMMYFUNCTION("""COMPUTED_VALUE"""),"Xbox / PC")</f>
        <v>Xbox / PC</v>
      </c>
      <c r="C105" s="21" t="str">
        <f>IFERROR(__xludf.DUMMYFUNCTION("""COMPUTED_VALUE"""),"Yes")</f>
        <v>Yes</v>
      </c>
      <c r="D105" s="21" t="str">
        <f>IFERROR(__xludf.DUMMYFUNCTION("""COMPUTED_VALUE"""),"Leaving Soon")</f>
        <v>Leaving Soon</v>
      </c>
      <c r="E105" s="23">
        <f>IFERROR(__xludf.DUMMYFUNCTION("""COMPUTED_VALUE"""),44852.0)</f>
        <v>44852</v>
      </c>
      <c r="F105" s="24">
        <f>IFERROR(__xludf.DUMMYFUNCTION("""COMPUTED_VALUE"""),46310.0)</f>
        <v>46310</v>
      </c>
      <c r="G105" s="27">
        <f>IFERROR(__xludf.DUMMYFUNCTION("""COMPUTED_VALUE"""),47.9)</f>
        <v>47.9</v>
      </c>
      <c r="H105" s="23">
        <f>IFERROR(__xludf.DUMMYFUNCTION("""COMPUTED_VALUE"""),44852.0)</f>
        <v>44852</v>
      </c>
      <c r="I105" s="27">
        <f>IFERROR(__xludf.DUMMYFUNCTION("""COMPUTED_VALUE"""),0.0)</f>
        <v>0</v>
      </c>
      <c r="J105" s="29">
        <f>IFERROR(__xludf.DUMMYFUNCTION("""COMPUTED_VALUE"""),85.0)</f>
        <v>85</v>
      </c>
      <c r="K105" s="29">
        <f>IFERROR(__xludf.DUMMYFUNCTION("""COMPUTED_VALUE"""),15.0)</f>
        <v>15</v>
      </c>
      <c r="L105" s="31" t="str">
        <f>IFERROR(__xludf.DUMMYFUNCTION("""COMPUTED_VALUE"""),"Action-Adventure")</f>
        <v>Action-Adventure</v>
      </c>
      <c r="M105" s="31" t="str">
        <f>IFERROR(__xludf.DUMMYFUNCTION("""COMPUTED_VALUE"""),"Exclusive")</f>
        <v>Exclusive</v>
      </c>
    </row>
    <row r="106">
      <c r="A106" s="17" t="str">
        <f>IFERROR(__xludf.DUMMYFUNCTION("""COMPUTED_VALUE"""),"Assassin's Creed Origins")</f>
        <v>Assassin's Creed Origins</v>
      </c>
      <c r="B106" s="20" t="str">
        <f>IFERROR(__xludf.DUMMYFUNCTION("""COMPUTED_VALUE"""),"Xbox / PC")</f>
        <v>Xbox / PC</v>
      </c>
      <c r="C106" s="21" t="str">
        <f>IFERROR(__xludf.DUMMYFUNCTION("""COMPUTED_VALUE"""),"Touch Controls")</f>
        <v>Touch Controls</v>
      </c>
      <c r="D106" s="21" t="str">
        <f>IFERROR(__xludf.DUMMYFUNCTION("""COMPUTED_VALUE"""),"Active")</f>
        <v>Active</v>
      </c>
      <c r="E106" s="23">
        <f>IFERROR(__xludf.DUMMYFUNCTION("""COMPUTED_VALUE"""),44719.0)</f>
        <v>44719</v>
      </c>
      <c r="F106" s="24"/>
      <c r="G106" s="27">
        <f>IFERROR(__xludf.DUMMYFUNCTION("""COMPUTED_VALUE"""),51.96666666666667)</f>
        <v>51.96666667</v>
      </c>
      <c r="H106" s="23">
        <f>IFERROR(__xludf.DUMMYFUNCTION("""COMPUTED_VALUE"""),43035.0)</f>
        <v>43035</v>
      </c>
      <c r="I106" s="27">
        <f>IFERROR(__xludf.DUMMYFUNCTION("""COMPUTED_VALUE"""),4.611111111111111)</f>
        <v>4.611111111</v>
      </c>
      <c r="J106" s="29">
        <f>IFERROR(__xludf.DUMMYFUNCTION("""COMPUTED_VALUE"""),84.5)</f>
        <v>84.5</v>
      </c>
      <c r="K106" s="29">
        <f>IFERROR(__xludf.DUMMYFUNCTION("""COMPUTED_VALUE"""),30.0)</f>
        <v>30</v>
      </c>
      <c r="L106" s="31" t="str">
        <f>IFERROR(__xludf.DUMMYFUNCTION("""COMPUTED_VALUE"""),"RPG")</f>
        <v>RPG</v>
      </c>
      <c r="M106" s="31"/>
    </row>
    <row r="107">
      <c r="A107" s="17" t="str">
        <f>IFERROR(__xludf.DUMMYFUNCTION("""COMPUTED_VALUE"""),"Shape of Dreams")</f>
        <v>Shape of Dreams</v>
      </c>
      <c r="B107" s="20" t="str">
        <f>IFERROR(__xludf.DUMMYFUNCTION("""COMPUTED_VALUE"""),"Xbox / PC")</f>
        <v>Xbox / PC</v>
      </c>
      <c r="C107" s="21" t="str">
        <f>IFERROR(__xludf.DUMMYFUNCTION("""COMPUTED_VALUE"""),"Yes")</f>
        <v>Yes</v>
      </c>
      <c r="D107" s="21" t="str">
        <f>IFERROR(__xludf.DUMMYFUNCTION("""COMPUTED_VALUE"""),"Active")</f>
        <v>Active</v>
      </c>
      <c r="E107" s="23">
        <f>IFERROR(__xludf.DUMMYFUNCTION("""COMPUTED_VALUE"""),46282.0)</f>
        <v>46282</v>
      </c>
      <c r="F107" s="24"/>
      <c r="G107" s="27">
        <f>IFERROR(__xludf.DUMMYFUNCTION("""COMPUTED_VALUE"""),0.6333333333333333)</f>
        <v>0.6333333333</v>
      </c>
      <c r="H107" s="23">
        <f>IFERROR(__xludf.DUMMYFUNCTION("""COMPUTED_VALUE"""),45910.0)</f>
        <v>45910</v>
      </c>
      <c r="I107" s="27">
        <f>IFERROR(__xludf.DUMMYFUNCTION("""COMPUTED_VALUE"""),1.0194444444444444)</f>
        <v>1.019444444</v>
      </c>
      <c r="J107" s="29">
        <f>IFERROR(__xludf.DUMMYFUNCTION("""COMPUTED_VALUE"""),84.0)</f>
        <v>84</v>
      </c>
      <c r="K107" s="29">
        <f>IFERROR(__xludf.DUMMYFUNCTION("""COMPUTED_VALUE"""),9.0)</f>
        <v>9</v>
      </c>
      <c r="L107" s="31" t="str">
        <f>IFERROR(__xludf.DUMMYFUNCTION("""COMPUTED_VALUE"""),"RPG")</f>
        <v>RPG</v>
      </c>
      <c r="M107" s="31"/>
    </row>
    <row r="108">
      <c r="A108" s="17" t="str">
        <f>IFERROR(__xludf.DUMMYFUNCTION("""COMPUTED_VALUE"""),"Remnant II")</f>
        <v>Remnant II</v>
      </c>
      <c r="B108" s="20" t="str">
        <f>IFERROR(__xludf.DUMMYFUNCTION("""COMPUTED_VALUE"""),"Xbox / PC")</f>
        <v>Xbox / PC</v>
      </c>
      <c r="C108" s="21" t="str">
        <f>IFERROR(__xludf.DUMMYFUNCTION("""COMPUTED_VALUE"""),"Yes")</f>
        <v>Yes</v>
      </c>
      <c r="D108" s="21" t="str">
        <f>IFERROR(__xludf.DUMMYFUNCTION("""COMPUTED_VALUE"""),"Active")</f>
        <v>Active</v>
      </c>
      <c r="E108" s="23">
        <f>IFERROR(__xludf.DUMMYFUNCTION("""COMPUTED_VALUE"""),46162.0)</f>
        <v>46162</v>
      </c>
      <c r="F108" s="24"/>
      <c r="G108" s="27">
        <f>IFERROR(__xludf.DUMMYFUNCTION("""COMPUTED_VALUE"""),4.533333333333333)</f>
        <v>4.533333333</v>
      </c>
      <c r="H108" s="23">
        <f>IFERROR(__xludf.DUMMYFUNCTION("""COMPUTED_VALUE"""),45132.0)</f>
        <v>45132</v>
      </c>
      <c r="I108" s="27">
        <f>IFERROR(__xludf.DUMMYFUNCTION("""COMPUTED_VALUE"""),2.8194444444444446)</f>
        <v>2.819444444</v>
      </c>
      <c r="J108" s="29">
        <f>IFERROR(__xludf.DUMMYFUNCTION("""COMPUTED_VALUE"""),84.0)</f>
        <v>84</v>
      </c>
      <c r="K108" s="29">
        <f>IFERROR(__xludf.DUMMYFUNCTION("""COMPUTED_VALUE"""),18.0)</f>
        <v>18</v>
      </c>
      <c r="L108" s="31" t="str">
        <f>IFERROR(__xludf.DUMMYFUNCTION("""COMPUTED_VALUE"""),"RPG")</f>
        <v>RPG</v>
      </c>
      <c r="M108" s="31"/>
    </row>
    <row r="109">
      <c r="A109" s="17" t="str">
        <f>IFERROR(__xludf.DUMMYFUNCTION("""COMPUTED_VALUE"""),"Beyond Zork: The Coconut of Quendor")</f>
        <v>Beyond Zork: The Coconut of Quendor</v>
      </c>
      <c r="B109" s="20" t="str">
        <f>IFERROR(__xludf.DUMMYFUNCTION("""COMPUTED_VALUE"""),"Xbox / PC")</f>
        <v>Xbox / PC</v>
      </c>
      <c r="C109" s="21" t="str">
        <f>IFERROR(__xludf.DUMMYFUNCTION("""COMPUTED_VALUE"""),"Yes")</f>
        <v>Yes</v>
      </c>
      <c r="D109" s="21" t="str">
        <f>IFERROR(__xludf.DUMMYFUNCTION("""COMPUTED_VALUE"""),"Active")</f>
        <v>Active</v>
      </c>
      <c r="E109" s="23">
        <f>IFERROR(__xludf.DUMMYFUNCTION("""COMPUTED_VALUE"""),46072.0)</f>
        <v>46072</v>
      </c>
      <c r="F109" s="24"/>
      <c r="G109" s="27">
        <f>IFERROR(__xludf.DUMMYFUNCTION("""COMPUTED_VALUE"""),7.566666666666666)</f>
        <v>7.566666667</v>
      </c>
      <c r="H109" s="23">
        <f>IFERROR(__xludf.DUMMYFUNCTION("""COMPUTED_VALUE"""),32051.0)</f>
        <v>32051</v>
      </c>
      <c r="I109" s="27">
        <f>IFERROR(__xludf.DUMMYFUNCTION("""COMPUTED_VALUE"""),38.38333333333333)</f>
        <v>38.38333333</v>
      </c>
      <c r="J109" s="29">
        <f>IFERROR(__xludf.DUMMYFUNCTION("""COMPUTED_VALUE"""),84.0)</f>
        <v>84</v>
      </c>
      <c r="K109" s="29">
        <f>IFERROR(__xludf.DUMMYFUNCTION("""COMPUTED_VALUE"""),1.0)</f>
        <v>1</v>
      </c>
      <c r="L109" s="31" t="str">
        <f>IFERROR(__xludf.DUMMYFUNCTION("""COMPUTED_VALUE"""),"Action-Adventure")</f>
        <v>Action-Adventure</v>
      </c>
      <c r="M109" s="31"/>
    </row>
    <row r="110">
      <c r="A110" s="17" t="str">
        <f>IFERROR(__xludf.DUMMYFUNCTION("""COMPUTED_VALUE"""),"Ninja Gaiden: Ragebound")</f>
        <v>Ninja Gaiden: Ragebound</v>
      </c>
      <c r="B110" s="20" t="str">
        <f>IFERROR(__xludf.DUMMYFUNCTION("""COMPUTED_VALUE"""),"Xbox / PC")</f>
        <v>Xbox / PC</v>
      </c>
      <c r="C110" s="21" t="str">
        <f>IFERROR(__xludf.DUMMYFUNCTION("""COMPUTED_VALUE"""),"Yes")</f>
        <v>Yes</v>
      </c>
      <c r="D110" s="21" t="str">
        <f>IFERROR(__xludf.DUMMYFUNCTION("""COMPUTED_VALUE"""),"Active")</f>
        <v>Active</v>
      </c>
      <c r="E110" s="23">
        <f>IFERROR(__xludf.DUMMYFUNCTION("""COMPUTED_VALUE"""),46043.0)</f>
        <v>46043</v>
      </c>
      <c r="F110" s="24"/>
      <c r="G110" s="27">
        <f>IFERROR(__xludf.DUMMYFUNCTION("""COMPUTED_VALUE"""),8.5)</f>
        <v>8.5</v>
      </c>
      <c r="H110" s="23">
        <f>IFERROR(__xludf.DUMMYFUNCTION("""COMPUTED_VALUE"""),45869.0)</f>
        <v>45869</v>
      </c>
      <c r="I110" s="27">
        <f>IFERROR(__xludf.DUMMYFUNCTION("""COMPUTED_VALUE"""),0.475)</f>
        <v>0.475</v>
      </c>
      <c r="J110" s="29">
        <f>IFERROR(__xludf.DUMMYFUNCTION("""COMPUTED_VALUE"""),84.0)</f>
        <v>84</v>
      </c>
      <c r="K110" s="29">
        <f>IFERROR(__xludf.DUMMYFUNCTION("""COMPUTED_VALUE"""),6.0)</f>
        <v>6</v>
      </c>
      <c r="L110" s="31" t="str">
        <f>IFERROR(__xludf.DUMMYFUNCTION("""COMPUTED_VALUE"""),"Action-Adventure")</f>
        <v>Action-Adventure</v>
      </c>
      <c r="M110" s="31" t="str">
        <f>IFERROR(__xludf.DUMMYFUNCTION("""COMPUTED_VALUE"""),"Exclusive")</f>
        <v>Exclusive</v>
      </c>
    </row>
    <row r="111">
      <c r="A111" s="17" t="str">
        <f>IFERROR(__xludf.DUMMYFUNCTION("""COMPUTED_VALUE"""),"Resident Evil Village")</f>
        <v>Resident Evil Village</v>
      </c>
      <c r="B111" s="20" t="str">
        <f>IFERROR(__xludf.DUMMYFUNCTION("""COMPUTED_VALUE"""),"Xbox / PC")</f>
        <v>Xbox / PC</v>
      </c>
      <c r="C111" s="21" t="str">
        <f>IFERROR(__xludf.DUMMYFUNCTION("""COMPUTED_VALUE"""),"Yes")</f>
        <v>Yes</v>
      </c>
      <c r="D111" s="21" t="str">
        <f>IFERROR(__xludf.DUMMYFUNCTION("""COMPUTED_VALUE"""),"Active")</f>
        <v>Active</v>
      </c>
      <c r="E111" s="23">
        <f>IFERROR(__xludf.DUMMYFUNCTION("""COMPUTED_VALUE"""),46042.0)</f>
        <v>46042</v>
      </c>
      <c r="F111" s="24"/>
      <c r="G111" s="27">
        <f>IFERROR(__xludf.DUMMYFUNCTION("""COMPUTED_VALUE"""),8.533333333333333)</f>
        <v>8.533333333</v>
      </c>
      <c r="H111" s="23">
        <f>IFERROR(__xludf.DUMMYFUNCTION("""COMPUTED_VALUE"""),44323.0)</f>
        <v>44323</v>
      </c>
      <c r="I111" s="27">
        <f>IFERROR(__xludf.DUMMYFUNCTION("""COMPUTED_VALUE"""),4.7027777777777775)</f>
        <v>4.702777778</v>
      </c>
      <c r="J111" s="29">
        <f>IFERROR(__xludf.DUMMYFUNCTION("""COMPUTED_VALUE"""),84.0)</f>
        <v>84</v>
      </c>
      <c r="K111" s="29">
        <f>IFERROR(__xludf.DUMMYFUNCTION("""COMPUTED_VALUE"""),9.0)</f>
        <v>9</v>
      </c>
      <c r="L111" s="31" t="str">
        <f>IFERROR(__xludf.DUMMYFUNCTION("""COMPUTED_VALUE"""),"Action-Adventure")</f>
        <v>Action-Adventure</v>
      </c>
      <c r="M111" s="31"/>
    </row>
    <row r="112">
      <c r="A112" s="17" t="str">
        <f>IFERROR(__xludf.DUMMYFUNCTION("""COMPUTED_VALUE"""),"Ball x Pit")</f>
        <v>Ball x Pit</v>
      </c>
      <c r="B112" s="20" t="str">
        <f>IFERROR(__xludf.DUMMYFUNCTION("""COMPUTED_VALUE"""),"Xbox / PC")</f>
        <v>Xbox / PC</v>
      </c>
      <c r="C112" s="21" t="str">
        <f>IFERROR(__xludf.DUMMYFUNCTION("""COMPUTED_VALUE"""),"Yes")</f>
        <v>Yes</v>
      </c>
      <c r="D112" s="21" t="str">
        <f>IFERROR(__xludf.DUMMYFUNCTION("""COMPUTED_VALUE"""),"Active")</f>
        <v>Active</v>
      </c>
      <c r="E112" s="23">
        <f>IFERROR(__xludf.DUMMYFUNCTION("""COMPUTED_VALUE"""),45945.0)</f>
        <v>45945</v>
      </c>
      <c r="F112" s="24"/>
      <c r="G112" s="27">
        <f>IFERROR(__xludf.DUMMYFUNCTION("""COMPUTED_VALUE"""),11.7)</f>
        <v>11.7</v>
      </c>
      <c r="H112" s="23">
        <f>IFERROR(__xludf.DUMMYFUNCTION("""COMPUTED_VALUE"""),45945.0)</f>
        <v>45945</v>
      </c>
      <c r="I112" s="27">
        <f>IFERROR(__xludf.DUMMYFUNCTION("""COMPUTED_VALUE"""),0.0)</f>
        <v>0</v>
      </c>
      <c r="J112" s="29">
        <f>IFERROR(__xludf.DUMMYFUNCTION("""COMPUTED_VALUE"""),84.0)</f>
        <v>84</v>
      </c>
      <c r="K112" s="29">
        <f>IFERROR(__xludf.DUMMYFUNCTION("""COMPUTED_VALUE"""),19.0)</f>
        <v>19</v>
      </c>
      <c r="L112" s="31" t="str">
        <f>IFERROR(__xludf.DUMMYFUNCTION("""COMPUTED_VALUE"""),"Shoot-'Em-Up")</f>
        <v>Shoot-'Em-Up</v>
      </c>
      <c r="M112" s="31"/>
    </row>
    <row r="113">
      <c r="A113" s="17" t="str">
        <f>IFERROR(__xludf.DUMMYFUNCTION("""COMPUTED_VALUE"""),"Hogwarts Legacy")</f>
        <v>Hogwarts Legacy</v>
      </c>
      <c r="B113" s="20" t="str">
        <f>IFERROR(__xludf.DUMMYFUNCTION("""COMPUTED_VALUE"""),"Xbox / PC")</f>
        <v>Xbox / PC</v>
      </c>
      <c r="C113" s="21" t="str">
        <f>IFERROR(__xludf.DUMMYFUNCTION("""COMPUTED_VALUE"""),"Yes")</f>
        <v>Yes</v>
      </c>
      <c r="D113" s="21" t="str">
        <f>IFERROR(__xludf.DUMMYFUNCTION("""COMPUTED_VALUE"""),"Active")</f>
        <v>Active</v>
      </c>
      <c r="E113" s="23">
        <f>IFERROR(__xludf.DUMMYFUNCTION("""COMPUTED_VALUE"""),45931.0)</f>
        <v>45931</v>
      </c>
      <c r="F113" s="24"/>
      <c r="G113" s="27">
        <f>IFERROR(__xludf.DUMMYFUNCTION("""COMPUTED_VALUE"""),12.166666666666666)</f>
        <v>12.16666667</v>
      </c>
      <c r="H113" s="23">
        <f>IFERROR(__xludf.DUMMYFUNCTION("""COMPUTED_VALUE"""),44964.0)</f>
        <v>44964</v>
      </c>
      <c r="I113" s="27">
        <f>IFERROR(__xludf.DUMMYFUNCTION("""COMPUTED_VALUE"""),2.65)</f>
        <v>2.65</v>
      </c>
      <c r="J113" s="29">
        <f>IFERROR(__xludf.DUMMYFUNCTION("""COMPUTED_VALUE"""),84.0)</f>
        <v>84</v>
      </c>
      <c r="K113" s="29">
        <f>IFERROR(__xludf.DUMMYFUNCTION("""COMPUTED_VALUE"""),27.0)</f>
        <v>27</v>
      </c>
      <c r="L113" s="31" t="str">
        <f>IFERROR(__xludf.DUMMYFUNCTION("""COMPUTED_VALUE"""),"Action-Adventure")</f>
        <v>Action-Adventure</v>
      </c>
      <c r="M113" s="31"/>
    </row>
    <row r="114">
      <c r="A114" s="17" t="str">
        <f>IFERROR(__xludf.DUMMYFUNCTION("""COMPUTED_VALUE"""),"The Alters")</f>
        <v>The Alters</v>
      </c>
      <c r="B114" s="20" t="str">
        <f>IFERROR(__xludf.DUMMYFUNCTION("""COMPUTED_VALUE"""),"Xbox / PC")</f>
        <v>Xbox / PC</v>
      </c>
      <c r="C114" s="21" t="str">
        <f>IFERROR(__xludf.DUMMYFUNCTION("""COMPUTED_VALUE"""),"Yes")</f>
        <v>Yes</v>
      </c>
      <c r="D114" s="21" t="str">
        <f>IFERROR(__xludf.DUMMYFUNCTION("""COMPUTED_VALUE"""),"Active")</f>
        <v>Active</v>
      </c>
      <c r="E114" s="23">
        <f>IFERROR(__xludf.DUMMYFUNCTION("""COMPUTED_VALUE"""),45821.0)</f>
        <v>45821</v>
      </c>
      <c r="F114" s="24"/>
      <c r="G114" s="27">
        <f>IFERROR(__xludf.DUMMYFUNCTION("""COMPUTED_VALUE"""),15.766666666666666)</f>
        <v>15.76666667</v>
      </c>
      <c r="H114" s="23">
        <f>IFERROR(__xludf.DUMMYFUNCTION("""COMPUTED_VALUE"""),45821.0)</f>
        <v>45821</v>
      </c>
      <c r="I114" s="27">
        <f>IFERROR(__xludf.DUMMYFUNCTION("""COMPUTED_VALUE"""),0.0)</f>
        <v>0</v>
      </c>
      <c r="J114" s="29">
        <f>IFERROR(__xludf.DUMMYFUNCTION("""COMPUTED_VALUE"""),84.0)</f>
        <v>84</v>
      </c>
      <c r="K114" s="29">
        <f>IFERROR(__xludf.DUMMYFUNCTION("""COMPUTED_VALUE"""),19.0)</f>
        <v>19</v>
      </c>
      <c r="L114" s="31" t="str">
        <f>IFERROR(__xludf.DUMMYFUNCTION("""COMPUTED_VALUE"""),"Survival")</f>
        <v>Survival</v>
      </c>
      <c r="M114" s="31" t="str">
        <f>IFERROR(__xludf.DUMMYFUNCTION("""COMPUTED_VALUE"""),"Exclusive")</f>
        <v>Exclusive</v>
      </c>
    </row>
    <row r="115">
      <c r="A115" s="17" t="str">
        <f>IFERROR(__xludf.DUMMYFUNCTION("""COMPUTED_VALUE"""),"Kingdom: Two Crowns")</f>
        <v>Kingdom: Two Crowns</v>
      </c>
      <c r="B115" s="20" t="str">
        <f>IFERROR(__xludf.DUMMYFUNCTION("""COMPUTED_VALUE"""),"Xbox / PC")</f>
        <v>Xbox / PC</v>
      </c>
      <c r="C115" s="21" t="str">
        <f>IFERROR(__xludf.DUMMYFUNCTION("""COMPUTED_VALUE"""),"Yes")</f>
        <v>Yes</v>
      </c>
      <c r="D115" s="21" t="str">
        <f>IFERROR(__xludf.DUMMYFUNCTION("""COMPUTED_VALUE"""),"Active")</f>
        <v>Active</v>
      </c>
      <c r="E115" s="23">
        <f>IFERROR(__xludf.DUMMYFUNCTION("""COMPUTED_VALUE"""),45701.0)</f>
        <v>45701</v>
      </c>
      <c r="F115" s="24"/>
      <c r="G115" s="27">
        <f>IFERROR(__xludf.DUMMYFUNCTION("""COMPUTED_VALUE"""),19.766666666666666)</f>
        <v>19.76666667</v>
      </c>
      <c r="H115" s="23">
        <f>IFERROR(__xludf.DUMMYFUNCTION("""COMPUTED_VALUE"""),43445.0)</f>
        <v>43445</v>
      </c>
      <c r="I115" s="27">
        <f>IFERROR(__xludf.DUMMYFUNCTION("""COMPUTED_VALUE"""),6.1722222222222225)</f>
        <v>6.172222222</v>
      </c>
      <c r="J115" s="29">
        <f>IFERROR(__xludf.DUMMYFUNCTION("""COMPUTED_VALUE"""),84.0)</f>
        <v>84</v>
      </c>
      <c r="K115" s="29">
        <f>IFERROR(__xludf.DUMMYFUNCTION("""COMPUTED_VALUE"""),28.5)</f>
        <v>28.5</v>
      </c>
      <c r="L115" s="31" t="str">
        <f>IFERROR(__xludf.DUMMYFUNCTION("""COMPUTED_VALUE"""),"Strategy")</f>
        <v>Strategy</v>
      </c>
      <c r="M115" s="31"/>
    </row>
    <row r="116">
      <c r="A116" s="17" t="str">
        <f>IFERROR(__xludf.DUMMYFUNCTION("""COMPUTED_VALUE"""),"Age of Mythology: Retold")</f>
        <v>Age of Mythology: Retold</v>
      </c>
      <c r="B116" s="20" t="str">
        <f>IFERROR(__xludf.DUMMYFUNCTION("""COMPUTED_VALUE"""),"Xbox / PC")</f>
        <v>Xbox / PC</v>
      </c>
      <c r="C116" s="21" t="str">
        <f>IFERROR(__xludf.DUMMYFUNCTION("""COMPUTED_VALUE"""),"Yes")</f>
        <v>Yes</v>
      </c>
      <c r="D116" s="21" t="str">
        <f>IFERROR(__xludf.DUMMYFUNCTION("""COMPUTED_VALUE"""),"Active")</f>
        <v>Active</v>
      </c>
      <c r="E116" s="23">
        <f>IFERROR(__xludf.DUMMYFUNCTION("""COMPUTED_VALUE"""),45539.0)</f>
        <v>45539</v>
      </c>
      <c r="F116" s="24"/>
      <c r="G116" s="27">
        <f>IFERROR(__xludf.DUMMYFUNCTION("""COMPUTED_VALUE"""),25.06666666666667)</f>
        <v>25.06666667</v>
      </c>
      <c r="H116" s="23">
        <f>IFERROR(__xludf.DUMMYFUNCTION("""COMPUTED_VALUE"""),45539.0)</f>
        <v>45539</v>
      </c>
      <c r="I116" s="27">
        <f>IFERROR(__xludf.DUMMYFUNCTION("""COMPUTED_VALUE"""),0.0)</f>
        <v>0</v>
      </c>
      <c r="J116" s="29">
        <f>IFERROR(__xludf.DUMMYFUNCTION("""COMPUTED_VALUE"""),84.0)</f>
        <v>84</v>
      </c>
      <c r="K116" s="29">
        <f>IFERROR(__xludf.DUMMYFUNCTION("""COMPUTED_VALUE"""),21.0)</f>
        <v>21</v>
      </c>
      <c r="L116" s="31" t="str">
        <f>IFERROR(__xludf.DUMMYFUNCTION("""COMPUTED_VALUE"""),"Strategy")</f>
        <v>Strategy</v>
      </c>
      <c r="M116" s="31" t="str">
        <f>IFERROR(__xludf.DUMMYFUNCTION("""COMPUTED_VALUE"""),"Exclusive")</f>
        <v>Exclusive</v>
      </c>
    </row>
    <row r="117">
      <c r="A117" s="17" t="str">
        <f>IFERROR(__xludf.DUMMYFUNCTION("""COMPUTED_VALUE"""),"Starfield")</f>
        <v>Starfield</v>
      </c>
      <c r="B117" s="20" t="str">
        <f>IFERROR(__xludf.DUMMYFUNCTION("""COMPUTED_VALUE"""),"Xbox / PC")</f>
        <v>Xbox / PC</v>
      </c>
      <c r="C117" s="21" t="str">
        <f>IFERROR(__xludf.DUMMYFUNCTION("""COMPUTED_VALUE"""),"Yes")</f>
        <v>Yes</v>
      </c>
      <c r="D117" s="21" t="str">
        <f>IFERROR(__xludf.DUMMYFUNCTION("""COMPUTED_VALUE"""),"Active")</f>
        <v>Active</v>
      </c>
      <c r="E117" s="23">
        <f>IFERROR(__xludf.DUMMYFUNCTION("""COMPUTED_VALUE"""),45175.0)</f>
        <v>45175</v>
      </c>
      <c r="F117" s="24"/>
      <c r="G117" s="27">
        <f>IFERROR(__xludf.DUMMYFUNCTION("""COMPUTED_VALUE"""),37.0)</f>
        <v>37</v>
      </c>
      <c r="H117" s="23">
        <f>IFERROR(__xludf.DUMMYFUNCTION("""COMPUTED_VALUE"""),45175.0)</f>
        <v>45175</v>
      </c>
      <c r="I117" s="27">
        <f>IFERROR(__xludf.DUMMYFUNCTION("""COMPUTED_VALUE"""),0.0)</f>
        <v>0</v>
      </c>
      <c r="J117" s="29">
        <f>IFERROR(__xludf.DUMMYFUNCTION("""COMPUTED_VALUE"""),84.0)</f>
        <v>84</v>
      </c>
      <c r="K117" s="29">
        <f>IFERROR(__xludf.DUMMYFUNCTION("""COMPUTED_VALUE"""),20.0)</f>
        <v>20</v>
      </c>
      <c r="L117" s="31" t="str">
        <f>IFERROR(__xludf.DUMMYFUNCTION("""COMPUTED_VALUE"""),"RPG")</f>
        <v>RPG</v>
      </c>
      <c r="M117" s="31" t="str">
        <f>IFERROR(__xludf.DUMMYFUNCTION("""COMPUTED_VALUE"""),"Exclusive")</f>
        <v>Exclusive</v>
      </c>
    </row>
    <row r="118">
      <c r="A118" s="17" t="str">
        <f>IFERROR(__xludf.DUMMYFUNCTION("""COMPUTED_VALUE"""),"Deep Rock Galactic")</f>
        <v>Deep Rock Galactic</v>
      </c>
      <c r="B118" s="20" t="str">
        <f>IFERROR(__xludf.DUMMYFUNCTION("""COMPUTED_VALUE"""),"Xbox / PC")</f>
        <v>Xbox / PC</v>
      </c>
      <c r="C118" s="21" t="str">
        <f>IFERROR(__xludf.DUMMYFUNCTION("""COMPUTED_VALUE"""),"M+KB")</f>
        <v>M+KB</v>
      </c>
      <c r="D118" s="21" t="str">
        <f>IFERROR(__xludf.DUMMYFUNCTION("""COMPUTED_VALUE"""),"Active")</f>
        <v>Active</v>
      </c>
      <c r="E118" s="23">
        <f>IFERROR(__xludf.DUMMYFUNCTION("""COMPUTED_VALUE"""),44140.0)</f>
        <v>44140</v>
      </c>
      <c r="F118" s="24"/>
      <c r="G118" s="27">
        <f>IFERROR(__xludf.DUMMYFUNCTION("""COMPUTED_VALUE"""),71.03333333333333)</f>
        <v>71.03333333</v>
      </c>
      <c r="H118" s="23">
        <f>IFERROR(__xludf.DUMMYFUNCTION("""COMPUTED_VALUE"""),43964.0)</f>
        <v>43964</v>
      </c>
      <c r="I118" s="27">
        <f>IFERROR(__xludf.DUMMYFUNCTION("""COMPUTED_VALUE"""),0.4777777777777778)</f>
        <v>0.4777777778</v>
      </c>
      <c r="J118" s="29">
        <f>IFERROR(__xludf.DUMMYFUNCTION("""COMPUTED_VALUE"""),84.0)</f>
        <v>84</v>
      </c>
      <c r="K118" s="29">
        <f>IFERROR(__xludf.DUMMYFUNCTION("""COMPUTED_VALUE"""),119.0)</f>
        <v>119</v>
      </c>
      <c r="L118" s="31" t="str">
        <f>IFERROR(__xludf.DUMMYFUNCTION("""COMPUTED_VALUE"""),"Shooter")</f>
        <v>Shooter</v>
      </c>
      <c r="M118" s="31"/>
    </row>
    <row r="119">
      <c r="A119" s="17" t="str">
        <f>IFERROR(__xludf.DUMMYFUNCTION("""COMPUTED_VALUE"""),"Fallout: New Vegas - Ultimate Edition")</f>
        <v>Fallout: New Vegas - Ultimate Edition</v>
      </c>
      <c r="B119" s="20" t="str">
        <f>IFERROR(__xludf.DUMMYFUNCTION("""COMPUTED_VALUE"""),"Xbox / PC")</f>
        <v>Xbox / PC</v>
      </c>
      <c r="C119" s="21" t="str">
        <f>IFERROR(__xludf.DUMMYFUNCTION("""COMPUTED_VALUE"""),"Yes")</f>
        <v>Yes</v>
      </c>
      <c r="D119" s="21" t="str">
        <f>IFERROR(__xludf.DUMMYFUNCTION("""COMPUTED_VALUE"""),"Active")</f>
        <v>Active</v>
      </c>
      <c r="E119" s="23">
        <f>IFERROR(__xludf.DUMMYFUNCTION("""COMPUTED_VALUE"""),43755.0)</f>
        <v>43755</v>
      </c>
      <c r="F119" s="24"/>
      <c r="G119" s="27">
        <f>IFERROR(__xludf.DUMMYFUNCTION("""COMPUTED_VALUE"""),83.63333333333333)</f>
        <v>83.63333333</v>
      </c>
      <c r="H119" s="23">
        <f>IFERROR(__xludf.DUMMYFUNCTION("""COMPUTED_VALUE"""),40470.0)</f>
        <v>40470</v>
      </c>
      <c r="I119" s="27">
        <f>IFERROR(__xludf.DUMMYFUNCTION("""COMPUTED_VALUE"""),8.994444444444444)</f>
        <v>8.994444444</v>
      </c>
      <c r="J119" s="29">
        <f>IFERROR(__xludf.DUMMYFUNCTION("""COMPUTED_VALUE"""),84.0)</f>
        <v>84</v>
      </c>
      <c r="K119" s="29">
        <f>IFERROR(__xludf.DUMMYFUNCTION("""COMPUTED_VALUE"""),27.5)</f>
        <v>27.5</v>
      </c>
      <c r="L119" s="31" t="str">
        <f>IFERROR(__xludf.DUMMYFUNCTION("""COMPUTED_VALUE"""),"Shooter")</f>
        <v>Shooter</v>
      </c>
      <c r="M119" s="31" t="str">
        <f>IFERROR(__xludf.DUMMYFUNCTION("""COMPUTED_VALUE"""),"FPS Boost")</f>
        <v>FPS Boost</v>
      </c>
    </row>
    <row r="120">
      <c r="A120" s="17" t="str">
        <f>IFERROR(__xludf.DUMMYFUNCTION("""COMPUTED_VALUE"""),"Moonlighter")</f>
        <v>Moonlighter</v>
      </c>
      <c r="B120" s="20" t="str">
        <f>IFERROR(__xludf.DUMMYFUNCTION("""COMPUTED_VALUE"""),"Xbox / PC")</f>
        <v>Xbox / PC</v>
      </c>
      <c r="C120" s="21" t="str">
        <f>IFERROR(__xludf.DUMMYFUNCTION("""COMPUTED_VALUE"""),"Yes")</f>
        <v>Yes</v>
      </c>
      <c r="D120" s="21" t="str">
        <f>IFERROR(__xludf.DUMMYFUNCTION("""COMPUTED_VALUE"""),"Active")</f>
        <v>Active</v>
      </c>
      <c r="E120" s="23">
        <f>IFERROR(__xludf.DUMMYFUNCTION("""COMPUTED_VALUE"""),43625.0)</f>
        <v>43625</v>
      </c>
      <c r="F120" s="24"/>
      <c r="G120" s="27">
        <f>IFERROR(__xludf.DUMMYFUNCTION("""COMPUTED_VALUE"""),87.9)</f>
        <v>87.9</v>
      </c>
      <c r="H120" s="23">
        <f>IFERROR(__xludf.DUMMYFUNCTION("""COMPUTED_VALUE"""),43249.0)</f>
        <v>43249</v>
      </c>
      <c r="I120" s="27">
        <f>IFERROR(__xludf.DUMMYFUNCTION("""COMPUTED_VALUE"""),1.0277777777777777)</f>
        <v>1.027777778</v>
      </c>
      <c r="J120" s="29">
        <f>IFERROR(__xludf.DUMMYFUNCTION("""COMPUTED_VALUE"""),84.0)</f>
        <v>84</v>
      </c>
      <c r="K120" s="29">
        <f>IFERROR(__xludf.DUMMYFUNCTION("""COMPUTED_VALUE"""),14.0)</f>
        <v>14</v>
      </c>
      <c r="L120" s="31" t="str">
        <f>IFERROR(__xludf.DUMMYFUNCTION("""COMPUTED_VALUE"""),"RPG")</f>
        <v>RPG</v>
      </c>
      <c r="M120" s="31"/>
    </row>
    <row r="121">
      <c r="A121" s="17" t="str">
        <f>IFERROR(__xludf.DUMMYFUNCTION("""COMPUTED_VALUE"""),"Gears of War 4")</f>
        <v>Gears of War 4</v>
      </c>
      <c r="B121" s="20" t="str">
        <f>IFERROR(__xludf.DUMMYFUNCTION("""COMPUTED_VALUE"""),"Xbox / PC")</f>
        <v>Xbox / PC</v>
      </c>
      <c r="C121" s="21" t="str">
        <f>IFERROR(__xludf.DUMMYFUNCTION("""COMPUTED_VALUE"""),"Yes")</f>
        <v>Yes</v>
      </c>
      <c r="D121" s="21" t="str">
        <f>IFERROR(__xludf.DUMMYFUNCTION("""COMPUTED_VALUE"""),"Active")</f>
        <v>Active</v>
      </c>
      <c r="E121" s="23">
        <f>IFERROR(__xludf.DUMMYFUNCTION("""COMPUTED_VALUE"""),43070.0)</f>
        <v>43070</v>
      </c>
      <c r="F121" s="24"/>
      <c r="G121" s="27">
        <f>IFERROR(__xludf.DUMMYFUNCTION("""COMPUTED_VALUE"""),106.16666666666666)</f>
        <v>106.1666667</v>
      </c>
      <c r="H121" s="23">
        <f>IFERROR(__xludf.DUMMYFUNCTION("""COMPUTED_VALUE"""),42650.0)</f>
        <v>42650</v>
      </c>
      <c r="I121" s="27">
        <f>IFERROR(__xludf.DUMMYFUNCTION("""COMPUTED_VALUE"""),1.15)</f>
        <v>1.15</v>
      </c>
      <c r="J121" s="29">
        <f>IFERROR(__xludf.DUMMYFUNCTION("""COMPUTED_VALUE"""),84.0)</f>
        <v>84</v>
      </c>
      <c r="K121" s="29">
        <f>IFERROR(__xludf.DUMMYFUNCTION("""COMPUTED_VALUE"""),9.0)</f>
        <v>9</v>
      </c>
      <c r="L121" s="31" t="str">
        <f>IFERROR(__xludf.DUMMYFUNCTION("""COMPUTED_VALUE"""),"Shooter")</f>
        <v>Shooter</v>
      </c>
      <c r="M121" s="31" t="str">
        <f>IFERROR(__xludf.DUMMYFUNCTION("""COMPUTED_VALUE"""),"FPS Boost")</f>
        <v>FPS Boost</v>
      </c>
    </row>
    <row r="122">
      <c r="A122" s="17" t="str">
        <f>IFERROR(__xludf.DUMMYFUNCTION("""COMPUTED_VALUE"""),"Halo 5: Guardians")</f>
        <v>Halo 5: Guardians</v>
      </c>
      <c r="B122" s="20" t="str">
        <f>IFERROR(__xludf.DUMMYFUNCTION("""COMPUTED_VALUE"""),"Xbox")</f>
        <v>Xbox</v>
      </c>
      <c r="C122" s="21" t="str">
        <f>IFERROR(__xludf.DUMMYFUNCTION("""COMPUTED_VALUE"""),"Yes")</f>
        <v>Yes</v>
      </c>
      <c r="D122" s="21" t="str">
        <f>IFERROR(__xludf.DUMMYFUNCTION("""COMPUTED_VALUE"""),"Active")</f>
        <v>Active</v>
      </c>
      <c r="E122" s="23">
        <f>IFERROR(__xludf.DUMMYFUNCTION("""COMPUTED_VALUE"""),42887.0)</f>
        <v>42887</v>
      </c>
      <c r="F122" s="24"/>
      <c r="G122" s="27">
        <f>IFERROR(__xludf.DUMMYFUNCTION("""COMPUTED_VALUE"""),112.16666666666666)</f>
        <v>112.1666667</v>
      </c>
      <c r="H122" s="23">
        <f>IFERROR(__xludf.DUMMYFUNCTION("""COMPUTED_VALUE"""),42304.0)</f>
        <v>42304</v>
      </c>
      <c r="I122" s="27">
        <f>IFERROR(__xludf.DUMMYFUNCTION("""COMPUTED_VALUE"""),1.5944444444444446)</f>
        <v>1.594444444</v>
      </c>
      <c r="J122" s="29">
        <f>IFERROR(__xludf.DUMMYFUNCTION("""COMPUTED_VALUE"""),84.0)</f>
        <v>84</v>
      </c>
      <c r="K122" s="29">
        <f>IFERROR(__xludf.DUMMYFUNCTION("""COMPUTED_VALUE"""),8.0)</f>
        <v>8</v>
      </c>
      <c r="L122" s="31" t="str">
        <f>IFERROR(__xludf.DUMMYFUNCTION("""COMPUTED_VALUE"""),"Shooter")</f>
        <v>Shooter</v>
      </c>
      <c r="M122" s="31"/>
    </row>
    <row r="123">
      <c r="A123" s="17" t="str">
        <f>IFERROR(__xludf.DUMMYFUNCTION("""COMPUTED_VALUE"""),"Terraria")</f>
        <v>Terraria</v>
      </c>
      <c r="B123" s="20" t="str">
        <f>IFERROR(__xludf.DUMMYFUNCTION("""COMPUTED_VALUE"""),"Xbox")</f>
        <v>Xbox</v>
      </c>
      <c r="C123" s="21" t="str">
        <f>IFERROR(__xludf.DUMMYFUNCTION("""COMPUTED_VALUE"""),"M+KB")</f>
        <v>M+KB</v>
      </c>
      <c r="D123" s="21" t="str">
        <f>IFERROR(__xludf.DUMMYFUNCTION("""COMPUTED_VALUE"""),"Active")</f>
        <v>Active</v>
      </c>
      <c r="E123" s="23">
        <f>IFERROR(__xludf.DUMMYFUNCTION("""COMPUTED_VALUE"""),42887.0)</f>
        <v>42887</v>
      </c>
      <c r="F123" s="24"/>
      <c r="G123" s="27">
        <f>IFERROR(__xludf.DUMMYFUNCTION("""COMPUTED_VALUE"""),112.16666666666666)</f>
        <v>112.1666667</v>
      </c>
      <c r="H123" s="23">
        <f>IFERROR(__xludf.DUMMYFUNCTION("""COMPUTED_VALUE"""),40679.0)</f>
        <v>40679</v>
      </c>
      <c r="I123" s="27">
        <f>IFERROR(__xludf.DUMMYFUNCTION("""COMPUTED_VALUE"""),6.041666666666667)</f>
        <v>6.041666667</v>
      </c>
      <c r="J123" s="29">
        <f>IFERROR(__xludf.DUMMYFUNCTION("""COMPUTED_VALUE"""),84.0)</f>
        <v>84</v>
      </c>
      <c r="K123" s="29">
        <f>IFERROR(__xludf.DUMMYFUNCTION("""COMPUTED_VALUE"""),94.0)</f>
        <v>94</v>
      </c>
      <c r="L123" s="31" t="str">
        <f>IFERROR(__xludf.DUMMYFUNCTION("""COMPUTED_VALUE"""),"Platformer")</f>
        <v>Platformer</v>
      </c>
      <c r="M123" s="31"/>
    </row>
    <row r="124">
      <c r="A124" s="17" t="str">
        <f>IFERROR(__xludf.DUMMYFUNCTION("""COMPUTED_VALUE"""),"Viva Piñata")</f>
        <v>Viva Piñata</v>
      </c>
      <c r="B124" s="20" t="str">
        <f>IFERROR(__xludf.DUMMYFUNCTION("""COMPUTED_VALUE"""),"Xbox")</f>
        <v>Xbox</v>
      </c>
      <c r="C124" s="21" t="str">
        <f>IFERROR(__xludf.DUMMYFUNCTION("""COMPUTED_VALUE"""),"Touch Controls")</f>
        <v>Touch Controls</v>
      </c>
      <c r="D124" s="21" t="str">
        <f>IFERROR(__xludf.DUMMYFUNCTION("""COMPUTED_VALUE"""),"Active")</f>
        <v>Active</v>
      </c>
      <c r="E124" s="23">
        <f>IFERROR(__xludf.DUMMYFUNCTION("""COMPUTED_VALUE"""),42887.0)</f>
        <v>42887</v>
      </c>
      <c r="F124" s="24"/>
      <c r="G124" s="27">
        <f>IFERROR(__xludf.DUMMYFUNCTION("""COMPUTED_VALUE"""),112.16666666666666)</f>
        <v>112.1666667</v>
      </c>
      <c r="H124" s="23">
        <f>IFERROR(__xludf.DUMMYFUNCTION("""COMPUTED_VALUE"""),39030.0)</f>
        <v>39030</v>
      </c>
      <c r="I124" s="27">
        <f>IFERROR(__xludf.DUMMYFUNCTION("""COMPUTED_VALUE"""),10.561111111111112)</f>
        <v>10.56111111</v>
      </c>
      <c r="J124" s="29">
        <f>IFERROR(__xludf.DUMMYFUNCTION("""COMPUTED_VALUE"""),84.0)</f>
        <v>84</v>
      </c>
      <c r="K124" s="29">
        <f>IFERROR(__xludf.DUMMYFUNCTION("""COMPUTED_VALUE"""),19.0)</f>
        <v>19</v>
      </c>
      <c r="L124" s="31" t="str">
        <f>IFERROR(__xludf.DUMMYFUNCTION("""COMPUTED_VALUE"""),"Simulation")</f>
        <v>Simulation</v>
      </c>
      <c r="M124" s="31"/>
    </row>
    <row r="125">
      <c r="A125" s="17" t="str">
        <f>IFERROR(__xludf.DUMMYFUNCTION("""COMPUTED_VALUE"""),"Tunic")</f>
        <v>Tunic</v>
      </c>
      <c r="B125" s="20" t="str">
        <f>IFERROR(__xludf.DUMMYFUNCTION("""COMPUTED_VALUE"""),"Xbox / PC")</f>
        <v>Xbox / PC</v>
      </c>
      <c r="C125" s="21" t="str">
        <f>IFERROR(__xludf.DUMMYFUNCTION("""COMPUTED_VALUE"""),"Yes")</f>
        <v>Yes</v>
      </c>
      <c r="D125" s="21" t="str">
        <f>IFERROR(__xludf.DUMMYFUNCTION("""COMPUTED_VALUE"""),"Active")</f>
        <v>Active</v>
      </c>
      <c r="E125" s="23">
        <f>IFERROR(__xludf.DUMMYFUNCTION("""COMPUTED_VALUE"""),44636.0)</f>
        <v>44636</v>
      </c>
      <c r="F125" s="24"/>
      <c r="G125" s="27">
        <f>IFERROR(__xludf.DUMMYFUNCTION("""COMPUTED_VALUE"""),54.666666666666664)</f>
        <v>54.66666667</v>
      </c>
      <c r="H125" s="23">
        <f>IFERROR(__xludf.DUMMYFUNCTION("""COMPUTED_VALUE"""),44636.0)</f>
        <v>44636</v>
      </c>
      <c r="I125" s="27">
        <f>IFERROR(__xludf.DUMMYFUNCTION("""COMPUTED_VALUE"""),0.0)</f>
        <v>0</v>
      </c>
      <c r="J125" s="29">
        <f>IFERROR(__xludf.DUMMYFUNCTION("""COMPUTED_VALUE"""),83.5)</f>
        <v>83.5</v>
      </c>
      <c r="K125" s="29">
        <f>IFERROR(__xludf.DUMMYFUNCTION("""COMPUTED_VALUE"""),12.0)</f>
        <v>12</v>
      </c>
      <c r="L125" s="31" t="str">
        <f>IFERROR(__xludf.DUMMYFUNCTION("""COMPUTED_VALUE"""),"Action-Adventure")</f>
        <v>Action-Adventure</v>
      </c>
      <c r="M125" s="31"/>
    </row>
    <row r="126">
      <c r="A126" s="17" t="str">
        <f>IFERROR(__xludf.DUMMYFUNCTION("""COMPUTED_VALUE"""),"Halo: Infinite")</f>
        <v>Halo: Infinite</v>
      </c>
      <c r="B126" s="20" t="str">
        <f>IFERROR(__xludf.DUMMYFUNCTION("""COMPUTED_VALUE"""),"Xbox / PC")</f>
        <v>Xbox / PC</v>
      </c>
      <c r="C126" s="21" t="str">
        <f>IFERROR(__xludf.DUMMYFUNCTION("""COMPUTED_VALUE"""),"M+KB")</f>
        <v>M+KB</v>
      </c>
      <c r="D126" s="21" t="str">
        <f>IFERROR(__xludf.DUMMYFUNCTION("""COMPUTED_VALUE"""),"Active")</f>
        <v>Active</v>
      </c>
      <c r="E126" s="23">
        <f>IFERROR(__xludf.DUMMYFUNCTION("""COMPUTED_VALUE"""),44538.0)</f>
        <v>44538</v>
      </c>
      <c r="F126" s="24"/>
      <c r="G126" s="27">
        <f>IFERROR(__xludf.DUMMYFUNCTION("""COMPUTED_VALUE"""),57.93333333333333)</f>
        <v>57.93333333</v>
      </c>
      <c r="H126" s="23">
        <f>IFERROR(__xludf.DUMMYFUNCTION("""COMPUTED_VALUE"""),44538.0)</f>
        <v>44538</v>
      </c>
      <c r="I126" s="27">
        <f>IFERROR(__xludf.DUMMYFUNCTION("""COMPUTED_VALUE"""),0.0)</f>
        <v>0</v>
      </c>
      <c r="J126" s="29">
        <f>IFERROR(__xludf.DUMMYFUNCTION("""COMPUTED_VALUE"""),83.5)</f>
        <v>83.5</v>
      </c>
      <c r="K126" s="29">
        <f>IFERROR(__xludf.DUMMYFUNCTION("""COMPUTED_VALUE"""),10.0)</f>
        <v>10</v>
      </c>
      <c r="L126" s="31" t="str">
        <f>IFERROR(__xludf.DUMMYFUNCTION("""COMPUTED_VALUE"""),"Shooter")</f>
        <v>Shooter</v>
      </c>
      <c r="M126" s="31"/>
    </row>
    <row r="127">
      <c r="A127" s="17" t="str">
        <f>IFERROR(__xludf.DUMMYFUNCTION("""COMPUTED_VALUE"""),"Vampire Crawlers: The Turbo Wildcard from Vampire Survivors")</f>
        <v>Vampire Crawlers: The Turbo Wildcard from Vampire Survivors</v>
      </c>
      <c r="B127" s="20" t="str">
        <f>IFERROR(__xludf.DUMMYFUNCTION("""COMPUTED_VALUE"""),"Xbox / PC")</f>
        <v>Xbox / PC</v>
      </c>
      <c r="C127" s="21" t="str">
        <f>IFERROR(__xludf.DUMMYFUNCTION("""COMPUTED_VALUE"""),"Yes")</f>
        <v>Yes</v>
      </c>
      <c r="D127" s="21" t="str">
        <f>IFERROR(__xludf.DUMMYFUNCTION("""COMPUTED_VALUE"""),"Active")</f>
        <v>Active</v>
      </c>
      <c r="E127" s="23">
        <f>IFERROR(__xludf.DUMMYFUNCTION("""COMPUTED_VALUE"""),46133.0)</f>
        <v>46133</v>
      </c>
      <c r="F127" s="24"/>
      <c r="G127" s="27">
        <f>IFERROR(__xludf.DUMMYFUNCTION("""COMPUTED_VALUE"""),5.5)</f>
        <v>5.5</v>
      </c>
      <c r="H127" s="23">
        <f>IFERROR(__xludf.DUMMYFUNCTION("""COMPUTED_VALUE"""),46133.0)</f>
        <v>46133</v>
      </c>
      <c r="I127" s="27">
        <f>IFERROR(__xludf.DUMMYFUNCTION("""COMPUTED_VALUE"""),0.0)</f>
        <v>0</v>
      </c>
      <c r="J127" s="29">
        <f>IFERROR(__xludf.DUMMYFUNCTION("""COMPUTED_VALUE"""),83.0)</f>
        <v>83</v>
      </c>
      <c r="K127" s="29">
        <f>IFERROR(__xludf.DUMMYFUNCTION("""COMPUTED_VALUE"""),14.0)</f>
        <v>14</v>
      </c>
      <c r="L127" s="31" t="str">
        <f>IFERROR(__xludf.DUMMYFUNCTION("""COMPUTED_VALUE"""),"Card Battle")</f>
        <v>Card Battle</v>
      </c>
      <c r="M127" s="31" t="str">
        <f>IFERROR(__xludf.DUMMYFUNCTION("""COMPUTED_VALUE"""),"Exclusive")</f>
        <v>Exclusive</v>
      </c>
    </row>
    <row r="128">
      <c r="A128" s="17" t="str">
        <f>IFERROR(__xludf.DUMMYFUNCTION("""COMPUTED_VALUE"""),"Planet of Lana II: Children of the Leaf")</f>
        <v>Planet of Lana II: Children of the Leaf</v>
      </c>
      <c r="B128" s="20" t="str">
        <f>IFERROR(__xludf.DUMMYFUNCTION("""COMPUTED_VALUE"""),"Xbox / PC")</f>
        <v>Xbox / PC</v>
      </c>
      <c r="C128" s="21" t="str">
        <f>IFERROR(__xludf.DUMMYFUNCTION("""COMPUTED_VALUE"""),"Yes")</f>
        <v>Yes</v>
      </c>
      <c r="D128" s="21" t="str">
        <f>IFERROR(__xludf.DUMMYFUNCTION("""COMPUTED_VALUE"""),"Active")</f>
        <v>Active</v>
      </c>
      <c r="E128" s="23">
        <f>IFERROR(__xludf.DUMMYFUNCTION("""COMPUTED_VALUE"""),46086.0)</f>
        <v>46086</v>
      </c>
      <c r="F128" s="24"/>
      <c r="G128" s="27">
        <f>IFERROR(__xludf.DUMMYFUNCTION("""COMPUTED_VALUE"""),7.033333333333333)</f>
        <v>7.033333333</v>
      </c>
      <c r="H128" s="23">
        <f>IFERROR(__xludf.DUMMYFUNCTION("""COMPUTED_VALUE"""),46086.0)</f>
        <v>46086</v>
      </c>
      <c r="I128" s="27">
        <f>IFERROR(__xludf.DUMMYFUNCTION("""COMPUTED_VALUE"""),0.0)</f>
        <v>0</v>
      </c>
      <c r="J128" s="29">
        <f>IFERROR(__xludf.DUMMYFUNCTION("""COMPUTED_VALUE"""),83.0)</f>
        <v>83</v>
      </c>
      <c r="K128" s="29">
        <f>IFERROR(__xludf.DUMMYFUNCTION("""COMPUTED_VALUE"""),6.0)</f>
        <v>6</v>
      </c>
      <c r="L128" s="31" t="str">
        <f>IFERROR(__xludf.DUMMYFUNCTION("""COMPUTED_VALUE"""),"Action-Adventure")</f>
        <v>Action-Adventure</v>
      </c>
      <c r="M128" s="31" t="str">
        <f>IFERROR(__xludf.DUMMYFUNCTION("""COMPUTED_VALUE"""),"Exclusive")</f>
        <v>Exclusive</v>
      </c>
    </row>
    <row r="129">
      <c r="A129" s="17" t="str">
        <f>IFERROR(__xludf.DUMMYFUNCTION("""COMPUTED_VALUE"""),"Stampede")</f>
        <v>Stampede</v>
      </c>
      <c r="B129" s="20" t="str">
        <f>IFERROR(__xludf.DUMMYFUNCTION("""COMPUTED_VALUE"""),"Xbox / PC")</f>
        <v>Xbox / PC</v>
      </c>
      <c r="C129" s="21" t="str">
        <f>IFERROR(__xludf.DUMMYFUNCTION("""COMPUTED_VALUE"""),"Yes")</f>
        <v>Yes</v>
      </c>
      <c r="D129" s="21" t="str">
        <f>IFERROR(__xludf.DUMMYFUNCTION("""COMPUTED_VALUE"""),"Active")</f>
        <v>Active</v>
      </c>
      <c r="E129" s="23">
        <f>IFERROR(__xludf.DUMMYFUNCTION("""COMPUTED_VALUE"""),46072.0)</f>
        <v>46072</v>
      </c>
      <c r="F129" s="24"/>
      <c r="G129" s="27">
        <f>IFERROR(__xludf.DUMMYFUNCTION("""COMPUTED_VALUE"""),7.566666666666666)</f>
        <v>7.566666667</v>
      </c>
      <c r="H129" s="23">
        <f>IFERROR(__xludf.DUMMYFUNCTION("""COMPUTED_VALUE"""),29921.0)</f>
        <v>29921</v>
      </c>
      <c r="I129" s="27">
        <f>IFERROR(__xludf.DUMMYFUNCTION("""COMPUTED_VALUE"""),44.21666666666667)</f>
        <v>44.21666667</v>
      </c>
      <c r="J129" s="29">
        <f>IFERROR(__xludf.DUMMYFUNCTION("""COMPUTED_VALUE"""),83.0)</f>
        <v>83</v>
      </c>
      <c r="K129" s="29"/>
      <c r="L129" s="31" t="str">
        <f>IFERROR(__xludf.DUMMYFUNCTION("""COMPUTED_VALUE"""),"Action")</f>
        <v>Action</v>
      </c>
      <c r="M129" s="31"/>
    </row>
    <row r="130">
      <c r="A130" s="17" t="str">
        <f>IFERROR(__xludf.DUMMYFUNCTION("""COMPUTED_VALUE"""),"BlazBlue Entropy Effect X")</f>
        <v>BlazBlue Entropy Effect X</v>
      </c>
      <c r="B130" s="20" t="str">
        <f>IFERROR(__xludf.DUMMYFUNCTION("""COMPUTED_VALUE"""),"Xbox / PC")</f>
        <v>Xbox / PC</v>
      </c>
      <c r="C130" s="21" t="str">
        <f>IFERROR(__xludf.DUMMYFUNCTION("""COMPUTED_VALUE"""),"Yes")</f>
        <v>Yes</v>
      </c>
      <c r="D130" s="21" t="str">
        <f>IFERROR(__xludf.DUMMYFUNCTION("""COMPUTED_VALUE"""),"Active")</f>
        <v>Active</v>
      </c>
      <c r="E130" s="23">
        <f>IFERROR(__xludf.DUMMYFUNCTION("""COMPUTED_VALUE"""),46065.0)</f>
        <v>46065</v>
      </c>
      <c r="F130" s="24"/>
      <c r="G130" s="27">
        <f>IFERROR(__xludf.DUMMYFUNCTION("""COMPUTED_VALUE"""),7.800000000000001)</f>
        <v>7.8</v>
      </c>
      <c r="H130" s="23">
        <f>IFERROR(__xludf.DUMMYFUNCTION("""COMPUTED_VALUE"""),46065.0)</f>
        <v>46065</v>
      </c>
      <c r="I130" s="27">
        <f>IFERROR(__xludf.DUMMYFUNCTION("""COMPUTED_VALUE"""),0.0)</f>
        <v>0</v>
      </c>
      <c r="J130" s="29">
        <f>IFERROR(__xludf.DUMMYFUNCTION("""COMPUTED_VALUE"""),83.0)</f>
        <v>83</v>
      </c>
      <c r="K130" s="29">
        <f>IFERROR(__xludf.DUMMYFUNCTION("""COMPUTED_VALUE"""),13.0)</f>
        <v>13</v>
      </c>
      <c r="L130" s="31" t="str">
        <f>IFERROR(__xludf.DUMMYFUNCTION("""COMPUTED_VALUE"""),"Action-Adventure")</f>
        <v>Action-Adventure</v>
      </c>
      <c r="M130" s="31" t="str">
        <f>IFERROR(__xludf.DUMMYFUNCTION("""COMPUTED_VALUE"""),"Exclusive")</f>
        <v>Exclusive</v>
      </c>
    </row>
    <row r="131">
      <c r="A131" s="17" t="str">
        <f>IFERROR(__xludf.DUMMYFUNCTION("""COMPUTED_VALUE"""),"Drop Duchy")</f>
        <v>Drop Duchy</v>
      </c>
      <c r="B131" s="20" t="str">
        <f>IFERROR(__xludf.DUMMYFUNCTION("""COMPUTED_VALUE"""),"Xbox / PC")</f>
        <v>Xbox / PC</v>
      </c>
      <c r="C131" s="21" t="str">
        <f>IFERROR(__xludf.DUMMYFUNCTION("""COMPUTED_VALUE"""),"Yes")</f>
        <v>Yes</v>
      </c>
      <c r="D131" s="21" t="str">
        <f>IFERROR(__xludf.DUMMYFUNCTION("""COMPUTED_VALUE"""),"Active")</f>
        <v>Active</v>
      </c>
      <c r="E131" s="23">
        <f>IFERROR(__xludf.DUMMYFUNCTION("""COMPUTED_VALUE"""),46050.0)</f>
        <v>46050</v>
      </c>
      <c r="F131" s="24"/>
      <c r="G131" s="27">
        <f>IFERROR(__xludf.DUMMYFUNCTION("""COMPUTED_VALUE"""),8.266666666666666)</f>
        <v>8.266666667</v>
      </c>
      <c r="H131" s="23">
        <f>IFERROR(__xludf.DUMMYFUNCTION("""COMPUTED_VALUE"""),46050.0)</f>
        <v>46050</v>
      </c>
      <c r="I131" s="27">
        <f>IFERROR(__xludf.DUMMYFUNCTION("""COMPUTED_VALUE"""),0.0)</f>
        <v>0</v>
      </c>
      <c r="J131" s="29">
        <f>IFERROR(__xludf.DUMMYFUNCTION("""COMPUTED_VALUE"""),83.0)</f>
        <v>83</v>
      </c>
      <c r="K131" s="29">
        <f>IFERROR(__xludf.DUMMYFUNCTION("""COMPUTED_VALUE"""),5.0)</f>
        <v>5</v>
      </c>
      <c r="L131" s="31" t="str">
        <f>IFERROR(__xludf.DUMMYFUNCTION("""COMPUTED_VALUE"""),"Action-Adventure")</f>
        <v>Action-Adventure</v>
      </c>
      <c r="M131" s="31"/>
    </row>
    <row r="132">
      <c r="A132" s="17" t="str">
        <f>IFERROR(__xludf.DUMMYFUNCTION("""COMPUTED_VALUE"""),"MIO: Memories in Orbit")</f>
        <v>MIO: Memories in Orbit</v>
      </c>
      <c r="B132" s="20" t="str">
        <f>IFERROR(__xludf.DUMMYFUNCTION("""COMPUTED_VALUE"""),"Xbox / PC")</f>
        <v>Xbox / PC</v>
      </c>
      <c r="C132" s="21" t="str">
        <f>IFERROR(__xludf.DUMMYFUNCTION("""COMPUTED_VALUE"""),"Yes")</f>
        <v>Yes</v>
      </c>
      <c r="D132" s="21" t="str">
        <f>IFERROR(__xludf.DUMMYFUNCTION("""COMPUTED_VALUE"""),"Active")</f>
        <v>Active</v>
      </c>
      <c r="E132" s="23">
        <f>IFERROR(__xludf.DUMMYFUNCTION("""COMPUTED_VALUE"""),46042.0)</f>
        <v>46042</v>
      </c>
      <c r="F132" s="24"/>
      <c r="G132" s="27">
        <f>IFERROR(__xludf.DUMMYFUNCTION("""COMPUTED_VALUE"""),8.533333333333333)</f>
        <v>8.533333333</v>
      </c>
      <c r="H132" s="23">
        <f>IFERROR(__xludf.DUMMYFUNCTION("""COMPUTED_VALUE"""),46042.0)</f>
        <v>46042</v>
      </c>
      <c r="I132" s="27">
        <f>IFERROR(__xludf.DUMMYFUNCTION("""COMPUTED_VALUE"""),0.0)</f>
        <v>0</v>
      </c>
      <c r="J132" s="29">
        <f>IFERROR(__xludf.DUMMYFUNCTION("""COMPUTED_VALUE"""),83.0)</f>
        <v>83</v>
      </c>
      <c r="K132" s="29">
        <f>IFERROR(__xludf.DUMMYFUNCTION("""COMPUTED_VALUE"""),16.0)</f>
        <v>16</v>
      </c>
      <c r="L132" s="31" t="str">
        <f>IFERROR(__xludf.DUMMYFUNCTION("""COMPUTED_VALUE"""),"Action-Adventure")</f>
        <v>Action-Adventure</v>
      </c>
      <c r="M132" s="31" t="str">
        <f>IFERROR(__xludf.DUMMYFUNCTION("""COMPUTED_VALUE"""),"Exclusive")</f>
        <v>Exclusive</v>
      </c>
    </row>
    <row r="133">
      <c r="A133" s="17" t="str">
        <f>IFERROR(__xludf.DUMMYFUNCTION("""COMPUTED_VALUE"""),"Mortal Kombat 1")</f>
        <v>Mortal Kombat 1</v>
      </c>
      <c r="B133" s="20" t="str">
        <f>IFERROR(__xludf.DUMMYFUNCTION("""COMPUTED_VALUE"""),"Xbox / PC")</f>
        <v>Xbox / PC</v>
      </c>
      <c r="C133" s="21" t="str">
        <f>IFERROR(__xludf.DUMMYFUNCTION("""COMPUTED_VALUE"""),"Yes")</f>
        <v>Yes</v>
      </c>
      <c r="D133" s="21" t="str">
        <f>IFERROR(__xludf.DUMMYFUNCTION("""COMPUTED_VALUE"""),"Active")</f>
        <v>Active</v>
      </c>
      <c r="E133" s="23">
        <f>IFERROR(__xludf.DUMMYFUNCTION("""COMPUTED_VALUE"""),46001.0)</f>
        <v>46001</v>
      </c>
      <c r="F133" s="24"/>
      <c r="G133" s="27">
        <f>IFERROR(__xludf.DUMMYFUNCTION("""COMPUTED_VALUE"""),9.866666666666667)</f>
        <v>9.866666667</v>
      </c>
      <c r="H133" s="23">
        <f>IFERROR(__xludf.DUMMYFUNCTION("""COMPUTED_VALUE"""),45188.0)</f>
        <v>45188</v>
      </c>
      <c r="I133" s="27">
        <f>IFERROR(__xludf.DUMMYFUNCTION("""COMPUTED_VALUE"""),2.225)</f>
        <v>2.225</v>
      </c>
      <c r="J133" s="29">
        <f>IFERROR(__xludf.DUMMYFUNCTION("""COMPUTED_VALUE"""),83.0)</f>
        <v>83</v>
      </c>
      <c r="K133" s="29">
        <f>IFERROR(__xludf.DUMMYFUNCTION("""COMPUTED_VALUE"""),7.0)</f>
        <v>7</v>
      </c>
      <c r="L133" s="31" t="str">
        <f>IFERROR(__xludf.DUMMYFUNCTION("""COMPUTED_VALUE"""),"Action-Adventure")</f>
        <v>Action-Adventure</v>
      </c>
      <c r="M133" s="31" t="str">
        <f>IFERROR(__xludf.DUMMYFUNCTION("""COMPUTED_VALUE"""),"Exclusive")</f>
        <v>Exclusive</v>
      </c>
    </row>
    <row r="134">
      <c r="A134" s="17" t="str">
        <f>IFERROR(__xludf.DUMMYFUNCTION("""COMPUTED_VALUE"""),"The Outer Worlds 2")</f>
        <v>The Outer Worlds 2</v>
      </c>
      <c r="B134" s="20" t="str">
        <f>IFERROR(__xludf.DUMMYFUNCTION("""COMPUTED_VALUE"""),"Xbox / PC")</f>
        <v>Xbox / PC</v>
      </c>
      <c r="C134" s="21" t="str">
        <f>IFERROR(__xludf.DUMMYFUNCTION("""COMPUTED_VALUE"""),"Yes")</f>
        <v>Yes</v>
      </c>
      <c r="D134" s="21" t="str">
        <f>IFERROR(__xludf.DUMMYFUNCTION("""COMPUTED_VALUE"""),"Active")</f>
        <v>Active</v>
      </c>
      <c r="E134" s="23">
        <f>IFERROR(__xludf.DUMMYFUNCTION("""COMPUTED_VALUE"""),45959.0)</f>
        <v>45959</v>
      </c>
      <c r="F134" s="24"/>
      <c r="G134" s="27">
        <f>IFERROR(__xludf.DUMMYFUNCTION("""COMPUTED_VALUE"""),11.233333333333334)</f>
        <v>11.23333333</v>
      </c>
      <c r="H134" s="23">
        <f>IFERROR(__xludf.DUMMYFUNCTION("""COMPUTED_VALUE"""),45959.0)</f>
        <v>45959</v>
      </c>
      <c r="I134" s="27">
        <f>IFERROR(__xludf.DUMMYFUNCTION("""COMPUTED_VALUE"""),0.0)</f>
        <v>0</v>
      </c>
      <c r="J134" s="29">
        <f>IFERROR(__xludf.DUMMYFUNCTION("""COMPUTED_VALUE"""),83.0)</f>
        <v>83</v>
      </c>
      <c r="K134" s="29">
        <f>IFERROR(__xludf.DUMMYFUNCTION("""COMPUTED_VALUE"""),16.0)</f>
        <v>16</v>
      </c>
      <c r="L134" s="31" t="str">
        <f>IFERROR(__xludf.DUMMYFUNCTION("""COMPUTED_VALUE"""),"RPG")</f>
        <v>RPG</v>
      </c>
      <c r="M134" s="31" t="str">
        <f>IFERROR(__xludf.DUMMYFUNCTION("""COMPUTED_VALUE"""),"Exclusive")</f>
        <v>Exclusive</v>
      </c>
    </row>
    <row r="135">
      <c r="A135" s="17" t="str">
        <f>IFERROR(__xludf.DUMMYFUNCTION("""COMPUTED_VALUE"""),"Caesar III")</f>
        <v>Caesar III</v>
      </c>
      <c r="B135" s="20" t="str">
        <f>IFERROR(__xludf.DUMMYFUNCTION("""COMPUTED_VALUE"""),"Xbox / PC")</f>
        <v>Xbox / PC</v>
      </c>
      <c r="C135" s="21" t="str">
        <f>IFERROR(__xludf.DUMMYFUNCTION("""COMPUTED_VALUE"""),"Yes")</f>
        <v>Yes</v>
      </c>
      <c r="D135" s="21" t="str">
        <f>IFERROR(__xludf.DUMMYFUNCTION("""COMPUTED_VALUE"""),"Active")</f>
        <v>Active</v>
      </c>
      <c r="E135" s="23">
        <f>IFERROR(__xludf.DUMMYFUNCTION("""COMPUTED_VALUE"""),45883.0)</f>
        <v>45883</v>
      </c>
      <c r="F135" s="24"/>
      <c r="G135" s="27">
        <f>IFERROR(__xludf.DUMMYFUNCTION("""COMPUTED_VALUE"""),13.733333333333333)</f>
        <v>13.73333333</v>
      </c>
      <c r="H135" s="23">
        <f>IFERROR(__xludf.DUMMYFUNCTION("""COMPUTED_VALUE"""),36068.0)</f>
        <v>36068</v>
      </c>
      <c r="I135" s="27">
        <f>IFERROR(__xludf.DUMMYFUNCTION("""COMPUTED_VALUE"""),26.872222222222224)</f>
        <v>26.87222222</v>
      </c>
      <c r="J135" s="29">
        <f>IFERROR(__xludf.DUMMYFUNCTION("""COMPUTED_VALUE"""),83.0)</f>
        <v>83</v>
      </c>
      <c r="K135" s="29">
        <f>IFERROR(__xludf.DUMMYFUNCTION("""COMPUTED_VALUE"""),35.0)</f>
        <v>35</v>
      </c>
      <c r="L135" s="31" t="str">
        <f>IFERROR(__xludf.DUMMYFUNCTION("""COMPUTED_VALUE"""),"Strategy")</f>
        <v>Strategy</v>
      </c>
      <c r="M135" s="31"/>
    </row>
    <row r="136">
      <c r="A136" s="17" t="str">
        <f>IFERROR(__xludf.DUMMYFUNCTION("""COMPUTED_VALUE"""),"H.E.R.O.")</f>
        <v>H.E.R.O.</v>
      </c>
      <c r="B136" s="20" t="str">
        <f>IFERROR(__xludf.DUMMYFUNCTION("""COMPUTED_VALUE"""),"Xbox / PC")</f>
        <v>Xbox / PC</v>
      </c>
      <c r="C136" s="21" t="str">
        <f>IFERROR(__xludf.DUMMYFUNCTION("""COMPUTED_VALUE"""),"Yes")</f>
        <v>Yes</v>
      </c>
      <c r="D136" s="21" t="str">
        <f>IFERROR(__xludf.DUMMYFUNCTION("""COMPUTED_VALUE"""),"Active")</f>
        <v>Active</v>
      </c>
      <c r="E136" s="23">
        <f>IFERROR(__xludf.DUMMYFUNCTION("""COMPUTED_VALUE"""),45798.0)</f>
        <v>45798</v>
      </c>
      <c r="F136" s="24"/>
      <c r="G136" s="27">
        <f>IFERROR(__xludf.DUMMYFUNCTION("""COMPUTED_VALUE"""),16.5)</f>
        <v>16.5</v>
      </c>
      <c r="H136" s="23">
        <f>IFERROR(__xludf.DUMMYFUNCTION("""COMPUTED_VALUE"""),30764.0)</f>
        <v>30764</v>
      </c>
      <c r="I136" s="27">
        <f>IFERROR(__xludf.DUMMYFUNCTION("""COMPUTED_VALUE"""),41.16111111111111)</f>
        <v>41.16111111</v>
      </c>
      <c r="J136" s="29">
        <f>IFERROR(__xludf.DUMMYFUNCTION("""COMPUTED_VALUE"""),83.0)</f>
        <v>83</v>
      </c>
      <c r="K136" s="29"/>
      <c r="L136" s="31" t="str">
        <f>IFERROR(__xludf.DUMMYFUNCTION("""COMPUTED_VALUE"""),"Action‑Adventure")</f>
        <v>Action‑Adventure</v>
      </c>
      <c r="M136" s="31"/>
    </row>
    <row r="137">
      <c r="A137" s="17" t="str">
        <f>IFERROR(__xludf.DUMMYFUNCTION("""COMPUTED_VALUE"""),"Space Quest 2")</f>
        <v>Space Quest 2</v>
      </c>
      <c r="B137" s="20" t="str">
        <f>IFERROR(__xludf.DUMMYFUNCTION("""COMPUTED_VALUE"""),"Xbox / PC")</f>
        <v>Xbox / PC</v>
      </c>
      <c r="C137" s="21" t="str">
        <f>IFERROR(__xludf.DUMMYFUNCTION("""COMPUTED_VALUE"""),"Yes")</f>
        <v>Yes</v>
      </c>
      <c r="D137" s="21" t="str">
        <f>IFERROR(__xludf.DUMMYFUNCTION("""COMPUTED_VALUE"""),"Active")</f>
        <v>Active</v>
      </c>
      <c r="E137" s="23">
        <f>IFERROR(__xludf.DUMMYFUNCTION("""COMPUTED_VALUE"""),45798.0)</f>
        <v>45798</v>
      </c>
      <c r="F137" s="24"/>
      <c r="G137" s="27">
        <f>IFERROR(__xludf.DUMMYFUNCTION("""COMPUTED_VALUE"""),16.5)</f>
        <v>16.5</v>
      </c>
      <c r="H137" s="23">
        <f>IFERROR(__xludf.DUMMYFUNCTION("""COMPUTED_VALUE"""),32082.0)</f>
        <v>32082</v>
      </c>
      <c r="I137" s="27">
        <f>IFERROR(__xludf.DUMMYFUNCTION("""COMPUTED_VALUE"""),37.55555555555556)</f>
        <v>37.55555556</v>
      </c>
      <c r="J137" s="29">
        <f>IFERROR(__xludf.DUMMYFUNCTION("""COMPUTED_VALUE"""),83.0)</f>
        <v>83</v>
      </c>
      <c r="K137" s="29">
        <f>IFERROR(__xludf.DUMMYFUNCTION("""COMPUTED_VALUE"""),3.0)</f>
        <v>3</v>
      </c>
      <c r="L137" s="31" t="str">
        <f>IFERROR(__xludf.DUMMYFUNCTION("""COMPUTED_VALUE"""),"Action‑Adventure")</f>
        <v>Action‑Adventure</v>
      </c>
      <c r="M137" s="31"/>
    </row>
    <row r="138">
      <c r="A138" s="17" t="str">
        <f>IFERROR(__xludf.DUMMYFUNCTION("""COMPUTED_VALUE"""),"Warhammer: Vermintide 2")</f>
        <v>Warhammer: Vermintide 2</v>
      </c>
      <c r="B138" s="20" t="str">
        <f>IFERROR(__xludf.DUMMYFUNCTION("""COMPUTED_VALUE"""),"Xbox")</f>
        <v>Xbox</v>
      </c>
      <c r="C138" s="21" t="str">
        <f>IFERROR(__xludf.DUMMYFUNCTION("""COMPUTED_VALUE"""),"Yes")</f>
        <v>Yes</v>
      </c>
      <c r="D138" s="21" t="str">
        <f>IFERROR(__xludf.DUMMYFUNCTION("""COMPUTED_VALUE"""),"Active")</f>
        <v>Active</v>
      </c>
      <c r="E138" s="23">
        <f>IFERROR(__xludf.DUMMYFUNCTION("""COMPUTED_VALUE"""),45790.0)</f>
        <v>45790</v>
      </c>
      <c r="F138" s="24"/>
      <c r="G138" s="27">
        <f>IFERROR(__xludf.DUMMYFUNCTION("""COMPUTED_VALUE"""),16.766666666666666)</f>
        <v>16.76666667</v>
      </c>
      <c r="H138" s="23">
        <f>IFERROR(__xludf.DUMMYFUNCTION("""COMPUTED_VALUE"""),43167.0)</f>
        <v>43167</v>
      </c>
      <c r="I138" s="27">
        <f>IFERROR(__xludf.DUMMYFUNCTION("""COMPUTED_VALUE"""),7.180555555555555)</f>
        <v>7.180555556</v>
      </c>
      <c r="J138" s="29">
        <f>IFERROR(__xludf.DUMMYFUNCTION("""COMPUTED_VALUE"""),83.0)</f>
        <v>83</v>
      </c>
      <c r="K138" s="29">
        <f>IFERROR(__xludf.DUMMYFUNCTION("""COMPUTED_VALUE"""),20.0)</f>
        <v>20</v>
      </c>
      <c r="L138" s="31" t="str">
        <f>IFERROR(__xludf.DUMMYFUNCTION("""COMPUTED_VALUE"""),"Shooter")</f>
        <v>Shooter</v>
      </c>
      <c r="M138" s="31" t="str">
        <f>IFERROR(__xludf.DUMMYFUNCTION("""COMPUTED_VALUE"""),"Optimized")</f>
        <v>Optimized</v>
      </c>
    </row>
    <row r="139">
      <c r="A139" s="17" t="str">
        <f>IFERROR(__xludf.DUMMYFUNCTION("""COMPUTED_VALUE"""),"EA Sports College Football 25")</f>
        <v>EA Sports College Football 25</v>
      </c>
      <c r="B139" s="20" t="str">
        <f>IFERROR(__xludf.DUMMYFUNCTION("""COMPUTED_VALUE"""),"Xbox")</f>
        <v>Xbox</v>
      </c>
      <c r="C139" s="21" t="str">
        <f>IFERROR(__xludf.DUMMYFUNCTION("""COMPUTED_VALUE"""),"Yes")</f>
        <v>Yes</v>
      </c>
      <c r="D139" s="21" t="str">
        <f>IFERROR(__xludf.DUMMYFUNCTION("""COMPUTED_VALUE"""),"Active")</f>
        <v>Active</v>
      </c>
      <c r="E139" s="23">
        <f>IFERROR(__xludf.DUMMYFUNCTION("""COMPUTED_VALUE"""),45743.0)</f>
        <v>45743</v>
      </c>
      <c r="F139" s="24"/>
      <c r="G139" s="27">
        <f>IFERROR(__xludf.DUMMYFUNCTION("""COMPUTED_VALUE"""),18.299999999999997)</f>
        <v>18.3</v>
      </c>
      <c r="H139" s="23">
        <f>IFERROR(__xludf.DUMMYFUNCTION("""COMPUTED_VALUE"""),45492.0)</f>
        <v>45492</v>
      </c>
      <c r="I139" s="27">
        <f>IFERROR(__xludf.DUMMYFUNCTION("""COMPUTED_VALUE"""),0.6888888888888889)</f>
        <v>0.6888888889</v>
      </c>
      <c r="J139" s="29">
        <f>IFERROR(__xludf.DUMMYFUNCTION("""COMPUTED_VALUE"""),83.0)</f>
        <v>83</v>
      </c>
      <c r="K139" s="29">
        <f>IFERROR(__xludf.DUMMYFUNCTION("""COMPUTED_VALUE"""),11.0)</f>
        <v>11</v>
      </c>
      <c r="L139" s="31" t="str">
        <f>IFERROR(__xludf.DUMMYFUNCTION("""COMPUTED_VALUE"""),"Sports")</f>
        <v>Sports</v>
      </c>
      <c r="M139" s="31" t="str">
        <f>IFERROR(__xludf.DUMMYFUNCTION("""COMPUTED_VALUE"""),"Exclusive")</f>
        <v>Exclusive</v>
      </c>
    </row>
    <row r="140">
      <c r="A140" s="17" t="str">
        <f>IFERROR(__xludf.DUMMYFUNCTION("""COMPUTED_VALUE"""),"Nine Sols")</f>
        <v>Nine Sols</v>
      </c>
      <c r="B140" s="20" t="str">
        <f>IFERROR(__xludf.DUMMYFUNCTION("""COMPUTED_VALUE"""),"Xbox / PC")</f>
        <v>Xbox / PC</v>
      </c>
      <c r="C140" s="21" t="str">
        <f>IFERROR(__xludf.DUMMYFUNCTION("""COMPUTED_VALUE"""),"Yes")</f>
        <v>Yes</v>
      </c>
      <c r="D140" s="21" t="str">
        <f>IFERROR(__xludf.DUMMYFUNCTION("""COMPUTED_VALUE"""),"Active")</f>
        <v>Active</v>
      </c>
      <c r="E140" s="23">
        <f>IFERROR(__xludf.DUMMYFUNCTION("""COMPUTED_VALUE"""),45622.0)</f>
        <v>45622</v>
      </c>
      <c r="F140" s="24"/>
      <c r="G140" s="27">
        <f>IFERROR(__xludf.DUMMYFUNCTION("""COMPUTED_VALUE"""),22.333333333333336)</f>
        <v>22.33333333</v>
      </c>
      <c r="H140" s="23">
        <f>IFERROR(__xludf.DUMMYFUNCTION("""COMPUTED_VALUE"""),45440.0)</f>
        <v>45440</v>
      </c>
      <c r="I140" s="27">
        <f>IFERROR(__xludf.DUMMYFUNCTION("""COMPUTED_VALUE"""),0.49444444444444446)</f>
        <v>0.4944444444</v>
      </c>
      <c r="J140" s="29">
        <f>IFERROR(__xludf.DUMMYFUNCTION("""COMPUTED_VALUE"""),83.0)</f>
        <v>83</v>
      </c>
      <c r="K140" s="29">
        <f>IFERROR(__xludf.DUMMYFUNCTION("""COMPUTED_VALUE"""),21.0)</f>
        <v>21</v>
      </c>
      <c r="L140" s="31" t="str">
        <f>IFERROR(__xludf.DUMMYFUNCTION("""COMPUTED_VALUE"""),"Platformer")</f>
        <v>Platformer</v>
      </c>
      <c r="M140" s="31" t="str">
        <f>IFERROR(__xludf.DUMMYFUNCTION("""COMPUTED_VALUE"""),"Exclusive")</f>
        <v>Exclusive</v>
      </c>
    </row>
    <row r="141">
      <c r="A141" s="17" t="str">
        <f>IFERROR(__xludf.DUMMYFUNCTION("""COMPUTED_VALUE"""),"Call of Duty: Black Ops 6")</f>
        <v>Call of Duty: Black Ops 6</v>
      </c>
      <c r="B141" s="20" t="str">
        <f>IFERROR(__xludf.DUMMYFUNCTION("""COMPUTED_VALUE"""),"Xbox / PC")</f>
        <v>Xbox / PC</v>
      </c>
      <c r="C141" s="21" t="str">
        <f>IFERROR(__xludf.DUMMYFUNCTION("""COMPUTED_VALUE"""),"Yes")</f>
        <v>Yes</v>
      </c>
      <c r="D141" s="21" t="str">
        <f>IFERROR(__xludf.DUMMYFUNCTION("""COMPUTED_VALUE"""),"Active")</f>
        <v>Active</v>
      </c>
      <c r="E141" s="23">
        <f>IFERROR(__xludf.DUMMYFUNCTION("""COMPUTED_VALUE"""),45590.0)</f>
        <v>45590</v>
      </c>
      <c r="F141" s="24"/>
      <c r="G141" s="27">
        <f>IFERROR(__xludf.DUMMYFUNCTION("""COMPUTED_VALUE"""),23.366666666666667)</f>
        <v>23.36666667</v>
      </c>
      <c r="H141" s="23">
        <f>IFERROR(__xludf.DUMMYFUNCTION("""COMPUTED_VALUE"""),45590.0)</f>
        <v>45590</v>
      </c>
      <c r="I141" s="27">
        <f>IFERROR(__xludf.DUMMYFUNCTION("""COMPUTED_VALUE"""),0.0)</f>
        <v>0</v>
      </c>
      <c r="J141" s="29">
        <f>IFERROR(__xludf.DUMMYFUNCTION("""COMPUTED_VALUE"""),83.0)</f>
        <v>83</v>
      </c>
      <c r="K141" s="29">
        <f>IFERROR(__xludf.DUMMYFUNCTION("""COMPUTED_VALUE"""),9.0)</f>
        <v>9</v>
      </c>
      <c r="L141" s="31" t="str">
        <f>IFERROR(__xludf.DUMMYFUNCTION("""COMPUTED_VALUE"""),"Shooter")</f>
        <v>Shooter</v>
      </c>
      <c r="M141" s="31"/>
    </row>
    <row r="142">
      <c r="A142" s="17" t="str">
        <f>IFERROR(__xludf.DUMMYFUNCTION("""COMPUTED_VALUE"""),"Halo 3: ODST")</f>
        <v>Halo 3: ODST</v>
      </c>
      <c r="B142" s="20" t="str">
        <f>IFERROR(__xludf.DUMMYFUNCTION("""COMPUTED_VALUE"""),"Xbox / PC")</f>
        <v>Xbox / PC</v>
      </c>
      <c r="C142" s="21" t="str">
        <f>IFERROR(__xludf.DUMMYFUNCTION("""COMPUTED_VALUE"""),"Yes")</f>
        <v>Yes</v>
      </c>
      <c r="D142" s="21" t="str">
        <f>IFERROR(__xludf.DUMMYFUNCTION("""COMPUTED_VALUE"""),"Active")</f>
        <v>Active</v>
      </c>
      <c r="E142" s="23">
        <f>IFERROR(__xludf.DUMMYFUNCTION("""COMPUTED_VALUE"""),44096.0)</f>
        <v>44096</v>
      </c>
      <c r="F142" s="24"/>
      <c r="G142" s="27">
        <f>IFERROR(__xludf.DUMMYFUNCTION("""COMPUTED_VALUE"""),72.46666666666667)</f>
        <v>72.46666667</v>
      </c>
      <c r="H142" s="23">
        <f>IFERROR(__xludf.DUMMYFUNCTION("""COMPUTED_VALUE"""),40078.0)</f>
        <v>40078</v>
      </c>
      <c r="I142" s="27">
        <f>IFERROR(__xludf.DUMMYFUNCTION("""COMPUTED_VALUE"""),11.0)</f>
        <v>11</v>
      </c>
      <c r="J142" s="29">
        <f>IFERROR(__xludf.DUMMYFUNCTION("""COMPUTED_VALUE"""),83.0)</f>
        <v>83</v>
      </c>
      <c r="K142" s="29">
        <f>IFERROR(__xludf.DUMMYFUNCTION("""COMPUTED_VALUE"""),7.0)</f>
        <v>7</v>
      </c>
      <c r="L142" s="31" t="str">
        <f>IFERROR(__xludf.DUMMYFUNCTION("""COMPUTED_VALUE"""),"Shooter")</f>
        <v>Shooter</v>
      </c>
      <c r="M142" s="31"/>
    </row>
    <row r="143">
      <c r="A143" s="17" t="str">
        <f>IFERROR(__xludf.DUMMYFUNCTION("""COMPUTED_VALUE"""),"Overcooked! 2")</f>
        <v>Overcooked! 2</v>
      </c>
      <c r="B143" s="20" t="str">
        <f>IFERROR(__xludf.DUMMYFUNCTION("""COMPUTED_VALUE"""),"Xbox / PC")</f>
        <v>Xbox / PC</v>
      </c>
      <c r="C143" s="21" t="str">
        <f>IFERROR(__xludf.DUMMYFUNCTION("""COMPUTED_VALUE"""),"Touch Controls")</f>
        <v>Touch Controls</v>
      </c>
      <c r="D143" s="21" t="str">
        <f>IFERROR(__xludf.DUMMYFUNCTION("""COMPUTED_VALUE"""),"Active")</f>
        <v>Active</v>
      </c>
      <c r="E143" s="23">
        <f>IFERROR(__xludf.DUMMYFUNCTION("""COMPUTED_VALUE"""),43811.0)</f>
        <v>43811</v>
      </c>
      <c r="F143" s="24"/>
      <c r="G143" s="27">
        <f>IFERROR(__xludf.DUMMYFUNCTION("""COMPUTED_VALUE"""),81.8)</f>
        <v>81.8</v>
      </c>
      <c r="H143" s="23">
        <f>IFERROR(__xludf.DUMMYFUNCTION("""COMPUTED_VALUE"""),43319.0)</f>
        <v>43319</v>
      </c>
      <c r="I143" s="27">
        <f>IFERROR(__xludf.DUMMYFUNCTION("""COMPUTED_VALUE"""),1.3472222222222223)</f>
        <v>1.347222222</v>
      </c>
      <c r="J143" s="29">
        <f>IFERROR(__xludf.DUMMYFUNCTION("""COMPUTED_VALUE"""),83.0)</f>
        <v>83</v>
      </c>
      <c r="K143" s="29">
        <f>IFERROR(__xludf.DUMMYFUNCTION("""COMPUTED_VALUE"""),6.5)</f>
        <v>6.5</v>
      </c>
      <c r="L143" s="31" t="str">
        <f>IFERROR(__xludf.DUMMYFUNCTION("""COMPUTED_VALUE"""),"Simulation")</f>
        <v>Simulation</v>
      </c>
      <c r="M143" s="31" t="str">
        <f>IFERROR(__xludf.DUMMYFUNCTION("""COMPUTED_VALUE"""),"FPS Boost")</f>
        <v>FPS Boost</v>
      </c>
    </row>
    <row r="144">
      <c r="A144" s="17" t="str">
        <f>IFERROR(__xludf.DUMMYFUNCTION("""COMPUTED_VALUE"""),"Gears 5: Game of the Year Edition")</f>
        <v>Gears 5: Game of the Year Edition</v>
      </c>
      <c r="B144" s="20" t="str">
        <f>IFERROR(__xludf.DUMMYFUNCTION("""COMPUTED_VALUE"""),"Xbox / PC")</f>
        <v>Xbox / PC</v>
      </c>
      <c r="C144" s="21" t="str">
        <f>IFERROR(__xludf.DUMMYFUNCTION("""COMPUTED_VALUE"""),"Touch Controls")</f>
        <v>Touch Controls</v>
      </c>
      <c r="D144" s="21" t="str">
        <f>IFERROR(__xludf.DUMMYFUNCTION("""COMPUTED_VALUE"""),"Active")</f>
        <v>Active</v>
      </c>
      <c r="E144" s="23">
        <f>IFERROR(__xludf.DUMMYFUNCTION("""COMPUTED_VALUE"""),43718.0)</f>
        <v>43718</v>
      </c>
      <c r="F144" s="24"/>
      <c r="G144" s="27">
        <f>IFERROR(__xludf.DUMMYFUNCTION("""COMPUTED_VALUE"""),84.86666666666666)</f>
        <v>84.86666667</v>
      </c>
      <c r="H144" s="23">
        <f>IFERROR(__xludf.DUMMYFUNCTION("""COMPUTED_VALUE"""),43718.0)</f>
        <v>43718</v>
      </c>
      <c r="I144" s="27">
        <f>IFERROR(__xludf.DUMMYFUNCTION("""COMPUTED_VALUE"""),0.0)</f>
        <v>0</v>
      </c>
      <c r="J144" s="29">
        <f>IFERROR(__xludf.DUMMYFUNCTION("""COMPUTED_VALUE"""),83.0)</f>
        <v>83</v>
      </c>
      <c r="K144" s="29">
        <f>IFERROR(__xludf.DUMMYFUNCTION("""COMPUTED_VALUE"""),10.5)</f>
        <v>10.5</v>
      </c>
      <c r="L144" s="31" t="str">
        <f>IFERROR(__xludf.DUMMYFUNCTION("""COMPUTED_VALUE"""),"Action")</f>
        <v>Action</v>
      </c>
      <c r="M144" s="31" t="str">
        <f>IFERROR(__xludf.DUMMYFUNCTION("""COMPUTED_VALUE"""),"Optimized")</f>
        <v>Optimized</v>
      </c>
    </row>
    <row r="145">
      <c r="A145" s="17" t="str">
        <f>IFERROR(__xludf.DUMMYFUNCTION("""COMPUTED_VALUE"""),"Prey")</f>
        <v>Prey</v>
      </c>
      <c r="B145" s="20" t="str">
        <f>IFERROR(__xludf.DUMMYFUNCTION("""COMPUTED_VALUE"""),"Xbox / PC")</f>
        <v>Xbox / PC</v>
      </c>
      <c r="C145" s="21" t="str">
        <f>IFERROR(__xludf.DUMMYFUNCTION("""COMPUTED_VALUE"""),"Yes")</f>
        <v>Yes</v>
      </c>
      <c r="D145" s="21" t="str">
        <f>IFERROR(__xludf.DUMMYFUNCTION("""COMPUTED_VALUE"""),"Active")</f>
        <v>Active</v>
      </c>
      <c r="E145" s="23">
        <f>IFERROR(__xludf.DUMMYFUNCTION("""COMPUTED_VALUE"""),43566.0)</f>
        <v>43566</v>
      </c>
      <c r="F145" s="24"/>
      <c r="G145" s="27">
        <f>IFERROR(__xludf.DUMMYFUNCTION("""COMPUTED_VALUE"""),89.83333333333333)</f>
        <v>89.83333333</v>
      </c>
      <c r="H145" s="23">
        <f>IFERROR(__xludf.DUMMYFUNCTION("""COMPUTED_VALUE"""),42860.0)</f>
        <v>42860</v>
      </c>
      <c r="I145" s="27">
        <f>IFERROR(__xludf.DUMMYFUNCTION("""COMPUTED_VALUE"""),1.9333333333333333)</f>
        <v>1.933333333</v>
      </c>
      <c r="J145" s="29">
        <f>IFERROR(__xludf.DUMMYFUNCTION("""COMPUTED_VALUE"""),83.0)</f>
        <v>83</v>
      </c>
      <c r="K145" s="29">
        <f>IFERROR(__xludf.DUMMYFUNCTION("""COMPUTED_VALUE"""),16.0)</f>
        <v>16</v>
      </c>
      <c r="L145" s="31" t="str">
        <f>IFERROR(__xludf.DUMMYFUNCTION("""COMPUTED_VALUE"""),"Shooter")</f>
        <v>Shooter</v>
      </c>
      <c r="M145" s="31" t="str">
        <f>IFERROR(__xludf.DUMMYFUNCTION("""COMPUTED_VALUE"""),"FPS Boost")</f>
        <v>FPS Boost</v>
      </c>
    </row>
    <row r="146">
      <c r="A146" s="17" t="str">
        <f>IFERROR(__xludf.DUMMYFUNCTION("""COMPUTED_VALUE"""),"The Walking Dead: Season Two")</f>
        <v>The Walking Dead: Season Two</v>
      </c>
      <c r="B146" s="20" t="str">
        <f>IFERROR(__xludf.DUMMYFUNCTION("""COMPUTED_VALUE"""),"Xbox / PC")</f>
        <v>Xbox / PC</v>
      </c>
      <c r="C146" s="21" t="str">
        <f>IFERROR(__xludf.DUMMYFUNCTION("""COMPUTED_VALUE"""),"Touch Controls")</f>
        <v>Touch Controls</v>
      </c>
      <c r="D146" s="21" t="str">
        <f>IFERROR(__xludf.DUMMYFUNCTION("""COMPUTED_VALUE"""),"Active")</f>
        <v>Active</v>
      </c>
      <c r="E146" s="23">
        <f>IFERROR(__xludf.DUMMYFUNCTION("""COMPUTED_VALUE"""),43524.0)</f>
        <v>43524</v>
      </c>
      <c r="F146" s="24"/>
      <c r="G146" s="27">
        <f>IFERROR(__xludf.DUMMYFUNCTION("""COMPUTED_VALUE"""),91.26666666666667)</f>
        <v>91.26666667</v>
      </c>
      <c r="H146" s="23">
        <f>IFERROR(__xludf.DUMMYFUNCTION("""COMPUTED_VALUE"""),41625.0)</f>
        <v>41625</v>
      </c>
      <c r="I146" s="27">
        <f>IFERROR(__xludf.DUMMYFUNCTION("""COMPUTED_VALUE"""),5.197222222222222)</f>
        <v>5.197222222</v>
      </c>
      <c r="J146" s="29">
        <f>IFERROR(__xludf.DUMMYFUNCTION("""COMPUTED_VALUE"""),83.0)</f>
        <v>83</v>
      </c>
      <c r="K146" s="29">
        <f>IFERROR(__xludf.DUMMYFUNCTION("""COMPUTED_VALUE"""),9.5)</f>
        <v>9.5</v>
      </c>
      <c r="L146" s="31" t="str">
        <f>IFERROR(__xludf.DUMMYFUNCTION("""COMPUTED_VALUE"""),"Adventure")</f>
        <v>Adventure</v>
      </c>
      <c r="M146" s="31"/>
    </row>
    <row r="147">
      <c r="A147" s="17" t="str">
        <f>IFERROR(__xludf.DUMMYFUNCTION("""COMPUTED_VALUE"""),"Cities: Skylines - Remastered")</f>
        <v>Cities: Skylines - Remastered</v>
      </c>
      <c r="B147" s="20" t="str">
        <f>IFERROR(__xludf.DUMMYFUNCTION("""COMPUTED_VALUE"""),"Xbox / PC")</f>
        <v>Xbox / PC</v>
      </c>
      <c r="C147" s="21" t="str">
        <f>IFERROR(__xludf.DUMMYFUNCTION("""COMPUTED_VALUE"""),"M+KB")</f>
        <v>M+KB</v>
      </c>
      <c r="D147" s="21" t="str">
        <f>IFERROR(__xludf.DUMMYFUNCTION("""COMPUTED_VALUE"""),"Active")</f>
        <v>Active</v>
      </c>
      <c r="E147" s="23">
        <f>IFERROR(__xludf.DUMMYFUNCTION("""COMPUTED_VALUE"""),43191.0)</f>
        <v>43191</v>
      </c>
      <c r="F147" s="24"/>
      <c r="G147" s="27">
        <f>IFERROR(__xludf.DUMMYFUNCTION("""COMPUTED_VALUE"""),102.16666666666667)</f>
        <v>102.1666667</v>
      </c>
      <c r="H147" s="23">
        <f>IFERROR(__xludf.DUMMYFUNCTION("""COMPUTED_VALUE"""),42073.0)</f>
        <v>42073</v>
      </c>
      <c r="I147" s="27">
        <f>IFERROR(__xludf.DUMMYFUNCTION("""COMPUTED_VALUE"""),3.058333333333333)</f>
        <v>3.058333333</v>
      </c>
      <c r="J147" s="29">
        <f>IFERROR(__xludf.DUMMYFUNCTION("""COMPUTED_VALUE"""),83.0)</f>
        <v>83</v>
      </c>
      <c r="K147" s="29">
        <f>IFERROR(__xludf.DUMMYFUNCTION("""COMPUTED_VALUE"""),25.5)</f>
        <v>25.5</v>
      </c>
      <c r="L147" s="31" t="str">
        <f>IFERROR(__xludf.DUMMYFUNCTION("""COMPUTED_VALUE"""),"Simulation")</f>
        <v>Simulation</v>
      </c>
      <c r="M147" s="31"/>
    </row>
    <row r="148">
      <c r="A148" s="17" t="str">
        <f>IFERROR(__xludf.DUMMYFUNCTION("""COMPUTED_VALUE"""),"theHunter: Call of the Wild")</f>
        <v>theHunter: Call of the Wild</v>
      </c>
      <c r="B148" s="20" t="str">
        <f>IFERROR(__xludf.DUMMYFUNCTION("""COMPUTED_VALUE"""),"Xbox / PC")</f>
        <v>Xbox / PC</v>
      </c>
      <c r="C148" s="21" t="str">
        <f>IFERROR(__xludf.DUMMYFUNCTION("""COMPUTED_VALUE"""),"Yes")</f>
        <v>Yes</v>
      </c>
      <c r="D148" s="21" t="str">
        <f>IFERROR(__xludf.DUMMYFUNCTION("""COMPUTED_VALUE"""),"Active")</f>
        <v>Active</v>
      </c>
      <c r="E148" s="23">
        <f>IFERROR(__xludf.DUMMYFUNCTION("""COMPUTED_VALUE"""),43191.0)</f>
        <v>43191</v>
      </c>
      <c r="F148" s="24"/>
      <c r="G148" s="27">
        <f>IFERROR(__xludf.DUMMYFUNCTION("""COMPUTED_VALUE"""),102.16666666666667)</f>
        <v>102.1666667</v>
      </c>
      <c r="H148" s="23">
        <f>IFERROR(__xludf.DUMMYFUNCTION("""COMPUTED_VALUE"""),42781.0)</f>
        <v>42781</v>
      </c>
      <c r="I148" s="27">
        <f>IFERROR(__xludf.DUMMYFUNCTION("""COMPUTED_VALUE"""),1.1277777777777778)</f>
        <v>1.127777778</v>
      </c>
      <c r="J148" s="29">
        <f>IFERROR(__xludf.DUMMYFUNCTION("""COMPUTED_VALUE"""),83.0)</f>
        <v>83</v>
      </c>
      <c r="K148" s="29">
        <f>IFERROR(__xludf.DUMMYFUNCTION("""COMPUTED_VALUE"""),20.5)</f>
        <v>20.5</v>
      </c>
      <c r="L148" s="31" t="str">
        <f>IFERROR(__xludf.DUMMYFUNCTION("""COMPUTED_VALUE"""),"Shooter")</f>
        <v>Shooter</v>
      </c>
      <c r="M148" s="31"/>
    </row>
    <row r="149">
      <c r="A149" s="17" t="str">
        <f>IFERROR(__xludf.DUMMYFUNCTION("""COMPUTED_VALUE"""),"Dishonored: Death of the Outsider")</f>
        <v>Dishonored: Death of the Outsider</v>
      </c>
      <c r="B149" s="20" t="str">
        <f>IFERROR(__xludf.DUMMYFUNCTION("""COMPUTED_VALUE"""),"Xbox / PC")</f>
        <v>Xbox / PC</v>
      </c>
      <c r="C149" s="21" t="str">
        <f>IFERROR(__xludf.DUMMYFUNCTION("""COMPUTED_VALUE"""),"Yes")</f>
        <v>Yes</v>
      </c>
      <c r="D149" s="21" t="str">
        <f>IFERROR(__xludf.DUMMYFUNCTION("""COMPUTED_VALUE"""),"Active")</f>
        <v>Active</v>
      </c>
      <c r="E149" s="23">
        <f>IFERROR(__xludf.DUMMYFUNCTION("""COMPUTED_VALUE"""),44360.0)</f>
        <v>44360</v>
      </c>
      <c r="F149" s="24"/>
      <c r="G149" s="27">
        <f>IFERROR(__xludf.DUMMYFUNCTION("""COMPUTED_VALUE"""),63.766666666666666)</f>
        <v>63.76666667</v>
      </c>
      <c r="H149" s="23">
        <f>IFERROR(__xludf.DUMMYFUNCTION("""COMPUTED_VALUE"""),42993.0)</f>
        <v>42993</v>
      </c>
      <c r="I149" s="27">
        <f>IFERROR(__xludf.DUMMYFUNCTION("""COMPUTED_VALUE"""),3.7444444444444445)</f>
        <v>3.744444444</v>
      </c>
      <c r="J149" s="29">
        <f>IFERROR(__xludf.DUMMYFUNCTION("""COMPUTED_VALUE"""),82.5)</f>
        <v>82.5</v>
      </c>
      <c r="K149" s="29">
        <f>IFERROR(__xludf.DUMMYFUNCTION("""COMPUTED_VALUE"""),6.5)</f>
        <v>6.5</v>
      </c>
      <c r="L149" s="31" t="str">
        <f>IFERROR(__xludf.DUMMYFUNCTION("""COMPUTED_VALUE"""),"Action-Adventure")</f>
        <v>Action-Adventure</v>
      </c>
      <c r="M149" s="31" t="str">
        <f>IFERROR(__xludf.DUMMYFUNCTION("""COMPUTED_VALUE"""),"FPS Boost")</f>
        <v>FPS Boost</v>
      </c>
    </row>
    <row r="150">
      <c r="A150" s="17" t="str">
        <f>IFERROR(__xludf.DUMMYFUNCTION("""COMPUTED_VALUE"""),"Conker: Live &amp; Reloaded")</f>
        <v>Conker: Live &amp; Reloaded</v>
      </c>
      <c r="B150" s="20" t="str">
        <f>IFERROR(__xludf.DUMMYFUNCTION("""COMPUTED_VALUE"""),"Xbox / PC")</f>
        <v>Xbox / PC</v>
      </c>
      <c r="C150" s="21" t="str">
        <f>IFERROR(__xludf.DUMMYFUNCTION("""COMPUTED_VALUE"""),"Yes")</f>
        <v>Yes</v>
      </c>
      <c r="D150" s="21" t="str">
        <f>IFERROR(__xludf.DUMMYFUNCTION("""COMPUTED_VALUE"""),"Active")</f>
        <v>Active</v>
      </c>
      <c r="E150" s="23">
        <f>IFERROR(__xludf.DUMMYFUNCTION("""COMPUTED_VALUE"""),46225.0)</f>
        <v>46225</v>
      </c>
      <c r="F150" s="24"/>
      <c r="G150" s="27">
        <f>IFERROR(__xludf.DUMMYFUNCTION("""COMPUTED_VALUE"""),2.466666666666667)</f>
        <v>2.466666667</v>
      </c>
      <c r="H150" s="23">
        <f>IFERROR(__xludf.DUMMYFUNCTION("""COMPUTED_VALUE"""),38673.0)</f>
        <v>38673</v>
      </c>
      <c r="I150" s="27">
        <f>IFERROR(__xludf.DUMMYFUNCTION("""COMPUTED_VALUE"""),20.680555555555557)</f>
        <v>20.68055556</v>
      </c>
      <c r="J150" s="29">
        <f>IFERROR(__xludf.DUMMYFUNCTION("""COMPUTED_VALUE"""),82.0)</f>
        <v>82</v>
      </c>
      <c r="K150" s="29">
        <f>IFERROR(__xludf.DUMMYFUNCTION("""COMPUTED_VALUE"""),11.0)</f>
        <v>11</v>
      </c>
      <c r="L150" s="31" t="str">
        <f>IFERROR(__xludf.DUMMYFUNCTION("""COMPUTED_VALUE"""),"Action-Adventure")</f>
        <v>Action-Adventure</v>
      </c>
      <c r="M150" s="31" t="str">
        <f>IFERROR(__xludf.DUMMYFUNCTION("""COMPUTED_VALUE"""),"Enhanced")</f>
        <v>Enhanced</v>
      </c>
    </row>
    <row r="151">
      <c r="A151" s="17" t="str">
        <f>IFERROR(__xludf.DUMMYFUNCTION("""COMPUTED_VALUE"""),"Ascend to Zero")</f>
        <v>Ascend to Zero</v>
      </c>
      <c r="B151" s="20" t="str">
        <f>IFERROR(__xludf.DUMMYFUNCTION("""COMPUTED_VALUE"""),"Xbox / PC")</f>
        <v>Xbox / PC</v>
      </c>
      <c r="C151" s="21" t="str">
        <f>IFERROR(__xludf.DUMMYFUNCTION("""COMPUTED_VALUE"""),"Yes")</f>
        <v>Yes</v>
      </c>
      <c r="D151" s="21" t="str">
        <f>IFERROR(__xludf.DUMMYFUNCTION("""COMPUTED_VALUE"""),"Active")</f>
        <v>Active</v>
      </c>
      <c r="E151" s="23">
        <f>IFERROR(__xludf.DUMMYFUNCTION("""COMPUTED_VALUE"""),46216.0)</f>
        <v>46216</v>
      </c>
      <c r="F151" s="24"/>
      <c r="G151" s="27">
        <f>IFERROR(__xludf.DUMMYFUNCTION("""COMPUTED_VALUE"""),2.7666666666666666)</f>
        <v>2.766666667</v>
      </c>
      <c r="H151" s="23">
        <f>IFERROR(__xludf.DUMMYFUNCTION("""COMPUTED_VALUE"""),46216.0)</f>
        <v>46216</v>
      </c>
      <c r="I151" s="27">
        <f>IFERROR(__xludf.DUMMYFUNCTION("""COMPUTED_VALUE"""),0.0)</f>
        <v>0</v>
      </c>
      <c r="J151" s="29">
        <f>IFERROR(__xludf.DUMMYFUNCTION("""COMPUTED_VALUE"""),82.0)</f>
        <v>82</v>
      </c>
      <c r="K151" s="29">
        <f>IFERROR(__xludf.DUMMYFUNCTION("""COMPUTED_VALUE"""),13.0)</f>
        <v>13</v>
      </c>
      <c r="L151" s="31" t="str">
        <f>IFERROR(__xludf.DUMMYFUNCTION("""COMPUTED_VALUE"""),"Action-Adventure")</f>
        <v>Action-Adventure</v>
      </c>
      <c r="M151" s="31" t="str">
        <f>IFERROR(__xludf.DUMMYFUNCTION("""COMPUTED_VALUE"""),"Exclusive")</f>
        <v>Exclusive</v>
      </c>
    </row>
    <row r="152">
      <c r="A152" s="17" t="str">
        <f>IFERROR(__xludf.DUMMYFUNCTION("""COMPUTED_VALUE"""),"The Outer Worlds: Spacer’s Choice Edition")</f>
        <v>The Outer Worlds: Spacer’s Choice Edition</v>
      </c>
      <c r="B152" s="20" t="str">
        <f>IFERROR(__xludf.DUMMYFUNCTION("""COMPUTED_VALUE"""),"Xbox / PC")</f>
        <v>Xbox / PC</v>
      </c>
      <c r="C152" s="21" t="str">
        <f>IFERROR(__xludf.DUMMYFUNCTION("""COMPUTED_VALUE"""),"Yes")</f>
        <v>Yes</v>
      </c>
      <c r="D152" s="21" t="str">
        <f>IFERROR(__xludf.DUMMYFUNCTION("""COMPUTED_VALUE"""),"Active")</f>
        <v>Active</v>
      </c>
      <c r="E152" s="23">
        <f>IFERROR(__xludf.DUMMYFUNCTION("""COMPUTED_VALUE"""),46169.0)</f>
        <v>46169</v>
      </c>
      <c r="F152" s="24"/>
      <c r="G152" s="27">
        <f>IFERROR(__xludf.DUMMYFUNCTION("""COMPUTED_VALUE"""),4.3)</f>
        <v>4.3</v>
      </c>
      <c r="H152" s="23">
        <f>IFERROR(__xludf.DUMMYFUNCTION("""COMPUTED_VALUE"""),44992.0)</f>
        <v>44992</v>
      </c>
      <c r="I152" s="27">
        <f>IFERROR(__xludf.DUMMYFUNCTION("""COMPUTED_VALUE"""),3.2222222222222223)</f>
        <v>3.222222222</v>
      </c>
      <c r="J152" s="29">
        <f>IFERROR(__xludf.DUMMYFUNCTION("""COMPUTED_VALUE"""),82.0)</f>
        <v>82</v>
      </c>
      <c r="K152" s="29">
        <f>IFERROR(__xludf.DUMMYFUNCTION("""COMPUTED_VALUE"""),13.0)</f>
        <v>13</v>
      </c>
      <c r="L152" s="31" t="str">
        <f>IFERROR(__xludf.DUMMYFUNCTION("""COMPUTED_VALUE"""),"RPG")</f>
        <v>RPG</v>
      </c>
      <c r="M152" s="31" t="str">
        <f>IFERROR(__xludf.DUMMYFUNCTION("""COMPUTED_VALUE"""),"Exclusive")</f>
        <v>Exclusive</v>
      </c>
    </row>
    <row r="153">
      <c r="A153" s="17" t="str">
        <f>IFERROR(__xludf.DUMMYFUNCTION("""COMPUTED_VALUE"""),"Black Jacket")</f>
        <v>Black Jacket</v>
      </c>
      <c r="B153" s="20" t="str">
        <f>IFERROR(__xludf.DUMMYFUNCTION("""COMPUTED_VALUE"""),"Xbox / PC")</f>
        <v>Xbox / PC</v>
      </c>
      <c r="C153" s="21" t="str">
        <f>IFERROR(__xludf.DUMMYFUNCTION("""COMPUTED_VALUE"""),"Yes")</f>
        <v>Yes</v>
      </c>
      <c r="D153" s="21" t="str">
        <f>IFERROR(__xludf.DUMMYFUNCTION("""COMPUTED_VALUE"""),"Active")</f>
        <v>Active</v>
      </c>
      <c r="E153" s="23">
        <f>IFERROR(__xludf.DUMMYFUNCTION("""COMPUTED_VALUE"""),46154.0)</f>
        <v>46154</v>
      </c>
      <c r="F153" s="24"/>
      <c r="G153" s="27">
        <f>IFERROR(__xludf.DUMMYFUNCTION("""COMPUTED_VALUE"""),4.800000000000001)</f>
        <v>4.8</v>
      </c>
      <c r="H153" s="23">
        <f>IFERROR(__xludf.DUMMYFUNCTION("""COMPUTED_VALUE"""),46154.0)</f>
        <v>46154</v>
      </c>
      <c r="I153" s="27">
        <f>IFERROR(__xludf.DUMMYFUNCTION("""COMPUTED_VALUE"""),0.0)</f>
        <v>0</v>
      </c>
      <c r="J153" s="29">
        <f>IFERROR(__xludf.DUMMYFUNCTION("""COMPUTED_VALUE"""),82.0)</f>
        <v>82</v>
      </c>
      <c r="K153" s="29">
        <f>IFERROR(__xludf.DUMMYFUNCTION("""COMPUTED_VALUE"""),6.0)</f>
        <v>6</v>
      </c>
      <c r="L153" s="31" t="str">
        <f>IFERROR(__xludf.DUMMYFUNCTION("""COMPUTED_VALUE"""),"Roguelike Card Game")</f>
        <v>Roguelike Card Game</v>
      </c>
      <c r="M153" s="31" t="str">
        <f>IFERROR(__xludf.DUMMYFUNCTION("""COMPUTED_VALUE"""),"Exclusive")</f>
        <v>Exclusive</v>
      </c>
    </row>
    <row r="154">
      <c r="A154" s="17" t="str">
        <f>IFERROR(__xludf.DUMMYFUNCTION("""COMPUTED_VALUE"""),"Final Fantasy V")</f>
        <v>Final Fantasy V</v>
      </c>
      <c r="B154" s="20" t="str">
        <f>IFERROR(__xludf.DUMMYFUNCTION("""COMPUTED_VALUE"""),"Xbox / PC")</f>
        <v>Xbox / PC</v>
      </c>
      <c r="C154" s="21" t="str">
        <f>IFERROR(__xludf.DUMMYFUNCTION("""COMPUTED_VALUE"""),"Yes")</f>
        <v>Yes</v>
      </c>
      <c r="D154" s="21" t="str">
        <f>IFERROR(__xludf.DUMMYFUNCTION("""COMPUTED_VALUE"""),"Active")</f>
        <v>Active</v>
      </c>
      <c r="E154" s="23">
        <f>IFERROR(__xludf.DUMMYFUNCTION("""COMPUTED_VALUE"""),46147.0)</f>
        <v>46147</v>
      </c>
      <c r="F154" s="24"/>
      <c r="G154" s="27">
        <f>IFERROR(__xludf.DUMMYFUNCTION("""COMPUTED_VALUE"""),5.033333333333333)</f>
        <v>5.033333333</v>
      </c>
      <c r="H154" s="23">
        <f>IFERROR(__xludf.DUMMYFUNCTION("""COMPUTED_VALUE"""),39027.0)</f>
        <v>39027</v>
      </c>
      <c r="I154" s="27">
        <f>IFERROR(__xludf.DUMMYFUNCTION("""COMPUTED_VALUE"""),19.497222222222224)</f>
        <v>19.49722222</v>
      </c>
      <c r="J154" s="29">
        <f>IFERROR(__xludf.DUMMYFUNCTION("""COMPUTED_VALUE"""),82.0)</f>
        <v>82</v>
      </c>
      <c r="K154" s="29">
        <f>IFERROR(__xludf.DUMMYFUNCTION("""COMPUTED_VALUE"""),31.0)</f>
        <v>31</v>
      </c>
      <c r="L154" s="31" t="str">
        <f>IFERROR(__xludf.DUMMYFUNCTION("""COMPUTED_VALUE"""),"RPG")</f>
        <v>RPG</v>
      </c>
      <c r="M154" s="31" t="str">
        <f>IFERROR(__xludf.DUMMYFUNCTION("""COMPUTED_VALUE"""),"Exclusive")</f>
        <v>Exclusive</v>
      </c>
    </row>
    <row r="155">
      <c r="A155" s="17" t="str">
        <f>IFERROR(__xludf.DUMMYFUNCTION("""COMPUTED_VALUE"""),"inKonbini: One Store. Many Stories ")</f>
        <v>inKonbini: One Store. Many Stories </v>
      </c>
      <c r="B155" s="20" t="str">
        <f>IFERROR(__xludf.DUMMYFUNCTION("""COMPUTED_VALUE"""),"Xbox / PC")</f>
        <v>Xbox / PC</v>
      </c>
      <c r="C155" s="21" t="str">
        <f>IFERROR(__xludf.DUMMYFUNCTION("""COMPUTED_VALUE"""),"Yes")</f>
        <v>Yes</v>
      </c>
      <c r="D155" s="21" t="str">
        <f>IFERROR(__xludf.DUMMYFUNCTION("""COMPUTED_VALUE"""),"Active")</f>
        <v>Active</v>
      </c>
      <c r="E155" s="23">
        <f>IFERROR(__xludf.DUMMYFUNCTION("""COMPUTED_VALUE"""),46142.0)</f>
        <v>46142</v>
      </c>
      <c r="F155" s="24"/>
      <c r="G155" s="27">
        <f>IFERROR(__xludf.DUMMYFUNCTION("""COMPUTED_VALUE"""),5.2)</f>
        <v>5.2</v>
      </c>
      <c r="H155" s="23">
        <f>IFERROR(__xludf.DUMMYFUNCTION("""COMPUTED_VALUE"""),46142.0)</f>
        <v>46142</v>
      </c>
      <c r="I155" s="27">
        <f>IFERROR(__xludf.DUMMYFUNCTION("""COMPUTED_VALUE"""),0.0)</f>
        <v>0</v>
      </c>
      <c r="J155" s="29">
        <f>IFERROR(__xludf.DUMMYFUNCTION("""COMPUTED_VALUE"""),82.0)</f>
        <v>82</v>
      </c>
      <c r="K155" s="29">
        <f>IFERROR(__xludf.DUMMYFUNCTION("""COMPUTED_VALUE"""),7.0)</f>
        <v>7</v>
      </c>
      <c r="L155" s="31" t="str">
        <f>IFERROR(__xludf.DUMMYFUNCTION("""COMPUTED_VALUE"""),"Action-Adventure")</f>
        <v>Action-Adventure</v>
      </c>
      <c r="M155" s="31"/>
    </row>
    <row r="156">
      <c r="A156" s="17" t="str">
        <f>IFERROR(__xludf.DUMMYFUNCTION("""COMPUTED_VALUE"""),"EA Sports College Football 26")</f>
        <v>EA Sports College Football 26</v>
      </c>
      <c r="B156" s="20" t="str">
        <f>IFERROR(__xludf.DUMMYFUNCTION("""COMPUTED_VALUE"""),"Xbox")</f>
        <v>Xbox</v>
      </c>
      <c r="C156" s="21" t="str">
        <f>IFERROR(__xludf.DUMMYFUNCTION("""COMPUTED_VALUE"""),"Yes")</f>
        <v>Yes</v>
      </c>
      <c r="D156" s="21" t="str">
        <f>IFERROR(__xludf.DUMMYFUNCTION("""COMPUTED_VALUE"""),"Active")</f>
        <v>Active</v>
      </c>
      <c r="E156" s="23">
        <f>IFERROR(__xludf.DUMMYFUNCTION("""COMPUTED_VALUE"""),46072.0)</f>
        <v>46072</v>
      </c>
      <c r="F156" s="24"/>
      <c r="G156" s="27">
        <f>IFERROR(__xludf.DUMMYFUNCTION("""COMPUTED_VALUE"""),7.566666666666666)</f>
        <v>7.566666667</v>
      </c>
      <c r="H156" s="23">
        <f>IFERROR(__xludf.DUMMYFUNCTION("""COMPUTED_VALUE"""),45856.0)</f>
        <v>45856</v>
      </c>
      <c r="I156" s="27">
        <f>IFERROR(__xludf.DUMMYFUNCTION("""COMPUTED_VALUE"""),0.5861111111111111)</f>
        <v>0.5861111111</v>
      </c>
      <c r="J156" s="29">
        <f>IFERROR(__xludf.DUMMYFUNCTION("""COMPUTED_VALUE"""),82.0)</f>
        <v>82</v>
      </c>
      <c r="K156" s="29">
        <f>IFERROR(__xludf.DUMMYFUNCTION("""COMPUTED_VALUE"""),6.0)</f>
        <v>6</v>
      </c>
      <c r="L156" s="31" t="str">
        <f>IFERROR(__xludf.DUMMYFUNCTION("""COMPUTED_VALUE"""),"Sports")</f>
        <v>Sports</v>
      </c>
      <c r="M156" s="31" t="str">
        <f>IFERROR(__xludf.DUMMYFUNCTION("""COMPUTED_VALUE"""),"Exclusive")</f>
        <v>Exclusive</v>
      </c>
    </row>
    <row r="157">
      <c r="A157" s="17" t="str">
        <f>IFERROR(__xludf.DUMMYFUNCTION("""COMPUTED_VALUE"""),"Warhammer 40,000: Space Marine II")</f>
        <v>Warhammer 40,000: Space Marine II</v>
      </c>
      <c r="B157" s="20" t="str">
        <f>IFERROR(__xludf.DUMMYFUNCTION("""COMPUTED_VALUE"""),"Xbox / PC")</f>
        <v>Xbox / PC</v>
      </c>
      <c r="C157" s="21" t="str">
        <f>IFERROR(__xludf.DUMMYFUNCTION("""COMPUTED_VALUE"""),"Yes")</f>
        <v>Yes</v>
      </c>
      <c r="D157" s="21" t="str">
        <f>IFERROR(__xludf.DUMMYFUNCTION("""COMPUTED_VALUE"""),"Active")</f>
        <v>Active</v>
      </c>
      <c r="E157" s="23">
        <f>IFERROR(__xludf.DUMMYFUNCTION("""COMPUTED_VALUE"""),46051.0)</f>
        <v>46051</v>
      </c>
      <c r="F157" s="24"/>
      <c r="G157" s="27">
        <f>IFERROR(__xludf.DUMMYFUNCTION("""COMPUTED_VALUE"""),8.233333333333334)</f>
        <v>8.233333333</v>
      </c>
      <c r="H157" s="23">
        <f>IFERROR(__xludf.DUMMYFUNCTION("""COMPUTED_VALUE"""),45540.0)</f>
        <v>45540</v>
      </c>
      <c r="I157" s="27">
        <f>IFERROR(__xludf.DUMMYFUNCTION("""COMPUTED_VALUE"""),1.4)</f>
        <v>1.4</v>
      </c>
      <c r="J157" s="29">
        <f>IFERROR(__xludf.DUMMYFUNCTION("""COMPUTED_VALUE"""),82.0)</f>
        <v>82</v>
      </c>
      <c r="K157" s="29">
        <f>IFERROR(__xludf.DUMMYFUNCTION("""COMPUTED_VALUE"""),9.0)</f>
        <v>9</v>
      </c>
      <c r="L157" s="31" t="str">
        <f>IFERROR(__xludf.DUMMYFUNCTION("""COMPUTED_VALUE"""),"Shooter")</f>
        <v>Shooter</v>
      </c>
      <c r="M157" s="31" t="str">
        <f>IFERROR(__xludf.DUMMYFUNCTION("""COMPUTED_VALUE"""),"Exclusive")</f>
        <v>Exclusive</v>
      </c>
    </row>
    <row r="158">
      <c r="A158" s="17" t="str">
        <f>IFERROR(__xludf.DUMMYFUNCTION("""COMPUTED_VALUE"""),"Death Howl")</f>
        <v>Death Howl</v>
      </c>
      <c r="B158" s="20" t="str">
        <f>IFERROR(__xludf.DUMMYFUNCTION("""COMPUTED_VALUE"""),"Xbox / PC")</f>
        <v>Xbox / PC</v>
      </c>
      <c r="C158" s="21" t="str">
        <f>IFERROR(__xludf.DUMMYFUNCTION("""COMPUTED_VALUE"""),"Yes")</f>
        <v>Yes</v>
      </c>
      <c r="D158" s="21" t="str">
        <f>IFERROR(__xludf.DUMMYFUNCTION("""COMPUTED_VALUE"""),"Active")</f>
        <v>Active</v>
      </c>
      <c r="E158" s="23">
        <f>IFERROR(__xludf.DUMMYFUNCTION("""COMPUTED_VALUE"""),46000.0)</f>
        <v>46000</v>
      </c>
      <c r="F158" s="24"/>
      <c r="G158" s="27">
        <f>IFERROR(__xludf.DUMMYFUNCTION("""COMPUTED_VALUE"""),9.899999999999999)</f>
        <v>9.9</v>
      </c>
      <c r="H158" s="23">
        <f>IFERROR(__xludf.DUMMYFUNCTION("""COMPUTED_VALUE"""),46000.0)</f>
        <v>46000</v>
      </c>
      <c r="I158" s="27">
        <f>IFERROR(__xludf.DUMMYFUNCTION("""COMPUTED_VALUE"""),0.0)</f>
        <v>0</v>
      </c>
      <c r="J158" s="29">
        <f>IFERROR(__xludf.DUMMYFUNCTION("""COMPUTED_VALUE"""),82.0)</f>
        <v>82</v>
      </c>
      <c r="K158" s="29">
        <f>IFERROR(__xludf.DUMMYFUNCTION("""COMPUTED_VALUE"""),25.0)</f>
        <v>25</v>
      </c>
      <c r="L158" s="31" t="str">
        <f>IFERROR(__xludf.DUMMYFUNCTION("""COMPUTED_VALUE"""),"Adventure")</f>
        <v>Adventure</v>
      </c>
      <c r="M158" s="31" t="str">
        <f>IFERROR(__xludf.DUMMYFUNCTION("""COMPUTED_VALUE"""),"Exclusive")</f>
        <v>Exclusive</v>
      </c>
    </row>
    <row r="159">
      <c r="A159" s="17" t="str">
        <f>IFERROR(__xludf.DUMMYFUNCTION("""COMPUTED_VALUE"""),"Voidtrain")</f>
        <v>Voidtrain</v>
      </c>
      <c r="B159" s="20" t="str">
        <f>IFERROR(__xludf.DUMMYFUNCTION("""COMPUTED_VALUE"""),"Xbox / PC")</f>
        <v>Xbox / PC</v>
      </c>
      <c r="C159" s="21" t="str">
        <f>IFERROR(__xludf.DUMMYFUNCTION("""COMPUTED_VALUE"""),"Yes")</f>
        <v>Yes</v>
      </c>
      <c r="D159" s="21" t="str">
        <f>IFERROR(__xludf.DUMMYFUNCTION("""COMPUTED_VALUE"""),"Active")</f>
        <v>Active</v>
      </c>
      <c r="E159" s="23">
        <f>IFERROR(__xludf.DUMMYFUNCTION("""COMPUTED_VALUE"""),45968.0)</f>
        <v>45968</v>
      </c>
      <c r="F159" s="24"/>
      <c r="G159" s="27">
        <f>IFERROR(__xludf.DUMMYFUNCTION("""COMPUTED_VALUE"""),10.966666666666667)</f>
        <v>10.96666667</v>
      </c>
      <c r="H159" s="23">
        <f>IFERROR(__xludf.DUMMYFUNCTION("""COMPUTED_VALUE"""),45968.0)</f>
        <v>45968</v>
      </c>
      <c r="I159" s="27">
        <f>IFERROR(__xludf.DUMMYFUNCTION("""COMPUTED_VALUE"""),0.0)</f>
        <v>0</v>
      </c>
      <c r="J159" s="29">
        <f>IFERROR(__xludf.DUMMYFUNCTION("""COMPUTED_VALUE"""),82.0)</f>
        <v>82</v>
      </c>
      <c r="K159" s="29">
        <f>IFERROR(__xludf.DUMMYFUNCTION("""COMPUTED_VALUE"""),19.0)</f>
        <v>19</v>
      </c>
      <c r="L159" s="31" t="str">
        <f>IFERROR(__xludf.DUMMYFUNCTION("""COMPUTED_VALUE"""),"Shooter")</f>
        <v>Shooter</v>
      </c>
      <c r="M159" s="31" t="str">
        <f>IFERROR(__xludf.DUMMYFUNCTION("""COMPUTED_VALUE"""),"Exclusive")</f>
        <v>Exclusive</v>
      </c>
    </row>
    <row r="160">
      <c r="A160" s="17" t="str">
        <f>IFERROR(__xludf.DUMMYFUNCTION("""COMPUTED_VALUE"""),"PowerWash Simulator 2")</f>
        <v>PowerWash Simulator 2</v>
      </c>
      <c r="B160" s="20" t="str">
        <f>IFERROR(__xludf.DUMMYFUNCTION("""COMPUTED_VALUE"""),"Xbox / PC")</f>
        <v>Xbox / PC</v>
      </c>
      <c r="C160" s="21" t="str">
        <f>IFERROR(__xludf.DUMMYFUNCTION("""COMPUTED_VALUE"""),"Yes")</f>
        <v>Yes</v>
      </c>
      <c r="D160" s="21" t="str">
        <f>IFERROR(__xludf.DUMMYFUNCTION("""COMPUTED_VALUE"""),"Active")</f>
        <v>Active</v>
      </c>
      <c r="E160" s="23">
        <f>IFERROR(__xludf.DUMMYFUNCTION("""COMPUTED_VALUE"""),45953.0)</f>
        <v>45953</v>
      </c>
      <c r="F160" s="24"/>
      <c r="G160" s="27">
        <f>IFERROR(__xludf.DUMMYFUNCTION("""COMPUTED_VALUE"""),11.433333333333334)</f>
        <v>11.43333333</v>
      </c>
      <c r="H160" s="23">
        <f>IFERROR(__xludf.DUMMYFUNCTION("""COMPUTED_VALUE"""),45953.0)</f>
        <v>45953</v>
      </c>
      <c r="I160" s="27">
        <f>IFERROR(__xludf.DUMMYFUNCTION("""COMPUTED_VALUE"""),0.0)</f>
        <v>0</v>
      </c>
      <c r="J160" s="29">
        <f>IFERROR(__xludf.DUMMYFUNCTION("""COMPUTED_VALUE"""),82.0)</f>
        <v>82</v>
      </c>
      <c r="K160" s="29">
        <f>IFERROR(__xludf.DUMMYFUNCTION("""COMPUTED_VALUE"""),37.0)</f>
        <v>37</v>
      </c>
      <c r="L160" s="31" t="str">
        <f>IFERROR(__xludf.DUMMYFUNCTION("""COMPUTED_VALUE"""),"Simulation")</f>
        <v>Simulation</v>
      </c>
      <c r="M160" s="31" t="str">
        <f>IFERROR(__xludf.DUMMYFUNCTION("""COMPUTED_VALUE"""),"Exclusive")</f>
        <v>Exclusive</v>
      </c>
    </row>
    <row r="161">
      <c r="A161" s="17" t="str">
        <f>IFERROR(__xludf.DUMMYFUNCTION("""COMPUTED_VALUE"""),"Ninja Gaiden 4")</f>
        <v>Ninja Gaiden 4</v>
      </c>
      <c r="B161" s="20" t="str">
        <f>IFERROR(__xludf.DUMMYFUNCTION("""COMPUTED_VALUE"""),"Xbox / PC")</f>
        <v>Xbox / PC</v>
      </c>
      <c r="C161" s="21" t="str">
        <f>IFERROR(__xludf.DUMMYFUNCTION("""COMPUTED_VALUE"""),"Yes")</f>
        <v>Yes</v>
      </c>
      <c r="D161" s="21" t="str">
        <f>IFERROR(__xludf.DUMMYFUNCTION("""COMPUTED_VALUE"""),"Active")</f>
        <v>Active</v>
      </c>
      <c r="E161" s="23">
        <f>IFERROR(__xludf.DUMMYFUNCTION("""COMPUTED_VALUE"""),45951.0)</f>
        <v>45951</v>
      </c>
      <c r="F161" s="24"/>
      <c r="G161" s="27">
        <f>IFERROR(__xludf.DUMMYFUNCTION("""COMPUTED_VALUE"""),11.5)</f>
        <v>11.5</v>
      </c>
      <c r="H161" s="23">
        <f>IFERROR(__xludf.DUMMYFUNCTION("""COMPUTED_VALUE"""),45951.0)</f>
        <v>45951</v>
      </c>
      <c r="I161" s="27">
        <f>IFERROR(__xludf.DUMMYFUNCTION("""COMPUTED_VALUE"""),0.0)</f>
        <v>0</v>
      </c>
      <c r="J161" s="29">
        <f>IFERROR(__xludf.DUMMYFUNCTION("""COMPUTED_VALUE"""),82.0)</f>
        <v>82</v>
      </c>
      <c r="K161" s="29">
        <f>IFERROR(__xludf.DUMMYFUNCTION("""COMPUTED_VALUE"""),12.0)</f>
        <v>12</v>
      </c>
      <c r="L161" s="31" t="str">
        <f>IFERROR(__xludf.DUMMYFUNCTION("""COMPUTED_VALUE"""),"Action-Adventure")</f>
        <v>Action-Adventure</v>
      </c>
      <c r="M161" s="31" t="str">
        <f>IFERROR(__xludf.DUMMYFUNCTION("""COMPUTED_VALUE"""),"Exclusive")</f>
        <v>Exclusive</v>
      </c>
    </row>
    <row r="162">
      <c r="A162" s="17" t="str">
        <f>IFERROR(__xludf.DUMMYFUNCTION("""COMPUTED_VALUE"""),"Child of Light")</f>
        <v>Child of Light</v>
      </c>
      <c r="B162" s="20" t="str">
        <f>IFERROR(__xludf.DUMMYFUNCTION("""COMPUTED_VALUE"""),"Xbox / PC")</f>
        <v>Xbox / PC</v>
      </c>
      <c r="C162" s="21" t="str">
        <f>IFERROR(__xludf.DUMMYFUNCTION("""COMPUTED_VALUE"""),"Yes")</f>
        <v>Yes</v>
      </c>
      <c r="D162" s="21" t="str">
        <f>IFERROR(__xludf.DUMMYFUNCTION("""COMPUTED_VALUE"""),"Active")</f>
        <v>Active</v>
      </c>
      <c r="E162" s="23">
        <f>IFERROR(__xludf.DUMMYFUNCTION("""COMPUTED_VALUE"""),45931.0)</f>
        <v>45931</v>
      </c>
      <c r="F162" s="24"/>
      <c r="G162" s="27">
        <f>IFERROR(__xludf.DUMMYFUNCTION("""COMPUTED_VALUE"""),12.166666666666666)</f>
        <v>12.16666667</v>
      </c>
      <c r="H162" s="23">
        <f>IFERROR(__xludf.DUMMYFUNCTION("""COMPUTED_VALUE"""),41758.0)</f>
        <v>41758</v>
      </c>
      <c r="I162" s="27">
        <f>IFERROR(__xludf.DUMMYFUNCTION("""COMPUTED_VALUE"""),11.422222222222222)</f>
        <v>11.42222222</v>
      </c>
      <c r="J162" s="29">
        <f>IFERROR(__xludf.DUMMYFUNCTION("""COMPUTED_VALUE"""),82.0)</f>
        <v>82</v>
      </c>
      <c r="K162" s="29">
        <f>IFERROR(__xludf.DUMMYFUNCTION("""COMPUTED_VALUE"""),11.0)</f>
        <v>11</v>
      </c>
      <c r="L162" s="31" t="str">
        <f>IFERROR(__xludf.DUMMYFUNCTION("""COMPUTED_VALUE"""),"RPG")</f>
        <v>RPG</v>
      </c>
      <c r="M162" s="31"/>
    </row>
    <row r="163">
      <c r="A163" s="17" t="str">
        <f>IFERROR(__xludf.DUMMYFUNCTION("""COMPUTED_VALUE"""),"Dragon Age: The Veilguard")</f>
        <v>Dragon Age: The Veilguard</v>
      </c>
      <c r="B163" s="20" t="str">
        <f>IFERROR(__xludf.DUMMYFUNCTION("""COMPUTED_VALUE"""),"Xbox / PC")</f>
        <v>Xbox / PC</v>
      </c>
      <c r="C163" s="21" t="str">
        <f>IFERROR(__xludf.DUMMYFUNCTION("""COMPUTED_VALUE"""),"Yes")</f>
        <v>Yes</v>
      </c>
      <c r="D163" s="21" t="str">
        <f>IFERROR(__xludf.DUMMYFUNCTION("""COMPUTED_VALUE"""),"Active")</f>
        <v>Active</v>
      </c>
      <c r="E163" s="23">
        <f>IFERROR(__xludf.DUMMYFUNCTION("""COMPUTED_VALUE"""),45897.0)</f>
        <v>45897</v>
      </c>
      <c r="F163" s="24"/>
      <c r="G163" s="27">
        <f>IFERROR(__xludf.DUMMYFUNCTION("""COMPUTED_VALUE"""),13.266666666666667)</f>
        <v>13.26666667</v>
      </c>
      <c r="H163" s="23">
        <f>IFERROR(__xludf.DUMMYFUNCTION("""COMPUTED_VALUE"""),45596.0)</f>
        <v>45596</v>
      </c>
      <c r="I163" s="27">
        <f>IFERROR(__xludf.DUMMYFUNCTION("""COMPUTED_VALUE"""),0.8277777777777777)</f>
        <v>0.8277777778</v>
      </c>
      <c r="J163" s="29">
        <f>IFERROR(__xludf.DUMMYFUNCTION("""COMPUTED_VALUE"""),82.0)</f>
        <v>82</v>
      </c>
      <c r="K163" s="29">
        <f>IFERROR(__xludf.DUMMYFUNCTION("""COMPUTED_VALUE"""),29.0)</f>
        <v>29</v>
      </c>
      <c r="L163" s="31" t="str">
        <f>IFERROR(__xludf.DUMMYFUNCTION("""COMPUTED_VALUE"""),"RPG")</f>
        <v>RPG</v>
      </c>
      <c r="M163" s="31" t="str">
        <f>IFERROR(__xludf.DUMMYFUNCTION("""COMPUTED_VALUE"""),"Exclusive")</f>
        <v>Exclusive</v>
      </c>
    </row>
    <row r="164">
      <c r="A164" s="17" t="str">
        <f>IFERROR(__xludf.DUMMYFUNCTION("""COMPUTED_VALUE"""),"Heretic + Hexen")</f>
        <v>Heretic + Hexen</v>
      </c>
      <c r="B164" s="20" t="str">
        <f>IFERROR(__xludf.DUMMYFUNCTION("""COMPUTED_VALUE"""),"Xbox / PC")</f>
        <v>Xbox / PC</v>
      </c>
      <c r="C164" s="21" t="str">
        <f>IFERROR(__xludf.DUMMYFUNCTION("""COMPUTED_VALUE"""),"Yes")</f>
        <v>Yes</v>
      </c>
      <c r="D164" s="21" t="str">
        <f>IFERROR(__xludf.DUMMYFUNCTION("""COMPUTED_VALUE"""),"Active")</f>
        <v>Active</v>
      </c>
      <c r="E164" s="23">
        <f>IFERROR(__xludf.DUMMYFUNCTION("""COMPUTED_VALUE"""),45876.0)</f>
        <v>45876</v>
      </c>
      <c r="F164" s="24"/>
      <c r="G164" s="27">
        <f>IFERROR(__xludf.DUMMYFUNCTION("""COMPUTED_VALUE"""),13.966666666666669)</f>
        <v>13.96666667</v>
      </c>
      <c r="H164" s="23">
        <f>IFERROR(__xludf.DUMMYFUNCTION("""COMPUTED_VALUE"""),45876.0)</f>
        <v>45876</v>
      </c>
      <c r="I164" s="27">
        <f>IFERROR(__xludf.DUMMYFUNCTION("""COMPUTED_VALUE"""),0.0)</f>
        <v>0</v>
      </c>
      <c r="J164" s="29">
        <f>IFERROR(__xludf.DUMMYFUNCTION("""COMPUTED_VALUE"""),82.0)</f>
        <v>82</v>
      </c>
      <c r="K164" s="29">
        <f>IFERROR(__xludf.DUMMYFUNCTION("""COMPUTED_VALUE"""),27.0)</f>
        <v>27</v>
      </c>
      <c r="L164" s="31" t="str">
        <f>IFERROR(__xludf.DUMMYFUNCTION("""COMPUTED_VALUE"""),"Compilation")</f>
        <v>Compilation</v>
      </c>
      <c r="M164" s="31"/>
    </row>
    <row r="165">
      <c r="A165" s="17" t="str">
        <f>IFERROR(__xludf.DUMMYFUNCTION("""COMPUTED_VALUE"""),"Tony Hawk's Pro Skater 3 + 4")</f>
        <v>Tony Hawk's Pro Skater 3 + 4</v>
      </c>
      <c r="B165" s="20" t="str">
        <f>IFERROR(__xludf.DUMMYFUNCTION("""COMPUTED_VALUE"""),"Xbox / PC")</f>
        <v>Xbox / PC</v>
      </c>
      <c r="C165" s="21" t="str">
        <f>IFERROR(__xludf.DUMMYFUNCTION("""COMPUTED_VALUE"""),"Yes")</f>
        <v>Yes</v>
      </c>
      <c r="D165" s="21" t="str">
        <f>IFERROR(__xludf.DUMMYFUNCTION("""COMPUTED_VALUE"""),"Active")</f>
        <v>Active</v>
      </c>
      <c r="E165" s="23">
        <f>IFERROR(__xludf.DUMMYFUNCTION("""COMPUTED_VALUE"""),45849.0)</f>
        <v>45849</v>
      </c>
      <c r="F165" s="24"/>
      <c r="G165" s="27">
        <f>IFERROR(__xludf.DUMMYFUNCTION("""COMPUTED_VALUE"""),14.833333333333334)</f>
        <v>14.83333333</v>
      </c>
      <c r="H165" s="23">
        <f>IFERROR(__xludf.DUMMYFUNCTION("""COMPUTED_VALUE"""),45849.0)</f>
        <v>45849</v>
      </c>
      <c r="I165" s="27">
        <f>IFERROR(__xludf.DUMMYFUNCTION("""COMPUTED_VALUE"""),0.0)</f>
        <v>0</v>
      </c>
      <c r="J165" s="29">
        <f>IFERROR(__xludf.DUMMYFUNCTION("""COMPUTED_VALUE"""),82.0)</f>
        <v>82</v>
      </c>
      <c r="K165" s="29">
        <f>IFERROR(__xludf.DUMMYFUNCTION("""COMPUTED_VALUE"""),18.0)</f>
        <v>18</v>
      </c>
      <c r="L165" s="31" t="str">
        <f>IFERROR(__xludf.DUMMYFUNCTION("""COMPUTED_VALUE"""),"Skating")</f>
        <v>Skating</v>
      </c>
      <c r="M165" s="31"/>
    </row>
    <row r="166">
      <c r="A166" s="17" t="str">
        <f>IFERROR(__xludf.DUMMYFUNCTION("""COMPUTED_VALUE"""),"Tom Clancy's The Division 2")</f>
        <v>Tom Clancy's The Division 2</v>
      </c>
      <c r="B166" s="20" t="str">
        <f>IFERROR(__xludf.DUMMYFUNCTION("""COMPUTED_VALUE"""),"Xbox / PC")</f>
        <v>Xbox / PC</v>
      </c>
      <c r="C166" s="21" t="str">
        <f>IFERROR(__xludf.DUMMYFUNCTION("""COMPUTED_VALUE"""),"Yes")</f>
        <v>Yes</v>
      </c>
      <c r="D166" s="21" t="str">
        <f>IFERROR(__xludf.DUMMYFUNCTION("""COMPUTED_VALUE"""),"Active")</f>
        <v>Active</v>
      </c>
      <c r="E166" s="23">
        <f>IFERROR(__xludf.DUMMYFUNCTION("""COMPUTED_VALUE"""),45804.0)</f>
        <v>45804</v>
      </c>
      <c r="F166" s="24"/>
      <c r="G166" s="27">
        <f>IFERROR(__xludf.DUMMYFUNCTION("""COMPUTED_VALUE"""),16.3)</f>
        <v>16.3</v>
      </c>
      <c r="H166" s="23">
        <f>IFERROR(__xludf.DUMMYFUNCTION("""COMPUTED_VALUE"""),43536.0)</f>
        <v>43536</v>
      </c>
      <c r="I166" s="27">
        <f>IFERROR(__xludf.DUMMYFUNCTION("""COMPUTED_VALUE"""),6.208333333333333)</f>
        <v>6.208333333</v>
      </c>
      <c r="J166" s="29">
        <f>IFERROR(__xludf.DUMMYFUNCTION("""COMPUTED_VALUE"""),82.0)</f>
        <v>82</v>
      </c>
      <c r="K166" s="29">
        <f>IFERROR(__xludf.DUMMYFUNCTION("""COMPUTED_VALUE"""),26.0)</f>
        <v>26</v>
      </c>
      <c r="L166" s="31" t="str">
        <f>IFERROR(__xludf.DUMMYFUNCTION("""COMPUTED_VALUE"""),"Shooter")</f>
        <v>Shooter</v>
      </c>
      <c r="M166" s="31"/>
    </row>
    <row r="167">
      <c r="A167" s="17" t="str">
        <f>IFERROR(__xludf.DUMMYFUNCTION("""COMPUTED_VALUE"""),"Caesar II")</f>
        <v>Caesar II</v>
      </c>
      <c r="B167" s="20" t="str">
        <f>IFERROR(__xludf.DUMMYFUNCTION("""COMPUTED_VALUE"""),"Xbox / PC")</f>
        <v>Xbox / PC</v>
      </c>
      <c r="C167" s="21" t="str">
        <f>IFERROR(__xludf.DUMMYFUNCTION("""COMPUTED_VALUE"""),"Yes")</f>
        <v>Yes</v>
      </c>
      <c r="D167" s="21" t="str">
        <f>IFERROR(__xludf.DUMMYFUNCTION("""COMPUTED_VALUE"""),"Active")</f>
        <v>Active</v>
      </c>
      <c r="E167" s="23">
        <f>IFERROR(__xludf.DUMMYFUNCTION("""COMPUTED_VALUE"""),45798.0)</f>
        <v>45798</v>
      </c>
      <c r="F167" s="24"/>
      <c r="G167" s="27">
        <f>IFERROR(__xludf.DUMMYFUNCTION("""COMPUTED_VALUE"""),16.5)</f>
        <v>16.5</v>
      </c>
      <c r="H167" s="23">
        <f>IFERROR(__xludf.DUMMYFUNCTION("""COMPUTED_VALUE"""),34956.0)</f>
        <v>34956</v>
      </c>
      <c r="I167" s="27">
        <f>IFERROR(__xludf.DUMMYFUNCTION("""COMPUTED_VALUE"""),29.68611111111111)</f>
        <v>29.68611111</v>
      </c>
      <c r="J167" s="29">
        <f>IFERROR(__xludf.DUMMYFUNCTION("""COMPUTED_VALUE"""),82.0)</f>
        <v>82</v>
      </c>
      <c r="K167" s="29">
        <f>IFERROR(__xludf.DUMMYFUNCTION("""COMPUTED_VALUE"""),7.0)</f>
        <v>7</v>
      </c>
      <c r="L167" s="31" t="str">
        <f>IFERROR(__xludf.DUMMYFUNCTION("""COMPUTED_VALUE"""),"Strategy")</f>
        <v>Strategy</v>
      </c>
      <c r="M167" s="31"/>
    </row>
    <row r="168">
      <c r="A168" s="17" t="str">
        <f>IFERROR(__xludf.DUMMYFUNCTION("""COMPUTED_VALUE"""),"Pitfall II: Lost Caverns")</f>
        <v>Pitfall II: Lost Caverns</v>
      </c>
      <c r="B168" s="20" t="str">
        <f>IFERROR(__xludf.DUMMYFUNCTION("""COMPUTED_VALUE"""),"Xbox / PC")</f>
        <v>Xbox / PC</v>
      </c>
      <c r="C168" s="21" t="str">
        <f>IFERROR(__xludf.DUMMYFUNCTION("""COMPUTED_VALUE"""),"Yes")</f>
        <v>Yes</v>
      </c>
      <c r="D168" s="21" t="str">
        <f>IFERROR(__xludf.DUMMYFUNCTION("""COMPUTED_VALUE"""),"Active")</f>
        <v>Active</v>
      </c>
      <c r="E168" s="23">
        <f>IFERROR(__xludf.DUMMYFUNCTION("""COMPUTED_VALUE"""),45798.0)</f>
        <v>45798</v>
      </c>
      <c r="F168" s="24"/>
      <c r="G168" s="27">
        <f>IFERROR(__xludf.DUMMYFUNCTION("""COMPUTED_VALUE"""),16.5)</f>
        <v>16.5</v>
      </c>
      <c r="H168" s="23">
        <f>IFERROR(__xludf.DUMMYFUNCTION("""COMPUTED_VALUE"""),30575.0)</f>
        <v>30575</v>
      </c>
      <c r="I168" s="27">
        <f>IFERROR(__xludf.DUMMYFUNCTION("""COMPUTED_VALUE"""),41.68055555555556)</f>
        <v>41.68055556</v>
      </c>
      <c r="J168" s="29">
        <f>IFERROR(__xludf.DUMMYFUNCTION("""COMPUTED_VALUE"""),82.0)</f>
        <v>82</v>
      </c>
      <c r="K168" s="29"/>
      <c r="L168" s="31" t="str">
        <f>IFERROR(__xludf.DUMMYFUNCTION("""COMPUTED_VALUE"""),"Platformer")</f>
        <v>Platformer</v>
      </c>
      <c r="M168" s="31"/>
    </row>
    <row r="169">
      <c r="A169" s="17" t="str">
        <f>IFERROR(__xludf.DUMMYFUNCTION("""COMPUTED_VALUE"""),"The Elder Scrolls IV: Oblivion - Remastered")</f>
        <v>The Elder Scrolls IV: Oblivion - Remastered</v>
      </c>
      <c r="B169" s="20" t="str">
        <f>IFERROR(__xludf.DUMMYFUNCTION("""COMPUTED_VALUE"""),"Xbox / PC")</f>
        <v>Xbox / PC</v>
      </c>
      <c r="C169" s="21" t="str">
        <f>IFERROR(__xludf.DUMMYFUNCTION("""COMPUTED_VALUE"""),"Yes")</f>
        <v>Yes</v>
      </c>
      <c r="D169" s="21" t="str">
        <f>IFERROR(__xludf.DUMMYFUNCTION("""COMPUTED_VALUE"""),"Active")</f>
        <v>Active</v>
      </c>
      <c r="E169" s="23">
        <f>IFERROR(__xludf.DUMMYFUNCTION("""COMPUTED_VALUE"""),45769.0)</f>
        <v>45769</v>
      </c>
      <c r="F169" s="24"/>
      <c r="G169" s="27">
        <f>IFERROR(__xludf.DUMMYFUNCTION("""COMPUTED_VALUE"""),17.466666666666665)</f>
        <v>17.46666667</v>
      </c>
      <c r="H169" s="23">
        <f>IFERROR(__xludf.DUMMYFUNCTION("""COMPUTED_VALUE"""),45769.0)</f>
        <v>45769</v>
      </c>
      <c r="I169" s="27">
        <f>IFERROR(__xludf.DUMMYFUNCTION("""COMPUTED_VALUE"""),0.0)</f>
        <v>0</v>
      </c>
      <c r="J169" s="29">
        <f>IFERROR(__xludf.DUMMYFUNCTION("""COMPUTED_VALUE"""),82.0)</f>
        <v>82</v>
      </c>
      <c r="K169" s="29">
        <f>IFERROR(__xludf.DUMMYFUNCTION("""COMPUTED_VALUE"""),14.0)</f>
        <v>14</v>
      </c>
      <c r="L169" s="31" t="str">
        <f>IFERROR(__xludf.DUMMYFUNCTION("""COMPUTED_VALUE"""),"RPG")</f>
        <v>RPG</v>
      </c>
      <c r="M169" s="31" t="str">
        <f>IFERROR(__xludf.DUMMYFUNCTION("""COMPUTED_VALUE"""),"Exclusive")</f>
        <v>Exclusive</v>
      </c>
    </row>
    <row r="170">
      <c r="A170" s="17" t="str">
        <f>IFERROR(__xludf.DUMMYFUNCTION("""COMPUTED_VALUE"""),"DOOM + DOOM II: Enhanced")</f>
        <v>DOOM + DOOM II: Enhanced</v>
      </c>
      <c r="B170" s="20" t="str">
        <f>IFERROR(__xludf.DUMMYFUNCTION("""COMPUTED_VALUE"""),"Xbox / PC")</f>
        <v>Xbox / PC</v>
      </c>
      <c r="C170" s="21" t="str">
        <f>IFERROR(__xludf.DUMMYFUNCTION("""COMPUTED_VALUE"""),"Yes")</f>
        <v>Yes</v>
      </c>
      <c r="D170" s="21" t="str">
        <f>IFERROR(__xludf.DUMMYFUNCTION("""COMPUTED_VALUE"""),"Active")</f>
        <v>Active</v>
      </c>
      <c r="E170" s="23">
        <f>IFERROR(__xludf.DUMMYFUNCTION("""COMPUTED_VALUE"""),45512.0)</f>
        <v>45512</v>
      </c>
      <c r="F170" s="24"/>
      <c r="G170" s="27">
        <f>IFERROR(__xludf.DUMMYFUNCTION("""COMPUTED_VALUE"""),25.93333333333333)</f>
        <v>25.93333333</v>
      </c>
      <c r="H170" s="23">
        <f>IFERROR(__xludf.DUMMYFUNCTION("""COMPUTED_VALUE"""),45512.0)</f>
        <v>45512</v>
      </c>
      <c r="I170" s="27">
        <f>IFERROR(__xludf.DUMMYFUNCTION("""COMPUTED_VALUE"""),0.0)</f>
        <v>0</v>
      </c>
      <c r="J170" s="29">
        <f>IFERROR(__xludf.DUMMYFUNCTION("""COMPUTED_VALUE"""),82.0)</f>
        <v>82</v>
      </c>
      <c r="K170" s="29">
        <f>IFERROR(__xludf.DUMMYFUNCTION("""COMPUTED_VALUE"""),12.0)</f>
        <v>12</v>
      </c>
      <c r="L170" s="31" t="str">
        <f>IFERROR(__xludf.DUMMYFUNCTION("""COMPUTED_VALUE"""),"Shooter")</f>
        <v>Shooter</v>
      </c>
      <c r="M170" s="31"/>
    </row>
    <row r="171">
      <c r="A171" s="17" t="str">
        <f>IFERROR(__xludf.DUMMYFUNCTION("""COMPUTED_VALUE"""),"Superhot: Mind Control Delete")</f>
        <v>Superhot: Mind Control Delete</v>
      </c>
      <c r="B171" s="20" t="str">
        <f>IFERROR(__xludf.DUMMYFUNCTION("""COMPUTED_VALUE"""),"Xbox / PC")</f>
        <v>Xbox / PC</v>
      </c>
      <c r="C171" s="21" t="str">
        <f>IFERROR(__xludf.DUMMYFUNCTION("""COMPUTED_VALUE"""),"Yes")</f>
        <v>Yes</v>
      </c>
      <c r="D171" s="21" t="str">
        <f>IFERROR(__xludf.DUMMYFUNCTION("""COMPUTED_VALUE"""),"Active")</f>
        <v>Active</v>
      </c>
      <c r="E171" s="23">
        <f>IFERROR(__xludf.DUMMYFUNCTION("""COMPUTED_VALUE"""),45384.0)</f>
        <v>45384</v>
      </c>
      <c r="F171" s="24"/>
      <c r="G171" s="27">
        <f>IFERROR(__xludf.DUMMYFUNCTION("""COMPUTED_VALUE"""),30.133333333333333)</f>
        <v>30.13333333</v>
      </c>
      <c r="H171" s="23">
        <f>IFERROR(__xludf.DUMMYFUNCTION("""COMPUTED_VALUE"""),44028.0)</f>
        <v>44028</v>
      </c>
      <c r="I171" s="27">
        <f>IFERROR(__xludf.DUMMYFUNCTION("""COMPUTED_VALUE"""),3.7111111111111112)</f>
        <v>3.711111111</v>
      </c>
      <c r="J171" s="29">
        <f>IFERROR(__xludf.DUMMYFUNCTION("""COMPUTED_VALUE"""),82.0)</f>
        <v>82</v>
      </c>
      <c r="K171" s="29">
        <f>IFERROR(__xludf.DUMMYFUNCTION("""COMPUTED_VALUE"""),5.5)</f>
        <v>5.5</v>
      </c>
      <c r="L171" s="31" t="str">
        <f>IFERROR(__xludf.DUMMYFUNCTION("""COMPUTED_VALUE"""),"Shooter")</f>
        <v>Shooter</v>
      </c>
      <c r="M171" s="31" t="str">
        <f>IFERROR(__xludf.DUMMYFUNCTION("""COMPUTED_VALUE"""),"Optimized")</f>
        <v>Optimized</v>
      </c>
    </row>
    <row r="172">
      <c r="A172" s="111" t="str">
        <f>IFERROR(__xludf.DUMMYFUNCTION("""COMPUTED_VALUE"""),"Clone Drone in the Danger Zone")</f>
        <v>Clone Drone in the Danger Zone</v>
      </c>
      <c r="B172" s="20" t="str">
        <f>IFERROR(__xludf.DUMMYFUNCTION("""COMPUTED_VALUE"""),"Xbox / PC")</f>
        <v>Xbox / PC</v>
      </c>
      <c r="C172" s="21" t="str">
        <f>IFERROR(__xludf.DUMMYFUNCTION("""COMPUTED_VALUE"""),"Yes")</f>
        <v>Yes</v>
      </c>
      <c r="D172" s="21" t="str">
        <f>IFERROR(__xludf.DUMMYFUNCTION("""COMPUTED_VALUE"""),"Active")</f>
        <v>Active</v>
      </c>
      <c r="E172" s="23">
        <f>IFERROR(__xludf.DUMMYFUNCTION("""COMPUTED_VALUE"""),45265.0)</f>
        <v>45265</v>
      </c>
      <c r="F172" s="24"/>
      <c r="G172" s="27">
        <f>IFERROR(__xludf.DUMMYFUNCTION("""COMPUTED_VALUE"""),34.03333333333333)</f>
        <v>34.03333333</v>
      </c>
      <c r="H172" s="23">
        <f>IFERROR(__xludf.DUMMYFUNCTION("""COMPUTED_VALUE"""),42702.0)</f>
        <v>42702</v>
      </c>
      <c r="I172" s="27">
        <f>IFERROR(__xludf.DUMMYFUNCTION("""COMPUTED_VALUE"""),7.019444444444445)</f>
        <v>7.019444444</v>
      </c>
      <c r="J172" s="29">
        <f>IFERROR(__xludf.DUMMYFUNCTION("""COMPUTED_VALUE"""),82.0)</f>
        <v>82</v>
      </c>
      <c r="K172" s="29">
        <f>IFERROR(__xludf.DUMMYFUNCTION("""COMPUTED_VALUE"""),2.0)</f>
        <v>2</v>
      </c>
      <c r="L172" s="31" t="str">
        <f>IFERROR(__xludf.DUMMYFUNCTION("""COMPUTED_VALUE"""),"Action")</f>
        <v>Action</v>
      </c>
      <c r="M172" s="31" t="str">
        <f>IFERROR(__xludf.DUMMYFUNCTION("""COMPUTED_VALUE"""),"Exclusive")</f>
        <v>Exclusive</v>
      </c>
    </row>
    <row r="173">
      <c r="A173" s="17" t="str">
        <f>IFERROR(__xludf.DUMMYFUNCTION("""COMPUTED_VALUE"""),"Stacking")</f>
        <v>Stacking</v>
      </c>
      <c r="B173" s="20" t="str">
        <f>IFERROR(__xludf.DUMMYFUNCTION("""COMPUTED_VALUE"""),"Xbox")</f>
        <v>Xbox</v>
      </c>
      <c r="C173" s="21" t="str">
        <f>IFERROR(__xludf.DUMMYFUNCTION("""COMPUTED_VALUE"""),"Yes")</f>
        <v>Yes</v>
      </c>
      <c r="D173" s="21" t="str">
        <f>IFERROR(__xludf.DUMMYFUNCTION("""COMPUTED_VALUE"""),"Active")</f>
        <v>Active</v>
      </c>
      <c r="E173" s="23">
        <f>IFERROR(__xludf.DUMMYFUNCTION("""COMPUTED_VALUE"""),45085.0)</f>
        <v>45085</v>
      </c>
      <c r="F173" s="24"/>
      <c r="G173" s="27">
        <f>IFERROR(__xludf.DUMMYFUNCTION("""COMPUTED_VALUE"""),39.93333333333334)</f>
        <v>39.93333333</v>
      </c>
      <c r="H173" s="23">
        <f>IFERROR(__xludf.DUMMYFUNCTION("""COMPUTED_VALUE"""),40582.0)</f>
        <v>40582</v>
      </c>
      <c r="I173" s="27">
        <f>IFERROR(__xludf.DUMMYFUNCTION("""COMPUTED_VALUE"""),12.333333333333334)</f>
        <v>12.33333333</v>
      </c>
      <c r="J173" s="29">
        <f>IFERROR(__xludf.DUMMYFUNCTION("""COMPUTED_VALUE"""),82.0)</f>
        <v>82</v>
      </c>
      <c r="K173" s="29">
        <f>IFERROR(__xludf.DUMMYFUNCTION("""COMPUTED_VALUE"""),4.0)</f>
        <v>4</v>
      </c>
      <c r="L173" s="31" t="str">
        <f>IFERROR(__xludf.DUMMYFUNCTION("""COMPUTED_VALUE"""),"Adventure")</f>
        <v>Adventure</v>
      </c>
      <c r="M173" s="31"/>
    </row>
    <row r="174">
      <c r="A174" s="17" t="str">
        <f>IFERROR(__xludf.DUMMYFUNCTION("""COMPUTED_VALUE"""),"Chivalry II")</f>
        <v>Chivalry II</v>
      </c>
      <c r="B174" s="20" t="str">
        <f>IFERROR(__xludf.DUMMYFUNCTION("""COMPUTED_VALUE"""),"Xbox / PC")</f>
        <v>Xbox / PC</v>
      </c>
      <c r="C174" s="21" t="str">
        <f>IFERROR(__xludf.DUMMYFUNCTION("""COMPUTED_VALUE"""),"Yes")</f>
        <v>Yes</v>
      </c>
      <c r="D174" s="21" t="str">
        <f>IFERROR(__xludf.DUMMYFUNCTION("""COMPUTED_VALUE"""),"Active")</f>
        <v>Active</v>
      </c>
      <c r="E174" s="23">
        <f>IFERROR(__xludf.DUMMYFUNCTION("""COMPUTED_VALUE"""),44838.0)</f>
        <v>44838</v>
      </c>
      <c r="F174" s="24"/>
      <c r="G174" s="27">
        <f>IFERROR(__xludf.DUMMYFUNCTION("""COMPUTED_VALUE"""),48.06666666666666)</f>
        <v>48.06666667</v>
      </c>
      <c r="H174" s="23">
        <f>IFERROR(__xludf.DUMMYFUNCTION("""COMPUTED_VALUE"""),44355.0)</f>
        <v>44355</v>
      </c>
      <c r="I174" s="27">
        <f>IFERROR(__xludf.DUMMYFUNCTION("""COMPUTED_VALUE"""),1.3222222222222222)</f>
        <v>1.322222222</v>
      </c>
      <c r="J174" s="29">
        <f>IFERROR(__xludf.DUMMYFUNCTION("""COMPUTED_VALUE"""),82.0)</f>
        <v>82</v>
      </c>
      <c r="K174" s="29">
        <f>IFERROR(__xludf.DUMMYFUNCTION("""COMPUTED_VALUE"""),42.5)</f>
        <v>42.5</v>
      </c>
      <c r="L174" s="31" t="str">
        <f>IFERROR(__xludf.DUMMYFUNCTION("""COMPUTED_VALUE"""),"Action")</f>
        <v>Action</v>
      </c>
      <c r="M174" s="31"/>
    </row>
    <row r="175">
      <c r="A175" s="17" t="str">
        <f>IFERROR(__xludf.DUMMYFUNCTION("""COMPUTED_VALUE"""),"Ni no Kuni: Wrath of the White Witch - Remastered")</f>
        <v>Ni no Kuni: Wrath of the White Witch - Remastered</v>
      </c>
      <c r="B175" s="20" t="str">
        <f>IFERROR(__xludf.DUMMYFUNCTION("""COMPUTED_VALUE"""),"Xbox / PC")</f>
        <v>Xbox / PC</v>
      </c>
      <c r="C175" s="21" t="str">
        <f>IFERROR(__xludf.DUMMYFUNCTION("""COMPUTED_VALUE"""),"Touch Controls")</f>
        <v>Touch Controls</v>
      </c>
      <c r="D175" s="21" t="str">
        <f>IFERROR(__xludf.DUMMYFUNCTION("""COMPUTED_VALUE"""),"Active")</f>
        <v>Active</v>
      </c>
      <c r="E175" s="23">
        <f>IFERROR(__xludf.DUMMYFUNCTION("""COMPUTED_VALUE"""),44819.0)</f>
        <v>44819</v>
      </c>
      <c r="F175" s="24"/>
      <c r="G175" s="27">
        <f>IFERROR(__xludf.DUMMYFUNCTION("""COMPUTED_VALUE"""),48.7)</f>
        <v>48.7</v>
      </c>
      <c r="H175" s="23">
        <f>IFERROR(__xludf.DUMMYFUNCTION("""COMPUTED_VALUE"""),43728.0)</f>
        <v>43728</v>
      </c>
      <c r="I175" s="27">
        <f>IFERROR(__xludf.DUMMYFUNCTION("""COMPUTED_VALUE"""),2.986111111111111)</f>
        <v>2.986111111</v>
      </c>
      <c r="J175" s="29">
        <f>IFERROR(__xludf.DUMMYFUNCTION("""COMPUTED_VALUE"""),82.0)</f>
        <v>82</v>
      </c>
      <c r="K175" s="29">
        <f>IFERROR(__xludf.DUMMYFUNCTION("""COMPUTED_VALUE"""),44.5)</f>
        <v>44.5</v>
      </c>
      <c r="L175" s="31" t="str">
        <f>IFERROR(__xludf.DUMMYFUNCTION("""COMPUTED_VALUE"""),"RPG")</f>
        <v>RPG</v>
      </c>
      <c r="M175" s="31"/>
    </row>
    <row r="176">
      <c r="A176" s="17" t="str">
        <f>IFERROR(__xludf.DUMMYFUNCTION("""COMPUTED_VALUE"""),"Wreckfest")</f>
        <v>Wreckfest</v>
      </c>
      <c r="B176" s="20" t="str">
        <f>IFERROR(__xludf.DUMMYFUNCTION("""COMPUTED_VALUE"""),"Xbox / PC")</f>
        <v>Xbox / PC</v>
      </c>
      <c r="C176" s="21" t="str">
        <f>IFERROR(__xludf.DUMMYFUNCTION("""COMPUTED_VALUE"""),"Touch Controls")</f>
        <v>Touch Controls</v>
      </c>
      <c r="D176" s="21" t="str">
        <f>IFERROR(__xludf.DUMMYFUNCTION("""COMPUTED_VALUE"""),"Active")</f>
        <v>Active</v>
      </c>
      <c r="E176" s="23">
        <f>IFERROR(__xludf.DUMMYFUNCTION("""COMPUTED_VALUE"""),44245.0)</f>
        <v>44245</v>
      </c>
      <c r="F176" s="24"/>
      <c r="G176" s="27">
        <f>IFERROR(__xludf.DUMMYFUNCTION("""COMPUTED_VALUE"""),67.60000000000001)</f>
        <v>67.6</v>
      </c>
      <c r="H176" s="23">
        <f>IFERROR(__xludf.DUMMYFUNCTION("""COMPUTED_VALUE"""),43265.0)</f>
        <v>43265</v>
      </c>
      <c r="I176" s="27">
        <f>IFERROR(__xludf.DUMMYFUNCTION("""COMPUTED_VALUE"""),2.6777777777777776)</f>
        <v>2.677777778</v>
      </c>
      <c r="J176" s="29">
        <f>IFERROR(__xludf.DUMMYFUNCTION("""COMPUTED_VALUE"""),82.0)</f>
        <v>82</v>
      </c>
      <c r="K176" s="29">
        <f>IFERROR(__xludf.DUMMYFUNCTION("""COMPUTED_VALUE"""),19.5)</f>
        <v>19.5</v>
      </c>
      <c r="L176" s="31" t="str">
        <f>IFERROR(__xludf.DUMMYFUNCTION("""COMPUTED_VALUE"""),"Racing")</f>
        <v>Racing</v>
      </c>
      <c r="M176" s="31"/>
    </row>
    <row r="177">
      <c r="A177" s="17" t="str">
        <f>IFERROR(__xludf.DUMMYFUNCTION("""COMPUTED_VALUE"""),"The Elder Scrolls V: Skyrim Special Edition")</f>
        <v>The Elder Scrolls V: Skyrim Special Edition</v>
      </c>
      <c r="B177" s="20" t="str">
        <f>IFERROR(__xludf.DUMMYFUNCTION("""COMPUTED_VALUE"""),"Xbox / PC")</f>
        <v>Xbox / PC</v>
      </c>
      <c r="C177" s="21" t="str">
        <f>IFERROR(__xludf.DUMMYFUNCTION("""COMPUTED_VALUE"""),"Yes")</f>
        <v>Yes</v>
      </c>
      <c r="D177" s="21" t="str">
        <f>IFERROR(__xludf.DUMMYFUNCTION("""COMPUTED_VALUE"""),"Active")</f>
        <v>Active</v>
      </c>
      <c r="E177" s="23">
        <f>IFERROR(__xludf.DUMMYFUNCTION("""COMPUTED_VALUE"""),44180.0)</f>
        <v>44180</v>
      </c>
      <c r="F177" s="24"/>
      <c r="G177" s="27">
        <f>IFERROR(__xludf.DUMMYFUNCTION("""COMPUTED_VALUE"""),69.7)</f>
        <v>69.7</v>
      </c>
      <c r="H177" s="23">
        <f>IFERROR(__xludf.DUMMYFUNCTION("""COMPUTED_VALUE"""),42671.0)</f>
        <v>42671</v>
      </c>
      <c r="I177" s="27">
        <f>IFERROR(__xludf.DUMMYFUNCTION("""COMPUTED_VALUE"""),4.1305555555555555)</f>
        <v>4.130555556</v>
      </c>
      <c r="J177" s="29">
        <f>IFERROR(__xludf.DUMMYFUNCTION("""COMPUTED_VALUE"""),82.0)</f>
        <v>82</v>
      </c>
      <c r="K177" s="29">
        <f>IFERROR(__xludf.DUMMYFUNCTION("""COMPUTED_VALUE"""),25.5)</f>
        <v>25.5</v>
      </c>
      <c r="L177" s="31" t="str">
        <f>IFERROR(__xludf.DUMMYFUNCTION("""COMPUTED_VALUE"""),"RPG")</f>
        <v>RPG</v>
      </c>
      <c r="M177" s="31" t="str">
        <f>IFERROR(__xludf.DUMMYFUNCTION("""COMPUTED_VALUE"""),"FPS Boost")</f>
        <v>FPS Boost</v>
      </c>
    </row>
    <row r="178">
      <c r="A178" s="17" t="str">
        <f>IFERROR(__xludf.DUMMYFUNCTION("""COMPUTED_VALUE"""),"Monster Sanctuary")</f>
        <v>Monster Sanctuary</v>
      </c>
      <c r="B178" s="20" t="str">
        <f>IFERROR(__xludf.DUMMYFUNCTION("""COMPUTED_VALUE"""),"Xbox / PC")</f>
        <v>Xbox / PC</v>
      </c>
      <c r="C178" s="21" t="str">
        <f>IFERROR(__xludf.DUMMYFUNCTION("""COMPUTED_VALUE"""),"Touch Controls")</f>
        <v>Touch Controls</v>
      </c>
      <c r="D178" s="21" t="str">
        <f>IFERROR(__xludf.DUMMYFUNCTION("""COMPUTED_VALUE"""),"Active")</f>
        <v>Active</v>
      </c>
      <c r="E178" s="23">
        <f>IFERROR(__xludf.DUMMYFUNCTION("""COMPUTED_VALUE"""),44173.0)</f>
        <v>44173</v>
      </c>
      <c r="F178" s="24"/>
      <c r="G178" s="27">
        <f>IFERROR(__xludf.DUMMYFUNCTION("""COMPUTED_VALUE"""),69.93333333333334)</f>
        <v>69.93333333</v>
      </c>
      <c r="H178" s="23">
        <f>IFERROR(__xludf.DUMMYFUNCTION("""COMPUTED_VALUE"""),43705.0)</f>
        <v>43705</v>
      </c>
      <c r="I178" s="27">
        <f>IFERROR(__xludf.DUMMYFUNCTION("""COMPUTED_VALUE"""),1.2777777777777777)</f>
        <v>1.277777778</v>
      </c>
      <c r="J178" s="29">
        <f>IFERROR(__xludf.DUMMYFUNCTION("""COMPUTED_VALUE"""),82.0)</f>
        <v>82</v>
      </c>
      <c r="K178" s="29">
        <f>IFERROR(__xludf.DUMMYFUNCTION("""COMPUTED_VALUE"""),27.0)</f>
        <v>27</v>
      </c>
      <c r="L178" s="31" t="str">
        <f>IFERROR(__xludf.DUMMYFUNCTION("""COMPUTED_VALUE"""),"Platformer")</f>
        <v>Platformer</v>
      </c>
      <c r="M178" s="31"/>
    </row>
    <row r="179">
      <c r="A179" s="17" t="str">
        <f>IFERROR(__xludf.DUMMYFUNCTION("""COMPUTED_VALUE"""),"Gears of War: Ultimate Edition")</f>
        <v>Gears of War: Ultimate Edition</v>
      </c>
      <c r="B179" s="20" t="str">
        <f>IFERROR(__xludf.DUMMYFUNCTION("""COMPUTED_VALUE"""),"Xbox / PC")</f>
        <v>Xbox / PC</v>
      </c>
      <c r="C179" s="21" t="str">
        <f>IFERROR(__xludf.DUMMYFUNCTION("""COMPUTED_VALUE"""),"Yes")</f>
        <v>Yes</v>
      </c>
      <c r="D179" s="21" t="str">
        <f>IFERROR(__xludf.DUMMYFUNCTION("""COMPUTED_VALUE"""),"Active")</f>
        <v>Active</v>
      </c>
      <c r="E179" s="23">
        <f>IFERROR(__xludf.DUMMYFUNCTION("""COMPUTED_VALUE"""),42887.0)</f>
        <v>42887</v>
      </c>
      <c r="F179" s="24"/>
      <c r="G179" s="27">
        <f>IFERROR(__xludf.DUMMYFUNCTION("""COMPUTED_VALUE"""),112.16666666666666)</f>
        <v>112.1666667</v>
      </c>
      <c r="H179" s="23">
        <f>IFERROR(__xludf.DUMMYFUNCTION("""COMPUTED_VALUE"""),39028.0)</f>
        <v>39028</v>
      </c>
      <c r="I179" s="27">
        <f>IFERROR(__xludf.DUMMYFUNCTION("""COMPUTED_VALUE"""),10.566666666666666)</f>
        <v>10.56666667</v>
      </c>
      <c r="J179" s="29">
        <f>IFERROR(__xludf.DUMMYFUNCTION("""COMPUTED_VALUE"""),82.0)</f>
        <v>82</v>
      </c>
      <c r="K179" s="29">
        <f>IFERROR(__xludf.DUMMYFUNCTION("""COMPUTED_VALUE"""),9.0)</f>
        <v>9</v>
      </c>
      <c r="L179" s="31" t="str">
        <f>IFERROR(__xludf.DUMMYFUNCTION("""COMPUTED_VALUE"""),"Shooter")</f>
        <v>Shooter</v>
      </c>
      <c r="M179" s="31" t="str">
        <f>IFERROR(__xludf.DUMMYFUNCTION("""COMPUTED_VALUE"""),"FPS Boost")</f>
        <v>FPS Boost</v>
      </c>
    </row>
    <row r="180">
      <c r="A180" s="17" t="str">
        <f>IFERROR(__xludf.DUMMYFUNCTION("""COMPUTED_VALUE"""),"Viva Piñata: Trouble in Paradise")</f>
        <v>Viva Piñata: Trouble in Paradise</v>
      </c>
      <c r="B180" s="20" t="str">
        <f>IFERROR(__xludf.DUMMYFUNCTION("""COMPUTED_VALUE"""),"Xbox")</f>
        <v>Xbox</v>
      </c>
      <c r="C180" s="21" t="str">
        <f>IFERROR(__xludf.DUMMYFUNCTION("""COMPUTED_VALUE"""),"Touch Controls")</f>
        <v>Touch Controls</v>
      </c>
      <c r="D180" s="21" t="str">
        <f>IFERROR(__xludf.DUMMYFUNCTION("""COMPUTED_VALUE"""),"Active")</f>
        <v>Active</v>
      </c>
      <c r="E180" s="23">
        <f>IFERROR(__xludf.DUMMYFUNCTION("""COMPUTED_VALUE"""),42887.0)</f>
        <v>42887</v>
      </c>
      <c r="F180" s="24"/>
      <c r="G180" s="27">
        <f>IFERROR(__xludf.DUMMYFUNCTION("""COMPUTED_VALUE"""),112.16666666666666)</f>
        <v>112.1666667</v>
      </c>
      <c r="H180" s="23">
        <f>IFERROR(__xludf.DUMMYFUNCTION("""COMPUTED_VALUE"""),39693.0)</f>
        <v>39693</v>
      </c>
      <c r="I180" s="27">
        <f>IFERROR(__xludf.DUMMYFUNCTION("""COMPUTED_VALUE"""),8.747222222222222)</f>
        <v>8.747222222</v>
      </c>
      <c r="J180" s="29">
        <f>IFERROR(__xludf.DUMMYFUNCTION("""COMPUTED_VALUE"""),82.0)</f>
        <v>82</v>
      </c>
      <c r="K180" s="29">
        <f>IFERROR(__xludf.DUMMYFUNCTION("""COMPUTED_VALUE"""),26.5)</f>
        <v>26.5</v>
      </c>
      <c r="L180" s="31" t="str">
        <f>IFERROR(__xludf.DUMMYFUNCTION("""COMPUTED_VALUE"""),"Simulation")</f>
        <v>Simulation</v>
      </c>
      <c r="M180" s="31"/>
    </row>
    <row r="181">
      <c r="A181" s="17" t="str">
        <f>IFERROR(__xludf.DUMMYFUNCTION("""COMPUTED_VALUE"""),"Donut County")</f>
        <v>Donut County</v>
      </c>
      <c r="B181" s="20" t="str">
        <f>IFERROR(__xludf.DUMMYFUNCTION("""COMPUTED_VALUE"""),"Xbox / PC")</f>
        <v>Xbox / PC</v>
      </c>
      <c r="C181" s="21" t="str">
        <f>IFERROR(__xludf.DUMMYFUNCTION("""COMPUTED_VALUE"""),"Touch Controls")</f>
        <v>Touch Controls</v>
      </c>
      <c r="D181" s="21" t="str">
        <f>IFERROR(__xludf.DUMMYFUNCTION("""COMPUTED_VALUE"""),"Leaving Soon")</f>
        <v>Leaving Soon</v>
      </c>
      <c r="E181" s="23">
        <f>IFERROR(__xludf.DUMMYFUNCTION("""COMPUTED_VALUE"""),45582.0)</f>
        <v>45582</v>
      </c>
      <c r="F181" s="24">
        <f>IFERROR(__xludf.DUMMYFUNCTION("""COMPUTED_VALUE"""),46310.0)</f>
        <v>46310</v>
      </c>
      <c r="G181" s="27">
        <f>IFERROR(__xludf.DUMMYFUNCTION("""COMPUTED_VALUE"""),23.933333333333334)</f>
        <v>23.93333333</v>
      </c>
      <c r="H181" s="23">
        <f>IFERROR(__xludf.DUMMYFUNCTION("""COMPUTED_VALUE"""),43340.0)</f>
        <v>43340</v>
      </c>
      <c r="I181" s="27">
        <f>IFERROR(__xludf.DUMMYFUNCTION("""COMPUTED_VALUE"""),6.136111111111111)</f>
        <v>6.136111111</v>
      </c>
      <c r="J181" s="29">
        <f>IFERROR(__xludf.DUMMYFUNCTION("""COMPUTED_VALUE"""),82.0)</f>
        <v>82</v>
      </c>
      <c r="K181" s="29">
        <f>IFERROR(__xludf.DUMMYFUNCTION("""COMPUTED_VALUE"""),2.0)</f>
        <v>2</v>
      </c>
      <c r="L181" s="31" t="str">
        <f>IFERROR(__xludf.DUMMYFUNCTION("""COMPUTED_VALUE"""),"Action")</f>
        <v>Action</v>
      </c>
      <c r="M181" s="31"/>
    </row>
    <row r="182">
      <c r="A182" s="17" t="str">
        <f>IFERROR(__xludf.DUMMYFUNCTION("""COMPUTED_VALUE"""),"Super Mega Baseball 3")</f>
        <v>Super Mega Baseball 3</v>
      </c>
      <c r="B182" s="20" t="str">
        <f>IFERROR(__xludf.DUMMYFUNCTION("""COMPUTED_VALUE"""),"Xbox / PC")</f>
        <v>Xbox / PC</v>
      </c>
      <c r="C182" s="21" t="str">
        <f>IFERROR(__xludf.DUMMYFUNCTION("""COMPUTED_VALUE"""),"Touch Controls")</f>
        <v>Touch Controls</v>
      </c>
      <c r="D182" s="21" t="str">
        <f>IFERROR(__xludf.DUMMYFUNCTION("""COMPUTED_VALUE"""),"Active")</f>
        <v>Active</v>
      </c>
      <c r="E182" s="23">
        <f>IFERROR(__xludf.DUMMYFUNCTION("""COMPUTED_VALUE"""),44616.0)</f>
        <v>44616</v>
      </c>
      <c r="F182" s="24"/>
      <c r="G182" s="27">
        <f>IFERROR(__xludf.DUMMYFUNCTION("""COMPUTED_VALUE"""),55.39999999999999)</f>
        <v>55.4</v>
      </c>
      <c r="H182" s="23">
        <f>IFERROR(__xludf.DUMMYFUNCTION("""COMPUTED_VALUE"""),43964.0)</f>
        <v>43964</v>
      </c>
      <c r="I182" s="27">
        <f>IFERROR(__xludf.DUMMYFUNCTION("""COMPUTED_VALUE"""),1.7805555555555554)</f>
        <v>1.780555556</v>
      </c>
      <c r="J182" s="29">
        <f>IFERROR(__xludf.DUMMYFUNCTION("""COMPUTED_VALUE"""),81.5)</f>
        <v>81.5</v>
      </c>
      <c r="K182" s="29">
        <f>IFERROR(__xludf.DUMMYFUNCTION("""COMPUTED_VALUE"""),24.0)</f>
        <v>24</v>
      </c>
      <c r="L182" s="31" t="str">
        <f>IFERROR(__xludf.DUMMYFUNCTION("""COMPUTED_VALUE"""),"Sports")</f>
        <v>Sports</v>
      </c>
      <c r="M182" s="31"/>
    </row>
    <row r="183">
      <c r="A183" s="17" t="str">
        <f>IFERROR(__xludf.DUMMYFUNCTION("""COMPUTED_VALUE"""),"The Planet Crafter")</f>
        <v>The Planet Crafter</v>
      </c>
      <c r="B183" s="20" t="str">
        <f>IFERROR(__xludf.DUMMYFUNCTION("""COMPUTED_VALUE"""),"Xbox / PC")</f>
        <v>Xbox / PC</v>
      </c>
      <c r="C183" s="21" t="str">
        <f>IFERROR(__xludf.DUMMYFUNCTION("""COMPUTED_VALUE"""),"Yes")</f>
        <v>Yes</v>
      </c>
      <c r="D183" s="21" t="str">
        <f>IFERROR(__xludf.DUMMYFUNCTION("""COMPUTED_VALUE"""),"Active")</f>
        <v>Active</v>
      </c>
      <c r="E183" s="23">
        <f>IFERROR(__xludf.DUMMYFUNCTION("""COMPUTED_VALUE"""),46224.0)</f>
        <v>46224</v>
      </c>
      <c r="F183" s="24"/>
      <c r="G183" s="27">
        <f>IFERROR(__xludf.DUMMYFUNCTION("""COMPUTED_VALUE"""),2.5)</f>
        <v>2.5</v>
      </c>
      <c r="H183" s="23">
        <f>IFERROR(__xludf.DUMMYFUNCTION("""COMPUTED_VALUE"""),44644.0)</f>
        <v>44644</v>
      </c>
      <c r="I183" s="27">
        <f>IFERROR(__xludf.DUMMYFUNCTION("""COMPUTED_VALUE"""),4.325)</f>
        <v>4.325</v>
      </c>
      <c r="J183" s="29">
        <f>IFERROR(__xludf.DUMMYFUNCTION("""COMPUTED_VALUE"""),81.0)</f>
        <v>81</v>
      </c>
      <c r="K183" s="29">
        <f>IFERROR(__xludf.DUMMYFUNCTION("""COMPUTED_VALUE"""),35.0)</f>
        <v>35</v>
      </c>
      <c r="L183" s="31" t="str">
        <f>IFERROR(__xludf.DUMMYFUNCTION("""COMPUTED_VALUE"""),"Sandbox")</f>
        <v>Sandbox</v>
      </c>
      <c r="M183" s="31" t="str">
        <f>IFERROR(__xludf.DUMMYFUNCTION("""COMPUTED_VALUE"""),"Exclusive")</f>
        <v>Exclusive</v>
      </c>
    </row>
    <row r="184">
      <c r="A184" s="17" t="str">
        <f>IFERROR(__xludf.DUMMYFUNCTION("""COMPUTED_VALUE"""),"Jurassic World Evolution 3")</f>
        <v>Jurassic World Evolution 3</v>
      </c>
      <c r="B184" s="20" t="str">
        <f>IFERROR(__xludf.DUMMYFUNCTION("""COMPUTED_VALUE"""),"Xbox / PC")</f>
        <v>Xbox / PC</v>
      </c>
      <c r="C184" s="21" t="str">
        <f>IFERROR(__xludf.DUMMYFUNCTION("""COMPUTED_VALUE"""),"Yes")</f>
        <v>Yes</v>
      </c>
      <c r="D184" s="21" t="str">
        <f>IFERROR(__xludf.DUMMYFUNCTION("""COMPUTED_VALUE"""),"Active")</f>
        <v>Active</v>
      </c>
      <c r="E184" s="23">
        <f>IFERROR(__xludf.DUMMYFUNCTION("""COMPUTED_VALUE"""),46175.0)</f>
        <v>46175</v>
      </c>
      <c r="F184" s="24"/>
      <c r="G184" s="27">
        <f>IFERROR(__xludf.DUMMYFUNCTION("""COMPUTED_VALUE"""),4.133333333333333)</f>
        <v>4.133333333</v>
      </c>
      <c r="H184" s="23">
        <f>IFERROR(__xludf.DUMMYFUNCTION("""COMPUTED_VALUE"""),45951.0)</f>
        <v>45951</v>
      </c>
      <c r="I184" s="27">
        <f>IFERROR(__xludf.DUMMYFUNCTION("""COMPUTED_VALUE"""),0.6138888888888889)</f>
        <v>0.6138888889</v>
      </c>
      <c r="J184" s="29">
        <f>IFERROR(__xludf.DUMMYFUNCTION("""COMPUTED_VALUE"""),81.0)</f>
        <v>81</v>
      </c>
      <c r="K184" s="29">
        <f>IFERROR(__xludf.DUMMYFUNCTION("""COMPUTED_VALUE"""),20.0)</f>
        <v>20</v>
      </c>
      <c r="L184" s="31" t="str">
        <f>IFERROR(__xludf.DUMMYFUNCTION("""COMPUTED_VALUE"""),"Simulation")</f>
        <v>Simulation</v>
      </c>
      <c r="M184" s="31" t="str">
        <f>IFERROR(__xludf.DUMMYFUNCTION("""COMPUTED_VALUE"""),"Exclusive")</f>
        <v>Exclusive</v>
      </c>
    </row>
    <row r="185">
      <c r="A185" s="17" t="str">
        <f>IFERROR(__xludf.DUMMYFUNCTION("""COMPUTED_VALUE"""),"Escape Simulator")</f>
        <v>Escape Simulator</v>
      </c>
      <c r="B185" s="20" t="str">
        <f>IFERROR(__xludf.DUMMYFUNCTION("""COMPUTED_VALUE"""),"Xbox / PC")</f>
        <v>Xbox / PC</v>
      </c>
      <c r="C185" s="21" t="str">
        <f>IFERROR(__xludf.DUMMYFUNCTION("""COMPUTED_VALUE"""),"Yes")</f>
        <v>Yes</v>
      </c>
      <c r="D185" s="21" t="str">
        <f>IFERROR(__xludf.DUMMYFUNCTION("""COMPUTED_VALUE"""),"Active")</f>
        <v>Active</v>
      </c>
      <c r="E185" s="23">
        <f>IFERROR(__xludf.DUMMYFUNCTION("""COMPUTED_VALUE"""),46168.0)</f>
        <v>46168</v>
      </c>
      <c r="F185" s="24"/>
      <c r="G185" s="27">
        <f>IFERROR(__xludf.DUMMYFUNCTION("""COMPUTED_VALUE"""),4.333333333333333)</f>
        <v>4.333333333</v>
      </c>
      <c r="H185" s="23">
        <f>IFERROR(__xludf.DUMMYFUNCTION("""COMPUTED_VALUE"""),44491.0)</f>
        <v>44491</v>
      </c>
      <c r="I185" s="27">
        <f>IFERROR(__xludf.DUMMYFUNCTION("""COMPUTED_VALUE"""),4.594444444444444)</f>
        <v>4.594444444</v>
      </c>
      <c r="J185" s="29">
        <f>IFERROR(__xludf.DUMMYFUNCTION("""COMPUTED_VALUE"""),81.0)</f>
        <v>81</v>
      </c>
      <c r="K185" s="29">
        <f>IFERROR(__xludf.DUMMYFUNCTION("""COMPUTED_VALUE"""),6.0)</f>
        <v>6</v>
      </c>
      <c r="L185" s="31" t="str">
        <f>IFERROR(__xludf.DUMMYFUNCTION("""COMPUTED_VALUE"""),"Puzzle")</f>
        <v>Puzzle</v>
      </c>
      <c r="M185" s="31" t="str">
        <f>IFERROR(__xludf.DUMMYFUNCTION("""COMPUTED_VALUE"""),"Exclusive")</f>
        <v>Exclusive</v>
      </c>
    </row>
    <row r="186">
      <c r="A186" s="17" t="str">
        <f>IFERROR(__xludf.DUMMYFUNCTION("""COMPUTED_VALUE"""),"Luna Abyss")</f>
        <v>Luna Abyss</v>
      </c>
      <c r="B186" s="20" t="str">
        <f>IFERROR(__xludf.DUMMYFUNCTION("""COMPUTED_VALUE"""),"Xbox / PC")</f>
        <v>Xbox / PC</v>
      </c>
      <c r="C186" s="21" t="str">
        <f>IFERROR(__xludf.DUMMYFUNCTION("""COMPUTED_VALUE"""),"Yes")</f>
        <v>Yes</v>
      </c>
      <c r="D186" s="21" t="str">
        <f>IFERROR(__xludf.DUMMYFUNCTION("""COMPUTED_VALUE"""),"Active")</f>
        <v>Active</v>
      </c>
      <c r="E186" s="23">
        <f>IFERROR(__xludf.DUMMYFUNCTION("""COMPUTED_VALUE"""),46163.0)</f>
        <v>46163</v>
      </c>
      <c r="F186" s="24"/>
      <c r="G186" s="27">
        <f>IFERROR(__xludf.DUMMYFUNCTION("""COMPUTED_VALUE"""),4.5)</f>
        <v>4.5</v>
      </c>
      <c r="H186" s="23">
        <f>IFERROR(__xludf.DUMMYFUNCTION("""COMPUTED_VALUE"""),46163.0)</f>
        <v>46163</v>
      </c>
      <c r="I186" s="27">
        <f>IFERROR(__xludf.DUMMYFUNCTION("""COMPUTED_VALUE"""),0.0)</f>
        <v>0</v>
      </c>
      <c r="J186" s="29">
        <f>IFERROR(__xludf.DUMMYFUNCTION("""COMPUTED_VALUE"""),81.0)</f>
        <v>81</v>
      </c>
      <c r="K186" s="29">
        <f>IFERROR(__xludf.DUMMYFUNCTION("""COMPUTED_VALUE"""),8.0)</f>
        <v>8</v>
      </c>
      <c r="L186" s="31" t="str">
        <f>IFERROR(__xludf.DUMMYFUNCTION("""COMPUTED_VALUE"""),"Shooter")</f>
        <v>Shooter</v>
      </c>
      <c r="M186" s="31" t="str">
        <f>IFERROR(__xludf.DUMMYFUNCTION("""COMPUTED_VALUE"""),"Exclusive")</f>
        <v>Exclusive</v>
      </c>
    </row>
    <row r="187">
      <c r="A187" s="17" t="str">
        <f>IFERROR(__xludf.DUMMYFUNCTION("""COMPUTED_VALUE"""),"Tiny Bookshop")</f>
        <v>Tiny Bookshop</v>
      </c>
      <c r="B187" s="20" t="str">
        <f>IFERROR(__xludf.DUMMYFUNCTION("""COMPUTED_VALUE"""),"Xbox / PC")</f>
        <v>Xbox / PC</v>
      </c>
      <c r="C187" s="21" t="str">
        <f>IFERROR(__xludf.DUMMYFUNCTION("""COMPUTED_VALUE"""),"Yes")</f>
        <v>Yes</v>
      </c>
      <c r="D187" s="21" t="str">
        <f>IFERROR(__xludf.DUMMYFUNCTION("""COMPUTED_VALUE"""),"Active")</f>
        <v>Active</v>
      </c>
      <c r="E187" s="23">
        <f>IFERROR(__xludf.DUMMYFUNCTION("""COMPUTED_VALUE"""),46122.0)</f>
        <v>46122</v>
      </c>
      <c r="F187" s="24"/>
      <c r="G187" s="27">
        <f>IFERROR(__xludf.DUMMYFUNCTION("""COMPUTED_VALUE"""),5.866666666666666)</f>
        <v>5.866666667</v>
      </c>
      <c r="H187" s="23">
        <f>IFERROR(__xludf.DUMMYFUNCTION("""COMPUTED_VALUE"""),45876.0)</f>
        <v>45876</v>
      </c>
      <c r="I187" s="27">
        <f>IFERROR(__xludf.DUMMYFUNCTION("""COMPUTED_VALUE"""),0.675)</f>
        <v>0.675</v>
      </c>
      <c r="J187" s="29">
        <f>IFERROR(__xludf.DUMMYFUNCTION("""COMPUTED_VALUE"""),81.0)</f>
        <v>81</v>
      </c>
      <c r="K187" s="29">
        <f>IFERROR(__xludf.DUMMYFUNCTION("""COMPUTED_VALUE"""),16.0)</f>
        <v>16</v>
      </c>
      <c r="L187" s="31" t="str">
        <f>IFERROR(__xludf.DUMMYFUNCTION("""COMPUTED_VALUE"""),"Tycoon")</f>
        <v>Tycoon</v>
      </c>
      <c r="M187" s="31" t="str">
        <f>IFERROR(__xludf.DUMMYFUNCTION("""COMPUTED_VALUE"""),"Exclusive")</f>
        <v>Exclusive</v>
      </c>
    </row>
    <row r="188">
      <c r="A188" s="17" t="str">
        <f>IFERROR(__xludf.DUMMYFUNCTION("""COMPUTED_VALUE"""),"Marvel Cosmic Invasion")</f>
        <v>Marvel Cosmic Invasion</v>
      </c>
      <c r="B188" s="20" t="str">
        <f>IFERROR(__xludf.DUMMYFUNCTION("""COMPUTED_VALUE"""),"Xbox / PC")</f>
        <v>Xbox / PC</v>
      </c>
      <c r="C188" s="21" t="str">
        <f>IFERROR(__xludf.DUMMYFUNCTION("""COMPUTED_VALUE"""),"Yes")</f>
        <v>Yes</v>
      </c>
      <c r="D188" s="21" t="str">
        <f>IFERROR(__xludf.DUMMYFUNCTION("""COMPUTED_VALUE"""),"Active")</f>
        <v>Active</v>
      </c>
      <c r="E188" s="23">
        <f>IFERROR(__xludf.DUMMYFUNCTION("""COMPUTED_VALUE"""),45992.0)</f>
        <v>45992</v>
      </c>
      <c r="F188" s="24"/>
      <c r="G188" s="27">
        <f>IFERROR(__xludf.DUMMYFUNCTION("""COMPUTED_VALUE"""),10.166666666666666)</f>
        <v>10.16666667</v>
      </c>
      <c r="H188" s="23">
        <f>IFERROR(__xludf.DUMMYFUNCTION("""COMPUTED_VALUE"""),45992.0)</f>
        <v>45992</v>
      </c>
      <c r="I188" s="27">
        <f>IFERROR(__xludf.DUMMYFUNCTION("""COMPUTED_VALUE"""),0.0)</f>
        <v>0</v>
      </c>
      <c r="J188" s="29">
        <f>IFERROR(__xludf.DUMMYFUNCTION("""COMPUTED_VALUE"""),81.0)</f>
        <v>81</v>
      </c>
      <c r="K188" s="29">
        <f>IFERROR(__xludf.DUMMYFUNCTION("""COMPUTED_VALUE"""),4.0)</f>
        <v>4</v>
      </c>
      <c r="L188" s="31" t="str">
        <f>IFERROR(__xludf.DUMMYFUNCTION("""COMPUTED_VALUE"""),"Beat ’em up")</f>
        <v>Beat ’em up</v>
      </c>
      <c r="M188" s="31"/>
    </row>
    <row r="189">
      <c r="A189" s="17" t="str">
        <f>IFERROR(__xludf.DUMMYFUNCTION("""COMPUTED_VALUE"""),"Great God Grove")</f>
        <v>Great God Grove</v>
      </c>
      <c r="B189" s="20" t="str">
        <f>IFERROR(__xludf.DUMMYFUNCTION("""COMPUTED_VALUE"""),"Xbox / PC")</f>
        <v>Xbox / PC</v>
      </c>
      <c r="C189" s="21" t="str">
        <f>IFERROR(__xludf.DUMMYFUNCTION("""COMPUTED_VALUE"""),"Yes")</f>
        <v>Yes</v>
      </c>
      <c r="D189" s="21" t="str">
        <f>IFERROR(__xludf.DUMMYFUNCTION("""COMPUTED_VALUE"""),"Active")</f>
        <v>Active</v>
      </c>
      <c r="E189" s="23">
        <f>IFERROR(__xludf.DUMMYFUNCTION("""COMPUTED_VALUE"""),45972.0)</f>
        <v>45972</v>
      </c>
      <c r="F189" s="24"/>
      <c r="G189" s="27">
        <f>IFERROR(__xludf.DUMMYFUNCTION("""COMPUTED_VALUE"""),10.833333333333334)</f>
        <v>10.83333333</v>
      </c>
      <c r="H189" s="23">
        <f>IFERROR(__xludf.DUMMYFUNCTION("""COMPUTED_VALUE"""),45611.0)</f>
        <v>45611</v>
      </c>
      <c r="I189" s="27">
        <f>IFERROR(__xludf.DUMMYFUNCTION("""COMPUTED_VALUE"""),0.9888888888888889)</f>
        <v>0.9888888889</v>
      </c>
      <c r="J189" s="29">
        <f>IFERROR(__xludf.DUMMYFUNCTION("""COMPUTED_VALUE"""),81.0)</f>
        <v>81</v>
      </c>
      <c r="K189" s="29">
        <f>IFERROR(__xludf.DUMMYFUNCTION("""COMPUTED_VALUE"""),6.0)</f>
        <v>6</v>
      </c>
      <c r="L189" s="31" t="str">
        <f>IFERROR(__xludf.DUMMYFUNCTION("""COMPUTED_VALUE"""),"Action-Adventure")</f>
        <v>Action-Adventure</v>
      </c>
      <c r="M189" s="31" t="str">
        <f>IFERROR(__xludf.DUMMYFUNCTION("""COMPUTED_VALUE"""),"Exclusive")</f>
        <v>Exclusive</v>
      </c>
    </row>
    <row r="190">
      <c r="A190" s="17" t="str">
        <f>IFERROR(__xludf.DUMMYFUNCTION("""COMPUTED_VALUE"""),"Moonsweeper")</f>
        <v>Moonsweeper</v>
      </c>
      <c r="B190" s="20" t="str">
        <f>IFERROR(__xludf.DUMMYFUNCTION("""COMPUTED_VALUE"""),"Xbox / PC")</f>
        <v>Xbox / PC</v>
      </c>
      <c r="C190" s="21" t="str">
        <f>IFERROR(__xludf.DUMMYFUNCTION("""COMPUTED_VALUE"""),"Yes")</f>
        <v>Yes</v>
      </c>
      <c r="D190" s="21" t="str">
        <f>IFERROR(__xludf.DUMMYFUNCTION("""COMPUTED_VALUE"""),"Active")</f>
        <v>Active</v>
      </c>
      <c r="E190" s="23">
        <f>IFERROR(__xludf.DUMMYFUNCTION("""COMPUTED_VALUE"""),45945.0)</f>
        <v>45945</v>
      </c>
      <c r="F190" s="24"/>
      <c r="G190" s="27">
        <f>IFERROR(__xludf.DUMMYFUNCTION("""COMPUTED_VALUE"""),11.7)</f>
        <v>11.7</v>
      </c>
      <c r="H190" s="23">
        <f>IFERROR(__xludf.DUMMYFUNCTION("""COMPUTED_VALUE"""),30529.0)</f>
        <v>30529</v>
      </c>
      <c r="I190" s="27">
        <f>IFERROR(__xludf.DUMMYFUNCTION("""COMPUTED_VALUE"""),42.205555555555556)</f>
        <v>42.20555556</v>
      </c>
      <c r="J190" s="29">
        <f>IFERROR(__xludf.DUMMYFUNCTION("""COMPUTED_VALUE"""),81.0)</f>
        <v>81</v>
      </c>
      <c r="K190" s="29"/>
      <c r="L190" s="31" t="str">
        <f>IFERROR(__xludf.DUMMYFUNCTION("""COMPUTED_VALUE"""),"Action-Adventure")</f>
        <v>Action-Adventure</v>
      </c>
      <c r="M190" s="31"/>
    </row>
    <row r="191">
      <c r="A191" s="17" t="str">
        <f>IFERROR(__xludf.DUMMYFUNCTION("""COMPUTED_VALUE"""),"Trackmania Turbo")</f>
        <v>Trackmania Turbo</v>
      </c>
      <c r="B191" s="20" t="str">
        <f>IFERROR(__xludf.DUMMYFUNCTION("""COMPUTED_VALUE"""),"Xbox / PC")</f>
        <v>Xbox / PC</v>
      </c>
      <c r="C191" s="21" t="str">
        <f>IFERROR(__xludf.DUMMYFUNCTION("""COMPUTED_VALUE"""),"Yes")</f>
        <v>Yes</v>
      </c>
      <c r="D191" s="21" t="str">
        <f>IFERROR(__xludf.DUMMYFUNCTION("""COMPUTED_VALUE"""),"Active")</f>
        <v>Active</v>
      </c>
      <c r="E191" s="23">
        <f>IFERROR(__xludf.DUMMYFUNCTION("""COMPUTED_VALUE"""),45931.0)</f>
        <v>45931</v>
      </c>
      <c r="F191" s="24"/>
      <c r="G191" s="27">
        <f>IFERROR(__xludf.DUMMYFUNCTION("""COMPUTED_VALUE"""),12.166666666666666)</f>
        <v>12.16666667</v>
      </c>
      <c r="H191" s="23">
        <f>IFERROR(__xludf.DUMMYFUNCTION("""COMPUTED_VALUE"""),42451.0)</f>
        <v>42451</v>
      </c>
      <c r="I191" s="27">
        <f>IFERROR(__xludf.DUMMYFUNCTION("""COMPUTED_VALUE"""),9.525)</f>
        <v>9.525</v>
      </c>
      <c r="J191" s="29">
        <f>IFERROR(__xludf.DUMMYFUNCTION("""COMPUTED_VALUE"""),81.0)</f>
        <v>81</v>
      </c>
      <c r="K191" s="29">
        <f>IFERROR(__xludf.DUMMYFUNCTION("""COMPUTED_VALUE"""),13.0)</f>
        <v>13</v>
      </c>
      <c r="L191" s="31" t="str">
        <f>IFERROR(__xludf.DUMMYFUNCTION("""COMPUTED_VALUE"""),"Racing")</f>
        <v>Racing</v>
      </c>
      <c r="M191" s="31"/>
    </row>
    <row r="192">
      <c r="A192" s="17" t="str">
        <f>IFERROR(__xludf.DUMMYFUNCTION("""COMPUTED_VALUE"""),"Uno")</f>
        <v>Uno</v>
      </c>
      <c r="B192" s="20" t="str">
        <f>IFERROR(__xludf.DUMMYFUNCTION("""COMPUTED_VALUE"""),"Xbox / PC")</f>
        <v>Xbox / PC</v>
      </c>
      <c r="C192" s="21" t="str">
        <f>IFERROR(__xludf.DUMMYFUNCTION("""COMPUTED_VALUE"""),"Yes")</f>
        <v>Yes</v>
      </c>
      <c r="D192" s="21" t="str">
        <f>IFERROR(__xludf.DUMMYFUNCTION("""COMPUTED_VALUE"""),"Active")</f>
        <v>Active</v>
      </c>
      <c r="E192" s="23">
        <f>IFERROR(__xludf.DUMMYFUNCTION("""COMPUTED_VALUE"""),45931.0)</f>
        <v>45931</v>
      </c>
      <c r="F192" s="24"/>
      <c r="G192" s="27">
        <f>IFERROR(__xludf.DUMMYFUNCTION("""COMPUTED_VALUE"""),12.166666666666666)</f>
        <v>12.16666667</v>
      </c>
      <c r="H192" s="23">
        <f>IFERROR(__xludf.DUMMYFUNCTION("""COMPUTED_VALUE"""),38846.0)</f>
        <v>38846</v>
      </c>
      <c r="I192" s="27">
        <f>IFERROR(__xludf.DUMMYFUNCTION("""COMPUTED_VALUE"""),19.394444444444446)</f>
        <v>19.39444444</v>
      </c>
      <c r="J192" s="29">
        <f>IFERROR(__xludf.DUMMYFUNCTION("""COMPUTED_VALUE"""),81.0)</f>
        <v>81</v>
      </c>
      <c r="K192" s="29">
        <f>IFERROR(__xludf.DUMMYFUNCTION("""COMPUTED_VALUE"""),3.0)</f>
        <v>3</v>
      </c>
      <c r="L192" s="31" t="str">
        <f>IFERROR(__xludf.DUMMYFUNCTION("""COMPUTED_VALUE"""),"Board")</f>
        <v>Board</v>
      </c>
      <c r="M192" s="31"/>
    </row>
    <row r="193">
      <c r="A193" s="17" t="str">
        <f>IFERROR(__xludf.DUMMYFUNCTION("""COMPUTED_VALUE"""),"The Rogue Prince of Persia")</f>
        <v>The Rogue Prince of Persia</v>
      </c>
      <c r="B193" s="20" t="str">
        <f>IFERROR(__xludf.DUMMYFUNCTION("""COMPUTED_VALUE"""),"Xbox / PC")</f>
        <v>Xbox / PC</v>
      </c>
      <c r="C193" s="21" t="str">
        <f>IFERROR(__xludf.DUMMYFUNCTION("""COMPUTED_VALUE"""),"Yes")</f>
        <v>Yes</v>
      </c>
      <c r="D193" s="21" t="str">
        <f>IFERROR(__xludf.DUMMYFUNCTION("""COMPUTED_VALUE"""),"Active")</f>
        <v>Active</v>
      </c>
      <c r="E193" s="23">
        <f>IFERROR(__xludf.DUMMYFUNCTION("""COMPUTED_VALUE"""),45889.0)</f>
        <v>45889</v>
      </c>
      <c r="F193" s="24"/>
      <c r="G193" s="27">
        <f>IFERROR(__xludf.DUMMYFUNCTION("""COMPUTED_VALUE"""),13.533333333333333)</f>
        <v>13.53333333</v>
      </c>
      <c r="H193" s="23">
        <f>IFERROR(__xludf.DUMMYFUNCTION("""COMPUTED_VALUE"""),45889.0)</f>
        <v>45889</v>
      </c>
      <c r="I193" s="27">
        <f>IFERROR(__xludf.DUMMYFUNCTION("""COMPUTED_VALUE"""),0.0)</f>
        <v>0</v>
      </c>
      <c r="J193" s="29">
        <f>IFERROR(__xludf.DUMMYFUNCTION("""COMPUTED_VALUE"""),81.0)</f>
        <v>81</v>
      </c>
      <c r="K193" s="29">
        <f>IFERROR(__xludf.DUMMYFUNCTION("""COMPUTED_VALUE"""),8.0)</f>
        <v>8</v>
      </c>
      <c r="L193" s="31" t="str">
        <f>IFERROR(__xludf.DUMMYFUNCTION("""COMPUTED_VALUE"""),"Platformer")</f>
        <v>Platformer</v>
      </c>
      <c r="M193" s="31"/>
    </row>
    <row r="194">
      <c r="A194" s="17" t="str">
        <f>IFERROR(__xludf.DUMMYFUNCTION("""COMPUTED_VALUE"""),"Anno 1800")</f>
        <v>Anno 1800</v>
      </c>
      <c r="B194" s="20" t="str">
        <f>IFERROR(__xludf.DUMMYFUNCTION("""COMPUTED_VALUE"""),"Xbox / PC")</f>
        <v>Xbox / PC</v>
      </c>
      <c r="C194" s="21" t="str">
        <f>IFERROR(__xludf.DUMMYFUNCTION("""COMPUTED_VALUE"""),"Yes")</f>
        <v>Yes</v>
      </c>
      <c r="D194" s="21" t="str">
        <f>IFERROR(__xludf.DUMMYFUNCTION("""COMPUTED_VALUE"""),"Active")</f>
        <v>Active</v>
      </c>
      <c r="E194" s="23">
        <f>IFERROR(__xludf.DUMMYFUNCTION("""COMPUTED_VALUE"""),45778.0)</f>
        <v>45778</v>
      </c>
      <c r="F194" s="24"/>
      <c r="G194" s="27">
        <f>IFERROR(__xludf.DUMMYFUNCTION("""COMPUTED_VALUE"""),17.166666666666668)</f>
        <v>17.16666667</v>
      </c>
      <c r="H194" s="23">
        <f>IFERROR(__xludf.DUMMYFUNCTION("""COMPUTED_VALUE"""),43571.0)</f>
        <v>43571</v>
      </c>
      <c r="I194" s="27">
        <f>IFERROR(__xludf.DUMMYFUNCTION("""COMPUTED_VALUE"""),6.041666666666667)</f>
        <v>6.041666667</v>
      </c>
      <c r="J194" s="29">
        <f>IFERROR(__xludf.DUMMYFUNCTION("""COMPUTED_VALUE"""),81.0)</f>
        <v>81</v>
      </c>
      <c r="K194" s="29">
        <f>IFERROR(__xludf.DUMMYFUNCTION("""COMPUTED_VALUE"""),15.0)</f>
        <v>15</v>
      </c>
      <c r="L194" s="31" t="str">
        <f>IFERROR(__xludf.DUMMYFUNCTION("""COMPUTED_VALUE"""),"Management")</f>
        <v>Management</v>
      </c>
      <c r="M194" s="31" t="str">
        <f>IFERROR(__xludf.DUMMYFUNCTION("""COMPUTED_VALUE"""),"Exclusive")</f>
        <v>Exclusive</v>
      </c>
    </row>
    <row r="195">
      <c r="A195" s="17" t="str">
        <f>IFERROR(__xludf.DUMMYFUNCTION("""COMPUTED_VALUE"""),"Avowed")</f>
        <v>Avowed</v>
      </c>
      <c r="B195" s="20" t="str">
        <f>IFERROR(__xludf.DUMMYFUNCTION("""COMPUTED_VALUE"""),"Xbox / PC")</f>
        <v>Xbox / PC</v>
      </c>
      <c r="C195" s="21" t="str">
        <f>IFERROR(__xludf.DUMMYFUNCTION("""COMPUTED_VALUE"""),"Yes")</f>
        <v>Yes</v>
      </c>
      <c r="D195" s="21" t="str">
        <f>IFERROR(__xludf.DUMMYFUNCTION("""COMPUTED_VALUE"""),"Active")</f>
        <v>Active</v>
      </c>
      <c r="E195" s="23">
        <f>IFERROR(__xludf.DUMMYFUNCTION("""COMPUTED_VALUE"""),45706.0)</f>
        <v>45706</v>
      </c>
      <c r="F195" s="24"/>
      <c r="G195" s="27">
        <f>IFERROR(__xludf.DUMMYFUNCTION("""COMPUTED_VALUE"""),19.6)</f>
        <v>19.6</v>
      </c>
      <c r="H195" s="23">
        <f>IFERROR(__xludf.DUMMYFUNCTION("""COMPUTED_VALUE"""),45706.0)</f>
        <v>45706</v>
      </c>
      <c r="I195" s="27">
        <f>IFERROR(__xludf.DUMMYFUNCTION("""COMPUTED_VALUE"""),0.0)</f>
        <v>0</v>
      </c>
      <c r="J195" s="29">
        <f>IFERROR(__xludf.DUMMYFUNCTION("""COMPUTED_VALUE"""),81.0)</f>
        <v>81</v>
      </c>
      <c r="K195" s="29">
        <f>IFERROR(__xludf.DUMMYFUNCTION("""COMPUTED_VALUE"""),17.0)</f>
        <v>17</v>
      </c>
      <c r="L195" s="31" t="str">
        <f>IFERROR(__xludf.DUMMYFUNCTION("""COMPUTED_VALUE"""),"RPG")</f>
        <v>RPG</v>
      </c>
      <c r="M195" s="31" t="str">
        <f>IFERROR(__xludf.DUMMYFUNCTION("""COMPUTED_VALUE"""),"Exclusive")</f>
        <v>Exclusive</v>
      </c>
    </row>
    <row r="196">
      <c r="A196" s="17" t="str">
        <f>IFERROR(__xludf.DUMMYFUNCTION("""COMPUTED_VALUE"""),"Immortals Fenyx Rising")</f>
        <v>Immortals Fenyx Rising</v>
      </c>
      <c r="B196" s="20" t="str">
        <f>IFERROR(__xludf.DUMMYFUNCTION("""COMPUTED_VALUE"""),"Xbox / PC")</f>
        <v>Xbox / PC</v>
      </c>
      <c r="C196" s="21" t="str">
        <f>IFERROR(__xludf.DUMMYFUNCTION("""COMPUTED_VALUE"""),"Touch Controls")</f>
        <v>Touch Controls</v>
      </c>
      <c r="D196" s="21" t="str">
        <f>IFERROR(__xludf.DUMMYFUNCTION("""COMPUTED_VALUE"""),"Active")</f>
        <v>Active</v>
      </c>
      <c r="E196" s="23">
        <f>IFERROR(__xludf.DUMMYFUNCTION("""COMPUTED_VALUE"""),44803.0)</f>
        <v>44803</v>
      </c>
      <c r="F196" s="24"/>
      <c r="G196" s="27">
        <f>IFERROR(__xludf.DUMMYFUNCTION("""COMPUTED_VALUE"""),49.199999999999996)</f>
        <v>49.2</v>
      </c>
      <c r="H196" s="23">
        <f>IFERROR(__xludf.DUMMYFUNCTION("""COMPUTED_VALUE"""),44168.0)</f>
        <v>44168</v>
      </c>
      <c r="I196" s="27">
        <f>IFERROR(__xludf.DUMMYFUNCTION("""COMPUTED_VALUE"""),1.7416666666666667)</f>
        <v>1.741666667</v>
      </c>
      <c r="J196" s="29">
        <f>IFERROR(__xludf.DUMMYFUNCTION("""COMPUTED_VALUE"""),81.0)</f>
        <v>81</v>
      </c>
      <c r="K196" s="29">
        <f>IFERROR(__xludf.DUMMYFUNCTION("""COMPUTED_VALUE"""),25.5)</f>
        <v>25.5</v>
      </c>
      <c r="L196" s="31" t="str">
        <f>IFERROR(__xludf.DUMMYFUNCTION("""COMPUTED_VALUE"""),"RPG")</f>
        <v>RPG</v>
      </c>
      <c r="M196" s="31"/>
    </row>
    <row r="197">
      <c r="A197" s="17" t="str">
        <f>IFERROR(__xludf.DUMMYFUNCTION("""COMPUTED_VALUE"""),"Age of Empires IV: Anniversary Edition")</f>
        <v>Age of Empires IV: Anniversary Edition</v>
      </c>
      <c r="B197" s="20" t="str">
        <f>IFERROR(__xludf.DUMMYFUNCTION("""COMPUTED_VALUE"""),"Xbox / PC")</f>
        <v>Xbox / PC</v>
      </c>
      <c r="C197" s="21" t="str">
        <f>IFERROR(__xludf.DUMMYFUNCTION("""COMPUTED_VALUE"""),"Yes")</f>
        <v>Yes</v>
      </c>
      <c r="D197" s="21" t="str">
        <f>IFERROR(__xludf.DUMMYFUNCTION("""COMPUTED_VALUE"""),"Active")</f>
        <v>Active</v>
      </c>
      <c r="E197" s="23">
        <f>IFERROR(__xludf.DUMMYFUNCTION("""COMPUTED_VALUE"""),44497.0)</f>
        <v>44497</v>
      </c>
      <c r="F197" s="24"/>
      <c r="G197" s="27">
        <f>IFERROR(__xludf.DUMMYFUNCTION("""COMPUTED_VALUE"""),59.266666666666666)</f>
        <v>59.26666667</v>
      </c>
      <c r="H197" s="23">
        <f>IFERROR(__xludf.DUMMYFUNCTION("""COMPUTED_VALUE"""),44497.0)</f>
        <v>44497</v>
      </c>
      <c r="I197" s="27">
        <f>IFERROR(__xludf.DUMMYFUNCTION("""COMPUTED_VALUE"""),0.0)</f>
        <v>0</v>
      </c>
      <c r="J197" s="29">
        <f>IFERROR(__xludf.DUMMYFUNCTION("""COMPUTED_VALUE"""),81.0)</f>
        <v>81</v>
      </c>
      <c r="K197" s="29">
        <f>IFERROR(__xludf.DUMMYFUNCTION("""COMPUTED_VALUE"""),24.5)</f>
        <v>24.5</v>
      </c>
      <c r="L197" s="31" t="str">
        <f>IFERROR(__xludf.DUMMYFUNCTION("""COMPUTED_VALUE"""),"Real-Time Strategy")</f>
        <v>Real-Time Strategy</v>
      </c>
      <c r="M197" s="31"/>
    </row>
    <row r="198">
      <c r="A198" s="17" t="str">
        <f>IFERROR(__xludf.DUMMYFUNCTION("""COMPUTED_VALUE"""),"The Evil Within 2")</f>
        <v>The Evil Within 2</v>
      </c>
      <c r="B198" s="20" t="str">
        <f>IFERROR(__xludf.DUMMYFUNCTION("""COMPUTED_VALUE"""),"Xbox / PC")</f>
        <v>Xbox / PC</v>
      </c>
      <c r="C198" s="21" t="str">
        <f>IFERROR(__xludf.DUMMYFUNCTION("""COMPUTED_VALUE"""),"Yes")</f>
        <v>Yes</v>
      </c>
      <c r="D198" s="21" t="str">
        <f>IFERROR(__xludf.DUMMYFUNCTION("""COMPUTED_VALUE"""),"Active")</f>
        <v>Active</v>
      </c>
      <c r="E198" s="23">
        <f>IFERROR(__xludf.DUMMYFUNCTION("""COMPUTED_VALUE"""),44360.0)</f>
        <v>44360</v>
      </c>
      <c r="F198" s="24"/>
      <c r="G198" s="27">
        <f>IFERROR(__xludf.DUMMYFUNCTION("""COMPUTED_VALUE"""),63.766666666666666)</f>
        <v>63.76666667</v>
      </c>
      <c r="H198" s="23">
        <f>IFERROR(__xludf.DUMMYFUNCTION("""COMPUTED_VALUE"""),43021.0)</f>
        <v>43021</v>
      </c>
      <c r="I198" s="27">
        <f>IFERROR(__xludf.DUMMYFUNCTION("""COMPUTED_VALUE"""),3.6666666666666665)</f>
        <v>3.666666667</v>
      </c>
      <c r="J198" s="29">
        <f>IFERROR(__xludf.DUMMYFUNCTION("""COMPUTED_VALUE"""),81.0)</f>
        <v>81</v>
      </c>
      <c r="K198" s="29">
        <f>IFERROR(__xludf.DUMMYFUNCTION("""COMPUTED_VALUE"""),13.5)</f>
        <v>13.5</v>
      </c>
      <c r="L198" s="31" t="str">
        <f>IFERROR(__xludf.DUMMYFUNCTION("""COMPUTED_VALUE"""),"Shooter")</f>
        <v>Shooter</v>
      </c>
      <c r="M198" s="31" t="str">
        <f>IFERROR(__xludf.DUMMYFUNCTION("""COMPUTED_VALUE"""),"FPS Boost")</f>
        <v>FPS Boost</v>
      </c>
    </row>
    <row r="199">
      <c r="A199" s="17" t="str">
        <f>IFERROR(__xludf.DUMMYFUNCTION("""COMPUTED_VALUE"""),"SnowRunner")</f>
        <v>SnowRunner</v>
      </c>
      <c r="B199" s="20" t="str">
        <f>IFERROR(__xludf.DUMMYFUNCTION("""COMPUTED_VALUE"""),"Xbox / PC")</f>
        <v>Xbox / PC</v>
      </c>
      <c r="C199" s="21" t="str">
        <f>IFERROR(__xludf.DUMMYFUNCTION("""COMPUTED_VALUE"""),"Yes")</f>
        <v>Yes</v>
      </c>
      <c r="D199" s="21" t="str">
        <f>IFERROR(__xludf.DUMMYFUNCTION("""COMPUTED_VALUE"""),"Active")</f>
        <v>Active</v>
      </c>
      <c r="E199" s="23">
        <f>IFERROR(__xludf.DUMMYFUNCTION("""COMPUTED_VALUE"""),44334.0)</f>
        <v>44334</v>
      </c>
      <c r="F199" s="24"/>
      <c r="G199" s="27">
        <f>IFERROR(__xludf.DUMMYFUNCTION("""COMPUTED_VALUE"""),64.60000000000001)</f>
        <v>64.6</v>
      </c>
      <c r="H199" s="23">
        <f>IFERROR(__xludf.DUMMYFUNCTION("""COMPUTED_VALUE"""),43949.0)</f>
        <v>43949</v>
      </c>
      <c r="I199" s="27">
        <f>IFERROR(__xludf.DUMMYFUNCTION("""COMPUTED_VALUE"""),1.0555555555555556)</f>
        <v>1.055555556</v>
      </c>
      <c r="J199" s="29">
        <f>IFERROR(__xludf.DUMMYFUNCTION("""COMPUTED_VALUE"""),81.0)</f>
        <v>81</v>
      </c>
      <c r="K199" s="29">
        <f>IFERROR(__xludf.DUMMYFUNCTION("""COMPUTED_VALUE"""),90.0)</f>
        <v>90</v>
      </c>
      <c r="L199" s="31" t="str">
        <f>IFERROR(__xludf.DUMMYFUNCTION("""COMPUTED_VALUE"""),"Racing")</f>
        <v>Racing</v>
      </c>
      <c r="M199" s="31"/>
    </row>
    <row r="200">
      <c r="A200" s="17" t="str">
        <f>IFERROR(__xludf.DUMMYFUNCTION("""COMPUTED_VALUE"""),"Battlefield 4: Premium Edition")</f>
        <v>Battlefield 4: Premium Edition</v>
      </c>
      <c r="B200" s="20" t="str">
        <f>IFERROR(__xludf.DUMMYFUNCTION("""COMPUTED_VALUE"""),"Xbox / PC")</f>
        <v>Xbox / PC</v>
      </c>
      <c r="C200" s="21" t="str">
        <f>IFERROR(__xludf.DUMMYFUNCTION("""COMPUTED_VALUE"""),"Yes")</f>
        <v>Yes</v>
      </c>
      <c r="D200" s="21" t="str">
        <f>IFERROR(__xludf.DUMMYFUNCTION("""COMPUTED_VALUE"""),"Active")</f>
        <v>Active</v>
      </c>
      <c r="E200" s="23">
        <f>IFERROR(__xludf.DUMMYFUNCTION("""COMPUTED_VALUE"""),44145.0)</f>
        <v>44145</v>
      </c>
      <c r="F200" s="24"/>
      <c r="G200" s="27">
        <f>IFERROR(__xludf.DUMMYFUNCTION("""COMPUTED_VALUE"""),70.86666666666667)</f>
        <v>70.86666667</v>
      </c>
      <c r="H200" s="23">
        <f>IFERROR(__xludf.DUMMYFUNCTION("""COMPUTED_VALUE"""),41576.0)</f>
        <v>41576</v>
      </c>
      <c r="I200" s="27">
        <f>IFERROR(__xludf.DUMMYFUNCTION("""COMPUTED_VALUE"""),7.030555555555556)</f>
        <v>7.030555556</v>
      </c>
      <c r="J200" s="29">
        <f>IFERROR(__xludf.DUMMYFUNCTION("""COMPUTED_VALUE"""),81.0)</f>
        <v>81</v>
      </c>
      <c r="K200" s="29">
        <f>IFERROR(__xludf.DUMMYFUNCTION("""COMPUTED_VALUE"""),6.0)</f>
        <v>6</v>
      </c>
      <c r="L200" s="31" t="str">
        <f>IFERROR(__xludf.DUMMYFUNCTION("""COMPUTED_VALUE"""),"Shooter")</f>
        <v>Shooter</v>
      </c>
      <c r="M200" s="31" t="str">
        <f>IFERROR(__xludf.DUMMYFUNCTION("""COMPUTED_VALUE"""),"FPS Boost")</f>
        <v>FPS Boost</v>
      </c>
    </row>
    <row r="201">
      <c r="A201" s="17" t="str">
        <f>IFERROR(__xludf.DUMMYFUNCTION("""COMPUTED_VALUE"""),"Star Wars Jedi: Fallen Order")</f>
        <v>Star Wars Jedi: Fallen Order</v>
      </c>
      <c r="B201" s="20" t="str">
        <f>IFERROR(__xludf.DUMMYFUNCTION("""COMPUTED_VALUE"""),"Xbox / PC")</f>
        <v>Xbox / PC</v>
      </c>
      <c r="C201" s="21" t="str">
        <f>IFERROR(__xludf.DUMMYFUNCTION("""COMPUTED_VALUE"""),"Yes")</f>
        <v>Yes</v>
      </c>
      <c r="D201" s="21" t="str">
        <f>IFERROR(__xludf.DUMMYFUNCTION("""COMPUTED_VALUE"""),"Active")</f>
        <v>Active</v>
      </c>
      <c r="E201" s="23">
        <f>IFERROR(__xludf.DUMMYFUNCTION("""COMPUTED_VALUE"""),44145.0)</f>
        <v>44145</v>
      </c>
      <c r="F201" s="24"/>
      <c r="G201" s="27">
        <f>IFERROR(__xludf.DUMMYFUNCTION("""COMPUTED_VALUE"""),70.86666666666667)</f>
        <v>70.86666667</v>
      </c>
      <c r="H201" s="23">
        <f>IFERROR(__xludf.DUMMYFUNCTION("""COMPUTED_VALUE"""),43784.0)</f>
        <v>43784</v>
      </c>
      <c r="I201" s="27">
        <f>IFERROR(__xludf.DUMMYFUNCTION("""COMPUTED_VALUE"""),0.9861111111111112)</f>
        <v>0.9861111111</v>
      </c>
      <c r="J201" s="29">
        <f>IFERROR(__xludf.DUMMYFUNCTION("""COMPUTED_VALUE"""),81.0)</f>
        <v>81</v>
      </c>
      <c r="K201" s="29">
        <f>IFERROR(__xludf.DUMMYFUNCTION("""COMPUTED_VALUE"""),24.0)</f>
        <v>24</v>
      </c>
      <c r="L201" s="31" t="str">
        <f>IFERROR(__xludf.DUMMYFUNCTION("""COMPUTED_VALUE"""),"Action-Adventure")</f>
        <v>Action-Adventure</v>
      </c>
      <c r="M201" s="31" t="str">
        <f>IFERROR(__xludf.DUMMYFUNCTION("""COMPUTED_VALUE"""),"Optimized")</f>
        <v>Optimized</v>
      </c>
    </row>
    <row r="202">
      <c r="A202" s="17" t="str">
        <f>IFERROR(__xludf.DUMMYFUNCTION("""COMPUTED_VALUE"""),"Unravel Two")</f>
        <v>Unravel Two</v>
      </c>
      <c r="B202" s="20" t="str">
        <f>IFERROR(__xludf.DUMMYFUNCTION("""COMPUTED_VALUE"""),"Xbox / PC")</f>
        <v>Xbox / PC</v>
      </c>
      <c r="C202" s="21" t="str">
        <f>IFERROR(__xludf.DUMMYFUNCTION("""COMPUTED_VALUE"""),"Yes")</f>
        <v>Yes</v>
      </c>
      <c r="D202" s="21" t="str">
        <f>IFERROR(__xludf.DUMMYFUNCTION("""COMPUTED_VALUE"""),"Active")</f>
        <v>Active</v>
      </c>
      <c r="E202" s="23">
        <f>IFERROR(__xludf.DUMMYFUNCTION("""COMPUTED_VALUE"""),44145.0)</f>
        <v>44145</v>
      </c>
      <c r="F202" s="24"/>
      <c r="G202" s="27">
        <f>IFERROR(__xludf.DUMMYFUNCTION("""COMPUTED_VALUE"""),70.86666666666667)</f>
        <v>70.86666667</v>
      </c>
      <c r="H202" s="23">
        <f>IFERROR(__xludf.DUMMYFUNCTION("""COMPUTED_VALUE"""),43260.0)</f>
        <v>43260</v>
      </c>
      <c r="I202" s="27">
        <f>IFERROR(__xludf.DUMMYFUNCTION("""COMPUTED_VALUE"""),2.4194444444444443)</f>
        <v>2.419444444</v>
      </c>
      <c r="J202" s="29">
        <f>IFERROR(__xludf.DUMMYFUNCTION("""COMPUTED_VALUE"""),81.0)</f>
        <v>81</v>
      </c>
      <c r="K202" s="29">
        <f>IFERROR(__xludf.DUMMYFUNCTION("""COMPUTED_VALUE"""),5.0)</f>
        <v>5</v>
      </c>
      <c r="L202" s="31" t="str">
        <f>IFERROR(__xludf.DUMMYFUNCTION("""COMPUTED_VALUE"""),"Platformer")</f>
        <v>Platformer</v>
      </c>
      <c r="M202" s="31" t="str">
        <f>IFERROR(__xludf.DUMMYFUNCTION("""COMPUTED_VALUE"""),"FPS Boost")</f>
        <v>FPS Boost</v>
      </c>
    </row>
    <row r="203">
      <c r="A203" s="17" t="str">
        <f>IFERROR(__xludf.DUMMYFUNCTION("""COMPUTED_VALUE"""),"Gears Tactics")</f>
        <v>Gears Tactics</v>
      </c>
      <c r="B203" s="20" t="str">
        <f>IFERROR(__xludf.DUMMYFUNCTION("""COMPUTED_VALUE"""),"Xbox / PC")</f>
        <v>Xbox / PC</v>
      </c>
      <c r="C203" s="21" t="str">
        <f>IFERROR(__xludf.DUMMYFUNCTION("""COMPUTED_VALUE"""),"M+KB")</f>
        <v>M+KB</v>
      </c>
      <c r="D203" s="21" t="str">
        <f>IFERROR(__xludf.DUMMYFUNCTION("""COMPUTED_VALUE"""),"Active")</f>
        <v>Active</v>
      </c>
      <c r="E203" s="23">
        <f>IFERROR(__xludf.DUMMYFUNCTION("""COMPUTED_VALUE"""),43949.0)</f>
        <v>43949</v>
      </c>
      <c r="F203" s="24"/>
      <c r="G203" s="27">
        <f>IFERROR(__xludf.DUMMYFUNCTION("""COMPUTED_VALUE"""),77.26666666666667)</f>
        <v>77.26666667</v>
      </c>
      <c r="H203" s="23">
        <f>IFERROR(__xludf.DUMMYFUNCTION("""COMPUTED_VALUE"""),43949.0)</f>
        <v>43949</v>
      </c>
      <c r="I203" s="27">
        <f>IFERROR(__xludf.DUMMYFUNCTION("""COMPUTED_VALUE"""),0.0)</f>
        <v>0</v>
      </c>
      <c r="J203" s="29">
        <f>IFERROR(__xludf.DUMMYFUNCTION("""COMPUTED_VALUE"""),81.0)</f>
        <v>81</v>
      </c>
      <c r="K203" s="29">
        <f>IFERROR(__xludf.DUMMYFUNCTION("""COMPUTED_VALUE"""),22.5)</f>
        <v>22.5</v>
      </c>
      <c r="L203" s="31" t="str">
        <f>IFERROR(__xludf.DUMMYFUNCTION("""COMPUTED_VALUE"""),"Strategy")</f>
        <v>Strategy</v>
      </c>
      <c r="M203" s="31" t="str">
        <f>IFERROR(__xludf.DUMMYFUNCTION("""COMPUTED_VALUE"""),"Optimized")</f>
        <v>Optimized</v>
      </c>
    </row>
    <row r="204">
      <c r="A204" s="17" t="str">
        <f>IFERROR(__xludf.DUMMYFUNCTION("""COMPUTED_VALUE"""),"Torment: Tides of Numenera")</f>
        <v>Torment: Tides of Numenera</v>
      </c>
      <c r="B204" s="20" t="str">
        <f>IFERROR(__xludf.DUMMYFUNCTION("""COMPUTED_VALUE"""),"Xbox / PC")</f>
        <v>Xbox / PC</v>
      </c>
      <c r="C204" s="21" t="str">
        <f>IFERROR(__xludf.DUMMYFUNCTION("""COMPUTED_VALUE"""),"Touch Controls")</f>
        <v>Touch Controls</v>
      </c>
      <c r="D204" s="21" t="str">
        <f>IFERROR(__xludf.DUMMYFUNCTION("""COMPUTED_VALUE"""),"Active")</f>
        <v>Active</v>
      </c>
      <c r="E204" s="23">
        <f>IFERROR(__xludf.DUMMYFUNCTION("""COMPUTED_VALUE"""),43643.0)</f>
        <v>43643</v>
      </c>
      <c r="F204" s="24"/>
      <c r="G204" s="27">
        <f>IFERROR(__xludf.DUMMYFUNCTION("""COMPUTED_VALUE"""),87.30000000000001)</f>
        <v>87.3</v>
      </c>
      <c r="H204" s="23">
        <f>IFERROR(__xludf.DUMMYFUNCTION("""COMPUTED_VALUE"""),42794.0)</f>
        <v>42794</v>
      </c>
      <c r="I204" s="27">
        <f>IFERROR(__xludf.DUMMYFUNCTION("""COMPUTED_VALUE"""),2.3305555555555557)</f>
        <v>2.330555556</v>
      </c>
      <c r="J204" s="29">
        <f>IFERROR(__xludf.DUMMYFUNCTION("""COMPUTED_VALUE"""),81.0)</f>
        <v>81</v>
      </c>
      <c r="K204" s="29">
        <f>IFERROR(__xludf.DUMMYFUNCTION("""COMPUTED_VALUE"""),26.0)</f>
        <v>26</v>
      </c>
      <c r="L204" s="31" t="str">
        <f>IFERROR(__xludf.DUMMYFUNCTION("""COMPUTED_VALUE"""),"RPG")</f>
        <v>RPG</v>
      </c>
      <c r="M204" s="31"/>
    </row>
    <row r="205">
      <c r="A205" s="17" t="str">
        <f>IFERROR(__xludf.DUMMYFUNCTION("""COMPUTED_VALUE"""),"RAGE")</f>
        <v>RAGE</v>
      </c>
      <c r="B205" s="20" t="str">
        <f>IFERROR(__xludf.DUMMYFUNCTION("""COMPUTED_VALUE"""),"Xbox")</f>
        <v>Xbox</v>
      </c>
      <c r="C205" s="21" t="str">
        <f>IFERROR(__xludf.DUMMYFUNCTION("""COMPUTED_VALUE"""),"Yes")</f>
        <v>Yes</v>
      </c>
      <c r="D205" s="21" t="str">
        <f>IFERROR(__xludf.DUMMYFUNCTION("""COMPUTED_VALUE"""),"Active")</f>
        <v>Active</v>
      </c>
      <c r="E205" s="23">
        <f>IFERROR(__xludf.DUMMYFUNCTION("""COMPUTED_VALUE"""),43313.0)</f>
        <v>43313</v>
      </c>
      <c r="F205" s="24"/>
      <c r="G205" s="27">
        <f>IFERROR(__xludf.DUMMYFUNCTION("""COMPUTED_VALUE"""),98.16666666666666)</f>
        <v>98.16666667</v>
      </c>
      <c r="H205" s="23">
        <f>IFERROR(__xludf.DUMMYFUNCTION("""COMPUTED_VALUE"""),40820.0)</f>
        <v>40820</v>
      </c>
      <c r="I205" s="27">
        <f>IFERROR(__xludf.DUMMYFUNCTION("""COMPUTED_VALUE"""),6.825)</f>
        <v>6.825</v>
      </c>
      <c r="J205" s="29">
        <f>IFERROR(__xludf.DUMMYFUNCTION("""COMPUTED_VALUE"""),81.0)</f>
        <v>81</v>
      </c>
      <c r="K205" s="29">
        <f>IFERROR(__xludf.DUMMYFUNCTION("""COMPUTED_VALUE"""),11.0)</f>
        <v>11</v>
      </c>
      <c r="L205" s="31" t="str">
        <f>IFERROR(__xludf.DUMMYFUNCTION("""COMPUTED_VALUE"""),"Shooter")</f>
        <v>Shooter</v>
      </c>
      <c r="M205" s="31"/>
    </row>
    <row r="206">
      <c r="A206" s="17" t="str">
        <f>IFERROR(__xludf.DUMMYFUNCTION("""COMPUTED_VALUE"""),"Halo Wars: Definitive Edition")</f>
        <v>Halo Wars: Definitive Edition</v>
      </c>
      <c r="B206" s="20" t="str">
        <f>IFERROR(__xludf.DUMMYFUNCTION("""COMPUTED_VALUE"""),"Xbox / PC")</f>
        <v>Xbox / PC</v>
      </c>
      <c r="C206" s="21" t="str">
        <f>IFERROR(__xludf.DUMMYFUNCTION("""COMPUTED_VALUE"""),"Touch Controls")</f>
        <v>Touch Controls</v>
      </c>
      <c r="D206" s="21" t="str">
        <f>IFERROR(__xludf.DUMMYFUNCTION("""COMPUTED_VALUE"""),"Active")</f>
        <v>Active</v>
      </c>
      <c r="E206" s="23">
        <f>IFERROR(__xludf.DUMMYFUNCTION("""COMPUTED_VALUE"""),43040.0)</f>
        <v>43040</v>
      </c>
      <c r="F206" s="24"/>
      <c r="G206" s="27">
        <f>IFERROR(__xludf.DUMMYFUNCTION("""COMPUTED_VALUE"""),107.16666666666666)</f>
        <v>107.1666667</v>
      </c>
      <c r="H206" s="23">
        <f>IFERROR(__xludf.DUMMYFUNCTION("""COMPUTED_VALUE"""),39870.0)</f>
        <v>39870</v>
      </c>
      <c r="I206" s="27">
        <f>IFERROR(__xludf.DUMMYFUNCTION("""COMPUTED_VALUE"""),8.680555555555555)</f>
        <v>8.680555556</v>
      </c>
      <c r="J206" s="29">
        <f>IFERROR(__xludf.DUMMYFUNCTION("""COMPUTED_VALUE"""),81.0)</f>
        <v>81</v>
      </c>
      <c r="K206" s="29">
        <f>IFERROR(__xludf.DUMMYFUNCTION("""COMPUTED_VALUE"""),9.0)</f>
        <v>9</v>
      </c>
      <c r="L206" s="31" t="str">
        <f>IFERROR(__xludf.DUMMYFUNCTION("""COMPUTED_VALUE"""),"RPG")</f>
        <v>RPG</v>
      </c>
      <c r="M206" s="31"/>
    </row>
    <row r="207">
      <c r="A207" s="17" t="str">
        <f>IFERROR(__xludf.DUMMYFUNCTION("""COMPUTED_VALUE"""),"Perfect Dark Zero")</f>
        <v>Perfect Dark Zero</v>
      </c>
      <c r="B207" s="20" t="str">
        <f>IFERROR(__xludf.DUMMYFUNCTION("""COMPUTED_VALUE"""),"Xbox")</f>
        <v>Xbox</v>
      </c>
      <c r="C207" s="21" t="str">
        <f>IFERROR(__xludf.DUMMYFUNCTION("""COMPUTED_VALUE"""),"Yes")</f>
        <v>Yes</v>
      </c>
      <c r="D207" s="21" t="str">
        <f>IFERROR(__xludf.DUMMYFUNCTION("""COMPUTED_VALUE"""),"Active")</f>
        <v>Active</v>
      </c>
      <c r="E207" s="23">
        <f>IFERROR(__xludf.DUMMYFUNCTION("""COMPUTED_VALUE"""),42887.0)</f>
        <v>42887</v>
      </c>
      <c r="F207" s="24"/>
      <c r="G207" s="27">
        <f>IFERROR(__xludf.DUMMYFUNCTION("""COMPUTED_VALUE"""),112.16666666666666)</f>
        <v>112.1666667</v>
      </c>
      <c r="H207" s="23">
        <f>IFERROR(__xludf.DUMMYFUNCTION("""COMPUTED_VALUE"""),38875.0)</f>
        <v>38875</v>
      </c>
      <c r="I207" s="27">
        <f>IFERROR(__xludf.DUMMYFUNCTION("""COMPUTED_VALUE"""),10.983333333333333)</f>
        <v>10.98333333</v>
      </c>
      <c r="J207" s="29">
        <f>IFERROR(__xludf.DUMMYFUNCTION("""COMPUTED_VALUE"""),81.0)</f>
        <v>81</v>
      </c>
      <c r="K207" s="29">
        <f>IFERROR(__xludf.DUMMYFUNCTION("""COMPUTED_VALUE"""),8.0)</f>
        <v>8</v>
      </c>
      <c r="L207" s="31" t="str">
        <f>IFERROR(__xludf.DUMMYFUNCTION("""COMPUTED_VALUE"""),"Shooter")</f>
        <v>Shooter</v>
      </c>
      <c r="M207" s="31"/>
    </row>
    <row r="208">
      <c r="A208" s="17" t="str">
        <f>IFERROR(__xludf.DUMMYFUNCTION("""COMPUTED_VALUE"""),"The Royal Writ")</f>
        <v>The Royal Writ</v>
      </c>
      <c r="B208" s="20" t="str">
        <f>IFERROR(__xludf.DUMMYFUNCTION("""COMPUTED_VALUE"""),"Xbox / PC")</f>
        <v>Xbox / PC</v>
      </c>
      <c r="C208" s="21" t="str">
        <f>IFERROR(__xludf.DUMMYFUNCTION("""COMPUTED_VALUE"""),"Yes")</f>
        <v>Yes</v>
      </c>
      <c r="D208" s="21" t="str">
        <f>IFERROR(__xludf.DUMMYFUNCTION("""COMPUTED_VALUE"""),"Active")</f>
        <v>Active</v>
      </c>
      <c r="E208" s="23">
        <f>IFERROR(__xludf.DUMMYFUNCTION("""COMPUTED_VALUE"""),46275.0)</f>
        <v>46275</v>
      </c>
      <c r="F208" s="24"/>
      <c r="G208" s="27">
        <f>IFERROR(__xludf.DUMMYFUNCTION("""COMPUTED_VALUE"""),0.8666666666666666)</f>
        <v>0.8666666667</v>
      </c>
      <c r="H208" s="23">
        <f>IFERROR(__xludf.DUMMYFUNCTION("""COMPUTED_VALUE"""),45876.0)</f>
        <v>45876</v>
      </c>
      <c r="I208" s="27">
        <f>IFERROR(__xludf.DUMMYFUNCTION("""COMPUTED_VALUE"""),1.0916666666666666)</f>
        <v>1.091666667</v>
      </c>
      <c r="J208" s="29">
        <f>IFERROR(__xludf.DUMMYFUNCTION("""COMPUTED_VALUE"""),80.0)</f>
        <v>80</v>
      </c>
      <c r="K208" s="29">
        <f>IFERROR(__xludf.DUMMYFUNCTION("""COMPUTED_VALUE"""),5.0)</f>
        <v>5</v>
      </c>
      <c r="L208" s="31" t="str">
        <f>IFERROR(__xludf.DUMMYFUNCTION("""COMPUTED_VALUE"""),"Card Battle")</f>
        <v>Card Battle</v>
      </c>
      <c r="M208" s="31" t="str">
        <f>IFERROR(__xludf.DUMMYFUNCTION("""COMPUTED_VALUE"""),"Exclusive")</f>
        <v>Exclusive</v>
      </c>
    </row>
    <row r="209">
      <c r="A209" s="17" t="str">
        <f>IFERROR(__xludf.DUMMYFUNCTION("""COMPUTED_VALUE"""),"Halo: Campaign Evolved")</f>
        <v>Halo: Campaign Evolved</v>
      </c>
      <c r="B209" s="20" t="str">
        <f>IFERROR(__xludf.DUMMYFUNCTION("""COMPUTED_VALUE"""),"Xbox / PC")</f>
        <v>Xbox / PC</v>
      </c>
      <c r="C209" s="21" t="str">
        <f>IFERROR(__xludf.DUMMYFUNCTION("""COMPUTED_VALUE"""),"Yes")</f>
        <v>Yes</v>
      </c>
      <c r="D209" s="21" t="str">
        <f>IFERROR(__xludf.DUMMYFUNCTION("""COMPUTED_VALUE"""),"Active")</f>
        <v>Active</v>
      </c>
      <c r="E209" s="23">
        <f>IFERROR(__xludf.DUMMYFUNCTION("""COMPUTED_VALUE"""),46231.0)</f>
        <v>46231</v>
      </c>
      <c r="F209" s="24"/>
      <c r="G209" s="27">
        <f>IFERROR(__xludf.DUMMYFUNCTION("""COMPUTED_VALUE"""),2.2666666666666666)</f>
        <v>2.266666667</v>
      </c>
      <c r="H209" s="23">
        <f>IFERROR(__xludf.DUMMYFUNCTION("""COMPUTED_VALUE"""),46231.0)</f>
        <v>46231</v>
      </c>
      <c r="I209" s="27">
        <f>IFERROR(__xludf.DUMMYFUNCTION("""COMPUTED_VALUE"""),0.0)</f>
        <v>0</v>
      </c>
      <c r="J209" s="29">
        <f>IFERROR(__xludf.DUMMYFUNCTION("""COMPUTED_VALUE"""),80.0)</f>
        <v>80</v>
      </c>
      <c r="K209" s="29">
        <f>IFERROR(__xludf.DUMMYFUNCTION("""COMPUTED_VALUE"""),9.0)</f>
        <v>9</v>
      </c>
      <c r="L209" s="31" t="str">
        <f>IFERROR(__xludf.DUMMYFUNCTION("""COMPUTED_VALUE"""),"Shooter")</f>
        <v>Shooter</v>
      </c>
      <c r="M209" s="31"/>
    </row>
    <row r="210">
      <c r="A210" s="17" t="str">
        <f>IFERROR(__xludf.DUMMYFUNCTION("""COMPUTED_VALUE"""),"Shift at Midnight")</f>
        <v>Shift at Midnight</v>
      </c>
      <c r="B210" s="20" t="str">
        <f>IFERROR(__xludf.DUMMYFUNCTION("""COMPUTED_VALUE"""),"Xbox / PC")</f>
        <v>Xbox / PC</v>
      </c>
      <c r="C210" s="21" t="str">
        <f>IFERROR(__xludf.DUMMYFUNCTION("""COMPUTED_VALUE"""),"Yes")</f>
        <v>Yes</v>
      </c>
      <c r="D210" s="21" t="str">
        <f>IFERROR(__xludf.DUMMYFUNCTION("""COMPUTED_VALUE"""),"Active")</f>
        <v>Active</v>
      </c>
      <c r="E210" s="23">
        <f>IFERROR(__xludf.DUMMYFUNCTION("""COMPUTED_VALUE"""),46225.0)</f>
        <v>46225</v>
      </c>
      <c r="F210" s="24"/>
      <c r="G210" s="27">
        <f>IFERROR(__xludf.DUMMYFUNCTION("""COMPUTED_VALUE"""),2.466666666666667)</f>
        <v>2.466666667</v>
      </c>
      <c r="H210" s="23">
        <f>IFERROR(__xludf.DUMMYFUNCTION("""COMPUTED_VALUE"""),46225.0)</f>
        <v>46225</v>
      </c>
      <c r="I210" s="27">
        <f>IFERROR(__xludf.DUMMYFUNCTION("""COMPUTED_VALUE"""),0.0)</f>
        <v>0</v>
      </c>
      <c r="J210" s="29">
        <f>IFERROR(__xludf.DUMMYFUNCTION("""COMPUTED_VALUE"""),80.0)</f>
        <v>80</v>
      </c>
      <c r="K210" s="29">
        <f>IFERROR(__xludf.DUMMYFUNCTION("""COMPUTED_VALUE"""),5.0)</f>
        <v>5</v>
      </c>
      <c r="L210" s="31" t="str">
        <f>IFERROR(__xludf.DUMMYFUNCTION("""COMPUTED_VALUE"""),"Horror")</f>
        <v>Horror</v>
      </c>
      <c r="M210" s="31" t="str">
        <f>IFERROR(__xludf.DUMMYFUNCTION("""COMPUTED_VALUE"""),"Exclusive")</f>
        <v>Exclusive</v>
      </c>
    </row>
    <row r="211">
      <c r="A211" s="17" t="str">
        <f>IFERROR(__xludf.DUMMYFUNCTION("""COMPUTED_VALUE"""),"FixForce")</f>
        <v>FixForce</v>
      </c>
      <c r="B211" s="20" t="str">
        <f>IFERROR(__xludf.DUMMYFUNCTION("""COMPUTED_VALUE"""),"Xbox / PC")</f>
        <v>Xbox / PC</v>
      </c>
      <c r="C211" s="21" t="str">
        <f>IFERROR(__xludf.DUMMYFUNCTION("""COMPUTED_VALUE"""),"Yes")</f>
        <v>Yes</v>
      </c>
      <c r="D211" s="21" t="str">
        <f>IFERROR(__xludf.DUMMYFUNCTION("""COMPUTED_VALUE"""),"Active")</f>
        <v>Active</v>
      </c>
      <c r="E211" s="23">
        <f>IFERROR(__xludf.DUMMYFUNCTION("""COMPUTED_VALUE"""),46220.0)</f>
        <v>46220</v>
      </c>
      <c r="F211" s="24"/>
      <c r="G211" s="27">
        <f>IFERROR(__xludf.DUMMYFUNCTION("""COMPUTED_VALUE"""),2.6333333333333333)</f>
        <v>2.633333333</v>
      </c>
      <c r="H211" s="23">
        <f>IFERROR(__xludf.DUMMYFUNCTION("""COMPUTED_VALUE"""),46220.0)</f>
        <v>46220</v>
      </c>
      <c r="I211" s="27">
        <f>IFERROR(__xludf.DUMMYFUNCTION("""COMPUTED_VALUE"""),0.0)</f>
        <v>0</v>
      </c>
      <c r="J211" s="29">
        <f>IFERROR(__xludf.DUMMYFUNCTION("""COMPUTED_VALUE"""),80.0)</f>
        <v>80</v>
      </c>
      <c r="K211" s="29"/>
      <c r="L211" s="31" t="str">
        <f>IFERROR(__xludf.DUMMYFUNCTION("""COMPUTED_VALUE"""),"Platformer")</f>
        <v>Platformer</v>
      </c>
      <c r="M211" s="31" t="str">
        <f>IFERROR(__xludf.DUMMYFUNCTION("""COMPUTED_VALUE"""),"Exclusive")</f>
        <v>Exclusive</v>
      </c>
    </row>
    <row r="212">
      <c r="A212" s="17" t="str">
        <f>IFERROR(__xludf.DUMMYFUNCTION("""COMPUTED_VALUE"""),"Abyssus")</f>
        <v>Abyssus</v>
      </c>
      <c r="B212" s="20" t="str">
        <f>IFERROR(__xludf.DUMMYFUNCTION("""COMPUTED_VALUE"""),"Xbox / PC")</f>
        <v>Xbox / PC</v>
      </c>
      <c r="C212" s="21" t="str">
        <f>IFERROR(__xludf.DUMMYFUNCTION("""COMPUTED_VALUE"""),"Yes")</f>
        <v>Yes</v>
      </c>
      <c r="D212" s="21" t="str">
        <f>IFERROR(__xludf.DUMMYFUNCTION("""COMPUTED_VALUE"""),"Active")</f>
        <v>Active</v>
      </c>
      <c r="E212" s="23">
        <f>IFERROR(__xludf.DUMMYFUNCTION("""COMPUTED_VALUE"""),46198.0)</f>
        <v>46198</v>
      </c>
      <c r="F212" s="24"/>
      <c r="G212" s="27">
        <f>IFERROR(__xludf.DUMMYFUNCTION("""COMPUTED_VALUE"""),3.3666666666666667)</f>
        <v>3.366666667</v>
      </c>
      <c r="H212" s="23">
        <f>IFERROR(__xludf.DUMMYFUNCTION("""COMPUTED_VALUE"""),46198.0)</f>
        <v>46198</v>
      </c>
      <c r="I212" s="27">
        <f>IFERROR(__xludf.DUMMYFUNCTION("""COMPUTED_VALUE"""),0.0)</f>
        <v>0</v>
      </c>
      <c r="J212" s="29">
        <f>IFERROR(__xludf.DUMMYFUNCTION("""COMPUTED_VALUE"""),80.0)</f>
        <v>80</v>
      </c>
      <c r="K212" s="29">
        <f>IFERROR(__xludf.DUMMYFUNCTION("""COMPUTED_VALUE"""),25.0)</f>
        <v>25</v>
      </c>
      <c r="L212" s="31" t="str">
        <f>IFERROR(__xludf.DUMMYFUNCTION("""COMPUTED_VALUE"""),"Shooter")</f>
        <v>Shooter</v>
      </c>
      <c r="M212" s="31" t="str">
        <f>IFERROR(__xludf.DUMMYFUNCTION("""COMPUTED_VALUE"""),"Exclusive")</f>
        <v>Exclusive</v>
      </c>
    </row>
    <row r="213">
      <c r="A213" s="17" t="str">
        <f>IFERROR(__xludf.DUMMYFUNCTION("""COMPUTED_VALUE"""),"Wo Long: Fallen Dynasty")</f>
        <v>Wo Long: Fallen Dynasty</v>
      </c>
      <c r="B213" s="20" t="str">
        <f>IFERROR(__xludf.DUMMYFUNCTION("""COMPUTED_VALUE"""),"Xbox / PC")</f>
        <v>Xbox / PC</v>
      </c>
      <c r="C213" s="21" t="str">
        <f>IFERROR(__xludf.DUMMYFUNCTION("""COMPUTED_VALUE"""),"Yes")</f>
        <v>Yes</v>
      </c>
      <c r="D213" s="21" t="str">
        <f>IFERROR(__xludf.DUMMYFUNCTION("""COMPUTED_VALUE"""),"Active")</f>
        <v>Active</v>
      </c>
      <c r="E213" s="23">
        <f>IFERROR(__xludf.DUMMYFUNCTION("""COMPUTED_VALUE"""),46180.0)</f>
        <v>46180</v>
      </c>
      <c r="F213" s="24"/>
      <c r="G213" s="27">
        <f>IFERROR(__xludf.DUMMYFUNCTION("""COMPUTED_VALUE"""),3.966666666666667)</f>
        <v>3.966666667</v>
      </c>
      <c r="H213" s="23">
        <f>IFERROR(__xludf.DUMMYFUNCTION("""COMPUTED_VALUE"""),44988.0)</f>
        <v>44988</v>
      </c>
      <c r="I213" s="27">
        <f>IFERROR(__xludf.DUMMYFUNCTION("""COMPUTED_VALUE"""),3.261111111111111)</f>
        <v>3.261111111</v>
      </c>
      <c r="J213" s="29">
        <f>IFERROR(__xludf.DUMMYFUNCTION("""COMPUTED_VALUE"""),80.0)</f>
        <v>80</v>
      </c>
      <c r="K213" s="29">
        <f>IFERROR(__xludf.DUMMYFUNCTION("""COMPUTED_VALUE"""),29.0)</f>
        <v>29</v>
      </c>
      <c r="L213" s="31" t="str">
        <f>IFERROR(__xludf.DUMMYFUNCTION("""COMPUTED_VALUE"""),"Action")</f>
        <v>Action</v>
      </c>
      <c r="M213" s="31"/>
    </row>
    <row r="214">
      <c r="A214" s="17" t="str">
        <f>IFERROR(__xludf.DUMMYFUNCTION("""COMPUTED_VALUE"""),"Escape the Backrooms")</f>
        <v>Escape the Backrooms</v>
      </c>
      <c r="B214" s="20" t="str">
        <f>IFERROR(__xludf.DUMMYFUNCTION("""COMPUTED_VALUE"""),"Xbox / PC")</f>
        <v>Xbox / PC</v>
      </c>
      <c r="C214" s="21" t="str">
        <f>IFERROR(__xludf.DUMMYFUNCTION("""COMPUTED_VALUE"""),"Yes")</f>
        <v>Yes</v>
      </c>
      <c r="D214" s="21" t="str">
        <f>IFERROR(__xludf.DUMMYFUNCTION("""COMPUTED_VALUE"""),"Active")</f>
        <v>Active</v>
      </c>
      <c r="E214" s="23">
        <f>IFERROR(__xludf.DUMMYFUNCTION("""COMPUTED_VALUE"""),46170.0)</f>
        <v>46170</v>
      </c>
      <c r="F214" s="24"/>
      <c r="G214" s="27">
        <f>IFERROR(__xludf.DUMMYFUNCTION("""COMPUTED_VALUE"""),4.266666666666667)</f>
        <v>4.266666667</v>
      </c>
      <c r="H214" s="23">
        <f>IFERROR(__xludf.DUMMYFUNCTION("""COMPUTED_VALUE"""),45953.0)</f>
        <v>45953</v>
      </c>
      <c r="I214" s="27">
        <f>IFERROR(__xludf.DUMMYFUNCTION("""COMPUTED_VALUE"""),0.5972222222222222)</f>
        <v>0.5972222222</v>
      </c>
      <c r="J214" s="29">
        <f>IFERROR(__xludf.DUMMYFUNCTION("""COMPUTED_VALUE"""),80.0)</f>
        <v>80</v>
      </c>
      <c r="K214" s="29">
        <f>IFERROR(__xludf.DUMMYFUNCTION("""COMPUTED_VALUE"""),9.0)</f>
        <v>9</v>
      </c>
      <c r="L214" s="31" t="str">
        <f>IFERROR(__xludf.DUMMYFUNCTION("""COMPUTED_VALUE"""),"Survival")</f>
        <v>Survival</v>
      </c>
      <c r="M214" s="31" t="str">
        <f>IFERROR(__xludf.DUMMYFUNCTION("""COMPUTED_VALUE"""),"Exclusive")</f>
        <v>Exclusive</v>
      </c>
    </row>
    <row r="215">
      <c r="A215" s="17" t="str">
        <f>IFERROR(__xludf.DUMMYFUNCTION("""COMPUTED_VALUE"""),"Crashout Crew")</f>
        <v>Crashout Crew</v>
      </c>
      <c r="B215" s="20" t="str">
        <f>IFERROR(__xludf.DUMMYFUNCTION("""COMPUTED_VALUE"""),"Xbox / PC")</f>
        <v>Xbox / PC</v>
      </c>
      <c r="C215" s="21" t="str">
        <f>IFERROR(__xludf.DUMMYFUNCTION("""COMPUTED_VALUE"""),"Yes")</f>
        <v>Yes</v>
      </c>
      <c r="D215" s="21" t="str">
        <f>IFERROR(__xludf.DUMMYFUNCTION("""COMPUTED_VALUE"""),"Active")</f>
        <v>Active</v>
      </c>
      <c r="E215" s="23">
        <f>IFERROR(__xludf.DUMMYFUNCTION("""COMPUTED_VALUE"""),46170.0)</f>
        <v>46170</v>
      </c>
      <c r="F215" s="24"/>
      <c r="G215" s="27">
        <f>IFERROR(__xludf.DUMMYFUNCTION("""COMPUTED_VALUE"""),4.266666666666667)</f>
        <v>4.266666667</v>
      </c>
      <c r="H215" s="23">
        <f>IFERROR(__xludf.DUMMYFUNCTION("""COMPUTED_VALUE"""),46170.0)</f>
        <v>46170</v>
      </c>
      <c r="I215" s="27">
        <f>IFERROR(__xludf.DUMMYFUNCTION("""COMPUTED_VALUE"""),0.0)</f>
        <v>0</v>
      </c>
      <c r="J215" s="29">
        <f>IFERROR(__xludf.DUMMYFUNCTION("""COMPUTED_VALUE"""),80.0)</f>
        <v>80</v>
      </c>
      <c r="K215" s="29">
        <f>IFERROR(__xludf.DUMMYFUNCTION("""COMPUTED_VALUE"""),12.0)</f>
        <v>12</v>
      </c>
      <c r="L215" s="31" t="str">
        <f>IFERROR(__xludf.DUMMYFUNCTION("""COMPUTED_VALUE"""),"Action-Adventure")</f>
        <v>Action-Adventure</v>
      </c>
      <c r="M215" s="31" t="str">
        <f>IFERROR(__xludf.DUMMYFUNCTION("""COMPUTED_VALUE"""),"Exclusive")</f>
        <v>Exclusive</v>
      </c>
    </row>
    <row r="216">
      <c r="A216" s="17" t="str">
        <f>IFERROR(__xludf.DUMMYFUNCTION("""COMPUTED_VALUE"""),"Elite Dangerous")</f>
        <v>Elite Dangerous</v>
      </c>
      <c r="B216" s="20" t="str">
        <f>IFERROR(__xludf.DUMMYFUNCTION("""COMPUTED_VALUE"""),"Xbox")</f>
        <v>Xbox</v>
      </c>
      <c r="C216" s="21" t="str">
        <f>IFERROR(__xludf.DUMMYFUNCTION("""COMPUTED_VALUE"""),"Yes")</f>
        <v>Yes</v>
      </c>
      <c r="D216" s="21" t="str">
        <f>IFERROR(__xludf.DUMMYFUNCTION("""COMPUTED_VALUE"""),"Active")</f>
        <v>Active</v>
      </c>
      <c r="E216" s="23">
        <f>IFERROR(__xludf.DUMMYFUNCTION("""COMPUTED_VALUE"""),46154.0)</f>
        <v>46154</v>
      </c>
      <c r="F216" s="24"/>
      <c r="G216" s="27">
        <f>IFERROR(__xludf.DUMMYFUNCTION("""COMPUTED_VALUE"""),4.800000000000001)</f>
        <v>4.8</v>
      </c>
      <c r="H216" s="23">
        <f>IFERROR(__xludf.DUMMYFUNCTION("""COMPUTED_VALUE"""),41989.0)</f>
        <v>41989</v>
      </c>
      <c r="I216" s="27">
        <f>IFERROR(__xludf.DUMMYFUNCTION("""COMPUTED_VALUE"""),11.405555555555555)</f>
        <v>11.40555556</v>
      </c>
      <c r="J216" s="29">
        <f>IFERROR(__xludf.DUMMYFUNCTION("""COMPUTED_VALUE"""),80.0)</f>
        <v>80</v>
      </c>
      <c r="K216" s="29">
        <f>IFERROR(__xludf.DUMMYFUNCTION("""COMPUTED_VALUE"""),113.0)</f>
        <v>113</v>
      </c>
      <c r="L216" s="31" t="str">
        <f>IFERROR(__xludf.DUMMYFUNCTION("""COMPUTED_VALUE"""),"Space Simulation")</f>
        <v>Space Simulation</v>
      </c>
      <c r="M216" s="31"/>
    </row>
    <row r="217">
      <c r="A217" s="17" t="str">
        <f>IFERROR(__xludf.DUMMYFUNCTION("""COMPUTED_VALUE"""),"Call of Duty: Modern Warfare (2019)")</f>
        <v>Call of Duty: Modern Warfare (2019)</v>
      </c>
      <c r="B217" s="20" t="str">
        <f>IFERROR(__xludf.DUMMYFUNCTION("""COMPUTED_VALUE"""),"Xbox / PC")</f>
        <v>Xbox / PC</v>
      </c>
      <c r="C217" s="21" t="str">
        <f>IFERROR(__xludf.DUMMYFUNCTION("""COMPUTED_VALUE"""),"Yes")</f>
        <v>Yes</v>
      </c>
      <c r="D217" s="21" t="str">
        <f>IFERROR(__xludf.DUMMYFUNCTION("""COMPUTED_VALUE"""),"Active")</f>
        <v>Active</v>
      </c>
      <c r="E217" s="23">
        <f>IFERROR(__xludf.DUMMYFUNCTION("""COMPUTED_VALUE"""),46129.0)</f>
        <v>46129</v>
      </c>
      <c r="F217" s="24"/>
      <c r="G217" s="27">
        <f>IFERROR(__xludf.DUMMYFUNCTION("""COMPUTED_VALUE"""),5.633333333333333)</f>
        <v>5.633333333</v>
      </c>
      <c r="H217" s="23">
        <f>IFERROR(__xludf.DUMMYFUNCTION("""COMPUTED_VALUE"""),43763.0)</f>
        <v>43763</v>
      </c>
      <c r="I217" s="27">
        <f>IFERROR(__xludf.DUMMYFUNCTION("""COMPUTED_VALUE"""),6.477777777777778)</f>
        <v>6.477777778</v>
      </c>
      <c r="J217" s="29">
        <f>IFERROR(__xludf.DUMMYFUNCTION("""COMPUTED_VALUE"""),80.0)</f>
        <v>80</v>
      </c>
      <c r="K217" s="29">
        <f>IFERROR(__xludf.DUMMYFUNCTION("""COMPUTED_VALUE"""),6.0)</f>
        <v>6</v>
      </c>
      <c r="L217" s="31" t="str">
        <f>IFERROR(__xludf.DUMMYFUNCTION("""COMPUTED_VALUE"""),"Shooter")</f>
        <v>Shooter</v>
      </c>
      <c r="M217" s="31"/>
    </row>
    <row r="218">
      <c r="A218" s="17" t="str">
        <f>IFERROR(__xludf.DUMMYFUNCTION("""COMPUTED_VALUE"""),"Barbie Horse Trails")</f>
        <v>Barbie Horse Trails</v>
      </c>
      <c r="B218" s="20" t="str">
        <f>IFERROR(__xludf.DUMMYFUNCTION("""COMPUTED_VALUE"""),"Xbox / PC")</f>
        <v>Xbox / PC</v>
      </c>
      <c r="C218" s="21" t="str">
        <f>IFERROR(__xludf.DUMMYFUNCTION("""COMPUTED_VALUE"""),"Yes")</f>
        <v>Yes</v>
      </c>
      <c r="D218" s="21" t="str">
        <f>IFERROR(__xludf.DUMMYFUNCTION("""COMPUTED_VALUE"""),"Active")</f>
        <v>Active</v>
      </c>
      <c r="E218" s="23">
        <f>IFERROR(__xludf.DUMMYFUNCTION("""COMPUTED_VALUE"""),46114.0)</f>
        <v>46114</v>
      </c>
      <c r="F218" s="24"/>
      <c r="G218" s="27">
        <f>IFERROR(__xludf.DUMMYFUNCTION("""COMPUTED_VALUE"""),6.133333333333333)</f>
        <v>6.133333333</v>
      </c>
      <c r="H218" s="23">
        <f>IFERROR(__xludf.DUMMYFUNCTION("""COMPUTED_VALUE"""),39734.0)</f>
        <v>39734</v>
      </c>
      <c r="I218" s="27">
        <f>IFERROR(__xludf.DUMMYFUNCTION("""COMPUTED_VALUE"""),17.469444444444445)</f>
        <v>17.46944444</v>
      </c>
      <c r="J218" s="29">
        <f>IFERROR(__xludf.DUMMYFUNCTION("""COMPUTED_VALUE"""),80.0)</f>
        <v>80</v>
      </c>
      <c r="K218" s="29">
        <f>IFERROR(__xludf.DUMMYFUNCTION("""COMPUTED_VALUE"""),6.0)</f>
        <v>6</v>
      </c>
      <c r="L218" s="31" t="str">
        <f>IFERROR(__xludf.DUMMYFUNCTION("""COMPUTED_VALUE"""),"Action-Adventure")</f>
        <v>Action-Adventure</v>
      </c>
      <c r="M218" s="31"/>
    </row>
    <row r="219">
      <c r="A219" s="17" t="str">
        <f>IFERROR(__xludf.DUMMYFUNCTION("""COMPUTED_VALUE"""),"DreamWorks Gabby's Dollhouse: Ready to Party")</f>
        <v>DreamWorks Gabby's Dollhouse: Ready to Party</v>
      </c>
      <c r="B219" s="20" t="str">
        <f>IFERROR(__xludf.DUMMYFUNCTION("""COMPUTED_VALUE"""),"Xbox / PC")</f>
        <v>Xbox / PC</v>
      </c>
      <c r="C219" s="21" t="str">
        <f>IFERROR(__xludf.DUMMYFUNCTION("""COMPUTED_VALUE"""),"Yes")</f>
        <v>Yes</v>
      </c>
      <c r="D219" s="21" t="str">
        <f>IFERROR(__xludf.DUMMYFUNCTION("""COMPUTED_VALUE"""),"Active")</f>
        <v>Active</v>
      </c>
      <c r="E219" s="23">
        <f>IFERROR(__xludf.DUMMYFUNCTION("""COMPUTED_VALUE"""),46098.0)</f>
        <v>46098</v>
      </c>
      <c r="F219" s="24"/>
      <c r="G219" s="27">
        <f>IFERROR(__xludf.DUMMYFUNCTION("""COMPUTED_VALUE"""),6.633333333333334)</f>
        <v>6.633333333</v>
      </c>
      <c r="H219" s="23">
        <f>IFERROR(__xludf.DUMMYFUNCTION("""COMPUTED_VALUE"""),45919.0)</f>
        <v>45919</v>
      </c>
      <c r="I219" s="27">
        <f>IFERROR(__xludf.DUMMYFUNCTION("""COMPUTED_VALUE"""),0.49444444444444446)</f>
        <v>0.4944444444</v>
      </c>
      <c r="J219" s="29">
        <f>IFERROR(__xludf.DUMMYFUNCTION("""COMPUTED_VALUE"""),80.0)</f>
        <v>80</v>
      </c>
      <c r="K219" s="29">
        <f>IFERROR(__xludf.DUMMYFUNCTION("""COMPUTED_VALUE"""),3.0)</f>
        <v>3</v>
      </c>
      <c r="L219" s="31" t="str">
        <f>IFERROR(__xludf.DUMMYFUNCTION("""COMPUTED_VALUE"""),"Action-Adventure")</f>
        <v>Action-Adventure</v>
      </c>
      <c r="M219" s="31" t="str">
        <f>IFERROR(__xludf.DUMMYFUNCTION("""COMPUTED_VALUE"""),"Exclusive")</f>
        <v>Exclusive</v>
      </c>
    </row>
    <row r="220">
      <c r="A220" s="17" t="str">
        <f>IFERROR(__xludf.DUMMYFUNCTION("""COMPUTED_VALUE"""),"F1 25")</f>
        <v>F1 25</v>
      </c>
      <c r="B220" s="20" t="str">
        <f>IFERROR(__xludf.DUMMYFUNCTION("""COMPUTED_VALUE"""),"Xbox / PC")</f>
        <v>Xbox / PC</v>
      </c>
      <c r="C220" s="21" t="str">
        <f>IFERROR(__xludf.DUMMYFUNCTION("""COMPUTED_VALUE"""),"Yes")</f>
        <v>Yes</v>
      </c>
      <c r="D220" s="21" t="str">
        <f>IFERROR(__xludf.DUMMYFUNCTION("""COMPUTED_VALUE"""),"Active")</f>
        <v>Active</v>
      </c>
      <c r="E220" s="23">
        <f>IFERROR(__xludf.DUMMYFUNCTION("""COMPUTED_VALUE"""),46085.0)</f>
        <v>46085</v>
      </c>
      <c r="F220" s="24"/>
      <c r="G220" s="27">
        <f>IFERROR(__xludf.DUMMYFUNCTION("""COMPUTED_VALUE"""),7.066666666666666)</f>
        <v>7.066666667</v>
      </c>
      <c r="H220" s="23">
        <f>IFERROR(__xludf.DUMMYFUNCTION("""COMPUTED_VALUE"""),46085.0)</f>
        <v>46085</v>
      </c>
      <c r="I220" s="27">
        <f>IFERROR(__xludf.DUMMYFUNCTION("""COMPUTED_VALUE"""),0.0)</f>
        <v>0</v>
      </c>
      <c r="J220" s="29">
        <f>IFERROR(__xludf.DUMMYFUNCTION("""COMPUTED_VALUE"""),80.0)</f>
        <v>80</v>
      </c>
      <c r="K220" s="29">
        <f>IFERROR(__xludf.DUMMYFUNCTION("""COMPUTED_VALUE"""),6.0)</f>
        <v>6</v>
      </c>
      <c r="L220" s="31" t="str">
        <f>IFERROR(__xludf.DUMMYFUNCTION("""COMPUTED_VALUE"""),"Racing")</f>
        <v>Racing</v>
      </c>
      <c r="M220" s="31" t="str">
        <f>IFERROR(__xludf.DUMMYFUNCTION("""COMPUTED_VALUE"""),"Exclusive")</f>
        <v>Exclusive</v>
      </c>
    </row>
    <row r="221">
      <c r="A221" s="17" t="str">
        <f>IFERROR(__xludf.DUMMYFUNCTION("""COMPUTED_VALUE"""),"Diablo II: Resurrected")</f>
        <v>Diablo II: Resurrected</v>
      </c>
      <c r="B221" s="20" t="str">
        <f>IFERROR(__xludf.DUMMYFUNCTION("""COMPUTED_VALUE"""),"Xbox / PC")</f>
        <v>Xbox / PC</v>
      </c>
      <c r="C221" s="21" t="str">
        <f>IFERROR(__xludf.DUMMYFUNCTION("""COMPUTED_VALUE"""),"Yes")</f>
        <v>Yes</v>
      </c>
      <c r="D221" s="21" t="str">
        <f>IFERROR(__xludf.DUMMYFUNCTION("""COMPUTED_VALUE"""),"Active")</f>
        <v>Active</v>
      </c>
      <c r="E221" s="23">
        <f>IFERROR(__xludf.DUMMYFUNCTION("""COMPUTED_VALUE"""),46064.0)</f>
        <v>46064</v>
      </c>
      <c r="F221" s="24"/>
      <c r="G221" s="27">
        <f>IFERROR(__xludf.DUMMYFUNCTION("""COMPUTED_VALUE"""),7.833333333333334)</f>
        <v>7.833333333</v>
      </c>
      <c r="H221" s="23">
        <f>IFERROR(__xludf.DUMMYFUNCTION("""COMPUTED_VALUE"""),44462.0)</f>
        <v>44462</v>
      </c>
      <c r="I221" s="27">
        <f>IFERROR(__xludf.DUMMYFUNCTION("""COMPUTED_VALUE"""),4.383333333333334)</f>
        <v>4.383333333</v>
      </c>
      <c r="J221" s="29">
        <f>IFERROR(__xludf.DUMMYFUNCTION("""COMPUTED_VALUE"""),80.0)</f>
        <v>80</v>
      </c>
      <c r="K221" s="29">
        <f>IFERROR(__xludf.DUMMYFUNCTION("""COMPUTED_VALUE"""),22.0)</f>
        <v>22</v>
      </c>
      <c r="L221" s="31" t="str">
        <f>IFERROR(__xludf.DUMMYFUNCTION("""COMPUTED_VALUE"""),"RPG")</f>
        <v>RPG</v>
      </c>
      <c r="M221" s="31"/>
    </row>
    <row r="222">
      <c r="A222" s="17" t="str">
        <f>IFERROR(__xludf.DUMMYFUNCTION("""COMPUTED_VALUE"""),"Like A Dragon: Pirate Yakuza in Hawaii")</f>
        <v>Like A Dragon: Pirate Yakuza in Hawaii</v>
      </c>
      <c r="B222" s="20" t="str">
        <f>IFERROR(__xludf.DUMMYFUNCTION("""COMPUTED_VALUE"""),"Xbox / PC")</f>
        <v>Xbox / PC</v>
      </c>
      <c r="C222" s="21" t="str">
        <f>IFERROR(__xludf.DUMMYFUNCTION("""COMPUTED_VALUE"""),"Yes")</f>
        <v>Yes</v>
      </c>
      <c r="D222" s="21" t="str">
        <f>IFERROR(__xludf.DUMMYFUNCTION("""COMPUTED_VALUE"""),"Active")</f>
        <v>Active</v>
      </c>
      <c r="E222" s="23">
        <f>IFERROR(__xludf.DUMMYFUNCTION("""COMPUTED_VALUE"""),46055.0)</f>
        <v>46055</v>
      </c>
      <c r="F222" s="24"/>
      <c r="G222" s="27">
        <f>IFERROR(__xludf.DUMMYFUNCTION("""COMPUTED_VALUE"""),8.133333333333333)</f>
        <v>8.133333333</v>
      </c>
      <c r="H222" s="23">
        <f>IFERROR(__xludf.DUMMYFUNCTION("""COMPUTED_VALUE"""),45709.0)</f>
        <v>45709</v>
      </c>
      <c r="I222" s="27">
        <f>IFERROR(__xludf.DUMMYFUNCTION("""COMPUTED_VALUE"""),0.9472222222222222)</f>
        <v>0.9472222222</v>
      </c>
      <c r="J222" s="29">
        <f>IFERROR(__xludf.DUMMYFUNCTION("""COMPUTED_VALUE"""),80.0)</f>
        <v>80</v>
      </c>
      <c r="K222" s="29">
        <f>IFERROR(__xludf.DUMMYFUNCTION("""COMPUTED_VALUE"""),35.0)</f>
        <v>35</v>
      </c>
      <c r="L222" s="31" t="str">
        <f>IFERROR(__xludf.DUMMYFUNCTION("""COMPUTED_VALUE"""),"Action-Adventure")</f>
        <v>Action-Adventure</v>
      </c>
      <c r="M222" s="31"/>
    </row>
    <row r="223">
      <c r="A223" s="17" t="str">
        <f>IFERROR(__xludf.DUMMYFUNCTION("""COMPUTED_VALUE"""),"INDIKA")</f>
        <v>INDIKA</v>
      </c>
      <c r="B223" s="20" t="str">
        <f>IFERROR(__xludf.DUMMYFUNCTION("""COMPUTED_VALUE"""),"Xbox / PC")</f>
        <v>Xbox / PC</v>
      </c>
      <c r="C223" s="21" t="str">
        <f>IFERROR(__xludf.DUMMYFUNCTION("""COMPUTED_VALUE"""),"Yes")</f>
        <v>Yes</v>
      </c>
      <c r="D223" s="21" t="str">
        <f>IFERROR(__xludf.DUMMYFUNCTION("""COMPUTED_VALUE"""),"Active")</f>
        <v>Active</v>
      </c>
      <c r="E223" s="23">
        <f>IFERROR(__xludf.DUMMYFUNCTION("""COMPUTED_VALUE"""),46055.0)</f>
        <v>46055</v>
      </c>
      <c r="F223" s="24"/>
      <c r="G223" s="27">
        <f>IFERROR(__xludf.DUMMYFUNCTION("""COMPUTED_VALUE"""),8.133333333333333)</f>
        <v>8.133333333</v>
      </c>
      <c r="H223" s="23">
        <f>IFERROR(__xludf.DUMMYFUNCTION("""COMPUTED_VALUE"""),45414.0)</f>
        <v>45414</v>
      </c>
      <c r="I223" s="27">
        <f>IFERROR(__xludf.DUMMYFUNCTION("""COMPUTED_VALUE"""),1.75)</f>
        <v>1.75</v>
      </c>
      <c r="J223" s="29">
        <f>IFERROR(__xludf.DUMMYFUNCTION("""COMPUTED_VALUE"""),80.0)</f>
        <v>80</v>
      </c>
      <c r="K223" s="29">
        <f>IFERROR(__xludf.DUMMYFUNCTION("""COMPUTED_VALUE"""),4.0)</f>
        <v>4</v>
      </c>
      <c r="L223" s="31" t="str">
        <f>IFERROR(__xludf.DUMMYFUNCTION("""COMPUTED_VALUE"""),"Action-Adventure")</f>
        <v>Action-Adventure</v>
      </c>
      <c r="M223" s="31" t="str">
        <f>IFERROR(__xludf.DUMMYFUNCTION("""COMPUTED_VALUE"""),"Exclusive")</f>
        <v>Exclusive</v>
      </c>
    </row>
    <row r="224">
      <c r="A224" s="17" t="str">
        <f>IFERROR(__xludf.DUMMYFUNCTION("""COMPUTED_VALUE"""),"Ultimate Sheep Raccoon")</f>
        <v>Ultimate Sheep Raccoon</v>
      </c>
      <c r="B224" s="20" t="str">
        <f>IFERROR(__xludf.DUMMYFUNCTION("""COMPUTED_VALUE"""),"Xbox / PC")</f>
        <v>Xbox / PC</v>
      </c>
      <c r="C224" s="21" t="str">
        <f>IFERROR(__xludf.DUMMYFUNCTION("""COMPUTED_VALUE"""),"Yes")</f>
        <v>Yes</v>
      </c>
      <c r="D224" s="21" t="str">
        <f>IFERROR(__xludf.DUMMYFUNCTION("""COMPUTED_VALUE"""),"Active")</f>
        <v>Active</v>
      </c>
      <c r="E224" s="23">
        <f>IFERROR(__xludf.DUMMYFUNCTION("""COMPUTED_VALUE"""),46000.0)</f>
        <v>46000</v>
      </c>
      <c r="F224" s="24"/>
      <c r="G224" s="27">
        <f>IFERROR(__xludf.DUMMYFUNCTION("""COMPUTED_VALUE"""),9.899999999999999)</f>
        <v>9.9</v>
      </c>
      <c r="H224" s="23">
        <f>IFERROR(__xludf.DUMMYFUNCTION("""COMPUTED_VALUE"""),46000.0)</f>
        <v>46000</v>
      </c>
      <c r="I224" s="27">
        <f>IFERROR(__xludf.DUMMYFUNCTION("""COMPUTED_VALUE"""),0.0)</f>
        <v>0</v>
      </c>
      <c r="J224" s="29">
        <f>IFERROR(__xludf.DUMMYFUNCTION("""COMPUTED_VALUE"""),80.0)</f>
        <v>80</v>
      </c>
      <c r="K224" s="29"/>
      <c r="L224" s="31" t="str">
        <f>IFERROR(__xludf.DUMMYFUNCTION("""COMPUTED_VALUE"""),"Racing")</f>
        <v>Racing</v>
      </c>
      <c r="M224" s="31"/>
    </row>
    <row r="225">
      <c r="A225" s="17" t="str">
        <f>IFERROR(__xludf.DUMMYFUNCTION("""COMPUTED_VALUE"""),"Total Chaos (2025)")</f>
        <v>Total Chaos (2025)</v>
      </c>
      <c r="B225" s="20" t="str">
        <f>IFERROR(__xludf.DUMMYFUNCTION("""COMPUTED_VALUE"""),"Xbox / PC")</f>
        <v>Xbox / PC</v>
      </c>
      <c r="C225" s="21" t="str">
        <f>IFERROR(__xludf.DUMMYFUNCTION("""COMPUTED_VALUE"""),"Yes")</f>
        <v>Yes</v>
      </c>
      <c r="D225" s="21" t="str">
        <f>IFERROR(__xludf.DUMMYFUNCTION("""COMPUTED_VALUE"""),"Active")</f>
        <v>Active</v>
      </c>
      <c r="E225" s="23">
        <f>IFERROR(__xludf.DUMMYFUNCTION("""COMPUTED_VALUE"""),45981.0)</f>
        <v>45981</v>
      </c>
      <c r="F225" s="24"/>
      <c r="G225" s="27">
        <f>IFERROR(__xludf.DUMMYFUNCTION("""COMPUTED_VALUE"""),10.533333333333333)</f>
        <v>10.53333333</v>
      </c>
      <c r="H225" s="23">
        <f>IFERROR(__xludf.DUMMYFUNCTION("""COMPUTED_VALUE"""),45981.0)</f>
        <v>45981</v>
      </c>
      <c r="I225" s="27">
        <f>IFERROR(__xludf.DUMMYFUNCTION("""COMPUTED_VALUE"""),0.0)</f>
        <v>0</v>
      </c>
      <c r="J225" s="29">
        <f>IFERROR(__xludf.DUMMYFUNCTION("""COMPUTED_VALUE"""),80.0)</f>
        <v>80</v>
      </c>
      <c r="K225" s="29">
        <f>IFERROR(__xludf.DUMMYFUNCTION("""COMPUTED_VALUE"""),11.0)</f>
        <v>11</v>
      </c>
      <c r="L225" s="31" t="str">
        <f>IFERROR(__xludf.DUMMYFUNCTION("""COMPUTED_VALUE"""),"Action-Adventure")</f>
        <v>Action-Adventure</v>
      </c>
      <c r="M225" s="31" t="str">
        <f>IFERROR(__xludf.DUMMYFUNCTION("""COMPUTED_VALUE"""),"Exclusive")</f>
        <v>Exclusive</v>
      </c>
    </row>
    <row r="226">
      <c r="A226" s="17" t="str">
        <f>IFERROR(__xludf.DUMMYFUNCTION("""COMPUTED_VALUE"""),"Egging On")</f>
        <v>Egging On</v>
      </c>
      <c r="B226" s="20" t="str">
        <f>IFERROR(__xludf.DUMMYFUNCTION("""COMPUTED_VALUE"""),"Xbox / PC")</f>
        <v>Xbox / PC</v>
      </c>
      <c r="C226" s="21" t="str">
        <f>IFERROR(__xludf.DUMMYFUNCTION("""COMPUTED_VALUE"""),"Yes")</f>
        <v>Yes</v>
      </c>
      <c r="D226" s="21" t="str">
        <f>IFERROR(__xludf.DUMMYFUNCTION("""COMPUTED_VALUE"""),"Active")</f>
        <v>Active</v>
      </c>
      <c r="E226" s="23">
        <f>IFERROR(__xludf.DUMMYFUNCTION("""COMPUTED_VALUE"""),45967.0)</f>
        <v>45967</v>
      </c>
      <c r="F226" s="24"/>
      <c r="G226" s="27">
        <f>IFERROR(__xludf.DUMMYFUNCTION("""COMPUTED_VALUE"""),11.0)</f>
        <v>11</v>
      </c>
      <c r="H226" s="23">
        <f>IFERROR(__xludf.DUMMYFUNCTION("""COMPUTED_VALUE"""),45967.0)</f>
        <v>45967</v>
      </c>
      <c r="I226" s="27">
        <f>IFERROR(__xludf.DUMMYFUNCTION("""COMPUTED_VALUE"""),0.0)</f>
        <v>0</v>
      </c>
      <c r="J226" s="29">
        <f>IFERROR(__xludf.DUMMYFUNCTION("""COMPUTED_VALUE"""),80.0)</f>
        <v>80</v>
      </c>
      <c r="K226" s="29">
        <f>IFERROR(__xludf.DUMMYFUNCTION("""COMPUTED_VALUE"""),8.0)</f>
        <v>8</v>
      </c>
      <c r="L226" s="31" t="str">
        <f>IFERROR(__xludf.DUMMYFUNCTION("""COMPUTED_VALUE"""),"Platformer")</f>
        <v>Platformer</v>
      </c>
      <c r="M226" s="31" t="str">
        <f>IFERROR(__xludf.DUMMYFUNCTION("""COMPUTED_VALUE"""),"Exclusive")</f>
        <v>Exclusive</v>
      </c>
    </row>
    <row r="227">
      <c r="A227" s="17" t="str">
        <f>IFERROR(__xludf.DUMMYFUNCTION("""COMPUTED_VALUE"""),"Keeper (2025)")</f>
        <v>Keeper (2025)</v>
      </c>
      <c r="B227" s="20" t="str">
        <f>IFERROR(__xludf.DUMMYFUNCTION("""COMPUTED_VALUE"""),"Xbox / PC")</f>
        <v>Xbox / PC</v>
      </c>
      <c r="C227" s="21" t="str">
        <f>IFERROR(__xludf.DUMMYFUNCTION("""COMPUTED_VALUE"""),"Yes")</f>
        <v>Yes</v>
      </c>
      <c r="D227" s="21" t="str">
        <f>IFERROR(__xludf.DUMMYFUNCTION("""COMPUTED_VALUE"""),"Active")</f>
        <v>Active</v>
      </c>
      <c r="E227" s="23">
        <f>IFERROR(__xludf.DUMMYFUNCTION("""COMPUTED_VALUE"""),45947.0)</f>
        <v>45947</v>
      </c>
      <c r="F227" s="24"/>
      <c r="G227" s="27">
        <f>IFERROR(__xludf.DUMMYFUNCTION("""COMPUTED_VALUE"""),11.633333333333333)</f>
        <v>11.63333333</v>
      </c>
      <c r="H227" s="23">
        <f>IFERROR(__xludf.DUMMYFUNCTION("""COMPUTED_VALUE"""),45947.0)</f>
        <v>45947</v>
      </c>
      <c r="I227" s="27">
        <f>IFERROR(__xludf.DUMMYFUNCTION("""COMPUTED_VALUE"""),0.0)</f>
        <v>0</v>
      </c>
      <c r="J227" s="29">
        <f>IFERROR(__xludf.DUMMYFUNCTION("""COMPUTED_VALUE"""),80.0)</f>
        <v>80</v>
      </c>
      <c r="K227" s="29">
        <f>IFERROR(__xludf.DUMMYFUNCTION("""COMPUTED_VALUE"""),5.0)</f>
        <v>5</v>
      </c>
      <c r="L227" s="31" t="str">
        <f>IFERROR(__xludf.DUMMYFUNCTION("""COMPUTED_VALUE"""),"Action-Adventure")</f>
        <v>Action-Adventure</v>
      </c>
      <c r="M227" s="31" t="str">
        <f>IFERROR(__xludf.DUMMYFUNCTION("""COMPUTED_VALUE"""),"Exclusive")</f>
        <v>Exclusive</v>
      </c>
    </row>
    <row r="228">
      <c r="A228" s="17" t="str">
        <f>IFERROR(__xludf.DUMMYFUNCTION("""COMPUTED_VALUE"""),"Far Cry 3: Blood Dragon")</f>
        <v>Far Cry 3: Blood Dragon</v>
      </c>
      <c r="B228" s="20" t="str">
        <f>IFERROR(__xludf.DUMMYFUNCTION("""COMPUTED_VALUE"""),"Xbox / PC")</f>
        <v>Xbox / PC</v>
      </c>
      <c r="C228" s="21" t="str">
        <f>IFERROR(__xludf.DUMMYFUNCTION("""COMPUTED_VALUE"""),"Yes")</f>
        <v>Yes</v>
      </c>
      <c r="D228" s="21" t="str">
        <f>IFERROR(__xludf.DUMMYFUNCTION("""COMPUTED_VALUE"""),"Active")</f>
        <v>Active</v>
      </c>
      <c r="E228" s="23">
        <f>IFERROR(__xludf.DUMMYFUNCTION("""COMPUTED_VALUE"""),45931.0)</f>
        <v>45931</v>
      </c>
      <c r="F228" s="24"/>
      <c r="G228" s="27">
        <f>IFERROR(__xludf.DUMMYFUNCTION("""COMPUTED_VALUE"""),12.166666666666666)</f>
        <v>12.16666667</v>
      </c>
      <c r="H228" s="23">
        <f>IFERROR(__xludf.DUMMYFUNCTION("""COMPUTED_VALUE"""),41395.0)</f>
        <v>41395</v>
      </c>
      <c r="I228" s="27">
        <f>IFERROR(__xludf.DUMMYFUNCTION("""COMPUTED_VALUE"""),12.416666666666666)</f>
        <v>12.41666667</v>
      </c>
      <c r="J228" s="29">
        <f>IFERROR(__xludf.DUMMYFUNCTION("""COMPUTED_VALUE"""),80.0)</f>
        <v>80</v>
      </c>
      <c r="K228" s="29">
        <f>IFERROR(__xludf.DUMMYFUNCTION("""COMPUTED_VALUE"""),5.0)</f>
        <v>5</v>
      </c>
      <c r="L228" s="31" t="str">
        <f>IFERROR(__xludf.DUMMYFUNCTION("""COMPUTED_VALUE"""),"Action-Adventure")</f>
        <v>Action-Adventure</v>
      </c>
      <c r="M228" s="31"/>
    </row>
    <row r="229">
      <c r="A229" s="17" t="str">
        <f>IFERROR(__xludf.DUMMYFUNCTION("""COMPUTED_VALUE"""),"Tom Clancy's The Division")</f>
        <v>Tom Clancy's The Division</v>
      </c>
      <c r="B229" s="20" t="str">
        <f>IFERROR(__xludf.DUMMYFUNCTION("""COMPUTED_VALUE"""),"Xbox / PC")</f>
        <v>Xbox / PC</v>
      </c>
      <c r="C229" s="21" t="str">
        <f>IFERROR(__xludf.DUMMYFUNCTION("""COMPUTED_VALUE"""),"Yes")</f>
        <v>Yes</v>
      </c>
      <c r="D229" s="21" t="str">
        <f>IFERROR(__xludf.DUMMYFUNCTION("""COMPUTED_VALUE"""),"Active")</f>
        <v>Active</v>
      </c>
      <c r="E229" s="23">
        <f>IFERROR(__xludf.DUMMYFUNCTION("""COMPUTED_VALUE"""),45931.0)</f>
        <v>45931</v>
      </c>
      <c r="F229" s="24"/>
      <c r="G229" s="27">
        <f>IFERROR(__xludf.DUMMYFUNCTION("""COMPUTED_VALUE"""),12.166666666666666)</f>
        <v>12.16666667</v>
      </c>
      <c r="H229" s="23">
        <f>IFERROR(__xludf.DUMMYFUNCTION("""COMPUTED_VALUE"""),42437.0)</f>
        <v>42437</v>
      </c>
      <c r="I229" s="27">
        <f>IFERROR(__xludf.DUMMYFUNCTION("""COMPUTED_VALUE"""),9.563888888888888)</f>
        <v>9.563888889</v>
      </c>
      <c r="J229" s="29">
        <f>IFERROR(__xludf.DUMMYFUNCTION("""COMPUTED_VALUE"""),80.0)</f>
        <v>80</v>
      </c>
      <c r="K229" s="29">
        <f>IFERROR(__xludf.DUMMYFUNCTION("""COMPUTED_VALUE"""),24.0)</f>
        <v>24</v>
      </c>
      <c r="L229" s="31" t="str">
        <f>IFERROR(__xludf.DUMMYFUNCTION("""COMPUTED_VALUE"""),"Shooter")</f>
        <v>Shooter</v>
      </c>
      <c r="M229" s="31"/>
    </row>
    <row r="230">
      <c r="A230" s="17" t="str">
        <f>IFERROR(__xludf.DUMMYFUNCTION("""COMPUTED_VALUE"""),"Watch_Dogs")</f>
        <v>Watch_Dogs</v>
      </c>
      <c r="B230" s="20" t="str">
        <f>IFERROR(__xludf.DUMMYFUNCTION("""COMPUTED_VALUE"""),"Xbox / PC")</f>
        <v>Xbox / PC</v>
      </c>
      <c r="C230" s="21" t="str">
        <f>IFERROR(__xludf.DUMMYFUNCTION("""COMPUTED_VALUE"""),"Yes")</f>
        <v>Yes</v>
      </c>
      <c r="D230" s="21" t="str">
        <f>IFERROR(__xludf.DUMMYFUNCTION("""COMPUTED_VALUE"""),"Active")</f>
        <v>Active</v>
      </c>
      <c r="E230" s="23">
        <f>IFERROR(__xludf.DUMMYFUNCTION("""COMPUTED_VALUE"""),45931.0)</f>
        <v>45931</v>
      </c>
      <c r="F230" s="24"/>
      <c r="G230" s="27">
        <f>IFERROR(__xludf.DUMMYFUNCTION("""COMPUTED_VALUE"""),12.166666666666666)</f>
        <v>12.16666667</v>
      </c>
      <c r="H230" s="23">
        <f>IFERROR(__xludf.DUMMYFUNCTION("""COMPUTED_VALUE"""),41786.0)</f>
        <v>41786</v>
      </c>
      <c r="I230" s="27">
        <f>IFERROR(__xludf.DUMMYFUNCTION("""COMPUTED_VALUE"""),11.344444444444445)</f>
        <v>11.34444444</v>
      </c>
      <c r="J230" s="29">
        <f>IFERROR(__xludf.DUMMYFUNCTION("""COMPUTED_VALUE"""),80.0)</f>
        <v>80</v>
      </c>
      <c r="K230" s="29">
        <f>IFERROR(__xludf.DUMMYFUNCTION("""COMPUTED_VALUE"""),20.0)</f>
        <v>20</v>
      </c>
      <c r="L230" s="31" t="str">
        <f>IFERROR(__xludf.DUMMYFUNCTION("""COMPUTED_VALUE"""),"Action-Adventure")</f>
        <v>Action-Adventure</v>
      </c>
      <c r="M230" s="31"/>
    </row>
    <row r="231">
      <c r="A231" s="17" t="str">
        <f>IFERROR(__xludf.DUMMYFUNCTION("""COMPUTED_VALUE"""),"Wheel of Fortune")</f>
        <v>Wheel of Fortune</v>
      </c>
      <c r="B231" s="20" t="str">
        <f>IFERROR(__xludf.DUMMYFUNCTION("""COMPUTED_VALUE"""),"Xbox")</f>
        <v>Xbox</v>
      </c>
      <c r="C231" s="21" t="str">
        <f>IFERROR(__xludf.DUMMYFUNCTION("""COMPUTED_VALUE"""),"Yes")</f>
        <v>Yes</v>
      </c>
      <c r="D231" s="21" t="str">
        <f>IFERROR(__xludf.DUMMYFUNCTION("""COMPUTED_VALUE"""),"Active")</f>
        <v>Active</v>
      </c>
      <c r="E231" s="23">
        <f>IFERROR(__xludf.DUMMYFUNCTION("""COMPUTED_VALUE"""),45931.0)</f>
        <v>45931</v>
      </c>
      <c r="F231" s="24"/>
      <c r="G231" s="27">
        <f>IFERROR(__xludf.DUMMYFUNCTION("""COMPUTED_VALUE"""),12.166666666666666)</f>
        <v>12.16666667</v>
      </c>
      <c r="H231" s="23">
        <f>IFERROR(__xludf.DUMMYFUNCTION("""COMPUTED_VALUE"""),43046.0)</f>
        <v>43046</v>
      </c>
      <c r="I231" s="27">
        <f>IFERROR(__xludf.DUMMYFUNCTION("""COMPUTED_VALUE"""),7.9)</f>
        <v>7.9</v>
      </c>
      <c r="J231" s="29">
        <f>IFERROR(__xludf.DUMMYFUNCTION("""COMPUTED_VALUE"""),80.0)</f>
        <v>80</v>
      </c>
      <c r="K231" s="29">
        <f>IFERROR(__xludf.DUMMYFUNCTION("""COMPUTED_VALUE"""),2.0)</f>
        <v>2</v>
      </c>
      <c r="L231" s="31" t="str">
        <f>IFERROR(__xludf.DUMMYFUNCTION("""COMPUTED_VALUE"""),"Trivia")</f>
        <v>Trivia</v>
      </c>
      <c r="M231" s="31"/>
    </row>
    <row r="232">
      <c r="A232" s="17" t="str">
        <f>IFERROR(__xludf.DUMMYFUNCTION("""COMPUTED_VALUE"""),"Wobbly Life")</f>
        <v>Wobbly Life</v>
      </c>
      <c r="B232" s="20" t="str">
        <f>IFERROR(__xludf.DUMMYFUNCTION("""COMPUTED_VALUE"""),"Xbox / PC")</f>
        <v>Xbox / PC</v>
      </c>
      <c r="C232" s="21" t="str">
        <f>IFERROR(__xludf.DUMMYFUNCTION("""COMPUTED_VALUE"""),"Yes")</f>
        <v>Yes</v>
      </c>
      <c r="D232" s="21" t="str">
        <f>IFERROR(__xludf.DUMMYFUNCTION("""COMPUTED_VALUE"""),"Active")</f>
        <v>Active</v>
      </c>
      <c r="E232" s="23">
        <f>IFERROR(__xludf.DUMMYFUNCTION("""COMPUTED_VALUE"""),45918.0)</f>
        <v>45918</v>
      </c>
      <c r="F232" s="24"/>
      <c r="G232" s="27">
        <f>IFERROR(__xludf.DUMMYFUNCTION("""COMPUTED_VALUE"""),12.600000000000001)</f>
        <v>12.6</v>
      </c>
      <c r="H232" s="23">
        <f>IFERROR(__xludf.DUMMYFUNCTION("""COMPUTED_VALUE"""),45898.0)</f>
        <v>45898</v>
      </c>
      <c r="I232" s="27">
        <f>IFERROR(__xludf.DUMMYFUNCTION("""COMPUTED_VALUE"""),0.05277777777777778)</f>
        <v>0.05277777778</v>
      </c>
      <c r="J232" s="29">
        <f>IFERROR(__xludf.DUMMYFUNCTION("""COMPUTED_VALUE"""),80.0)</f>
        <v>80</v>
      </c>
      <c r="K232" s="29">
        <f>IFERROR(__xludf.DUMMYFUNCTION("""COMPUTED_VALUE"""),3.0)</f>
        <v>3</v>
      </c>
      <c r="L232" s="31" t="str">
        <f>IFERROR(__xludf.DUMMYFUNCTION("""COMPUTED_VALUE"""),"Action-Adventure")</f>
        <v>Action-Adventure</v>
      </c>
      <c r="M232" s="31" t="str">
        <f>IFERROR(__xludf.DUMMYFUNCTION("""COMPUTED_VALUE"""),"Exclusive")</f>
        <v>Exclusive</v>
      </c>
    </row>
    <row r="233">
      <c r="A233" s="17" t="str">
        <f>IFERROR(__xludf.DUMMYFUNCTION("""COMPUTED_VALUE"""),"Climber 5")</f>
        <v>Climber 5</v>
      </c>
      <c r="B233" s="20" t="str">
        <f>IFERROR(__xludf.DUMMYFUNCTION("""COMPUTED_VALUE"""),"Xbox / PC")</f>
        <v>Xbox / PC</v>
      </c>
      <c r="C233" s="21" t="str">
        <f>IFERROR(__xludf.DUMMYFUNCTION("""COMPUTED_VALUE"""),"Yes")</f>
        <v>Yes</v>
      </c>
      <c r="D233" s="21" t="str">
        <f>IFERROR(__xludf.DUMMYFUNCTION("""COMPUTED_VALUE"""),"Active")</f>
        <v>Active</v>
      </c>
      <c r="E233" s="23">
        <f>IFERROR(__xludf.DUMMYFUNCTION("""COMPUTED_VALUE"""),45883.0)</f>
        <v>45883</v>
      </c>
      <c r="F233" s="24"/>
      <c r="G233" s="27">
        <f>IFERROR(__xludf.DUMMYFUNCTION("""COMPUTED_VALUE"""),13.733333333333333)</f>
        <v>13.73333333</v>
      </c>
      <c r="H233" s="23">
        <f>IFERROR(__xludf.DUMMYFUNCTION("""COMPUTED_VALUE"""),31048.0)</f>
        <v>31048</v>
      </c>
      <c r="I233" s="27">
        <f>IFERROR(__xludf.DUMMYFUNCTION("""COMPUTED_VALUE"""),40.61944444444445)</f>
        <v>40.61944444</v>
      </c>
      <c r="J233" s="29">
        <f>IFERROR(__xludf.DUMMYFUNCTION("""COMPUTED_VALUE"""),80.0)</f>
        <v>80</v>
      </c>
      <c r="K233" s="29"/>
      <c r="L233" s="31" t="str">
        <f>IFERROR(__xludf.DUMMYFUNCTION("""COMPUTED_VALUE"""),"Action")</f>
        <v>Action</v>
      </c>
      <c r="M233" s="31"/>
    </row>
    <row r="234">
      <c r="A234" s="17" t="str">
        <f>IFERROR(__xludf.DUMMYFUNCTION("""COMPUTED_VALUE"""),"Kaboom!")</f>
        <v>Kaboom!</v>
      </c>
      <c r="B234" s="20" t="str">
        <f>IFERROR(__xludf.DUMMYFUNCTION("""COMPUTED_VALUE"""),"Xbox / PC")</f>
        <v>Xbox / PC</v>
      </c>
      <c r="C234" s="21" t="str">
        <f>IFERROR(__xludf.DUMMYFUNCTION("""COMPUTED_VALUE"""),"Yes")</f>
        <v>Yes</v>
      </c>
      <c r="D234" s="21" t="str">
        <f>IFERROR(__xludf.DUMMYFUNCTION("""COMPUTED_VALUE"""),"Active")</f>
        <v>Active</v>
      </c>
      <c r="E234" s="23">
        <f>IFERROR(__xludf.DUMMYFUNCTION("""COMPUTED_VALUE"""),45798.0)</f>
        <v>45798</v>
      </c>
      <c r="F234" s="24"/>
      <c r="G234" s="27">
        <f>IFERROR(__xludf.DUMMYFUNCTION("""COMPUTED_VALUE"""),16.5)</f>
        <v>16.5</v>
      </c>
      <c r="H234" s="23">
        <f>IFERROR(__xludf.DUMMYFUNCTION("""COMPUTED_VALUE"""),29768.0)</f>
        <v>29768</v>
      </c>
      <c r="I234" s="27">
        <f>IFERROR(__xludf.DUMMYFUNCTION("""COMPUTED_VALUE"""),43.888888888888886)</f>
        <v>43.88888889</v>
      </c>
      <c r="J234" s="29">
        <f>IFERROR(__xludf.DUMMYFUNCTION("""COMPUTED_VALUE"""),80.0)</f>
        <v>80</v>
      </c>
      <c r="K234" s="29"/>
      <c r="L234" s="31" t="str">
        <f>IFERROR(__xludf.DUMMYFUNCTION("""COMPUTED_VALUE"""),"Action‑Adventure")</f>
        <v>Action‑Adventure</v>
      </c>
      <c r="M234" s="31"/>
    </row>
    <row r="235">
      <c r="A235" s="17" t="str">
        <f>IFERROR(__xludf.DUMMYFUNCTION("""COMPUTED_VALUE"""),"DREDGE")</f>
        <v>DREDGE</v>
      </c>
      <c r="B235" s="20" t="str">
        <f>IFERROR(__xludf.DUMMYFUNCTION("""COMPUTED_VALUE"""),"Xbox / PC")</f>
        <v>Xbox / PC</v>
      </c>
      <c r="C235" s="21" t="str">
        <f>IFERROR(__xludf.DUMMYFUNCTION("""COMPUTED_VALUE"""),"Yes")</f>
        <v>Yes</v>
      </c>
      <c r="D235" s="21" t="str">
        <f>IFERROR(__xludf.DUMMYFUNCTION("""COMPUTED_VALUE"""),"Active")</f>
        <v>Active</v>
      </c>
      <c r="E235" s="23">
        <f>IFERROR(__xludf.DUMMYFUNCTION("""COMPUTED_VALUE"""),45783.0)</f>
        <v>45783</v>
      </c>
      <c r="F235" s="24"/>
      <c r="G235" s="27">
        <f>IFERROR(__xludf.DUMMYFUNCTION("""COMPUTED_VALUE"""),17.0)</f>
        <v>17</v>
      </c>
      <c r="H235" s="23">
        <f>IFERROR(__xludf.DUMMYFUNCTION("""COMPUTED_VALUE"""),45015.0)</f>
        <v>45015</v>
      </c>
      <c r="I235" s="27">
        <f>IFERROR(__xludf.DUMMYFUNCTION("""COMPUTED_VALUE"""),2.1)</f>
        <v>2.1</v>
      </c>
      <c r="J235" s="29">
        <f>IFERROR(__xludf.DUMMYFUNCTION("""COMPUTED_VALUE"""),80.0)</f>
        <v>80</v>
      </c>
      <c r="K235" s="29">
        <f>IFERROR(__xludf.DUMMYFUNCTION("""COMPUTED_VALUE"""),10.0)</f>
        <v>10</v>
      </c>
      <c r="L235" s="31" t="str">
        <f>IFERROR(__xludf.DUMMYFUNCTION("""COMPUTED_VALUE"""),"Action-Adventure")</f>
        <v>Action-Adventure</v>
      </c>
      <c r="M235" s="31" t="str">
        <f>IFERROR(__xludf.DUMMYFUNCTION("""COMPUTED_VALUE"""),"Exclusive")</f>
        <v>Exclusive</v>
      </c>
    </row>
    <row r="236">
      <c r="A236" s="17" t="str">
        <f>IFERROR(__xludf.DUMMYFUNCTION("""COMPUTED_VALUE"""),"Ninja Gaiden II: Black")</f>
        <v>Ninja Gaiden II: Black</v>
      </c>
      <c r="B236" s="20" t="str">
        <f>IFERROR(__xludf.DUMMYFUNCTION("""COMPUTED_VALUE"""),"Xbox / PC")</f>
        <v>Xbox / PC</v>
      </c>
      <c r="C236" s="21" t="str">
        <f>IFERROR(__xludf.DUMMYFUNCTION("""COMPUTED_VALUE"""),"Yes")</f>
        <v>Yes</v>
      </c>
      <c r="D236" s="21" t="str">
        <f>IFERROR(__xludf.DUMMYFUNCTION("""COMPUTED_VALUE"""),"Active")</f>
        <v>Active</v>
      </c>
      <c r="E236" s="23">
        <f>IFERROR(__xludf.DUMMYFUNCTION("""COMPUTED_VALUE"""),45680.0)</f>
        <v>45680</v>
      </c>
      <c r="F236" s="24"/>
      <c r="G236" s="27">
        <f>IFERROR(__xludf.DUMMYFUNCTION("""COMPUTED_VALUE"""),20.433333333333334)</f>
        <v>20.43333333</v>
      </c>
      <c r="H236" s="23">
        <f>IFERROR(__xludf.DUMMYFUNCTION("""COMPUTED_VALUE"""),45680.0)</f>
        <v>45680</v>
      </c>
      <c r="I236" s="27">
        <f>IFERROR(__xludf.DUMMYFUNCTION("""COMPUTED_VALUE"""),0.0)</f>
        <v>0</v>
      </c>
      <c r="J236" s="29">
        <f>IFERROR(__xludf.DUMMYFUNCTION("""COMPUTED_VALUE"""),80.0)</f>
        <v>80</v>
      </c>
      <c r="K236" s="29">
        <f>IFERROR(__xludf.DUMMYFUNCTION("""COMPUTED_VALUE"""),10.0)</f>
        <v>10</v>
      </c>
      <c r="L236" s="31" t="str">
        <f>IFERROR(__xludf.DUMMYFUNCTION("""COMPUTED_VALUE"""),"Action-Adventure")</f>
        <v>Action-Adventure</v>
      </c>
      <c r="M236" s="31"/>
    </row>
    <row r="237">
      <c r="A237" s="17" t="str">
        <f>IFERROR(__xludf.DUMMYFUNCTION("""COMPUTED_VALUE"""),"EA Sports WRC")</f>
        <v>EA Sports WRC</v>
      </c>
      <c r="B237" s="20" t="str">
        <f>IFERROR(__xludf.DUMMYFUNCTION("""COMPUTED_VALUE"""),"Xbox / PC")</f>
        <v>Xbox / PC</v>
      </c>
      <c r="C237" s="21" t="str">
        <f>IFERROR(__xludf.DUMMYFUNCTION("""COMPUTED_VALUE"""),"Yes")</f>
        <v>Yes</v>
      </c>
      <c r="D237" s="21" t="str">
        <f>IFERROR(__xludf.DUMMYFUNCTION("""COMPUTED_VALUE"""),"Active")</f>
        <v>Active</v>
      </c>
      <c r="E237" s="23">
        <f>IFERROR(__xludf.DUMMYFUNCTION("""COMPUTED_VALUE"""),45631.0)</f>
        <v>45631</v>
      </c>
      <c r="F237" s="24"/>
      <c r="G237" s="27">
        <f>IFERROR(__xludf.DUMMYFUNCTION("""COMPUTED_VALUE"""),22.03333333333333)</f>
        <v>22.03333333</v>
      </c>
      <c r="H237" s="23">
        <f>IFERROR(__xludf.DUMMYFUNCTION("""COMPUTED_VALUE"""),45233.0)</f>
        <v>45233</v>
      </c>
      <c r="I237" s="27">
        <f>IFERROR(__xludf.DUMMYFUNCTION("""COMPUTED_VALUE"""),1.0888888888888888)</f>
        <v>1.088888889</v>
      </c>
      <c r="J237" s="29">
        <f>IFERROR(__xludf.DUMMYFUNCTION("""COMPUTED_VALUE"""),80.0)</f>
        <v>80</v>
      </c>
      <c r="K237" s="29">
        <f>IFERROR(__xludf.DUMMYFUNCTION("""COMPUTED_VALUE"""),11.0)</f>
        <v>11</v>
      </c>
      <c r="L237" s="31" t="str">
        <f>IFERROR(__xludf.DUMMYFUNCTION("""COMPUTED_VALUE"""),"Racing")</f>
        <v>Racing</v>
      </c>
      <c r="M237" s="31" t="str">
        <f>IFERROR(__xludf.DUMMYFUNCTION("""COMPUTED_VALUE"""),"Exclusive")</f>
        <v>Exclusive</v>
      </c>
    </row>
    <row r="238">
      <c r="A238" s="17" t="str">
        <f>IFERROR(__xludf.DUMMYFUNCTION("""COMPUTED_VALUE"""),"Crash Bandicoot N. Sane Trilogy")</f>
        <v>Crash Bandicoot N. Sane Trilogy</v>
      </c>
      <c r="B238" s="20" t="str">
        <f>IFERROR(__xludf.DUMMYFUNCTION("""COMPUTED_VALUE"""),"Xbox / PC")</f>
        <v>Xbox / PC</v>
      </c>
      <c r="C238" s="21" t="str">
        <f>IFERROR(__xludf.DUMMYFUNCTION("""COMPUTED_VALUE"""),"Yes")</f>
        <v>Yes</v>
      </c>
      <c r="D238" s="21" t="str">
        <f>IFERROR(__xludf.DUMMYFUNCTION("""COMPUTED_VALUE"""),"Active")</f>
        <v>Active</v>
      </c>
      <c r="E238" s="23">
        <f>IFERROR(__xludf.DUMMYFUNCTION("""COMPUTED_VALUE"""),45512.0)</f>
        <v>45512</v>
      </c>
      <c r="F238" s="24"/>
      <c r="G238" s="27">
        <f>IFERROR(__xludf.DUMMYFUNCTION("""COMPUTED_VALUE"""),25.93333333333333)</f>
        <v>25.93333333</v>
      </c>
      <c r="H238" s="23">
        <f>IFERROR(__xludf.DUMMYFUNCTION("""COMPUTED_VALUE"""),42916.0)</f>
        <v>42916</v>
      </c>
      <c r="I238" s="27">
        <f>IFERROR(__xludf.DUMMYFUNCTION("""COMPUTED_VALUE"""),7.105555555555555)</f>
        <v>7.105555556</v>
      </c>
      <c r="J238" s="29">
        <f>IFERROR(__xludf.DUMMYFUNCTION("""COMPUTED_VALUE"""),80.0)</f>
        <v>80</v>
      </c>
      <c r="K238" s="29">
        <f>IFERROR(__xludf.DUMMYFUNCTION("""COMPUTED_VALUE"""),15.0)</f>
        <v>15</v>
      </c>
      <c r="L238" s="31" t="str">
        <f>IFERROR(__xludf.DUMMYFUNCTION("""COMPUTED_VALUE"""),"Platformer")</f>
        <v>Platformer</v>
      </c>
      <c r="M238" s="31"/>
    </row>
    <row r="239">
      <c r="A239" s="17" t="str">
        <f>IFERROR(__xludf.DUMMYFUNCTION("""COMPUTED_VALUE"""),"Moving Out 2")</f>
        <v>Moving Out 2</v>
      </c>
      <c r="B239" s="20" t="str">
        <f>IFERROR(__xludf.DUMMYFUNCTION("""COMPUTED_VALUE"""),"Xbox / PC")</f>
        <v>Xbox / PC</v>
      </c>
      <c r="C239" s="21" t="str">
        <f>IFERROR(__xludf.DUMMYFUNCTION("""COMPUTED_VALUE"""),"Yes")</f>
        <v>Yes</v>
      </c>
      <c r="D239" s="21" t="str">
        <f>IFERROR(__xludf.DUMMYFUNCTION("""COMPUTED_VALUE"""),"Active")</f>
        <v>Active</v>
      </c>
      <c r="E239" s="23">
        <f>IFERROR(__xludf.DUMMYFUNCTION("""COMPUTED_VALUE"""),45440.0)</f>
        <v>45440</v>
      </c>
      <c r="F239" s="24"/>
      <c r="G239" s="27">
        <f>IFERROR(__xludf.DUMMYFUNCTION("""COMPUTED_VALUE"""),28.266666666666666)</f>
        <v>28.26666667</v>
      </c>
      <c r="H239" s="23">
        <f>IFERROR(__xludf.DUMMYFUNCTION("""COMPUTED_VALUE"""),45153.0)</f>
        <v>45153</v>
      </c>
      <c r="I239" s="27">
        <f>IFERROR(__xludf.DUMMYFUNCTION("""COMPUTED_VALUE"""),0.7861111111111111)</f>
        <v>0.7861111111</v>
      </c>
      <c r="J239" s="29">
        <f>IFERROR(__xludf.DUMMYFUNCTION("""COMPUTED_VALUE"""),80.0)</f>
        <v>80</v>
      </c>
      <c r="K239" s="29">
        <f>IFERROR(__xludf.DUMMYFUNCTION("""COMPUTED_VALUE"""),10.0)</f>
        <v>10</v>
      </c>
      <c r="L239" s="31" t="str">
        <f>IFERROR(__xludf.DUMMYFUNCTION("""COMPUTED_VALUE"""),"Simulation")</f>
        <v>Simulation</v>
      </c>
      <c r="M239" s="31" t="str">
        <f>IFERROR(__xludf.DUMMYFUNCTION("""COMPUTED_VALUE"""),"Exclusive")</f>
        <v>Exclusive</v>
      </c>
    </row>
    <row r="240">
      <c r="A240" s="17" t="str">
        <f>IFERROR(__xludf.DUMMYFUNCTION("""COMPUTED_VALUE"""),"Hellblade II: Senua’s Saga")</f>
        <v>Hellblade II: Senua’s Saga</v>
      </c>
      <c r="B240" s="20" t="str">
        <f>IFERROR(__xludf.DUMMYFUNCTION("""COMPUTED_VALUE"""),"Xbox / PC")</f>
        <v>Xbox / PC</v>
      </c>
      <c r="C240" s="21" t="str">
        <f>IFERROR(__xludf.DUMMYFUNCTION("""COMPUTED_VALUE"""),"Yes")</f>
        <v>Yes</v>
      </c>
      <c r="D240" s="21" t="str">
        <f>IFERROR(__xludf.DUMMYFUNCTION("""COMPUTED_VALUE"""),"Active")</f>
        <v>Active</v>
      </c>
      <c r="E240" s="23">
        <f>IFERROR(__xludf.DUMMYFUNCTION("""COMPUTED_VALUE"""),45433.0)</f>
        <v>45433</v>
      </c>
      <c r="F240" s="24"/>
      <c r="G240" s="27">
        <f>IFERROR(__xludf.DUMMYFUNCTION("""COMPUTED_VALUE"""),28.5)</f>
        <v>28.5</v>
      </c>
      <c r="H240" s="23">
        <f>IFERROR(__xludf.DUMMYFUNCTION("""COMPUTED_VALUE"""),45433.0)</f>
        <v>45433</v>
      </c>
      <c r="I240" s="27">
        <f>IFERROR(__xludf.DUMMYFUNCTION("""COMPUTED_VALUE"""),0.0)</f>
        <v>0</v>
      </c>
      <c r="J240" s="29">
        <f>IFERROR(__xludf.DUMMYFUNCTION("""COMPUTED_VALUE"""),80.0)</f>
        <v>80</v>
      </c>
      <c r="K240" s="29">
        <f>IFERROR(__xludf.DUMMYFUNCTION("""COMPUTED_VALUE"""),7.0)</f>
        <v>7</v>
      </c>
      <c r="L240" s="31" t="str">
        <f>IFERROR(__xludf.DUMMYFUNCTION("""COMPUTED_VALUE"""),"Action-Adventure")</f>
        <v>Action-Adventure</v>
      </c>
      <c r="M240" s="31" t="str">
        <f>IFERROR(__xludf.DUMMYFUNCTION("""COMPUTED_VALUE"""),"Exclusive")</f>
        <v>Exclusive</v>
      </c>
    </row>
    <row r="241">
      <c r="A241" s="17" t="str">
        <f>IFERROR(__xludf.DUMMYFUNCTION("""COMPUTED_VALUE"""),"Assassin's Creed Valhalla")</f>
        <v>Assassin's Creed Valhalla</v>
      </c>
      <c r="B241" s="20" t="str">
        <f>IFERROR(__xludf.DUMMYFUNCTION("""COMPUTED_VALUE"""),"Xbox / PC")</f>
        <v>Xbox / PC</v>
      </c>
      <c r="C241" s="21" t="str">
        <f>IFERROR(__xludf.DUMMYFUNCTION("""COMPUTED_VALUE"""),"Yes")</f>
        <v>Yes</v>
      </c>
      <c r="D241" s="21" t="str">
        <f>IFERROR(__xludf.DUMMYFUNCTION("""COMPUTED_VALUE"""),"Active")</f>
        <v>Active</v>
      </c>
      <c r="E241" s="23">
        <f>IFERROR(__xludf.DUMMYFUNCTION("""COMPUTED_VALUE"""),45300.0)</f>
        <v>45300</v>
      </c>
      <c r="F241" s="24"/>
      <c r="G241" s="27">
        <f>IFERROR(__xludf.DUMMYFUNCTION("""COMPUTED_VALUE"""),32.9)</f>
        <v>32.9</v>
      </c>
      <c r="H241" s="23">
        <f>IFERROR(__xludf.DUMMYFUNCTION("""COMPUTED_VALUE"""),44145.0)</f>
        <v>44145</v>
      </c>
      <c r="I241" s="27">
        <f>IFERROR(__xludf.DUMMYFUNCTION("""COMPUTED_VALUE"""),3.1638888888888888)</f>
        <v>3.163888889</v>
      </c>
      <c r="J241" s="29">
        <f>IFERROR(__xludf.DUMMYFUNCTION("""COMPUTED_VALUE"""),80.0)</f>
        <v>80</v>
      </c>
      <c r="K241" s="29">
        <f>IFERROR(__xludf.DUMMYFUNCTION("""COMPUTED_VALUE"""),61.0)</f>
        <v>61</v>
      </c>
      <c r="L241" s="31" t="str">
        <f>IFERROR(__xludf.DUMMYFUNCTION("""COMPUTED_VALUE"""),"RPG")</f>
        <v>RPG</v>
      </c>
      <c r="M241" s="31"/>
    </row>
    <row r="242">
      <c r="A242" s="17" t="str">
        <f>IFERROR(__xludf.DUMMYFUNCTION("""COMPUTED_VALUE"""),"Wartales")</f>
        <v>Wartales</v>
      </c>
      <c r="B242" s="20" t="str">
        <f>IFERROR(__xludf.DUMMYFUNCTION("""COMPUTED_VALUE"""),"Xbox / PC")</f>
        <v>Xbox / PC</v>
      </c>
      <c r="C242" s="21" t="str">
        <f>IFERROR(__xludf.DUMMYFUNCTION("""COMPUTED_VALUE"""),"Yes")</f>
        <v>Yes</v>
      </c>
      <c r="D242" s="21" t="str">
        <f>IFERROR(__xludf.DUMMYFUNCTION("""COMPUTED_VALUE"""),"Active")</f>
        <v>Active</v>
      </c>
      <c r="E242" s="23">
        <f>IFERROR(__xludf.DUMMYFUNCTION("""COMPUTED_VALUE"""),45230.0)</f>
        <v>45230</v>
      </c>
      <c r="F242" s="24"/>
      <c r="G242" s="27">
        <f>IFERROR(__xludf.DUMMYFUNCTION("""COMPUTED_VALUE"""),35.199999999999996)</f>
        <v>35.2</v>
      </c>
      <c r="H242" s="23">
        <f>IFERROR(__xludf.DUMMYFUNCTION("""COMPUTED_VALUE"""),44531.0)</f>
        <v>44531</v>
      </c>
      <c r="I242" s="27">
        <f>IFERROR(__xludf.DUMMYFUNCTION("""COMPUTED_VALUE"""),1.913888888888889)</f>
        <v>1.913888889</v>
      </c>
      <c r="J242" s="29">
        <f>IFERROR(__xludf.DUMMYFUNCTION("""COMPUTED_VALUE"""),80.0)</f>
        <v>80</v>
      </c>
      <c r="K242" s="29">
        <f>IFERROR(__xludf.DUMMYFUNCTION("""COMPUTED_VALUE"""),38.0)</f>
        <v>38</v>
      </c>
      <c r="L242" s="31" t="str">
        <f>IFERROR(__xludf.DUMMYFUNCTION("""COMPUTED_VALUE"""),"RPG")</f>
        <v>RPG</v>
      </c>
      <c r="M242" s="31"/>
    </row>
    <row r="243">
      <c r="A243" s="17" t="str">
        <f>IFERROR(__xludf.DUMMYFUNCTION("""COMPUTED_VALUE"""),"LEGO Star Wars: The Skywalker Saga")</f>
        <v>LEGO Star Wars: The Skywalker Saga</v>
      </c>
      <c r="B243" s="20" t="str">
        <f>IFERROR(__xludf.DUMMYFUNCTION("""COMPUTED_VALUE"""),"Xbox / PC")</f>
        <v>Xbox / PC</v>
      </c>
      <c r="C243" s="21" t="str">
        <f>IFERROR(__xludf.DUMMYFUNCTION("""COMPUTED_VALUE"""),"Yes")</f>
        <v>Yes</v>
      </c>
      <c r="D243" s="21" t="str">
        <f>IFERROR(__xludf.DUMMYFUNCTION("""COMPUTED_VALUE"""),"Active")</f>
        <v>Active</v>
      </c>
      <c r="E243" s="23">
        <f>IFERROR(__xludf.DUMMYFUNCTION("""COMPUTED_VALUE"""),44901.0)</f>
        <v>44901</v>
      </c>
      <c r="F243" s="24"/>
      <c r="G243" s="27">
        <f>IFERROR(__xludf.DUMMYFUNCTION("""COMPUTED_VALUE"""),46.0)</f>
        <v>46</v>
      </c>
      <c r="H243" s="23">
        <f>IFERROR(__xludf.DUMMYFUNCTION("""COMPUTED_VALUE"""),44656.0)</f>
        <v>44656</v>
      </c>
      <c r="I243" s="27">
        <f>IFERROR(__xludf.DUMMYFUNCTION("""COMPUTED_VALUE"""),0.6694444444444444)</f>
        <v>0.6694444444</v>
      </c>
      <c r="J243" s="29">
        <f>IFERROR(__xludf.DUMMYFUNCTION("""COMPUTED_VALUE"""),80.0)</f>
        <v>80</v>
      </c>
      <c r="K243" s="29">
        <f>IFERROR(__xludf.DUMMYFUNCTION("""COMPUTED_VALUE"""),19.0)</f>
        <v>19</v>
      </c>
      <c r="L243" s="31" t="str">
        <f>IFERROR(__xludf.DUMMYFUNCTION("""COMPUTED_VALUE"""),"Shooter")</f>
        <v>Shooter</v>
      </c>
      <c r="M243" s="31"/>
    </row>
    <row r="244">
      <c r="A244" s="17" t="str">
        <f>IFERROR(__xludf.DUMMYFUNCTION("""COMPUTED_VALUE"""),"Far Cry 5")</f>
        <v>Far Cry 5</v>
      </c>
      <c r="B244" s="20" t="str">
        <f>IFERROR(__xludf.DUMMYFUNCTION("""COMPUTED_VALUE"""),"Xbox / PC")</f>
        <v>Xbox / PC</v>
      </c>
      <c r="C244" s="21" t="str">
        <f>IFERROR(__xludf.DUMMYFUNCTION("""COMPUTED_VALUE"""),"Yes")</f>
        <v>Yes</v>
      </c>
      <c r="D244" s="21" t="str">
        <f>IFERROR(__xludf.DUMMYFUNCTION("""COMPUTED_VALUE"""),"Active")</f>
        <v>Active</v>
      </c>
      <c r="E244" s="23">
        <f>IFERROR(__xludf.DUMMYFUNCTION("""COMPUTED_VALUE"""),44743.0)</f>
        <v>44743</v>
      </c>
      <c r="F244" s="24"/>
      <c r="G244" s="27">
        <f>IFERROR(__xludf.DUMMYFUNCTION("""COMPUTED_VALUE"""),51.16666666666667)</f>
        <v>51.16666667</v>
      </c>
      <c r="H244" s="23">
        <f>IFERROR(__xludf.DUMMYFUNCTION("""COMPUTED_VALUE"""),43186.0)</f>
        <v>43186</v>
      </c>
      <c r="I244" s="27">
        <f>IFERROR(__xludf.DUMMYFUNCTION("""COMPUTED_VALUE"""),4.261111111111111)</f>
        <v>4.261111111</v>
      </c>
      <c r="J244" s="29">
        <f>IFERROR(__xludf.DUMMYFUNCTION("""COMPUTED_VALUE"""),80.0)</f>
        <v>80</v>
      </c>
      <c r="K244" s="29">
        <f>IFERROR(__xludf.DUMMYFUNCTION("""COMPUTED_VALUE"""),18.0)</f>
        <v>18</v>
      </c>
      <c r="L244" s="31" t="str">
        <f>IFERROR(__xludf.DUMMYFUNCTION("""COMPUTED_VALUE"""),"Shooter")</f>
        <v>Shooter</v>
      </c>
      <c r="M244" s="31"/>
    </row>
    <row r="245">
      <c r="A245" s="17" t="str">
        <f>IFERROR(__xludf.DUMMYFUNCTION("""COMPUTED_VALUE"""),"Plants vs. Zombies: Garden Warfare 2 - Deluxe Edition")</f>
        <v>Plants vs. Zombies: Garden Warfare 2 - Deluxe Edition</v>
      </c>
      <c r="B245" s="20" t="str">
        <f>IFERROR(__xludf.DUMMYFUNCTION("""COMPUTED_VALUE"""),"Xbox / PC")</f>
        <v>Xbox / PC</v>
      </c>
      <c r="C245" s="21" t="str">
        <f>IFERROR(__xludf.DUMMYFUNCTION("""COMPUTED_VALUE"""),"Yes")</f>
        <v>Yes</v>
      </c>
      <c r="D245" s="21" t="str">
        <f>IFERROR(__xludf.DUMMYFUNCTION("""COMPUTED_VALUE"""),"Active")</f>
        <v>Active</v>
      </c>
      <c r="E245" s="23">
        <f>IFERROR(__xludf.DUMMYFUNCTION("""COMPUTED_VALUE"""),44145.0)</f>
        <v>44145</v>
      </c>
      <c r="F245" s="24"/>
      <c r="G245" s="27">
        <f>IFERROR(__xludf.DUMMYFUNCTION("""COMPUTED_VALUE"""),70.86666666666667)</f>
        <v>70.86666667</v>
      </c>
      <c r="H245" s="23">
        <f>IFERROR(__xludf.DUMMYFUNCTION("""COMPUTED_VALUE"""),42423.0)</f>
        <v>42423</v>
      </c>
      <c r="I245" s="27">
        <f>IFERROR(__xludf.DUMMYFUNCTION("""COMPUTED_VALUE"""),4.713888888888889)</f>
        <v>4.713888889</v>
      </c>
      <c r="J245" s="29">
        <f>IFERROR(__xludf.DUMMYFUNCTION("""COMPUTED_VALUE"""),80.0)</f>
        <v>80</v>
      </c>
      <c r="K245" s="29">
        <f>IFERROR(__xludf.DUMMYFUNCTION("""COMPUTED_VALUE"""),12.5)</f>
        <v>12.5</v>
      </c>
      <c r="L245" s="31" t="str">
        <f>IFERROR(__xludf.DUMMYFUNCTION("""COMPUTED_VALUE"""),"Action")</f>
        <v>Action</v>
      </c>
      <c r="M245" s="31" t="str">
        <f>IFERROR(__xludf.DUMMYFUNCTION("""COMPUTED_VALUE"""),"FPS Boost")</f>
        <v>FPS Boost</v>
      </c>
    </row>
    <row r="246">
      <c r="A246" s="17" t="str">
        <f>IFERROR(__xludf.DUMMYFUNCTION("""COMPUTED_VALUE"""),"Skate 3")</f>
        <v>Skate 3</v>
      </c>
      <c r="B246" s="20" t="str">
        <f>IFERROR(__xludf.DUMMYFUNCTION("""COMPUTED_VALUE"""),"Xbox")</f>
        <v>Xbox</v>
      </c>
      <c r="C246" s="21" t="str">
        <f>IFERROR(__xludf.DUMMYFUNCTION("""COMPUTED_VALUE"""),"Yes")</f>
        <v>Yes</v>
      </c>
      <c r="D246" s="21" t="str">
        <f>IFERROR(__xludf.DUMMYFUNCTION("""COMPUTED_VALUE"""),"Active")</f>
        <v>Active</v>
      </c>
      <c r="E246" s="23">
        <f>IFERROR(__xludf.DUMMYFUNCTION("""COMPUTED_VALUE"""),44145.0)</f>
        <v>44145</v>
      </c>
      <c r="F246" s="24"/>
      <c r="G246" s="27">
        <f>IFERROR(__xludf.DUMMYFUNCTION("""COMPUTED_VALUE"""),70.86666666666667)</f>
        <v>70.86666667</v>
      </c>
      <c r="H246" s="23">
        <f>IFERROR(__xludf.DUMMYFUNCTION("""COMPUTED_VALUE"""),40309.0)</f>
        <v>40309</v>
      </c>
      <c r="I246" s="27">
        <f>IFERROR(__xludf.DUMMYFUNCTION("""COMPUTED_VALUE"""),10.497222222222222)</f>
        <v>10.49722222</v>
      </c>
      <c r="J246" s="29">
        <f>IFERROR(__xludf.DUMMYFUNCTION("""COMPUTED_VALUE"""),80.0)</f>
        <v>80</v>
      </c>
      <c r="K246" s="29">
        <f>IFERROR(__xludf.DUMMYFUNCTION("""COMPUTED_VALUE"""),9.0)</f>
        <v>9</v>
      </c>
      <c r="L246" s="31" t="str">
        <f>IFERROR(__xludf.DUMMYFUNCTION("""COMPUTED_VALUE"""),"Skateboarding")</f>
        <v>Skateboarding</v>
      </c>
      <c r="M246" s="31"/>
    </row>
    <row r="247">
      <c r="A247" s="17" t="str">
        <f>IFERROR(__xludf.DUMMYFUNCTION("""COMPUTED_VALUE"""),"Tell Me Why")</f>
        <v>Tell Me Why</v>
      </c>
      <c r="B247" s="20" t="str">
        <f>IFERROR(__xludf.DUMMYFUNCTION("""COMPUTED_VALUE"""),"Xbox / PC")</f>
        <v>Xbox / PC</v>
      </c>
      <c r="C247" s="21" t="str">
        <f>IFERROR(__xludf.DUMMYFUNCTION("""COMPUTED_VALUE"""),"Touch Controls")</f>
        <v>Touch Controls</v>
      </c>
      <c r="D247" s="21" t="str">
        <f>IFERROR(__xludf.DUMMYFUNCTION("""COMPUTED_VALUE"""),"Active")</f>
        <v>Active</v>
      </c>
      <c r="E247" s="23">
        <f>IFERROR(__xludf.DUMMYFUNCTION("""COMPUTED_VALUE"""),44070.0)</f>
        <v>44070</v>
      </c>
      <c r="F247" s="24"/>
      <c r="G247" s="27">
        <f>IFERROR(__xludf.DUMMYFUNCTION("""COMPUTED_VALUE"""),73.3)</f>
        <v>73.3</v>
      </c>
      <c r="H247" s="23">
        <f>IFERROR(__xludf.DUMMYFUNCTION("""COMPUTED_VALUE"""),44070.0)</f>
        <v>44070</v>
      </c>
      <c r="I247" s="27">
        <f>IFERROR(__xludf.DUMMYFUNCTION("""COMPUTED_VALUE"""),0.0)</f>
        <v>0</v>
      </c>
      <c r="J247" s="29">
        <f>IFERROR(__xludf.DUMMYFUNCTION("""COMPUTED_VALUE"""),80.0)</f>
        <v>80</v>
      </c>
      <c r="K247" s="29">
        <f>IFERROR(__xludf.DUMMYFUNCTION("""COMPUTED_VALUE"""),9.0)</f>
        <v>9</v>
      </c>
      <c r="L247" s="31" t="str">
        <f>IFERROR(__xludf.DUMMYFUNCTION("""COMPUTED_VALUE"""),"Adventure")</f>
        <v>Adventure</v>
      </c>
      <c r="M247" s="31"/>
    </row>
    <row r="248">
      <c r="A248" s="17" t="str">
        <f>IFERROR(__xludf.DUMMYFUNCTION("""COMPUTED_VALUE"""),"Wolfenstein: The New Order")</f>
        <v>Wolfenstein: The New Order</v>
      </c>
      <c r="B248" s="20" t="str">
        <f>IFERROR(__xludf.DUMMYFUNCTION("""COMPUTED_VALUE"""),"Xbox / PC")</f>
        <v>Xbox / PC</v>
      </c>
      <c r="C248" s="21" t="str">
        <f>IFERROR(__xludf.DUMMYFUNCTION("""COMPUTED_VALUE"""),"Yes")</f>
        <v>Yes</v>
      </c>
      <c r="D248" s="21" t="str">
        <f>IFERROR(__xludf.DUMMYFUNCTION("""COMPUTED_VALUE"""),"Active")</f>
        <v>Active</v>
      </c>
      <c r="E248" s="23">
        <f>IFERROR(__xludf.DUMMYFUNCTION("""COMPUTED_VALUE"""),43374.0)</f>
        <v>43374</v>
      </c>
      <c r="F248" s="24"/>
      <c r="G248" s="27">
        <f>IFERROR(__xludf.DUMMYFUNCTION("""COMPUTED_VALUE"""),96.16666666666667)</f>
        <v>96.16666667</v>
      </c>
      <c r="H248" s="23">
        <f>IFERROR(__xludf.DUMMYFUNCTION("""COMPUTED_VALUE"""),41779.0)</f>
        <v>41779</v>
      </c>
      <c r="I248" s="27">
        <f>IFERROR(__xludf.DUMMYFUNCTION("""COMPUTED_VALUE"""),4.363888888888889)</f>
        <v>4.363888889</v>
      </c>
      <c r="J248" s="29">
        <f>IFERROR(__xludf.DUMMYFUNCTION("""COMPUTED_VALUE"""),80.0)</f>
        <v>80</v>
      </c>
      <c r="K248" s="29">
        <f>IFERROR(__xludf.DUMMYFUNCTION("""COMPUTED_VALUE"""),11.5)</f>
        <v>11.5</v>
      </c>
      <c r="L248" s="31" t="str">
        <f>IFERROR(__xludf.DUMMYFUNCTION("""COMPUTED_VALUE"""),"Shooter")</f>
        <v>Shooter</v>
      </c>
      <c r="M248" s="31"/>
    </row>
    <row r="249">
      <c r="A249" s="17" t="str">
        <f>IFERROR(__xludf.DUMMYFUNCTION("""COMPUTED_VALUE"""),"Fable III")</f>
        <v>Fable III</v>
      </c>
      <c r="B249" s="20" t="str">
        <f>IFERROR(__xludf.DUMMYFUNCTION("""COMPUTED_VALUE"""),"Xbox")</f>
        <v>Xbox</v>
      </c>
      <c r="C249" s="21" t="str">
        <f>IFERROR(__xludf.DUMMYFUNCTION("""COMPUTED_VALUE"""),"Touch Controls")</f>
        <v>Touch Controls</v>
      </c>
      <c r="D249" s="21" t="str">
        <f>IFERROR(__xludf.DUMMYFUNCTION("""COMPUTED_VALUE"""),"Active")</f>
        <v>Active</v>
      </c>
      <c r="E249" s="23">
        <f>IFERROR(__xludf.DUMMYFUNCTION("""COMPUTED_VALUE"""),42887.0)</f>
        <v>42887</v>
      </c>
      <c r="F249" s="24"/>
      <c r="G249" s="27">
        <f>IFERROR(__xludf.DUMMYFUNCTION("""COMPUTED_VALUE"""),112.16666666666666)</f>
        <v>112.1666667</v>
      </c>
      <c r="H249" s="23">
        <f>IFERROR(__xludf.DUMMYFUNCTION("""COMPUTED_VALUE"""),40477.0)</f>
        <v>40477</v>
      </c>
      <c r="I249" s="27">
        <f>IFERROR(__xludf.DUMMYFUNCTION("""COMPUTED_VALUE"""),6.597222222222222)</f>
        <v>6.597222222</v>
      </c>
      <c r="J249" s="29">
        <f>IFERROR(__xludf.DUMMYFUNCTION("""COMPUTED_VALUE"""),80.0)</f>
        <v>80</v>
      </c>
      <c r="K249" s="29">
        <f>IFERROR(__xludf.DUMMYFUNCTION("""COMPUTED_VALUE"""),12.5)</f>
        <v>12.5</v>
      </c>
      <c r="L249" s="31" t="str">
        <f>IFERROR(__xludf.DUMMYFUNCTION("""COMPUTED_VALUE"""),"Adventure")</f>
        <v>Adventure</v>
      </c>
      <c r="M249" s="31" t="str">
        <f>IFERROR(__xludf.DUMMYFUNCTION("""COMPUTED_VALUE"""),"FPS Boost")</f>
        <v>FPS Boost</v>
      </c>
    </row>
    <row r="250">
      <c r="A250" s="17" t="str">
        <f>IFERROR(__xludf.DUMMYFUNCTION("""COMPUTED_VALUE"""),"Shadowrun Trilogy")</f>
        <v>Shadowrun Trilogy</v>
      </c>
      <c r="B250" s="20" t="str">
        <f>IFERROR(__xludf.DUMMYFUNCTION("""COMPUTED_VALUE"""),"Xbox / PC")</f>
        <v>Xbox / PC</v>
      </c>
      <c r="C250" s="21" t="str">
        <f>IFERROR(__xludf.DUMMYFUNCTION("""COMPUTED_VALUE"""),"Touch Controls")</f>
        <v>Touch Controls</v>
      </c>
      <c r="D250" s="21" t="str">
        <f>IFERROR(__xludf.DUMMYFUNCTION("""COMPUTED_VALUE"""),"Active")</f>
        <v>Active</v>
      </c>
      <c r="E250" s="23">
        <f>IFERROR(__xludf.DUMMYFUNCTION("""COMPUTED_VALUE"""),44733.0)</f>
        <v>44733</v>
      </c>
      <c r="F250" s="24"/>
      <c r="G250" s="27">
        <f>IFERROR(__xludf.DUMMYFUNCTION("""COMPUTED_VALUE"""),51.5)</f>
        <v>51.5</v>
      </c>
      <c r="H250" s="23">
        <f>IFERROR(__xludf.DUMMYFUNCTION("""COMPUTED_VALUE"""),42236.0)</f>
        <v>42236</v>
      </c>
      <c r="I250" s="27">
        <f>IFERROR(__xludf.DUMMYFUNCTION("""COMPUTED_VALUE"""),6.836111111111111)</f>
        <v>6.836111111</v>
      </c>
      <c r="J250" s="29">
        <f>IFERROR(__xludf.DUMMYFUNCTION("""COMPUTED_VALUE"""),79.33333333333333)</f>
        <v>79.33333333</v>
      </c>
      <c r="K250" s="29">
        <f>IFERROR(__xludf.DUMMYFUNCTION("""COMPUTED_VALUE"""),53.5)</f>
        <v>53.5</v>
      </c>
      <c r="L250" s="31" t="str">
        <f>IFERROR(__xludf.DUMMYFUNCTION("""COMPUTED_VALUE"""),"RPG")</f>
        <v>RPG</v>
      </c>
      <c r="M250" s="31"/>
    </row>
    <row r="251">
      <c r="A251" s="17" t="str">
        <f>IFERROR(__xludf.DUMMYFUNCTION("""COMPUTED_VALUE"""),"DiRT 5")</f>
        <v>DiRT 5</v>
      </c>
      <c r="B251" s="20" t="str">
        <f>IFERROR(__xludf.DUMMYFUNCTION("""COMPUTED_VALUE"""),"Xbox / PC")</f>
        <v>Xbox / PC</v>
      </c>
      <c r="C251" s="21" t="str">
        <f>IFERROR(__xludf.DUMMYFUNCTION("""COMPUTED_VALUE"""),"Touch Controls")</f>
        <v>Touch Controls</v>
      </c>
      <c r="D251" s="21" t="str">
        <f>IFERROR(__xludf.DUMMYFUNCTION("""COMPUTED_VALUE"""),"Active")</f>
        <v>Active</v>
      </c>
      <c r="E251" s="23">
        <f>IFERROR(__xludf.DUMMYFUNCTION("""COMPUTED_VALUE"""),44252.0)</f>
        <v>44252</v>
      </c>
      <c r="F251" s="24"/>
      <c r="G251" s="27">
        <f>IFERROR(__xludf.DUMMYFUNCTION("""COMPUTED_VALUE"""),67.36666666666667)</f>
        <v>67.36666667</v>
      </c>
      <c r="H251" s="23">
        <f>IFERROR(__xludf.DUMMYFUNCTION("""COMPUTED_VALUE"""),44120.0)</f>
        <v>44120</v>
      </c>
      <c r="I251" s="27">
        <f>IFERROR(__xludf.DUMMYFUNCTION("""COMPUTED_VALUE"""),0.35833333333333334)</f>
        <v>0.3583333333</v>
      </c>
      <c r="J251" s="29">
        <f>IFERROR(__xludf.DUMMYFUNCTION("""COMPUTED_VALUE"""),79.33333333333333)</f>
        <v>79.33333333</v>
      </c>
      <c r="K251" s="29">
        <f>IFERROR(__xludf.DUMMYFUNCTION("""COMPUTED_VALUE"""),8.0)</f>
        <v>8</v>
      </c>
      <c r="L251" s="31" t="str">
        <f>IFERROR(__xludf.DUMMYFUNCTION("""COMPUTED_VALUE"""),"Racing")</f>
        <v>Racing</v>
      </c>
      <c r="M251" s="31" t="str">
        <f>IFERROR(__xludf.DUMMYFUNCTION("""COMPUTED_VALUE"""),"Optimized")</f>
        <v>Optimized</v>
      </c>
    </row>
    <row r="252">
      <c r="A252" s="17" t="str">
        <f>IFERROR(__xludf.DUMMYFUNCTION("""COMPUTED_VALUE"""),"Tamashika")</f>
        <v>Tamashika</v>
      </c>
      <c r="B252" s="20" t="str">
        <f>IFERROR(__xludf.DUMMYFUNCTION("""COMPUTED_VALUE"""),"Xbox / PC")</f>
        <v>Xbox / PC</v>
      </c>
      <c r="C252" s="21" t="str">
        <f>IFERROR(__xludf.DUMMYFUNCTION("""COMPUTED_VALUE"""),"Yes")</f>
        <v>Yes</v>
      </c>
      <c r="D252" s="21" t="str">
        <f>IFERROR(__xludf.DUMMYFUNCTION("""COMPUTED_VALUE"""),"Active")</f>
        <v>Active</v>
      </c>
      <c r="E252" s="23">
        <f>IFERROR(__xludf.DUMMYFUNCTION("""COMPUTED_VALUE"""),46212.0)</f>
        <v>46212</v>
      </c>
      <c r="F252" s="24"/>
      <c r="G252" s="27">
        <f>IFERROR(__xludf.DUMMYFUNCTION("""COMPUTED_VALUE"""),2.9)</f>
        <v>2.9</v>
      </c>
      <c r="H252" s="23">
        <f>IFERROR(__xludf.DUMMYFUNCTION("""COMPUTED_VALUE"""),46122.0)</f>
        <v>46122</v>
      </c>
      <c r="I252" s="27">
        <f>IFERROR(__xludf.DUMMYFUNCTION("""COMPUTED_VALUE"""),0.24722222222222223)</f>
        <v>0.2472222222</v>
      </c>
      <c r="J252" s="29">
        <f>IFERROR(__xludf.DUMMYFUNCTION("""COMPUTED_VALUE"""),79.0)</f>
        <v>79</v>
      </c>
      <c r="K252" s="29">
        <f>IFERROR(__xludf.DUMMYFUNCTION("""COMPUTED_VALUE"""),2.0)</f>
        <v>2</v>
      </c>
      <c r="L252" s="31" t="str">
        <f>IFERROR(__xludf.DUMMYFUNCTION("""COMPUTED_VALUE"""),"Shooter")</f>
        <v>Shooter</v>
      </c>
      <c r="M252" s="31" t="str">
        <f>IFERROR(__xludf.DUMMYFUNCTION("""COMPUTED_VALUE"""),"Exclusive")</f>
        <v>Exclusive</v>
      </c>
    </row>
    <row r="253">
      <c r="A253" s="17" t="str">
        <f>IFERROR(__xludf.DUMMYFUNCTION("""COMPUTED_VALUE"""),"MOTORSLICE")</f>
        <v>MOTORSLICE</v>
      </c>
      <c r="B253" s="20" t="str">
        <f>IFERROR(__xludf.DUMMYFUNCTION("""COMPUTED_VALUE"""),"Xbox / PC")</f>
        <v>Xbox / PC</v>
      </c>
      <c r="C253" s="21" t="str">
        <f>IFERROR(__xludf.DUMMYFUNCTION("""COMPUTED_VALUE"""),"Yes")</f>
        <v>Yes</v>
      </c>
      <c r="D253" s="21" t="str">
        <f>IFERROR(__xludf.DUMMYFUNCTION("""COMPUTED_VALUE"""),"Active")</f>
        <v>Active</v>
      </c>
      <c r="E253" s="23">
        <f>IFERROR(__xludf.DUMMYFUNCTION("""COMPUTED_VALUE"""),46147.0)</f>
        <v>46147</v>
      </c>
      <c r="F253" s="24"/>
      <c r="G253" s="27">
        <f>IFERROR(__xludf.DUMMYFUNCTION("""COMPUTED_VALUE"""),5.033333333333333)</f>
        <v>5.033333333</v>
      </c>
      <c r="H253" s="23">
        <f>IFERROR(__xludf.DUMMYFUNCTION("""COMPUTED_VALUE"""),46147.0)</f>
        <v>46147</v>
      </c>
      <c r="I253" s="27">
        <f>IFERROR(__xludf.DUMMYFUNCTION("""COMPUTED_VALUE"""),0.0)</f>
        <v>0</v>
      </c>
      <c r="J253" s="29">
        <f>IFERROR(__xludf.DUMMYFUNCTION("""COMPUTED_VALUE"""),79.0)</f>
        <v>79</v>
      </c>
      <c r="K253" s="29">
        <f>IFERROR(__xludf.DUMMYFUNCTION("""COMPUTED_VALUE"""),8.0)</f>
        <v>8</v>
      </c>
      <c r="L253" s="31" t="str">
        <f>IFERROR(__xludf.DUMMYFUNCTION("""COMPUTED_VALUE"""),"Action-Adventure")</f>
        <v>Action-Adventure</v>
      </c>
      <c r="M253" s="31"/>
    </row>
    <row r="254">
      <c r="A254" s="17" t="str">
        <f>IFERROR(__xludf.DUMMYFUNCTION("""COMPUTED_VALUE"""),"Trepang2")</f>
        <v>Trepang2</v>
      </c>
      <c r="B254" s="20" t="str">
        <f>IFERROR(__xludf.DUMMYFUNCTION("""COMPUTED_VALUE"""),"Xbox / PC")</f>
        <v>Xbox / PC</v>
      </c>
      <c r="C254" s="21" t="str">
        <f>IFERROR(__xludf.DUMMYFUNCTION("""COMPUTED_VALUE"""),"Yes")</f>
        <v>Yes</v>
      </c>
      <c r="D254" s="21" t="str">
        <f>IFERROR(__xludf.DUMMYFUNCTION("""COMPUTED_VALUE"""),"Active")</f>
        <v>Active</v>
      </c>
      <c r="E254" s="23">
        <f>IFERROR(__xludf.DUMMYFUNCTION("""COMPUTED_VALUE"""),46141.0)</f>
        <v>46141</v>
      </c>
      <c r="F254" s="24"/>
      <c r="G254" s="27">
        <f>IFERROR(__xludf.DUMMYFUNCTION("""COMPUTED_VALUE"""),5.233333333333333)</f>
        <v>5.233333333</v>
      </c>
      <c r="H254" s="23">
        <f>IFERROR(__xludf.DUMMYFUNCTION("""COMPUTED_VALUE"""),45098.0)</f>
        <v>45098</v>
      </c>
      <c r="I254" s="27">
        <f>IFERROR(__xludf.DUMMYFUNCTION("""COMPUTED_VALUE"""),2.8555555555555556)</f>
        <v>2.855555556</v>
      </c>
      <c r="J254" s="29">
        <f>IFERROR(__xludf.DUMMYFUNCTION("""COMPUTED_VALUE"""),79.0)</f>
        <v>79</v>
      </c>
      <c r="K254" s="29">
        <f>IFERROR(__xludf.DUMMYFUNCTION("""COMPUTED_VALUE"""),5.0)</f>
        <v>5</v>
      </c>
      <c r="L254" s="31" t="str">
        <f>IFERROR(__xludf.DUMMYFUNCTION("""COMPUTED_VALUE"""),"Shooter")</f>
        <v>Shooter</v>
      </c>
      <c r="M254" s="31" t="str">
        <f>IFERROR(__xludf.DUMMYFUNCTION("""COMPUTED_VALUE"""),"Exclusive")</f>
        <v>Exclusive</v>
      </c>
    </row>
    <row r="255">
      <c r="A255" s="17" t="str">
        <f>IFERROR(__xludf.DUMMYFUNCTION("""COMPUTED_VALUE"""),"Little Nightmares: Enhanced Edition")</f>
        <v>Little Nightmares: Enhanced Edition</v>
      </c>
      <c r="B255" s="20" t="str">
        <f>IFERROR(__xludf.DUMMYFUNCTION("""COMPUTED_VALUE"""),"Xbox / PC")</f>
        <v>Xbox / PC</v>
      </c>
      <c r="C255" s="21" t="str">
        <f>IFERROR(__xludf.DUMMYFUNCTION("""COMPUTED_VALUE"""),"Yes")</f>
        <v>Yes</v>
      </c>
      <c r="D255" s="21" t="str">
        <f>IFERROR(__xludf.DUMMYFUNCTION("""COMPUTED_VALUE"""),"Active")</f>
        <v>Active</v>
      </c>
      <c r="E255" s="23">
        <f>IFERROR(__xludf.DUMMYFUNCTION("""COMPUTED_VALUE"""),46028.0)</f>
        <v>46028</v>
      </c>
      <c r="F255" s="24"/>
      <c r="G255" s="27">
        <f>IFERROR(__xludf.DUMMYFUNCTION("""COMPUTED_VALUE"""),9.0)</f>
        <v>9</v>
      </c>
      <c r="H255" s="23">
        <f>IFERROR(__xludf.DUMMYFUNCTION("""COMPUTED_VALUE"""),43238.0)</f>
        <v>43238</v>
      </c>
      <c r="I255" s="27">
        <f>IFERROR(__xludf.DUMMYFUNCTION("""COMPUTED_VALUE"""),7.633333333333334)</f>
        <v>7.633333333</v>
      </c>
      <c r="J255" s="29">
        <f>IFERROR(__xludf.DUMMYFUNCTION("""COMPUTED_VALUE"""),79.0)</f>
        <v>79</v>
      </c>
      <c r="K255" s="29">
        <f>IFERROR(__xludf.DUMMYFUNCTION("""COMPUTED_VALUE"""),4.0)</f>
        <v>4</v>
      </c>
      <c r="L255" s="31" t="str">
        <f>IFERROR(__xludf.DUMMYFUNCTION("""COMPUTED_VALUE"""),"Action-Adventure")</f>
        <v>Action-Adventure</v>
      </c>
      <c r="M255" s="31" t="str">
        <f>IFERROR(__xludf.DUMMYFUNCTION("""COMPUTED_VALUE"""),"Exclusive")</f>
        <v>Exclusive</v>
      </c>
    </row>
    <row r="256">
      <c r="A256" s="17" t="str">
        <f>IFERROR(__xludf.DUMMYFUNCTION("""COMPUTED_VALUE"""),"ROUTINE")</f>
        <v>ROUTINE</v>
      </c>
      <c r="B256" s="20" t="str">
        <f>IFERROR(__xludf.DUMMYFUNCTION("""COMPUTED_VALUE"""),"Xbox / PC")</f>
        <v>Xbox / PC</v>
      </c>
      <c r="C256" s="21" t="str">
        <f>IFERROR(__xludf.DUMMYFUNCTION("""COMPUTED_VALUE"""),"Yes")</f>
        <v>Yes</v>
      </c>
      <c r="D256" s="21" t="str">
        <f>IFERROR(__xludf.DUMMYFUNCTION("""COMPUTED_VALUE"""),"Active")</f>
        <v>Active</v>
      </c>
      <c r="E256" s="23">
        <f>IFERROR(__xludf.DUMMYFUNCTION("""COMPUTED_VALUE"""),45995.0)</f>
        <v>45995</v>
      </c>
      <c r="F256" s="24"/>
      <c r="G256" s="27">
        <f>IFERROR(__xludf.DUMMYFUNCTION("""COMPUTED_VALUE"""),10.066666666666666)</f>
        <v>10.06666667</v>
      </c>
      <c r="H256" s="23">
        <f>IFERROR(__xludf.DUMMYFUNCTION("""COMPUTED_VALUE"""),45995.0)</f>
        <v>45995</v>
      </c>
      <c r="I256" s="27">
        <f>IFERROR(__xludf.DUMMYFUNCTION("""COMPUTED_VALUE"""),0.0)</f>
        <v>0</v>
      </c>
      <c r="J256" s="29">
        <f>IFERROR(__xludf.DUMMYFUNCTION("""COMPUTED_VALUE"""),79.0)</f>
        <v>79</v>
      </c>
      <c r="K256" s="29">
        <f>IFERROR(__xludf.DUMMYFUNCTION("""COMPUTED_VALUE"""),6.0)</f>
        <v>6</v>
      </c>
      <c r="L256" s="31" t="str">
        <f>IFERROR(__xludf.DUMMYFUNCTION("""COMPUTED_VALUE"""),"Action-Adventure")</f>
        <v>Action-Adventure</v>
      </c>
      <c r="M256" s="31"/>
    </row>
    <row r="257">
      <c r="A257" s="17" t="str">
        <f>IFERROR(__xludf.DUMMYFUNCTION("""COMPUTED_VALUE"""),"Trials Fusion")</f>
        <v>Trials Fusion</v>
      </c>
      <c r="B257" s="20" t="str">
        <f>IFERROR(__xludf.DUMMYFUNCTION("""COMPUTED_VALUE"""),"Xbox / PC")</f>
        <v>Xbox / PC</v>
      </c>
      <c r="C257" s="21" t="str">
        <f>IFERROR(__xludf.DUMMYFUNCTION("""COMPUTED_VALUE"""),"Yes")</f>
        <v>Yes</v>
      </c>
      <c r="D257" s="21" t="str">
        <f>IFERROR(__xludf.DUMMYFUNCTION("""COMPUTED_VALUE"""),"Active")</f>
        <v>Active</v>
      </c>
      <c r="E257" s="23">
        <f>IFERROR(__xludf.DUMMYFUNCTION("""COMPUTED_VALUE"""),45931.0)</f>
        <v>45931</v>
      </c>
      <c r="F257" s="24"/>
      <c r="G257" s="27">
        <f>IFERROR(__xludf.DUMMYFUNCTION("""COMPUTED_VALUE"""),12.166666666666666)</f>
        <v>12.16666667</v>
      </c>
      <c r="H257" s="23">
        <f>IFERROR(__xludf.DUMMYFUNCTION("""COMPUTED_VALUE"""),41744.0)</f>
        <v>41744</v>
      </c>
      <c r="I257" s="27">
        <f>IFERROR(__xludf.DUMMYFUNCTION("""COMPUTED_VALUE"""),11.46111111111111)</f>
        <v>11.46111111</v>
      </c>
      <c r="J257" s="29">
        <f>IFERROR(__xludf.DUMMYFUNCTION("""COMPUTED_VALUE"""),79.0)</f>
        <v>79</v>
      </c>
      <c r="K257" s="29">
        <f>IFERROR(__xludf.DUMMYFUNCTION("""COMPUTED_VALUE"""),7.0)</f>
        <v>7</v>
      </c>
      <c r="L257" s="31" t="str">
        <f>IFERROR(__xludf.DUMMYFUNCTION("""COMPUTED_VALUE"""),"Racing")</f>
        <v>Racing</v>
      </c>
      <c r="M257" s="31"/>
    </row>
    <row r="258">
      <c r="A258" s="17" t="str">
        <f>IFERROR(__xludf.DUMMYFUNCTION("""COMPUTED_VALUE"""),"Trials Rising")</f>
        <v>Trials Rising</v>
      </c>
      <c r="B258" s="20" t="str">
        <f>IFERROR(__xludf.DUMMYFUNCTION("""COMPUTED_VALUE"""),"Xbox / PC")</f>
        <v>Xbox / PC</v>
      </c>
      <c r="C258" s="21" t="str">
        <f>IFERROR(__xludf.DUMMYFUNCTION("""COMPUTED_VALUE"""),"Yes")</f>
        <v>Yes</v>
      </c>
      <c r="D258" s="21" t="str">
        <f>IFERROR(__xludf.DUMMYFUNCTION("""COMPUTED_VALUE"""),"Active")</f>
        <v>Active</v>
      </c>
      <c r="E258" s="23">
        <f>IFERROR(__xludf.DUMMYFUNCTION("""COMPUTED_VALUE"""),45931.0)</f>
        <v>45931</v>
      </c>
      <c r="F258" s="24"/>
      <c r="G258" s="27">
        <f>IFERROR(__xludf.DUMMYFUNCTION("""COMPUTED_VALUE"""),12.166666666666666)</f>
        <v>12.16666667</v>
      </c>
      <c r="H258" s="23">
        <f>IFERROR(__xludf.DUMMYFUNCTION("""COMPUTED_VALUE"""),43522.0)</f>
        <v>43522</v>
      </c>
      <c r="I258" s="27">
        <f>IFERROR(__xludf.DUMMYFUNCTION("""COMPUTED_VALUE"""),6.597222222222222)</f>
        <v>6.597222222</v>
      </c>
      <c r="J258" s="29">
        <f>IFERROR(__xludf.DUMMYFUNCTION("""COMPUTED_VALUE"""),79.0)</f>
        <v>79</v>
      </c>
      <c r="K258" s="29">
        <f>IFERROR(__xludf.DUMMYFUNCTION("""COMPUTED_VALUE"""),18.0)</f>
        <v>18</v>
      </c>
      <c r="L258" s="31" t="str">
        <f>IFERROR(__xludf.DUMMYFUNCTION("""COMPUTED_VALUE"""),"Racing")</f>
        <v>Racing</v>
      </c>
      <c r="M258" s="31"/>
    </row>
    <row r="259">
      <c r="A259" s="17" t="str">
        <f>IFERROR(__xludf.DUMMYFUNCTION("""COMPUTED_VALUE"""),"Gears of War: Reloaded")</f>
        <v>Gears of War: Reloaded</v>
      </c>
      <c r="B259" s="20" t="str">
        <f>IFERROR(__xludf.DUMMYFUNCTION("""COMPUTED_VALUE"""),"Xbox / PC")</f>
        <v>Xbox / PC</v>
      </c>
      <c r="C259" s="21" t="str">
        <f>IFERROR(__xludf.DUMMYFUNCTION("""COMPUTED_VALUE"""),"Yes")</f>
        <v>Yes</v>
      </c>
      <c r="D259" s="21" t="str">
        <f>IFERROR(__xludf.DUMMYFUNCTION("""COMPUTED_VALUE"""),"Active")</f>
        <v>Active</v>
      </c>
      <c r="E259" s="23">
        <f>IFERROR(__xludf.DUMMYFUNCTION("""COMPUTED_VALUE"""),45895.0)</f>
        <v>45895</v>
      </c>
      <c r="F259" s="24"/>
      <c r="G259" s="27">
        <f>IFERROR(__xludf.DUMMYFUNCTION("""COMPUTED_VALUE"""),13.333333333333334)</f>
        <v>13.33333333</v>
      </c>
      <c r="H259" s="23">
        <f>IFERROR(__xludf.DUMMYFUNCTION("""COMPUTED_VALUE"""),45895.0)</f>
        <v>45895</v>
      </c>
      <c r="I259" s="27">
        <f>IFERROR(__xludf.DUMMYFUNCTION("""COMPUTED_VALUE"""),0.0)</f>
        <v>0</v>
      </c>
      <c r="J259" s="29">
        <f>IFERROR(__xludf.DUMMYFUNCTION("""COMPUTED_VALUE"""),79.0)</f>
        <v>79</v>
      </c>
      <c r="K259" s="29">
        <f>IFERROR(__xludf.DUMMYFUNCTION("""COMPUTED_VALUE"""),7.0)</f>
        <v>7</v>
      </c>
      <c r="L259" s="31" t="str">
        <f>IFERROR(__xludf.DUMMYFUNCTION("""COMPUTED_VALUE"""),"Shooter")</f>
        <v>Shooter</v>
      </c>
      <c r="M259" s="31" t="str">
        <f>IFERROR(__xludf.DUMMYFUNCTION("""COMPUTED_VALUE"""),"Exclusive")</f>
        <v>Exclusive</v>
      </c>
    </row>
    <row r="260">
      <c r="A260" s="17" t="str">
        <f>IFERROR(__xludf.DUMMYFUNCTION("""COMPUTED_VALUE"""),"Conquests of Camelot: The Search for the Grail")</f>
        <v>Conquests of Camelot: The Search for the Grail</v>
      </c>
      <c r="B260" s="20" t="str">
        <f>IFERROR(__xludf.DUMMYFUNCTION("""COMPUTED_VALUE"""),"Xbox / PC")</f>
        <v>Xbox / PC</v>
      </c>
      <c r="C260" s="21" t="str">
        <f>IFERROR(__xludf.DUMMYFUNCTION("""COMPUTED_VALUE"""),"Yes")</f>
        <v>Yes</v>
      </c>
      <c r="D260" s="21" t="str">
        <f>IFERROR(__xludf.DUMMYFUNCTION("""COMPUTED_VALUE"""),"Active")</f>
        <v>Active</v>
      </c>
      <c r="E260" s="23">
        <f>IFERROR(__xludf.DUMMYFUNCTION("""COMPUTED_VALUE"""),45859.0)</f>
        <v>45859</v>
      </c>
      <c r="F260" s="24"/>
      <c r="G260" s="27">
        <f>IFERROR(__xludf.DUMMYFUNCTION("""COMPUTED_VALUE"""),14.5)</f>
        <v>14.5</v>
      </c>
      <c r="H260" s="23">
        <f>IFERROR(__xludf.DUMMYFUNCTION("""COMPUTED_VALUE"""),32933.0)</f>
        <v>32933</v>
      </c>
      <c r="I260" s="27">
        <f>IFERROR(__xludf.DUMMYFUNCTION("""COMPUTED_VALUE"""),35.388888888888886)</f>
        <v>35.38888889</v>
      </c>
      <c r="J260" s="29">
        <f>IFERROR(__xludf.DUMMYFUNCTION("""COMPUTED_VALUE"""),79.0)</f>
        <v>79</v>
      </c>
      <c r="K260" s="29">
        <f>IFERROR(__xludf.DUMMYFUNCTION("""COMPUTED_VALUE"""),4.0)</f>
        <v>4</v>
      </c>
      <c r="L260" s="31" t="str">
        <f>IFERROR(__xludf.DUMMYFUNCTION("""COMPUTED_VALUE"""),"Action-Adventure")</f>
        <v>Action-Adventure</v>
      </c>
      <c r="M260" s="31"/>
    </row>
    <row r="261">
      <c r="A261" s="17" t="str">
        <f>IFERROR(__xludf.DUMMYFUNCTION("""COMPUTED_VALUE"""),"33 Immortals")</f>
        <v>33 Immortals</v>
      </c>
      <c r="B261" s="20" t="str">
        <f>IFERROR(__xludf.DUMMYFUNCTION("""COMPUTED_VALUE"""),"Xbox / PC")</f>
        <v>Xbox / PC</v>
      </c>
      <c r="C261" s="21" t="str">
        <f>IFERROR(__xludf.DUMMYFUNCTION("""COMPUTED_VALUE"""),"Yes")</f>
        <v>Yes</v>
      </c>
      <c r="D261" s="21" t="str">
        <f>IFERROR(__xludf.DUMMYFUNCTION("""COMPUTED_VALUE"""),"Active")</f>
        <v>Active</v>
      </c>
      <c r="E261" s="23">
        <f>IFERROR(__xludf.DUMMYFUNCTION("""COMPUTED_VALUE"""),45734.0)</f>
        <v>45734</v>
      </c>
      <c r="F261" s="24"/>
      <c r="G261" s="27">
        <f>IFERROR(__xludf.DUMMYFUNCTION("""COMPUTED_VALUE"""),18.6)</f>
        <v>18.6</v>
      </c>
      <c r="H261" s="23">
        <f>IFERROR(__xludf.DUMMYFUNCTION("""COMPUTED_VALUE"""),45734.0)</f>
        <v>45734</v>
      </c>
      <c r="I261" s="27">
        <f>IFERROR(__xludf.DUMMYFUNCTION("""COMPUTED_VALUE"""),0.0)</f>
        <v>0</v>
      </c>
      <c r="J261" s="29">
        <f>IFERROR(__xludf.DUMMYFUNCTION("""COMPUTED_VALUE"""),79.0)</f>
        <v>79</v>
      </c>
      <c r="K261" s="29">
        <f>IFERROR(__xludf.DUMMYFUNCTION("""COMPUTED_VALUE"""),5.0)</f>
        <v>5</v>
      </c>
      <c r="L261" s="31" t="str">
        <f>IFERROR(__xludf.DUMMYFUNCTION("""COMPUTED_VALUE"""),"RPG")</f>
        <v>RPG</v>
      </c>
      <c r="M261" s="31" t="str">
        <f>IFERROR(__xludf.DUMMYFUNCTION("""COMPUTED_VALUE"""),"Exclusive")</f>
        <v>Exclusive</v>
      </c>
    </row>
    <row r="262">
      <c r="A262" s="17" t="str">
        <f>IFERROR(__xludf.DUMMYFUNCTION("""COMPUTED_VALUE"""),"Mechwarrior 5: Clans")</f>
        <v>Mechwarrior 5: Clans</v>
      </c>
      <c r="B262" s="20" t="str">
        <f>IFERROR(__xludf.DUMMYFUNCTION("""COMPUTED_VALUE"""),"Xbox / PC")</f>
        <v>Xbox / PC</v>
      </c>
      <c r="C262" s="21" t="str">
        <f>IFERROR(__xludf.DUMMYFUNCTION("""COMPUTED_VALUE"""),"Yes")</f>
        <v>Yes</v>
      </c>
      <c r="D262" s="21" t="str">
        <f>IFERROR(__xludf.DUMMYFUNCTION("""COMPUTED_VALUE"""),"Active")</f>
        <v>Active</v>
      </c>
      <c r="E262" s="23">
        <f>IFERROR(__xludf.DUMMYFUNCTION("""COMPUTED_VALUE"""),45582.0)</f>
        <v>45582</v>
      </c>
      <c r="F262" s="24"/>
      <c r="G262" s="27">
        <f>IFERROR(__xludf.DUMMYFUNCTION("""COMPUTED_VALUE"""),23.633333333333333)</f>
        <v>23.63333333</v>
      </c>
      <c r="H262" s="23">
        <f>IFERROR(__xludf.DUMMYFUNCTION("""COMPUTED_VALUE"""),45582.0)</f>
        <v>45582</v>
      </c>
      <c r="I262" s="27">
        <f>IFERROR(__xludf.DUMMYFUNCTION("""COMPUTED_VALUE"""),0.0)</f>
        <v>0</v>
      </c>
      <c r="J262" s="29">
        <f>IFERROR(__xludf.DUMMYFUNCTION("""COMPUTED_VALUE"""),79.0)</f>
        <v>79</v>
      </c>
      <c r="K262" s="29">
        <f>IFERROR(__xludf.DUMMYFUNCTION("""COMPUTED_VALUE"""),23.0)</f>
        <v>23</v>
      </c>
      <c r="L262" s="31" t="str">
        <f>IFERROR(__xludf.DUMMYFUNCTION("""COMPUTED_VALUE"""),"Simulation")</f>
        <v>Simulation</v>
      </c>
      <c r="M262" s="31" t="str">
        <f>IFERROR(__xludf.DUMMYFUNCTION("""COMPUTED_VALUE"""),"Exclusive")</f>
        <v>Exclusive</v>
      </c>
    </row>
    <row r="263">
      <c r="A263" s="17" t="str">
        <f>IFERROR(__xludf.DUMMYFUNCTION("""COMPUTED_VALUE"""),"Little Kitty, Big City")</f>
        <v>Little Kitty, Big City</v>
      </c>
      <c r="B263" s="20" t="str">
        <f>IFERROR(__xludf.DUMMYFUNCTION("""COMPUTED_VALUE"""),"Xbox / PC")</f>
        <v>Xbox / PC</v>
      </c>
      <c r="C263" s="21" t="str">
        <f>IFERROR(__xludf.DUMMYFUNCTION("""COMPUTED_VALUE"""),"Yes")</f>
        <v>Yes</v>
      </c>
      <c r="D263" s="21" t="str">
        <f>IFERROR(__xludf.DUMMYFUNCTION("""COMPUTED_VALUE"""),"Active")</f>
        <v>Active</v>
      </c>
      <c r="E263" s="23">
        <f>IFERROR(__xludf.DUMMYFUNCTION("""COMPUTED_VALUE"""),45421.0)</f>
        <v>45421</v>
      </c>
      <c r="F263" s="24"/>
      <c r="G263" s="27">
        <f>IFERROR(__xludf.DUMMYFUNCTION("""COMPUTED_VALUE"""),28.9)</f>
        <v>28.9</v>
      </c>
      <c r="H263" s="23">
        <f>IFERROR(__xludf.DUMMYFUNCTION("""COMPUTED_VALUE"""),45421.0)</f>
        <v>45421</v>
      </c>
      <c r="I263" s="27">
        <f>IFERROR(__xludf.DUMMYFUNCTION("""COMPUTED_VALUE"""),0.0)</f>
        <v>0</v>
      </c>
      <c r="J263" s="29">
        <f>IFERROR(__xludf.DUMMYFUNCTION("""COMPUTED_VALUE"""),79.0)</f>
        <v>79</v>
      </c>
      <c r="K263" s="29">
        <f>IFERROR(__xludf.DUMMYFUNCTION("""COMPUTED_VALUE"""),3.0)</f>
        <v>3</v>
      </c>
      <c r="L263" s="31" t="str">
        <f>IFERROR(__xludf.DUMMYFUNCTION("""COMPUTED_VALUE"""),"Action-Adventure")</f>
        <v>Action-Adventure</v>
      </c>
      <c r="M263" s="31"/>
    </row>
    <row r="264">
      <c r="A264" s="17" t="str">
        <f>IFERROR(__xludf.DUMMYFUNCTION("""COMPUTED_VALUE"""),"Resident Evil 3")</f>
        <v>Resident Evil 3</v>
      </c>
      <c r="B264" s="20" t="str">
        <f>IFERROR(__xludf.DUMMYFUNCTION("""COMPUTED_VALUE"""),"Xbox / PC")</f>
        <v>Xbox / PC</v>
      </c>
      <c r="C264" s="21" t="str">
        <f>IFERROR(__xludf.DUMMYFUNCTION("""COMPUTED_VALUE"""),"Yes")</f>
        <v>Yes</v>
      </c>
      <c r="D264" s="21" t="str">
        <f>IFERROR(__xludf.DUMMYFUNCTION("""COMPUTED_VALUE"""),"Active")</f>
        <v>Active</v>
      </c>
      <c r="E264" s="23">
        <f>IFERROR(__xludf.DUMMYFUNCTION("""COMPUTED_VALUE"""),45335.0)</f>
        <v>45335</v>
      </c>
      <c r="F264" s="24"/>
      <c r="G264" s="27">
        <f>IFERROR(__xludf.DUMMYFUNCTION("""COMPUTED_VALUE"""),31.766666666666666)</f>
        <v>31.76666667</v>
      </c>
      <c r="H264" s="23">
        <f>IFERROR(__xludf.DUMMYFUNCTION("""COMPUTED_VALUE"""),43924.0)</f>
        <v>43924</v>
      </c>
      <c r="I264" s="27">
        <f>IFERROR(__xludf.DUMMYFUNCTION("""COMPUTED_VALUE"""),3.861111111111111)</f>
        <v>3.861111111</v>
      </c>
      <c r="J264" s="29">
        <f>IFERROR(__xludf.DUMMYFUNCTION("""COMPUTED_VALUE"""),79.0)</f>
        <v>79</v>
      </c>
      <c r="K264" s="29">
        <f>IFERROR(__xludf.DUMMYFUNCTION("""COMPUTED_VALUE"""),6.0)</f>
        <v>6</v>
      </c>
      <c r="L264" s="31" t="str">
        <f>IFERROR(__xludf.DUMMYFUNCTION("""COMPUTED_VALUE"""),"Shooter")</f>
        <v>Shooter</v>
      </c>
      <c r="M264" s="31"/>
    </row>
    <row r="265">
      <c r="A265" s="17" t="str">
        <f>IFERROR(__xludf.DUMMYFUNCTION("""COMPUTED_VALUE"""),"Super Mega Baseball 4")</f>
        <v>Super Mega Baseball 4</v>
      </c>
      <c r="B265" s="20" t="str">
        <f>IFERROR(__xludf.DUMMYFUNCTION("""COMPUTED_VALUE"""),"Xbox / PC")</f>
        <v>Xbox / PC</v>
      </c>
      <c r="C265" s="21" t="str">
        <f>IFERROR(__xludf.DUMMYFUNCTION("""COMPUTED_VALUE"""),"Yes")</f>
        <v>Yes</v>
      </c>
      <c r="D265" s="21" t="str">
        <f>IFERROR(__xludf.DUMMYFUNCTION("""COMPUTED_VALUE"""),"Active")</f>
        <v>Active</v>
      </c>
      <c r="E265" s="23">
        <f>IFERROR(__xludf.DUMMYFUNCTION("""COMPUTED_VALUE"""),45302.0)</f>
        <v>45302</v>
      </c>
      <c r="F265" s="24"/>
      <c r="G265" s="27">
        <f>IFERROR(__xludf.DUMMYFUNCTION("""COMPUTED_VALUE"""),32.833333333333336)</f>
        <v>32.83333333</v>
      </c>
      <c r="H265" s="23">
        <f>IFERROR(__xludf.DUMMYFUNCTION("""COMPUTED_VALUE"""),45079.0)</f>
        <v>45079</v>
      </c>
      <c r="I265" s="27">
        <f>IFERROR(__xludf.DUMMYFUNCTION("""COMPUTED_VALUE"""),0.6083333333333333)</f>
        <v>0.6083333333</v>
      </c>
      <c r="J265" s="29">
        <f>IFERROR(__xludf.DUMMYFUNCTION("""COMPUTED_VALUE"""),79.0)</f>
        <v>79</v>
      </c>
      <c r="K265" s="29">
        <f>IFERROR(__xludf.DUMMYFUNCTION("""COMPUTED_VALUE"""),12.0)</f>
        <v>12</v>
      </c>
      <c r="L265" s="31" t="str">
        <f>IFERROR(__xludf.DUMMYFUNCTION("""COMPUTED_VALUE"""),"Sports")</f>
        <v>Sports</v>
      </c>
      <c r="M265" s="31"/>
    </row>
    <row r="266">
      <c r="A266" s="17" t="str">
        <f>IFERROR(__xludf.DUMMYFUNCTION("""COMPUTED_VALUE"""),"Wild Hearts")</f>
        <v>Wild Hearts</v>
      </c>
      <c r="B266" s="20" t="str">
        <f>IFERROR(__xludf.DUMMYFUNCTION("""COMPUTED_VALUE"""),"Xbox / PC")</f>
        <v>Xbox / PC</v>
      </c>
      <c r="C266" s="21" t="str">
        <f>IFERROR(__xludf.DUMMYFUNCTION("""COMPUTED_VALUE"""),"Yes")</f>
        <v>Yes</v>
      </c>
      <c r="D266" s="21" t="str">
        <f>IFERROR(__xludf.DUMMYFUNCTION("""COMPUTED_VALUE"""),"Active")</f>
        <v>Active</v>
      </c>
      <c r="E266" s="23">
        <f>IFERROR(__xludf.DUMMYFUNCTION("""COMPUTED_VALUE"""),45239.0)</f>
        <v>45239</v>
      </c>
      <c r="F266" s="24"/>
      <c r="G266" s="27">
        <f>IFERROR(__xludf.DUMMYFUNCTION("""COMPUTED_VALUE"""),34.9)</f>
        <v>34.9</v>
      </c>
      <c r="H266" s="23">
        <f>IFERROR(__xludf.DUMMYFUNCTION("""COMPUTED_VALUE"""),44974.0)</f>
        <v>44974</v>
      </c>
      <c r="I266" s="27">
        <f>IFERROR(__xludf.DUMMYFUNCTION("""COMPUTED_VALUE"""),0.7277777777777777)</f>
        <v>0.7277777778</v>
      </c>
      <c r="J266" s="29">
        <f>IFERROR(__xludf.DUMMYFUNCTION("""COMPUTED_VALUE"""),79.0)</f>
        <v>79</v>
      </c>
      <c r="K266" s="29">
        <f>IFERROR(__xludf.DUMMYFUNCTION("""COMPUTED_VALUE"""),46.0)</f>
        <v>46</v>
      </c>
      <c r="L266" s="31" t="str">
        <f>IFERROR(__xludf.DUMMYFUNCTION("""COMPUTED_VALUE"""),"Action-Adventure")</f>
        <v>Action-Adventure</v>
      </c>
      <c r="M266" s="31"/>
    </row>
    <row r="267">
      <c r="A267" s="17" t="str">
        <f>IFERROR(__xludf.DUMMYFUNCTION("""COMPUTED_VALUE"""),"Genesis Noir")</f>
        <v>Genesis Noir</v>
      </c>
      <c r="B267" s="20" t="str">
        <f>IFERROR(__xludf.DUMMYFUNCTION("""COMPUTED_VALUE"""),"Xbox / PC")</f>
        <v>Xbox / PC</v>
      </c>
      <c r="C267" s="21" t="str">
        <f>IFERROR(__xludf.DUMMYFUNCTION("""COMPUTED_VALUE"""),"Touch Controls")</f>
        <v>Touch Controls</v>
      </c>
      <c r="D267" s="21" t="str">
        <f>IFERROR(__xludf.DUMMYFUNCTION("""COMPUTED_VALUE"""),"Active")</f>
        <v>Active</v>
      </c>
      <c r="E267" s="23">
        <f>IFERROR(__xludf.DUMMYFUNCTION("""COMPUTED_VALUE"""),44280.0)</f>
        <v>44280</v>
      </c>
      <c r="F267" s="24"/>
      <c r="G267" s="27">
        <f>IFERROR(__xludf.DUMMYFUNCTION("""COMPUTED_VALUE"""),66.36666666666667)</f>
        <v>66.36666667</v>
      </c>
      <c r="H267" s="23">
        <f>IFERROR(__xludf.DUMMYFUNCTION("""COMPUTED_VALUE"""),44280.0)</f>
        <v>44280</v>
      </c>
      <c r="I267" s="27">
        <f>IFERROR(__xludf.DUMMYFUNCTION("""COMPUTED_VALUE"""),0.0)</f>
        <v>0</v>
      </c>
      <c r="J267" s="29">
        <f>IFERROR(__xludf.DUMMYFUNCTION("""COMPUTED_VALUE"""),79.0)</f>
        <v>79</v>
      </c>
      <c r="K267" s="29">
        <f>IFERROR(__xludf.DUMMYFUNCTION("""COMPUTED_VALUE"""),4.5)</f>
        <v>4.5</v>
      </c>
      <c r="L267" s="31" t="str">
        <f>IFERROR(__xludf.DUMMYFUNCTION("""COMPUTED_VALUE"""),"Adventure")</f>
        <v>Adventure</v>
      </c>
      <c r="M267" s="31"/>
    </row>
    <row r="268">
      <c r="A268" s="17" t="str">
        <f>IFERROR(__xludf.DUMMYFUNCTION("""COMPUTED_VALUE"""),"Dragon Age II")</f>
        <v>Dragon Age II</v>
      </c>
      <c r="B268" s="20" t="str">
        <f>IFERROR(__xludf.DUMMYFUNCTION("""COMPUTED_VALUE"""),"Xbox / PC")</f>
        <v>Xbox / PC</v>
      </c>
      <c r="C268" s="21" t="str">
        <f>IFERROR(__xludf.DUMMYFUNCTION("""COMPUTED_VALUE"""),"Touch Controls")</f>
        <v>Touch Controls</v>
      </c>
      <c r="D268" s="21" t="str">
        <f>IFERROR(__xludf.DUMMYFUNCTION("""COMPUTED_VALUE"""),"Active")</f>
        <v>Active</v>
      </c>
      <c r="E268" s="23">
        <f>IFERROR(__xludf.DUMMYFUNCTION("""COMPUTED_VALUE"""),44145.0)</f>
        <v>44145</v>
      </c>
      <c r="F268" s="24"/>
      <c r="G268" s="27">
        <f>IFERROR(__xludf.DUMMYFUNCTION("""COMPUTED_VALUE"""),70.86666666666667)</f>
        <v>70.86666667</v>
      </c>
      <c r="H268" s="23">
        <f>IFERROR(__xludf.DUMMYFUNCTION("""COMPUTED_VALUE"""),40610.0)</f>
        <v>40610</v>
      </c>
      <c r="I268" s="27">
        <f>IFERROR(__xludf.DUMMYFUNCTION("""COMPUTED_VALUE"""),9.672222222222222)</f>
        <v>9.672222222</v>
      </c>
      <c r="J268" s="29">
        <f>IFERROR(__xludf.DUMMYFUNCTION("""COMPUTED_VALUE"""),79.0)</f>
        <v>79</v>
      </c>
      <c r="K268" s="29">
        <f>IFERROR(__xludf.DUMMYFUNCTION("""COMPUTED_VALUE"""),26.5)</f>
        <v>26.5</v>
      </c>
      <c r="L268" s="31" t="str">
        <f>IFERROR(__xludf.DUMMYFUNCTION("""COMPUTED_VALUE"""),"RPG")</f>
        <v>RPG</v>
      </c>
      <c r="M268" s="31" t="str">
        <f>IFERROR(__xludf.DUMMYFUNCTION("""COMPUTED_VALUE"""),"FPS Boost")</f>
        <v>FPS Boost</v>
      </c>
    </row>
    <row r="269">
      <c r="A269" s="17" t="str">
        <f>IFERROR(__xludf.DUMMYFUNCTION("""COMPUTED_VALUE"""),"Perfect Dark")</f>
        <v>Perfect Dark</v>
      </c>
      <c r="B269" s="20" t="str">
        <f>IFERROR(__xludf.DUMMYFUNCTION("""COMPUTED_VALUE"""),"Xbox")</f>
        <v>Xbox</v>
      </c>
      <c r="C269" s="21" t="str">
        <f>IFERROR(__xludf.DUMMYFUNCTION("""COMPUTED_VALUE"""),"Yes")</f>
        <v>Yes</v>
      </c>
      <c r="D269" s="21" t="str">
        <f>IFERROR(__xludf.DUMMYFUNCTION("""COMPUTED_VALUE"""),"Active")</f>
        <v>Active</v>
      </c>
      <c r="E269" s="23">
        <f>IFERROR(__xludf.DUMMYFUNCTION("""COMPUTED_VALUE"""),43636.0)</f>
        <v>43636</v>
      </c>
      <c r="F269" s="24"/>
      <c r="G269" s="27">
        <f>IFERROR(__xludf.DUMMYFUNCTION("""COMPUTED_VALUE"""),87.53333333333333)</f>
        <v>87.53333333</v>
      </c>
      <c r="H269" s="23">
        <f>IFERROR(__xludf.DUMMYFUNCTION("""COMPUTED_VALUE"""),36766.0)</f>
        <v>36766</v>
      </c>
      <c r="I269" s="27">
        <f>IFERROR(__xludf.DUMMYFUNCTION("""COMPUTED_VALUE"""),18.81111111111111)</f>
        <v>18.81111111</v>
      </c>
      <c r="J269" s="29">
        <f>IFERROR(__xludf.DUMMYFUNCTION("""COMPUTED_VALUE"""),79.0)</f>
        <v>79</v>
      </c>
      <c r="K269" s="29">
        <f>IFERROR(__xludf.DUMMYFUNCTION("""COMPUTED_VALUE"""),9.0)</f>
        <v>9</v>
      </c>
      <c r="L269" s="31" t="str">
        <f>IFERROR(__xludf.DUMMYFUNCTION("""COMPUTED_VALUE"""),"Shooter")</f>
        <v>Shooter</v>
      </c>
      <c r="M269" s="31"/>
    </row>
    <row r="270">
      <c r="A270" s="17" t="str">
        <f>IFERROR(__xludf.DUMMYFUNCTION("""COMPUTED_VALUE"""),"Halo Wars 2")</f>
        <v>Halo Wars 2</v>
      </c>
      <c r="B270" s="20" t="str">
        <f>IFERROR(__xludf.DUMMYFUNCTION("""COMPUTED_VALUE"""),"Xbox / PC")</f>
        <v>Xbox / PC</v>
      </c>
      <c r="C270" s="21" t="str">
        <f>IFERROR(__xludf.DUMMYFUNCTION("""COMPUTED_VALUE"""),"Touch Controls")</f>
        <v>Touch Controls</v>
      </c>
      <c r="D270" s="21" t="str">
        <f>IFERROR(__xludf.DUMMYFUNCTION("""COMPUTED_VALUE"""),"Active")</f>
        <v>Active</v>
      </c>
      <c r="E270" s="23">
        <f>IFERROR(__xludf.DUMMYFUNCTION("""COMPUTED_VALUE"""),43132.0)</f>
        <v>43132</v>
      </c>
      <c r="F270" s="24"/>
      <c r="G270" s="27">
        <f>IFERROR(__xludf.DUMMYFUNCTION("""COMPUTED_VALUE"""),104.16666666666666)</f>
        <v>104.1666667</v>
      </c>
      <c r="H270" s="23">
        <f>IFERROR(__xludf.DUMMYFUNCTION("""COMPUTED_VALUE"""),42783.0)</f>
        <v>42783</v>
      </c>
      <c r="I270" s="27">
        <f>IFERROR(__xludf.DUMMYFUNCTION("""COMPUTED_VALUE"""),0.9555555555555556)</f>
        <v>0.9555555556</v>
      </c>
      <c r="J270" s="29">
        <f>IFERROR(__xludf.DUMMYFUNCTION("""COMPUTED_VALUE"""),79.0)</f>
        <v>79</v>
      </c>
      <c r="K270" s="29">
        <f>IFERROR(__xludf.DUMMYFUNCTION("""COMPUTED_VALUE"""),8.0)</f>
        <v>8</v>
      </c>
      <c r="L270" s="31" t="str">
        <f>IFERROR(__xludf.DUMMYFUNCTION("""COMPUTED_VALUE"""),"Real-Time Strategy")</f>
        <v>Real-Time Strategy</v>
      </c>
      <c r="M270" s="31" t="str">
        <f>IFERROR(__xludf.DUMMYFUNCTION("""COMPUTED_VALUE"""),"FPS Boost")</f>
        <v>FPS Boost</v>
      </c>
    </row>
    <row r="271">
      <c r="A271" s="17" t="str">
        <f>IFERROR(__xludf.DUMMYFUNCTION("""COMPUTED_VALUE"""),"Banjo-Kazooie: Nuts &amp; Bolts")</f>
        <v>Banjo-Kazooie: Nuts &amp; Bolts</v>
      </c>
      <c r="B271" s="20" t="str">
        <f>IFERROR(__xludf.DUMMYFUNCTION("""COMPUTED_VALUE"""),"Xbox")</f>
        <v>Xbox</v>
      </c>
      <c r="C271" s="21" t="str">
        <f>IFERROR(__xludf.DUMMYFUNCTION("""COMPUTED_VALUE"""),"Yes")</f>
        <v>Yes</v>
      </c>
      <c r="D271" s="21" t="str">
        <f>IFERROR(__xludf.DUMMYFUNCTION("""COMPUTED_VALUE"""),"Active")</f>
        <v>Active</v>
      </c>
      <c r="E271" s="23">
        <f>IFERROR(__xludf.DUMMYFUNCTION("""COMPUTED_VALUE"""),42887.0)</f>
        <v>42887</v>
      </c>
      <c r="F271" s="24"/>
      <c r="G271" s="27">
        <f>IFERROR(__xludf.DUMMYFUNCTION("""COMPUTED_VALUE"""),112.16666666666666)</f>
        <v>112.1666667</v>
      </c>
      <c r="H271" s="23">
        <f>IFERROR(__xludf.DUMMYFUNCTION("""COMPUTED_VALUE"""),39763.0)</f>
        <v>39763</v>
      </c>
      <c r="I271" s="27">
        <f>IFERROR(__xludf.DUMMYFUNCTION("""COMPUTED_VALUE"""),8.555555555555555)</f>
        <v>8.555555556</v>
      </c>
      <c r="J271" s="29">
        <f>IFERROR(__xludf.DUMMYFUNCTION("""COMPUTED_VALUE"""),79.0)</f>
        <v>79</v>
      </c>
      <c r="K271" s="29">
        <f>IFERROR(__xludf.DUMMYFUNCTION("""COMPUTED_VALUE"""),15.5)</f>
        <v>15.5</v>
      </c>
      <c r="L271" s="31" t="str">
        <f>IFERROR(__xludf.DUMMYFUNCTION("""COMPUTED_VALUE"""),"Adventure")</f>
        <v>Adventure</v>
      </c>
      <c r="M271" s="31"/>
    </row>
    <row r="272">
      <c r="A272" s="17" t="str">
        <f>IFERROR(__xludf.DUMMYFUNCTION("""COMPUTED_VALUE"""),"Gears of War: Judgment")</f>
        <v>Gears of War: Judgment</v>
      </c>
      <c r="B272" s="20" t="str">
        <f>IFERROR(__xludf.DUMMYFUNCTION("""COMPUTED_VALUE"""),"Xbox")</f>
        <v>Xbox</v>
      </c>
      <c r="C272" s="21" t="str">
        <f>IFERROR(__xludf.DUMMYFUNCTION("""COMPUTED_VALUE"""),"Yes")</f>
        <v>Yes</v>
      </c>
      <c r="D272" s="21" t="str">
        <f>IFERROR(__xludf.DUMMYFUNCTION("""COMPUTED_VALUE"""),"Active")</f>
        <v>Active</v>
      </c>
      <c r="E272" s="23">
        <f>IFERROR(__xludf.DUMMYFUNCTION("""COMPUTED_VALUE"""),42887.0)</f>
        <v>42887</v>
      </c>
      <c r="F272" s="24"/>
      <c r="G272" s="27">
        <f>IFERROR(__xludf.DUMMYFUNCTION("""COMPUTED_VALUE"""),112.16666666666666)</f>
        <v>112.1666667</v>
      </c>
      <c r="H272" s="23">
        <f>IFERROR(__xludf.DUMMYFUNCTION("""COMPUTED_VALUE"""),41352.0)</f>
        <v>41352</v>
      </c>
      <c r="I272" s="27">
        <f>IFERROR(__xludf.DUMMYFUNCTION("""COMPUTED_VALUE"""),4.2)</f>
        <v>4.2</v>
      </c>
      <c r="J272" s="29">
        <f>IFERROR(__xludf.DUMMYFUNCTION("""COMPUTED_VALUE"""),79.0)</f>
        <v>79</v>
      </c>
      <c r="K272" s="29">
        <f>IFERROR(__xludf.DUMMYFUNCTION("""COMPUTED_VALUE"""),7.0)</f>
        <v>7</v>
      </c>
      <c r="L272" s="31" t="str">
        <f>IFERROR(__xludf.DUMMYFUNCTION("""COMPUTED_VALUE"""),"Shooter")</f>
        <v>Shooter</v>
      </c>
      <c r="M272" s="31" t="str">
        <f>IFERROR(__xludf.DUMMYFUNCTION("""COMPUTED_VALUE"""),"FPS Boost")</f>
        <v>FPS Boost</v>
      </c>
    </row>
    <row r="273">
      <c r="A273" s="17" t="str">
        <f>IFERROR(__xludf.DUMMYFUNCTION("""COMPUTED_VALUE"""),"Kameo: Elements of Power")</f>
        <v>Kameo: Elements of Power</v>
      </c>
      <c r="B273" s="20" t="str">
        <f>IFERROR(__xludf.DUMMYFUNCTION("""COMPUTED_VALUE"""),"Xbox")</f>
        <v>Xbox</v>
      </c>
      <c r="C273" s="21" t="str">
        <f>IFERROR(__xludf.DUMMYFUNCTION("""COMPUTED_VALUE"""),"Yes")</f>
        <v>Yes</v>
      </c>
      <c r="D273" s="21" t="str">
        <f>IFERROR(__xludf.DUMMYFUNCTION("""COMPUTED_VALUE"""),"Active")</f>
        <v>Active</v>
      </c>
      <c r="E273" s="23">
        <f>IFERROR(__xludf.DUMMYFUNCTION("""COMPUTED_VALUE"""),42887.0)</f>
        <v>42887</v>
      </c>
      <c r="F273" s="24"/>
      <c r="G273" s="27">
        <f>IFERROR(__xludf.DUMMYFUNCTION("""COMPUTED_VALUE"""),112.16666666666666)</f>
        <v>112.1666667</v>
      </c>
      <c r="H273" s="23">
        <f>IFERROR(__xludf.DUMMYFUNCTION("""COMPUTED_VALUE"""),38670.0)</f>
        <v>38670</v>
      </c>
      <c r="I273" s="27">
        <f>IFERROR(__xludf.DUMMYFUNCTION("""COMPUTED_VALUE"""),11.547222222222222)</f>
        <v>11.54722222</v>
      </c>
      <c r="J273" s="29">
        <f>IFERROR(__xludf.DUMMYFUNCTION("""COMPUTED_VALUE"""),79.0)</f>
        <v>79</v>
      </c>
      <c r="K273" s="29">
        <f>IFERROR(__xludf.DUMMYFUNCTION("""COMPUTED_VALUE"""),9.5)</f>
        <v>9.5</v>
      </c>
      <c r="L273" s="31" t="str">
        <f>IFERROR(__xludf.DUMMYFUNCTION("""COMPUTED_VALUE"""),"Action-Adventure")</f>
        <v>Action-Adventure</v>
      </c>
      <c r="M273" s="31" t="str">
        <f>IFERROR(__xludf.DUMMYFUNCTION("""COMPUTED_VALUE"""),"FPS Boost")</f>
        <v>FPS Boost</v>
      </c>
    </row>
    <row r="274">
      <c r="A274" s="17" t="str">
        <f>IFERROR(__xludf.DUMMYFUNCTION("""COMPUTED_VALUE"""),"Pacific Drive")</f>
        <v>Pacific Drive</v>
      </c>
      <c r="B274" s="20" t="str">
        <f>IFERROR(__xludf.DUMMYFUNCTION("""COMPUTED_VALUE"""),"Xbox / PC")</f>
        <v>Xbox / PC</v>
      </c>
      <c r="C274" s="21" t="str">
        <f>IFERROR(__xludf.DUMMYFUNCTION("""COMPUTED_VALUE"""),"Yes")</f>
        <v>Yes</v>
      </c>
      <c r="D274" s="21" t="str">
        <f>IFERROR(__xludf.DUMMYFUNCTION("""COMPUTED_VALUE"""),"Leaving Soon")</f>
        <v>Leaving Soon</v>
      </c>
      <c r="E274" s="23">
        <f>IFERROR(__xludf.DUMMYFUNCTION("""COMPUTED_VALUE"""),45953.0)</f>
        <v>45953</v>
      </c>
      <c r="F274" s="24">
        <f>IFERROR(__xludf.DUMMYFUNCTION("""COMPUTED_VALUE"""),46310.0)</f>
        <v>46310</v>
      </c>
      <c r="G274" s="27">
        <f>IFERROR(__xludf.DUMMYFUNCTION("""COMPUTED_VALUE"""),11.733333333333333)</f>
        <v>11.73333333</v>
      </c>
      <c r="H274" s="23">
        <f>IFERROR(__xludf.DUMMYFUNCTION("""COMPUTED_VALUE"""),45343.0)</f>
        <v>45343</v>
      </c>
      <c r="I274" s="27">
        <f>IFERROR(__xludf.DUMMYFUNCTION("""COMPUTED_VALUE"""),1.6722222222222223)</f>
        <v>1.672222222</v>
      </c>
      <c r="J274" s="29">
        <f>IFERROR(__xludf.DUMMYFUNCTION("""COMPUTED_VALUE"""),79.0)</f>
        <v>79</v>
      </c>
      <c r="K274" s="29">
        <f>IFERROR(__xludf.DUMMYFUNCTION("""COMPUTED_VALUE"""),20.0)</f>
        <v>20</v>
      </c>
      <c r="L274" s="31" t="str">
        <f>IFERROR(__xludf.DUMMYFUNCTION("""COMPUTED_VALUE"""),"Racing")</f>
        <v>Racing</v>
      </c>
      <c r="M274" s="31" t="str">
        <f>IFERROR(__xludf.DUMMYFUNCTION("""COMPUTED_VALUE"""),"Exclusive")</f>
        <v>Exclusive</v>
      </c>
    </row>
    <row r="275">
      <c r="A275" s="17" t="str">
        <f>IFERROR(__xludf.DUMMYFUNCTION("""COMPUTED_VALUE"""),"Star Wars Squadrons")</f>
        <v>Star Wars Squadrons</v>
      </c>
      <c r="B275" s="20" t="str">
        <f>IFERROR(__xludf.DUMMYFUNCTION("""COMPUTED_VALUE"""),"Xbox / PC")</f>
        <v>Xbox / PC</v>
      </c>
      <c r="C275" s="21" t="str">
        <f>IFERROR(__xludf.DUMMYFUNCTION("""COMPUTED_VALUE"""),"Touch Controls")</f>
        <v>Touch Controls</v>
      </c>
      <c r="D275" s="21" t="str">
        <f>IFERROR(__xludf.DUMMYFUNCTION("""COMPUTED_VALUE"""),"Active")</f>
        <v>Active</v>
      </c>
      <c r="E275" s="23">
        <f>IFERROR(__xludf.DUMMYFUNCTION("""COMPUTED_VALUE"""),44273.0)</f>
        <v>44273</v>
      </c>
      <c r="F275" s="24"/>
      <c r="G275" s="27">
        <f>IFERROR(__xludf.DUMMYFUNCTION("""COMPUTED_VALUE"""),66.6)</f>
        <v>66.6</v>
      </c>
      <c r="H275" s="23">
        <f>IFERROR(__xludf.DUMMYFUNCTION("""COMPUTED_VALUE"""),44106.0)</f>
        <v>44106</v>
      </c>
      <c r="I275" s="27">
        <f>IFERROR(__xludf.DUMMYFUNCTION("""COMPUTED_VALUE"""),0.46111111111111114)</f>
        <v>0.4611111111</v>
      </c>
      <c r="J275" s="29">
        <f>IFERROR(__xludf.DUMMYFUNCTION("""COMPUTED_VALUE"""),78.5)</f>
        <v>78.5</v>
      </c>
      <c r="K275" s="29">
        <f>IFERROR(__xludf.DUMMYFUNCTION("""COMPUTED_VALUE"""),9.0)</f>
        <v>9</v>
      </c>
      <c r="L275" s="31" t="str">
        <f>IFERROR(__xludf.DUMMYFUNCTION("""COMPUTED_VALUE"""),"Flight")</f>
        <v>Flight</v>
      </c>
      <c r="M275" s="31" t="str">
        <f>IFERROR(__xludf.DUMMYFUNCTION("""COMPUTED_VALUE"""),"Optimized")</f>
        <v>Optimized</v>
      </c>
    </row>
    <row r="276">
      <c r="A276" s="17" t="str">
        <f>IFERROR(__xludf.DUMMYFUNCTION("""COMPUTED_VALUE"""),"Dune: Awakening")</f>
        <v>Dune: Awakening</v>
      </c>
      <c r="B276" s="20" t="str">
        <f>IFERROR(__xludf.DUMMYFUNCTION("""COMPUTED_VALUE"""),"Xbox / PC")</f>
        <v>Xbox / PC</v>
      </c>
      <c r="C276" s="21" t="str">
        <f>IFERROR(__xludf.DUMMYFUNCTION("""COMPUTED_VALUE"""),"Yes")</f>
        <v>Yes</v>
      </c>
      <c r="D276" s="21" t="str">
        <f>IFERROR(__xludf.DUMMYFUNCTION("""COMPUTED_VALUE"""),"Active")</f>
        <v>Active</v>
      </c>
      <c r="E276" s="23">
        <f>IFERROR(__xludf.DUMMYFUNCTION("""COMPUTED_VALUE"""),46287.0)</f>
        <v>46287</v>
      </c>
      <c r="F276" s="24"/>
      <c r="G276" s="27">
        <f>IFERROR(__xludf.DUMMYFUNCTION("""COMPUTED_VALUE"""),0.4666666666666667)</f>
        <v>0.4666666667</v>
      </c>
      <c r="H276" s="23">
        <f>IFERROR(__xludf.DUMMYFUNCTION("""COMPUTED_VALUE"""),45818.0)</f>
        <v>45818</v>
      </c>
      <c r="I276" s="27">
        <f>IFERROR(__xludf.DUMMYFUNCTION("""COMPUTED_VALUE"""),1.2833333333333334)</f>
        <v>1.283333333</v>
      </c>
      <c r="J276" s="29">
        <f>IFERROR(__xludf.DUMMYFUNCTION("""COMPUTED_VALUE"""),78.0)</f>
        <v>78</v>
      </c>
      <c r="K276" s="29">
        <f>IFERROR(__xludf.DUMMYFUNCTION("""COMPUTED_VALUE"""),114.0)</f>
        <v>114</v>
      </c>
      <c r="L276" s="31" t="str">
        <f>IFERROR(__xludf.DUMMYFUNCTION("""COMPUTED_VALUE"""),"Action-Adventure")</f>
        <v>Action-Adventure</v>
      </c>
      <c r="M276" s="31" t="str">
        <f>IFERROR(__xludf.DUMMYFUNCTION("""COMPUTED_VALUE"""),"Exclusive")</f>
        <v>Exclusive</v>
      </c>
    </row>
    <row r="277">
      <c r="A277" s="17" t="str">
        <f>IFERROR(__xludf.DUMMYFUNCTION("""COMPUTED_VALUE"""),"Virtua Fighter 5 R.E.V.O. World Stage")</f>
        <v>Virtua Fighter 5 R.E.V.O. World Stage</v>
      </c>
      <c r="B277" s="20" t="str">
        <f>IFERROR(__xludf.DUMMYFUNCTION("""COMPUTED_VALUE"""),"Xbox / PC")</f>
        <v>Xbox / PC</v>
      </c>
      <c r="C277" s="21" t="str">
        <f>IFERROR(__xludf.DUMMYFUNCTION("""COMPUTED_VALUE"""),"Yes")</f>
        <v>Yes</v>
      </c>
      <c r="D277" s="21" t="str">
        <f>IFERROR(__xludf.DUMMYFUNCTION("""COMPUTED_VALUE"""),"Active")</f>
        <v>Active</v>
      </c>
      <c r="E277" s="23">
        <f>IFERROR(__xludf.DUMMYFUNCTION("""COMPUTED_VALUE"""),46275.0)</f>
        <v>46275</v>
      </c>
      <c r="F277" s="24"/>
      <c r="G277" s="27">
        <f>IFERROR(__xludf.DUMMYFUNCTION("""COMPUTED_VALUE"""),0.8666666666666666)</f>
        <v>0.8666666667</v>
      </c>
      <c r="H277" s="23">
        <f>IFERROR(__xludf.DUMMYFUNCTION("""COMPUTED_VALUE"""),45960.0)</f>
        <v>45960</v>
      </c>
      <c r="I277" s="27">
        <f>IFERROR(__xludf.DUMMYFUNCTION("""COMPUTED_VALUE"""),0.8611111111111112)</f>
        <v>0.8611111111</v>
      </c>
      <c r="J277" s="29">
        <f>IFERROR(__xludf.DUMMYFUNCTION("""COMPUTED_VALUE"""),78.0)</f>
        <v>78</v>
      </c>
      <c r="K277" s="29">
        <f>IFERROR(__xludf.DUMMYFUNCTION("""COMPUTED_VALUE"""),1.0)</f>
        <v>1</v>
      </c>
      <c r="L277" s="31" t="str">
        <f>IFERROR(__xludf.DUMMYFUNCTION("""COMPUTED_VALUE"""),"Fighting")</f>
        <v>Fighting</v>
      </c>
      <c r="M277" s="31" t="str">
        <f>IFERROR(__xludf.DUMMYFUNCTION("""COMPUTED_VALUE"""),"Exclusive")</f>
        <v>Exclusive</v>
      </c>
    </row>
    <row r="278">
      <c r="A278" s="17" t="str">
        <f>IFERROR(__xludf.DUMMYFUNCTION("""COMPUTED_VALUE"""),"Resonance: A Plague Tale Legacy")</f>
        <v>Resonance: A Plague Tale Legacy</v>
      </c>
      <c r="B278" s="20" t="str">
        <f>IFERROR(__xludf.DUMMYFUNCTION("""COMPUTED_VALUE"""),"Xbox / PC")</f>
        <v>Xbox / PC</v>
      </c>
      <c r="C278" s="21" t="str">
        <f>IFERROR(__xludf.DUMMYFUNCTION("""COMPUTED_VALUE"""),"Yes")</f>
        <v>Yes</v>
      </c>
      <c r="D278" s="21" t="str">
        <f>IFERROR(__xludf.DUMMYFUNCTION("""COMPUTED_VALUE"""),"Active")</f>
        <v>Active</v>
      </c>
      <c r="E278" s="23">
        <f>IFERROR(__xludf.DUMMYFUNCTION("""COMPUTED_VALUE"""),46261.0)</f>
        <v>46261</v>
      </c>
      <c r="F278" s="24"/>
      <c r="G278" s="27">
        <f>IFERROR(__xludf.DUMMYFUNCTION("""COMPUTED_VALUE"""),1.3)</f>
        <v>1.3</v>
      </c>
      <c r="H278" s="23">
        <f>IFERROR(__xludf.DUMMYFUNCTION("""COMPUTED_VALUE"""),46261.0)</f>
        <v>46261</v>
      </c>
      <c r="I278" s="27">
        <f>IFERROR(__xludf.DUMMYFUNCTION("""COMPUTED_VALUE"""),0.0)</f>
        <v>0</v>
      </c>
      <c r="J278" s="29">
        <f>IFERROR(__xludf.DUMMYFUNCTION("""COMPUTED_VALUE"""),78.0)</f>
        <v>78</v>
      </c>
      <c r="K278" s="29">
        <f>IFERROR(__xludf.DUMMYFUNCTION("""COMPUTED_VALUE"""),12.0)</f>
        <v>12</v>
      </c>
      <c r="L278" s="31" t="str">
        <f>IFERROR(__xludf.DUMMYFUNCTION("""COMPUTED_VALUE"""),"Action-Adventure")</f>
        <v>Action-Adventure</v>
      </c>
      <c r="M278" s="31" t="str">
        <f>IFERROR(__xludf.DUMMYFUNCTION("""COMPUTED_VALUE"""),"Exclusive")</f>
        <v>Exclusive</v>
      </c>
    </row>
    <row r="279">
      <c r="A279" s="17" t="str">
        <f>IFERROR(__xludf.DUMMYFUNCTION("""COMPUTED_VALUE"""),"Date Everything!")</f>
        <v>Date Everything!</v>
      </c>
      <c r="B279" s="20" t="str">
        <f>IFERROR(__xludf.DUMMYFUNCTION("""COMPUTED_VALUE"""),"Xbox / PC")</f>
        <v>Xbox / PC</v>
      </c>
      <c r="C279" s="21" t="str">
        <f>IFERROR(__xludf.DUMMYFUNCTION("""COMPUTED_VALUE"""),"Yes")</f>
        <v>Yes</v>
      </c>
      <c r="D279" s="21" t="str">
        <f>IFERROR(__xludf.DUMMYFUNCTION("""COMPUTED_VALUE"""),"Active")</f>
        <v>Active</v>
      </c>
      <c r="E279" s="23">
        <f>IFERROR(__xludf.DUMMYFUNCTION("""COMPUTED_VALUE"""),46245.0)</f>
        <v>46245</v>
      </c>
      <c r="F279" s="24"/>
      <c r="G279" s="27">
        <f>IFERROR(__xludf.DUMMYFUNCTION("""COMPUTED_VALUE"""),1.8333333333333335)</f>
        <v>1.833333333</v>
      </c>
      <c r="H279" s="23">
        <f>IFERROR(__xludf.DUMMYFUNCTION("""COMPUTED_VALUE"""),45825.0)</f>
        <v>45825</v>
      </c>
      <c r="I279" s="27">
        <f>IFERROR(__xludf.DUMMYFUNCTION("""COMPUTED_VALUE"""),1.15)</f>
        <v>1.15</v>
      </c>
      <c r="J279" s="29">
        <f>IFERROR(__xludf.DUMMYFUNCTION("""COMPUTED_VALUE"""),78.0)</f>
        <v>78</v>
      </c>
      <c r="K279" s="29">
        <f>IFERROR(__xludf.DUMMYFUNCTION("""COMPUTED_VALUE"""),15.0)</f>
        <v>15</v>
      </c>
      <c r="L279" s="31" t="str">
        <f>IFERROR(__xludf.DUMMYFUNCTION("""COMPUTED_VALUE"""),"Simulation")</f>
        <v>Simulation</v>
      </c>
      <c r="M279" s="31" t="str">
        <f>IFERROR(__xludf.DUMMYFUNCTION("""COMPUTED_VALUE"""),"Exclusive")</f>
        <v>Exclusive</v>
      </c>
    </row>
    <row r="280">
      <c r="A280" s="17" t="str">
        <f>IFERROR(__xludf.DUMMYFUNCTION("""COMPUTED_VALUE"""),"Mavrix by Matt Jones")</f>
        <v>Mavrix by Matt Jones</v>
      </c>
      <c r="B280" s="20" t="str">
        <f>IFERROR(__xludf.DUMMYFUNCTION("""COMPUTED_VALUE"""),"Xbox / PC")</f>
        <v>Xbox / PC</v>
      </c>
      <c r="C280" s="21" t="str">
        <f>IFERROR(__xludf.DUMMYFUNCTION("""COMPUTED_VALUE"""),"Yes")</f>
        <v>Yes</v>
      </c>
      <c r="D280" s="21" t="str">
        <f>IFERROR(__xludf.DUMMYFUNCTION("""COMPUTED_VALUE"""),"Active")</f>
        <v>Active</v>
      </c>
      <c r="E280" s="23">
        <f>IFERROR(__xludf.DUMMYFUNCTION("""COMPUTED_VALUE"""),46219.0)</f>
        <v>46219</v>
      </c>
      <c r="F280" s="24"/>
      <c r="G280" s="27">
        <f>IFERROR(__xludf.DUMMYFUNCTION("""COMPUTED_VALUE"""),2.6666666666666665)</f>
        <v>2.666666667</v>
      </c>
      <c r="H280" s="23">
        <f>IFERROR(__xludf.DUMMYFUNCTION("""COMPUTED_VALUE"""),46219.0)</f>
        <v>46219</v>
      </c>
      <c r="I280" s="27">
        <f>IFERROR(__xludf.DUMMYFUNCTION("""COMPUTED_VALUE"""),0.0)</f>
        <v>0</v>
      </c>
      <c r="J280" s="29">
        <f>IFERROR(__xludf.DUMMYFUNCTION("""COMPUTED_VALUE"""),78.0)</f>
        <v>78</v>
      </c>
      <c r="K280" s="29"/>
      <c r="L280" s="31" t="str">
        <f>IFERROR(__xludf.DUMMYFUNCTION("""COMPUTED_VALUE"""),"Racing")</f>
        <v>Racing</v>
      </c>
      <c r="M280" s="31" t="str">
        <f>IFERROR(__xludf.DUMMYFUNCTION("""COMPUTED_VALUE"""),"Exclusive")</f>
        <v>Exclusive</v>
      </c>
    </row>
    <row r="281">
      <c r="A281" s="17" t="str">
        <f>IFERROR(__xludf.DUMMYFUNCTION("""COMPUTED_VALUE"""),"Junkster")</f>
        <v>Junkster</v>
      </c>
      <c r="B281" s="20" t="str">
        <f>IFERROR(__xludf.DUMMYFUNCTION("""COMPUTED_VALUE"""),"Xbox / PC")</f>
        <v>Xbox / PC</v>
      </c>
      <c r="C281" s="21" t="str">
        <f>IFERROR(__xludf.DUMMYFUNCTION("""COMPUTED_VALUE"""),"Yes")</f>
        <v>Yes</v>
      </c>
      <c r="D281" s="21" t="str">
        <f>IFERROR(__xludf.DUMMYFUNCTION("""COMPUTED_VALUE"""),"Active")</f>
        <v>Active</v>
      </c>
      <c r="E281" s="23">
        <f>IFERROR(__xludf.DUMMYFUNCTION("""COMPUTED_VALUE"""),46189.0)</f>
        <v>46189</v>
      </c>
      <c r="F281" s="24"/>
      <c r="G281" s="27">
        <f>IFERROR(__xludf.DUMMYFUNCTION("""COMPUTED_VALUE"""),3.666666666666667)</f>
        <v>3.666666667</v>
      </c>
      <c r="H281" s="23">
        <f>IFERROR(__xludf.DUMMYFUNCTION("""COMPUTED_VALUE"""),46189.0)</f>
        <v>46189</v>
      </c>
      <c r="I281" s="27">
        <f>IFERROR(__xludf.DUMMYFUNCTION("""COMPUTED_VALUE"""),0.0)</f>
        <v>0</v>
      </c>
      <c r="J281" s="29">
        <f>IFERROR(__xludf.DUMMYFUNCTION("""COMPUTED_VALUE"""),78.0)</f>
        <v>78</v>
      </c>
      <c r="K281" s="29">
        <f>IFERROR(__xludf.DUMMYFUNCTION("""COMPUTED_VALUE"""),4.0)</f>
        <v>4</v>
      </c>
      <c r="L281" s="31" t="str">
        <f>IFERROR(__xludf.DUMMYFUNCTION("""COMPUTED_VALUE"""),"Action-Adventure")</f>
        <v>Action-Adventure</v>
      </c>
      <c r="M281" s="31" t="str">
        <f>IFERROR(__xludf.DUMMYFUNCTION("""COMPUTED_VALUE"""),"Exclusive")</f>
        <v>Exclusive</v>
      </c>
    </row>
    <row r="282">
      <c r="A282" s="17" t="str">
        <f>IFERROR(__xludf.DUMMYFUNCTION("""COMPUTED_VALUE"""),"Kabuto Park")</f>
        <v>Kabuto Park</v>
      </c>
      <c r="B282" s="20" t="str">
        <f>IFERROR(__xludf.DUMMYFUNCTION("""COMPUTED_VALUE"""),"Xbox / PC")</f>
        <v>Xbox / PC</v>
      </c>
      <c r="C282" s="21" t="str">
        <f>IFERROR(__xludf.DUMMYFUNCTION("""COMPUTED_VALUE"""),"Yes")</f>
        <v>Yes</v>
      </c>
      <c r="D282" s="21" t="str">
        <f>IFERROR(__xludf.DUMMYFUNCTION("""COMPUTED_VALUE"""),"Active")</f>
        <v>Active</v>
      </c>
      <c r="E282" s="23">
        <f>IFERROR(__xludf.DUMMYFUNCTION("""COMPUTED_VALUE"""),46170.0)</f>
        <v>46170</v>
      </c>
      <c r="F282" s="24"/>
      <c r="G282" s="27">
        <f>IFERROR(__xludf.DUMMYFUNCTION("""COMPUTED_VALUE"""),4.266666666666667)</f>
        <v>4.266666667</v>
      </c>
      <c r="H282" s="23">
        <f>IFERROR(__xludf.DUMMYFUNCTION("""COMPUTED_VALUE"""),46170.0)</f>
        <v>46170</v>
      </c>
      <c r="I282" s="27">
        <f>IFERROR(__xludf.DUMMYFUNCTION("""COMPUTED_VALUE"""),0.0)</f>
        <v>0</v>
      </c>
      <c r="J282" s="29">
        <f>IFERROR(__xludf.DUMMYFUNCTION("""COMPUTED_VALUE"""),78.0)</f>
        <v>78</v>
      </c>
      <c r="K282" s="29">
        <f>IFERROR(__xludf.DUMMYFUNCTION("""COMPUTED_VALUE"""),2.0)</f>
        <v>2</v>
      </c>
      <c r="L282" s="31" t="str">
        <f>IFERROR(__xludf.DUMMYFUNCTION("""COMPUTED_VALUE"""),"Simulation")</f>
        <v>Simulation</v>
      </c>
      <c r="M282" s="31" t="str">
        <f>IFERROR(__xludf.DUMMYFUNCTION("""COMPUTED_VALUE"""),"Exclusive")</f>
        <v>Exclusive</v>
      </c>
    </row>
    <row r="283">
      <c r="A283" s="17" t="str">
        <f>IFERROR(__xludf.DUMMYFUNCTION("""COMPUTED_VALUE"""),"Kingdom Come: Deliverance")</f>
        <v>Kingdom Come: Deliverance</v>
      </c>
      <c r="B283" s="20" t="str">
        <f>IFERROR(__xludf.DUMMYFUNCTION("""COMPUTED_VALUE"""),"Xbox / PC")</f>
        <v>Xbox / PC</v>
      </c>
      <c r="C283" s="21" t="str">
        <f>IFERROR(__xludf.DUMMYFUNCTION("""COMPUTED_VALUE"""),"Yes")</f>
        <v>Yes</v>
      </c>
      <c r="D283" s="21" t="str">
        <f>IFERROR(__xludf.DUMMYFUNCTION("""COMPUTED_VALUE"""),"Active")</f>
        <v>Active</v>
      </c>
      <c r="E283" s="23">
        <f>IFERROR(__xludf.DUMMYFUNCTION("""COMPUTED_VALUE"""),46066.0)</f>
        <v>46066</v>
      </c>
      <c r="F283" s="24"/>
      <c r="G283" s="27">
        <f>IFERROR(__xludf.DUMMYFUNCTION("""COMPUTED_VALUE"""),7.7666666666666675)</f>
        <v>7.766666667</v>
      </c>
      <c r="H283" s="23">
        <f>IFERROR(__xludf.DUMMYFUNCTION("""COMPUTED_VALUE"""),43144.0)</f>
        <v>43144</v>
      </c>
      <c r="I283" s="27">
        <f>IFERROR(__xludf.DUMMYFUNCTION("""COMPUTED_VALUE"""),8.0)</f>
        <v>8</v>
      </c>
      <c r="J283" s="29">
        <f>IFERROR(__xludf.DUMMYFUNCTION("""COMPUTED_VALUE"""),78.0)</f>
        <v>78</v>
      </c>
      <c r="K283" s="29">
        <f>IFERROR(__xludf.DUMMYFUNCTION("""COMPUTED_VALUE"""),50.0)</f>
        <v>50</v>
      </c>
      <c r="L283" s="31" t="str">
        <f>IFERROR(__xludf.DUMMYFUNCTION("""COMPUTED_VALUE"""),"Action-Adventure")</f>
        <v>Action-Adventure</v>
      </c>
      <c r="M283" s="31"/>
    </row>
    <row r="284">
      <c r="A284" s="17" t="str">
        <f>IFERROR(__xludf.DUMMYFUNCTION("""COMPUTED_VALUE"""),"Banishers: Ghosts of New Eden")</f>
        <v>Banishers: Ghosts of New Eden</v>
      </c>
      <c r="B284" s="20" t="str">
        <f>IFERROR(__xludf.DUMMYFUNCTION("""COMPUTED_VALUE"""),"Xbox / PC")</f>
        <v>Xbox / PC</v>
      </c>
      <c r="C284" s="21" t="str">
        <f>IFERROR(__xludf.DUMMYFUNCTION("""COMPUTED_VALUE"""),"Yes")</f>
        <v>Yes</v>
      </c>
      <c r="D284" s="21" t="str">
        <f>IFERROR(__xludf.DUMMYFUNCTION("""COMPUTED_VALUE"""),"Active")</f>
        <v>Active</v>
      </c>
      <c r="E284" s="23">
        <f>IFERROR(__xludf.DUMMYFUNCTION("""COMPUTED_VALUE"""),45986.0)</f>
        <v>45986</v>
      </c>
      <c r="F284" s="24"/>
      <c r="G284" s="27">
        <f>IFERROR(__xludf.DUMMYFUNCTION("""COMPUTED_VALUE"""),10.366666666666667)</f>
        <v>10.36666667</v>
      </c>
      <c r="H284" s="23">
        <f>IFERROR(__xludf.DUMMYFUNCTION("""COMPUTED_VALUE"""),45335.0)</f>
        <v>45335</v>
      </c>
      <c r="I284" s="27">
        <f>IFERROR(__xludf.DUMMYFUNCTION("""COMPUTED_VALUE"""),1.7833333333333334)</f>
        <v>1.783333333</v>
      </c>
      <c r="J284" s="29">
        <f>IFERROR(__xludf.DUMMYFUNCTION("""COMPUTED_VALUE"""),78.0)</f>
        <v>78</v>
      </c>
      <c r="K284" s="29">
        <f>IFERROR(__xludf.DUMMYFUNCTION("""COMPUTED_VALUE"""),27.0)</f>
        <v>27</v>
      </c>
      <c r="L284" s="31" t="str">
        <f>IFERROR(__xludf.DUMMYFUNCTION("""COMPUTED_VALUE"""),"Action-Adventure")</f>
        <v>Action-Adventure</v>
      </c>
      <c r="M284" s="31" t="str">
        <f>IFERROR(__xludf.DUMMYFUNCTION("""COMPUTED_VALUE"""),"Exclusive")</f>
        <v>Exclusive</v>
      </c>
    </row>
    <row r="285">
      <c r="A285" s="17" t="str">
        <f>IFERROR(__xludf.DUMMYFUNCTION("""COMPUTED_VALUE"""),"The Colonel's Bequest")</f>
        <v>The Colonel's Bequest</v>
      </c>
      <c r="B285" s="20" t="str">
        <f>IFERROR(__xludf.DUMMYFUNCTION("""COMPUTED_VALUE"""),"Xbox / PC")</f>
        <v>Xbox / PC</v>
      </c>
      <c r="C285" s="21" t="str">
        <f>IFERROR(__xludf.DUMMYFUNCTION("""COMPUTED_VALUE"""),"Yes")</f>
        <v>Yes</v>
      </c>
      <c r="D285" s="21" t="str">
        <f>IFERROR(__xludf.DUMMYFUNCTION("""COMPUTED_VALUE"""),"Active")</f>
        <v>Active</v>
      </c>
      <c r="E285" s="23">
        <f>IFERROR(__xludf.DUMMYFUNCTION("""COMPUTED_VALUE"""),45883.0)</f>
        <v>45883</v>
      </c>
      <c r="F285" s="24"/>
      <c r="G285" s="27">
        <f>IFERROR(__xludf.DUMMYFUNCTION("""COMPUTED_VALUE"""),13.733333333333333)</f>
        <v>13.73333333</v>
      </c>
      <c r="H285" s="23">
        <f>IFERROR(__xludf.DUMMYFUNCTION("""COMPUTED_VALUE"""),32782.0)</f>
        <v>32782</v>
      </c>
      <c r="I285" s="27">
        <f>IFERROR(__xludf.DUMMYFUNCTION("""COMPUTED_VALUE"""),35.86944444444445)</f>
        <v>35.86944444</v>
      </c>
      <c r="J285" s="29">
        <f>IFERROR(__xludf.DUMMYFUNCTION("""COMPUTED_VALUE"""),78.0)</f>
        <v>78</v>
      </c>
      <c r="K285" s="29">
        <f>IFERROR(__xludf.DUMMYFUNCTION("""COMPUTED_VALUE"""),3.5)</f>
        <v>3.5</v>
      </c>
      <c r="L285" s="31" t="str">
        <f>IFERROR(__xludf.DUMMYFUNCTION("""COMPUTED_VALUE"""),"Action-Adventure")</f>
        <v>Action-Adventure</v>
      </c>
      <c r="M285" s="31"/>
    </row>
    <row r="286">
      <c r="A286" s="17" t="str">
        <f>IFERROR(__xludf.DUMMYFUNCTION("""COMPUTED_VALUE"""),"Rematch")</f>
        <v>Rematch</v>
      </c>
      <c r="B286" s="20" t="str">
        <f>IFERROR(__xludf.DUMMYFUNCTION("""COMPUTED_VALUE"""),"Xbox / PC")</f>
        <v>Xbox / PC</v>
      </c>
      <c r="C286" s="21" t="str">
        <f>IFERROR(__xludf.DUMMYFUNCTION("""COMPUTED_VALUE"""),"Yes")</f>
        <v>Yes</v>
      </c>
      <c r="D286" s="21" t="str">
        <f>IFERROR(__xludf.DUMMYFUNCTION("""COMPUTED_VALUE"""),"Active")</f>
        <v>Active</v>
      </c>
      <c r="E286" s="23">
        <f>IFERROR(__xludf.DUMMYFUNCTION("""COMPUTED_VALUE"""),45827.0)</f>
        <v>45827</v>
      </c>
      <c r="F286" s="24"/>
      <c r="G286" s="27">
        <f>IFERROR(__xludf.DUMMYFUNCTION("""COMPUTED_VALUE"""),15.566666666666666)</f>
        <v>15.56666667</v>
      </c>
      <c r="H286" s="23">
        <f>IFERROR(__xludf.DUMMYFUNCTION("""COMPUTED_VALUE"""),45827.0)</f>
        <v>45827</v>
      </c>
      <c r="I286" s="27">
        <f>IFERROR(__xludf.DUMMYFUNCTION("""COMPUTED_VALUE"""),0.0)</f>
        <v>0</v>
      </c>
      <c r="J286" s="29">
        <f>IFERROR(__xludf.DUMMYFUNCTION("""COMPUTED_VALUE"""),78.0)</f>
        <v>78</v>
      </c>
      <c r="K286" s="29">
        <f>IFERROR(__xludf.DUMMYFUNCTION("""COMPUTED_VALUE"""),37.0)</f>
        <v>37</v>
      </c>
      <c r="L286" s="31" t="str">
        <f>IFERROR(__xludf.DUMMYFUNCTION("""COMPUTED_VALUE"""),"Sports")</f>
        <v>Sports</v>
      </c>
      <c r="M286" s="31" t="str">
        <f>IFERROR(__xludf.DUMMYFUNCTION("""COMPUTED_VALUE"""),"Exclusive")</f>
        <v>Exclusive</v>
      </c>
    </row>
    <row r="287">
      <c r="A287" s="17" t="str">
        <f>IFERROR(__xludf.DUMMYFUNCTION("""COMPUTED_VALUE"""),"Lost in Random: The Eternal Die")</f>
        <v>Lost in Random: The Eternal Die</v>
      </c>
      <c r="B287" s="20" t="str">
        <f>IFERROR(__xludf.DUMMYFUNCTION("""COMPUTED_VALUE"""),"Xbox / PC")</f>
        <v>Xbox / PC</v>
      </c>
      <c r="C287" s="21" t="str">
        <f>IFERROR(__xludf.DUMMYFUNCTION("""COMPUTED_VALUE"""),"Yes")</f>
        <v>Yes</v>
      </c>
      <c r="D287" s="21" t="str">
        <f>IFERROR(__xludf.DUMMYFUNCTION("""COMPUTED_VALUE"""),"Active")</f>
        <v>Active</v>
      </c>
      <c r="E287" s="23">
        <f>IFERROR(__xludf.DUMMYFUNCTION("""COMPUTED_VALUE"""),45825.0)</f>
        <v>45825</v>
      </c>
      <c r="F287" s="24"/>
      <c r="G287" s="27">
        <f>IFERROR(__xludf.DUMMYFUNCTION("""COMPUTED_VALUE"""),15.633333333333333)</f>
        <v>15.63333333</v>
      </c>
      <c r="H287" s="23">
        <f>IFERROR(__xludf.DUMMYFUNCTION("""COMPUTED_VALUE"""),45825.0)</f>
        <v>45825</v>
      </c>
      <c r="I287" s="27">
        <f>IFERROR(__xludf.DUMMYFUNCTION("""COMPUTED_VALUE"""),0.0)</f>
        <v>0</v>
      </c>
      <c r="J287" s="29">
        <f>IFERROR(__xludf.DUMMYFUNCTION("""COMPUTED_VALUE"""),78.0)</f>
        <v>78</v>
      </c>
      <c r="K287" s="29">
        <f>IFERROR(__xludf.DUMMYFUNCTION("""COMPUTED_VALUE"""),6.0)</f>
        <v>6</v>
      </c>
      <c r="L287" s="31" t="str">
        <f>IFERROR(__xludf.DUMMYFUNCTION("""COMPUTED_VALUE"""),"Action-Adventure")</f>
        <v>Action-Adventure</v>
      </c>
      <c r="M287" s="31" t="str">
        <f>IFERROR(__xludf.DUMMYFUNCTION("""COMPUTED_VALUE"""),"Exclusive")</f>
        <v>Exclusive</v>
      </c>
    </row>
    <row r="288">
      <c r="A288" s="17" t="str">
        <f>IFERROR(__xludf.DUMMYFUNCTION("""COMPUTED_VALUE"""),"Baldur's Gate: Enhanced Edition")</f>
        <v>Baldur's Gate: Enhanced Edition</v>
      </c>
      <c r="B288" s="20" t="str">
        <f>IFERROR(__xludf.DUMMYFUNCTION("""COMPUTED_VALUE"""),"Xbox / PC")</f>
        <v>Xbox / PC</v>
      </c>
      <c r="C288" s="21" t="str">
        <f>IFERROR(__xludf.DUMMYFUNCTION("""COMPUTED_VALUE"""),"Yes")</f>
        <v>Yes</v>
      </c>
      <c r="D288" s="21" t="str">
        <f>IFERROR(__xludf.DUMMYFUNCTION("""COMPUTED_VALUE"""),"Active")</f>
        <v>Active</v>
      </c>
      <c r="E288" s="23">
        <f>IFERROR(__xludf.DUMMYFUNCTION("""COMPUTED_VALUE"""),45813.0)</f>
        <v>45813</v>
      </c>
      <c r="F288" s="24"/>
      <c r="G288" s="27">
        <f>IFERROR(__xludf.DUMMYFUNCTION("""COMPUTED_VALUE"""),16.03333333333333)</f>
        <v>16.03333333</v>
      </c>
      <c r="H288" s="23">
        <f>IFERROR(__xludf.DUMMYFUNCTION("""COMPUTED_VALUE"""),41241.0)</f>
        <v>41241</v>
      </c>
      <c r="I288" s="27">
        <f>IFERROR(__xludf.DUMMYFUNCTION("""COMPUTED_VALUE"""),12.519444444444444)</f>
        <v>12.51944444</v>
      </c>
      <c r="J288" s="29">
        <f>IFERROR(__xludf.DUMMYFUNCTION("""COMPUTED_VALUE"""),78.0)</f>
        <v>78</v>
      </c>
      <c r="K288" s="29">
        <f>IFERROR(__xludf.DUMMYFUNCTION("""COMPUTED_VALUE"""),31.0)</f>
        <v>31</v>
      </c>
      <c r="L288" s="31" t="str">
        <f>IFERROR(__xludf.DUMMYFUNCTION("""COMPUTED_VALUE"""),"RPG")</f>
        <v>RPG</v>
      </c>
      <c r="M288" s="31"/>
    </row>
    <row r="289">
      <c r="A289" s="17" t="str">
        <f>IFERROR(__xludf.DUMMYFUNCTION("""COMPUTED_VALUE"""),"Baldur's Gate II: Enhanced Edition")</f>
        <v>Baldur's Gate II: Enhanced Edition</v>
      </c>
      <c r="B289" s="20" t="str">
        <f>IFERROR(__xludf.DUMMYFUNCTION("""COMPUTED_VALUE"""),"Xbox / PC")</f>
        <v>Xbox / PC</v>
      </c>
      <c r="C289" s="21" t="str">
        <f>IFERROR(__xludf.DUMMYFUNCTION("""COMPUTED_VALUE"""),"Yes")</f>
        <v>Yes</v>
      </c>
      <c r="D289" s="21" t="str">
        <f>IFERROR(__xludf.DUMMYFUNCTION("""COMPUTED_VALUE"""),"Active")</f>
        <v>Active</v>
      </c>
      <c r="E289" s="23">
        <f>IFERROR(__xludf.DUMMYFUNCTION("""COMPUTED_VALUE"""),45813.0)</f>
        <v>45813</v>
      </c>
      <c r="F289" s="24"/>
      <c r="G289" s="27">
        <f>IFERROR(__xludf.DUMMYFUNCTION("""COMPUTED_VALUE"""),16.03333333333333)</f>
        <v>16.03333333</v>
      </c>
      <c r="H289" s="23">
        <f>IFERROR(__xludf.DUMMYFUNCTION("""COMPUTED_VALUE"""),41593.0)</f>
        <v>41593</v>
      </c>
      <c r="I289" s="27">
        <f>IFERROR(__xludf.DUMMYFUNCTION("""COMPUTED_VALUE"""),11.555555555555555)</f>
        <v>11.55555556</v>
      </c>
      <c r="J289" s="29">
        <f>IFERROR(__xludf.DUMMYFUNCTION("""COMPUTED_VALUE"""),78.0)</f>
        <v>78</v>
      </c>
      <c r="K289" s="29">
        <f>IFERROR(__xludf.DUMMYFUNCTION("""COMPUTED_VALUE"""),45.0)</f>
        <v>45</v>
      </c>
      <c r="L289" s="31" t="str">
        <f>IFERROR(__xludf.DUMMYFUNCTION("""COMPUTED_VALUE"""),"RPG")</f>
        <v>RPG</v>
      </c>
      <c r="M289" s="31"/>
    </row>
    <row r="290">
      <c r="A290" s="17" t="str">
        <f>IFERROR(__xludf.DUMMYFUNCTION("""COMPUTED_VALUE"""),"Atlantis")</f>
        <v>Atlantis</v>
      </c>
      <c r="B290" s="20" t="str">
        <f>IFERROR(__xludf.DUMMYFUNCTION("""COMPUTED_VALUE"""),"Xbox / PC")</f>
        <v>Xbox / PC</v>
      </c>
      <c r="C290" s="21" t="str">
        <f>IFERROR(__xludf.DUMMYFUNCTION("""COMPUTED_VALUE"""),"Yes")</f>
        <v>Yes</v>
      </c>
      <c r="D290" s="21" t="str">
        <f>IFERROR(__xludf.DUMMYFUNCTION("""COMPUTED_VALUE"""),"Active")</f>
        <v>Active</v>
      </c>
      <c r="E290" s="23">
        <f>IFERROR(__xludf.DUMMYFUNCTION("""COMPUTED_VALUE"""),45798.0)</f>
        <v>45798</v>
      </c>
      <c r="F290" s="24"/>
      <c r="G290" s="27">
        <f>IFERROR(__xludf.DUMMYFUNCTION("""COMPUTED_VALUE"""),16.5)</f>
        <v>16.5</v>
      </c>
      <c r="H290" s="23">
        <f>IFERROR(__xludf.DUMMYFUNCTION("""COMPUTED_VALUE"""),32255.0)</f>
        <v>32255</v>
      </c>
      <c r="I290" s="27">
        <f>IFERROR(__xludf.DUMMYFUNCTION("""COMPUTED_VALUE"""),37.080555555555556)</f>
        <v>37.08055556</v>
      </c>
      <c r="J290" s="29">
        <f>IFERROR(__xludf.DUMMYFUNCTION("""COMPUTED_VALUE"""),78.0)</f>
        <v>78</v>
      </c>
      <c r="K290" s="29"/>
      <c r="L290" s="31" t="str">
        <f>IFERROR(__xludf.DUMMYFUNCTION("""COMPUTED_VALUE"""),"Shooter")</f>
        <v>Shooter</v>
      </c>
      <c r="M290" s="31"/>
    </row>
    <row r="291">
      <c r="A291" s="17" t="str">
        <f>IFERROR(__xludf.DUMMYFUNCTION("""COMPUTED_VALUE"""),"River Raid")</f>
        <v>River Raid</v>
      </c>
      <c r="B291" s="20" t="str">
        <f>IFERROR(__xludf.DUMMYFUNCTION("""COMPUTED_VALUE"""),"Xbox / PC")</f>
        <v>Xbox / PC</v>
      </c>
      <c r="C291" s="21" t="str">
        <f>IFERROR(__xludf.DUMMYFUNCTION("""COMPUTED_VALUE"""),"Yes")</f>
        <v>Yes</v>
      </c>
      <c r="D291" s="21" t="str">
        <f>IFERROR(__xludf.DUMMYFUNCTION("""COMPUTED_VALUE"""),"Active")</f>
        <v>Active</v>
      </c>
      <c r="E291" s="23">
        <f>IFERROR(__xludf.DUMMYFUNCTION("""COMPUTED_VALUE"""),45798.0)</f>
        <v>45798</v>
      </c>
      <c r="F291" s="24"/>
      <c r="G291" s="27">
        <f>IFERROR(__xludf.DUMMYFUNCTION("""COMPUTED_VALUE"""),16.5)</f>
        <v>16.5</v>
      </c>
      <c r="H291" s="23">
        <f>IFERROR(__xludf.DUMMYFUNCTION("""COMPUTED_VALUE"""),30164.0)</f>
        <v>30164</v>
      </c>
      <c r="I291" s="27">
        <f>IFERROR(__xludf.DUMMYFUNCTION("""COMPUTED_VALUE"""),42.80555555555556)</f>
        <v>42.80555556</v>
      </c>
      <c r="J291" s="29">
        <f>IFERROR(__xludf.DUMMYFUNCTION("""COMPUTED_VALUE"""),78.0)</f>
        <v>78</v>
      </c>
      <c r="K291" s="29">
        <f>IFERROR(__xludf.DUMMYFUNCTION("""COMPUTED_VALUE"""),1.0)</f>
        <v>1</v>
      </c>
      <c r="L291" s="31" t="str">
        <f>IFERROR(__xludf.DUMMYFUNCTION("""COMPUTED_VALUE"""),"Shooter")</f>
        <v>Shooter</v>
      </c>
      <c r="M291" s="31"/>
    </row>
    <row r="292">
      <c r="A292" s="17" t="str">
        <f>IFERROR(__xludf.DUMMYFUNCTION("""COMPUTED_VALUE"""),"EA Sports UFC 5")</f>
        <v>EA Sports UFC 5</v>
      </c>
      <c r="B292" s="20" t="str">
        <f>IFERROR(__xludf.DUMMYFUNCTION("""COMPUTED_VALUE"""),"Xbox")</f>
        <v>Xbox</v>
      </c>
      <c r="C292" s="21" t="str">
        <f>IFERROR(__xludf.DUMMYFUNCTION("""COMPUTED_VALUE"""),"Yes")</f>
        <v>Yes</v>
      </c>
      <c r="D292" s="21" t="str">
        <f>IFERROR(__xludf.DUMMYFUNCTION("""COMPUTED_VALUE"""),"Active")</f>
        <v>Active</v>
      </c>
      <c r="E292" s="23">
        <f>IFERROR(__xludf.DUMMYFUNCTION("""COMPUTED_VALUE"""),45671.0)</f>
        <v>45671</v>
      </c>
      <c r="F292" s="24"/>
      <c r="G292" s="27">
        <f>IFERROR(__xludf.DUMMYFUNCTION("""COMPUTED_VALUE"""),20.733333333333334)</f>
        <v>20.73333333</v>
      </c>
      <c r="H292" s="23">
        <f>IFERROR(__xludf.DUMMYFUNCTION("""COMPUTED_VALUE"""),45226.0)</f>
        <v>45226</v>
      </c>
      <c r="I292" s="27">
        <f>IFERROR(__xludf.DUMMYFUNCTION("""COMPUTED_VALUE"""),1.2138888888888888)</f>
        <v>1.213888889</v>
      </c>
      <c r="J292" s="29">
        <f>IFERROR(__xludf.DUMMYFUNCTION("""COMPUTED_VALUE"""),78.0)</f>
        <v>78</v>
      </c>
      <c r="K292" s="29">
        <f>IFERROR(__xludf.DUMMYFUNCTION("""COMPUTED_VALUE"""),14.0)</f>
        <v>14</v>
      </c>
      <c r="L292" s="31" t="str">
        <f>IFERROR(__xludf.DUMMYFUNCTION("""COMPUTED_VALUE"""),"Fighting")</f>
        <v>Fighting</v>
      </c>
      <c r="M292" s="31" t="str">
        <f>IFERROR(__xludf.DUMMYFUNCTION("""COMPUTED_VALUE"""),"Exclusive")</f>
        <v>Exclusive</v>
      </c>
    </row>
    <row r="293">
      <c r="A293" s="17" t="str">
        <f>IFERROR(__xludf.DUMMYFUNCTION("""COMPUTED_VALUE"""),"Microsoft Flight Simulator 2024")</f>
        <v>Microsoft Flight Simulator 2024</v>
      </c>
      <c r="B293" s="20" t="str">
        <f>IFERROR(__xludf.DUMMYFUNCTION("""COMPUTED_VALUE"""),"Xbox / PC")</f>
        <v>Xbox / PC</v>
      </c>
      <c r="C293" s="21" t="str">
        <f>IFERROR(__xludf.DUMMYFUNCTION("""COMPUTED_VALUE"""),"Yes")</f>
        <v>Yes</v>
      </c>
      <c r="D293" s="21" t="str">
        <f>IFERROR(__xludf.DUMMYFUNCTION("""COMPUTED_VALUE"""),"Active")</f>
        <v>Active</v>
      </c>
      <c r="E293" s="23">
        <f>IFERROR(__xludf.DUMMYFUNCTION("""COMPUTED_VALUE"""),45615.0)</f>
        <v>45615</v>
      </c>
      <c r="F293" s="24"/>
      <c r="G293" s="27">
        <f>IFERROR(__xludf.DUMMYFUNCTION("""COMPUTED_VALUE"""),22.566666666666666)</f>
        <v>22.56666667</v>
      </c>
      <c r="H293" s="23">
        <f>IFERROR(__xludf.DUMMYFUNCTION("""COMPUTED_VALUE"""),45615.0)</f>
        <v>45615</v>
      </c>
      <c r="I293" s="27">
        <f>IFERROR(__xludf.DUMMYFUNCTION("""COMPUTED_VALUE"""),0.0)</f>
        <v>0</v>
      </c>
      <c r="J293" s="29">
        <f>IFERROR(__xludf.DUMMYFUNCTION("""COMPUTED_VALUE"""),78.0)</f>
        <v>78</v>
      </c>
      <c r="K293" s="29">
        <f>IFERROR(__xludf.DUMMYFUNCTION("""COMPUTED_VALUE"""),50.0)</f>
        <v>50</v>
      </c>
      <c r="L293" s="31" t="str">
        <f>IFERROR(__xludf.DUMMYFUNCTION("""COMPUTED_VALUE"""),"Simulation")</f>
        <v>Simulation</v>
      </c>
      <c r="M293" s="31" t="str">
        <f>IFERROR(__xludf.DUMMYFUNCTION("""COMPUTED_VALUE"""),"Exclusive")</f>
        <v>Exclusive</v>
      </c>
    </row>
    <row r="294">
      <c r="A294" s="17" t="str">
        <f>IFERROR(__xludf.DUMMYFUNCTION("""COMPUTED_VALUE"""),"Palworld")</f>
        <v>Palworld</v>
      </c>
      <c r="B294" s="20" t="str">
        <f>IFERROR(__xludf.DUMMYFUNCTION("""COMPUTED_VALUE"""),"Xbox / PC")</f>
        <v>Xbox / PC</v>
      </c>
      <c r="C294" s="21" t="str">
        <f>IFERROR(__xludf.DUMMYFUNCTION("""COMPUTED_VALUE"""),"Yes")</f>
        <v>Yes</v>
      </c>
      <c r="D294" s="21" t="str">
        <f>IFERROR(__xludf.DUMMYFUNCTION("""COMPUTED_VALUE"""),"Active")</f>
        <v>Active</v>
      </c>
      <c r="E294" s="23">
        <f>IFERROR(__xludf.DUMMYFUNCTION("""COMPUTED_VALUE"""),45310.0)</f>
        <v>45310</v>
      </c>
      <c r="F294" s="24"/>
      <c r="G294" s="27">
        <f>IFERROR(__xludf.DUMMYFUNCTION("""COMPUTED_VALUE"""),32.56666666666667)</f>
        <v>32.56666667</v>
      </c>
      <c r="H294" s="23">
        <f>IFERROR(__xludf.DUMMYFUNCTION("""COMPUTED_VALUE"""),45310.0)</f>
        <v>45310</v>
      </c>
      <c r="I294" s="27">
        <f>IFERROR(__xludf.DUMMYFUNCTION("""COMPUTED_VALUE"""),0.0)</f>
        <v>0</v>
      </c>
      <c r="J294" s="29">
        <f>IFERROR(__xludf.DUMMYFUNCTION("""COMPUTED_VALUE"""),78.0)</f>
        <v>78</v>
      </c>
      <c r="K294" s="29">
        <f>IFERROR(__xludf.DUMMYFUNCTION("""COMPUTED_VALUE"""),31.0)</f>
        <v>31</v>
      </c>
      <c r="L294" s="31" t="str">
        <f>IFERROR(__xludf.DUMMYFUNCTION("""COMPUTED_VALUE"""),"Action")</f>
        <v>Action</v>
      </c>
      <c r="M294" s="31"/>
    </row>
    <row r="295">
      <c r="A295" s="17" t="str">
        <f>IFERROR(__xludf.DUMMYFUNCTION("""COMPUTED_VALUE"""),"The Walking Dead: The Final Season")</f>
        <v>The Walking Dead: The Final Season</v>
      </c>
      <c r="B295" s="20" t="str">
        <f>IFERROR(__xludf.DUMMYFUNCTION("""COMPUTED_VALUE"""),"Xbox / PC")</f>
        <v>Xbox / PC</v>
      </c>
      <c r="C295" s="21" t="str">
        <f>IFERROR(__xludf.DUMMYFUNCTION("""COMPUTED_VALUE"""),"Yes")</f>
        <v>Yes</v>
      </c>
      <c r="D295" s="21" t="str">
        <f>IFERROR(__xludf.DUMMYFUNCTION("""COMPUTED_VALUE"""),"Active")</f>
        <v>Active</v>
      </c>
      <c r="E295" s="23">
        <f>IFERROR(__xludf.DUMMYFUNCTION("""COMPUTED_VALUE"""),44896.0)</f>
        <v>44896</v>
      </c>
      <c r="F295" s="24"/>
      <c r="G295" s="27">
        <f>IFERROR(__xludf.DUMMYFUNCTION("""COMPUTED_VALUE"""),46.16666666666667)</f>
        <v>46.16666667</v>
      </c>
      <c r="H295" s="23">
        <f>IFERROR(__xludf.DUMMYFUNCTION("""COMPUTED_VALUE"""),43325.0)</f>
        <v>43325</v>
      </c>
      <c r="I295" s="27">
        <f>IFERROR(__xludf.DUMMYFUNCTION("""COMPUTED_VALUE"""),4.3)</f>
        <v>4.3</v>
      </c>
      <c r="J295" s="29">
        <f>IFERROR(__xludf.DUMMYFUNCTION("""COMPUTED_VALUE"""),78.0)</f>
        <v>78</v>
      </c>
      <c r="K295" s="29">
        <f>IFERROR(__xludf.DUMMYFUNCTION("""COMPUTED_VALUE"""),10.0)</f>
        <v>10</v>
      </c>
      <c r="L295" s="31" t="str">
        <f>IFERROR(__xludf.DUMMYFUNCTION("""COMPUTED_VALUE"""),"Adventure")</f>
        <v>Adventure</v>
      </c>
      <c r="M295" s="31"/>
    </row>
    <row r="296">
      <c r="A296" s="17" t="str">
        <f>IFERROR(__xludf.DUMMYFUNCTION("""COMPUTED_VALUE"""),"Warhammer 40,000: Darktide")</f>
        <v>Warhammer 40,000: Darktide</v>
      </c>
      <c r="B296" s="20" t="str">
        <f>IFERROR(__xludf.DUMMYFUNCTION("""COMPUTED_VALUE"""),"Xbox / PC")</f>
        <v>Xbox / PC</v>
      </c>
      <c r="C296" s="21" t="str">
        <f>IFERROR(__xludf.DUMMYFUNCTION("""COMPUTED_VALUE"""),"Yes")</f>
        <v>Yes</v>
      </c>
      <c r="D296" s="21" t="str">
        <f>IFERROR(__xludf.DUMMYFUNCTION("""COMPUTED_VALUE"""),"Active")</f>
        <v>Active</v>
      </c>
      <c r="E296" s="23">
        <f>IFERROR(__xludf.DUMMYFUNCTION("""COMPUTED_VALUE"""),44895.0)</f>
        <v>44895</v>
      </c>
      <c r="F296" s="24"/>
      <c r="G296" s="27">
        <f>IFERROR(__xludf.DUMMYFUNCTION("""COMPUTED_VALUE"""),46.2)</f>
        <v>46.2</v>
      </c>
      <c r="H296" s="23">
        <f>IFERROR(__xludf.DUMMYFUNCTION("""COMPUTED_VALUE"""),44895.0)</f>
        <v>44895</v>
      </c>
      <c r="I296" s="27">
        <f>IFERROR(__xludf.DUMMYFUNCTION("""COMPUTED_VALUE"""),0.0)</f>
        <v>0</v>
      </c>
      <c r="J296" s="29">
        <f>IFERROR(__xludf.DUMMYFUNCTION("""COMPUTED_VALUE"""),78.0)</f>
        <v>78</v>
      </c>
      <c r="K296" s="29">
        <f>IFERROR(__xludf.DUMMYFUNCTION("""COMPUTED_VALUE"""),41.0)</f>
        <v>41</v>
      </c>
      <c r="L296" s="31" t="str">
        <f>IFERROR(__xludf.DUMMYFUNCTION("""COMPUTED_VALUE"""),"Action")</f>
        <v>Action</v>
      </c>
      <c r="M296" s="31" t="str">
        <f>IFERROR(__xludf.DUMMYFUNCTION("""COMPUTED_VALUE"""),"Exclusive")</f>
        <v>Exclusive</v>
      </c>
    </row>
    <row r="297">
      <c r="A297" s="17" t="str">
        <f>IFERROR(__xludf.DUMMYFUNCTION("""COMPUTED_VALUE"""),"As Dusk Falls")</f>
        <v>As Dusk Falls</v>
      </c>
      <c r="B297" s="20" t="str">
        <f>IFERROR(__xludf.DUMMYFUNCTION("""COMPUTED_VALUE"""),"Xbox / PC")</f>
        <v>Xbox / PC</v>
      </c>
      <c r="C297" s="21" t="str">
        <f>IFERROR(__xludf.DUMMYFUNCTION("""COMPUTED_VALUE"""),"Touch Controls")</f>
        <v>Touch Controls</v>
      </c>
      <c r="D297" s="21" t="str">
        <f>IFERROR(__xludf.DUMMYFUNCTION("""COMPUTED_VALUE"""),"Active")</f>
        <v>Active</v>
      </c>
      <c r="E297" s="23">
        <f>IFERROR(__xludf.DUMMYFUNCTION("""COMPUTED_VALUE"""),44761.0)</f>
        <v>44761</v>
      </c>
      <c r="F297" s="24"/>
      <c r="G297" s="27">
        <f>IFERROR(__xludf.DUMMYFUNCTION("""COMPUTED_VALUE"""),50.56666666666666)</f>
        <v>50.56666667</v>
      </c>
      <c r="H297" s="23">
        <f>IFERROR(__xludf.DUMMYFUNCTION("""COMPUTED_VALUE"""),44761.0)</f>
        <v>44761</v>
      </c>
      <c r="I297" s="27">
        <f>IFERROR(__xludf.DUMMYFUNCTION("""COMPUTED_VALUE"""),0.0)</f>
        <v>0</v>
      </c>
      <c r="J297" s="29">
        <f>IFERROR(__xludf.DUMMYFUNCTION("""COMPUTED_VALUE"""),78.0)</f>
        <v>78</v>
      </c>
      <c r="K297" s="29">
        <f>IFERROR(__xludf.DUMMYFUNCTION("""COMPUTED_VALUE"""),6.0)</f>
        <v>6</v>
      </c>
      <c r="L297" s="31" t="str">
        <f>IFERROR(__xludf.DUMMYFUNCTION("""COMPUTED_VALUE"""),"Adventure")</f>
        <v>Adventure</v>
      </c>
      <c r="M297" s="31"/>
    </row>
    <row r="298">
      <c r="A298" s="17" t="str">
        <f>IFERROR(__xludf.DUMMYFUNCTION("""COMPUTED_VALUE"""),"Watch_Dogs 2")</f>
        <v>Watch_Dogs 2</v>
      </c>
      <c r="B298" s="20" t="str">
        <f>IFERROR(__xludf.DUMMYFUNCTION("""COMPUTED_VALUE"""),"Xbox / PC")</f>
        <v>Xbox / PC</v>
      </c>
      <c r="C298" s="21" t="str">
        <f>IFERROR(__xludf.DUMMYFUNCTION("""COMPUTED_VALUE"""),"Yes")</f>
        <v>Yes</v>
      </c>
      <c r="D298" s="21" t="str">
        <f>IFERROR(__xludf.DUMMYFUNCTION("""COMPUTED_VALUE"""),"Active")</f>
        <v>Active</v>
      </c>
      <c r="E298" s="23">
        <f>IFERROR(__xludf.DUMMYFUNCTION("""COMPUTED_VALUE"""),44761.0)</f>
        <v>44761</v>
      </c>
      <c r="F298" s="24"/>
      <c r="G298" s="27">
        <f>IFERROR(__xludf.DUMMYFUNCTION("""COMPUTED_VALUE"""),50.56666666666666)</f>
        <v>50.56666667</v>
      </c>
      <c r="H298" s="23">
        <f>IFERROR(__xludf.DUMMYFUNCTION("""COMPUTED_VALUE"""),42689.0)</f>
        <v>42689</v>
      </c>
      <c r="I298" s="27">
        <f>IFERROR(__xludf.DUMMYFUNCTION("""COMPUTED_VALUE"""),5.677777777777778)</f>
        <v>5.677777778</v>
      </c>
      <c r="J298" s="29">
        <f>IFERROR(__xludf.DUMMYFUNCTION("""COMPUTED_VALUE"""),78.0)</f>
        <v>78</v>
      </c>
      <c r="K298" s="29">
        <f>IFERROR(__xludf.DUMMYFUNCTION("""COMPUTED_VALUE"""),19.0)</f>
        <v>19</v>
      </c>
      <c r="L298" s="31" t="str">
        <f>IFERROR(__xludf.DUMMYFUNCTION("""COMPUTED_VALUE"""),"Shooter")</f>
        <v>Shooter</v>
      </c>
      <c r="M298" s="31"/>
    </row>
    <row r="299">
      <c r="A299" s="17" t="str">
        <f>IFERROR(__xludf.DUMMYFUNCTION("""COMPUTED_VALUE"""),"Battlefield V: Year Two Edition")</f>
        <v>Battlefield V: Year Two Edition</v>
      </c>
      <c r="B299" s="20" t="str">
        <f>IFERROR(__xludf.DUMMYFUNCTION("""COMPUTED_VALUE"""),"Xbox / PC")</f>
        <v>Xbox / PC</v>
      </c>
      <c r="C299" s="21" t="str">
        <f>IFERROR(__xludf.DUMMYFUNCTION("""COMPUTED_VALUE"""),"Yes")</f>
        <v>Yes</v>
      </c>
      <c r="D299" s="21" t="str">
        <f>IFERROR(__xludf.DUMMYFUNCTION("""COMPUTED_VALUE"""),"Active")</f>
        <v>Active</v>
      </c>
      <c r="E299" s="23">
        <f>IFERROR(__xludf.DUMMYFUNCTION("""COMPUTED_VALUE"""),44145.0)</f>
        <v>44145</v>
      </c>
      <c r="F299" s="24"/>
      <c r="G299" s="27">
        <f>IFERROR(__xludf.DUMMYFUNCTION("""COMPUTED_VALUE"""),70.86666666666667)</f>
        <v>70.86666667</v>
      </c>
      <c r="H299" s="23">
        <f>IFERROR(__xludf.DUMMYFUNCTION("""COMPUTED_VALUE"""),43419.0)</f>
        <v>43419</v>
      </c>
      <c r="I299" s="27">
        <f>IFERROR(__xludf.DUMMYFUNCTION("""COMPUTED_VALUE"""),1.9861111111111112)</f>
        <v>1.986111111</v>
      </c>
      <c r="J299" s="29">
        <f>IFERROR(__xludf.DUMMYFUNCTION("""COMPUTED_VALUE"""),78.0)</f>
        <v>78</v>
      </c>
      <c r="K299" s="29">
        <f>IFERROR(__xludf.DUMMYFUNCTION("""COMPUTED_VALUE"""),6.0)</f>
        <v>6</v>
      </c>
      <c r="L299" s="31" t="str">
        <f>IFERROR(__xludf.DUMMYFUNCTION("""COMPUTED_VALUE"""),"Shooter")</f>
        <v>Shooter</v>
      </c>
      <c r="M299" s="31" t="str">
        <f>IFERROR(__xludf.DUMMYFUNCTION("""COMPUTED_VALUE"""),"FPS Boost X Only")</f>
        <v>FPS Boost X Only</v>
      </c>
    </row>
    <row r="300">
      <c r="A300" s="17" t="str">
        <f>IFERROR(__xludf.DUMMYFUNCTION("""COMPUTED_VALUE"""),"Dead Space 3")</f>
        <v>Dead Space 3</v>
      </c>
      <c r="B300" s="20" t="str">
        <f>IFERROR(__xludf.DUMMYFUNCTION("""COMPUTED_VALUE"""),"Xbox / PC")</f>
        <v>Xbox / PC</v>
      </c>
      <c r="C300" s="21" t="str">
        <f>IFERROR(__xludf.DUMMYFUNCTION("""COMPUTED_VALUE"""),"Yes")</f>
        <v>Yes</v>
      </c>
      <c r="D300" s="21" t="str">
        <f>IFERROR(__xludf.DUMMYFUNCTION("""COMPUTED_VALUE"""),"Active")</f>
        <v>Active</v>
      </c>
      <c r="E300" s="23">
        <f>IFERROR(__xludf.DUMMYFUNCTION("""COMPUTED_VALUE"""),44145.0)</f>
        <v>44145</v>
      </c>
      <c r="F300" s="24"/>
      <c r="G300" s="27">
        <f>IFERROR(__xludf.DUMMYFUNCTION("""COMPUTED_VALUE"""),70.86666666666667)</f>
        <v>70.86666667</v>
      </c>
      <c r="H300" s="23">
        <f>IFERROR(__xludf.DUMMYFUNCTION("""COMPUTED_VALUE"""),41310.0)</f>
        <v>41310</v>
      </c>
      <c r="I300" s="27">
        <f>IFERROR(__xludf.DUMMYFUNCTION("""COMPUTED_VALUE"""),7.763888888888889)</f>
        <v>7.763888889</v>
      </c>
      <c r="J300" s="29">
        <f>IFERROR(__xludf.DUMMYFUNCTION("""COMPUTED_VALUE"""),78.0)</f>
        <v>78</v>
      </c>
      <c r="K300" s="29">
        <f>IFERROR(__xludf.DUMMYFUNCTION("""COMPUTED_VALUE"""),13.0)</f>
        <v>13</v>
      </c>
      <c r="L300" s="31" t="str">
        <f>IFERROR(__xludf.DUMMYFUNCTION("""COMPUTED_VALUE"""),"Shooter")</f>
        <v>Shooter</v>
      </c>
      <c r="M300" s="31" t="str">
        <f>IFERROR(__xludf.DUMMYFUNCTION("""COMPUTED_VALUE"""),"FPS Boost")</f>
        <v>FPS Boost</v>
      </c>
    </row>
    <row r="301">
      <c r="A301" s="17" t="str">
        <f>IFERROR(__xludf.DUMMYFUNCTION("""COMPUTED_VALUE"""),"State of Decay 2: Juggernaut Edition")</f>
        <v>State of Decay 2: Juggernaut Edition</v>
      </c>
      <c r="B301" s="20" t="str">
        <f>IFERROR(__xludf.DUMMYFUNCTION("""COMPUTED_VALUE"""),"Xbox / PC")</f>
        <v>Xbox / PC</v>
      </c>
      <c r="C301" s="21" t="str">
        <f>IFERROR(__xludf.DUMMYFUNCTION("""COMPUTED_VALUE"""),"M+KB")</f>
        <v>M+KB</v>
      </c>
      <c r="D301" s="21" t="str">
        <f>IFERROR(__xludf.DUMMYFUNCTION("""COMPUTED_VALUE"""),"Active")</f>
        <v>Active</v>
      </c>
      <c r="E301" s="23">
        <f>IFERROR(__xludf.DUMMYFUNCTION("""COMPUTED_VALUE"""),43242.0)</f>
        <v>43242</v>
      </c>
      <c r="F301" s="24"/>
      <c r="G301" s="27">
        <f>IFERROR(__xludf.DUMMYFUNCTION("""COMPUTED_VALUE"""),100.46666666666667)</f>
        <v>100.4666667</v>
      </c>
      <c r="H301" s="23">
        <f>IFERROR(__xludf.DUMMYFUNCTION("""COMPUTED_VALUE"""),43238.0)</f>
        <v>43238</v>
      </c>
      <c r="I301" s="27">
        <f>IFERROR(__xludf.DUMMYFUNCTION("""COMPUTED_VALUE"""),0.011111111111111112)</f>
        <v>0.01111111111</v>
      </c>
      <c r="J301" s="29">
        <f>IFERROR(__xludf.DUMMYFUNCTION("""COMPUTED_VALUE"""),78.0)</f>
        <v>78</v>
      </c>
      <c r="K301" s="29">
        <f>IFERROR(__xludf.DUMMYFUNCTION("""COMPUTED_VALUE"""),36.5)</f>
        <v>36.5</v>
      </c>
      <c r="L301" s="31" t="str">
        <f>IFERROR(__xludf.DUMMYFUNCTION("""COMPUTED_VALUE"""),"Action-Adventure")</f>
        <v>Action-Adventure</v>
      </c>
      <c r="M301" s="31" t="str">
        <f>IFERROR(__xludf.DUMMYFUNCTION("""COMPUTED_VALUE"""),"Optimized")</f>
        <v>Optimized</v>
      </c>
    </row>
    <row r="302">
      <c r="A302" s="17" t="str">
        <f>IFERROR(__xludf.DUMMYFUNCTION("""COMPUTED_VALUE"""),"For Honor: Marching Fire Edition")</f>
        <v>For Honor: Marching Fire Edition</v>
      </c>
      <c r="B302" s="20" t="str">
        <f>IFERROR(__xludf.DUMMYFUNCTION("""COMPUTED_VALUE"""),"Xbox / PC")</f>
        <v>Xbox / PC</v>
      </c>
      <c r="C302" s="21" t="str">
        <f>IFERROR(__xludf.DUMMYFUNCTION("""COMPUTED_VALUE"""),"Yes")</f>
        <v>Yes</v>
      </c>
      <c r="D302" s="21" t="str">
        <f>IFERROR(__xludf.DUMMYFUNCTION("""COMPUTED_VALUE"""),"Active")</f>
        <v>Active</v>
      </c>
      <c r="E302" s="23">
        <f>IFERROR(__xludf.DUMMYFUNCTION("""COMPUTED_VALUE"""),44350.0)</f>
        <v>44350</v>
      </c>
      <c r="F302" s="24"/>
      <c r="G302" s="27">
        <f>IFERROR(__xludf.DUMMYFUNCTION("""COMPUTED_VALUE"""),64.1)</f>
        <v>64.1</v>
      </c>
      <c r="H302" s="23">
        <f>IFERROR(__xludf.DUMMYFUNCTION("""COMPUTED_VALUE"""),43083.0)</f>
        <v>43083</v>
      </c>
      <c r="I302" s="27">
        <f>IFERROR(__xludf.DUMMYFUNCTION("""COMPUTED_VALUE"""),3.4694444444444446)</f>
        <v>3.469444444</v>
      </c>
      <c r="J302" s="29">
        <f>IFERROR(__xludf.DUMMYFUNCTION("""COMPUTED_VALUE"""),77.5)</f>
        <v>77.5</v>
      </c>
      <c r="K302" s="29">
        <f>IFERROR(__xludf.DUMMYFUNCTION("""COMPUTED_VALUE"""),7.0)</f>
        <v>7</v>
      </c>
      <c r="L302" s="31" t="str">
        <f>IFERROR(__xludf.DUMMYFUNCTION("""COMPUTED_VALUE"""),"Action")</f>
        <v>Action</v>
      </c>
      <c r="M302" s="31" t="str">
        <f>IFERROR(__xludf.DUMMYFUNCTION("""COMPUTED_VALUE"""),"Optimized")</f>
        <v>Optimized</v>
      </c>
    </row>
    <row r="303">
      <c r="A303" s="17" t="str">
        <f>IFERROR(__xludf.DUMMYFUNCTION("""COMPUTED_VALUE"""),"Hell is Us")</f>
        <v>Hell is Us</v>
      </c>
      <c r="B303" s="20" t="str">
        <f>IFERROR(__xludf.DUMMYFUNCTION("""COMPUTED_VALUE"""),"Xbox / PC")</f>
        <v>Xbox / PC</v>
      </c>
      <c r="C303" s="21" t="str">
        <f>IFERROR(__xludf.DUMMYFUNCTION("""COMPUTED_VALUE"""),"Yes")</f>
        <v>Yes</v>
      </c>
      <c r="D303" s="21" t="str">
        <f>IFERROR(__xludf.DUMMYFUNCTION("""COMPUTED_VALUE"""),"Active")</f>
        <v>Active</v>
      </c>
      <c r="E303" s="23">
        <f>IFERROR(__xludf.DUMMYFUNCTION("""COMPUTED_VALUE"""),46226.0)</f>
        <v>46226</v>
      </c>
      <c r="F303" s="24"/>
      <c r="G303" s="27">
        <f>IFERROR(__xludf.DUMMYFUNCTION("""COMPUTED_VALUE"""),2.4333333333333336)</f>
        <v>2.433333333</v>
      </c>
      <c r="H303" s="23">
        <f>IFERROR(__xludf.DUMMYFUNCTION("""COMPUTED_VALUE"""),45904.0)</f>
        <v>45904</v>
      </c>
      <c r="I303" s="27">
        <f>IFERROR(__xludf.DUMMYFUNCTION("""COMPUTED_VALUE"""),0.8861111111111111)</f>
        <v>0.8861111111</v>
      </c>
      <c r="J303" s="29">
        <f>IFERROR(__xludf.DUMMYFUNCTION("""COMPUTED_VALUE"""),77.0)</f>
        <v>77</v>
      </c>
      <c r="K303" s="29">
        <f>IFERROR(__xludf.DUMMYFUNCTION("""COMPUTED_VALUE"""),18.0)</f>
        <v>18</v>
      </c>
      <c r="L303" s="31" t="str">
        <f>IFERROR(__xludf.DUMMYFUNCTION("""COMPUTED_VALUE"""),"Action-Adventure")</f>
        <v>Action-Adventure</v>
      </c>
      <c r="M303" s="31" t="str">
        <f>IFERROR(__xludf.DUMMYFUNCTION("""COMPUTED_VALUE"""),"Exclusive")</f>
        <v>Exclusive</v>
      </c>
    </row>
    <row r="304">
      <c r="A304" s="17" t="str">
        <f>IFERROR(__xludf.DUMMYFUNCTION("""COMPUTED_VALUE"""),"EA Sports FC 26")</f>
        <v>EA Sports FC 26</v>
      </c>
      <c r="B304" s="20" t="str">
        <f>IFERROR(__xludf.DUMMYFUNCTION("""COMPUTED_VALUE"""),"Xbox / PC")</f>
        <v>Xbox / PC</v>
      </c>
      <c r="C304" s="21" t="str">
        <f>IFERROR(__xludf.DUMMYFUNCTION("""COMPUTED_VALUE"""),"Yes")</f>
        <v>Yes</v>
      </c>
      <c r="D304" s="21" t="str">
        <f>IFERROR(__xludf.DUMMYFUNCTION("""COMPUTED_VALUE"""),"Active")</f>
        <v>Active</v>
      </c>
      <c r="E304" s="23">
        <f>IFERROR(__xludf.DUMMYFUNCTION("""COMPUTED_VALUE"""),46191.0)</f>
        <v>46191</v>
      </c>
      <c r="F304" s="24"/>
      <c r="G304" s="27">
        <f>IFERROR(__xludf.DUMMYFUNCTION("""COMPUTED_VALUE"""),3.5999999999999996)</f>
        <v>3.6</v>
      </c>
      <c r="H304" s="23">
        <f>IFERROR(__xludf.DUMMYFUNCTION("""COMPUTED_VALUE"""),45926.0)</f>
        <v>45926</v>
      </c>
      <c r="I304" s="27">
        <f>IFERROR(__xludf.DUMMYFUNCTION("""COMPUTED_VALUE"""),0.7277777777777777)</f>
        <v>0.7277777778</v>
      </c>
      <c r="J304" s="29">
        <f>IFERROR(__xludf.DUMMYFUNCTION("""COMPUTED_VALUE"""),77.0)</f>
        <v>77</v>
      </c>
      <c r="K304" s="29">
        <f>IFERROR(__xludf.DUMMYFUNCTION("""COMPUTED_VALUE"""),25.0)</f>
        <v>25</v>
      </c>
      <c r="L304" s="31" t="str">
        <f>IFERROR(__xludf.DUMMYFUNCTION("""COMPUTED_VALUE"""),"Sports")</f>
        <v>Sports</v>
      </c>
      <c r="M304" s="31"/>
    </row>
    <row r="305">
      <c r="A305" s="17" t="str">
        <f>IFERROR(__xludf.DUMMYFUNCTION("""COMPUTED_VALUE"""),"The Long Dark")</f>
        <v>The Long Dark</v>
      </c>
      <c r="B305" s="20" t="str">
        <f>IFERROR(__xludf.DUMMYFUNCTION("""COMPUTED_VALUE"""),"Xbox / PC")</f>
        <v>Xbox / PC</v>
      </c>
      <c r="C305" s="21" t="str">
        <f>IFERROR(__xludf.DUMMYFUNCTION("""COMPUTED_VALUE"""),"Yes")</f>
        <v>Yes</v>
      </c>
      <c r="D305" s="21" t="str">
        <f>IFERROR(__xludf.DUMMYFUNCTION("""COMPUTED_VALUE"""),"Active")</f>
        <v>Active</v>
      </c>
      <c r="E305" s="23">
        <f>IFERROR(__xludf.DUMMYFUNCTION("""COMPUTED_VALUE"""),46111.0)</f>
        <v>46111</v>
      </c>
      <c r="F305" s="24"/>
      <c r="G305" s="27">
        <f>IFERROR(__xludf.DUMMYFUNCTION("""COMPUTED_VALUE"""),6.200000000000001)</f>
        <v>6.2</v>
      </c>
      <c r="H305" s="23">
        <f>IFERROR(__xludf.DUMMYFUNCTION("""COMPUTED_VALUE"""),42948.0)</f>
        <v>42948</v>
      </c>
      <c r="I305" s="27">
        <f>IFERROR(__xludf.DUMMYFUNCTION("""COMPUTED_VALUE"""),8.66388888888889)</f>
        <v>8.663888889</v>
      </c>
      <c r="J305" s="29">
        <f>IFERROR(__xludf.DUMMYFUNCTION("""COMPUTED_VALUE"""),77.0)</f>
        <v>77</v>
      </c>
      <c r="K305" s="29">
        <f>IFERROR(__xludf.DUMMYFUNCTION("""COMPUTED_VALUE"""),20.0)</f>
        <v>20</v>
      </c>
      <c r="L305" s="31" t="str">
        <f>IFERROR(__xludf.DUMMYFUNCTION("""COMPUTED_VALUE"""),"Action-Adventure")</f>
        <v>Action-Adventure</v>
      </c>
      <c r="M305" s="31"/>
    </row>
    <row r="306">
      <c r="A306" s="17" t="str">
        <f>IFERROR(__xludf.DUMMYFUNCTION("""COMPUTED_VALUE"""),"Final Fantasy III")</f>
        <v>Final Fantasy III</v>
      </c>
      <c r="B306" s="20" t="str">
        <f>IFERROR(__xludf.DUMMYFUNCTION("""COMPUTED_VALUE"""),"Xbox / PC")</f>
        <v>Xbox / PC</v>
      </c>
      <c r="C306" s="21" t="str">
        <f>IFERROR(__xludf.DUMMYFUNCTION("""COMPUTED_VALUE"""),"Yes")</f>
        <v>Yes</v>
      </c>
      <c r="D306" s="21" t="str">
        <f>IFERROR(__xludf.DUMMYFUNCTION("""COMPUTED_VALUE"""),"Active")</f>
        <v>Active</v>
      </c>
      <c r="E306" s="23">
        <f>IFERROR(__xludf.DUMMYFUNCTION("""COMPUTED_VALUE"""),46084.0)</f>
        <v>46084</v>
      </c>
      <c r="F306" s="24"/>
      <c r="G306" s="27">
        <f>IFERROR(__xludf.DUMMYFUNCTION("""COMPUTED_VALUE"""),7.1)</f>
        <v>7.1</v>
      </c>
      <c r="H306" s="23">
        <f>IFERROR(__xludf.DUMMYFUNCTION("""COMPUTED_VALUE"""),33082.0)</f>
        <v>33082</v>
      </c>
      <c r="I306" s="27">
        <f>IFERROR(__xludf.DUMMYFUNCTION("""COMPUTED_VALUE"""),35.59722222222222)</f>
        <v>35.59722222</v>
      </c>
      <c r="J306" s="29">
        <f>IFERROR(__xludf.DUMMYFUNCTION("""COMPUTED_VALUE"""),77.0)</f>
        <v>77</v>
      </c>
      <c r="K306" s="29">
        <f>IFERROR(__xludf.DUMMYFUNCTION("""COMPUTED_VALUE"""),28.0)</f>
        <v>28</v>
      </c>
      <c r="L306" s="31" t="str">
        <f>IFERROR(__xludf.DUMMYFUNCTION("""COMPUTED_VALUE"""),"RPG")</f>
        <v>RPG</v>
      </c>
      <c r="M306" s="31" t="str">
        <f>IFERROR(__xludf.DUMMYFUNCTION("""COMPUTED_VALUE"""),"Exclusive")</f>
        <v>Exclusive</v>
      </c>
    </row>
    <row r="307">
      <c r="A307" s="17" t="str">
        <f>IFERROR(__xludf.DUMMYFUNCTION("""COMPUTED_VALUE"""),"Madden NFL 26")</f>
        <v>Madden NFL 26</v>
      </c>
      <c r="B307" s="20" t="str">
        <f>IFERROR(__xludf.DUMMYFUNCTION("""COMPUTED_VALUE"""),"Xbox / PC")</f>
        <v>Xbox / PC</v>
      </c>
      <c r="C307" s="21" t="str">
        <f>IFERROR(__xludf.DUMMYFUNCTION("""COMPUTED_VALUE"""),"Yes")</f>
        <v>Yes</v>
      </c>
      <c r="D307" s="21" t="str">
        <f>IFERROR(__xludf.DUMMYFUNCTION("""COMPUTED_VALUE"""),"Active")</f>
        <v>Active</v>
      </c>
      <c r="E307" s="23">
        <f>IFERROR(__xludf.DUMMYFUNCTION("""COMPUTED_VALUE"""),46058.0)</f>
        <v>46058</v>
      </c>
      <c r="F307" s="24"/>
      <c r="G307" s="27">
        <f>IFERROR(__xludf.DUMMYFUNCTION("""COMPUTED_VALUE"""),8.033333333333333)</f>
        <v>8.033333333</v>
      </c>
      <c r="H307" s="23">
        <f>IFERROR(__xludf.DUMMYFUNCTION("""COMPUTED_VALUE"""),45883.0)</f>
        <v>45883</v>
      </c>
      <c r="I307" s="27">
        <f>IFERROR(__xludf.DUMMYFUNCTION("""COMPUTED_VALUE"""),0.475)</f>
        <v>0.475</v>
      </c>
      <c r="J307" s="29">
        <f>IFERROR(__xludf.DUMMYFUNCTION("""COMPUTED_VALUE"""),77.0)</f>
        <v>77</v>
      </c>
      <c r="K307" s="29">
        <f>IFERROR(__xludf.DUMMYFUNCTION("""COMPUTED_VALUE"""),4.0)</f>
        <v>4</v>
      </c>
      <c r="L307" s="31" t="str">
        <f>IFERROR(__xludf.DUMMYFUNCTION("""COMPUTED_VALUE"""),"Sports")</f>
        <v>Sports</v>
      </c>
      <c r="M307" s="31"/>
    </row>
    <row r="308">
      <c r="A308" s="17" t="str">
        <f>IFERROR(__xludf.DUMMYFUNCTION("""COMPUTED_VALUE"""),"Final Fantasy II")</f>
        <v>Final Fantasy II</v>
      </c>
      <c r="B308" s="20" t="str">
        <f>IFERROR(__xludf.DUMMYFUNCTION("""COMPUTED_VALUE"""),"Xbox / PC")</f>
        <v>Xbox / PC</v>
      </c>
      <c r="C308" s="21" t="str">
        <f>IFERROR(__xludf.DUMMYFUNCTION("""COMPUTED_VALUE"""),"Yes")</f>
        <v>Yes</v>
      </c>
      <c r="D308" s="21" t="str">
        <f>IFERROR(__xludf.DUMMYFUNCTION("""COMPUTED_VALUE"""),"Active")</f>
        <v>Active</v>
      </c>
      <c r="E308" s="23">
        <f>IFERROR(__xludf.DUMMYFUNCTION("""COMPUTED_VALUE"""),46056.0)</f>
        <v>46056</v>
      </c>
      <c r="F308" s="24"/>
      <c r="G308" s="27">
        <f>IFERROR(__xludf.DUMMYFUNCTION("""COMPUTED_VALUE"""),8.100000000000001)</f>
        <v>8.1</v>
      </c>
      <c r="H308" s="23">
        <f>IFERROR(__xludf.DUMMYFUNCTION("""COMPUTED_VALUE"""),44405.0)</f>
        <v>44405</v>
      </c>
      <c r="I308" s="27">
        <f>IFERROR(__xludf.DUMMYFUNCTION("""COMPUTED_VALUE"""),4.513888888888889)</f>
        <v>4.513888889</v>
      </c>
      <c r="J308" s="29">
        <f>IFERROR(__xludf.DUMMYFUNCTION("""COMPUTED_VALUE"""),77.0)</f>
        <v>77</v>
      </c>
      <c r="K308" s="29">
        <f>IFERROR(__xludf.DUMMYFUNCTION("""COMPUTED_VALUE"""),20.0)</f>
        <v>20</v>
      </c>
      <c r="L308" s="31" t="str">
        <f>IFERROR(__xludf.DUMMYFUNCTION("""COMPUTED_VALUE"""),"Action-Adventure")</f>
        <v>Action-Adventure</v>
      </c>
      <c r="M308" s="31" t="str">
        <f>IFERROR(__xludf.DUMMYFUNCTION("""COMPUTED_VALUE"""),"Exclusive")</f>
        <v>Exclusive</v>
      </c>
    </row>
    <row r="309">
      <c r="A309" s="17" t="str">
        <f>IFERROR(__xludf.DUMMYFUNCTION("""COMPUTED_VALUE"""),"Clover Pit")</f>
        <v>Clover Pit</v>
      </c>
      <c r="B309" s="20" t="str">
        <f>IFERROR(__xludf.DUMMYFUNCTION("""COMPUTED_VALUE"""),"Xbox / PC")</f>
        <v>Xbox / PC</v>
      </c>
      <c r="C309" s="21" t="str">
        <f>IFERROR(__xludf.DUMMYFUNCTION("""COMPUTED_VALUE"""),"Yes")</f>
        <v>Yes</v>
      </c>
      <c r="D309" s="21" t="str">
        <f>IFERROR(__xludf.DUMMYFUNCTION("""COMPUTED_VALUE"""),"Active")</f>
        <v>Active</v>
      </c>
      <c r="E309" s="23">
        <f>IFERROR(__xludf.DUMMYFUNCTION("""COMPUTED_VALUE"""),45981.0)</f>
        <v>45981</v>
      </c>
      <c r="F309" s="24"/>
      <c r="G309" s="27">
        <f>IFERROR(__xludf.DUMMYFUNCTION("""COMPUTED_VALUE"""),10.533333333333333)</f>
        <v>10.53333333</v>
      </c>
      <c r="H309" s="23">
        <f>IFERROR(__xludf.DUMMYFUNCTION("""COMPUTED_VALUE"""),45926.0)</f>
        <v>45926</v>
      </c>
      <c r="I309" s="27">
        <f>IFERROR(__xludf.DUMMYFUNCTION("""COMPUTED_VALUE"""),0.15)</f>
        <v>0.15</v>
      </c>
      <c r="J309" s="29">
        <f>IFERROR(__xludf.DUMMYFUNCTION("""COMPUTED_VALUE"""),77.0)</f>
        <v>77</v>
      </c>
      <c r="K309" s="29">
        <f>IFERROR(__xludf.DUMMYFUNCTION("""COMPUTED_VALUE"""),8.0)</f>
        <v>8</v>
      </c>
      <c r="L309" s="31" t="str">
        <f>IFERROR(__xludf.DUMMYFUNCTION("""COMPUTED_VALUE"""),"Action-Adventure")</f>
        <v>Action-Adventure</v>
      </c>
      <c r="M309" s="31"/>
    </row>
    <row r="310">
      <c r="A310" s="17" t="str">
        <f>IFERROR(__xludf.DUMMYFUNCTION("""COMPUTED_VALUE"""),"Valiant Hearts: The Great War")</f>
        <v>Valiant Hearts: The Great War</v>
      </c>
      <c r="B310" s="20" t="str">
        <f>IFERROR(__xludf.DUMMYFUNCTION("""COMPUTED_VALUE"""),"Xbox / PC")</f>
        <v>Xbox / PC</v>
      </c>
      <c r="C310" s="21" t="str">
        <f>IFERROR(__xludf.DUMMYFUNCTION("""COMPUTED_VALUE"""),"Yes")</f>
        <v>Yes</v>
      </c>
      <c r="D310" s="21" t="str">
        <f>IFERROR(__xludf.DUMMYFUNCTION("""COMPUTED_VALUE"""),"Active")</f>
        <v>Active</v>
      </c>
      <c r="E310" s="23">
        <f>IFERROR(__xludf.DUMMYFUNCTION("""COMPUTED_VALUE"""),45931.0)</f>
        <v>45931</v>
      </c>
      <c r="F310" s="24"/>
      <c r="G310" s="27">
        <f>IFERROR(__xludf.DUMMYFUNCTION("""COMPUTED_VALUE"""),12.166666666666666)</f>
        <v>12.16666667</v>
      </c>
      <c r="H310" s="23">
        <f>IFERROR(__xludf.DUMMYFUNCTION("""COMPUTED_VALUE"""),41814.0)</f>
        <v>41814</v>
      </c>
      <c r="I310" s="27">
        <f>IFERROR(__xludf.DUMMYFUNCTION("""COMPUTED_VALUE"""),11.269444444444444)</f>
        <v>11.26944444</v>
      </c>
      <c r="J310" s="29">
        <f>IFERROR(__xludf.DUMMYFUNCTION("""COMPUTED_VALUE"""),77.0)</f>
        <v>77</v>
      </c>
      <c r="K310" s="29">
        <f>IFERROR(__xludf.DUMMYFUNCTION("""COMPUTED_VALUE"""),7.0)</f>
        <v>7</v>
      </c>
      <c r="L310" s="31" t="str">
        <f>IFERROR(__xludf.DUMMYFUNCTION("""COMPUTED_VALUE"""),"Platformer")</f>
        <v>Platformer</v>
      </c>
      <c r="M310" s="31"/>
    </row>
    <row r="311">
      <c r="A311" s="17" t="str">
        <f>IFERROR(__xludf.DUMMYFUNCTION("""COMPUTED_VALUE"""),"RoadCraft")</f>
        <v>RoadCraft</v>
      </c>
      <c r="B311" s="20" t="str">
        <f>IFERROR(__xludf.DUMMYFUNCTION("""COMPUTED_VALUE"""),"Xbox / PC")</f>
        <v>Xbox / PC</v>
      </c>
      <c r="C311" s="21" t="str">
        <f>IFERROR(__xludf.DUMMYFUNCTION("""COMPUTED_VALUE"""),"Yes")</f>
        <v>Yes</v>
      </c>
      <c r="D311" s="21" t="str">
        <f>IFERROR(__xludf.DUMMYFUNCTION("""COMPUTED_VALUE"""),"Active")</f>
        <v>Active</v>
      </c>
      <c r="E311" s="23">
        <f>IFERROR(__xludf.DUMMYFUNCTION("""COMPUTED_VALUE"""),45916.0)</f>
        <v>45916</v>
      </c>
      <c r="F311" s="24"/>
      <c r="G311" s="27">
        <f>IFERROR(__xludf.DUMMYFUNCTION("""COMPUTED_VALUE"""),12.666666666666668)</f>
        <v>12.66666667</v>
      </c>
      <c r="H311" s="23">
        <f>IFERROR(__xludf.DUMMYFUNCTION("""COMPUTED_VALUE"""),45797.0)</f>
        <v>45797</v>
      </c>
      <c r="I311" s="27">
        <f>IFERROR(__xludf.DUMMYFUNCTION("""COMPUTED_VALUE"""),0.32222222222222224)</f>
        <v>0.3222222222</v>
      </c>
      <c r="J311" s="29">
        <f>IFERROR(__xludf.DUMMYFUNCTION("""COMPUTED_VALUE"""),77.0)</f>
        <v>77</v>
      </c>
      <c r="K311" s="29">
        <f>IFERROR(__xludf.DUMMYFUNCTION("""COMPUTED_VALUE"""),51.0)</f>
        <v>51</v>
      </c>
      <c r="L311" s="31" t="str">
        <f>IFERROR(__xludf.DUMMYFUNCTION("""COMPUTED_VALUE"""),"Racing")</f>
        <v>Racing</v>
      </c>
      <c r="M311" s="31" t="str">
        <f>IFERROR(__xludf.DUMMYFUNCTION("""COMPUTED_VALUE"""),"Exclusive")</f>
        <v>Exclusive</v>
      </c>
    </row>
    <row r="312">
      <c r="A312" s="17" t="str">
        <f>IFERROR(__xludf.DUMMYFUNCTION("""COMPUTED_VALUE"""),"Herdling")</f>
        <v>Herdling</v>
      </c>
      <c r="B312" s="20" t="str">
        <f>IFERROR(__xludf.DUMMYFUNCTION("""COMPUTED_VALUE"""),"Xbox / PC")</f>
        <v>Xbox / PC</v>
      </c>
      <c r="C312" s="21" t="str">
        <f>IFERROR(__xludf.DUMMYFUNCTION("""COMPUTED_VALUE"""),"Yes")</f>
        <v>Yes</v>
      </c>
      <c r="D312" s="21" t="str">
        <f>IFERROR(__xludf.DUMMYFUNCTION("""COMPUTED_VALUE"""),"Active")</f>
        <v>Active</v>
      </c>
      <c r="E312" s="23">
        <f>IFERROR(__xludf.DUMMYFUNCTION("""COMPUTED_VALUE"""),45890.0)</f>
        <v>45890</v>
      </c>
      <c r="F312" s="24"/>
      <c r="G312" s="27">
        <f>IFERROR(__xludf.DUMMYFUNCTION("""COMPUTED_VALUE"""),13.5)</f>
        <v>13.5</v>
      </c>
      <c r="H312" s="23">
        <f>IFERROR(__xludf.DUMMYFUNCTION("""COMPUTED_VALUE"""),45890.0)</f>
        <v>45890</v>
      </c>
      <c r="I312" s="27">
        <f>IFERROR(__xludf.DUMMYFUNCTION("""COMPUTED_VALUE"""),0.0)</f>
        <v>0</v>
      </c>
      <c r="J312" s="29">
        <f>IFERROR(__xludf.DUMMYFUNCTION("""COMPUTED_VALUE"""),77.0)</f>
        <v>77</v>
      </c>
      <c r="K312" s="29">
        <f>IFERROR(__xludf.DUMMYFUNCTION("""COMPUTED_VALUE"""),4.0)</f>
        <v>4</v>
      </c>
      <c r="L312" s="31" t="str">
        <f>IFERROR(__xludf.DUMMYFUNCTION("""COMPUTED_VALUE"""),"Action-Adventure")</f>
        <v>Action-Adventure</v>
      </c>
      <c r="M312" s="31" t="str">
        <f>IFERROR(__xludf.DUMMYFUNCTION("""COMPUTED_VALUE"""),"Exclusive")</f>
        <v>Exclusive</v>
      </c>
    </row>
    <row r="313">
      <c r="A313" s="17" t="str">
        <f>IFERROR(__xludf.DUMMYFUNCTION("""COMPUTED_VALUE"""),"Demon Attack")</f>
        <v>Demon Attack</v>
      </c>
      <c r="B313" s="20" t="str">
        <f>IFERROR(__xludf.DUMMYFUNCTION("""COMPUTED_VALUE"""),"Xbox / PC")</f>
        <v>Xbox / PC</v>
      </c>
      <c r="C313" s="21" t="str">
        <f>IFERROR(__xludf.DUMMYFUNCTION("""COMPUTED_VALUE"""),"Yes")</f>
        <v>Yes</v>
      </c>
      <c r="D313" s="21" t="str">
        <f>IFERROR(__xludf.DUMMYFUNCTION("""COMPUTED_VALUE"""),"Active")</f>
        <v>Active</v>
      </c>
      <c r="E313" s="23">
        <f>IFERROR(__xludf.DUMMYFUNCTION("""COMPUTED_VALUE"""),45798.0)</f>
        <v>45798</v>
      </c>
      <c r="F313" s="24"/>
      <c r="G313" s="27">
        <f>IFERROR(__xludf.DUMMYFUNCTION("""COMPUTED_VALUE"""),16.5)</f>
        <v>16.5</v>
      </c>
      <c r="H313" s="23">
        <f>IFERROR(__xludf.DUMMYFUNCTION("""COMPUTED_VALUE"""),32255.0)</f>
        <v>32255</v>
      </c>
      <c r="I313" s="27">
        <f>IFERROR(__xludf.DUMMYFUNCTION("""COMPUTED_VALUE"""),37.080555555555556)</f>
        <v>37.08055556</v>
      </c>
      <c r="J313" s="29">
        <f>IFERROR(__xludf.DUMMYFUNCTION("""COMPUTED_VALUE"""),77.0)</f>
        <v>77</v>
      </c>
      <c r="K313" s="29"/>
      <c r="L313" s="31" t="str">
        <f>IFERROR(__xludf.DUMMYFUNCTION("""COMPUTED_VALUE"""),"Shooter")</f>
        <v>Shooter</v>
      </c>
      <c r="M313" s="31"/>
    </row>
    <row r="314">
      <c r="A314" s="17" t="str">
        <f>IFERROR(__xludf.DUMMYFUNCTION("""COMPUTED_VALUE"""),"Police Quest")</f>
        <v>Police Quest</v>
      </c>
      <c r="B314" s="20" t="str">
        <f>IFERROR(__xludf.DUMMYFUNCTION("""COMPUTED_VALUE"""),"Xbox / PC")</f>
        <v>Xbox / PC</v>
      </c>
      <c r="C314" s="21" t="str">
        <f>IFERROR(__xludf.DUMMYFUNCTION("""COMPUTED_VALUE"""),"Yes")</f>
        <v>Yes</v>
      </c>
      <c r="D314" s="21" t="str">
        <f>IFERROR(__xludf.DUMMYFUNCTION("""COMPUTED_VALUE"""),"Active")</f>
        <v>Active</v>
      </c>
      <c r="E314" s="23">
        <f>IFERROR(__xludf.DUMMYFUNCTION("""COMPUTED_VALUE"""),45798.0)</f>
        <v>45798</v>
      </c>
      <c r="F314" s="24"/>
      <c r="G314" s="27">
        <f>IFERROR(__xludf.DUMMYFUNCTION("""COMPUTED_VALUE"""),16.5)</f>
        <v>16.5</v>
      </c>
      <c r="H314" s="23">
        <f>IFERROR(__xludf.DUMMYFUNCTION("""COMPUTED_VALUE"""),31778.0)</f>
        <v>31778</v>
      </c>
      <c r="I314" s="27">
        <f>IFERROR(__xludf.DUMMYFUNCTION("""COMPUTED_VALUE"""),38.388888888888886)</f>
        <v>38.38888889</v>
      </c>
      <c r="J314" s="29">
        <f>IFERROR(__xludf.DUMMYFUNCTION("""COMPUTED_VALUE"""),77.0)</f>
        <v>77</v>
      </c>
      <c r="K314" s="29">
        <f>IFERROR(__xludf.DUMMYFUNCTION("""COMPUTED_VALUE"""),4.0)</f>
        <v>4</v>
      </c>
      <c r="L314" s="31" t="str">
        <f>IFERROR(__xludf.DUMMYFUNCTION("""COMPUTED_VALUE"""),"Adventure")</f>
        <v>Adventure</v>
      </c>
      <c r="M314" s="31"/>
    </row>
    <row r="315">
      <c r="A315" s="17" t="str">
        <f>IFERROR(__xludf.DUMMYFUNCTION("""COMPUTED_VALUE"""),"Riders Republic")</f>
        <v>Riders Republic</v>
      </c>
      <c r="B315" s="20" t="str">
        <f>IFERROR(__xludf.DUMMYFUNCTION("""COMPUTED_VALUE"""),"Xbox / PC")</f>
        <v>Xbox / PC</v>
      </c>
      <c r="C315" s="21" t="str">
        <f>IFERROR(__xludf.DUMMYFUNCTION("""COMPUTED_VALUE"""),"Yes")</f>
        <v>Yes</v>
      </c>
      <c r="D315" s="21" t="str">
        <f>IFERROR(__xludf.DUMMYFUNCTION("""COMPUTED_VALUE"""),"Active")</f>
        <v>Active</v>
      </c>
      <c r="E315" s="23">
        <f>IFERROR(__xludf.DUMMYFUNCTION("""COMPUTED_VALUE"""),45546.0)</f>
        <v>45546</v>
      </c>
      <c r="F315" s="24"/>
      <c r="G315" s="27">
        <f>IFERROR(__xludf.DUMMYFUNCTION("""COMPUTED_VALUE"""),24.833333333333336)</f>
        <v>24.83333333</v>
      </c>
      <c r="H315" s="23">
        <f>IFERROR(__xludf.DUMMYFUNCTION("""COMPUTED_VALUE"""),44497.0)</f>
        <v>44497</v>
      </c>
      <c r="I315" s="27">
        <f>IFERROR(__xludf.DUMMYFUNCTION("""COMPUTED_VALUE"""),2.8694444444444445)</f>
        <v>2.869444444</v>
      </c>
      <c r="J315" s="29">
        <f>IFERROR(__xludf.DUMMYFUNCTION("""COMPUTED_VALUE"""),77.0)</f>
        <v>77</v>
      </c>
      <c r="K315" s="29">
        <f>IFERROR(__xludf.DUMMYFUNCTION("""COMPUTED_VALUE"""),18.0)</f>
        <v>18</v>
      </c>
      <c r="L315" s="31" t="str">
        <f>IFERROR(__xludf.DUMMYFUNCTION("""COMPUTED_VALUE"""),"Sports")</f>
        <v>Sports</v>
      </c>
      <c r="M315" s="31"/>
    </row>
    <row r="316">
      <c r="A316" s="17" t="str">
        <f>IFERROR(__xludf.DUMMYFUNCTION("""COMPUTED_VALUE"""),"Nickelodeon All-Star Brawl 2")</f>
        <v>Nickelodeon All-Star Brawl 2</v>
      </c>
      <c r="B316" s="20" t="str">
        <f>IFERROR(__xludf.DUMMYFUNCTION("""COMPUTED_VALUE"""),"Xbox / PC")</f>
        <v>Xbox / PC</v>
      </c>
      <c r="C316" s="21" t="str">
        <f>IFERROR(__xludf.DUMMYFUNCTION("""COMPUTED_VALUE"""),"Yes")</f>
        <v>Yes</v>
      </c>
      <c r="D316" s="21" t="str">
        <f>IFERROR(__xludf.DUMMYFUNCTION("""COMPUTED_VALUE"""),"Active")</f>
        <v>Active</v>
      </c>
      <c r="E316" s="23">
        <f>IFERROR(__xludf.DUMMYFUNCTION("""COMPUTED_VALUE"""),45476.0)</f>
        <v>45476</v>
      </c>
      <c r="F316" s="24"/>
      <c r="G316" s="27">
        <f>IFERROR(__xludf.DUMMYFUNCTION("""COMPUTED_VALUE"""),27.1)</f>
        <v>27.1</v>
      </c>
      <c r="H316" s="23">
        <f>IFERROR(__xludf.DUMMYFUNCTION("""COMPUTED_VALUE"""),45237.0)</f>
        <v>45237</v>
      </c>
      <c r="I316" s="27">
        <f>IFERROR(__xludf.DUMMYFUNCTION("""COMPUTED_VALUE"""),0.6555555555555556)</f>
        <v>0.6555555556</v>
      </c>
      <c r="J316" s="29">
        <f>IFERROR(__xludf.DUMMYFUNCTION("""COMPUTED_VALUE"""),77.0)</f>
        <v>77</v>
      </c>
      <c r="K316" s="29">
        <f>IFERROR(__xludf.DUMMYFUNCTION("""COMPUTED_VALUE"""),4.0)</f>
        <v>4</v>
      </c>
      <c r="L316" s="31" t="str">
        <f>IFERROR(__xludf.DUMMYFUNCTION("""COMPUTED_VALUE"""),"Fighting")</f>
        <v>Fighting</v>
      </c>
      <c r="M316" s="31"/>
    </row>
    <row r="317">
      <c r="A317" s="17" t="str">
        <f>IFERROR(__xludf.DUMMYFUNCTION("""COMPUTED_VALUE"""),"Need for Speed: Unbound")</f>
        <v>Need for Speed: Unbound</v>
      </c>
      <c r="B317" s="20" t="str">
        <f>IFERROR(__xludf.DUMMYFUNCTION("""COMPUTED_VALUE"""),"Xbox / PC")</f>
        <v>Xbox / PC</v>
      </c>
      <c r="C317" s="21" t="str">
        <f>IFERROR(__xludf.DUMMYFUNCTION("""COMPUTED_VALUE"""),"Yes")</f>
        <v>Yes</v>
      </c>
      <c r="D317" s="21" t="str">
        <f>IFERROR(__xludf.DUMMYFUNCTION("""COMPUTED_VALUE"""),"Active")</f>
        <v>Active</v>
      </c>
      <c r="E317" s="23">
        <f>IFERROR(__xludf.DUMMYFUNCTION("""COMPUTED_VALUE"""),45099.0)</f>
        <v>45099</v>
      </c>
      <c r="F317" s="24"/>
      <c r="G317" s="27">
        <f>IFERROR(__xludf.DUMMYFUNCTION("""COMPUTED_VALUE"""),39.46666666666667)</f>
        <v>39.46666667</v>
      </c>
      <c r="H317" s="23">
        <f>IFERROR(__xludf.DUMMYFUNCTION("""COMPUTED_VALUE"""),44894.0)</f>
        <v>44894</v>
      </c>
      <c r="I317" s="27">
        <f>IFERROR(__xludf.DUMMYFUNCTION("""COMPUTED_VALUE"""),0.5638888888888889)</f>
        <v>0.5638888889</v>
      </c>
      <c r="J317" s="29">
        <f>IFERROR(__xludf.DUMMYFUNCTION("""COMPUTED_VALUE"""),77.0)</f>
        <v>77</v>
      </c>
      <c r="K317" s="29">
        <f>IFERROR(__xludf.DUMMYFUNCTION("""COMPUTED_VALUE"""),23.0)</f>
        <v>23</v>
      </c>
      <c r="L317" s="31" t="str">
        <f>IFERROR(__xludf.DUMMYFUNCTION("""COMPUTED_VALUE"""),"Racing")</f>
        <v>Racing</v>
      </c>
      <c r="M317" s="31" t="str">
        <f>IFERROR(__xludf.DUMMYFUNCTION("""COMPUTED_VALUE"""),"Exclusive")</f>
        <v>Exclusive</v>
      </c>
    </row>
    <row r="318">
      <c r="A318" s="17" t="str">
        <f>IFERROR(__xludf.DUMMYFUNCTION("""COMPUTED_VALUE"""),"Broken Age")</f>
        <v>Broken Age</v>
      </c>
      <c r="B318" s="20" t="str">
        <f>IFERROR(__xludf.DUMMYFUNCTION("""COMPUTED_VALUE"""),"Xbox / PC")</f>
        <v>Xbox / PC</v>
      </c>
      <c r="C318" s="21" t="str">
        <f>IFERROR(__xludf.DUMMYFUNCTION("""COMPUTED_VALUE"""),"Touch Controls")</f>
        <v>Touch Controls</v>
      </c>
      <c r="D318" s="21" t="str">
        <f>IFERROR(__xludf.DUMMYFUNCTION("""COMPUTED_VALUE"""),"Active")</f>
        <v>Active</v>
      </c>
      <c r="E318" s="23">
        <f>IFERROR(__xludf.DUMMYFUNCTION("""COMPUTED_VALUE"""),44546.0)</f>
        <v>44546</v>
      </c>
      <c r="F318" s="24"/>
      <c r="G318" s="27">
        <f>IFERROR(__xludf.DUMMYFUNCTION("""COMPUTED_VALUE"""),57.666666666666664)</f>
        <v>57.66666667</v>
      </c>
      <c r="H318" s="23">
        <f>IFERROR(__xludf.DUMMYFUNCTION("""COMPUTED_VALUE"""),41653.0)</f>
        <v>41653</v>
      </c>
      <c r="I318" s="27">
        <f>IFERROR(__xludf.DUMMYFUNCTION("""COMPUTED_VALUE"""),7.9222222222222225)</f>
        <v>7.922222222</v>
      </c>
      <c r="J318" s="29">
        <f>IFERROR(__xludf.DUMMYFUNCTION("""COMPUTED_VALUE"""),77.0)</f>
        <v>77</v>
      </c>
      <c r="K318" s="29">
        <f>IFERROR(__xludf.DUMMYFUNCTION("""COMPUTED_VALUE"""),10.0)</f>
        <v>10</v>
      </c>
      <c r="L318" s="31" t="str">
        <f>IFERROR(__xludf.DUMMYFUNCTION("""COMPUTED_VALUE"""),"Adventure")</f>
        <v>Adventure</v>
      </c>
      <c r="M318" s="31"/>
    </row>
    <row r="319">
      <c r="A319" s="17" t="str">
        <f>IFERROR(__xludf.DUMMYFUNCTION("""COMPUTED_VALUE"""),"DOOM 64")</f>
        <v>DOOM 64</v>
      </c>
      <c r="B319" s="20" t="str">
        <f>IFERROR(__xludf.DUMMYFUNCTION("""COMPUTED_VALUE"""),"Xbox / PC")</f>
        <v>Xbox / PC</v>
      </c>
      <c r="C319" s="21" t="str">
        <f>IFERROR(__xludf.DUMMYFUNCTION("""COMPUTED_VALUE"""),"M+KB")</f>
        <v>M+KB</v>
      </c>
      <c r="D319" s="21" t="str">
        <f>IFERROR(__xludf.DUMMYFUNCTION("""COMPUTED_VALUE"""),"Active")</f>
        <v>Active</v>
      </c>
      <c r="E319" s="23">
        <f>IFERROR(__xludf.DUMMYFUNCTION("""COMPUTED_VALUE"""),44267.0)</f>
        <v>44267</v>
      </c>
      <c r="F319" s="24"/>
      <c r="G319" s="27">
        <f>IFERROR(__xludf.DUMMYFUNCTION("""COMPUTED_VALUE"""),66.8)</f>
        <v>66.8</v>
      </c>
      <c r="H319" s="23">
        <f>IFERROR(__xludf.DUMMYFUNCTION("""COMPUTED_VALUE"""),35520.0)</f>
        <v>35520</v>
      </c>
      <c r="I319" s="27">
        <f>IFERROR(__xludf.DUMMYFUNCTION("""COMPUTED_VALUE"""),23.95)</f>
        <v>23.95</v>
      </c>
      <c r="J319" s="29">
        <f>IFERROR(__xludf.DUMMYFUNCTION("""COMPUTED_VALUE"""),77.0)</f>
        <v>77</v>
      </c>
      <c r="K319" s="29">
        <f>IFERROR(__xludf.DUMMYFUNCTION("""COMPUTED_VALUE"""),7.0)</f>
        <v>7</v>
      </c>
      <c r="L319" s="31" t="str">
        <f>IFERROR(__xludf.DUMMYFUNCTION("""COMPUTED_VALUE"""),"Shooter")</f>
        <v>Shooter</v>
      </c>
      <c r="M319" s="31"/>
    </row>
    <row r="320">
      <c r="A320" s="17" t="str">
        <f>IFERROR(__xludf.DUMMYFUNCTION("""COMPUTED_VALUE"""),"Descenders")</f>
        <v>Descenders</v>
      </c>
      <c r="B320" s="20" t="str">
        <f>IFERROR(__xludf.DUMMYFUNCTION("""COMPUTED_VALUE"""),"Xbox / PC")</f>
        <v>Xbox / PC</v>
      </c>
      <c r="C320" s="21" t="str">
        <f>IFERROR(__xludf.DUMMYFUNCTION("""COMPUTED_VALUE"""),"Yes")</f>
        <v>Yes</v>
      </c>
      <c r="D320" s="21" t="str">
        <f>IFERROR(__xludf.DUMMYFUNCTION("""COMPUTED_VALUE"""),"Active")</f>
        <v>Active</v>
      </c>
      <c r="E320" s="23">
        <f>IFERROR(__xludf.DUMMYFUNCTION("""COMPUTED_VALUE"""),43592.0)</f>
        <v>43592</v>
      </c>
      <c r="F320" s="24"/>
      <c r="G320" s="27">
        <f>IFERROR(__xludf.DUMMYFUNCTION("""COMPUTED_VALUE"""),88.96666666666667)</f>
        <v>88.96666667</v>
      </c>
      <c r="H320" s="23">
        <f>IFERROR(__xludf.DUMMYFUNCTION("""COMPUTED_VALUE"""),43140.0)</f>
        <v>43140</v>
      </c>
      <c r="I320" s="27">
        <f>IFERROR(__xludf.DUMMYFUNCTION("""COMPUTED_VALUE"""),1.2444444444444445)</f>
        <v>1.244444444</v>
      </c>
      <c r="J320" s="29">
        <f>IFERROR(__xludf.DUMMYFUNCTION("""COMPUTED_VALUE"""),77.0)</f>
        <v>77</v>
      </c>
      <c r="K320" s="29">
        <f>IFERROR(__xludf.DUMMYFUNCTION("""COMPUTED_VALUE"""),4.0)</f>
        <v>4</v>
      </c>
      <c r="L320" s="31" t="str">
        <f>IFERROR(__xludf.DUMMYFUNCTION("""COMPUTED_VALUE"""),"Racing")</f>
        <v>Racing</v>
      </c>
      <c r="M320" s="31" t="str">
        <f>IFERROR(__xludf.DUMMYFUNCTION("""COMPUTED_VALUE"""),"Optimized")</f>
        <v>Optimized</v>
      </c>
    </row>
    <row r="321">
      <c r="A321" s="17" t="str">
        <f>IFERROR(__xludf.DUMMYFUNCTION("""COMPUTED_VALUE"""),"Wasteland 2: Director's Cut")</f>
        <v>Wasteland 2: Director's Cut</v>
      </c>
      <c r="B321" s="20" t="str">
        <f>IFERROR(__xludf.DUMMYFUNCTION("""COMPUTED_VALUE"""),"Xbox / PC")</f>
        <v>Xbox / PC</v>
      </c>
      <c r="C321" s="21" t="str">
        <f>IFERROR(__xludf.DUMMYFUNCTION("""COMPUTED_VALUE"""),"Touch Controls")</f>
        <v>Touch Controls</v>
      </c>
      <c r="D321" s="21" t="str">
        <f>IFERROR(__xludf.DUMMYFUNCTION("""COMPUTED_VALUE"""),"Active")</f>
        <v>Active</v>
      </c>
      <c r="E321" s="23">
        <f>IFERROR(__xludf.DUMMYFUNCTION("""COMPUTED_VALUE"""),43252.0)</f>
        <v>43252</v>
      </c>
      <c r="F321" s="24"/>
      <c r="G321" s="27">
        <f>IFERROR(__xludf.DUMMYFUNCTION("""COMPUTED_VALUE"""),100.16666666666666)</f>
        <v>100.1666667</v>
      </c>
      <c r="H321" s="23">
        <f>IFERROR(__xludf.DUMMYFUNCTION("""COMPUTED_VALUE"""),41900.0)</f>
        <v>41900</v>
      </c>
      <c r="I321" s="27">
        <f>IFERROR(__xludf.DUMMYFUNCTION("""COMPUTED_VALUE"""),3.702777777777778)</f>
        <v>3.702777778</v>
      </c>
      <c r="J321" s="29">
        <f>IFERROR(__xludf.DUMMYFUNCTION("""COMPUTED_VALUE"""),77.0)</f>
        <v>77</v>
      </c>
      <c r="K321" s="29">
        <f>IFERROR(__xludf.DUMMYFUNCTION("""COMPUTED_VALUE"""),39.5)</f>
        <v>39.5</v>
      </c>
      <c r="L321" s="31" t="str">
        <f>IFERROR(__xludf.DUMMYFUNCTION("""COMPUTED_VALUE"""),"RPG")</f>
        <v>RPG</v>
      </c>
      <c r="M321" s="31"/>
    </row>
    <row r="322">
      <c r="A322" s="17" t="str">
        <f>IFERROR(__xludf.DUMMYFUNCTION("""COMPUTED_VALUE"""),"Banjo-Kazooie")</f>
        <v>Banjo-Kazooie</v>
      </c>
      <c r="B322" s="20" t="str">
        <f>IFERROR(__xludf.DUMMYFUNCTION("""COMPUTED_VALUE"""),"Xbox")</f>
        <v>Xbox</v>
      </c>
      <c r="C322" s="21" t="str">
        <f>IFERROR(__xludf.DUMMYFUNCTION("""COMPUTED_VALUE"""),"Touch Controls")</f>
        <v>Touch Controls</v>
      </c>
      <c r="D322" s="21" t="str">
        <f>IFERROR(__xludf.DUMMYFUNCTION("""COMPUTED_VALUE"""),"Active")</f>
        <v>Active</v>
      </c>
      <c r="E322" s="23">
        <f>IFERROR(__xludf.DUMMYFUNCTION("""COMPUTED_VALUE"""),42887.0)</f>
        <v>42887</v>
      </c>
      <c r="F322" s="24"/>
      <c r="G322" s="27">
        <f>IFERROR(__xludf.DUMMYFUNCTION("""COMPUTED_VALUE"""),112.16666666666666)</f>
        <v>112.1666667</v>
      </c>
      <c r="H322" s="23">
        <f>IFERROR(__xludf.DUMMYFUNCTION("""COMPUTED_VALUE"""),35975.0)</f>
        <v>35975</v>
      </c>
      <c r="I322" s="27">
        <f>IFERROR(__xludf.DUMMYFUNCTION("""COMPUTED_VALUE"""),18.92222222222222)</f>
        <v>18.92222222</v>
      </c>
      <c r="J322" s="29">
        <f>IFERROR(__xludf.DUMMYFUNCTION("""COMPUTED_VALUE"""),77.0)</f>
        <v>77</v>
      </c>
      <c r="K322" s="29">
        <f>IFERROR(__xludf.DUMMYFUNCTION("""COMPUTED_VALUE"""),11.0)</f>
        <v>11</v>
      </c>
      <c r="L322" s="31" t="str">
        <f>IFERROR(__xludf.DUMMYFUNCTION("""COMPUTED_VALUE"""),"Adventure")</f>
        <v>Adventure</v>
      </c>
      <c r="M322" s="31"/>
    </row>
    <row r="323">
      <c r="A323" s="17" t="str">
        <f>IFERROR(__xludf.DUMMYFUNCTION("""COMPUTED_VALUE"""),"Supermarket Simulator")</f>
        <v>Supermarket Simulator</v>
      </c>
      <c r="B323" s="20" t="str">
        <f>IFERROR(__xludf.DUMMYFUNCTION("""COMPUTED_VALUE"""),"Xbox / PC")</f>
        <v>Xbox / PC</v>
      </c>
      <c r="C323" s="21" t="str">
        <f>IFERROR(__xludf.DUMMYFUNCTION("""COMPUTED_VALUE"""),"Yes")</f>
        <v>Yes</v>
      </c>
      <c r="D323" s="21" t="str">
        <f>IFERROR(__xludf.DUMMYFUNCTION("""COMPUTED_VALUE"""),"Active")</f>
        <v>Active</v>
      </c>
      <c r="E323" s="23">
        <f>IFERROR(__xludf.DUMMYFUNCTION("""COMPUTED_VALUE"""),45938.0)</f>
        <v>45938</v>
      </c>
      <c r="F323" s="24"/>
      <c r="G323" s="27">
        <f>IFERROR(__xludf.DUMMYFUNCTION("""COMPUTED_VALUE"""),11.933333333333334)</f>
        <v>11.93333333</v>
      </c>
      <c r="H323" s="23">
        <f>IFERROR(__xludf.DUMMYFUNCTION("""COMPUTED_VALUE"""),45827.0)</f>
        <v>45827</v>
      </c>
      <c r="I323" s="27">
        <f>IFERROR(__xludf.DUMMYFUNCTION("""COMPUTED_VALUE"""),0.30277777777777776)</f>
        <v>0.3027777778</v>
      </c>
      <c r="J323" s="29">
        <f>IFERROR(__xludf.DUMMYFUNCTION("""COMPUTED_VALUE"""),76.66666666666667)</f>
        <v>76.66666667</v>
      </c>
      <c r="K323" s="29">
        <f>IFERROR(__xludf.DUMMYFUNCTION("""COMPUTED_VALUE"""),22.0)</f>
        <v>22</v>
      </c>
      <c r="L323" s="31" t="str">
        <f>IFERROR(__xludf.DUMMYFUNCTION("""COMPUTED_VALUE"""),"Simulation")</f>
        <v>Simulation</v>
      </c>
      <c r="M323" s="31"/>
    </row>
    <row r="324">
      <c r="A324" s="17" t="str">
        <f>IFERROR(__xludf.DUMMYFUNCTION("""COMPUTED_VALUE"""),"Crime Scene Cleaner")</f>
        <v>Crime Scene Cleaner</v>
      </c>
      <c r="B324" s="20" t="str">
        <f>IFERROR(__xludf.DUMMYFUNCTION("""COMPUTED_VALUE"""),"Xbox / PC")</f>
        <v>Xbox / PC</v>
      </c>
      <c r="C324" s="21" t="str">
        <f>IFERROR(__xludf.DUMMYFUNCTION("""COMPUTED_VALUE"""),"Yes")</f>
        <v>Yes</v>
      </c>
      <c r="D324" s="21" t="str">
        <f>IFERROR(__xludf.DUMMYFUNCTION("""COMPUTED_VALUE"""),"Leaving Soon")</f>
        <v>Leaving Soon</v>
      </c>
      <c r="E324" s="23">
        <f>IFERROR(__xludf.DUMMYFUNCTION("""COMPUTED_VALUE"""),45764.0)</f>
        <v>45764</v>
      </c>
      <c r="F324" s="24">
        <f>IFERROR(__xludf.DUMMYFUNCTION("""COMPUTED_VALUE"""),46310.0)</f>
        <v>46310</v>
      </c>
      <c r="G324" s="27">
        <f>IFERROR(__xludf.DUMMYFUNCTION("""COMPUTED_VALUE"""),17.933333333333334)</f>
        <v>17.93333333</v>
      </c>
      <c r="H324" s="23">
        <f>IFERROR(__xludf.DUMMYFUNCTION("""COMPUTED_VALUE"""),45518.0)</f>
        <v>45518</v>
      </c>
      <c r="I324" s="27">
        <f>IFERROR(__xludf.DUMMYFUNCTION("""COMPUTED_VALUE"""),0.675)</f>
        <v>0.675</v>
      </c>
      <c r="J324" s="29">
        <f>IFERROR(__xludf.DUMMYFUNCTION("""COMPUTED_VALUE"""),76.66666666666667)</f>
        <v>76.66666667</v>
      </c>
      <c r="K324" s="29">
        <f>IFERROR(__xludf.DUMMYFUNCTION("""COMPUTED_VALUE"""),13.0)</f>
        <v>13</v>
      </c>
      <c r="L324" s="31" t="str">
        <f>IFERROR(__xludf.DUMMYFUNCTION("""COMPUTED_VALUE"""),"Simulation")</f>
        <v>Simulation</v>
      </c>
      <c r="M324" s="31" t="str">
        <f>IFERROR(__xludf.DUMMYFUNCTION("""COMPUTED_VALUE"""),"Exclusive")</f>
        <v>Exclusive</v>
      </c>
    </row>
    <row r="325">
      <c r="A325" s="17" t="str">
        <f>IFERROR(__xludf.DUMMYFUNCTION("""COMPUTED_VALUE"""),"Call of Duty: Black Ops Cold War")</f>
        <v>Call of Duty: Black Ops Cold War</v>
      </c>
      <c r="B325" s="20" t="str">
        <f>IFERROR(__xludf.DUMMYFUNCTION("""COMPUTED_VALUE"""),"Xbox / PC")</f>
        <v>Xbox / PC</v>
      </c>
      <c r="C325" s="21" t="str">
        <f>IFERROR(__xludf.DUMMYFUNCTION("""COMPUTED_VALUE"""),"Yes")</f>
        <v>Yes</v>
      </c>
      <c r="D325" s="21" t="str">
        <f>IFERROR(__xludf.DUMMYFUNCTION("""COMPUTED_VALUE"""),"Active")</f>
        <v>Active</v>
      </c>
      <c r="E325" s="23">
        <f>IFERROR(__xludf.DUMMYFUNCTION("""COMPUTED_VALUE"""),46273.0)</f>
        <v>46273</v>
      </c>
      <c r="F325" s="24"/>
      <c r="G325" s="27">
        <f>IFERROR(__xludf.DUMMYFUNCTION("""COMPUTED_VALUE"""),0.9333333333333333)</f>
        <v>0.9333333333</v>
      </c>
      <c r="H325" s="23">
        <f>IFERROR(__xludf.DUMMYFUNCTION("""COMPUTED_VALUE"""),44148.0)</f>
        <v>44148</v>
      </c>
      <c r="I325" s="27">
        <f>IFERROR(__xludf.DUMMYFUNCTION("""COMPUTED_VALUE"""),5.819444444444445)</f>
        <v>5.819444444</v>
      </c>
      <c r="J325" s="29">
        <f>IFERROR(__xludf.DUMMYFUNCTION("""COMPUTED_VALUE"""),76.0)</f>
        <v>76</v>
      </c>
      <c r="K325" s="29">
        <f>IFERROR(__xludf.DUMMYFUNCTION("""COMPUTED_VALUE"""),5.5)</f>
        <v>5.5</v>
      </c>
      <c r="L325" s="31" t="str">
        <f>IFERROR(__xludf.DUMMYFUNCTION("""COMPUTED_VALUE"""),"Shooter")</f>
        <v>Shooter</v>
      </c>
      <c r="M325" s="31"/>
    </row>
    <row r="326">
      <c r="A326" s="17" t="str">
        <f>IFERROR(__xludf.DUMMYFUNCTION("""COMPUTED_VALUE"""),"Call of the Elder Gods")</f>
        <v>Call of the Elder Gods</v>
      </c>
      <c r="B326" s="20" t="str">
        <f>IFERROR(__xludf.DUMMYFUNCTION("""COMPUTED_VALUE"""),"Xbox / PC")</f>
        <v>Xbox / PC</v>
      </c>
      <c r="C326" s="21" t="str">
        <f>IFERROR(__xludf.DUMMYFUNCTION("""COMPUTED_VALUE"""),"Yes")</f>
        <v>Yes</v>
      </c>
      <c r="D326" s="21" t="str">
        <f>IFERROR(__xludf.DUMMYFUNCTION("""COMPUTED_VALUE"""),"Active")</f>
        <v>Active</v>
      </c>
      <c r="E326" s="23">
        <f>IFERROR(__xludf.DUMMYFUNCTION("""COMPUTED_VALUE"""),46154.0)</f>
        <v>46154</v>
      </c>
      <c r="F326" s="24"/>
      <c r="G326" s="27">
        <f>IFERROR(__xludf.DUMMYFUNCTION("""COMPUTED_VALUE"""),4.800000000000001)</f>
        <v>4.8</v>
      </c>
      <c r="H326" s="23">
        <f>IFERROR(__xludf.DUMMYFUNCTION("""COMPUTED_VALUE"""),46154.0)</f>
        <v>46154</v>
      </c>
      <c r="I326" s="27">
        <f>IFERROR(__xludf.DUMMYFUNCTION("""COMPUTED_VALUE"""),0.0)</f>
        <v>0</v>
      </c>
      <c r="J326" s="29">
        <f>IFERROR(__xludf.DUMMYFUNCTION("""COMPUTED_VALUE"""),76.0)</f>
        <v>76</v>
      </c>
      <c r="K326" s="29">
        <f>IFERROR(__xludf.DUMMYFUNCTION("""COMPUTED_VALUE"""),6.0)</f>
        <v>6</v>
      </c>
      <c r="L326" s="31" t="str">
        <f>IFERROR(__xludf.DUMMYFUNCTION("""COMPUTED_VALUE"""),"Action-Adventure")</f>
        <v>Action-Adventure</v>
      </c>
      <c r="M326" s="31" t="str">
        <f>IFERROR(__xludf.DUMMYFUNCTION("""COMPUTED_VALUE"""),"Exclusive")</f>
        <v>Exclusive</v>
      </c>
    </row>
    <row r="327">
      <c r="A327" s="17" t="str">
        <f>IFERROR(__xludf.DUMMYFUNCTION("""COMPUTED_VALUE"""),"REPLACED")</f>
        <v>REPLACED</v>
      </c>
      <c r="B327" s="20" t="str">
        <f>IFERROR(__xludf.DUMMYFUNCTION("""COMPUTED_VALUE"""),"Xbox / PC")</f>
        <v>Xbox / PC</v>
      </c>
      <c r="C327" s="21" t="str">
        <f>IFERROR(__xludf.DUMMYFUNCTION("""COMPUTED_VALUE"""),"Yes")</f>
        <v>Yes</v>
      </c>
      <c r="D327" s="21" t="str">
        <f>IFERROR(__xludf.DUMMYFUNCTION("""COMPUTED_VALUE"""),"Active")</f>
        <v>Active</v>
      </c>
      <c r="E327" s="23">
        <f>IFERROR(__xludf.DUMMYFUNCTION("""COMPUTED_VALUE"""),46126.0)</f>
        <v>46126</v>
      </c>
      <c r="F327" s="24"/>
      <c r="G327" s="27">
        <f>IFERROR(__xludf.DUMMYFUNCTION("""COMPUTED_VALUE"""),5.733333333333333)</f>
        <v>5.733333333</v>
      </c>
      <c r="H327" s="23">
        <f>IFERROR(__xludf.DUMMYFUNCTION("""COMPUTED_VALUE"""),46126.0)</f>
        <v>46126</v>
      </c>
      <c r="I327" s="27">
        <f>IFERROR(__xludf.DUMMYFUNCTION("""COMPUTED_VALUE"""),0.0)</f>
        <v>0</v>
      </c>
      <c r="J327" s="29">
        <f>IFERROR(__xludf.DUMMYFUNCTION("""COMPUTED_VALUE"""),76.0)</f>
        <v>76</v>
      </c>
      <c r="K327" s="29">
        <f>IFERROR(__xludf.DUMMYFUNCTION("""COMPUTED_VALUE"""),11.0)</f>
        <v>11</v>
      </c>
      <c r="L327" s="31" t="str">
        <f>IFERROR(__xludf.DUMMYFUNCTION("""COMPUTED_VALUE"""),"Action-Adventure")</f>
        <v>Action-Adventure</v>
      </c>
      <c r="M327" s="31" t="str">
        <f>IFERROR(__xludf.DUMMYFUNCTION("""COMPUTED_VALUE"""),"Exclusive")</f>
        <v>Exclusive</v>
      </c>
    </row>
    <row r="328">
      <c r="A328" s="17" t="str">
        <f>IFERROR(__xludf.DUMMYFUNCTION("""COMPUTED_VALUE"""),"Planet Coaster 2")</f>
        <v>Planet Coaster 2</v>
      </c>
      <c r="B328" s="20" t="str">
        <f>IFERROR(__xludf.DUMMYFUNCTION("""COMPUTED_VALUE"""),"Xbox / PC")</f>
        <v>Xbox / PC</v>
      </c>
      <c r="C328" s="21" t="str">
        <f>IFERROR(__xludf.DUMMYFUNCTION("""COMPUTED_VALUE"""),"Yes")</f>
        <v>Yes</v>
      </c>
      <c r="D328" s="21" t="str">
        <f>IFERROR(__xludf.DUMMYFUNCTION("""COMPUTED_VALUE"""),"Active")</f>
        <v>Active</v>
      </c>
      <c r="E328" s="23">
        <f>IFERROR(__xludf.DUMMYFUNCTION("""COMPUTED_VALUE"""),46121.0)</f>
        <v>46121</v>
      </c>
      <c r="F328" s="24"/>
      <c r="G328" s="27">
        <f>IFERROR(__xludf.DUMMYFUNCTION("""COMPUTED_VALUE"""),5.8999999999999995)</f>
        <v>5.9</v>
      </c>
      <c r="H328" s="23">
        <f>IFERROR(__xludf.DUMMYFUNCTION("""COMPUTED_VALUE"""),45602.0)</f>
        <v>45602</v>
      </c>
      <c r="I328" s="27">
        <f>IFERROR(__xludf.DUMMYFUNCTION("""COMPUTED_VALUE"""),1.425)</f>
        <v>1.425</v>
      </c>
      <c r="J328" s="29">
        <f>IFERROR(__xludf.DUMMYFUNCTION("""COMPUTED_VALUE"""),76.0)</f>
        <v>76</v>
      </c>
      <c r="K328" s="29">
        <f>IFERROR(__xludf.DUMMYFUNCTION("""COMPUTED_VALUE"""),32.0)</f>
        <v>32</v>
      </c>
      <c r="L328" s="31" t="str">
        <f>IFERROR(__xludf.DUMMYFUNCTION("""COMPUTED_VALUE"""),"Simulation")</f>
        <v>Simulation</v>
      </c>
      <c r="M328" s="31" t="str">
        <f>IFERROR(__xludf.DUMMYFUNCTION("""COMPUTED_VALUE"""),"Exclusive")</f>
        <v>Exclusive</v>
      </c>
    </row>
    <row r="329">
      <c r="A329" s="17" t="str">
        <f>IFERROR(__xludf.DUMMYFUNCTION("""COMPUTED_VALUE"""),"Relooted")</f>
        <v>Relooted</v>
      </c>
      <c r="B329" s="20" t="str">
        <f>IFERROR(__xludf.DUMMYFUNCTION("""COMPUTED_VALUE"""),"Xbox / PC")</f>
        <v>Xbox / PC</v>
      </c>
      <c r="C329" s="21" t="str">
        <f>IFERROR(__xludf.DUMMYFUNCTION("""COMPUTED_VALUE"""),"Yes")</f>
        <v>Yes</v>
      </c>
      <c r="D329" s="21" t="str">
        <f>IFERROR(__xludf.DUMMYFUNCTION("""COMPUTED_VALUE"""),"Active")</f>
        <v>Active</v>
      </c>
      <c r="E329" s="23">
        <f>IFERROR(__xludf.DUMMYFUNCTION("""COMPUTED_VALUE"""),46063.0)</f>
        <v>46063</v>
      </c>
      <c r="F329" s="24"/>
      <c r="G329" s="27">
        <f>IFERROR(__xludf.DUMMYFUNCTION("""COMPUTED_VALUE"""),7.866666666666667)</f>
        <v>7.866666667</v>
      </c>
      <c r="H329" s="23">
        <f>IFERROR(__xludf.DUMMYFUNCTION("""COMPUTED_VALUE"""),46063.0)</f>
        <v>46063</v>
      </c>
      <c r="I329" s="27">
        <f>IFERROR(__xludf.DUMMYFUNCTION("""COMPUTED_VALUE"""),0.0)</f>
        <v>0</v>
      </c>
      <c r="J329" s="29">
        <f>IFERROR(__xludf.DUMMYFUNCTION("""COMPUTED_VALUE"""),76.0)</f>
        <v>76</v>
      </c>
      <c r="K329" s="29">
        <f>IFERROR(__xludf.DUMMYFUNCTION("""COMPUTED_VALUE"""),6.0)</f>
        <v>6</v>
      </c>
      <c r="L329" s="31" t="str">
        <f>IFERROR(__xludf.DUMMYFUNCTION("""COMPUTED_VALUE"""),"Action-Adventure")</f>
        <v>Action-Adventure</v>
      </c>
      <c r="M329" s="31" t="str">
        <f>IFERROR(__xludf.DUMMYFUNCTION("""COMPUTED_VALUE"""),"Exclusive")</f>
        <v>Exclusive</v>
      </c>
    </row>
    <row r="330">
      <c r="A330" s="17" t="str">
        <f>IFERROR(__xludf.DUMMYFUNCTION("""COMPUTED_VALUE"""),"The Crew Motorfest")</f>
        <v>The Crew Motorfest</v>
      </c>
      <c r="B330" s="20" t="str">
        <f>IFERROR(__xludf.DUMMYFUNCTION("""COMPUTED_VALUE"""),"Xbox / PC")</f>
        <v>Xbox / PC</v>
      </c>
      <c r="C330" s="21" t="str">
        <f>IFERROR(__xludf.DUMMYFUNCTION("""COMPUTED_VALUE"""),"Yes")</f>
        <v>Yes</v>
      </c>
      <c r="D330" s="21" t="str">
        <f>IFERROR(__xludf.DUMMYFUNCTION("""COMPUTED_VALUE"""),"Active")</f>
        <v>Active</v>
      </c>
      <c r="E330" s="23">
        <f>IFERROR(__xludf.DUMMYFUNCTION("""COMPUTED_VALUE"""),45981.0)</f>
        <v>45981</v>
      </c>
      <c r="F330" s="24"/>
      <c r="G330" s="27">
        <f>IFERROR(__xludf.DUMMYFUNCTION("""COMPUTED_VALUE"""),10.533333333333333)</f>
        <v>10.53333333</v>
      </c>
      <c r="H330" s="23">
        <f>IFERROR(__xludf.DUMMYFUNCTION("""COMPUTED_VALUE"""),45183.0)</f>
        <v>45183</v>
      </c>
      <c r="I330" s="27">
        <f>IFERROR(__xludf.DUMMYFUNCTION("""COMPUTED_VALUE"""),2.183333333333333)</f>
        <v>2.183333333</v>
      </c>
      <c r="J330" s="29">
        <f>IFERROR(__xludf.DUMMYFUNCTION("""COMPUTED_VALUE"""),76.0)</f>
        <v>76</v>
      </c>
      <c r="K330" s="29">
        <f>IFERROR(__xludf.DUMMYFUNCTION("""COMPUTED_VALUE"""),21.0)</f>
        <v>21</v>
      </c>
      <c r="L330" s="31" t="str">
        <f>IFERROR(__xludf.DUMMYFUNCTION("""COMPUTED_VALUE"""),"Racing")</f>
        <v>Racing</v>
      </c>
      <c r="M330" s="31"/>
    </row>
    <row r="331">
      <c r="A331" s="17" t="str">
        <f>IFERROR(__xludf.DUMMYFUNCTION("""COMPUTED_VALUE"""),"Assassin's Creed Syndicate")</f>
        <v>Assassin's Creed Syndicate</v>
      </c>
      <c r="B331" s="20" t="str">
        <f>IFERROR(__xludf.DUMMYFUNCTION("""COMPUTED_VALUE"""),"Xbox / PC")</f>
        <v>Xbox / PC</v>
      </c>
      <c r="C331" s="21" t="str">
        <f>IFERROR(__xludf.DUMMYFUNCTION("""COMPUTED_VALUE"""),"Yes")</f>
        <v>Yes</v>
      </c>
      <c r="D331" s="21" t="str">
        <f>IFERROR(__xludf.DUMMYFUNCTION("""COMPUTED_VALUE"""),"Active")</f>
        <v>Active</v>
      </c>
      <c r="E331" s="23">
        <f>IFERROR(__xludf.DUMMYFUNCTION("""COMPUTED_VALUE"""),45931.0)</f>
        <v>45931</v>
      </c>
      <c r="F331" s="24"/>
      <c r="G331" s="27">
        <f>IFERROR(__xludf.DUMMYFUNCTION("""COMPUTED_VALUE"""),12.166666666666666)</f>
        <v>12.16666667</v>
      </c>
      <c r="H331" s="23">
        <f>IFERROR(__xludf.DUMMYFUNCTION("""COMPUTED_VALUE"""),42300.0)</f>
        <v>42300</v>
      </c>
      <c r="I331" s="27">
        <f>IFERROR(__xludf.DUMMYFUNCTION("""COMPUTED_VALUE"""),9.938888888888888)</f>
        <v>9.938888889</v>
      </c>
      <c r="J331" s="29">
        <f>IFERROR(__xludf.DUMMYFUNCTION("""COMPUTED_VALUE"""),76.0)</f>
        <v>76</v>
      </c>
      <c r="K331" s="29">
        <f>IFERROR(__xludf.DUMMYFUNCTION("""COMPUTED_VALUE"""),19.0)</f>
        <v>19</v>
      </c>
      <c r="L331" s="31" t="str">
        <f>IFERROR(__xludf.DUMMYFUNCTION("""COMPUTED_VALUE"""),"Action-Adventure")</f>
        <v>Action-Adventure</v>
      </c>
      <c r="M331" s="31"/>
    </row>
    <row r="332">
      <c r="A332" s="17" t="str">
        <f>IFERROR(__xludf.DUMMYFUNCTION("""COMPUTED_VALUE"""),"Far Cry Primal")</f>
        <v>Far Cry Primal</v>
      </c>
      <c r="B332" s="20" t="str">
        <f>IFERROR(__xludf.DUMMYFUNCTION("""COMPUTED_VALUE"""),"Xbox / PC")</f>
        <v>Xbox / PC</v>
      </c>
      <c r="C332" s="21" t="str">
        <f>IFERROR(__xludf.DUMMYFUNCTION("""COMPUTED_VALUE"""),"Yes")</f>
        <v>Yes</v>
      </c>
      <c r="D332" s="21" t="str">
        <f>IFERROR(__xludf.DUMMYFUNCTION("""COMPUTED_VALUE"""),"Active")</f>
        <v>Active</v>
      </c>
      <c r="E332" s="23">
        <f>IFERROR(__xludf.DUMMYFUNCTION("""COMPUTED_VALUE"""),45931.0)</f>
        <v>45931</v>
      </c>
      <c r="F332" s="24"/>
      <c r="G332" s="27">
        <f>IFERROR(__xludf.DUMMYFUNCTION("""COMPUTED_VALUE"""),12.166666666666666)</f>
        <v>12.16666667</v>
      </c>
      <c r="H332" s="23">
        <f>IFERROR(__xludf.DUMMYFUNCTION("""COMPUTED_VALUE"""),42423.0)</f>
        <v>42423</v>
      </c>
      <c r="I332" s="27">
        <f>IFERROR(__xludf.DUMMYFUNCTION("""COMPUTED_VALUE"""),9.605555555555556)</f>
        <v>9.605555556</v>
      </c>
      <c r="J332" s="29">
        <f>IFERROR(__xludf.DUMMYFUNCTION("""COMPUTED_VALUE"""),76.0)</f>
        <v>76</v>
      </c>
      <c r="K332" s="29">
        <f>IFERROR(__xludf.DUMMYFUNCTION("""COMPUTED_VALUE"""),15.0)</f>
        <v>15</v>
      </c>
      <c r="L332" s="31" t="str">
        <f>IFERROR(__xludf.DUMMYFUNCTION("""COMPUTED_VALUE"""),"Action-Adventure")</f>
        <v>Action-Adventure</v>
      </c>
      <c r="M332" s="31"/>
    </row>
    <row r="333">
      <c r="A333" s="17" t="str">
        <f>IFERROR(__xludf.DUMMYFUNCTION("""COMPUTED_VALUE"""),"Shootin' Gallery")</f>
        <v>Shootin' Gallery</v>
      </c>
      <c r="B333" s="20" t="str">
        <f>IFERROR(__xludf.DUMMYFUNCTION("""COMPUTED_VALUE"""),"Xbox / PC")</f>
        <v>Xbox / PC</v>
      </c>
      <c r="C333" s="21" t="str">
        <f>IFERROR(__xludf.DUMMYFUNCTION("""COMPUTED_VALUE"""),"Yes")</f>
        <v>Yes</v>
      </c>
      <c r="D333" s="21" t="str">
        <f>IFERROR(__xludf.DUMMYFUNCTION("""COMPUTED_VALUE"""),"Active")</f>
        <v>Active</v>
      </c>
      <c r="E333" s="23">
        <f>IFERROR(__xludf.DUMMYFUNCTION("""COMPUTED_VALUE"""),45883.0)</f>
        <v>45883</v>
      </c>
      <c r="F333" s="24"/>
      <c r="G333" s="27">
        <f>IFERROR(__xludf.DUMMYFUNCTION("""COMPUTED_VALUE"""),13.733333333333333)</f>
        <v>13.73333333</v>
      </c>
      <c r="H333" s="23">
        <f>IFERROR(__xludf.DUMMYFUNCTION("""COMPUTED_VALUE"""),30376.0)</f>
        <v>30376</v>
      </c>
      <c r="I333" s="27">
        <f>IFERROR(__xludf.DUMMYFUNCTION("""COMPUTED_VALUE"""),42.452777777777776)</f>
        <v>42.45277778</v>
      </c>
      <c r="J333" s="29">
        <f>IFERROR(__xludf.DUMMYFUNCTION("""COMPUTED_VALUE"""),76.0)</f>
        <v>76</v>
      </c>
      <c r="K333" s="29"/>
      <c r="L333" s="31" t="str">
        <f>IFERROR(__xludf.DUMMYFUNCTION("""COMPUTED_VALUE"""),"Shooter")</f>
        <v>Shooter</v>
      </c>
      <c r="M333" s="31"/>
    </row>
    <row r="334">
      <c r="A334" s="17" t="str">
        <f>IFERROR(__xludf.DUMMYFUNCTION("""COMPUTED_VALUE"""),"Assassin's Creed Mirage")</f>
        <v>Assassin's Creed Mirage</v>
      </c>
      <c r="B334" s="20" t="str">
        <f>IFERROR(__xludf.DUMMYFUNCTION("""COMPUTED_VALUE"""),"Xbox / PC")</f>
        <v>Xbox / PC</v>
      </c>
      <c r="C334" s="21" t="str">
        <f>IFERROR(__xludf.DUMMYFUNCTION("""COMPUTED_VALUE"""),"Yes")</f>
        <v>Yes</v>
      </c>
      <c r="D334" s="21" t="str">
        <f>IFERROR(__xludf.DUMMYFUNCTION("""COMPUTED_VALUE"""),"Active")</f>
        <v>Active</v>
      </c>
      <c r="E334" s="23">
        <f>IFERROR(__xludf.DUMMYFUNCTION("""COMPUTED_VALUE"""),45876.0)</f>
        <v>45876</v>
      </c>
      <c r="F334" s="24"/>
      <c r="G334" s="27">
        <f>IFERROR(__xludf.DUMMYFUNCTION("""COMPUTED_VALUE"""),13.966666666666669)</f>
        <v>13.96666667</v>
      </c>
      <c r="H334" s="23">
        <f>IFERROR(__xludf.DUMMYFUNCTION("""COMPUTED_VALUE"""),45204.0)</f>
        <v>45204</v>
      </c>
      <c r="I334" s="27">
        <f>IFERROR(__xludf.DUMMYFUNCTION("""COMPUTED_VALUE"""),1.8388888888888888)</f>
        <v>1.838888889</v>
      </c>
      <c r="J334" s="29">
        <f>IFERROR(__xludf.DUMMYFUNCTION("""COMPUTED_VALUE"""),76.0)</f>
        <v>76</v>
      </c>
      <c r="K334" s="29">
        <f>IFERROR(__xludf.DUMMYFUNCTION("""COMPUTED_VALUE"""),16.0)</f>
        <v>16</v>
      </c>
      <c r="L334" s="31" t="str">
        <f>IFERROR(__xludf.DUMMYFUNCTION("""COMPUTED_VALUE"""),"RPG")</f>
        <v>RPG</v>
      </c>
      <c r="M334" s="31"/>
    </row>
    <row r="335">
      <c r="A335" s="17" t="str">
        <f>IFERROR(__xludf.DUMMYFUNCTION("""COMPUTED_VALUE"""),"EA Sports FC 25")</f>
        <v>EA Sports FC 25</v>
      </c>
      <c r="B335" s="20" t="str">
        <f>IFERROR(__xludf.DUMMYFUNCTION("""COMPUTED_VALUE"""),"Xbox / PC")</f>
        <v>Xbox / PC</v>
      </c>
      <c r="C335" s="21" t="str">
        <f>IFERROR(__xludf.DUMMYFUNCTION("""COMPUTED_VALUE"""),"Yes")</f>
        <v>Yes</v>
      </c>
      <c r="D335" s="21" t="str">
        <f>IFERROR(__xludf.DUMMYFUNCTION("""COMPUTED_VALUE"""),"Active")</f>
        <v>Active</v>
      </c>
      <c r="E335" s="23">
        <f>IFERROR(__xludf.DUMMYFUNCTION("""COMPUTED_VALUE"""),45820.0)</f>
        <v>45820</v>
      </c>
      <c r="F335" s="24"/>
      <c r="G335" s="27">
        <f>IFERROR(__xludf.DUMMYFUNCTION("""COMPUTED_VALUE"""),15.8)</f>
        <v>15.8</v>
      </c>
      <c r="H335" s="23">
        <f>IFERROR(__xludf.DUMMYFUNCTION("""COMPUTED_VALUE"""),45562.0)</f>
        <v>45562</v>
      </c>
      <c r="I335" s="27">
        <f>IFERROR(__xludf.DUMMYFUNCTION("""COMPUTED_VALUE"""),0.7083333333333334)</f>
        <v>0.7083333333</v>
      </c>
      <c r="J335" s="29">
        <f>IFERROR(__xludf.DUMMYFUNCTION("""COMPUTED_VALUE"""),76.0)</f>
        <v>76</v>
      </c>
      <c r="K335" s="29">
        <f>IFERROR(__xludf.DUMMYFUNCTION("""COMPUTED_VALUE"""),35.0)</f>
        <v>35</v>
      </c>
      <c r="L335" s="31" t="str">
        <f>IFERROR(__xludf.DUMMYFUNCTION("""COMPUTED_VALUE"""),"Sports")</f>
        <v>Sports</v>
      </c>
      <c r="M335" s="31"/>
    </row>
    <row r="336">
      <c r="A336" s="17" t="str">
        <f>IFERROR(__xludf.DUMMYFUNCTION("""COMPUTED_VALUE"""),"Tales of Kenzera: ZAU")</f>
        <v>Tales of Kenzera: ZAU</v>
      </c>
      <c r="B336" s="20" t="str">
        <f>IFERROR(__xludf.DUMMYFUNCTION("""COMPUTED_VALUE"""),"Xbox / PC")</f>
        <v>Xbox / PC</v>
      </c>
      <c r="C336" s="21" t="str">
        <f>IFERROR(__xludf.DUMMYFUNCTION("""COMPUTED_VALUE"""),"Yes")</f>
        <v>Yes</v>
      </c>
      <c r="D336" s="21" t="str">
        <f>IFERROR(__xludf.DUMMYFUNCTION("""COMPUTED_VALUE"""),"Active")</f>
        <v>Active</v>
      </c>
      <c r="E336" s="23">
        <f>IFERROR(__xludf.DUMMYFUNCTION("""COMPUTED_VALUE"""),45799.0)</f>
        <v>45799</v>
      </c>
      <c r="F336" s="24"/>
      <c r="G336" s="27">
        <f>IFERROR(__xludf.DUMMYFUNCTION("""COMPUTED_VALUE"""),16.46666666666667)</f>
        <v>16.46666667</v>
      </c>
      <c r="H336" s="23">
        <f>IFERROR(__xludf.DUMMYFUNCTION("""COMPUTED_VALUE"""),45405.0)</f>
        <v>45405</v>
      </c>
      <c r="I336" s="27">
        <f>IFERROR(__xludf.DUMMYFUNCTION("""COMPUTED_VALUE"""),1.0805555555555555)</f>
        <v>1.080555556</v>
      </c>
      <c r="J336" s="29">
        <f>IFERROR(__xludf.DUMMYFUNCTION("""COMPUTED_VALUE"""),76.0)</f>
        <v>76</v>
      </c>
      <c r="K336" s="29">
        <f>IFERROR(__xludf.DUMMYFUNCTION("""COMPUTED_VALUE"""),8.0)</f>
        <v>8</v>
      </c>
      <c r="L336" s="31" t="str">
        <f>IFERROR(__xludf.DUMMYFUNCTION("""COMPUTED_VALUE"""),"Metroidvania ")</f>
        <v>Metroidvania </v>
      </c>
      <c r="M336" s="31" t="str">
        <f>IFERROR(__xludf.DUMMYFUNCTION("""COMPUTED_VALUE"""),"Exclusive")</f>
        <v>Exclusive</v>
      </c>
    </row>
    <row r="337">
      <c r="A337" s="17" t="str">
        <f>IFERROR(__xludf.DUMMYFUNCTION("""COMPUTED_VALUE"""),"Beamrider")</f>
        <v>Beamrider</v>
      </c>
      <c r="B337" s="20" t="str">
        <f>IFERROR(__xludf.DUMMYFUNCTION("""COMPUTED_VALUE"""),"Xbox / PC")</f>
        <v>Xbox / PC</v>
      </c>
      <c r="C337" s="21" t="str">
        <f>IFERROR(__xludf.DUMMYFUNCTION("""COMPUTED_VALUE"""),"Yes")</f>
        <v>Yes</v>
      </c>
      <c r="D337" s="21" t="str">
        <f>IFERROR(__xludf.DUMMYFUNCTION("""COMPUTED_VALUE"""),"Active")</f>
        <v>Active</v>
      </c>
      <c r="E337" s="23">
        <f>IFERROR(__xludf.DUMMYFUNCTION("""COMPUTED_VALUE"""),45798.0)</f>
        <v>45798</v>
      </c>
      <c r="F337" s="24"/>
      <c r="G337" s="27">
        <f>IFERROR(__xludf.DUMMYFUNCTION("""COMPUTED_VALUE"""),16.5)</f>
        <v>16.5</v>
      </c>
      <c r="H337" s="23">
        <f>IFERROR(__xludf.DUMMYFUNCTION("""COMPUTED_VALUE"""),30705.0)</f>
        <v>30705</v>
      </c>
      <c r="I337" s="27">
        <f>IFERROR(__xludf.DUMMYFUNCTION("""COMPUTED_VALUE"""),41.325)</f>
        <v>41.325</v>
      </c>
      <c r="J337" s="29">
        <f>IFERROR(__xludf.DUMMYFUNCTION("""COMPUTED_VALUE"""),76.0)</f>
        <v>76</v>
      </c>
      <c r="K337" s="29"/>
      <c r="L337" s="31" t="str">
        <f>IFERROR(__xludf.DUMMYFUNCTION("""COMPUTED_VALUE"""),"Shooter")</f>
        <v>Shooter</v>
      </c>
      <c r="M337" s="31"/>
    </row>
    <row r="338">
      <c r="A338" s="17" t="str">
        <f>IFERROR(__xludf.DUMMYFUNCTION("""COMPUTED_VALUE"""),"Chopper Command")</f>
        <v>Chopper Command</v>
      </c>
      <c r="B338" s="20" t="str">
        <f>IFERROR(__xludf.DUMMYFUNCTION("""COMPUTED_VALUE"""),"Xbox / PC")</f>
        <v>Xbox / PC</v>
      </c>
      <c r="C338" s="21" t="str">
        <f>IFERROR(__xludf.DUMMYFUNCTION("""COMPUTED_VALUE"""),"Yes")</f>
        <v>Yes</v>
      </c>
      <c r="D338" s="21" t="str">
        <f>IFERROR(__xludf.DUMMYFUNCTION("""COMPUTED_VALUE"""),"Active")</f>
        <v>Active</v>
      </c>
      <c r="E338" s="23">
        <f>IFERROR(__xludf.DUMMYFUNCTION("""COMPUTED_VALUE"""),45798.0)</f>
        <v>45798</v>
      </c>
      <c r="F338" s="24"/>
      <c r="G338" s="27">
        <f>IFERROR(__xludf.DUMMYFUNCTION("""COMPUTED_VALUE"""),16.5)</f>
        <v>16.5</v>
      </c>
      <c r="H338" s="23">
        <f>IFERROR(__xludf.DUMMYFUNCTION("""COMPUTED_VALUE"""),30072.0)</f>
        <v>30072</v>
      </c>
      <c r="I338" s="27">
        <f>IFERROR(__xludf.DUMMYFUNCTION("""COMPUTED_VALUE"""),43.05555555555556)</f>
        <v>43.05555556</v>
      </c>
      <c r="J338" s="29">
        <f>IFERROR(__xludf.DUMMYFUNCTION("""COMPUTED_VALUE"""),76.0)</f>
        <v>76</v>
      </c>
      <c r="K338" s="29"/>
      <c r="L338" s="31" t="str">
        <f>IFERROR(__xludf.DUMMYFUNCTION("""COMPUTED_VALUE"""),"Shooter")</f>
        <v>Shooter</v>
      </c>
      <c r="M338" s="31"/>
    </row>
    <row r="339">
      <c r="A339" s="17" t="str">
        <f>IFERROR(__xludf.DUMMYFUNCTION("""COMPUTED_VALUE"""),"Enduro")</f>
        <v>Enduro</v>
      </c>
      <c r="B339" s="20" t="str">
        <f>IFERROR(__xludf.DUMMYFUNCTION("""COMPUTED_VALUE"""),"Xbox / PC")</f>
        <v>Xbox / PC</v>
      </c>
      <c r="C339" s="21" t="str">
        <f>IFERROR(__xludf.DUMMYFUNCTION("""COMPUTED_VALUE"""),"Yes")</f>
        <v>Yes</v>
      </c>
      <c r="D339" s="21" t="str">
        <f>IFERROR(__xludf.DUMMYFUNCTION("""COMPUTED_VALUE"""),"Active")</f>
        <v>Active</v>
      </c>
      <c r="E339" s="23">
        <f>IFERROR(__xludf.DUMMYFUNCTION("""COMPUTED_VALUE"""),45798.0)</f>
        <v>45798</v>
      </c>
      <c r="F339" s="24"/>
      <c r="G339" s="27">
        <f>IFERROR(__xludf.DUMMYFUNCTION("""COMPUTED_VALUE"""),16.5)</f>
        <v>16.5</v>
      </c>
      <c r="H339" s="23">
        <f>IFERROR(__xludf.DUMMYFUNCTION("""COMPUTED_VALUE"""),30348.0)</f>
        <v>30348</v>
      </c>
      <c r="I339" s="27">
        <f>IFERROR(__xludf.DUMMYFUNCTION("""COMPUTED_VALUE"""),42.30555555555556)</f>
        <v>42.30555556</v>
      </c>
      <c r="J339" s="29">
        <f>IFERROR(__xludf.DUMMYFUNCTION("""COMPUTED_VALUE"""),76.0)</f>
        <v>76</v>
      </c>
      <c r="K339" s="29">
        <f>IFERROR(__xludf.DUMMYFUNCTION("""COMPUTED_VALUE"""),1.0)</f>
        <v>1</v>
      </c>
      <c r="L339" s="31" t="str">
        <f>IFERROR(__xludf.DUMMYFUNCTION("""COMPUTED_VALUE"""),"Racing")</f>
        <v>Racing</v>
      </c>
      <c r="M339" s="31"/>
    </row>
    <row r="340">
      <c r="A340" s="17" t="str">
        <f>IFERROR(__xludf.DUMMYFUNCTION("""COMPUTED_VALUE"""),"Watch Dogs: Legion")</f>
        <v>Watch Dogs: Legion</v>
      </c>
      <c r="B340" s="20" t="str">
        <f>IFERROR(__xludf.DUMMYFUNCTION("""COMPUTED_VALUE"""),"Xbox / PC")</f>
        <v>Xbox / PC</v>
      </c>
      <c r="C340" s="21" t="str">
        <f>IFERROR(__xludf.DUMMYFUNCTION("""COMPUTED_VALUE"""),"Yes")</f>
        <v>Yes</v>
      </c>
      <c r="D340" s="21" t="str">
        <f>IFERROR(__xludf.DUMMYFUNCTION("""COMPUTED_VALUE"""),"Active")</f>
        <v>Active</v>
      </c>
      <c r="E340" s="23">
        <f>IFERROR(__xludf.DUMMYFUNCTION("""COMPUTED_VALUE"""),45713.0)</f>
        <v>45713</v>
      </c>
      <c r="F340" s="24"/>
      <c r="G340" s="27">
        <f>IFERROR(__xludf.DUMMYFUNCTION("""COMPUTED_VALUE"""),19.366666666666667)</f>
        <v>19.36666667</v>
      </c>
      <c r="H340" s="23">
        <f>IFERROR(__xludf.DUMMYFUNCTION("""COMPUTED_VALUE"""),44133.0)</f>
        <v>44133</v>
      </c>
      <c r="I340" s="27">
        <f>IFERROR(__xludf.DUMMYFUNCTION("""COMPUTED_VALUE"""),4.322222222222222)</f>
        <v>4.322222222</v>
      </c>
      <c r="J340" s="29">
        <f>IFERROR(__xludf.DUMMYFUNCTION("""COMPUTED_VALUE"""),76.0)</f>
        <v>76</v>
      </c>
      <c r="K340" s="29">
        <f>IFERROR(__xludf.DUMMYFUNCTION("""COMPUTED_VALUE"""),18.0)</f>
        <v>18</v>
      </c>
      <c r="L340" s="31" t="str">
        <f>IFERROR(__xludf.DUMMYFUNCTION("""COMPUTED_VALUE"""),"Action-Adventure")</f>
        <v>Action-Adventure</v>
      </c>
      <c r="M340" s="31"/>
    </row>
    <row r="341">
      <c r="A341" s="17" t="str">
        <f>IFERROR(__xludf.DUMMYFUNCTION("""COMPUTED_VALUE"""),"For The King II")</f>
        <v>For The King II</v>
      </c>
      <c r="B341" s="20" t="str">
        <f>IFERROR(__xludf.DUMMYFUNCTION("""COMPUTED_VALUE"""),"Xbox / PC")</f>
        <v>Xbox / PC</v>
      </c>
      <c r="C341" s="21" t="str">
        <f>IFERROR(__xludf.DUMMYFUNCTION("""COMPUTED_VALUE"""),"Yes")</f>
        <v>Yes</v>
      </c>
      <c r="D341" s="21" t="str">
        <f>IFERROR(__xludf.DUMMYFUNCTION("""COMPUTED_VALUE"""),"Active")</f>
        <v>Active</v>
      </c>
      <c r="E341" s="23">
        <f>IFERROR(__xludf.DUMMYFUNCTION("""COMPUTED_VALUE"""),45638.0)</f>
        <v>45638</v>
      </c>
      <c r="F341" s="24"/>
      <c r="G341" s="27">
        <f>IFERROR(__xludf.DUMMYFUNCTION("""COMPUTED_VALUE"""),21.8)</f>
        <v>21.8</v>
      </c>
      <c r="H341" s="23">
        <f>IFERROR(__xludf.DUMMYFUNCTION("""COMPUTED_VALUE"""),45232.0)</f>
        <v>45232</v>
      </c>
      <c r="I341" s="27">
        <f>IFERROR(__xludf.DUMMYFUNCTION("""COMPUTED_VALUE"""),1.1111111111111112)</f>
        <v>1.111111111</v>
      </c>
      <c r="J341" s="29">
        <f>IFERROR(__xludf.DUMMYFUNCTION("""COMPUTED_VALUE"""),76.0)</f>
        <v>76</v>
      </c>
      <c r="K341" s="29">
        <f>IFERROR(__xludf.DUMMYFUNCTION("""COMPUTED_VALUE"""),15.0)</f>
        <v>15</v>
      </c>
      <c r="L341" s="31" t="str">
        <f>IFERROR(__xludf.DUMMYFUNCTION("""COMPUTED_VALUE"""),"Roguelike")</f>
        <v>Roguelike</v>
      </c>
      <c r="M341" s="31"/>
    </row>
    <row r="342">
      <c r="A342" s="17" t="str">
        <f>IFERROR(__xludf.DUMMYFUNCTION("""COMPUTED_VALUE"""),"Trials of Mana (2020)")</f>
        <v>Trials of Mana (2020)</v>
      </c>
      <c r="B342" s="20" t="str">
        <f>IFERROR(__xludf.DUMMYFUNCTION("""COMPUTED_VALUE"""),"Xbox / PC")</f>
        <v>Xbox / PC</v>
      </c>
      <c r="C342" s="21" t="str">
        <f>IFERROR(__xludf.DUMMYFUNCTION("""COMPUTED_VALUE"""),"Yes")</f>
        <v>Yes</v>
      </c>
      <c r="D342" s="21" t="str">
        <f>IFERROR(__xludf.DUMMYFUNCTION("""COMPUTED_VALUE"""),"Active")</f>
        <v>Active</v>
      </c>
      <c r="E342" s="23">
        <f>IFERROR(__xludf.DUMMYFUNCTION("""COMPUTED_VALUE"""),45561.0)</f>
        <v>45561</v>
      </c>
      <c r="F342" s="24"/>
      <c r="G342" s="27">
        <f>IFERROR(__xludf.DUMMYFUNCTION("""COMPUTED_VALUE"""),24.333333333333332)</f>
        <v>24.33333333</v>
      </c>
      <c r="H342" s="23">
        <f>IFERROR(__xludf.DUMMYFUNCTION("""COMPUTED_VALUE"""),43945.0)</f>
        <v>43945</v>
      </c>
      <c r="I342" s="27">
        <f>IFERROR(__xludf.DUMMYFUNCTION("""COMPUTED_VALUE"""),4.4222222222222225)</f>
        <v>4.422222222</v>
      </c>
      <c r="J342" s="29">
        <f>IFERROR(__xludf.DUMMYFUNCTION("""COMPUTED_VALUE"""),76.0)</f>
        <v>76</v>
      </c>
      <c r="K342" s="29">
        <f>IFERROR(__xludf.DUMMYFUNCTION("""COMPUTED_VALUE"""),21.0)</f>
        <v>21</v>
      </c>
      <c r="L342" s="31" t="str">
        <f>IFERROR(__xludf.DUMMYFUNCTION("""COMPUTED_VALUE"""),"RPG")</f>
        <v>RPG</v>
      </c>
      <c r="M342" s="31"/>
    </row>
    <row r="343">
      <c r="A343" s="17" t="str">
        <f>IFERROR(__xludf.DUMMYFUNCTION("""COMPUTED_VALUE"""),"EA Sports PGA Tour")</f>
        <v>EA Sports PGA Tour</v>
      </c>
      <c r="B343" s="20" t="str">
        <f>IFERROR(__xludf.DUMMYFUNCTION("""COMPUTED_VALUE"""),"Xbox / PC")</f>
        <v>Xbox / PC</v>
      </c>
      <c r="C343" s="21" t="str">
        <f>IFERROR(__xludf.DUMMYFUNCTION("""COMPUTED_VALUE"""),"Yes")</f>
        <v>Yes</v>
      </c>
      <c r="D343" s="21" t="str">
        <f>IFERROR(__xludf.DUMMYFUNCTION("""COMPUTED_VALUE"""),"Active")</f>
        <v>Active</v>
      </c>
      <c r="E343" s="23">
        <f>IFERROR(__xludf.DUMMYFUNCTION("""COMPUTED_VALUE"""),45386.0)</f>
        <v>45386</v>
      </c>
      <c r="F343" s="24"/>
      <c r="G343" s="27">
        <f>IFERROR(__xludf.DUMMYFUNCTION("""COMPUTED_VALUE"""),30.066666666666666)</f>
        <v>30.06666667</v>
      </c>
      <c r="H343" s="23">
        <f>IFERROR(__xludf.DUMMYFUNCTION("""COMPUTED_VALUE"""),45020.0)</f>
        <v>45020</v>
      </c>
      <c r="I343" s="27">
        <f>IFERROR(__xludf.DUMMYFUNCTION("""COMPUTED_VALUE"""),1.0)</f>
        <v>1</v>
      </c>
      <c r="J343" s="29">
        <f>IFERROR(__xludf.DUMMYFUNCTION("""COMPUTED_VALUE"""),76.0)</f>
        <v>76</v>
      </c>
      <c r="K343" s="29">
        <f>IFERROR(__xludf.DUMMYFUNCTION("""COMPUTED_VALUE"""),31.0)</f>
        <v>31</v>
      </c>
      <c r="L343" s="31" t="str">
        <f>IFERROR(__xludf.DUMMYFUNCTION("""COMPUTED_VALUE"""),"Sports")</f>
        <v>Sports</v>
      </c>
      <c r="M343" s="31" t="str">
        <f>IFERROR(__xludf.DUMMYFUNCTION("""COMPUTED_VALUE"""),"Exclusive")</f>
        <v>Exclusive</v>
      </c>
    </row>
    <row r="344">
      <c r="A344" s="17" t="str">
        <f>IFERROR(__xludf.DUMMYFUNCTION("""COMPUTED_VALUE"""),"Brotato")</f>
        <v>Brotato</v>
      </c>
      <c r="B344" s="20" t="str">
        <f>IFERROR(__xludf.DUMMYFUNCTION("""COMPUTED_VALUE"""),"Xbox / PC")</f>
        <v>Xbox / PC</v>
      </c>
      <c r="C344" s="21" t="str">
        <f>IFERROR(__xludf.DUMMYFUNCTION("""COMPUTED_VALUE"""),"Yes")</f>
        <v>Yes</v>
      </c>
      <c r="D344" s="21" t="str">
        <f>IFERROR(__xludf.DUMMYFUNCTION("""COMPUTED_VALUE"""),"Active")</f>
        <v>Active</v>
      </c>
      <c r="E344" s="23">
        <f>IFERROR(__xludf.DUMMYFUNCTION("""COMPUTED_VALUE"""),45321.0)</f>
        <v>45321</v>
      </c>
      <c r="F344" s="24"/>
      <c r="G344" s="27">
        <f>IFERROR(__xludf.DUMMYFUNCTION("""COMPUTED_VALUE"""),32.199999999999996)</f>
        <v>32.2</v>
      </c>
      <c r="H344" s="23">
        <f>IFERROR(__xludf.DUMMYFUNCTION("""COMPUTED_VALUE"""),44619.0)</f>
        <v>44619</v>
      </c>
      <c r="I344" s="27">
        <f>IFERROR(__xludf.DUMMYFUNCTION("""COMPUTED_VALUE"""),1.925)</f>
        <v>1.925</v>
      </c>
      <c r="J344" s="29">
        <f>IFERROR(__xludf.DUMMYFUNCTION("""COMPUTED_VALUE"""),76.0)</f>
        <v>76</v>
      </c>
      <c r="K344" s="29">
        <f>IFERROR(__xludf.DUMMYFUNCTION("""COMPUTED_VALUE"""),5.0)</f>
        <v>5</v>
      </c>
      <c r="L344" s="31" t="str">
        <f>IFERROR(__xludf.DUMMYFUNCTION("""COMPUTED_VALUE"""),"Action")</f>
        <v>Action</v>
      </c>
      <c r="M344" s="31"/>
    </row>
    <row r="345">
      <c r="A345" s="17" t="str">
        <f>IFERROR(__xludf.DUMMYFUNCTION("""COMPUTED_VALUE"""),"Ghostwire: Tokyo")</f>
        <v>Ghostwire: Tokyo</v>
      </c>
      <c r="B345" s="20" t="str">
        <f>IFERROR(__xludf.DUMMYFUNCTION("""COMPUTED_VALUE"""),"Xbox / PC")</f>
        <v>Xbox / PC</v>
      </c>
      <c r="C345" s="21" t="str">
        <f>IFERROR(__xludf.DUMMYFUNCTION("""COMPUTED_VALUE"""),"Yes")</f>
        <v>Yes</v>
      </c>
      <c r="D345" s="21" t="str">
        <f>IFERROR(__xludf.DUMMYFUNCTION("""COMPUTED_VALUE"""),"Active")</f>
        <v>Active</v>
      </c>
      <c r="E345" s="23">
        <f>IFERROR(__xludf.DUMMYFUNCTION("""COMPUTED_VALUE"""),45028.0)</f>
        <v>45028</v>
      </c>
      <c r="F345" s="24"/>
      <c r="G345" s="27">
        <f>IFERROR(__xludf.DUMMYFUNCTION("""COMPUTED_VALUE"""),41.8)</f>
        <v>41.8</v>
      </c>
      <c r="H345" s="23">
        <f>IFERROR(__xludf.DUMMYFUNCTION("""COMPUTED_VALUE"""),44645.0)</f>
        <v>44645</v>
      </c>
      <c r="I345" s="27">
        <f>IFERROR(__xludf.DUMMYFUNCTION("""COMPUTED_VALUE"""),1.0472222222222223)</f>
        <v>1.047222222</v>
      </c>
      <c r="J345" s="29">
        <f>IFERROR(__xludf.DUMMYFUNCTION("""COMPUTED_VALUE"""),76.0)</f>
        <v>76</v>
      </c>
      <c r="K345" s="29">
        <f>IFERROR(__xludf.DUMMYFUNCTION("""COMPUTED_VALUE"""),11.0)</f>
        <v>11</v>
      </c>
      <c r="L345" s="31" t="str">
        <f>IFERROR(__xludf.DUMMYFUNCTION("""COMPUTED_VALUE"""),"Action-Adventure")</f>
        <v>Action-Adventure</v>
      </c>
      <c r="M345" s="31" t="str">
        <f>IFERROR(__xludf.DUMMYFUNCTION("""COMPUTED_VALUE"""),"Exclusive")</f>
        <v>Exclusive</v>
      </c>
    </row>
    <row r="346">
      <c r="A346" s="17" t="str">
        <f>IFERROR(__xludf.DUMMYFUNCTION("""COMPUTED_VALUE"""),"Tom Clancy's Ghost Recon: Wildlands")</f>
        <v>Tom Clancy's Ghost Recon: Wildlands</v>
      </c>
      <c r="B346" s="20" t="str">
        <f>IFERROR(__xludf.DUMMYFUNCTION("""COMPUTED_VALUE"""),"Xbox / PC")</f>
        <v>Xbox / PC</v>
      </c>
      <c r="C346" s="21" t="str">
        <f>IFERROR(__xludf.DUMMYFUNCTION("""COMPUTED_VALUE"""),"Yes")</f>
        <v>Yes</v>
      </c>
      <c r="D346" s="21" t="str">
        <f>IFERROR(__xludf.DUMMYFUNCTION("""COMPUTED_VALUE"""),"Active")</f>
        <v>Active</v>
      </c>
      <c r="E346" s="23">
        <f>IFERROR(__xludf.DUMMYFUNCTION("""COMPUTED_VALUE"""),44774.0)</f>
        <v>44774</v>
      </c>
      <c r="F346" s="24"/>
      <c r="G346" s="27">
        <f>IFERROR(__xludf.DUMMYFUNCTION("""COMPUTED_VALUE"""),50.166666666666664)</f>
        <v>50.16666667</v>
      </c>
      <c r="H346" s="23">
        <f>IFERROR(__xludf.DUMMYFUNCTION("""COMPUTED_VALUE"""),42801.0)</f>
        <v>42801</v>
      </c>
      <c r="I346" s="27">
        <f>IFERROR(__xludf.DUMMYFUNCTION("""COMPUTED_VALUE"""),5.4)</f>
        <v>5.4</v>
      </c>
      <c r="J346" s="29">
        <f>IFERROR(__xludf.DUMMYFUNCTION("""COMPUTED_VALUE"""),76.0)</f>
        <v>76</v>
      </c>
      <c r="K346" s="29">
        <f>IFERROR(__xludf.DUMMYFUNCTION("""COMPUTED_VALUE"""),26.5)</f>
        <v>26.5</v>
      </c>
      <c r="L346" s="31" t="str">
        <f>IFERROR(__xludf.DUMMYFUNCTION("""COMPUTED_VALUE"""),"Shooter")</f>
        <v>Shooter</v>
      </c>
      <c r="M346" s="31"/>
    </row>
    <row r="347">
      <c r="A347" s="17" t="str">
        <f>IFERROR(__xludf.DUMMYFUNCTION("""COMPUTED_VALUE"""),"Need for Speed: Hot Pursuit - Remastered")</f>
        <v>Need for Speed: Hot Pursuit - Remastered</v>
      </c>
      <c r="B347" s="20" t="str">
        <f>IFERROR(__xludf.DUMMYFUNCTION("""COMPUTED_VALUE"""),"Xbox / PC")</f>
        <v>Xbox / PC</v>
      </c>
      <c r="C347" s="21" t="str">
        <f>IFERROR(__xludf.DUMMYFUNCTION("""COMPUTED_VALUE"""),"Touch Controls")</f>
        <v>Touch Controls</v>
      </c>
      <c r="D347" s="21" t="str">
        <f>IFERROR(__xludf.DUMMYFUNCTION("""COMPUTED_VALUE"""),"Active")</f>
        <v>Active</v>
      </c>
      <c r="E347" s="23">
        <f>IFERROR(__xludf.DUMMYFUNCTION("""COMPUTED_VALUE"""),44371.0)</f>
        <v>44371</v>
      </c>
      <c r="F347" s="24"/>
      <c r="G347" s="27">
        <f>IFERROR(__xludf.DUMMYFUNCTION("""COMPUTED_VALUE"""),63.4)</f>
        <v>63.4</v>
      </c>
      <c r="H347" s="23">
        <f>IFERROR(__xludf.DUMMYFUNCTION("""COMPUTED_VALUE"""),44141.0)</f>
        <v>44141</v>
      </c>
      <c r="I347" s="27">
        <f>IFERROR(__xludf.DUMMYFUNCTION("""COMPUTED_VALUE"""),0.6333333333333333)</f>
        <v>0.6333333333</v>
      </c>
      <c r="J347" s="29">
        <f>IFERROR(__xludf.DUMMYFUNCTION("""COMPUTED_VALUE"""),76.0)</f>
        <v>76</v>
      </c>
      <c r="K347" s="29">
        <f>IFERROR(__xludf.DUMMYFUNCTION("""COMPUTED_VALUE"""),15.5)</f>
        <v>15.5</v>
      </c>
      <c r="L347" s="31" t="str">
        <f>IFERROR(__xludf.DUMMYFUNCTION("""COMPUTED_VALUE"""),"Racing")</f>
        <v>Racing</v>
      </c>
      <c r="M347" s="31"/>
    </row>
    <row r="348">
      <c r="A348" s="17" t="str">
        <f>IFERROR(__xludf.DUMMYFUNCTION("""COMPUTED_VALUE"""),"Dishonored: Definitive Edition")</f>
        <v>Dishonored: Definitive Edition</v>
      </c>
      <c r="B348" s="20" t="str">
        <f>IFERROR(__xludf.DUMMYFUNCTION("""COMPUTED_VALUE"""),"Xbox / PC")</f>
        <v>Xbox / PC</v>
      </c>
      <c r="C348" s="21" t="str">
        <f>IFERROR(__xludf.DUMMYFUNCTION("""COMPUTED_VALUE"""),"Yes")</f>
        <v>Yes</v>
      </c>
      <c r="D348" s="21" t="str">
        <f>IFERROR(__xludf.DUMMYFUNCTION("""COMPUTED_VALUE"""),"Active")</f>
        <v>Active</v>
      </c>
      <c r="E348" s="23">
        <f>IFERROR(__xludf.DUMMYFUNCTION("""COMPUTED_VALUE"""),44267.0)</f>
        <v>44267</v>
      </c>
      <c r="F348" s="24"/>
      <c r="G348" s="27">
        <f>IFERROR(__xludf.DUMMYFUNCTION("""COMPUTED_VALUE"""),66.8)</f>
        <v>66.8</v>
      </c>
      <c r="H348" s="23">
        <f>IFERROR(__xludf.DUMMYFUNCTION("""COMPUTED_VALUE"""),43337.0)</f>
        <v>43337</v>
      </c>
      <c r="I348" s="27">
        <f>IFERROR(__xludf.DUMMYFUNCTION("""COMPUTED_VALUE"""),2.547222222222222)</f>
        <v>2.547222222</v>
      </c>
      <c r="J348" s="29">
        <f>IFERROR(__xludf.DUMMYFUNCTION("""COMPUTED_VALUE"""),76.0)</f>
        <v>76</v>
      </c>
      <c r="K348" s="29">
        <f>IFERROR(__xludf.DUMMYFUNCTION("""COMPUTED_VALUE"""),12.5)</f>
        <v>12.5</v>
      </c>
      <c r="L348" s="31" t="str">
        <f>IFERROR(__xludf.DUMMYFUNCTION("""COMPUTED_VALUE"""),"Shooter")</f>
        <v>Shooter</v>
      </c>
      <c r="M348" s="31" t="str">
        <f>IFERROR(__xludf.DUMMYFUNCTION("""COMPUTED_VALUE"""),"FPS Boost")</f>
        <v>FPS Boost</v>
      </c>
    </row>
    <row r="349">
      <c r="A349" s="17" t="str">
        <f>IFERROR(__xludf.DUMMYFUNCTION("""COMPUTED_VALUE"""),"Mass Effect: Andromeda - Deluxe Edition")</f>
        <v>Mass Effect: Andromeda - Deluxe Edition</v>
      </c>
      <c r="B349" s="20" t="str">
        <f>IFERROR(__xludf.DUMMYFUNCTION("""COMPUTED_VALUE"""),"Xbox / PC")</f>
        <v>Xbox / PC</v>
      </c>
      <c r="C349" s="21" t="str">
        <f>IFERROR(__xludf.DUMMYFUNCTION("""COMPUTED_VALUE"""),"Yes")</f>
        <v>Yes</v>
      </c>
      <c r="D349" s="21" t="str">
        <f>IFERROR(__xludf.DUMMYFUNCTION("""COMPUTED_VALUE"""),"Active")</f>
        <v>Active</v>
      </c>
      <c r="E349" s="23">
        <f>IFERROR(__xludf.DUMMYFUNCTION("""COMPUTED_VALUE"""),44145.0)</f>
        <v>44145</v>
      </c>
      <c r="F349" s="24"/>
      <c r="G349" s="27">
        <f>IFERROR(__xludf.DUMMYFUNCTION("""COMPUTED_VALUE"""),70.86666666666667)</f>
        <v>70.86666667</v>
      </c>
      <c r="H349" s="23">
        <f>IFERROR(__xludf.DUMMYFUNCTION("""COMPUTED_VALUE"""),42815.0)</f>
        <v>42815</v>
      </c>
      <c r="I349" s="27">
        <f>IFERROR(__xludf.DUMMYFUNCTION("""COMPUTED_VALUE"""),3.636111111111111)</f>
        <v>3.636111111</v>
      </c>
      <c r="J349" s="29">
        <f>IFERROR(__xludf.DUMMYFUNCTION("""COMPUTED_VALUE"""),76.0)</f>
        <v>76</v>
      </c>
      <c r="K349" s="29">
        <f>IFERROR(__xludf.DUMMYFUNCTION("""COMPUTED_VALUE"""),18.5)</f>
        <v>18.5</v>
      </c>
      <c r="L349" s="31" t="str">
        <f>IFERROR(__xludf.DUMMYFUNCTION("""COMPUTED_VALUE"""),"RPG")</f>
        <v>RPG</v>
      </c>
      <c r="M349" s="31"/>
    </row>
    <row r="350">
      <c r="A350" s="17" t="str">
        <f>IFERROR(__xludf.DUMMYFUNCTION("""COMPUTED_VALUE"""),"Plants vs. Zombies: Battle for Neighborville - Deluxe Edition")</f>
        <v>Plants vs. Zombies: Battle for Neighborville - Deluxe Edition</v>
      </c>
      <c r="B350" s="20" t="str">
        <f>IFERROR(__xludf.DUMMYFUNCTION("""COMPUTED_VALUE"""),"Xbox / PC")</f>
        <v>Xbox / PC</v>
      </c>
      <c r="C350" s="21" t="str">
        <f>IFERROR(__xludf.DUMMYFUNCTION("""COMPUTED_VALUE"""),"Yes")</f>
        <v>Yes</v>
      </c>
      <c r="D350" s="21" t="str">
        <f>IFERROR(__xludf.DUMMYFUNCTION("""COMPUTED_VALUE"""),"Active")</f>
        <v>Active</v>
      </c>
      <c r="E350" s="23">
        <f>IFERROR(__xludf.DUMMYFUNCTION("""COMPUTED_VALUE"""),44145.0)</f>
        <v>44145</v>
      </c>
      <c r="F350" s="24"/>
      <c r="G350" s="27">
        <f>IFERROR(__xludf.DUMMYFUNCTION("""COMPUTED_VALUE"""),70.86666666666667)</f>
        <v>70.86666667</v>
      </c>
      <c r="H350" s="23">
        <f>IFERROR(__xludf.DUMMYFUNCTION("""COMPUTED_VALUE"""),43756.0)</f>
        <v>43756</v>
      </c>
      <c r="I350" s="27">
        <f>IFERROR(__xludf.DUMMYFUNCTION("""COMPUTED_VALUE"""),1.0611111111111111)</f>
        <v>1.061111111</v>
      </c>
      <c r="J350" s="29">
        <f>IFERROR(__xludf.DUMMYFUNCTION("""COMPUTED_VALUE"""),76.0)</f>
        <v>76</v>
      </c>
      <c r="K350" s="29">
        <f>IFERROR(__xludf.DUMMYFUNCTION("""COMPUTED_VALUE"""),4.5)</f>
        <v>4.5</v>
      </c>
      <c r="L350" s="31" t="str">
        <f>IFERROR(__xludf.DUMMYFUNCTION("""COMPUTED_VALUE"""),"Shooter")</f>
        <v>Shooter</v>
      </c>
      <c r="M350" s="31" t="str">
        <f>IFERROR(__xludf.DUMMYFUNCTION("""COMPUTED_VALUE"""),"FPS Boost")</f>
        <v>FPS Boost</v>
      </c>
    </row>
    <row r="351">
      <c r="A351" s="17" t="str">
        <f>IFERROR(__xludf.DUMMYFUNCTION("""COMPUTED_VALUE"""),"Plants vs. Zombies: Garden Warfare")</f>
        <v>Plants vs. Zombies: Garden Warfare</v>
      </c>
      <c r="B351" s="20" t="str">
        <f>IFERROR(__xludf.DUMMYFUNCTION("""COMPUTED_VALUE"""),"Xbox / PC")</f>
        <v>Xbox / PC</v>
      </c>
      <c r="C351" s="21" t="str">
        <f>IFERROR(__xludf.DUMMYFUNCTION("""COMPUTED_VALUE"""),"Yes")</f>
        <v>Yes</v>
      </c>
      <c r="D351" s="21" t="str">
        <f>IFERROR(__xludf.DUMMYFUNCTION("""COMPUTED_VALUE"""),"Active")</f>
        <v>Active</v>
      </c>
      <c r="E351" s="23">
        <f>IFERROR(__xludf.DUMMYFUNCTION("""COMPUTED_VALUE"""),44145.0)</f>
        <v>44145</v>
      </c>
      <c r="F351" s="24"/>
      <c r="G351" s="27">
        <f>IFERROR(__xludf.DUMMYFUNCTION("""COMPUTED_VALUE"""),70.86666666666667)</f>
        <v>70.86666667</v>
      </c>
      <c r="H351" s="23">
        <f>IFERROR(__xludf.DUMMYFUNCTION("""COMPUTED_VALUE"""),41688.0)</f>
        <v>41688</v>
      </c>
      <c r="I351" s="27">
        <f>IFERROR(__xludf.DUMMYFUNCTION("""COMPUTED_VALUE"""),6.727777777777778)</f>
        <v>6.727777778</v>
      </c>
      <c r="J351" s="29">
        <f>IFERROR(__xludf.DUMMYFUNCTION("""COMPUTED_VALUE"""),76.0)</f>
        <v>76</v>
      </c>
      <c r="K351" s="29">
        <f>IFERROR(__xludf.DUMMYFUNCTION("""COMPUTED_VALUE"""),67.5)</f>
        <v>67.5</v>
      </c>
      <c r="L351" s="31" t="str">
        <f>IFERROR(__xludf.DUMMYFUNCTION("""COMPUTED_VALUE"""),"Shooter")</f>
        <v>Shooter</v>
      </c>
      <c r="M351" s="31" t="str">
        <f>IFERROR(__xludf.DUMMYFUNCTION("""COMPUTED_VALUE"""),"FPS Boost")</f>
        <v>FPS Boost</v>
      </c>
    </row>
    <row r="352">
      <c r="A352" s="17" t="str">
        <f>IFERROR(__xludf.DUMMYFUNCTION("""COMPUTED_VALUE"""),"New Super Lucky's Tale")</f>
        <v>New Super Lucky's Tale</v>
      </c>
      <c r="B352" s="20" t="str">
        <f>IFERROR(__xludf.DUMMYFUNCTION("""COMPUTED_VALUE"""),"Xbox / PC")</f>
        <v>Xbox / PC</v>
      </c>
      <c r="C352" s="21" t="str">
        <f>IFERROR(__xludf.DUMMYFUNCTION("""COMPUTED_VALUE"""),"Touch Controls")</f>
        <v>Touch Controls</v>
      </c>
      <c r="D352" s="21" t="str">
        <f>IFERROR(__xludf.DUMMYFUNCTION("""COMPUTED_VALUE"""),"Active")</f>
        <v>Active</v>
      </c>
      <c r="E352" s="23">
        <f>IFERROR(__xludf.DUMMYFUNCTION("""COMPUTED_VALUE"""),44063.0)</f>
        <v>44063</v>
      </c>
      <c r="F352" s="24"/>
      <c r="G352" s="27">
        <f>IFERROR(__xludf.DUMMYFUNCTION("""COMPUTED_VALUE"""),73.53333333333333)</f>
        <v>73.53333333</v>
      </c>
      <c r="H352" s="23">
        <f>IFERROR(__xludf.DUMMYFUNCTION("""COMPUTED_VALUE"""),43777.0)</f>
        <v>43777</v>
      </c>
      <c r="I352" s="27">
        <f>IFERROR(__xludf.DUMMYFUNCTION("""COMPUTED_VALUE"""),0.7833333333333333)</f>
        <v>0.7833333333</v>
      </c>
      <c r="J352" s="29">
        <f>IFERROR(__xludf.DUMMYFUNCTION("""COMPUTED_VALUE"""),76.0)</f>
        <v>76</v>
      </c>
      <c r="K352" s="29">
        <f>IFERROR(__xludf.DUMMYFUNCTION("""COMPUTED_VALUE"""),7.5)</f>
        <v>7.5</v>
      </c>
      <c r="L352" s="31" t="str">
        <f>IFERROR(__xludf.DUMMYFUNCTION("""COMPUTED_VALUE"""),"Platformer")</f>
        <v>Platformer</v>
      </c>
      <c r="M352" s="31" t="str">
        <f>IFERROR(__xludf.DUMMYFUNCTION("""COMPUTED_VALUE"""),"FPS Boost")</f>
        <v>FPS Boost</v>
      </c>
    </row>
    <row r="353">
      <c r="A353" s="17" t="str">
        <f>IFERROR(__xludf.DUMMYFUNCTION("""COMPUTED_VALUE"""),"Totally Accurate Battle Simulator")</f>
        <v>Totally Accurate Battle Simulator</v>
      </c>
      <c r="B353" s="20" t="str">
        <f>IFERROR(__xludf.DUMMYFUNCTION("""COMPUTED_VALUE"""),"Xbox / PC")</f>
        <v>Xbox / PC</v>
      </c>
      <c r="C353" s="21" t="str">
        <f>IFERROR(__xludf.DUMMYFUNCTION("""COMPUTED_VALUE"""),"Touch Controls")</f>
        <v>Touch Controls</v>
      </c>
      <c r="D353" s="21" t="str">
        <f>IFERROR(__xludf.DUMMYFUNCTION("""COMPUTED_VALUE"""),"Active")</f>
        <v>Active</v>
      </c>
      <c r="E353" s="23">
        <f>IFERROR(__xludf.DUMMYFUNCTION("""COMPUTED_VALUE"""),43819.0)</f>
        <v>43819</v>
      </c>
      <c r="F353" s="24"/>
      <c r="G353" s="27">
        <f>IFERROR(__xludf.DUMMYFUNCTION("""COMPUTED_VALUE"""),81.53333333333333)</f>
        <v>81.53333333</v>
      </c>
      <c r="H353" s="23">
        <f>IFERROR(__xludf.DUMMYFUNCTION("""COMPUTED_VALUE"""),43556.0)</f>
        <v>43556</v>
      </c>
      <c r="I353" s="27">
        <f>IFERROR(__xludf.DUMMYFUNCTION("""COMPUTED_VALUE"""),0.7194444444444444)</f>
        <v>0.7194444444</v>
      </c>
      <c r="J353" s="29">
        <f>IFERROR(__xludf.DUMMYFUNCTION("""COMPUTED_VALUE"""),76.0)</f>
        <v>76</v>
      </c>
      <c r="K353" s="29">
        <f>IFERROR(__xludf.DUMMYFUNCTION("""COMPUTED_VALUE"""),4.5)</f>
        <v>4.5</v>
      </c>
      <c r="L353" s="31" t="str">
        <f>IFERROR(__xludf.DUMMYFUNCTION("""COMPUTED_VALUE"""),"Strategy")</f>
        <v>Strategy</v>
      </c>
      <c r="M353" s="31"/>
    </row>
    <row r="354">
      <c r="A354" s="17" t="str">
        <f>IFERROR(__xludf.DUMMYFUNCTION("""COMPUTED_VALUE"""),"Zombie Army 4: Dead War")</f>
        <v>Zombie Army 4: Dead War</v>
      </c>
      <c r="B354" s="20" t="str">
        <f>IFERROR(__xludf.DUMMYFUNCTION("""COMPUTED_VALUE"""),"Xbox / PC")</f>
        <v>Xbox / PC</v>
      </c>
      <c r="C354" s="21" t="str">
        <f>IFERROR(__xludf.DUMMYFUNCTION("""COMPUTED_VALUE"""),"M+KB")</f>
        <v>M+KB</v>
      </c>
      <c r="D354" s="21" t="str">
        <f>IFERROR(__xludf.DUMMYFUNCTION("""COMPUTED_VALUE"""),"Active")</f>
        <v>Active</v>
      </c>
      <c r="E354" s="23">
        <f>IFERROR(__xludf.DUMMYFUNCTION("""COMPUTED_VALUE"""),44294.0)</f>
        <v>44294</v>
      </c>
      <c r="F354" s="24"/>
      <c r="G354" s="27">
        <f>IFERROR(__xludf.DUMMYFUNCTION("""COMPUTED_VALUE"""),65.93333333333334)</f>
        <v>65.93333333</v>
      </c>
      <c r="H354" s="23">
        <f>IFERROR(__xludf.DUMMYFUNCTION("""COMPUTED_VALUE"""),43865.0)</f>
        <v>43865</v>
      </c>
      <c r="I354" s="27">
        <f>IFERROR(__xludf.DUMMYFUNCTION("""COMPUTED_VALUE"""),1.1777777777777778)</f>
        <v>1.177777778</v>
      </c>
      <c r="J354" s="29">
        <f>IFERROR(__xludf.DUMMYFUNCTION("""COMPUTED_VALUE"""),75.5)</f>
        <v>75.5</v>
      </c>
      <c r="K354" s="29">
        <f>IFERROR(__xludf.DUMMYFUNCTION("""COMPUTED_VALUE"""),11.5)</f>
        <v>11.5</v>
      </c>
      <c r="L354" s="31" t="str">
        <f>IFERROR(__xludf.DUMMYFUNCTION("""COMPUTED_VALUE"""),"Shooter")</f>
        <v>Shooter</v>
      </c>
      <c r="M354" s="31" t="str">
        <f>IFERROR(__xludf.DUMMYFUNCTION("""COMPUTED_VALUE"""),"Optimized")</f>
        <v>Optimized</v>
      </c>
    </row>
    <row r="355">
      <c r="A355" s="17" t="str">
        <f>IFERROR(__xludf.DUMMYFUNCTION("""COMPUTED_VALUE"""),"Wolfenstein: The Old Blood")</f>
        <v>Wolfenstein: The Old Blood</v>
      </c>
      <c r="B355" s="20" t="str">
        <f>IFERROR(__xludf.DUMMYFUNCTION("""COMPUTED_VALUE"""),"Xbox / PC")</f>
        <v>Xbox / PC</v>
      </c>
      <c r="C355" s="21" t="str">
        <f>IFERROR(__xludf.DUMMYFUNCTION("""COMPUTED_VALUE"""),"Yes")</f>
        <v>Yes</v>
      </c>
      <c r="D355" s="21" t="str">
        <f>IFERROR(__xludf.DUMMYFUNCTION("""COMPUTED_VALUE"""),"Active")</f>
        <v>Active</v>
      </c>
      <c r="E355" s="23">
        <f>IFERROR(__xludf.DUMMYFUNCTION("""COMPUTED_VALUE"""),44267.0)</f>
        <v>44267</v>
      </c>
      <c r="F355" s="24"/>
      <c r="G355" s="27">
        <f>IFERROR(__xludf.DUMMYFUNCTION("""COMPUTED_VALUE"""),66.8)</f>
        <v>66.8</v>
      </c>
      <c r="H355" s="23">
        <f>IFERROR(__xludf.DUMMYFUNCTION("""COMPUTED_VALUE"""),42129.0)</f>
        <v>42129</v>
      </c>
      <c r="I355" s="27">
        <f>IFERROR(__xludf.DUMMYFUNCTION("""COMPUTED_VALUE"""),5.852777777777778)</f>
        <v>5.852777778</v>
      </c>
      <c r="J355" s="29">
        <f>IFERROR(__xludf.DUMMYFUNCTION("""COMPUTED_VALUE"""),75.5)</f>
        <v>75.5</v>
      </c>
      <c r="K355" s="29">
        <f>IFERROR(__xludf.DUMMYFUNCTION("""COMPUTED_VALUE"""),6.0)</f>
        <v>6</v>
      </c>
      <c r="L355" s="31" t="str">
        <f>IFERROR(__xludf.DUMMYFUNCTION("""COMPUTED_VALUE"""),"Shooter")</f>
        <v>Shooter</v>
      </c>
      <c r="M355" s="31"/>
    </row>
    <row r="356">
      <c r="A356" s="17" t="str">
        <f>IFERROR(__xludf.DUMMYFUNCTION("""COMPUTED_VALUE"""),"Cricket 26")</f>
        <v>Cricket 26</v>
      </c>
      <c r="B356" s="20" t="str">
        <f>IFERROR(__xludf.DUMMYFUNCTION("""COMPUTED_VALUE"""),"Xbox / PC")</f>
        <v>Xbox / PC</v>
      </c>
      <c r="C356" s="21" t="str">
        <f>IFERROR(__xludf.DUMMYFUNCTION("""COMPUTED_VALUE"""),"Yes")</f>
        <v>Yes</v>
      </c>
      <c r="D356" s="21" t="str">
        <f>IFERROR(__xludf.DUMMYFUNCTION("""COMPUTED_VALUE"""),"Active")</f>
        <v>Active</v>
      </c>
      <c r="E356" s="23">
        <f>IFERROR(__xludf.DUMMYFUNCTION("""COMPUTED_VALUE"""),46247.0)</f>
        <v>46247</v>
      </c>
      <c r="F356" s="24"/>
      <c r="G356" s="27">
        <f>IFERROR(__xludf.DUMMYFUNCTION("""COMPUTED_VALUE"""),1.7666666666666666)</f>
        <v>1.766666667</v>
      </c>
      <c r="H356" s="23">
        <f>IFERROR(__xludf.DUMMYFUNCTION("""COMPUTED_VALUE"""),45974.0)</f>
        <v>45974</v>
      </c>
      <c r="I356" s="27">
        <f>IFERROR(__xludf.DUMMYFUNCTION("""COMPUTED_VALUE"""),0.75)</f>
        <v>0.75</v>
      </c>
      <c r="J356" s="29">
        <f>IFERROR(__xludf.DUMMYFUNCTION("""COMPUTED_VALUE"""),75.0)</f>
        <v>75</v>
      </c>
      <c r="K356" s="29">
        <f>IFERROR(__xludf.DUMMYFUNCTION("""COMPUTED_VALUE"""),33.0)</f>
        <v>33</v>
      </c>
      <c r="L356" s="31" t="str">
        <f>IFERROR(__xludf.DUMMYFUNCTION("""COMPUTED_VALUE"""),"Sports")</f>
        <v>Sports</v>
      </c>
      <c r="M356" s="31"/>
    </row>
    <row r="357">
      <c r="A357" s="17" t="str">
        <f>IFERROR(__xludf.DUMMYFUNCTION("""COMPUTED_VALUE"""),"Super Meat Boy 3D")</f>
        <v>Super Meat Boy 3D</v>
      </c>
      <c r="B357" s="20" t="str">
        <f>IFERROR(__xludf.DUMMYFUNCTION("""COMPUTED_VALUE"""),"Xbox / PC")</f>
        <v>Xbox / PC</v>
      </c>
      <c r="C357" s="21" t="str">
        <f>IFERROR(__xludf.DUMMYFUNCTION("""COMPUTED_VALUE"""),"Yes")</f>
        <v>Yes</v>
      </c>
      <c r="D357" s="21" t="str">
        <f>IFERROR(__xludf.DUMMYFUNCTION("""COMPUTED_VALUE"""),"Active")</f>
        <v>Active</v>
      </c>
      <c r="E357" s="23">
        <f>IFERROR(__xludf.DUMMYFUNCTION("""COMPUTED_VALUE"""),46112.0)</f>
        <v>46112</v>
      </c>
      <c r="F357" s="24"/>
      <c r="G357" s="27">
        <f>IFERROR(__xludf.DUMMYFUNCTION("""COMPUTED_VALUE"""),6.200000000000001)</f>
        <v>6.2</v>
      </c>
      <c r="H357" s="23">
        <f>IFERROR(__xludf.DUMMYFUNCTION("""COMPUTED_VALUE"""),46112.0)</f>
        <v>46112</v>
      </c>
      <c r="I357" s="27">
        <f>IFERROR(__xludf.DUMMYFUNCTION("""COMPUTED_VALUE"""),0.0)</f>
        <v>0</v>
      </c>
      <c r="J357" s="29">
        <f>IFERROR(__xludf.DUMMYFUNCTION("""COMPUTED_VALUE"""),75.0)</f>
        <v>75</v>
      </c>
      <c r="K357" s="29">
        <f>IFERROR(__xludf.DUMMYFUNCTION("""COMPUTED_VALUE"""),6.0)</f>
        <v>6</v>
      </c>
      <c r="L357" s="31" t="str">
        <f>IFERROR(__xludf.DUMMYFUNCTION("""COMPUTED_VALUE"""),"Platformer")</f>
        <v>Platformer</v>
      </c>
      <c r="M357" s="31" t="str">
        <f>IFERROR(__xludf.DUMMYFUNCTION("""COMPUTED_VALUE"""),"Exclusive")</f>
        <v>Exclusive</v>
      </c>
    </row>
    <row r="358">
      <c r="A358" s="17" t="str">
        <f>IFERROR(__xludf.DUMMYFUNCTION("""COMPUTED_VALUE"""),"Star Wars Outlaws")</f>
        <v>Star Wars Outlaws</v>
      </c>
      <c r="B358" s="20" t="str">
        <f>IFERROR(__xludf.DUMMYFUNCTION("""COMPUTED_VALUE"""),"Xbox / PC")</f>
        <v>Xbox / PC</v>
      </c>
      <c r="C358" s="21" t="str">
        <f>IFERROR(__xludf.DUMMYFUNCTION("""COMPUTED_VALUE"""),"Yes")</f>
        <v>Yes</v>
      </c>
      <c r="D358" s="21" t="str">
        <f>IFERROR(__xludf.DUMMYFUNCTION("""COMPUTED_VALUE"""),"Active")</f>
        <v>Active</v>
      </c>
      <c r="E358" s="23">
        <f>IFERROR(__xludf.DUMMYFUNCTION("""COMPUTED_VALUE"""),46035.0)</f>
        <v>46035</v>
      </c>
      <c r="F358" s="24"/>
      <c r="G358" s="27">
        <f>IFERROR(__xludf.DUMMYFUNCTION("""COMPUTED_VALUE"""),8.766666666666666)</f>
        <v>8.766666667</v>
      </c>
      <c r="H358" s="23">
        <f>IFERROR(__xludf.DUMMYFUNCTION("""COMPUTED_VALUE"""),45531.0)</f>
        <v>45531</v>
      </c>
      <c r="I358" s="27">
        <f>IFERROR(__xludf.DUMMYFUNCTION("""COMPUTED_VALUE"""),1.3777777777777778)</f>
        <v>1.377777778</v>
      </c>
      <c r="J358" s="29">
        <f>IFERROR(__xludf.DUMMYFUNCTION("""COMPUTED_VALUE"""),75.0)</f>
        <v>75</v>
      </c>
      <c r="K358" s="29">
        <f>IFERROR(__xludf.DUMMYFUNCTION("""COMPUTED_VALUE"""),19.0)</f>
        <v>19</v>
      </c>
      <c r="L358" s="31" t="str">
        <f>IFERROR(__xludf.DUMMYFUNCTION("""COMPUTED_VALUE"""),"Action-Adventure")</f>
        <v>Action-Adventure</v>
      </c>
      <c r="M358" s="31" t="str">
        <f>IFERROR(__xludf.DUMMYFUNCTION("""COMPUTED_VALUE"""),"Exclusive")</f>
        <v>Exclusive</v>
      </c>
    </row>
    <row r="359">
      <c r="A359" s="17" t="str">
        <f>IFERROR(__xludf.DUMMYFUNCTION("""COMPUTED_VALUE"""),"A Game About Digging A Hole")</f>
        <v>A Game About Digging A Hole</v>
      </c>
      <c r="B359" s="20" t="str">
        <f>IFERROR(__xludf.DUMMYFUNCTION("""COMPUTED_VALUE"""),"Xbox / PC")</f>
        <v>Xbox / PC</v>
      </c>
      <c r="C359" s="21" t="str">
        <f>IFERROR(__xludf.DUMMYFUNCTION("""COMPUTED_VALUE"""),"Yes")</f>
        <v>Yes</v>
      </c>
      <c r="D359" s="21" t="str">
        <f>IFERROR(__xludf.DUMMYFUNCTION("""COMPUTED_VALUE"""),"Active")</f>
        <v>Active</v>
      </c>
      <c r="E359" s="23">
        <f>IFERROR(__xludf.DUMMYFUNCTION("""COMPUTED_VALUE"""),46000.0)</f>
        <v>46000</v>
      </c>
      <c r="F359" s="24"/>
      <c r="G359" s="27">
        <f>IFERROR(__xludf.DUMMYFUNCTION("""COMPUTED_VALUE"""),9.899999999999999)</f>
        <v>9.9</v>
      </c>
      <c r="H359" s="23">
        <f>IFERROR(__xludf.DUMMYFUNCTION("""COMPUTED_VALUE"""),45695.0)</f>
        <v>45695</v>
      </c>
      <c r="I359" s="27">
        <f>IFERROR(__xludf.DUMMYFUNCTION("""COMPUTED_VALUE"""),0.8388888888888889)</f>
        <v>0.8388888889</v>
      </c>
      <c r="J359" s="29">
        <f>IFERROR(__xludf.DUMMYFUNCTION("""COMPUTED_VALUE"""),75.0)</f>
        <v>75</v>
      </c>
      <c r="K359" s="29">
        <f>IFERROR(__xludf.DUMMYFUNCTION("""COMPUTED_VALUE"""),2.35)</f>
        <v>2.35</v>
      </c>
      <c r="L359" s="31" t="str">
        <f>IFERROR(__xludf.DUMMYFUNCTION("""COMPUTED_VALUE"""),"Adventure")</f>
        <v>Adventure</v>
      </c>
      <c r="M359" s="31"/>
    </row>
    <row r="360">
      <c r="A360" s="17" t="str">
        <f>IFERROR(__xludf.DUMMYFUNCTION("""COMPUTED_VALUE"""),"Visions of Mana")</f>
        <v>Visions of Mana</v>
      </c>
      <c r="B360" s="20" t="str">
        <f>IFERROR(__xludf.DUMMYFUNCTION("""COMPUTED_VALUE"""),"Xbox / PC")</f>
        <v>Xbox / PC</v>
      </c>
      <c r="C360" s="21" t="str">
        <f>IFERROR(__xludf.DUMMYFUNCTION("""COMPUTED_VALUE"""),"Yes")</f>
        <v>Yes</v>
      </c>
      <c r="D360" s="21" t="str">
        <f>IFERROR(__xludf.DUMMYFUNCTION("""COMPUTED_VALUE"""),"Active")</f>
        <v>Active</v>
      </c>
      <c r="E360" s="23">
        <f>IFERROR(__xludf.DUMMYFUNCTION("""COMPUTED_VALUE"""),45925.0)</f>
        <v>45925</v>
      </c>
      <c r="F360" s="24"/>
      <c r="G360" s="27">
        <f>IFERROR(__xludf.DUMMYFUNCTION("""COMPUTED_VALUE"""),12.366666666666665)</f>
        <v>12.36666667</v>
      </c>
      <c r="H360" s="23">
        <f>IFERROR(__xludf.DUMMYFUNCTION("""COMPUTED_VALUE"""),45533.0)</f>
        <v>45533</v>
      </c>
      <c r="I360" s="27">
        <f>IFERROR(__xludf.DUMMYFUNCTION("""COMPUTED_VALUE"""),1.0722222222222222)</f>
        <v>1.072222222</v>
      </c>
      <c r="J360" s="29">
        <f>IFERROR(__xludf.DUMMYFUNCTION("""COMPUTED_VALUE"""),75.0)</f>
        <v>75</v>
      </c>
      <c r="K360" s="29">
        <f>IFERROR(__xludf.DUMMYFUNCTION("""COMPUTED_VALUE"""),29.0)</f>
        <v>29</v>
      </c>
      <c r="L360" s="31" t="str">
        <f>IFERROR(__xludf.DUMMYFUNCTION("""COMPUTED_VALUE"""),"RPG")</f>
        <v>RPG</v>
      </c>
      <c r="M360" s="31" t="str">
        <f>IFERROR(__xludf.DUMMYFUNCTION("""COMPUTED_VALUE"""),"Exclusive")</f>
        <v>Exclusive</v>
      </c>
    </row>
    <row r="361">
      <c r="A361" s="17" t="str">
        <f>IFERROR(__xludf.DUMMYFUNCTION("""COMPUTED_VALUE"""),"Farming Simulator 25")</f>
        <v>Farming Simulator 25</v>
      </c>
      <c r="B361" s="20" t="str">
        <f>IFERROR(__xludf.DUMMYFUNCTION("""COMPUTED_VALUE"""),"Xbox / PC")</f>
        <v>Xbox / PC</v>
      </c>
      <c r="C361" s="21" t="str">
        <f>IFERROR(__xludf.DUMMYFUNCTION("""COMPUTED_VALUE"""),"Yes")</f>
        <v>Yes</v>
      </c>
      <c r="D361" s="21" t="str">
        <f>IFERROR(__xludf.DUMMYFUNCTION("""COMPUTED_VALUE"""),"Active")</f>
        <v>Active</v>
      </c>
      <c r="E361" s="23">
        <f>IFERROR(__xludf.DUMMYFUNCTION("""COMPUTED_VALUE"""),45870.0)</f>
        <v>45870</v>
      </c>
      <c r="F361" s="24"/>
      <c r="G361" s="27">
        <f>IFERROR(__xludf.DUMMYFUNCTION("""COMPUTED_VALUE"""),14.166666666666668)</f>
        <v>14.16666667</v>
      </c>
      <c r="H361" s="23">
        <f>IFERROR(__xludf.DUMMYFUNCTION("""COMPUTED_VALUE"""),45608.0)</f>
        <v>45608</v>
      </c>
      <c r="I361" s="27">
        <f>IFERROR(__xludf.DUMMYFUNCTION("""COMPUTED_VALUE"""),0.7194444444444444)</f>
        <v>0.7194444444</v>
      </c>
      <c r="J361" s="29">
        <f>IFERROR(__xludf.DUMMYFUNCTION("""COMPUTED_VALUE"""),75.0)</f>
        <v>75</v>
      </c>
      <c r="K361" s="29">
        <f>IFERROR(__xludf.DUMMYFUNCTION("""COMPUTED_VALUE"""),45.0)</f>
        <v>45</v>
      </c>
      <c r="L361" s="31" t="str">
        <f>IFERROR(__xludf.DUMMYFUNCTION("""COMPUTED_VALUE"""),"Simulation")</f>
        <v>Simulation</v>
      </c>
      <c r="M361" s="31"/>
    </row>
    <row r="362">
      <c r="A362" s="17" t="str">
        <f>IFERROR(__xludf.DUMMYFUNCTION("""COMPUTED_VALUE"""),"Skeleton+")</f>
        <v>Skeleton+</v>
      </c>
      <c r="B362" s="20" t="str">
        <f>IFERROR(__xludf.DUMMYFUNCTION("""COMPUTED_VALUE"""),"Xbox / PC")</f>
        <v>Xbox / PC</v>
      </c>
      <c r="C362" s="21" t="str">
        <f>IFERROR(__xludf.DUMMYFUNCTION("""COMPUTED_VALUE"""),"Yes")</f>
        <v>Yes</v>
      </c>
      <c r="D362" s="21" t="str">
        <f>IFERROR(__xludf.DUMMYFUNCTION("""COMPUTED_VALUE"""),"Active")</f>
        <v>Active</v>
      </c>
      <c r="E362" s="23">
        <f>IFERROR(__xludf.DUMMYFUNCTION("""COMPUTED_VALUE"""),45859.0)</f>
        <v>45859</v>
      </c>
      <c r="F362" s="24"/>
      <c r="G362" s="27">
        <f>IFERROR(__xludf.DUMMYFUNCTION("""COMPUTED_VALUE"""),14.5)</f>
        <v>14.5</v>
      </c>
      <c r="H362" s="23">
        <f>IFERROR(__xludf.DUMMYFUNCTION("""COMPUTED_VALUE"""),37774.0)</f>
        <v>37774</v>
      </c>
      <c r="I362" s="27">
        <f>IFERROR(__xludf.DUMMYFUNCTION("""COMPUTED_VALUE"""),22.136111111111113)</f>
        <v>22.13611111</v>
      </c>
      <c r="J362" s="29">
        <f>IFERROR(__xludf.DUMMYFUNCTION("""COMPUTED_VALUE"""),75.0)</f>
        <v>75</v>
      </c>
      <c r="K362" s="29">
        <f>IFERROR(__xludf.DUMMYFUNCTION("""COMPUTED_VALUE"""),2.0)</f>
        <v>2</v>
      </c>
      <c r="L362" s="31" t="str">
        <f>IFERROR(__xludf.DUMMYFUNCTION("""COMPUTED_VALUE"""),"Action")</f>
        <v>Action</v>
      </c>
      <c r="M362" s="31"/>
    </row>
    <row r="363">
      <c r="A363" s="17" t="str">
        <f>IFERROR(__xludf.DUMMYFUNCTION("""COMPUTED_VALUE"""),"Call of Duty: Modern Warfare II")</f>
        <v>Call of Duty: Modern Warfare II</v>
      </c>
      <c r="B363" s="20" t="str">
        <f>IFERROR(__xludf.DUMMYFUNCTION("""COMPUTED_VALUE"""),"Xbox / PC")</f>
        <v>Xbox / PC</v>
      </c>
      <c r="C363" s="21" t="str">
        <f>IFERROR(__xludf.DUMMYFUNCTION("""COMPUTED_VALUE"""),"Yes")</f>
        <v>Yes</v>
      </c>
      <c r="D363" s="21" t="str">
        <f>IFERROR(__xludf.DUMMYFUNCTION("""COMPUTED_VALUE"""),"Active")</f>
        <v>Active</v>
      </c>
      <c r="E363" s="23">
        <f>IFERROR(__xludf.DUMMYFUNCTION("""COMPUTED_VALUE"""),45778.0)</f>
        <v>45778</v>
      </c>
      <c r="F363" s="24"/>
      <c r="G363" s="27">
        <f>IFERROR(__xludf.DUMMYFUNCTION("""COMPUTED_VALUE"""),17.166666666666668)</f>
        <v>17.16666667</v>
      </c>
      <c r="H363" s="23">
        <f>IFERROR(__xludf.DUMMYFUNCTION("""COMPUTED_VALUE"""),44862.0)</f>
        <v>44862</v>
      </c>
      <c r="I363" s="27">
        <f>IFERROR(__xludf.DUMMYFUNCTION("""COMPUTED_VALUE"""),2.5083333333333333)</f>
        <v>2.508333333</v>
      </c>
      <c r="J363" s="29">
        <f>IFERROR(__xludf.DUMMYFUNCTION("""COMPUTED_VALUE"""),75.0)</f>
        <v>75</v>
      </c>
      <c r="K363" s="29">
        <f>IFERROR(__xludf.DUMMYFUNCTION("""COMPUTED_VALUE"""),8.0)</f>
        <v>8</v>
      </c>
      <c r="L363" s="31" t="str">
        <f>IFERROR(__xludf.DUMMYFUNCTION("""COMPUTED_VALUE"""),"Shooter")</f>
        <v>Shooter</v>
      </c>
      <c r="M363" s="31"/>
    </row>
    <row r="364">
      <c r="A364" s="17" t="str">
        <f>IFERROR(__xludf.DUMMYFUNCTION("""COMPUTED_VALUE"""),"Blizzard Arcade Collection")</f>
        <v>Blizzard Arcade Collection</v>
      </c>
      <c r="B364" s="20" t="str">
        <f>IFERROR(__xludf.DUMMYFUNCTION("""COMPUTED_VALUE"""),"Xbox / PC")</f>
        <v>Xbox / PC</v>
      </c>
      <c r="C364" s="21" t="str">
        <f>IFERROR(__xludf.DUMMYFUNCTION("""COMPUTED_VALUE"""),"Yes")</f>
        <v>Yes</v>
      </c>
      <c r="D364" s="21" t="str">
        <f>IFERROR(__xludf.DUMMYFUNCTION("""COMPUTED_VALUE"""),"Active")</f>
        <v>Active</v>
      </c>
      <c r="E364" s="23">
        <f>IFERROR(__xludf.DUMMYFUNCTION("""COMPUTED_VALUE"""),45741.0)</f>
        <v>45741</v>
      </c>
      <c r="F364" s="24"/>
      <c r="G364" s="27">
        <f>IFERROR(__xludf.DUMMYFUNCTION("""COMPUTED_VALUE"""),18.366666666666667)</f>
        <v>18.36666667</v>
      </c>
      <c r="H364" s="23">
        <f>IFERROR(__xludf.DUMMYFUNCTION("""COMPUTED_VALUE"""),44246.0)</f>
        <v>44246</v>
      </c>
      <c r="I364" s="27">
        <f>IFERROR(__xludf.DUMMYFUNCTION("""COMPUTED_VALUE"""),4.1)</f>
        <v>4.1</v>
      </c>
      <c r="J364" s="29">
        <f>IFERROR(__xludf.DUMMYFUNCTION("""COMPUTED_VALUE"""),75.0)</f>
        <v>75</v>
      </c>
      <c r="K364" s="29">
        <f>IFERROR(__xludf.DUMMYFUNCTION("""COMPUTED_VALUE"""),5.0)</f>
        <v>5</v>
      </c>
      <c r="L364" s="31" t="str">
        <f>IFERROR(__xludf.DUMMYFUNCTION("""COMPUTED_VALUE"""),"Compilation")</f>
        <v>Compilation</v>
      </c>
      <c r="M364" s="31"/>
    </row>
    <row r="365">
      <c r="A365" s="17" t="str">
        <f>IFERROR(__xludf.DUMMYFUNCTION("""COMPUTED_VALUE"""),"Aliens: Dark Descent")</f>
        <v>Aliens: Dark Descent</v>
      </c>
      <c r="B365" s="20" t="str">
        <f>IFERROR(__xludf.DUMMYFUNCTION("""COMPUTED_VALUE"""),"Xbox / PC")</f>
        <v>Xbox / PC</v>
      </c>
      <c r="C365" s="21" t="str">
        <f>IFERROR(__xludf.DUMMYFUNCTION("""COMPUTED_VALUE"""),"Yes")</f>
        <v>Yes</v>
      </c>
      <c r="D365" s="21" t="str">
        <f>IFERROR(__xludf.DUMMYFUNCTION("""COMPUTED_VALUE"""),"Active")</f>
        <v>Active</v>
      </c>
      <c r="E365" s="23">
        <f>IFERROR(__xludf.DUMMYFUNCTION("""COMPUTED_VALUE"""),45623.0)</f>
        <v>45623</v>
      </c>
      <c r="F365" s="24"/>
      <c r="G365" s="27">
        <f>IFERROR(__xludf.DUMMYFUNCTION("""COMPUTED_VALUE"""),22.3)</f>
        <v>22.3</v>
      </c>
      <c r="H365" s="23">
        <f>IFERROR(__xludf.DUMMYFUNCTION("""COMPUTED_VALUE"""),45097.0)</f>
        <v>45097</v>
      </c>
      <c r="I365" s="27">
        <f>IFERROR(__xludf.DUMMYFUNCTION("""COMPUTED_VALUE"""),1.4361111111111111)</f>
        <v>1.436111111</v>
      </c>
      <c r="J365" s="29">
        <f>IFERROR(__xludf.DUMMYFUNCTION("""COMPUTED_VALUE"""),75.0)</f>
        <v>75</v>
      </c>
      <c r="K365" s="29">
        <f>IFERROR(__xludf.DUMMYFUNCTION("""COMPUTED_VALUE"""),24.0)</f>
        <v>24</v>
      </c>
      <c r="L365" s="31" t="str">
        <f>IFERROR(__xludf.DUMMYFUNCTION("""COMPUTED_VALUE"""),"Strategy")</f>
        <v>Strategy</v>
      </c>
      <c r="M365" s="31"/>
    </row>
    <row r="366">
      <c r="A366" s="17" t="str">
        <f>IFERROR(__xludf.DUMMYFUNCTION("""COMPUTED_VALUE"""),"South Park: The Fractured but Whole")</f>
        <v>South Park: The Fractured but Whole</v>
      </c>
      <c r="B366" s="20" t="str">
        <f>IFERROR(__xludf.DUMMYFUNCTION("""COMPUTED_VALUE"""),"Xbox / PC")</f>
        <v>Xbox / PC</v>
      </c>
      <c r="C366" s="21" t="str">
        <f>IFERROR(__xludf.DUMMYFUNCTION("""COMPUTED_VALUE"""),"Yes")</f>
        <v>Yes</v>
      </c>
      <c r="D366" s="21" t="str">
        <f>IFERROR(__xludf.DUMMYFUNCTION("""COMPUTED_VALUE"""),"Active")</f>
        <v>Active</v>
      </c>
      <c r="E366" s="23">
        <f>IFERROR(__xludf.DUMMYFUNCTION("""COMPUTED_VALUE"""),45581.0)</f>
        <v>45581</v>
      </c>
      <c r="F366" s="24"/>
      <c r="G366" s="27">
        <f>IFERROR(__xludf.DUMMYFUNCTION("""COMPUTED_VALUE"""),23.666666666666668)</f>
        <v>23.66666667</v>
      </c>
      <c r="H366" s="23">
        <f>IFERROR(__xludf.DUMMYFUNCTION("""COMPUTED_VALUE"""),43312.0)</f>
        <v>43312</v>
      </c>
      <c r="I366" s="27">
        <f>IFERROR(__xludf.DUMMYFUNCTION("""COMPUTED_VALUE"""),6.211111111111111)</f>
        <v>6.211111111</v>
      </c>
      <c r="J366" s="29">
        <f>IFERROR(__xludf.DUMMYFUNCTION("""COMPUTED_VALUE"""),75.0)</f>
        <v>75</v>
      </c>
      <c r="K366" s="29">
        <f>IFERROR(__xludf.DUMMYFUNCTION("""COMPUTED_VALUE"""),18.0)</f>
        <v>18</v>
      </c>
      <c r="L366" s="31" t="str">
        <f>IFERROR(__xludf.DUMMYFUNCTION("""COMPUTED_VALUE"""),"RPG")</f>
        <v>RPG</v>
      </c>
      <c r="M366" s="31"/>
    </row>
    <row r="367">
      <c r="A367" s="17" t="str">
        <f>IFERROR(__xludf.DUMMYFUNCTION("""COMPUTED_VALUE"""),"Disney Dreamlight Valley: Founder's Edition")</f>
        <v>Disney Dreamlight Valley: Founder's Edition</v>
      </c>
      <c r="B367" s="20" t="str">
        <f>IFERROR(__xludf.DUMMYFUNCTION("""COMPUTED_VALUE"""),"Xbox / PC")</f>
        <v>Xbox / PC</v>
      </c>
      <c r="C367" s="21" t="str">
        <f>IFERROR(__xludf.DUMMYFUNCTION("""COMPUTED_VALUE"""),"Touch Controls")</f>
        <v>Touch Controls</v>
      </c>
      <c r="D367" s="21" t="str">
        <f>IFERROR(__xludf.DUMMYFUNCTION("""COMPUTED_VALUE"""),"Active")</f>
        <v>Active</v>
      </c>
      <c r="E367" s="23">
        <f>IFERROR(__xludf.DUMMYFUNCTION("""COMPUTED_VALUE"""),44810.0)</f>
        <v>44810</v>
      </c>
      <c r="F367" s="24"/>
      <c r="G367" s="27">
        <f>IFERROR(__xludf.DUMMYFUNCTION("""COMPUTED_VALUE"""),49.0)</f>
        <v>49</v>
      </c>
      <c r="H367" s="23">
        <f>IFERROR(__xludf.DUMMYFUNCTION("""COMPUTED_VALUE"""),44810.0)</f>
        <v>44810</v>
      </c>
      <c r="I367" s="27">
        <f>IFERROR(__xludf.DUMMYFUNCTION("""COMPUTED_VALUE"""),0.0)</f>
        <v>0</v>
      </c>
      <c r="J367" s="29">
        <f>IFERROR(__xludf.DUMMYFUNCTION("""COMPUTED_VALUE"""),75.0)</f>
        <v>75</v>
      </c>
      <c r="K367" s="29">
        <f>IFERROR(__xludf.DUMMYFUNCTION("""COMPUTED_VALUE"""),15.5)</f>
        <v>15.5</v>
      </c>
      <c r="L367" s="31" t="str">
        <f>IFERROR(__xludf.DUMMYFUNCTION("""COMPUTED_VALUE"""),"Simulation")</f>
        <v>Simulation</v>
      </c>
      <c r="M367" s="31"/>
    </row>
    <row r="368">
      <c r="A368" s="17" t="str">
        <f>IFERROR(__xludf.DUMMYFUNCTION("""COMPUTED_VALUE"""),"GRID: Legends")</f>
        <v>GRID: Legends</v>
      </c>
      <c r="B368" s="20" t="str">
        <f>IFERROR(__xludf.DUMMYFUNCTION("""COMPUTED_VALUE"""),"Xbox / PC")</f>
        <v>Xbox / PC</v>
      </c>
      <c r="C368" s="21" t="str">
        <f>IFERROR(__xludf.DUMMYFUNCTION("""COMPUTED_VALUE"""),"Yes")</f>
        <v>Yes</v>
      </c>
      <c r="D368" s="21" t="str">
        <f>IFERROR(__xludf.DUMMYFUNCTION("""COMPUTED_VALUE"""),"Active")</f>
        <v>Active</v>
      </c>
      <c r="E368" s="23">
        <f>IFERROR(__xludf.DUMMYFUNCTION("""COMPUTED_VALUE"""),44805.0)</f>
        <v>44805</v>
      </c>
      <c r="F368" s="24"/>
      <c r="G368" s="27">
        <f>IFERROR(__xludf.DUMMYFUNCTION("""COMPUTED_VALUE"""),49.16666666666667)</f>
        <v>49.16666667</v>
      </c>
      <c r="H368" s="23">
        <f>IFERROR(__xludf.DUMMYFUNCTION("""COMPUTED_VALUE"""),44617.0)</f>
        <v>44617</v>
      </c>
      <c r="I368" s="27">
        <f>IFERROR(__xludf.DUMMYFUNCTION("""COMPUTED_VALUE"""),0.5166666666666667)</f>
        <v>0.5166666667</v>
      </c>
      <c r="J368" s="29">
        <f>IFERROR(__xludf.DUMMYFUNCTION("""COMPUTED_VALUE"""),75.0)</f>
        <v>75</v>
      </c>
      <c r="K368" s="29">
        <f>IFERROR(__xludf.DUMMYFUNCTION("""COMPUTED_VALUE"""),6.0)</f>
        <v>6</v>
      </c>
      <c r="L368" s="31" t="str">
        <f>IFERROR(__xludf.DUMMYFUNCTION("""COMPUTED_VALUE"""),"Racing")</f>
        <v>Racing</v>
      </c>
      <c r="M368" s="31"/>
    </row>
    <row r="369">
      <c r="A369" s="17" t="str">
        <f>IFERROR(__xludf.DUMMYFUNCTION("""COMPUTED_VALUE"""),"Blood Dungeon")</f>
        <v>Blood Dungeon</v>
      </c>
      <c r="B369" s="20" t="str">
        <f>IFERROR(__xludf.DUMMYFUNCTION("""COMPUTED_VALUE"""),"Xbox / PC")</f>
        <v>Xbox / PC</v>
      </c>
      <c r="C369" s="21" t="str">
        <f>IFERROR(__xludf.DUMMYFUNCTION("""COMPUTED_VALUE"""),"Yes")</f>
        <v>Yes</v>
      </c>
      <c r="D369" s="21" t="str">
        <f>IFERROR(__xludf.DUMMYFUNCTION("""COMPUTED_VALUE"""),"Active")</f>
        <v>Active</v>
      </c>
      <c r="E369" s="23">
        <f>IFERROR(__xludf.DUMMYFUNCTION("""COMPUTED_VALUE"""),46259.0)</f>
        <v>46259</v>
      </c>
      <c r="F369" s="24"/>
      <c r="G369" s="27">
        <f>IFERROR(__xludf.DUMMYFUNCTION("""COMPUTED_VALUE"""),1.3666666666666667)</f>
        <v>1.366666667</v>
      </c>
      <c r="H369" s="23">
        <f>IFERROR(__xludf.DUMMYFUNCTION("""COMPUTED_VALUE"""),46259.0)</f>
        <v>46259</v>
      </c>
      <c r="I369" s="27">
        <f>IFERROR(__xludf.DUMMYFUNCTION("""COMPUTED_VALUE"""),0.0)</f>
        <v>0</v>
      </c>
      <c r="J369" s="29">
        <f>IFERROR(__xludf.DUMMYFUNCTION("""COMPUTED_VALUE"""),74.0)</f>
        <v>74</v>
      </c>
      <c r="K369" s="29">
        <f>IFERROR(__xludf.DUMMYFUNCTION("""COMPUTED_VALUE"""),2.0)</f>
        <v>2</v>
      </c>
      <c r="L369" s="31" t="str">
        <f>IFERROR(__xludf.DUMMYFUNCTION("""COMPUTED_VALUE"""),"Action-Adventure")</f>
        <v>Action-Adventure</v>
      </c>
      <c r="M369" s="31" t="str">
        <f>IFERROR(__xludf.DUMMYFUNCTION("""COMPUTED_VALUE"""),"Exclusive")</f>
        <v>Exclusive</v>
      </c>
    </row>
    <row r="370">
      <c r="A370" s="17" t="str">
        <f>IFERROR(__xludf.DUMMYFUNCTION("""COMPUTED_VALUE"""),"The Thaumaturge")</f>
        <v>The Thaumaturge</v>
      </c>
      <c r="B370" s="20" t="str">
        <f>IFERROR(__xludf.DUMMYFUNCTION("""COMPUTED_VALUE"""),"Xbox / PC")</f>
        <v>Xbox / PC</v>
      </c>
      <c r="C370" s="21" t="str">
        <f>IFERROR(__xludf.DUMMYFUNCTION("""COMPUTED_VALUE"""),"Yes")</f>
        <v>Yes</v>
      </c>
      <c r="D370" s="21" t="str">
        <f>IFERROR(__xludf.DUMMYFUNCTION("""COMPUTED_VALUE"""),"Active")</f>
        <v>Active</v>
      </c>
      <c r="E370" s="23">
        <f>IFERROR(__xludf.DUMMYFUNCTION("""COMPUTED_VALUE"""),46126.0)</f>
        <v>46126</v>
      </c>
      <c r="F370" s="24"/>
      <c r="G370" s="27">
        <f>IFERROR(__xludf.DUMMYFUNCTION("""COMPUTED_VALUE"""),5.733333333333333)</f>
        <v>5.733333333</v>
      </c>
      <c r="H370" s="23">
        <f>IFERROR(__xludf.DUMMYFUNCTION("""COMPUTED_VALUE"""),45355.0)</f>
        <v>45355</v>
      </c>
      <c r="I370" s="27">
        <f>IFERROR(__xludf.DUMMYFUNCTION("""COMPUTED_VALUE"""),2.111111111111111)</f>
        <v>2.111111111</v>
      </c>
      <c r="J370" s="29">
        <f>IFERROR(__xludf.DUMMYFUNCTION("""COMPUTED_VALUE"""),74.0)</f>
        <v>74</v>
      </c>
      <c r="K370" s="29">
        <f>IFERROR(__xludf.DUMMYFUNCTION("""COMPUTED_VALUE"""),16.0)</f>
        <v>16</v>
      </c>
      <c r="L370" s="31" t="str">
        <f>IFERROR(__xludf.DUMMYFUNCTION("""COMPUTED_VALUE"""),"RPG")</f>
        <v>RPG</v>
      </c>
      <c r="M370" s="31" t="str">
        <f>IFERROR(__xludf.DUMMYFUNCTION("""COMPUTED_VALUE"""),"Exclusive")</f>
        <v>Exclusive</v>
      </c>
    </row>
    <row r="371">
      <c r="A371" s="17" t="str">
        <f>IFERROR(__xludf.DUMMYFUNCTION("""COMPUTED_VALUE"""),"Lost Records: Bloom &amp; Rage")</f>
        <v>Lost Records: Bloom &amp; Rage</v>
      </c>
      <c r="B371" s="20" t="str">
        <f>IFERROR(__xludf.DUMMYFUNCTION("""COMPUTED_VALUE"""),"Xbox / PC")</f>
        <v>Xbox / PC</v>
      </c>
      <c r="C371" s="21" t="str">
        <f>IFERROR(__xludf.DUMMYFUNCTION("""COMPUTED_VALUE"""),"Yes")</f>
        <v>Yes</v>
      </c>
      <c r="D371" s="21" t="str">
        <f>IFERROR(__xludf.DUMMYFUNCTION("""COMPUTED_VALUE"""),"Active")</f>
        <v>Active</v>
      </c>
      <c r="E371" s="23">
        <f>IFERROR(__xludf.DUMMYFUNCTION("""COMPUTED_VALUE"""),45993.0)</f>
        <v>45993</v>
      </c>
      <c r="F371" s="24"/>
      <c r="G371" s="27">
        <f>IFERROR(__xludf.DUMMYFUNCTION("""COMPUTED_VALUE"""),10.133333333333333)</f>
        <v>10.13333333</v>
      </c>
      <c r="H371" s="23">
        <f>IFERROR(__xludf.DUMMYFUNCTION("""COMPUTED_VALUE"""),45706.0)</f>
        <v>45706</v>
      </c>
      <c r="I371" s="27">
        <f>IFERROR(__xludf.DUMMYFUNCTION("""COMPUTED_VALUE"""),0.7888888888888889)</f>
        <v>0.7888888889</v>
      </c>
      <c r="J371" s="29">
        <f>IFERROR(__xludf.DUMMYFUNCTION("""COMPUTED_VALUE"""),74.0)</f>
        <v>74</v>
      </c>
      <c r="K371" s="29">
        <f>IFERROR(__xludf.DUMMYFUNCTION("""COMPUTED_VALUE"""),11.0)</f>
        <v>11</v>
      </c>
      <c r="L371" s="31" t="str">
        <f>IFERROR(__xludf.DUMMYFUNCTION("""COMPUTED_VALUE"""),"Action-Adventure")</f>
        <v>Action-Adventure</v>
      </c>
      <c r="M371" s="31" t="str">
        <f>IFERROR(__xludf.DUMMYFUNCTION("""COMPUTED_VALUE"""),"Exclusive")</f>
        <v>Exclusive</v>
      </c>
    </row>
    <row r="372">
      <c r="A372" s="17" t="str">
        <f>IFERROR(__xludf.DUMMYFUNCTION("""COMPUTED_VALUE"""),"Lara Croft and the Temple of Osiris")</f>
        <v>Lara Croft and the Temple of Osiris</v>
      </c>
      <c r="B372" s="20" t="str">
        <f>IFERROR(__xludf.DUMMYFUNCTION("""COMPUTED_VALUE"""),"Xbox / PC")</f>
        <v>Xbox / PC</v>
      </c>
      <c r="C372" s="21" t="str">
        <f>IFERROR(__xludf.DUMMYFUNCTION("""COMPUTED_VALUE"""),"Yes")</f>
        <v>Yes</v>
      </c>
      <c r="D372" s="21" t="str">
        <f>IFERROR(__xludf.DUMMYFUNCTION("""COMPUTED_VALUE"""),"Active")</f>
        <v>Active</v>
      </c>
      <c r="E372" s="23">
        <f>IFERROR(__xludf.DUMMYFUNCTION("""COMPUTED_VALUE"""),45972.0)</f>
        <v>45972</v>
      </c>
      <c r="F372" s="24"/>
      <c r="G372" s="27">
        <f>IFERROR(__xludf.DUMMYFUNCTION("""COMPUTED_VALUE"""),10.833333333333334)</f>
        <v>10.83333333</v>
      </c>
      <c r="H372" s="23">
        <f>IFERROR(__xludf.DUMMYFUNCTION("""COMPUTED_VALUE"""),41982.0)</f>
        <v>41982</v>
      </c>
      <c r="I372" s="27">
        <f>IFERROR(__xludf.DUMMYFUNCTION("""COMPUTED_VALUE"""),10.922222222222222)</f>
        <v>10.92222222</v>
      </c>
      <c r="J372" s="29">
        <f>IFERROR(__xludf.DUMMYFUNCTION("""COMPUTED_VALUE"""),74.0)</f>
        <v>74</v>
      </c>
      <c r="K372" s="29">
        <f>IFERROR(__xludf.DUMMYFUNCTION("""COMPUTED_VALUE"""),5.0)</f>
        <v>5</v>
      </c>
      <c r="L372" s="31" t="str">
        <f>IFERROR(__xludf.DUMMYFUNCTION("""COMPUTED_VALUE"""),"Action-Adventure")</f>
        <v>Action-Adventure</v>
      </c>
      <c r="M372" s="31"/>
    </row>
    <row r="373">
      <c r="A373" s="17" t="str">
        <f>IFERROR(__xludf.DUMMYFUNCTION("""COMPUTED_VALUE"""),"Bounty Star: The Morose Tale of Graveyard Clem")</f>
        <v>Bounty Star: The Morose Tale of Graveyard Clem</v>
      </c>
      <c r="B373" s="20" t="str">
        <f>IFERROR(__xludf.DUMMYFUNCTION("""COMPUTED_VALUE"""),"Xbox / PC")</f>
        <v>Xbox / PC</v>
      </c>
      <c r="C373" s="21" t="str">
        <f>IFERROR(__xludf.DUMMYFUNCTION("""COMPUTED_VALUE"""),"Yes")</f>
        <v>Yes</v>
      </c>
      <c r="D373" s="21" t="str">
        <f>IFERROR(__xludf.DUMMYFUNCTION("""COMPUTED_VALUE"""),"Active")</f>
        <v>Active</v>
      </c>
      <c r="E373" s="23">
        <f>IFERROR(__xludf.DUMMYFUNCTION("""COMPUTED_VALUE"""),45953.0)</f>
        <v>45953</v>
      </c>
      <c r="F373" s="24"/>
      <c r="G373" s="27">
        <f>IFERROR(__xludf.DUMMYFUNCTION("""COMPUTED_VALUE"""),11.433333333333334)</f>
        <v>11.43333333</v>
      </c>
      <c r="H373" s="23">
        <f>IFERROR(__xludf.DUMMYFUNCTION("""COMPUTED_VALUE"""),45953.0)</f>
        <v>45953</v>
      </c>
      <c r="I373" s="27">
        <f>IFERROR(__xludf.DUMMYFUNCTION("""COMPUTED_VALUE"""),0.0)</f>
        <v>0</v>
      </c>
      <c r="J373" s="29">
        <f>IFERROR(__xludf.DUMMYFUNCTION("""COMPUTED_VALUE"""),74.0)</f>
        <v>74</v>
      </c>
      <c r="K373" s="29">
        <f>IFERROR(__xludf.DUMMYFUNCTION("""COMPUTED_VALUE"""),13.0)</f>
        <v>13</v>
      </c>
      <c r="L373" s="31" t="str">
        <f>IFERROR(__xludf.DUMMYFUNCTION("""COMPUTED_VALUE"""),"Shooter")</f>
        <v>Shooter</v>
      </c>
      <c r="M373" s="31" t="str">
        <f>IFERROR(__xludf.DUMMYFUNCTION("""COMPUTED_VALUE"""),"Exclusive")</f>
        <v>Exclusive</v>
      </c>
    </row>
    <row r="374">
      <c r="A374" s="17" t="str">
        <f>IFERROR(__xludf.DUMMYFUNCTION("""COMPUTED_VALUE"""),"Monopoly (2024)")</f>
        <v>Monopoly (2024)</v>
      </c>
      <c r="B374" s="20" t="str">
        <f>IFERROR(__xludf.DUMMYFUNCTION("""COMPUTED_VALUE"""),"Xbox / PC")</f>
        <v>Xbox / PC</v>
      </c>
      <c r="C374" s="21" t="str">
        <f>IFERROR(__xludf.DUMMYFUNCTION("""COMPUTED_VALUE"""),"Yes")</f>
        <v>Yes</v>
      </c>
      <c r="D374" s="21" t="str">
        <f>IFERROR(__xludf.DUMMYFUNCTION("""COMPUTED_VALUE"""),"Active")</f>
        <v>Active</v>
      </c>
      <c r="E374" s="23">
        <f>IFERROR(__xludf.DUMMYFUNCTION("""COMPUTED_VALUE"""),45931.0)</f>
        <v>45931</v>
      </c>
      <c r="F374" s="24"/>
      <c r="G374" s="27">
        <f>IFERROR(__xludf.DUMMYFUNCTION("""COMPUTED_VALUE"""),12.166666666666666)</f>
        <v>12.16666667</v>
      </c>
      <c r="H374" s="23">
        <f>IFERROR(__xludf.DUMMYFUNCTION("""COMPUTED_VALUE"""),45561.0)</f>
        <v>45561</v>
      </c>
      <c r="I374" s="27">
        <f>IFERROR(__xludf.DUMMYFUNCTION("""COMPUTED_VALUE"""),1.0138888888888888)</f>
        <v>1.013888889</v>
      </c>
      <c r="J374" s="29">
        <f>IFERROR(__xludf.DUMMYFUNCTION("""COMPUTED_VALUE"""),74.0)</f>
        <v>74</v>
      </c>
      <c r="K374" s="29">
        <f>IFERROR(__xludf.DUMMYFUNCTION("""COMPUTED_VALUE"""),14.0)</f>
        <v>14</v>
      </c>
      <c r="L374" s="31" t="str">
        <f>IFERROR(__xludf.DUMMYFUNCTION("""COMPUTED_VALUE"""),"Board")</f>
        <v>Board</v>
      </c>
      <c r="M374" s="31"/>
    </row>
    <row r="375">
      <c r="A375" s="17" t="str">
        <f>IFERROR(__xludf.DUMMYFUNCTION("""COMPUTED_VALUE"""),"Starlink: Battle for Atlas")</f>
        <v>Starlink: Battle for Atlas</v>
      </c>
      <c r="B375" s="20" t="str">
        <f>IFERROR(__xludf.DUMMYFUNCTION("""COMPUTED_VALUE"""),"Xbox / PC")</f>
        <v>Xbox / PC</v>
      </c>
      <c r="C375" s="21" t="str">
        <f>IFERROR(__xludf.DUMMYFUNCTION("""COMPUTED_VALUE"""),"Yes")</f>
        <v>Yes</v>
      </c>
      <c r="D375" s="21" t="str">
        <f>IFERROR(__xludf.DUMMYFUNCTION("""COMPUTED_VALUE"""),"Active")</f>
        <v>Active</v>
      </c>
      <c r="E375" s="23">
        <f>IFERROR(__xludf.DUMMYFUNCTION("""COMPUTED_VALUE"""),45931.0)</f>
        <v>45931</v>
      </c>
      <c r="F375" s="24"/>
      <c r="G375" s="27">
        <f>IFERROR(__xludf.DUMMYFUNCTION("""COMPUTED_VALUE"""),12.166666666666666)</f>
        <v>12.16666667</v>
      </c>
      <c r="H375" s="23">
        <f>IFERROR(__xludf.DUMMYFUNCTION("""COMPUTED_VALUE"""),43389.0)</f>
        <v>43389</v>
      </c>
      <c r="I375" s="27">
        <f>IFERROR(__xludf.DUMMYFUNCTION("""COMPUTED_VALUE"""),6.958333333333333)</f>
        <v>6.958333333</v>
      </c>
      <c r="J375" s="29">
        <f>IFERROR(__xludf.DUMMYFUNCTION("""COMPUTED_VALUE"""),74.0)</f>
        <v>74</v>
      </c>
      <c r="K375" s="29">
        <f>IFERROR(__xludf.DUMMYFUNCTION("""COMPUTED_VALUE"""),15.0)</f>
        <v>15</v>
      </c>
      <c r="L375" s="31" t="str">
        <f>IFERROR(__xludf.DUMMYFUNCTION("""COMPUTED_VALUE"""),"Simulation")</f>
        <v>Simulation</v>
      </c>
      <c r="M375" s="31"/>
    </row>
    <row r="376">
      <c r="A376" s="17" t="str">
        <f>IFERROR(__xludf.DUMMYFUNCTION("""COMPUTED_VALUE"""),"WUCHANG: Fallen Feathers")</f>
        <v>WUCHANG: Fallen Feathers</v>
      </c>
      <c r="B376" s="20" t="str">
        <f>IFERROR(__xludf.DUMMYFUNCTION("""COMPUTED_VALUE"""),"Xbox / PC")</f>
        <v>Xbox / PC</v>
      </c>
      <c r="C376" s="21" t="str">
        <f>IFERROR(__xludf.DUMMYFUNCTION("""COMPUTED_VALUE"""),"Yes")</f>
        <v>Yes</v>
      </c>
      <c r="D376" s="21" t="str">
        <f>IFERROR(__xludf.DUMMYFUNCTION("""COMPUTED_VALUE"""),"Active")</f>
        <v>Active</v>
      </c>
      <c r="E376" s="23">
        <f>IFERROR(__xludf.DUMMYFUNCTION("""COMPUTED_VALUE"""),45862.0)</f>
        <v>45862</v>
      </c>
      <c r="F376" s="24"/>
      <c r="G376" s="27">
        <f>IFERROR(__xludf.DUMMYFUNCTION("""COMPUTED_VALUE"""),14.399999999999999)</f>
        <v>14.4</v>
      </c>
      <c r="H376" s="23">
        <f>IFERROR(__xludf.DUMMYFUNCTION("""COMPUTED_VALUE"""),45862.0)</f>
        <v>45862</v>
      </c>
      <c r="I376" s="27">
        <f>IFERROR(__xludf.DUMMYFUNCTION("""COMPUTED_VALUE"""),0.0)</f>
        <v>0</v>
      </c>
      <c r="J376" s="29">
        <f>IFERROR(__xludf.DUMMYFUNCTION("""COMPUTED_VALUE"""),74.0)</f>
        <v>74</v>
      </c>
      <c r="K376" s="29">
        <f>IFERROR(__xludf.DUMMYFUNCTION("""COMPUTED_VALUE"""),32.0)</f>
        <v>32</v>
      </c>
      <c r="L376" s="31" t="str">
        <f>IFERROR(__xludf.DUMMYFUNCTION("""COMPUTED_VALUE"""),"RPG")</f>
        <v>RPG</v>
      </c>
      <c r="M376" s="31" t="str">
        <f>IFERROR(__xludf.DUMMYFUNCTION("""COMPUTED_VALUE"""),"Exclusive")</f>
        <v>Exclusive</v>
      </c>
    </row>
    <row r="377">
      <c r="A377" s="17" t="str">
        <f>IFERROR(__xludf.DUMMYFUNCTION("""COMPUTED_VALUE"""),"Fathom")</f>
        <v>Fathom</v>
      </c>
      <c r="B377" s="20" t="str">
        <f>IFERROR(__xludf.DUMMYFUNCTION("""COMPUTED_VALUE"""),"Xbox / PC")</f>
        <v>Xbox / PC</v>
      </c>
      <c r="C377" s="21" t="str">
        <f>IFERROR(__xludf.DUMMYFUNCTION("""COMPUTED_VALUE"""),"Yes")</f>
        <v>Yes</v>
      </c>
      <c r="D377" s="21" t="str">
        <f>IFERROR(__xludf.DUMMYFUNCTION("""COMPUTED_VALUE"""),"Active")</f>
        <v>Active</v>
      </c>
      <c r="E377" s="23">
        <f>IFERROR(__xludf.DUMMYFUNCTION("""COMPUTED_VALUE"""),45798.0)</f>
        <v>45798</v>
      </c>
      <c r="F377" s="24"/>
      <c r="G377" s="27">
        <f>IFERROR(__xludf.DUMMYFUNCTION("""COMPUTED_VALUE"""),16.5)</f>
        <v>16.5</v>
      </c>
      <c r="H377" s="23">
        <f>IFERROR(__xludf.DUMMYFUNCTION("""COMPUTED_VALUE"""),30529.0)</f>
        <v>30529</v>
      </c>
      <c r="I377" s="27">
        <f>IFERROR(__xludf.DUMMYFUNCTION("""COMPUTED_VALUE"""),41.80555555555556)</f>
        <v>41.80555556</v>
      </c>
      <c r="J377" s="29">
        <f>IFERROR(__xludf.DUMMYFUNCTION("""COMPUTED_VALUE"""),74.0)</f>
        <v>74</v>
      </c>
      <c r="K377" s="29"/>
      <c r="L377" s="31" t="str">
        <f>IFERROR(__xludf.DUMMYFUNCTION("""COMPUTED_VALUE"""),"Action‑Adventure")</f>
        <v>Action‑Adventure</v>
      </c>
      <c r="M377" s="31"/>
    </row>
    <row r="378">
      <c r="A378" s="17" t="str">
        <f>IFERROR(__xludf.DUMMYFUNCTION("""COMPUTED_VALUE"""),"Tempopo")</f>
        <v>Tempopo</v>
      </c>
      <c r="B378" s="20" t="str">
        <f>IFERROR(__xludf.DUMMYFUNCTION("""COMPUTED_VALUE"""),"Xbox / PC")</f>
        <v>Xbox / PC</v>
      </c>
      <c r="C378" s="21" t="str">
        <f>IFERROR(__xludf.DUMMYFUNCTION("""COMPUTED_VALUE"""),"Yes")</f>
        <v>Yes</v>
      </c>
      <c r="D378" s="21" t="str">
        <f>IFERROR(__xludf.DUMMYFUNCTION("""COMPUTED_VALUE"""),"Active")</f>
        <v>Active</v>
      </c>
      <c r="E378" s="23">
        <f>IFERROR(__xludf.DUMMYFUNCTION("""COMPUTED_VALUE"""),45764.0)</f>
        <v>45764</v>
      </c>
      <c r="F378" s="24"/>
      <c r="G378" s="27">
        <f>IFERROR(__xludf.DUMMYFUNCTION("""COMPUTED_VALUE"""),17.633333333333333)</f>
        <v>17.63333333</v>
      </c>
      <c r="H378" s="23">
        <f>IFERROR(__xludf.DUMMYFUNCTION("""COMPUTED_VALUE"""),45764.0)</f>
        <v>45764</v>
      </c>
      <c r="I378" s="27">
        <f>IFERROR(__xludf.DUMMYFUNCTION("""COMPUTED_VALUE"""),0.0)</f>
        <v>0</v>
      </c>
      <c r="J378" s="29">
        <f>IFERROR(__xludf.DUMMYFUNCTION("""COMPUTED_VALUE"""),74.0)</f>
        <v>74</v>
      </c>
      <c r="K378" s="29">
        <f>IFERROR(__xludf.DUMMYFUNCTION("""COMPUTED_VALUE"""),5.0)</f>
        <v>5</v>
      </c>
      <c r="L378" s="31" t="str">
        <f>IFERROR(__xludf.DUMMYFUNCTION("""COMPUTED_VALUE"""),"Acton Puzzle")</f>
        <v>Acton Puzzle</v>
      </c>
      <c r="M378" s="31"/>
    </row>
    <row r="379">
      <c r="A379" s="17" t="str">
        <f>IFERROR(__xludf.DUMMYFUNCTION("""COMPUTED_VALUE"""),"Star Trucker")</f>
        <v>Star Trucker</v>
      </c>
      <c r="B379" s="20" t="str">
        <f>IFERROR(__xludf.DUMMYFUNCTION("""COMPUTED_VALUE"""),"Xbox / PC")</f>
        <v>Xbox / PC</v>
      </c>
      <c r="C379" s="21" t="str">
        <f>IFERROR(__xludf.DUMMYFUNCTION("""COMPUTED_VALUE"""),"Yes")</f>
        <v>Yes</v>
      </c>
      <c r="D379" s="21" t="str">
        <f>IFERROR(__xludf.DUMMYFUNCTION("""COMPUTED_VALUE"""),"Active")</f>
        <v>Active</v>
      </c>
      <c r="E379" s="23">
        <f>IFERROR(__xludf.DUMMYFUNCTION("""COMPUTED_VALUE"""),45538.0)</f>
        <v>45538</v>
      </c>
      <c r="F379" s="24"/>
      <c r="G379" s="27">
        <f>IFERROR(__xludf.DUMMYFUNCTION("""COMPUTED_VALUE"""),25.1)</f>
        <v>25.1</v>
      </c>
      <c r="H379" s="23">
        <f>IFERROR(__xludf.DUMMYFUNCTION("""COMPUTED_VALUE"""),45538.0)</f>
        <v>45538</v>
      </c>
      <c r="I379" s="27">
        <f>IFERROR(__xludf.DUMMYFUNCTION("""COMPUTED_VALUE"""),0.0)</f>
        <v>0</v>
      </c>
      <c r="J379" s="29">
        <f>IFERROR(__xludf.DUMMYFUNCTION("""COMPUTED_VALUE"""),74.0)</f>
        <v>74</v>
      </c>
      <c r="K379" s="29">
        <f>IFERROR(__xludf.DUMMYFUNCTION("""COMPUTED_VALUE"""),25.0)</f>
        <v>25</v>
      </c>
      <c r="L379" s="31" t="str">
        <f>IFERROR(__xludf.DUMMYFUNCTION("""COMPUTED_VALUE"""),"Simulation")</f>
        <v>Simulation</v>
      </c>
      <c r="M379" s="31"/>
    </row>
    <row r="380">
      <c r="A380" s="17" t="str">
        <f>IFERROR(__xludf.DUMMYFUNCTION("""COMPUTED_VALUE"""),"Costume Quest")</f>
        <v>Costume Quest</v>
      </c>
      <c r="B380" s="20" t="str">
        <f>IFERROR(__xludf.DUMMYFUNCTION("""COMPUTED_VALUE"""),"Xbox")</f>
        <v>Xbox</v>
      </c>
      <c r="C380" s="21" t="str">
        <f>IFERROR(__xludf.DUMMYFUNCTION("""COMPUTED_VALUE"""),"Yes")</f>
        <v>Yes</v>
      </c>
      <c r="D380" s="21" t="str">
        <f>IFERROR(__xludf.DUMMYFUNCTION("""COMPUTED_VALUE"""),"Active")</f>
        <v>Active</v>
      </c>
      <c r="E380" s="23">
        <f>IFERROR(__xludf.DUMMYFUNCTION("""COMPUTED_VALUE"""),44845.0)</f>
        <v>44845</v>
      </c>
      <c r="F380" s="24"/>
      <c r="G380" s="27">
        <f>IFERROR(__xludf.DUMMYFUNCTION("""COMPUTED_VALUE"""),47.833333333333336)</f>
        <v>47.83333333</v>
      </c>
      <c r="H380" s="23">
        <f>IFERROR(__xludf.DUMMYFUNCTION("""COMPUTED_VALUE"""),40471.0)</f>
        <v>40471</v>
      </c>
      <c r="I380" s="27">
        <f>IFERROR(__xludf.DUMMYFUNCTION("""COMPUTED_VALUE"""),11.975)</f>
        <v>11.975</v>
      </c>
      <c r="J380" s="29">
        <f>IFERROR(__xludf.DUMMYFUNCTION("""COMPUTED_VALUE"""),74.0)</f>
        <v>74</v>
      </c>
      <c r="K380" s="29">
        <f>IFERROR(__xludf.DUMMYFUNCTION("""COMPUTED_VALUE"""),5.5)</f>
        <v>5.5</v>
      </c>
      <c r="L380" s="31" t="str">
        <f>IFERROR(__xludf.DUMMYFUNCTION("""COMPUTED_VALUE"""),"RPG")</f>
        <v>RPG</v>
      </c>
      <c r="M380" s="31"/>
    </row>
    <row r="381">
      <c r="A381" s="17" t="str">
        <f>IFERROR(__xludf.DUMMYFUNCTION("""COMPUTED_VALUE"""),"Need for Speed: Heat - Deluxe Edition")</f>
        <v>Need for Speed: Heat - Deluxe Edition</v>
      </c>
      <c r="B381" s="20" t="str">
        <f>IFERROR(__xludf.DUMMYFUNCTION("""COMPUTED_VALUE"""),"Xbox / PC")</f>
        <v>Xbox / PC</v>
      </c>
      <c r="C381" s="21" t="str">
        <f>IFERROR(__xludf.DUMMYFUNCTION("""COMPUTED_VALUE"""),"Touch Controls")</f>
        <v>Touch Controls</v>
      </c>
      <c r="D381" s="21" t="str">
        <f>IFERROR(__xludf.DUMMYFUNCTION("""COMPUTED_VALUE"""),"Active")</f>
        <v>Active</v>
      </c>
      <c r="E381" s="23">
        <f>IFERROR(__xludf.DUMMYFUNCTION("""COMPUTED_VALUE"""),44145.0)</f>
        <v>44145</v>
      </c>
      <c r="F381" s="24"/>
      <c r="G381" s="27">
        <f>IFERROR(__xludf.DUMMYFUNCTION("""COMPUTED_VALUE"""),70.86666666666667)</f>
        <v>70.86666667</v>
      </c>
      <c r="H381" s="23">
        <f>IFERROR(__xludf.DUMMYFUNCTION("""COMPUTED_VALUE"""),43777.0)</f>
        <v>43777</v>
      </c>
      <c r="I381" s="27">
        <f>IFERROR(__xludf.DUMMYFUNCTION("""COMPUTED_VALUE"""),1.0055555555555555)</f>
        <v>1.005555556</v>
      </c>
      <c r="J381" s="29">
        <f>IFERROR(__xludf.DUMMYFUNCTION("""COMPUTED_VALUE"""),74.0)</f>
        <v>74</v>
      </c>
      <c r="K381" s="29">
        <f>IFERROR(__xludf.DUMMYFUNCTION("""COMPUTED_VALUE"""),12.5)</f>
        <v>12.5</v>
      </c>
      <c r="L381" s="31" t="str">
        <f>IFERROR(__xludf.DUMMYFUNCTION("""COMPUTED_VALUE"""),"Racing")</f>
        <v>Racing</v>
      </c>
      <c r="M381" s="31"/>
    </row>
    <row r="382">
      <c r="A382" s="17" t="str">
        <f>IFERROR(__xludf.DUMMYFUNCTION("""COMPUTED_VALUE"""),"Tom Clancy's Rainbow Six: Siege - Deluxe Edition")</f>
        <v>Tom Clancy's Rainbow Six: Siege - Deluxe Edition</v>
      </c>
      <c r="B382" s="20" t="str">
        <f>IFERROR(__xludf.DUMMYFUNCTION("""COMPUTED_VALUE"""),"Xbox / PC")</f>
        <v>Xbox / PC</v>
      </c>
      <c r="C382" s="21" t="str">
        <f>IFERROR(__xludf.DUMMYFUNCTION("""COMPUTED_VALUE"""),"Yes")</f>
        <v>Yes</v>
      </c>
      <c r="D382" s="21" t="str">
        <f>IFERROR(__xludf.DUMMYFUNCTION("""COMPUTED_VALUE"""),"Active")</f>
        <v>Active</v>
      </c>
      <c r="E382" s="23">
        <f>IFERROR(__xludf.DUMMYFUNCTION("""COMPUTED_VALUE"""),44126.0)</f>
        <v>44126</v>
      </c>
      <c r="F382" s="24"/>
      <c r="G382" s="27">
        <f>IFERROR(__xludf.DUMMYFUNCTION("""COMPUTED_VALUE"""),71.46666666666667)</f>
        <v>71.46666667</v>
      </c>
      <c r="H382" s="23">
        <f>IFERROR(__xludf.DUMMYFUNCTION("""COMPUTED_VALUE"""),42339.0)</f>
        <v>42339</v>
      </c>
      <c r="I382" s="27">
        <f>IFERROR(__xludf.DUMMYFUNCTION("""COMPUTED_VALUE"""),4.891666666666667)</f>
        <v>4.891666667</v>
      </c>
      <c r="J382" s="29">
        <f>IFERROR(__xludf.DUMMYFUNCTION("""COMPUTED_VALUE"""),74.0)</f>
        <v>74</v>
      </c>
      <c r="K382" s="29">
        <f>IFERROR(__xludf.DUMMYFUNCTION("""COMPUTED_VALUE"""),7.5)</f>
        <v>7.5</v>
      </c>
      <c r="L382" s="31" t="str">
        <f>IFERROR(__xludf.DUMMYFUNCTION("""COMPUTED_VALUE"""),"Shooter")</f>
        <v>Shooter</v>
      </c>
      <c r="M382" s="31" t="str">
        <f>IFERROR(__xludf.DUMMYFUNCTION("""COMPUTED_VALUE"""),"Optimized")</f>
        <v>Optimized</v>
      </c>
    </row>
    <row r="383">
      <c r="A383" s="17" t="str">
        <f>IFERROR(__xludf.DUMMYFUNCTION("""COMPUTED_VALUE"""),"MechWarrior 5: Mercenaries")</f>
        <v>MechWarrior 5: Mercenaries</v>
      </c>
      <c r="B383" s="20" t="str">
        <f>IFERROR(__xludf.DUMMYFUNCTION("""COMPUTED_VALUE"""),"Xbox / PC")</f>
        <v>Xbox / PC</v>
      </c>
      <c r="C383" s="21" t="str">
        <f>IFERROR(__xludf.DUMMYFUNCTION("""COMPUTED_VALUE"""),"Yes")</f>
        <v>Yes</v>
      </c>
      <c r="D383" s="21" t="str">
        <f>IFERROR(__xludf.DUMMYFUNCTION("""COMPUTED_VALUE"""),"Active")</f>
        <v>Active</v>
      </c>
      <c r="E383" s="23">
        <f>IFERROR(__xludf.DUMMYFUNCTION("""COMPUTED_VALUE"""),43958.0)</f>
        <v>43958</v>
      </c>
      <c r="F383" s="24"/>
      <c r="G383" s="27">
        <f>IFERROR(__xludf.DUMMYFUNCTION("""COMPUTED_VALUE"""),76.96666666666667)</f>
        <v>76.96666667</v>
      </c>
      <c r="H383" s="23">
        <f>IFERROR(__xludf.DUMMYFUNCTION("""COMPUTED_VALUE"""),43809.0)</f>
        <v>43809</v>
      </c>
      <c r="I383" s="27">
        <f>IFERROR(__xludf.DUMMYFUNCTION("""COMPUTED_VALUE"""),0.4083333333333333)</f>
        <v>0.4083333333</v>
      </c>
      <c r="J383" s="29">
        <f>IFERROR(__xludf.DUMMYFUNCTION("""COMPUTED_VALUE"""),74.0)</f>
        <v>74</v>
      </c>
      <c r="K383" s="29">
        <f>IFERROR(__xludf.DUMMYFUNCTION("""COMPUTED_VALUE"""),46.5)</f>
        <v>46.5</v>
      </c>
      <c r="L383" s="31" t="str">
        <f>IFERROR(__xludf.DUMMYFUNCTION("""COMPUTED_VALUE"""),"Shooter")</f>
        <v>Shooter</v>
      </c>
      <c r="M383" s="31"/>
    </row>
    <row r="384">
      <c r="A384" s="17" t="str">
        <f>IFERROR(__xludf.DUMMYFUNCTION("""COMPUTED_VALUE"""),"Phoenix Point")</f>
        <v>Phoenix Point</v>
      </c>
      <c r="B384" s="20" t="str">
        <f>IFERROR(__xludf.DUMMYFUNCTION("""COMPUTED_VALUE"""),"Xbox / PC")</f>
        <v>Xbox / PC</v>
      </c>
      <c r="C384" s="21" t="str">
        <f>IFERROR(__xludf.DUMMYFUNCTION("""COMPUTED_VALUE"""),"Touch Controls")</f>
        <v>Touch Controls</v>
      </c>
      <c r="D384" s="21" t="str">
        <f>IFERROR(__xludf.DUMMYFUNCTION("""COMPUTED_VALUE"""),"Active")</f>
        <v>Active</v>
      </c>
      <c r="E384" s="23">
        <f>IFERROR(__xludf.DUMMYFUNCTION("""COMPUTED_VALUE"""),43819.0)</f>
        <v>43819</v>
      </c>
      <c r="F384" s="24"/>
      <c r="G384" s="27">
        <f>IFERROR(__xludf.DUMMYFUNCTION("""COMPUTED_VALUE"""),81.53333333333333)</f>
        <v>81.53333333</v>
      </c>
      <c r="H384" s="23">
        <f>IFERROR(__xludf.DUMMYFUNCTION("""COMPUTED_VALUE"""),43802.0)</f>
        <v>43802</v>
      </c>
      <c r="I384" s="27">
        <f>IFERROR(__xludf.DUMMYFUNCTION("""COMPUTED_VALUE"""),0.04722222222222222)</f>
        <v>0.04722222222</v>
      </c>
      <c r="J384" s="29">
        <f>IFERROR(__xludf.DUMMYFUNCTION("""COMPUTED_VALUE"""),74.0)</f>
        <v>74</v>
      </c>
      <c r="K384" s="29">
        <f>IFERROR(__xludf.DUMMYFUNCTION("""COMPUTED_VALUE"""),32.0)</f>
        <v>32</v>
      </c>
      <c r="L384" s="31" t="str">
        <f>IFERROR(__xludf.DUMMYFUNCTION("""COMPUTED_VALUE"""),"Strategy")</f>
        <v>Strategy</v>
      </c>
      <c r="M384" s="31"/>
    </row>
    <row r="385">
      <c r="A385" s="17" t="str">
        <f>IFERROR(__xludf.DUMMYFUNCTION("""COMPUTED_VALUE"""),"The Evil Within")</f>
        <v>The Evil Within</v>
      </c>
      <c r="B385" s="20" t="str">
        <f>IFERROR(__xludf.DUMMYFUNCTION("""COMPUTED_VALUE"""),"Xbox / PC")</f>
        <v>Xbox / PC</v>
      </c>
      <c r="C385" s="21" t="str">
        <f>IFERROR(__xludf.DUMMYFUNCTION("""COMPUTED_VALUE"""),"Yes")</f>
        <v>Yes</v>
      </c>
      <c r="D385" s="21" t="str">
        <f>IFERROR(__xludf.DUMMYFUNCTION("""COMPUTED_VALUE"""),"Active")</f>
        <v>Active</v>
      </c>
      <c r="E385" s="23">
        <f>IFERROR(__xludf.DUMMYFUNCTION("""COMPUTED_VALUE"""),44267.0)</f>
        <v>44267</v>
      </c>
      <c r="F385" s="24"/>
      <c r="G385" s="27">
        <f>IFERROR(__xludf.DUMMYFUNCTION("""COMPUTED_VALUE"""),66.8)</f>
        <v>66.8</v>
      </c>
      <c r="H385" s="23">
        <f>IFERROR(__xludf.DUMMYFUNCTION("""COMPUTED_VALUE"""),41926.0)</f>
        <v>41926</v>
      </c>
      <c r="I385" s="27">
        <f>IFERROR(__xludf.DUMMYFUNCTION("""COMPUTED_VALUE"""),6.411111111111111)</f>
        <v>6.411111111</v>
      </c>
      <c r="J385" s="29">
        <f>IFERROR(__xludf.DUMMYFUNCTION("""COMPUTED_VALUE"""),73.5)</f>
        <v>73.5</v>
      </c>
      <c r="K385" s="29">
        <f>IFERROR(__xludf.DUMMYFUNCTION("""COMPUTED_VALUE"""),16.0)</f>
        <v>16</v>
      </c>
      <c r="L385" s="31" t="str">
        <f>IFERROR(__xludf.DUMMYFUNCTION("""COMPUTED_VALUE"""),"Shooter")</f>
        <v>Shooter</v>
      </c>
      <c r="M385" s="31"/>
    </row>
    <row r="386">
      <c r="A386" s="17" t="str">
        <f>IFERROR(__xludf.DUMMYFUNCTION("""COMPUTED_VALUE"""),"Call of Duty: Vanguard")</f>
        <v>Call of Duty: Vanguard</v>
      </c>
      <c r="B386" s="20" t="str">
        <f>IFERROR(__xludf.DUMMYFUNCTION("""COMPUTED_VALUE"""),"Xbox / PC")</f>
        <v>Xbox / PC</v>
      </c>
      <c r="C386" s="21" t="str">
        <f>IFERROR(__xludf.DUMMYFUNCTION("""COMPUTED_VALUE"""),"Yes")</f>
        <v>Yes</v>
      </c>
      <c r="D386" s="21" t="str">
        <f>IFERROR(__xludf.DUMMYFUNCTION("""COMPUTED_VALUE"""),"Active")</f>
        <v>Active</v>
      </c>
      <c r="E386" s="23">
        <f>IFERROR(__xludf.DUMMYFUNCTION("""COMPUTED_VALUE"""),46190.0)</f>
        <v>46190</v>
      </c>
      <c r="F386" s="24"/>
      <c r="G386" s="27">
        <f>IFERROR(__xludf.DUMMYFUNCTION("""COMPUTED_VALUE"""),3.633333333333333)</f>
        <v>3.633333333</v>
      </c>
      <c r="H386" s="23">
        <f>IFERROR(__xludf.DUMMYFUNCTION("""COMPUTED_VALUE"""),44504.0)</f>
        <v>44504</v>
      </c>
      <c r="I386" s="27">
        <f>IFERROR(__xludf.DUMMYFUNCTION("""COMPUTED_VALUE"""),4.6194444444444445)</f>
        <v>4.619444444</v>
      </c>
      <c r="J386" s="29">
        <f>IFERROR(__xludf.DUMMYFUNCTION("""COMPUTED_VALUE"""),73.0)</f>
        <v>73</v>
      </c>
      <c r="K386" s="29">
        <f>IFERROR(__xludf.DUMMYFUNCTION("""COMPUTED_VALUE"""),6.0)</f>
        <v>6</v>
      </c>
      <c r="L386" s="31" t="str">
        <f>IFERROR(__xludf.DUMMYFUNCTION("""COMPUTED_VALUE"""),"Shooter")</f>
        <v>Shooter</v>
      </c>
      <c r="M386" s="31"/>
    </row>
    <row r="387">
      <c r="A387" s="17" t="str">
        <f>IFERROR(__xludf.DUMMYFUNCTION("""COMPUTED_VALUE"""),"Beastro")</f>
        <v>Beastro</v>
      </c>
      <c r="B387" s="20" t="str">
        <f>IFERROR(__xludf.DUMMYFUNCTION("""COMPUTED_VALUE"""),"Xbox / PC")</f>
        <v>Xbox / PC</v>
      </c>
      <c r="C387" s="21" t="str">
        <f>IFERROR(__xludf.DUMMYFUNCTION("""COMPUTED_VALUE"""),"Yes")</f>
        <v>Yes</v>
      </c>
      <c r="D387" s="21" t="str">
        <f>IFERROR(__xludf.DUMMYFUNCTION("""COMPUTED_VALUE"""),"Active")</f>
        <v>Active</v>
      </c>
      <c r="E387" s="23">
        <f>IFERROR(__xludf.DUMMYFUNCTION("""COMPUTED_VALUE"""),46184.0)</f>
        <v>46184</v>
      </c>
      <c r="F387" s="24"/>
      <c r="G387" s="27">
        <f>IFERROR(__xludf.DUMMYFUNCTION("""COMPUTED_VALUE"""),3.833333333333333)</f>
        <v>3.833333333</v>
      </c>
      <c r="H387" s="23">
        <f>IFERROR(__xludf.DUMMYFUNCTION("""COMPUTED_VALUE"""),46163.0)</f>
        <v>46163</v>
      </c>
      <c r="I387" s="27">
        <f>IFERROR(__xludf.DUMMYFUNCTION("""COMPUTED_VALUE"""),0.05555555555555555)</f>
        <v>0.05555555556</v>
      </c>
      <c r="J387" s="29">
        <f>IFERROR(__xludf.DUMMYFUNCTION("""COMPUTED_VALUE"""),73.0)</f>
        <v>73</v>
      </c>
      <c r="K387" s="29">
        <f>IFERROR(__xludf.DUMMYFUNCTION("""COMPUTED_VALUE"""),9.0)</f>
        <v>9</v>
      </c>
      <c r="L387" s="31" t="str">
        <f>IFERROR(__xludf.DUMMYFUNCTION("""COMPUTED_VALUE"""),"Action-Adventure")</f>
        <v>Action-Adventure</v>
      </c>
      <c r="M387" s="31" t="str">
        <f>IFERROR(__xludf.DUMMYFUNCTION("""COMPUTED_VALUE"""),"Exclusive")</f>
        <v>Exclusive</v>
      </c>
    </row>
    <row r="388">
      <c r="A388" s="17" t="str">
        <f>IFERROR(__xludf.DUMMYFUNCTION("""COMPUTED_VALUE"""),"Undisputed")</f>
        <v>Undisputed</v>
      </c>
      <c r="B388" s="20" t="str">
        <f>IFERROR(__xludf.DUMMYFUNCTION("""COMPUTED_VALUE"""),"Xbox / PC")</f>
        <v>Xbox / PC</v>
      </c>
      <c r="C388" s="21" t="str">
        <f>IFERROR(__xludf.DUMMYFUNCTION("""COMPUTED_VALUE"""),"Yes")</f>
        <v>Yes</v>
      </c>
      <c r="D388" s="21" t="str">
        <f>IFERROR(__xludf.DUMMYFUNCTION("""COMPUTED_VALUE"""),"Active")</f>
        <v>Active</v>
      </c>
      <c r="E388" s="23">
        <f>IFERROR(__xludf.DUMMYFUNCTION("""COMPUTED_VALUE"""),46181.0)</f>
        <v>46181</v>
      </c>
      <c r="F388" s="24"/>
      <c r="G388" s="27">
        <f>IFERROR(__xludf.DUMMYFUNCTION("""COMPUTED_VALUE"""),3.9333333333333336)</f>
        <v>3.933333333</v>
      </c>
      <c r="H388" s="23">
        <f>IFERROR(__xludf.DUMMYFUNCTION("""COMPUTED_VALUE"""),45576.0)</f>
        <v>45576</v>
      </c>
      <c r="I388" s="27">
        <f>IFERROR(__xludf.DUMMYFUNCTION("""COMPUTED_VALUE"""),1.6583333333333334)</f>
        <v>1.658333333</v>
      </c>
      <c r="J388" s="29">
        <f>IFERROR(__xludf.DUMMYFUNCTION("""COMPUTED_VALUE"""),73.0)</f>
        <v>73</v>
      </c>
      <c r="K388" s="29">
        <f>IFERROR(__xludf.DUMMYFUNCTION("""COMPUTED_VALUE"""),15.0)</f>
        <v>15</v>
      </c>
      <c r="L388" s="31" t="str">
        <f>IFERROR(__xludf.DUMMYFUNCTION("""COMPUTED_VALUE"""),"Sports")</f>
        <v>Sports</v>
      </c>
      <c r="M388" s="31" t="str">
        <f>IFERROR(__xludf.DUMMYFUNCTION("""COMPUTED_VALUE"""),"Exclusive")</f>
        <v>Exclusive</v>
      </c>
    </row>
    <row r="389">
      <c r="A389" s="17" t="str">
        <f>IFERROR(__xludf.DUMMYFUNCTION("""COMPUTED_VALUE"""),"NHL 26")</f>
        <v>NHL 26</v>
      </c>
      <c r="B389" s="20" t="str">
        <f>IFERROR(__xludf.DUMMYFUNCTION("""COMPUTED_VALUE"""),"Xbox")</f>
        <v>Xbox</v>
      </c>
      <c r="C389" s="21" t="str">
        <f>IFERROR(__xludf.DUMMYFUNCTION("""COMPUTED_VALUE"""),"Yes")</f>
        <v>Yes</v>
      </c>
      <c r="D389" s="21" t="str">
        <f>IFERROR(__xludf.DUMMYFUNCTION("""COMPUTED_VALUE"""),"Active")</f>
        <v>Active</v>
      </c>
      <c r="E389" s="23">
        <f>IFERROR(__xludf.DUMMYFUNCTION("""COMPUTED_VALUE"""),46128.0)</f>
        <v>46128</v>
      </c>
      <c r="F389" s="24"/>
      <c r="G389" s="27">
        <f>IFERROR(__xludf.DUMMYFUNCTION("""COMPUTED_VALUE"""),5.666666666666666)</f>
        <v>5.666666667</v>
      </c>
      <c r="H389" s="23">
        <f>IFERROR(__xludf.DUMMYFUNCTION("""COMPUTED_VALUE"""),45912.0)</f>
        <v>45912</v>
      </c>
      <c r="I389" s="27">
        <f>IFERROR(__xludf.DUMMYFUNCTION("""COMPUTED_VALUE"""),0.5944444444444444)</f>
        <v>0.5944444444</v>
      </c>
      <c r="J389" s="29">
        <f>IFERROR(__xludf.DUMMYFUNCTION("""COMPUTED_VALUE"""),73.0)</f>
        <v>73</v>
      </c>
      <c r="K389" s="29">
        <f>IFERROR(__xludf.DUMMYFUNCTION("""COMPUTED_VALUE"""),20.0)</f>
        <v>20</v>
      </c>
      <c r="L389" s="31" t="str">
        <f>IFERROR(__xludf.DUMMYFUNCTION("""COMPUTED_VALUE"""),"Sports")</f>
        <v>Sports</v>
      </c>
      <c r="M389" s="31" t="str">
        <f>IFERROR(__xludf.DUMMYFUNCTION("""COMPUTED_VALUE"""),"Exclusive")</f>
        <v>Exclusive</v>
      </c>
    </row>
    <row r="390">
      <c r="A390" s="17" t="str">
        <f>IFERROR(__xludf.DUMMYFUNCTION("""COMPUTED_VALUE"""),"Easy Delivery Co.")</f>
        <v>Easy Delivery Co.</v>
      </c>
      <c r="B390" s="20" t="str">
        <f>IFERROR(__xludf.DUMMYFUNCTION("""COMPUTED_VALUE"""),"Xbox / PC")</f>
        <v>Xbox / PC</v>
      </c>
      <c r="C390" s="21" t="str">
        <f>IFERROR(__xludf.DUMMYFUNCTION("""COMPUTED_VALUE"""),"Yes")</f>
        <v>Yes</v>
      </c>
      <c r="D390" s="21" t="str">
        <f>IFERROR(__xludf.DUMMYFUNCTION("""COMPUTED_VALUE"""),"Active")</f>
        <v>Active</v>
      </c>
      <c r="E390" s="23">
        <f>IFERROR(__xludf.DUMMYFUNCTION("""COMPUTED_VALUE"""),46107.0)</f>
        <v>46107</v>
      </c>
      <c r="F390" s="24"/>
      <c r="G390" s="27">
        <f>IFERROR(__xludf.DUMMYFUNCTION("""COMPUTED_VALUE"""),6.333333333333334)</f>
        <v>6.333333333</v>
      </c>
      <c r="H390" s="23">
        <f>IFERROR(__xludf.DUMMYFUNCTION("""COMPUTED_VALUE"""),45918.0)</f>
        <v>45918</v>
      </c>
      <c r="I390" s="27">
        <f>IFERROR(__xludf.DUMMYFUNCTION("""COMPUTED_VALUE"""),0.5222222222222223)</f>
        <v>0.5222222222</v>
      </c>
      <c r="J390" s="29">
        <f>IFERROR(__xludf.DUMMYFUNCTION("""COMPUTED_VALUE"""),73.0)</f>
        <v>73</v>
      </c>
      <c r="K390" s="29">
        <f>IFERROR(__xludf.DUMMYFUNCTION("""COMPUTED_VALUE"""),5.0)</f>
        <v>5</v>
      </c>
      <c r="L390" s="31" t="str">
        <f>IFERROR(__xludf.DUMMYFUNCTION("""COMPUTED_VALUE"""),"Action-Adventure")</f>
        <v>Action-Adventure</v>
      </c>
      <c r="M390" s="31"/>
    </row>
    <row r="391">
      <c r="A391" s="17" t="str">
        <f>IFERROR(__xludf.DUMMYFUNCTION("""COMPUTED_VALUE"""),"Seaquest")</f>
        <v>Seaquest</v>
      </c>
      <c r="B391" s="20" t="str">
        <f>IFERROR(__xludf.DUMMYFUNCTION("""COMPUTED_VALUE"""),"Xbox / PC")</f>
        <v>Xbox / PC</v>
      </c>
      <c r="C391" s="21" t="str">
        <f>IFERROR(__xludf.DUMMYFUNCTION("""COMPUTED_VALUE"""),"Yes")</f>
        <v>Yes</v>
      </c>
      <c r="D391" s="21" t="str">
        <f>IFERROR(__xludf.DUMMYFUNCTION("""COMPUTED_VALUE"""),"Active")</f>
        <v>Active</v>
      </c>
      <c r="E391" s="23">
        <f>IFERROR(__xludf.DUMMYFUNCTION("""COMPUTED_VALUE"""),46072.0)</f>
        <v>46072</v>
      </c>
      <c r="F391" s="24"/>
      <c r="G391" s="27">
        <f>IFERROR(__xludf.DUMMYFUNCTION("""COMPUTED_VALUE"""),7.566666666666666)</f>
        <v>7.566666667</v>
      </c>
      <c r="H391" s="23">
        <f>IFERROR(__xludf.DUMMYFUNCTION("""COMPUTED_VALUE"""),30348.0)</f>
        <v>30348</v>
      </c>
      <c r="I391" s="27">
        <f>IFERROR(__xludf.DUMMYFUNCTION("""COMPUTED_VALUE"""),43.05)</f>
        <v>43.05</v>
      </c>
      <c r="J391" s="29">
        <f>IFERROR(__xludf.DUMMYFUNCTION("""COMPUTED_VALUE"""),73.0)</f>
        <v>73</v>
      </c>
      <c r="K391" s="29"/>
      <c r="L391" s="31" t="str">
        <f>IFERROR(__xludf.DUMMYFUNCTION("""COMPUTED_VALUE"""),"Strategy")</f>
        <v>Strategy</v>
      </c>
      <c r="M391" s="31"/>
    </row>
    <row r="392">
      <c r="A392" s="17" t="str">
        <f>IFERROR(__xludf.DUMMYFUNCTION("""COMPUTED_VALUE"""),"High on Life 2")</f>
        <v>High on Life 2</v>
      </c>
      <c r="B392" s="20" t="str">
        <f>IFERROR(__xludf.DUMMYFUNCTION("""COMPUTED_VALUE"""),"Xbox / PC")</f>
        <v>Xbox / PC</v>
      </c>
      <c r="C392" s="21" t="str">
        <f>IFERROR(__xludf.DUMMYFUNCTION("""COMPUTED_VALUE"""),"Yes")</f>
        <v>Yes</v>
      </c>
      <c r="D392" s="21" t="str">
        <f>IFERROR(__xludf.DUMMYFUNCTION("""COMPUTED_VALUE"""),"Active")</f>
        <v>Active</v>
      </c>
      <c r="E392" s="23">
        <f>IFERROR(__xludf.DUMMYFUNCTION("""COMPUTED_VALUE"""),46066.0)</f>
        <v>46066</v>
      </c>
      <c r="F392" s="24"/>
      <c r="G392" s="27">
        <f>IFERROR(__xludf.DUMMYFUNCTION("""COMPUTED_VALUE"""),7.7666666666666675)</f>
        <v>7.766666667</v>
      </c>
      <c r="H392" s="23">
        <f>IFERROR(__xludf.DUMMYFUNCTION("""COMPUTED_VALUE"""),46066.0)</f>
        <v>46066</v>
      </c>
      <c r="I392" s="27">
        <f>IFERROR(__xludf.DUMMYFUNCTION("""COMPUTED_VALUE"""),0.0)</f>
        <v>0</v>
      </c>
      <c r="J392" s="29">
        <f>IFERROR(__xludf.DUMMYFUNCTION("""COMPUTED_VALUE"""),73.0)</f>
        <v>73</v>
      </c>
      <c r="K392" s="29">
        <f>IFERROR(__xludf.DUMMYFUNCTION("""COMPUTED_VALUE"""),12.0)</f>
        <v>12</v>
      </c>
      <c r="L392" s="31" t="str">
        <f>IFERROR(__xludf.DUMMYFUNCTION("""COMPUTED_VALUE"""),"Shooter")</f>
        <v>Shooter</v>
      </c>
      <c r="M392" s="31" t="str">
        <f>IFERROR(__xludf.DUMMYFUNCTION("""COMPUTED_VALUE"""),"Exclusive")</f>
        <v>Exclusive</v>
      </c>
    </row>
    <row r="393">
      <c r="A393" s="17" t="str">
        <f>IFERROR(__xludf.DUMMYFUNCTION("""COMPUTED_VALUE"""),"To a T")</f>
        <v>To a T</v>
      </c>
      <c r="B393" s="20" t="str">
        <f>IFERROR(__xludf.DUMMYFUNCTION("""COMPUTED_VALUE"""),"Xbox / PC")</f>
        <v>Xbox / PC</v>
      </c>
      <c r="C393" s="21" t="str">
        <f>IFERROR(__xludf.DUMMYFUNCTION("""COMPUTED_VALUE"""),"Yes")</f>
        <v>Yes</v>
      </c>
      <c r="D393" s="21" t="str">
        <f>IFERROR(__xludf.DUMMYFUNCTION("""COMPUTED_VALUE"""),"Active")</f>
        <v>Active</v>
      </c>
      <c r="E393" s="23">
        <f>IFERROR(__xludf.DUMMYFUNCTION("""COMPUTED_VALUE"""),45805.0)</f>
        <v>45805</v>
      </c>
      <c r="F393" s="24"/>
      <c r="G393" s="27">
        <f>IFERROR(__xludf.DUMMYFUNCTION("""COMPUTED_VALUE"""),16.266666666666666)</f>
        <v>16.26666667</v>
      </c>
      <c r="H393" s="23">
        <f>IFERROR(__xludf.DUMMYFUNCTION("""COMPUTED_VALUE"""),45805.0)</f>
        <v>45805</v>
      </c>
      <c r="I393" s="27">
        <f>IFERROR(__xludf.DUMMYFUNCTION("""COMPUTED_VALUE"""),0.0)</f>
        <v>0</v>
      </c>
      <c r="J393" s="29">
        <f>IFERROR(__xludf.DUMMYFUNCTION("""COMPUTED_VALUE"""),73.0)</f>
        <v>73</v>
      </c>
      <c r="K393" s="29">
        <f>IFERROR(__xludf.DUMMYFUNCTION("""COMPUTED_VALUE"""),6.0)</f>
        <v>6</v>
      </c>
      <c r="L393" s="31" t="str">
        <f>IFERROR(__xludf.DUMMYFUNCTION("""COMPUTED_VALUE"""),"Action-Adventure")</f>
        <v>Action-Adventure</v>
      </c>
      <c r="M393" s="31" t="str">
        <f>IFERROR(__xludf.DUMMYFUNCTION("""COMPUTED_VALUE"""),"Exclusive")</f>
        <v>Exclusive</v>
      </c>
    </row>
    <row r="394">
      <c r="A394" s="17" t="str">
        <f>IFERROR(__xludf.DUMMYFUNCTION("""COMPUTED_VALUE"""),"MechWarrior")</f>
        <v>MechWarrior</v>
      </c>
      <c r="B394" s="20" t="str">
        <f>IFERROR(__xludf.DUMMYFUNCTION("""COMPUTED_VALUE"""),"Xbox / PC")</f>
        <v>Xbox / PC</v>
      </c>
      <c r="C394" s="21" t="str">
        <f>IFERROR(__xludf.DUMMYFUNCTION("""COMPUTED_VALUE"""),"Yes")</f>
        <v>Yes</v>
      </c>
      <c r="D394" s="21" t="str">
        <f>IFERROR(__xludf.DUMMYFUNCTION("""COMPUTED_VALUE"""),"Active")</f>
        <v>Active</v>
      </c>
      <c r="E394" s="23">
        <f>IFERROR(__xludf.DUMMYFUNCTION("""COMPUTED_VALUE"""),45798.0)</f>
        <v>45798</v>
      </c>
      <c r="F394" s="24"/>
      <c r="G394" s="27">
        <f>IFERROR(__xludf.DUMMYFUNCTION("""COMPUTED_VALUE"""),16.5)</f>
        <v>16.5</v>
      </c>
      <c r="H394" s="23">
        <f>IFERROR(__xludf.DUMMYFUNCTION("""COMPUTED_VALUE"""),32843.0)</f>
        <v>32843</v>
      </c>
      <c r="I394" s="27">
        <f>IFERROR(__xludf.DUMMYFUNCTION("""COMPUTED_VALUE"""),35.47222222222222)</f>
        <v>35.47222222</v>
      </c>
      <c r="J394" s="29">
        <f>IFERROR(__xludf.DUMMYFUNCTION("""COMPUTED_VALUE"""),73.0)</f>
        <v>73</v>
      </c>
      <c r="K394" s="29">
        <f>IFERROR(__xludf.DUMMYFUNCTION("""COMPUTED_VALUE"""),12.0)</f>
        <v>12</v>
      </c>
      <c r="L394" s="31" t="str">
        <f>IFERROR(__xludf.DUMMYFUNCTION("""COMPUTED_VALUE"""),"Shooter")</f>
        <v>Shooter</v>
      </c>
      <c r="M394" s="31"/>
    </row>
    <row r="395">
      <c r="A395" s="17" t="str">
        <f>IFERROR(__xludf.DUMMYFUNCTION("""COMPUTED_VALUE"""),"Megamania")</f>
        <v>Megamania</v>
      </c>
      <c r="B395" s="20" t="str">
        <f>IFERROR(__xludf.DUMMYFUNCTION("""COMPUTED_VALUE"""),"Xbox / PC")</f>
        <v>Xbox / PC</v>
      </c>
      <c r="C395" s="21" t="str">
        <f>IFERROR(__xludf.DUMMYFUNCTION("""COMPUTED_VALUE"""),"Yes")</f>
        <v>Yes</v>
      </c>
      <c r="D395" s="21" t="str">
        <f>IFERROR(__xludf.DUMMYFUNCTION("""COMPUTED_VALUE"""),"Active")</f>
        <v>Active</v>
      </c>
      <c r="E395" s="23">
        <f>IFERROR(__xludf.DUMMYFUNCTION("""COMPUTED_VALUE"""),45798.0)</f>
        <v>45798</v>
      </c>
      <c r="F395" s="24"/>
      <c r="G395" s="27">
        <f>IFERROR(__xludf.DUMMYFUNCTION("""COMPUTED_VALUE"""),16.5)</f>
        <v>16.5</v>
      </c>
      <c r="H395" s="23">
        <f>IFERROR(__xludf.DUMMYFUNCTION("""COMPUTED_VALUE"""),30050.0)</f>
        <v>30050</v>
      </c>
      <c r="I395" s="27">
        <f>IFERROR(__xludf.DUMMYFUNCTION("""COMPUTED_VALUE"""),43.11666666666667)</f>
        <v>43.11666667</v>
      </c>
      <c r="J395" s="29">
        <f>IFERROR(__xludf.DUMMYFUNCTION("""COMPUTED_VALUE"""),73.0)</f>
        <v>73</v>
      </c>
      <c r="K395" s="29"/>
      <c r="L395" s="31" t="str">
        <f>IFERROR(__xludf.DUMMYFUNCTION("""COMPUTED_VALUE"""),"Shooter")</f>
        <v>Shooter</v>
      </c>
      <c r="M395" s="31"/>
    </row>
    <row r="396">
      <c r="A396" s="12" t="str">
        <f>IFERROR(__xludf.DUMMYFUNCTION("""COMPUTED_VALUE"""),"River Raid II")</f>
        <v>River Raid II</v>
      </c>
      <c r="B396" s="13" t="str">
        <f>IFERROR(__xludf.DUMMYFUNCTION("""COMPUTED_VALUE"""),"Xbox / PC")</f>
        <v>Xbox / PC</v>
      </c>
      <c r="C396" s="14" t="str">
        <f>IFERROR(__xludf.DUMMYFUNCTION("""COMPUTED_VALUE"""),"Yes")</f>
        <v>Yes</v>
      </c>
      <c r="D396" s="14" t="str">
        <f>IFERROR(__xludf.DUMMYFUNCTION("""COMPUTED_VALUE"""),"Active")</f>
        <v>Active</v>
      </c>
      <c r="E396" s="15">
        <f>IFERROR(__xludf.DUMMYFUNCTION("""COMPUTED_VALUE"""),45798.0)</f>
        <v>45798</v>
      </c>
      <c r="F396" s="16"/>
      <c r="G396" s="18">
        <f>IFERROR(__xludf.DUMMYFUNCTION("""COMPUTED_VALUE"""),16.5)</f>
        <v>16.5</v>
      </c>
      <c r="H396" s="15">
        <f>IFERROR(__xludf.DUMMYFUNCTION("""COMPUTED_VALUE"""),32352.0)</f>
        <v>32352</v>
      </c>
      <c r="I396" s="18">
        <f>IFERROR(__xludf.DUMMYFUNCTION("""COMPUTED_VALUE"""),36.81388888888889)</f>
        <v>36.81388889</v>
      </c>
      <c r="J396" s="22">
        <f>IFERROR(__xludf.DUMMYFUNCTION("""COMPUTED_VALUE"""),73.0)</f>
        <v>73</v>
      </c>
      <c r="K396" s="22"/>
      <c r="L396" s="26" t="str">
        <f>IFERROR(__xludf.DUMMYFUNCTION("""COMPUTED_VALUE"""),"Shooter")</f>
        <v>Shooter</v>
      </c>
      <c r="M396" s="26"/>
    </row>
    <row r="397">
      <c r="A397" s="12" t="str">
        <f>IFERROR(__xludf.DUMMYFUNCTION("""COMPUTED_VALUE"""),"Robot Tank")</f>
        <v>Robot Tank</v>
      </c>
      <c r="B397" s="13" t="str">
        <f>IFERROR(__xludf.DUMMYFUNCTION("""COMPUTED_VALUE"""),"Xbox / PC")</f>
        <v>Xbox / PC</v>
      </c>
      <c r="C397" s="14" t="str">
        <f>IFERROR(__xludf.DUMMYFUNCTION("""COMPUTED_VALUE"""),"Yes")</f>
        <v>Yes</v>
      </c>
      <c r="D397" s="14" t="str">
        <f>IFERROR(__xludf.DUMMYFUNCTION("""COMPUTED_VALUE"""),"Active")</f>
        <v>Active</v>
      </c>
      <c r="E397" s="15">
        <f>IFERROR(__xludf.DUMMYFUNCTION("""COMPUTED_VALUE"""),45798.0)</f>
        <v>45798</v>
      </c>
      <c r="F397" s="16"/>
      <c r="G397" s="18">
        <f>IFERROR(__xludf.DUMMYFUNCTION("""COMPUTED_VALUE"""),16.5)</f>
        <v>16.5</v>
      </c>
      <c r="H397" s="15">
        <f>IFERROR(__xludf.DUMMYFUNCTION("""COMPUTED_VALUE"""),30399.0)</f>
        <v>30399</v>
      </c>
      <c r="I397" s="18">
        <f>IFERROR(__xludf.DUMMYFUNCTION("""COMPUTED_VALUE"""),42.15833333333333)</f>
        <v>42.15833333</v>
      </c>
      <c r="J397" s="22">
        <f>IFERROR(__xludf.DUMMYFUNCTION("""COMPUTED_VALUE"""),73.0)</f>
        <v>73</v>
      </c>
      <c r="K397" s="22"/>
      <c r="L397" s="26" t="str">
        <f>IFERROR(__xludf.DUMMYFUNCTION("""COMPUTED_VALUE"""),"Shooter")</f>
        <v>Shooter</v>
      </c>
      <c r="M397" s="26"/>
    </row>
    <row r="398">
      <c r="A398" s="12" t="str">
        <f>IFERROR(__xludf.DUMMYFUNCTION("""COMPUTED_VALUE"""),"The Dagger of Amon Ra")</f>
        <v>The Dagger of Amon Ra</v>
      </c>
      <c r="B398" s="13" t="str">
        <f>IFERROR(__xludf.DUMMYFUNCTION("""COMPUTED_VALUE"""),"Xbox / PC")</f>
        <v>Xbox / PC</v>
      </c>
      <c r="C398" s="14" t="str">
        <f>IFERROR(__xludf.DUMMYFUNCTION("""COMPUTED_VALUE"""),"Yes")</f>
        <v>Yes</v>
      </c>
      <c r="D398" s="14" t="str">
        <f>IFERROR(__xludf.DUMMYFUNCTION("""COMPUTED_VALUE"""),"Active")</f>
        <v>Active</v>
      </c>
      <c r="E398" s="15">
        <f>IFERROR(__xludf.DUMMYFUNCTION("""COMPUTED_VALUE"""),45798.0)</f>
        <v>45798</v>
      </c>
      <c r="F398" s="16"/>
      <c r="G398" s="18">
        <f>IFERROR(__xludf.DUMMYFUNCTION("""COMPUTED_VALUE"""),16.5)</f>
        <v>16.5</v>
      </c>
      <c r="H398" s="15">
        <f>IFERROR(__xludf.DUMMYFUNCTION("""COMPUTED_VALUE"""),33604.0)</f>
        <v>33604</v>
      </c>
      <c r="I398" s="18">
        <f>IFERROR(__xludf.DUMMYFUNCTION("""COMPUTED_VALUE"""),33.388888888888886)</f>
        <v>33.38888889</v>
      </c>
      <c r="J398" s="22">
        <f>IFERROR(__xludf.DUMMYFUNCTION("""COMPUTED_VALUE"""),73.0)</f>
        <v>73</v>
      </c>
      <c r="K398" s="22">
        <f>IFERROR(__xludf.DUMMYFUNCTION("""COMPUTED_VALUE"""),4.0)</f>
        <v>4</v>
      </c>
      <c r="L398" s="26" t="str">
        <f>IFERROR(__xludf.DUMMYFUNCTION("""COMPUTED_VALUE"""),"Action‑Adventure")</f>
        <v>Action‑Adventure</v>
      </c>
      <c r="M398" s="26"/>
    </row>
    <row r="399">
      <c r="A399" s="12" t="str">
        <f>IFERROR(__xludf.DUMMYFUNCTION("""COMPUTED_VALUE"""),"Towerborne")</f>
        <v>Towerborne</v>
      </c>
      <c r="B399" s="13" t="str">
        <f>IFERROR(__xludf.DUMMYFUNCTION("""COMPUTED_VALUE"""),"Xbox / PC")</f>
        <v>Xbox / PC</v>
      </c>
      <c r="C399" s="14" t="str">
        <f>IFERROR(__xludf.DUMMYFUNCTION("""COMPUTED_VALUE"""),"Yes")</f>
        <v>Yes</v>
      </c>
      <c r="D399" s="14" t="str">
        <f>IFERROR(__xludf.DUMMYFUNCTION("""COMPUTED_VALUE"""),"Active")</f>
        <v>Active</v>
      </c>
      <c r="E399" s="15">
        <f>IFERROR(__xludf.DUMMYFUNCTION("""COMPUTED_VALUE"""),45776.0)</f>
        <v>45776</v>
      </c>
      <c r="F399" s="16"/>
      <c r="G399" s="18">
        <f>IFERROR(__xludf.DUMMYFUNCTION("""COMPUTED_VALUE"""),17.233333333333334)</f>
        <v>17.23333333</v>
      </c>
      <c r="H399" s="15">
        <f>IFERROR(__xludf.DUMMYFUNCTION("""COMPUTED_VALUE"""),45776.0)</f>
        <v>45776</v>
      </c>
      <c r="I399" s="18">
        <f>IFERROR(__xludf.DUMMYFUNCTION("""COMPUTED_VALUE"""),0.0)</f>
        <v>0</v>
      </c>
      <c r="J399" s="22">
        <f>IFERROR(__xludf.DUMMYFUNCTION("""COMPUTED_VALUE"""),73.0)</f>
        <v>73</v>
      </c>
      <c r="K399" s="22">
        <f>IFERROR(__xludf.DUMMYFUNCTION("""COMPUTED_VALUE"""),15.0)</f>
        <v>15</v>
      </c>
      <c r="L399" s="26" t="str">
        <f>IFERROR(__xludf.DUMMYFUNCTION("""COMPUTED_VALUE"""),"Beat-'Em-Up ")</f>
        <v>Beat-'Em-Up </v>
      </c>
      <c r="M399" s="26" t="str">
        <f>IFERROR(__xludf.DUMMYFUNCTION("""COMPUTED_VALUE"""),"Exclusive")</f>
        <v>Exclusive</v>
      </c>
    </row>
    <row r="400">
      <c r="A400" s="12" t="str">
        <f>IFERROR(__xludf.DUMMYFUNCTION("""COMPUTED_VALUE"""),"Dead Island 2")</f>
        <v>Dead Island 2</v>
      </c>
      <c r="B400" s="13" t="str">
        <f>IFERROR(__xludf.DUMMYFUNCTION("""COMPUTED_VALUE"""),"Xbox / PC")</f>
        <v>Xbox / PC</v>
      </c>
      <c r="C400" s="14" t="str">
        <f>IFERROR(__xludf.DUMMYFUNCTION("""COMPUTED_VALUE"""),"Yes")</f>
        <v>Yes</v>
      </c>
      <c r="D400" s="14" t="str">
        <f>IFERROR(__xludf.DUMMYFUNCTION("""COMPUTED_VALUE"""),"Active")</f>
        <v>Active</v>
      </c>
      <c r="E400" s="15">
        <f>IFERROR(__xludf.DUMMYFUNCTION("""COMPUTED_VALUE"""),45342.0)</f>
        <v>45342</v>
      </c>
      <c r="F400" s="16"/>
      <c r="G400" s="18">
        <f>IFERROR(__xludf.DUMMYFUNCTION("""COMPUTED_VALUE"""),31.53333333333333)</f>
        <v>31.53333333</v>
      </c>
      <c r="H400" s="15">
        <f>IFERROR(__xludf.DUMMYFUNCTION("""COMPUTED_VALUE"""),45037.0)</f>
        <v>45037</v>
      </c>
      <c r="I400" s="18">
        <f>IFERROR(__xludf.DUMMYFUNCTION("""COMPUTED_VALUE"""),0.8305555555555556)</f>
        <v>0.8305555556</v>
      </c>
      <c r="J400" s="22">
        <f>IFERROR(__xludf.DUMMYFUNCTION("""COMPUTED_VALUE"""),73.0)</f>
        <v>73</v>
      </c>
      <c r="K400" s="22">
        <f>IFERROR(__xludf.DUMMYFUNCTION("""COMPUTED_VALUE"""),16.0)</f>
        <v>16</v>
      </c>
      <c r="L400" s="26" t="str">
        <f>IFERROR(__xludf.DUMMYFUNCTION("""COMPUTED_VALUE"""),"Shooter")</f>
        <v>Shooter</v>
      </c>
      <c r="M400" s="26"/>
    </row>
    <row r="401">
      <c r="A401" s="12" t="str">
        <f>IFERROR(__xludf.DUMMYFUNCTION("""COMPUTED_VALUE"""),"PlateUp!")</f>
        <v>PlateUp!</v>
      </c>
      <c r="B401" s="13" t="str">
        <f>IFERROR(__xludf.DUMMYFUNCTION("""COMPUTED_VALUE"""),"Xbox / PC")</f>
        <v>Xbox / PC</v>
      </c>
      <c r="C401" s="14" t="str">
        <f>IFERROR(__xludf.DUMMYFUNCTION("""COMPUTED_VALUE"""),"Yes")</f>
        <v>Yes</v>
      </c>
      <c r="D401" s="14" t="str">
        <f>IFERROR(__xludf.DUMMYFUNCTION("""COMPUTED_VALUE"""),"Active")</f>
        <v>Active</v>
      </c>
      <c r="E401" s="15">
        <f>IFERROR(__xludf.DUMMYFUNCTION("""COMPUTED_VALUE"""),45337.0)</f>
        <v>45337</v>
      </c>
      <c r="F401" s="16"/>
      <c r="G401" s="18">
        <f>IFERROR(__xludf.DUMMYFUNCTION("""COMPUTED_VALUE"""),31.7)</f>
        <v>31.7</v>
      </c>
      <c r="H401" s="15">
        <f>IFERROR(__xludf.DUMMYFUNCTION("""COMPUTED_VALUE"""),44777.0)</f>
        <v>44777</v>
      </c>
      <c r="I401" s="18">
        <f>IFERROR(__xludf.DUMMYFUNCTION("""COMPUTED_VALUE"""),1.5305555555555554)</f>
        <v>1.530555556</v>
      </c>
      <c r="J401" s="22">
        <f>IFERROR(__xludf.DUMMYFUNCTION("""COMPUTED_VALUE"""),73.0)</f>
        <v>73</v>
      </c>
      <c r="K401" s="22">
        <f>IFERROR(__xludf.DUMMYFUNCTION("""COMPUTED_VALUE"""),19.0)</f>
        <v>19</v>
      </c>
      <c r="L401" s="26" t="str">
        <f>IFERROR(__xludf.DUMMYFUNCTION("""COMPUTED_VALUE"""),"Strategy")</f>
        <v>Strategy</v>
      </c>
      <c r="M401" s="26"/>
    </row>
    <row r="402">
      <c r="A402" s="119" t="str">
        <f>IFERROR(__xludf.DUMMYFUNCTION("""COMPUTED_VALUE"""),"Far Cry 6")</f>
        <v>Far Cry 6</v>
      </c>
      <c r="B402" s="13" t="str">
        <f>IFERROR(__xludf.DUMMYFUNCTION("""COMPUTED_VALUE"""),"Xbox / PC")</f>
        <v>Xbox / PC</v>
      </c>
      <c r="C402" s="14" t="str">
        <f>IFERROR(__xludf.DUMMYFUNCTION("""COMPUTED_VALUE"""),"Yes")</f>
        <v>Yes</v>
      </c>
      <c r="D402" s="14" t="str">
        <f>IFERROR(__xludf.DUMMYFUNCTION("""COMPUTED_VALUE"""),"Active")</f>
        <v>Active</v>
      </c>
      <c r="E402" s="15">
        <f>IFERROR(__xludf.DUMMYFUNCTION("""COMPUTED_VALUE"""),45274.0)</f>
        <v>45274</v>
      </c>
      <c r="F402" s="16"/>
      <c r="G402" s="18">
        <f>IFERROR(__xludf.DUMMYFUNCTION("""COMPUTED_VALUE"""),33.733333333333334)</f>
        <v>33.73333333</v>
      </c>
      <c r="H402" s="15">
        <f>IFERROR(__xludf.DUMMYFUNCTION("""COMPUTED_VALUE"""),44476.0)</f>
        <v>44476</v>
      </c>
      <c r="I402" s="18">
        <f>IFERROR(__xludf.DUMMYFUNCTION("""COMPUTED_VALUE"""),2.186111111111111)</f>
        <v>2.186111111</v>
      </c>
      <c r="J402" s="22">
        <f>IFERROR(__xludf.DUMMYFUNCTION("""COMPUTED_VALUE"""),73.0)</f>
        <v>73</v>
      </c>
      <c r="K402" s="22">
        <f>IFERROR(__xludf.DUMMYFUNCTION("""COMPUTED_VALUE"""),24.0)</f>
        <v>24</v>
      </c>
      <c r="L402" s="26" t="str">
        <f>IFERROR(__xludf.DUMMYFUNCTION("""COMPUTED_VALUE"""),"Shooter")</f>
        <v>Shooter</v>
      </c>
      <c r="M402" s="26"/>
    </row>
    <row r="403">
      <c r="A403" s="12" t="str">
        <f>IFERROR(__xludf.DUMMYFUNCTION("""COMPUTED_VALUE"""),"World War Z: Aftermath")</f>
        <v>World War Z: Aftermath</v>
      </c>
      <c r="B403" s="13" t="str">
        <f>IFERROR(__xludf.DUMMYFUNCTION("""COMPUTED_VALUE"""),"Xbox / PC")</f>
        <v>Xbox / PC</v>
      </c>
      <c r="C403" s="14" t="str">
        <f>IFERROR(__xludf.DUMMYFUNCTION("""COMPUTED_VALUE"""),"Yes")</f>
        <v>Yes</v>
      </c>
      <c r="D403" s="14" t="str">
        <f>IFERROR(__xludf.DUMMYFUNCTION("""COMPUTED_VALUE"""),"Active")</f>
        <v>Active</v>
      </c>
      <c r="E403" s="15">
        <f>IFERROR(__xludf.DUMMYFUNCTION("""COMPUTED_VALUE"""),45265.0)</f>
        <v>45265</v>
      </c>
      <c r="F403" s="16"/>
      <c r="G403" s="18">
        <f>IFERROR(__xludf.DUMMYFUNCTION("""COMPUTED_VALUE"""),34.03333333333333)</f>
        <v>34.03333333</v>
      </c>
      <c r="H403" s="15">
        <f>IFERROR(__xludf.DUMMYFUNCTION("""COMPUTED_VALUE"""),43571.0)</f>
        <v>43571</v>
      </c>
      <c r="I403" s="18">
        <f>IFERROR(__xludf.DUMMYFUNCTION("""COMPUTED_VALUE"""),4.636111111111111)</f>
        <v>4.636111111</v>
      </c>
      <c r="J403" s="22">
        <f>IFERROR(__xludf.DUMMYFUNCTION("""COMPUTED_VALUE"""),73.0)</f>
        <v>73</v>
      </c>
      <c r="K403" s="22">
        <f>IFERROR(__xludf.DUMMYFUNCTION("""COMPUTED_VALUE"""),7.0)</f>
        <v>7</v>
      </c>
      <c r="L403" s="26" t="str">
        <f>IFERROR(__xludf.DUMMYFUNCTION("""COMPUTED_VALUE"""),"Action")</f>
        <v>Action</v>
      </c>
      <c r="M403" s="26"/>
    </row>
    <row r="404">
      <c r="A404" s="12" t="str">
        <f>IFERROR(__xludf.DUMMYFUNCTION("""COMPUTED_VALUE"""),"Medieval Dynasty")</f>
        <v>Medieval Dynasty</v>
      </c>
      <c r="B404" s="13" t="str">
        <f>IFERROR(__xludf.DUMMYFUNCTION("""COMPUTED_VALUE"""),"Xbox / PC")</f>
        <v>Xbox / PC</v>
      </c>
      <c r="C404" s="14" t="str">
        <f>IFERROR(__xludf.DUMMYFUNCTION("""COMPUTED_VALUE"""),"Yes")</f>
        <v>Yes</v>
      </c>
      <c r="D404" s="14" t="str">
        <f>IFERROR(__xludf.DUMMYFUNCTION("""COMPUTED_VALUE"""),"Active")</f>
        <v>Active</v>
      </c>
      <c r="E404" s="15">
        <f>IFERROR(__xludf.DUMMYFUNCTION("""COMPUTED_VALUE"""),44364.0)</f>
        <v>44364</v>
      </c>
      <c r="F404" s="16"/>
      <c r="G404" s="18">
        <f>IFERROR(__xludf.DUMMYFUNCTION("""COMPUTED_VALUE"""),63.63333333333334)</f>
        <v>63.63333333</v>
      </c>
      <c r="H404" s="15">
        <f>IFERROR(__xludf.DUMMYFUNCTION("""COMPUTED_VALUE"""),44091.0)</f>
        <v>44091</v>
      </c>
      <c r="I404" s="18">
        <f>IFERROR(__xludf.DUMMYFUNCTION("""COMPUTED_VALUE"""),0.75)</f>
        <v>0.75</v>
      </c>
      <c r="J404" s="22">
        <f>IFERROR(__xludf.DUMMYFUNCTION("""COMPUTED_VALUE"""),73.0)</f>
        <v>73</v>
      </c>
      <c r="K404" s="22">
        <f>IFERROR(__xludf.DUMMYFUNCTION("""COMPUTED_VALUE"""),29.5)</f>
        <v>29.5</v>
      </c>
      <c r="L404" s="26" t="str">
        <f>IFERROR(__xludf.DUMMYFUNCTION("""COMPUTED_VALUE"""),"RPG")</f>
        <v>RPG</v>
      </c>
      <c r="M404" s="26"/>
    </row>
    <row r="405">
      <c r="A405" s="12" t="str">
        <f>IFERROR(__xludf.DUMMYFUNCTION("""COMPUTED_VALUE"""),"The Walking Dead: A New Frontier")</f>
        <v>The Walking Dead: A New Frontier</v>
      </c>
      <c r="B405" s="13" t="str">
        <f>IFERROR(__xludf.DUMMYFUNCTION("""COMPUTED_VALUE"""),"Xbox / PC")</f>
        <v>Xbox / PC</v>
      </c>
      <c r="C405" s="14" t="str">
        <f>IFERROR(__xludf.DUMMYFUNCTION("""COMPUTED_VALUE"""),"Touch Controls")</f>
        <v>Touch Controls</v>
      </c>
      <c r="D405" s="14" t="str">
        <f>IFERROR(__xludf.DUMMYFUNCTION("""COMPUTED_VALUE"""),"Active")</f>
        <v>Active</v>
      </c>
      <c r="E405" s="15">
        <f>IFERROR(__xludf.DUMMYFUNCTION("""COMPUTED_VALUE"""),43573.0)</f>
        <v>43573</v>
      </c>
      <c r="F405" s="16"/>
      <c r="G405" s="18">
        <f>IFERROR(__xludf.DUMMYFUNCTION("""COMPUTED_VALUE"""),89.6)</f>
        <v>89.6</v>
      </c>
      <c r="H405" s="15">
        <f>IFERROR(__xludf.DUMMYFUNCTION("""COMPUTED_VALUE"""),42724.0)</f>
        <v>42724</v>
      </c>
      <c r="I405" s="18">
        <f>IFERROR(__xludf.DUMMYFUNCTION("""COMPUTED_VALUE"""),2.327777777777778)</f>
        <v>2.327777778</v>
      </c>
      <c r="J405" s="22">
        <f>IFERROR(__xludf.DUMMYFUNCTION("""COMPUTED_VALUE"""),73.0)</f>
        <v>73</v>
      </c>
      <c r="K405" s="22">
        <f>IFERROR(__xludf.DUMMYFUNCTION("""COMPUTED_VALUE"""),8.0)</f>
        <v>8</v>
      </c>
      <c r="L405" s="26" t="str">
        <f>IFERROR(__xludf.DUMMYFUNCTION("""COMPUTED_VALUE"""),"Adventure")</f>
        <v>Adventure</v>
      </c>
      <c r="M405" s="26"/>
    </row>
    <row r="406">
      <c r="A406" s="12" t="str">
        <f>IFERROR(__xludf.DUMMYFUNCTION("""COMPUTED_VALUE"""),"Human: Fall Flat")</f>
        <v>Human: Fall Flat</v>
      </c>
      <c r="B406" s="13" t="str">
        <f>IFERROR(__xludf.DUMMYFUNCTION("""COMPUTED_VALUE"""),"Xbox / PC")</f>
        <v>Xbox / PC</v>
      </c>
      <c r="C406" s="14" t="str">
        <f>IFERROR(__xludf.DUMMYFUNCTION("""COMPUTED_VALUE"""),"Yes")</f>
        <v>Yes</v>
      </c>
      <c r="D406" s="14" t="str">
        <f>IFERROR(__xludf.DUMMYFUNCTION("""COMPUTED_VALUE"""),"Active")</f>
        <v>Active</v>
      </c>
      <c r="E406" s="15">
        <f>IFERROR(__xludf.DUMMYFUNCTION("""COMPUTED_VALUE"""),43282.0)</f>
        <v>43282</v>
      </c>
      <c r="F406" s="16"/>
      <c r="G406" s="18">
        <f>IFERROR(__xludf.DUMMYFUNCTION("""COMPUTED_VALUE"""),99.16666666666667)</f>
        <v>99.16666667</v>
      </c>
      <c r="H406" s="15">
        <f>IFERROR(__xludf.DUMMYFUNCTION("""COMPUTED_VALUE"""),42573.0)</f>
        <v>42573</v>
      </c>
      <c r="I406" s="18">
        <f>IFERROR(__xludf.DUMMYFUNCTION("""COMPUTED_VALUE"""),1.9416666666666667)</f>
        <v>1.941666667</v>
      </c>
      <c r="J406" s="22">
        <f>IFERROR(__xludf.DUMMYFUNCTION("""COMPUTED_VALUE"""),73.0)</f>
        <v>73</v>
      </c>
      <c r="K406" s="22">
        <f>IFERROR(__xludf.DUMMYFUNCTION("""COMPUTED_VALUE"""),5.5)</f>
        <v>5.5</v>
      </c>
      <c r="L406" s="26" t="str">
        <f>IFERROR(__xludf.DUMMYFUNCTION("""COMPUTED_VALUE"""),"Puzzle")</f>
        <v>Puzzle</v>
      </c>
      <c r="M406" s="26" t="str">
        <f>IFERROR(__xludf.DUMMYFUNCTION("""COMPUTED_VALUE"""),"Optimized")</f>
        <v>Optimized</v>
      </c>
    </row>
    <row r="407">
      <c r="A407" s="12" t="str">
        <f>IFERROR(__xludf.DUMMYFUNCTION("""COMPUTED_VALUE"""),"Banjo-Tooie")</f>
        <v>Banjo-Tooie</v>
      </c>
      <c r="B407" s="13" t="str">
        <f>IFERROR(__xludf.DUMMYFUNCTION("""COMPUTED_VALUE"""),"Xbox")</f>
        <v>Xbox</v>
      </c>
      <c r="C407" s="14" t="str">
        <f>IFERROR(__xludf.DUMMYFUNCTION("""COMPUTED_VALUE"""),"Touch Controls")</f>
        <v>Touch Controls</v>
      </c>
      <c r="D407" s="14" t="str">
        <f>IFERROR(__xludf.DUMMYFUNCTION("""COMPUTED_VALUE"""),"Active")</f>
        <v>Active</v>
      </c>
      <c r="E407" s="15">
        <f>IFERROR(__xludf.DUMMYFUNCTION("""COMPUTED_VALUE"""),42887.0)</f>
        <v>42887</v>
      </c>
      <c r="F407" s="16"/>
      <c r="G407" s="18">
        <f>IFERROR(__xludf.DUMMYFUNCTION("""COMPUTED_VALUE"""),112.16666666666666)</f>
        <v>112.1666667</v>
      </c>
      <c r="H407" s="15">
        <f>IFERROR(__xludf.DUMMYFUNCTION("""COMPUTED_VALUE"""),36849.0)</f>
        <v>36849</v>
      </c>
      <c r="I407" s="18">
        <f>IFERROR(__xludf.DUMMYFUNCTION("""COMPUTED_VALUE"""),16.533333333333335)</f>
        <v>16.53333333</v>
      </c>
      <c r="J407" s="22">
        <f>IFERROR(__xludf.DUMMYFUNCTION("""COMPUTED_VALUE"""),73.0)</f>
        <v>73</v>
      </c>
      <c r="K407" s="22">
        <f>IFERROR(__xludf.DUMMYFUNCTION("""COMPUTED_VALUE"""),16.0)</f>
        <v>16</v>
      </c>
      <c r="L407" s="26" t="str">
        <f>IFERROR(__xludf.DUMMYFUNCTION("""COMPUTED_VALUE"""),"Adventure")</f>
        <v>Adventure</v>
      </c>
      <c r="M407" s="26"/>
    </row>
    <row r="408">
      <c r="A408" s="12" t="str">
        <f>IFERROR(__xludf.DUMMYFUNCTION("""COMPUTED_VALUE"""),"Jetpac Refuelled")</f>
        <v>Jetpac Refuelled</v>
      </c>
      <c r="B408" s="13" t="str">
        <f>IFERROR(__xludf.DUMMYFUNCTION("""COMPUTED_VALUE"""),"Xbox")</f>
        <v>Xbox</v>
      </c>
      <c r="C408" s="14" t="str">
        <f>IFERROR(__xludf.DUMMYFUNCTION("""COMPUTED_VALUE"""),"Touch Controls")</f>
        <v>Touch Controls</v>
      </c>
      <c r="D408" s="14" t="str">
        <f>IFERROR(__xludf.DUMMYFUNCTION("""COMPUTED_VALUE"""),"Active")</f>
        <v>Active</v>
      </c>
      <c r="E408" s="15">
        <f>IFERROR(__xludf.DUMMYFUNCTION("""COMPUTED_VALUE"""),42887.0)</f>
        <v>42887</v>
      </c>
      <c r="F408" s="16"/>
      <c r="G408" s="18">
        <f>IFERROR(__xludf.DUMMYFUNCTION("""COMPUTED_VALUE"""),112.16666666666666)</f>
        <v>112.1666667</v>
      </c>
      <c r="H408" s="15">
        <f>IFERROR(__xludf.DUMMYFUNCTION("""COMPUTED_VALUE"""),39169.0)</f>
        <v>39169</v>
      </c>
      <c r="I408" s="18">
        <f>IFERROR(__xludf.DUMMYFUNCTION("""COMPUTED_VALUE"""),10.175)</f>
        <v>10.175</v>
      </c>
      <c r="J408" s="22">
        <f>IFERROR(__xludf.DUMMYFUNCTION("""COMPUTED_VALUE"""),73.0)</f>
        <v>73</v>
      </c>
      <c r="K408" s="22">
        <f>IFERROR(__xludf.DUMMYFUNCTION("""COMPUTED_VALUE"""),4.5)</f>
        <v>4.5</v>
      </c>
      <c r="L408" s="26" t="str">
        <f>IFERROR(__xludf.DUMMYFUNCTION("""COMPUTED_VALUE"""),"Shooter")</f>
        <v>Shooter</v>
      </c>
      <c r="M408" s="26"/>
    </row>
    <row r="409">
      <c r="A409" s="12" t="str">
        <f>IFERROR(__xludf.DUMMYFUNCTION("""COMPUTED_VALUE"""),"Evil West")</f>
        <v>Evil West</v>
      </c>
      <c r="B409" s="13" t="str">
        <f>IFERROR(__xludf.DUMMYFUNCTION("""COMPUTED_VALUE"""),"Xbox / PC")</f>
        <v>Xbox / PC</v>
      </c>
      <c r="C409" s="14" t="str">
        <f>IFERROR(__xludf.DUMMYFUNCTION("""COMPUTED_VALUE"""),"Yes")</f>
        <v>Yes</v>
      </c>
      <c r="D409" s="14" t="str">
        <f>IFERROR(__xludf.DUMMYFUNCTION("""COMPUTED_VALUE"""),"Leaving Soon")</f>
        <v>Leaving Soon</v>
      </c>
      <c r="E409" s="15">
        <f>IFERROR(__xludf.DUMMYFUNCTION("""COMPUTED_VALUE"""),45951.0)</f>
        <v>45951</v>
      </c>
      <c r="F409" s="16">
        <f>IFERROR(__xludf.DUMMYFUNCTION("""COMPUTED_VALUE"""),46310.0)</f>
        <v>46310</v>
      </c>
      <c r="G409" s="18">
        <f>IFERROR(__xludf.DUMMYFUNCTION("""COMPUTED_VALUE"""),11.799999999999999)</f>
        <v>11.8</v>
      </c>
      <c r="H409" s="15">
        <f>IFERROR(__xludf.DUMMYFUNCTION("""COMPUTED_VALUE"""),44887.0)</f>
        <v>44887</v>
      </c>
      <c r="I409" s="18">
        <f>IFERROR(__xludf.DUMMYFUNCTION("""COMPUTED_VALUE"""),2.9138888888888888)</f>
        <v>2.913888889</v>
      </c>
      <c r="J409" s="22">
        <f>IFERROR(__xludf.DUMMYFUNCTION("""COMPUTED_VALUE"""),73.0)</f>
        <v>73</v>
      </c>
      <c r="K409" s="22">
        <f>IFERROR(__xludf.DUMMYFUNCTION("""COMPUTED_VALUE"""),11.0)</f>
        <v>11</v>
      </c>
      <c r="L409" s="26" t="str">
        <f>IFERROR(__xludf.DUMMYFUNCTION("""COMPUTED_VALUE"""),"Shooter")</f>
        <v>Shooter</v>
      </c>
      <c r="M409" s="26"/>
    </row>
    <row r="410">
      <c r="A410" s="12" t="str">
        <f>IFERROR(__xludf.DUMMYFUNCTION("""COMPUTED_VALUE"""),"Battletoads")</f>
        <v>Battletoads</v>
      </c>
      <c r="B410" s="13" t="str">
        <f>IFERROR(__xludf.DUMMYFUNCTION("""COMPUTED_VALUE"""),"Xbox / PC")</f>
        <v>Xbox / PC</v>
      </c>
      <c r="C410" s="14" t="str">
        <f>IFERROR(__xludf.DUMMYFUNCTION("""COMPUTED_VALUE"""),"Yes")</f>
        <v>Yes</v>
      </c>
      <c r="D410" s="14" t="str">
        <f>IFERROR(__xludf.DUMMYFUNCTION("""COMPUTED_VALUE"""),"Active")</f>
        <v>Active</v>
      </c>
      <c r="E410" s="15">
        <f>IFERROR(__xludf.DUMMYFUNCTION("""COMPUTED_VALUE"""),44063.0)</f>
        <v>44063</v>
      </c>
      <c r="F410" s="16"/>
      <c r="G410" s="18">
        <f>IFERROR(__xludf.DUMMYFUNCTION("""COMPUTED_VALUE"""),73.53333333333333)</f>
        <v>73.53333333</v>
      </c>
      <c r="H410" s="15">
        <f>IFERROR(__xludf.DUMMYFUNCTION("""COMPUTED_VALUE"""),44063.0)</f>
        <v>44063</v>
      </c>
      <c r="I410" s="18">
        <f>IFERROR(__xludf.DUMMYFUNCTION("""COMPUTED_VALUE"""),0.0)</f>
        <v>0</v>
      </c>
      <c r="J410" s="22">
        <f>IFERROR(__xludf.DUMMYFUNCTION("""COMPUTED_VALUE"""),72.5)</f>
        <v>72.5</v>
      </c>
      <c r="K410" s="22">
        <f>IFERROR(__xludf.DUMMYFUNCTION("""COMPUTED_VALUE"""),4.0)</f>
        <v>4</v>
      </c>
      <c r="L410" s="26" t="str">
        <f>IFERROR(__xludf.DUMMYFUNCTION("""COMPUTED_VALUE"""),"Brawler")</f>
        <v>Brawler</v>
      </c>
      <c r="M410" s="26"/>
    </row>
    <row r="411">
      <c r="A411" s="12" t="str">
        <f>IFERROR(__xludf.DUMMYFUNCTION("""COMPUTED_VALUE"""),"Minecraft Dungeons")</f>
        <v>Minecraft Dungeons</v>
      </c>
      <c r="B411" s="13" t="str">
        <f>IFERROR(__xludf.DUMMYFUNCTION("""COMPUTED_VALUE"""),"Xbox / PC")</f>
        <v>Xbox / PC</v>
      </c>
      <c r="C411" s="14" t="str">
        <f>IFERROR(__xludf.DUMMYFUNCTION("""COMPUTED_VALUE"""),"Touch Controls")</f>
        <v>Touch Controls</v>
      </c>
      <c r="D411" s="14" t="str">
        <f>IFERROR(__xludf.DUMMYFUNCTION("""COMPUTED_VALUE"""),"Active")</f>
        <v>Active</v>
      </c>
      <c r="E411" s="15">
        <f>IFERROR(__xludf.DUMMYFUNCTION("""COMPUTED_VALUE"""),43977.0)</f>
        <v>43977</v>
      </c>
      <c r="F411" s="16"/>
      <c r="G411" s="18">
        <f>IFERROR(__xludf.DUMMYFUNCTION("""COMPUTED_VALUE"""),76.33333333333333)</f>
        <v>76.33333333</v>
      </c>
      <c r="H411" s="15">
        <f>IFERROR(__xludf.DUMMYFUNCTION("""COMPUTED_VALUE"""),43977.0)</f>
        <v>43977</v>
      </c>
      <c r="I411" s="18">
        <f>IFERROR(__xludf.DUMMYFUNCTION("""COMPUTED_VALUE"""),0.0)</f>
        <v>0</v>
      </c>
      <c r="J411" s="22">
        <f>IFERROR(__xludf.DUMMYFUNCTION("""COMPUTED_VALUE"""),72.5)</f>
        <v>72.5</v>
      </c>
      <c r="K411" s="22">
        <f>IFERROR(__xludf.DUMMYFUNCTION("""COMPUTED_VALUE"""),5.0)</f>
        <v>5</v>
      </c>
      <c r="L411" s="26" t="str">
        <f>IFERROR(__xludf.DUMMYFUNCTION("""COMPUTED_VALUE"""),"RPG")</f>
        <v>RPG</v>
      </c>
      <c r="M411" s="26" t="str">
        <f>IFERROR(__xludf.DUMMYFUNCTION("""COMPUTED_VALUE"""),"Optimized")</f>
        <v>Optimized</v>
      </c>
    </row>
    <row r="412">
      <c r="A412" s="12" t="str">
        <f>IFERROR(__xludf.DUMMYFUNCTION("""COMPUTED_VALUE"""),"Beast of Reincarnation")</f>
        <v>Beast of Reincarnation</v>
      </c>
      <c r="B412" s="13" t="str">
        <f>IFERROR(__xludf.DUMMYFUNCTION("""COMPUTED_VALUE"""),"Xbox / PC")</f>
        <v>Xbox / PC</v>
      </c>
      <c r="C412" s="14" t="str">
        <f>IFERROR(__xludf.DUMMYFUNCTION("""COMPUTED_VALUE"""),"Yes")</f>
        <v>Yes</v>
      </c>
      <c r="D412" s="14" t="str">
        <f>IFERROR(__xludf.DUMMYFUNCTION("""COMPUTED_VALUE"""),"Active")</f>
        <v>Active</v>
      </c>
      <c r="E412" s="15">
        <f>IFERROR(__xludf.DUMMYFUNCTION("""COMPUTED_VALUE"""),46238.0)</f>
        <v>46238</v>
      </c>
      <c r="F412" s="16"/>
      <c r="G412" s="18">
        <f>IFERROR(__xludf.DUMMYFUNCTION("""COMPUTED_VALUE"""),2.0666666666666664)</f>
        <v>2.066666667</v>
      </c>
      <c r="H412" s="15">
        <f>IFERROR(__xludf.DUMMYFUNCTION("""COMPUTED_VALUE"""),46238.0)</f>
        <v>46238</v>
      </c>
      <c r="I412" s="18">
        <f>IFERROR(__xludf.DUMMYFUNCTION("""COMPUTED_VALUE"""),0.0)</f>
        <v>0</v>
      </c>
      <c r="J412" s="22">
        <f>IFERROR(__xludf.DUMMYFUNCTION("""COMPUTED_VALUE"""),72.0)</f>
        <v>72</v>
      </c>
      <c r="K412" s="22">
        <f>IFERROR(__xludf.DUMMYFUNCTION("""COMPUTED_VALUE"""),23.0)</f>
        <v>23</v>
      </c>
      <c r="L412" s="26" t="str">
        <f>IFERROR(__xludf.DUMMYFUNCTION("""COMPUTED_VALUE"""),"RPG")</f>
        <v>RPG</v>
      </c>
      <c r="M412" s="26" t="str">
        <f>IFERROR(__xludf.DUMMYFUNCTION("""COMPUTED_VALUE"""),"Exclusive")</f>
        <v>Exclusive</v>
      </c>
    </row>
    <row r="413">
      <c r="A413" s="12" t="str">
        <f>IFERROR(__xludf.DUMMYFUNCTION("""COMPUTED_VALUE"""),"Winds of Arcana: Ruination")</f>
        <v>Winds of Arcana: Ruination</v>
      </c>
      <c r="B413" s="13" t="str">
        <f>IFERROR(__xludf.DUMMYFUNCTION("""COMPUTED_VALUE"""),"Xbox / PC")</f>
        <v>Xbox / PC</v>
      </c>
      <c r="C413" s="14" t="str">
        <f>IFERROR(__xludf.DUMMYFUNCTION("""COMPUTED_VALUE"""),"Yes")</f>
        <v>Yes</v>
      </c>
      <c r="D413" s="14" t="str">
        <f>IFERROR(__xludf.DUMMYFUNCTION("""COMPUTED_VALUE"""),"Active")</f>
        <v>Active</v>
      </c>
      <c r="E413" s="15">
        <f>IFERROR(__xludf.DUMMYFUNCTION("""COMPUTED_VALUE"""),46209.0)</f>
        <v>46209</v>
      </c>
      <c r="F413" s="16"/>
      <c r="G413" s="18">
        <f>IFERROR(__xludf.DUMMYFUNCTION("""COMPUTED_VALUE"""),3.0)</f>
        <v>3</v>
      </c>
      <c r="H413" s="15">
        <f>IFERROR(__xludf.DUMMYFUNCTION("""COMPUTED_VALUE"""),45975.0)</f>
        <v>45975</v>
      </c>
      <c r="I413" s="18">
        <f>IFERROR(__xludf.DUMMYFUNCTION("""COMPUTED_VALUE"""),0.6444444444444445)</f>
        <v>0.6444444444</v>
      </c>
      <c r="J413" s="22">
        <f>IFERROR(__xludf.DUMMYFUNCTION("""COMPUTED_VALUE"""),72.0)</f>
        <v>72</v>
      </c>
      <c r="K413" s="22">
        <f>IFERROR(__xludf.DUMMYFUNCTION("""COMPUTED_VALUE"""),9.0)</f>
        <v>9</v>
      </c>
      <c r="L413" s="26" t="str">
        <f>IFERROR(__xludf.DUMMYFUNCTION("""COMPUTED_VALUE"""),"RPG")</f>
        <v>RPG</v>
      </c>
      <c r="M413" s="26"/>
    </row>
    <row r="414">
      <c r="A414" s="12" t="str">
        <f>IFERROR(__xludf.DUMMYFUNCTION("""COMPUTED_VALUE"""),"Wildgate")</f>
        <v>Wildgate</v>
      </c>
      <c r="B414" s="13" t="str">
        <f>IFERROR(__xludf.DUMMYFUNCTION("""COMPUTED_VALUE"""),"Xbox / PC")</f>
        <v>Xbox / PC</v>
      </c>
      <c r="C414" s="14" t="str">
        <f>IFERROR(__xludf.DUMMYFUNCTION("""COMPUTED_VALUE"""),"Yes")</f>
        <v>Yes</v>
      </c>
      <c r="D414" s="14" t="str">
        <f>IFERROR(__xludf.DUMMYFUNCTION("""COMPUTED_VALUE"""),"Active")</f>
        <v>Active</v>
      </c>
      <c r="E414" s="15">
        <f>IFERROR(__xludf.DUMMYFUNCTION("""COMPUTED_VALUE"""),46148.0)</f>
        <v>46148</v>
      </c>
      <c r="F414" s="16"/>
      <c r="G414" s="18">
        <f>IFERROR(__xludf.DUMMYFUNCTION("""COMPUTED_VALUE"""),5.0)</f>
        <v>5</v>
      </c>
      <c r="H414" s="15">
        <f>IFERROR(__xludf.DUMMYFUNCTION("""COMPUTED_VALUE"""),45860.0)</f>
        <v>45860</v>
      </c>
      <c r="I414" s="18">
        <f>IFERROR(__xludf.DUMMYFUNCTION("""COMPUTED_VALUE"""),0.7888888888888889)</f>
        <v>0.7888888889</v>
      </c>
      <c r="J414" s="22">
        <f>IFERROR(__xludf.DUMMYFUNCTION("""COMPUTED_VALUE"""),72.0)</f>
        <v>72</v>
      </c>
      <c r="K414" s="22">
        <f>IFERROR(__xludf.DUMMYFUNCTION("""COMPUTED_VALUE"""),19.0)</f>
        <v>19</v>
      </c>
      <c r="L414" s="26" t="str">
        <f>IFERROR(__xludf.DUMMYFUNCTION("""COMPUTED_VALUE"""),"Shooter")</f>
        <v>Shooter</v>
      </c>
      <c r="M414" s="26" t="str">
        <f>IFERROR(__xludf.DUMMYFUNCTION("""COMPUTED_VALUE"""),"Exclusive")</f>
        <v>Exclusive</v>
      </c>
    </row>
    <row r="415">
      <c r="A415" s="12" t="str">
        <f>IFERROR(__xludf.DUMMYFUNCTION("""COMPUTED_VALUE"""),"Construction Simulator")</f>
        <v>Construction Simulator</v>
      </c>
      <c r="B415" s="13" t="str">
        <f>IFERROR(__xludf.DUMMYFUNCTION("""COMPUTED_VALUE"""),"Xbox / PC")</f>
        <v>Xbox / PC</v>
      </c>
      <c r="C415" s="14" t="str">
        <f>IFERROR(__xludf.DUMMYFUNCTION("""COMPUTED_VALUE"""),"Yes")</f>
        <v>Yes</v>
      </c>
      <c r="D415" s="14" t="str">
        <f>IFERROR(__xludf.DUMMYFUNCTION("""COMPUTED_VALUE"""),"Active")</f>
        <v>Active</v>
      </c>
      <c r="E415" s="15">
        <f>IFERROR(__xludf.DUMMYFUNCTION("""COMPUTED_VALUE"""),46091.0)</f>
        <v>46091</v>
      </c>
      <c r="F415" s="16"/>
      <c r="G415" s="18">
        <f>IFERROR(__xludf.DUMMYFUNCTION("""COMPUTED_VALUE"""),6.866666666666666)</f>
        <v>6.866666667</v>
      </c>
      <c r="H415" s="15">
        <f>IFERROR(__xludf.DUMMYFUNCTION("""COMPUTED_VALUE"""),43775.0)</f>
        <v>43775</v>
      </c>
      <c r="I415" s="18">
        <f>IFERROR(__xludf.DUMMYFUNCTION("""COMPUTED_VALUE"""),6.344444444444444)</f>
        <v>6.344444444</v>
      </c>
      <c r="J415" s="22">
        <f>IFERROR(__xludf.DUMMYFUNCTION("""COMPUTED_VALUE"""),72.0)</f>
        <v>72</v>
      </c>
      <c r="K415" s="22">
        <f>IFERROR(__xludf.DUMMYFUNCTION("""COMPUTED_VALUE"""),43.0)</f>
        <v>43</v>
      </c>
      <c r="L415" s="26" t="str">
        <f>IFERROR(__xludf.DUMMYFUNCTION("""COMPUTED_VALUE"""),"Simulation")</f>
        <v>Simulation</v>
      </c>
      <c r="M415" s="26"/>
    </row>
    <row r="416">
      <c r="A416" s="12" t="str">
        <f>IFERROR(__xludf.DUMMYFUNCTION("""COMPUTED_VALUE"""),"Avatar: Frontiers of Pandora")</f>
        <v>Avatar: Frontiers of Pandora</v>
      </c>
      <c r="B416" s="13" t="str">
        <f>IFERROR(__xludf.DUMMYFUNCTION("""COMPUTED_VALUE"""),"Xbox / PC")</f>
        <v>Xbox / PC</v>
      </c>
      <c r="C416" s="14" t="str">
        <f>IFERROR(__xludf.DUMMYFUNCTION("""COMPUTED_VALUE"""),"Yes")</f>
        <v>Yes</v>
      </c>
      <c r="D416" s="14" t="str">
        <f>IFERROR(__xludf.DUMMYFUNCTION("""COMPUTED_VALUE"""),"Active")</f>
        <v>Active</v>
      </c>
      <c r="E416" s="15">
        <f>IFERROR(__xludf.DUMMYFUNCTION("""COMPUTED_VALUE"""),46070.0)</f>
        <v>46070</v>
      </c>
      <c r="F416" s="16"/>
      <c r="G416" s="18">
        <f>IFERROR(__xludf.DUMMYFUNCTION("""COMPUTED_VALUE"""),7.633333333333333)</f>
        <v>7.633333333</v>
      </c>
      <c r="H416" s="15">
        <f>IFERROR(__xludf.DUMMYFUNCTION("""COMPUTED_VALUE"""),45267.0)</f>
        <v>45267</v>
      </c>
      <c r="I416" s="18">
        <f>IFERROR(__xludf.DUMMYFUNCTION("""COMPUTED_VALUE"""),2.1944444444444446)</f>
        <v>2.194444444</v>
      </c>
      <c r="J416" s="22">
        <f>IFERROR(__xludf.DUMMYFUNCTION("""COMPUTED_VALUE"""),72.0)</f>
        <v>72</v>
      </c>
      <c r="K416" s="22">
        <f>IFERROR(__xludf.DUMMYFUNCTION("""COMPUTED_VALUE"""),18.0)</f>
        <v>18</v>
      </c>
      <c r="L416" s="26" t="str">
        <f>IFERROR(__xludf.DUMMYFUNCTION("""COMPUTED_VALUE"""),"Shooter")</f>
        <v>Shooter</v>
      </c>
      <c r="M416" s="26" t="str">
        <f>IFERROR(__xludf.DUMMYFUNCTION("""COMPUTED_VALUE"""),"Exclusive")</f>
        <v>Exclusive</v>
      </c>
    </row>
    <row r="417">
      <c r="A417" s="12" t="str">
        <f>IFERROR(__xludf.DUMMYFUNCTION("""COMPUTED_VALUE"""),"Assassin's Creed III: Remastered")</f>
        <v>Assassin's Creed III: Remastered</v>
      </c>
      <c r="B417" s="13" t="str">
        <f>IFERROR(__xludf.DUMMYFUNCTION("""COMPUTED_VALUE"""),"Xbox / PC")</f>
        <v>Xbox / PC</v>
      </c>
      <c r="C417" s="14" t="str">
        <f>IFERROR(__xludf.DUMMYFUNCTION("""COMPUTED_VALUE"""),"Yes")</f>
        <v>Yes</v>
      </c>
      <c r="D417" s="14" t="str">
        <f>IFERROR(__xludf.DUMMYFUNCTION("""COMPUTED_VALUE"""),"Active")</f>
        <v>Active</v>
      </c>
      <c r="E417" s="15">
        <f>IFERROR(__xludf.DUMMYFUNCTION("""COMPUTED_VALUE"""),45931.0)</f>
        <v>45931</v>
      </c>
      <c r="F417" s="16"/>
      <c r="G417" s="18">
        <f>IFERROR(__xludf.DUMMYFUNCTION("""COMPUTED_VALUE"""),12.166666666666666)</f>
        <v>12.16666667</v>
      </c>
      <c r="H417" s="15">
        <f>IFERROR(__xludf.DUMMYFUNCTION("""COMPUTED_VALUE"""),43553.0)</f>
        <v>43553</v>
      </c>
      <c r="I417" s="18">
        <f>IFERROR(__xludf.DUMMYFUNCTION("""COMPUTED_VALUE"""),6.5055555555555555)</f>
        <v>6.505555556</v>
      </c>
      <c r="J417" s="22">
        <f>IFERROR(__xludf.DUMMYFUNCTION("""COMPUTED_VALUE"""),72.0)</f>
        <v>72</v>
      </c>
      <c r="K417" s="22">
        <f>IFERROR(__xludf.DUMMYFUNCTION("""COMPUTED_VALUE"""),15.0)</f>
        <v>15</v>
      </c>
      <c r="L417" s="26" t="str">
        <f>IFERROR(__xludf.DUMMYFUNCTION("""COMPUTED_VALUE"""),"Action-Adventure")</f>
        <v>Action-Adventure</v>
      </c>
      <c r="M417" s="26"/>
    </row>
    <row r="418">
      <c r="A418" s="12" t="str">
        <f>IFERROR(__xludf.DUMMYFUNCTION("""COMPUTED_VALUE"""),"Assassin's Creed: The Ezio Collection")</f>
        <v>Assassin's Creed: The Ezio Collection</v>
      </c>
      <c r="B418" s="13" t="str">
        <f>IFERROR(__xludf.DUMMYFUNCTION("""COMPUTED_VALUE"""),"Xbox / PC")</f>
        <v>Xbox / PC</v>
      </c>
      <c r="C418" s="14" t="str">
        <f>IFERROR(__xludf.DUMMYFUNCTION("""COMPUTED_VALUE"""),"Yes")</f>
        <v>Yes</v>
      </c>
      <c r="D418" s="14" t="str">
        <f>IFERROR(__xludf.DUMMYFUNCTION("""COMPUTED_VALUE"""),"Active")</f>
        <v>Active</v>
      </c>
      <c r="E418" s="15">
        <f>IFERROR(__xludf.DUMMYFUNCTION("""COMPUTED_VALUE"""),45931.0)</f>
        <v>45931</v>
      </c>
      <c r="F418" s="16"/>
      <c r="G418" s="18">
        <f>IFERROR(__xludf.DUMMYFUNCTION("""COMPUTED_VALUE"""),12.166666666666666)</f>
        <v>12.16666667</v>
      </c>
      <c r="H418" s="15">
        <f>IFERROR(__xludf.DUMMYFUNCTION("""COMPUTED_VALUE"""),42689.0)</f>
        <v>42689</v>
      </c>
      <c r="I418" s="18">
        <f>IFERROR(__xludf.DUMMYFUNCTION("""COMPUTED_VALUE"""),8.877777777777778)</f>
        <v>8.877777778</v>
      </c>
      <c r="J418" s="22">
        <f>IFERROR(__xludf.DUMMYFUNCTION("""COMPUTED_VALUE"""),72.0)</f>
        <v>72</v>
      </c>
      <c r="K418" s="22">
        <f>IFERROR(__xludf.DUMMYFUNCTION("""COMPUTED_VALUE"""),72.0)</f>
        <v>72</v>
      </c>
      <c r="L418" s="26" t="str">
        <f>IFERROR(__xludf.DUMMYFUNCTION("""COMPUTED_VALUE"""),"Action-Adventure")</f>
        <v>Action-Adventure</v>
      </c>
      <c r="M418" s="26"/>
    </row>
    <row r="419">
      <c r="A419" s="12" t="str">
        <f>IFERROR(__xludf.DUMMYFUNCTION("""COMPUTED_VALUE"""),"Assassin's Creed Unity")</f>
        <v>Assassin's Creed Unity</v>
      </c>
      <c r="B419" s="13" t="str">
        <f>IFERROR(__xludf.DUMMYFUNCTION("""COMPUTED_VALUE"""),"Xbox / PC")</f>
        <v>Xbox / PC</v>
      </c>
      <c r="C419" s="14" t="str">
        <f>IFERROR(__xludf.DUMMYFUNCTION("""COMPUTED_VALUE"""),"Yes")</f>
        <v>Yes</v>
      </c>
      <c r="D419" s="14" t="str">
        <f>IFERROR(__xludf.DUMMYFUNCTION("""COMPUTED_VALUE"""),"Active")</f>
        <v>Active</v>
      </c>
      <c r="E419" s="15">
        <f>IFERROR(__xludf.DUMMYFUNCTION("""COMPUTED_VALUE"""),45931.0)</f>
        <v>45931</v>
      </c>
      <c r="F419" s="16"/>
      <c r="G419" s="18">
        <f>IFERROR(__xludf.DUMMYFUNCTION("""COMPUTED_VALUE"""),12.166666666666666)</f>
        <v>12.16666667</v>
      </c>
      <c r="H419" s="15">
        <f>IFERROR(__xludf.DUMMYFUNCTION("""COMPUTED_VALUE"""),41954.0)</f>
        <v>41954</v>
      </c>
      <c r="I419" s="18">
        <f>IFERROR(__xludf.DUMMYFUNCTION("""COMPUTED_VALUE"""),10.88888888888889)</f>
        <v>10.88888889</v>
      </c>
      <c r="J419" s="22">
        <f>IFERROR(__xludf.DUMMYFUNCTION("""COMPUTED_VALUE"""),72.0)</f>
        <v>72</v>
      </c>
      <c r="K419" s="22">
        <f>IFERROR(__xludf.DUMMYFUNCTION("""COMPUTED_VALUE"""),17.0)</f>
        <v>17</v>
      </c>
      <c r="L419" s="26" t="str">
        <f>IFERROR(__xludf.DUMMYFUNCTION("""COMPUTED_VALUE"""),"Action-Adventure")</f>
        <v>Action-Adventure</v>
      </c>
      <c r="M419" s="26"/>
    </row>
    <row r="420">
      <c r="A420" s="12" t="str">
        <f>IFERROR(__xludf.DUMMYFUNCTION("""COMPUTED_VALUE"""),"Caesar")</f>
        <v>Caesar</v>
      </c>
      <c r="B420" s="13" t="str">
        <f>IFERROR(__xludf.DUMMYFUNCTION("""COMPUTED_VALUE"""),"Xbox / PC")</f>
        <v>Xbox / PC</v>
      </c>
      <c r="C420" s="14" t="str">
        <f>IFERROR(__xludf.DUMMYFUNCTION("""COMPUTED_VALUE"""),"Yes")</f>
        <v>Yes</v>
      </c>
      <c r="D420" s="14" t="str">
        <f>IFERROR(__xludf.DUMMYFUNCTION("""COMPUTED_VALUE"""),"Active")</f>
        <v>Active</v>
      </c>
      <c r="E420" s="15">
        <f>IFERROR(__xludf.DUMMYFUNCTION("""COMPUTED_VALUE"""),45859.0)</f>
        <v>45859</v>
      </c>
      <c r="F420" s="16"/>
      <c r="G420" s="18">
        <f>IFERROR(__xludf.DUMMYFUNCTION("""COMPUTED_VALUE"""),14.5)</f>
        <v>14.5</v>
      </c>
      <c r="H420" s="15">
        <f>IFERROR(__xludf.DUMMYFUNCTION("""COMPUTED_VALUE"""),33889.0)</f>
        <v>33889</v>
      </c>
      <c r="I420" s="18">
        <f>IFERROR(__xludf.DUMMYFUNCTION("""COMPUTED_VALUE"""),32.775)</f>
        <v>32.775</v>
      </c>
      <c r="J420" s="22">
        <f>IFERROR(__xludf.DUMMYFUNCTION("""COMPUTED_VALUE"""),72.0)</f>
        <v>72</v>
      </c>
      <c r="K420" s="22">
        <f>IFERROR(__xludf.DUMMYFUNCTION("""COMPUTED_VALUE"""),8.0)</f>
        <v>8</v>
      </c>
      <c r="L420" s="26" t="str">
        <f>IFERROR(__xludf.DUMMYFUNCTION("""COMPUTED_VALUE"""),"City‑building")</f>
        <v>City‑building</v>
      </c>
      <c r="M420" s="26"/>
    </row>
    <row r="421">
      <c r="A421" s="12" t="str">
        <f>IFERROR(__xludf.DUMMYFUNCTION("""COMPUTED_VALUE"""),"Hard Head")</f>
        <v>Hard Head</v>
      </c>
      <c r="B421" s="13" t="str">
        <f>IFERROR(__xludf.DUMMYFUNCTION("""COMPUTED_VALUE"""),"Xbox / PC")</f>
        <v>Xbox / PC</v>
      </c>
      <c r="C421" s="14" t="str">
        <f>IFERROR(__xludf.DUMMYFUNCTION("""COMPUTED_VALUE"""),"Yes")</f>
        <v>Yes</v>
      </c>
      <c r="D421" s="14" t="str">
        <f>IFERROR(__xludf.DUMMYFUNCTION("""COMPUTED_VALUE"""),"Active")</f>
        <v>Active</v>
      </c>
      <c r="E421" s="15">
        <f>IFERROR(__xludf.DUMMYFUNCTION("""COMPUTED_VALUE"""),45859.0)</f>
        <v>45859</v>
      </c>
      <c r="F421" s="16"/>
      <c r="G421" s="18">
        <f>IFERROR(__xludf.DUMMYFUNCTION("""COMPUTED_VALUE"""),14.5)</f>
        <v>14.5</v>
      </c>
      <c r="H421" s="15">
        <f>IFERROR(__xludf.DUMMYFUNCTION("""COMPUTED_VALUE"""),30682.0)</f>
        <v>30682</v>
      </c>
      <c r="I421" s="18">
        <f>IFERROR(__xludf.DUMMYFUNCTION("""COMPUTED_VALUE"""),41.55555555555556)</f>
        <v>41.55555556</v>
      </c>
      <c r="J421" s="22">
        <f>IFERROR(__xludf.DUMMYFUNCTION("""COMPUTED_VALUE"""),72.0)</f>
        <v>72</v>
      </c>
      <c r="K421" s="22"/>
      <c r="L421" s="26" t="str">
        <f>IFERROR(__xludf.DUMMYFUNCTION("""COMPUTED_VALUE"""),"Action")</f>
        <v>Action</v>
      </c>
      <c r="M421" s="26"/>
    </row>
    <row r="422">
      <c r="A422" s="12" t="str">
        <f>IFERROR(__xludf.DUMMYFUNCTION("""COMPUTED_VALUE"""),"RoboCop: Rogue City")</f>
        <v>RoboCop: Rogue City</v>
      </c>
      <c r="B422" s="13" t="str">
        <f>IFERROR(__xludf.DUMMYFUNCTION("""COMPUTED_VALUE"""),"Xbox / PC")</f>
        <v>Xbox / PC</v>
      </c>
      <c r="C422" s="14" t="str">
        <f>IFERROR(__xludf.DUMMYFUNCTION("""COMPUTED_VALUE"""),"Yes")</f>
        <v>Yes</v>
      </c>
      <c r="D422" s="14" t="str">
        <f>IFERROR(__xludf.DUMMYFUNCTION("""COMPUTED_VALUE"""),"Active")</f>
        <v>Active</v>
      </c>
      <c r="E422" s="15">
        <f>IFERROR(__xludf.DUMMYFUNCTION("""COMPUTED_VALUE"""),45855.0)</f>
        <v>45855</v>
      </c>
      <c r="F422" s="16"/>
      <c r="G422" s="18">
        <f>IFERROR(__xludf.DUMMYFUNCTION("""COMPUTED_VALUE"""),14.633333333333335)</f>
        <v>14.63333333</v>
      </c>
      <c r="H422" s="15">
        <f>IFERROR(__xludf.DUMMYFUNCTION("""COMPUTED_VALUE"""),45232.0)</f>
        <v>45232</v>
      </c>
      <c r="I422" s="18">
        <f>IFERROR(__xludf.DUMMYFUNCTION("""COMPUTED_VALUE"""),1.7083333333333333)</f>
        <v>1.708333333</v>
      </c>
      <c r="J422" s="22">
        <f>IFERROR(__xludf.DUMMYFUNCTION("""COMPUTED_VALUE"""),72.0)</f>
        <v>72</v>
      </c>
      <c r="K422" s="22">
        <f>IFERROR(__xludf.DUMMYFUNCTION("""COMPUTED_VALUE"""),12.0)</f>
        <v>12</v>
      </c>
      <c r="L422" s="26" t="str">
        <f>IFERROR(__xludf.DUMMYFUNCTION("""COMPUTED_VALUE"""),"Shooter")</f>
        <v>Shooter</v>
      </c>
      <c r="M422" s="26" t="str">
        <f>IFERROR(__xludf.DUMMYFUNCTION("""COMPUTED_VALUE"""),"Exclusive")</f>
        <v>Exclusive</v>
      </c>
    </row>
    <row r="423">
      <c r="A423" s="12" t="str">
        <f>IFERROR(__xludf.DUMMYFUNCTION("""COMPUTED_VALUE"""),"Skiing")</f>
        <v>Skiing</v>
      </c>
      <c r="B423" s="13" t="str">
        <f>IFERROR(__xludf.DUMMYFUNCTION("""COMPUTED_VALUE"""),"Xbox / PC")</f>
        <v>Xbox / PC</v>
      </c>
      <c r="C423" s="14" t="str">
        <f>IFERROR(__xludf.DUMMYFUNCTION("""COMPUTED_VALUE"""),"Yes")</f>
        <v>Yes</v>
      </c>
      <c r="D423" s="14" t="str">
        <f>IFERROR(__xludf.DUMMYFUNCTION("""COMPUTED_VALUE"""),"Active")</f>
        <v>Active</v>
      </c>
      <c r="E423" s="15">
        <f>IFERROR(__xludf.DUMMYFUNCTION("""COMPUTED_VALUE"""),45839.0)</f>
        <v>45839</v>
      </c>
      <c r="F423" s="16"/>
      <c r="G423" s="18">
        <f>IFERROR(__xludf.DUMMYFUNCTION("""COMPUTED_VALUE"""),15.166666666666666)</f>
        <v>15.16666667</v>
      </c>
      <c r="H423" s="15">
        <f>IFERROR(__xludf.DUMMYFUNCTION("""COMPUTED_VALUE"""),29556.0)</f>
        <v>29556</v>
      </c>
      <c r="I423" s="18">
        <f>IFERROR(__xludf.DUMMYFUNCTION("""COMPUTED_VALUE"""),44.583333333333336)</f>
        <v>44.58333333</v>
      </c>
      <c r="J423" s="22">
        <f>IFERROR(__xludf.DUMMYFUNCTION("""COMPUTED_VALUE"""),72.0)</f>
        <v>72</v>
      </c>
      <c r="K423" s="22">
        <f>IFERROR(__xludf.DUMMYFUNCTION("""COMPUTED_VALUE"""),1.0)</f>
        <v>1</v>
      </c>
      <c r="L423" s="26" t="str">
        <f>IFERROR(__xludf.DUMMYFUNCTION("""COMPUTED_VALUE"""),"Sports")</f>
        <v>Sports</v>
      </c>
      <c r="M423" s="26"/>
    </row>
    <row r="424">
      <c r="A424" s="12" t="str">
        <f>IFERROR(__xludf.DUMMYFUNCTION("""COMPUTED_VALUE"""),"Atlantis II")</f>
        <v>Atlantis II</v>
      </c>
      <c r="B424" s="13" t="str">
        <f>IFERROR(__xludf.DUMMYFUNCTION("""COMPUTED_VALUE"""),"Xbox / PC")</f>
        <v>Xbox / PC</v>
      </c>
      <c r="C424" s="14" t="str">
        <f>IFERROR(__xludf.DUMMYFUNCTION("""COMPUTED_VALUE"""),"Yes")</f>
        <v>Yes</v>
      </c>
      <c r="D424" s="14" t="str">
        <f>IFERROR(__xludf.DUMMYFUNCTION("""COMPUTED_VALUE"""),"Active")</f>
        <v>Active</v>
      </c>
      <c r="E424" s="15">
        <f>IFERROR(__xludf.DUMMYFUNCTION("""COMPUTED_VALUE"""),45798.0)</f>
        <v>45798</v>
      </c>
      <c r="F424" s="16"/>
      <c r="G424" s="18">
        <f>IFERROR(__xludf.DUMMYFUNCTION("""COMPUTED_VALUE"""),16.5)</f>
        <v>16.5</v>
      </c>
      <c r="H424" s="15">
        <f>IFERROR(__xludf.DUMMYFUNCTION("""COMPUTED_VALUE"""),32255.0)</f>
        <v>32255</v>
      </c>
      <c r="I424" s="18">
        <f>IFERROR(__xludf.DUMMYFUNCTION("""COMPUTED_VALUE"""),37.080555555555556)</f>
        <v>37.08055556</v>
      </c>
      <c r="J424" s="22">
        <f>IFERROR(__xludf.DUMMYFUNCTION("""COMPUTED_VALUE"""),72.0)</f>
        <v>72</v>
      </c>
      <c r="K424" s="22">
        <f>IFERROR(__xludf.DUMMYFUNCTION("""COMPUTED_VALUE"""),7.0)</f>
        <v>7</v>
      </c>
      <c r="L424" s="26" t="str">
        <f>IFERROR(__xludf.DUMMYFUNCTION("""COMPUTED_VALUE"""),"Shooter")</f>
        <v>Shooter</v>
      </c>
      <c r="M424" s="26"/>
    </row>
    <row r="425">
      <c r="A425" s="12" t="str">
        <f>IFERROR(__xludf.DUMMYFUNCTION("""COMPUTED_VALUE"""),"Frostbite")</f>
        <v>Frostbite</v>
      </c>
      <c r="B425" s="13" t="str">
        <f>IFERROR(__xludf.DUMMYFUNCTION("""COMPUTED_VALUE"""),"Xbox / PC")</f>
        <v>Xbox / PC</v>
      </c>
      <c r="C425" s="14" t="str">
        <f>IFERROR(__xludf.DUMMYFUNCTION("""COMPUTED_VALUE"""),"Yes")</f>
        <v>Yes</v>
      </c>
      <c r="D425" s="14" t="str">
        <f>IFERROR(__xludf.DUMMYFUNCTION("""COMPUTED_VALUE"""),"Active")</f>
        <v>Active</v>
      </c>
      <c r="E425" s="15">
        <f>IFERROR(__xludf.DUMMYFUNCTION("""COMPUTED_VALUE"""),45798.0)</f>
        <v>45798</v>
      </c>
      <c r="F425" s="16"/>
      <c r="G425" s="18">
        <f>IFERROR(__xludf.DUMMYFUNCTION("""COMPUTED_VALUE"""),16.5)</f>
        <v>16.5</v>
      </c>
      <c r="H425" s="15">
        <f>IFERROR(__xludf.DUMMYFUNCTION("""COMPUTED_VALUE"""),30542.0)</f>
        <v>30542</v>
      </c>
      <c r="I425" s="18">
        <f>IFERROR(__xludf.DUMMYFUNCTION("""COMPUTED_VALUE"""),41.769444444444446)</f>
        <v>41.76944444</v>
      </c>
      <c r="J425" s="22">
        <f>IFERROR(__xludf.DUMMYFUNCTION("""COMPUTED_VALUE"""),72.0)</f>
        <v>72</v>
      </c>
      <c r="K425" s="22"/>
      <c r="L425" s="26" t="str">
        <f>IFERROR(__xludf.DUMMYFUNCTION("""COMPUTED_VALUE"""),"Action‑Adventure")</f>
        <v>Action‑Adventure</v>
      </c>
      <c r="M425" s="26"/>
    </row>
    <row r="426">
      <c r="A426" s="12" t="str">
        <f>IFERROR(__xludf.DUMMYFUNCTION("""COMPUTED_VALUE"""),"Spider Fighter")</f>
        <v>Spider Fighter</v>
      </c>
      <c r="B426" s="13" t="str">
        <f>IFERROR(__xludf.DUMMYFUNCTION("""COMPUTED_VALUE"""),"Xbox / PC")</f>
        <v>Xbox / PC</v>
      </c>
      <c r="C426" s="14" t="str">
        <f>IFERROR(__xludf.DUMMYFUNCTION("""COMPUTED_VALUE"""),"Yes")</f>
        <v>Yes</v>
      </c>
      <c r="D426" s="14" t="str">
        <f>IFERROR(__xludf.DUMMYFUNCTION("""COMPUTED_VALUE"""),"Active")</f>
        <v>Active</v>
      </c>
      <c r="E426" s="15">
        <f>IFERROR(__xludf.DUMMYFUNCTION("""COMPUTED_VALUE"""),45798.0)</f>
        <v>45798</v>
      </c>
      <c r="F426" s="16"/>
      <c r="G426" s="18">
        <f>IFERROR(__xludf.DUMMYFUNCTION("""COMPUTED_VALUE"""),16.5)</f>
        <v>16.5</v>
      </c>
      <c r="H426" s="15">
        <f>IFERROR(__xludf.DUMMYFUNCTION("""COMPUTED_VALUE"""),30317.0)</f>
        <v>30317</v>
      </c>
      <c r="I426" s="18">
        <f>IFERROR(__xludf.DUMMYFUNCTION("""COMPUTED_VALUE"""),42.388888888888886)</f>
        <v>42.38888889</v>
      </c>
      <c r="J426" s="22">
        <f>IFERROR(__xludf.DUMMYFUNCTION("""COMPUTED_VALUE"""),72.0)</f>
        <v>72</v>
      </c>
      <c r="K426" s="22"/>
      <c r="L426" s="26" t="str">
        <f>IFERROR(__xludf.DUMMYFUNCTION("""COMPUTED_VALUE"""),"Shooter")</f>
        <v>Shooter</v>
      </c>
      <c r="M426" s="26"/>
    </row>
    <row r="427">
      <c r="A427" s="12" t="str">
        <f>IFERROR(__xludf.DUMMYFUNCTION("""COMPUTED_VALUE"""),"F1 24")</f>
        <v>F1 24</v>
      </c>
      <c r="B427" s="13" t="str">
        <f>IFERROR(__xludf.DUMMYFUNCTION("""COMPUTED_VALUE"""),"Xbox / PC")</f>
        <v>Xbox / PC</v>
      </c>
      <c r="C427" s="14" t="str">
        <f>IFERROR(__xludf.DUMMYFUNCTION("""COMPUTED_VALUE"""),"Yes")</f>
        <v>Yes</v>
      </c>
      <c r="D427" s="14" t="str">
        <f>IFERROR(__xludf.DUMMYFUNCTION("""COMPUTED_VALUE"""),"Active")</f>
        <v>Active</v>
      </c>
      <c r="E427" s="15">
        <f>IFERROR(__xludf.DUMMYFUNCTION("""COMPUTED_VALUE"""),45708.0)</f>
        <v>45708</v>
      </c>
      <c r="F427" s="16"/>
      <c r="G427" s="18">
        <f>IFERROR(__xludf.DUMMYFUNCTION("""COMPUTED_VALUE"""),19.53333333333333)</f>
        <v>19.53333333</v>
      </c>
      <c r="H427" s="15">
        <f>IFERROR(__xludf.DUMMYFUNCTION("""COMPUTED_VALUE"""),45443.0)</f>
        <v>45443</v>
      </c>
      <c r="I427" s="18">
        <f>IFERROR(__xludf.DUMMYFUNCTION("""COMPUTED_VALUE"""),0.7222222222222222)</f>
        <v>0.7222222222</v>
      </c>
      <c r="J427" s="22">
        <f>IFERROR(__xludf.DUMMYFUNCTION("""COMPUTED_VALUE"""),72.0)</f>
        <v>72</v>
      </c>
      <c r="K427" s="22">
        <f>IFERROR(__xludf.DUMMYFUNCTION("""COMPUTED_VALUE"""),7.0)</f>
        <v>7</v>
      </c>
      <c r="L427" s="26" t="str">
        <f>IFERROR(__xludf.DUMMYFUNCTION("""COMPUTED_VALUE"""),"Racing")</f>
        <v>Racing</v>
      </c>
      <c r="M427" s="26"/>
    </row>
    <row r="428">
      <c r="A428" s="12" t="str">
        <f>IFERROR(__xludf.DUMMYFUNCTION("""COMPUTED_VALUE"""),"Legend of Mana (2021)")</f>
        <v>Legend of Mana (2021)</v>
      </c>
      <c r="B428" s="13" t="str">
        <f>IFERROR(__xludf.DUMMYFUNCTION("""COMPUTED_VALUE"""),"Xbox / PC")</f>
        <v>Xbox / PC</v>
      </c>
      <c r="C428" s="14" t="str">
        <f>IFERROR(__xludf.DUMMYFUNCTION("""COMPUTED_VALUE"""),"Yes")</f>
        <v>Yes</v>
      </c>
      <c r="D428" s="14" t="str">
        <f>IFERROR(__xludf.DUMMYFUNCTION("""COMPUTED_VALUE"""),"Active")</f>
        <v>Active</v>
      </c>
      <c r="E428" s="15">
        <f>IFERROR(__xludf.DUMMYFUNCTION("""COMPUTED_VALUE"""),45561.0)</f>
        <v>45561</v>
      </c>
      <c r="F428" s="16"/>
      <c r="G428" s="18">
        <f>IFERROR(__xludf.DUMMYFUNCTION("""COMPUTED_VALUE"""),24.333333333333332)</f>
        <v>24.33333333</v>
      </c>
      <c r="H428" s="15">
        <f>IFERROR(__xludf.DUMMYFUNCTION("""COMPUTED_VALUE"""),44371.0)</f>
        <v>44371</v>
      </c>
      <c r="I428" s="18">
        <f>IFERROR(__xludf.DUMMYFUNCTION("""COMPUTED_VALUE"""),3.2555555555555555)</f>
        <v>3.255555556</v>
      </c>
      <c r="J428" s="22">
        <f>IFERROR(__xludf.DUMMYFUNCTION("""COMPUTED_VALUE"""),72.0)</f>
        <v>72</v>
      </c>
      <c r="K428" s="22">
        <f>IFERROR(__xludf.DUMMYFUNCTION("""COMPUTED_VALUE"""),18.0)</f>
        <v>18</v>
      </c>
      <c r="L428" s="26" t="str">
        <f>IFERROR(__xludf.DUMMYFUNCTION("""COMPUTED_VALUE"""),"RPG")</f>
        <v>RPG</v>
      </c>
      <c r="M428" s="26"/>
    </row>
    <row r="429">
      <c r="A429" s="12" t="str">
        <f>IFERROR(__xludf.DUMMYFUNCTION("""COMPUTED_VALUE"""),"Massive Chalice")</f>
        <v>Massive Chalice</v>
      </c>
      <c r="B429" s="13" t="str">
        <f>IFERROR(__xludf.DUMMYFUNCTION("""COMPUTED_VALUE"""),"Xbox")</f>
        <v>Xbox</v>
      </c>
      <c r="C429" s="14" t="str">
        <f>IFERROR(__xludf.DUMMYFUNCTION("""COMPUTED_VALUE"""),"Yes")</f>
        <v>Yes</v>
      </c>
      <c r="D429" s="14" t="str">
        <f>IFERROR(__xludf.DUMMYFUNCTION("""COMPUTED_VALUE"""),"Active")</f>
        <v>Active</v>
      </c>
      <c r="E429" s="15">
        <f>IFERROR(__xludf.DUMMYFUNCTION("""COMPUTED_VALUE"""),45071.0)</f>
        <v>45071</v>
      </c>
      <c r="F429" s="16"/>
      <c r="G429" s="18">
        <f>IFERROR(__xludf.DUMMYFUNCTION("""COMPUTED_VALUE"""),40.36666666666667)</f>
        <v>40.36666667</v>
      </c>
      <c r="H429" s="15">
        <f>IFERROR(__xludf.DUMMYFUNCTION("""COMPUTED_VALUE"""),42156.0)</f>
        <v>42156</v>
      </c>
      <c r="I429" s="18">
        <f>IFERROR(__xludf.DUMMYFUNCTION("""COMPUTED_VALUE"""),7.983333333333333)</f>
        <v>7.983333333</v>
      </c>
      <c r="J429" s="22">
        <f>IFERROR(__xludf.DUMMYFUNCTION("""COMPUTED_VALUE"""),72.0)</f>
        <v>72</v>
      </c>
      <c r="K429" s="22">
        <f>IFERROR(__xludf.DUMMYFUNCTION("""COMPUTED_VALUE"""),15.5)</f>
        <v>15.5</v>
      </c>
      <c r="L429" s="26" t="str">
        <f>IFERROR(__xludf.DUMMYFUNCTION("""COMPUTED_VALUE"""),"RPG")</f>
        <v>RPG</v>
      </c>
      <c r="M429" s="26"/>
    </row>
    <row r="430">
      <c r="A430" s="12" t="str">
        <f>IFERROR(__xludf.DUMMYFUNCTION("""COMPUTED_VALUE"""),"Mirror's Edge: Catalyst")</f>
        <v>Mirror's Edge: Catalyst</v>
      </c>
      <c r="B430" s="13" t="str">
        <f>IFERROR(__xludf.DUMMYFUNCTION("""COMPUTED_VALUE"""),"Xbox / PC")</f>
        <v>Xbox / PC</v>
      </c>
      <c r="C430" s="14" t="str">
        <f>IFERROR(__xludf.DUMMYFUNCTION("""COMPUTED_VALUE"""),"Yes")</f>
        <v>Yes</v>
      </c>
      <c r="D430" s="14" t="str">
        <f>IFERROR(__xludf.DUMMYFUNCTION("""COMPUTED_VALUE"""),"Active")</f>
        <v>Active</v>
      </c>
      <c r="E430" s="15">
        <f>IFERROR(__xludf.DUMMYFUNCTION("""COMPUTED_VALUE"""),44145.0)</f>
        <v>44145</v>
      </c>
      <c r="F430" s="16"/>
      <c r="G430" s="18">
        <f>IFERROR(__xludf.DUMMYFUNCTION("""COMPUTED_VALUE"""),70.86666666666667)</f>
        <v>70.86666667</v>
      </c>
      <c r="H430" s="15">
        <f>IFERROR(__xludf.DUMMYFUNCTION("""COMPUTED_VALUE"""),42528.0)</f>
        <v>42528</v>
      </c>
      <c r="I430" s="18">
        <f>IFERROR(__xludf.DUMMYFUNCTION("""COMPUTED_VALUE"""),4.425)</f>
        <v>4.425</v>
      </c>
      <c r="J430" s="22">
        <f>IFERROR(__xludf.DUMMYFUNCTION("""COMPUTED_VALUE"""),72.0)</f>
        <v>72</v>
      </c>
      <c r="K430" s="22">
        <f>IFERROR(__xludf.DUMMYFUNCTION("""COMPUTED_VALUE"""),8.5)</f>
        <v>8.5</v>
      </c>
      <c r="L430" s="26" t="str">
        <f>IFERROR(__xludf.DUMMYFUNCTION("""COMPUTED_VALUE"""),"Action-Adventure")</f>
        <v>Action-Adventure</v>
      </c>
      <c r="M430" s="26" t="str">
        <f>IFERROR(__xludf.DUMMYFUNCTION("""COMPUTED_VALUE"""),"FPS Boost X Only")</f>
        <v>FPS Boost X Only</v>
      </c>
    </row>
    <row r="431">
      <c r="A431" s="12" t="str">
        <f>IFERROR(__xludf.DUMMYFUNCTION("""COMPUTED_VALUE"""),"RAGE 2")</f>
        <v>RAGE 2</v>
      </c>
      <c r="B431" s="13" t="str">
        <f>IFERROR(__xludf.DUMMYFUNCTION("""COMPUTED_VALUE"""),"Xbox / PC")</f>
        <v>Xbox / PC</v>
      </c>
      <c r="C431" s="14" t="str">
        <f>IFERROR(__xludf.DUMMYFUNCTION("""COMPUTED_VALUE"""),"Yes")</f>
        <v>Yes</v>
      </c>
      <c r="D431" s="14" t="str">
        <f>IFERROR(__xludf.DUMMYFUNCTION("""COMPUTED_VALUE"""),"Active")</f>
        <v>Active</v>
      </c>
      <c r="E431" s="15">
        <f>IFERROR(__xludf.DUMMYFUNCTION("""COMPUTED_VALUE"""),43783.0)</f>
        <v>43783</v>
      </c>
      <c r="F431" s="16"/>
      <c r="G431" s="18">
        <f>IFERROR(__xludf.DUMMYFUNCTION("""COMPUTED_VALUE"""),82.73333333333333)</f>
        <v>82.73333333</v>
      </c>
      <c r="H431" s="15">
        <f>IFERROR(__xludf.DUMMYFUNCTION("""COMPUTED_VALUE"""),43599.0)</f>
        <v>43599</v>
      </c>
      <c r="I431" s="18">
        <f>IFERROR(__xludf.DUMMYFUNCTION("""COMPUTED_VALUE"""),0.5)</f>
        <v>0.5</v>
      </c>
      <c r="J431" s="22">
        <f>IFERROR(__xludf.DUMMYFUNCTION("""COMPUTED_VALUE"""),72.0)</f>
        <v>72</v>
      </c>
      <c r="K431" s="22">
        <f>IFERROR(__xludf.DUMMYFUNCTION("""COMPUTED_VALUE"""),10.0)</f>
        <v>10</v>
      </c>
      <c r="L431" s="26" t="str">
        <f>IFERROR(__xludf.DUMMYFUNCTION("""COMPUTED_VALUE"""),"Shooter")</f>
        <v>Shooter</v>
      </c>
      <c r="M431" s="26"/>
    </row>
    <row r="432">
      <c r="A432" s="12" t="str">
        <f>IFERROR(__xludf.DUMMYFUNCTION("""COMPUTED_VALUE"""),"ASTRONEER")</f>
        <v>ASTRONEER</v>
      </c>
      <c r="B432" s="13" t="str">
        <f>IFERROR(__xludf.DUMMYFUNCTION("""COMPUTED_VALUE"""),"Xbox / PC")</f>
        <v>Xbox / PC</v>
      </c>
      <c r="C432" s="14" t="str">
        <f>IFERROR(__xludf.DUMMYFUNCTION("""COMPUTED_VALUE"""),"Yes")</f>
        <v>Yes</v>
      </c>
      <c r="D432" s="14" t="str">
        <f>IFERROR(__xludf.DUMMYFUNCTION("""COMPUTED_VALUE"""),"Active")</f>
        <v>Active</v>
      </c>
      <c r="E432" s="15">
        <f>IFERROR(__xludf.DUMMYFUNCTION("""COMPUTED_VALUE"""),43625.0)</f>
        <v>43625</v>
      </c>
      <c r="F432" s="16"/>
      <c r="G432" s="18">
        <f>IFERROR(__xludf.DUMMYFUNCTION("""COMPUTED_VALUE"""),87.9)</f>
        <v>87.9</v>
      </c>
      <c r="H432" s="15">
        <f>IFERROR(__xludf.DUMMYFUNCTION("""COMPUTED_VALUE"""),42720.0)</f>
        <v>42720</v>
      </c>
      <c r="I432" s="18">
        <f>IFERROR(__xludf.DUMMYFUNCTION("""COMPUTED_VALUE"""),2.4805555555555556)</f>
        <v>2.480555556</v>
      </c>
      <c r="J432" s="22">
        <f>IFERROR(__xludf.DUMMYFUNCTION("""COMPUTED_VALUE"""),72.0)</f>
        <v>72</v>
      </c>
      <c r="K432" s="22">
        <f>IFERROR(__xludf.DUMMYFUNCTION("""COMPUTED_VALUE"""),18.5)</f>
        <v>18.5</v>
      </c>
      <c r="L432" s="26" t="str">
        <f>IFERROR(__xludf.DUMMYFUNCTION("""COMPUTED_VALUE"""),"Adventure")</f>
        <v>Adventure</v>
      </c>
      <c r="M432" s="26"/>
    </row>
    <row r="433">
      <c r="A433" s="12" t="str">
        <f>IFERROR(__xludf.DUMMYFUNCTION("""COMPUTED_VALUE"""),"Tom Clancy's Rainbow Six: Extraction")</f>
        <v>Tom Clancy's Rainbow Six: Extraction</v>
      </c>
      <c r="B433" s="13" t="str">
        <f>IFERROR(__xludf.DUMMYFUNCTION("""COMPUTED_VALUE"""),"Xbox / PC")</f>
        <v>Xbox / PC</v>
      </c>
      <c r="C433" s="14" t="str">
        <f>IFERROR(__xludf.DUMMYFUNCTION("""COMPUTED_VALUE"""),"Yes")</f>
        <v>Yes</v>
      </c>
      <c r="D433" s="14" t="str">
        <f>IFERROR(__xludf.DUMMYFUNCTION("""COMPUTED_VALUE"""),"Active")</f>
        <v>Active</v>
      </c>
      <c r="E433" s="15">
        <f>IFERROR(__xludf.DUMMYFUNCTION("""COMPUTED_VALUE"""),45931.0)</f>
        <v>45931</v>
      </c>
      <c r="F433" s="16"/>
      <c r="G433" s="18">
        <f>IFERROR(__xludf.DUMMYFUNCTION("""COMPUTED_VALUE"""),12.166666666666666)</f>
        <v>12.16666667</v>
      </c>
      <c r="H433" s="15">
        <f>IFERROR(__xludf.DUMMYFUNCTION("""COMPUTED_VALUE"""),44581.0)</f>
        <v>44581</v>
      </c>
      <c r="I433" s="18">
        <f>IFERROR(__xludf.DUMMYFUNCTION("""COMPUTED_VALUE"""),3.6972222222222224)</f>
        <v>3.697222222</v>
      </c>
      <c r="J433" s="22">
        <f>IFERROR(__xludf.DUMMYFUNCTION("""COMPUTED_VALUE"""),71.5)</f>
        <v>71.5</v>
      </c>
      <c r="K433" s="22">
        <f>IFERROR(__xludf.DUMMYFUNCTION("""COMPUTED_VALUE"""),8.0)</f>
        <v>8</v>
      </c>
      <c r="L433" s="26" t="str">
        <f>IFERROR(__xludf.DUMMYFUNCTION("""COMPUTED_VALUE"""),"Shooter")</f>
        <v>Shooter</v>
      </c>
      <c r="M433" s="26"/>
    </row>
    <row r="434">
      <c r="A434" s="12" t="str">
        <f>IFERROR(__xludf.DUMMYFUNCTION("""COMPUTED_VALUE"""),"RV There Yet?")</f>
        <v>RV There Yet?</v>
      </c>
      <c r="B434" s="13" t="str">
        <f>IFERROR(__xludf.DUMMYFUNCTION("""COMPUTED_VALUE"""),"Xbox / PC")</f>
        <v>Xbox / PC</v>
      </c>
      <c r="C434" s="14" t="str">
        <f>IFERROR(__xludf.DUMMYFUNCTION("""COMPUTED_VALUE"""),"Yes")</f>
        <v>Yes</v>
      </c>
      <c r="D434" s="14" t="str">
        <f>IFERROR(__xludf.DUMMYFUNCTION("""COMPUTED_VALUE"""),"Active")</f>
        <v>Active</v>
      </c>
      <c r="E434" s="15">
        <f>IFERROR(__xludf.DUMMYFUNCTION("""COMPUTED_VALUE"""),46203.0)</f>
        <v>46203</v>
      </c>
      <c r="F434" s="16"/>
      <c r="G434" s="18">
        <f>IFERROR(__xludf.DUMMYFUNCTION("""COMPUTED_VALUE"""),3.2)</f>
        <v>3.2</v>
      </c>
      <c r="H434" s="15">
        <f>IFERROR(__xludf.DUMMYFUNCTION("""COMPUTED_VALUE"""),46203.0)</f>
        <v>46203</v>
      </c>
      <c r="I434" s="18">
        <f>IFERROR(__xludf.DUMMYFUNCTION("""COMPUTED_VALUE"""),0.0)</f>
        <v>0</v>
      </c>
      <c r="J434" s="22">
        <f>IFERROR(__xludf.DUMMYFUNCTION("""COMPUTED_VALUE"""),71.0)</f>
        <v>71</v>
      </c>
      <c r="K434" s="22">
        <f>IFERROR(__xludf.DUMMYFUNCTION("""COMPUTED_VALUE"""),4.0)</f>
        <v>4</v>
      </c>
      <c r="L434" s="26" t="str">
        <f>IFERROR(__xludf.DUMMYFUNCTION("""COMPUTED_VALUE"""),"Action-Adventure")</f>
        <v>Action-Adventure</v>
      </c>
      <c r="M434" s="26" t="str">
        <f>IFERROR(__xludf.DUMMYFUNCTION("""COMPUTED_VALUE"""),"Exclusive")</f>
        <v>Exclusive</v>
      </c>
    </row>
    <row r="435">
      <c r="A435" s="12" t="str">
        <f>IFERROR(__xludf.DUMMYFUNCTION("""COMPUTED_VALUE"""),"ANNO: Mutationem")</f>
        <v>ANNO: Mutationem</v>
      </c>
      <c r="B435" s="13" t="str">
        <f>IFERROR(__xludf.DUMMYFUNCTION("""COMPUTED_VALUE"""),"Xbox / PC")</f>
        <v>Xbox / PC</v>
      </c>
      <c r="C435" s="14" t="str">
        <f>IFERROR(__xludf.DUMMYFUNCTION("""COMPUTED_VALUE"""),"Yes")</f>
        <v>Yes</v>
      </c>
      <c r="D435" s="14" t="str">
        <f>IFERROR(__xludf.DUMMYFUNCTION("""COMPUTED_VALUE"""),"Active")</f>
        <v>Active</v>
      </c>
      <c r="E435" s="15">
        <f>IFERROR(__xludf.DUMMYFUNCTION("""COMPUTED_VALUE"""),46050.0)</f>
        <v>46050</v>
      </c>
      <c r="F435" s="16"/>
      <c r="G435" s="18">
        <f>IFERROR(__xludf.DUMMYFUNCTION("""COMPUTED_VALUE"""),8.266666666666666)</f>
        <v>8.266666667</v>
      </c>
      <c r="H435" s="15">
        <f>IFERROR(__xludf.DUMMYFUNCTION("""COMPUTED_VALUE"""),44637.0)</f>
        <v>44637</v>
      </c>
      <c r="I435" s="18">
        <f>IFERROR(__xludf.DUMMYFUNCTION("""COMPUTED_VALUE"""),3.863888888888889)</f>
        <v>3.863888889</v>
      </c>
      <c r="J435" s="22">
        <f>IFERROR(__xludf.DUMMYFUNCTION("""COMPUTED_VALUE"""),71.0)</f>
        <v>71</v>
      </c>
      <c r="K435" s="22">
        <f>IFERROR(__xludf.DUMMYFUNCTION("""COMPUTED_VALUE"""),11.0)</f>
        <v>11</v>
      </c>
      <c r="L435" s="26" t="str">
        <f>IFERROR(__xludf.DUMMYFUNCTION("""COMPUTED_VALUE"""),"Action-Adventure")</f>
        <v>Action-Adventure</v>
      </c>
      <c r="M435" s="26"/>
    </row>
    <row r="436">
      <c r="A436" s="12" t="str">
        <f>IFERROR(__xludf.DUMMYFUNCTION("""COMPUTED_VALUE"""),"Assassin's Creed Rogue: Remastered")</f>
        <v>Assassin's Creed Rogue: Remastered</v>
      </c>
      <c r="B436" s="13" t="str">
        <f>IFERROR(__xludf.DUMMYFUNCTION("""COMPUTED_VALUE"""),"Xbox / PC")</f>
        <v>Xbox / PC</v>
      </c>
      <c r="C436" s="14" t="str">
        <f>IFERROR(__xludf.DUMMYFUNCTION("""COMPUTED_VALUE"""),"Yes")</f>
        <v>Yes</v>
      </c>
      <c r="D436" s="14" t="str">
        <f>IFERROR(__xludf.DUMMYFUNCTION("""COMPUTED_VALUE"""),"Active")</f>
        <v>Active</v>
      </c>
      <c r="E436" s="15">
        <f>IFERROR(__xludf.DUMMYFUNCTION("""COMPUTED_VALUE"""),45931.0)</f>
        <v>45931</v>
      </c>
      <c r="F436" s="16"/>
      <c r="G436" s="18">
        <f>IFERROR(__xludf.DUMMYFUNCTION("""COMPUTED_VALUE"""),12.166666666666666)</f>
        <v>12.16666667</v>
      </c>
      <c r="H436" s="15">
        <f>IFERROR(__xludf.DUMMYFUNCTION("""COMPUTED_VALUE"""),43179.0)</f>
        <v>43179</v>
      </c>
      <c r="I436" s="18">
        <f>IFERROR(__xludf.DUMMYFUNCTION("""COMPUTED_VALUE"""),7.530555555555556)</f>
        <v>7.530555556</v>
      </c>
      <c r="J436" s="22">
        <f>IFERROR(__xludf.DUMMYFUNCTION("""COMPUTED_VALUE"""),71.0)</f>
        <v>71</v>
      </c>
      <c r="K436" s="22">
        <f>IFERROR(__xludf.DUMMYFUNCTION("""COMPUTED_VALUE"""),11.0)</f>
        <v>11</v>
      </c>
      <c r="L436" s="26" t="str">
        <f>IFERROR(__xludf.DUMMYFUNCTION("""COMPUTED_VALUE"""),"Action-Adventure")</f>
        <v>Action-Adventure</v>
      </c>
      <c r="M436" s="26"/>
    </row>
    <row r="437">
      <c r="A437" s="12" t="str">
        <f>IFERROR(__xludf.DUMMYFUNCTION("""COMPUTED_VALUE"""),"Monopoly Madness")</f>
        <v>Monopoly Madness</v>
      </c>
      <c r="B437" s="13" t="str">
        <f>IFERROR(__xludf.DUMMYFUNCTION("""COMPUTED_VALUE"""),"Xbox / PC")</f>
        <v>Xbox / PC</v>
      </c>
      <c r="C437" s="14" t="str">
        <f>IFERROR(__xludf.DUMMYFUNCTION("""COMPUTED_VALUE"""),"Yes")</f>
        <v>Yes</v>
      </c>
      <c r="D437" s="14" t="str">
        <f>IFERROR(__xludf.DUMMYFUNCTION("""COMPUTED_VALUE"""),"Active")</f>
        <v>Active</v>
      </c>
      <c r="E437" s="15">
        <f>IFERROR(__xludf.DUMMYFUNCTION("""COMPUTED_VALUE"""),45931.0)</f>
        <v>45931</v>
      </c>
      <c r="F437" s="16"/>
      <c r="G437" s="18">
        <f>IFERROR(__xludf.DUMMYFUNCTION("""COMPUTED_VALUE"""),12.166666666666666)</f>
        <v>12.16666667</v>
      </c>
      <c r="H437" s="15">
        <f>IFERROR(__xludf.DUMMYFUNCTION("""COMPUTED_VALUE"""),44914.0)</f>
        <v>44914</v>
      </c>
      <c r="I437" s="18">
        <f>IFERROR(__xludf.DUMMYFUNCTION("""COMPUTED_VALUE"""),2.783333333333333)</f>
        <v>2.783333333</v>
      </c>
      <c r="J437" s="22">
        <f>IFERROR(__xludf.DUMMYFUNCTION("""COMPUTED_VALUE"""),71.0)</f>
        <v>71</v>
      </c>
      <c r="K437" s="22">
        <f>IFERROR(__xludf.DUMMYFUNCTION("""COMPUTED_VALUE"""),6.0)</f>
        <v>6</v>
      </c>
      <c r="L437" s="26" t="str">
        <f>IFERROR(__xludf.DUMMYFUNCTION("""COMPUTED_VALUE"""),"Party")</f>
        <v>Party</v>
      </c>
      <c r="M437" s="26"/>
    </row>
    <row r="438">
      <c r="A438" s="12" t="str">
        <f>IFERROR(__xludf.DUMMYFUNCTION("""COMPUTED_VALUE"""),"OddBallers")</f>
        <v>OddBallers</v>
      </c>
      <c r="B438" s="13" t="str">
        <f>IFERROR(__xludf.DUMMYFUNCTION("""COMPUTED_VALUE"""),"Xbox / PC")</f>
        <v>Xbox / PC</v>
      </c>
      <c r="C438" s="14" t="str">
        <f>IFERROR(__xludf.DUMMYFUNCTION("""COMPUTED_VALUE"""),"Yes")</f>
        <v>Yes</v>
      </c>
      <c r="D438" s="14" t="str">
        <f>IFERROR(__xludf.DUMMYFUNCTION("""COMPUTED_VALUE"""),"Active")</f>
        <v>Active</v>
      </c>
      <c r="E438" s="15">
        <f>IFERROR(__xludf.DUMMYFUNCTION("""COMPUTED_VALUE"""),45931.0)</f>
        <v>45931</v>
      </c>
      <c r="F438" s="16"/>
      <c r="G438" s="18">
        <f>IFERROR(__xludf.DUMMYFUNCTION("""COMPUTED_VALUE"""),12.166666666666666)</f>
        <v>12.16666667</v>
      </c>
      <c r="H438" s="15">
        <f>IFERROR(__xludf.DUMMYFUNCTION("""COMPUTED_VALUE"""),44952.0)</f>
        <v>44952</v>
      </c>
      <c r="I438" s="18">
        <f>IFERROR(__xludf.DUMMYFUNCTION("""COMPUTED_VALUE"""),2.6805555555555554)</f>
        <v>2.680555556</v>
      </c>
      <c r="J438" s="22">
        <f>IFERROR(__xludf.DUMMYFUNCTION("""COMPUTED_VALUE"""),71.0)</f>
        <v>71</v>
      </c>
      <c r="K438" s="22">
        <f>IFERROR(__xludf.DUMMYFUNCTION("""COMPUTED_VALUE"""),8.0)</f>
        <v>8</v>
      </c>
      <c r="L438" s="26" t="str">
        <f>IFERROR(__xludf.DUMMYFUNCTION("""COMPUTED_VALUE"""),"Party")</f>
        <v>Party</v>
      </c>
      <c r="M438" s="26"/>
    </row>
    <row r="439">
      <c r="A439" s="12" t="str">
        <f>IFERROR(__xludf.DUMMYFUNCTION("""COMPUTED_VALUE"""),"Steep")</f>
        <v>Steep</v>
      </c>
      <c r="B439" s="13" t="str">
        <f>IFERROR(__xludf.DUMMYFUNCTION("""COMPUTED_VALUE"""),"Xbox / PC")</f>
        <v>Xbox / PC</v>
      </c>
      <c r="C439" s="14" t="str">
        <f>IFERROR(__xludf.DUMMYFUNCTION("""COMPUTED_VALUE"""),"Touch Controls")</f>
        <v>Touch Controls</v>
      </c>
      <c r="D439" s="14" t="str">
        <f>IFERROR(__xludf.DUMMYFUNCTION("""COMPUTED_VALUE"""),"Active")</f>
        <v>Active</v>
      </c>
      <c r="E439" s="15">
        <f>IFERROR(__xludf.DUMMYFUNCTION("""COMPUTED_VALUE"""),45931.0)</f>
        <v>45931</v>
      </c>
      <c r="F439" s="16"/>
      <c r="G439" s="18">
        <f>IFERROR(__xludf.DUMMYFUNCTION("""COMPUTED_VALUE"""),12.166666666666666)</f>
        <v>12.16666667</v>
      </c>
      <c r="H439" s="15">
        <f>IFERROR(__xludf.DUMMYFUNCTION("""COMPUTED_VALUE"""),42703.0)</f>
        <v>42703</v>
      </c>
      <c r="I439" s="18">
        <f>IFERROR(__xludf.DUMMYFUNCTION("""COMPUTED_VALUE"""),8.838888888888889)</f>
        <v>8.838888889</v>
      </c>
      <c r="J439" s="22">
        <f>IFERROR(__xludf.DUMMYFUNCTION("""COMPUTED_VALUE"""),71.0)</f>
        <v>71</v>
      </c>
      <c r="K439" s="22">
        <f>IFERROR(__xludf.DUMMYFUNCTION("""COMPUTED_VALUE"""),12.0)</f>
        <v>12</v>
      </c>
      <c r="L439" s="26" t="str">
        <f>IFERROR(__xludf.DUMMYFUNCTION("""COMPUTED_VALUE"""),"Sports")</f>
        <v>Sports</v>
      </c>
      <c r="M439" s="26" t="str">
        <f>IFERROR(__xludf.DUMMYFUNCTION("""COMPUTED_VALUE"""),"FPS Boost S Only")</f>
        <v>FPS Boost S Only</v>
      </c>
    </row>
    <row r="440">
      <c r="A440" s="12" t="str">
        <f>IFERROR(__xludf.DUMMYFUNCTION("""COMPUTED_VALUE"""),"Transference")</f>
        <v>Transference</v>
      </c>
      <c r="B440" s="13" t="str">
        <f>IFERROR(__xludf.DUMMYFUNCTION("""COMPUTED_VALUE"""),"Xbox")</f>
        <v>Xbox</v>
      </c>
      <c r="C440" s="14" t="str">
        <f>IFERROR(__xludf.DUMMYFUNCTION("""COMPUTED_VALUE"""),"Yes")</f>
        <v>Yes</v>
      </c>
      <c r="D440" s="14" t="str">
        <f>IFERROR(__xludf.DUMMYFUNCTION("""COMPUTED_VALUE"""),"Active")</f>
        <v>Active</v>
      </c>
      <c r="E440" s="15">
        <f>IFERROR(__xludf.DUMMYFUNCTION("""COMPUTED_VALUE"""),45931.0)</f>
        <v>45931</v>
      </c>
      <c r="F440" s="16"/>
      <c r="G440" s="18">
        <f>IFERROR(__xludf.DUMMYFUNCTION("""COMPUTED_VALUE"""),12.166666666666666)</f>
        <v>12.16666667</v>
      </c>
      <c r="H440" s="15">
        <f>IFERROR(__xludf.DUMMYFUNCTION("""COMPUTED_VALUE"""),43361.0)</f>
        <v>43361</v>
      </c>
      <c r="I440" s="18">
        <f>IFERROR(__xludf.DUMMYFUNCTION("""COMPUTED_VALUE"""),7.036111111111111)</f>
        <v>7.036111111</v>
      </c>
      <c r="J440" s="22">
        <f>IFERROR(__xludf.DUMMYFUNCTION("""COMPUTED_VALUE"""),71.0)</f>
        <v>71</v>
      </c>
      <c r="K440" s="22">
        <f>IFERROR(__xludf.DUMMYFUNCTION("""COMPUTED_VALUE"""),2.0)</f>
        <v>2</v>
      </c>
      <c r="L440" s="26" t="str">
        <f>IFERROR(__xludf.DUMMYFUNCTION("""COMPUTED_VALUE"""),"Action-Adventure")</f>
        <v>Action-Adventure</v>
      </c>
      <c r="M440" s="26"/>
    </row>
    <row r="441">
      <c r="A441" s="12" t="str">
        <f>IFERROR(__xludf.DUMMYFUNCTION("""COMPUTED_VALUE"""),"Wheel World")</f>
        <v>Wheel World</v>
      </c>
      <c r="B441" s="13" t="str">
        <f>IFERROR(__xludf.DUMMYFUNCTION("""COMPUTED_VALUE"""),"Xbox / PC")</f>
        <v>Xbox / PC</v>
      </c>
      <c r="C441" s="14" t="str">
        <f>IFERROR(__xludf.DUMMYFUNCTION("""COMPUTED_VALUE"""),"Yes")</f>
        <v>Yes</v>
      </c>
      <c r="D441" s="14" t="str">
        <f>IFERROR(__xludf.DUMMYFUNCTION("""COMPUTED_VALUE"""),"Active")</f>
        <v>Active</v>
      </c>
      <c r="E441" s="15">
        <f>IFERROR(__xludf.DUMMYFUNCTION("""COMPUTED_VALUE"""),45861.0)</f>
        <v>45861</v>
      </c>
      <c r="F441" s="16"/>
      <c r="G441" s="18">
        <f>IFERROR(__xludf.DUMMYFUNCTION("""COMPUTED_VALUE"""),14.433333333333334)</f>
        <v>14.43333333</v>
      </c>
      <c r="H441" s="15">
        <f>IFERROR(__xludf.DUMMYFUNCTION("""COMPUTED_VALUE"""),45861.0)</f>
        <v>45861</v>
      </c>
      <c r="I441" s="18">
        <f>IFERROR(__xludf.DUMMYFUNCTION("""COMPUTED_VALUE"""),0.0)</f>
        <v>0</v>
      </c>
      <c r="J441" s="22">
        <f>IFERROR(__xludf.DUMMYFUNCTION("""COMPUTED_VALUE"""),71.0)</f>
        <v>71</v>
      </c>
      <c r="K441" s="22">
        <f>IFERROR(__xludf.DUMMYFUNCTION("""COMPUTED_VALUE"""),5.0)</f>
        <v>5</v>
      </c>
      <c r="L441" s="26" t="str">
        <f>IFERROR(__xludf.DUMMYFUNCTION("""COMPUTED_VALUE"""),"Action-Adventure")</f>
        <v>Action-Adventure</v>
      </c>
      <c r="M441" s="26" t="str">
        <f>IFERROR(__xludf.DUMMYFUNCTION("""COMPUTED_VALUE"""),"Exclusive")</f>
        <v>Exclusive</v>
      </c>
    </row>
    <row r="442">
      <c r="A442" s="12" t="str">
        <f>IFERROR(__xludf.DUMMYFUNCTION("""COMPUTED_VALUE"""),"Solar Storm")</f>
        <v>Solar Storm</v>
      </c>
      <c r="B442" s="13" t="str">
        <f>IFERROR(__xludf.DUMMYFUNCTION("""COMPUTED_VALUE"""),"Xbox / PC")</f>
        <v>Xbox / PC</v>
      </c>
      <c r="C442" s="14" t="str">
        <f>IFERROR(__xludf.DUMMYFUNCTION("""COMPUTED_VALUE"""),"Yes")</f>
        <v>Yes</v>
      </c>
      <c r="D442" s="14" t="str">
        <f>IFERROR(__xludf.DUMMYFUNCTION("""COMPUTED_VALUE"""),"Active")</f>
        <v>Active</v>
      </c>
      <c r="E442" s="15">
        <f>IFERROR(__xludf.DUMMYFUNCTION("""COMPUTED_VALUE"""),45839.0)</f>
        <v>45839</v>
      </c>
      <c r="F442" s="16"/>
      <c r="G442" s="18">
        <f>IFERROR(__xludf.DUMMYFUNCTION("""COMPUTED_VALUE"""),15.166666666666666)</f>
        <v>15.16666667</v>
      </c>
      <c r="H442" s="15">
        <f>IFERROR(__xludf.DUMMYFUNCTION("""COMPUTED_VALUE"""),30468.0)</f>
        <v>30468</v>
      </c>
      <c r="I442" s="18">
        <f>IFERROR(__xludf.DUMMYFUNCTION("""COMPUTED_VALUE"""),42.083333333333336)</f>
        <v>42.08333333</v>
      </c>
      <c r="J442" s="22">
        <f>IFERROR(__xludf.DUMMYFUNCTION("""COMPUTED_VALUE"""),71.0)</f>
        <v>71</v>
      </c>
      <c r="K442" s="22"/>
      <c r="L442" s="26" t="str">
        <f>IFERROR(__xludf.DUMMYFUNCTION("""COMPUTED_VALUE"""),"Action-Adventure")</f>
        <v>Action-Adventure</v>
      </c>
      <c r="M442" s="26"/>
    </row>
    <row r="443">
      <c r="A443" s="12" t="str">
        <f>IFERROR(__xludf.DUMMYFUNCTION("""COMPUTED_VALUE"""),"Cosmic Ark")</f>
        <v>Cosmic Ark</v>
      </c>
      <c r="B443" s="13" t="str">
        <f>IFERROR(__xludf.DUMMYFUNCTION("""COMPUTED_VALUE"""),"Xbox / PC")</f>
        <v>Xbox / PC</v>
      </c>
      <c r="C443" s="14" t="str">
        <f>IFERROR(__xludf.DUMMYFUNCTION("""COMPUTED_VALUE"""),"Yes")</f>
        <v>Yes</v>
      </c>
      <c r="D443" s="14" t="str">
        <f>IFERROR(__xludf.DUMMYFUNCTION("""COMPUTED_VALUE"""),"Active")</f>
        <v>Active</v>
      </c>
      <c r="E443" s="15">
        <f>IFERROR(__xludf.DUMMYFUNCTION("""COMPUTED_VALUE"""),45798.0)</f>
        <v>45798</v>
      </c>
      <c r="F443" s="16"/>
      <c r="G443" s="18">
        <f>IFERROR(__xludf.DUMMYFUNCTION("""COMPUTED_VALUE"""),16.5)</f>
        <v>16.5</v>
      </c>
      <c r="H443" s="15">
        <f>IFERROR(__xludf.DUMMYFUNCTION("""COMPUTED_VALUE"""),30164.0)</f>
        <v>30164</v>
      </c>
      <c r="I443" s="18">
        <f>IFERROR(__xludf.DUMMYFUNCTION("""COMPUTED_VALUE"""),42.80555555555556)</f>
        <v>42.80555556</v>
      </c>
      <c r="J443" s="22">
        <f>IFERROR(__xludf.DUMMYFUNCTION("""COMPUTED_VALUE"""),71.0)</f>
        <v>71</v>
      </c>
      <c r="K443" s="22"/>
      <c r="L443" s="26" t="str">
        <f>IFERROR(__xludf.DUMMYFUNCTION("""COMPUTED_VALUE"""),"Action‑Adventure")</f>
        <v>Action‑Adventure</v>
      </c>
      <c r="M443" s="26"/>
    </row>
    <row r="444">
      <c r="A444" s="12" t="str">
        <f>IFERROR(__xludf.DUMMYFUNCTION("""COMPUTED_VALUE"""),"Pitfall!")</f>
        <v>Pitfall!</v>
      </c>
      <c r="B444" s="13" t="str">
        <f>IFERROR(__xludf.DUMMYFUNCTION("""COMPUTED_VALUE"""),"Xbox / PC")</f>
        <v>Xbox / PC</v>
      </c>
      <c r="C444" s="14" t="str">
        <f>IFERROR(__xludf.DUMMYFUNCTION("""COMPUTED_VALUE"""),"Yes")</f>
        <v>Yes</v>
      </c>
      <c r="D444" s="14" t="str">
        <f>IFERROR(__xludf.DUMMYFUNCTION("""COMPUTED_VALUE"""),"Active")</f>
        <v>Active</v>
      </c>
      <c r="E444" s="15">
        <f>IFERROR(__xludf.DUMMYFUNCTION("""COMPUTED_VALUE"""),45798.0)</f>
        <v>45798</v>
      </c>
      <c r="F444" s="16"/>
      <c r="G444" s="18">
        <f>IFERROR(__xludf.DUMMYFUNCTION("""COMPUTED_VALUE"""),16.5)</f>
        <v>16.5</v>
      </c>
      <c r="H444" s="15">
        <f>IFERROR(__xludf.DUMMYFUNCTION("""COMPUTED_VALUE"""),30061.0)</f>
        <v>30061</v>
      </c>
      <c r="I444" s="18">
        <f>IFERROR(__xludf.DUMMYFUNCTION("""COMPUTED_VALUE"""),43.08611111111111)</f>
        <v>43.08611111</v>
      </c>
      <c r="J444" s="22">
        <f>IFERROR(__xludf.DUMMYFUNCTION("""COMPUTED_VALUE"""),71.0)</f>
        <v>71</v>
      </c>
      <c r="K444" s="22">
        <f>IFERROR(__xludf.DUMMYFUNCTION("""COMPUTED_VALUE"""),1.0)</f>
        <v>1</v>
      </c>
      <c r="L444" s="26" t="str">
        <f>IFERROR(__xludf.DUMMYFUNCTION("""COMPUTED_VALUE"""),"Platformer")</f>
        <v>Platformer</v>
      </c>
      <c r="M444" s="26"/>
    </row>
    <row r="445">
      <c r="A445" s="12" t="str">
        <f>IFERROR(__xludf.DUMMYFUNCTION("""COMPUTED_VALUE"""),"Pressure Cooker")</f>
        <v>Pressure Cooker</v>
      </c>
      <c r="B445" s="13" t="str">
        <f>IFERROR(__xludf.DUMMYFUNCTION("""COMPUTED_VALUE"""),"Xbox / PC")</f>
        <v>Xbox / PC</v>
      </c>
      <c r="C445" s="14" t="str">
        <f>IFERROR(__xludf.DUMMYFUNCTION("""COMPUTED_VALUE"""),"Yes")</f>
        <v>Yes</v>
      </c>
      <c r="D445" s="14" t="str">
        <f>IFERROR(__xludf.DUMMYFUNCTION("""COMPUTED_VALUE"""),"Active")</f>
        <v>Active</v>
      </c>
      <c r="E445" s="15">
        <f>IFERROR(__xludf.DUMMYFUNCTION("""COMPUTED_VALUE"""),45798.0)</f>
        <v>45798</v>
      </c>
      <c r="F445" s="16"/>
      <c r="G445" s="18">
        <f>IFERROR(__xludf.DUMMYFUNCTION("""COMPUTED_VALUE"""),16.5)</f>
        <v>16.5</v>
      </c>
      <c r="H445" s="15">
        <f>IFERROR(__xludf.DUMMYFUNCTION("""COMPUTED_VALUE"""),30369.0)</f>
        <v>30369</v>
      </c>
      <c r="I445" s="18">
        <f>IFERROR(__xludf.DUMMYFUNCTION("""COMPUTED_VALUE"""),42.24722222222222)</f>
        <v>42.24722222</v>
      </c>
      <c r="J445" s="22">
        <f>IFERROR(__xludf.DUMMYFUNCTION("""COMPUTED_VALUE"""),71.0)</f>
        <v>71</v>
      </c>
      <c r="K445" s="22"/>
      <c r="L445" s="26" t="str">
        <f>IFERROR(__xludf.DUMMYFUNCTION("""COMPUTED_VALUE"""),"Simulation")</f>
        <v>Simulation</v>
      </c>
      <c r="M445" s="26"/>
    </row>
    <row r="446">
      <c r="A446" s="12" t="str">
        <f>IFERROR(__xludf.DUMMYFUNCTION("""COMPUTED_VALUE"""),"Space Quest 6")</f>
        <v>Space Quest 6</v>
      </c>
      <c r="B446" s="13" t="str">
        <f>IFERROR(__xludf.DUMMYFUNCTION("""COMPUTED_VALUE"""),"Xbox / PC")</f>
        <v>Xbox / PC</v>
      </c>
      <c r="C446" s="14" t="str">
        <f>IFERROR(__xludf.DUMMYFUNCTION("""COMPUTED_VALUE"""),"Yes")</f>
        <v>Yes</v>
      </c>
      <c r="D446" s="14" t="str">
        <f>IFERROR(__xludf.DUMMYFUNCTION("""COMPUTED_VALUE"""),"Active")</f>
        <v>Active</v>
      </c>
      <c r="E446" s="15">
        <f>IFERROR(__xludf.DUMMYFUNCTION("""COMPUTED_VALUE"""),45798.0)</f>
        <v>45798</v>
      </c>
      <c r="F446" s="16"/>
      <c r="G446" s="18">
        <f>IFERROR(__xludf.DUMMYFUNCTION("""COMPUTED_VALUE"""),16.5)</f>
        <v>16.5</v>
      </c>
      <c r="H446" s="15">
        <f>IFERROR(__xludf.DUMMYFUNCTION("""COMPUTED_VALUE"""),34891.0)</f>
        <v>34891</v>
      </c>
      <c r="I446" s="18">
        <f>IFERROR(__xludf.DUMMYFUNCTION("""COMPUTED_VALUE"""),29.86111111111111)</f>
        <v>29.86111111</v>
      </c>
      <c r="J446" s="22">
        <f>IFERROR(__xludf.DUMMYFUNCTION("""COMPUTED_VALUE"""),71.0)</f>
        <v>71</v>
      </c>
      <c r="K446" s="22">
        <f>IFERROR(__xludf.DUMMYFUNCTION("""COMPUTED_VALUE"""),4.0)</f>
        <v>4</v>
      </c>
      <c r="L446" s="26" t="str">
        <f>IFERROR(__xludf.DUMMYFUNCTION("""COMPUTED_VALUE"""),"Action‑Adventure")</f>
        <v>Action‑Adventure</v>
      </c>
      <c r="M446" s="26"/>
    </row>
    <row r="447">
      <c r="A447" s="12" t="str">
        <f>IFERROR(__xludf.DUMMYFUNCTION("""COMPUTED_VALUE"""),"The Adventures of Willy Beamish")</f>
        <v>The Adventures of Willy Beamish</v>
      </c>
      <c r="B447" s="13" t="str">
        <f>IFERROR(__xludf.DUMMYFUNCTION("""COMPUTED_VALUE"""),"Xbox / PC")</f>
        <v>Xbox / PC</v>
      </c>
      <c r="C447" s="14" t="str">
        <f>IFERROR(__xludf.DUMMYFUNCTION("""COMPUTED_VALUE"""),"Yes")</f>
        <v>Yes</v>
      </c>
      <c r="D447" s="14" t="str">
        <f>IFERROR(__xludf.DUMMYFUNCTION("""COMPUTED_VALUE"""),"Active")</f>
        <v>Active</v>
      </c>
      <c r="E447" s="15">
        <f>IFERROR(__xludf.DUMMYFUNCTION("""COMPUTED_VALUE"""),45798.0)</f>
        <v>45798</v>
      </c>
      <c r="F447" s="16"/>
      <c r="G447" s="18">
        <f>IFERROR(__xludf.DUMMYFUNCTION("""COMPUTED_VALUE"""),16.5)</f>
        <v>16.5</v>
      </c>
      <c r="H447" s="15">
        <f>IFERROR(__xludf.DUMMYFUNCTION("""COMPUTED_VALUE"""),33506.0)</f>
        <v>33506</v>
      </c>
      <c r="I447" s="18">
        <f>IFERROR(__xludf.DUMMYFUNCTION("""COMPUTED_VALUE"""),33.65555555555556)</f>
        <v>33.65555556</v>
      </c>
      <c r="J447" s="22">
        <f>IFERROR(__xludf.DUMMYFUNCTION("""COMPUTED_VALUE"""),71.0)</f>
        <v>71</v>
      </c>
      <c r="K447" s="22">
        <f>IFERROR(__xludf.DUMMYFUNCTION("""COMPUTED_VALUE"""),5.0)</f>
        <v>5</v>
      </c>
      <c r="L447" s="26" t="str">
        <f>IFERROR(__xludf.DUMMYFUNCTION("""COMPUTED_VALUE"""),"Action‑Adventure")</f>
        <v>Action‑Adventure</v>
      </c>
      <c r="M447" s="26"/>
    </row>
    <row r="448">
      <c r="A448" s="12" t="str">
        <f>IFERROR(__xludf.DUMMYFUNCTION("""COMPUTED_VALUE"""),"Far Cry: New Dawn")</f>
        <v>Far Cry: New Dawn</v>
      </c>
      <c r="B448" s="13" t="str">
        <f>IFERROR(__xludf.DUMMYFUNCTION("""COMPUTED_VALUE"""),"Xbox / PC")</f>
        <v>Xbox / PC</v>
      </c>
      <c r="C448" s="14" t="str">
        <f>IFERROR(__xludf.DUMMYFUNCTION("""COMPUTED_VALUE"""),"Yes")</f>
        <v>Yes</v>
      </c>
      <c r="D448" s="14" t="str">
        <f>IFERROR(__xludf.DUMMYFUNCTION("""COMPUTED_VALUE"""),"Active")</f>
        <v>Active</v>
      </c>
      <c r="E448" s="15">
        <f>IFERROR(__xludf.DUMMYFUNCTION("""COMPUTED_VALUE"""),45692.0)</f>
        <v>45692</v>
      </c>
      <c r="F448" s="16"/>
      <c r="G448" s="18">
        <f>IFERROR(__xludf.DUMMYFUNCTION("""COMPUTED_VALUE"""),20.066666666666666)</f>
        <v>20.06666667</v>
      </c>
      <c r="H448" s="15">
        <f>IFERROR(__xludf.DUMMYFUNCTION("""COMPUTED_VALUE"""),43511.0)</f>
        <v>43511</v>
      </c>
      <c r="I448" s="18">
        <f>IFERROR(__xludf.DUMMYFUNCTION("""COMPUTED_VALUE"""),5.969444444444444)</f>
        <v>5.969444444</v>
      </c>
      <c r="J448" s="22">
        <f>IFERROR(__xludf.DUMMYFUNCTION("""COMPUTED_VALUE"""),71.0)</f>
        <v>71</v>
      </c>
      <c r="K448" s="22">
        <f>IFERROR(__xludf.DUMMYFUNCTION("""COMPUTED_VALUE"""),11.0)</f>
        <v>11</v>
      </c>
      <c r="L448" s="26" t="str">
        <f>IFERROR(__xludf.DUMMYFUNCTION("""COMPUTED_VALUE"""),"Shooter")</f>
        <v>Shooter</v>
      </c>
      <c r="M448" s="26"/>
    </row>
    <row r="449">
      <c r="A449" s="12" t="str">
        <f>IFERROR(__xludf.DUMMYFUNCTION("""COMPUTED_VALUE"""),"Blinx: The Time Sweeper")</f>
        <v>Blinx: The Time Sweeper</v>
      </c>
      <c r="B449" s="13" t="str">
        <f>IFERROR(__xludf.DUMMYFUNCTION("""COMPUTED_VALUE"""),"Xbox / PC")</f>
        <v>Xbox / PC</v>
      </c>
      <c r="C449" s="14" t="str">
        <f>IFERROR(__xludf.DUMMYFUNCTION("""COMPUTED_VALUE"""),"Touch Controls")</f>
        <v>Touch Controls</v>
      </c>
      <c r="D449" s="14" t="str">
        <f>IFERROR(__xludf.DUMMYFUNCTION("""COMPUTED_VALUE"""),"Active")</f>
        <v>Active</v>
      </c>
      <c r="E449" s="15">
        <f>IFERROR(__xludf.DUMMYFUNCTION("""COMPUTED_VALUE"""),44399.0)</f>
        <v>44399</v>
      </c>
      <c r="F449" s="16"/>
      <c r="G449" s="18">
        <f>IFERROR(__xludf.DUMMYFUNCTION("""COMPUTED_VALUE"""),62.46666666666667)</f>
        <v>62.46666667</v>
      </c>
      <c r="H449" s="15">
        <f>IFERROR(__xludf.DUMMYFUNCTION("""COMPUTED_VALUE"""),37536.0)</f>
        <v>37536</v>
      </c>
      <c r="I449" s="18">
        <f>IFERROR(__xludf.DUMMYFUNCTION("""COMPUTED_VALUE"""),18.791666666666668)</f>
        <v>18.79166667</v>
      </c>
      <c r="J449" s="22">
        <f>IFERROR(__xludf.DUMMYFUNCTION("""COMPUTED_VALUE"""),71.0)</f>
        <v>71</v>
      </c>
      <c r="K449" s="22">
        <f>IFERROR(__xludf.DUMMYFUNCTION("""COMPUTED_VALUE"""),10.0)</f>
        <v>10</v>
      </c>
      <c r="L449" s="26" t="str">
        <f>IFERROR(__xludf.DUMMYFUNCTION("""COMPUTED_VALUE"""),"Action")</f>
        <v>Action</v>
      </c>
      <c r="M449" s="26"/>
    </row>
    <row r="450">
      <c r="A450" s="12" t="str">
        <f>IFERROR(__xludf.DUMMYFUNCTION("""COMPUTED_VALUE"""),"Mistfall Hunter")</f>
        <v>Mistfall Hunter</v>
      </c>
      <c r="B450" s="13" t="str">
        <f>IFERROR(__xludf.DUMMYFUNCTION("""COMPUTED_VALUE"""),"Xbox / PC")</f>
        <v>Xbox / PC</v>
      </c>
      <c r="C450" s="14" t="str">
        <f>IFERROR(__xludf.DUMMYFUNCTION("""COMPUTED_VALUE"""),"Yes")</f>
        <v>Yes</v>
      </c>
      <c r="D450" s="14" t="str">
        <f>IFERROR(__xludf.DUMMYFUNCTION("""COMPUTED_VALUE"""),"Active")</f>
        <v>Active</v>
      </c>
      <c r="E450" s="15">
        <f>IFERROR(__xludf.DUMMYFUNCTION("""COMPUTED_VALUE"""),46233.0)</f>
        <v>46233</v>
      </c>
      <c r="F450" s="16"/>
      <c r="G450" s="18">
        <f>IFERROR(__xludf.DUMMYFUNCTION("""COMPUTED_VALUE"""),2.1999999999999997)</f>
        <v>2.2</v>
      </c>
      <c r="H450" s="15">
        <f>IFERROR(__xludf.DUMMYFUNCTION("""COMPUTED_VALUE"""),46233.0)</f>
        <v>46233</v>
      </c>
      <c r="I450" s="18">
        <f>IFERROR(__xludf.DUMMYFUNCTION("""COMPUTED_VALUE"""),0.0)</f>
        <v>0</v>
      </c>
      <c r="J450" s="22">
        <f>IFERROR(__xludf.DUMMYFUNCTION("""COMPUTED_VALUE"""),70.0)</f>
        <v>70</v>
      </c>
      <c r="K450" s="22"/>
      <c r="L450" s="26" t="str">
        <f>IFERROR(__xludf.DUMMYFUNCTION("""COMPUTED_VALUE"""),"RPG")</f>
        <v>RPG</v>
      </c>
      <c r="M450" s="26" t="str">
        <f>IFERROR(__xludf.DUMMYFUNCTION("""COMPUTED_VALUE"""),"Exclusive")</f>
        <v>Exclusive</v>
      </c>
    </row>
    <row r="451">
      <c r="A451" s="12" t="str">
        <f>IFERROR(__xludf.DUMMYFUNCTION("""COMPUTED_VALUE"""),"PBA Pro Bowling 2026")</f>
        <v>PBA Pro Bowling 2026</v>
      </c>
      <c r="B451" s="13" t="str">
        <f>IFERROR(__xludf.DUMMYFUNCTION("""COMPUTED_VALUE"""),"Xbox / PC")</f>
        <v>Xbox / PC</v>
      </c>
      <c r="C451" s="14" t="str">
        <f>IFERROR(__xludf.DUMMYFUNCTION("""COMPUTED_VALUE"""),"Yes")</f>
        <v>Yes</v>
      </c>
      <c r="D451" s="14" t="str">
        <f>IFERROR(__xludf.DUMMYFUNCTION("""COMPUTED_VALUE"""),"Active")</f>
        <v>Active</v>
      </c>
      <c r="E451" s="15">
        <f>IFERROR(__xludf.DUMMYFUNCTION("""COMPUTED_VALUE"""),46217.0)</f>
        <v>46217</v>
      </c>
      <c r="F451" s="16"/>
      <c r="G451" s="18">
        <f>IFERROR(__xludf.DUMMYFUNCTION("""COMPUTED_VALUE"""),2.7333333333333334)</f>
        <v>2.733333333</v>
      </c>
      <c r="H451" s="15">
        <f>IFERROR(__xludf.DUMMYFUNCTION("""COMPUTED_VALUE"""),46217.0)</f>
        <v>46217</v>
      </c>
      <c r="I451" s="18">
        <f>IFERROR(__xludf.DUMMYFUNCTION("""COMPUTED_VALUE"""),0.0)</f>
        <v>0</v>
      </c>
      <c r="J451" s="22">
        <f>IFERROR(__xludf.DUMMYFUNCTION("""COMPUTED_VALUE"""),70.0)</f>
        <v>70</v>
      </c>
      <c r="K451" s="22">
        <f>IFERROR(__xludf.DUMMYFUNCTION("""COMPUTED_VALUE"""),5.0)</f>
        <v>5</v>
      </c>
      <c r="L451" s="26" t="str">
        <f>IFERROR(__xludf.DUMMYFUNCTION("""COMPUTED_VALUE"""),"Sports")</f>
        <v>Sports</v>
      </c>
      <c r="M451" s="26" t="str">
        <f>IFERROR(__xludf.DUMMYFUNCTION("""COMPUTED_VALUE"""),"Exclusive")</f>
        <v>Exclusive</v>
      </c>
    </row>
    <row r="452">
      <c r="A452" s="12" t="str">
        <f>IFERROR(__xludf.DUMMYFUNCTION("""COMPUTED_VALUE"""),"Frog Sqwad")</f>
        <v>Frog Sqwad</v>
      </c>
      <c r="B452" s="13" t="str">
        <f>IFERROR(__xludf.DUMMYFUNCTION("""COMPUTED_VALUE"""),"Xbox / PC")</f>
        <v>Xbox / PC</v>
      </c>
      <c r="C452" s="14" t="str">
        <f>IFERROR(__xludf.DUMMYFUNCTION("""COMPUTED_VALUE"""),"Yes")</f>
        <v>Yes</v>
      </c>
      <c r="D452" s="14" t="str">
        <f>IFERROR(__xludf.DUMMYFUNCTION("""COMPUTED_VALUE"""),"Active")</f>
        <v>Active</v>
      </c>
      <c r="E452" s="15">
        <f>IFERROR(__xludf.DUMMYFUNCTION("""COMPUTED_VALUE"""),46184.0)</f>
        <v>46184</v>
      </c>
      <c r="F452" s="16"/>
      <c r="G452" s="18">
        <f>IFERROR(__xludf.DUMMYFUNCTION("""COMPUTED_VALUE"""),3.833333333333333)</f>
        <v>3.833333333</v>
      </c>
      <c r="H452" s="15">
        <f>IFERROR(__xludf.DUMMYFUNCTION("""COMPUTED_VALUE"""),46184.0)</f>
        <v>46184</v>
      </c>
      <c r="I452" s="18">
        <f>IFERROR(__xludf.DUMMYFUNCTION("""COMPUTED_VALUE"""),0.0)</f>
        <v>0</v>
      </c>
      <c r="J452" s="22">
        <f>IFERROR(__xludf.DUMMYFUNCTION("""COMPUTED_VALUE"""),70.0)</f>
        <v>70</v>
      </c>
      <c r="K452" s="22">
        <f>IFERROR(__xludf.DUMMYFUNCTION("""COMPUTED_VALUE"""),1.0)</f>
        <v>1</v>
      </c>
      <c r="L452" s="26" t="str">
        <f>IFERROR(__xludf.DUMMYFUNCTION("""COMPUTED_VALUE"""),"Puzzle")</f>
        <v>Puzzle</v>
      </c>
      <c r="M452" s="26" t="str">
        <f>IFERROR(__xludf.DUMMYFUNCTION("""COMPUTED_VALUE"""),"Exclusive")</f>
        <v>Exclusive</v>
      </c>
    </row>
    <row r="453">
      <c r="A453" s="12" t="str">
        <f>IFERROR(__xludf.DUMMYFUNCTION("""COMPUTED_VALUE"""),"Echo Generation 2")</f>
        <v>Echo Generation 2</v>
      </c>
      <c r="B453" s="13" t="str">
        <f>IFERROR(__xludf.DUMMYFUNCTION("""COMPUTED_VALUE"""),"Xbox / PC")</f>
        <v>Xbox / PC</v>
      </c>
      <c r="C453" s="14" t="str">
        <f>IFERROR(__xludf.DUMMYFUNCTION("""COMPUTED_VALUE"""),"Yes")</f>
        <v>Yes</v>
      </c>
      <c r="D453" s="14" t="str">
        <f>IFERROR(__xludf.DUMMYFUNCTION("""COMPUTED_VALUE"""),"Active")</f>
        <v>Active</v>
      </c>
      <c r="E453" s="15">
        <f>IFERROR(__xludf.DUMMYFUNCTION("""COMPUTED_VALUE"""),46169.0)</f>
        <v>46169</v>
      </c>
      <c r="F453" s="16"/>
      <c r="G453" s="18">
        <f>IFERROR(__xludf.DUMMYFUNCTION("""COMPUTED_VALUE"""),4.3)</f>
        <v>4.3</v>
      </c>
      <c r="H453" s="15">
        <f>IFERROR(__xludf.DUMMYFUNCTION("""COMPUTED_VALUE"""),46169.0)</f>
        <v>46169</v>
      </c>
      <c r="I453" s="18">
        <f>IFERROR(__xludf.DUMMYFUNCTION("""COMPUTED_VALUE"""),0.0)</f>
        <v>0</v>
      </c>
      <c r="J453" s="22">
        <f>IFERROR(__xludf.DUMMYFUNCTION("""COMPUTED_VALUE"""),70.0)</f>
        <v>70</v>
      </c>
      <c r="K453" s="22">
        <f>IFERROR(__xludf.DUMMYFUNCTION("""COMPUTED_VALUE"""),9.0)</f>
        <v>9</v>
      </c>
      <c r="L453" s="26" t="str">
        <f>IFERROR(__xludf.DUMMYFUNCTION("""COMPUTED_VALUE"""),"RPG")</f>
        <v>RPG</v>
      </c>
      <c r="M453" s="26" t="str">
        <f>IFERROR(__xludf.DUMMYFUNCTION("""COMPUTED_VALUE"""),"Exclusive")</f>
        <v>Exclusive</v>
      </c>
    </row>
    <row r="454">
      <c r="A454" s="12" t="str">
        <f>IFERROR(__xludf.DUMMYFUNCTION("""COMPUTED_VALUE"""),"Ben 10: Power Trip")</f>
        <v>Ben 10: Power Trip</v>
      </c>
      <c r="B454" s="13" t="str">
        <f>IFERROR(__xludf.DUMMYFUNCTION("""COMPUTED_VALUE"""),"Xbox / PC")</f>
        <v>Xbox / PC</v>
      </c>
      <c r="C454" s="14" t="str">
        <f>IFERROR(__xludf.DUMMYFUNCTION("""COMPUTED_VALUE"""),"Touch Controls")</f>
        <v>Touch Controls</v>
      </c>
      <c r="D454" s="14" t="str">
        <f>IFERROR(__xludf.DUMMYFUNCTION("""COMPUTED_VALUE"""),"Active")</f>
        <v>Active</v>
      </c>
      <c r="E454" s="15">
        <f>IFERROR(__xludf.DUMMYFUNCTION("""COMPUTED_VALUE"""),46148.0)</f>
        <v>46148</v>
      </c>
      <c r="F454" s="16"/>
      <c r="G454" s="18">
        <f>IFERROR(__xludf.DUMMYFUNCTION("""COMPUTED_VALUE"""),5.0)</f>
        <v>5</v>
      </c>
      <c r="H454" s="15">
        <f>IFERROR(__xludf.DUMMYFUNCTION("""COMPUTED_VALUE"""),44113.0)</f>
        <v>44113</v>
      </c>
      <c r="I454" s="18">
        <f>IFERROR(__xludf.DUMMYFUNCTION("""COMPUTED_VALUE"""),5.575)</f>
        <v>5.575</v>
      </c>
      <c r="J454" s="22">
        <f>IFERROR(__xludf.DUMMYFUNCTION("""COMPUTED_VALUE"""),70.0)</f>
        <v>70</v>
      </c>
      <c r="K454" s="22">
        <f>IFERROR(__xludf.DUMMYFUNCTION("""COMPUTED_VALUE"""),5.0)</f>
        <v>5</v>
      </c>
      <c r="L454" s="26" t="str">
        <f>IFERROR(__xludf.DUMMYFUNCTION("""COMPUTED_VALUE"""),"Action-Adventure")</f>
        <v>Action-Adventure</v>
      </c>
      <c r="M454" s="26"/>
    </row>
    <row r="455">
      <c r="A455" s="12" t="str">
        <f>IFERROR(__xludf.DUMMYFUNCTION("""COMPUTED_VALUE"""),"Kill It With Fire! 2")</f>
        <v>Kill It With Fire! 2</v>
      </c>
      <c r="B455" s="13" t="str">
        <f>IFERROR(__xludf.DUMMYFUNCTION("""COMPUTED_VALUE"""),"Xbox / PC")</f>
        <v>Xbox / PC</v>
      </c>
      <c r="C455" s="14" t="str">
        <f>IFERROR(__xludf.DUMMYFUNCTION("""COMPUTED_VALUE"""),"Yes")</f>
        <v>Yes</v>
      </c>
      <c r="D455" s="14" t="str">
        <f>IFERROR(__xludf.DUMMYFUNCTION("""COMPUTED_VALUE"""),"Active")</f>
        <v>Active</v>
      </c>
      <c r="E455" s="15">
        <f>IFERROR(__xludf.DUMMYFUNCTION("""COMPUTED_VALUE"""),45986.0)</f>
        <v>45986</v>
      </c>
      <c r="F455" s="16"/>
      <c r="G455" s="18">
        <f>IFERROR(__xludf.DUMMYFUNCTION("""COMPUTED_VALUE"""),10.366666666666667)</f>
        <v>10.36666667</v>
      </c>
      <c r="H455" s="15">
        <f>IFERROR(__xludf.DUMMYFUNCTION("""COMPUTED_VALUE"""),45986.0)</f>
        <v>45986</v>
      </c>
      <c r="I455" s="18">
        <f>IFERROR(__xludf.DUMMYFUNCTION("""COMPUTED_VALUE"""),0.0)</f>
        <v>0</v>
      </c>
      <c r="J455" s="22">
        <f>IFERROR(__xludf.DUMMYFUNCTION("""COMPUTED_VALUE"""),70.0)</f>
        <v>70</v>
      </c>
      <c r="K455" s="22">
        <f>IFERROR(__xludf.DUMMYFUNCTION("""COMPUTED_VALUE"""),8.0)</f>
        <v>8</v>
      </c>
      <c r="L455" s="26" t="str">
        <f>IFERROR(__xludf.DUMMYFUNCTION("""COMPUTED_VALUE"""),"Shooter")</f>
        <v>Shooter</v>
      </c>
      <c r="M455" s="26"/>
    </row>
    <row r="456">
      <c r="A456" s="12" t="str">
        <f>IFERROR(__xludf.DUMMYFUNCTION("""COMPUTED_VALUE"""),"Boxing")</f>
        <v>Boxing</v>
      </c>
      <c r="B456" s="13" t="str">
        <f>IFERROR(__xludf.DUMMYFUNCTION("""COMPUTED_VALUE"""),"Xbox / PC")</f>
        <v>Xbox / PC</v>
      </c>
      <c r="C456" s="14" t="str">
        <f>IFERROR(__xludf.DUMMYFUNCTION("""COMPUTED_VALUE"""),"Yes")</f>
        <v>Yes</v>
      </c>
      <c r="D456" s="14" t="str">
        <f>IFERROR(__xludf.DUMMYFUNCTION("""COMPUTED_VALUE"""),"Active")</f>
        <v>Active</v>
      </c>
      <c r="E456" s="15">
        <f>IFERROR(__xludf.DUMMYFUNCTION("""COMPUTED_VALUE"""),45798.0)</f>
        <v>45798</v>
      </c>
      <c r="F456" s="16"/>
      <c r="G456" s="18">
        <f>IFERROR(__xludf.DUMMYFUNCTION("""COMPUTED_VALUE"""),16.5)</f>
        <v>16.5</v>
      </c>
      <c r="H456" s="15">
        <f>IFERROR(__xludf.DUMMYFUNCTION("""COMPUTED_VALUE"""),29403.0)</f>
        <v>29403</v>
      </c>
      <c r="I456" s="18">
        <f>IFERROR(__xludf.DUMMYFUNCTION("""COMPUTED_VALUE"""),44.888888888888886)</f>
        <v>44.88888889</v>
      </c>
      <c r="J456" s="22">
        <f>IFERROR(__xludf.DUMMYFUNCTION("""COMPUTED_VALUE"""),70.0)</f>
        <v>70</v>
      </c>
      <c r="K456" s="22"/>
      <c r="L456" s="26" t="str">
        <f>IFERROR(__xludf.DUMMYFUNCTION("""COMPUTED_VALUE"""),"Sports")</f>
        <v>Sports</v>
      </c>
      <c r="M456" s="26"/>
    </row>
    <row r="457">
      <c r="A457" s="12" t="str">
        <f>IFERROR(__xludf.DUMMYFUNCTION("""COMPUTED_VALUE"""),"Riddle of the Sphinx")</f>
        <v>Riddle of the Sphinx</v>
      </c>
      <c r="B457" s="13" t="str">
        <f>IFERROR(__xludf.DUMMYFUNCTION("""COMPUTED_VALUE"""),"Xbox / PC")</f>
        <v>Xbox / PC</v>
      </c>
      <c r="C457" s="14" t="str">
        <f>IFERROR(__xludf.DUMMYFUNCTION("""COMPUTED_VALUE"""),"Yes")</f>
        <v>Yes</v>
      </c>
      <c r="D457" s="14" t="str">
        <f>IFERROR(__xludf.DUMMYFUNCTION("""COMPUTED_VALUE"""),"Active")</f>
        <v>Active</v>
      </c>
      <c r="E457" s="15">
        <f>IFERROR(__xludf.DUMMYFUNCTION("""COMPUTED_VALUE"""),45798.0)</f>
        <v>45798</v>
      </c>
      <c r="F457" s="16"/>
      <c r="G457" s="18">
        <f>IFERROR(__xludf.DUMMYFUNCTION("""COMPUTED_VALUE"""),16.5)</f>
        <v>16.5</v>
      </c>
      <c r="H457" s="15">
        <f>IFERROR(__xludf.DUMMYFUNCTION("""COMPUTED_VALUE"""),30195.0)</f>
        <v>30195</v>
      </c>
      <c r="I457" s="18">
        <f>IFERROR(__xludf.DUMMYFUNCTION("""COMPUTED_VALUE"""),42.72222222222222)</f>
        <v>42.72222222</v>
      </c>
      <c r="J457" s="22">
        <f>IFERROR(__xludf.DUMMYFUNCTION("""COMPUTED_VALUE"""),70.0)</f>
        <v>70</v>
      </c>
      <c r="K457" s="22"/>
      <c r="L457" s="26" t="str">
        <f>IFERROR(__xludf.DUMMYFUNCTION("""COMPUTED_VALUE"""),"Action‑Adventure")</f>
        <v>Action‑Adventure</v>
      </c>
      <c r="M457" s="26"/>
    </row>
    <row r="458">
      <c r="A458" s="12" t="str">
        <f>IFERROR(__xludf.DUMMYFUNCTION("""COMPUTED_VALUE"""),"Madden NFL 25 (2024)")</f>
        <v>Madden NFL 25 (2024)</v>
      </c>
      <c r="B458" s="13" t="str">
        <f>IFERROR(__xludf.DUMMYFUNCTION("""COMPUTED_VALUE"""),"Xbox / PC")</f>
        <v>Xbox / PC</v>
      </c>
      <c r="C458" s="14" t="str">
        <f>IFERROR(__xludf.DUMMYFUNCTION("""COMPUTED_VALUE"""),"Yes")</f>
        <v>Yes</v>
      </c>
      <c r="D458" s="14" t="str">
        <f>IFERROR(__xludf.DUMMYFUNCTION("""COMPUTED_VALUE"""),"Active")</f>
        <v>Active</v>
      </c>
      <c r="E458" s="15">
        <f>IFERROR(__xludf.DUMMYFUNCTION("""COMPUTED_VALUE"""),45694.0)</f>
        <v>45694</v>
      </c>
      <c r="F458" s="16"/>
      <c r="G458" s="18">
        <f>IFERROR(__xludf.DUMMYFUNCTION("""COMPUTED_VALUE"""),20.0)</f>
        <v>20</v>
      </c>
      <c r="H458" s="15">
        <f>IFERROR(__xludf.DUMMYFUNCTION("""COMPUTED_VALUE"""),45520.0)</f>
        <v>45520</v>
      </c>
      <c r="I458" s="18">
        <f>IFERROR(__xludf.DUMMYFUNCTION("""COMPUTED_VALUE"""),0.4722222222222222)</f>
        <v>0.4722222222</v>
      </c>
      <c r="J458" s="22">
        <f>IFERROR(__xludf.DUMMYFUNCTION("""COMPUTED_VALUE"""),70.0)</f>
        <v>70</v>
      </c>
      <c r="K458" s="22">
        <f>IFERROR(__xludf.DUMMYFUNCTION("""COMPUTED_VALUE"""),3.1)</f>
        <v>3.1</v>
      </c>
      <c r="L458" s="26" t="str">
        <f>IFERROR(__xludf.DUMMYFUNCTION("""COMPUTED_VALUE"""),"Sports")</f>
        <v>Sports</v>
      </c>
      <c r="M458" s="26"/>
    </row>
    <row r="459">
      <c r="A459" s="12" t="str">
        <f>IFERROR(__xludf.DUMMYFUNCTION("""COMPUTED_VALUE"""),"Car Mechanic Simulator 2021")</f>
        <v>Car Mechanic Simulator 2021</v>
      </c>
      <c r="B459" s="13" t="str">
        <f>IFERROR(__xludf.DUMMYFUNCTION("""COMPUTED_VALUE"""),"Xbox / PC")</f>
        <v>Xbox / PC</v>
      </c>
      <c r="C459" s="14" t="str">
        <f>IFERROR(__xludf.DUMMYFUNCTION("""COMPUTED_VALUE"""),"Yes")</f>
        <v>Yes</v>
      </c>
      <c r="D459" s="14" t="str">
        <f>IFERROR(__xludf.DUMMYFUNCTION("""COMPUTED_VALUE"""),"Active")</f>
        <v>Active</v>
      </c>
      <c r="E459" s="15">
        <f>IFERROR(__xludf.DUMMYFUNCTION("""COMPUTED_VALUE"""),45078.0)</f>
        <v>45078</v>
      </c>
      <c r="F459" s="16"/>
      <c r="G459" s="18">
        <f>IFERROR(__xludf.DUMMYFUNCTION("""COMPUTED_VALUE"""),40.16666666666667)</f>
        <v>40.16666667</v>
      </c>
      <c r="H459" s="15">
        <f>IFERROR(__xludf.DUMMYFUNCTION("""COMPUTED_VALUE"""),44419.0)</f>
        <v>44419</v>
      </c>
      <c r="I459" s="18">
        <f>IFERROR(__xludf.DUMMYFUNCTION("""COMPUTED_VALUE"""),1.8055555555555556)</f>
        <v>1.805555556</v>
      </c>
      <c r="J459" s="22">
        <f>IFERROR(__xludf.DUMMYFUNCTION("""COMPUTED_VALUE"""),70.0)</f>
        <v>70</v>
      </c>
      <c r="K459" s="22">
        <f>IFERROR(__xludf.DUMMYFUNCTION("""COMPUTED_VALUE"""),23.0)</f>
        <v>23</v>
      </c>
      <c r="L459" s="26" t="str">
        <f>IFERROR(__xludf.DUMMYFUNCTION("""COMPUTED_VALUE"""),"Simulation")</f>
        <v>Simulation</v>
      </c>
      <c r="M459" s="26"/>
    </row>
    <row r="460">
      <c r="A460" s="12" t="str">
        <f>IFERROR(__xludf.DUMMYFUNCTION("""COMPUTED_VALUE"""),"Trailmakers")</f>
        <v>Trailmakers</v>
      </c>
      <c r="B460" s="13" t="str">
        <f>IFERROR(__xludf.DUMMYFUNCTION("""COMPUTED_VALUE"""),"Xbox / PC")</f>
        <v>Xbox / PC</v>
      </c>
      <c r="C460" s="14" t="str">
        <f>IFERROR(__xludf.DUMMYFUNCTION("""COMPUTED_VALUE"""),"Yes")</f>
        <v>Yes</v>
      </c>
      <c r="D460" s="14" t="str">
        <f>IFERROR(__xludf.DUMMYFUNCTION("""COMPUTED_VALUE"""),"Active")</f>
        <v>Active</v>
      </c>
      <c r="E460" s="15">
        <f>IFERROR(__xludf.DUMMYFUNCTION("""COMPUTED_VALUE"""),44049.0)</f>
        <v>44049</v>
      </c>
      <c r="F460" s="16"/>
      <c r="G460" s="18">
        <f>IFERROR(__xludf.DUMMYFUNCTION("""COMPUTED_VALUE"""),74.0)</f>
        <v>74</v>
      </c>
      <c r="H460" s="15">
        <f>IFERROR(__xludf.DUMMYFUNCTION("""COMPUTED_VALUE"""),43726.0)</f>
        <v>43726</v>
      </c>
      <c r="I460" s="18">
        <f>IFERROR(__xludf.DUMMYFUNCTION("""COMPUTED_VALUE"""),0.8833333333333333)</f>
        <v>0.8833333333</v>
      </c>
      <c r="J460" s="22">
        <f>IFERROR(__xludf.DUMMYFUNCTION("""COMPUTED_VALUE"""),70.0)</f>
        <v>70</v>
      </c>
      <c r="K460" s="22">
        <f>IFERROR(__xludf.DUMMYFUNCTION("""COMPUTED_VALUE"""),11.5)</f>
        <v>11.5</v>
      </c>
      <c r="L460" s="26" t="str">
        <f>IFERROR(__xludf.DUMMYFUNCTION("""COMPUTED_VALUE"""),"Racing")</f>
        <v>Racing</v>
      </c>
      <c r="M460" s="26"/>
    </row>
    <row r="461">
      <c r="A461" s="12" t="str">
        <f>IFERROR(__xludf.DUMMYFUNCTION("""COMPUTED_VALUE"""),"Bleeding Edge")</f>
        <v>Bleeding Edge</v>
      </c>
      <c r="B461" s="13" t="str">
        <f>IFERROR(__xludf.DUMMYFUNCTION("""COMPUTED_VALUE"""),"Xbox / PC")</f>
        <v>Xbox / PC</v>
      </c>
      <c r="C461" s="14" t="str">
        <f>IFERROR(__xludf.DUMMYFUNCTION("""COMPUTED_VALUE"""),"Yes")</f>
        <v>Yes</v>
      </c>
      <c r="D461" s="14" t="str">
        <f>IFERROR(__xludf.DUMMYFUNCTION("""COMPUTED_VALUE"""),"Active")</f>
        <v>Active</v>
      </c>
      <c r="E461" s="15">
        <f>IFERROR(__xludf.DUMMYFUNCTION("""COMPUTED_VALUE"""),43914.0)</f>
        <v>43914</v>
      </c>
      <c r="F461" s="16"/>
      <c r="G461" s="18">
        <f>IFERROR(__xludf.DUMMYFUNCTION("""COMPUTED_VALUE"""),78.4)</f>
        <v>78.4</v>
      </c>
      <c r="H461" s="15">
        <f>IFERROR(__xludf.DUMMYFUNCTION("""COMPUTED_VALUE"""),43914.0)</f>
        <v>43914</v>
      </c>
      <c r="I461" s="18">
        <f>IFERROR(__xludf.DUMMYFUNCTION("""COMPUTED_VALUE"""),0.0)</f>
        <v>0</v>
      </c>
      <c r="J461" s="22">
        <f>IFERROR(__xludf.DUMMYFUNCTION("""COMPUTED_VALUE"""),70.0)</f>
        <v>70</v>
      </c>
      <c r="K461" s="22">
        <f>IFERROR(__xludf.DUMMYFUNCTION("""COMPUTED_VALUE"""),6.5)</f>
        <v>6.5</v>
      </c>
      <c r="L461" s="26" t="str">
        <f>IFERROR(__xludf.DUMMYFUNCTION("""COMPUTED_VALUE"""),"Action")</f>
        <v>Action</v>
      </c>
      <c r="M461" s="26"/>
    </row>
    <row r="462">
      <c r="A462" s="12" t="str">
        <f>IFERROR(__xludf.DUMMYFUNCTION("""COMPUTED_VALUE"""),"The Bard's Tale IV: Director's Cut")</f>
        <v>The Bard's Tale IV: Director's Cut</v>
      </c>
      <c r="B462" s="13" t="str">
        <f>IFERROR(__xludf.DUMMYFUNCTION("""COMPUTED_VALUE"""),"Xbox / PC")</f>
        <v>Xbox / PC</v>
      </c>
      <c r="C462" s="14" t="str">
        <f>IFERROR(__xludf.DUMMYFUNCTION("""COMPUTED_VALUE"""),"Touch Controls")</f>
        <v>Touch Controls</v>
      </c>
      <c r="D462" s="14" t="str">
        <f>IFERROR(__xludf.DUMMYFUNCTION("""COMPUTED_VALUE"""),"Active")</f>
        <v>Active</v>
      </c>
      <c r="E462" s="15">
        <f>IFERROR(__xludf.DUMMYFUNCTION("""COMPUTED_VALUE"""),43704.0)</f>
        <v>43704</v>
      </c>
      <c r="F462" s="16"/>
      <c r="G462" s="18">
        <f>IFERROR(__xludf.DUMMYFUNCTION("""COMPUTED_VALUE"""),85.3)</f>
        <v>85.3</v>
      </c>
      <c r="H462" s="15">
        <f>IFERROR(__xludf.DUMMYFUNCTION("""COMPUTED_VALUE"""),43361.0)</f>
        <v>43361</v>
      </c>
      <c r="I462" s="18">
        <f>IFERROR(__xludf.DUMMYFUNCTION("""COMPUTED_VALUE"""),0.9416666666666667)</f>
        <v>0.9416666667</v>
      </c>
      <c r="J462" s="22">
        <f>IFERROR(__xludf.DUMMYFUNCTION("""COMPUTED_VALUE"""),70.0)</f>
        <v>70</v>
      </c>
      <c r="K462" s="22">
        <f>IFERROR(__xludf.DUMMYFUNCTION("""COMPUTED_VALUE"""),59.5)</f>
        <v>59.5</v>
      </c>
      <c r="L462" s="26" t="str">
        <f>IFERROR(__xludf.DUMMYFUNCTION("""COMPUTED_VALUE"""),"RPG")</f>
        <v>RPG</v>
      </c>
      <c r="M462" s="26"/>
    </row>
    <row r="463">
      <c r="A463" s="12" t="str">
        <f>IFERROR(__xludf.DUMMYFUNCTION("""COMPUTED_VALUE"""),"The Bard's Tale Trilogy")</f>
        <v>The Bard's Tale Trilogy</v>
      </c>
      <c r="B463" s="13" t="str">
        <f>IFERROR(__xludf.DUMMYFUNCTION("""COMPUTED_VALUE"""),"Xbox / PC")</f>
        <v>Xbox / PC</v>
      </c>
      <c r="C463" s="14" t="str">
        <f>IFERROR(__xludf.DUMMYFUNCTION("""COMPUTED_VALUE"""),"Touch Controls")</f>
        <v>Touch Controls</v>
      </c>
      <c r="D463" s="14" t="str">
        <f>IFERROR(__xludf.DUMMYFUNCTION("""COMPUTED_VALUE"""),"Active")</f>
        <v>Active</v>
      </c>
      <c r="E463" s="15">
        <f>IFERROR(__xludf.DUMMYFUNCTION("""COMPUTED_VALUE"""),43690.0)</f>
        <v>43690</v>
      </c>
      <c r="F463" s="16"/>
      <c r="G463" s="18">
        <f>IFERROR(__xludf.DUMMYFUNCTION("""COMPUTED_VALUE"""),85.76666666666667)</f>
        <v>85.76666667</v>
      </c>
      <c r="H463" s="15">
        <f>IFERROR(__xludf.DUMMYFUNCTION("""COMPUTED_VALUE"""),43326.0)</f>
        <v>43326</v>
      </c>
      <c r="I463" s="18">
        <f>IFERROR(__xludf.DUMMYFUNCTION("""COMPUTED_VALUE"""),0.9972222222222222)</f>
        <v>0.9972222222</v>
      </c>
      <c r="J463" s="22">
        <f>IFERROR(__xludf.DUMMYFUNCTION("""COMPUTED_VALUE"""),70.0)</f>
        <v>70</v>
      </c>
      <c r="K463" s="22">
        <f>IFERROR(__xludf.DUMMYFUNCTION("""COMPUTED_VALUE"""),24.0)</f>
        <v>24</v>
      </c>
      <c r="L463" s="26" t="str">
        <f>IFERROR(__xludf.DUMMYFUNCTION("""COMPUTED_VALUE"""),"RPG")</f>
        <v>RPG</v>
      </c>
      <c r="M463" s="26"/>
    </row>
    <row r="464">
      <c r="A464" s="12" t="str">
        <f>IFERROR(__xludf.DUMMYFUNCTION("""COMPUTED_VALUE"""),"Fuzion Frenzy")</f>
        <v>Fuzion Frenzy</v>
      </c>
      <c r="B464" s="13" t="str">
        <f>IFERROR(__xludf.DUMMYFUNCTION("""COMPUTED_VALUE"""),"Xbox / PC")</f>
        <v>Xbox / PC</v>
      </c>
      <c r="C464" s="14" t="str">
        <f>IFERROR(__xludf.DUMMYFUNCTION("""COMPUTED_VALUE"""),"Touch Controls")</f>
        <v>Touch Controls</v>
      </c>
      <c r="D464" s="14" t="str">
        <f>IFERROR(__xludf.DUMMYFUNCTION("""COMPUTED_VALUE"""),"Active")</f>
        <v>Active</v>
      </c>
      <c r="E464" s="15">
        <f>IFERROR(__xludf.DUMMYFUNCTION("""COMPUTED_VALUE"""),42887.0)</f>
        <v>42887</v>
      </c>
      <c r="F464" s="16"/>
      <c r="G464" s="18">
        <f>IFERROR(__xludf.DUMMYFUNCTION("""COMPUTED_VALUE"""),112.16666666666666)</f>
        <v>112.1666667</v>
      </c>
      <c r="H464" s="15">
        <f>IFERROR(__xludf.DUMMYFUNCTION("""COMPUTED_VALUE"""),37209.0)</f>
        <v>37209</v>
      </c>
      <c r="I464" s="18">
        <f>IFERROR(__xludf.DUMMYFUNCTION("""COMPUTED_VALUE"""),15.547222222222222)</f>
        <v>15.54722222</v>
      </c>
      <c r="J464" s="22">
        <f>IFERROR(__xludf.DUMMYFUNCTION("""COMPUTED_VALUE"""),70.0)</f>
        <v>70</v>
      </c>
      <c r="K464" s="22">
        <f>IFERROR(__xludf.DUMMYFUNCTION("""COMPUTED_VALUE"""),4.0)</f>
        <v>4</v>
      </c>
      <c r="L464" s="26" t="str">
        <f>IFERROR(__xludf.DUMMYFUNCTION("""COMPUTED_VALUE"""),"Minigame Collection")</f>
        <v>Minigame Collection</v>
      </c>
      <c r="M464" s="26"/>
    </row>
    <row r="465">
      <c r="A465" s="12" t="str">
        <f>IFERROR(__xludf.DUMMYFUNCTION("""COMPUTED_VALUE"""),"BattleTech: The Crescent Hawk's Revenge")</f>
        <v>BattleTech: The Crescent Hawk's Revenge</v>
      </c>
      <c r="B465" s="13" t="str">
        <f>IFERROR(__xludf.DUMMYFUNCTION("""COMPUTED_VALUE"""),"Xbox / PC")</f>
        <v>Xbox / PC</v>
      </c>
      <c r="C465" s="14" t="str">
        <f>IFERROR(__xludf.DUMMYFUNCTION("""COMPUTED_VALUE"""),"Yes")</f>
        <v>Yes</v>
      </c>
      <c r="D465" s="14" t="str">
        <f>IFERROR(__xludf.DUMMYFUNCTION("""COMPUTED_VALUE"""),"Active")</f>
        <v>Active</v>
      </c>
      <c r="E465" s="15">
        <f>IFERROR(__xludf.DUMMYFUNCTION("""COMPUTED_VALUE"""),45945.0)</f>
        <v>45945</v>
      </c>
      <c r="F465" s="16"/>
      <c r="G465" s="18">
        <f>IFERROR(__xludf.DUMMYFUNCTION("""COMPUTED_VALUE"""),11.7)</f>
        <v>11.7</v>
      </c>
      <c r="H465" s="15">
        <f>IFERROR(__xludf.DUMMYFUNCTION("""COMPUTED_VALUE"""),32874.0)</f>
        <v>32874</v>
      </c>
      <c r="I465" s="18">
        <f>IFERROR(__xludf.DUMMYFUNCTION("""COMPUTED_VALUE"""),35.78888888888889)</f>
        <v>35.78888889</v>
      </c>
      <c r="J465" s="22">
        <f>IFERROR(__xludf.DUMMYFUNCTION("""COMPUTED_VALUE"""),69.0)</f>
        <v>69</v>
      </c>
      <c r="K465" s="22"/>
      <c r="L465" s="26" t="str">
        <f>IFERROR(__xludf.DUMMYFUNCTION("""COMPUTED_VALUE"""),"Strategy")</f>
        <v>Strategy</v>
      </c>
      <c r="M465" s="26"/>
    </row>
    <row r="466">
      <c r="A466" s="12" t="str">
        <f>IFERROR(__xludf.DUMMYFUNCTION("""COMPUTED_VALUE"""),"Assassin's Creed Chronicles: China")</f>
        <v>Assassin's Creed Chronicles: China</v>
      </c>
      <c r="B466" s="13" t="str">
        <f>IFERROR(__xludf.DUMMYFUNCTION("""COMPUTED_VALUE"""),"Xbox / PC")</f>
        <v>Xbox / PC</v>
      </c>
      <c r="C466" s="14" t="str">
        <f>IFERROR(__xludf.DUMMYFUNCTION("""COMPUTED_VALUE"""),"Yes")</f>
        <v>Yes</v>
      </c>
      <c r="D466" s="14" t="str">
        <f>IFERROR(__xludf.DUMMYFUNCTION("""COMPUTED_VALUE"""),"Active")</f>
        <v>Active</v>
      </c>
      <c r="E466" s="15">
        <f>IFERROR(__xludf.DUMMYFUNCTION("""COMPUTED_VALUE"""),45931.0)</f>
        <v>45931</v>
      </c>
      <c r="F466" s="16"/>
      <c r="G466" s="18">
        <f>IFERROR(__xludf.DUMMYFUNCTION("""COMPUTED_VALUE"""),12.166666666666666)</f>
        <v>12.16666667</v>
      </c>
      <c r="H466" s="15">
        <f>IFERROR(__xludf.DUMMYFUNCTION("""COMPUTED_VALUE"""),42115.0)</f>
        <v>42115</v>
      </c>
      <c r="I466" s="18">
        <f>IFERROR(__xludf.DUMMYFUNCTION("""COMPUTED_VALUE"""),10.444444444444445)</f>
        <v>10.44444444</v>
      </c>
      <c r="J466" s="22">
        <f>IFERROR(__xludf.DUMMYFUNCTION("""COMPUTED_VALUE"""),69.0)</f>
        <v>69</v>
      </c>
      <c r="K466" s="22">
        <f>IFERROR(__xludf.DUMMYFUNCTION("""COMPUTED_VALUE"""),6.0)</f>
        <v>6</v>
      </c>
      <c r="L466" s="26" t="str">
        <f>IFERROR(__xludf.DUMMYFUNCTION("""COMPUTED_VALUE"""),"Action-Adventure")</f>
        <v>Action-Adventure</v>
      </c>
      <c r="M466" s="26"/>
    </row>
    <row r="467">
      <c r="A467" s="12" t="str">
        <f>IFERROR(__xludf.DUMMYFUNCTION("""COMPUTED_VALUE"""),"Rabbids: Party of Legends")</f>
        <v>Rabbids: Party of Legends</v>
      </c>
      <c r="B467" s="13" t="str">
        <f>IFERROR(__xludf.DUMMYFUNCTION("""COMPUTED_VALUE"""),"Xbox / PC")</f>
        <v>Xbox / PC</v>
      </c>
      <c r="C467" s="14" t="str">
        <f>IFERROR(__xludf.DUMMYFUNCTION("""COMPUTED_VALUE"""),"Yes")</f>
        <v>Yes</v>
      </c>
      <c r="D467" s="14" t="str">
        <f>IFERROR(__xludf.DUMMYFUNCTION("""COMPUTED_VALUE"""),"Active")</f>
        <v>Active</v>
      </c>
      <c r="E467" s="15">
        <f>IFERROR(__xludf.DUMMYFUNCTION("""COMPUTED_VALUE"""),45931.0)</f>
        <v>45931</v>
      </c>
      <c r="F467" s="16"/>
      <c r="G467" s="18">
        <f>IFERROR(__xludf.DUMMYFUNCTION("""COMPUTED_VALUE"""),12.166666666666666)</f>
        <v>12.16666667</v>
      </c>
      <c r="H467" s="15">
        <f>IFERROR(__xludf.DUMMYFUNCTION("""COMPUTED_VALUE"""),44742.0)</f>
        <v>44742</v>
      </c>
      <c r="I467" s="18">
        <f>IFERROR(__xludf.DUMMYFUNCTION("""COMPUTED_VALUE"""),3.2527777777777778)</f>
        <v>3.252777778</v>
      </c>
      <c r="J467" s="22">
        <f>IFERROR(__xludf.DUMMYFUNCTION("""COMPUTED_VALUE"""),69.0)</f>
        <v>69</v>
      </c>
      <c r="K467" s="22">
        <f>IFERROR(__xludf.DUMMYFUNCTION("""COMPUTED_VALUE"""),3.0)</f>
        <v>3</v>
      </c>
      <c r="L467" s="26" t="str">
        <f>IFERROR(__xludf.DUMMYFUNCTION("""COMPUTED_VALUE"""),"Party")</f>
        <v>Party</v>
      </c>
      <c r="M467" s="26"/>
    </row>
    <row r="468">
      <c r="A468" s="12" t="str">
        <f>IFERROR(__xludf.DUMMYFUNCTION("""COMPUTED_VALUE"""),"Immortals of Aveum")</f>
        <v>Immortals of Aveum</v>
      </c>
      <c r="B468" s="13" t="str">
        <f>IFERROR(__xludf.DUMMYFUNCTION("""COMPUTED_VALUE"""),"Xbox / PC")</f>
        <v>Xbox / PC</v>
      </c>
      <c r="C468" s="14" t="str">
        <f>IFERROR(__xludf.DUMMYFUNCTION("""COMPUTED_VALUE"""),"Yes")</f>
        <v>Yes</v>
      </c>
      <c r="D468" s="14" t="str">
        <f>IFERROR(__xludf.DUMMYFUNCTION("""COMPUTED_VALUE"""),"Active")</f>
        <v>Active</v>
      </c>
      <c r="E468" s="15">
        <f>IFERROR(__xludf.DUMMYFUNCTION("""COMPUTED_VALUE"""),45427.0)</f>
        <v>45427</v>
      </c>
      <c r="F468" s="16"/>
      <c r="G468" s="18">
        <f>IFERROR(__xludf.DUMMYFUNCTION("""COMPUTED_VALUE"""),28.7)</f>
        <v>28.7</v>
      </c>
      <c r="H468" s="15">
        <f>IFERROR(__xludf.DUMMYFUNCTION("""COMPUTED_VALUE"""),45160.0)</f>
        <v>45160</v>
      </c>
      <c r="I468" s="18">
        <f>IFERROR(__xludf.DUMMYFUNCTION("""COMPUTED_VALUE"""),0.7305555555555555)</f>
        <v>0.7305555556</v>
      </c>
      <c r="J468" s="22">
        <f>IFERROR(__xludf.DUMMYFUNCTION("""COMPUTED_VALUE"""),69.0)</f>
        <v>69</v>
      </c>
      <c r="K468" s="22">
        <f>IFERROR(__xludf.DUMMYFUNCTION("""COMPUTED_VALUE"""),15.0)</f>
        <v>15</v>
      </c>
      <c r="L468" s="26" t="str">
        <f>IFERROR(__xludf.DUMMYFUNCTION("""COMPUTED_VALUE"""),"Shooter")</f>
        <v>Shooter</v>
      </c>
      <c r="M468" s="26" t="str">
        <f>IFERROR(__xludf.DUMMYFUNCTION("""COMPUTED_VALUE"""),"Exclusive")</f>
        <v>Exclusive</v>
      </c>
    </row>
    <row r="469">
      <c r="A469" s="12" t="str">
        <f>IFERROR(__xludf.DUMMYFUNCTION("""COMPUTED_VALUE"""),"The Cave")</f>
        <v>The Cave</v>
      </c>
      <c r="B469" s="13" t="str">
        <f>IFERROR(__xludf.DUMMYFUNCTION("""COMPUTED_VALUE"""),"Xbox")</f>
        <v>Xbox</v>
      </c>
      <c r="C469" s="14" t="str">
        <f>IFERROR(__xludf.DUMMYFUNCTION("""COMPUTED_VALUE"""),"Yes")</f>
        <v>Yes</v>
      </c>
      <c r="D469" s="14" t="str">
        <f>IFERROR(__xludf.DUMMYFUNCTION("""COMPUTED_VALUE"""),"Active")</f>
        <v>Active</v>
      </c>
      <c r="E469" s="15">
        <f>IFERROR(__xludf.DUMMYFUNCTION("""COMPUTED_VALUE"""),45125.0)</f>
        <v>45125</v>
      </c>
      <c r="F469" s="16"/>
      <c r="G469" s="18">
        <f>IFERROR(__xludf.DUMMYFUNCTION("""COMPUTED_VALUE"""),38.6)</f>
        <v>38.6</v>
      </c>
      <c r="H469" s="15">
        <f>IFERROR(__xludf.DUMMYFUNCTION("""COMPUTED_VALUE"""),41600.0)</f>
        <v>41600</v>
      </c>
      <c r="I469" s="18">
        <f>IFERROR(__xludf.DUMMYFUNCTION("""COMPUTED_VALUE"""),9.655555555555555)</f>
        <v>9.655555556</v>
      </c>
      <c r="J469" s="22">
        <f>IFERROR(__xludf.DUMMYFUNCTION("""COMPUTED_VALUE"""),69.0)</f>
        <v>69</v>
      </c>
      <c r="K469" s="22">
        <f>IFERROR(__xludf.DUMMYFUNCTION("""COMPUTED_VALUE"""),5.0)</f>
        <v>5</v>
      </c>
      <c r="L469" s="26" t="str">
        <f>IFERROR(__xludf.DUMMYFUNCTION("""COMPUTED_VALUE"""),"Platformer")</f>
        <v>Platformer</v>
      </c>
      <c r="M469" s="26"/>
    </row>
    <row r="470">
      <c r="A470" s="12" t="str">
        <f>IFERROR(__xludf.DUMMYFUNCTION("""COMPUTED_VALUE"""),"Minecraft: Legends")</f>
        <v>Minecraft: Legends</v>
      </c>
      <c r="B470" s="13" t="str">
        <f>IFERROR(__xludf.DUMMYFUNCTION("""COMPUTED_VALUE"""),"Xbox / PC")</f>
        <v>Xbox / PC</v>
      </c>
      <c r="C470" s="14" t="str">
        <f>IFERROR(__xludf.DUMMYFUNCTION("""COMPUTED_VALUE"""),"Yes")</f>
        <v>Yes</v>
      </c>
      <c r="D470" s="14" t="str">
        <f>IFERROR(__xludf.DUMMYFUNCTION("""COMPUTED_VALUE"""),"Active")</f>
        <v>Active</v>
      </c>
      <c r="E470" s="15">
        <f>IFERROR(__xludf.DUMMYFUNCTION("""COMPUTED_VALUE"""),45034.0)</f>
        <v>45034</v>
      </c>
      <c r="F470" s="16"/>
      <c r="G470" s="18">
        <f>IFERROR(__xludf.DUMMYFUNCTION("""COMPUTED_VALUE"""),41.6)</f>
        <v>41.6</v>
      </c>
      <c r="H470" s="15">
        <f>IFERROR(__xludf.DUMMYFUNCTION("""COMPUTED_VALUE"""),45034.0)</f>
        <v>45034</v>
      </c>
      <c r="I470" s="18">
        <f>IFERROR(__xludf.DUMMYFUNCTION("""COMPUTED_VALUE"""),0.0)</f>
        <v>0</v>
      </c>
      <c r="J470" s="22">
        <f>IFERROR(__xludf.DUMMYFUNCTION("""COMPUTED_VALUE"""),69.0)</f>
        <v>69</v>
      </c>
      <c r="K470" s="22">
        <f>IFERROR(__xludf.DUMMYFUNCTION("""COMPUTED_VALUE"""),8.0)</f>
        <v>8</v>
      </c>
      <c r="L470" s="26" t="str">
        <f>IFERROR(__xludf.DUMMYFUNCTION("""COMPUTED_VALUE"""),"Action-Adventure")</f>
        <v>Action-Adventure</v>
      </c>
      <c r="M470" s="26" t="str">
        <f>IFERROR(__xludf.DUMMYFUNCTION("""COMPUTED_VALUE"""),"Exclusive")</f>
        <v>Exclusive</v>
      </c>
    </row>
    <row r="471">
      <c r="A471" s="12" t="str">
        <f>IFERROR(__xludf.DUMMYFUNCTION("""COMPUTED_VALUE"""),"No Man's Sky")</f>
        <v>No Man's Sky</v>
      </c>
      <c r="B471" s="13" t="str">
        <f>IFERROR(__xludf.DUMMYFUNCTION("""COMPUTED_VALUE"""),"Xbox / PC")</f>
        <v>Xbox / PC</v>
      </c>
      <c r="C471" s="14" t="str">
        <f>IFERROR(__xludf.DUMMYFUNCTION("""COMPUTED_VALUE"""),"Yes")</f>
        <v>Yes</v>
      </c>
      <c r="D471" s="14" t="str">
        <f>IFERROR(__xludf.DUMMYFUNCTION("""COMPUTED_VALUE"""),"Active")</f>
        <v>Active</v>
      </c>
      <c r="E471" s="15">
        <f>IFERROR(__xludf.DUMMYFUNCTION("""COMPUTED_VALUE"""),43993.0)</f>
        <v>43993</v>
      </c>
      <c r="F471" s="16"/>
      <c r="G471" s="18">
        <f>IFERROR(__xludf.DUMMYFUNCTION("""COMPUTED_VALUE"""),75.83333333333334)</f>
        <v>75.83333333</v>
      </c>
      <c r="H471" s="15">
        <f>IFERROR(__xludf.DUMMYFUNCTION("""COMPUTED_VALUE"""),42591.0)</f>
        <v>42591</v>
      </c>
      <c r="I471" s="18">
        <f>IFERROR(__xludf.DUMMYFUNCTION("""COMPUTED_VALUE"""),3.838888888888889)</f>
        <v>3.838888889</v>
      </c>
      <c r="J471" s="22">
        <f>IFERROR(__xludf.DUMMYFUNCTION("""COMPUTED_VALUE"""),69.0)</f>
        <v>69</v>
      </c>
      <c r="K471" s="22">
        <f>IFERROR(__xludf.DUMMYFUNCTION("""COMPUTED_VALUE"""),30.5)</f>
        <v>30.5</v>
      </c>
      <c r="L471" s="26" t="str">
        <f>IFERROR(__xludf.DUMMYFUNCTION("""COMPUTED_VALUE"""),"Action-Adventure")</f>
        <v>Action-Adventure</v>
      </c>
      <c r="M471" s="26" t="str">
        <f>IFERROR(__xludf.DUMMYFUNCTION("""COMPUTED_VALUE"""),"Optimized")</f>
        <v>Optimized</v>
      </c>
    </row>
    <row r="472">
      <c r="A472" s="12" t="str">
        <f>IFERROR(__xludf.DUMMYFUNCTION("""COMPUTED_VALUE"""),"ARK: Ultimate Survivor Edition ")</f>
        <v>ARK: Ultimate Survivor Edition </v>
      </c>
      <c r="B472" s="13" t="str">
        <f>IFERROR(__xludf.DUMMYFUNCTION("""COMPUTED_VALUE"""),"Xbox / PC")</f>
        <v>Xbox / PC</v>
      </c>
      <c r="C472" s="14" t="str">
        <f>IFERROR(__xludf.DUMMYFUNCTION("""COMPUTED_VALUE"""),"Yes")</f>
        <v>Yes</v>
      </c>
      <c r="D472" s="14" t="str">
        <f>IFERROR(__xludf.DUMMYFUNCTION("""COMPUTED_VALUE"""),"Active")</f>
        <v>Active</v>
      </c>
      <c r="E472" s="15">
        <f>IFERROR(__xludf.DUMMYFUNCTION("""COMPUTED_VALUE"""),43468.0)</f>
        <v>43468</v>
      </c>
      <c r="F472" s="16"/>
      <c r="G472" s="18">
        <f>IFERROR(__xludf.DUMMYFUNCTION("""COMPUTED_VALUE"""),93.10000000000001)</f>
        <v>93.1</v>
      </c>
      <c r="H472" s="15">
        <f>IFERROR(__xludf.DUMMYFUNCTION("""COMPUTED_VALUE"""),42710.0)</f>
        <v>42710</v>
      </c>
      <c r="I472" s="18">
        <f>IFERROR(__xludf.DUMMYFUNCTION("""COMPUTED_VALUE"""),2.075)</f>
        <v>2.075</v>
      </c>
      <c r="J472" s="22">
        <f>IFERROR(__xludf.DUMMYFUNCTION("""COMPUTED_VALUE"""),69.0)</f>
        <v>69</v>
      </c>
      <c r="K472" s="22">
        <f>IFERROR(__xludf.DUMMYFUNCTION("""COMPUTED_VALUE"""),123.0)</f>
        <v>123</v>
      </c>
      <c r="L472" s="26" t="str">
        <f>IFERROR(__xludf.DUMMYFUNCTION("""COMPUTED_VALUE"""),"Action-Adventure")</f>
        <v>Action-Adventure</v>
      </c>
      <c r="M472" s="26" t="str">
        <f>IFERROR(__xludf.DUMMYFUNCTION("""COMPUTED_VALUE"""),"Optimized")</f>
        <v>Optimized</v>
      </c>
    </row>
    <row r="473">
      <c r="A473" s="12" t="str">
        <f>IFERROR(__xludf.DUMMYFUNCTION("""COMPUTED_VALUE"""),"Sea of Thieves")</f>
        <v>Sea of Thieves</v>
      </c>
      <c r="B473" s="13" t="str">
        <f>IFERROR(__xludf.DUMMYFUNCTION("""COMPUTED_VALUE"""),"Xbox / PC")</f>
        <v>Xbox / PC</v>
      </c>
      <c r="C473" s="14" t="str">
        <f>IFERROR(__xludf.DUMMYFUNCTION("""COMPUTED_VALUE"""),"Touch Controls, M+KB")</f>
        <v>Touch Controls, M+KB</v>
      </c>
      <c r="D473" s="14" t="str">
        <f>IFERROR(__xludf.DUMMYFUNCTION("""COMPUTED_VALUE"""),"Active")</f>
        <v>Active</v>
      </c>
      <c r="E473" s="15">
        <f>IFERROR(__xludf.DUMMYFUNCTION("""COMPUTED_VALUE"""),43179.0)</f>
        <v>43179</v>
      </c>
      <c r="F473" s="16"/>
      <c r="G473" s="18">
        <f>IFERROR(__xludf.DUMMYFUNCTION("""COMPUTED_VALUE"""),102.53333333333333)</f>
        <v>102.5333333</v>
      </c>
      <c r="H473" s="15">
        <f>IFERROR(__xludf.DUMMYFUNCTION("""COMPUTED_VALUE"""),43179.0)</f>
        <v>43179</v>
      </c>
      <c r="I473" s="18">
        <f>IFERROR(__xludf.DUMMYFUNCTION("""COMPUTED_VALUE"""),0.0)</f>
        <v>0</v>
      </c>
      <c r="J473" s="22">
        <f>IFERROR(__xludf.DUMMYFUNCTION("""COMPUTED_VALUE"""),69.0)</f>
        <v>69</v>
      </c>
      <c r="K473" s="22">
        <f>IFERROR(__xludf.DUMMYFUNCTION("""COMPUTED_VALUE"""),33.5)</f>
        <v>33.5</v>
      </c>
      <c r="L473" s="26" t="str">
        <f>IFERROR(__xludf.DUMMYFUNCTION("""COMPUTED_VALUE"""),"Action-Adventure")</f>
        <v>Action-Adventure</v>
      </c>
      <c r="M473" s="26" t="str">
        <f>IFERROR(__xludf.DUMMYFUNCTION("""COMPUTED_VALUE"""),"Optimized")</f>
        <v>Optimized</v>
      </c>
    </row>
    <row r="474">
      <c r="A474" s="12" t="str">
        <f>IFERROR(__xludf.DUMMYFUNCTION("""COMPUTED_VALUE"""),"The Gunk")</f>
        <v>The Gunk</v>
      </c>
      <c r="B474" s="13" t="str">
        <f>IFERROR(__xludf.DUMMYFUNCTION("""COMPUTED_VALUE"""),"Xbox / PC")</f>
        <v>Xbox / PC</v>
      </c>
      <c r="C474" s="14" t="str">
        <f>IFERROR(__xludf.DUMMYFUNCTION("""COMPUTED_VALUE"""),"Touch Controls")</f>
        <v>Touch Controls</v>
      </c>
      <c r="D474" s="14" t="str">
        <f>IFERROR(__xludf.DUMMYFUNCTION("""COMPUTED_VALUE"""),"Active")</f>
        <v>Active</v>
      </c>
      <c r="E474" s="15">
        <f>IFERROR(__xludf.DUMMYFUNCTION("""COMPUTED_VALUE"""),44546.0)</f>
        <v>44546</v>
      </c>
      <c r="F474" s="16"/>
      <c r="G474" s="18">
        <f>IFERROR(__xludf.DUMMYFUNCTION("""COMPUTED_VALUE"""),57.666666666666664)</f>
        <v>57.66666667</v>
      </c>
      <c r="H474" s="15">
        <f>IFERROR(__xludf.DUMMYFUNCTION("""COMPUTED_VALUE"""),44546.0)</f>
        <v>44546</v>
      </c>
      <c r="I474" s="18">
        <f>IFERROR(__xludf.DUMMYFUNCTION("""COMPUTED_VALUE"""),0.0)</f>
        <v>0</v>
      </c>
      <c r="J474" s="22">
        <f>IFERROR(__xludf.DUMMYFUNCTION("""COMPUTED_VALUE"""),68.33333333333333)</f>
        <v>68.33333333</v>
      </c>
      <c r="K474" s="22">
        <f>IFERROR(__xludf.DUMMYFUNCTION("""COMPUTED_VALUE"""),4.5)</f>
        <v>4.5</v>
      </c>
      <c r="L474" s="26" t="str">
        <f>IFERROR(__xludf.DUMMYFUNCTION("""COMPUTED_VALUE"""),"Action-Adventure")</f>
        <v>Action-Adventure</v>
      </c>
      <c r="M474" s="26"/>
    </row>
    <row r="475">
      <c r="A475" s="12" t="str">
        <f>IFERROR(__xludf.DUMMYFUNCTION("""COMPUTED_VALUE"""),"Kiln")</f>
        <v>Kiln</v>
      </c>
      <c r="B475" s="13" t="str">
        <f>IFERROR(__xludf.DUMMYFUNCTION("""COMPUTED_VALUE"""),"Xbox / PC")</f>
        <v>Xbox / PC</v>
      </c>
      <c r="C475" s="14" t="str">
        <f>IFERROR(__xludf.DUMMYFUNCTION("""COMPUTED_VALUE"""),"Yes")</f>
        <v>Yes</v>
      </c>
      <c r="D475" s="14" t="str">
        <f>IFERROR(__xludf.DUMMYFUNCTION("""COMPUTED_VALUE"""),"Active")</f>
        <v>Active</v>
      </c>
      <c r="E475" s="15">
        <f>IFERROR(__xludf.DUMMYFUNCTION("""COMPUTED_VALUE"""),46135.0)</f>
        <v>46135</v>
      </c>
      <c r="F475" s="16"/>
      <c r="G475" s="18">
        <f>IFERROR(__xludf.DUMMYFUNCTION("""COMPUTED_VALUE"""),5.433333333333334)</f>
        <v>5.433333333</v>
      </c>
      <c r="H475" s="15">
        <f>IFERROR(__xludf.DUMMYFUNCTION("""COMPUTED_VALUE"""),46135.0)</f>
        <v>46135</v>
      </c>
      <c r="I475" s="18">
        <f>IFERROR(__xludf.DUMMYFUNCTION("""COMPUTED_VALUE"""),0.0)</f>
        <v>0</v>
      </c>
      <c r="J475" s="22">
        <f>IFERROR(__xludf.DUMMYFUNCTION("""COMPUTED_VALUE"""),68.0)</f>
        <v>68</v>
      </c>
      <c r="K475" s="22">
        <f>IFERROR(__xludf.DUMMYFUNCTION("""COMPUTED_VALUE"""),6.0)</f>
        <v>6</v>
      </c>
      <c r="L475" s="26" t="str">
        <f>IFERROR(__xludf.DUMMYFUNCTION("""COMPUTED_VALUE"""),"Shooter")</f>
        <v>Shooter</v>
      </c>
      <c r="M475" s="26" t="str">
        <f>IFERROR(__xludf.DUMMYFUNCTION("""COMPUTED_VALUE"""),"Exclusive")</f>
        <v>Exclusive</v>
      </c>
    </row>
    <row r="476">
      <c r="A476" s="12" t="str">
        <f>IFERROR(__xludf.DUMMYFUNCTION("""COMPUTED_VALUE"""),"Winter Burrow")</f>
        <v>Winter Burrow</v>
      </c>
      <c r="B476" s="13" t="str">
        <f>IFERROR(__xludf.DUMMYFUNCTION("""COMPUTED_VALUE"""),"Xbox / PC")</f>
        <v>Xbox / PC</v>
      </c>
      <c r="C476" s="14" t="str">
        <f>IFERROR(__xludf.DUMMYFUNCTION("""COMPUTED_VALUE"""),"Yes")</f>
        <v>Yes</v>
      </c>
      <c r="D476" s="14" t="str">
        <f>IFERROR(__xludf.DUMMYFUNCTION("""COMPUTED_VALUE"""),"Active")</f>
        <v>Active</v>
      </c>
      <c r="E476" s="15">
        <f>IFERROR(__xludf.DUMMYFUNCTION("""COMPUTED_VALUE"""),45973.0)</f>
        <v>45973</v>
      </c>
      <c r="F476" s="16"/>
      <c r="G476" s="18">
        <f>IFERROR(__xludf.DUMMYFUNCTION("""COMPUTED_VALUE"""),10.8)</f>
        <v>10.8</v>
      </c>
      <c r="H476" s="15">
        <f>IFERROR(__xludf.DUMMYFUNCTION("""COMPUTED_VALUE"""),45973.0)</f>
        <v>45973</v>
      </c>
      <c r="I476" s="18">
        <f>IFERROR(__xludf.DUMMYFUNCTION("""COMPUTED_VALUE"""),0.0)</f>
        <v>0</v>
      </c>
      <c r="J476" s="22">
        <f>IFERROR(__xludf.DUMMYFUNCTION("""COMPUTED_VALUE"""),68.0)</f>
        <v>68</v>
      </c>
      <c r="K476" s="22">
        <f>IFERROR(__xludf.DUMMYFUNCTION("""COMPUTED_VALUE"""),8.0)</f>
        <v>8</v>
      </c>
      <c r="L476" s="26" t="str">
        <f>IFERROR(__xludf.DUMMYFUNCTION("""COMPUTED_VALUE"""),"Action-Adventure")</f>
        <v>Action-Adventure</v>
      </c>
      <c r="M476" s="26"/>
    </row>
    <row r="477">
      <c r="A477" s="12" t="str">
        <f>IFERROR(__xludf.DUMMYFUNCTION("""COMPUTED_VALUE"""),"Subterranea")</f>
        <v>Subterranea</v>
      </c>
      <c r="B477" s="13" t="str">
        <f>IFERROR(__xludf.DUMMYFUNCTION("""COMPUTED_VALUE"""),"Xbox / PC")</f>
        <v>Xbox / PC</v>
      </c>
      <c r="C477" s="14" t="str">
        <f>IFERROR(__xludf.DUMMYFUNCTION("""COMPUTED_VALUE"""),"Yes")</f>
        <v>Yes</v>
      </c>
      <c r="D477" s="14" t="str">
        <f>IFERROR(__xludf.DUMMYFUNCTION("""COMPUTED_VALUE"""),"Active")</f>
        <v>Active</v>
      </c>
      <c r="E477" s="15">
        <f>IFERROR(__xludf.DUMMYFUNCTION("""COMPUTED_VALUE"""),45839.0)</f>
        <v>45839</v>
      </c>
      <c r="F477" s="16"/>
      <c r="G477" s="18">
        <f>IFERROR(__xludf.DUMMYFUNCTION("""COMPUTED_VALUE"""),15.166666666666666)</f>
        <v>15.16666667</v>
      </c>
      <c r="H477" s="15">
        <f>IFERROR(__xludf.DUMMYFUNCTION("""COMPUTED_VALUE"""),30317.0)</f>
        <v>30317</v>
      </c>
      <c r="I477" s="18">
        <f>IFERROR(__xludf.DUMMYFUNCTION("""COMPUTED_VALUE"""),42.5)</f>
        <v>42.5</v>
      </c>
      <c r="J477" s="22">
        <f>IFERROR(__xludf.DUMMYFUNCTION("""COMPUTED_VALUE"""),68.0)</f>
        <v>68</v>
      </c>
      <c r="K477" s="22"/>
      <c r="L477" s="26" t="str">
        <f>IFERROR(__xludf.DUMMYFUNCTION("""COMPUTED_VALUE"""),"Shooter")</f>
        <v>Shooter</v>
      </c>
      <c r="M477" s="26"/>
    </row>
    <row r="478">
      <c r="A478" s="12" t="str">
        <f>IFERROR(__xludf.DUMMYFUNCTION("""COMPUTED_VALUE"""),"Bridge")</f>
        <v>Bridge</v>
      </c>
      <c r="B478" s="13" t="str">
        <f>IFERROR(__xludf.DUMMYFUNCTION("""COMPUTED_VALUE"""),"Xbox / PC")</f>
        <v>Xbox / PC</v>
      </c>
      <c r="C478" s="14" t="str">
        <f>IFERROR(__xludf.DUMMYFUNCTION("""COMPUTED_VALUE"""),"Yes")</f>
        <v>Yes</v>
      </c>
      <c r="D478" s="14" t="str">
        <f>IFERROR(__xludf.DUMMYFUNCTION("""COMPUTED_VALUE"""),"Active")</f>
        <v>Active</v>
      </c>
      <c r="E478" s="15">
        <f>IFERROR(__xludf.DUMMYFUNCTION("""COMPUTED_VALUE"""),45798.0)</f>
        <v>45798</v>
      </c>
      <c r="F478" s="16"/>
      <c r="G478" s="18">
        <f>IFERROR(__xludf.DUMMYFUNCTION("""COMPUTED_VALUE"""),16.5)</f>
        <v>16.5</v>
      </c>
      <c r="H478" s="15">
        <f>IFERROR(__xludf.DUMMYFUNCTION("""COMPUTED_VALUE"""),29556.0)</f>
        <v>29556</v>
      </c>
      <c r="I478" s="18">
        <f>IFERROR(__xludf.DUMMYFUNCTION("""COMPUTED_VALUE"""),44.47222222222222)</f>
        <v>44.47222222</v>
      </c>
      <c r="J478" s="22">
        <f>IFERROR(__xludf.DUMMYFUNCTION("""COMPUTED_VALUE"""),68.0)</f>
        <v>68</v>
      </c>
      <c r="K478" s="22"/>
      <c r="L478" s="26" t="str">
        <f>IFERROR(__xludf.DUMMYFUNCTION("""COMPUTED_VALUE"""),"Strategy")</f>
        <v>Strategy</v>
      </c>
      <c r="M478" s="26"/>
    </row>
    <row r="479">
      <c r="A479" s="12" t="str">
        <f>IFERROR(__xludf.DUMMYFUNCTION("""COMPUTED_VALUE"""),"Eternal Strands")</f>
        <v>Eternal Strands</v>
      </c>
      <c r="B479" s="13" t="str">
        <f>IFERROR(__xludf.DUMMYFUNCTION("""COMPUTED_VALUE"""),"Xbox / PC")</f>
        <v>Xbox / PC</v>
      </c>
      <c r="C479" s="14" t="str">
        <f>IFERROR(__xludf.DUMMYFUNCTION("""COMPUTED_VALUE"""),"Yes")</f>
        <v>Yes</v>
      </c>
      <c r="D479" s="14" t="str">
        <f>IFERROR(__xludf.DUMMYFUNCTION("""COMPUTED_VALUE"""),"Active")</f>
        <v>Active</v>
      </c>
      <c r="E479" s="15">
        <f>IFERROR(__xludf.DUMMYFUNCTION("""COMPUTED_VALUE"""),45685.0)</f>
        <v>45685</v>
      </c>
      <c r="F479" s="16"/>
      <c r="G479" s="18">
        <f>IFERROR(__xludf.DUMMYFUNCTION("""COMPUTED_VALUE"""),20.266666666666666)</f>
        <v>20.26666667</v>
      </c>
      <c r="H479" s="15">
        <f>IFERROR(__xludf.DUMMYFUNCTION("""COMPUTED_VALUE"""),45685.0)</f>
        <v>45685</v>
      </c>
      <c r="I479" s="18">
        <f>IFERROR(__xludf.DUMMYFUNCTION("""COMPUTED_VALUE"""),0.0)</f>
        <v>0</v>
      </c>
      <c r="J479" s="22">
        <f>IFERROR(__xludf.DUMMYFUNCTION("""COMPUTED_VALUE"""),68.0)</f>
        <v>68</v>
      </c>
      <c r="K479" s="22">
        <f>IFERROR(__xludf.DUMMYFUNCTION("""COMPUTED_VALUE"""),18.0)</f>
        <v>18</v>
      </c>
      <c r="L479" s="26" t="str">
        <f>IFERROR(__xludf.DUMMYFUNCTION("""COMPUTED_VALUE"""),"Action-Adventure")</f>
        <v>Action-Adventure</v>
      </c>
      <c r="M479" s="26"/>
    </row>
    <row r="480">
      <c r="A480" s="119" t="str">
        <f>IFERROR(__xludf.DUMMYFUNCTION("""COMPUTED_VALUE"""),"Goat Simulator 3")</f>
        <v>Goat Simulator 3</v>
      </c>
      <c r="B480" s="13" t="str">
        <f>IFERROR(__xludf.DUMMYFUNCTION("""COMPUTED_VALUE"""),"Xbox / PC")</f>
        <v>Xbox / PC</v>
      </c>
      <c r="C480" s="14" t="str">
        <f>IFERROR(__xludf.DUMMYFUNCTION("""COMPUTED_VALUE"""),"Yes")</f>
        <v>Yes</v>
      </c>
      <c r="D480" s="14" t="str">
        <f>IFERROR(__xludf.DUMMYFUNCTION("""COMPUTED_VALUE"""),"Active")</f>
        <v>Active</v>
      </c>
      <c r="E480" s="15">
        <f>IFERROR(__xludf.DUMMYFUNCTION("""COMPUTED_VALUE"""),45267.0)</f>
        <v>45267</v>
      </c>
      <c r="F480" s="16"/>
      <c r="G480" s="18">
        <f>IFERROR(__xludf.DUMMYFUNCTION("""COMPUTED_VALUE"""),33.96666666666667)</f>
        <v>33.96666667</v>
      </c>
      <c r="H480" s="15">
        <f>IFERROR(__xludf.DUMMYFUNCTION("""COMPUTED_VALUE"""),44882.0)</f>
        <v>44882</v>
      </c>
      <c r="I480" s="18">
        <f>IFERROR(__xludf.DUMMYFUNCTION("""COMPUTED_VALUE"""),1.0555555555555556)</f>
        <v>1.055555556</v>
      </c>
      <c r="J480" s="22">
        <f>IFERROR(__xludf.DUMMYFUNCTION("""COMPUTED_VALUE"""),68.0)</f>
        <v>68</v>
      </c>
      <c r="K480" s="22">
        <f>IFERROR(__xludf.DUMMYFUNCTION("""COMPUTED_VALUE"""),8.0)</f>
        <v>8</v>
      </c>
      <c r="L480" s="26" t="str">
        <f>IFERROR(__xludf.DUMMYFUNCTION("""COMPUTED_VALUE"""),"Simulation")</f>
        <v>Simulation</v>
      </c>
      <c r="M480" s="26" t="str">
        <f>IFERROR(__xludf.DUMMYFUNCTION("""COMPUTED_VALUE"""),"Exclusive")</f>
        <v>Exclusive</v>
      </c>
    </row>
    <row r="481">
      <c r="A481" s="12" t="str">
        <f>IFERROR(__xludf.DUMMYFUNCTION("""COMPUTED_VALUE"""),"House Flipper")</f>
        <v>House Flipper</v>
      </c>
      <c r="B481" s="13" t="str">
        <f>IFERROR(__xludf.DUMMYFUNCTION("""COMPUTED_VALUE"""),"Xbox / PC")</f>
        <v>Xbox / PC</v>
      </c>
      <c r="C481" s="14" t="str">
        <f>IFERROR(__xludf.DUMMYFUNCTION("""COMPUTED_VALUE"""),"M+KB")</f>
        <v>M+KB</v>
      </c>
      <c r="D481" s="14" t="str">
        <f>IFERROR(__xludf.DUMMYFUNCTION("""COMPUTED_VALUE"""),"Active")</f>
        <v>Active</v>
      </c>
      <c r="E481" s="15">
        <f>IFERROR(__xludf.DUMMYFUNCTION("""COMPUTED_VALUE"""),44742.0)</f>
        <v>44742</v>
      </c>
      <c r="F481" s="16"/>
      <c r="G481" s="18">
        <f>IFERROR(__xludf.DUMMYFUNCTION("""COMPUTED_VALUE"""),51.2)</f>
        <v>51.2</v>
      </c>
      <c r="H481" s="15">
        <f>IFERROR(__xludf.DUMMYFUNCTION("""COMPUTED_VALUE"""),43237.0)</f>
        <v>43237</v>
      </c>
      <c r="I481" s="18">
        <f>IFERROR(__xludf.DUMMYFUNCTION("""COMPUTED_VALUE"""),4.1194444444444445)</f>
        <v>4.119444444</v>
      </c>
      <c r="J481" s="22">
        <f>IFERROR(__xludf.DUMMYFUNCTION("""COMPUTED_VALUE"""),68.0)</f>
        <v>68</v>
      </c>
      <c r="K481" s="22">
        <f>IFERROR(__xludf.DUMMYFUNCTION("""COMPUTED_VALUE"""),12.0)</f>
        <v>12</v>
      </c>
      <c r="L481" s="26" t="str">
        <f>IFERROR(__xludf.DUMMYFUNCTION("""COMPUTED_VALUE"""),"Simulation")</f>
        <v>Simulation</v>
      </c>
      <c r="M481" s="26"/>
    </row>
    <row r="482">
      <c r="A482" s="12" t="str">
        <f>IFERROR(__xludf.DUMMYFUNCTION("""COMPUTED_VALUE"""),"Fallout 76")</f>
        <v>Fallout 76</v>
      </c>
      <c r="B482" s="13" t="str">
        <f>IFERROR(__xludf.DUMMYFUNCTION("""COMPUTED_VALUE"""),"Xbox / PC")</f>
        <v>Xbox / PC</v>
      </c>
      <c r="C482" s="14" t="str">
        <f>IFERROR(__xludf.DUMMYFUNCTION("""COMPUTED_VALUE"""),"Yes")</f>
        <v>Yes</v>
      </c>
      <c r="D482" s="14" t="str">
        <f>IFERROR(__xludf.DUMMYFUNCTION("""COMPUTED_VALUE"""),"Active")</f>
        <v>Active</v>
      </c>
      <c r="E482" s="15">
        <f>IFERROR(__xludf.DUMMYFUNCTION("""COMPUTED_VALUE"""),44021.0)</f>
        <v>44021</v>
      </c>
      <c r="F482" s="16"/>
      <c r="G482" s="18">
        <f>IFERROR(__xludf.DUMMYFUNCTION("""COMPUTED_VALUE"""),74.89999999999999)</f>
        <v>74.9</v>
      </c>
      <c r="H482" s="15">
        <f>IFERROR(__xludf.DUMMYFUNCTION("""COMPUTED_VALUE"""),43418.0)</f>
        <v>43418</v>
      </c>
      <c r="I482" s="18">
        <f>IFERROR(__xludf.DUMMYFUNCTION("""COMPUTED_VALUE"""),1.6527777777777777)</f>
        <v>1.652777778</v>
      </c>
      <c r="J482" s="22">
        <f>IFERROR(__xludf.DUMMYFUNCTION("""COMPUTED_VALUE"""),68.0)</f>
        <v>68</v>
      </c>
      <c r="K482" s="22">
        <f>IFERROR(__xludf.DUMMYFUNCTION("""COMPUTED_VALUE"""),29.5)</f>
        <v>29.5</v>
      </c>
      <c r="L482" s="26" t="str">
        <f>IFERROR(__xludf.DUMMYFUNCTION("""COMPUTED_VALUE"""),"RPG")</f>
        <v>RPG</v>
      </c>
      <c r="M482" s="26" t="str">
        <f>IFERROR(__xludf.DUMMYFUNCTION("""COMPUTED_VALUE"""),"FPS Boost")</f>
        <v>FPS Boost</v>
      </c>
    </row>
    <row r="483">
      <c r="A483" s="12" t="str">
        <f>IFERROR(__xludf.DUMMYFUNCTION("""COMPUTED_VALUE"""),"Wolfenstein: Youngblood")</f>
        <v>Wolfenstein: Youngblood</v>
      </c>
      <c r="B483" s="13" t="str">
        <f>IFERROR(__xludf.DUMMYFUNCTION("""COMPUTED_VALUE"""),"Xbox / PC")</f>
        <v>Xbox / PC</v>
      </c>
      <c r="C483" s="14" t="str">
        <f>IFERROR(__xludf.DUMMYFUNCTION("""COMPUTED_VALUE"""),"Yes")</f>
        <v>Yes</v>
      </c>
      <c r="D483" s="14" t="str">
        <f>IFERROR(__xludf.DUMMYFUNCTION("""COMPUTED_VALUE"""),"Active")</f>
        <v>Active</v>
      </c>
      <c r="E483" s="15">
        <f>IFERROR(__xludf.DUMMYFUNCTION("""COMPUTED_VALUE"""),43867.0)</f>
        <v>43867</v>
      </c>
      <c r="F483" s="16"/>
      <c r="G483" s="18">
        <f>IFERROR(__xludf.DUMMYFUNCTION("""COMPUTED_VALUE"""),80.0)</f>
        <v>80</v>
      </c>
      <c r="H483" s="15">
        <f>IFERROR(__xludf.DUMMYFUNCTION("""COMPUTED_VALUE"""),43671.0)</f>
        <v>43671</v>
      </c>
      <c r="I483" s="18">
        <f>IFERROR(__xludf.DUMMYFUNCTION("""COMPUTED_VALUE"""),0.5305555555555556)</f>
        <v>0.5305555556</v>
      </c>
      <c r="J483" s="22">
        <f>IFERROR(__xludf.DUMMYFUNCTION("""COMPUTED_VALUE"""),68.0)</f>
        <v>68</v>
      </c>
      <c r="K483" s="22">
        <f>IFERROR(__xludf.DUMMYFUNCTION("""COMPUTED_VALUE"""),9.0)</f>
        <v>9</v>
      </c>
      <c r="L483" s="26" t="str">
        <f>IFERROR(__xludf.DUMMYFUNCTION("""COMPUTED_VALUE"""),"Shooter")</f>
        <v>Shooter</v>
      </c>
      <c r="M483" s="26"/>
    </row>
    <row r="484">
      <c r="A484" s="12" t="str">
        <f>IFERROR(__xludf.DUMMYFUNCTION("""COMPUTED_VALUE"""),"Rush: A Disney Pixar Adventure")</f>
        <v>Rush: A Disney Pixar Adventure</v>
      </c>
      <c r="B484" s="13" t="str">
        <f>IFERROR(__xludf.DUMMYFUNCTION("""COMPUTED_VALUE"""),"Xbox / PC")</f>
        <v>Xbox / PC</v>
      </c>
      <c r="C484" s="14" t="str">
        <f>IFERROR(__xludf.DUMMYFUNCTION("""COMPUTED_VALUE"""),"Yes")</f>
        <v>Yes</v>
      </c>
      <c r="D484" s="14" t="str">
        <f>IFERROR(__xludf.DUMMYFUNCTION("""COMPUTED_VALUE"""),"Active")</f>
        <v>Active</v>
      </c>
      <c r="E484" s="15">
        <f>IFERROR(__xludf.DUMMYFUNCTION("""COMPUTED_VALUE"""),43313.0)</f>
        <v>43313</v>
      </c>
      <c r="F484" s="16"/>
      <c r="G484" s="18">
        <f>IFERROR(__xludf.DUMMYFUNCTION("""COMPUTED_VALUE"""),98.16666666666666)</f>
        <v>98.16666667</v>
      </c>
      <c r="H484" s="15">
        <f>IFERROR(__xludf.DUMMYFUNCTION("""COMPUTED_VALUE"""),40988.0)</f>
        <v>40988</v>
      </c>
      <c r="I484" s="18">
        <f>IFERROR(__xludf.DUMMYFUNCTION("""COMPUTED_VALUE"""),6.363888888888889)</f>
        <v>6.363888889</v>
      </c>
      <c r="J484" s="22">
        <f>IFERROR(__xludf.DUMMYFUNCTION("""COMPUTED_VALUE"""),68.0)</f>
        <v>68</v>
      </c>
      <c r="K484" s="22">
        <f>IFERROR(__xludf.DUMMYFUNCTION("""COMPUTED_VALUE"""),3.0)</f>
        <v>3</v>
      </c>
      <c r="L484" s="26" t="str">
        <f>IFERROR(__xludf.DUMMYFUNCTION("""COMPUTED_VALUE"""),"Platformer")</f>
        <v>Platformer</v>
      </c>
      <c r="M484" s="26"/>
    </row>
    <row r="485">
      <c r="A485" s="12" t="str">
        <f>IFERROR(__xludf.DUMMYFUNCTION("""COMPUTED_VALUE"""),"Fable Anniversary")</f>
        <v>Fable Anniversary</v>
      </c>
      <c r="B485" s="13" t="str">
        <f>IFERROR(__xludf.DUMMYFUNCTION("""COMPUTED_VALUE"""),"Xbox")</f>
        <v>Xbox</v>
      </c>
      <c r="C485" s="14" t="str">
        <f>IFERROR(__xludf.DUMMYFUNCTION("""COMPUTED_VALUE"""),"Touch Controls")</f>
        <v>Touch Controls</v>
      </c>
      <c r="D485" s="14" t="str">
        <f>IFERROR(__xludf.DUMMYFUNCTION("""COMPUTED_VALUE"""),"Active")</f>
        <v>Active</v>
      </c>
      <c r="E485" s="15">
        <f>IFERROR(__xludf.DUMMYFUNCTION("""COMPUTED_VALUE"""),43132.0)</f>
        <v>43132</v>
      </c>
      <c r="F485" s="16"/>
      <c r="G485" s="18">
        <f>IFERROR(__xludf.DUMMYFUNCTION("""COMPUTED_VALUE"""),104.16666666666666)</f>
        <v>104.1666667</v>
      </c>
      <c r="H485" s="15">
        <f>IFERROR(__xludf.DUMMYFUNCTION("""COMPUTED_VALUE"""),41674.0)</f>
        <v>41674</v>
      </c>
      <c r="I485" s="18">
        <f>IFERROR(__xludf.DUMMYFUNCTION("""COMPUTED_VALUE"""),3.9916666666666667)</f>
        <v>3.991666667</v>
      </c>
      <c r="J485" s="22">
        <f>IFERROR(__xludf.DUMMYFUNCTION("""COMPUTED_VALUE"""),68.0)</f>
        <v>68</v>
      </c>
      <c r="K485" s="22">
        <f>IFERROR(__xludf.DUMMYFUNCTION("""COMPUTED_VALUE"""),14.0)</f>
        <v>14</v>
      </c>
      <c r="L485" s="26" t="str">
        <f>IFERROR(__xludf.DUMMYFUNCTION("""COMPUTED_VALUE"""),"RPG")</f>
        <v>RPG</v>
      </c>
      <c r="M485" s="26"/>
    </row>
    <row r="486">
      <c r="A486" s="12" t="str">
        <f>IFERROR(__xludf.DUMMYFUNCTION("""COMPUTED_VALUE"""),"The Casting of Frank Stone")</f>
        <v>The Casting of Frank Stone</v>
      </c>
      <c r="B486" s="13" t="str">
        <f>IFERROR(__xludf.DUMMYFUNCTION("""COMPUTED_VALUE"""),"Xbox / PC")</f>
        <v>Xbox / PC</v>
      </c>
      <c r="C486" s="14" t="str">
        <f>IFERROR(__xludf.DUMMYFUNCTION("""COMPUTED_VALUE"""),"Yes")</f>
        <v>Yes</v>
      </c>
      <c r="D486" s="14" t="str">
        <f>IFERROR(__xludf.DUMMYFUNCTION("""COMPUTED_VALUE"""),"Leaving Soon")</f>
        <v>Leaving Soon</v>
      </c>
      <c r="E486" s="15">
        <f>IFERROR(__xludf.DUMMYFUNCTION("""COMPUTED_VALUE"""),45944.0)</f>
        <v>45944</v>
      </c>
      <c r="F486" s="16">
        <f>IFERROR(__xludf.DUMMYFUNCTION("""COMPUTED_VALUE"""),46310.0)</f>
        <v>46310</v>
      </c>
      <c r="G486" s="18">
        <f>IFERROR(__xludf.DUMMYFUNCTION("""COMPUTED_VALUE"""),12.033333333333333)</f>
        <v>12.03333333</v>
      </c>
      <c r="H486" s="15">
        <f>IFERROR(__xludf.DUMMYFUNCTION("""COMPUTED_VALUE"""),45538.0)</f>
        <v>45538</v>
      </c>
      <c r="I486" s="18">
        <f>IFERROR(__xludf.DUMMYFUNCTION("""COMPUTED_VALUE"""),1.113888888888889)</f>
        <v>1.113888889</v>
      </c>
      <c r="J486" s="22">
        <f>IFERROR(__xludf.DUMMYFUNCTION("""COMPUTED_VALUE"""),68.0)</f>
        <v>68</v>
      </c>
      <c r="K486" s="22">
        <f>IFERROR(__xludf.DUMMYFUNCTION("""COMPUTED_VALUE"""),6.0)</f>
        <v>6</v>
      </c>
      <c r="L486" s="26" t="str">
        <f>IFERROR(__xludf.DUMMYFUNCTION("""COMPUTED_VALUE"""),"Action-Adventure")</f>
        <v>Action-Adventure</v>
      </c>
      <c r="M486" s="26" t="str">
        <f>IFERROR(__xludf.DUMMYFUNCTION("""COMPUTED_VALUE"""),"Exclusive")</f>
        <v>Exclusive</v>
      </c>
    </row>
    <row r="487">
      <c r="A487" s="12" t="str">
        <f>IFERROR(__xludf.DUMMYFUNCTION("""COMPUTED_VALUE"""),"My Friend Peppa Pig")</f>
        <v>My Friend Peppa Pig</v>
      </c>
      <c r="B487" s="13" t="str">
        <f>IFERROR(__xludf.DUMMYFUNCTION("""COMPUTED_VALUE"""),"Xbox / PC")</f>
        <v>Xbox / PC</v>
      </c>
      <c r="C487" s="14" t="str">
        <f>IFERROR(__xludf.DUMMYFUNCTION("""COMPUTED_VALUE"""),"Touch Controls")</f>
        <v>Touch Controls</v>
      </c>
      <c r="D487" s="14" t="str">
        <f>IFERROR(__xludf.DUMMYFUNCTION("""COMPUTED_VALUE"""),"Active")</f>
        <v>Active</v>
      </c>
      <c r="E487" s="15">
        <f>IFERROR(__xludf.DUMMYFUNCTION("""COMPUTED_VALUE"""),46162.0)</f>
        <v>46162</v>
      </c>
      <c r="F487" s="16"/>
      <c r="G487" s="18">
        <f>IFERROR(__xludf.DUMMYFUNCTION("""COMPUTED_VALUE"""),4.533333333333333)</f>
        <v>4.533333333</v>
      </c>
      <c r="H487" s="15">
        <f>IFERROR(__xludf.DUMMYFUNCTION("""COMPUTED_VALUE"""),44491.0)</f>
        <v>44491</v>
      </c>
      <c r="I487" s="18">
        <f>IFERROR(__xludf.DUMMYFUNCTION("""COMPUTED_VALUE"""),4.5777777777777775)</f>
        <v>4.577777778</v>
      </c>
      <c r="J487" s="22">
        <f>IFERROR(__xludf.DUMMYFUNCTION("""COMPUTED_VALUE"""),67.0)</f>
        <v>67</v>
      </c>
      <c r="K487" s="22">
        <f>IFERROR(__xludf.DUMMYFUNCTION("""COMPUTED_VALUE"""),3.0)</f>
        <v>3</v>
      </c>
      <c r="L487" s="26" t="str">
        <f>IFERROR(__xludf.DUMMYFUNCTION("""COMPUTED_VALUE"""),"Action-Adventure")</f>
        <v>Action-Adventure</v>
      </c>
      <c r="M487" s="26"/>
    </row>
    <row r="488">
      <c r="A488" s="12" t="str">
        <f>IFERROR(__xludf.DUMMYFUNCTION("""COMPUTED_VALUE"""),"Final Fantasy IV")</f>
        <v>Final Fantasy IV</v>
      </c>
      <c r="B488" s="13" t="str">
        <f>IFERROR(__xludf.DUMMYFUNCTION("""COMPUTED_VALUE"""),"Xbox / PC")</f>
        <v>Xbox / PC</v>
      </c>
      <c r="C488" s="14" t="str">
        <f>IFERROR(__xludf.DUMMYFUNCTION("""COMPUTED_VALUE"""),"Yes")</f>
        <v>Yes</v>
      </c>
      <c r="D488" s="14" t="str">
        <f>IFERROR(__xludf.DUMMYFUNCTION("""COMPUTED_VALUE"""),"Active")</f>
        <v>Active</v>
      </c>
      <c r="E488" s="15">
        <f>IFERROR(__xludf.DUMMYFUNCTION("""COMPUTED_VALUE"""),46119.0)</f>
        <v>46119</v>
      </c>
      <c r="F488" s="16"/>
      <c r="G488" s="18">
        <f>IFERROR(__xludf.DUMMYFUNCTION("""COMPUTED_VALUE"""),5.966666666666667)</f>
        <v>5.966666667</v>
      </c>
      <c r="H488" s="15">
        <f>IFERROR(__xludf.DUMMYFUNCTION("""COMPUTED_VALUE"""),41899.0)</f>
        <v>41899</v>
      </c>
      <c r="I488" s="18">
        <f>IFERROR(__xludf.DUMMYFUNCTION("""COMPUTED_VALUE"""),11.555555555555555)</f>
        <v>11.55555556</v>
      </c>
      <c r="J488" s="22">
        <f>IFERROR(__xludf.DUMMYFUNCTION("""COMPUTED_VALUE"""),67.0)</f>
        <v>67</v>
      </c>
      <c r="K488" s="22">
        <f>IFERROR(__xludf.DUMMYFUNCTION("""COMPUTED_VALUE"""),23.0)</f>
        <v>23</v>
      </c>
      <c r="L488" s="26" t="str">
        <f>IFERROR(__xludf.DUMMYFUNCTION("""COMPUTED_VALUE"""),"RPG")</f>
        <v>RPG</v>
      </c>
      <c r="M488" s="26" t="str">
        <f>IFERROR(__xludf.DUMMYFUNCTION("""COMPUTED_VALUE"""),"Exclusive")</f>
        <v>Exclusive</v>
      </c>
    </row>
    <row r="489">
      <c r="A489" s="12" t="str">
        <f>IFERROR(__xludf.DUMMYFUNCTION("""COMPUTED_VALUE"""),"FINAL FANTASY")</f>
        <v>FINAL FANTASY</v>
      </c>
      <c r="B489" s="13" t="str">
        <f>IFERROR(__xludf.DUMMYFUNCTION("""COMPUTED_VALUE"""),"Xbox / PC")</f>
        <v>Xbox / PC</v>
      </c>
      <c r="C489" s="14" t="str">
        <f>IFERROR(__xludf.DUMMYFUNCTION("""COMPUTED_VALUE"""),"Yes")</f>
        <v>Yes</v>
      </c>
      <c r="D489" s="14" t="str">
        <f>IFERROR(__xludf.DUMMYFUNCTION("""COMPUTED_VALUE"""),"Active")</f>
        <v>Active</v>
      </c>
      <c r="E489" s="15">
        <f>IFERROR(__xludf.DUMMYFUNCTION("""COMPUTED_VALUE"""),46030.0)</f>
        <v>46030</v>
      </c>
      <c r="F489" s="16"/>
      <c r="G489" s="18">
        <f>IFERROR(__xludf.DUMMYFUNCTION("""COMPUTED_VALUE"""),8.933333333333334)</f>
        <v>8.933333333</v>
      </c>
      <c r="H489" s="15">
        <f>IFERROR(__xludf.DUMMYFUNCTION("""COMPUTED_VALUE"""),39259.0)</f>
        <v>39259</v>
      </c>
      <c r="I489" s="18">
        <f>IFERROR(__xludf.DUMMYFUNCTION("""COMPUTED_VALUE"""),18.533333333333335)</f>
        <v>18.53333333</v>
      </c>
      <c r="J489" s="22">
        <f>IFERROR(__xludf.DUMMYFUNCTION("""COMPUTED_VALUE"""),67.0)</f>
        <v>67</v>
      </c>
      <c r="K489" s="22">
        <f>IFERROR(__xludf.DUMMYFUNCTION("""COMPUTED_VALUE"""),16.0)</f>
        <v>16</v>
      </c>
      <c r="L489" s="26" t="str">
        <f>IFERROR(__xludf.DUMMYFUNCTION("""COMPUTED_VALUE"""),"Action-Adventure")</f>
        <v>Action-Adventure</v>
      </c>
      <c r="M489" s="26" t="str">
        <f>IFERROR(__xludf.DUMMYFUNCTION("""COMPUTED_VALUE"""),"Exclusive")</f>
        <v>Exclusive</v>
      </c>
    </row>
    <row r="490">
      <c r="A490" s="12" t="str">
        <f>IFERROR(__xludf.DUMMYFUNCTION("""COMPUTED_VALUE"""),"High on Life")</f>
        <v>High on Life</v>
      </c>
      <c r="B490" s="13" t="str">
        <f>IFERROR(__xludf.DUMMYFUNCTION("""COMPUTED_VALUE"""),"Xbox / PC")</f>
        <v>Xbox / PC</v>
      </c>
      <c r="C490" s="14" t="str">
        <f>IFERROR(__xludf.DUMMYFUNCTION("""COMPUTED_VALUE"""),"M+KB")</f>
        <v>M+KB</v>
      </c>
      <c r="D490" s="14" t="str">
        <f>IFERROR(__xludf.DUMMYFUNCTION("""COMPUTED_VALUE"""),"Active")</f>
        <v>Active</v>
      </c>
      <c r="E490" s="15">
        <f>IFERROR(__xludf.DUMMYFUNCTION("""COMPUTED_VALUE"""),45853.0)</f>
        <v>45853</v>
      </c>
      <c r="F490" s="16"/>
      <c r="G490" s="18">
        <f>IFERROR(__xludf.DUMMYFUNCTION("""COMPUTED_VALUE"""),14.700000000000001)</f>
        <v>14.7</v>
      </c>
      <c r="H490" s="15">
        <f>IFERROR(__xludf.DUMMYFUNCTION("""COMPUTED_VALUE"""),44908.0)</f>
        <v>44908</v>
      </c>
      <c r="I490" s="18">
        <f>IFERROR(__xludf.DUMMYFUNCTION("""COMPUTED_VALUE"""),2.588888888888889)</f>
        <v>2.588888889</v>
      </c>
      <c r="J490" s="22">
        <f>IFERROR(__xludf.DUMMYFUNCTION("""COMPUTED_VALUE"""),67.0)</f>
        <v>67</v>
      </c>
      <c r="K490" s="22">
        <f>IFERROR(__xludf.DUMMYFUNCTION("""COMPUTED_VALUE"""),9.0)</f>
        <v>9</v>
      </c>
      <c r="L490" s="26" t="str">
        <f>IFERROR(__xludf.DUMMYFUNCTION("""COMPUTED_VALUE"""),"Shooter")</f>
        <v>Shooter</v>
      </c>
      <c r="M490" s="26"/>
    </row>
    <row r="491">
      <c r="A491" s="12" t="str">
        <f>IFERROR(__xludf.DUMMYFUNCTION("""COMPUTED_VALUE"""),"Cosmic Commuter")</f>
        <v>Cosmic Commuter</v>
      </c>
      <c r="B491" s="13" t="str">
        <f>IFERROR(__xludf.DUMMYFUNCTION("""COMPUTED_VALUE"""),"Xbox / PC")</f>
        <v>Xbox / PC</v>
      </c>
      <c r="C491" s="14" t="str">
        <f>IFERROR(__xludf.DUMMYFUNCTION("""COMPUTED_VALUE"""),"Yes")</f>
        <v>Yes</v>
      </c>
      <c r="D491" s="14" t="str">
        <f>IFERROR(__xludf.DUMMYFUNCTION("""COMPUTED_VALUE"""),"Active")</f>
        <v>Active</v>
      </c>
      <c r="E491" s="15">
        <f>IFERROR(__xludf.DUMMYFUNCTION("""COMPUTED_VALUE"""),45839.0)</f>
        <v>45839</v>
      </c>
      <c r="F491" s="16"/>
      <c r="G491" s="18">
        <f>IFERROR(__xludf.DUMMYFUNCTION("""COMPUTED_VALUE"""),15.166666666666666)</f>
        <v>15.16666667</v>
      </c>
      <c r="H491" s="15">
        <f>IFERROR(__xludf.DUMMYFUNCTION("""COMPUTED_VALUE"""),31048.0)</f>
        <v>31048</v>
      </c>
      <c r="I491" s="18">
        <f>IFERROR(__xludf.DUMMYFUNCTION("""COMPUTED_VALUE"""),40.5)</f>
        <v>40.5</v>
      </c>
      <c r="J491" s="22">
        <f>IFERROR(__xludf.DUMMYFUNCTION("""COMPUTED_VALUE"""),67.0)</f>
        <v>67</v>
      </c>
      <c r="K491" s="22"/>
      <c r="L491" s="26" t="str">
        <f>IFERROR(__xludf.DUMMYFUNCTION("""COMPUTED_VALUE"""),"Shooter")</f>
        <v>Shooter</v>
      </c>
      <c r="M491" s="26"/>
    </row>
    <row r="492">
      <c r="A492" s="12" t="str">
        <f>IFERROR(__xludf.DUMMYFUNCTION("""COMPUTED_VALUE"""),"Freeway")</f>
        <v>Freeway</v>
      </c>
      <c r="B492" s="13" t="str">
        <f>IFERROR(__xludf.DUMMYFUNCTION("""COMPUTED_VALUE"""),"Xbox / PC")</f>
        <v>Xbox / PC</v>
      </c>
      <c r="C492" s="14" t="str">
        <f>IFERROR(__xludf.DUMMYFUNCTION("""COMPUTED_VALUE"""),"Yes")</f>
        <v>Yes</v>
      </c>
      <c r="D492" s="14" t="str">
        <f>IFERROR(__xludf.DUMMYFUNCTION("""COMPUTED_VALUE"""),"Active")</f>
        <v>Active</v>
      </c>
      <c r="E492" s="15">
        <f>IFERROR(__xludf.DUMMYFUNCTION("""COMPUTED_VALUE"""),45798.0)</f>
        <v>45798</v>
      </c>
      <c r="F492" s="16"/>
      <c r="G492" s="18">
        <f>IFERROR(__xludf.DUMMYFUNCTION("""COMPUTED_VALUE"""),16.5)</f>
        <v>16.5</v>
      </c>
      <c r="H492" s="15">
        <f>IFERROR(__xludf.DUMMYFUNCTION("""COMPUTED_VALUE"""),29768.0)</f>
        <v>29768</v>
      </c>
      <c r="I492" s="18">
        <f>IFERROR(__xludf.DUMMYFUNCTION("""COMPUTED_VALUE"""),43.888888888888886)</f>
        <v>43.88888889</v>
      </c>
      <c r="J492" s="22">
        <f>IFERROR(__xludf.DUMMYFUNCTION("""COMPUTED_VALUE"""),67.0)</f>
        <v>67</v>
      </c>
      <c r="K492" s="22"/>
      <c r="L492" s="26" t="str">
        <f>IFERROR(__xludf.DUMMYFUNCTION("""COMPUTED_VALUE"""),"Racing")</f>
        <v>Racing</v>
      </c>
      <c r="M492" s="26"/>
    </row>
    <row r="493">
      <c r="A493" s="12" t="str">
        <f>IFERROR(__xludf.DUMMYFUNCTION("""COMPUTED_VALUE"""),"SpongeBob SquarePants: The Patrick Star Game")</f>
        <v>SpongeBob SquarePants: The Patrick Star Game</v>
      </c>
      <c r="B493" s="13" t="str">
        <f>IFERROR(__xludf.DUMMYFUNCTION("""COMPUTED_VALUE"""),"Xbox / PC")</f>
        <v>Xbox / PC</v>
      </c>
      <c r="C493" s="14" t="str">
        <f>IFERROR(__xludf.DUMMYFUNCTION("""COMPUTED_VALUE"""),"Yes")</f>
        <v>Yes</v>
      </c>
      <c r="D493" s="14" t="str">
        <f>IFERROR(__xludf.DUMMYFUNCTION("""COMPUTED_VALUE"""),"Active")</f>
        <v>Active</v>
      </c>
      <c r="E493" s="15">
        <f>IFERROR(__xludf.DUMMYFUNCTION("""COMPUTED_VALUE"""),45763.0)</f>
        <v>45763</v>
      </c>
      <c r="F493" s="16"/>
      <c r="G493" s="18">
        <f>IFERROR(__xludf.DUMMYFUNCTION("""COMPUTED_VALUE"""),17.666666666666668)</f>
        <v>17.66666667</v>
      </c>
      <c r="H493" s="15">
        <f>IFERROR(__xludf.DUMMYFUNCTION("""COMPUTED_VALUE"""),45569.0)</f>
        <v>45569</v>
      </c>
      <c r="I493" s="18">
        <f>IFERROR(__xludf.DUMMYFUNCTION("""COMPUTED_VALUE"""),0.5333333333333333)</f>
        <v>0.5333333333</v>
      </c>
      <c r="J493" s="22">
        <f>IFERROR(__xludf.DUMMYFUNCTION("""COMPUTED_VALUE"""),67.0)</f>
        <v>67</v>
      </c>
      <c r="K493" s="22">
        <f>IFERROR(__xludf.DUMMYFUNCTION("""COMPUTED_VALUE"""),4.0)</f>
        <v>4</v>
      </c>
      <c r="L493" s="26" t="str">
        <f>IFERROR(__xludf.DUMMYFUNCTION("""COMPUTED_VALUE"""),"Platformer")</f>
        <v>Platformer</v>
      </c>
      <c r="M493" s="26"/>
    </row>
    <row r="494">
      <c r="A494" s="12" t="str">
        <f>IFERROR(__xludf.DUMMYFUNCTION("""COMPUTED_VALUE"""),"Gang Beasts")</f>
        <v>Gang Beasts</v>
      </c>
      <c r="B494" s="13" t="str">
        <f>IFERROR(__xludf.DUMMYFUNCTION("""COMPUTED_VALUE"""),"Xbox / PC")</f>
        <v>Xbox / PC</v>
      </c>
      <c r="C494" s="14" t="str">
        <f>IFERROR(__xludf.DUMMYFUNCTION("""COMPUTED_VALUE"""),"Yes")</f>
        <v>Yes</v>
      </c>
      <c r="D494" s="14" t="str">
        <f>IFERROR(__xludf.DUMMYFUNCTION("""COMPUTED_VALUE"""),"Active")</f>
        <v>Active</v>
      </c>
      <c r="E494" s="15">
        <f>IFERROR(__xludf.DUMMYFUNCTION("""COMPUTED_VALUE"""),44378.0)</f>
        <v>44378</v>
      </c>
      <c r="F494" s="16"/>
      <c r="G494" s="18">
        <f>IFERROR(__xludf.DUMMYFUNCTION("""COMPUTED_VALUE"""),63.16666666666667)</f>
        <v>63.16666667</v>
      </c>
      <c r="H494" s="15">
        <f>IFERROR(__xludf.DUMMYFUNCTION("""COMPUTED_VALUE"""),41880.0)</f>
        <v>41880</v>
      </c>
      <c r="I494" s="18">
        <f>IFERROR(__xludf.DUMMYFUNCTION("""COMPUTED_VALUE"""),6.838888888888889)</f>
        <v>6.838888889</v>
      </c>
      <c r="J494" s="22">
        <f>IFERROR(__xludf.DUMMYFUNCTION("""COMPUTED_VALUE"""),67.0)</f>
        <v>67</v>
      </c>
      <c r="K494" s="22">
        <f>IFERROR(__xludf.DUMMYFUNCTION("""COMPUTED_VALUE"""),3.5)</f>
        <v>3.5</v>
      </c>
      <c r="L494" s="26" t="str">
        <f>IFERROR(__xludf.DUMMYFUNCTION("""COMPUTED_VALUE"""),"Brawler")</f>
        <v>Brawler</v>
      </c>
      <c r="M494" s="26"/>
    </row>
    <row r="495">
      <c r="A495" s="12" t="str">
        <f>IFERROR(__xludf.DUMMYFUNCTION("""COMPUTED_VALUE"""),"Disneyland Adventures")</f>
        <v>Disneyland Adventures</v>
      </c>
      <c r="B495" s="13" t="str">
        <f>IFERROR(__xludf.DUMMYFUNCTION("""COMPUTED_VALUE"""),"Xbox / PC")</f>
        <v>Xbox / PC</v>
      </c>
      <c r="C495" s="14" t="str">
        <f>IFERROR(__xludf.DUMMYFUNCTION("""COMPUTED_VALUE"""),"Yes")</f>
        <v>Yes</v>
      </c>
      <c r="D495" s="14" t="str">
        <f>IFERROR(__xludf.DUMMYFUNCTION("""COMPUTED_VALUE"""),"Active")</f>
        <v>Active</v>
      </c>
      <c r="E495" s="15">
        <f>IFERROR(__xludf.DUMMYFUNCTION("""COMPUTED_VALUE"""),43252.0)</f>
        <v>43252</v>
      </c>
      <c r="F495" s="16"/>
      <c r="G495" s="18">
        <f>IFERROR(__xludf.DUMMYFUNCTION("""COMPUTED_VALUE"""),100.16666666666666)</f>
        <v>100.1666667</v>
      </c>
      <c r="H495" s="15">
        <f>IFERROR(__xludf.DUMMYFUNCTION("""COMPUTED_VALUE"""),40862.0)</f>
        <v>40862</v>
      </c>
      <c r="I495" s="18">
        <f>IFERROR(__xludf.DUMMYFUNCTION("""COMPUTED_VALUE"""),6.544444444444444)</f>
        <v>6.544444444</v>
      </c>
      <c r="J495" s="22">
        <f>IFERROR(__xludf.DUMMYFUNCTION("""COMPUTED_VALUE"""),67.0)</f>
        <v>67</v>
      </c>
      <c r="K495" s="22">
        <f>IFERROR(__xludf.DUMMYFUNCTION("""COMPUTED_VALUE"""),16.0)</f>
        <v>16</v>
      </c>
      <c r="L495" s="26" t="str">
        <f>IFERROR(__xludf.DUMMYFUNCTION("""COMPUTED_VALUE"""),"Adventure")</f>
        <v>Adventure</v>
      </c>
      <c r="M495" s="26"/>
    </row>
    <row r="496">
      <c r="A496" s="12" t="str">
        <f>IFERROR(__xludf.DUMMYFUNCTION("""COMPUTED_VALUE"""),"Joy Ride Turbo")</f>
        <v>Joy Ride Turbo</v>
      </c>
      <c r="B496" s="13" t="str">
        <f>IFERROR(__xludf.DUMMYFUNCTION("""COMPUTED_VALUE"""),"Xbox")</f>
        <v>Xbox</v>
      </c>
      <c r="C496" s="14" t="str">
        <f>IFERROR(__xludf.DUMMYFUNCTION("""COMPUTED_VALUE"""),"Touch Controls")</f>
        <v>Touch Controls</v>
      </c>
      <c r="D496" s="14" t="str">
        <f>IFERROR(__xludf.DUMMYFUNCTION("""COMPUTED_VALUE"""),"Active")</f>
        <v>Active</v>
      </c>
      <c r="E496" s="15">
        <f>IFERROR(__xludf.DUMMYFUNCTION("""COMPUTED_VALUE"""),42887.0)</f>
        <v>42887</v>
      </c>
      <c r="F496" s="16"/>
      <c r="G496" s="18">
        <f>IFERROR(__xludf.DUMMYFUNCTION("""COMPUTED_VALUE"""),112.16666666666666)</f>
        <v>112.1666667</v>
      </c>
      <c r="H496" s="15">
        <f>IFERROR(__xludf.DUMMYFUNCTION("""COMPUTED_VALUE"""),41052.0)</f>
        <v>41052</v>
      </c>
      <c r="I496" s="18">
        <f>IFERROR(__xludf.DUMMYFUNCTION("""COMPUTED_VALUE"""),5.022222222222222)</f>
        <v>5.022222222</v>
      </c>
      <c r="J496" s="22">
        <f>IFERROR(__xludf.DUMMYFUNCTION("""COMPUTED_VALUE"""),67.0)</f>
        <v>67</v>
      </c>
      <c r="K496" s="22">
        <f>IFERROR(__xludf.DUMMYFUNCTION("""COMPUTED_VALUE"""),2.0)</f>
        <v>2</v>
      </c>
      <c r="L496" s="26" t="str">
        <f>IFERROR(__xludf.DUMMYFUNCTION("""COMPUTED_VALUE"""),"Racing")</f>
        <v>Racing</v>
      </c>
      <c r="M496" s="26"/>
    </row>
    <row r="497">
      <c r="A497" s="12" t="str">
        <f>IFERROR(__xludf.DUMMYFUNCTION("""COMPUTED_VALUE"""),"Ark: Survival Ascended")</f>
        <v>Ark: Survival Ascended</v>
      </c>
      <c r="B497" s="13" t="str">
        <f>IFERROR(__xludf.DUMMYFUNCTION("""COMPUTED_VALUE"""),"Xbox / PC")</f>
        <v>Xbox / PC</v>
      </c>
      <c r="C497" s="14" t="str">
        <f>IFERROR(__xludf.DUMMYFUNCTION("""COMPUTED_VALUE"""),"M+KB")</f>
        <v>M+KB</v>
      </c>
      <c r="D497" s="14" t="str">
        <f>IFERROR(__xludf.DUMMYFUNCTION("""COMPUTED_VALUE"""),"Active")</f>
        <v>Active</v>
      </c>
      <c r="E497" s="15">
        <f>IFERROR(__xludf.DUMMYFUNCTION("""COMPUTED_VALUE"""),45383.0)</f>
        <v>45383</v>
      </c>
      <c r="F497" s="16"/>
      <c r="G497" s="18">
        <f>IFERROR(__xludf.DUMMYFUNCTION("""COMPUTED_VALUE"""),30.166666666666664)</f>
        <v>30.16666667</v>
      </c>
      <c r="H497" s="15">
        <f>IFERROR(__xludf.DUMMYFUNCTION("""COMPUTED_VALUE"""),45260.0)</f>
        <v>45260</v>
      </c>
      <c r="I497" s="18">
        <f>IFERROR(__xludf.DUMMYFUNCTION("""COMPUTED_VALUE"""),0.33611111111111114)</f>
        <v>0.3361111111</v>
      </c>
      <c r="J497" s="22">
        <f>IFERROR(__xludf.DUMMYFUNCTION("""COMPUTED_VALUE"""),66.66666666666667)</f>
        <v>66.66666667</v>
      </c>
      <c r="K497" s="22">
        <f>IFERROR(__xludf.DUMMYFUNCTION("""COMPUTED_VALUE"""),380.0)</f>
        <v>380</v>
      </c>
      <c r="L497" s="26" t="str">
        <f>IFERROR(__xludf.DUMMYFUNCTION("""COMPUTED_VALUE"""),"Sandbox")</f>
        <v>Sandbox</v>
      </c>
      <c r="M497" s="26" t="str">
        <f>IFERROR(__xludf.DUMMYFUNCTION("""COMPUTED_VALUE"""),"Exclusive")</f>
        <v>Exclusive</v>
      </c>
    </row>
    <row r="498">
      <c r="A498" s="12" t="str">
        <f>IFERROR(__xludf.DUMMYFUNCTION("""COMPUTED_VALUE"""),"Battlefield 2042")</f>
        <v>Battlefield 2042</v>
      </c>
      <c r="B498" s="13" t="str">
        <f>IFERROR(__xludf.DUMMYFUNCTION("""COMPUTED_VALUE"""),"Xbox / PC")</f>
        <v>Xbox / PC</v>
      </c>
      <c r="C498" s="14" t="str">
        <f>IFERROR(__xludf.DUMMYFUNCTION("""COMPUTED_VALUE"""),"Yes")</f>
        <v>Yes</v>
      </c>
      <c r="D498" s="14" t="str">
        <f>IFERROR(__xludf.DUMMYFUNCTION("""COMPUTED_VALUE"""),"Active")</f>
        <v>Active</v>
      </c>
      <c r="E498" s="15">
        <f>IFERROR(__xludf.DUMMYFUNCTION("""COMPUTED_VALUE"""),44887.0)</f>
        <v>44887</v>
      </c>
      <c r="F498" s="16"/>
      <c r="G498" s="18">
        <f>IFERROR(__xludf.DUMMYFUNCTION("""COMPUTED_VALUE"""),46.46666666666667)</f>
        <v>46.46666667</v>
      </c>
      <c r="H498" s="15">
        <f>IFERROR(__xludf.DUMMYFUNCTION("""COMPUTED_VALUE"""),44512.0)</f>
        <v>44512</v>
      </c>
      <c r="I498" s="18">
        <f>IFERROR(__xludf.DUMMYFUNCTION("""COMPUTED_VALUE"""),1.0277777777777777)</f>
        <v>1.027777778</v>
      </c>
      <c r="J498" s="22">
        <f>IFERROR(__xludf.DUMMYFUNCTION("""COMPUTED_VALUE"""),66.0)</f>
        <v>66</v>
      </c>
      <c r="K498" s="22">
        <f>IFERROR(__xludf.DUMMYFUNCTION("""COMPUTED_VALUE"""),58.0)</f>
        <v>58</v>
      </c>
      <c r="L498" s="26" t="str">
        <f>IFERROR(__xludf.DUMMYFUNCTION("""COMPUTED_VALUE"""),"Shooter")</f>
        <v>Shooter</v>
      </c>
      <c r="M498" s="26"/>
    </row>
    <row r="499">
      <c r="A499" s="12" t="str">
        <f>IFERROR(__xludf.DUMMYFUNCTION("""COMPUTED_VALUE"""),"Star Wars Battlefront II: Celebration Edition")</f>
        <v>Star Wars Battlefront II: Celebration Edition</v>
      </c>
      <c r="B499" s="13" t="str">
        <f>IFERROR(__xludf.DUMMYFUNCTION("""COMPUTED_VALUE"""),"Xbox / PC")</f>
        <v>Xbox / PC</v>
      </c>
      <c r="C499" s="14" t="str">
        <f>IFERROR(__xludf.DUMMYFUNCTION("""COMPUTED_VALUE"""),"Yes")</f>
        <v>Yes</v>
      </c>
      <c r="D499" s="14" t="str">
        <f>IFERROR(__xludf.DUMMYFUNCTION("""COMPUTED_VALUE"""),"Active")</f>
        <v>Active</v>
      </c>
      <c r="E499" s="15">
        <f>IFERROR(__xludf.DUMMYFUNCTION("""COMPUTED_VALUE"""),44145.0)</f>
        <v>44145</v>
      </c>
      <c r="F499" s="16"/>
      <c r="G499" s="18">
        <f>IFERROR(__xludf.DUMMYFUNCTION("""COMPUTED_VALUE"""),70.86666666666667)</f>
        <v>70.86666667</v>
      </c>
      <c r="H499" s="15">
        <f>IFERROR(__xludf.DUMMYFUNCTION("""COMPUTED_VALUE"""),43056.0)</f>
        <v>43056</v>
      </c>
      <c r="I499" s="18">
        <f>IFERROR(__xludf.DUMMYFUNCTION("""COMPUTED_VALUE"""),2.9805555555555556)</f>
        <v>2.980555556</v>
      </c>
      <c r="J499" s="22">
        <f>IFERROR(__xludf.DUMMYFUNCTION("""COMPUTED_VALUE"""),66.0)</f>
        <v>66</v>
      </c>
      <c r="K499" s="22">
        <f>IFERROR(__xludf.DUMMYFUNCTION("""COMPUTED_VALUE"""),6.0)</f>
        <v>6</v>
      </c>
      <c r="L499" s="26" t="str">
        <f>IFERROR(__xludf.DUMMYFUNCTION("""COMPUTED_VALUE"""),"Shooter")</f>
        <v>Shooter</v>
      </c>
      <c r="M499" s="26" t="str">
        <f>IFERROR(__xludf.DUMMYFUNCTION("""COMPUTED_VALUE"""),"FPS Boost X Only")</f>
        <v>FPS Boost X Only</v>
      </c>
    </row>
    <row r="500">
      <c r="A500" s="12" t="str">
        <f>IFERROR(__xludf.DUMMYFUNCTION("""COMPUTED_VALUE"""),"The Sims 4: Deluxe Party Edition")</f>
        <v>The Sims 4: Deluxe Party Edition</v>
      </c>
      <c r="B500" s="13" t="str">
        <f>IFERROR(__xludf.DUMMYFUNCTION("""COMPUTED_VALUE"""),"Xbox / PC")</f>
        <v>Xbox / PC</v>
      </c>
      <c r="C500" s="14" t="str">
        <f>IFERROR(__xludf.DUMMYFUNCTION("""COMPUTED_VALUE"""),"M+KB")</f>
        <v>M+KB</v>
      </c>
      <c r="D500" s="14" t="str">
        <f>IFERROR(__xludf.DUMMYFUNCTION("""COMPUTED_VALUE"""),"Active")</f>
        <v>Active</v>
      </c>
      <c r="E500" s="15">
        <f>IFERROR(__xludf.DUMMYFUNCTION("""COMPUTED_VALUE"""),44145.0)</f>
        <v>44145</v>
      </c>
      <c r="F500" s="16"/>
      <c r="G500" s="18">
        <f>IFERROR(__xludf.DUMMYFUNCTION("""COMPUTED_VALUE"""),70.86666666666667)</f>
        <v>70.86666667</v>
      </c>
      <c r="H500" s="15">
        <f>IFERROR(__xludf.DUMMYFUNCTION("""COMPUTED_VALUE"""),41884.0)</f>
        <v>41884</v>
      </c>
      <c r="I500" s="18">
        <f>IFERROR(__xludf.DUMMYFUNCTION("""COMPUTED_VALUE"""),6.188888888888889)</f>
        <v>6.188888889</v>
      </c>
      <c r="J500" s="22">
        <f>IFERROR(__xludf.DUMMYFUNCTION("""COMPUTED_VALUE"""),66.0)</f>
        <v>66</v>
      </c>
      <c r="K500" s="22">
        <f>IFERROR(__xludf.DUMMYFUNCTION("""COMPUTED_VALUE"""),40.0)</f>
        <v>40</v>
      </c>
      <c r="L500" s="26" t="str">
        <f>IFERROR(__xludf.DUMMYFUNCTION("""COMPUTED_VALUE"""),"Simulation")</f>
        <v>Simulation</v>
      </c>
      <c r="M500" s="26"/>
    </row>
    <row r="501">
      <c r="A501" s="12" t="str">
        <f>IFERROR(__xludf.DUMMYFUNCTION("""COMPUTED_VALUE"""),"Solarpunk")</f>
        <v>Solarpunk</v>
      </c>
      <c r="B501" s="13" t="str">
        <f>IFERROR(__xludf.DUMMYFUNCTION("""COMPUTED_VALUE"""),"Xbox / PC")</f>
        <v>Xbox / PC</v>
      </c>
      <c r="C501" s="14" t="str">
        <f>IFERROR(__xludf.DUMMYFUNCTION("""COMPUTED_VALUE"""),"Yes")</f>
        <v>Yes</v>
      </c>
      <c r="D501" s="14" t="str">
        <f>IFERROR(__xludf.DUMMYFUNCTION("""COMPUTED_VALUE"""),"Active")</f>
        <v>Active</v>
      </c>
      <c r="E501" s="15">
        <f>IFERROR(__xludf.DUMMYFUNCTION("""COMPUTED_VALUE"""),46181.0)</f>
        <v>46181</v>
      </c>
      <c r="F501" s="16"/>
      <c r="G501" s="18">
        <f>IFERROR(__xludf.DUMMYFUNCTION("""COMPUTED_VALUE"""),3.9333333333333336)</f>
        <v>3.933333333</v>
      </c>
      <c r="H501" s="15">
        <f>IFERROR(__xludf.DUMMYFUNCTION("""COMPUTED_VALUE"""),46181.0)</f>
        <v>46181</v>
      </c>
      <c r="I501" s="18">
        <f>IFERROR(__xludf.DUMMYFUNCTION("""COMPUTED_VALUE"""),0.0)</f>
        <v>0</v>
      </c>
      <c r="J501" s="22">
        <f>IFERROR(__xludf.DUMMYFUNCTION("""COMPUTED_VALUE"""),65.0)</f>
        <v>65</v>
      </c>
      <c r="K501" s="22">
        <f>IFERROR(__xludf.DUMMYFUNCTION("""COMPUTED_VALUE"""),17.0)</f>
        <v>17</v>
      </c>
      <c r="L501" s="26" t="str">
        <f>IFERROR(__xludf.DUMMYFUNCTION("""COMPUTED_VALUE"""),"Simulation")</f>
        <v>Simulation</v>
      </c>
      <c r="M501" s="26" t="str">
        <f>IFERROR(__xludf.DUMMYFUNCTION("""COMPUTED_VALUE"""),"Exclusive")</f>
        <v>Exclusive</v>
      </c>
    </row>
    <row r="502">
      <c r="A502" s="12" t="str">
        <f>IFERROR(__xludf.DUMMYFUNCTION("""COMPUTED_VALUE"""),"Call of Duty: Black Ops 7")</f>
        <v>Call of Duty: Black Ops 7</v>
      </c>
      <c r="B502" s="13" t="str">
        <f>IFERROR(__xludf.DUMMYFUNCTION("""COMPUTED_VALUE"""),"Xbox / PC")</f>
        <v>Xbox / PC</v>
      </c>
      <c r="C502" s="14" t="str">
        <f>IFERROR(__xludf.DUMMYFUNCTION("""COMPUTED_VALUE"""),"Yes")</f>
        <v>Yes</v>
      </c>
      <c r="D502" s="14" t="str">
        <f>IFERROR(__xludf.DUMMYFUNCTION("""COMPUTED_VALUE"""),"Active")</f>
        <v>Active</v>
      </c>
      <c r="E502" s="15">
        <f>IFERROR(__xludf.DUMMYFUNCTION("""COMPUTED_VALUE"""),45975.0)</f>
        <v>45975</v>
      </c>
      <c r="F502" s="16"/>
      <c r="G502" s="18">
        <f>IFERROR(__xludf.DUMMYFUNCTION("""COMPUTED_VALUE"""),10.733333333333334)</f>
        <v>10.73333333</v>
      </c>
      <c r="H502" s="15">
        <f>IFERROR(__xludf.DUMMYFUNCTION("""COMPUTED_VALUE"""),45975.0)</f>
        <v>45975</v>
      </c>
      <c r="I502" s="18">
        <f>IFERROR(__xludf.DUMMYFUNCTION("""COMPUTED_VALUE"""),0.0)</f>
        <v>0</v>
      </c>
      <c r="J502" s="22">
        <f>IFERROR(__xludf.DUMMYFUNCTION("""COMPUTED_VALUE"""),65.0)</f>
        <v>65</v>
      </c>
      <c r="K502" s="22">
        <f>IFERROR(__xludf.DUMMYFUNCTION("""COMPUTED_VALUE"""),5.0)</f>
        <v>5</v>
      </c>
      <c r="L502" s="26" t="str">
        <f>IFERROR(__xludf.DUMMYFUNCTION("""COMPUTED_VALUE"""),"Shooter")</f>
        <v>Shooter</v>
      </c>
      <c r="M502" s="26"/>
    </row>
    <row r="503">
      <c r="A503" s="12" t="str">
        <f>IFERROR(__xludf.DUMMYFUNCTION("""COMPUTED_VALUE"""),"Zombi")</f>
        <v>Zombi</v>
      </c>
      <c r="B503" s="13" t="str">
        <f>IFERROR(__xludf.DUMMYFUNCTION("""COMPUTED_VALUE"""),"Xbox / PC")</f>
        <v>Xbox / PC</v>
      </c>
      <c r="C503" s="14" t="str">
        <f>IFERROR(__xludf.DUMMYFUNCTION("""COMPUTED_VALUE"""),"Yes")</f>
        <v>Yes</v>
      </c>
      <c r="D503" s="14" t="str">
        <f>IFERROR(__xludf.DUMMYFUNCTION("""COMPUTED_VALUE"""),"Active")</f>
        <v>Active</v>
      </c>
      <c r="E503" s="15">
        <f>IFERROR(__xludf.DUMMYFUNCTION("""COMPUTED_VALUE"""),45931.0)</f>
        <v>45931</v>
      </c>
      <c r="F503" s="16"/>
      <c r="G503" s="18">
        <f>IFERROR(__xludf.DUMMYFUNCTION("""COMPUTED_VALUE"""),12.166666666666666)</f>
        <v>12.16666667</v>
      </c>
      <c r="H503" s="15">
        <f>IFERROR(__xludf.DUMMYFUNCTION("""COMPUTED_VALUE"""),42234.0)</f>
        <v>42234</v>
      </c>
      <c r="I503" s="18">
        <f>IFERROR(__xludf.DUMMYFUNCTION("""COMPUTED_VALUE"""),10.119444444444444)</f>
        <v>10.11944444</v>
      </c>
      <c r="J503" s="22">
        <f>IFERROR(__xludf.DUMMYFUNCTION("""COMPUTED_VALUE"""),65.0)</f>
        <v>65</v>
      </c>
      <c r="K503" s="22">
        <f>IFERROR(__xludf.DUMMYFUNCTION("""COMPUTED_VALUE"""),12.0)</f>
        <v>12</v>
      </c>
      <c r="L503" s="26" t="str">
        <f>IFERROR(__xludf.DUMMYFUNCTION("""COMPUTED_VALUE"""),"Survival")</f>
        <v>Survival</v>
      </c>
      <c r="M503" s="26"/>
    </row>
    <row r="504">
      <c r="A504" s="12" t="str">
        <f>IFERROR(__xludf.DUMMYFUNCTION("""COMPUTED_VALUE"""),"Crackpots")</f>
        <v>Crackpots</v>
      </c>
      <c r="B504" s="13" t="str">
        <f>IFERROR(__xludf.DUMMYFUNCTION("""COMPUTED_VALUE"""),"Xbox / PC")</f>
        <v>Xbox / PC</v>
      </c>
      <c r="C504" s="14" t="str">
        <f>IFERROR(__xludf.DUMMYFUNCTION("""COMPUTED_VALUE"""),"Yes")</f>
        <v>Yes</v>
      </c>
      <c r="D504" s="14" t="str">
        <f>IFERROR(__xludf.DUMMYFUNCTION("""COMPUTED_VALUE"""),"Active")</f>
        <v>Active</v>
      </c>
      <c r="E504" s="15">
        <f>IFERROR(__xludf.DUMMYFUNCTION("""COMPUTED_VALUE"""),45798.0)</f>
        <v>45798</v>
      </c>
      <c r="F504" s="16"/>
      <c r="G504" s="18">
        <f>IFERROR(__xludf.DUMMYFUNCTION("""COMPUTED_VALUE"""),16.5)</f>
        <v>16.5</v>
      </c>
      <c r="H504" s="15">
        <f>IFERROR(__xludf.DUMMYFUNCTION("""COMPUTED_VALUE"""),30452.0)</f>
        <v>30452</v>
      </c>
      <c r="I504" s="18">
        <f>IFERROR(__xludf.DUMMYFUNCTION("""COMPUTED_VALUE"""),42.013888888888886)</f>
        <v>42.01388889</v>
      </c>
      <c r="J504" s="22">
        <f>IFERROR(__xludf.DUMMYFUNCTION("""COMPUTED_VALUE"""),65.0)</f>
        <v>65</v>
      </c>
      <c r="K504" s="22">
        <f>IFERROR(__xludf.DUMMYFUNCTION("""COMPUTED_VALUE"""),2.0)</f>
        <v>2</v>
      </c>
      <c r="L504" s="26" t="str">
        <f>IFERROR(__xludf.DUMMYFUNCTION("""COMPUTED_VALUE"""),"Shooter")</f>
        <v>Shooter</v>
      </c>
      <c r="M504" s="26"/>
    </row>
    <row r="505">
      <c r="A505" s="12" t="str">
        <f>IFERROR(__xludf.DUMMYFUNCTION("""COMPUTED_VALUE"""),"Decathlon")</f>
        <v>Decathlon</v>
      </c>
      <c r="B505" s="13" t="str">
        <f>IFERROR(__xludf.DUMMYFUNCTION("""COMPUTED_VALUE"""),"Xbox / PC")</f>
        <v>Xbox / PC</v>
      </c>
      <c r="C505" s="14" t="str">
        <f>IFERROR(__xludf.DUMMYFUNCTION("""COMPUTED_VALUE"""),"Yes")</f>
        <v>Yes</v>
      </c>
      <c r="D505" s="14" t="str">
        <f>IFERROR(__xludf.DUMMYFUNCTION("""COMPUTED_VALUE"""),"Active")</f>
        <v>Active</v>
      </c>
      <c r="E505" s="15">
        <f>IFERROR(__xludf.DUMMYFUNCTION("""COMPUTED_VALUE"""),45798.0)</f>
        <v>45798</v>
      </c>
      <c r="F505" s="16"/>
      <c r="G505" s="18">
        <f>IFERROR(__xludf.DUMMYFUNCTION("""COMPUTED_VALUE"""),16.5)</f>
        <v>16.5</v>
      </c>
      <c r="H505" s="15">
        <f>IFERROR(__xludf.DUMMYFUNCTION("""COMPUTED_VALUE"""),30393.0)</f>
        <v>30393</v>
      </c>
      <c r="I505" s="18">
        <f>IFERROR(__xludf.DUMMYFUNCTION("""COMPUTED_VALUE"""),42.175)</f>
        <v>42.175</v>
      </c>
      <c r="J505" s="22">
        <f>IFERROR(__xludf.DUMMYFUNCTION("""COMPUTED_VALUE"""),65.0)</f>
        <v>65</v>
      </c>
      <c r="K505" s="22"/>
      <c r="L505" s="26" t="str">
        <f>IFERROR(__xludf.DUMMYFUNCTION("""COMPUTED_VALUE"""),"Sports")</f>
        <v>Sports</v>
      </c>
      <c r="M505" s="26"/>
    </row>
    <row r="506">
      <c r="A506" s="12" t="str">
        <f>IFERROR(__xludf.DUMMYFUNCTION("""COMPUTED_VALUE"""),"Dolphin")</f>
        <v>Dolphin</v>
      </c>
      <c r="B506" s="13" t="str">
        <f>IFERROR(__xludf.DUMMYFUNCTION("""COMPUTED_VALUE"""),"Xbox / PC")</f>
        <v>Xbox / PC</v>
      </c>
      <c r="C506" s="14" t="str">
        <f>IFERROR(__xludf.DUMMYFUNCTION("""COMPUTED_VALUE"""),"Yes")</f>
        <v>Yes</v>
      </c>
      <c r="D506" s="14" t="str">
        <f>IFERROR(__xludf.DUMMYFUNCTION("""COMPUTED_VALUE"""),"Active")</f>
        <v>Active</v>
      </c>
      <c r="E506" s="15">
        <f>IFERROR(__xludf.DUMMYFUNCTION("""COMPUTED_VALUE"""),45798.0)</f>
        <v>45798</v>
      </c>
      <c r="F506" s="16"/>
      <c r="G506" s="18">
        <f>IFERROR(__xludf.DUMMYFUNCTION("""COMPUTED_VALUE"""),16.5)</f>
        <v>16.5</v>
      </c>
      <c r="H506" s="15">
        <f>IFERROR(__xludf.DUMMYFUNCTION("""COMPUTED_VALUE"""),30677.0)</f>
        <v>30677</v>
      </c>
      <c r="I506" s="18">
        <f>IFERROR(__xludf.DUMMYFUNCTION("""COMPUTED_VALUE"""),41.4)</f>
        <v>41.4</v>
      </c>
      <c r="J506" s="22">
        <f>IFERROR(__xludf.DUMMYFUNCTION("""COMPUTED_VALUE"""),65.0)</f>
        <v>65</v>
      </c>
      <c r="K506" s="22"/>
      <c r="L506" s="26" t="str">
        <f>IFERROR(__xludf.DUMMYFUNCTION("""COMPUTED_VALUE"""),"Action")</f>
        <v>Action</v>
      </c>
      <c r="M506" s="26"/>
    </row>
    <row r="507">
      <c r="A507" s="12" t="str">
        <f>IFERROR(__xludf.DUMMYFUNCTION("""COMPUTED_VALUE"""),"Fishing Derby")</f>
        <v>Fishing Derby</v>
      </c>
      <c r="B507" s="13" t="str">
        <f>IFERROR(__xludf.DUMMYFUNCTION("""COMPUTED_VALUE"""),"Xbox / PC")</f>
        <v>Xbox / PC</v>
      </c>
      <c r="C507" s="14" t="str">
        <f>IFERROR(__xludf.DUMMYFUNCTION("""COMPUTED_VALUE"""),"Yes")</f>
        <v>Yes</v>
      </c>
      <c r="D507" s="14" t="str">
        <f>IFERROR(__xludf.DUMMYFUNCTION("""COMPUTED_VALUE"""),"Active")</f>
        <v>Active</v>
      </c>
      <c r="E507" s="15">
        <f>IFERROR(__xludf.DUMMYFUNCTION("""COMPUTED_VALUE"""),45798.0)</f>
        <v>45798</v>
      </c>
      <c r="F507" s="16"/>
      <c r="G507" s="18">
        <f>IFERROR(__xludf.DUMMYFUNCTION("""COMPUTED_VALUE"""),16.5)</f>
        <v>16.5</v>
      </c>
      <c r="H507" s="15">
        <f>IFERROR(__xludf.DUMMYFUNCTION("""COMPUTED_VALUE"""),29403.0)</f>
        <v>29403</v>
      </c>
      <c r="I507" s="18">
        <f>IFERROR(__xludf.DUMMYFUNCTION("""COMPUTED_VALUE"""),44.888888888888886)</f>
        <v>44.88888889</v>
      </c>
      <c r="J507" s="22">
        <f>IFERROR(__xludf.DUMMYFUNCTION("""COMPUTED_VALUE"""),65.0)</f>
        <v>65</v>
      </c>
      <c r="K507" s="22"/>
      <c r="L507" s="26" t="str">
        <f>IFERROR(__xludf.DUMMYFUNCTION("""COMPUTED_VALUE"""),"Sports")</f>
        <v>Sports</v>
      </c>
      <c r="M507" s="26"/>
    </row>
    <row r="508">
      <c r="A508" s="12" t="str">
        <f>IFERROR(__xludf.DUMMYFUNCTION("""COMPUTED_VALUE"""),"Grand Prix")</f>
        <v>Grand Prix</v>
      </c>
      <c r="B508" s="13" t="str">
        <f>IFERROR(__xludf.DUMMYFUNCTION("""COMPUTED_VALUE"""),"Xbox / PC")</f>
        <v>Xbox / PC</v>
      </c>
      <c r="C508" s="14" t="str">
        <f>IFERROR(__xludf.DUMMYFUNCTION("""COMPUTED_VALUE"""),"Yes")</f>
        <v>Yes</v>
      </c>
      <c r="D508" s="14" t="str">
        <f>IFERROR(__xludf.DUMMYFUNCTION("""COMPUTED_VALUE"""),"Active")</f>
        <v>Active</v>
      </c>
      <c r="E508" s="15">
        <f>IFERROR(__xludf.DUMMYFUNCTION("""COMPUTED_VALUE"""),45798.0)</f>
        <v>45798</v>
      </c>
      <c r="F508" s="16"/>
      <c r="G508" s="18">
        <f>IFERROR(__xludf.DUMMYFUNCTION("""COMPUTED_VALUE"""),16.5)</f>
        <v>16.5</v>
      </c>
      <c r="H508" s="15">
        <f>IFERROR(__xludf.DUMMYFUNCTION("""COMPUTED_VALUE"""),30011.0)</f>
        <v>30011</v>
      </c>
      <c r="I508" s="18">
        <f>IFERROR(__xludf.DUMMYFUNCTION("""COMPUTED_VALUE"""),43.22222222222222)</f>
        <v>43.22222222</v>
      </c>
      <c r="J508" s="22">
        <f>IFERROR(__xludf.DUMMYFUNCTION("""COMPUTED_VALUE"""),65.0)</f>
        <v>65</v>
      </c>
      <c r="K508" s="22"/>
      <c r="L508" s="26" t="str">
        <f>IFERROR(__xludf.DUMMYFUNCTION("""COMPUTED_VALUE"""),"Racing")</f>
        <v>Racing</v>
      </c>
      <c r="M508" s="26"/>
    </row>
    <row r="509">
      <c r="A509" s="12" t="str">
        <f>IFERROR(__xludf.DUMMYFUNCTION("""COMPUTED_VALUE"""),"Grounded")</f>
        <v>Grounded</v>
      </c>
      <c r="B509" s="13" t="str">
        <f>IFERROR(__xludf.DUMMYFUNCTION("""COMPUTED_VALUE"""),"Xbox / PC")</f>
        <v>Xbox / PC</v>
      </c>
      <c r="C509" s="14" t="str">
        <f>IFERROR(__xludf.DUMMYFUNCTION("""COMPUTED_VALUE"""),"M+KB")</f>
        <v>M+KB</v>
      </c>
      <c r="D509" s="14" t="str">
        <f>IFERROR(__xludf.DUMMYFUNCTION("""COMPUTED_VALUE"""),"Active")</f>
        <v>Active</v>
      </c>
      <c r="E509" s="15">
        <f>IFERROR(__xludf.DUMMYFUNCTION("""COMPUTED_VALUE"""),44040.0)</f>
        <v>44040</v>
      </c>
      <c r="F509" s="16"/>
      <c r="G509" s="18">
        <f>IFERROR(__xludf.DUMMYFUNCTION("""COMPUTED_VALUE"""),74.26666666666667)</f>
        <v>74.26666667</v>
      </c>
      <c r="H509" s="15">
        <f>IFERROR(__xludf.DUMMYFUNCTION("""COMPUTED_VALUE"""),44040.0)</f>
        <v>44040</v>
      </c>
      <c r="I509" s="18">
        <f>IFERROR(__xludf.DUMMYFUNCTION("""COMPUTED_VALUE"""),0.0)</f>
        <v>0</v>
      </c>
      <c r="J509" s="22">
        <f>IFERROR(__xludf.DUMMYFUNCTION("""COMPUTED_VALUE"""),65.0)</f>
        <v>65</v>
      </c>
      <c r="K509" s="22">
        <f>IFERROR(__xludf.DUMMYFUNCTION("""COMPUTED_VALUE"""),6.5)</f>
        <v>6.5</v>
      </c>
      <c r="L509" s="26" t="str">
        <f>IFERROR(__xludf.DUMMYFUNCTION("""COMPUTED_VALUE"""),"Action-Adventure")</f>
        <v>Action-Adventure</v>
      </c>
      <c r="M509" s="26" t="str">
        <f>IFERROR(__xludf.DUMMYFUNCTION("""COMPUTED_VALUE"""),"Optimized")</f>
        <v>Optimized</v>
      </c>
    </row>
    <row r="510">
      <c r="A510" s="12" t="str">
        <f>IFERROR(__xludf.DUMMYFUNCTION("""COMPUTED_VALUE"""),"Beatdown City Survivors")</f>
        <v>Beatdown City Survivors</v>
      </c>
      <c r="B510" s="13" t="str">
        <f>IFERROR(__xludf.DUMMYFUNCTION("""COMPUTED_VALUE"""),"Xbox / PC")</f>
        <v>Xbox / PC</v>
      </c>
      <c r="C510" s="14" t="str">
        <f>IFERROR(__xludf.DUMMYFUNCTION("""COMPUTED_VALUE"""),"Yes")</f>
        <v>Yes</v>
      </c>
      <c r="D510" s="14" t="str">
        <f>IFERROR(__xludf.DUMMYFUNCTION("""COMPUTED_VALUE"""),"Active")</f>
        <v>Active</v>
      </c>
      <c r="E510" s="15">
        <f>IFERROR(__xludf.DUMMYFUNCTION("""COMPUTED_VALUE"""),46183.0)</f>
        <v>46183</v>
      </c>
      <c r="F510" s="16"/>
      <c r="G510" s="18">
        <f>IFERROR(__xludf.DUMMYFUNCTION("""COMPUTED_VALUE"""),3.866666666666667)</f>
        <v>3.866666667</v>
      </c>
      <c r="H510" s="15">
        <f>IFERROR(__xludf.DUMMYFUNCTION("""COMPUTED_VALUE"""),45693.0)</f>
        <v>45693</v>
      </c>
      <c r="I510" s="18">
        <f>IFERROR(__xludf.DUMMYFUNCTION("""COMPUTED_VALUE"""),1.3472222222222223)</f>
        <v>1.347222222</v>
      </c>
      <c r="J510" s="22">
        <f>IFERROR(__xludf.DUMMYFUNCTION("""COMPUTED_VALUE"""),64.0)</f>
        <v>64</v>
      </c>
      <c r="K510" s="22">
        <f>IFERROR(__xludf.DUMMYFUNCTION("""COMPUTED_VALUE"""),10.0)</f>
        <v>10</v>
      </c>
      <c r="L510" s="26" t="str">
        <f>IFERROR(__xludf.DUMMYFUNCTION("""COMPUTED_VALUE"""),"Action-Adventure")</f>
        <v>Action-Adventure</v>
      </c>
      <c r="M510" s="26" t="str">
        <f>IFERROR(__xludf.DUMMYFUNCTION("""COMPUTED_VALUE"""),"Exclusive")</f>
        <v>Exclusive</v>
      </c>
    </row>
    <row r="511">
      <c r="A511" s="12" t="str">
        <f>IFERROR(__xludf.DUMMYFUNCTION("""COMPUTED_VALUE"""),"Outbound")</f>
        <v>Outbound</v>
      </c>
      <c r="B511" s="13" t="str">
        <f>IFERROR(__xludf.DUMMYFUNCTION("""COMPUTED_VALUE"""),"Xbox / PC")</f>
        <v>Xbox / PC</v>
      </c>
      <c r="C511" s="14" t="str">
        <f>IFERROR(__xludf.DUMMYFUNCTION("""COMPUTED_VALUE"""),"Yes")</f>
        <v>Yes</v>
      </c>
      <c r="D511" s="14" t="str">
        <f>IFERROR(__xludf.DUMMYFUNCTION("""COMPUTED_VALUE"""),"Active")</f>
        <v>Active</v>
      </c>
      <c r="E511" s="15">
        <f>IFERROR(__xludf.DUMMYFUNCTION("""COMPUTED_VALUE"""),46153.0)</f>
        <v>46153</v>
      </c>
      <c r="F511" s="16"/>
      <c r="G511" s="18">
        <f>IFERROR(__xludf.DUMMYFUNCTION("""COMPUTED_VALUE"""),4.833333333333334)</f>
        <v>4.833333333</v>
      </c>
      <c r="H511" s="15">
        <f>IFERROR(__xludf.DUMMYFUNCTION("""COMPUTED_VALUE"""),46153.0)</f>
        <v>46153</v>
      </c>
      <c r="I511" s="18">
        <f>IFERROR(__xludf.DUMMYFUNCTION("""COMPUTED_VALUE"""),0.0)</f>
        <v>0</v>
      </c>
      <c r="J511" s="22">
        <f>IFERROR(__xludf.DUMMYFUNCTION("""COMPUTED_VALUE"""),64.0)</f>
        <v>64</v>
      </c>
      <c r="K511" s="22">
        <f>IFERROR(__xludf.DUMMYFUNCTION("""COMPUTED_VALUE"""),15.0)</f>
        <v>15</v>
      </c>
      <c r="L511" s="26" t="str">
        <f>IFERROR(__xludf.DUMMYFUNCTION("""COMPUTED_VALUE"""),"Survival Crafting")</f>
        <v>Survival Crafting</v>
      </c>
      <c r="M511" s="26"/>
    </row>
    <row r="512">
      <c r="A512" s="12" t="str">
        <f>IFERROR(__xludf.DUMMYFUNCTION("""COMPUTED_VALUE"""),"Pigeon Simulator")</f>
        <v>Pigeon Simulator</v>
      </c>
      <c r="B512" s="13" t="str">
        <f>IFERROR(__xludf.DUMMYFUNCTION("""COMPUTED_VALUE"""),"Xbox / PC")</f>
        <v>Xbox / PC</v>
      </c>
      <c r="C512" s="14" t="str">
        <f>IFERROR(__xludf.DUMMYFUNCTION("""COMPUTED_VALUE"""),"Yes")</f>
        <v>Yes</v>
      </c>
      <c r="D512" s="14" t="str">
        <f>IFERROR(__xludf.DUMMYFUNCTION("""COMPUTED_VALUE"""),"Active")</f>
        <v>Active</v>
      </c>
      <c r="E512" s="15">
        <f>IFERROR(__xludf.DUMMYFUNCTION("""COMPUTED_VALUE"""),45972.0)</f>
        <v>45972</v>
      </c>
      <c r="F512" s="16"/>
      <c r="G512" s="18">
        <f>IFERROR(__xludf.DUMMYFUNCTION("""COMPUTED_VALUE"""),10.833333333333334)</f>
        <v>10.83333333</v>
      </c>
      <c r="H512" s="15">
        <f>IFERROR(__xludf.DUMMYFUNCTION("""COMPUTED_VALUE"""),45972.0)</f>
        <v>45972</v>
      </c>
      <c r="I512" s="18">
        <f>IFERROR(__xludf.DUMMYFUNCTION("""COMPUTED_VALUE"""),0.0)</f>
        <v>0</v>
      </c>
      <c r="J512" s="22">
        <f>IFERROR(__xludf.DUMMYFUNCTION("""COMPUTED_VALUE"""),64.0)</f>
        <v>64</v>
      </c>
      <c r="K512" s="22">
        <f>IFERROR(__xludf.DUMMYFUNCTION("""COMPUTED_VALUE"""),7.0)</f>
        <v>7</v>
      </c>
      <c r="L512" s="26" t="str">
        <f>IFERROR(__xludf.DUMMYFUNCTION("""COMPUTED_VALUE"""),"Sandbox")</f>
        <v>Sandbox</v>
      </c>
      <c r="M512" s="26" t="str">
        <f>IFERROR(__xludf.DUMMYFUNCTION("""COMPUTED_VALUE"""),"Exclusive")</f>
        <v>Exclusive</v>
      </c>
    </row>
    <row r="513">
      <c r="A513" s="12" t="str">
        <f>IFERROR(__xludf.DUMMYFUNCTION("""COMPUTED_VALUE"""),"The Crew 2")</f>
        <v>The Crew 2</v>
      </c>
      <c r="B513" s="13" t="str">
        <f>IFERROR(__xludf.DUMMYFUNCTION("""COMPUTED_VALUE"""),"Xbox / PC")</f>
        <v>Xbox / PC</v>
      </c>
      <c r="C513" s="14" t="str">
        <f>IFERROR(__xludf.DUMMYFUNCTION("""COMPUTED_VALUE"""),"Yes")</f>
        <v>Yes</v>
      </c>
      <c r="D513" s="14" t="str">
        <f>IFERROR(__xludf.DUMMYFUNCTION("""COMPUTED_VALUE"""),"Active")</f>
        <v>Active</v>
      </c>
      <c r="E513" s="15">
        <f>IFERROR(__xludf.DUMMYFUNCTION("""COMPUTED_VALUE"""),45931.0)</f>
        <v>45931</v>
      </c>
      <c r="F513" s="16"/>
      <c r="G513" s="18">
        <f>IFERROR(__xludf.DUMMYFUNCTION("""COMPUTED_VALUE"""),12.166666666666666)</f>
        <v>12.16666667</v>
      </c>
      <c r="H513" s="15">
        <f>IFERROR(__xludf.DUMMYFUNCTION("""COMPUTED_VALUE"""),43277.0)</f>
        <v>43277</v>
      </c>
      <c r="I513" s="18">
        <f>IFERROR(__xludf.DUMMYFUNCTION("""COMPUTED_VALUE"""),7.263888888888889)</f>
        <v>7.263888889</v>
      </c>
      <c r="J513" s="22">
        <f>IFERROR(__xludf.DUMMYFUNCTION("""COMPUTED_VALUE"""),64.0)</f>
        <v>64</v>
      </c>
      <c r="K513" s="22">
        <f>IFERROR(__xludf.DUMMYFUNCTION("""COMPUTED_VALUE"""),21.0)</f>
        <v>21</v>
      </c>
      <c r="L513" s="26" t="str">
        <f>IFERROR(__xludf.DUMMYFUNCTION("""COMPUTED_VALUE"""),"Racing")</f>
        <v>Racing</v>
      </c>
      <c r="M513" s="26"/>
    </row>
    <row r="514">
      <c r="A514" s="12" t="str">
        <f>IFERROR(__xludf.DUMMYFUNCTION("""COMPUTED_VALUE"""),"FBC: Firebreak")</f>
        <v>FBC: Firebreak</v>
      </c>
      <c r="B514" s="13" t="str">
        <f>IFERROR(__xludf.DUMMYFUNCTION("""COMPUTED_VALUE"""),"Xbox / PC")</f>
        <v>Xbox / PC</v>
      </c>
      <c r="C514" s="14" t="str">
        <f>IFERROR(__xludf.DUMMYFUNCTION("""COMPUTED_VALUE"""),"Yes")</f>
        <v>Yes</v>
      </c>
      <c r="D514" s="14" t="str">
        <f>IFERROR(__xludf.DUMMYFUNCTION("""COMPUTED_VALUE"""),"Active")</f>
        <v>Active</v>
      </c>
      <c r="E514" s="15">
        <f>IFERROR(__xludf.DUMMYFUNCTION("""COMPUTED_VALUE"""),45825.0)</f>
        <v>45825</v>
      </c>
      <c r="F514" s="16"/>
      <c r="G514" s="18">
        <f>IFERROR(__xludf.DUMMYFUNCTION("""COMPUTED_VALUE"""),15.633333333333333)</f>
        <v>15.63333333</v>
      </c>
      <c r="H514" s="15">
        <f>IFERROR(__xludf.DUMMYFUNCTION("""COMPUTED_VALUE"""),45825.0)</f>
        <v>45825</v>
      </c>
      <c r="I514" s="18">
        <f>IFERROR(__xludf.DUMMYFUNCTION("""COMPUTED_VALUE"""),0.0)</f>
        <v>0</v>
      </c>
      <c r="J514" s="22">
        <f>IFERROR(__xludf.DUMMYFUNCTION("""COMPUTED_VALUE"""),64.0)</f>
        <v>64</v>
      </c>
      <c r="K514" s="22">
        <f>IFERROR(__xludf.DUMMYFUNCTION("""COMPUTED_VALUE"""),7.0)</f>
        <v>7</v>
      </c>
      <c r="L514" s="26" t="str">
        <f>IFERROR(__xludf.DUMMYFUNCTION("""COMPUTED_VALUE"""),"Shooter")</f>
        <v>Shooter</v>
      </c>
      <c r="M514" s="26" t="str">
        <f>IFERROR(__xludf.DUMMYFUNCTION("""COMPUTED_VALUE"""),"Exclusive")</f>
        <v>Exclusive</v>
      </c>
    </row>
    <row r="515">
      <c r="A515" s="12" t="str">
        <f>IFERROR(__xludf.DUMMYFUNCTION("""COMPUTED_VALUE"""),"We Happy Few")</f>
        <v>We Happy Few</v>
      </c>
      <c r="B515" s="13" t="str">
        <f>IFERROR(__xludf.DUMMYFUNCTION("""COMPUTED_VALUE"""),"Xbox / PC")</f>
        <v>Xbox / PC</v>
      </c>
      <c r="C515" s="14" t="str">
        <f>IFERROR(__xludf.DUMMYFUNCTION("""COMPUTED_VALUE"""),"Yes")</f>
        <v>Yes</v>
      </c>
      <c r="D515" s="14" t="str">
        <f>IFERROR(__xludf.DUMMYFUNCTION("""COMPUTED_VALUE"""),"Active")</f>
        <v>Active</v>
      </c>
      <c r="E515" s="15">
        <f>IFERROR(__xludf.DUMMYFUNCTION("""COMPUTED_VALUE"""),45302.0)</f>
        <v>45302</v>
      </c>
      <c r="F515" s="16"/>
      <c r="G515" s="18">
        <f>IFERROR(__xludf.DUMMYFUNCTION("""COMPUTED_VALUE"""),32.833333333333336)</f>
        <v>32.83333333</v>
      </c>
      <c r="H515" s="15">
        <f>IFERROR(__xludf.DUMMYFUNCTION("""COMPUTED_VALUE"""),43322.0)</f>
        <v>43322</v>
      </c>
      <c r="I515" s="18">
        <f>IFERROR(__xludf.DUMMYFUNCTION("""COMPUTED_VALUE"""),5.419444444444444)</f>
        <v>5.419444444</v>
      </c>
      <c r="J515" s="22">
        <f>IFERROR(__xludf.DUMMYFUNCTION("""COMPUTED_VALUE"""),64.0)</f>
        <v>64</v>
      </c>
      <c r="K515" s="22">
        <f>IFERROR(__xludf.DUMMYFUNCTION("""COMPUTED_VALUE"""),21.0)</f>
        <v>21</v>
      </c>
      <c r="L515" s="26" t="str">
        <f>IFERROR(__xludf.DUMMYFUNCTION("""COMPUTED_VALUE"""),"Shooter")</f>
        <v>Shooter</v>
      </c>
      <c r="M515" s="26" t="str">
        <f>IFERROR(__xludf.DUMMYFUNCTION("""COMPUTED_VALUE"""),"Optimized")</f>
        <v>Optimized</v>
      </c>
    </row>
    <row r="516">
      <c r="A516" s="12" t="str">
        <f>IFERROR(__xludf.DUMMYFUNCTION("""COMPUTED_VALUE"""),"Cooking Simulator")</f>
        <v>Cooking Simulator</v>
      </c>
      <c r="B516" s="13" t="str">
        <f>IFERROR(__xludf.DUMMYFUNCTION("""COMPUTED_VALUE"""),"Xbox / PC")</f>
        <v>Xbox / PC</v>
      </c>
      <c r="C516" s="14" t="str">
        <f>IFERROR(__xludf.DUMMYFUNCTION("""COMPUTED_VALUE"""),"Yes")</f>
        <v>Yes</v>
      </c>
      <c r="D516" s="14" t="str">
        <f>IFERROR(__xludf.DUMMYFUNCTION("""COMPUTED_VALUE"""),"Active")</f>
        <v>Active</v>
      </c>
      <c r="E516" s="15">
        <f>IFERROR(__xludf.DUMMYFUNCTION("""COMPUTED_VALUE"""),44784.0)</f>
        <v>44784</v>
      </c>
      <c r="F516" s="16"/>
      <c r="G516" s="18">
        <f>IFERROR(__xludf.DUMMYFUNCTION("""COMPUTED_VALUE"""),49.83333333333333)</f>
        <v>49.83333333</v>
      </c>
      <c r="H516" s="15">
        <f>IFERROR(__xludf.DUMMYFUNCTION("""COMPUTED_VALUE"""),43622.0)</f>
        <v>43622</v>
      </c>
      <c r="I516" s="18">
        <f>IFERROR(__xludf.DUMMYFUNCTION("""COMPUTED_VALUE"""),3.1805555555555554)</f>
        <v>3.180555556</v>
      </c>
      <c r="J516" s="22">
        <f>IFERROR(__xludf.DUMMYFUNCTION("""COMPUTED_VALUE"""),64.0)</f>
        <v>64</v>
      </c>
      <c r="K516" s="22">
        <f>IFERROR(__xludf.DUMMYFUNCTION("""COMPUTED_VALUE"""),8.5)</f>
        <v>8.5</v>
      </c>
      <c r="L516" s="26" t="str">
        <f>IFERROR(__xludf.DUMMYFUNCTION("""COMPUTED_VALUE"""),"Simulation")</f>
        <v>Simulation</v>
      </c>
      <c r="M516" s="26"/>
    </row>
    <row r="517">
      <c r="A517" s="12" t="str">
        <f>IFERROR(__xludf.DUMMYFUNCTION("""COMPUTED_VALUE"""),"The Walking Dead: Michonne")</f>
        <v>The Walking Dead: Michonne</v>
      </c>
      <c r="B517" s="13" t="str">
        <f>IFERROR(__xludf.DUMMYFUNCTION("""COMPUTED_VALUE"""),"Xbox / PC")</f>
        <v>Xbox / PC</v>
      </c>
      <c r="C517" s="14" t="str">
        <f>IFERROR(__xludf.DUMMYFUNCTION("""COMPUTED_VALUE"""),"Touch Controls")</f>
        <v>Touch Controls</v>
      </c>
      <c r="D517" s="14" t="str">
        <f>IFERROR(__xludf.DUMMYFUNCTION("""COMPUTED_VALUE"""),"Active")</f>
        <v>Active</v>
      </c>
      <c r="E517" s="15">
        <f>IFERROR(__xludf.DUMMYFUNCTION("""COMPUTED_VALUE"""),43552.0)</f>
        <v>43552</v>
      </c>
      <c r="F517" s="16"/>
      <c r="G517" s="18">
        <f>IFERROR(__xludf.DUMMYFUNCTION("""COMPUTED_VALUE"""),90.26666666666667)</f>
        <v>90.26666667</v>
      </c>
      <c r="H517" s="15">
        <f>IFERROR(__xludf.DUMMYFUNCTION("""COMPUTED_VALUE"""),42423.0)</f>
        <v>42423</v>
      </c>
      <c r="I517" s="18">
        <f>IFERROR(__xludf.DUMMYFUNCTION("""COMPUTED_VALUE"""),3.0972222222222223)</f>
        <v>3.097222222</v>
      </c>
      <c r="J517" s="22">
        <f>IFERROR(__xludf.DUMMYFUNCTION("""COMPUTED_VALUE"""),64.0)</f>
        <v>64</v>
      </c>
      <c r="K517" s="22">
        <f>IFERROR(__xludf.DUMMYFUNCTION("""COMPUTED_VALUE"""),4.0)</f>
        <v>4</v>
      </c>
      <c r="L517" s="26" t="str">
        <f>IFERROR(__xludf.DUMMYFUNCTION("""COMPUTED_VALUE"""),"Adventure")</f>
        <v>Adventure</v>
      </c>
      <c r="M517" s="26"/>
    </row>
    <row r="518">
      <c r="A518" s="12" t="str">
        <f>IFERROR(__xludf.DUMMYFUNCTION("""COMPUTED_VALUE"""),"Contrast")</f>
        <v>Contrast</v>
      </c>
      <c r="B518" s="13" t="str">
        <f>IFERROR(__xludf.DUMMYFUNCTION("""COMPUTED_VALUE"""),"Xbox")</f>
        <v>Xbox</v>
      </c>
      <c r="C518" s="14" t="str">
        <f>IFERROR(__xludf.DUMMYFUNCTION("""COMPUTED_VALUE"""),"Touch Controls")</f>
        <v>Touch Controls</v>
      </c>
      <c r="D518" s="14" t="str">
        <f>IFERROR(__xludf.DUMMYFUNCTION("""COMPUTED_VALUE"""),"Active")</f>
        <v>Active</v>
      </c>
      <c r="E518" s="15">
        <f>IFERROR(__xludf.DUMMYFUNCTION("""COMPUTED_VALUE"""),44595.0)</f>
        <v>44595</v>
      </c>
      <c r="F518" s="16"/>
      <c r="G518" s="18">
        <f>IFERROR(__xludf.DUMMYFUNCTION("""COMPUTED_VALUE"""),56.099999999999994)</f>
        <v>56.1</v>
      </c>
      <c r="H518" s="15">
        <f>IFERROR(__xludf.DUMMYFUNCTION("""COMPUTED_VALUE"""),41593.0)</f>
        <v>41593</v>
      </c>
      <c r="I518" s="18">
        <f>IFERROR(__xludf.DUMMYFUNCTION("""COMPUTED_VALUE"""),8.216666666666667)</f>
        <v>8.216666667</v>
      </c>
      <c r="J518" s="22">
        <f>IFERROR(__xludf.DUMMYFUNCTION("""COMPUTED_VALUE"""),63.5)</f>
        <v>63.5</v>
      </c>
      <c r="K518" s="22">
        <f>IFERROR(__xludf.DUMMYFUNCTION("""COMPUTED_VALUE"""),3.5)</f>
        <v>3.5</v>
      </c>
      <c r="L518" s="26" t="str">
        <f>IFERROR(__xludf.DUMMYFUNCTION("""COMPUTED_VALUE"""),"Platformer")</f>
        <v>Platformer</v>
      </c>
      <c r="M518" s="26"/>
    </row>
    <row r="519">
      <c r="A519" s="12" t="str">
        <f>IFERROR(__xludf.DUMMYFUNCTION("""COMPUTED_VALUE"""),"Aphelion")</f>
        <v>Aphelion</v>
      </c>
      <c r="B519" s="13" t="str">
        <f>IFERROR(__xludf.DUMMYFUNCTION("""COMPUTED_VALUE"""),"Xbox / PC")</f>
        <v>Xbox / PC</v>
      </c>
      <c r="C519" s="14" t="str">
        <f>IFERROR(__xludf.DUMMYFUNCTION("""COMPUTED_VALUE"""),"Yes")</f>
        <v>Yes</v>
      </c>
      <c r="D519" s="14" t="str">
        <f>IFERROR(__xludf.DUMMYFUNCTION("""COMPUTED_VALUE"""),"Active")</f>
        <v>Active</v>
      </c>
      <c r="E519" s="15">
        <f>IFERROR(__xludf.DUMMYFUNCTION("""COMPUTED_VALUE"""),46140.0)</f>
        <v>46140</v>
      </c>
      <c r="F519" s="16"/>
      <c r="G519" s="18">
        <f>IFERROR(__xludf.DUMMYFUNCTION("""COMPUTED_VALUE"""),5.266666666666667)</f>
        <v>5.266666667</v>
      </c>
      <c r="H519" s="15">
        <f>IFERROR(__xludf.DUMMYFUNCTION("""COMPUTED_VALUE"""),46140.0)</f>
        <v>46140</v>
      </c>
      <c r="I519" s="18">
        <f>IFERROR(__xludf.DUMMYFUNCTION("""COMPUTED_VALUE"""),0.0)</f>
        <v>0</v>
      </c>
      <c r="J519" s="22">
        <f>IFERROR(__xludf.DUMMYFUNCTION("""COMPUTED_VALUE"""),63.0)</f>
        <v>63</v>
      </c>
      <c r="K519" s="22">
        <f>IFERROR(__xludf.DUMMYFUNCTION("""COMPUTED_VALUE"""),7.0)</f>
        <v>7</v>
      </c>
      <c r="L519" s="26" t="str">
        <f>IFERROR(__xludf.DUMMYFUNCTION("""COMPUTED_VALUE"""),"Action-Adventure")</f>
        <v>Action-Adventure</v>
      </c>
      <c r="M519" s="26" t="str">
        <f>IFERROR(__xludf.DUMMYFUNCTION("""COMPUTED_VALUE"""),"Exclusive")</f>
        <v>Exclusive</v>
      </c>
    </row>
    <row r="520">
      <c r="A520" s="12" t="str">
        <f>IFERROR(__xludf.DUMMYFUNCTION("""COMPUTED_VALUE"""),"Assassin's Creed Chronicles: India")</f>
        <v>Assassin's Creed Chronicles: India</v>
      </c>
      <c r="B520" s="13" t="str">
        <f>IFERROR(__xludf.DUMMYFUNCTION("""COMPUTED_VALUE"""),"Xbox / PC")</f>
        <v>Xbox / PC</v>
      </c>
      <c r="C520" s="14" t="str">
        <f>IFERROR(__xludf.DUMMYFUNCTION("""COMPUTED_VALUE"""),"Yes")</f>
        <v>Yes</v>
      </c>
      <c r="D520" s="14" t="str">
        <f>IFERROR(__xludf.DUMMYFUNCTION("""COMPUTED_VALUE"""),"Active")</f>
        <v>Active</v>
      </c>
      <c r="E520" s="15">
        <f>IFERROR(__xludf.DUMMYFUNCTION("""COMPUTED_VALUE"""),45931.0)</f>
        <v>45931</v>
      </c>
      <c r="F520" s="16"/>
      <c r="G520" s="18">
        <f>IFERROR(__xludf.DUMMYFUNCTION("""COMPUTED_VALUE"""),12.166666666666666)</f>
        <v>12.16666667</v>
      </c>
      <c r="H520" s="15">
        <f>IFERROR(__xludf.DUMMYFUNCTION("""COMPUTED_VALUE"""),42382.0)</f>
        <v>42382</v>
      </c>
      <c r="I520" s="18">
        <f>IFERROR(__xludf.DUMMYFUNCTION("""COMPUTED_VALUE"""),9.716666666666667)</f>
        <v>9.716666667</v>
      </c>
      <c r="J520" s="22">
        <f>IFERROR(__xludf.DUMMYFUNCTION("""COMPUTED_VALUE"""),63.0)</f>
        <v>63</v>
      </c>
      <c r="K520" s="22">
        <f>IFERROR(__xludf.DUMMYFUNCTION("""COMPUTED_VALUE"""),6.0)</f>
        <v>6</v>
      </c>
      <c r="L520" s="26" t="str">
        <f>IFERROR(__xludf.DUMMYFUNCTION("""COMPUTED_VALUE"""),"Action-Adventure")</f>
        <v>Action-Adventure</v>
      </c>
      <c r="M520" s="26"/>
    </row>
    <row r="521">
      <c r="A521" s="12" t="str">
        <f>IFERROR(__xludf.DUMMYFUNCTION("""COMPUTED_VALUE"""),"Fire Fighter")</f>
        <v>Fire Fighter</v>
      </c>
      <c r="B521" s="13" t="str">
        <f>IFERROR(__xludf.DUMMYFUNCTION("""COMPUTED_VALUE"""),"Xbox / PC")</f>
        <v>Xbox / PC</v>
      </c>
      <c r="C521" s="14" t="str">
        <f>IFERROR(__xludf.DUMMYFUNCTION("""COMPUTED_VALUE"""),"Yes")</f>
        <v>Yes</v>
      </c>
      <c r="D521" s="14" t="str">
        <f>IFERROR(__xludf.DUMMYFUNCTION("""COMPUTED_VALUE"""),"Active")</f>
        <v>Active</v>
      </c>
      <c r="E521" s="15">
        <f>IFERROR(__xludf.DUMMYFUNCTION("""COMPUTED_VALUE"""),45798.0)</f>
        <v>45798</v>
      </c>
      <c r="F521" s="16"/>
      <c r="G521" s="18">
        <f>IFERROR(__xludf.DUMMYFUNCTION("""COMPUTED_VALUE"""),16.5)</f>
        <v>16.5</v>
      </c>
      <c r="H521" s="15">
        <f>IFERROR(__xludf.DUMMYFUNCTION("""COMPUTED_VALUE"""),30195.0)</f>
        <v>30195</v>
      </c>
      <c r="I521" s="18">
        <f>IFERROR(__xludf.DUMMYFUNCTION("""COMPUTED_VALUE"""),42.72222222222222)</f>
        <v>42.72222222</v>
      </c>
      <c r="J521" s="22">
        <f>IFERROR(__xludf.DUMMYFUNCTION("""COMPUTED_VALUE"""),63.0)</f>
        <v>63</v>
      </c>
      <c r="K521" s="22"/>
      <c r="L521" s="26" t="str">
        <f>IFERROR(__xludf.DUMMYFUNCTION("""COMPUTED_VALUE"""),"Action‑Adventure")</f>
        <v>Action‑Adventure</v>
      </c>
      <c r="M521" s="26"/>
    </row>
    <row r="522">
      <c r="A522" s="12" t="str">
        <f>IFERROR(__xludf.DUMMYFUNCTION("""COMPUTED_VALUE"""),"Sky Jinks")</f>
        <v>Sky Jinks</v>
      </c>
      <c r="B522" s="13" t="str">
        <f>IFERROR(__xludf.DUMMYFUNCTION("""COMPUTED_VALUE"""),"Xbox / PC")</f>
        <v>Xbox / PC</v>
      </c>
      <c r="C522" s="14" t="str">
        <f>IFERROR(__xludf.DUMMYFUNCTION("""COMPUTED_VALUE"""),"Yes")</f>
        <v>Yes</v>
      </c>
      <c r="D522" s="14" t="str">
        <f>IFERROR(__xludf.DUMMYFUNCTION("""COMPUTED_VALUE"""),"Active")</f>
        <v>Active</v>
      </c>
      <c r="E522" s="15">
        <f>IFERROR(__xludf.DUMMYFUNCTION("""COMPUTED_VALUE"""),45798.0)</f>
        <v>45798</v>
      </c>
      <c r="F522" s="16"/>
      <c r="G522" s="18">
        <f>IFERROR(__xludf.DUMMYFUNCTION("""COMPUTED_VALUE"""),16.5)</f>
        <v>16.5</v>
      </c>
      <c r="H522" s="15">
        <f>IFERROR(__xludf.DUMMYFUNCTION("""COMPUTED_VALUE"""),30256.0)</f>
        <v>30256</v>
      </c>
      <c r="I522" s="18">
        <f>IFERROR(__xludf.DUMMYFUNCTION("""COMPUTED_VALUE"""),42.55555555555556)</f>
        <v>42.55555556</v>
      </c>
      <c r="J522" s="22">
        <f>IFERROR(__xludf.DUMMYFUNCTION("""COMPUTED_VALUE"""),63.0)</f>
        <v>63</v>
      </c>
      <c r="K522" s="22"/>
      <c r="L522" s="26" t="str">
        <f>IFERROR(__xludf.DUMMYFUNCTION("""COMPUTED_VALUE"""),"Shooter")</f>
        <v>Shooter</v>
      </c>
      <c r="M522" s="26"/>
    </row>
    <row r="523">
      <c r="A523" s="12" t="str">
        <f>IFERROR(__xludf.DUMMYFUNCTION("""COMPUTED_VALUE"""),"Assassin's Creed Chronicles: Russia")</f>
        <v>Assassin's Creed Chronicles: Russia</v>
      </c>
      <c r="B523" s="13" t="str">
        <f>IFERROR(__xludf.DUMMYFUNCTION("""COMPUTED_VALUE"""),"Xbox / PC")</f>
        <v>Xbox / PC</v>
      </c>
      <c r="C523" s="14" t="str">
        <f>IFERROR(__xludf.DUMMYFUNCTION("""COMPUTED_VALUE"""),"Yes")</f>
        <v>Yes</v>
      </c>
      <c r="D523" s="14" t="str">
        <f>IFERROR(__xludf.DUMMYFUNCTION("""COMPUTED_VALUE"""),"Active")</f>
        <v>Active</v>
      </c>
      <c r="E523" s="15">
        <f>IFERROR(__xludf.DUMMYFUNCTION("""COMPUTED_VALUE"""),45931.0)</f>
        <v>45931</v>
      </c>
      <c r="F523" s="16"/>
      <c r="G523" s="18">
        <f>IFERROR(__xludf.DUMMYFUNCTION("""COMPUTED_VALUE"""),12.166666666666666)</f>
        <v>12.16666667</v>
      </c>
      <c r="H523" s="15">
        <f>IFERROR(__xludf.DUMMYFUNCTION("""COMPUTED_VALUE"""),42409.0)</f>
        <v>42409</v>
      </c>
      <c r="I523" s="18">
        <f>IFERROR(__xludf.DUMMYFUNCTION("""COMPUTED_VALUE"""),9.644444444444444)</f>
        <v>9.644444444</v>
      </c>
      <c r="J523" s="22">
        <f>IFERROR(__xludf.DUMMYFUNCTION("""COMPUTED_VALUE"""),62.0)</f>
        <v>62</v>
      </c>
      <c r="K523" s="22">
        <f>IFERROR(__xludf.DUMMYFUNCTION("""COMPUTED_VALUE"""),7.0)</f>
        <v>7</v>
      </c>
      <c r="L523" s="26" t="str">
        <f>IFERROR(__xludf.DUMMYFUNCTION("""COMPUTED_VALUE"""),"Action-Adventure")</f>
        <v>Action-Adventure</v>
      </c>
      <c r="M523" s="26"/>
    </row>
    <row r="524">
      <c r="A524" s="12" t="str">
        <f>IFERROR(__xludf.DUMMYFUNCTION("""COMPUTED_VALUE"""),"Barnstorming")</f>
        <v>Barnstorming</v>
      </c>
      <c r="B524" s="13" t="str">
        <f>IFERROR(__xludf.DUMMYFUNCTION("""COMPUTED_VALUE"""),"Xbox / PC")</f>
        <v>Xbox / PC</v>
      </c>
      <c r="C524" s="14" t="str">
        <f>IFERROR(__xludf.DUMMYFUNCTION("""COMPUTED_VALUE"""),"Yes")</f>
        <v>Yes</v>
      </c>
      <c r="D524" s="14" t="str">
        <f>IFERROR(__xludf.DUMMYFUNCTION("""COMPUTED_VALUE"""),"Active")</f>
        <v>Active</v>
      </c>
      <c r="E524" s="15">
        <f>IFERROR(__xludf.DUMMYFUNCTION("""COMPUTED_VALUE"""),45798.0)</f>
        <v>45798</v>
      </c>
      <c r="F524" s="16"/>
      <c r="G524" s="18">
        <f>IFERROR(__xludf.DUMMYFUNCTION("""COMPUTED_VALUE"""),16.5)</f>
        <v>16.5</v>
      </c>
      <c r="H524" s="15">
        <f>IFERROR(__xludf.DUMMYFUNCTION("""COMPUTED_VALUE"""),30011.0)</f>
        <v>30011</v>
      </c>
      <c r="I524" s="18">
        <f>IFERROR(__xludf.DUMMYFUNCTION("""COMPUTED_VALUE"""),43.22222222222222)</f>
        <v>43.22222222</v>
      </c>
      <c r="J524" s="22">
        <f>IFERROR(__xludf.DUMMYFUNCTION("""COMPUTED_VALUE"""),62.0)</f>
        <v>62</v>
      </c>
      <c r="K524" s="22"/>
      <c r="L524" s="26" t="str">
        <f>IFERROR(__xludf.DUMMYFUNCTION("""COMPUTED_VALUE"""),"Racing")</f>
        <v>Racing</v>
      </c>
      <c r="M524" s="26"/>
    </row>
    <row r="525">
      <c r="A525" s="12" t="str">
        <f>IFERROR(__xludf.DUMMYFUNCTION("""COMPUTED_VALUE"""),"Baseball")</f>
        <v>Baseball</v>
      </c>
      <c r="B525" s="13" t="str">
        <f>IFERROR(__xludf.DUMMYFUNCTION("""COMPUTED_VALUE"""),"Xbox / PC")</f>
        <v>Xbox / PC</v>
      </c>
      <c r="C525" s="14" t="str">
        <f>IFERROR(__xludf.DUMMYFUNCTION("""COMPUTED_VALUE"""),"Yes")</f>
        <v>Yes</v>
      </c>
      <c r="D525" s="14" t="str">
        <f>IFERROR(__xludf.DUMMYFUNCTION("""COMPUTED_VALUE"""),"Active")</f>
        <v>Active</v>
      </c>
      <c r="E525" s="15">
        <f>IFERROR(__xludf.DUMMYFUNCTION("""COMPUTED_VALUE"""),45798.0)</f>
        <v>45798</v>
      </c>
      <c r="F525" s="16"/>
      <c r="G525" s="18">
        <f>IFERROR(__xludf.DUMMYFUNCTION("""COMPUTED_VALUE"""),16.5)</f>
        <v>16.5</v>
      </c>
      <c r="H525" s="15">
        <f>IFERROR(__xludf.DUMMYFUNCTION("""COMPUTED_VALUE"""),32214.0)</f>
        <v>32214</v>
      </c>
      <c r="I525" s="18">
        <f>IFERROR(__xludf.DUMMYFUNCTION("""COMPUTED_VALUE"""),37.19166666666667)</f>
        <v>37.19166667</v>
      </c>
      <c r="J525" s="22">
        <f>IFERROR(__xludf.DUMMYFUNCTION("""COMPUTED_VALUE"""),62.0)</f>
        <v>62</v>
      </c>
      <c r="K525" s="22"/>
      <c r="L525" s="26" t="str">
        <f>IFERROR(__xludf.DUMMYFUNCTION("""COMPUTED_VALUE"""),"Sports")</f>
        <v>Sports</v>
      </c>
      <c r="M525" s="26"/>
    </row>
    <row r="526">
      <c r="A526" s="12" t="str">
        <f>IFERROR(__xludf.DUMMYFUNCTION("""COMPUTED_VALUE"""),"Risk: Urban Assault")</f>
        <v>Risk: Urban Assault</v>
      </c>
      <c r="B526" s="13" t="str">
        <f>IFERROR(__xludf.DUMMYFUNCTION("""COMPUTED_VALUE"""),"Xbox")</f>
        <v>Xbox</v>
      </c>
      <c r="C526" s="14" t="str">
        <f>IFERROR(__xludf.DUMMYFUNCTION("""COMPUTED_VALUE"""),"Yes")</f>
        <v>Yes</v>
      </c>
      <c r="D526" s="14" t="str">
        <f>IFERROR(__xludf.DUMMYFUNCTION("""COMPUTED_VALUE"""),"Active")</f>
        <v>Active</v>
      </c>
      <c r="E526" s="15">
        <f>IFERROR(__xludf.DUMMYFUNCTION("""COMPUTED_VALUE"""),45931.0)</f>
        <v>45931</v>
      </c>
      <c r="F526" s="16"/>
      <c r="G526" s="18">
        <f>IFERROR(__xludf.DUMMYFUNCTION("""COMPUTED_VALUE"""),12.166666666666666)</f>
        <v>12.16666667</v>
      </c>
      <c r="H526" s="15">
        <f>IFERROR(__xludf.DUMMYFUNCTION("""COMPUTED_VALUE"""),42584.0)</f>
        <v>42584</v>
      </c>
      <c r="I526" s="18">
        <f>IFERROR(__xludf.DUMMYFUNCTION("""COMPUTED_VALUE"""),9.16388888888889)</f>
        <v>9.163888889</v>
      </c>
      <c r="J526" s="22">
        <f>IFERROR(__xludf.DUMMYFUNCTION("""COMPUTED_VALUE"""),61.0)</f>
        <v>61</v>
      </c>
      <c r="K526" s="22">
        <f>IFERROR(__xludf.DUMMYFUNCTION("""COMPUTED_VALUE"""),4.0)</f>
        <v>4</v>
      </c>
      <c r="L526" s="26" t="str">
        <f>IFERROR(__xludf.DUMMYFUNCTION("""COMPUTED_VALUE"""),"Board")</f>
        <v>Board</v>
      </c>
      <c r="M526" s="26"/>
    </row>
    <row r="527">
      <c r="A527" s="12" t="str">
        <f>IFERROR(__xludf.DUMMYFUNCTION("""COMPUTED_VALUE"""),"Wing War")</f>
        <v>Wing War</v>
      </c>
      <c r="B527" s="13" t="str">
        <f>IFERROR(__xludf.DUMMYFUNCTION("""COMPUTED_VALUE"""),"Xbox / PC")</f>
        <v>Xbox / PC</v>
      </c>
      <c r="C527" s="14" t="str">
        <f>IFERROR(__xludf.DUMMYFUNCTION("""COMPUTED_VALUE"""),"Yes")</f>
        <v>Yes</v>
      </c>
      <c r="D527" s="14" t="str">
        <f>IFERROR(__xludf.DUMMYFUNCTION("""COMPUTED_VALUE"""),"Active")</f>
        <v>Active</v>
      </c>
      <c r="E527" s="15">
        <f>IFERROR(__xludf.DUMMYFUNCTION("""COMPUTED_VALUE"""),45883.0)</f>
        <v>45883</v>
      </c>
      <c r="F527" s="16"/>
      <c r="G527" s="18">
        <f>IFERROR(__xludf.DUMMYFUNCTION("""COMPUTED_VALUE"""),13.733333333333333)</f>
        <v>13.73333333</v>
      </c>
      <c r="H527" s="15">
        <f>IFERROR(__xludf.DUMMYFUNCTION("""COMPUTED_VALUE"""),30681.0)</f>
        <v>30681</v>
      </c>
      <c r="I527" s="18">
        <f>IFERROR(__xludf.DUMMYFUNCTION("""COMPUTED_VALUE"""),41.62222222222222)</f>
        <v>41.62222222</v>
      </c>
      <c r="J527" s="22">
        <f>IFERROR(__xludf.DUMMYFUNCTION("""COMPUTED_VALUE"""),61.0)</f>
        <v>61</v>
      </c>
      <c r="K527" s="22"/>
      <c r="L527" s="26" t="str">
        <f>IFERROR(__xludf.DUMMYFUNCTION("""COMPUTED_VALUE"""),"Action")</f>
        <v>Action</v>
      </c>
      <c r="M527" s="26"/>
    </row>
    <row r="528">
      <c r="A528" s="12" t="str">
        <f>IFERROR(__xludf.DUMMYFUNCTION("""COMPUTED_VALUE"""),"ReCore: Definitive Edition")</f>
        <v>ReCore: Definitive Edition</v>
      </c>
      <c r="B528" s="13" t="str">
        <f>IFERROR(__xludf.DUMMYFUNCTION("""COMPUTED_VALUE"""),"Xbox / PC")</f>
        <v>Xbox / PC</v>
      </c>
      <c r="C528" s="14" t="str">
        <f>IFERROR(__xludf.DUMMYFUNCTION("""COMPUTED_VALUE"""),"Yes")</f>
        <v>Yes</v>
      </c>
      <c r="D528" s="14" t="str">
        <f>IFERROR(__xludf.DUMMYFUNCTION("""COMPUTED_VALUE"""),"Active")</f>
        <v>Active</v>
      </c>
      <c r="E528" s="15">
        <f>IFERROR(__xludf.DUMMYFUNCTION("""COMPUTED_VALUE"""),42976.0)</f>
        <v>42976</v>
      </c>
      <c r="F528" s="16"/>
      <c r="G528" s="18">
        <f>IFERROR(__xludf.DUMMYFUNCTION("""COMPUTED_VALUE"""),109.23333333333333)</f>
        <v>109.2333333</v>
      </c>
      <c r="H528" s="15">
        <f>IFERROR(__xludf.DUMMYFUNCTION("""COMPUTED_VALUE"""),42626.0)</f>
        <v>42626</v>
      </c>
      <c r="I528" s="18">
        <f>IFERROR(__xludf.DUMMYFUNCTION("""COMPUTED_VALUE"""),0.9611111111111111)</f>
        <v>0.9611111111</v>
      </c>
      <c r="J528" s="22">
        <f>IFERROR(__xludf.DUMMYFUNCTION("""COMPUTED_VALUE"""),61.0)</f>
        <v>61</v>
      </c>
      <c r="K528" s="22">
        <f>IFERROR(__xludf.DUMMYFUNCTION("""COMPUTED_VALUE"""),12.0)</f>
        <v>12</v>
      </c>
      <c r="L528" s="26" t="str">
        <f>IFERROR(__xludf.DUMMYFUNCTION("""COMPUTED_VALUE"""),"Adventure")</f>
        <v>Adventure</v>
      </c>
      <c r="M528" s="26" t="str">
        <f>IFERROR(__xludf.DUMMYFUNCTION("""COMPUTED_VALUE"""),"FPS Boost")</f>
        <v>FPS Boost</v>
      </c>
    </row>
    <row r="529">
      <c r="A529" s="12" t="str">
        <f>IFERROR(__xludf.DUMMYFUNCTION("""COMPUTED_VALUE"""),"Sledding Game (Game Preview)")</f>
        <v>Sledding Game (Game Preview)</v>
      </c>
      <c r="B529" s="13" t="str">
        <f>IFERROR(__xludf.DUMMYFUNCTION("""COMPUTED_VALUE"""),"Xbox / PC")</f>
        <v>Xbox / PC</v>
      </c>
      <c r="C529" s="14" t="str">
        <f>IFERROR(__xludf.DUMMYFUNCTION("""COMPUTED_VALUE"""),"Yes")</f>
        <v>Yes</v>
      </c>
      <c r="D529" s="14" t="str">
        <f>IFERROR(__xludf.DUMMYFUNCTION("""COMPUTED_VALUE"""),"Active")</f>
        <v>Active</v>
      </c>
      <c r="E529" s="15">
        <f>IFERROR(__xludf.DUMMYFUNCTION("""COMPUTED_VALUE"""),46142.0)</f>
        <v>46142</v>
      </c>
      <c r="F529" s="16"/>
      <c r="G529" s="18">
        <f>IFERROR(__xludf.DUMMYFUNCTION("""COMPUTED_VALUE"""),5.2)</f>
        <v>5.2</v>
      </c>
      <c r="H529" s="15">
        <f>IFERROR(__xludf.DUMMYFUNCTION("""COMPUTED_VALUE"""),46142.0)</f>
        <v>46142</v>
      </c>
      <c r="I529" s="18">
        <f>IFERROR(__xludf.DUMMYFUNCTION("""COMPUTED_VALUE"""),0.0)</f>
        <v>0</v>
      </c>
      <c r="J529" s="22">
        <f>IFERROR(__xludf.DUMMYFUNCTION("""COMPUTED_VALUE"""),60.0)</f>
        <v>60</v>
      </c>
      <c r="K529" s="22">
        <f>IFERROR(__xludf.DUMMYFUNCTION("""COMPUTED_VALUE"""),27.0)</f>
        <v>27</v>
      </c>
      <c r="L529" s="26" t="str">
        <f>IFERROR(__xludf.DUMMYFUNCTION("""COMPUTED_VALUE"""),"Sports")</f>
        <v>Sports</v>
      </c>
      <c r="M529" s="26" t="str">
        <f>IFERROR(__xludf.DUMMYFUNCTION("""COMPUTED_VALUE"""),"Exclusive")</f>
        <v>Exclusive</v>
      </c>
    </row>
    <row r="530">
      <c r="A530" s="12" t="str">
        <f>IFERROR(__xludf.DUMMYFUNCTION("""COMPUTED_VALUE"""),"Aerial_Knight's DropShot")</f>
        <v>Aerial_Knight's DropShot</v>
      </c>
      <c r="B530" s="13" t="str">
        <f>IFERROR(__xludf.DUMMYFUNCTION("""COMPUTED_VALUE"""),"Xbox / PC")</f>
        <v>Xbox / PC</v>
      </c>
      <c r="C530" s="14" t="str">
        <f>IFERROR(__xludf.DUMMYFUNCTION("""COMPUTED_VALUE"""),"Yes")</f>
        <v>Yes</v>
      </c>
      <c r="D530" s="14" t="str">
        <f>IFERROR(__xludf.DUMMYFUNCTION("""COMPUTED_VALUE"""),"Active")</f>
        <v>Active</v>
      </c>
      <c r="E530" s="15">
        <f>IFERROR(__xludf.DUMMYFUNCTION("""COMPUTED_VALUE"""),46070.0)</f>
        <v>46070</v>
      </c>
      <c r="F530" s="16"/>
      <c r="G530" s="18">
        <f>IFERROR(__xludf.DUMMYFUNCTION("""COMPUTED_VALUE"""),7.633333333333333)</f>
        <v>7.633333333</v>
      </c>
      <c r="H530" s="15">
        <f>IFERROR(__xludf.DUMMYFUNCTION("""COMPUTED_VALUE"""),45337.0)</f>
        <v>45337</v>
      </c>
      <c r="I530" s="18">
        <f>IFERROR(__xludf.DUMMYFUNCTION("""COMPUTED_VALUE"""),2.0055555555555555)</f>
        <v>2.005555556</v>
      </c>
      <c r="J530" s="22">
        <f>IFERROR(__xludf.DUMMYFUNCTION("""COMPUTED_VALUE"""),60.0)</f>
        <v>60</v>
      </c>
      <c r="K530" s="22">
        <f>IFERROR(__xludf.DUMMYFUNCTION("""COMPUTED_VALUE"""),2.0)</f>
        <v>2</v>
      </c>
      <c r="L530" s="26" t="str">
        <f>IFERROR(__xludf.DUMMYFUNCTION("""COMPUTED_VALUE"""),"Action-Adventure")</f>
        <v>Action-Adventure</v>
      </c>
      <c r="M530" s="26" t="str">
        <f>IFERROR(__xludf.DUMMYFUNCTION("""COMPUTED_VALUE"""),"Exclusive")</f>
        <v>Exclusive</v>
      </c>
    </row>
    <row r="531">
      <c r="A531" s="12" t="str">
        <f>IFERROR(__xludf.DUMMYFUNCTION("""COMPUTED_VALUE"""),"Brews &amp; Bastards")</f>
        <v>Brews &amp; Bastards</v>
      </c>
      <c r="B531" s="13" t="str">
        <f>IFERROR(__xludf.DUMMYFUNCTION("""COMPUTED_VALUE"""),"Xbox / PC")</f>
        <v>Xbox / PC</v>
      </c>
      <c r="C531" s="14" t="str">
        <f>IFERROR(__xludf.DUMMYFUNCTION("""COMPUTED_VALUE"""),"Yes")</f>
        <v>Yes</v>
      </c>
      <c r="D531" s="14" t="str">
        <f>IFERROR(__xludf.DUMMYFUNCTION("""COMPUTED_VALUE"""),"Active")</f>
        <v>Active</v>
      </c>
      <c r="E531" s="15">
        <f>IFERROR(__xludf.DUMMYFUNCTION("""COMPUTED_VALUE"""),46028.0)</f>
        <v>46028</v>
      </c>
      <c r="F531" s="16"/>
      <c r="G531" s="18">
        <f>IFERROR(__xludf.DUMMYFUNCTION("""COMPUTED_VALUE"""),9.0)</f>
        <v>9</v>
      </c>
      <c r="H531" s="15">
        <f>IFERROR(__xludf.DUMMYFUNCTION("""COMPUTED_VALUE"""),45922.0)</f>
        <v>45922</v>
      </c>
      <c r="I531" s="18">
        <f>IFERROR(__xludf.DUMMYFUNCTION("""COMPUTED_VALUE"""),0.28888888888888886)</f>
        <v>0.2888888889</v>
      </c>
      <c r="J531" s="22">
        <f>IFERROR(__xludf.DUMMYFUNCTION("""COMPUTED_VALUE"""),60.0)</f>
        <v>60</v>
      </c>
      <c r="K531" s="22">
        <f>IFERROR(__xludf.DUMMYFUNCTION("""COMPUTED_VALUE"""),4.0)</f>
        <v>4</v>
      </c>
      <c r="L531" s="26" t="str">
        <f>IFERROR(__xludf.DUMMYFUNCTION("""COMPUTED_VALUE"""),"Action-Adventure")</f>
        <v>Action-Adventure</v>
      </c>
      <c r="M531" s="26" t="str">
        <f>IFERROR(__xludf.DUMMYFUNCTION("""COMPUTED_VALUE"""),"Exclusive")</f>
        <v>Exclusive</v>
      </c>
    </row>
    <row r="532">
      <c r="A532" s="12" t="str">
        <f>IFERROR(__xludf.DUMMYFUNCTION("""COMPUTED_VALUE"""),"Tennis")</f>
        <v>Tennis</v>
      </c>
      <c r="B532" s="13" t="str">
        <f>IFERROR(__xludf.DUMMYFUNCTION("""COMPUTED_VALUE"""),"Xbox / PC")</f>
        <v>Xbox / PC</v>
      </c>
      <c r="C532" s="14" t="str">
        <f>IFERROR(__xludf.DUMMYFUNCTION("""COMPUTED_VALUE"""),"Yes")</f>
        <v>Yes</v>
      </c>
      <c r="D532" s="14" t="str">
        <f>IFERROR(__xludf.DUMMYFUNCTION("""COMPUTED_VALUE"""),"Active")</f>
        <v>Active</v>
      </c>
      <c r="E532" s="15">
        <f>IFERROR(__xludf.DUMMYFUNCTION("""COMPUTED_VALUE"""),45798.0)</f>
        <v>45798</v>
      </c>
      <c r="F532" s="16"/>
      <c r="G532" s="18">
        <f>IFERROR(__xludf.DUMMYFUNCTION("""COMPUTED_VALUE"""),16.5)</f>
        <v>16.5</v>
      </c>
      <c r="H532" s="15">
        <f>IFERROR(__xludf.DUMMYFUNCTION("""COMPUTED_VALUE"""),29646.0)</f>
        <v>29646</v>
      </c>
      <c r="I532" s="18">
        <f>IFERROR(__xludf.DUMMYFUNCTION("""COMPUTED_VALUE"""),44.22222222222222)</f>
        <v>44.22222222</v>
      </c>
      <c r="J532" s="22">
        <f>IFERROR(__xludf.DUMMYFUNCTION("""COMPUTED_VALUE"""),60.0)</f>
        <v>60</v>
      </c>
      <c r="K532" s="22"/>
      <c r="L532" s="26" t="str">
        <f>IFERROR(__xludf.DUMMYFUNCTION("""COMPUTED_VALUE"""),"Sports")</f>
        <v>Sports</v>
      </c>
      <c r="M532" s="26"/>
    </row>
    <row r="533">
      <c r="A533" s="12" t="str">
        <f>IFERROR(__xludf.DUMMYFUNCTION("""COMPUTED_VALUE"""),"Trick Shot")</f>
        <v>Trick Shot</v>
      </c>
      <c r="B533" s="13" t="str">
        <f>IFERROR(__xludf.DUMMYFUNCTION("""COMPUTED_VALUE"""),"Xbox / PC")</f>
        <v>Xbox / PC</v>
      </c>
      <c r="C533" s="14" t="str">
        <f>IFERROR(__xludf.DUMMYFUNCTION("""COMPUTED_VALUE"""),"Yes")</f>
        <v>Yes</v>
      </c>
      <c r="D533" s="14" t="str">
        <f>IFERROR(__xludf.DUMMYFUNCTION("""COMPUTED_VALUE"""),"Active")</f>
        <v>Active</v>
      </c>
      <c r="E533" s="15">
        <f>IFERROR(__xludf.DUMMYFUNCTION("""COMPUTED_VALUE"""),45798.0)</f>
        <v>45798</v>
      </c>
      <c r="F533" s="16"/>
      <c r="G533" s="18">
        <f>IFERROR(__xludf.DUMMYFUNCTION("""COMPUTED_VALUE"""),16.5)</f>
        <v>16.5</v>
      </c>
      <c r="H533" s="15">
        <f>IFERROR(__xludf.DUMMYFUNCTION("""COMPUTED_VALUE"""),29952.0)</f>
        <v>29952</v>
      </c>
      <c r="I533" s="18">
        <f>IFERROR(__xludf.DUMMYFUNCTION("""COMPUTED_VALUE"""),43.388888888888886)</f>
        <v>43.38888889</v>
      </c>
      <c r="J533" s="22">
        <f>IFERROR(__xludf.DUMMYFUNCTION("""COMPUTED_VALUE"""),60.0)</f>
        <v>60</v>
      </c>
      <c r="K533" s="22"/>
      <c r="L533" s="26" t="str">
        <f>IFERROR(__xludf.DUMMYFUNCTION("""COMPUTED_VALUE"""),"Sports")</f>
        <v>Sports</v>
      </c>
      <c r="M533" s="26"/>
    </row>
    <row r="534">
      <c r="A534" s="12" t="str">
        <f>IFERROR(__xludf.DUMMYFUNCTION("""COMPUTED_VALUE"""),"Firefighting Simulator: The Squad")</f>
        <v>Firefighting Simulator: The Squad</v>
      </c>
      <c r="B534" s="13" t="str">
        <f>IFERROR(__xludf.DUMMYFUNCTION("""COMPUTED_VALUE"""),"Xbox / PC")</f>
        <v>Xbox / PC</v>
      </c>
      <c r="C534" s="14" t="str">
        <f>IFERROR(__xludf.DUMMYFUNCTION("""COMPUTED_VALUE"""),"Yes")</f>
        <v>Yes</v>
      </c>
      <c r="D534" s="14" t="str">
        <f>IFERROR(__xludf.DUMMYFUNCTION("""COMPUTED_VALUE"""),"Active")</f>
        <v>Active</v>
      </c>
      <c r="E534" s="15">
        <f>IFERROR(__xludf.DUMMYFUNCTION("""COMPUTED_VALUE"""),45797.0)</f>
        <v>45797</v>
      </c>
      <c r="F534" s="16"/>
      <c r="G534" s="18">
        <f>IFERROR(__xludf.DUMMYFUNCTION("""COMPUTED_VALUE"""),16.53333333333333)</f>
        <v>16.53333333</v>
      </c>
      <c r="H534" s="15">
        <f>IFERROR(__xludf.DUMMYFUNCTION("""COMPUTED_VALUE"""),44901.0)</f>
        <v>44901</v>
      </c>
      <c r="I534" s="18">
        <f>IFERROR(__xludf.DUMMYFUNCTION("""COMPUTED_VALUE"""),2.4555555555555557)</f>
        <v>2.455555556</v>
      </c>
      <c r="J534" s="22">
        <f>IFERROR(__xludf.DUMMYFUNCTION("""COMPUTED_VALUE"""),60.0)</f>
        <v>60</v>
      </c>
      <c r="K534" s="22">
        <f>IFERROR(__xludf.DUMMYFUNCTION("""COMPUTED_VALUE"""),10.0)</f>
        <v>10</v>
      </c>
      <c r="L534" s="26" t="str">
        <f>IFERROR(__xludf.DUMMYFUNCTION("""COMPUTED_VALUE"""),"Simulation")</f>
        <v>Simulation</v>
      </c>
      <c r="M534" s="26"/>
    </row>
    <row r="535">
      <c r="A535" s="12" t="str">
        <f>IFERROR(__xludf.DUMMYFUNCTION("""COMPUTED_VALUE"""),"Totally Reliable Delivery Service")</f>
        <v>Totally Reliable Delivery Service</v>
      </c>
      <c r="B535" s="13" t="str">
        <f>IFERROR(__xludf.DUMMYFUNCTION("""COMPUTED_VALUE"""),"Xbox / PC")</f>
        <v>Xbox / PC</v>
      </c>
      <c r="C535" s="14" t="str">
        <f>IFERROR(__xludf.DUMMYFUNCTION("""COMPUTED_VALUE"""),"Yes")</f>
        <v>Yes</v>
      </c>
      <c r="D535" s="14" t="str">
        <f>IFERROR(__xludf.DUMMYFUNCTION("""COMPUTED_VALUE"""),"Active")</f>
        <v>Active</v>
      </c>
      <c r="E535" s="15">
        <f>IFERROR(__xludf.DUMMYFUNCTION("""COMPUTED_VALUE"""),43922.0)</f>
        <v>43922</v>
      </c>
      <c r="F535" s="16"/>
      <c r="G535" s="18">
        <f>IFERROR(__xludf.DUMMYFUNCTION("""COMPUTED_VALUE"""),78.16666666666667)</f>
        <v>78.16666667</v>
      </c>
      <c r="H535" s="15">
        <f>IFERROR(__xludf.DUMMYFUNCTION("""COMPUTED_VALUE"""),43922.0)</f>
        <v>43922</v>
      </c>
      <c r="I535" s="18">
        <f>IFERROR(__xludf.DUMMYFUNCTION("""COMPUTED_VALUE"""),0.0)</f>
        <v>0</v>
      </c>
      <c r="J535" s="22">
        <f>IFERROR(__xludf.DUMMYFUNCTION("""COMPUTED_VALUE"""),60.0)</f>
        <v>60</v>
      </c>
      <c r="K535" s="22">
        <f>IFERROR(__xludf.DUMMYFUNCTION("""COMPUTED_VALUE"""),1.0)</f>
        <v>1</v>
      </c>
      <c r="L535" s="26" t="str">
        <f>IFERROR(__xludf.DUMMYFUNCTION("""COMPUTED_VALUE"""),"Action")</f>
        <v>Action</v>
      </c>
      <c r="M535" s="26" t="str">
        <f>IFERROR(__xludf.DUMMYFUNCTION("""COMPUTED_VALUE"""),"FPS Boost")</f>
        <v>FPS Boost</v>
      </c>
    </row>
    <row r="536">
      <c r="A536" s="12" t="str">
        <f>IFERROR(__xludf.DUMMYFUNCTION("""COMPUTED_VALUE"""),"Wasteland Remastered")</f>
        <v>Wasteland Remastered</v>
      </c>
      <c r="B536" s="13" t="str">
        <f>IFERROR(__xludf.DUMMYFUNCTION("""COMPUTED_VALUE"""),"Xbox / PC")</f>
        <v>Xbox / PC</v>
      </c>
      <c r="C536" s="14" t="str">
        <f>IFERROR(__xludf.DUMMYFUNCTION("""COMPUTED_VALUE"""),"Touch Controls")</f>
        <v>Touch Controls</v>
      </c>
      <c r="D536" s="14" t="str">
        <f>IFERROR(__xludf.DUMMYFUNCTION("""COMPUTED_VALUE"""),"Active")</f>
        <v>Active</v>
      </c>
      <c r="E536" s="15">
        <f>IFERROR(__xludf.DUMMYFUNCTION("""COMPUTED_VALUE"""),43886.0)</f>
        <v>43886</v>
      </c>
      <c r="F536" s="16"/>
      <c r="G536" s="18">
        <f>IFERROR(__xludf.DUMMYFUNCTION("""COMPUTED_VALUE"""),79.36666666666667)</f>
        <v>79.36666667</v>
      </c>
      <c r="H536" s="15">
        <f>IFERROR(__xludf.DUMMYFUNCTION("""COMPUTED_VALUE"""),43886.0)</f>
        <v>43886</v>
      </c>
      <c r="I536" s="18">
        <f>IFERROR(__xludf.DUMMYFUNCTION("""COMPUTED_VALUE"""),0.0)</f>
        <v>0</v>
      </c>
      <c r="J536" s="22">
        <f>IFERROR(__xludf.DUMMYFUNCTION("""COMPUTED_VALUE"""),60.0)</f>
        <v>60</v>
      </c>
      <c r="K536" s="22">
        <f>IFERROR(__xludf.DUMMYFUNCTION("""COMPUTED_VALUE"""),18.5)</f>
        <v>18.5</v>
      </c>
      <c r="L536" s="26" t="str">
        <f>IFERROR(__xludf.DUMMYFUNCTION("""COMPUTED_VALUE"""),"RPG")</f>
        <v>RPG</v>
      </c>
      <c r="M536" s="26"/>
    </row>
    <row r="537">
      <c r="A537" s="12" t="str">
        <f>IFERROR(__xludf.DUMMYFUNCTION("""COMPUTED_VALUE"""),"Crackdown 3")</f>
        <v>Crackdown 3</v>
      </c>
      <c r="B537" s="13" t="str">
        <f>IFERROR(__xludf.DUMMYFUNCTION("""COMPUTED_VALUE"""),"Xbox / PC")</f>
        <v>Xbox / PC</v>
      </c>
      <c r="C537" s="14" t="str">
        <f>IFERROR(__xludf.DUMMYFUNCTION("""COMPUTED_VALUE"""),"Yes")</f>
        <v>Yes</v>
      </c>
      <c r="D537" s="14" t="str">
        <f>IFERROR(__xludf.DUMMYFUNCTION("""COMPUTED_VALUE"""),"Active")</f>
        <v>Active</v>
      </c>
      <c r="E537" s="15">
        <f>IFERROR(__xludf.DUMMYFUNCTION("""COMPUTED_VALUE"""),43511.0)</f>
        <v>43511</v>
      </c>
      <c r="F537" s="16"/>
      <c r="G537" s="18">
        <f>IFERROR(__xludf.DUMMYFUNCTION("""COMPUTED_VALUE"""),91.7)</f>
        <v>91.7</v>
      </c>
      <c r="H537" s="15">
        <f>IFERROR(__xludf.DUMMYFUNCTION("""COMPUTED_VALUE"""),43511.0)</f>
        <v>43511</v>
      </c>
      <c r="I537" s="18">
        <f>IFERROR(__xludf.DUMMYFUNCTION("""COMPUTED_VALUE"""),0.0)</f>
        <v>0</v>
      </c>
      <c r="J537" s="22">
        <f>IFERROR(__xludf.DUMMYFUNCTION("""COMPUTED_VALUE"""),60.0)</f>
        <v>60</v>
      </c>
      <c r="K537" s="22">
        <f>IFERROR(__xludf.DUMMYFUNCTION("""COMPUTED_VALUE"""),6.5)</f>
        <v>6.5</v>
      </c>
      <c r="L537" s="26" t="str">
        <f>IFERROR(__xludf.DUMMYFUNCTION("""COMPUTED_VALUE"""),"Action-Adventure")</f>
        <v>Action-Adventure</v>
      </c>
      <c r="M537" s="26"/>
    </row>
    <row r="538">
      <c r="A538" s="12" t="str">
        <f>IFERROR(__xludf.DUMMYFUNCTION("""COMPUTED_VALUE"""),"Ryse: Son of Rome")</f>
        <v>Ryse: Son of Rome</v>
      </c>
      <c r="B538" s="13" t="str">
        <f>IFERROR(__xludf.DUMMYFUNCTION("""COMPUTED_VALUE"""),"Xbox")</f>
        <v>Xbox</v>
      </c>
      <c r="C538" s="14" t="str">
        <f>IFERROR(__xludf.DUMMYFUNCTION("""COMPUTED_VALUE"""),"Yes")</f>
        <v>Yes</v>
      </c>
      <c r="D538" s="14" t="str">
        <f>IFERROR(__xludf.DUMMYFUNCTION("""COMPUTED_VALUE"""),"Active")</f>
        <v>Active</v>
      </c>
      <c r="E538" s="15">
        <f>IFERROR(__xludf.DUMMYFUNCTION("""COMPUTED_VALUE"""),43313.0)</f>
        <v>43313</v>
      </c>
      <c r="F538" s="16"/>
      <c r="G538" s="18">
        <f>IFERROR(__xludf.DUMMYFUNCTION("""COMPUTED_VALUE"""),98.16666666666666)</f>
        <v>98.16666667</v>
      </c>
      <c r="H538" s="15">
        <f>IFERROR(__xludf.DUMMYFUNCTION("""COMPUTED_VALUE"""),41600.0)</f>
        <v>41600</v>
      </c>
      <c r="I538" s="18">
        <f>IFERROR(__xludf.DUMMYFUNCTION("""COMPUTED_VALUE"""),4.691666666666666)</f>
        <v>4.691666667</v>
      </c>
      <c r="J538" s="22">
        <f>IFERROR(__xludf.DUMMYFUNCTION("""COMPUTED_VALUE"""),60.0)</f>
        <v>60</v>
      </c>
      <c r="K538" s="22">
        <f>IFERROR(__xludf.DUMMYFUNCTION("""COMPUTED_VALUE"""),6.5)</f>
        <v>6.5</v>
      </c>
      <c r="L538" s="26" t="str">
        <f>IFERROR(__xludf.DUMMYFUNCTION("""COMPUTED_VALUE"""),"Action-Adventure")</f>
        <v>Action-Adventure</v>
      </c>
      <c r="M538" s="26"/>
    </row>
    <row r="539">
      <c r="A539" s="12" t="str">
        <f>IFERROR(__xludf.DUMMYFUNCTION("""COMPUTED_VALUE"""),"Skull and Bones")</f>
        <v>Skull and Bones</v>
      </c>
      <c r="B539" s="13" t="str">
        <f>IFERROR(__xludf.DUMMYFUNCTION("""COMPUTED_VALUE"""),"Xbox / PC")</f>
        <v>Xbox / PC</v>
      </c>
      <c r="C539" s="14" t="str">
        <f>IFERROR(__xludf.DUMMYFUNCTION("""COMPUTED_VALUE"""),"Yes")</f>
        <v>Yes</v>
      </c>
      <c r="D539" s="14" t="str">
        <f>IFERROR(__xludf.DUMMYFUNCTION("""COMPUTED_VALUE"""),"Active")</f>
        <v>Active</v>
      </c>
      <c r="E539" s="15">
        <f>IFERROR(__xludf.DUMMYFUNCTION("""COMPUTED_VALUE"""),45931.0)</f>
        <v>45931</v>
      </c>
      <c r="F539" s="16"/>
      <c r="G539" s="18">
        <f>IFERROR(__xludf.DUMMYFUNCTION("""COMPUTED_VALUE"""),12.166666666666666)</f>
        <v>12.16666667</v>
      </c>
      <c r="H539" s="15">
        <f>IFERROR(__xludf.DUMMYFUNCTION("""COMPUTED_VALUE"""),45338.0)</f>
        <v>45338</v>
      </c>
      <c r="I539" s="18">
        <f>IFERROR(__xludf.DUMMYFUNCTION("""COMPUTED_VALUE"""),1.625)</f>
        <v>1.625</v>
      </c>
      <c r="J539" s="22">
        <f>IFERROR(__xludf.DUMMYFUNCTION("""COMPUTED_VALUE"""),59.0)</f>
        <v>59</v>
      </c>
      <c r="K539" s="22">
        <f>IFERROR(__xludf.DUMMYFUNCTION("""COMPUTED_VALUE"""),32.0)</f>
        <v>32</v>
      </c>
      <c r="L539" s="26" t="str">
        <f>IFERROR(__xludf.DUMMYFUNCTION("""COMPUTED_VALUE"""),"Action-Adventure")</f>
        <v>Action-Adventure</v>
      </c>
      <c r="M539" s="26"/>
    </row>
    <row r="540">
      <c r="A540" s="12" t="str">
        <f>IFERROR(__xludf.DUMMYFUNCTION("""COMPUTED_VALUE"""),"Star Voyager")</f>
        <v>Star Voyager</v>
      </c>
      <c r="B540" s="13" t="str">
        <f>IFERROR(__xludf.DUMMYFUNCTION("""COMPUTED_VALUE"""),"Xbox / PC")</f>
        <v>Xbox / PC</v>
      </c>
      <c r="C540" s="14" t="str">
        <f>IFERROR(__xludf.DUMMYFUNCTION("""COMPUTED_VALUE"""),"Yes")</f>
        <v>Yes</v>
      </c>
      <c r="D540" s="14" t="str">
        <f>IFERROR(__xludf.DUMMYFUNCTION("""COMPUTED_VALUE"""),"Active")</f>
        <v>Active</v>
      </c>
      <c r="E540" s="15">
        <f>IFERROR(__xludf.DUMMYFUNCTION("""COMPUTED_VALUE"""),45798.0)</f>
        <v>45798</v>
      </c>
      <c r="F540" s="16"/>
      <c r="G540" s="18">
        <f>IFERROR(__xludf.DUMMYFUNCTION("""COMPUTED_VALUE"""),16.5)</f>
        <v>16.5</v>
      </c>
      <c r="H540" s="15">
        <f>IFERROR(__xludf.DUMMYFUNCTION("""COMPUTED_VALUE"""),30042.0)</f>
        <v>30042</v>
      </c>
      <c r="I540" s="18">
        <f>IFERROR(__xludf.DUMMYFUNCTION("""COMPUTED_VALUE"""),43.138888888888886)</f>
        <v>43.13888889</v>
      </c>
      <c r="J540" s="22">
        <f>IFERROR(__xludf.DUMMYFUNCTION("""COMPUTED_VALUE"""),59.0)</f>
        <v>59</v>
      </c>
      <c r="K540" s="22"/>
      <c r="L540" s="26" t="str">
        <f>IFERROR(__xludf.DUMMYFUNCTION("""COMPUTED_VALUE"""),"Shooter")</f>
        <v>Shooter</v>
      </c>
      <c r="M540" s="26"/>
    </row>
    <row r="541">
      <c r="A541" s="12" t="str">
        <f>IFERROR(__xludf.DUMMYFUNCTION("""COMPUTED_VALUE"""),"Hungry Shark World")</f>
        <v>Hungry Shark World</v>
      </c>
      <c r="B541" s="13" t="str">
        <f>IFERROR(__xludf.DUMMYFUNCTION("""COMPUTED_VALUE"""),"Xbox / PC")</f>
        <v>Xbox / PC</v>
      </c>
      <c r="C541" s="14" t="str">
        <f>IFERROR(__xludf.DUMMYFUNCTION("""COMPUTED_VALUE"""),"Yes")</f>
        <v>Yes</v>
      </c>
      <c r="D541" s="14" t="str">
        <f>IFERROR(__xludf.DUMMYFUNCTION("""COMPUTED_VALUE"""),"Active")</f>
        <v>Active</v>
      </c>
      <c r="E541" s="15">
        <f>IFERROR(__xludf.DUMMYFUNCTION("""COMPUTED_VALUE"""),45931.0)</f>
        <v>45931</v>
      </c>
      <c r="F541" s="16"/>
      <c r="G541" s="18">
        <f>IFERROR(__xludf.DUMMYFUNCTION("""COMPUTED_VALUE"""),12.166666666666666)</f>
        <v>12.16666667</v>
      </c>
      <c r="H541" s="15">
        <f>IFERROR(__xludf.DUMMYFUNCTION("""COMPUTED_VALUE"""),43298.0)</f>
        <v>43298</v>
      </c>
      <c r="I541" s="18">
        <f>IFERROR(__xludf.DUMMYFUNCTION("""COMPUTED_VALUE"""),7.205555555555556)</f>
        <v>7.205555556</v>
      </c>
      <c r="J541" s="22">
        <f>IFERROR(__xludf.DUMMYFUNCTION("""COMPUTED_VALUE"""),58.0)</f>
        <v>58</v>
      </c>
      <c r="K541" s="22">
        <f>IFERROR(__xludf.DUMMYFUNCTION("""COMPUTED_VALUE"""),8.0)</f>
        <v>8</v>
      </c>
      <c r="L541" s="26" t="str">
        <f>IFERROR(__xludf.DUMMYFUNCTION("""COMPUTED_VALUE"""),"Action-Adventure")</f>
        <v>Action-Adventure</v>
      </c>
      <c r="M541" s="26"/>
    </row>
    <row r="542">
      <c r="A542" s="12" t="str">
        <f>IFERROR(__xludf.DUMMYFUNCTION("""COMPUTED_VALUE"""),"Skate Boardin'")</f>
        <v>Skate Boardin'</v>
      </c>
      <c r="B542" s="13" t="str">
        <f>IFERROR(__xludf.DUMMYFUNCTION("""COMPUTED_VALUE"""),"Xbox / PC")</f>
        <v>Xbox / PC</v>
      </c>
      <c r="C542" s="14" t="str">
        <f>IFERROR(__xludf.DUMMYFUNCTION("""COMPUTED_VALUE"""),"Yes")</f>
        <v>Yes</v>
      </c>
      <c r="D542" s="14" t="str">
        <f>IFERROR(__xludf.DUMMYFUNCTION("""COMPUTED_VALUE"""),"Active")</f>
        <v>Active</v>
      </c>
      <c r="E542" s="15">
        <f>IFERROR(__xludf.DUMMYFUNCTION("""COMPUTED_VALUE"""),45859.0)</f>
        <v>45859</v>
      </c>
      <c r="F542" s="16"/>
      <c r="G542" s="18">
        <f>IFERROR(__xludf.DUMMYFUNCTION("""COMPUTED_VALUE"""),14.5)</f>
        <v>14.5</v>
      </c>
      <c r="H542" s="15">
        <f>IFERROR(__xludf.DUMMYFUNCTION("""COMPUTED_VALUE"""),31972.0)</f>
        <v>31972</v>
      </c>
      <c r="I542" s="18">
        <f>IFERROR(__xludf.DUMMYFUNCTION("""COMPUTED_VALUE"""),38.019444444444446)</f>
        <v>38.01944444</v>
      </c>
      <c r="J542" s="22">
        <f>IFERROR(__xludf.DUMMYFUNCTION("""COMPUTED_VALUE"""),58.0)</f>
        <v>58</v>
      </c>
      <c r="K542" s="22">
        <f>IFERROR(__xludf.DUMMYFUNCTION("""COMPUTED_VALUE"""),1.0)</f>
        <v>1</v>
      </c>
      <c r="L542" s="26" t="str">
        <f>IFERROR(__xludf.DUMMYFUNCTION("""COMPUTED_VALUE"""),"Sports")</f>
        <v>Sports</v>
      </c>
      <c r="M542" s="26"/>
    </row>
    <row r="543">
      <c r="A543" s="12" t="str">
        <f>IFERROR(__xludf.DUMMYFUNCTION("""COMPUTED_VALUE"""),"Checkers")</f>
        <v>Checkers</v>
      </c>
      <c r="B543" s="13" t="str">
        <f>IFERROR(__xludf.DUMMYFUNCTION("""COMPUTED_VALUE"""),"Xbox / PC")</f>
        <v>Xbox / PC</v>
      </c>
      <c r="C543" s="14" t="str">
        <f>IFERROR(__xludf.DUMMYFUNCTION("""COMPUTED_VALUE"""),"Yes")</f>
        <v>Yes</v>
      </c>
      <c r="D543" s="14" t="str">
        <f>IFERROR(__xludf.DUMMYFUNCTION("""COMPUTED_VALUE"""),"Active")</f>
        <v>Active</v>
      </c>
      <c r="E543" s="15">
        <f>IFERROR(__xludf.DUMMYFUNCTION("""COMPUTED_VALUE"""),45798.0)</f>
        <v>45798</v>
      </c>
      <c r="F543" s="16"/>
      <c r="G543" s="18">
        <f>IFERROR(__xludf.DUMMYFUNCTION("""COMPUTED_VALUE"""),16.5)</f>
        <v>16.5</v>
      </c>
      <c r="H543" s="15">
        <f>IFERROR(__xludf.DUMMYFUNCTION("""COMPUTED_VALUE"""),29403.0)</f>
        <v>29403</v>
      </c>
      <c r="I543" s="18">
        <f>IFERROR(__xludf.DUMMYFUNCTION("""COMPUTED_VALUE"""),44.888888888888886)</f>
        <v>44.88888889</v>
      </c>
      <c r="J543" s="22">
        <f>IFERROR(__xludf.DUMMYFUNCTION("""COMPUTED_VALUE"""),58.0)</f>
        <v>58</v>
      </c>
      <c r="K543" s="22"/>
      <c r="L543" s="26" t="str">
        <f>IFERROR(__xludf.DUMMYFUNCTION("""COMPUTED_VALUE"""),"Strategy")</f>
        <v>Strategy</v>
      </c>
      <c r="M543" s="26"/>
    </row>
    <row r="544">
      <c r="A544" s="12" t="str">
        <f>IFERROR(__xludf.DUMMYFUNCTION("""COMPUTED_VALUE"""),"Police Simulator: Patrol Officers")</f>
        <v>Police Simulator: Patrol Officers</v>
      </c>
      <c r="B544" s="13" t="str">
        <f>IFERROR(__xludf.DUMMYFUNCTION("""COMPUTED_VALUE"""),"Xbox / PC")</f>
        <v>Xbox / PC</v>
      </c>
      <c r="C544" s="14" t="str">
        <f>IFERROR(__xludf.DUMMYFUNCTION("""COMPUTED_VALUE"""),"Yes")</f>
        <v>Yes</v>
      </c>
      <c r="D544" s="14" t="str">
        <f>IFERROR(__xludf.DUMMYFUNCTION("""COMPUTED_VALUE"""),"Active")</f>
        <v>Active</v>
      </c>
      <c r="E544" s="15">
        <f>IFERROR(__xludf.DUMMYFUNCTION("""COMPUTED_VALUE"""),45797.0)</f>
        <v>45797</v>
      </c>
      <c r="F544" s="16"/>
      <c r="G544" s="18">
        <f>IFERROR(__xludf.DUMMYFUNCTION("""COMPUTED_VALUE"""),16.53333333333333)</f>
        <v>16.53333333</v>
      </c>
      <c r="H544" s="15">
        <f>IFERROR(__xludf.DUMMYFUNCTION("""COMPUTED_VALUE"""),44875.0)</f>
        <v>44875</v>
      </c>
      <c r="I544" s="18">
        <f>IFERROR(__xludf.DUMMYFUNCTION("""COMPUTED_VALUE"""),2.5277777777777777)</f>
        <v>2.527777778</v>
      </c>
      <c r="J544" s="22">
        <f>IFERROR(__xludf.DUMMYFUNCTION("""COMPUTED_VALUE"""),58.0)</f>
        <v>58</v>
      </c>
      <c r="K544" s="22">
        <f>IFERROR(__xludf.DUMMYFUNCTION("""COMPUTED_VALUE"""),16.0)</f>
        <v>16</v>
      </c>
      <c r="L544" s="26" t="str">
        <f>IFERROR(__xludf.DUMMYFUNCTION("""COMPUTED_VALUE"""),"Simulation")</f>
        <v>Simulation</v>
      </c>
      <c r="M544" s="26"/>
    </row>
    <row r="545">
      <c r="A545" s="12" t="str">
        <f>IFERROR(__xludf.DUMMYFUNCTION("""COMPUTED_VALUE"""),"Dead by Daylight: Special Edition")</f>
        <v>Dead by Daylight: Special Edition</v>
      </c>
      <c r="B545" s="13" t="str">
        <f>IFERROR(__xludf.DUMMYFUNCTION("""COMPUTED_VALUE"""),"Xbox / PC")</f>
        <v>Xbox / PC</v>
      </c>
      <c r="C545" s="14" t="str">
        <f>IFERROR(__xludf.DUMMYFUNCTION("""COMPUTED_VALUE"""),"Yes")</f>
        <v>Yes</v>
      </c>
      <c r="D545" s="14" t="str">
        <f>IFERROR(__xludf.DUMMYFUNCTION("""COMPUTED_VALUE"""),"Active")</f>
        <v>Active</v>
      </c>
      <c r="E545" s="15">
        <f>IFERROR(__xludf.DUMMYFUNCTION("""COMPUTED_VALUE"""),43615.0)</f>
        <v>43615</v>
      </c>
      <c r="F545" s="16"/>
      <c r="G545" s="18">
        <f>IFERROR(__xludf.DUMMYFUNCTION("""COMPUTED_VALUE"""),88.19999999999999)</f>
        <v>88.2</v>
      </c>
      <c r="H545" s="15">
        <f>IFERROR(__xludf.DUMMYFUNCTION("""COMPUTED_VALUE"""),42535.0)</f>
        <v>42535</v>
      </c>
      <c r="I545" s="18">
        <f>IFERROR(__xludf.DUMMYFUNCTION("""COMPUTED_VALUE"""),2.9611111111111112)</f>
        <v>2.961111111</v>
      </c>
      <c r="J545" s="22">
        <f>IFERROR(__xludf.DUMMYFUNCTION("""COMPUTED_VALUE"""),58.0)</f>
        <v>58</v>
      </c>
      <c r="K545" s="22">
        <f>IFERROR(__xludf.DUMMYFUNCTION("""COMPUTED_VALUE"""),608.0)</f>
        <v>608</v>
      </c>
      <c r="L545" s="26" t="str">
        <f>IFERROR(__xludf.DUMMYFUNCTION("""COMPUTED_VALUE"""),"Action")</f>
        <v>Action</v>
      </c>
      <c r="M545" s="26" t="str">
        <f>IFERROR(__xludf.DUMMYFUNCTION("""COMPUTED_VALUE"""),"Optimized")</f>
        <v>Optimized</v>
      </c>
    </row>
    <row r="546">
      <c r="A546" s="12" t="str">
        <f>IFERROR(__xludf.DUMMYFUNCTION("""COMPUTED_VALUE"""),"Tom Clancy's Ghost Recon Breakpoint")</f>
        <v>Tom Clancy's Ghost Recon Breakpoint</v>
      </c>
      <c r="B546" s="13" t="str">
        <f>IFERROR(__xludf.DUMMYFUNCTION("""COMPUTED_VALUE"""),"Xbox / PC")</f>
        <v>Xbox / PC</v>
      </c>
      <c r="C546" s="14" t="str">
        <f>IFERROR(__xludf.DUMMYFUNCTION("""COMPUTED_VALUE"""),"Yes")</f>
        <v>Yes</v>
      </c>
      <c r="D546" s="14" t="str">
        <f>IFERROR(__xludf.DUMMYFUNCTION("""COMPUTED_VALUE"""),"Active")</f>
        <v>Active</v>
      </c>
      <c r="E546" s="15">
        <f>IFERROR(__xludf.DUMMYFUNCTION("""COMPUTED_VALUE"""),45931.0)</f>
        <v>45931</v>
      </c>
      <c r="F546" s="16"/>
      <c r="G546" s="18">
        <f>IFERROR(__xludf.DUMMYFUNCTION("""COMPUTED_VALUE"""),12.166666666666666)</f>
        <v>12.16666667</v>
      </c>
      <c r="H546" s="15">
        <f>IFERROR(__xludf.DUMMYFUNCTION("""COMPUTED_VALUE"""),43739.0)</f>
        <v>43739</v>
      </c>
      <c r="I546" s="18">
        <f>IFERROR(__xludf.DUMMYFUNCTION("""COMPUTED_VALUE"""),6.0)</f>
        <v>6</v>
      </c>
      <c r="J546" s="22">
        <f>IFERROR(__xludf.DUMMYFUNCTION("""COMPUTED_VALUE"""),56.0)</f>
        <v>56</v>
      </c>
      <c r="K546" s="22">
        <f>IFERROR(__xludf.DUMMYFUNCTION("""COMPUTED_VALUE"""),23.0)</f>
        <v>23</v>
      </c>
      <c r="L546" s="26" t="str">
        <f>IFERROR(__xludf.DUMMYFUNCTION("""COMPUTED_VALUE"""),"Shooter")</f>
        <v>Shooter</v>
      </c>
      <c r="M546" s="26"/>
    </row>
    <row r="547">
      <c r="A547" s="12" t="str">
        <f>IFERROR(__xludf.DUMMYFUNCTION("""COMPUTED_VALUE"""),"Commando")</f>
        <v>Commando</v>
      </c>
      <c r="B547" s="13" t="str">
        <f>IFERROR(__xludf.DUMMYFUNCTION("""COMPUTED_VALUE"""),"Xbox / PC")</f>
        <v>Xbox / PC</v>
      </c>
      <c r="C547" s="14" t="str">
        <f>IFERROR(__xludf.DUMMYFUNCTION("""COMPUTED_VALUE"""),"Yes")</f>
        <v>Yes</v>
      </c>
      <c r="D547" s="14" t="str">
        <f>IFERROR(__xludf.DUMMYFUNCTION("""COMPUTED_VALUE"""),"Active")</f>
        <v>Active</v>
      </c>
      <c r="E547" s="15">
        <f>IFERROR(__xludf.DUMMYFUNCTION("""COMPUTED_VALUE"""),45798.0)</f>
        <v>45798</v>
      </c>
      <c r="F547" s="16"/>
      <c r="G547" s="18">
        <f>IFERROR(__xludf.DUMMYFUNCTION("""COMPUTED_VALUE"""),16.5)</f>
        <v>16.5</v>
      </c>
      <c r="H547" s="15">
        <f>IFERROR(__xludf.DUMMYFUNCTION("""COMPUTED_VALUE"""),30393.0)</f>
        <v>30393</v>
      </c>
      <c r="I547" s="18">
        <f>IFERROR(__xludf.DUMMYFUNCTION("""COMPUTED_VALUE"""),42.175)</f>
        <v>42.175</v>
      </c>
      <c r="J547" s="22">
        <f>IFERROR(__xludf.DUMMYFUNCTION("""COMPUTED_VALUE"""),56.0)</f>
        <v>56</v>
      </c>
      <c r="K547" s="22"/>
      <c r="L547" s="26" t="str">
        <f>IFERROR(__xludf.DUMMYFUNCTION("""COMPUTED_VALUE"""),"Shooter")</f>
        <v>Shooter</v>
      </c>
      <c r="M547" s="26"/>
    </row>
    <row r="548">
      <c r="A548" s="12" t="str">
        <f>IFERROR(__xludf.DUMMYFUNCTION("""COMPUTED_VALUE"""),"Call of Duty: Modern Warfare III")</f>
        <v>Call of Duty: Modern Warfare III</v>
      </c>
      <c r="B548" s="13" t="str">
        <f>IFERROR(__xludf.DUMMYFUNCTION("""COMPUTED_VALUE"""),"Xbox / PC")</f>
        <v>Xbox / PC</v>
      </c>
      <c r="C548" s="14" t="str">
        <f>IFERROR(__xludf.DUMMYFUNCTION("""COMPUTED_VALUE"""),"Yes")</f>
        <v>Yes</v>
      </c>
      <c r="D548" s="14" t="str">
        <f>IFERROR(__xludf.DUMMYFUNCTION("""COMPUTED_VALUE"""),"Active")</f>
        <v>Active</v>
      </c>
      <c r="E548" s="15">
        <f>IFERROR(__xludf.DUMMYFUNCTION("""COMPUTED_VALUE"""),45497.0)</f>
        <v>45497</v>
      </c>
      <c r="F548" s="16"/>
      <c r="G548" s="18">
        <f>IFERROR(__xludf.DUMMYFUNCTION("""COMPUTED_VALUE"""),26.400000000000002)</f>
        <v>26.4</v>
      </c>
      <c r="H548" s="15">
        <f>IFERROR(__xludf.DUMMYFUNCTION("""COMPUTED_VALUE"""),45211.0)</f>
        <v>45211</v>
      </c>
      <c r="I548" s="18">
        <f>IFERROR(__xludf.DUMMYFUNCTION("""COMPUTED_VALUE"""),0.7833333333333333)</f>
        <v>0.7833333333</v>
      </c>
      <c r="J548" s="22">
        <f>IFERROR(__xludf.DUMMYFUNCTION("""COMPUTED_VALUE"""),56.0)</f>
        <v>56</v>
      </c>
      <c r="K548" s="22">
        <f>IFERROR(__xludf.DUMMYFUNCTION("""COMPUTED_VALUE"""),5.0)</f>
        <v>5</v>
      </c>
      <c r="L548" s="26" t="str">
        <f>IFERROR(__xludf.DUMMYFUNCTION("""COMPUTED_VALUE"""),"Shooter")</f>
        <v>Shooter</v>
      </c>
      <c r="M548" s="26"/>
    </row>
    <row r="549">
      <c r="A549" s="12" t="str">
        <f>IFERROR(__xludf.DUMMYFUNCTION("""COMPUTED_VALUE"""),"Bluey: The Videogame")</f>
        <v>Bluey: The Videogame</v>
      </c>
      <c r="B549" s="13" t="str">
        <f>IFERROR(__xludf.DUMMYFUNCTION("""COMPUTED_VALUE"""),"Xbox / PC")</f>
        <v>Xbox / PC</v>
      </c>
      <c r="C549" s="14" t="str">
        <f>IFERROR(__xludf.DUMMYFUNCTION("""COMPUTED_VALUE"""),"Yes")</f>
        <v>Yes</v>
      </c>
      <c r="D549" s="14" t="str">
        <f>IFERROR(__xludf.DUMMYFUNCTION("""COMPUTED_VALUE"""),"Active")</f>
        <v>Active</v>
      </c>
      <c r="E549" s="15">
        <f>IFERROR(__xludf.DUMMYFUNCTION("""COMPUTED_VALUE"""),45344.0)</f>
        <v>45344</v>
      </c>
      <c r="F549" s="16"/>
      <c r="G549" s="18">
        <f>IFERROR(__xludf.DUMMYFUNCTION("""COMPUTED_VALUE"""),31.46666666666667)</f>
        <v>31.46666667</v>
      </c>
      <c r="H549" s="15">
        <f>IFERROR(__xludf.DUMMYFUNCTION("""COMPUTED_VALUE"""),45247.0)</f>
        <v>45247</v>
      </c>
      <c r="I549" s="18">
        <f>IFERROR(__xludf.DUMMYFUNCTION("""COMPUTED_VALUE"""),0.2638888888888889)</f>
        <v>0.2638888889</v>
      </c>
      <c r="J549" s="22">
        <f>IFERROR(__xludf.DUMMYFUNCTION("""COMPUTED_VALUE"""),56.0)</f>
        <v>56</v>
      </c>
      <c r="K549" s="22">
        <f>IFERROR(__xludf.DUMMYFUNCTION("""COMPUTED_VALUE"""),1.0)</f>
        <v>1</v>
      </c>
      <c r="L549" s="26" t="str">
        <f>IFERROR(__xludf.DUMMYFUNCTION("""COMPUTED_VALUE"""),"Adventure")</f>
        <v>Adventure</v>
      </c>
      <c r="M549" s="26"/>
    </row>
    <row r="550">
      <c r="A550" s="12" t="str">
        <f>IFERROR(__xludf.DUMMYFUNCTION("""COMPUTED_VALUE"""),"DayZ")</f>
        <v>DayZ</v>
      </c>
      <c r="B550" s="13" t="str">
        <f>IFERROR(__xludf.DUMMYFUNCTION("""COMPUTED_VALUE"""),"Xbox / PC")</f>
        <v>Xbox / PC</v>
      </c>
      <c r="C550" s="14" t="str">
        <f>IFERROR(__xludf.DUMMYFUNCTION("""COMPUTED_VALUE"""),"Yes")</f>
        <v>Yes</v>
      </c>
      <c r="D550" s="14" t="str">
        <f>IFERROR(__xludf.DUMMYFUNCTION("""COMPUTED_VALUE"""),"Active")</f>
        <v>Active</v>
      </c>
      <c r="E550" s="15">
        <f>IFERROR(__xludf.DUMMYFUNCTION("""COMPUTED_VALUE"""),43958.0)</f>
        <v>43958</v>
      </c>
      <c r="F550" s="16"/>
      <c r="G550" s="18">
        <f>IFERROR(__xludf.DUMMYFUNCTION("""COMPUTED_VALUE"""),76.96666666666667)</f>
        <v>76.96666667</v>
      </c>
      <c r="H550" s="15">
        <f>IFERROR(__xludf.DUMMYFUNCTION("""COMPUTED_VALUE"""),41621.0)</f>
        <v>41621</v>
      </c>
      <c r="I550" s="18">
        <f>IFERROR(__xludf.DUMMYFUNCTION("""COMPUTED_VALUE"""),6.4)</f>
        <v>6.4</v>
      </c>
      <c r="J550" s="22">
        <f>IFERROR(__xludf.DUMMYFUNCTION("""COMPUTED_VALUE"""),56.0)</f>
        <v>56</v>
      </c>
      <c r="K550" s="22">
        <f>IFERROR(__xludf.DUMMYFUNCTION("""COMPUTED_VALUE"""),65.5)</f>
        <v>65.5</v>
      </c>
      <c r="L550" s="26" t="str">
        <f>IFERROR(__xludf.DUMMYFUNCTION("""COMPUTED_VALUE"""),"Shooter")</f>
        <v>Shooter</v>
      </c>
      <c r="M550" s="26"/>
    </row>
    <row r="551">
      <c r="A551" s="12" t="str">
        <f>IFERROR(__xludf.DUMMYFUNCTION("""COMPUTED_VALUE"""),"Trials of the Blood Dragon")</f>
        <v>Trials of the Blood Dragon</v>
      </c>
      <c r="B551" s="13" t="str">
        <f>IFERROR(__xludf.DUMMYFUNCTION("""COMPUTED_VALUE"""),"Xbox / PC")</f>
        <v>Xbox / PC</v>
      </c>
      <c r="C551" s="14" t="str">
        <f>IFERROR(__xludf.DUMMYFUNCTION("""COMPUTED_VALUE"""),"Yes")</f>
        <v>Yes</v>
      </c>
      <c r="D551" s="14" t="str">
        <f>IFERROR(__xludf.DUMMYFUNCTION("""COMPUTED_VALUE"""),"Active")</f>
        <v>Active</v>
      </c>
      <c r="E551" s="15">
        <f>IFERROR(__xludf.DUMMYFUNCTION("""COMPUTED_VALUE"""),45931.0)</f>
        <v>45931</v>
      </c>
      <c r="F551" s="16"/>
      <c r="G551" s="18">
        <f>IFERROR(__xludf.DUMMYFUNCTION("""COMPUTED_VALUE"""),12.166666666666666)</f>
        <v>12.16666667</v>
      </c>
      <c r="H551" s="15">
        <f>IFERROR(__xludf.DUMMYFUNCTION("""COMPUTED_VALUE"""),42534.0)</f>
        <v>42534</v>
      </c>
      <c r="I551" s="18">
        <f>IFERROR(__xludf.DUMMYFUNCTION("""COMPUTED_VALUE"""),9.3)</f>
        <v>9.3</v>
      </c>
      <c r="J551" s="22">
        <f>IFERROR(__xludf.DUMMYFUNCTION("""COMPUTED_VALUE"""),55.0)</f>
        <v>55</v>
      </c>
      <c r="K551" s="22">
        <f>IFERROR(__xludf.DUMMYFUNCTION("""COMPUTED_VALUE"""),3.0)</f>
        <v>3</v>
      </c>
      <c r="L551" s="26" t="str">
        <f>IFERROR(__xludf.DUMMYFUNCTION("""COMPUTED_VALUE"""),"Racing")</f>
        <v>Racing</v>
      </c>
      <c r="M551" s="26"/>
    </row>
    <row r="552">
      <c r="A552" s="12" t="str">
        <f>IFERROR(__xludf.DUMMYFUNCTION("""COMPUTED_VALUE"""),"Bloody Human Freeway")</f>
        <v>Bloody Human Freeway</v>
      </c>
      <c r="B552" s="13" t="str">
        <f>IFERROR(__xludf.DUMMYFUNCTION("""COMPUTED_VALUE"""),"Xbox / PC")</f>
        <v>Xbox / PC</v>
      </c>
      <c r="C552" s="14" t="str">
        <f>IFERROR(__xludf.DUMMYFUNCTION("""COMPUTED_VALUE"""),"Yes")</f>
        <v>Yes</v>
      </c>
      <c r="D552" s="14" t="str">
        <f>IFERROR(__xludf.DUMMYFUNCTION("""COMPUTED_VALUE"""),"Active")</f>
        <v>Active</v>
      </c>
      <c r="E552" s="15">
        <f>IFERROR(__xludf.DUMMYFUNCTION("""COMPUTED_VALUE"""),45798.0)</f>
        <v>45798</v>
      </c>
      <c r="F552" s="16"/>
      <c r="G552" s="18">
        <f>IFERROR(__xludf.DUMMYFUNCTION("""COMPUTED_VALUE"""),16.5)</f>
        <v>16.5</v>
      </c>
      <c r="H552" s="15">
        <f>IFERROR(__xludf.DUMMYFUNCTION("""COMPUTED_VALUE"""),29768.0)</f>
        <v>29768</v>
      </c>
      <c r="I552" s="18">
        <f>IFERROR(__xludf.DUMMYFUNCTION("""COMPUTED_VALUE"""),43.888888888888886)</f>
        <v>43.88888889</v>
      </c>
      <c r="J552" s="22">
        <f>IFERROR(__xludf.DUMMYFUNCTION("""COMPUTED_VALUE"""),55.0)</f>
        <v>55</v>
      </c>
      <c r="K552" s="22"/>
      <c r="L552" s="26" t="str">
        <f>IFERROR(__xludf.DUMMYFUNCTION("""COMPUTED_VALUE"""),"Action")</f>
        <v>Action</v>
      </c>
      <c r="M552" s="26"/>
    </row>
    <row r="553">
      <c r="A553" s="12" t="str">
        <f>IFERROR(__xludf.DUMMYFUNCTION("""COMPUTED_VALUE"""),"Laser Blast")</f>
        <v>Laser Blast</v>
      </c>
      <c r="B553" s="13" t="str">
        <f>IFERROR(__xludf.DUMMYFUNCTION("""COMPUTED_VALUE"""),"Xbox / PC")</f>
        <v>Xbox / PC</v>
      </c>
      <c r="C553" s="14" t="str">
        <f>IFERROR(__xludf.DUMMYFUNCTION("""COMPUTED_VALUE"""),"Yes")</f>
        <v>Yes</v>
      </c>
      <c r="D553" s="14" t="str">
        <f>IFERROR(__xludf.DUMMYFUNCTION("""COMPUTED_VALUE"""),"Active")</f>
        <v>Active</v>
      </c>
      <c r="E553" s="15">
        <f>IFERROR(__xludf.DUMMYFUNCTION("""COMPUTED_VALUE"""),45798.0)</f>
        <v>45798</v>
      </c>
      <c r="F553" s="16"/>
      <c r="G553" s="18">
        <f>IFERROR(__xludf.DUMMYFUNCTION("""COMPUTED_VALUE"""),16.5)</f>
        <v>16.5</v>
      </c>
      <c r="H553" s="15">
        <f>IFERROR(__xludf.DUMMYFUNCTION("""COMPUTED_VALUE"""),29646.0)</f>
        <v>29646</v>
      </c>
      <c r="I553" s="18">
        <f>IFERROR(__xludf.DUMMYFUNCTION("""COMPUTED_VALUE"""),44.22222222222222)</f>
        <v>44.22222222</v>
      </c>
      <c r="J553" s="22">
        <f>IFERROR(__xludf.DUMMYFUNCTION("""COMPUTED_VALUE"""),55.0)</f>
        <v>55</v>
      </c>
      <c r="K553" s="22"/>
      <c r="L553" s="26" t="str">
        <f>IFERROR(__xludf.DUMMYFUNCTION("""COMPUTED_VALUE"""),"Shooter")</f>
        <v>Shooter</v>
      </c>
      <c r="M553" s="26"/>
    </row>
    <row r="554">
      <c r="A554" s="12" t="str">
        <f>IFERROR(__xludf.DUMMYFUNCTION("""COMPUTED_VALUE"""),"Redfall")</f>
        <v>Redfall</v>
      </c>
      <c r="B554" s="13" t="str">
        <f>IFERROR(__xludf.DUMMYFUNCTION("""COMPUTED_VALUE"""),"Xbox / PC")</f>
        <v>Xbox / PC</v>
      </c>
      <c r="C554" s="14" t="str">
        <f>IFERROR(__xludf.DUMMYFUNCTION("""COMPUTED_VALUE"""),"Yes")</f>
        <v>Yes</v>
      </c>
      <c r="D554" s="14" t="str">
        <f>IFERROR(__xludf.DUMMYFUNCTION("""COMPUTED_VALUE"""),"Active")</f>
        <v>Active</v>
      </c>
      <c r="E554" s="15">
        <f>IFERROR(__xludf.DUMMYFUNCTION("""COMPUTED_VALUE"""),45048.0)</f>
        <v>45048</v>
      </c>
      <c r="F554" s="16"/>
      <c r="G554" s="18">
        <f>IFERROR(__xludf.DUMMYFUNCTION("""COMPUTED_VALUE"""),41.13333333333333)</f>
        <v>41.13333333</v>
      </c>
      <c r="H554" s="15">
        <f>IFERROR(__xludf.DUMMYFUNCTION("""COMPUTED_VALUE"""),45048.0)</f>
        <v>45048</v>
      </c>
      <c r="I554" s="18">
        <f>IFERROR(__xludf.DUMMYFUNCTION("""COMPUTED_VALUE"""),0.0)</f>
        <v>0</v>
      </c>
      <c r="J554" s="22">
        <f>IFERROR(__xludf.DUMMYFUNCTION("""COMPUTED_VALUE"""),55.0)</f>
        <v>55</v>
      </c>
      <c r="K554" s="22">
        <f>IFERROR(__xludf.DUMMYFUNCTION("""COMPUTED_VALUE"""),11.0)</f>
        <v>11</v>
      </c>
      <c r="L554" s="26" t="str">
        <f>IFERROR(__xludf.DUMMYFUNCTION("""COMPUTED_VALUE"""),"Shooter")</f>
        <v>Shooter</v>
      </c>
      <c r="M554" s="26" t="str">
        <f>IFERROR(__xludf.DUMMYFUNCTION("""COMPUTED_VALUE"""),"Exclusive")</f>
        <v>Exclusive</v>
      </c>
    </row>
    <row r="555">
      <c r="A555" s="12" t="str">
        <f>IFERROR(__xludf.DUMMYFUNCTION("""COMPUTED_VALUE"""),"The Settlers: New Allies")</f>
        <v>The Settlers: New Allies</v>
      </c>
      <c r="B555" s="13" t="str">
        <f>IFERROR(__xludf.DUMMYFUNCTION("""COMPUTED_VALUE"""),"Xbox / PC")</f>
        <v>Xbox / PC</v>
      </c>
      <c r="C555" s="14" t="str">
        <f>IFERROR(__xludf.DUMMYFUNCTION("""COMPUTED_VALUE"""),"Yes")</f>
        <v>Yes</v>
      </c>
      <c r="D555" s="14" t="str">
        <f>IFERROR(__xludf.DUMMYFUNCTION("""COMPUTED_VALUE"""),"Active")</f>
        <v>Active</v>
      </c>
      <c r="E555" s="15">
        <f>IFERROR(__xludf.DUMMYFUNCTION("""COMPUTED_VALUE"""),45931.0)</f>
        <v>45931</v>
      </c>
      <c r="F555" s="16"/>
      <c r="G555" s="18">
        <f>IFERROR(__xludf.DUMMYFUNCTION("""COMPUTED_VALUE"""),12.166666666666666)</f>
        <v>12.16666667</v>
      </c>
      <c r="H555" s="15">
        <f>IFERROR(__xludf.DUMMYFUNCTION("""COMPUTED_VALUE"""),44974.0)</f>
        <v>44974</v>
      </c>
      <c r="I555" s="18">
        <f>IFERROR(__xludf.DUMMYFUNCTION("""COMPUTED_VALUE"""),2.6222222222222222)</f>
        <v>2.622222222</v>
      </c>
      <c r="J555" s="22">
        <f>IFERROR(__xludf.DUMMYFUNCTION("""COMPUTED_VALUE"""),54.0)</f>
        <v>54</v>
      </c>
      <c r="K555" s="22">
        <f>IFERROR(__xludf.DUMMYFUNCTION("""COMPUTED_VALUE"""),35.0)</f>
        <v>35</v>
      </c>
      <c r="L555" s="26" t="str">
        <f>IFERROR(__xludf.DUMMYFUNCTION("""COMPUTED_VALUE"""),"Management")</f>
        <v>Management</v>
      </c>
      <c r="M555" s="26"/>
    </row>
    <row r="556">
      <c r="A556" s="12" t="str">
        <f>IFERROR(__xludf.DUMMYFUNCTION("""COMPUTED_VALUE"""),"Rabbids Invasion: The Interactive TV Show")</f>
        <v>Rabbids Invasion: The Interactive TV Show</v>
      </c>
      <c r="B556" s="13" t="str">
        <f>IFERROR(__xludf.DUMMYFUNCTION("""COMPUTED_VALUE"""),"Xbox")</f>
        <v>Xbox</v>
      </c>
      <c r="C556" s="14" t="str">
        <f>IFERROR(__xludf.DUMMYFUNCTION("""COMPUTED_VALUE"""),"Yes")</f>
        <v>Yes</v>
      </c>
      <c r="D556" s="14" t="str">
        <f>IFERROR(__xludf.DUMMYFUNCTION("""COMPUTED_VALUE"""),"Active")</f>
        <v>Active</v>
      </c>
      <c r="E556" s="15">
        <f>IFERROR(__xludf.DUMMYFUNCTION("""COMPUTED_VALUE"""),45931.0)</f>
        <v>45931</v>
      </c>
      <c r="F556" s="16"/>
      <c r="G556" s="18">
        <f>IFERROR(__xludf.DUMMYFUNCTION("""COMPUTED_VALUE"""),12.166666666666666)</f>
        <v>12.16666667</v>
      </c>
      <c r="H556" s="15">
        <f>IFERROR(__xludf.DUMMYFUNCTION("""COMPUTED_VALUE"""),41951.0)</f>
        <v>41951</v>
      </c>
      <c r="I556" s="18">
        <f>IFERROR(__xludf.DUMMYFUNCTION("""COMPUTED_VALUE"""),10.897222222222222)</f>
        <v>10.89722222</v>
      </c>
      <c r="J556" s="22">
        <f>IFERROR(__xludf.DUMMYFUNCTION("""COMPUTED_VALUE"""),53.0)</f>
        <v>53</v>
      </c>
      <c r="K556" s="22">
        <f>IFERROR(__xludf.DUMMYFUNCTION("""COMPUTED_VALUE"""),10.0)</f>
        <v>10</v>
      </c>
      <c r="L556" s="26" t="str">
        <f>IFERROR(__xludf.DUMMYFUNCTION("""COMPUTED_VALUE"""),"Party")</f>
        <v>Party</v>
      </c>
      <c r="M556" s="26"/>
    </row>
    <row r="557">
      <c r="A557" s="12" t="str">
        <f>IFERROR(__xludf.DUMMYFUNCTION("""COMPUTED_VALUE"""),"Halo: Spartan Assault")</f>
        <v>Halo: Spartan Assault</v>
      </c>
      <c r="B557" s="13" t="str">
        <f>IFERROR(__xludf.DUMMYFUNCTION("""COMPUTED_VALUE"""),"Xbox / PC")</f>
        <v>Xbox / PC</v>
      </c>
      <c r="C557" s="14" t="str">
        <f>IFERROR(__xludf.DUMMYFUNCTION("""COMPUTED_VALUE"""),"Touch Controls")</f>
        <v>Touch Controls</v>
      </c>
      <c r="D557" s="14" t="str">
        <f>IFERROR(__xludf.DUMMYFUNCTION("""COMPUTED_VALUE"""),"Active")</f>
        <v>Active</v>
      </c>
      <c r="E557" s="15">
        <f>IFERROR(__xludf.DUMMYFUNCTION("""COMPUTED_VALUE"""),42887.0)</f>
        <v>42887</v>
      </c>
      <c r="F557" s="16"/>
      <c r="G557" s="18">
        <f>IFERROR(__xludf.DUMMYFUNCTION("""COMPUTED_VALUE"""),112.16666666666666)</f>
        <v>112.1666667</v>
      </c>
      <c r="H557" s="15">
        <f>IFERROR(__xludf.DUMMYFUNCTION("""COMPUTED_VALUE"""),41473.0)</f>
        <v>41473</v>
      </c>
      <c r="I557" s="18">
        <f>IFERROR(__xludf.DUMMYFUNCTION("""COMPUTED_VALUE"""),3.8694444444444445)</f>
        <v>3.869444444</v>
      </c>
      <c r="J557" s="22">
        <f>IFERROR(__xludf.DUMMYFUNCTION("""COMPUTED_VALUE"""),53.0)</f>
        <v>53</v>
      </c>
      <c r="K557" s="22">
        <f>IFERROR(__xludf.DUMMYFUNCTION("""COMPUTED_VALUE"""),4.0)</f>
        <v>4</v>
      </c>
      <c r="L557" s="26" t="str">
        <f>IFERROR(__xludf.DUMMYFUNCTION("""COMPUTED_VALUE"""),"Shooter")</f>
        <v>Shooter</v>
      </c>
      <c r="M557" s="26" t="str">
        <f>IFERROR(__xludf.DUMMYFUNCTION("""COMPUTED_VALUE"""),"FPS Boost")</f>
        <v>FPS Boost</v>
      </c>
    </row>
    <row r="558">
      <c r="A558" s="12" t="str">
        <f>IFERROR(__xludf.DUMMYFUNCTION("""COMPUTED_VALUE"""),"Generation Zero")</f>
        <v>Generation Zero</v>
      </c>
      <c r="B558" s="13" t="str">
        <f>IFERROR(__xludf.DUMMYFUNCTION("""COMPUTED_VALUE"""),"Xbox / PC")</f>
        <v>Xbox / PC</v>
      </c>
      <c r="C558" s="14" t="str">
        <f>IFERROR(__xludf.DUMMYFUNCTION("""COMPUTED_VALUE"""),"Yes")</f>
        <v>Yes</v>
      </c>
      <c r="D558" s="14" t="str">
        <f>IFERROR(__xludf.DUMMYFUNCTION("""COMPUTED_VALUE"""),"Active")</f>
        <v>Active</v>
      </c>
      <c r="E558" s="15">
        <f>IFERROR(__xludf.DUMMYFUNCTION("""COMPUTED_VALUE"""),44531.0)</f>
        <v>44531</v>
      </c>
      <c r="F558" s="16"/>
      <c r="G558" s="18">
        <f>IFERROR(__xludf.DUMMYFUNCTION("""COMPUTED_VALUE"""),58.16666666666667)</f>
        <v>58.16666667</v>
      </c>
      <c r="H558" s="15">
        <f>IFERROR(__xludf.DUMMYFUNCTION("""COMPUTED_VALUE"""),43550.0)</f>
        <v>43550</v>
      </c>
      <c r="I558" s="18">
        <f>IFERROR(__xludf.DUMMYFUNCTION("""COMPUTED_VALUE"""),2.6805555555555554)</f>
        <v>2.680555556</v>
      </c>
      <c r="J558" s="22">
        <f>IFERROR(__xludf.DUMMYFUNCTION("""COMPUTED_VALUE"""),50.5)</f>
        <v>50.5</v>
      </c>
      <c r="K558" s="22">
        <f>IFERROR(__xludf.DUMMYFUNCTION("""COMPUTED_VALUE"""),21.5)</f>
        <v>21.5</v>
      </c>
      <c r="L558" s="26" t="str">
        <f>IFERROR(__xludf.DUMMYFUNCTION("""COMPUTED_VALUE"""),"Shooter")</f>
        <v>Shooter</v>
      </c>
      <c r="M558" s="26"/>
    </row>
    <row r="559">
      <c r="A559" s="12" t="str">
        <f>IFERROR(__xludf.DUMMYFUNCTION("""COMPUTED_VALUE"""),"Title Match Pro Wrestling")</f>
        <v>Title Match Pro Wrestling</v>
      </c>
      <c r="B559" s="13" t="str">
        <f>IFERROR(__xludf.DUMMYFUNCTION("""COMPUTED_VALUE"""),"Xbox / PC")</f>
        <v>Xbox / PC</v>
      </c>
      <c r="C559" s="14" t="str">
        <f>IFERROR(__xludf.DUMMYFUNCTION("""COMPUTED_VALUE"""),"Yes")</f>
        <v>Yes</v>
      </c>
      <c r="D559" s="14" t="str">
        <f>IFERROR(__xludf.DUMMYFUNCTION("""COMPUTED_VALUE"""),"Active")</f>
        <v>Active</v>
      </c>
      <c r="E559" s="15">
        <f>IFERROR(__xludf.DUMMYFUNCTION("""COMPUTED_VALUE"""),45798.0)</f>
        <v>45798</v>
      </c>
      <c r="F559" s="16"/>
      <c r="G559" s="18">
        <f>IFERROR(__xludf.DUMMYFUNCTION("""COMPUTED_VALUE"""),16.5)</f>
        <v>16.5</v>
      </c>
      <c r="H559" s="15">
        <f>IFERROR(__xludf.DUMMYFUNCTION("""COMPUTED_VALUE"""),31972.0)</f>
        <v>31972</v>
      </c>
      <c r="I559" s="18">
        <f>IFERROR(__xludf.DUMMYFUNCTION("""COMPUTED_VALUE"""),37.852777777777774)</f>
        <v>37.85277778</v>
      </c>
      <c r="J559" s="22">
        <f>IFERROR(__xludf.DUMMYFUNCTION("""COMPUTED_VALUE"""),50.0)</f>
        <v>50</v>
      </c>
      <c r="K559" s="22"/>
      <c r="L559" s="26" t="str">
        <f>IFERROR(__xludf.DUMMYFUNCTION("""COMPUTED_VALUE"""),"Sports")</f>
        <v>Sports</v>
      </c>
      <c r="M559" s="26"/>
    </row>
    <row r="560">
      <c r="A560" s="12" t="str">
        <f>IFERROR(__xludf.DUMMYFUNCTION("""COMPUTED_VALUE"""),"Private Eye")</f>
        <v>Private Eye</v>
      </c>
      <c r="B560" s="13" t="str">
        <f>IFERROR(__xludf.DUMMYFUNCTION("""COMPUTED_VALUE"""),"Xbox / PC")</f>
        <v>Xbox / PC</v>
      </c>
      <c r="C560" s="14" t="str">
        <f>IFERROR(__xludf.DUMMYFUNCTION("""COMPUTED_VALUE"""),"Yes")</f>
        <v>Yes</v>
      </c>
      <c r="D560" s="14" t="str">
        <f>IFERROR(__xludf.DUMMYFUNCTION("""COMPUTED_VALUE"""),"Active")</f>
        <v>Active</v>
      </c>
      <c r="E560" s="15">
        <f>IFERROR(__xludf.DUMMYFUNCTION("""COMPUTED_VALUE"""),45883.0)</f>
        <v>45883</v>
      </c>
      <c r="F560" s="16"/>
      <c r="G560" s="18">
        <f>IFERROR(__xludf.DUMMYFUNCTION("""COMPUTED_VALUE"""),13.733333333333333)</f>
        <v>13.73333333</v>
      </c>
      <c r="H560" s="15">
        <f>IFERROR(__xludf.DUMMYFUNCTION("""COMPUTED_VALUE"""),30713.0)</f>
        <v>30713</v>
      </c>
      <c r="I560" s="18">
        <f>IFERROR(__xludf.DUMMYFUNCTION("""COMPUTED_VALUE"""),41.53611111111111)</f>
        <v>41.53611111</v>
      </c>
      <c r="J560" s="22">
        <f>IFERROR(__xludf.DUMMYFUNCTION("""COMPUTED_VALUE"""),45.0)</f>
        <v>45</v>
      </c>
      <c r="K560" s="22">
        <f>IFERROR(__xludf.DUMMYFUNCTION("""COMPUTED_VALUE"""),12.0)</f>
        <v>12</v>
      </c>
      <c r="L560" s="26" t="str">
        <f>IFERROR(__xludf.DUMMYFUNCTION("""COMPUTED_VALUE"""),"Action")</f>
        <v>Action</v>
      </c>
      <c r="M560" s="26"/>
    </row>
    <row r="561">
      <c r="A561" s="12" t="str">
        <f>IFERROR(__xludf.DUMMYFUNCTION("""COMPUTED_VALUE"""),"Dragster")</f>
        <v>Dragster</v>
      </c>
      <c r="B561" s="13" t="str">
        <f>IFERROR(__xludf.DUMMYFUNCTION("""COMPUTED_VALUE"""),"Xbox / PC")</f>
        <v>Xbox / PC</v>
      </c>
      <c r="C561" s="14" t="str">
        <f>IFERROR(__xludf.DUMMYFUNCTION("""COMPUTED_VALUE"""),"Yes")</f>
        <v>Yes</v>
      </c>
      <c r="D561" s="14" t="str">
        <f>IFERROR(__xludf.DUMMYFUNCTION("""COMPUTED_VALUE"""),"Active")</f>
        <v>Active</v>
      </c>
      <c r="E561" s="15">
        <f>IFERROR(__xludf.DUMMYFUNCTION("""COMPUTED_VALUE"""),45798.0)</f>
        <v>45798</v>
      </c>
      <c r="F561" s="16"/>
      <c r="G561" s="18">
        <f>IFERROR(__xludf.DUMMYFUNCTION("""COMPUTED_VALUE"""),16.5)</f>
        <v>16.5</v>
      </c>
      <c r="H561" s="15">
        <f>IFERROR(__xludf.DUMMYFUNCTION("""COMPUTED_VALUE"""),29403.0)</f>
        <v>29403</v>
      </c>
      <c r="I561" s="18">
        <f>IFERROR(__xludf.DUMMYFUNCTION("""COMPUTED_VALUE"""),44.888888888888886)</f>
        <v>44.88888889</v>
      </c>
      <c r="J561" s="22">
        <f>IFERROR(__xludf.DUMMYFUNCTION("""COMPUTED_VALUE"""),45.0)</f>
        <v>45</v>
      </c>
      <c r="K561" s="22"/>
      <c r="L561" s="26" t="str">
        <f>IFERROR(__xludf.DUMMYFUNCTION("""COMPUTED_VALUE"""),"Racing")</f>
        <v>Racing</v>
      </c>
      <c r="M561" s="26"/>
    </row>
    <row r="562">
      <c r="A562" s="12" t="str">
        <f>IFERROR(__xludf.DUMMYFUNCTION("""COMPUTED_VALUE"""),"Dead Static Drive")</f>
        <v>Dead Static Drive</v>
      </c>
      <c r="B562" s="13" t="str">
        <f>IFERROR(__xludf.DUMMYFUNCTION("""COMPUTED_VALUE"""),"Xbox / PC")</f>
        <v>Xbox / PC</v>
      </c>
      <c r="C562" s="14" t="str">
        <f>IFERROR(__xludf.DUMMYFUNCTION("""COMPUTED_VALUE"""),"Yes")</f>
        <v>Yes</v>
      </c>
      <c r="D562" s="14" t="str">
        <f>IFERROR(__xludf.DUMMYFUNCTION("""COMPUTED_VALUE"""),"Active")</f>
        <v>Active</v>
      </c>
      <c r="E562" s="15">
        <f>IFERROR(__xludf.DUMMYFUNCTION("""COMPUTED_VALUE"""),45966.0)</f>
        <v>45966</v>
      </c>
      <c r="F562" s="16"/>
      <c r="G562" s="18">
        <f>IFERROR(__xludf.DUMMYFUNCTION("""COMPUTED_VALUE"""),11.033333333333333)</f>
        <v>11.03333333</v>
      </c>
      <c r="H562" s="15">
        <f>IFERROR(__xludf.DUMMYFUNCTION("""COMPUTED_VALUE"""),45966.0)</f>
        <v>45966</v>
      </c>
      <c r="I562" s="18">
        <f>IFERROR(__xludf.DUMMYFUNCTION("""COMPUTED_VALUE"""),0.0)</f>
        <v>0</v>
      </c>
      <c r="J562" s="22">
        <f>IFERROR(__xludf.DUMMYFUNCTION("""COMPUTED_VALUE"""),35.0)</f>
        <v>35</v>
      </c>
      <c r="K562" s="22">
        <f>IFERROR(__xludf.DUMMYFUNCTION("""COMPUTED_VALUE"""),4.0)</f>
        <v>4</v>
      </c>
      <c r="L562" s="26" t="str">
        <f>IFERROR(__xludf.DUMMYFUNCTION("""COMPUTED_VALUE"""),"Survival")</f>
        <v>Survival</v>
      </c>
      <c r="M562" s="26"/>
    </row>
    <row r="563">
      <c r="A563" s="12" t="str">
        <f>IFERROR(__xludf.DUMMYFUNCTION("""COMPUTED_VALUE"""),"Gears of War: E-Day")</f>
        <v>Gears of War: E-Day</v>
      </c>
      <c r="B563" s="13" t="str">
        <f>IFERROR(__xludf.DUMMYFUNCTION("""COMPUTED_VALUE"""),"Xbox / PC")</f>
        <v>Xbox / PC</v>
      </c>
      <c r="C563" s="14" t="str">
        <f>IFERROR(__xludf.DUMMYFUNCTION("""COMPUTED_VALUE"""),"Yes")</f>
        <v>Yes</v>
      </c>
      <c r="D563" s="14" t="str">
        <f>IFERROR(__xludf.DUMMYFUNCTION("""COMPUTED_VALUE"""),"Active")</f>
        <v>Active</v>
      </c>
      <c r="E563" s="15">
        <f>IFERROR(__xludf.DUMMYFUNCTION("""COMPUTED_VALUE"""),46301.0)</f>
        <v>46301</v>
      </c>
      <c r="F563" s="16"/>
      <c r="G563" s="18">
        <f>IFERROR(__xludf.DUMMYFUNCTION("""COMPUTED_VALUE"""),0.0)</f>
        <v>0</v>
      </c>
      <c r="H563" s="15">
        <f>IFERROR(__xludf.DUMMYFUNCTION("""COMPUTED_VALUE"""),46301.0)</f>
        <v>46301</v>
      </c>
      <c r="I563" s="18">
        <f>IFERROR(__xludf.DUMMYFUNCTION("""COMPUTED_VALUE"""),0.0)</f>
        <v>0</v>
      </c>
      <c r="J563" s="22"/>
      <c r="K563" s="22"/>
      <c r="L563" s="26" t="str">
        <f>IFERROR(__xludf.DUMMYFUNCTION("""COMPUTED_VALUE"""),"Shooter")</f>
        <v>Shooter</v>
      </c>
      <c r="M563" s="26" t="str">
        <f>IFERROR(__xludf.DUMMYFUNCTION("""COMPUTED_VALUE"""),"Exclusive")</f>
        <v>Exclusive</v>
      </c>
    </row>
    <row r="564">
      <c r="A564" s="12" t="str">
        <f>IFERROR(__xludf.DUMMYFUNCTION("""COMPUTED_VALUE"""),"Minecraft Dungeons II")</f>
        <v>Minecraft Dungeons II</v>
      </c>
      <c r="B564" s="13" t="str">
        <f>IFERROR(__xludf.DUMMYFUNCTION("""COMPUTED_VALUE"""),"Xbox / PC")</f>
        <v>Xbox / PC</v>
      </c>
      <c r="C564" s="14" t="str">
        <f>IFERROR(__xludf.DUMMYFUNCTION("""COMPUTED_VALUE"""),"Yes")</f>
        <v>Yes</v>
      </c>
      <c r="D564" s="14" t="str">
        <f>IFERROR(__xludf.DUMMYFUNCTION("""COMPUTED_VALUE"""),"Active")</f>
        <v>Active</v>
      </c>
      <c r="E564" s="15">
        <f>IFERROR(__xludf.DUMMYFUNCTION("""COMPUTED_VALUE"""),46294.0)</f>
        <v>46294</v>
      </c>
      <c r="F564" s="16"/>
      <c r="G564" s="18">
        <f>IFERROR(__xludf.DUMMYFUNCTION("""COMPUTED_VALUE"""),0.23333333333333334)</f>
        <v>0.2333333333</v>
      </c>
      <c r="H564" s="15">
        <f>IFERROR(__xludf.DUMMYFUNCTION("""COMPUTED_VALUE"""),46294.0)</f>
        <v>46294</v>
      </c>
      <c r="I564" s="18">
        <f>IFERROR(__xludf.DUMMYFUNCTION("""COMPUTED_VALUE"""),0.0)</f>
        <v>0</v>
      </c>
      <c r="J564" s="22"/>
      <c r="K564" s="22"/>
      <c r="L564" s="26" t="str">
        <f>IFERROR(__xludf.DUMMYFUNCTION("""COMPUTED_VALUE"""),"Action-Adventure")</f>
        <v>Action-Adventure</v>
      </c>
      <c r="M564" s="26"/>
    </row>
    <row r="565">
      <c r="A565" s="12" t="str">
        <f>IFERROR(__xludf.DUMMYFUNCTION("""COMPUTED_VALUE"""),"Mad King Redemption")</f>
        <v>Mad King Redemption</v>
      </c>
      <c r="B565" s="13" t="str">
        <f>IFERROR(__xludf.DUMMYFUNCTION("""COMPUTED_VALUE"""),"Xbox / PC")</f>
        <v>Xbox / PC</v>
      </c>
      <c r="C565" s="14" t="str">
        <f>IFERROR(__xludf.DUMMYFUNCTION("""COMPUTED_VALUE"""),"Yes")</f>
        <v>Yes</v>
      </c>
      <c r="D565" s="14" t="str">
        <f>IFERROR(__xludf.DUMMYFUNCTION("""COMPUTED_VALUE"""),"Active")</f>
        <v>Active</v>
      </c>
      <c r="E565" s="15">
        <f>IFERROR(__xludf.DUMMYFUNCTION("""COMPUTED_VALUE"""),46288.0)</f>
        <v>46288</v>
      </c>
      <c r="F565" s="16"/>
      <c r="G565" s="18">
        <f>IFERROR(__xludf.DUMMYFUNCTION("""COMPUTED_VALUE"""),0.4333333333333333)</f>
        <v>0.4333333333</v>
      </c>
      <c r="H565" s="15">
        <f>IFERROR(__xludf.DUMMYFUNCTION("""COMPUTED_VALUE"""),46288.0)</f>
        <v>46288</v>
      </c>
      <c r="I565" s="18">
        <f>IFERROR(__xludf.DUMMYFUNCTION("""COMPUTED_VALUE"""),0.0)</f>
        <v>0</v>
      </c>
      <c r="J565" s="22"/>
      <c r="K565" s="22"/>
      <c r="L565" s="26" t="str">
        <f>IFERROR(__xludf.DUMMYFUNCTION("""COMPUTED_VALUE"""),"Action-Adventure")</f>
        <v>Action-Adventure</v>
      </c>
      <c r="M565" s="26" t="str">
        <f>IFERROR(__xludf.DUMMYFUNCTION("""COMPUTED_VALUE"""),"Exclusive")</f>
        <v>Exclusive</v>
      </c>
    </row>
    <row r="566">
      <c r="A566" s="12" t="str">
        <f>IFERROR(__xludf.DUMMYFUNCTION("""COMPUTED_VALUE"""),"Well Dweller")</f>
        <v>Well Dweller</v>
      </c>
      <c r="B566" s="13" t="str">
        <f>IFERROR(__xludf.DUMMYFUNCTION("""COMPUTED_VALUE"""),"Xbox / PC")</f>
        <v>Xbox / PC</v>
      </c>
      <c r="C566" s="14" t="str">
        <f>IFERROR(__xludf.DUMMYFUNCTION("""COMPUTED_VALUE"""),"Yes")</f>
        <v>Yes</v>
      </c>
      <c r="D566" s="14" t="str">
        <f>IFERROR(__xludf.DUMMYFUNCTION("""COMPUTED_VALUE"""),"Active")</f>
        <v>Active</v>
      </c>
      <c r="E566" s="15">
        <f>IFERROR(__xludf.DUMMYFUNCTION("""COMPUTED_VALUE"""),46287.0)</f>
        <v>46287</v>
      </c>
      <c r="F566" s="16"/>
      <c r="G566" s="18">
        <f>IFERROR(__xludf.DUMMYFUNCTION("""COMPUTED_VALUE"""),0.4666666666666667)</f>
        <v>0.4666666667</v>
      </c>
      <c r="H566" s="15">
        <f>IFERROR(__xludf.DUMMYFUNCTION("""COMPUTED_VALUE"""),46287.0)</f>
        <v>46287</v>
      </c>
      <c r="I566" s="18">
        <f>IFERROR(__xludf.DUMMYFUNCTION("""COMPUTED_VALUE"""),0.0)</f>
        <v>0</v>
      </c>
      <c r="J566" s="22"/>
      <c r="K566" s="22"/>
      <c r="L566" s="26" t="str">
        <f>IFERROR(__xludf.DUMMYFUNCTION("""COMPUTED_VALUE"""),"Action-Adventure")</f>
        <v>Action-Adventure</v>
      </c>
      <c r="M566" s="26"/>
    </row>
    <row r="567">
      <c r="A567" s="12" t="str">
        <f>IFERROR(__xludf.DUMMYFUNCTION("""COMPUTED_VALUE"""),"Kernel Hearts")</f>
        <v>Kernel Hearts</v>
      </c>
      <c r="B567" s="13" t="str">
        <f>IFERROR(__xludf.DUMMYFUNCTION("""COMPUTED_VALUE"""),"Xbox / PC")</f>
        <v>Xbox / PC</v>
      </c>
      <c r="C567" s="14" t="str">
        <f>IFERROR(__xludf.DUMMYFUNCTION("""COMPUTED_VALUE"""),"Yes")</f>
        <v>Yes</v>
      </c>
      <c r="D567" s="14" t="str">
        <f>IFERROR(__xludf.DUMMYFUNCTION("""COMPUTED_VALUE"""),"Active")</f>
        <v>Active</v>
      </c>
      <c r="E567" s="15">
        <f>IFERROR(__xludf.DUMMYFUNCTION("""COMPUTED_VALUE"""),46282.0)</f>
        <v>46282</v>
      </c>
      <c r="F567" s="16"/>
      <c r="G567" s="18">
        <f>IFERROR(__xludf.DUMMYFUNCTION("""COMPUTED_VALUE"""),0.6333333333333333)</f>
        <v>0.6333333333</v>
      </c>
      <c r="H567" s="15">
        <f>IFERROR(__xludf.DUMMYFUNCTION("""COMPUTED_VALUE"""),46282.0)</f>
        <v>46282</v>
      </c>
      <c r="I567" s="18">
        <f>IFERROR(__xludf.DUMMYFUNCTION("""COMPUTED_VALUE"""),0.0)</f>
        <v>0</v>
      </c>
      <c r="J567" s="22"/>
      <c r="K567" s="22"/>
      <c r="L567" s="26" t="str">
        <f>IFERROR(__xludf.DUMMYFUNCTION("""COMPUTED_VALUE"""),"RPG")</f>
        <v>RPG</v>
      </c>
      <c r="M567" s="26" t="str">
        <f>IFERROR(__xludf.DUMMYFUNCTION("""COMPUTED_VALUE"""),"Exclusive")</f>
        <v>Exclusive</v>
      </c>
    </row>
    <row r="568">
      <c r="A568" s="12" t="str">
        <f>IFERROR(__xludf.DUMMYFUNCTION("""COMPUTED_VALUE"""),"RuneScape: Dragonwilds")</f>
        <v>RuneScape: Dragonwilds</v>
      </c>
      <c r="B568" s="13" t="str">
        <f>IFERROR(__xludf.DUMMYFUNCTION("""COMPUTED_VALUE"""),"Xbox / PC")</f>
        <v>Xbox / PC</v>
      </c>
      <c r="C568" s="14" t="str">
        <f>IFERROR(__xludf.DUMMYFUNCTION("""COMPUTED_VALUE"""),"Yes")</f>
        <v>Yes</v>
      </c>
      <c r="D568" s="14" t="str">
        <f>IFERROR(__xludf.DUMMYFUNCTION("""COMPUTED_VALUE"""),"Active")</f>
        <v>Active</v>
      </c>
      <c r="E568" s="15">
        <f>IFERROR(__xludf.DUMMYFUNCTION("""COMPUTED_VALUE"""),46280.0)</f>
        <v>46280</v>
      </c>
      <c r="F568" s="16"/>
      <c r="G568" s="18">
        <f>IFERROR(__xludf.DUMMYFUNCTION("""COMPUTED_VALUE"""),0.7)</f>
        <v>0.7</v>
      </c>
      <c r="H568" s="15">
        <f>IFERROR(__xludf.DUMMYFUNCTION("""COMPUTED_VALUE"""),46280.0)</f>
        <v>46280</v>
      </c>
      <c r="I568" s="18">
        <f>IFERROR(__xludf.DUMMYFUNCTION("""COMPUTED_VALUE"""),0.0)</f>
        <v>0</v>
      </c>
      <c r="J568" s="22"/>
      <c r="K568" s="22">
        <f>IFERROR(__xludf.DUMMYFUNCTION("""COMPUTED_VALUE"""),23.0)</f>
        <v>23</v>
      </c>
      <c r="L568" s="26" t="str">
        <f>IFERROR(__xludf.DUMMYFUNCTION("""COMPUTED_VALUE"""),"Action-Adventure")</f>
        <v>Action-Adventure</v>
      </c>
      <c r="M568" s="26" t="str">
        <f>IFERROR(__xludf.DUMMYFUNCTION("""COMPUTED_VALUE"""),"Exclusive")</f>
        <v>Exclusive</v>
      </c>
    </row>
    <row r="569">
      <c r="A569" s="12" t="str">
        <f>IFERROR(__xludf.DUMMYFUNCTION("""COMPUTED_VALUE"""),"Speedrunners 2: King of Speed")</f>
        <v>Speedrunners 2: King of Speed</v>
      </c>
      <c r="B569" s="13" t="str">
        <f>IFERROR(__xludf.DUMMYFUNCTION("""COMPUTED_VALUE"""),"Xbox / PC")</f>
        <v>Xbox / PC</v>
      </c>
      <c r="C569" s="14" t="str">
        <f>IFERROR(__xludf.DUMMYFUNCTION("""COMPUTED_VALUE"""),"Yes")</f>
        <v>Yes</v>
      </c>
      <c r="D569" s="14" t="str">
        <f>IFERROR(__xludf.DUMMYFUNCTION("""COMPUTED_VALUE"""),"Active")</f>
        <v>Active</v>
      </c>
      <c r="E569" s="15">
        <f>IFERROR(__xludf.DUMMYFUNCTION("""COMPUTED_VALUE"""),46268.0)</f>
        <v>46268</v>
      </c>
      <c r="F569" s="16"/>
      <c r="G569" s="18">
        <f>IFERROR(__xludf.DUMMYFUNCTION("""COMPUTED_VALUE"""),1.0999999999999999)</f>
        <v>1.1</v>
      </c>
      <c r="H569" s="15">
        <f>IFERROR(__xludf.DUMMYFUNCTION("""COMPUTED_VALUE"""),46268.0)</f>
        <v>46268</v>
      </c>
      <c r="I569" s="18">
        <f>IFERROR(__xludf.DUMMYFUNCTION("""COMPUTED_VALUE"""),0.0)</f>
        <v>0</v>
      </c>
      <c r="J569" s="22"/>
      <c r="K569" s="22">
        <f>IFERROR(__xludf.DUMMYFUNCTION("""COMPUTED_VALUE"""),3.0)</f>
        <v>3</v>
      </c>
      <c r="L569" s="26" t="str">
        <f>IFERROR(__xludf.DUMMYFUNCTION("""COMPUTED_VALUE"""),"Racing")</f>
        <v>Racing</v>
      </c>
      <c r="M569" s="26" t="str">
        <f>IFERROR(__xludf.DUMMYFUNCTION("""COMPUTED_VALUE"""),"Exclusive")</f>
        <v>Exclusive</v>
      </c>
    </row>
    <row r="570">
      <c r="A570" s="124" t="str">
        <f>IFERROR(__xludf.DUMMYFUNCTION("""COMPUTED_VALUE"""),"Shelldiver")</f>
        <v>Shelldiver</v>
      </c>
      <c r="B570" s="13" t="str">
        <f>IFERROR(__xludf.DUMMYFUNCTION("""COMPUTED_VALUE"""),"Xbox / PC")</f>
        <v>Xbox / PC</v>
      </c>
      <c r="C570" s="14" t="str">
        <f>IFERROR(__xludf.DUMMYFUNCTION("""COMPUTED_VALUE"""),"Yes")</f>
        <v>Yes</v>
      </c>
      <c r="D570" s="14" t="str">
        <f>IFERROR(__xludf.DUMMYFUNCTION("""COMPUTED_VALUE"""),"Active")</f>
        <v>Active</v>
      </c>
      <c r="E570" s="15">
        <f>IFERROR(__xludf.DUMMYFUNCTION("""COMPUTED_VALUE"""),46266.0)</f>
        <v>46266</v>
      </c>
      <c r="F570" s="16"/>
      <c r="G570" s="18">
        <f>IFERROR(__xludf.DUMMYFUNCTION("""COMPUTED_VALUE"""),1.1666666666666667)</f>
        <v>1.166666667</v>
      </c>
      <c r="H570" s="15">
        <f>IFERROR(__xludf.DUMMYFUNCTION("""COMPUTED_VALUE"""),45977.0)</f>
        <v>45977</v>
      </c>
      <c r="I570" s="18">
        <f>IFERROR(__xludf.DUMMYFUNCTION("""COMPUTED_VALUE"""),0.7916666666666666)</f>
        <v>0.7916666667</v>
      </c>
      <c r="J570" s="22"/>
      <c r="K570" s="22">
        <f>IFERROR(__xludf.DUMMYFUNCTION("""COMPUTED_VALUE"""),4.0)</f>
        <v>4</v>
      </c>
      <c r="L570" s="26" t="str">
        <f>IFERROR(__xludf.DUMMYFUNCTION("""COMPUTED_VALUE"""),"Platformer")</f>
        <v>Platformer</v>
      </c>
      <c r="M570" s="26"/>
    </row>
    <row r="571">
      <c r="A571" s="12" t="str">
        <f>IFERROR(__xludf.DUMMYFUNCTION("""COMPUTED_VALUE"""),"Vapor World: Over the Mind (Game Preview)")</f>
        <v>Vapor World: Over the Mind (Game Preview)</v>
      </c>
      <c r="B571" s="13" t="str">
        <f>IFERROR(__xludf.DUMMYFUNCTION("""COMPUTED_VALUE"""),"Xbox / PC")</f>
        <v>Xbox / PC</v>
      </c>
      <c r="C571" s="14" t="str">
        <f>IFERROR(__xludf.DUMMYFUNCTION("""COMPUTED_VALUE"""),"Yes")</f>
        <v>Yes</v>
      </c>
      <c r="D571" s="14" t="str">
        <f>IFERROR(__xludf.DUMMYFUNCTION("""COMPUTED_VALUE"""),"Active")</f>
        <v>Active</v>
      </c>
      <c r="E571" s="15">
        <f>IFERROR(__xludf.DUMMYFUNCTION("""COMPUTED_VALUE"""),46253.0)</f>
        <v>46253</v>
      </c>
      <c r="F571" s="16"/>
      <c r="G571" s="18">
        <f>IFERROR(__xludf.DUMMYFUNCTION("""COMPUTED_VALUE"""),1.5666666666666669)</f>
        <v>1.566666667</v>
      </c>
      <c r="H571" s="15">
        <f>IFERROR(__xludf.DUMMYFUNCTION("""COMPUTED_VALUE"""),46253.0)</f>
        <v>46253</v>
      </c>
      <c r="I571" s="18">
        <f>IFERROR(__xludf.DUMMYFUNCTION("""COMPUTED_VALUE"""),0.0)</f>
        <v>0</v>
      </c>
      <c r="J571" s="22"/>
      <c r="K571" s="22">
        <f>IFERROR(__xludf.DUMMYFUNCTION("""COMPUTED_VALUE"""),12.0)</f>
        <v>12</v>
      </c>
      <c r="L571" s="26" t="str">
        <f>IFERROR(__xludf.DUMMYFUNCTION("""COMPUTED_VALUE"""),"Action-Adventure")</f>
        <v>Action-Adventure</v>
      </c>
      <c r="M571" s="26"/>
    </row>
    <row r="572">
      <c r="A572" s="12" t="str">
        <f>IFERROR(__xludf.DUMMYFUNCTION("""COMPUTED_VALUE"""),"Starseeker: Astroneer Expeditions (Game Preview)")</f>
        <v>Starseeker: Astroneer Expeditions (Game Preview)</v>
      </c>
      <c r="B572" s="13" t="str">
        <f>IFERROR(__xludf.DUMMYFUNCTION("""COMPUTED_VALUE"""),"Xbox / PC")</f>
        <v>Xbox / PC</v>
      </c>
      <c r="C572" s="14" t="str">
        <f>IFERROR(__xludf.DUMMYFUNCTION("""COMPUTED_VALUE"""),"Yes")</f>
        <v>Yes</v>
      </c>
      <c r="D572" s="14" t="str">
        <f>IFERROR(__xludf.DUMMYFUNCTION("""COMPUTED_VALUE"""),"Active")</f>
        <v>Active</v>
      </c>
      <c r="E572" s="15">
        <f>IFERROR(__xludf.DUMMYFUNCTION("""COMPUTED_VALUE"""),46184.0)</f>
        <v>46184</v>
      </c>
      <c r="F572" s="16"/>
      <c r="G572" s="18">
        <f>IFERROR(__xludf.DUMMYFUNCTION("""COMPUTED_VALUE"""),3.833333333333333)</f>
        <v>3.833333333</v>
      </c>
      <c r="H572" s="15">
        <f>IFERROR(__xludf.DUMMYFUNCTION("""COMPUTED_VALUE"""),46184.0)</f>
        <v>46184</v>
      </c>
      <c r="I572" s="18">
        <f>IFERROR(__xludf.DUMMYFUNCTION("""COMPUTED_VALUE"""),0.0)</f>
        <v>0</v>
      </c>
      <c r="J572" s="22"/>
      <c r="K572" s="22">
        <f>IFERROR(__xludf.DUMMYFUNCTION("""COMPUTED_VALUE"""),1.0)</f>
        <v>1</v>
      </c>
      <c r="L572" s="26" t="str">
        <f>IFERROR(__xludf.DUMMYFUNCTION("""COMPUTED_VALUE"""),"Action-Adventure")</f>
        <v>Action-Adventure</v>
      </c>
      <c r="M572" s="26"/>
    </row>
    <row r="573">
      <c r="A573" s="12" t="str">
        <f>IFERROR(__xludf.DUMMYFUNCTION("""COMPUTED_VALUE"""),"Subnautica 2 (Game Preview)")</f>
        <v>Subnautica 2 (Game Preview)</v>
      </c>
      <c r="B573" s="13" t="str">
        <f>IFERROR(__xludf.DUMMYFUNCTION("""COMPUTED_VALUE"""),"Xbox / PC")</f>
        <v>Xbox / PC</v>
      </c>
      <c r="C573" s="14" t="str">
        <f>IFERROR(__xludf.DUMMYFUNCTION("""COMPUTED_VALUE"""),"Yes")</f>
        <v>Yes</v>
      </c>
      <c r="D573" s="14" t="str">
        <f>IFERROR(__xludf.DUMMYFUNCTION("""COMPUTED_VALUE"""),"Active")</f>
        <v>Active</v>
      </c>
      <c r="E573" s="15">
        <f>IFERROR(__xludf.DUMMYFUNCTION("""COMPUTED_VALUE"""),46156.0)</f>
        <v>46156</v>
      </c>
      <c r="F573" s="16"/>
      <c r="G573" s="18">
        <f>IFERROR(__xludf.DUMMYFUNCTION("""COMPUTED_VALUE"""),4.733333333333333)</f>
        <v>4.733333333</v>
      </c>
      <c r="H573" s="15">
        <f>IFERROR(__xludf.DUMMYFUNCTION("""COMPUTED_VALUE"""),46156.0)</f>
        <v>46156</v>
      </c>
      <c r="I573" s="18">
        <f>IFERROR(__xludf.DUMMYFUNCTION("""COMPUTED_VALUE"""),0.0)</f>
        <v>0</v>
      </c>
      <c r="J573" s="22"/>
      <c r="K573" s="22">
        <f>IFERROR(__xludf.DUMMYFUNCTION("""COMPUTED_VALUE"""),13.0)</f>
        <v>13</v>
      </c>
      <c r="L573" s="26" t="str">
        <f>IFERROR(__xludf.DUMMYFUNCTION("""COMPUTED_VALUE"""),"Action-Adventure")</f>
        <v>Action-Adventure</v>
      </c>
      <c r="M573" s="26"/>
    </row>
    <row r="574">
      <c r="A574" s="12" t="str">
        <f>IFERROR(__xludf.DUMMYFUNCTION("""COMPUTED_VALUE"""),"TCG Card Shop Simulator (Game Preview)")</f>
        <v>TCG Card Shop Simulator (Game Preview)</v>
      </c>
      <c r="B574" s="13" t="str">
        <f>IFERROR(__xludf.DUMMYFUNCTION("""COMPUTED_VALUE"""),"Xbox / PC")</f>
        <v>Xbox / PC</v>
      </c>
      <c r="C574" s="14" t="str">
        <f>IFERROR(__xludf.DUMMYFUNCTION("""COMPUTED_VALUE"""),"Yes")</f>
        <v>Yes</v>
      </c>
      <c r="D574" s="14" t="str">
        <f>IFERROR(__xludf.DUMMYFUNCTION("""COMPUTED_VALUE"""),"Active")</f>
        <v>Active</v>
      </c>
      <c r="E574" s="15">
        <f>IFERROR(__xludf.DUMMYFUNCTION("""COMPUTED_VALUE"""),46077.0)</f>
        <v>46077</v>
      </c>
      <c r="F574" s="16"/>
      <c r="G574" s="18">
        <f>IFERROR(__xludf.DUMMYFUNCTION("""COMPUTED_VALUE"""),7.4)</f>
        <v>7.4</v>
      </c>
      <c r="H574" s="15">
        <f>IFERROR(__xludf.DUMMYFUNCTION("""COMPUTED_VALUE"""),45184.0)</f>
        <v>45184</v>
      </c>
      <c r="I574" s="18">
        <f>IFERROR(__xludf.DUMMYFUNCTION("""COMPUTED_VALUE"""),2.441666666666667)</f>
        <v>2.441666667</v>
      </c>
      <c r="J574" s="22"/>
      <c r="K574" s="22">
        <f>IFERROR(__xludf.DUMMYFUNCTION("""COMPUTED_VALUE"""),32.0)</f>
        <v>32</v>
      </c>
      <c r="L574" s="26" t="str">
        <f>IFERROR(__xludf.DUMMYFUNCTION("""COMPUTED_VALUE"""),"Simulation")</f>
        <v>Simulation</v>
      </c>
      <c r="M574" s="26" t="str">
        <f>IFERROR(__xludf.DUMMYFUNCTION("""COMPUTED_VALUE"""),"Exclusive")</f>
        <v>Exclusive</v>
      </c>
    </row>
    <row r="575">
      <c r="A575" s="12" t="str">
        <f>IFERROR(__xludf.DUMMYFUNCTION("""COMPUTED_VALUE"""),"Kabobber")</f>
        <v>Kabobber</v>
      </c>
      <c r="B575" s="13" t="str">
        <f>IFERROR(__xludf.DUMMYFUNCTION("""COMPUTED_VALUE"""),"Xbox / PC")</f>
        <v>Xbox / PC</v>
      </c>
      <c r="C575" s="14" t="str">
        <f>IFERROR(__xludf.DUMMYFUNCTION("""COMPUTED_VALUE"""),"Yes")</f>
        <v>Yes</v>
      </c>
      <c r="D575" s="14" t="str">
        <f>IFERROR(__xludf.DUMMYFUNCTION("""COMPUTED_VALUE"""),"Active")</f>
        <v>Active</v>
      </c>
      <c r="E575" s="15">
        <f>IFERROR(__xludf.DUMMYFUNCTION("""COMPUTED_VALUE"""),46072.0)</f>
        <v>46072</v>
      </c>
      <c r="F575" s="16"/>
      <c r="G575" s="18">
        <f>IFERROR(__xludf.DUMMYFUNCTION("""COMPUTED_VALUE"""),7.566666666666666)</f>
        <v>7.566666667</v>
      </c>
      <c r="H575" s="15">
        <f>IFERROR(__xludf.DUMMYFUNCTION("""COMPUTED_VALUE"""),30317.0)</f>
        <v>30317</v>
      </c>
      <c r="I575" s="18">
        <f>IFERROR(__xludf.DUMMYFUNCTION("""COMPUTED_VALUE"""),43.13333333333333)</f>
        <v>43.13333333</v>
      </c>
      <c r="J575" s="22"/>
      <c r="K575" s="22"/>
      <c r="L575" s="26" t="str">
        <f>IFERROR(__xludf.DUMMYFUNCTION("""COMPUTED_VALUE"""),"Action")</f>
        <v>Action</v>
      </c>
      <c r="M575" s="26"/>
    </row>
    <row r="576">
      <c r="A576" s="12" t="str">
        <f>IFERROR(__xludf.DUMMYFUNCTION("""COMPUTED_VALUE"""),"Return to Zork")</f>
        <v>Return to Zork</v>
      </c>
      <c r="B576" s="13" t="str">
        <f>IFERROR(__xludf.DUMMYFUNCTION("""COMPUTED_VALUE"""),"Xbox / PC")</f>
        <v>Xbox / PC</v>
      </c>
      <c r="C576" s="14" t="str">
        <f>IFERROR(__xludf.DUMMYFUNCTION("""COMPUTED_VALUE"""),"Yes")</f>
        <v>Yes</v>
      </c>
      <c r="D576" s="14" t="str">
        <f>IFERROR(__xludf.DUMMYFUNCTION("""COMPUTED_VALUE"""),"Active")</f>
        <v>Active</v>
      </c>
      <c r="E576" s="15">
        <f>IFERROR(__xludf.DUMMYFUNCTION("""COMPUTED_VALUE"""),46072.0)</f>
        <v>46072</v>
      </c>
      <c r="F576" s="16"/>
      <c r="G576" s="18">
        <f>IFERROR(__xludf.DUMMYFUNCTION("""COMPUTED_VALUE"""),7.566666666666666)</f>
        <v>7.566666667</v>
      </c>
      <c r="H576" s="15">
        <f>IFERROR(__xludf.DUMMYFUNCTION("""COMPUTED_VALUE"""),34192.0)</f>
        <v>34192</v>
      </c>
      <c r="I576" s="18">
        <f>IFERROR(__xludf.DUMMYFUNCTION("""COMPUTED_VALUE"""),32.522222222222226)</f>
        <v>32.52222222</v>
      </c>
      <c r="J576" s="22"/>
      <c r="K576" s="22">
        <f>IFERROR(__xludf.DUMMYFUNCTION("""COMPUTED_VALUE"""),7.0)</f>
        <v>7</v>
      </c>
      <c r="L576" s="26" t="str">
        <f>IFERROR(__xludf.DUMMYFUNCTION("""COMPUTED_VALUE"""),"Point and Click")</f>
        <v>Point and Click</v>
      </c>
      <c r="M576" s="26"/>
    </row>
    <row r="577">
      <c r="A577" s="12" t="str">
        <f>IFERROR(__xludf.DUMMYFUNCTION("""COMPUTED_VALUE"""),"Young Suns")</f>
        <v>Young Suns</v>
      </c>
      <c r="B577" s="13" t="str">
        <f>IFERROR(__xludf.DUMMYFUNCTION("""COMPUTED_VALUE"""),"Xbox / PC")</f>
        <v>Xbox / PC</v>
      </c>
      <c r="C577" s="14" t="str">
        <f>IFERROR(__xludf.DUMMYFUNCTION("""COMPUTED_VALUE"""),"Yes")</f>
        <v>Yes</v>
      </c>
      <c r="D577" s="14" t="str">
        <f>IFERROR(__xludf.DUMMYFUNCTION("""COMPUTED_VALUE"""),"Active")</f>
        <v>Active</v>
      </c>
      <c r="E577" s="15">
        <f>IFERROR(__xludf.DUMMYFUNCTION("""COMPUTED_VALUE"""),45986.0)</f>
        <v>45986</v>
      </c>
      <c r="F577" s="16"/>
      <c r="G577" s="18">
        <f>IFERROR(__xludf.DUMMYFUNCTION("""COMPUTED_VALUE"""),10.366666666666667)</f>
        <v>10.36666667</v>
      </c>
      <c r="H577" s="15">
        <f>IFERROR(__xludf.DUMMYFUNCTION("""COMPUTED_VALUE"""),45986.0)</f>
        <v>45986</v>
      </c>
      <c r="I577" s="18">
        <f>IFERROR(__xludf.DUMMYFUNCTION("""COMPUTED_VALUE"""),0.0)</f>
        <v>0</v>
      </c>
      <c r="J577" s="22"/>
      <c r="K577" s="22">
        <f>IFERROR(__xludf.DUMMYFUNCTION("""COMPUTED_VALUE"""),2.0)</f>
        <v>2</v>
      </c>
      <c r="L577" s="26" t="str">
        <f>IFERROR(__xludf.DUMMYFUNCTION("""COMPUTED_VALUE"""),"Virtual Life")</f>
        <v>Virtual Life</v>
      </c>
      <c r="M577" s="26"/>
    </row>
    <row r="578">
      <c r="A578" s="12" t="str">
        <f>IFERROR(__xludf.DUMMYFUNCTION("""COMPUTED_VALUE"""),"Relic Hunters Legend")</f>
        <v>Relic Hunters Legend</v>
      </c>
      <c r="B578" s="13" t="str">
        <f>IFERROR(__xludf.DUMMYFUNCTION("""COMPUTED_VALUE"""),"Xbox / PC")</f>
        <v>Xbox / PC</v>
      </c>
      <c r="C578" s="14" t="str">
        <f>IFERROR(__xludf.DUMMYFUNCTION("""COMPUTED_VALUE"""),"Yes")</f>
        <v>Yes</v>
      </c>
      <c r="D578" s="14" t="str">
        <f>IFERROR(__xludf.DUMMYFUNCTION("""COMPUTED_VALUE"""),"Active")</f>
        <v>Active</v>
      </c>
      <c r="E578" s="15">
        <f>IFERROR(__xludf.DUMMYFUNCTION("""COMPUTED_VALUE"""),45973.0)</f>
        <v>45973</v>
      </c>
      <c r="F578" s="16"/>
      <c r="G578" s="18">
        <f>IFERROR(__xludf.DUMMYFUNCTION("""COMPUTED_VALUE"""),10.8)</f>
        <v>10.8</v>
      </c>
      <c r="H578" s="15">
        <f>IFERROR(__xludf.DUMMYFUNCTION("""COMPUTED_VALUE"""),45883.0)</f>
        <v>45883</v>
      </c>
      <c r="I578" s="18">
        <f>IFERROR(__xludf.DUMMYFUNCTION("""COMPUTED_VALUE"""),0.24444444444444444)</f>
        <v>0.2444444444</v>
      </c>
      <c r="J578" s="22"/>
      <c r="K578" s="22">
        <f>IFERROR(__xludf.DUMMYFUNCTION("""COMPUTED_VALUE"""),29.0)</f>
        <v>29</v>
      </c>
      <c r="L578" s="26" t="str">
        <f>IFERROR(__xludf.DUMMYFUNCTION("""COMPUTED_VALUE"""),"Shoot-’Em-Up")</f>
        <v>Shoot-’Em-Up</v>
      </c>
      <c r="M578" s="26"/>
    </row>
    <row r="579">
      <c r="A579" s="12" t="str">
        <f>IFERROR(__xludf.DUMMYFUNCTION("""COMPUTED_VALUE"""),"BattleTech: The Crescent Hawk's Inception")</f>
        <v>BattleTech: The Crescent Hawk's Inception</v>
      </c>
      <c r="B579" s="13" t="str">
        <f>IFERROR(__xludf.DUMMYFUNCTION("""COMPUTED_VALUE"""),"Xbox / PC")</f>
        <v>Xbox / PC</v>
      </c>
      <c r="C579" s="14" t="str">
        <f>IFERROR(__xludf.DUMMYFUNCTION("""COMPUTED_VALUE"""),"Yes")</f>
        <v>Yes</v>
      </c>
      <c r="D579" s="14" t="str">
        <f>IFERROR(__xludf.DUMMYFUNCTION("""COMPUTED_VALUE"""),"Active")</f>
        <v>Active</v>
      </c>
      <c r="E579" s="15">
        <f>IFERROR(__xludf.DUMMYFUNCTION("""COMPUTED_VALUE"""),45945.0)</f>
        <v>45945</v>
      </c>
      <c r="F579" s="16"/>
      <c r="G579" s="18">
        <f>IFERROR(__xludf.DUMMYFUNCTION("""COMPUTED_VALUE"""),11.7)</f>
        <v>11.7</v>
      </c>
      <c r="H579" s="15">
        <f>IFERROR(__xludf.DUMMYFUNCTION("""COMPUTED_VALUE"""),32813.0)</f>
        <v>32813</v>
      </c>
      <c r="I579" s="18">
        <f>IFERROR(__xludf.DUMMYFUNCTION("""COMPUTED_VALUE"""),35.955555555555556)</f>
        <v>35.95555556</v>
      </c>
      <c r="J579" s="22"/>
      <c r="K579" s="22">
        <f>IFERROR(__xludf.DUMMYFUNCTION("""COMPUTED_VALUE"""),8.0)</f>
        <v>8</v>
      </c>
      <c r="L579" s="26" t="str">
        <f>IFERROR(__xludf.DUMMYFUNCTION("""COMPUTED_VALUE"""),"RPG")</f>
        <v>RPG</v>
      </c>
      <c r="M579" s="26"/>
    </row>
    <row r="580">
      <c r="A580" s="12" t="str">
        <f>IFERROR(__xludf.DUMMYFUNCTION("""COMPUTED_VALUE"""),"Grounded 2 (Game Preview)")</f>
        <v>Grounded 2 (Game Preview)</v>
      </c>
      <c r="B580" s="13" t="str">
        <f>IFERROR(__xludf.DUMMYFUNCTION("""COMPUTED_VALUE"""),"Xbox / PC")</f>
        <v>Xbox / PC</v>
      </c>
      <c r="C580" s="14" t="str">
        <f>IFERROR(__xludf.DUMMYFUNCTION("""COMPUTED_VALUE"""),"Yes")</f>
        <v>Yes</v>
      </c>
      <c r="D580" s="14" t="str">
        <f>IFERROR(__xludf.DUMMYFUNCTION("""COMPUTED_VALUE"""),"Active")</f>
        <v>Active</v>
      </c>
      <c r="E580" s="15">
        <f>IFERROR(__xludf.DUMMYFUNCTION("""COMPUTED_VALUE"""),45867.0)</f>
        <v>45867</v>
      </c>
      <c r="F580" s="16"/>
      <c r="G580" s="18">
        <f>IFERROR(__xludf.DUMMYFUNCTION("""COMPUTED_VALUE"""),14.233333333333334)</f>
        <v>14.23333333</v>
      </c>
      <c r="H580" s="15">
        <f>IFERROR(__xludf.DUMMYFUNCTION("""COMPUTED_VALUE"""),45867.0)</f>
        <v>45867</v>
      </c>
      <c r="I580" s="18">
        <f>IFERROR(__xludf.DUMMYFUNCTION("""COMPUTED_VALUE"""),0.0)</f>
        <v>0</v>
      </c>
      <c r="J580" s="22"/>
      <c r="K580" s="22">
        <f>IFERROR(__xludf.DUMMYFUNCTION("""COMPUTED_VALUE"""),14.0)</f>
        <v>14</v>
      </c>
      <c r="L580" s="26" t="str">
        <f>IFERROR(__xludf.DUMMYFUNCTION("""COMPUTED_VALUE"""),"Sandbox")</f>
        <v>Sandbox</v>
      </c>
      <c r="M580" s="26" t="str">
        <f>IFERROR(__xludf.DUMMYFUNCTION("""COMPUTED_VALUE"""),"Exclusive")</f>
        <v>Exclusive</v>
      </c>
    </row>
    <row r="581">
      <c r="A581" s="12" t="str">
        <f>IFERROR(__xludf.DUMMYFUNCTION("""COMPUTED_VALUE"""),"Descenders Next (Game Preview)")</f>
        <v>Descenders Next (Game Preview)</v>
      </c>
      <c r="B581" s="13" t="str">
        <f>IFERROR(__xludf.DUMMYFUNCTION("""COMPUTED_VALUE"""),"Xbox / PC")</f>
        <v>Xbox / PC</v>
      </c>
      <c r="C581" s="14" t="str">
        <f>IFERROR(__xludf.DUMMYFUNCTION("""COMPUTED_VALUE"""),"Yes")</f>
        <v>Yes</v>
      </c>
      <c r="D581" s="14" t="str">
        <f>IFERROR(__xludf.DUMMYFUNCTION("""COMPUTED_VALUE"""),"Active")</f>
        <v>Active</v>
      </c>
      <c r="E581" s="15">
        <f>IFERROR(__xludf.DUMMYFUNCTION("""COMPUTED_VALUE"""),45859.0)</f>
        <v>45859</v>
      </c>
      <c r="F581" s="16"/>
      <c r="G581" s="18">
        <f>IFERROR(__xludf.DUMMYFUNCTION("""COMPUTED_VALUE"""),14.5)</f>
        <v>14.5</v>
      </c>
      <c r="H581" s="15">
        <f>IFERROR(__xludf.DUMMYFUNCTION("""COMPUTED_VALUE"""),45859.0)</f>
        <v>45859</v>
      </c>
      <c r="I581" s="18">
        <f>IFERROR(__xludf.DUMMYFUNCTION("""COMPUTED_VALUE"""),0.0)</f>
        <v>0</v>
      </c>
      <c r="J581" s="22"/>
      <c r="K581" s="22"/>
      <c r="L581" s="26" t="str">
        <f>IFERROR(__xludf.DUMMYFUNCTION("""COMPUTED_VALUE"""),"Sports")</f>
        <v>Sports</v>
      </c>
      <c r="M581" s="26"/>
    </row>
    <row r="582">
      <c r="A582" s="12" t="str">
        <f>IFERROR(__xludf.DUMMYFUNCTION("""COMPUTED_VALUE"""),"Okie Dokie")</f>
        <v>Okie Dokie</v>
      </c>
      <c r="B582" s="13" t="str">
        <f>IFERROR(__xludf.DUMMYFUNCTION("""COMPUTED_VALUE"""),"Xbox / PC")</f>
        <v>Xbox / PC</v>
      </c>
      <c r="C582" s="14" t="str">
        <f>IFERROR(__xludf.DUMMYFUNCTION("""COMPUTED_VALUE"""),"Yes")</f>
        <v>Yes</v>
      </c>
      <c r="D582" s="14" t="str">
        <f>IFERROR(__xludf.DUMMYFUNCTION("""COMPUTED_VALUE"""),"Active")</f>
        <v>Active</v>
      </c>
      <c r="E582" s="15">
        <f>IFERROR(__xludf.DUMMYFUNCTION("""COMPUTED_VALUE"""),45859.0)</f>
        <v>45859</v>
      </c>
      <c r="F582" s="16"/>
      <c r="G582" s="18">
        <f>IFERROR(__xludf.DUMMYFUNCTION("""COMPUTED_VALUE"""),14.5)</f>
        <v>14.5</v>
      </c>
      <c r="H582" s="15">
        <f>IFERROR(__xludf.DUMMYFUNCTION("""COMPUTED_VALUE"""),31048.0)</f>
        <v>31048</v>
      </c>
      <c r="I582" s="18">
        <f>IFERROR(__xludf.DUMMYFUNCTION("""COMPUTED_VALUE"""),40.55555555555556)</f>
        <v>40.55555556</v>
      </c>
      <c r="J582" s="22"/>
      <c r="K582" s="22"/>
      <c r="L582" s="26" t="str">
        <f>IFERROR(__xludf.DUMMYFUNCTION("""COMPUTED_VALUE"""),"Puzzle")</f>
        <v>Puzzle</v>
      </c>
      <c r="M582" s="26"/>
    </row>
    <row r="583">
      <c r="A583" s="12" t="str">
        <f>IFERROR(__xludf.DUMMYFUNCTION("""COMPUTED_VALUE"""),"Heart of China")</f>
        <v>Heart of China</v>
      </c>
      <c r="B583" s="13" t="str">
        <f>IFERROR(__xludf.DUMMYFUNCTION("""COMPUTED_VALUE"""),"Xbox / PC")</f>
        <v>Xbox / PC</v>
      </c>
      <c r="C583" s="14" t="str">
        <f>IFERROR(__xludf.DUMMYFUNCTION("""COMPUTED_VALUE"""),"Yes")</f>
        <v>Yes</v>
      </c>
      <c r="D583" s="14" t="str">
        <f>IFERROR(__xludf.DUMMYFUNCTION("""COMPUTED_VALUE"""),"Active")</f>
        <v>Active</v>
      </c>
      <c r="E583" s="15">
        <f>IFERROR(__xludf.DUMMYFUNCTION("""COMPUTED_VALUE"""),45839.0)</f>
        <v>45839</v>
      </c>
      <c r="F583" s="16"/>
      <c r="G583" s="18">
        <f>IFERROR(__xludf.DUMMYFUNCTION("""COMPUTED_VALUE"""),15.166666666666666)</f>
        <v>15.16666667</v>
      </c>
      <c r="H583" s="15">
        <f>IFERROR(__xludf.DUMMYFUNCTION("""COMPUTED_VALUE"""),33239.0)</f>
        <v>33239</v>
      </c>
      <c r="I583" s="18">
        <f>IFERROR(__xludf.DUMMYFUNCTION("""COMPUTED_VALUE"""),34.5)</f>
        <v>34.5</v>
      </c>
      <c r="J583" s="22"/>
      <c r="K583" s="22">
        <f>IFERROR(__xludf.DUMMYFUNCTION("""COMPUTED_VALUE"""),4.0)</f>
        <v>4</v>
      </c>
      <c r="L583" s="26" t="str">
        <f>IFERROR(__xludf.DUMMYFUNCTION("""COMPUTED_VALUE"""),"Adventure")</f>
        <v>Adventure</v>
      </c>
      <c r="M583" s="26"/>
    </row>
    <row r="584">
      <c r="A584" s="12" t="str">
        <f>IFERROR(__xludf.DUMMYFUNCTION("""COMPUTED_VALUE"""),"Activision Prototype #1")</f>
        <v>Activision Prototype #1</v>
      </c>
      <c r="B584" s="13" t="str">
        <f>IFERROR(__xludf.DUMMYFUNCTION("""COMPUTED_VALUE"""),"Xbox / PC")</f>
        <v>Xbox / PC</v>
      </c>
      <c r="C584" s="14" t="str">
        <f>IFERROR(__xludf.DUMMYFUNCTION("""COMPUTED_VALUE"""),"Yes")</f>
        <v>Yes</v>
      </c>
      <c r="D584" s="14" t="str">
        <f>IFERROR(__xludf.DUMMYFUNCTION("""COMPUTED_VALUE"""),"Active")</f>
        <v>Active</v>
      </c>
      <c r="E584" s="15">
        <f>IFERROR(__xludf.DUMMYFUNCTION("""COMPUTED_VALUE"""),45798.0)</f>
        <v>45798</v>
      </c>
      <c r="F584" s="16"/>
      <c r="G584" s="18">
        <f>IFERROR(__xludf.DUMMYFUNCTION("""COMPUTED_VALUE"""),16.5)</f>
        <v>16.5</v>
      </c>
      <c r="H584" s="15">
        <f>IFERROR(__xludf.DUMMYFUNCTION("""COMPUTED_VALUE"""),30317.0)</f>
        <v>30317</v>
      </c>
      <c r="I584" s="18">
        <f>IFERROR(__xludf.DUMMYFUNCTION("""COMPUTED_VALUE"""),42.388888888888886)</f>
        <v>42.38888889</v>
      </c>
      <c r="J584" s="22"/>
      <c r="K584" s="22"/>
      <c r="L584" s="26" t="str">
        <f>IFERROR(__xludf.DUMMYFUNCTION("""COMPUTED_VALUE"""),"Action")</f>
        <v>Action</v>
      </c>
      <c r="M584" s="26"/>
    </row>
    <row r="585">
      <c r="A585" s="12" t="str">
        <f>IFERROR(__xludf.DUMMYFUNCTION("""COMPUTED_VALUE"""),"Space Treat Deluxe")</f>
        <v>Space Treat Deluxe</v>
      </c>
      <c r="B585" s="13" t="str">
        <f>IFERROR(__xludf.DUMMYFUNCTION("""COMPUTED_VALUE"""),"Xbox / PC")</f>
        <v>Xbox / PC</v>
      </c>
      <c r="C585" s="14" t="str">
        <f>IFERROR(__xludf.DUMMYFUNCTION("""COMPUTED_VALUE"""),"Yes")</f>
        <v>Yes</v>
      </c>
      <c r="D585" s="14" t="str">
        <f>IFERROR(__xludf.DUMMYFUNCTION("""COMPUTED_VALUE"""),"Active")</f>
        <v>Active</v>
      </c>
      <c r="E585" s="15">
        <f>IFERROR(__xludf.DUMMYFUNCTION("""COMPUTED_VALUE"""),45798.0)</f>
        <v>45798</v>
      </c>
      <c r="F585" s="16"/>
      <c r="G585" s="18">
        <f>IFERROR(__xludf.DUMMYFUNCTION("""COMPUTED_VALUE"""),16.5)</f>
        <v>16.5</v>
      </c>
      <c r="H585" s="15">
        <f>IFERROR(__xludf.DUMMYFUNCTION("""COMPUTED_VALUE"""),37714.0)</f>
        <v>37714</v>
      </c>
      <c r="I585" s="18">
        <f>IFERROR(__xludf.DUMMYFUNCTION("""COMPUTED_VALUE"""),22.133333333333333)</f>
        <v>22.13333333</v>
      </c>
      <c r="J585" s="22"/>
      <c r="K585" s="22"/>
      <c r="L585" s="26" t="str">
        <f>IFERROR(__xludf.DUMMYFUNCTION("""COMPUTED_VALUE"""),"Action")</f>
        <v>Action</v>
      </c>
      <c r="M585" s="26"/>
    </row>
    <row r="586">
      <c r="A586" s="12" t="str">
        <f>IFERROR(__xludf.DUMMYFUNCTION("""COMPUTED_VALUE"""),"Thwocker")</f>
        <v>Thwocker</v>
      </c>
      <c r="B586" s="13" t="str">
        <f>IFERROR(__xludf.DUMMYFUNCTION("""COMPUTED_VALUE"""),"Xbox / PC")</f>
        <v>Xbox / PC</v>
      </c>
      <c r="C586" s="14" t="str">
        <f>IFERROR(__xludf.DUMMYFUNCTION("""COMPUTED_VALUE"""),"Yes")</f>
        <v>Yes</v>
      </c>
      <c r="D586" s="14" t="str">
        <f>IFERROR(__xludf.DUMMYFUNCTION("""COMPUTED_VALUE"""),"Active")</f>
        <v>Active</v>
      </c>
      <c r="E586" s="15">
        <f>IFERROR(__xludf.DUMMYFUNCTION("""COMPUTED_VALUE"""),45798.0)</f>
        <v>45798</v>
      </c>
      <c r="F586" s="16"/>
      <c r="G586" s="18">
        <f>IFERROR(__xludf.DUMMYFUNCTION("""COMPUTED_VALUE"""),16.5)</f>
        <v>16.5</v>
      </c>
      <c r="H586" s="15">
        <f>IFERROR(__xludf.DUMMYFUNCTION("""COMPUTED_VALUE"""),30682.0)</f>
        <v>30682</v>
      </c>
      <c r="I586" s="18">
        <f>IFERROR(__xludf.DUMMYFUNCTION("""COMPUTED_VALUE"""),41.388888888888886)</f>
        <v>41.38888889</v>
      </c>
      <c r="J586" s="22"/>
      <c r="K586" s="22"/>
      <c r="L586" s="26" t="str">
        <f>IFERROR(__xludf.DUMMYFUNCTION("""COMPUTED_VALUE"""),"Action")</f>
        <v>Action</v>
      </c>
      <c r="M586" s="26"/>
    </row>
    <row r="587">
      <c r="A587" s="12" t="str">
        <f>IFERROR(__xludf.DUMMYFUNCTION("""COMPUTED_VALUE"""),"Torin's Passage")</f>
        <v>Torin's Passage</v>
      </c>
      <c r="B587" s="13" t="str">
        <f>IFERROR(__xludf.DUMMYFUNCTION("""COMPUTED_VALUE"""),"Xbox / PC")</f>
        <v>Xbox / PC</v>
      </c>
      <c r="C587" s="14" t="str">
        <f>IFERROR(__xludf.DUMMYFUNCTION("""COMPUTED_VALUE"""),"Yes")</f>
        <v>Yes</v>
      </c>
      <c r="D587" s="14" t="str">
        <f>IFERROR(__xludf.DUMMYFUNCTION("""COMPUTED_VALUE"""),"Active")</f>
        <v>Active</v>
      </c>
      <c r="E587" s="15">
        <f>IFERROR(__xludf.DUMMYFUNCTION("""COMPUTED_VALUE"""),45798.0)</f>
        <v>45798</v>
      </c>
      <c r="F587" s="16"/>
      <c r="G587" s="18">
        <f>IFERROR(__xludf.DUMMYFUNCTION("""COMPUTED_VALUE"""),16.5)</f>
        <v>16.5</v>
      </c>
      <c r="H587" s="15">
        <f>IFERROR(__xludf.DUMMYFUNCTION("""COMPUTED_VALUE"""),35003.0)</f>
        <v>35003</v>
      </c>
      <c r="I587" s="18">
        <f>IFERROR(__xludf.DUMMYFUNCTION("""COMPUTED_VALUE"""),29.558333333333334)</f>
        <v>29.55833333</v>
      </c>
      <c r="J587" s="22"/>
      <c r="K587" s="22">
        <f>IFERROR(__xludf.DUMMYFUNCTION("""COMPUTED_VALUE"""),4.0)</f>
        <v>4</v>
      </c>
      <c r="L587" s="26" t="str">
        <f>IFERROR(__xludf.DUMMYFUNCTION("""COMPUTED_VALUE"""),"Action‑Adventure")</f>
        <v>Action‑Adventure</v>
      </c>
      <c r="M587" s="26"/>
    </row>
    <row r="588">
      <c r="A588" s="12" t="str">
        <f>IFERROR(__xludf.DUMMYFUNCTION("""COMPUTED_VALUE"""),"Vault Assault")</f>
        <v>Vault Assault</v>
      </c>
      <c r="B588" s="13" t="str">
        <f>IFERROR(__xludf.DUMMYFUNCTION("""COMPUTED_VALUE"""),"Xbox / PC")</f>
        <v>Xbox / PC</v>
      </c>
      <c r="C588" s="14" t="str">
        <f>IFERROR(__xludf.DUMMYFUNCTION("""COMPUTED_VALUE"""),"Yes")</f>
        <v>Yes</v>
      </c>
      <c r="D588" s="14" t="str">
        <f>IFERROR(__xludf.DUMMYFUNCTION("""COMPUTED_VALUE"""),"Active")</f>
        <v>Active</v>
      </c>
      <c r="E588" s="15">
        <f>IFERROR(__xludf.DUMMYFUNCTION("""COMPUTED_VALUE"""),45798.0)</f>
        <v>45798</v>
      </c>
      <c r="F588" s="16"/>
      <c r="G588" s="18">
        <f>IFERROR(__xludf.DUMMYFUNCTION("""COMPUTED_VALUE"""),16.5)</f>
        <v>16.5</v>
      </c>
      <c r="H588" s="15">
        <f>IFERROR(__xludf.DUMMYFUNCTION("""COMPUTED_VALUE"""),37114.0)</f>
        <v>37114</v>
      </c>
      <c r="I588" s="18">
        <f>IFERROR(__xludf.DUMMYFUNCTION("""COMPUTED_VALUE"""),23.77777777777778)</f>
        <v>23.77777778</v>
      </c>
      <c r="J588" s="22"/>
      <c r="K588" s="22"/>
      <c r="L588" s="26" t="str">
        <f>IFERROR(__xludf.DUMMYFUNCTION("""COMPUTED_VALUE"""),"Shooter")</f>
        <v>Shooter</v>
      </c>
      <c r="M588" s="26"/>
    </row>
    <row r="589">
      <c r="A589" s="12" t="str">
        <f>IFERROR(__xludf.DUMMYFUNCTION("""COMPUTED_VALUE"""),"Venetian Blinds")</f>
        <v>Venetian Blinds</v>
      </c>
      <c r="B589" s="13" t="str">
        <f>IFERROR(__xludf.DUMMYFUNCTION("""COMPUTED_VALUE"""),"Xbox / PC")</f>
        <v>Xbox / PC</v>
      </c>
      <c r="C589" s="14" t="str">
        <f>IFERROR(__xludf.DUMMYFUNCTION("""COMPUTED_VALUE"""),"Yes")</f>
        <v>Yes</v>
      </c>
      <c r="D589" s="14" t="str">
        <f>IFERROR(__xludf.DUMMYFUNCTION("""COMPUTED_VALUE"""),"Active")</f>
        <v>Active</v>
      </c>
      <c r="E589" s="15">
        <f>IFERROR(__xludf.DUMMYFUNCTION("""COMPUTED_VALUE"""),45798.0)</f>
        <v>45798</v>
      </c>
      <c r="F589" s="16"/>
      <c r="G589" s="18">
        <f>IFERROR(__xludf.DUMMYFUNCTION("""COMPUTED_VALUE"""),16.5)</f>
        <v>16.5</v>
      </c>
      <c r="H589" s="15">
        <f>IFERROR(__xludf.DUMMYFUNCTION("""COMPUTED_VALUE"""),37622.0)</f>
        <v>37622</v>
      </c>
      <c r="I589" s="18">
        <f>IFERROR(__xludf.DUMMYFUNCTION("""COMPUTED_VALUE"""),22.38888888888889)</f>
        <v>22.38888889</v>
      </c>
      <c r="J589" s="22"/>
      <c r="K589" s="22"/>
      <c r="L589" s="26" t="str">
        <f>IFERROR(__xludf.DUMMYFUNCTION("""COMPUTED_VALUE"""),"Simulation")</f>
        <v>Simulation</v>
      </c>
      <c r="M589" s="26"/>
    </row>
    <row r="590">
      <c r="A590" s="12" t="str">
        <f>IFERROR(__xludf.DUMMYFUNCTION("""COMPUTED_VALUE"""),"Zork Zero: The Revenge of Megaboz")</f>
        <v>Zork Zero: The Revenge of Megaboz</v>
      </c>
      <c r="B590" s="13" t="str">
        <f>IFERROR(__xludf.DUMMYFUNCTION("""COMPUTED_VALUE"""),"Xbox / PC")</f>
        <v>Xbox / PC</v>
      </c>
      <c r="C590" s="14" t="str">
        <f>IFERROR(__xludf.DUMMYFUNCTION("""COMPUTED_VALUE"""),"Yes")</f>
        <v>Yes</v>
      </c>
      <c r="D590" s="14" t="str">
        <f>IFERROR(__xludf.DUMMYFUNCTION("""COMPUTED_VALUE"""),"Active")</f>
        <v>Active</v>
      </c>
      <c r="E590" s="15">
        <f>IFERROR(__xludf.DUMMYFUNCTION("""COMPUTED_VALUE"""),45798.0)</f>
        <v>45798</v>
      </c>
      <c r="F590" s="16"/>
      <c r="G590" s="18">
        <f>IFERROR(__xludf.DUMMYFUNCTION("""COMPUTED_VALUE"""),16.5)</f>
        <v>16.5</v>
      </c>
      <c r="H590" s="15">
        <f>IFERROR(__xludf.DUMMYFUNCTION("""COMPUTED_VALUE"""),32435.0)</f>
        <v>32435</v>
      </c>
      <c r="I590" s="18">
        <f>IFERROR(__xludf.DUMMYFUNCTION("""COMPUTED_VALUE"""),36.58888888888889)</f>
        <v>36.58888889</v>
      </c>
      <c r="J590" s="22"/>
      <c r="K590" s="22">
        <f>IFERROR(__xludf.DUMMYFUNCTION("""COMPUTED_VALUE"""),7.0)</f>
        <v>7</v>
      </c>
      <c r="L590" s="26" t="str">
        <f>IFERROR(__xludf.DUMMYFUNCTION("""COMPUTED_VALUE"""),"Action‑Adventure")</f>
        <v>Action‑Adventure</v>
      </c>
      <c r="M590" s="26"/>
    </row>
    <row r="591">
      <c r="A591" s="12" t="str">
        <f>IFERROR(__xludf.DUMMYFUNCTION("""COMPUTED_VALUE"""),"Overthrown (Game Preview)")</f>
        <v>Overthrown (Game Preview)</v>
      </c>
      <c r="B591" s="13" t="str">
        <f>IFERROR(__xludf.DUMMYFUNCTION("""COMPUTED_VALUE"""),"Xbox / PC")</f>
        <v>Xbox / PC</v>
      </c>
      <c r="C591" s="14" t="str">
        <f>IFERROR(__xludf.DUMMYFUNCTION("""COMPUTED_VALUE"""),"Yes")</f>
        <v>Yes</v>
      </c>
      <c r="D591" s="14" t="str">
        <f>IFERROR(__xludf.DUMMYFUNCTION("""COMPUTED_VALUE"""),"Active")</f>
        <v>Active</v>
      </c>
      <c r="E591" s="15">
        <f>IFERROR(__xludf.DUMMYFUNCTION("""COMPUTED_VALUE"""),45631.0)</f>
        <v>45631</v>
      </c>
      <c r="F591" s="16"/>
      <c r="G591" s="18">
        <f>IFERROR(__xludf.DUMMYFUNCTION("""COMPUTED_VALUE"""),22.03333333333333)</f>
        <v>22.03333333</v>
      </c>
      <c r="H591" s="15">
        <f>IFERROR(__xludf.DUMMYFUNCTION("""COMPUTED_VALUE"""),45631.0)</f>
        <v>45631</v>
      </c>
      <c r="I591" s="18">
        <f>IFERROR(__xludf.DUMMYFUNCTION("""COMPUTED_VALUE"""),0.0)</f>
        <v>0</v>
      </c>
      <c r="J591" s="22"/>
      <c r="K591" s="22">
        <f>IFERROR(__xludf.DUMMYFUNCTION("""COMPUTED_VALUE"""),12.0)</f>
        <v>12</v>
      </c>
      <c r="L591" s="26" t="str">
        <f>IFERROR(__xludf.DUMMYFUNCTION("""COMPUTED_VALUE"""),"Sandbox")</f>
        <v>Sandbox</v>
      </c>
      <c r="M591" s="26" t="str">
        <f>IFERROR(__xludf.DUMMYFUNCTION("""COMPUTED_VALUE"""),"Exclusive")</f>
        <v>Exclusive</v>
      </c>
    </row>
    <row r="592">
      <c r="A592" s="12"/>
      <c r="B592" s="13"/>
      <c r="C592" s="14"/>
      <c r="D592" s="14"/>
      <c r="E592" s="15"/>
      <c r="F592" s="16"/>
      <c r="G592" s="18"/>
      <c r="H592" s="15"/>
      <c r="I592" s="18"/>
      <c r="J592" s="22"/>
      <c r="K592" s="108"/>
      <c r="L592" s="26"/>
      <c r="M592" s="26"/>
    </row>
    <row r="593">
      <c r="A593" s="12"/>
      <c r="B593" s="13"/>
      <c r="C593" s="14"/>
      <c r="D593" s="14"/>
      <c r="E593" s="15"/>
      <c r="F593" s="16"/>
      <c r="G593" s="18"/>
      <c r="H593" s="15"/>
      <c r="I593" s="18"/>
      <c r="J593" s="22"/>
      <c r="K593" s="108"/>
      <c r="L593" s="26"/>
      <c r="M593" s="26"/>
    </row>
    <row r="594">
      <c r="A594" s="12"/>
      <c r="B594" s="13"/>
      <c r="C594" s="14"/>
      <c r="D594" s="14"/>
      <c r="E594" s="15"/>
      <c r="F594" s="16"/>
      <c r="G594" s="18"/>
      <c r="H594" s="15"/>
      <c r="I594" s="18"/>
      <c r="J594" s="22"/>
      <c r="K594" s="108"/>
      <c r="L594" s="26"/>
      <c r="M594" s="26"/>
    </row>
    <row r="595">
      <c r="A595" s="12"/>
      <c r="B595" s="13"/>
      <c r="C595" s="14"/>
      <c r="D595" s="14"/>
      <c r="E595" s="15"/>
      <c r="F595" s="16"/>
      <c r="G595" s="18"/>
      <c r="H595" s="15"/>
      <c r="I595" s="18"/>
      <c r="J595" s="22"/>
      <c r="K595" s="108"/>
      <c r="L595" s="26"/>
      <c r="M595" s="26"/>
    </row>
    <row r="596">
      <c r="A596" s="12"/>
      <c r="B596" s="13"/>
      <c r="C596" s="14"/>
      <c r="D596" s="14"/>
      <c r="E596" s="15"/>
      <c r="F596" s="16"/>
      <c r="G596" s="18"/>
      <c r="H596" s="15"/>
      <c r="I596" s="18"/>
      <c r="J596" s="22"/>
      <c r="K596" s="108"/>
      <c r="L596" s="26"/>
      <c r="M596" s="26"/>
    </row>
    <row r="597">
      <c r="A597" s="12"/>
      <c r="B597" s="13"/>
      <c r="C597" s="14"/>
      <c r="D597" s="14"/>
      <c r="E597" s="15"/>
      <c r="F597" s="16"/>
      <c r="G597" s="18"/>
      <c r="H597" s="15"/>
      <c r="I597" s="18"/>
      <c r="J597" s="22"/>
      <c r="K597" s="108"/>
      <c r="L597" s="26"/>
      <c r="M597" s="26"/>
    </row>
    <row r="598">
      <c r="A598" s="12"/>
      <c r="B598" s="13"/>
      <c r="C598" s="14"/>
      <c r="D598" s="14"/>
      <c r="E598" s="15"/>
      <c r="F598" s="16"/>
      <c r="G598" s="18"/>
      <c r="H598" s="15"/>
      <c r="I598" s="18"/>
      <c r="J598" s="22"/>
      <c r="K598" s="108"/>
      <c r="L598" s="26"/>
      <c r="M598" s="26"/>
    </row>
    <row r="599">
      <c r="A599" s="12"/>
      <c r="B599" s="13"/>
      <c r="C599" s="14"/>
      <c r="D599" s="14"/>
      <c r="E599" s="15"/>
      <c r="F599" s="16"/>
      <c r="G599" s="18"/>
      <c r="H599" s="15"/>
      <c r="I599" s="18"/>
      <c r="J599" s="22"/>
      <c r="K599" s="108"/>
      <c r="L599" s="26"/>
      <c r="M599" s="26"/>
    </row>
    <row r="600">
      <c r="A600" s="12"/>
      <c r="B600" s="13"/>
      <c r="C600" s="14"/>
      <c r="D600" s="14"/>
      <c r="E600" s="15"/>
      <c r="F600" s="16"/>
      <c r="G600" s="18"/>
      <c r="H600" s="15"/>
      <c r="I600" s="18"/>
      <c r="J600" s="22"/>
      <c r="K600" s="108"/>
      <c r="L600" s="26"/>
      <c r="M600" s="26"/>
    </row>
    <row r="601">
      <c r="A601" s="12"/>
      <c r="B601" s="13"/>
      <c r="C601" s="14"/>
      <c r="D601" s="14"/>
      <c r="E601" s="15"/>
      <c r="F601" s="16"/>
      <c r="G601" s="18"/>
      <c r="H601" s="15"/>
      <c r="I601" s="18"/>
      <c r="J601" s="22"/>
      <c r="K601" s="108"/>
      <c r="L601" s="26"/>
      <c r="M601" s="26"/>
    </row>
    <row r="602">
      <c r="A602" s="12"/>
      <c r="B602" s="13"/>
      <c r="C602" s="14"/>
      <c r="D602" s="14"/>
      <c r="E602" s="15"/>
      <c r="F602" s="16"/>
      <c r="G602" s="18"/>
      <c r="H602" s="15"/>
      <c r="I602" s="18"/>
      <c r="J602" s="22"/>
      <c r="K602" s="108"/>
      <c r="L602" s="26"/>
      <c r="M602" s="26"/>
    </row>
    <row r="603">
      <c r="A603" s="12"/>
      <c r="B603" s="13"/>
      <c r="C603" s="14"/>
      <c r="D603" s="14"/>
      <c r="E603" s="15"/>
      <c r="F603" s="16"/>
      <c r="G603" s="18"/>
      <c r="H603" s="15"/>
      <c r="I603" s="18"/>
      <c r="J603" s="22"/>
      <c r="K603" s="108"/>
      <c r="L603" s="26"/>
      <c r="M603" s="26"/>
    </row>
    <row r="604">
      <c r="A604" s="12"/>
      <c r="B604" s="13"/>
      <c r="C604" s="14"/>
      <c r="D604" s="14"/>
      <c r="E604" s="15"/>
      <c r="F604" s="16"/>
      <c r="G604" s="18"/>
      <c r="H604" s="15"/>
      <c r="I604" s="18"/>
      <c r="J604" s="22"/>
      <c r="K604" s="108"/>
      <c r="L604" s="26"/>
      <c r="M604" s="26"/>
    </row>
    <row r="605">
      <c r="A605" s="12"/>
      <c r="B605" s="13"/>
      <c r="C605" s="14"/>
      <c r="D605" s="14"/>
      <c r="E605" s="15"/>
      <c r="F605" s="16"/>
      <c r="G605" s="18"/>
      <c r="H605" s="15"/>
      <c r="I605" s="18"/>
      <c r="J605" s="22"/>
      <c r="K605" s="108"/>
      <c r="L605" s="26"/>
      <c r="M605" s="26"/>
    </row>
    <row r="606">
      <c r="A606" s="12"/>
      <c r="B606" s="13"/>
      <c r="C606" s="14"/>
      <c r="D606" s="14"/>
      <c r="E606" s="15"/>
      <c r="F606" s="16"/>
      <c r="G606" s="18"/>
      <c r="H606" s="15"/>
      <c r="I606" s="18"/>
      <c r="J606" s="22"/>
      <c r="K606" s="108"/>
      <c r="L606" s="26"/>
      <c r="M606" s="26"/>
    </row>
    <row r="607">
      <c r="A607" s="12"/>
      <c r="B607" s="13"/>
      <c r="C607" s="14"/>
      <c r="D607" s="14"/>
      <c r="E607" s="15"/>
      <c r="F607" s="16"/>
      <c r="G607" s="18"/>
      <c r="H607" s="15"/>
      <c r="I607" s="18"/>
      <c r="J607" s="22"/>
      <c r="K607" s="108"/>
      <c r="L607" s="26"/>
      <c r="M607" s="26"/>
    </row>
    <row r="608">
      <c r="A608" s="12"/>
      <c r="B608" s="13"/>
      <c r="C608" s="14"/>
      <c r="D608" s="14"/>
      <c r="E608" s="15"/>
      <c r="F608" s="16"/>
      <c r="G608" s="18"/>
      <c r="H608" s="15"/>
      <c r="I608" s="18"/>
      <c r="J608" s="22"/>
      <c r="K608" s="108"/>
      <c r="L608" s="26"/>
      <c r="M608" s="26"/>
    </row>
    <row r="609">
      <c r="A609" s="12"/>
      <c r="B609" s="13"/>
      <c r="C609" s="14"/>
      <c r="D609" s="14"/>
      <c r="E609" s="15"/>
      <c r="F609" s="16"/>
      <c r="G609" s="18"/>
      <c r="H609" s="15"/>
      <c r="I609" s="18"/>
      <c r="J609" s="22"/>
      <c r="K609" s="108"/>
      <c r="L609" s="26"/>
      <c r="M609" s="26"/>
    </row>
    <row r="610">
      <c r="A610" s="12"/>
      <c r="B610" s="13"/>
      <c r="C610" s="14"/>
      <c r="D610" s="14"/>
      <c r="E610" s="15"/>
      <c r="F610" s="16"/>
      <c r="G610" s="18"/>
      <c r="H610" s="15"/>
      <c r="I610" s="18"/>
      <c r="J610" s="22"/>
      <c r="K610" s="108"/>
      <c r="L610" s="26"/>
      <c r="M610" s="26"/>
    </row>
    <row r="611">
      <c r="A611" s="12"/>
      <c r="B611" s="13"/>
      <c r="C611" s="14"/>
      <c r="D611" s="14"/>
      <c r="E611" s="15"/>
      <c r="F611" s="16"/>
      <c r="G611" s="18"/>
      <c r="H611" s="15"/>
      <c r="I611" s="18"/>
      <c r="J611" s="22"/>
      <c r="K611" s="108"/>
      <c r="L611" s="26"/>
      <c r="M611" s="26"/>
    </row>
    <row r="612">
      <c r="A612" s="12"/>
      <c r="B612" s="13"/>
      <c r="C612" s="14"/>
      <c r="D612" s="14"/>
      <c r="E612" s="15"/>
      <c r="F612" s="16"/>
      <c r="G612" s="18"/>
      <c r="H612" s="15"/>
      <c r="I612" s="18"/>
      <c r="J612" s="22"/>
      <c r="K612" s="108"/>
      <c r="L612" s="26"/>
      <c r="M612" s="26"/>
    </row>
    <row r="613">
      <c r="A613" s="12"/>
      <c r="B613" s="13"/>
      <c r="C613" s="14"/>
      <c r="D613" s="14"/>
      <c r="E613" s="15"/>
      <c r="F613" s="16"/>
      <c r="G613" s="18"/>
      <c r="H613" s="15"/>
      <c r="I613" s="18"/>
      <c r="J613" s="22"/>
      <c r="K613" s="108"/>
      <c r="L613" s="26"/>
      <c r="M613" s="26"/>
    </row>
    <row r="614">
      <c r="A614" s="12"/>
      <c r="B614" s="13"/>
      <c r="C614" s="14"/>
      <c r="D614" s="14"/>
      <c r="E614" s="15"/>
      <c r="F614" s="16"/>
      <c r="G614" s="18"/>
      <c r="H614" s="15"/>
      <c r="I614" s="18"/>
      <c r="J614" s="22"/>
      <c r="K614" s="108"/>
      <c r="L614" s="26"/>
      <c r="M614" s="26"/>
    </row>
    <row r="615">
      <c r="A615" s="12"/>
      <c r="B615" s="13"/>
      <c r="C615" s="14"/>
      <c r="D615" s="14"/>
      <c r="E615" s="15"/>
      <c r="F615" s="16"/>
      <c r="G615" s="18"/>
      <c r="H615" s="15"/>
      <c r="I615" s="18"/>
      <c r="J615" s="22"/>
      <c r="K615" s="108"/>
      <c r="L615" s="26"/>
      <c r="M615" s="26"/>
    </row>
    <row r="616">
      <c r="A616" s="12"/>
      <c r="B616" s="13"/>
      <c r="C616" s="14"/>
      <c r="D616" s="14"/>
      <c r="E616" s="15"/>
      <c r="F616" s="16"/>
      <c r="G616" s="18"/>
      <c r="H616" s="15"/>
      <c r="I616" s="18"/>
      <c r="J616" s="22"/>
      <c r="K616" s="108"/>
      <c r="L616" s="26"/>
      <c r="M616" s="26"/>
    </row>
    <row r="617">
      <c r="A617" s="12"/>
      <c r="B617" s="13"/>
      <c r="C617" s="14"/>
      <c r="D617" s="14"/>
      <c r="E617" s="15"/>
      <c r="F617" s="16"/>
      <c r="G617" s="18"/>
      <c r="H617" s="15"/>
      <c r="I617" s="18"/>
      <c r="J617" s="22"/>
      <c r="K617" s="108"/>
      <c r="L617" s="26"/>
      <c r="M617" s="26"/>
    </row>
    <row r="618">
      <c r="A618" s="12"/>
      <c r="B618" s="13"/>
      <c r="C618" s="14"/>
      <c r="D618" s="14"/>
      <c r="E618" s="15"/>
      <c r="F618" s="16"/>
      <c r="G618" s="18"/>
      <c r="H618" s="15"/>
      <c r="I618" s="18"/>
      <c r="J618" s="22"/>
      <c r="K618" s="108"/>
      <c r="L618" s="26"/>
      <c r="M618" s="26"/>
    </row>
    <row r="619">
      <c r="A619" s="12"/>
      <c r="B619" s="13"/>
      <c r="C619" s="14"/>
      <c r="D619" s="14"/>
      <c r="E619" s="15"/>
      <c r="F619" s="16"/>
      <c r="G619" s="18"/>
      <c r="H619" s="15"/>
      <c r="I619" s="18"/>
      <c r="J619" s="22"/>
      <c r="K619" s="108"/>
      <c r="L619" s="26"/>
      <c r="M619" s="26"/>
    </row>
    <row r="620">
      <c r="A620" s="12"/>
      <c r="B620" s="13"/>
      <c r="C620" s="14"/>
      <c r="D620" s="14"/>
      <c r="E620" s="15"/>
      <c r="F620" s="16"/>
      <c r="G620" s="18"/>
      <c r="H620" s="15"/>
      <c r="I620" s="18"/>
      <c r="J620" s="22"/>
      <c r="K620" s="108"/>
      <c r="L620" s="26"/>
      <c r="M620" s="26"/>
    </row>
    <row r="621">
      <c r="A621" s="12"/>
      <c r="B621" s="13"/>
      <c r="C621" s="14"/>
      <c r="D621" s="14"/>
      <c r="E621" s="15"/>
      <c r="F621" s="16"/>
      <c r="G621" s="18"/>
      <c r="H621" s="15"/>
      <c r="I621" s="18"/>
      <c r="J621" s="22"/>
      <c r="K621" s="108"/>
      <c r="L621" s="26"/>
      <c r="M621" s="26"/>
    </row>
    <row r="622">
      <c r="A622" s="12"/>
      <c r="B622" s="13"/>
      <c r="C622" s="14"/>
      <c r="D622" s="14"/>
      <c r="E622" s="15"/>
      <c r="F622" s="16"/>
      <c r="G622" s="18"/>
      <c r="H622" s="15"/>
      <c r="I622" s="18"/>
      <c r="J622" s="22"/>
      <c r="K622" s="108"/>
      <c r="L622" s="26"/>
      <c r="M622" s="26"/>
    </row>
    <row r="623">
      <c r="A623" s="12"/>
      <c r="B623" s="13"/>
      <c r="C623" s="14"/>
      <c r="D623" s="14"/>
      <c r="E623" s="15"/>
      <c r="F623" s="16"/>
      <c r="G623" s="18"/>
      <c r="H623" s="15"/>
      <c r="I623" s="18"/>
      <c r="J623" s="22"/>
      <c r="K623" s="108"/>
      <c r="L623" s="26"/>
      <c r="M623" s="26"/>
    </row>
    <row r="624">
      <c r="A624" s="12"/>
      <c r="B624" s="13"/>
      <c r="C624" s="14"/>
      <c r="D624" s="14"/>
      <c r="E624" s="15"/>
      <c r="F624" s="16"/>
      <c r="G624" s="18"/>
      <c r="H624" s="15"/>
      <c r="I624" s="18"/>
      <c r="J624" s="22"/>
      <c r="K624" s="108"/>
      <c r="L624" s="26"/>
      <c r="M624" s="26"/>
    </row>
    <row r="625">
      <c r="A625" s="12"/>
      <c r="B625" s="13"/>
      <c r="C625" s="14"/>
      <c r="D625" s="14"/>
      <c r="E625" s="15"/>
      <c r="F625" s="16"/>
      <c r="G625" s="18"/>
      <c r="H625" s="15"/>
      <c r="I625" s="18"/>
      <c r="J625" s="22"/>
      <c r="K625" s="108"/>
      <c r="L625" s="26"/>
      <c r="M625" s="26"/>
    </row>
    <row r="626">
      <c r="A626" s="12"/>
      <c r="B626" s="13"/>
      <c r="C626" s="14"/>
      <c r="D626" s="14"/>
      <c r="E626" s="15"/>
      <c r="F626" s="16"/>
      <c r="G626" s="18"/>
      <c r="H626" s="15"/>
      <c r="I626" s="18"/>
      <c r="J626" s="22"/>
      <c r="K626" s="108"/>
      <c r="L626" s="26"/>
      <c r="M626" s="26"/>
    </row>
    <row r="627">
      <c r="A627" s="12"/>
      <c r="B627" s="13"/>
      <c r="C627" s="14"/>
      <c r="D627" s="14"/>
      <c r="E627" s="15"/>
      <c r="F627" s="16"/>
      <c r="G627" s="18"/>
      <c r="H627" s="15"/>
      <c r="I627" s="18"/>
      <c r="J627" s="22"/>
      <c r="K627" s="108"/>
      <c r="L627" s="26"/>
      <c r="M627" s="26"/>
    </row>
    <row r="628">
      <c r="A628" s="12"/>
      <c r="B628" s="13"/>
      <c r="C628" s="14"/>
      <c r="D628" s="14"/>
      <c r="E628" s="15"/>
      <c r="F628" s="16"/>
      <c r="G628" s="18"/>
      <c r="H628" s="15"/>
      <c r="I628" s="18"/>
      <c r="J628" s="22"/>
      <c r="K628" s="108"/>
      <c r="L628" s="26"/>
      <c r="M628" s="26"/>
    </row>
    <row r="629">
      <c r="A629" s="12"/>
      <c r="B629" s="13"/>
      <c r="C629" s="14"/>
      <c r="D629" s="14"/>
      <c r="E629" s="15"/>
      <c r="F629" s="16"/>
      <c r="G629" s="18"/>
      <c r="H629" s="15"/>
      <c r="I629" s="18"/>
      <c r="J629" s="22"/>
      <c r="K629" s="108"/>
      <c r="L629" s="26"/>
      <c r="M629" s="26"/>
    </row>
    <row r="630">
      <c r="A630" s="12"/>
      <c r="B630" s="13"/>
      <c r="C630" s="14"/>
      <c r="D630" s="14"/>
      <c r="E630" s="15"/>
      <c r="F630" s="16"/>
      <c r="G630" s="18"/>
      <c r="H630" s="15"/>
      <c r="I630" s="18"/>
      <c r="J630" s="22"/>
      <c r="K630" s="108"/>
      <c r="L630" s="26"/>
      <c r="M630" s="26"/>
    </row>
    <row r="631">
      <c r="A631" s="12"/>
      <c r="B631" s="13"/>
      <c r="C631" s="14"/>
      <c r="D631" s="14"/>
      <c r="E631" s="15"/>
      <c r="F631" s="16"/>
      <c r="G631" s="18"/>
      <c r="H631" s="15"/>
      <c r="I631" s="18"/>
      <c r="J631" s="22"/>
      <c r="K631" s="108"/>
      <c r="L631" s="26"/>
      <c r="M631" s="26"/>
    </row>
    <row r="632">
      <c r="A632" s="12"/>
      <c r="B632" s="13"/>
      <c r="C632" s="14"/>
      <c r="D632" s="14"/>
      <c r="E632" s="15"/>
      <c r="F632" s="16"/>
      <c r="G632" s="18"/>
      <c r="H632" s="15"/>
      <c r="I632" s="18"/>
      <c r="J632" s="22"/>
      <c r="K632" s="108"/>
      <c r="L632" s="26"/>
      <c r="M632" s="26"/>
    </row>
    <row r="633">
      <c r="A633" s="12"/>
      <c r="B633" s="13"/>
      <c r="C633" s="14"/>
      <c r="D633" s="14"/>
      <c r="E633" s="15"/>
      <c r="F633" s="16"/>
      <c r="G633" s="18"/>
      <c r="H633" s="15"/>
      <c r="I633" s="18"/>
      <c r="J633" s="22"/>
      <c r="K633" s="108"/>
      <c r="L633" s="26"/>
      <c r="M633" s="26"/>
    </row>
    <row r="634">
      <c r="A634" s="12"/>
      <c r="B634" s="13"/>
      <c r="C634" s="14"/>
      <c r="D634" s="14"/>
      <c r="E634" s="15"/>
      <c r="F634" s="16"/>
      <c r="G634" s="18"/>
      <c r="H634" s="15"/>
      <c r="I634" s="18"/>
      <c r="J634" s="22"/>
      <c r="K634" s="108"/>
      <c r="L634" s="26"/>
      <c r="M634" s="26"/>
    </row>
    <row r="635">
      <c r="A635" s="12"/>
      <c r="B635" s="13"/>
      <c r="C635" s="14"/>
      <c r="D635" s="14"/>
      <c r="E635" s="15"/>
      <c r="F635" s="16"/>
      <c r="G635" s="18"/>
      <c r="H635" s="15"/>
      <c r="I635" s="18"/>
      <c r="J635" s="22"/>
      <c r="K635" s="108"/>
      <c r="L635" s="26"/>
      <c r="M635" s="26"/>
    </row>
    <row r="636">
      <c r="A636" s="12"/>
      <c r="B636" s="13"/>
      <c r="C636" s="14"/>
      <c r="D636" s="14"/>
      <c r="E636" s="15"/>
      <c r="F636" s="16"/>
      <c r="G636" s="18"/>
      <c r="H636" s="15"/>
      <c r="I636" s="18"/>
      <c r="J636" s="22"/>
      <c r="K636" s="108"/>
      <c r="L636" s="26"/>
      <c r="M636" s="26"/>
    </row>
    <row r="637">
      <c r="A637" s="12"/>
      <c r="B637" s="13"/>
      <c r="C637" s="14"/>
      <c r="D637" s="14"/>
      <c r="E637" s="15"/>
      <c r="F637" s="16"/>
      <c r="G637" s="18"/>
      <c r="H637" s="15"/>
      <c r="I637" s="18"/>
      <c r="J637" s="22"/>
      <c r="K637" s="108"/>
      <c r="L637" s="26"/>
      <c r="M637" s="26"/>
    </row>
    <row r="638">
      <c r="A638" s="12"/>
      <c r="B638" s="13"/>
      <c r="C638" s="14"/>
      <c r="D638" s="14"/>
      <c r="E638" s="15"/>
      <c r="F638" s="16"/>
      <c r="G638" s="18"/>
      <c r="H638" s="15"/>
      <c r="I638" s="18"/>
      <c r="J638" s="22"/>
      <c r="K638" s="108"/>
      <c r="L638" s="26"/>
      <c r="M638" s="26"/>
    </row>
    <row r="639">
      <c r="A639" s="12"/>
      <c r="B639" s="13"/>
      <c r="C639" s="14"/>
      <c r="D639" s="14"/>
      <c r="E639" s="15"/>
      <c r="F639" s="16"/>
      <c r="G639" s="18"/>
      <c r="H639" s="15"/>
      <c r="I639" s="18"/>
      <c r="J639" s="22"/>
      <c r="K639" s="108"/>
      <c r="L639" s="26"/>
      <c r="M639" s="26"/>
    </row>
    <row r="640">
      <c r="A640" s="12"/>
      <c r="B640" s="13"/>
      <c r="C640" s="14"/>
      <c r="D640" s="14"/>
      <c r="E640" s="15"/>
      <c r="F640" s="16"/>
      <c r="G640" s="18"/>
      <c r="H640" s="15"/>
      <c r="I640" s="18"/>
      <c r="J640" s="22"/>
      <c r="K640" s="108"/>
      <c r="L640" s="26"/>
      <c r="M640" s="26"/>
    </row>
    <row r="641">
      <c r="A641" s="12"/>
      <c r="B641" s="13"/>
      <c r="C641" s="14"/>
      <c r="D641" s="14"/>
      <c r="E641" s="15"/>
      <c r="F641" s="16"/>
      <c r="G641" s="18"/>
      <c r="H641" s="15"/>
      <c r="I641" s="18"/>
      <c r="J641" s="22"/>
      <c r="K641" s="108"/>
      <c r="L641" s="26"/>
      <c r="M641" s="26"/>
    </row>
    <row r="642">
      <c r="A642" s="12"/>
      <c r="B642" s="13"/>
      <c r="C642" s="14"/>
      <c r="D642" s="14"/>
      <c r="E642" s="15"/>
      <c r="F642" s="16"/>
      <c r="G642" s="18"/>
      <c r="H642" s="15"/>
      <c r="I642" s="18"/>
      <c r="J642" s="22"/>
      <c r="K642" s="108"/>
      <c r="L642" s="26"/>
      <c r="M642" s="26"/>
    </row>
    <row r="643">
      <c r="A643" s="12"/>
      <c r="B643" s="13"/>
      <c r="C643" s="14"/>
      <c r="D643" s="14"/>
      <c r="E643" s="15"/>
      <c r="F643" s="16"/>
      <c r="G643" s="18"/>
      <c r="H643" s="15"/>
      <c r="I643" s="18"/>
      <c r="J643" s="22"/>
      <c r="K643" s="108"/>
      <c r="L643" s="26"/>
      <c r="M643" s="26"/>
    </row>
    <row r="644">
      <c r="A644" s="12"/>
      <c r="B644" s="13"/>
      <c r="C644" s="14"/>
      <c r="D644" s="14"/>
      <c r="E644" s="15"/>
      <c r="F644" s="16"/>
      <c r="G644" s="18"/>
      <c r="H644" s="15"/>
      <c r="I644" s="18"/>
      <c r="J644" s="22"/>
      <c r="K644" s="108"/>
      <c r="L644" s="26"/>
      <c r="M644" s="26"/>
    </row>
    <row r="645">
      <c r="A645" s="12"/>
      <c r="B645" s="13"/>
      <c r="C645" s="14"/>
      <c r="D645" s="14"/>
      <c r="E645" s="15"/>
      <c r="F645" s="16"/>
      <c r="G645" s="18"/>
      <c r="H645" s="15"/>
      <c r="I645" s="18"/>
      <c r="J645" s="22"/>
      <c r="K645" s="108"/>
      <c r="L645" s="26"/>
      <c r="M645" s="26"/>
    </row>
    <row r="646">
      <c r="A646" s="12"/>
      <c r="B646" s="13"/>
      <c r="C646" s="14"/>
      <c r="D646" s="14"/>
      <c r="E646" s="15"/>
      <c r="F646" s="16"/>
      <c r="G646" s="18"/>
      <c r="H646" s="15"/>
      <c r="I646" s="18"/>
      <c r="J646" s="22"/>
      <c r="K646" s="108"/>
      <c r="L646" s="26"/>
      <c r="M646" s="26"/>
    </row>
    <row r="647">
      <c r="A647" s="12"/>
      <c r="B647" s="13"/>
      <c r="C647" s="14"/>
      <c r="D647" s="14"/>
      <c r="E647" s="15"/>
      <c r="F647" s="16"/>
      <c r="G647" s="18"/>
      <c r="H647" s="15"/>
      <c r="I647" s="18"/>
      <c r="J647" s="22"/>
      <c r="K647" s="108"/>
      <c r="L647" s="26"/>
      <c r="M647" s="26"/>
    </row>
    <row r="648">
      <c r="A648" s="12"/>
      <c r="B648" s="13"/>
      <c r="C648" s="14"/>
      <c r="D648" s="14"/>
      <c r="E648" s="15"/>
      <c r="F648" s="16"/>
      <c r="G648" s="18"/>
      <c r="H648" s="15"/>
      <c r="I648" s="18"/>
      <c r="J648" s="22"/>
      <c r="K648" s="108"/>
      <c r="L648" s="26"/>
      <c r="M648" s="26"/>
    </row>
    <row r="649">
      <c r="A649" s="12"/>
      <c r="B649" s="13"/>
      <c r="C649" s="14"/>
      <c r="D649" s="14"/>
      <c r="E649" s="15"/>
      <c r="F649" s="16"/>
      <c r="G649" s="18"/>
      <c r="H649" s="15"/>
      <c r="I649" s="18"/>
      <c r="J649" s="22"/>
      <c r="K649" s="108"/>
      <c r="L649" s="26"/>
      <c r="M649" s="26"/>
    </row>
    <row r="650">
      <c r="A650" s="12"/>
      <c r="B650" s="13"/>
      <c r="C650" s="14"/>
      <c r="D650" s="14"/>
      <c r="E650" s="15"/>
      <c r="F650" s="16"/>
      <c r="G650" s="18"/>
      <c r="H650" s="15"/>
      <c r="I650" s="18"/>
      <c r="J650" s="22"/>
      <c r="K650" s="108"/>
      <c r="L650" s="26"/>
      <c r="M650" s="26"/>
    </row>
    <row r="651">
      <c r="A651" s="12"/>
      <c r="B651" s="13"/>
      <c r="C651" s="14"/>
      <c r="D651" s="14"/>
      <c r="E651" s="15"/>
      <c r="F651" s="16"/>
      <c r="G651" s="18"/>
      <c r="H651" s="15"/>
      <c r="I651" s="18"/>
      <c r="J651" s="22"/>
      <c r="K651" s="108"/>
      <c r="L651" s="26"/>
      <c r="M651" s="26"/>
    </row>
    <row r="652">
      <c r="A652" s="12"/>
      <c r="B652" s="13"/>
      <c r="C652" s="14"/>
      <c r="D652" s="14"/>
      <c r="E652" s="15"/>
      <c r="F652" s="16"/>
      <c r="G652" s="18"/>
      <c r="H652" s="15"/>
      <c r="I652" s="18"/>
      <c r="J652" s="22"/>
      <c r="K652" s="108"/>
      <c r="L652" s="26"/>
      <c r="M652" s="26"/>
    </row>
    <row r="653">
      <c r="A653" s="12"/>
      <c r="B653" s="13"/>
      <c r="C653" s="14"/>
      <c r="D653" s="14"/>
      <c r="E653" s="15"/>
      <c r="F653" s="16"/>
      <c r="G653" s="18"/>
      <c r="H653" s="15"/>
      <c r="I653" s="18"/>
      <c r="J653" s="22"/>
      <c r="K653" s="108"/>
      <c r="L653" s="26"/>
      <c r="M653" s="26"/>
    </row>
    <row r="654">
      <c r="A654" s="12"/>
      <c r="B654" s="13"/>
      <c r="C654" s="14"/>
      <c r="D654" s="14"/>
      <c r="E654" s="15"/>
      <c r="F654" s="16"/>
      <c r="G654" s="18"/>
      <c r="H654" s="15"/>
      <c r="I654" s="18"/>
      <c r="J654" s="22"/>
      <c r="K654" s="108"/>
      <c r="L654" s="26"/>
      <c r="M654" s="26"/>
    </row>
    <row r="655">
      <c r="A655" s="12"/>
      <c r="B655" s="13"/>
      <c r="C655" s="14"/>
      <c r="D655" s="14"/>
      <c r="E655" s="15"/>
      <c r="F655" s="16"/>
      <c r="G655" s="18"/>
      <c r="H655" s="15"/>
      <c r="I655" s="18"/>
      <c r="J655" s="22"/>
      <c r="K655" s="108"/>
      <c r="L655" s="26"/>
      <c r="M655" s="26"/>
    </row>
    <row r="656">
      <c r="A656" s="12"/>
      <c r="B656" s="13"/>
      <c r="C656" s="14"/>
      <c r="D656" s="14"/>
      <c r="E656" s="15"/>
      <c r="F656" s="16"/>
      <c r="G656" s="18"/>
      <c r="H656" s="15"/>
      <c r="I656" s="18"/>
      <c r="J656" s="22"/>
      <c r="K656" s="108"/>
      <c r="L656" s="26"/>
      <c r="M656" s="26"/>
    </row>
    <row r="657">
      <c r="A657" s="12"/>
      <c r="B657" s="13"/>
      <c r="C657" s="14"/>
      <c r="D657" s="14"/>
      <c r="E657" s="15"/>
      <c r="F657" s="16"/>
      <c r="G657" s="18"/>
      <c r="H657" s="15"/>
      <c r="I657" s="18"/>
      <c r="J657" s="22"/>
      <c r="K657" s="108"/>
      <c r="L657" s="26"/>
      <c r="M657" s="26"/>
    </row>
    <row r="658">
      <c r="A658" s="12"/>
      <c r="B658" s="13"/>
      <c r="C658" s="14"/>
      <c r="D658" s="14"/>
      <c r="E658" s="15"/>
      <c r="F658" s="16"/>
      <c r="G658" s="18"/>
      <c r="H658" s="15"/>
      <c r="I658" s="18"/>
      <c r="J658" s="22"/>
      <c r="K658" s="108"/>
      <c r="L658" s="26"/>
      <c r="M658" s="26"/>
    </row>
    <row r="659">
      <c r="A659" s="12"/>
      <c r="B659" s="13"/>
      <c r="C659" s="14"/>
      <c r="D659" s="14"/>
      <c r="E659" s="15"/>
      <c r="F659" s="16"/>
      <c r="G659" s="18"/>
      <c r="H659" s="15"/>
      <c r="I659" s="18"/>
      <c r="J659" s="22"/>
      <c r="K659" s="108"/>
      <c r="L659" s="26"/>
      <c r="M659" s="26"/>
    </row>
    <row r="660">
      <c r="A660" s="12"/>
      <c r="B660" s="13"/>
      <c r="C660" s="14"/>
      <c r="D660" s="14"/>
      <c r="E660" s="15"/>
      <c r="F660" s="16"/>
      <c r="G660" s="18"/>
      <c r="H660" s="15"/>
      <c r="I660" s="18"/>
      <c r="J660" s="22"/>
      <c r="K660" s="108"/>
      <c r="L660" s="26"/>
      <c r="M660" s="26"/>
    </row>
    <row r="661">
      <c r="A661" s="12"/>
      <c r="B661" s="13"/>
      <c r="C661" s="14"/>
      <c r="D661" s="14"/>
      <c r="E661" s="15"/>
      <c r="F661" s="16"/>
      <c r="G661" s="18"/>
      <c r="H661" s="15"/>
      <c r="I661" s="18"/>
      <c r="J661" s="22"/>
      <c r="K661" s="108"/>
      <c r="L661" s="26"/>
      <c r="M661" s="26"/>
    </row>
    <row r="662">
      <c r="A662" s="12"/>
      <c r="B662" s="13"/>
      <c r="C662" s="14"/>
      <c r="D662" s="14"/>
      <c r="E662" s="15"/>
      <c r="F662" s="16"/>
      <c r="G662" s="18"/>
      <c r="H662" s="15"/>
      <c r="I662" s="18"/>
      <c r="J662" s="22"/>
      <c r="K662" s="108"/>
      <c r="L662" s="26"/>
      <c r="M662" s="26"/>
    </row>
    <row r="663">
      <c r="A663" s="12"/>
      <c r="B663" s="13"/>
      <c r="C663" s="14"/>
      <c r="D663" s="14"/>
      <c r="E663" s="15"/>
      <c r="F663" s="16"/>
      <c r="G663" s="18"/>
      <c r="H663" s="15"/>
      <c r="I663" s="18"/>
      <c r="J663" s="22"/>
      <c r="K663" s="108"/>
      <c r="L663" s="26"/>
      <c r="M663" s="26"/>
    </row>
    <row r="664">
      <c r="A664" s="12"/>
      <c r="B664" s="13"/>
      <c r="C664" s="14"/>
      <c r="D664" s="14"/>
      <c r="E664" s="15"/>
      <c r="F664" s="16"/>
      <c r="G664" s="18"/>
      <c r="H664" s="15"/>
      <c r="I664" s="18"/>
      <c r="J664" s="22"/>
      <c r="K664" s="108"/>
      <c r="L664" s="26"/>
      <c r="M664" s="26"/>
    </row>
    <row r="665">
      <c r="A665" s="12"/>
      <c r="B665" s="13"/>
      <c r="C665" s="14"/>
      <c r="D665" s="14"/>
      <c r="E665" s="15"/>
      <c r="F665" s="16"/>
      <c r="G665" s="18"/>
      <c r="H665" s="15"/>
      <c r="I665" s="18"/>
      <c r="J665" s="22"/>
      <c r="K665" s="108"/>
      <c r="L665" s="26"/>
      <c r="M665" s="26"/>
    </row>
    <row r="666">
      <c r="A666" s="12"/>
      <c r="B666" s="13"/>
      <c r="C666" s="14"/>
      <c r="D666" s="14"/>
      <c r="E666" s="15"/>
      <c r="F666" s="16"/>
      <c r="G666" s="18"/>
      <c r="H666" s="15"/>
      <c r="I666" s="18"/>
      <c r="J666" s="22"/>
      <c r="K666" s="108"/>
      <c r="L666" s="26"/>
      <c r="M666" s="26"/>
    </row>
    <row r="667">
      <c r="A667" s="12"/>
      <c r="B667" s="13"/>
      <c r="C667" s="14"/>
      <c r="D667" s="14"/>
      <c r="E667" s="15"/>
      <c r="F667" s="16"/>
      <c r="G667" s="18"/>
      <c r="H667" s="15"/>
      <c r="I667" s="18"/>
      <c r="J667" s="22"/>
      <c r="K667" s="108"/>
      <c r="L667" s="26"/>
      <c r="M667" s="26"/>
    </row>
    <row r="668">
      <c r="A668" s="12"/>
      <c r="B668" s="13"/>
      <c r="C668" s="14"/>
      <c r="D668" s="14"/>
      <c r="E668" s="15"/>
      <c r="F668" s="16"/>
      <c r="G668" s="18"/>
      <c r="H668" s="15"/>
      <c r="I668" s="18"/>
      <c r="J668" s="22"/>
      <c r="K668" s="108"/>
      <c r="L668" s="26"/>
      <c r="M668" s="26"/>
    </row>
    <row r="669">
      <c r="A669" s="12"/>
      <c r="B669" s="13"/>
      <c r="C669" s="14"/>
      <c r="D669" s="14"/>
      <c r="E669" s="15"/>
      <c r="F669" s="16"/>
      <c r="G669" s="18"/>
      <c r="H669" s="15"/>
      <c r="I669" s="18"/>
      <c r="J669" s="22"/>
      <c r="K669" s="108"/>
      <c r="L669" s="26"/>
      <c r="M669" s="26"/>
    </row>
    <row r="670">
      <c r="A670" s="12"/>
      <c r="B670" s="13"/>
      <c r="C670" s="14"/>
      <c r="D670" s="14"/>
      <c r="E670" s="15"/>
      <c r="F670" s="16"/>
      <c r="G670" s="18"/>
      <c r="H670" s="15"/>
      <c r="I670" s="18"/>
      <c r="J670" s="22"/>
      <c r="K670" s="108"/>
      <c r="L670" s="26"/>
      <c r="M670" s="26"/>
    </row>
    <row r="671">
      <c r="A671" s="12"/>
      <c r="B671" s="13"/>
      <c r="C671" s="14"/>
      <c r="D671" s="14"/>
      <c r="E671" s="15"/>
      <c r="F671" s="16"/>
      <c r="G671" s="18"/>
      <c r="H671" s="15"/>
      <c r="I671" s="18"/>
      <c r="J671" s="22"/>
      <c r="K671" s="108"/>
      <c r="L671" s="26"/>
      <c r="M671" s="26"/>
    </row>
    <row r="672">
      <c r="A672" s="12"/>
      <c r="B672" s="13"/>
      <c r="C672" s="14"/>
      <c r="D672" s="14"/>
      <c r="E672" s="15"/>
      <c r="F672" s="16"/>
      <c r="G672" s="18"/>
      <c r="H672" s="15"/>
      <c r="I672" s="18"/>
      <c r="J672" s="22"/>
      <c r="K672" s="108"/>
      <c r="L672" s="26"/>
      <c r="M672" s="26"/>
    </row>
    <row r="673">
      <c r="A673" s="12"/>
      <c r="B673" s="13"/>
      <c r="C673" s="14"/>
      <c r="D673" s="14"/>
      <c r="E673" s="15"/>
      <c r="F673" s="16"/>
      <c r="G673" s="18"/>
      <c r="H673" s="15"/>
      <c r="I673" s="18"/>
      <c r="J673" s="22"/>
      <c r="K673" s="108"/>
      <c r="L673" s="26"/>
      <c r="M673" s="26"/>
    </row>
    <row r="674">
      <c r="A674" s="12"/>
      <c r="B674" s="13"/>
      <c r="C674" s="14"/>
      <c r="D674" s="14"/>
      <c r="E674" s="15"/>
      <c r="F674" s="16"/>
      <c r="G674" s="18"/>
      <c r="H674" s="15"/>
      <c r="I674" s="18"/>
      <c r="J674" s="22"/>
      <c r="K674" s="108"/>
      <c r="L674" s="26"/>
      <c r="M674" s="26"/>
    </row>
    <row r="675">
      <c r="A675" s="12"/>
      <c r="B675" s="13"/>
      <c r="C675" s="14"/>
      <c r="D675" s="14"/>
      <c r="E675" s="15"/>
      <c r="F675" s="16"/>
      <c r="G675" s="18"/>
      <c r="H675" s="15"/>
      <c r="I675" s="18"/>
      <c r="J675" s="22"/>
      <c r="K675" s="108"/>
      <c r="L675" s="26"/>
      <c r="M675" s="26"/>
    </row>
    <row r="676">
      <c r="A676" s="12"/>
      <c r="B676" s="13"/>
      <c r="C676" s="14"/>
      <c r="D676" s="14"/>
      <c r="E676" s="15"/>
      <c r="F676" s="16"/>
      <c r="G676" s="18"/>
      <c r="H676" s="15"/>
      <c r="I676" s="18"/>
      <c r="J676" s="22"/>
      <c r="K676" s="108"/>
      <c r="L676" s="26"/>
      <c r="M676" s="26"/>
    </row>
    <row r="677">
      <c r="A677" s="12"/>
      <c r="B677" s="13"/>
      <c r="C677" s="14"/>
      <c r="D677" s="14"/>
      <c r="E677" s="15"/>
      <c r="F677" s="16"/>
      <c r="G677" s="18"/>
      <c r="H677" s="15"/>
      <c r="I677" s="18"/>
      <c r="J677" s="22"/>
      <c r="K677" s="108"/>
      <c r="L677" s="26"/>
      <c r="M677" s="26"/>
    </row>
    <row r="678">
      <c r="A678" s="12"/>
      <c r="B678" s="13"/>
      <c r="C678" s="14"/>
      <c r="D678" s="14"/>
      <c r="E678" s="15"/>
      <c r="F678" s="16"/>
      <c r="G678" s="18"/>
      <c r="H678" s="15"/>
      <c r="I678" s="18"/>
      <c r="J678" s="22"/>
      <c r="K678" s="108"/>
      <c r="L678" s="26"/>
      <c r="M678" s="26"/>
    </row>
    <row r="679">
      <c r="A679" s="12"/>
      <c r="B679" s="13"/>
      <c r="C679" s="14"/>
      <c r="D679" s="14"/>
      <c r="E679" s="15"/>
      <c r="F679" s="16"/>
      <c r="G679" s="18"/>
      <c r="H679" s="15"/>
      <c r="I679" s="18"/>
      <c r="J679" s="22"/>
      <c r="K679" s="108"/>
      <c r="L679" s="26"/>
      <c r="M679" s="26"/>
    </row>
    <row r="680">
      <c r="A680" s="12"/>
      <c r="B680" s="13"/>
      <c r="C680" s="14"/>
      <c r="D680" s="14"/>
      <c r="E680" s="15"/>
      <c r="F680" s="16"/>
      <c r="G680" s="18"/>
      <c r="H680" s="15"/>
      <c r="I680" s="18"/>
      <c r="J680" s="22"/>
      <c r="K680" s="108"/>
      <c r="L680" s="26"/>
      <c r="M680" s="26"/>
    </row>
    <row r="681">
      <c r="A681" s="12"/>
      <c r="B681" s="13"/>
      <c r="C681" s="14"/>
      <c r="D681" s="14"/>
      <c r="E681" s="15"/>
      <c r="F681" s="16"/>
      <c r="G681" s="18"/>
      <c r="H681" s="15"/>
      <c r="I681" s="18"/>
      <c r="J681" s="22"/>
      <c r="K681" s="108"/>
      <c r="L681" s="26"/>
      <c r="M681" s="26"/>
    </row>
    <row r="682">
      <c r="A682" s="12"/>
      <c r="B682" s="13"/>
      <c r="C682" s="14"/>
      <c r="D682" s="14"/>
      <c r="E682" s="15"/>
      <c r="F682" s="16"/>
      <c r="G682" s="18"/>
      <c r="H682" s="15"/>
      <c r="I682" s="18"/>
      <c r="J682" s="22"/>
      <c r="K682" s="108"/>
      <c r="L682" s="26"/>
      <c r="M682" s="26"/>
    </row>
    <row r="683">
      <c r="A683" s="12"/>
      <c r="B683" s="13"/>
      <c r="C683" s="14"/>
      <c r="D683" s="14"/>
      <c r="E683" s="15"/>
      <c r="F683" s="16"/>
      <c r="G683" s="18"/>
      <c r="H683" s="15"/>
      <c r="I683" s="18"/>
      <c r="J683" s="22"/>
      <c r="K683" s="108"/>
      <c r="L683" s="26"/>
      <c r="M683" s="26"/>
    </row>
    <row r="684">
      <c r="A684" s="12"/>
      <c r="B684" s="13"/>
      <c r="C684" s="14"/>
      <c r="D684" s="14"/>
      <c r="E684" s="15"/>
      <c r="F684" s="16"/>
      <c r="G684" s="18"/>
      <c r="H684" s="15"/>
      <c r="I684" s="18"/>
      <c r="J684" s="22"/>
      <c r="K684" s="108"/>
      <c r="L684" s="26"/>
      <c r="M684" s="26"/>
    </row>
    <row r="685">
      <c r="A685" s="12"/>
      <c r="B685" s="13"/>
      <c r="C685" s="14"/>
      <c r="D685" s="14"/>
      <c r="E685" s="15"/>
      <c r="F685" s="16"/>
      <c r="G685" s="18"/>
      <c r="H685" s="15"/>
      <c r="I685" s="18"/>
      <c r="J685" s="22"/>
      <c r="K685" s="108"/>
      <c r="L685" s="26"/>
      <c r="M685" s="26"/>
    </row>
    <row r="686">
      <c r="A686" s="12"/>
      <c r="B686" s="13"/>
      <c r="C686" s="14"/>
      <c r="D686" s="14"/>
      <c r="E686" s="15"/>
      <c r="F686" s="16"/>
      <c r="G686" s="18"/>
      <c r="H686" s="15"/>
      <c r="I686" s="18"/>
      <c r="J686" s="22"/>
      <c r="K686" s="108"/>
      <c r="L686" s="26"/>
      <c r="M686" s="26"/>
    </row>
    <row r="687">
      <c r="A687" s="12"/>
      <c r="B687" s="13"/>
      <c r="C687" s="14"/>
      <c r="D687" s="14"/>
      <c r="E687" s="15"/>
      <c r="F687" s="16"/>
      <c r="G687" s="18"/>
      <c r="H687" s="15"/>
      <c r="I687" s="18"/>
      <c r="J687" s="22"/>
      <c r="K687" s="108"/>
      <c r="L687" s="26"/>
      <c r="M687" s="26"/>
    </row>
    <row r="688">
      <c r="A688" s="12"/>
      <c r="B688" s="13"/>
      <c r="C688" s="14"/>
      <c r="D688" s="14"/>
      <c r="E688" s="15"/>
      <c r="F688" s="16"/>
      <c r="G688" s="18"/>
      <c r="H688" s="15"/>
      <c r="I688" s="18"/>
      <c r="J688" s="22"/>
      <c r="K688" s="108"/>
      <c r="L688" s="26"/>
      <c r="M688" s="26"/>
    </row>
    <row r="689">
      <c r="A689" s="12"/>
      <c r="B689" s="13"/>
      <c r="C689" s="14"/>
      <c r="D689" s="14"/>
      <c r="E689" s="15"/>
      <c r="F689" s="16"/>
      <c r="G689" s="18"/>
      <c r="H689" s="15"/>
      <c r="I689" s="18"/>
      <c r="J689" s="22"/>
      <c r="K689" s="108"/>
      <c r="L689" s="26"/>
      <c r="M689" s="26"/>
    </row>
    <row r="690">
      <c r="A690" s="12"/>
      <c r="B690" s="13"/>
      <c r="C690" s="14"/>
      <c r="D690" s="14"/>
      <c r="E690" s="15"/>
      <c r="F690" s="16"/>
      <c r="G690" s="18"/>
      <c r="H690" s="15"/>
      <c r="I690" s="18"/>
      <c r="J690" s="22"/>
      <c r="K690" s="108"/>
      <c r="L690" s="26"/>
      <c r="M690" s="26"/>
    </row>
    <row r="691">
      <c r="A691" s="12"/>
      <c r="B691" s="13"/>
      <c r="C691" s="14"/>
      <c r="D691" s="14"/>
      <c r="E691" s="15"/>
      <c r="F691" s="16"/>
      <c r="G691" s="18"/>
      <c r="H691" s="15"/>
      <c r="I691" s="18"/>
      <c r="J691" s="22"/>
      <c r="K691" s="108"/>
      <c r="L691" s="26"/>
      <c r="M691" s="26"/>
    </row>
    <row r="692">
      <c r="A692" s="12"/>
      <c r="B692" s="13"/>
      <c r="C692" s="14"/>
      <c r="D692" s="14"/>
      <c r="E692" s="15"/>
      <c r="F692" s="16"/>
      <c r="G692" s="18"/>
      <c r="H692" s="15"/>
      <c r="I692" s="18"/>
      <c r="J692" s="22"/>
      <c r="K692" s="108"/>
      <c r="L692" s="26"/>
      <c r="M692" s="26"/>
    </row>
    <row r="693">
      <c r="A693" s="12"/>
      <c r="B693" s="13"/>
      <c r="C693" s="14"/>
      <c r="D693" s="14"/>
      <c r="E693" s="15"/>
      <c r="F693" s="16"/>
      <c r="G693" s="18"/>
      <c r="H693" s="15"/>
      <c r="I693" s="18"/>
      <c r="J693" s="22"/>
      <c r="K693" s="108"/>
      <c r="L693" s="26"/>
      <c r="M693" s="26"/>
    </row>
    <row r="694">
      <c r="A694" s="12"/>
      <c r="B694" s="13"/>
      <c r="C694" s="14"/>
      <c r="D694" s="14"/>
      <c r="E694" s="15"/>
      <c r="F694" s="16"/>
      <c r="G694" s="18"/>
      <c r="H694" s="15"/>
      <c r="I694" s="18"/>
      <c r="J694" s="22"/>
      <c r="K694" s="108"/>
      <c r="L694" s="26"/>
      <c r="M694" s="26"/>
    </row>
    <row r="695">
      <c r="A695" s="12"/>
      <c r="B695" s="13"/>
      <c r="C695" s="14"/>
      <c r="D695" s="14"/>
      <c r="E695" s="15"/>
      <c r="F695" s="16"/>
      <c r="G695" s="18"/>
      <c r="H695" s="15"/>
      <c r="I695" s="18"/>
      <c r="J695" s="22"/>
      <c r="K695" s="108"/>
      <c r="L695" s="26"/>
      <c r="M695" s="26"/>
    </row>
    <row r="696">
      <c r="A696" s="12"/>
      <c r="B696" s="13"/>
      <c r="C696" s="14"/>
      <c r="D696" s="14"/>
      <c r="E696" s="15"/>
      <c r="F696" s="16"/>
      <c r="G696" s="18"/>
      <c r="H696" s="15"/>
      <c r="I696" s="18"/>
      <c r="J696" s="22"/>
      <c r="K696" s="108"/>
      <c r="L696" s="26"/>
      <c r="M696" s="26"/>
    </row>
    <row r="697">
      <c r="A697" s="12"/>
      <c r="B697" s="13"/>
      <c r="C697" s="14"/>
      <c r="D697" s="14"/>
      <c r="E697" s="15"/>
      <c r="F697" s="16"/>
      <c r="G697" s="18"/>
      <c r="H697" s="15"/>
      <c r="I697" s="18"/>
      <c r="J697" s="22"/>
      <c r="K697" s="108"/>
      <c r="L697" s="26"/>
      <c r="M697" s="26"/>
    </row>
    <row r="698">
      <c r="A698" s="12"/>
      <c r="B698" s="13"/>
      <c r="C698" s="14"/>
      <c r="D698" s="14"/>
      <c r="E698" s="15"/>
      <c r="F698" s="16"/>
      <c r="G698" s="18"/>
      <c r="H698" s="15"/>
      <c r="I698" s="18"/>
      <c r="J698" s="22"/>
      <c r="K698" s="108"/>
      <c r="L698" s="26"/>
      <c r="M698" s="26"/>
    </row>
    <row r="699">
      <c r="A699" s="12"/>
      <c r="B699" s="13"/>
      <c r="C699" s="14"/>
      <c r="D699" s="14"/>
      <c r="E699" s="15"/>
      <c r="F699" s="16"/>
      <c r="G699" s="18"/>
      <c r="H699" s="15"/>
      <c r="I699" s="18"/>
      <c r="J699" s="22"/>
      <c r="K699" s="108"/>
      <c r="L699" s="26"/>
      <c r="M699" s="26"/>
    </row>
    <row r="700">
      <c r="A700" s="12"/>
      <c r="B700" s="13"/>
      <c r="C700" s="14"/>
      <c r="D700" s="14"/>
      <c r="E700" s="15"/>
      <c r="F700" s="16"/>
      <c r="G700" s="18"/>
      <c r="H700" s="15"/>
      <c r="I700" s="18"/>
      <c r="J700" s="22"/>
      <c r="K700" s="108"/>
      <c r="L700" s="26"/>
      <c r="M700" s="26"/>
    </row>
    <row r="701">
      <c r="A701" s="12"/>
      <c r="B701" s="13"/>
      <c r="C701" s="14"/>
      <c r="D701" s="14"/>
      <c r="E701" s="15"/>
      <c r="F701" s="16"/>
      <c r="G701" s="18"/>
      <c r="H701" s="15"/>
      <c r="I701" s="18"/>
      <c r="J701" s="22"/>
      <c r="K701" s="108"/>
      <c r="L701" s="26"/>
      <c r="M701" s="26"/>
    </row>
    <row r="702">
      <c r="A702" s="12"/>
      <c r="B702" s="13"/>
      <c r="C702" s="14"/>
      <c r="D702" s="14"/>
      <c r="E702" s="15"/>
      <c r="F702" s="16"/>
      <c r="G702" s="18"/>
      <c r="H702" s="15"/>
      <c r="I702" s="18"/>
      <c r="J702" s="22"/>
      <c r="K702" s="108"/>
      <c r="L702" s="26"/>
      <c r="M702" s="26"/>
    </row>
    <row r="703">
      <c r="A703" s="12"/>
      <c r="B703" s="13"/>
      <c r="C703" s="14"/>
      <c r="D703" s="14"/>
      <c r="E703" s="15"/>
      <c r="F703" s="16"/>
      <c r="G703" s="18"/>
      <c r="H703" s="15"/>
      <c r="I703" s="18"/>
      <c r="J703" s="22"/>
      <c r="K703" s="108"/>
      <c r="L703" s="26"/>
      <c r="M703" s="26"/>
    </row>
    <row r="704">
      <c r="A704" s="12"/>
      <c r="B704" s="13"/>
      <c r="C704" s="14"/>
      <c r="D704" s="14"/>
      <c r="E704" s="15"/>
      <c r="F704" s="16"/>
      <c r="G704" s="18"/>
      <c r="H704" s="15"/>
      <c r="I704" s="18"/>
      <c r="J704" s="22"/>
      <c r="K704" s="108"/>
      <c r="L704" s="26"/>
      <c r="M704" s="26"/>
    </row>
    <row r="705">
      <c r="A705" s="12"/>
      <c r="B705" s="13"/>
      <c r="C705" s="14"/>
      <c r="D705" s="14"/>
      <c r="E705" s="15"/>
      <c r="F705" s="16"/>
      <c r="G705" s="18"/>
      <c r="H705" s="15"/>
      <c r="I705" s="18"/>
      <c r="J705" s="22"/>
      <c r="K705" s="108"/>
      <c r="L705" s="26"/>
      <c r="M705" s="26"/>
    </row>
    <row r="706">
      <c r="A706" s="12"/>
      <c r="B706" s="13"/>
      <c r="C706" s="14"/>
      <c r="D706" s="14"/>
      <c r="E706" s="15"/>
      <c r="F706" s="16"/>
      <c r="G706" s="18"/>
      <c r="H706" s="15"/>
      <c r="I706" s="18"/>
      <c r="J706" s="22"/>
      <c r="K706" s="108"/>
      <c r="L706" s="26"/>
      <c r="M706" s="26"/>
    </row>
    <row r="707">
      <c r="A707" s="12"/>
      <c r="B707" s="13"/>
      <c r="C707" s="14"/>
      <c r="D707" s="14"/>
      <c r="E707" s="15"/>
      <c r="F707" s="16"/>
      <c r="G707" s="18"/>
      <c r="H707" s="15"/>
      <c r="I707" s="18"/>
      <c r="J707" s="22"/>
      <c r="K707" s="108"/>
      <c r="L707" s="26"/>
      <c r="M707" s="26"/>
    </row>
    <row r="708">
      <c r="A708" s="12"/>
      <c r="B708" s="13"/>
      <c r="C708" s="14"/>
      <c r="D708" s="14"/>
      <c r="E708" s="15"/>
      <c r="F708" s="16"/>
      <c r="G708" s="18"/>
      <c r="H708" s="15"/>
      <c r="I708" s="18"/>
      <c r="J708" s="22"/>
      <c r="K708" s="108"/>
      <c r="L708" s="26"/>
      <c r="M708" s="26"/>
    </row>
    <row r="709">
      <c r="A709" s="12"/>
      <c r="B709" s="13"/>
      <c r="C709" s="14"/>
      <c r="D709" s="14"/>
      <c r="E709" s="15"/>
      <c r="F709" s="16"/>
      <c r="G709" s="18"/>
      <c r="H709" s="15"/>
      <c r="I709" s="18"/>
      <c r="J709" s="22"/>
      <c r="K709" s="108"/>
      <c r="L709" s="26"/>
      <c r="M709" s="26"/>
    </row>
    <row r="710">
      <c r="A710" s="12"/>
      <c r="B710" s="13"/>
      <c r="C710" s="14"/>
      <c r="D710" s="14"/>
      <c r="E710" s="15"/>
      <c r="F710" s="16"/>
      <c r="G710" s="18"/>
      <c r="H710" s="15"/>
      <c r="I710" s="18"/>
      <c r="J710" s="22"/>
      <c r="K710" s="108"/>
      <c r="L710" s="26"/>
      <c r="M710" s="26"/>
    </row>
    <row r="711">
      <c r="A711" s="12"/>
      <c r="B711" s="13"/>
      <c r="C711" s="14"/>
      <c r="D711" s="14"/>
      <c r="E711" s="15"/>
      <c r="F711" s="16"/>
      <c r="G711" s="18"/>
      <c r="H711" s="15"/>
      <c r="I711" s="18"/>
      <c r="J711" s="22"/>
      <c r="K711" s="108"/>
      <c r="L711" s="26"/>
      <c r="M711" s="26"/>
    </row>
    <row r="712">
      <c r="A712" s="12"/>
      <c r="B712" s="13"/>
      <c r="C712" s="14"/>
      <c r="D712" s="14"/>
      <c r="E712" s="15"/>
      <c r="F712" s="16"/>
      <c r="G712" s="18"/>
      <c r="H712" s="15"/>
      <c r="I712" s="18"/>
      <c r="J712" s="22"/>
      <c r="K712" s="108"/>
      <c r="L712" s="26"/>
      <c r="M712" s="26"/>
    </row>
    <row r="713">
      <c r="A713" s="12"/>
      <c r="B713" s="13"/>
      <c r="C713" s="14"/>
      <c r="D713" s="14"/>
      <c r="E713" s="15"/>
      <c r="F713" s="16"/>
      <c r="G713" s="18"/>
      <c r="H713" s="15"/>
      <c r="I713" s="18"/>
      <c r="J713" s="22"/>
      <c r="K713" s="108"/>
      <c r="L713" s="26"/>
      <c r="M713" s="26"/>
    </row>
    <row r="714">
      <c r="A714" s="12"/>
      <c r="B714" s="13"/>
      <c r="C714" s="14"/>
      <c r="D714" s="14"/>
      <c r="E714" s="15"/>
      <c r="F714" s="16"/>
      <c r="G714" s="18"/>
      <c r="H714" s="15"/>
      <c r="I714" s="18"/>
      <c r="J714" s="22"/>
      <c r="K714" s="108"/>
      <c r="L714" s="26"/>
      <c r="M714" s="26"/>
    </row>
    <row r="715">
      <c r="A715" s="12"/>
      <c r="B715" s="13"/>
      <c r="C715" s="14"/>
      <c r="D715" s="14"/>
      <c r="E715" s="15"/>
      <c r="F715" s="16"/>
      <c r="G715" s="18"/>
      <c r="H715" s="15"/>
      <c r="I715" s="18"/>
      <c r="J715" s="22"/>
      <c r="K715" s="108"/>
      <c r="L715" s="26"/>
      <c r="M715" s="26"/>
    </row>
    <row r="716">
      <c r="A716" s="12"/>
      <c r="B716" s="13"/>
      <c r="C716" s="14"/>
      <c r="D716" s="14"/>
      <c r="E716" s="15"/>
      <c r="F716" s="16"/>
      <c r="G716" s="18"/>
      <c r="H716" s="15"/>
      <c r="I716" s="18"/>
      <c r="J716" s="22"/>
      <c r="K716" s="108"/>
      <c r="L716" s="26"/>
      <c r="M716" s="26"/>
    </row>
    <row r="717">
      <c r="A717" s="12"/>
      <c r="B717" s="13"/>
      <c r="C717" s="14"/>
      <c r="D717" s="14"/>
      <c r="E717" s="15"/>
      <c r="F717" s="16"/>
      <c r="G717" s="18"/>
      <c r="H717" s="15"/>
      <c r="I717" s="18"/>
      <c r="J717" s="22"/>
      <c r="K717" s="108"/>
      <c r="L717" s="26"/>
      <c r="M717" s="26"/>
    </row>
    <row r="718">
      <c r="A718" s="12"/>
      <c r="B718" s="13"/>
      <c r="C718" s="14"/>
      <c r="D718" s="14"/>
      <c r="E718" s="15"/>
      <c r="F718" s="16"/>
      <c r="G718" s="18"/>
      <c r="H718" s="15"/>
      <c r="I718" s="18"/>
      <c r="J718" s="22"/>
      <c r="K718" s="108"/>
      <c r="L718" s="26"/>
      <c r="M718" s="26"/>
    </row>
    <row r="719">
      <c r="A719" s="12"/>
      <c r="B719" s="13"/>
      <c r="C719" s="14"/>
      <c r="D719" s="14"/>
      <c r="E719" s="15"/>
      <c r="F719" s="16"/>
      <c r="G719" s="18"/>
      <c r="H719" s="15"/>
      <c r="I719" s="18"/>
      <c r="J719" s="22"/>
      <c r="K719" s="108"/>
      <c r="L719" s="26"/>
      <c r="M719" s="26"/>
    </row>
    <row r="720">
      <c r="A720" s="12"/>
      <c r="B720" s="13"/>
      <c r="C720" s="14"/>
      <c r="D720" s="14"/>
      <c r="E720" s="15"/>
      <c r="F720" s="16"/>
      <c r="G720" s="18"/>
      <c r="H720" s="15"/>
      <c r="I720" s="18"/>
      <c r="J720" s="22"/>
      <c r="K720" s="108"/>
      <c r="L720" s="26"/>
      <c r="M720" s="26"/>
    </row>
    <row r="721">
      <c r="A721" s="12"/>
      <c r="B721" s="13"/>
      <c r="C721" s="14"/>
      <c r="D721" s="14"/>
      <c r="E721" s="15"/>
      <c r="F721" s="16"/>
      <c r="G721" s="18"/>
      <c r="H721" s="15"/>
      <c r="I721" s="18"/>
      <c r="J721" s="22"/>
      <c r="K721" s="108"/>
      <c r="L721" s="26"/>
      <c r="M721" s="26"/>
    </row>
    <row r="722">
      <c r="A722" s="12"/>
      <c r="B722" s="13"/>
      <c r="C722" s="14"/>
      <c r="D722" s="14"/>
      <c r="E722" s="15"/>
      <c r="F722" s="16"/>
      <c r="G722" s="18"/>
      <c r="H722" s="15"/>
      <c r="I722" s="18"/>
      <c r="J722" s="22"/>
      <c r="K722" s="108"/>
      <c r="L722" s="26"/>
      <c r="M722" s="26"/>
    </row>
    <row r="723">
      <c r="A723" s="12"/>
      <c r="B723" s="13"/>
      <c r="C723" s="14"/>
      <c r="D723" s="14"/>
      <c r="E723" s="15"/>
      <c r="F723" s="16"/>
      <c r="G723" s="18"/>
      <c r="H723" s="15"/>
      <c r="I723" s="18"/>
      <c r="J723" s="22"/>
      <c r="K723" s="108"/>
      <c r="L723" s="26"/>
      <c r="M723" s="26"/>
    </row>
    <row r="724">
      <c r="A724" s="12"/>
      <c r="B724" s="13"/>
      <c r="C724" s="14"/>
      <c r="D724" s="14"/>
      <c r="E724" s="15"/>
      <c r="F724" s="16"/>
      <c r="G724" s="18"/>
      <c r="H724" s="15"/>
      <c r="I724" s="18"/>
      <c r="J724" s="22"/>
      <c r="K724" s="108"/>
      <c r="L724" s="26"/>
      <c r="M724" s="26"/>
    </row>
    <row r="725">
      <c r="A725" s="12"/>
      <c r="B725" s="13"/>
      <c r="C725" s="14"/>
      <c r="D725" s="14"/>
      <c r="E725" s="15"/>
      <c r="F725" s="16"/>
      <c r="G725" s="18"/>
      <c r="H725" s="15"/>
      <c r="I725" s="18"/>
      <c r="J725" s="22"/>
      <c r="K725" s="108"/>
      <c r="L725" s="26"/>
      <c r="M725" s="26"/>
    </row>
    <row r="726">
      <c r="A726" s="12"/>
      <c r="B726" s="13"/>
      <c r="C726" s="14"/>
      <c r="D726" s="14"/>
      <c r="E726" s="15"/>
      <c r="F726" s="16"/>
      <c r="G726" s="18"/>
      <c r="H726" s="15"/>
      <c r="I726" s="18"/>
      <c r="J726" s="22"/>
      <c r="K726" s="108"/>
      <c r="L726" s="26"/>
      <c r="M726" s="26"/>
    </row>
    <row r="727">
      <c r="A727" s="12"/>
      <c r="B727" s="13"/>
      <c r="C727" s="14"/>
      <c r="D727" s="14"/>
      <c r="E727" s="15"/>
      <c r="F727" s="16"/>
      <c r="G727" s="18"/>
      <c r="H727" s="15"/>
      <c r="I727" s="18"/>
      <c r="J727" s="22"/>
      <c r="K727" s="108"/>
      <c r="L727" s="26"/>
      <c r="M727" s="26"/>
    </row>
    <row r="728">
      <c r="A728" s="12"/>
      <c r="B728" s="13"/>
      <c r="C728" s="14"/>
      <c r="D728" s="14"/>
      <c r="E728" s="15"/>
      <c r="F728" s="16"/>
      <c r="G728" s="18"/>
      <c r="H728" s="15"/>
      <c r="I728" s="18"/>
      <c r="J728" s="22"/>
      <c r="K728" s="108"/>
      <c r="L728" s="26"/>
      <c r="M728" s="26"/>
    </row>
    <row r="729">
      <c r="A729" s="12"/>
      <c r="B729" s="13"/>
      <c r="C729" s="14"/>
      <c r="D729" s="14"/>
      <c r="E729" s="15"/>
      <c r="F729" s="16"/>
      <c r="G729" s="18"/>
      <c r="H729" s="15"/>
      <c r="I729" s="18"/>
      <c r="J729" s="22"/>
      <c r="K729" s="108"/>
      <c r="L729" s="26"/>
      <c r="M729" s="26"/>
    </row>
    <row r="730">
      <c r="A730" s="12"/>
      <c r="B730" s="13"/>
      <c r="C730" s="14"/>
      <c r="D730" s="14"/>
      <c r="E730" s="15"/>
      <c r="F730" s="16"/>
      <c r="G730" s="18"/>
      <c r="H730" s="15"/>
      <c r="I730" s="18"/>
      <c r="J730" s="22"/>
      <c r="K730" s="108"/>
      <c r="L730" s="26"/>
      <c r="M730" s="26"/>
    </row>
    <row r="731">
      <c r="A731" s="12"/>
      <c r="B731" s="13"/>
      <c r="C731" s="14"/>
      <c r="D731" s="14"/>
      <c r="E731" s="15"/>
      <c r="F731" s="16"/>
      <c r="G731" s="18"/>
      <c r="H731" s="15"/>
      <c r="I731" s="18"/>
      <c r="J731" s="22"/>
      <c r="K731" s="108"/>
      <c r="L731" s="26"/>
      <c r="M731" s="26"/>
    </row>
    <row r="732">
      <c r="A732" s="12"/>
      <c r="B732" s="13"/>
      <c r="C732" s="14"/>
      <c r="D732" s="14"/>
      <c r="E732" s="15"/>
      <c r="F732" s="16"/>
      <c r="G732" s="18"/>
      <c r="H732" s="15"/>
      <c r="I732" s="18"/>
      <c r="J732" s="22"/>
      <c r="K732" s="108"/>
      <c r="L732" s="26"/>
      <c r="M732" s="26"/>
    </row>
    <row r="733">
      <c r="A733" s="12"/>
      <c r="B733" s="13"/>
      <c r="C733" s="14"/>
      <c r="D733" s="14"/>
      <c r="E733" s="15"/>
      <c r="F733" s="16"/>
      <c r="G733" s="18"/>
      <c r="H733" s="15"/>
      <c r="I733" s="18"/>
      <c r="J733" s="22"/>
      <c r="K733" s="108"/>
      <c r="L733" s="26"/>
      <c r="M733" s="26"/>
    </row>
    <row r="734">
      <c r="A734" s="12"/>
      <c r="B734" s="13"/>
      <c r="C734" s="14"/>
      <c r="D734" s="14"/>
      <c r="E734" s="15"/>
      <c r="F734" s="16"/>
      <c r="G734" s="18"/>
      <c r="H734" s="15"/>
      <c r="I734" s="18"/>
      <c r="J734" s="22"/>
      <c r="K734" s="108"/>
      <c r="L734" s="26"/>
      <c r="M734" s="26"/>
    </row>
    <row r="735">
      <c r="A735" s="12"/>
      <c r="B735" s="13"/>
      <c r="C735" s="14"/>
      <c r="D735" s="14"/>
      <c r="E735" s="15"/>
      <c r="F735" s="16"/>
      <c r="G735" s="18"/>
      <c r="H735" s="15"/>
      <c r="I735" s="18"/>
      <c r="J735" s="22"/>
      <c r="K735" s="108"/>
      <c r="L735" s="26"/>
      <c r="M735" s="26"/>
    </row>
    <row r="736">
      <c r="A736" s="12"/>
      <c r="B736" s="13"/>
      <c r="C736" s="14"/>
      <c r="D736" s="14"/>
      <c r="E736" s="15"/>
      <c r="F736" s="16"/>
      <c r="G736" s="18"/>
      <c r="H736" s="15"/>
      <c r="I736" s="18"/>
      <c r="J736" s="22"/>
      <c r="K736" s="108"/>
      <c r="L736" s="26"/>
      <c r="M736" s="26"/>
    </row>
    <row r="737">
      <c r="A737" s="12"/>
      <c r="B737" s="13"/>
      <c r="C737" s="14"/>
      <c r="D737" s="14"/>
      <c r="E737" s="15"/>
      <c r="F737" s="16"/>
      <c r="G737" s="18"/>
      <c r="H737" s="15"/>
      <c r="I737" s="18"/>
      <c r="J737" s="22"/>
      <c r="K737" s="108"/>
      <c r="L737" s="26"/>
      <c r="M737" s="26"/>
    </row>
    <row r="738">
      <c r="A738" s="12"/>
      <c r="B738" s="13"/>
      <c r="C738" s="14"/>
      <c r="D738" s="14"/>
      <c r="E738" s="15"/>
      <c r="F738" s="16"/>
      <c r="G738" s="18"/>
      <c r="H738" s="15"/>
      <c r="I738" s="18"/>
      <c r="J738" s="22"/>
      <c r="K738" s="108"/>
      <c r="L738" s="26"/>
      <c r="M738" s="26"/>
    </row>
    <row r="739">
      <c r="A739" s="12"/>
      <c r="B739" s="13"/>
      <c r="C739" s="14"/>
      <c r="D739" s="14"/>
      <c r="E739" s="15"/>
      <c r="F739" s="16"/>
      <c r="G739" s="18"/>
      <c r="H739" s="15"/>
      <c r="I739" s="18"/>
      <c r="J739" s="22"/>
      <c r="K739" s="108"/>
      <c r="L739" s="26"/>
      <c r="M739" s="26"/>
    </row>
    <row r="740">
      <c r="A740" s="12"/>
      <c r="B740" s="13"/>
      <c r="C740" s="14"/>
      <c r="D740" s="14"/>
      <c r="E740" s="15"/>
      <c r="F740" s="16"/>
      <c r="G740" s="18"/>
      <c r="H740" s="15"/>
      <c r="I740" s="18"/>
      <c r="J740" s="22"/>
      <c r="K740" s="108"/>
      <c r="L740" s="26"/>
      <c r="M740" s="26"/>
    </row>
    <row r="741">
      <c r="A741" s="12"/>
      <c r="B741" s="13"/>
      <c r="C741" s="14"/>
      <c r="D741" s="14"/>
      <c r="E741" s="15"/>
      <c r="F741" s="16"/>
      <c r="G741" s="18"/>
      <c r="H741" s="15"/>
      <c r="I741" s="18"/>
      <c r="J741" s="22"/>
      <c r="K741" s="108"/>
      <c r="L741" s="26"/>
      <c r="M741" s="26"/>
    </row>
    <row r="742">
      <c r="A742" s="12"/>
      <c r="B742" s="13"/>
      <c r="C742" s="14"/>
      <c r="D742" s="14"/>
      <c r="E742" s="15"/>
      <c r="F742" s="16"/>
      <c r="G742" s="18"/>
      <c r="H742" s="15"/>
      <c r="I742" s="18"/>
      <c r="J742" s="22"/>
      <c r="K742" s="108"/>
      <c r="L742" s="26"/>
      <c r="M742" s="26"/>
    </row>
    <row r="743">
      <c r="A743" s="12"/>
      <c r="B743" s="13"/>
      <c r="C743" s="14"/>
      <c r="D743" s="14"/>
      <c r="E743" s="15"/>
      <c r="F743" s="16"/>
      <c r="G743" s="18"/>
      <c r="H743" s="15"/>
      <c r="I743" s="18"/>
      <c r="J743" s="22"/>
      <c r="K743" s="108"/>
      <c r="L743" s="26"/>
      <c r="M743" s="26"/>
    </row>
    <row r="744">
      <c r="A744" s="12"/>
      <c r="B744" s="13"/>
      <c r="C744" s="14"/>
      <c r="D744" s="14"/>
      <c r="E744" s="15"/>
      <c r="F744" s="16"/>
      <c r="G744" s="18"/>
      <c r="H744" s="15"/>
      <c r="I744" s="18"/>
      <c r="J744" s="22"/>
      <c r="K744" s="108"/>
      <c r="L744" s="26"/>
      <c r="M744" s="26"/>
    </row>
    <row r="745">
      <c r="A745" s="12"/>
      <c r="B745" s="13"/>
      <c r="C745" s="14"/>
      <c r="D745" s="14"/>
      <c r="E745" s="15"/>
      <c r="F745" s="16"/>
      <c r="G745" s="18"/>
      <c r="H745" s="15"/>
      <c r="I745" s="18"/>
      <c r="J745" s="22"/>
      <c r="K745" s="108"/>
      <c r="L745" s="26"/>
      <c r="M745" s="26"/>
    </row>
    <row r="746">
      <c r="A746" s="12"/>
      <c r="B746" s="13"/>
      <c r="C746" s="14"/>
      <c r="D746" s="14"/>
      <c r="E746" s="15"/>
      <c r="F746" s="16"/>
      <c r="G746" s="18"/>
      <c r="H746" s="15"/>
      <c r="I746" s="18"/>
      <c r="J746" s="22"/>
      <c r="K746" s="108"/>
      <c r="L746" s="26"/>
      <c r="M746" s="26"/>
    </row>
    <row r="747">
      <c r="A747" s="12"/>
      <c r="B747" s="13"/>
      <c r="C747" s="14"/>
      <c r="D747" s="14"/>
      <c r="E747" s="15"/>
      <c r="F747" s="16"/>
      <c r="G747" s="18"/>
      <c r="H747" s="15"/>
      <c r="I747" s="18"/>
      <c r="J747" s="22"/>
      <c r="K747" s="108"/>
      <c r="L747" s="26"/>
      <c r="M747" s="26"/>
    </row>
    <row r="748">
      <c r="A748" s="12"/>
      <c r="B748" s="13"/>
      <c r="C748" s="14"/>
      <c r="D748" s="14"/>
      <c r="E748" s="15"/>
      <c r="F748" s="16"/>
      <c r="G748" s="18"/>
      <c r="H748" s="15"/>
      <c r="I748" s="18"/>
      <c r="J748" s="22"/>
      <c r="K748" s="108"/>
      <c r="L748" s="26"/>
      <c r="M748" s="26"/>
    </row>
    <row r="749">
      <c r="A749" s="12"/>
      <c r="B749" s="13"/>
      <c r="C749" s="14"/>
      <c r="D749" s="14"/>
      <c r="E749" s="15"/>
      <c r="F749" s="16"/>
      <c r="G749" s="18"/>
      <c r="H749" s="15"/>
      <c r="I749" s="18"/>
      <c r="J749" s="22"/>
      <c r="K749" s="108"/>
      <c r="L749" s="26"/>
      <c r="M749" s="26"/>
    </row>
    <row r="750">
      <c r="A750" s="12"/>
      <c r="B750" s="13"/>
      <c r="C750" s="14"/>
      <c r="D750" s="14"/>
      <c r="E750" s="15"/>
      <c r="F750" s="16"/>
      <c r="G750" s="18"/>
      <c r="H750" s="15"/>
      <c r="I750" s="18"/>
      <c r="J750" s="22"/>
      <c r="K750" s="108"/>
      <c r="L750" s="26"/>
      <c r="M750" s="26"/>
    </row>
    <row r="751">
      <c r="A751" s="12"/>
      <c r="B751" s="13"/>
      <c r="C751" s="14"/>
      <c r="D751" s="14"/>
      <c r="E751" s="15"/>
      <c r="F751" s="16"/>
      <c r="G751" s="18"/>
      <c r="H751" s="15"/>
      <c r="I751" s="18"/>
      <c r="J751" s="22"/>
      <c r="K751" s="108"/>
      <c r="L751" s="26"/>
      <c r="M751" s="26"/>
    </row>
    <row r="752">
      <c r="A752" s="12"/>
      <c r="B752" s="13"/>
      <c r="C752" s="14"/>
      <c r="D752" s="14"/>
      <c r="E752" s="15"/>
      <c r="F752" s="16"/>
      <c r="G752" s="18"/>
      <c r="H752" s="15"/>
      <c r="I752" s="18"/>
      <c r="J752" s="22"/>
      <c r="K752" s="108"/>
      <c r="L752" s="26"/>
      <c r="M752" s="26"/>
    </row>
    <row r="753">
      <c r="A753" s="12"/>
      <c r="B753" s="13"/>
      <c r="C753" s="14"/>
      <c r="D753" s="14"/>
      <c r="E753" s="15"/>
      <c r="F753" s="16"/>
      <c r="G753" s="18"/>
      <c r="H753" s="15"/>
      <c r="I753" s="18"/>
      <c r="J753" s="22"/>
      <c r="K753" s="108"/>
      <c r="L753" s="26"/>
      <c r="M753" s="26"/>
    </row>
    <row r="754">
      <c r="A754" s="12"/>
      <c r="B754" s="13"/>
      <c r="C754" s="14"/>
      <c r="D754" s="14"/>
      <c r="E754" s="15"/>
      <c r="F754" s="16"/>
      <c r="G754" s="18"/>
      <c r="H754" s="15"/>
      <c r="I754" s="18"/>
      <c r="J754" s="22"/>
      <c r="K754" s="108"/>
      <c r="L754" s="26"/>
      <c r="M754" s="26"/>
    </row>
    <row r="755">
      <c r="A755" s="12"/>
      <c r="B755" s="13"/>
      <c r="C755" s="14"/>
      <c r="D755" s="14"/>
      <c r="E755" s="15"/>
      <c r="F755" s="16"/>
      <c r="G755" s="18"/>
      <c r="H755" s="15"/>
      <c r="I755" s="18"/>
      <c r="J755" s="22"/>
      <c r="K755" s="108"/>
      <c r="L755" s="26"/>
      <c r="M755" s="26"/>
    </row>
    <row r="756">
      <c r="A756" s="12"/>
      <c r="B756" s="13"/>
      <c r="C756" s="14"/>
      <c r="D756" s="14"/>
      <c r="E756" s="15"/>
      <c r="F756" s="16"/>
      <c r="G756" s="18"/>
      <c r="H756" s="15"/>
      <c r="I756" s="18"/>
      <c r="J756" s="22"/>
      <c r="K756" s="108"/>
      <c r="L756" s="26"/>
      <c r="M756" s="26"/>
    </row>
    <row r="757">
      <c r="A757" s="12"/>
      <c r="B757" s="13"/>
      <c r="C757" s="14"/>
      <c r="D757" s="14"/>
      <c r="E757" s="15"/>
      <c r="F757" s="16"/>
      <c r="G757" s="18"/>
      <c r="H757" s="15"/>
      <c r="I757" s="18"/>
      <c r="J757" s="22"/>
      <c r="K757" s="108"/>
      <c r="L757" s="26"/>
      <c r="M757" s="26"/>
    </row>
    <row r="758">
      <c r="A758" s="12"/>
      <c r="B758" s="13"/>
      <c r="C758" s="14"/>
      <c r="D758" s="14"/>
      <c r="E758" s="15"/>
      <c r="F758" s="16"/>
      <c r="G758" s="18"/>
      <c r="H758" s="15"/>
      <c r="I758" s="18"/>
      <c r="J758" s="22"/>
      <c r="K758" s="108"/>
      <c r="L758" s="26"/>
      <c r="M758" s="26"/>
    </row>
    <row r="759">
      <c r="A759" s="12"/>
      <c r="B759" s="13"/>
      <c r="C759" s="14"/>
      <c r="D759" s="14"/>
      <c r="E759" s="15"/>
      <c r="F759" s="16"/>
      <c r="G759" s="18"/>
      <c r="H759" s="15"/>
      <c r="I759" s="18"/>
      <c r="J759" s="22"/>
      <c r="K759" s="108"/>
      <c r="L759" s="26"/>
      <c r="M759" s="26"/>
    </row>
    <row r="760">
      <c r="A760" s="12"/>
      <c r="B760" s="13"/>
      <c r="C760" s="14"/>
      <c r="D760" s="14"/>
      <c r="E760" s="15"/>
      <c r="F760" s="16"/>
      <c r="G760" s="18"/>
      <c r="H760" s="15"/>
      <c r="I760" s="18"/>
      <c r="J760" s="22"/>
      <c r="K760" s="108"/>
      <c r="L760" s="26"/>
      <c r="M760" s="26"/>
    </row>
    <row r="761">
      <c r="A761" s="12"/>
      <c r="B761" s="13"/>
      <c r="C761" s="14"/>
      <c r="D761" s="14"/>
      <c r="E761" s="15"/>
      <c r="F761" s="16"/>
      <c r="G761" s="18"/>
      <c r="H761" s="15"/>
      <c r="I761" s="18"/>
      <c r="J761" s="22"/>
      <c r="K761" s="108"/>
      <c r="L761" s="26"/>
      <c r="M761" s="26"/>
    </row>
    <row r="762">
      <c r="A762" s="12"/>
      <c r="B762" s="13"/>
      <c r="C762" s="14"/>
      <c r="D762" s="14"/>
      <c r="E762" s="15"/>
      <c r="F762" s="16"/>
      <c r="G762" s="18"/>
      <c r="H762" s="15"/>
      <c r="I762" s="18"/>
      <c r="J762" s="22"/>
      <c r="K762" s="108"/>
      <c r="L762" s="26"/>
      <c r="M762" s="26"/>
    </row>
    <row r="763">
      <c r="A763" s="12"/>
      <c r="B763" s="13"/>
      <c r="C763" s="14"/>
      <c r="D763" s="14"/>
      <c r="E763" s="15"/>
      <c r="F763" s="16"/>
      <c r="G763" s="18"/>
      <c r="H763" s="15"/>
      <c r="I763" s="18"/>
      <c r="J763" s="22"/>
      <c r="K763" s="108"/>
      <c r="L763" s="26"/>
      <c r="M763" s="26"/>
    </row>
    <row r="764">
      <c r="A764" s="12"/>
      <c r="B764" s="13"/>
      <c r="C764" s="14"/>
      <c r="D764" s="14"/>
      <c r="E764" s="15"/>
      <c r="F764" s="16"/>
      <c r="G764" s="18"/>
      <c r="H764" s="15"/>
      <c r="I764" s="18"/>
      <c r="J764" s="22"/>
      <c r="K764" s="108"/>
      <c r="L764" s="26"/>
      <c r="M764" s="26"/>
    </row>
    <row r="765">
      <c r="A765" s="12"/>
      <c r="B765" s="13"/>
      <c r="C765" s="14"/>
      <c r="D765" s="14"/>
      <c r="E765" s="15"/>
      <c r="F765" s="16"/>
      <c r="G765" s="18"/>
      <c r="H765" s="15"/>
      <c r="I765" s="18"/>
      <c r="J765" s="22"/>
      <c r="K765" s="108"/>
      <c r="L765" s="26"/>
      <c r="M765" s="26"/>
    </row>
    <row r="766">
      <c r="A766" s="12"/>
      <c r="B766" s="13"/>
      <c r="C766" s="14"/>
      <c r="D766" s="14"/>
      <c r="E766" s="15"/>
      <c r="F766" s="16"/>
      <c r="G766" s="18"/>
      <c r="H766" s="15"/>
      <c r="I766" s="18"/>
      <c r="J766" s="22"/>
      <c r="K766" s="108"/>
      <c r="L766" s="26"/>
      <c r="M766" s="26"/>
    </row>
    <row r="767">
      <c r="A767" s="12"/>
      <c r="B767" s="13"/>
      <c r="C767" s="14"/>
      <c r="D767" s="14"/>
      <c r="E767" s="15"/>
      <c r="F767" s="16"/>
      <c r="G767" s="18"/>
      <c r="H767" s="15"/>
      <c r="I767" s="18"/>
      <c r="J767" s="22"/>
      <c r="K767" s="108"/>
      <c r="L767" s="26"/>
      <c r="M767" s="26"/>
    </row>
    <row r="768">
      <c r="A768" s="12"/>
      <c r="B768" s="13"/>
      <c r="C768" s="14"/>
      <c r="D768" s="14"/>
      <c r="E768" s="15"/>
      <c r="F768" s="16"/>
      <c r="G768" s="18"/>
      <c r="H768" s="15"/>
      <c r="I768" s="18"/>
      <c r="J768" s="22"/>
      <c r="K768" s="108"/>
      <c r="L768" s="26"/>
      <c r="M768" s="26"/>
    </row>
    <row r="769">
      <c r="A769" s="12"/>
      <c r="B769" s="13"/>
      <c r="C769" s="14"/>
      <c r="D769" s="14"/>
      <c r="E769" s="15"/>
      <c r="F769" s="16"/>
      <c r="G769" s="18"/>
      <c r="H769" s="15"/>
      <c r="I769" s="18"/>
      <c r="J769" s="22"/>
      <c r="K769" s="108"/>
      <c r="L769" s="26"/>
      <c r="M769" s="26"/>
    </row>
    <row r="770">
      <c r="A770" s="12"/>
      <c r="B770" s="13"/>
      <c r="C770" s="14"/>
      <c r="D770" s="14"/>
      <c r="E770" s="15"/>
      <c r="F770" s="16"/>
      <c r="G770" s="18"/>
      <c r="H770" s="15"/>
      <c r="I770" s="18"/>
      <c r="J770" s="22"/>
      <c r="K770" s="108"/>
      <c r="L770" s="26"/>
      <c r="M770" s="26"/>
    </row>
    <row r="771">
      <c r="A771" s="12"/>
      <c r="B771" s="13"/>
      <c r="C771" s="14"/>
      <c r="D771" s="14"/>
      <c r="E771" s="15"/>
      <c r="F771" s="16"/>
      <c r="G771" s="18"/>
      <c r="H771" s="15"/>
      <c r="I771" s="18"/>
      <c r="J771" s="22"/>
      <c r="K771" s="108"/>
      <c r="L771" s="26"/>
      <c r="M771" s="26"/>
    </row>
    <row r="772">
      <c r="A772" s="12"/>
      <c r="B772" s="13"/>
      <c r="C772" s="14"/>
      <c r="D772" s="14"/>
      <c r="E772" s="15"/>
      <c r="F772" s="16"/>
      <c r="G772" s="18"/>
      <c r="H772" s="15"/>
      <c r="I772" s="18"/>
      <c r="J772" s="22"/>
      <c r="K772" s="108"/>
      <c r="L772" s="26"/>
      <c r="M772" s="26"/>
    </row>
    <row r="773">
      <c r="A773" s="12"/>
      <c r="B773" s="13"/>
      <c r="C773" s="14"/>
      <c r="D773" s="14"/>
      <c r="E773" s="15"/>
      <c r="F773" s="16"/>
      <c r="G773" s="18"/>
      <c r="H773" s="15"/>
      <c r="I773" s="18"/>
      <c r="J773" s="22"/>
      <c r="K773" s="108"/>
      <c r="L773" s="26"/>
      <c r="M773" s="26"/>
    </row>
    <row r="774">
      <c r="A774" s="12"/>
      <c r="B774" s="13"/>
      <c r="C774" s="14"/>
      <c r="D774" s="14"/>
      <c r="E774" s="15"/>
      <c r="F774" s="16"/>
      <c r="G774" s="18"/>
      <c r="H774" s="15"/>
      <c r="I774" s="18"/>
      <c r="J774" s="22"/>
      <c r="K774" s="108"/>
      <c r="L774" s="26"/>
      <c r="M774" s="26"/>
    </row>
    <row r="775">
      <c r="A775" s="12"/>
      <c r="B775" s="13"/>
      <c r="C775" s="14"/>
      <c r="D775" s="14"/>
      <c r="E775" s="15"/>
      <c r="F775" s="16"/>
      <c r="G775" s="18"/>
      <c r="H775" s="15"/>
      <c r="I775" s="18"/>
      <c r="J775" s="22"/>
      <c r="K775" s="108"/>
      <c r="L775" s="26"/>
      <c r="M775" s="26"/>
    </row>
    <row r="776">
      <c r="A776" s="12"/>
      <c r="B776" s="13"/>
      <c r="C776" s="14"/>
      <c r="D776" s="14"/>
      <c r="E776" s="15"/>
      <c r="F776" s="16"/>
      <c r="G776" s="18"/>
      <c r="H776" s="15"/>
      <c r="I776" s="18"/>
      <c r="J776" s="22"/>
      <c r="K776" s="108"/>
      <c r="L776" s="26"/>
      <c r="M776" s="26"/>
    </row>
    <row r="777">
      <c r="A777" s="12"/>
      <c r="B777" s="13"/>
      <c r="C777" s="14"/>
      <c r="D777" s="14"/>
      <c r="E777" s="15"/>
      <c r="F777" s="16"/>
      <c r="G777" s="18"/>
      <c r="H777" s="15"/>
      <c r="I777" s="18"/>
      <c r="J777" s="22"/>
      <c r="K777" s="108"/>
      <c r="L777" s="26"/>
      <c r="M777" s="26"/>
    </row>
    <row r="778">
      <c r="A778" s="12"/>
      <c r="B778" s="13"/>
      <c r="C778" s="14"/>
      <c r="D778" s="14"/>
      <c r="E778" s="15"/>
      <c r="F778" s="16"/>
      <c r="G778" s="18"/>
      <c r="H778" s="15"/>
      <c r="I778" s="18"/>
      <c r="J778" s="22"/>
      <c r="K778" s="108"/>
      <c r="L778" s="26"/>
      <c r="M778" s="26"/>
    </row>
    <row r="779">
      <c r="A779" s="12"/>
      <c r="B779" s="13"/>
      <c r="C779" s="14"/>
      <c r="D779" s="14"/>
      <c r="E779" s="15"/>
      <c r="F779" s="16"/>
      <c r="G779" s="18"/>
      <c r="H779" s="15"/>
      <c r="I779" s="18"/>
      <c r="J779" s="22"/>
      <c r="K779" s="108"/>
      <c r="L779" s="26"/>
      <c r="M779" s="26"/>
    </row>
    <row r="780">
      <c r="A780" s="12"/>
      <c r="B780" s="13"/>
      <c r="C780" s="14"/>
      <c r="D780" s="14"/>
      <c r="E780" s="15"/>
      <c r="F780" s="16"/>
      <c r="G780" s="18"/>
      <c r="H780" s="15"/>
      <c r="I780" s="18"/>
      <c r="J780" s="22"/>
      <c r="K780" s="108"/>
      <c r="L780" s="26"/>
      <c r="M780" s="26"/>
    </row>
    <row r="781">
      <c r="A781" s="12"/>
      <c r="B781" s="13"/>
      <c r="C781" s="14"/>
      <c r="D781" s="14"/>
      <c r="E781" s="15"/>
      <c r="F781" s="16"/>
      <c r="G781" s="18"/>
      <c r="H781" s="15"/>
      <c r="I781" s="18"/>
      <c r="J781" s="22"/>
      <c r="K781" s="108"/>
      <c r="L781" s="26"/>
      <c r="M781" s="26"/>
    </row>
    <row r="782">
      <c r="A782" s="12"/>
      <c r="B782" s="13"/>
      <c r="C782" s="14"/>
      <c r="D782" s="14"/>
      <c r="E782" s="15"/>
      <c r="F782" s="16"/>
      <c r="G782" s="18"/>
      <c r="H782" s="15"/>
      <c r="I782" s="18"/>
      <c r="J782" s="22"/>
      <c r="K782" s="108"/>
      <c r="L782" s="26"/>
      <c r="M782" s="26"/>
    </row>
    <row r="783">
      <c r="A783" s="12"/>
      <c r="B783" s="13"/>
      <c r="C783" s="14"/>
      <c r="D783" s="14"/>
      <c r="E783" s="15"/>
      <c r="F783" s="16"/>
      <c r="G783" s="18"/>
      <c r="H783" s="15"/>
      <c r="I783" s="18"/>
      <c r="J783" s="22"/>
      <c r="K783" s="108"/>
      <c r="L783" s="26"/>
      <c r="M783" s="26"/>
    </row>
    <row r="784">
      <c r="A784" s="12"/>
      <c r="B784" s="13"/>
      <c r="C784" s="14"/>
      <c r="D784" s="14"/>
      <c r="E784" s="15"/>
      <c r="F784" s="16"/>
      <c r="G784" s="18"/>
      <c r="H784" s="15"/>
      <c r="I784" s="18"/>
      <c r="J784" s="22"/>
      <c r="K784" s="108"/>
      <c r="L784" s="26"/>
      <c r="M784" s="26"/>
    </row>
    <row r="785">
      <c r="A785" s="12"/>
      <c r="B785" s="13"/>
      <c r="C785" s="14"/>
      <c r="D785" s="14"/>
      <c r="E785" s="15"/>
      <c r="F785" s="16"/>
      <c r="G785" s="18"/>
      <c r="H785" s="15"/>
      <c r="I785" s="18"/>
      <c r="J785" s="22"/>
      <c r="K785" s="108"/>
      <c r="L785" s="26"/>
      <c r="M785" s="26"/>
    </row>
    <row r="786">
      <c r="A786" s="12"/>
      <c r="B786" s="13"/>
      <c r="C786" s="14"/>
      <c r="D786" s="14"/>
      <c r="E786" s="15"/>
      <c r="F786" s="16"/>
      <c r="G786" s="18"/>
      <c r="H786" s="15"/>
      <c r="I786" s="18"/>
      <c r="J786" s="22"/>
      <c r="K786" s="108"/>
      <c r="L786" s="26"/>
      <c r="M786" s="26"/>
    </row>
    <row r="787">
      <c r="A787" s="12"/>
      <c r="B787" s="13"/>
      <c r="C787" s="14"/>
      <c r="D787" s="14"/>
      <c r="E787" s="15"/>
      <c r="F787" s="16"/>
      <c r="G787" s="18"/>
      <c r="H787" s="15"/>
      <c r="I787" s="18"/>
      <c r="J787" s="22"/>
      <c r="K787" s="108"/>
      <c r="L787" s="26"/>
      <c r="M787" s="26"/>
    </row>
    <row r="788">
      <c r="A788" s="12"/>
      <c r="B788" s="13"/>
      <c r="C788" s="14"/>
      <c r="D788" s="14"/>
      <c r="E788" s="15"/>
      <c r="F788" s="16"/>
      <c r="G788" s="18"/>
      <c r="H788" s="15"/>
      <c r="I788" s="18"/>
      <c r="J788" s="22"/>
      <c r="K788" s="108"/>
      <c r="L788" s="26"/>
      <c r="M788" s="26"/>
    </row>
    <row r="789">
      <c r="A789" s="12"/>
      <c r="B789" s="13"/>
      <c r="C789" s="14"/>
      <c r="D789" s="14"/>
      <c r="E789" s="15"/>
      <c r="F789" s="16"/>
      <c r="G789" s="18"/>
      <c r="H789" s="15"/>
      <c r="I789" s="18"/>
      <c r="J789" s="22"/>
      <c r="K789" s="108"/>
      <c r="L789" s="26"/>
      <c r="M789" s="26"/>
    </row>
    <row r="790">
      <c r="A790" s="12"/>
      <c r="B790" s="13"/>
      <c r="C790" s="14"/>
      <c r="D790" s="14"/>
      <c r="E790" s="15"/>
      <c r="F790" s="16"/>
      <c r="G790" s="18"/>
      <c r="H790" s="15"/>
      <c r="I790" s="18"/>
      <c r="J790" s="22"/>
      <c r="K790" s="108"/>
      <c r="L790" s="26"/>
      <c r="M790" s="26"/>
    </row>
    <row r="791">
      <c r="A791" s="12"/>
      <c r="B791" s="13"/>
      <c r="C791" s="14"/>
      <c r="D791" s="14"/>
      <c r="E791" s="15"/>
      <c r="F791" s="16"/>
      <c r="G791" s="18"/>
      <c r="H791" s="15"/>
      <c r="I791" s="18"/>
      <c r="J791" s="22"/>
      <c r="K791" s="108"/>
      <c r="L791" s="26"/>
      <c r="M791" s="26"/>
    </row>
    <row r="792">
      <c r="A792" s="12"/>
      <c r="B792" s="13"/>
      <c r="C792" s="14"/>
      <c r="D792" s="14"/>
      <c r="E792" s="15"/>
      <c r="F792" s="16"/>
      <c r="G792" s="18"/>
      <c r="H792" s="15"/>
      <c r="I792" s="18"/>
      <c r="J792" s="22"/>
      <c r="K792" s="108"/>
      <c r="L792" s="26"/>
      <c r="M792" s="26"/>
    </row>
    <row r="793">
      <c r="A793" s="12"/>
      <c r="B793" s="13"/>
      <c r="C793" s="14"/>
      <c r="D793" s="14"/>
      <c r="E793" s="15"/>
      <c r="F793" s="16"/>
      <c r="G793" s="18"/>
      <c r="H793" s="15"/>
      <c r="I793" s="18"/>
      <c r="J793" s="22"/>
      <c r="K793" s="108"/>
      <c r="L793" s="26"/>
      <c r="M793" s="26"/>
    </row>
    <row r="794">
      <c r="A794" s="12"/>
      <c r="B794" s="13"/>
      <c r="C794" s="14"/>
      <c r="D794" s="14"/>
      <c r="E794" s="15"/>
      <c r="F794" s="16"/>
      <c r="G794" s="18"/>
      <c r="H794" s="15"/>
      <c r="I794" s="18"/>
      <c r="J794" s="22"/>
      <c r="K794" s="108"/>
      <c r="L794" s="26"/>
      <c r="M794" s="26"/>
    </row>
    <row r="795">
      <c r="A795" s="12"/>
      <c r="B795" s="13"/>
      <c r="C795" s="14"/>
      <c r="D795" s="14"/>
      <c r="E795" s="15"/>
      <c r="F795" s="16"/>
      <c r="G795" s="18"/>
      <c r="H795" s="15"/>
      <c r="I795" s="18"/>
      <c r="J795" s="22"/>
      <c r="K795" s="108"/>
      <c r="L795" s="26"/>
      <c r="M795" s="26"/>
    </row>
    <row r="796">
      <c r="A796" s="12"/>
      <c r="B796" s="13"/>
      <c r="C796" s="14"/>
      <c r="D796" s="14"/>
      <c r="E796" s="15"/>
      <c r="F796" s="16"/>
      <c r="G796" s="18"/>
      <c r="H796" s="15"/>
      <c r="I796" s="18"/>
      <c r="J796" s="22"/>
      <c r="K796" s="108"/>
      <c r="L796" s="26"/>
      <c r="M796" s="26"/>
    </row>
    <row r="797">
      <c r="A797" s="12"/>
      <c r="B797" s="13"/>
      <c r="C797" s="14"/>
      <c r="D797" s="14"/>
      <c r="E797" s="15"/>
      <c r="F797" s="16"/>
      <c r="G797" s="18"/>
      <c r="H797" s="15"/>
      <c r="I797" s="18"/>
      <c r="J797" s="22"/>
      <c r="K797" s="108"/>
      <c r="L797" s="26"/>
      <c r="M797" s="26"/>
    </row>
    <row r="798">
      <c r="A798" s="12"/>
      <c r="B798" s="13"/>
      <c r="C798" s="14"/>
      <c r="D798" s="14"/>
      <c r="E798" s="15"/>
      <c r="F798" s="16"/>
      <c r="G798" s="18"/>
      <c r="H798" s="15"/>
      <c r="I798" s="18"/>
      <c r="J798" s="22"/>
      <c r="K798" s="108"/>
      <c r="L798" s="26"/>
      <c r="M798" s="26"/>
    </row>
    <row r="799">
      <c r="A799" s="12"/>
      <c r="B799" s="13"/>
      <c r="C799" s="14"/>
      <c r="D799" s="14"/>
      <c r="E799" s="15"/>
      <c r="F799" s="16"/>
      <c r="G799" s="18"/>
      <c r="H799" s="15"/>
      <c r="I799" s="18"/>
      <c r="J799" s="22"/>
      <c r="K799" s="108"/>
      <c r="L799" s="26"/>
      <c r="M799" s="26"/>
    </row>
    <row r="800">
      <c r="A800" s="12"/>
      <c r="B800" s="13"/>
      <c r="C800" s="14"/>
      <c r="D800" s="14"/>
      <c r="E800" s="15"/>
      <c r="F800" s="16"/>
      <c r="G800" s="18"/>
      <c r="H800" s="15"/>
      <c r="I800" s="18"/>
      <c r="J800" s="22"/>
      <c r="K800" s="108"/>
      <c r="L800" s="26"/>
      <c r="M800" s="26"/>
    </row>
    <row r="801">
      <c r="A801" s="12"/>
      <c r="B801" s="13"/>
      <c r="C801" s="14"/>
      <c r="D801" s="14"/>
      <c r="E801" s="15"/>
      <c r="F801" s="16"/>
      <c r="G801" s="18"/>
      <c r="H801" s="15"/>
      <c r="I801" s="18"/>
      <c r="J801" s="22"/>
      <c r="K801" s="108"/>
      <c r="L801" s="26"/>
      <c r="M801" s="26"/>
    </row>
    <row r="802">
      <c r="A802" s="12"/>
      <c r="B802" s="13"/>
      <c r="C802" s="14"/>
      <c r="D802" s="14"/>
      <c r="E802" s="15"/>
      <c r="F802" s="16"/>
      <c r="G802" s="18"/>
      <c r="H802" s="15"/>
      <c r="I802" s="18"/>
      <c r="J802" s="22"/>
      <c r="K802" s="108"/>
      <c r="L802" s="26"/>
      <c r="M802" s="26"/>
    </row>
    <row r="803">
      <c r="A803" s="12"/>
      <c r="B803" s="13"/>
      <c r="C803" s="14"/>
      <c r="D803" s="14"/>
      <c r="E803" s="15"/>
      <c r="F803" s="16"/>
      <c r="G803" s="18"/>
      <c r="H803" s="15"/>
      <c r="I803" s="18"/>
      <c r="J803" s="22"/>
      <c r="K803" s="108"/>
      <c r="L803" s="26"/>
      <c r="M803" s="26"/>
    </row>
    <row r="804">
      <c r="A804" s="12"/>
      <c r="B804" s="13"/>
      <c r="C804" s="14"/>
      <c r="D804" s="14"/>
      <c r="E804" s="15"/>
      <c r="F804" s="16"/>
      <c r="G804" s="18"/>
      <c r="H804" s="15"/>
      <c r="I804" s="18"/>
      <c r="J804" s="22"/>
      <c r="K804" s="108"/>
      <c r="L804" s="26"/>
      <c r="M804" s="26"/>
    </row>
    <row r="805">
      <c r="A805" s="12"/>
      <c r="B805" s="13"/>
      <c r="C805" s="14"/>
      <c r="D805" s="14"/>
      <c r="E805" s="15"/>
      <c r="F805" s="16"/>
      <c r="G805" s="18"/>
      <c r="H805" s="15"/>
      <c r="I805" s="18"/>
      <c r="J805" s="22"/>
      <c r="K805" s="108"/>
      <c r="L805" s="26"/>
      <c r="M805" s="26"/>
    </row>
    <row r="806">
      <c r="A806" s="12"/>
      <c r="B806" s="13"/>
      <c r="C806" s="14"/>
      <c r="D806" s="14"/>
      <c r="E806" s="15"/>
      <c r="F806" s="16"/>
      <c r="G806" s="18"/>
      <c r="H806" s="15"/>
      <c r="I806" s="18"/>
      <c r="J806" s="22"/>
      <c r="K806" s="108"/>
      <c r="L806" s="26"/>
      <c r="M806" s="26"/>
    </row>
    <row r="807">
      <c r="A807" s="12"/>
      <c r="B807" s="13"/>
      <c r="C807" s="14"/>
      <c r="D807" s="14"/>
      <c r="E807" s="15"/>
      <c r="F807" s="16"/>
      <c r="G807" s="18"/>
      <c r="H807" s="15"/>
      <c r="I807" s="18"/>
      <c r="J807" s="22"/>
      <c r="K807" s="108"/>
      <c r="L807" s="26"/>
      <c r="M807" s="26"/>
    </row>
    <row r="808">
      <c r="A808" s="12"/>
      <c r="B808" s="13"/>
      <c r="C808" s="14"/>
      <c r="D808" s="14"/>
      <c r="E808" s="15"/>
      <c r="F808" s="16"/>
      <c r="G808" s="18"/>
      <c r="H808" s="15"/>
      <c r="I808" s="18"/>
      <c r="J808" s="22"/>
      <c r="K808" s="108"/>
      <c r="L808" s="26"/>
      <c r="M808" s="26"/>
    </row>
    <row r="809">
      <c r="A809" s="12"/>
      <c r="B809" s="13"/>
      <c r="C809" s="14"/>
      <c r="D809" s="14"/>
      <c r="E809" s="15"/>
      <c r="F809" s="16"/>
      <c r="G809" s="18"/>
      <c r="H809" s="15"/>
      <c r="I809" s="18"/>
      <c r="J809" s="22"/>
      <c r="K809" s="108"/>
      <c r="L809" s="26"/>
      <c r="M809" s="26"/>
    </row>
    <row r="810">
      <c r="A810" s="12"/>
      <c r="B810" s="13"/>
      <c r="C810" s="14"/>
      <c r="D810" s="14"/>
      <c r="E810" s="15"/>
      <c r="F810" s="16"/>
      <c r="G810" s="18"/>
      <c r="H810" s="15"/>
      <c r="I810" s="18"/>
      <c r="J810" s="22"/>
      <c r="K810" s="108"/>
      <c r="L810" s="26"/>
      <c r="M810" s="26"/>
    </row>
    <row r="811">
      <c r="A811" s="12"/>
      <c r="B811" s="13"/>
      <c r="C811" s="14"/>
      <c r="D811" s="14"/>
      <c r="E811" s="15"/>
      <c r="F811" s="16"/>
      <c r="G811" s="18"/>
      <c r="H811" s="15"/>
      <c r="I811" s="18"/>
      <c r="J811" s="22"/>
      <c r="K811" s="108"/>
      <c r="L811" s="26"/>
      <c r="M811" s="26"/>
    </row>
    <row r="812">
      <c r="A812" s="12"/>
      <c r="B812" s="13"/>
      <c r="C812" s="14"/>
      <c r="D812" s="14"/>
      <c r="E812" s="15"/>
      <c r="F812" s="16"/>
      <c r="G812" s="18"/>
      <c r="H812" s="15"/>
      <c r="I812" s="18"/>
      <c r="J812" s="22"/>
      <c r="K812" s="108"/>
      <c r="L812" s="26"/>
      <c r="M812" s="26"/>
    </row>
    <row r="813">
      <c r="A813" s="12"/>
      <c r="B813" s="13"/>
      <c r="C813" s="14"/>
      <c r="D813" s="14"/>
      <c r="E813" s="15"/>
      <c r="F813" s="16"/>
      <c r="G813" s="18"/>
      <c r="H813" s="15"/>
      <c r="I813" s="18"/>
      <c r="J813" s="22"/>
      <c r="K813" s="108"/>
      <c r="L813" s="26"/>
      <c r="M813" s="26"/>
    </row>
    <row r="814">
      <c r="A814" s="12"/>
      <c r="B814" s="13"/>
      <c r="C814" s="14"/>
      <c r="D814" s="14"/>
      <c r="E814" s="15"/>
      <c r="F814" s="16"/>
      <c r="G814" s="18"/>
      <c r="H814" s="15"/>
      <c r="I814" s="18"/>
      <c r="J814" s="22"/>
      <c r="K814" s="108"/>
      <c r="L814" s="26"/>
      <c r="M814" s="26"/>
    </row>
    <row r="815">
      <c r="A815" s="12"/>
      <c r="B815" s="13"/>
      <c r="C815" s="14"/>
      <c r="D815" s="14"/>
      <c r="E815" s="15"/>
      <c r="F815" s="16"/>
      <c r="G815" s="18"/>
      <c r="H815" s="15"/>
      <c r="I815" s="18"/>
      <c r="J815" s="22"/>
      <c r="K815" s="108"/>
      <c r="L815" s="26"/>
      <c r="M815" s="26"/>
    </row>
    <row r="816">
      <c r="A816" s="12"/>
      <c r="B816" s="13"/>
      <c r="C816" s="14"/>
      <c r="D816" s="14"/>
      <c r="E816" s="15"/>
      <c r="F816" s="16"/>
      <c r="G816" s="18"/>
      <c r="H816" s="15"/>
      <c r="I816" s="18"/>
      <c r="J816" s="22"/>
      <c r="K816" s="108"/>
      <c r="L816" s="26"/>
      <c r="M816" s="26"/>
    </row>
    <row r="817">
      <c r="A817" s="12"/>
      <c r="B817" s="13"/>
      <c r="C817" s="14"/>
      <c r="D817" s="14"/>
      <c r="E817" s="15"/>
      <c r="F817" s="16"/>
      <c r="G817" s="18"/>
      <c r="H817" s="15"/>
      <c r="I817" s="18"/>
      <c r="J817" s="22"/>
      <c r="K817" s="108"/>
      <c r="L817" s="26"/>
      <c r="M817" s="26"/>
    </row>
    <row r="818">
      <c r="A818" s="12"/>
      <c r="B818" s="13"/>
      <c r="C818" s="14"/>
      <c r="D818" s="14"/>
      <c r="E818" s="15"/>
      <c r="F818" s="16"/>
      <c r="G818" s="18"/>
      <c r="H818" s="15"/>
      <c r="I818" s="18"/>
      <c r="J818" s="22"/>
      <c r="K818" s="108"/>
      <c r="L818" s="26"/>
      <c r="M818" s="26"/>
    </row>
    <row r="819">
      <c r="A819" s="12"/>
      <c r="B819" s="13"/>
      <c r="C819" s="14"/>
      <c r="D819" s="14"/>
      <c r="E819" s="15"/>
      <c r="F819" s="16"/>
      <c r="G819" s="18"/>
      <c r="H819" s="15"/>
      <c r="I819" s="18"/>
      <c r="J819" s="22"/>
      <c r="K819" s="108"/>
      <c r="L819" s="26"/>
      <c r="M819" s="26"/>
    </row>
    <row r="820">
      <c r="A820" s="12"/>
      <c r="B820" s="13"/>
      <c r="C820" s="14"/>
      <c r="D820" s="14"/>
      <c r="E820" s="15"/>
      <c r="F820" s="16"/>
      <c r="G820" s="18"/>
      <c r="H820" s="15"/>
      <c r="I820" s="18"/>
      <c r="J820" s="22"/>
      <c r="K820" s="108"/>
      <c r="L820" s="26"/>
      <c r="M820" s="26"/>
    </row>
    <row r="821">
      <c r="A821" s="12"/>
      <c r="B821" s="13"/>
      <c r="C821" s="14"/>
      <c r="D821" s="14"/>
      <c r="E821" s="15"/>
      <c r="F821" s="16"/>
      <c r="G821" s="18"/>
      <c r="H821" s="15"/>
      <c r="I821" s="18"/>
      <c r="J821" s="22"/>
      <c r="K821" s="108"/>
      <c r="L821" s="26"/>
      <c r="M821" s="26"/>
    </row>
    <row r="822">
      <c r="A822" s="12"/>
      <c r="B822" s="13"/>
      <c r="C822" s="14"/>
      <c r="D822" s="14"/>
      <c r="E822" s="15"/>
      <c r="F822" s="16"/>
      <c r="G822" s="18"/>
      <c r="H822" s="15"/>
      <c r="I822" s="18"/>
      <c r="J822" s="22"/>
      <c r="K822" s="108"/>
      <c r="L822" s="26"/>
      <c r="M822" s="26"/>
    </row>
    <row r="823">
      <c r="A823" s="12"/>
      <c r="B823" s="13"/>
      <c r="C823" s="14"/>
      <c r="D823" s="14"/>
      <c r="E823" s="15"/>
      <c r="F823" s="16"/>
      <c r="G823" s="18"/>
      <c r="H823" s="15"/>
      <c r="I823" s="18"/>
      <c r="J823" s="22"/>
      <c r="K823" s="108"/>
      <c r="L823" s="26"/>
      <c r="M823" s="26"/>
    </row>
    <row r="824">
      <c r="A824" s="12"/>
      <c r="B824" s="13"/>
      <c r="C824" s="14"/>
      <c r="D824" s="14"/>
      <c r="E824" s="15"/>
      <c r="F824" s="16"/>
      <c r="G824" s="18"/>
      <c r="H824" s="15"/>
      <c r="I824" s="18"/>
      <c r="J824" s="22"/>
      <c r="K824" s="108"/>
      <c r="L824" s="26"/>
      <c r="M824" s="26"/>
    </row>
    <row r="825">
      <c r="A825" s="12"/>
      <c r="B825" s="13"/>
      <c r="C825" s="14"/>
      <c r="D825" s="14"/>
      <c r="E825" s="15"/>
      <c r="F825" s="16"/>
      <c r="G825" s="18"/>
      <c r="H825" s="15"/>
      <c r="I825" s="18"/>
      <c r="J825" s="22"/>
      <c r="K825" s="108"/>
      <c r="L825" s="26"/>
      <c r="M825" s="26"/>
    </row>
    <row r="826">
      <c r="A826" s="12"/>
      <c r="B826" s="13"/>
      <c r="C826" s="14"/>
      <c r="D826" s="14"/>
      <c r="E826" s="15"/>
      <c r="F826" s="16"/>
      <c r="G826" s="18"/>
      <c r="H826" s="15"/>
      <c r="I826" s="18"/>
      <c r="J826" s="22"/>
      <c r="K826" s="108"/>
      <c r="L826" s="26"/>
      <c r="M826" s="26"/>
    </row>
    <row r="827">
      <c r="A827" s="12"/>
      <c r="B827" s="13"/>
      <c r="C827" s="14"/>
      <c r="D827" s="14"/>
      <c r="E827" s="15"/>
      <c r="F827" s="16"/>
      <c r="G827" s="18"/>
      <c r="H827" s="15"/>
      <c r="I827" s="18"/>
      <c r="J827" s="22"/>
      <c r="K827" s="108"/>
      <c r="L827" s="26"/>
      <c r="M827" s="26"/>
    </row>
    <row r="828">
      <c r="A828" s="12"/>
      <c r="B828" s="13"/>
      <c r="C828" s="14"/>
      <c r="D828" s="14"/>
      <c r="E828" s="15"/>
      <c r="F828" s="16"/>
      <c r="G828" s="18"/>
      <c r="H828" s="15"/>
      <c r="I828" s="18"/>
      <c r="J828" s="22"/>
      <c r="K828" s="108"/>
      <c r="L828" s="26"/>
      <c r="M828" s="26"/>
    </row>
    <row r="829">
      <c r="A829" s="12"/>
      <c r="B829" s="13"/>
      <c r="C829" s="14"/>
      <c r="D829" s="14"/>
      <c r="E829" s="15"/>
      <c r="F829" s="16"/>
      <c r="G829" s="18"/>
      <c r="H829" s="15"/>
      <c r="I829" s="18"/>
      <c r="J829" s="22"/>
      <c r="K829" s="108"/>
      <c r="L829" s="26"/>
      <c r="M829" s="26"/>
    </row>
    <row r="830">
      <c r="A830" s="12"/>
      <c r="B830" s="13"/>
      <c r="C830" s="14"/>
      <c r="D830" s="14"/>
      <c r="E830" s="15"/>
      <c r="F830" s="16"/>
      <c r="G830" s="18"/>
      <c r="H830" s="15"/>
      <c r="I830" s="18"/>
      <c r="J830" s="22"/>
      <c r="K830" s="108"/>
      <c r="L830" s="26"/>
      <c r="M830" s="26"/>
    </row>
    <row r="831">
      <c r="A831" s="12"/>
      <c r="B831" s="13"/>
      <c r="C831" s="14"/>
      <c r="D831" s="14"/>
      <c r="E831" s="15"/>
      <c r="F831" s="16"/>
      <c r="G831" s="18"/>
      <c r="H831" s="15"/>
      <c r="I831" s="18"/>
      <c r="J831" s="22"/>
      <c r="K831" s="108"/>
      <c r="L831" s="26"/>
      <c r="M831" s="26"/>
    </row>
    <row r="832">
      <c r="A832" s="12"/>
      <c r="B832" s="13"/>
      <c r="C832" s="14"/>
      <c r="D832" s="14"/>
      <c r="E832" s="15"/>
      <c r="F832" s="16"/>
      <c r="G832" s="18"/>
      <c r="H832" s="15"/>
      <c r="I832" s="18"/>
      <c r="J832" s="22"/>
      <c r="K832" s="108"/>
      <c r="L832" s="26"/>
      <c r="M832" s="26"/>
    </row>
    <row r="833">
      <c r="A833" s="12"/>
      <c r="B833" s="13"/>
      <c r="C833" s="14"/>
      <c r="D833" s="14"/>
      <c r="E833" s="15"/>
      <c r="F833" s="16"/>
      <c r="G833" s="18"/>
      <c r="H833" s="15"/>
      <c r="I833" s="18"/>
      <c r="J833" s="22"/>
      <c r="K833" s="108"/>
      <c r="L833" s="26"/>
      <c r="M833" s="26"/>
    </row>
    <row r="834">
      <c r="A834" s="12"/>
      <c r="B834" s="13"/>
      <c r="C834" s="14"/>
      <c r="D834" s="14"/>
      <c r="E834" s="15"/>
      <c r="F834" s="16"/>
      <c r="G834" s="18"/>
      <c r="H834" s="15"/>
      <c r="I834" s="18"/>
      <c r="J834" s="22"/>
      <c r="K834" s="108"/>
      <c r="L834" s="26"/>
      <c r="M834" s="26"/>
    </row>
    <row r="835">
      <c r="A835" s="12"/>
      <c r="B835" s="13"/>
      <c r="C835" s="14"/>
      <c r="D835" s="14"/>
      <c r="E835" s="15"/>
      <c r="F835" s="16"/>
      <c r="G835" s="18"/>
      <c r="H835" s="15"/>
      <c r="I835" s="18"/>
      <c r="J835" s="22"/>
      <c r="K835" s="108"/>
      <c r="L835" s="26"/>
      <c r="M835" s="26"/>
    </row>
    <row r="836">
      <c r="A836" s="12"/>
      <c r="B836" s="13"/>
      <c r="C836" s="14"/>
      <c r="D836" s="14"/>
      <c r="E836" s="15"/>
      <c r="F836" s="16"/>
      <c r="G836" s="18"/>
      <c r="H836" s="15"/>
      <c r="I836" s="18"/>
      <c r="J836" s="22"/>
      <c r="K836" s="108"/>
      <c r="L836" s="26"/>
      <c r="M836" s="26"/>
    </row>
    <row r="837">
      <c r="A837" s="12"/>
      <c r="B837" s="13"/>
      <c r="C837" s="14"/>
      <c r="D837" s="14"/>
      <c r="E837" s="15"/>
      <c r="F837" s="16"/>
      <c r="G837" s="18"/>
      <c r="H837" s="15"/>
      <c r="I837" s="18"/>
      <c r="J837" s="22"/>
      <c r="K837" s="108"/>
      <c r="L837" s="26"/>
      <c r="M837" s="26"/>
    </row>
    <row r="838">
      <c r="A838" s="12"/>
      <c r="B838" s="13"/>
      <c r="C838" s="14"/>
      <c r="D838" s="14"/>
      <c r="E838" s="15"/>
      <c r="F838" s="16"/>
      <c r="G838" s="18"/>
      <c r="H838" s="15"/>
      <c r="I838" s="18"/>
      <c r="J838" s="22"/>
      <c r="K838" s="108"/>
      <c r="L838" s="26"/>
      <c r="M838" s="26"/>
    </row>
    <row r="839">
      <c r="A839" s="12"/>
      <c r="B839" s="13"/>
      <c r="C839" s="14"/>
      <c r="D839" s="14"/>
      <c r="E839" s="15"/>
      <c r="F839" s="16"/>
      <c r="G839" s="18"/>
      <c r="H839" s="15"/>
      <c r="I839" s="18"/>
      <c r="J839" s="22"/>
      <c r="K839" s="108"/>
      <c r="L839" s="26"/>
      <c r="M839" s="26"/>
    </row>
    <row r="840">
      <c r="A840" s="12"/>
      <c r="B840" s="13"/>
      <c r="C840" s="14"/>
      <c r="D840" s="14"/>
      <c r="E840" s="15"/>
      <c r="F840" s="16"/>
      <c r="G840" s="18"/>
      <c r="H840" s="15"/>
      <c r="I840" s="18"/>
      <c r="J840" s="22"/>
      <c r="K840" s="108"/>
      <c r="L840" s="26"/>
      <c r="M840" s="26"/>
    </row>
    <row r="841">
      <c r="A841" s="12"/>
      <c r="B841" s="13"/>
      <c r="C841" s="14"/>
      <c r="D841" s="14"/>
      <c r="E841" s="15"/>
      <c r="F841" s="16"/>
      <c r="G841" s="18"/>
      <c r="H841" s="15"/>
      <c r="I841" s="18"/>
      <c r="J841" s="22"/>
      <c r="K841" s="108"/>
      <c r="L841" s="26"/>
      <c r="M841" s="26"/>
    </row>
    <row r="842">
      <c r="A842" s="12"/>
      <c r="B842" s="13"/>
      <c r="C842" s="14"/>
      <c r="D842" s="14"/>
      <c r="E842" s="15"/>
      <c r="F842" s="16"/>
      <c r="G842" s="18"/>
      <c r="H842" s="15"/>
      <c r="I842" s="18"/>
      <c r="J842" s="22"/>
      <c r="K842" s="108"/>
      <c r="L842" s="26"/>
      <c r="M842" s="26"/>
    </row>
    <row r="843">
      <c r="A843" s="12"/>
      <c r="B843" s="13"/>
      <c r="C843" s="14"/>
      <c r="D843" s="14"/>
      <c r="E843" s="15"/>
      <c r="F843" s="16"/>
      <c r="G843" s="18"/>
      <c r="H843" s="15"/>
      <c r="I843" s="18"/>
      <c r="J843" s="22"/>
      <c r="K843" s="108"/>
      <c r="L843" s="26"/>
      <c r="M843" s="26"/>
    </row>
    <row r="844">
      <c r="A844" s="12"/>
      <c r="B844" s="13"/>
      <c r="C844" s="14"/>
      <c r="D844" s="14"/>
      <c r="E844" s="15"/>
      <c r="F844" s="16"/>
      <c r="G844" s="18"/>
      <c r="H844" s="15"/>
      <c r="I844" s="18"/>
      <c r="J844" s="22"/>
      <c r="K844" s="108"/>
      <c r="L844" s="26"/>
      <c r="M844" s="26"/>
    </row>
    <row r="845">
      <c r="A845" s="12"/>
      <c r="B845" s="13"/>
      <c r="C845" s="14"/>
      <c r="D845" s="14"/>
      <c r="E845" s="15"/>
      <c r="F845" s="16"/>
      <c r="G845" s="18"/>
      <c r="H845" s="15"/>
      <c r="I845" s="18"/>
      <c r="J845" s="22"/>
      <c r="K845" s="108"/>
      <c r="L845" s="26"/>
      <c r="M845" s="26"/>
    </row>
    <row r="846">
      <c r="A846" s="12"/>
      <c r="B846" s="13"/>
      <c r="C846" s="14"/>
      <c r="D846" s="14"/>
      <c r="E846" s="15"/>
      <c r="F846" s="16"/>
      <c r="G846" s="18"/>
      <c r="H846" s="15"/>
      <c r="I846" s="18"/>
      <c r="J846" s="22"/>
      <c r="K846" s="108"/>
      <c r="L846" s="26"/>
      <c r="M846" s="26"/>
    </row>
    <row r="847">
      <c r="A847" s="12"/>
      <c r="B847" s="13"/>
      <c r="C847" s="14"/>
      <c r="D847" s="14"/>
      <c r="E847" s="15"/>
      <c r="F847" s="16"/>
      <c r="G847" s="18"/>
      <c r="H847" s="15"/>
      <c r="I847" s="18"/>
      <c r="J847" s="22"/>
      <c r="K847" s="108"/>
      <c r="L847" s="26"/>
      <c r="M847" s="26"/>
    </row>
    <row r="848">
      <c r="A848" s="12"/>
      <c r="B848" s="13"/>
      <c r="C848" s="14"/>
      <c r="D848" s="14"/>
      <c r="E848" s="15"/>
      <c r="F848" s="16"/>
      <c r="G848" s="18"/>
      <c r="H848" s="15"/>
      <c r="I848" s="18"/>
      <c r="J848" s="22"/>
      <c r="K848" s="108"/>
      <c r="L848" s="26"/>
      <c r="M848" s="26"/>
    </row>
    <row r="849">
      <c r="A849" s="12"/>
      <c r="B849" s="13"/>
      <c r="C849" s="14"/>
      <c r="D849" s="14"/>
      <c r="E849" s="15"/>
      <c r="F849" s="16"/>
      <c r="G849" s="18"/>
      <c r="H849" s="15"/>
      <c r="I849" s="18"/>
      <c r="J849" s="22"/>
      <c r="K849" s="108"/>
      <c r="L849" s="26"/>
      <c r="M849" s="26"/>
    </row>
    <row r="850">
      <c r="A850" s="12"/>
      <c r="B850" s="13"/>
      <c r="C850" s="14"/>
      <c r="D850" s="14"/>
      <c r="E850" s="15"/>
      <c r="F850" s="16"/>
      <c r="G850" s="18"/>
      <c r="H850" s="15"/>
      <c r="I850" s="18"/>
      <c r="J850" s="22"/>
      <c r="K850" s="108"/>
      <c r="L850" s="26"/>
      <c r="M850" s="26"/>
    </row>
    <row r="851">
      <c r="A851" s="12"/>
      <c r="B851" s="13"/>
      <c r="C851" s="14"/>
      <c r="D851" s="14"/>
      <c r="E851" s="15"/>
      <c r="F851" s="16"/>
      <c r="G851" s="18"/>
      <c r="H851" s="15"/>
      <c r="I851" s="18"/>
      <c r="J851" s="22"/>
      <c r="K851" s="108"/>
      <c r="L851" s="26"/>
      <c r="M851" s="26"/>
    </row>
    <row r="852">
      <c r="A852" s="12"/>
      <c r="B852" s="13"/>
      <c r="C852" s="14"/>
      <c r="D852" s="14"/>
      <c r="E852" s="15"/>
      <c r="F852" s="16"/>
      <c r="G852" s="18"/>
      <c r="H852" s="15"/>
      <c r="I852" s="18"/>
      <c r="J852" s="22"/>
      <c r="K852" s="108"/>
      <c r="L852" s="26"/>
      <c r="M852" s="26"/>
    </row>
    <row r="853">
      <c r="A853" s="12"/>
      <c r="B853" s="13"/>
      <c r="C853" s="14"/>
      <c r="D853" s="14"/>
      <c r="E853" s="15"/>
      <c r="F853" s="16"/>
      <c r="G853" s="18"/>
      <c r="H853" s="15"/>
      <c r="I853" s="18"/>
      <c r="J853" s="22"/>
      <c r="K853" s="108"/>
      <c r="L853" s="26"/>
      <c r="M853" s="26"/>
    </row>
    <row r="854">
      <c r="A854" s="12"/>
      <c r="B854" s="13"/>
      <c r="C854" s="14"/>
      <c r="D854" s="14"/>
      <c r="E854" s="15"/>
      <c r="F854" s="16"/>
      <c r="G854" s="18"/>
      <c r="H854" s="15"/>
      <c r="I854" s="18"/>
      <c r="J854" s="22"/>
      <c r="K854" s="108"/>
      <c r="L854" s="26"/>
      <c r="M854" s="26"/>
    </row>
    <row r="855">
      <c r="A855" s="12"/>
      <c r="B855" s="13"/>
      <c r="C855" s="14"/>
      <c r="D855" s="14"/>
      <c r="E855" s="15"/>
      <c r="F855" s="16"/>
      <c r="G855" s="18"/>
      <c r="H855" s="15"/>
      <c r="I855" s="18"/>
      <c r="J855" s="22"/>
      <c r="K855" s="108"/>
      <c r="L855" s="26"/>
      <c r="M855" s="26"/>
    </row>
    <row r="856">
      <c r="A856" s="12"/>
      <c r="B856" s="13"/>
      <c r="C856" s="14"/>
      <c r="D856" s="14"/>
      <c r="E856" s="15"/>
      <c r="F856" s="16"/>
      <c r="G856" s="18"/>
      <c r="H856" s="15"/>
      <c r="I856" s="18"/>
      <c r="J856" s="22"/>
      <c r="K856" s="108"/>
      <c r="L856" s="26"/>
      <c r="M856" s="26"/>
    </row>
    <row r="857">
      <c r="A857" s="12"/>
      <c r="B857" s="13"/>
      <c r="C857" s="14"/>
      <c r="D857" s="14"/>
      <c r="E857" s="15"/>
      <c r="F857" s="16"/>
      <c r="G857" s="18"/>
      <c r="H857" s="15"/>
      <c r="I857" s="18"/>
      <c r="J857" s="22"/>
      <c r="K857" s="108"/>
      <c r="L857" s="26"/>
      <c r="M857" s="26"/>
    </row>
    <row r="858">
      <c r="A858" s="12"/>
      <c r="B858" s="13"/>
      <c r="C858" s="14"/>
      <c r="D858" s="14"/>
      <c r="E858" s="15"/>
      <c r="F858" s="16"/>
      <c r="G858" s="18"/>
      <c r="H858" s="15"/>
      <c r="I858" s="18"/>
      <c r="J858" s="22"/>
      <c r="K858" s="108"/>
      <c r="L858" s="26"/>
      <c r="M858" s="26"/>
    </row>
    <row r="859">
      <c r="A859" s="12"/>
      <c r="B859" s="13"/>
      <c r="C859" s="14"/>
      <c r="D859" s="14"/>
      <c r="E859" s="15"/>
      <c r="F859" s="16"/>
      <c r="G859" s="18"/>
      <c r="H859" s="15"/>
      <c r="I859" s="18"/>
      <c r="J859" s="22"/>
      <c r="K859" s="108"/>
      <c r="L859" s="26"/>
      <c r="M859" s="26"/>
    </row>
    <row r="860">
      <c r="A860" s="12"/>
      <c r="B860" s="13"/>
      <c r="C860" s="14"/>
      <c r="D860" s="14"/>
      <c r="E860" s="15"/>
      <c r="F860" s="16"/>
      <c r="G860" s="18"/>
      <c r="H860" s="15"/>
      <c r="I860" s="18"/>
      <c r="J860" s="22"/>
      <c r="K860" s="108"/>
      <c r="L860" s="26"/>
      <c r="M860" s="26"/>
    </row>
    <row r="861">
      <c r="A861" s="12"/>
      <c r="B861" s="13"/>
      <c r="C861" s="14"/>
      <c r="D861" s="14"/>
      <c r="E861" s="15"/>
      <c r="F861" s="16"/>
      <c r="G861" s="18"/>
      <c r="H861" s="15"/>
      <c r="I861" s="18"/>
      <c r="J861" s="22"/>
      <c r="K861" s="108"/>
      <c r="L861" s="26"/>
      <c r="M861" s="26"/>
    </row>
    <row r="862">
      <c r="A862" s="12"/>
      <c r="B862" s="13"/>
      <c r="C862" s="14"/>
      <c r="D862" s="14"/>
      <c r="E862" s="15"/>
      <c r="F862" s="16"/>
      <c r="G862" s="18"/>
      <c r="H862" s="15"/>
      <c r="I862" s="18"/>
      <c r="J862" s="22"/>
      <c r="K862" s="108"/>
      <c r="L862" s="26"/>
      <c r="M862" s="26"/>
    </row>
    <row r="863">
      <c r="A863" s="12"/>
      <c r="B863" s="13"/>
      <c r="C863" s="14"/>
      <c r="D863" s="14"/>
      <c r="E863" s="15"/>
      <c r="F863" s="16"/>
      <c r="G863" s="18"/>
      <c r="H863" s="15"/>
      <c r="I863" s="18"/>
      <c r="J863" s="22"/>
      <c r="K863" s="108"/>
      <c r="L863" s="26"/>
      <c r="M863" s="26"/>
    </row>
    <row r="864">
      <c r="A864" s="12"/>
      <c r="B864" s="13"/>
      <c r="C864" s="14"/>
      <c r="D864" s="14"/>
      <c r="E864" s="15"/>
      <c r="F864" s="16"/>
      <c r="G864" s="18"/>
      <c r="H864" s="15"/>
      <c r="I864" s="18"/>
      <c r="J864" s="22"/>
      <c r="K864" s="108"/>
      <c r="L864" s="26"/>
      <c r="M864" s="26"/>
    </row>
    <row r="865">
      <c r="A865" s="12"/>
      <c r="B865" s="13"/>
      <c r="C865" s="14"/>
      <c r="D865" s="14"/>
      <c r="E865" s="15"/>
      <c r="F865" s="16"/>
      <c r="G865" s="18"/>
      <c r="H865" s="15"/>
      <c r="I865" s="18"/>
      <c r="J865" s="22"/>
      <c r="K865" s="108"/>
      <c r="L865" s="26"/>
      <c r="M865" s="26"/>
    </row>
    <row r="866">
      <c r="A866" s="12"/>
      <c r="B866" s="13"/>
      <c r="C866" s="14"/>
      <c r="D866" s="14"/>
      <c r="E866" s="15"/>
      <c r="F866" s="16"/>
      <c r="G866" s="18"/>
      <c r="H866" s="15"/>
      <c r="I866" s="18"/>
      <c r="J866" s="22"/>
      <c r="K866" s="108"/>
      <c r="L866" s="26"/>
      <c r="M866" s="26"/>
    </row>
    <row r="867">
      <c r="A867" s="12"/>
      <c r="B867" s="13"/>
      <c r="C867" s="14"/>
      <c r="D867" s="14"/>
      <c r="E867" s="15"/>
      <c r="F867" s="16"/>
      <c r="G867" s="18"/>
      <c r="H867" s="15"/>
      <c r="I867" s="18"/>
      <c r="J867" s="22"/>
      <c r="K867" s="108"/>
      <c r="L867" s="26"/>
      <c r="M867" s="26"/>
    </row>
    <row r="868">
      <c r="A868" s="12"/>
      <c r="B868" s="13"/>
      <c r="C868" s="14"/>
      <c r="D868" s="14"/>
      <c r="E868" s="15"/>
      <c r="F868" s="16"/>
      <c r="G868" s="18"/>
      <c r="H868" s="15"/>
      <c r="I868" s="18"/>
      <c r="J868" s="22"/>
      <c r="K868" s="108"/>
      <c r="L868" s="26"/>
      <c r="M868" s="26"/>
    </row>
    <row r="869">
      <c r="A869" s="12"/>
      <c r="B869" s="13"/>
      <c r="C869" s="14"/>
      <c r="D869" s="14"/>
      <c r="E869" s="15"/>
      <c r="F869" s="16"/>
      <c r="G869" s="18"/>
      <c r="H869" s="15"/>
      <c r="I869" s="18"/>
      <c r="J869" s="22"/>
      <c r="K869" s="108"/>
      <c r="L869" s="26"/>
      <c r="M869" s="26"/>
    </row>
    <row r="870">
      <c r="A870" s="12"/>
      <c r="B870" s="13"/>
      <c r="C870" s="14"/>
      <c r="D870" s="14"/>
      <c r="E870" s="15"/>
      <c r="F870" s="16"/>
      <c r="G870" s="18"/>
      <c r="H870" s="15"/>
      <c r="I870" s="18"/>
      <c r="J870" s="22"/>
      <c r="K870" s="108"/>
      <c r="L870" s="26"/>
      <c r="M870" s="26"/>
    </row>
    <row r="871">
      <c r="A871" s="12"/>
      <c r="B871" s="13"/>
      <c r="C871" s="14"/>
      <c r="D871" s="14"/>
      <c r="E871" s="15"/>
      <c r="F871" s="16"/>
      <c r="G871" s="18"/>
      <c r="H871" s="15"/>
      <c r="I871" s="18"/>
      <c r="J871" s="22"/>
      <c r="K871" s="108"/>
      <c r="L871" s="26"/>
      <c r="M871" s="26"/>
    </row>
    <row r="872">
      <c r="A872" s="12"/>
      <c r="B872" s="13"/>
      <c r="C872" s="14"/>
      <c r="D872" s="14"/>
      <c r="E872" s="15"/>
      <c r="F872" s="16"/>
      <c r="G872" s="18"/>
      <c r="H872" s="15"/>
      <c r="I872" s="18"/>
      <c r="J872" s="22"/>
      <c r="K872" s="108"/>
      <c r="L872" s="26"/>
      <c r="M872" s="26"/>
    </row>
    <row r="873">
      <c r="A873" s="12"/>
      <c r="B873" s="13"/>
      <c r="C873" s="14"/>
      <c r="D873" s="14"/>
      <c r="E873" s="15"/>
      <c r="F873" s="16"/>
      <c r="G873" s="18"/>
      <c r="H873" s="15"/>
      <c r="I873" s="18"/>
      <c r="J873" s="22"/>
      <c r="K873" s="108"/>
      <c r="L873" s="26"/>
      <c r="M873" s="26"/>
    </row>
    <row r="874">
      <c r="A874" s="12"/>
      <c r="B874" s="13"/>
      <c r="C874" s="14"/>
      <c r="D874" s="14"/>
      <c r="E874" s="15"/>
      <c r="F874" s="16"/>
      <c r="G874" s="18"/>
      <c r="H874" s="15"/>
      <c r="I874" s="18"/>
      <c r="J874" s="22"/>
      <c r="K874" s="108"/>
      <c r="L874" s="26"/>
      <c r="M874" s="26"/>
    </row>
    <row r="875">
      <c r="A875" s="12"/>
      <c r="B875" s="13"/>
      <c r="C875" s="14"/>
      <c r="D875" s="14"/>
      <c r="E875" s="15"/>
      <c r="F875" s="16"/>
      <c r="G875" s="18"/>
      <c r="H875" s="15"/>
      <c r="I875" s="18"/>
      <c r="J875" s="22"/>
      <c r="K875" s="108"/>
      <c r="L875" s="26"/>
      <c r="M875" s="26"/>
    </row>
    <row r="876">
      <c r="A876" s="12"/>
      <c r="B876" s="13"/>
      <c r="C876" s="14"/>
      <c r="D876" s="14"/>
      <c r="E876" s="15"/>
      <c r="F876" s="16"/>
      <c r="G876" s="18"/>
      <c r="H876" s="15"/>
      <c r="I876" s="18"/>
      <c r="J876" s="22"/>
      <c r="K876" s="108"/>
      <c r="L876" s="26"/>
      <c r="M876" s="26"/>
    </row>
    <row r="877">
      <c r="A877" s="12"/>
      <c r="B877" s="13"/>
      <c r="C877" s="14"/>
      <c r="D877" s="14"/>
      <c r="E877" s="15"/>
      <c r="F877" s="16"/>
      <c r="G877" s="18"/>
      <c r="H877" s="15"/>
      <c r="I877" s="18"/>
      <c r="J877" s="22"/>
      <c r="K877" s="108"/>
      <c r="L877" s="26"/>
      <c r="M877" s="26"/>
    </row>
    <row r="878">
      <c r="A878" s="12"/>
      <c r="B878" s="13"/>
      <c r="C878" s="14"/>
      <c r="D878" s="14"/>
      <c r="E878" s="15"/>
      <c r="F878" s="16"/>
      <c r="G878" s="18"/>
      <c r="H878" s="15"/>
      <c r="I878" s="18"/>
      <c r="J878" s="22"/>
      <c r="K878" s="108"/>
      <c r="L878" s="26"/>
      <c r="M878" s="26"/>
    </row>
    <row r="879">
      <c r="A879" s="12"/>
      <c r="B879" s="13"/>
      <c r="C879" s="14"/>
      <c r="D879" s="14"/>
      <c r="E879" s="15"/>
      <c r="F879" s="16"/>
      <c r="G879" s="18"/>
      <c r="H879" s="15"/>
      <c r="I879" s="18"/>
      <c r="J879" s="22"/>
      <c r="K879" s="108"/>
      <c r="L879" s="26"/>
      <c r="M879" s="26"/>
    </row>
    <row r="880">
      <c r="A880" s="12"/>
      <c r="B880" s="13"/>
      <c r="C880" s="14"/>
      <c r="D880" s="14"/>
      <c r="E880" s="15"/>
      <c r="F880" s="16"/>
      <c r="G880" s="18"/>
      <c r="H880" s="15"/>
      <c r="I880" s="18"/>
      <c r="J880" s="22"/>
      <c r="K880" s="108"/>
      <c r="L880" s="26"/>
      <c r="M880" s="26"/>
    </row>
    <row r="881">
      <c r="A881" s="12"/>
      <c r="B881" s="13"/>
      <c r="C881" s="14"/>
      <c r="D881" s="14"/>
      <c r="E881" s="15"/>
      <c r="F881" s="16"/>
      <c r="G881" s="18"/>
      <c r="H881" s="15"/>
      <c r="I881" s="18"/>
      <c r="J881" s="22"/>
      <c r="K881" s="108"/>
      <c r="L881" s="26"/>
      <c r="M881" s="26"/>
    </row>
    <row r="882">
      <c r="A882" s="12"/>
      <c r="B882" s="13"/>
      <c r="C882" s="14"/>
      <c r="D882" s="14"/>
      <c r="E882" s="15"/>
      <c r="F882" s="16"/>
      <c r="G882" s="18"/>
      <c r="H882" s="15"/>
      <c r="I882" s="18"/>
      <c r="J882" s="22"/>
      <c r="K882" s="108"/>
      <c r="L882" s="26"/>
      <c r="M882" s="26"/>
    </row>
    <row r="883">
      <c r="A883" s="12"/>
      <c r="B883" s="13"/>
      <c r="C883" s="14"/>
      <c r="D883" s="14"/>
      <c r="E883" s="15"/>
      <c r="F883" s="16"/>
      <c r="G883" s="18"/>
      <c r="H883" s="15"/>
      <c r="I883" s="18"/>
      <c r="J883" s="22"/>
      <c r="K883" s="108"/>
      <c r="L883" s="26"/>
      <c r="M883" s="26"/>
    </row>
    <row r="884">
      <c r="A884" s="12"/>
      <c r="B884" s="13"/>
      <c r="C884" s="14"/>
      <c r="D884" s="14"/>
      <c r="E884" s="15"/>
      <c r="F884" s="16"/>
      <c r="G884" s="18"/>
      <c r="H884" s="15"/>
      <c r="I884" s="18"/>
      <c r="J884" s="22"/>
      <c r="K884" s="108"/>
      <c r="L884" s="26"/>
      <c r="M884" s="26"/>
    </row>
    <row r="885">
      <c r="A885" s="12"/>
      <c r="B885" s="13"/>
      <c r="C885" s="14"/>
      <c r="D885" s="14"/>
      <c r="E885" s="15"/>
      <c r="F885" s="16"/>
      <c r="G885" s="18"/>
      <c r="H885" s="15"/>
      <c r="I885" s="18"/>
      <c r="J885" s="22"/>
      <c r="K885" s="108"/>
      <c r="L885" s="26"/>
      <c r="M885" s="26"/>
    </row>
    <row r="886">
      <c r="A886" s="12"/>
      <c r="B886" s="13"/>
      <c r="C886" s="14"/>
      <c r="D886" s="14"/>
      <c r="E886" s="15"/>
      <c r="F886" s="16"/>
      <c r="G886" s="18"/>
      <c r="H886" s="15"/>
      <c r="I886" s="18"/>
      <c r="J886" s="22"/>
      <c r="K886" s="108"/>
      <c r="L886" s="26"/>
      <c r="M886" s="26"/>
    </row>
    <row r="887">
      <c r="A887" s="12"/>
      <c r="B887" s="13"/>
      <c r="C887" s="14"/>
      <c r="D887" s="14"/>
      <c r="E887" s="15"/>
      <c r="F887" s="16"/>
      <c r="G887" s="18"/>
      <c r="H887" s="15"/>
      <c r="I887" s="18"/>
      <c r="J887" s="22"/>
      <c r="K887" s="108"/>
      <c r="L887" s="26"/>
      <c r="M887" s="26"/>
    </row>
    <row r="888">
      <c r="A888" s="12"/>
      <c r="B888" s="13"/>
      <c r="C888" s="14"/>
      <c r="D888" s="14"/>
      <c r="E888" s="15"/>
      <c r="F888" s="16"/>
      <c r="G888" s="18"/>
      <c r="H888" s="15"/>
      <c r="I888" s="18"/>
      <c r="J888" s="22"/>
      <c r="K888" s="108"/>
      <c r="L888" s="26"/>
      <c r="M888" s="26"/>
    </row>
    <row r="889">
      <c r="A889" s="12"/>
      <c r="B889" s="13"/>
      <c r="C889" s="14"/>
      <c r="D889" s="14"/>
      <c r="E889" s="15"/>
      <c r="F889" s="16"/>
      <c r="G889" s="18"/>
      <c r="H889" s="15"/>
      <c r="I889" s="18"/>
      <c r="J889" s="22"/>
      <c r="K889" s="108"/>
      <c r="L889" s="26"/>
      <c r="M889" s="26"/>
    </row>
    <row r="890">
      <c r="A890" s="12"/>
      <c r="B890" s="13"/>
      <c r="C890" s="14"/>
      <c r="D890" s="14"/>
      <c r="E890" s="15"/>
      <c r="F890" s="16"/>
      <c r="G890" s="18"/>
      <c r="H890" s="15"/>
      <c r="I890" s="18"/>
      <c r="J890" s="22"/>
      <c r="K890" s="108"/>
      <c r="L890" s="26"/>
      <c r="M890" s="26"/>
    </row>
    <row r="891">
      <c r="A891" s="12"/>
      <c r="B891" s="13"/>
      <c r="C891" s="14"/>
      <c r="D891" s="14"/>
      <c r="E891" s="15"/>
      <c r="F891" s="16"/>
      <c r="G891" s="18"/>
      <c r="H891" s="15"/>
      <c r="I891" s="18"/>
      <c r="J891" s="22"/>
      <c r="K891" s="108"/>
      <c r="L891" s="26"/>
      <c r="M891" s="26"/>
    </row>
    <row r="892">
      <c r="A892" s="12"/>
      <c r="B892" s="13"/>
      <c r="C892" s="14"/>
      <c r="D892" s="14"/>
      <c r="E892" s="15"/>
      <c r="F892" s="16"/>
      <c r="G892" s="18"/>
      <c r="H892" s="15"/>
      <c r="I892" s="18"/>
      <c r="J892" s="22"/>
      <c r="K892" s="108"/>
      <c r="L892" s="26"/>
      <c r="M892" s="26"/>
    </row>
    <row r="893">
      <c r="A893" s="12"/>
      <c r="B893" s="13"/>
      <c r="C893" s="14"/>
      <c r="D893" s="14"/>
      <c r="E893" s="15"/>
      <c r="F893" s="16"/>
      <c r="G893" s="18"/>
      <c r="H893" s="15"/>
      <c r="I893" s="18"/>
      <c r="J893" s="22"/>
      <c r="K893" s="108"/>
      <c r="L893" s="26"/>
      <c r="M893" s="26"/>
    </row>
    <row r="894">
      <c r="A894" s="12"/>
      <c r="B894" s="13"/>
      <c r="C894" s="14"/>
      <c r="D894" s="14"/>
      <c r="E894" s="15"/>
      <c r="F894" s="16"/>
      <c r="G894" s="18"/>
      <c r="H894" s="15"/>
      <c r="I894" s="18"/>
      <c r="J894" s="22"/>
      <c r="K894" s="108"/>
      <c r="L894" s="26"/>
      <c r="M894" s="26"/>
    </row>
    <row r="895">
      <c r="A895" s="12"/>
      <c r="B895" s="13"/>
      <c r="C895" s="14"/>
      <c r="D895" s="14"/>
      <c r="E895" s="15"/>
      <c r="F895" s="16"/>
      <c r="G895" s="18"/>
      <c r="H895" s="15"/>
      <c r="I895" s="18"/>
      <c r="J895" s="22"/>
      <c r="K895" s="108"/>
      <c r="L895" s="26"/>
      <c r="M895" s="26"/>
    </row>
    <row r="896">
      <c r="A896" s="12"/>
      <c r="B896" s="13"/>
      <c r="C896" s="14"/>
      <c r="D896" s="14"/>
      <c r="E896" s="15"/>
      <c r="F896" s="16"/>
      <c r="G896" s="18"/>
      <c r="H896" s="15"/>
      <c r="I896" s="18"/>
      <c r="J896" s="22"/>
      <c r="K896" s="108"/>
      <c r="L896" s="26"/>
      <c r="M896" s="26"/>
    </row>
    <row r="897">
      <c r="A897" s="12"/>
      <c r="B897" s="13"/>
      <c r="C897" s="14"/>
      <c r="D897" s="14"/>
      <c r="E897" s="15"/>
      <c r="F897" s="16"/>
      <c r="G897" s="18"/>
      <c r="H897" s="15"/>
      <c r="I897" s="18"/>
      <c r="J897" s="22"/>
      <c r="K897" s="108"/>
      <c r="L897" s="26"/>
      <c r="M897" s="26"/>
    </row>
    <row r="898">
      <c r="A898" s="12"/>
      <c r="B898" s="13"/>
      <c r="C898" s="14"/>
      <c r="D898" s="14"/>
      <c r="E898" s="15"/>
      <c r="F898" s="16"/>
      <c r="G898" s="18"/>
      <c r="H898" s="15"/>
      <c r="I898" s="18"/>
      <c r="J898" s="22"/>
      <c r="K898" s="108"/>
      <c r="L898" s="26"/>
      <c r="M898" s="26"/>
    </row>
    <row r="899">
      <c r="A899" s="12"/>
      <c r="B899" s="13"/>
      <c r="C899" s="14"/>
      <c r="D899" s="14"/>
      <c r="E899" s="15"/>
      <c r="F899" s="16"/>
      <c r="G899" s="18"/>
      <c r="H899" s="15"/>
      <c r="I899" s="18"/>
      <c r="J899" s="22"/>
      <c r="K899" s="108"/>
      <c r="L899" s="26"/>
      <c r="M899" s="26"/>
    </row>
    <row r="900">
      <c r="A900" s="12"/>
      <c r="B900" s="13"/>
      <c r="C900" s="14"/>
      <c r="D900" s="14"/>
      <c r="E900" s="15"/>
      <c r="F900" s="16"/>
      <c r="G900" s="18"/>
      <c r="H900" s="15"/>
      <c r="I900" s="18"/>
      <c r="J900" s="22"/>
      <c r="K900" s="108"/>
      <c r="L900" s="26"/>
      <c r="M900" s="26"/>
    </row>
    <row r="901">
      <c r="A901" s="12"/>
      <c r="B901" s="13"/>
      <c r="C901" s="14"/>
      <c r="D901" s="14"/>
      <c r="E901" s="15"/>
      <c r="F901" s="16"/>
      <c r="G901" s="18"/>
      <c r="H901" s="15"/>
      <c r="I901" s="18"/>
      <c r="J901" s="22"/>
      <c r="K901" s="108"/>
      <c r="L901" s="26"/>
      <c r="M901" s="26"/>
    </row>
    <row r="902">
      <c r="A902" s="12"/>
      <c r="B902" s="13"/>
      <c r="C902" s="14"/>
      <c r="D902" s="14"/>
      <c r="E902" s="15"/>
      <c r="F902" s="16"/>
      <c r="G902" s="18"/>
      <c r="H902" s="15"/>
      <c r="I902" s="18"/>
      <c r="J902" s="22"/>
      <c r="K902" s="108"/>
      <c r="L902" s="26"/>
      <c r="M902" s="26"/>
    </row>
    <row r="903">
      <c r="A903" s="12"/>
      <c r="B903" s="13"/>
      <c r="C903" s="14"/>
      <c r="D903" s="14"/>
      <c r="E903" s="15"/>
      <c r="F903" s="16"/>
      <c r="G903" s="18"/>
      <c r="H903" s="15"/>
      <c r="I903" s="18"/>
      <c r="J903" s="22"/>
      <c r="K903" s="108"/>
      <c r="L903" s="26"/>
      <c r="M903" s="26"/>
    </row>
    <row r="904">
      <c r="A904" s="12"/>
      <c r="B904" s="13"/>
      <c r="C904" s="14"/>
      <c r="D904" s="14"/>
      <c r="E904" s="15"/>
      <c r="F904" s="16"/>
      <c r="G904" s="18"/>
      <c r="H904" s="15"/>
      <c r="I904" s="18"/>
      <c r="J904" s="22"/>
      <c r="K904" s="108"/>
      <c r="L904" s="26"/>
      <c r="M904" s="26"/>
    </row>
    <row r="905">
      <c r="A905" s="12"/>
      <c r="B905" s="13"/>
      <c r="C905" s="14"/>
      <c r="D905" s="14"/>
      <c r="E905" s="15"/>
      <c r="F905" s="16"/>
      <c r="G905" s="18"/>
      <c r="H905" s="15"/>
      <c r="I905" s="18"/>
      <c r="J905" s="22"/>
      <c r="K905" s="108"/>
      <c r="L905" s="26"/>
      <c r="M905" s="26"/>
    </row>
    <row r="906">
      <c r="A906" s="12"/>
      <c r="B906" s="13"/>
      <c r="C906" s="14"/>
      <c r="D906" s="14"/>
      <c r="E906" s="15"/>
      <c r="F906" s="16"/>
      <c r="G906" s="18"/>
      <c r="H906" s="15"/>
      <c r="I906" s="18"/>
      <c r="J906" s="22"/>
      <c r="K906" s="108"/>
      <c r="L906" s="26"/>
      <c r="M906" s="26"/>
    </row>
    <row r="907">
      <c r="A907" s="12"/>
      <c r="B907" s="13"/>
      <c r="C907" s="14"/>
      <c r="D907" s="14"/>
      <c r="E907" s="15"/>
      <c r="F907" s="16"/>
      <c r="G907" s="18"/>
      <c r="H907" s="15"/>
      <c r="I907" s="18"/>
      <c r="J907" s="22"/>
      <c r="K907" s="108"/>
      <c r="L907" s="26"/>
      <c r="M907" s="26"/>
    </row>
    <row r="908">
      <c r="A908" s="12"/>
      <c r="B908" s="13"/>
      <c r="C908" s="14"/>
      <c r="D908" s="14"/>
      <c r="E908" s="15"/>
      <c r="F908" s="16"/>
      <c r="G908" s="18"/>
      <c r="H908" s="15"/>
      <c r="I908" s="18"/>
      <c r="J908" s="22"/>
      <c r="K908" s="108"/>
      <c r="L908" s="26"/>
      <c r="M908" s="26"/>
    </row>
    <row r="909">
      <c r="A909" s="12"/>
      <c r="B909" s="13"/>
      <c r="C909" s="14"/>
      <c r="D909" s="14"/>
      <c r="E909" s="15"/>
      <c r="F909" s="16"/>
      <c r="G909" s="18"/>
      <c r="H909" s="15"/>
      <c r="I909" s="18"/>
      <c r="J909" s="22"/>
      <c r="K909" s="108"/>
      <c r="L909" s="26"/>
      <c r="M909" s="26"/>
    </row>
    <row r="910">
      <c r="A910" s="12"/>
      <c r="B910" s="13"/>
      <c r="C910" s="14"/>
      <c r="D910" s="14"/>
      <c r="E910" s="15"/>
      <c r="F910" s="16"/>
      <c r="G910" s="18"/>
      <c r="H910" s="15"/>
      <c r="I910" s="18"/>
      <c r="J910" s="22"/>
      <c r="K910" s="108"/>
      <c r="L910" s="26"/>
      <c r="M910" s="26"/>
    </row>
    <row r="911">
      <c r="A911" s="12"/>
      <c r="B911" s="13"/>
      <c r="C911" s="14"/>
      <c r="D911" s="14"/>
      <c r="E911" s="15"/>
      <c r="F911" s="16"/>
      <c r="G911" s="18"/>
      <c r="H911" s="15"/>
      <c r="I911" s="18"/>
      <c r="J911" s="22"/>
      <c r="K911" s="108"/>
      <c r="L911" s="26"/>
      <c r="M911" s="26"/>
    </row>
    <row r="912">
      <c r="A912" s="12"/>
      <c r="B912" s="13"/>
      <c r="C912" s="14"/>
      <c r="D912" s="14"/>
      <c r="E912" s="15"/>
      <c r="F912" s="16"/>
      <c r="G912" s="18"/>
      <c r="H912" s="15"/>
      <c r="I912" s="18"/>
      <c r="J912" s="22"/>
      <c r="K912" s="108"/>
      <c r="L912" s="26"/>
      <c r="M912" s="26"/>
    </row>
    <row r="913">
      <c r="A913" s="12"/>
      <c r="B913" s="13"/>
      <c r="C913" s="14"/>
      <c r="D913" s="14"/>
      <c r="E913" s="15"/>
      <c r="F913" s="16"/>
      <c r="G913" s="18"/>
      <c r="H913" s="15"/>
      <c r="I913" s="18"/>
      <c r="J913" s="22"/>
      <c r="K913" s="108"/>
      <c r="L913" s="26"/>
      <c r="M913" s="26"/>
    </row>
    <row r="914">
      <c r="A914" s="12"/>
      <c r="B914" s="13"/>
      <c r="C914" s="14"/>
      <c r="D914" s="14"/>
      <c r="E914" s="15"/>
      <c r="F914" s="16"/>
      <c r="G914" s="18"/>
      <c r="H914" s="15"/>
      <c r="I914" s="18"/>
      <c r="J914" s="22"/>
      <c r="K914" s="108"/>
      <c r="L914" s="26"/>
      <c r="M914" s="26"/>
    </row>
    <row r="915">
      <c r="A915" s="12"/>
      <c r="B915" s="13"/>
      <c r="C915" s="14"/>
      <c r="D915" s="14"/>
      <c r="E915" s="15"/>
      <c r="F915" s="16"/>
      <c r="G915" s="18"/>
      <c r="H915" s="15"/>
      <c r="I915" s="18"/>
      <c r="J915" s="22"/>
      <c r="K915" s="108"/>
      <c r="L915" s="26"/>
      <c r="M915" s="26"/>
    </row>
    <row r="916">
      <c r="A916" s="12"/>
      <c r="B916" s="13"/>
      <c r="C916" s="14"/>
      <c r="D916" s="14"/>
      <c r="E916" s="15"/>
      <c r="F916" s="16"/>
      <c r="G916" s="18"/>
      <c r="H916" s="15"/>
      <c r="I916" s="18"/>
      <c r="J916" s="22"/>
      <c r="K916" s="108"/>
      <c r="L916" s="26"/>
      <c r="M916" s="26"/>
    </row>
    <row r="917">
      <c r="A917" s="12"/>
      <c r="B917" s="13"/>
      <c r="C917" s="14"/>
      <c r="D917" s="14"/>
      <c r="E917" s="15"/>
      <c r="F917" s="16"/>
      <c r="G917" s="18"/>
      <c r="H917" s="15"/>
      <c r="I917" s="18"/>
      <c r="J917" s="22"/>
      <c r="K917" s="108"/>
      <c r="L917" s="26"/>
      <c r="M917" s="26"/>
    </row>
    <row r="918">
      <c r="A918" s="12"/>
      <c r="B918" s="13"/>
      <c r="C918" s="14"/>
      <c r="D918" s="14"/>
      <c r="E918" s="15"/>
      <c r="F918" s="16"/>
      <c r="G918" s="18"/>
      <c r="H918" s="15"/>
      <c r="I918" s="18"/>
      <c r="J918" s="22"/>
      <c r="K918" s="108"/>
      <c r="L918" s="26"/>
      <c r="M918" s="26"/>
    </row>
    <row r="919">
      <c r="A919" s="12"/>
      <c r="B919" s="13"/>
      <c r="C919" s="14"/>
      <c r="D919" s="14"/>
      <c r="E919" s="15"/>
      <c r="F919" s="16"/>
      <c r="G919" s="18"/>
      <c r="H919" s="15"/>
      <c r="I919" s="18"/>
      <c r="J919" s="22"/>
      <c r="K919" s="108"/>
      <c r="L919" s="26"/>
      <c r="M919" s="26"/>
    </row>
    <row r="920">
      <c r="A920" s="12"/>
      <c r="B920" s="13"/>
      <c r="C920" s="14"/>
      <c r="D920" s="14"/>
      <c r="E920" s="15"/>
      <c r="F920" s="16"/>
      <c r="G920" s="18"/>
      <c r="H920" s="15"/>
      <c r="I920" s="18"/>
      <c r="J920" s="22"/>
      <c r="K920" s="108"/>
      <c r="L920" s="26"/>
      <c r="M920" s="26"/>
    </row>
    <row r="921">
      <c r="A921" s="12"/>
      <c r="B921" s="13"/>
      <c r="C921" s="14"/>
      <c r="D921" s="14"/>
      <c r="E921" s="15"/>
      <c r="F921" s="16"/>
      <c r="G921" s="18"/>
      <c r="H921" s="15"/>
      <c r="I921" s="18"/>
      <c r="J921" s="22"/>
      <c r="K921" s="108"/>
      <c r="L921" s="26"/>
      <c r="M921" s="26"/>
    </row>
    <row r="922">
      <c r="A922" s="12"/>
      <c r="B922" s="13"/>
      <c r="C922" s="14"/>
      <c r="D922" s="14"/>
      <c r="E922" s="15"/>
      <c r="F922" s="16"/>
      <c r="G922" s="18"/>
      <c r="H922" s="15"/>
      <c r="I922" s="18"/>
      <c r="J922" s="22"/>
      <c r="K922" s="108"/>
      <c r="L922" s="26"/>
      <c r="M922" s="26"/>
    </row>
    <row r="923">
      <c r="A923" s="12"/>
      <c r="B923" s="13"/>
      <c r="C923" s="14"/>
      <c r="D923" s="14"/>
      <c r="E923" s="15"/>
      <c r="F923" s="16"/>
      <c r="G923" s="18"/>
      <c r="H923" s="15"/>
      <c r="I923" s="18"/>
      <c r="J923" s="22"/>
      <c r="K923" s="108"/>
      <c r="L923" s="26"/>
      <c r="M923" s="26"/>
    </row>
    <row r="924">
      <c r="A924" s="12"/>
      <c r="B924" s="13"/>
      <c r="C924" s="14"/>
      <c r="D924" s="14"/>
      <c r="E924" s="15"/>
      <c r="F924" s="16"/>
      <c r="G924" s="18"/>
      <c r="H924" s="15"/>
      <c r="I924" s="18"/>
      <c r="J924" s="22"/>
      <c r="K924" s="108"/>
      <c r="L924" s="26"/>
      <c r="M924" s="26"/>
    </row>
    <row r="925">
      <c r="A925" s="12"/>
      <c r="B925" s="13"/>
      <c r="C925" s="14"/>
      <c r="D925" s="14"/>
      <c r="E925" s="15"/>
      <c r="F925" s="16"/>
      <c r="G925" s="18"/>
      <c r="H925" s="15"/>
      <c r="I925" s="18"/>
      <c r="J925" s="22"/>
      <c r="K925" s="108"/>
      <c r="L925" s="26"/>
      <c r="M925" s="26"/>
    </row>
    <row r="926">
      <c r="A926" s="12"/>
      <c r="B926" s="13"/>
      <c r="C926" s="14"/>
      <c r="D926" s="14"/>
      <c r="E926" s="15"/>
      <c r="F926" s="16"/>
      <c r="G926" s="18"/>
      <c r="H926" s="15"/>
      <c r="I926" s="18"/>
      <c r="J926" s="22"/>
      <c r="K926" s="108"/>
      <c r="L926" s="26"/>
      <c r="M926" s="26"/>
    </row>
    <row r="927">
      <c r="A927" s="12"/>
      <c r="B927" s="13"/>
      <c r="C927" s="14"/>
      <c r="D927" s="14"/>
      <c r="E927" s="15"/>
      <c r="F927" s="16"/>
      <c r="G927" s="18"/>
      <c r="H927" s="15"/>
      <c r="I927" s="18"/>
      <c r="J927" s="22"/>
      <c r="K927" s="108"/>
      <c r="L927" s="26"/>
      <c r="M927" s="26"/>
    </row>
    <row r="928">
      <c r="A928" s="12"/>
      <c r="B928" s="13"/>
      <c r="C928" s="14"/>
      <c r="D928" s="14"/>
      <c r="E928" s="15"/>
      <c r="F928" s="16"/>
      <c r="G928" s="18"/>
      <c r="H928" s="15"/>
      <c r="I928" s="18"/>
      <c r="J928" s="22"/>
      <c r="K928" s="108"/>
      <c r="L928" s="26"/>
      <c r="M928" s="26"/>
    </row>
    <row r="929">
      <c r="A929" s="12"/>
      <c r="B929" s="13"/>
      <c r="C929" s="14"/>
      <c r="D929" s="14"/>
      <c r="E929" s="15"/>
      <c r="F929" s="16"/>
      <c r="G929" s="18"/>
      <c r="H929" s="15"/>
      <c r="I929" s="18"/>
      <c r="J929" s="22"/>
      <c r="K929" s="108"/>
      <c r="L929" s="26"/>
      <c r="M929" s="26"/>
    </row>
    <row r="930">
      <c r="A930" s="12"/>
      <c r="B930" s="13"/>
      <c r="C930" s="14"/>
      <c r="D930" s="14"/>
      <c r="E930" s="15"/>
      <c r="F930" s="16"/>
      <c r="G930" s="18"/>
      <c r="H930" s="15"/>
      <c r="I930" s="18"/>
      <c r="J930" s="22"/>
      <c r="K930" s="108"/>
      <c r="L930" s="26"/>
      <c r="M930" s="26"/>
    </row>
    <row r="931">
      <c r="A931" s="12"/>
      <c r="B931" s="13"/>
      <c r="C931" s="14"/>
      <c r="D931" s="14"/>
      <c r="E931" s="15"/>
      <c r="F931" s="16"/>
      <c r="G931" s="18"/>
      <c r="H931" s="15"/>
      <c r="I931" s="18"/>
      <c r="J931" s="22"/>
      <c r="K931" s="108"/>
      <c r="L931" s="26"/>
      <c r="M931" s="26"/>
    </row>
    <row r="932">
      <c r="A932" s="12"/>
      <c r="B932" s="13"/>
      <c r="C932" s="14"/>
      <c r="D932" s="14"/>
      <c r="E932" s="15"/>
      <c r="F932" s="16"/>
      <c r="G932" s="18"/>
      <c r="H932" s="15"/>
      <c r="I932" s="18"/>
      <c r="J932" s="22"/>
      <c r="K932" s="108"/>
      <c r="L932" s="26"/>
      <c r="M932" s="26"/>
    </row>
    <row r="933">
      <c r="A933" s="12"/>
      <c r="B933" s="13"/>
      <c r="C933" s="14"/>
      <c r="D933" s="14"/>
      <c r="E933" s="15"/>
      <c r="F933" s="16"/>
      <c r="G933" s="18"/>
      <c r="H933" s="15"/>
      <c r="I933" s="18"/>
      <c r="J933" s="22"/>
      <c r="K933" s="108"/>
      <c r="L933" s="26"/>
      <c r="M933" s="26"/>
    </row>
    <row r="934">
      <c r="A934" s="12"/>
      <c r="B934" s="13"/>
      <c r="C934" s="14"/>
      <c r="D934" s="14"/>
      <c r="E934" s="15"/>
      <c r="F934" s="16"/>
      <c r="G934" s="18"/>
      <c r="H934" s="15"/>
      <c r="I934" s="18"/>
      <c r="J934" s="22"/>
      <c r="K934" s="108"/>
      <c r="L934" s="26"/>
      <c r="M934" s="26"/>
    </row>
    <row r="935">
      <c r="A935" s="12"/>
      <c r="B935" s="13"/>
      <c r="C935" s="14"/>
      <c r="D935" s="14"/>
      <c r="E935" s="15"/>
      <c r="F935" s="16"/>
      <c r="G935" s="18"/>
      <c r="H935" s="15"/>
      <c r="I935" s="18"/>
      <c r="J935" s="22"/>
      <c r="K935" s="108"/>
      <c r="L935" s="26"/>
      <c r="M935" s="26"/>
    </row>
    <row r="936">
      <c r="A936" s="12"/>
      <c r="B936" s="13"/>
      <c r="C936" s="14"/>
      <c r="D936" s="14"/>
      <c r="E936" s="15"/>
      <c r="F936" s="16"/>
      <c r="G936" s="18"/>
      <c r="H936" s="15"/>
      <c r="I936" s="18"/>
      <c r="J936" s="22"/>
      <c r="K936" s="108"/>
      <c r="L936" s="26"/>
      <c r="M936" s="26"/>
    </row>
    <row r="937">
      <c r="A937" s="12"/>
      <c r="B937" s="13"/>
      <c r="C937" s="14"/>
      <c r="D937" s="14"/>
      <c r="E937" s="15"/>
      <c r="F937" s="16"/>
      <c r="G937" s="18"/>
      <c r="H937" s="15"/>
      <c r="I937" s="18"/>
      <c r="J937" s="22"/>
      <c r="K937" s="108"/>
      <c r="L937" s="26"/>
      <c r="M937" s="26"/>
    </row>
    <row r="938">
      <c r="A938" s="12"/>
      <c r="B938" s="13"/>
      <c r="C938" s="14"/>
      <c r="D938" s="14"/>
      <c r="E938" s="15"/>
      <c r="F938" s="16"/>
      <c r="G938" s="18"/>
      <c r="H938" s="15"/>
      <c r="I938" s="18"/>
      <c r="J938" s="22"/>
      <c r="K938" s="108"/>
      <c r="L938" s="26"/>
      <c r="M938" s="26"/>
    </row>
    <row r="939">
      <c r="A939" s="12"/>
      <c r="B939" s="13"/>
      <c r="C939" s="14"/>
      <c r="D939" s="14"/>
      <c r="E939" s="15"/>
      <c r="F939" s="16"/>
      <c r="G939" s="18"/>
      <c r="H939" s="15"/>
      <c r="I939" s="18"/>
      <c r="J939" s="22"/>
      <c r="K939" s="108"/>
      <c r="L939" s="26"/>
      <c r="M939" s="26"/>
    </row>
    <row r="940">
      <c r="A940" s="12"/>
      <c r="B940" s="13"/>
      <c r="C940" s="14"/>
      <c r="D940" s="14"/>
      <c r="E940" s="15"/>
      <c r="F940" s="16"/>
      <c r="G940" s="18"/>
      <c r="H940" s="15"/>
      <c r="I940" s="18"/>
      <c r="J940" s="22"/>
      <c r="K940" s="108"/>
      <c r="L940" s="26"/>
      <c r="M940" s="26"/>
    </row>
    <row r="941">
      <c r="A941" s="12"/>
      <c r="B941" s="13"/>
      <c r="C941" s="14"/>
      <c r="D941" s="14"/>
      <c r="E941" s="15"/>
      <c r="F941" s="16"/>
      <c r="G941" s="18"/>
      <c r="H941" s="15"/>
      <c r="I941" s="18"/>
      <c r="J941" s="22"/>
      <c r="K941" s="108"/>
      <c r="L941" s="26"/>
      <c r="M941" s="26"/>
    </row>
    <row r="942">
      <c r="A942" s="12"/>
      <c r="B942" s="13"/>
      <c r="C942" s="14"/>
      <c r="D942" s="14"/>
      <c r="E942" s="15"/>
      <c r="F942" s="16"/>
      <c r="G942" s="18"/>
      <c r="H942" s="15"/>
      <c r="I942" s="18"/>
      <c r="J942" s="22"/>
      <c r="K942" s="108"/>
      <c r="L942" s="26"/>
      <c r="M942" s="26"/>
    </row>
    <row r="943">
      <c r="A943" s="12"/>
      <c r="B943" s="13"/>
      <c r="C943" s="14"/>
      <c r="D943" s="14"/>
      <c r="E943" s="15"/>
      <c r="F943" s="16"/>
      <c r="G943" s="18"/>
      <c r="H943" s="15"/>
      <c r="I943" s="18"/>
      <c r="J943" s="22"/>
      <c r="K943" s="108"/>
      <c r="L943" s="26"/>
      <c r="M943" s="26"/>
    </row>
    <row r="944">
      <c r="A944" s="12"/>
      <c r="B944" s="13"/>
      <c r="C944" s="14"/>
      <c r="D944" s="14"/>
      <c r="E944" s="15"/>
      <c r="F944" s="16"/>
      <c r="G944" s="18"/>
      <c r="H944" s="15"/>
      <c r="I944" s="18"/>
      <c r="J944" s="22"/>
      <c r="K944" s="108"/>
      <c r="L944" s="26"/>
      <c r="M944" s="26"/>
    </row>
    <row r="945">
      <c r="A945" s="12"/>
      <c r="B945" s="13"/>
      <c r="C945" s="14"/>
      <c r="D945" s="14"/>
      <c r="E945" s="15"/>
      <c r="F945" s="16"/>
      <c r="G945" s="18"/>
      <c r="H945" s="15"/>
      <c r="I945" s="18"/>
      <c r="J945" s="22"/>
      <c r="K945" s="108"/>
      <c r="L945" s="26"/>
      <c r="M945" s="26"/>
    </row>
    <row r="946">
      <c r="A946" s="12"/>
      <c r="B946" s="13"/>
      <c r="C946" s="14"/>
      <c r="D946" s="14"/>
      <c r="E946" s="15"/>
      <c r="F946" s="16"/>
      <c r="G946" s="18"/>
      <c r="H946" s="15"/>
      <c r="I946" s="18"/>
      <c r="J946" s="22"/>
      <c r="K946" s="108"/>
      <c r="L946" s="26"/>
      <c r="M946" s="26"/>
    </row>
    <row r="947">
      <c r="A947" s="12"/>
      <c r="B947" s="13"/>
      <c r="C947" s="14"/>
      <c r="D947" s="14"/>
      <c r="E947" s="15"/>
      <c r="F947" s="16"/>
      <c r="G947" s="18"/>
      <c r="H947" s="15"/>
      <c r="I947" s="18"/>
      <c r="J947" s="22"/>
      <c r="K947" s="108"/>
      <c r="L947" s="26"/>
      <c r="M947" s="26"/>
    </row>
    <row r="948">
      <c r="A948" s="12"/>
      <c r="B948" s="13"/>
      <c r="C948" s="14"/>
      <c r="D948" s="14"/>
      <c r="E948" s="15"/>
      <c r="F948" s="16"/>
      <c r="G948" s="18"/>
      <c r="H948" s="15"/>
      <c r="I948" s="18"/>
      <c r="J948" s="22"/>
      <c r="K948" s="108"/>
      <c r="L948" s="26"/>
      <c r="M948" s="26"/>
    </row>
    <row r="949">
      <c r="A949" s="12"/>
      <c r="B949" s="13"/>
      <c r="C949" s="14"/>
      <c r="D949" s="14"/>
      <c r="E949" s="15"/>
      <c r="F949" s="16"/>
      <c r="G949" s="18"/>
      <c r="H949" s="15"/>
      <c r="I949" s="18"/>
      <c r="J949" s="22"/>
      <c r="K949" s="108"/>
      <c r="L949" s="26"/>
      <c r="M949" s="26"/>
    </row>
    <row r="950">
      <c r="A950" s="12"/>
      <c r="B950" s="13"/>
      <c r="C950" s="14"/>
      <c r="D950" s="14"/>
      <c r="E950" s="15"/>
      <c r="F950" s="16"/>
      <c r="G950" s="18"/>
      <c r="H950" s="15"/>
      <c r="I950" s="18"/>
      <c r="J950" s="22"/>
      <c r="K950" s="108"/>
      <c r="L950" s="26"/>
      <c r="M950" s="26"/>
    </row>
    <row r="951">
      <c r="A951" s="12"/>
      <c r="B951" s="13"/>
      <c r="C951" s="14"/>
      <c r="D951" s="14"/>
      <c r="E951" s="15"/>
      <c r="F951" s="16"/>
      <c r="G951" s="18"/>
      <c r="H951" s="15"/>
      <c r="I951" s="18"/>
      <c r="J951" s="22"/>
      <c r="K951" s="108"/>
      <c r="L951" s="26"/>
      <c r="M951" s="26"/>
    </row>
    <row r="952">
      <c r="A952" s="12"/>
      <c r="B952" s="13"/>
      <c r="C952" s="14"/>
      <c r="D952" s="14"/>
      <c r="E952" s="15"/>
      <c r="F952" s="16"/>
      <c r="G952" s="18"/>
      <c r="H952" s="15"/>
      <c r="I952" s="18"/>
      <c r="J952" s="22"/>
      <c r="K952" s="108"/>
      <c r="L952" s="26"/>
      <c r="M952" s="26"/>
    </row>
    <row r="953">
      <c r="A953" s="12"/>
      <c r="B953" s="13"/>
      <c r="C953" s="14"/>
      <c r="D953" s="14"/>
      <c r="E953" s="15"/>
      <c r="F953" s="16"/>
      <c r="G953" s="18"/>
      <c r="H953" s="15"/>
      <c r="I953" s="18"/>
      <c r="J953" s="22"/>
      <c r="K953" s="108"/>
      <c r="L953" s="26"/>
      <c r="M953" s="26"/>
    </row>
    <row r="954">
      <c r="A954" s="12"/>
      <c r="B954" s="13"/>
      <c r="C954" s="14"/>
      <c r="D954" s="14"/>
      <c r="E954" s="15"/>
      <c r="F954" s="16"/>
      <c r="G954" s="18"/>
      <c r="H954" s="15"/>
      <c r="I954" s="18"/>
      <c r="J954" s="22"/>
      <c r="K954" s="108"/>
      <c r="L954" s="26"/>
      <c r="M954" s="26"/>
    </row>
    <row r="955">
      <c r="A955" s="12"/>
      <c r="B955" s="13"/>
      <c r="C955" s="14"/>
      <c r="D955" s="14"/>
      <c r="E955" s="15"/>
      <c r="F955" s="16"/>
      <c r="G955" s="18"/>
      <c r="H955" s="15"/>
      <c r="I955" s="18"/>
      <c r="J955" s="22"/>
      <c r="K955" s="108"/>
      <c r="L955" s="26"/>
      <c r="M955" s="26"/>
    </row>
    <row r="956">
      <c r="A956" s="12"/>
      <c r="B956" s="13"/>
      <c r="C956" s="14"/>
      <c r="D956" s="14"/>
      <c r="E956" s="15"/>
      <c r="F956" s="16"/>
      <c r="G956" s="18"/>
      <c r="H956" s="15"/>
      <c r="I956" s="18"/>
      <c r="J956" s="22"/>
      <c r="K956" s="108"/>
      <c r="L956" s="26"/>
      <c r="M956" s="26"/>
    </row>
    <row r="957">
      <c r="A957" s="12"/>
      <c r="B957" s="13"/>
      <c r="C957" s="14"/>
      <c r="D957" s="14"/>
      <c r="E957" s="15"/>
      <c r="F957" s="16"/>
      <c r="G957" s="18"/>
      <c r="H957" s="15"/>
      <c r="I957" s="18"/>
      <c r="J957" s="22"/>
      <c r="K957" s="108"/>
      <c r="L957" s="26"/>
      <c r="M957" s="26"/>
    </row>
    <row r="958">
      <c r="A958" s="12"/>
      <c r="B958" s="13"/>
      <c r="C958" s="14"/>
      <c r="D958" s="14"/>
      <c r="E958" s="15"/>
      <c r="F958" s="16"/>
      <c r="G958" s="18"/>
      <c r="H958" s="15"/>
      <c r="I958" s="18"/>
      <c r="J958" s="22"/>
      <c r="K958" s="108"/>
      <c r="L958" s="26"/>
      <c r="M958" s="26"/>
    </row>
    <row r="959">
      <c r="A959" s="12"/>
      <c r="B959" s="13"/>
      <c r="C959" s="14"/>
      <c r="D959" s="14"/>
      <c r="E959" s="15"/>
      <c r="F959" s="16"/>
      <c r="G959" s="18"/>
      <c r="H959" s="15"/>
      <c r="I959" s="18"/>
      <c r="J959" s="22"/>
      <c r="K959" s="108"/>
      <c r="L959" s="26"/>
      <c r="M959" s="26"/>
    </row>
    <row r="960">
      <c r="A960" s="12"/>
      <c r="B960" s="13"/>
      <c r="C960" s="14"/>
      <c r="D960" s="14"/>
      <c r="E960" s="15"/>
      <c r="F960" s="16"/>
      <c r="G960" s="18"/>
      <c r="H960" s="15"/>
      <c r="I960" s="18"/>
      <c r="J960" s="22"/>
      <c r="K960" s="108"/>
      <c r="L960" s="26"/>
      <c r="M960" s="26"/>
    </row>
    <row r="961">
      <c r="A961" s="12"/>
      <c r="B961" s="13"/>
      <c r="C961" s="14"/>
      <c r="D961" s="14"/>
      <c r="E961" s="15"/>
      <c r="F961" s="16"/>
      <c r="G961" s="18"/>
      <c r="H961" s="15"/>
      <c r="I961" s="18"/>
      <c r="J961" s="22"/>
      <c r="K961" s="108"/>
      <c r="L961" s="26"/>
      <c r="M961" s="26"/>
    </row>
    <row r="962">
      <c r="A962" s="12"/>
      <c r="B962" s="13"/>
      <c r="C962" s="14"/>
      <c r="D962" s="14"/>
      <c r="E962" s="15"/>
      <c r="F962" s="16"/>
      <c r="G962" s="18"/>
      <c r="H962" s="15"/>
      <c r="I962" s="18"/>
      <c r="J962" s="22"/>
      <c r="K962" s="108"/>
      <c r="L962" s="26"/>
      <c r="M962" s="26"/>
    </row>
    <row r="963">
      <c r="A963" s="12"/>
      <c r="B963" s="13"/>
      <c r="C963" s="14"/>
      <c r="D963" s="14"/>
      <c r="E963" s="15"/>
      <c r="F963" s="16"/>
      <c r="G963" s="18"/>
      <c r="H963" s="15"/>
      <c r="I963" s="18"/>
      <c r="J963" s="22"/>
      <c r="K963" s="108"/>
      <c r="L963" s="26"/>
      <c r="M963" s="26"/>
    </row>
    <row r="964">
      <c r="A964" s="12"/>
      <c r="B964" s="13"/>
      <c r="C964" s="14"/>
      <c r="D964" s="14"/>
      <c r="E964" s="15"/>
      <c r="F964" s="16"/>
      <c r="G964" s="18"/>
      <c r="H964" s="15"/>
      <c r="I964" s="18"/>
      <c r="J964" s="22"/>
      <c r="K964" s="108"/>
      <c r="L964" s="26"/>
      <c r="M964" s="26"/>
    </row>
    <row r="965">
      <c r="A965" s="12"/>
      <c r="B965" s="13"/>
      <c r="C965" s="14"/>
      <c r="D965" s="14"/>
      <c r="E965" s="15"/>
      <c r="F965" s="16"/>
      <c r="G965" s="18"/>
      <c r="H965" s="15"/>
      <c r="I965" s="18"/>
      <c r="J965" s="22"/>
      <c r="K965" s="108"/>
      <c r="L965" s="26"/>
      <c r="M965" s="26"/>
    </row>
    <row r="966">
      <c r="A966" s="12"/>
      <c r="B966" s="13"/>
      <c r="C966" s="14"/>
      <c r="D966" s="14"/>
      <c r="E966" s="15"/>
      <c r="F966" s="16"/>
      <c r="G966" s="18"/>
      <c r="H966" s="15"/>
      <c r="I966" s="18"/>
      <c r="J966" s="22"/>
      <c r="K966" s="108"/>
      <c r="L966" s="26"/>
      <c r="M966" s="26"/>
    </row>
    <row r="967">
      <c r="A967" s="12"/>
      <c r="B967" s="13"/>
      <c r="C967" s="14"/>
      <c r="D967" s="14"/>
      <c r="E967" s="15"/>
      <c r="F967" s="16"/>
      <c r="G967" s="18"/>
      <c r="H967" s="15"/>
      <c r="I967" s="18"/>
      <c r="J967" s="22"/>
      <c r="K967" s="108"/>
      <c r="L967" s="26"/>
      <c r="M967" s="26"/>
    </row>
    <row r="968">
      <c r="A968" s="12"/>
      <c r="B968" s="13"/>
      <c r="C968" s="14"/>
      <c r="D968" s="14"/>
      <c r="E968" s="15"/>
      <c r="F968" s="16"/>
      <c r="G968" s="18"/>
      <c r="H968" s="15"/>
      <c r="I968" s="18"/>
      <c r="J968" s="22"/>
      <c r="K968" s="108"/>
      <c r="L968" s="26"/>
      <c r="M968" s="26"/>
    </row>
    <row r="969">
      <c r="A969" s="12"/>
      <c r="B969" s="13"/>
      <c r="C969" s="14"/>
      <c r="D969" s="14"/>
      <c r="E969" s="15"/>
      <c r="F969" s="16"/>
      <c r="G969" s="18"/>
      <c r="H969" s="15"/>
      <c r="I969" s="18"/>
      <c r="J969" s="22"/>
      <c r="K969" s="108"/>
      <c r="L969" s="26"/>
      <c r="M969" s="26"/>
    </row>
    <row r="970">
      <c r="A970" s="12"/>
      <c r="B970" s="13"/>
      <c r="C970" s="14"/>
      <c r="D970" s="14"/>
      <c r="E970" s="15"/>
      <c r="F970" s="16"/>
      <c r="G970" s="18"/>
      <c r="H970" s="15"/>
      <c r="I970" s="18"/>
      <c r="J970" s="22"/>
      <c r="K970" s="108"/>
      <c r="L970" s="26"/>
      <c r="M970" s="26"/>
    </row>
    <row r="971">
      <c r="A971" s="12"/>
      <c r="B971" s="13"/>
      <c r="C971" s="14"/>
      <c r="D971" s="14"/>
      <c r="E971" s="15"/>
      <c r="F971" s="16"/>
      <c r="G971" s="18"/>
      <c r="H971" s="15"/>
      <c r="I971" s="18"/>
      <c r="J971" s="22"/>
      <c r="K971" s="108"/>
      <c r="L971" s="26"/>
      <c r="M971" s="26"/>
    </row>
    <row r="972">
      <c r="A972" s="12"/>
      <c r="B972" s="13"/>
      <c r="C972" s="14"/>
      <c r="D972" s="14"/>
      <c r="E972" s="15"/>
      <c r="F972" s="16"/>
      <c r="G972" s="18"/>
      <c r="H972" s="15"/>
      <c r="I972" s="18"/>
      <c r="J972" s="22"/>
      <c r="K972" s="108"/>
      <c r="L972" s="26"/>
      <c r="M972" s="26"/>
    </row>
    <row r="973">
      <c r="A973" s="12"/>
      <c r="B973" s="13"/>
      <c r="C973" s="14"/>
      <c r="D973" s="14"/>
      <c r="E973" s="15"/>
      <c r="F973" s="16"/>
      <c r="G973" s="18"/>
      <c r="H973" s="15"/>
      <c r="I973" s="18"/>
      <c r="J973" s="22"/>
      <c r="K973" s="108"/>
      <c r="L973" s="26"/>
      <c r="M973" s="26"/>
    </row>
    <row r="974">
      <c r="A974" s="12"/>
      <c r="B974" s="13"/>
      <c r="C974" s="14"/>
      <c r="D974" s="14"/>
      <c r="E974" s="15"/>
      <c r="F974" s="16"/>
      <c r="G974" s="18"/>
      <c r="H974" s="15"/>
      <c r="I974" s="18"/>
      <c r="J974" s="22"/>
      <c r="K974" s="108"/>
      <c r="L974" s="26"/>
      <c r="M974" s="26"/>
    </row>
    <row r="975">
      <c r="A975" s="12"/>
      <c r="B975" s="13"/>
      <c r="C975" s="14"/>
      <c r="D975" s="14"/>
      <c r="E975" s="15"/>
      <c r="F975" s="16"/>
      <c r="G975" s="18"/>
      <c r="H975" s="15"/>
      <c r="I975" s="18"/>
      <c r="J975" s="22"/>
      <c r="K975" s="108"/>
      <c r="L975" s="26"/>
      <c r="M975" s="26"/>
    </row>
    <row r="976">
      <c r="A976" s="12"/>
      <c r="B976" s="13"/>
      <c r="C976" s="14"/>
      <c r="D976" s="14"/>
      <c r="E976" s="15"/>
      <c r="F976" s="16"/>
      <c r="G976" s="18"/>
      <c r="H976" s="15"/>
      <c r="I976" s="18"/>
      <c r="J976" s="22"/>
      <c r="K976" s="108"/>
      <c r="L976" s="26"/>
      <c r="M976" s="26"/>
    </row>
    <row r="977">
      <c r="A977" s="12"/>
      <c r="B977" s="13"/>
      <c r="C977" s="14"/>
      <c r="D977" s="14"/>
      <c r="E977" s="15"/>
      <c r="F977" s="16"/>
      <c r="G977" s="18"/>
      <c r="H977" s="15"/>
      <c r="I977" s="18"/>
      <c r="J977" s="22"/>
      <c r="K977" s="108"/>
      <c r="L977" s="26"/>
      <c r="M977" s="26"/>
    </row>
    <row r="978">
      <c r="A978" s="12"/>
      <c r="B978" s="13"/>
      <c r="C978" s="14"/>
      <c r="D978" s="14"/>
      <c r="E978" s="15"/>
      <c r="F978" s="16"/>
      <c r="G978" s="18"/>
      <c r="H978" s="15"/>
      <c r="I978" s="18"/>
      <c r="J978" s="22"/>
      <c r="K978" s="108"/>
      <c r="L978" s="26"/>
      <c r="M978" s="26"/>
    </row>
    <row r="979">
      <c r="A979" s="12"/>
      <c r="B979" s="13"/>
      <c r="C979" s="14"/>
      <c r="D979" s="14"/>
      <c r="E979" s="15"/>
      <c r="F979" s="16"/>
      <c r="G979" s="18"/>
      <c r="H979" s="15"/>
      <c r="I979" s="18"/>
      <c r="J979" s="22"/>
      <c r="K979" s="108"/>
      <c r="L979" s="26"/>
      <c r="M979" s="26"/>
    </row>
    <row r="980">
      <c r="A980" s="12"/>
      <c r="B980" s="13"/>
      <c r="C980" s="14"/>
      <c r="D980" s="14"/>
      <c r="E980" s="15"/>
      <c r="F980" s="16"/>
      <c r="G980" s="18"/>
      <c r="H980" s="15"/>
      <c r="I980" s="18"/>
      <c r="J980" s="22"/>
      <c r="K980" s="108"/>
      <c r="L980" s="26"/>
      <c r="M980" s="26"/>
    </row>
    <row r="981">
      <c r="A981" s="12"/>
      <c r="B981" s="13"/>
      <c r="C981" s="14"/>
      <c r="D981" s="14"/>
      <c r="E981" s="15"/>
      <c r="F981" s="16"/>
      <c r="G981" s="18"/>
      <c r="H981" s="15"/>
      <c r="I981" s="18"/>
      <c r="J981" s="22"/>
      <c r="K981" s="108"/>
      <c r="L981" s="26"/>
      <c r="M981" s="26"/>
    </row>
    <row r="982">
      <c r="A982" s="12"/>
      <c r="B982" s="13"/>
      <c r="C982" s="14"/>
      <c r="D982" s="14"/>
      <c r="E982" s="15"/>
      <c r="F982" s="16"/>
      <c r="G982" s="18"/>
      <c r="H982" s="15"/>
      <c r="I982" s="18"/>
      <c r="J982" s="22"/>
      <c r="K982" s="108"/>
      <c r="L982" s="26"/>
      <c r="M982" s="26"/>
    </row>
    <row r="983">
      <c r="A983" s="12"/>
      <c r="B983" s="13"/>
      <c r="C983" s="14"/>
      <c r="D983" s="14"/>
      <c r="E983" s="15"/>
      <c r="F983" s="16"/>
      <c r="G983" s="18"/>
      <c r="H983" s="15"/>
      <c r="I983" s="18"/>
      <c r="J983" s="22"/>
      <c r="K983" s="108"/>
      <c r="L983" s="26"/>
      <c r="M983" s="26"/>
    </row>
    <row r="984">
      <c r="A984" s="12"/>
      <c r="B984" s="13"/>
      <c r="C984" s="14"/>
      <c r="D984" s="14"/>
      <c r="E984" s="15"/>
      <c r="F984" s="16"/>
      <c r="G984" s="18"/>
      <c r="H984" s="15"/>
      <c r="I984" s="18"/>
      <c r="J984" s="22"/>
      <c r="K984" s="108"/>
      <c r="L984" s="26"/>
      <c r="M984" s="26"/>
    </row>
    <row r="985">
      <c r="A985" s="12"/>
      <c r="B985" s="13"/>
      <c r="C985" s="14"/>
      <c r="D985" s="14"/>
      <c r="E985" s="15"/>
      <c r="F985" s="16"/>
      <c r="G985" s="18"/>
      <c r="H985" s="15"/>
      <c r="I985" s="18"/>
      <c r="J985" s="22"/>
      <c r="K985" s="108"/>
      <c r="L985" s="26"/>
      <c r="M985" s="26"/>
    </row>
    <row r="986">
      <c r="A986" s="12"/>
      <c r="B986" s="13"/>
      <c r="C986" s="14"/>
      <c r="D986" s="14"/>
      <c r="E986" s="15"/>
      <c r="F986" s="16"/>
      <c r="G986" s="18"/>
      <c r="H986" s="15"/>
      <c r="I986" s="18"/>
      <c r="J986" s="22"/>
      <c r="K986" s="108"/>
      <c r="L986" s="26"/>
      <c r="M986" s="26"/>
    </row>
    <row r="987">
      <c r="A987" s="12"/>
      <c r="B987" s="13"/>
      <c r="C987" s="14"/>
      <c r="D987" s="14"/>
      <c r="E987" s="15"/>
      <c r="F987" s="16"/>
      <c r="G987" s="18"/>
      <c r="H987" s="15"/>
      <c r="I987" s="18"/>
      <c r="J987" s="22"/>
      <c r="K987" s="108"/>
      <c r="L987" s="26"/>
      <c r="M987" s="26"/>
    </row>
    <row r="988">
      <c r="A988" s="12"/>
      <c r="B988" s="13"/>
      <c r="C988" s="14"/>
      <c r="D988" s="14"/>
      <c r="E988" s="15"/>
      <c r="F988" s="16"/>
      <c r="G988" s="18"/>
      <c r="H988" s="15"/>
      <c r="I988" s="18"/>
      <c r="J988" s="22"/>
      <c r="K988" s="108"/>
      <c r="L988" s="26"/>
      <c r="M988" s="26"/>
    </row>
    <row r="989">
      <c r="A989" s="12"/>
      <c r="B989" s="13"/>
      <c r="C989" s="14"/>
      <c r="D989" s="14"/>
      <c r="E989" s="15"/>
      <c r="F989" s="16"/>
      <c r="G989" s="18"/>
      <c r="H989" s="15"/>
      <c r="I989" s="18"/>
      <c r="J989" s="22"/>
      <c r="K989" s="108"/>
      <c r="L989" s="26"/>
      <c r="M989" s="26"/>
    </row>
    <row r="990">
      <c r="A990" s="12"/>
      <c r="B990" s="13"/>
      <c r="C990" s="14"/>
      <c r="D990" s="14"/>
      <c r="E990" s="15"/>
      <c r="F990" s="16"/>
      <c r="G990" s="18"/>
      <c r="H990" s="15"/>
      <c r="I990" s="18"/>
      <c r="J990" s="22"/>
      <c r="K990" s="108"/>
      <c r="L990" s="26"/>
      <c r="M990" s="26"/>
    </row>
    <row r="991">
      <c r="A991" s="12"/>
      <c r="B991" s="13"/>
      <c r="C991" s="14"/>
      <c r="D991" s="14"/>
      <c r="E991" s="15"/>
      <c r="F991" s="16"/>
      <c r="G991" s="18"/>
      <c r="H991" s="15"/>
      <c r="I991" s="18"/>
      <c r="J991" s="22"/>
      <c r="K991" s="108"/>
      <c r="L991" s="26"/>
      <c r="M991" s="26"/>
    </row>
    <row r="992">
      <c r="A992" s="12"/>
      <c r="B992" s="13"/>
      <c r="C992" s="14"/>
      <c r="D992" s="14"/>
      <c r="E992" s="15"/>
      <c r="F992" s="16"/>
      <c r="G992" s="18"/>
      <c r="H992" s="15"/>
      <c r="I992" s="18"/>
      <c r="J992" s="22"/>
      <c r="K992" s="108"/>
      <c r="L992" s="26"/>
      <c r="M992" s="26"/>
    </row>
    <row r="993">
      <c r="A993" s="12"/>
      <c r="B993" s="13"/>
      <c r="C993" s="14"/>
      <c r="D993" s="14"/>
      <c r="E993" s="15"/>
      <c r="F993" s="16"/>
      <c r="G993" s="18"/>
      <c r="H993" s="15"/>
      <c r="I993" s="18"/>
      <c r="J993" s="22"/>
      <c r="K993" s="108"/>
      <c r="L993" s="26"/>
      <c r="M993" s="26"/>
    </row>
    <row r="994">
      <c r="A994" s="12"/>
      <c r="B994" s="13"/>
      <c r="C994" s="14"/>
      <c r="D994" s="14"/>
      <c r="E994" s="15"/>
      <c r="F994" s="16"/>
      <c r="G994" s="18"/>
      <c r="H994" s="15"/>
      <c r="I994" s="18"/>
      <c r="J994" s="22"/>
      <c r="K994" s="108"/>
      <c r="L994" s="26"/>
      <c r="M994" s="26"/>
    </row>
    <row r="995">
      <c r="A995" s="12"/>
      <c r="B995" s="13"/>
      <c r="C995" s="14"/>
      <c r="D995" s="14"/>
      <c r="E995" s="15"/>
      <c r="F995" s="16"/>
      <c r="G995" s="18"/>
      <c r="H995" s="15"/>
      <c r="I995" s="18"/>
      <c r="J995" s="22"/>
      <c r="K995" s="108"/>
      <c r="L995" s="26"/>
      <c r="M995" s="26"/>
    </row>
    <row r="996">
      <c r="A996" s="12"/>
      <c r="B996" s="13"/>
      <c r="C996" s="14"/>
      <c r="D996" s="14"/>
      <c r="E996" s="15"/>
      <c r="F996" s="16"/>
      <c r="G996" s="18"/>
      <c r="H996" s="15"/>
      <c r="I996" s="18"/>
      <c r="J996" s="22"/>
      <c r="K996" s="108"/>
      <c r="L996" s="26"/>
      <c r="M996" s="26"/>
    </row>
    <row r="997">
      <c r="A997" s="12"/>
      <c r="B997" s="13"/>
      <c r="C997" s="14"/>
      <c r="D997" s="14"/>
      <c r="E997" s="15"/>
      <c r="F997" s="16"/>
      <c r="G997" s="18"/>
      <c r="H997" s="15"/>
      <c r="I997" s="18"/>
      <c r="J997" s="22"/>
      <c r="K997" s="108"/>
      <c r="L997" s="26"/>
      <c r="M997" s="26"/>
    </row>
    <row r="998">
      <c r="A998" s="12"/>
      <c r="B998" s="13"/>
      <c r="C998" s="14"/>
      <c r="D998" s="14"/>
      <c r="E998" s="15"/>
      <c r="F998" s="16"/>
      <c r="G998" s="18"/>
      <c r="H998" s="15"/>
      <c r="I998" s="18"/>
      <c r="J998" s="22"/>
      <c r="K998" s="108"/>
      <c r="L998" s="26"/>
      <c r="M998" s="26"/>
    </row>
    <row r="999">
      <c r="A999" s="12"/>
      <c r="B999" s="13"/>
      <c r="C999" s="14"/>
      <c r="D999" s="14"/>
      <c r="E999" s="15"/>
      <c r="F999" s="16"/>
      <c r="G999" s="18"/>
      <c r="H999" s="15"/>
      <c r="I999" s="18"/>
      <c r="J999" s="22"/>
      <c r="K999" s="108"/>
      <c r="L999" s="26"/>
      <c r="M999" s="26"/>
    </row>
    <row r="1000">
      <c r="A1000" s="12"/>
      <c r="B1000" s="13"/>
      <c r="C1000" s="14"/>
      <c r="D1000" s="14"/>
      <c r="E1000" s="15"/>
      <c r="F1000" s="16"/>
      <c r="G1000" s="18"/>
      <c r="H1000" s="15"/>
      <c r="I1000" s="18"/>
      <c r="J1000" s="22"/>
      <c r="K1000" s="108"/>
      <c r="L1000" s="26"/>
      <c r="M1000" s="26"/>
    </row>
    <row r="1001">
      <c r="A1001" s="12"/>
      <c r="B1001" s="13"/>
      <c r="C1001" s="14"/>
      <c r="D1001" s="14"/>
      <c r="E1001" s="15"/>
      <c r="F1001" s="16"/>
      <c r="G1001" s="18"/>
      <c r="H1001" s="15"/>
      <c r="I1001" s="18"/>
      <c r="J1001" s="22"/>
      <c r="K1001" s="108"/>
      <c r="L1001" s="26"/>
      <c r="M1001" s="26"/>
    </row>
    <row r="1002">
      <c r="A1002" s="12"/>
      <c r="B1002" s="13"/>
      <c r="C1002" s="14"/>
      <c r="D1002" s="14"/>
      <c r="E1002" s="15"/>
      <c r="F1002" s="16"/>
      <c r="G1002" s="18"/>
      <c r="H1002" s="15"/>
      <c r="I1002" s="18"/>
      <c r="J1002" s="22"/>
      <c r="K1002" s="108"/>
      <c r="L1002" s="26"/>
      <c r="M1002" s="26"/>
    </row>
    <row r="1003">
      <c r="A1003" s="12"/>
      <c r="B1003" s="13"/>
      <c r="C1003" s="14"/>
      <c r="D1003" s="14"/>
      <c r="E1003" s="15"/>
      <c r="F1003" s="16"/>
      <c r="G1003" s="18"/>
      <c r="H1003" s="15"/>
      <c r="I1003" s="18"/>
      <c r="J1003" s="22"/>
      <c r="K1003" s="108"/>
      <c r="L1003" s="26"/>
      <c r="M1003" s="26"/>
    </row>
    <row r="1004">
      <c r="A1004" s="12"/>
      <c r="B1004" s="13"/>
      <c r="C1004" s="14"/>
      <c r="D1004" s="14"/>
      <c r="E1004" s="15"/>
      <c r="F1004" s="16"/>
      <c r="G1004" s="18"/>
      <c r="H1004" s="15"/>
      <c r="I1004" s="18"/>
      <c r="J1004" s="22"/>
      <c r="K1004" s="108"/>
      <c r="L1004" s="26"/>
      <c r="M1004" s="26"/>
    </row>
    <row r="1005">
      <c r="A1005" s="12"/>
      <c r="B1005" s="13"/>
      <c r="C1005" s="14"/>
      <c r="D1005" s="14"/>
      <c r="E1005" s="15"/>
      <c r="F1005" s="16"/>
      <c r="G1005" s="18"/>
      <c r="H1005" s="15"/>
      <c r="I1005" s="18"/>
      <c r="J1005" s="22"/>
      <c r="K1005" s="108"/>
      <c r="L1005" s="26"/>
      <c r="M1005" s="26"/>
    </row>
    <row r="1006">
      <c r="A1006" s="12"/>
      <c r="B1006" s="13"/>
      <c r="C1006" s="14"/>
      <c r="D1006" s="14"/>
      <c r="E1006" s="15"/>
      <c r="F1006" s="16"/>
      <c r="G1006" s="18"/>
      <c r="H1006" s="15"/>
      <c r="I1006" s="18"/>
      <c r="J1006" s="22"/>
      <c r="K1006" s="108"/>
      <c r="L1006" s="26"/>
      <c r="M1006" s="26"/>
    </row>
    <row r="1007">
      <c r="A1007" s="12"/>
      <c r="B1007" s="13"/>
      <c r="C1007" s="14"/>
      <c r="D1007" s="14"/>
      <c r="E1007" s="15"/>
      <c r="F1007" s="16"/>
      <c r="G1007" s="18"/>
      <c r="H1007" s="15"/>
      <c r="I1007" s="18"/>
      <c r="J1007" s="22"/>
      <c r="K1007" s="108"/>
      <c r="L1007" s="26"/>
      <c r="M1007" s="26"/>
    </row>
    <row r="1008">
      <c r="A1008" s="12"/>
      <c r="B1008" s="13"/>
      <c r="C1008" s="14"/>
      <c r="D1008" s="14"/>
      <c r="E1008" s="15"/>
      <c r="F1008" s="16"/>
      <c r="G1008" s="18"/>
      <c r="H1008" s="15"/>
      <c r="I1008" s="18"/>
      <c r="J1008" s="22"/>
      <c r="K1008" s="108"/>
      <c r="L1008" s="26"/>
      <c r="M1008" s="26"/>
    </row>
    <row r="1009">
      <c r="A1009" s="12"/>
      <c r="B1009" s="13"/>
      <c r="C1009" s="14"/>
      <c r="D1009" s="14"/>
      <c r="E1009" s="15"/>
      <c r="F1009" s="16"/>
      <c r="G1009" s="18"/>
      <c r="H1009" s="15"/>
      <c r="I1009" s="18"/>
      <c r="J1009" s="22"/>
      <c r="K1009" s="108"/>
      <c r="L1009" s="26"/>
      <c r="M1009" s="26"/>
    </row>
    <row r="1010">
      <c r="A1010" s="12"/>
      <c r="B1010" s="13"/>
      <c r="C1010" s="14"/>
      <c r="D1010" s="14"/>
      <c r="E1010" s="15"/>
      <c r="F1010" s="16"/>
      <c r="G1010" s="18"/>
      <c r="H1010" s="15"/>
      <c r="I1010" s="18"/>
      <c r="J1010" s="22"/>
      <c r="K1010" s="108"/>
      <c r="L1010" s="26"/>
      <c r="M1010" s="26"/>
    </row>
    <row r="1011">
      <c r="A1011" s="12"/>
      <c r="B1011" s="13"/>
      <c r="C1011" s="14"/>
      <c r="D1011" s="14"/>
      <c r="E1011" s="15"/>
      <c r="F1011" s="16"/>
      <c r="G1011" s="18"/>
      <c r="H1011" s="15"/>
      <c r="I1011" s="18"/>
      <c r="J1011" s="22"/>
      <c r="K1011" s="108"/>
      <c r="L1011" s="26"/>
      <c r="M1011" s="26"/>
    </row>
    <row r="1012">
      <c r="A1012" s="12"/>
      <c r="B1012" s="13"/>
      <c r="C1012" s="14"/>
      <c r="D1012" s="14"/>
      <c r="E1012" s="15"/>
      <c r="F1012" s="16"/>
      <c r="G1012" s="18"/>
      <c r="H1012" s="15"/>
      <c r="I1012" s="18"/>
      <c r="J1012" s="22"/>
      <c r="K1012" s="108"/>
      <c r="L1012" s="26"/>
      <c r="M1012" s="26"/>
    </row>
    <row r="1013">
      <c r="A1013" s="12"/>
      <c r="B1013" s="13"/>
      <c r="C1013" s="14"/>
      <c r="D1013" s="14"/>
      <c r="E1013" s="15"/>
      <c r="F1013" s="16"/>
      <c r="G1013" s="18"/>
      <c r="H1013" s="15"/>
      <c r="I1013" s="18"/>
      <c r="J1013" s="22"/>
      <c r="K1013" s="108"/>
      <c r="L1013" s="26"/>
      <c r="M1013" s="26"/>
    </row>
    <row r="1014">
      <c r="A1014" s="12"/>
      <c r="B1014" s="13"/>
      <c r="C1014" s="14"/>
      <c r="D1014" s="14"/>
      <c r="E1014" s="15"/>
      <c r="F1014" s="16"/>
      <c r="G1014" s="18"/>
      <c r="H1014" s="15"/>
      <c r="I1014" s="18"/>
      <c r="J1014" s="22"/>
      <c r="K1014" s="108"/>
      <c r="L1014" s="26"/>
      <c r="M1014" s="26"/>
    </row>
    <row r="1015">
      <c r="A1015" s="12"/>
      <c r="B1015" s="13"/>
      <c r="C1015" s="14"/>
      <c r="D1015" s="14"/>
      <c r="E1015" s="15"/>
      <c r="F1015" s="16"/>
      <c r="G1015" s="18"/>
      <c r="H1015" s="15"/>
      <c r="I1015" s="18"/>
      <c r="J1015" s="22"/>
      <c r="K1015" s="108"/>
      <c r="L1015" s="26"/>
      <c r="M1015" s="26"/>
    </row>
    <row r="1016">
      <c r="A1016" s="12"/>
      <c r="B1016" s="13"/>
      <c r="C1016" s="14"/>
      <c r="D1016" s="14"/>
      <c r="E1016" s="15"/>
      <c r="F1016" s="16"/>
      <c r="G1016" s="18"/>
      <c r="H1016" s="15"/>
      <c r="I1016" s="18"/>
      <c r="J1016" s="22"/>
      <c r="K1016" s="108"/>
      <c r="L1016" s="26"/>
      <c r="M1016" s="26"/>
    </row>
    <row r="1017">
      <c r="A1017" s="12"/>
      <c r="B1017" s="13"/>
      <c r="C1017" s="14"/>
      <c r="D1017" s="14"/>
      <c r="E1017" s="15"/>
      <c r="F1017" s="16"/>
      <c r="G1017" s="18"/>
      <c r="H1017" s="15"/>
      <c r="I1017" s="18"/>
      <c r="J1017" s="22"/>
      <c r="K1017" s="108"/>
      <c r="L1017" s="26"/>
      <c r="M1017" s="26"/>
    </row>
    <row r="1018">
      <c r="A1018" s="12"/>
      <c r="B1018" s="13"/>
      <c r="C1018" s="14"/>
      <c r="D1018" s="14"/>
      <c r="E1018" s="15"/>
      <c r="F1018" s="16"/>
      <c r="G1018" s="18"/>
      <c r="H1018" s="15"/>
      <c r="I1018" s="18"/>
      <c r="J1018" s="22"/>
      <c r="K1018" s="108"/>
      <c r="L1018" s="26"/>
      <c r="M1018" s="26"/>
    </row>
    <row r="1019">
      <c r="A1019" s="12"/>
      <c r="B1019" s="13"/>
      <c r="C1019" s="14"/>
      <c r="D1019" s="14"/>
      <c r="E1019" s="15"/>
      <c r="F1019" s="16"/>
      <c r="G1019" s="18"/>
      <c r="H1019" s="15"/>
      <c r="I1019" s="18"/>
      <c r="J1019" s="22"/>
      <c r="K1019" s="108"/>
      <c r="L1019" s="26"/>
      <c r="M1019" s="26"/>
    </row>
    <row r="1020">
      <c r="A1020" s="12"/>
      <c r="B1020" s="13"/>
      <c r="C1020" s="14"/>
      <c r="D1020" s="14"/>
      <c r="E1020" s="15"/>
      <c r="F1020" s="16"/>
      <c r="G1020" s="18"/>
      <c r="H1020" s="15"/>
      <c r="I1020" s="18"/>
      <c r="J1020" s="22"/>
      <c r="K1020" s="108"/>
      <c r="L1020" s="26"/>
      <c r="M1020" s="26"/>
    </row>
    <row r="1021">
      <c r="A1021" s="12"/>
      <c r="B1021" s="13"/>
      <c r="C1021" s="14"/>
      <c r="D1021" s="14"/>
      <c r="E1021" s="15"/>
      <c r="F1021" s="16"/>
      <c r="G1021" s="18"/>
      <c r="H1021" s="15"/>
      <c r="I1021" s="18"/>
      <c r="J1021" s="22"/>
      <c r="K1021" s="108"/>
      <c r="L1021" s="26"/>
      <c r="M1021" s="26"/>
    </row>
    <row r="1022">
      <c r="A1022" s="12"/>
      <c r="B1022" s="13"/>
      <c r="C1022" s="14"/>
      <c r="D1022" s="14"/>
      <c r="E1022" s="15"/>
      <c r="F1022" s="16"/>
      <c r="G1022" s="18"/>
      <c r="H1022" s="15"/>
      <c r="I1022" s="18"/>
      <c r="J1022" s="22"/>
      <c r="K1022" s="108"/>
      <c r="L1022" s="26"/>
      <c r="M1022" s="26"/>
    </row>
    <row r="1023">
      <c r="A1023" s="12"/>
      <c r="B1023" s="13"/>
      <c r="C1023" s="14"/>
      <c r="D1023" s="14"/>
      <c r="E1023" s="15"/>
      <c r="F1023" s="16"/>
      <c r="G1023" s="18"/>
      <c r="H1023" s="15"/>
      <c r="I1023" s="18"/>
      <c r="J1023" s="22"/>
      <c r="K1023" s="108"/>
      <c r="L1023" s="26"/>
      <c r="M1023" s="26"/>
    </row>
    <row r="1024">
      <c r="A1024" s="12"/>
      <c r="B1024" s="13"/>
      <c r="C1024" s="14"/>
      <c r="D1024" s="14"/>
      <c r="E1024" s="15"/>
      <c r="F1024" s="16"/>
      <c r="G1024" s="18"/>
      <c r="H1024" s="15"/>
      <c r="I1024" s="18"/>
      <c r="J1024" s="22"/>
      <c r="K1024" s="108"/>
      <c r="L1024" s="26"/>
      <c r="M1024" s="26"/>
    </row>
    <row r="1025">
      <c r="A1025" s="12"/>
      <c r="B1025" s="13"/>
      <c r="C1025" s="14"/>
      <c r="D1025" s="14"/>
      <c r="E1025" s="15"/>
      <c r="F1025" s="16"/>
      <c r="G1025" s="18"/>
      <c r="H1025" s="15"/>
      <c r="I1025" s="18"/>
      <c r="J1025" s="22"/>
      <c r="K1025" s="108"/>
      <c r="L1025" s="26"/>
      <c r="M1025" s="26"/>
    </row>
    <row r="1026">
      <c r="A1026" s="12"/>
      <c r="B1026" s="13"/>
      <c r="C1026" s="14"/>
      <c r="D1026" s="14"/>
      <c r="E1026" s="15"/>
      <c r="F1026" s="16"/>
      <c r="G1026" s="18"/>
      <c r="H1026" s="15"/>
      <c r="I1026" s="18"/>
      <c r="J1026" s="22"/>
      <c r="K1026" s="108"/>
      <c r="L1026" s="26"/>
      <c r="M1026" s="26"/>
    </row>
    <row r="1027">
      <c r="A1027" s="12"/>
      <c r="B1027" s="13"/>
      <c r="C1027" s="14"/>
      <c r="D1027" s="14"/>
      <c r="E1027" s="15"/>
      <c r="F1027" s="16"/>
      <c r="G1027" s="18"/>
      <c r="H1027" s="15"/>
      <c r="I1027" s="18"/>
      <c r="J1027" s="22"/>
      <c r="K1027" s="108"/>
      <c r="L1027" s="26"/>
      <c r="M1027" s="26"/>
    </row>
    <row r="1028">
      <c r="A1028" s="12"/>
      <c r="B1028" s="13"/>
      <c r="C1028" s="14"/>
      <c r="D1028" s="14"/>
      <c r="E1028" s="15"/>
      <c r="F1028" s="16"/>
      <c r="G1028" s="18"/>
      <c r="H1028" s="15"/>
      <c r="I1028" s="18"/>
      <c r="J1028" s="22"/>
      <c r="K1028" s="108"/>
      <c r="L1028" s="26"/>
      <c r="M1028" s="26"/>
    </row>
    <row r="1029">
      <c r="A1029" s="12"/>
      <c r="B1029" s="13"/>
      <c r="C1029" s="14"/>
      <c r="D1029" s="14"/>
      <c r="E1029" s="15"/>
      <c r="F1029" s="16"/>
      <c r="G1029" s="18"/>
      <c r="H1029" s="15"/>
      <c r="I1029" s="18"/>
      <c r="J1029" s="22"/>
      <c r="K1029" s="108"/>
      <c r="L1029" s="26"/>
      <c r="M1029" s="26"/>
    </row>
    <row r="1030">
      <c r="A1030" s="12"/>
      <c r="B1030" s="13"/>
      <c r="C1030" s="14"/>
      <c r="D1030" s="14"/>
      <c r="E1030" s="15"/>
      <c r="F1030" s="16"/>
      <c r="G1030" s="18"/>
      <c r="H1030" s="15"/>
      <c r="I1030" s="18"/>
      <c r="J1030" s="22"/>
      <c r="K1030" s="108"/>
      <c r="L1030" s="26"/>
      <c r="M1030" s="26"/>
    </row>
    <row r="1031">
      <c r="A1031" s="12"/>
      <c r="B1031" s="13"/>
      <c r="C1031" s="14"/>
      <c r="D1031" s="14"/>
      <c r="E1031" s="15"/>
      <c r="F1031" s="16"/>
      <c r="G1031" s="18"/>
      <c r="H1031" s="15"/>
      <c r="I1031" s="18"/>
      <c r="J1031" s="22"/>
      <c r="K1031" s="108"/>
      <c r="L1031" s="26"/>
      <c r="M1031" s="26"/>
    </row>
    <row r="1032">
      <c r="A1032" s="12"/>
      <c r="B1032" s="13"/>
      <c r="C1032" s="14"/>
      <c r="D1032" s="14"/>
      <c r="E1032" s="15"/>
      <c r="F1032" s="16"/>
      <c r="G1032" s="18"/>
      <c r="H1032" s="15"/>
      <c r="I1032" s="18"/>
      <c r="J1032" s="22"/>
      <c r="K1032" s="108"/>
      <c r="L1032" s="26"/>
      <c r="M1032" s="26"/>
    </row>
    <row r="1033">
      <c r="A1033" s="12"/>
      <c r="B1033" s="13"/>
      <c r="C1033" s="14"/>
      <c r="D1033" s="14"/>
      <c r="E1033" s="15"/>
      <c r="F1033" s="16"/>
      <c r="G1033" s="18"/>
      <c r="H1033" s="15"/>
      <c r="I1033" s="18"/>
      <c r="J1033" s="22"/>
      <c r="K1033" s="108"/>
      <c r="L1033" s="26"/>
      <c r="M1033" s="26"/>
    </row>
    <row r="1034">
      <c r="A1034" s="12"/>
      <c r="B1034" s="13"/>
      <c r="C1034" s="14"/>
      <c r="D1034" s="14"/>
      <c r="E1034" s="15"/>
      <c r="F1034" s="16"/>
      <c r="G1034" s="18"/>
      <c r="H1034" s="15"/>
      <c r="I1034" s="18"/>
      <c r="J1034" s="22"/>
      <c r="K1034" s="108"/>
      <c r="L1034" s="26"/>
      <c r="M1034" s="26"/>
    </row>
    <row r="1035">
      <c r="A1035" s="12"/>
      <c r="B1035" s="13"/>
      <c r="C1035" s="14"/>
      <c r="D1035" s="14"/>
      <c r="E1035" s="15"/>
      <c r="F1035" s="16"/>
      <c r="G1035" s="18"/>
      <c r="H1035" s="15"/>
      <c r="I1035" s="18"/>
      <c r="J1035" s="22"/>
      <c r="K1035" s="108"/>
      <c r="L1035" s="26"/>
      <c r="M1035" s="26"/>
    </row>
    <row r="1036">
      <c r="A1036" s="12"/>
      <c r="B1036" s="13"/>
      <c r="C1036" s="14"/>
      <c r="D1036" s="14"/>
      <c r="E1036" s="15"/>
      <c r="F1036" s="16"/>
      <c r="G1036" s="18"/>
      <c r="H1036" s="15"/>
      <c r="I1036" s="18"/>
      <c r="J1036" s="22"/>
      <c r="K1036" s="108"/>
      <c r="L1036" s="26"/>
      <c r="M1036" s="26"/>
    </row>
    <row r="1037">
      <c r="A1037" s="12"/>
      <c r="B1037" s="13"/>
      <c r="C1037" s="14"/>
      <c r="D1037" s="14"/>
      <c r="E1037" s="15"/>
      <c r="F1037" s="16"/>
      <c r="G1037" s="18"/>
      <c r="H1037" s="15"/>
      <c r="I1037" s="18"/>
      <c r="J1037" s="22"/>
      <c r="K1037" s="108"/>
      <c r="L1037" s="26"/>
      <c r="M1037" s="26"/>
    </row>
    <row r="1038">
      <c r="A1038" s="12"/>
      <c r="B1038" s="13"/>
      <c r="C1038" s="14"/>
      <c r="D1038" s="14"/>
      <c r="E1038" s="15"/>
      <c r="F1038" s="16"/>
      <c r="G1038" s="18"/>
      <c r="H1038" s="15"/>
      <c r="I1038" s="18"/>
      <c r="J1038" s="22"/>
      <c r="K1038" s="108"/>
      <c r="L1038" s="26"/>
      <c r="M1038" s="26"/>
    </row>
    <row r="1039">
      <c r="A1039" s="12"/>
      <c r="B1039" s="13"/>
      <c r="C1039" s="14"/>
      <c r="D1039" s="14"/>
      <c r="E1039" s="15"/>
      <c r="F1039" s="16"/>
      <c r="G1039" s="18"/>
      <c r="H1039" s="15"/>
      <c r="I1039" s="18"/>
      <c r="J1039" s="22"/>
      <c r="K1039" s="108"/>
      <c r="L1039" s="26"/>
      <c r="M1039" s="26"/>
    </row>
    <row r="1040">
      <c r="A1040" s="12"/>
      <c r="B1040" s="13"/>
      <c r="C1040" s="14"/>
      <c r="D1040" s="14"/>
      <c r="E1040" s="15"/>
      <c r="F1040" s="16"/>
      <c r="G1040" s="18"/>
      <c r="H1040" s="15"/>
      <c r="I1040" s="18"/>
      <c r="J1040" s="22"/>
      <c r="K1040" s="108"/>
      <c r="L1040" s="26"/>
      <c r="M1040" s="26"/>
    </row>
    <row r="1041">
      <c r="A1041" s="12"/>
      <c r="B1041" s="13"/>
      <c r="C1041" s="14"/>
      <c r="D1041" s="14"/>
      <c r="E1041" s="15"/>
      <c r="F1041" s="16"/>
      <c r="G1041" s="18"/>
      <c r="H1041" s="15"/>
      <c r="I1041" s="18"/>
      <c r="J1041" s="22"/>
      <c r="K1041" s="108"/>
      <c r="L1041" s="26"/>
      <c r="M1041" s="26"/>
    </row>
    <row r="1042">
      <c r="A1042" s="12"/>
      <c r="B1042" s="13"/>
      <c r="C1042" s="14"/>
      <c r="D1042" s="14"/>
      <c r="E1042" s="15"/>
      <c r="F1042" s="16"/>
      <c r="G1042" s="18"/>
      <c r="H1042" s="15"/>
      <c r="I1042" s="18"/>
      <c r="J1042" s="22"/>
      <c r="K1042" s="108"/>
      <c r="L1042" s="26"/>
      <c r="M1042" s="26"/>
    </row>
    <row r="1043">
      <c r="A1043" s="12"/>
      <c r="B1043" s="13"/>
      <c r="C1043" s="14"/>
      <c r="D1043" s="14"/>
      <c r="E1043" s="15"/>
      <c r="F1043" s="16"/>
      <c r="G1043" s="18"/>
      <c r="H1043" s="15"/>
      <c r="I1043" s="18"/>
      <c r="J1043" s="22"/>
      <c r="K1043" s="108"/>
      <c r="L1043" s="26"/>
      <c r="M1043" s="26"/>
    </row>
    <row r="1044">
      <c r="A1044" s="12"/>
      <c r="B1044" s="13"/>
      <c r="C1044" s="14"/>
      <c r="D1044" s="14"/>
      <c r="E1044" s="15"/>
      <c r="F1044" s="16"/>
      <c r="G1044" s="18"/>
      <c r="H1044" s="15"/>
      <c r="I1044" s="18"/>
      <c r="J1044" s="22"/>
      <c r="K1044" s="108"/>
      <c r="L1044" s="26"/>
      <c r="M1044" s="26"/>
    </row>
    <row r="1045">
      <c r="A1045" s="12"/>
      <c r="B1045" s="13"/>
      <c r="C1045" s="14"/>
      <c r="D1045" s="14"/>
      <c r="E1045" s="15"/>
      <c r="F1045" s="16"/>
      <c r="G1045" s="18"/>
      <c r="H1045" s="15"/>
      <c r="I1045" s="18"/>
      <c r="J1045" s="22"/>
      <c r="K1045" s="108"/>
      <c r="L1045" s="26"/>
      <c r="M1045" s="26"/>
    </row>
    <row r="1046">
      <c r="A1046" s="12"/>
      <c r="B1046" s="13"/>
      <c r="C1046" s="14"/>
      <c r="D1046" s="14"/>
      <c r="E1046" s="15"/>
      <c r="F1046" s="16"/>
      <c r="G1046" s="18"/>
      <c r="H1046" s="15"/>
      <c r="I1046" s="18"/>
      <c r="J1046" s="22"/>
      <c r="K1046" s="108"/>
      <c r="L1046" s="26"/>
      <c r="M1046" s="26"/>
    </row>
    <row r="1047">
      <c r="A1047" s="12"/>
      <c r="B1047" s="13"/>
      <c r="C1047" s="14"/>
      <c r="D1047" s="14"/>
      <c r="E1047" s="15"/>
      <c r="F1047" s="16"/>
      <c r="G1047" s="18"/>
      <c r="H1047" s="15"/>
      <c r="I1047" s="18"/>
      <c r="J1047" s="22"/>
      <c r="K1047" s="108"/>
      <c r="L1047" s="26"/>
      <c r="M1047" s="26"/>
    </row>
    <row r="1048">
      <c r="A1048" s="12"/>
      <c r="B1048" s="13"/>
      <c r="C1048" s="14"/>
      <c r="D1048" s="14"/>
      <c r="E1048" s="15"/>
      <c r="F1048" s="16"/>
      <c r="G1048" s="18"/>
      <c r="H1048" s="15"/>
      <c r="I1048" s="18"/>
      <c r="J1048" s="22"/>
      <c r="K1048" s="108"/>
      <c r="L1048" s="26"/>
      <c r="M1048" s="26"/>
    </row>
    <row r="1049">
      <c r="A1049" s="12"/>
      <c r="B1049" s="13"/>
      <c r="C1049" s="14"/>
      <c r="D1049" s="14"/>
      <c r="E1049" s="15"/>
      <c r="F1049" s="16"/>
      <c r="G1049" s="18"/>
      <c r="H1049" s="15"/>
      <c r="I1049" s="18"/>
      <c r="J1049" s="22"/>
      <c r="K1049" s="108"/>
      <c r="L1049" s="26"/>
      <c r="M1049" s="26"/>
    </row>
    <row r="1050">
      <c r="A1050" s="12"/>
      <c r="B1050" s="13"/>
      <c r="C1050" s="14"/>
      <c r="D1050" s="14"/>
      <c r="E1050" s="15"/>
      <c r="F1050" s="16"/>
      <c r="G1050" s="18"/>
      <c r="H1050" s="15"/>
      <c r="I1050" s="18"/>
      <c r="J1050" s="22"/>
      <c r="K1050" s="108"/>
      <c r="L1050" s="26"/>
      <c r="M1050" s="26"/>
    </row>
    <row r="1051">
      <c r="A1051" s="12"/>
      <c r="B1051" s="13"/>
      <c r="C1051" s="14"/>
      <c r="D1051" s="14"/>
      <c r="E1051" s="15"/>
      <c r="F1051" s="16"/>
      <c r="G1051" s="18"/>
      <c r="H1051" s="15"/>
      <c r="I1051" s="18"/>
      <c r="J1051" s="22"/>
      <c r="K1051" s="108"/>
      <c r="L1051" s="26"/>
      <c r="M1051" s="26"/>
    </row>
    <row r="1052">
      <c r="A1052" s="12"/>
      <c r="B1052" s="13"/>
      <c r="C1052" s="14"/>
      <c r="D1052" s="14"/>
      <c r="E1052" s="15"/>
      <c r="F1052" s="16"/>
      <c r="G1052" s="18"/>
      <c r="H1052" s="15"/>
      <c r="I1052" s="18"/>
      <c r="J1052" s="22"/>
      <c r="K1052" s="108"/>
      <c r="L1052" s="26"/>
      <c r="M1052" s="26"/>
    </row>
    <row r="1053">
      <c r="A1053" s="12"/>
      <c r="B1053" s="13"/>
      <c r="C1053" s="14"/>
      <c r="D1053" s="14"/>
      <c r="E1053" s="15"/>
      <c r="F1053" s="16"/>
      <c r="G1053" s="18"/>
      <c r="H1053" s="15"/>
      <c r="I1053" s="18"/>
      <c r="J1053" s="22"/>
      <c r="K1053" s="108"/>
      <c r="L1053" s="26"/>
      <c r="M1053" s="26"/>
    </row>
    <row r="1054">
      <c r="A1054" s="12"/>
      <c r="B1054" s="13"/>
      <c r="C1054" s="14"/>
      <c r="D1054" s="14"/>
      <c r="E1054" s="15"/>
      <c r="F1054" s="16"/>
      <c r="G1054" s="18"/>
      <c r="H1054" s="15"/>
      <c r="I1054" s="18"/>
      <c r="J1054" s="22"/>
      <c r="K1054" s="108"/>
      <c r="L1054" s="26"/>
      <c r="M1054" s="26"/>
    </row>
    <row r="1055">
      <c r="A1055" s="12"/>
      <c r="B1055" s="13"/>
      <c r="C1055" s="14"/>
      <c r="D1055" s="14"/>
      <c r="E1055" s="15"/>
      <c r="F1055" s="16"/>
      <c r="G1055" s="18"/>
      <c r="H1055" s="15"/>
      <c r="I1055" s="18"/>
      <c r="J1055" s="22"/>
      <c r="K1055" s="108"/>
      <c r="L1055" s="26"/>
      <c r="M1055" s="26"/>
    </row>
    <row r="1056">
      <c r="A1056" s="12"/>
      <c r="B1056" s="13"/>
      <c r="C1056" s="14"/>
      <c r="D1056" s="14"/>
      <c r="E1056" s="15"/>
      <c r="F1056" s="16"/>
      <c r="G1056" s="18"/>
      <c r="H1056" s="15"/>
      <c r="I1056" s="18"/>
      <c r="J1056" s="22"/>
      <c r="K1056" s="108"/>
      <c r="L1056" s="26"/>
      <c r="M1056" s="26"/>
    </row>
    <row r="1057">
      <c r="A1057" s="12"/>
      <c r="B1057" s="13"/>
      <c r="C1057" s="14"/>
      <c r="D1057" s="14"/>
      <c r="E1057" s="15"/>
      <c r="F1057" s="16"/>
      <c r="G1057" s="18"/>
      <c r="H1057" s="15"/>
      <c r="I1057" s="18"/>
      <c r="J1057" s="22"/>
      <c r="K1057" s="108"/>
      <c r="L1057" s="26"/>
      <c r="M1057" s="26"/>
    </row>
    <row r="1058">
      <c r="A1058" s="12"/>
      <c r="B1058" s="13"/>
      <c r="C1058" s="14"/>
      <c r="D1058" s="14"/>
      <c r="E1058" s="15"/>
      <c r="F1058" s="16"/>
      <c r="G1058" s="18"/>
      <c r="H1058" s="15"/>
      <c r="I1058" s="18"/>
      <c r="J1058" s="22"/>
      <c r="K1058" s="108"/>
      <c r="L1058" s="26"/>
      <c r="M1058" s="26"/>
    </row>
    <row r="1059">
      <c r="A1059" s="12"/>
      <c r="B1059" s="13"/>
      <c r="C1059" s="14"/>
      <c r="D1059" s="14"/>
      <c r="E1059" s="15"/>
      <c r="F1059" s="16"/>
      <c r="G1059" s="18"/>
      <c r="H1059" s="15"/>
      <c r="I1059" s="18"/>
      <c r="J1059" s="22"/>
      <c r="K1059" s="108"/>
      <c r="L1059" s="26"/>
      <c r="M1059" s="26"/>
    </row>
    <row r="1060">
      <c r="A1060" s="12"/>
      <c r="B1060" s="13"/>
      <c r="C1060" s="14"/>
      <c r="D1060" s="14"/>
      <c r="E1060" s="15"/>
      <c r="F1060" s="16"/>
      <c r="G1060" s="18"/>
      <c r="H1060" s="15"/>
      <c r="I1060" s="18"/>
      <c r="J1060" s="22"/>
      <c r="K1060" s="108"/>
      <c r="L1060" s="26"/>
      <c r="M1060" s="26"/>
    </row>
    <row r="1061">
      <c r="A1061" s="12"/>
      <c r="B1061" s="13"/>
      <c r="C1061" s="14"/>
      <c r="D1061" s="14"/>
      <c r="E1061" s="15"/>
      <c r="F1061" s="16"/>
      <c r="G1061" s="18"/>
      <c r="H1061" s="15"/>
      <c r="I1061" s="18"/>
      <c r="J1061" s="22"/>
      <c r="K1061" s="108"/>
      <c r="L1061" s="26"/>
      <c r="M1061" s="26"/>
    </row>
    <row r="1062">
      <c r="A1062" s="12"/>
      <c r="B1062" s="13"/>
      <c r="C1062" s="14"/>
      <c r="D1062" s="14"/>
      <c r="E1062" s="15"/>
      <c r="F1062" s="16"/>
      <c r="G1062" s="18"/>
      <c r="H1062" s="15"/>
      <c r="I1062" s="18"/>
      <c r="J1062" s="22"/>
      <c r="K1062" s="108"/>
      <c r="L1062" s="26"/>
      <c r="M1062" s="26"/>
    </row>
    <row r="1063">
      <c r="A1063" s="12"/>
      <c r="B1063" s="13"/>
      <c r="C1063" s="14"/>
      <c r="D1063" s="14"/>
      <c r="E1063" s="15"/>
      <c r="F1063" s="16"/>
      <c r="G1063" s="18"/>
      <c r="H1063" s="15"/>
      <c r="I1063" s="18"/>
      <c r="J1063" s="22"/>
      <c r="K1063" s="108"/>
      <c r="L1063" s="26"/>
      <c r="M1063" s="26"/>
    </row>
    <row r="1064">
      <c r="A1064" s="12"/>
      <c r="B1064" s="13"/>
      <c r="C1064" s="14"/>
      <c r="D1064" s="14"/>
      <c r="E1064" s="15"/>
      <c r="F1064" s="16"/>
      <c r="G1064" s="18"/>
      <c r="H1064" s="15"/>
      <c r="I1064" s="18"/>
      <c r="J1064" s="22"/>
      <c r="K1064" s="108"/>
      <c r="L1064" s="26"/>
      <c r="M1064" s="26"/>
    </row>
    <row r="1065">
      <c r="A1065" s="12"/>
      <c r="B1065" s="13"/>
      <c r="C1065" s="14"/>
      <c r="D1065" s="14"/>
      <c r="E1065" s="15"/>
      <c r="F1065" s="16"/>
      <c r="G1065" s="18"/>
      <c r="H1065" s="15"/>
      <c r="I1065" s="18"/>
      <c r="J1065" s="22"/>
      <c r="K1065" s="108"/>
      <c r="L1065" s="26"/>
      <c r="M1065" s="26"/>
    </row>
    <row r="1066">
      <c r="A1066" s="12"/>
      <c r="B1066" s="13"/>
      <c r="C1066" s="14"/>
      <c r="D1066" s="14"/>
      <c r="E1066" s="15"/>
      <c r="F1066" s="16"/>
      <c r="G1066" s="18"/>
      <c r="H1066" s="15"/>
      <c r="I1066" s="18"/>
      <c r="J1066" s="22"/>
      <c r="K1066" s="108"/>
      <c r="L1066" s="26"/>
      <c r="M1066" s="26"/>
    </row>
    <row r="1067">
      <c r="A1067" s="12"/>
      <c r="B1067" s="13"/>
      <c r="C1067" s="14"/>
      <c r="D1067" s="14"/>
      <c r="E1067" s="15"/>
      <c r="F1067" s="16"/>
      <c r="G1067" s="18"/>
      <c r="H1067" s="15"/>
      <c r="I1067" s="18"/>
      <c r="J1067" s="22"/>
      <c r="K1067" s="108"/>
      <c r="L1067" s="26"/>
      <c r="M1067" s="26"/>
    </row>
    <row r="1068">
      <c r="A1068" s="12"/>
      <c r="B1068" s="13"/>
      <c r="C1068" s="14"/>
      <c r="D1068" s="14"/>
      <c r="E1068" s="15"/>
      <c r="F1068" s="16"/>
      <c r="G1068" s="18"/>
      <c r="H1068" s="15"/>
      <c r="I1068" s="18"/>
      <c r="J1068" s="22"/>
      <c r="K1068" s="108"/>
      <c r="L1068" s="26"/>
      <c r="M1068" s="26"/>
    </row>
    <row r="1069">
      <c r="A1069" s="12"/>
      <c r="B1069" s="13"/>
      <c r="C1069" s="14"/>
      <c r="D1069" s="14"/>
      <c r="E1069" s="15"/>
      <c r="F1069" s="16"/>
      <c r="G1069" s="18"/>
      <c r="H1069" s="15"/>
      <c r="I1069" s="18"/>
      <c r="J1069" s="22"/>
      <c r="K1069" s="108"/>
      <c r="L1069" s="26"/>
      <c r="M1069" s="26"/>
    </row>
    <row r="1070">
      <c r="A1070" s="12"/>
      <c r="B1070" s="13"/>
      <c r="C1070" s="14"/>
      <c r="D1070" s="14"/>
      <c r="E1070" s="15"/>
      <c r="F1070" s="16"/>
      <c r="G1070" s="18"/>
      <c r="H1070" s="15"/>
      <c r="I1070" s="18"/>
      <c r="J1070" s="22"/>
      <c r="K1070" s="108"/>
      <c r="L1070" s="26"/>
      <c r="M1070" s="26"/>
    </row>
    <row r="1071">
      <c r="A1071" s="12"/>
      <c r="B1071" s="13"/>
      <c r="C1071" s="14"/>
      <c r="D1071" s="14"/>
      <c r="E1071" s="15"/>
      <c r="F1071" s="16"/>
      <c r="G1071" s="18"/>
      <c r="H1071" s="15"/>
      <c r="I1071" s="18"/>
      <c r="J1071" s="22"/>
      <c r="K1071" s="108"/>
      <c r="L1071" s="26"/>
      <c r="M1071" s="26"/>
    </row>
    <row r="1072">
      <c r="A1072" s="12"/>
      <c r="B1072" s="13"/>
      <c r="C1072" s="14"/>
      <c r="D1072" s="14"/>
      <c r="E1072" s="15"/>
      <c r="F1072" s="16"/>
      <c r="G1072" s="18"/>
      <c r="H1072" s="15"/>
      <c r="I1072" s="18"/>
      <c r="J1072" s="22"/>
      <c r="K1072" s="108"/>
      <c r="L1072" s="26"/>
      <c r="M1072" s="26"/>
    </row>
    <row r="1073">
      <c r="A1073" s="12"/>
      <c r="B1073" s="13"/>
      <c r="C1073" s="14"/>
      <c r="D1073" s="14"/>
      <c r="E1073" s="15"/>
      <c r="F1073" s="16"/>
      <c r="G1073" s="18"/>
      <c r="H1073" s="15"/>
      <c r="I1073" s="18"/>
      <c r="J1073" s="22"/>
      <c r="K1073" s="108"/>
      <c r="L1073" s="26"/>
      <c r="M1073" s="26"/>
    </row>
    <row r="1074">
      <c r="A1074" s="12"/>
      <c r="B1074" s="13"/>
      <c r="C1074" s="14"/>
      <c r="D1074" s="14"/>
      <c r="E1074" s="15"/>
      <c r="F1074" s="16"/>
      <c r="G1074" s="18"/>
      <c r="H1074" s="15"/>
      <c r="I1074" s="18"/>
      <c r="J1074" s="22"/>
      <c r="K1074" s="108"/>
      <c r="L1074" s="26"/>
      <c r="M1074" s="26"/>
    </row>
    <row r="1075">
      <c r="A1075" s="12"/>
      <c r="B1075" s="13"/>
      <c r="C1075" s="14"/>
      <c r="D1075" s="14"/>
      <c r="E1075" s="15"/>
      <c r="F1075" s="16"/>
      <c r="G1075" s="18"/>
      <c r="H1075" s="15"/>
      <c r="I1075" s="18"/>
      <c r="J1075" s="22"/>
      <c r="K1075" s="108"/>
      <c r="L1075" s="26"/>
      <c r="M1075" s="26"/>
    </row>
    <row r="1076">
      <c r="A1076" s="12"/>
      <c r="B1076" s="13"/>
      <c r="C1076" s="14"/>
      <c r="D1076" s="14"/>
      <c r="E1076" s="15"/>
      <c r="F1076" s="16"/>
      <c r="G1076" s="18"/>
      <c r="H1076" s="15"/>
      <c r="I1076" s="18"/>
      <c r="J1076" s="22"/>
      <c r="K1076" s="108"/>
      <c r="L1076" s="26"/>
      <c r="M1076" s="26"/>
    </row>
    <row r="1077">
      <c r="A1077" s="12"/>
      <c r="B1077" s="13"/>
      <c r="C1077" s="14"/>
      <c r="D1077" s="14"/>
      <c r="E1077" s="15"/>
      <c r="F1077" s="16"/>
      <c r="G1077" s="18"/>
      <c r="H1077" s="15"/>
      <c r="I1077" s="18"/>
      <c r="J1077" s="22"/>
      <c r="K1077" s="108"/>
      <c r="L1077" s="26"/>
      <c r="M1077" s="26"/>
    </row>
    <row r="1078">
      <c r="A1078" s="12"/>
      <c r="B1078" s="13"/>
      <c r="C1078" s="14"/>
      <c r="D1078" s="14"/>
      <c r="E1078" s="15"/>
      <c r="F1078" s="16"/>
      <c r="G1078" s="18"/>
      <c r="H1078" s="15"/>
      <c r="I1078" s="18"/>
      <c r="J1078" s="22"/>
      <c r="K1078" s="108"/>
      <c r="L1078" s="26"/>
      <c r="M1078" s="26"/>
    </row>
    <row r="1079">
      <c r="A1079" s="12"/>
      <c r="B1079" s="13"/>
      <c r="C1079" s="14"/>
      <c r="D1079" s="14"/>
      <c r="E1079" s="15"/>
      <c r="F1079" s="16"/>
      <c r="G1079" s="18"/>
      <c r="H1079" s="15"/>
      <c r="I1079" s="18"/>
      <c r="J1079" s="22"/>
      <c r="K1079" s="108"/>
      <c r="L1079" s="26"/>
      <c r="M1079" s="26"/>
    </row>
    <row r="1080">
      <c r="A1080" s="12"/>
      <c r="B1080" s="13"/>
      <c r="C1080" s="14"/>
      <c r="D1080" s="14"/>
      <c r="E1080" s="15"/>
      <c r="F1080" s="16"/>
      <c r="G1080" s="18"/>
      <c r="H1080" s="15"/>
      <c r="I1080" s="18"/>
      <c r="J1080" s="22"/>
      <c r="K1080" s="108"/>
      <c r="L1080" s="26"/>
      <c r="M1080" s="26"/>
    </row>
    <row r="1081">
      <c r="A1081" s="12"/>
      <c r="B1081" s="13"/>
      <c r="C1081" s="14"/>
      <c r="D1081" s="14"/>
      <c r="E1081" s="15"/>
      <c r="F1081" s="16"/>
      <c r="G1081" s="18"/>
      <c r="H1081" s="15"/>
      <c r="I1081" s="18"/>
      <c r="J1081" s="22"/>
      <c r="K1081" s="108"/>
      <c r="L1081" s="26"/>
      <c r="M1081" s="26"/>
    </row>
    <row r="1082">
      <c r="A1082" s="12"/>
      <c r="B1082" s="13"/>
      <c r="C1082" s="14"/>
      <c r="D1082" s="14"/>
      <c r="E1082" s="15"/>
      <c r="F1082" s="16"/>
      <c r="G1082" s="18"/>
      <c r="H1082" s="15"/>
      <c r="I1082" s="18"/>
      <c r="J1082" s="22"/>
      <c r="K1082" s="108"/>
      <c r="L1082" s="26"/>
      <c r="M1082" s="26"/>
    </row>
    <row r="1083">
      <c r="A1083" s="12"/>
      <c r="B1083" s="13"/>
      <c r="C1083" s="14"/>
      <c r="D1083" s="14"/>
      <c r="E1083" s="15"/>
      <c r="F1083" s="16"/>
      <c r="G1083" s="18"/>
      <c r="H1083" s="15"/>
      <c r="I1083" s="18"/>
      <c r="J1083" s="22"/>
      <c r="K1083" s="108"/>
      <c r="L1083" s="26"/>
      <c r="M1083" s="26"/>
    </row>
    <row r="1084">
      <c r="A1084" s="12"/>
      <c r="B1084" s="13"/>
      <c r="C1084" s="14"/>
      <c r="D1084" s="14"/>
      <c r="E1084" s="15"/>
      <c r="F1084" s="16"/>
      <c r="G1084" s="18"/>
      <c r="H1084" s="15"/>
      <c r="I1084" s="18"/>
      <c r="J1084" s="22"/>
      <c r="K1084" s="108"/>
      <c r="L1084" s="26"/>
      <c r="M1084" s="26"/>
    </row>
    <row r="1085">
      <c r="A1085" s="12"/>
      <c r="B1085" s="13"/>
      <c r="C1085" s="14"/>
      <c r="D1085" s="14"/>
      <c r="E1085" s="15"/>
      <c r="F1085" s="16"/>
      <c r="G1085" s="18"/>
      <c r="H1085" s="15"/>
      <c r="I1085" s="18"/>
      <c r="J1085" s="22"/>
      <c r="K1085" s="108"/>
      <c r="L1085" s="26"/>
      <c r="M1085" s="26"/>
    </row>
    <row r="1086">
      <c r="A1086" s="12"/>
      <c r="B1086" s="13"/>
      <c r="C1086" s="14"/>
      <c r="D1086" s="14"/>
      <c r="E1086" s="15"/>
      <c r="F1086" s="16"/>
      <c r="G1086" s="18"/>
      <c r="H1086" s="15"/>
      <c r="I1086" s="18"/>
      <c r="J1086" s="22"/>
      <c r="K1086" s="108"/>
      <c r="L1086" s="26"/>
      <c r="M1086" s="26"/>
    </row>
    <row r="1087">
      <c r="A1087" s="12"/>
      <c r="B1087" s="13"/>
      <c r="C1087" s="14"/>
      <c r="D1087" s="14"/>
      <c r="E1087" s="15"/>
      <c r="F1087" s="16"/>
      <c r="G1087" s="18"/>
      <c r="H1087" s="15"/>
      <c r="I1087" s="18"/>
      <c r="J1087" s="22"/>
      <c r="K1087" s="108"/>
      <c r="L1087" s="26"/>
      <c r="M1087" s="26"/>
    </row>
    <row r="1088">
      <c r="A1088" s="12"/>
      <c r="B1088" s="13"/>
      <c r="C1088" s="14"/>
      <c r="D1088" s="14"/>
      <c r="E1088" s="15"/>
      <c r="F1088" s="16"/>
      <c r="G1088" s="18"/>
      <c r="H1088" s="15"/>
      <c r="I1088" s="18"/>
      <c r="J1088" s="22"/>
      <c r="K1088" s="108"/>
      <c r="L1088" s="26"/>
      <c r="M1088" s="26"/>
    </row>
    <row r="1089">
      <c r="A1089" s="12"/>
      <c r="B1089" s="13"/>
      <c r="C1089" s="14"/>
      <c r="D1089" s="14"/>
      <c r="E1089" s="15"/>
      <c r="F1089" s="16"/>
      <c r="G1089" s="18"/>
      <c r="H1089" s="15"/>
      <c r="I1089" s="18"/>
      <c r="J1089" s="22"/>
      <c r="K1089" s="108"/>
      <c r="L1089" s="26"/>
      <c r="M1089" s="26"/>
    </row>
    <row r="1090">
      <c r="A1090" s="12"/>
      <c r="B1090" s="13"/>
      <c r="C1090" s="14"/>
      <c r="D1090" s="14"/>
      <c r="E1090" s="15"/>
      <c r="F1090" s="16"/>
      <c r="G1090" s="18"/>
      <c r="H1090" s="15"/>
      <c r="I1090" s="18"/>
      <c r="J1090" s="22"/>
      <c r="K1090" s="108"/>
      <c r="L1090" s="26"/>
      <c r="M1090" s="26"/>
    </row>
    <row r="1091">
      <c r="A1091" s="12"/>
      <c r="B1091" s="13"/>
      <c r="C1091" s="14"/>
      <c r="D1091" s="14"/>
      <c r="E1091" s="15"/>
      <c r="F1091" s="16"/>
      <c r="G1091" s="18"/>
      <c r="H1091" s="15"/>
      <c r="I1091" s="18"/>
      <c r="J1091" s="22"/>
      <c r="K1091" s="108"/>
      <c r="L1091" s="26"/>
      <c r="M1091" s="26"/>
    </row>
    <row r="1092">
      <c r="A1092" s="12"/>
      <c r="B1092" s="13"/>
      <c r="C1092" s="14"/>
      <c r="D1092" s="14"/>
      <c r="E1092" s="15"/>
      <c r="F1092" s="16"/>
      <c r="G1092" s="18"/>
      <c r="H1092" s="15"/>
      <c r="I1092" s="18"/>
      <c r="J1092" s="22"/>
      <c r="K1092" s="108"/>
      <c r="L1092" s="26"/>
      <c r="M1092" s="26"/>
    </row>
    <row r="1093">
      <c r="A1093" s="12"/>
      <c r="B1093" s="13"/>
      <c r="C1093" s="14"/>
      <c r="D1093" s="14"/>
      <c r="E1093" s="15"/>
      <c r="F1093" s="16"/>
      <c r="G1093" s="18"/>
      <c r="H1093" s="15"/>
      <c r="I1093" s="18"/>
      <c r="J1093" s="22"/>
      <c r="K1093" s="108"/>
      <c r="L1093" s="26"/>
      <c r="M1093" s="26"/>
    </row>
    <row r="1094">
      <c r="A1094" s="12"/>
      <c r="B1094" s="13"/>
      <c r="C1094" s="14"/>
      <c r="D1094" s="14"/>
      <c r="E1094" s="15"/>
      <c r="F1094" s="16"/>
      <c r="G1094" s="18"/>
      <c r="H1094" s="15"/>
      <c r="I1094" s="18"/>
      <c r="J1094" s="22"/>
      <c r="K1094" s="108"/>
      <c r="L1094" s="26"/>
      <c r="M1094" s="26"/>
    </row>
    <row r="1095">
      <c r="A1095" s="12"/>
      <c r="B1095" s="13"/>
      <c r="C1095" s="14"/>
      <c r="D1095" s="14"/>
      <c r="E1095" s="15"/>
      <c r="F1095" s="16"/>
      <c r="G1095" s="18"/>
      <c r="H1095" s="15"/>
      <c r="I1095" s="18"/>
      <c r="J1095" s="22"/>
      <c r="K1095" s="108"/>
      <c r="L1095" s="26"/>
      <c r="M1095" s="26"/>
    </row>
    <row r="1096">
      <c r="A1096" s="12"/>
      <c r="B1096" s="13"/>
      <c r="C1096" s="14"/>
      <c r="D1096" s="14"/>
      <c r="E1096" s="15"/>
      <c r="F1096" s="16"/>
      <c r="G1096" s="18"/>
      <c r="H1096" s="15"/>
      <c r="I1096" s="18"/>
      <c r="J1096" s="22"/>
      <c r="K1096" s="108"/>
      <c r="L1096" s="26"/>
      <c r="M1096" s="26"/>
    </row>
    <row r="1097">
      <c r="A1097" s="12"/>
      <c r="B1097" s="13"/>
      <c r="C1097" s="14"/>
      <c r="D1097" s="14"/>
      <c r="E1097" s="15"/>
      <c r="F1097" s="16"/>
      <c r="G1097" s="18"/>
      <c r="H1097" s="15"/>
      <c r="I1097" s="18"/>
      <c r="J1097" s="22"/>
      <c r="K1097" s="108"/>
      <c r="L1097" s="26"/>
      <c r="M1097" s="26"/>
    </row>
    <row r="1098">
      <c r="A1098" s="12"/>
      <c r="B1098" s="13"/>
      <c r="C1098" s="14"/>
      <c r="D1098" s="14"/>
      <c r="E1098" s="15"/>
      <c r="F1098" s="16"/>
      <c r="G1098" s="18"/>
      <c r="H1098" s="15"/>
      <c r="I1098" s="18"/>
      <c r="J1098" s="22"/>
      <c r="K1098" s="108"/>
      <c r="L1098" s="26"/>
      <c r="M1098" s="26"/>
    </row>
    <row r="1099">
      <c r="A1099" s="12"/>
      <c r="B1099" s="13"/>
      <c r="C1099" s="14"/>
      <c r="D1099" s="14"/>
      <c r="E1099" s="15"/>
      <c r="F1099" s="16"/>
      <c r="G1099" s="18"/>
      <c r="H1099" s="15"/>
      <c r="I1099" s="18"/>
      <c r="J1099" s="22"/>
      <c r="K1099" s="108"/>
      <c r="L1099" s="26"/>
      <c r="M1099" s="26"/>
    </row>
    <row r="1100">
      <c r="A1100" s="12"/>
      <c r="B1100" s="13"/>
      <c r="C1100" s="14"/>
      <c r="D1100" s="14"/>
      <c r="E1100" s="15"/>
      <c r="F1100" s="16"/>
      <c r="G1100" s="18"/>
      <c r="H1100" s="15"/>
      <c r="I1100" s="18"/>
      <c r="J1100" s="22"/>
      <c r="K1100" s="108"/>
      <c r="L1100" s="26"/>
      <c r="M1100" s="26"/>
    </row>
    <row r="1101">
      <c r="A1101" s="12"/>
      <c r="B1101" s="13"/>
      <c r="C1101" s="14"/>
      <c r="D1101" s="14"/>
      <c r="E1101" s="15"/>
      <c r="F1101" s="16"/>
      <c r="G1101" s="18"/>
      <c r="H1101" s="15"/>
      <c r="I1101" s="18"/>
      <c r="J1101" s="22"/>
      <c r="K1101" s="108"/>
      <c r="L1101" s="26"/>
      <c r="M1101" s="26"/>
    </row>
    <row r="1102">
      <c r="A1102" s="12"/>
      <c r="B1102" s="13"/>
      <c r="C1102" s="14"/>
      <c r="D1102" s="14"/>
      <c r="E1102" s="15"/>
      <c r="F1102" s="16"/>
      <c r="G1102" s="18"/>
      <c r="H1102" s="15"/>
      <c r="I1102" s="18"/>
      <c r="J1102" s="22"/>
      <c r="K1102" s="108"/>
      <c r="L1102" s="26"/>
      <c r="M1102" s="26"/>
    </row>
    <row r="1103">
      <c r="A1103" s="12"/>
      <c r="B1103" s="13"/>
      <c r="C1103" s="14"/>
      <c r="D1103" s="14"/>
      <c r="E1103" s="15"/>
      <c r="F1103" s="16"/>
      <c r="G1103" s="18"/>
      <c r="H1103" s="15"/>
      <c r="I1103" s="18"/>
      <c r="J1103" s="22"/>
      <c r="K1103" s="108"/>
      <c r="L1103" s="26"/>
      <c r="M1103" s="26"/>
    </row>
    <row r="1104">
      <c r="A1104" s="12"/>
      <c r="B1104" s="13"/>
      <c r="C1104" s="14"/>
      <c r="D1104" s="14"/>
      <c r="E1104" s="15"/>
      <c r="F1104" s="16"/>
      <c r="G1104" s="18"/>
      <c r="H1104" s="15"/>
      <c r="I1104" s="18"/>
      <c r="J1104" s="22"/>
      <c r="K1104" s="108"/>
      <c r="L1104" s="26"/>
      <c r="M1104" s="26"/>
    </row>
    <row r="1105">
      <c r="A1105" s="12"/>
      <c r="B1105" s="13"/>
      <c r="C1105" s="14"/>
      <c r="D1105" s="14"/>
      <c r="E1105" s="15"/>
      <c r="F1105" s="16"/>
      <c r="G1105" s="18"/>
      <c r="H1105" s="15"/>
      <c r="I1105" s="18"/>
      <c r="J1105" s="22"/>
      <c r="K1105" s="108"/>
      <c r="L1105" s="26"/>
      <c r="M1105" s="26"/>
    </row>
    <row r="1106">
      <c r="A1106" s="12"/>
      <c r="B1106" s="13"/>
      <c r="C1106" s="14"/>
      <c r="D1106" s="14"/>
      <c r="E1106" s="15"/>
      <c r="F1106" s="16"/>
      <c r="G1106" s="18"/>
      <c r="H1106" s="15"/>
      <c r="I1106" s="18"/>
      <c r="J1106" s="22"/>
      <c r="K1106" s="108"/>
      <c r="L1106" s="26"/>
      <c r="M1106" s="26"/>
    </row>
    <row r="1107">
      <c r="A1107" s="12"/>
      <c r="B1107" s="13"/>
      <c r="C1107" s="14"/>
      <c r="D1107" s="14"/>
      <c r="E1107" s="15"/>
      <c r="F1107" s="16"/>
      <c r="G1107" s="18"/>
      <c r="H1107" s="15"/>
      <c r="I1107" s="18"/>
      <c r="J1107" s="22"/>
      <c r="K1107" s="108"/>
      <c r="L1107" s="26"/>
      <c r="M1107" s="26"/>
    </row>
    <row r="1108">
      <c r="A1108" s="12"/>
      <c r="B1108" s="13"/>
      <c r="C1108" s="14"/>
      <c r="D1108" s="14"/>
      <c r="E1108" s="15"/>
      <c r="F1108" s="16"/>
      <c r="G1108" s="18"/>
      <c r="H1108" s="15"/>
      <c r="I1108" s="18"/>
      <c r="J1108" s="22"/>
      <c r="K1108" s="108"/>
      <c r="L1108" s="26"/>
      <c r="M1108" s="26"/>
    </row>
    <row r="1109">
      <c r="A1109" s="12"/>
      <c r="B1109" s="13"/>
      <c r="C1109" s="14"/>
      <c r="D1109" s="14"/>
      <c r="E1109" s="15"/>
      <c r="F1109" s="16"/>
      <c r="G1109" s="18"/>
      <c r="H1109" s="15"/>
      <c r="I1109" s="18"/>
      <c r="J1109" s="22"/>
      <c r="K1109" s="108"/>
      <c r="L1109" s="26"/>
      <c r="M1109" s="26"/>
    </row>
    <row r="1110">
      <c r="A1110" s="12"/>
      <c r="B1110" s="13"/>
      <c r="C1110" s="14"/>
      <c r="D1110" s="14"/>
      <c r="E1110" s="15"/>
      <c r="F1110" s="16"/>
      <c r="G1110" s="18"/>
      <c r="H1110" s="15"/>
      <c r="I1110" s="18"/>
      <c r="J1110" s="22"/>
      <c r="K1110" s="108"/>
      <c r="L1110" s="26"/>
      <c r="M1110" s="26"/>
    </row>
    <row r="1111">
      <c r="A1111" s="12"/>
      <c r="B1111" s="13"/>
      <c r="C1111" s="14"/>
      <c r="D1111" s="14"/>
      <c r="E1111" s="15"/>
      <c r="F1111" s="16"/>
      <c r="G1111" s="18"/>
      <c r="H1111" s="15"/>
      <c r="I1111" s="18"/>
      <c r="J1111" s="22"/>
      <c r="K1111" s="108"/>
      <c r="L1111" s="26"/>
      <c r="M1111" s="26"/>
    </row>
    <row r="1112">
      <c r="A1112" s="12"/>
      <c r="B1112" s="13"/>
      <c r="C1112" s="14"/>
      <c r="D1112" s="14"/>
      <c r="E1112" s="15"/>
      <c r="F1112" s="16"/>
      <c r="G1112" s="18"/>
      <c r="H1112" s="15"/>
      <c r="I1112" s="18"/>
      <c r="J1112" s="22"/>
      <c r="K1112" s="108"/>
      <c r="L1112" s="26"/>
      <c r="M1112" s="26"/>
    </row>
    <row r="1113">
      <c r="A1113" s="12"/>
      <c r="B1113" s="13"/>
      <c r="C1113" s="14"/>
      <c r="D1113" s="14"/>
      <c r="E1113" s="15"/>
      <c r="F1113" s="16"/>
      <c r="G1113" s="18"/>
      <c r="H1113" s="15"/>
      <c r="I1113" s="18"/>
      <c r="J1113" s="22"/>
      <c r="K1113" s="108"/>
      <c r="L1113" s="26"/>
      <c r="M1113" s="26"/>
    </row>
    <row r="1114">
      <c r="A1114" s="12"/>
      <c r="B1114" s="13"/>
      <c r="C1114" s="14"/>
      <c r="D1114" s="14"/>
      <c r="E1114" s="15"/>
      <c r="F1114" s="16"/>
      <c r="G1114" s="18"/>
      <c r="H1114" s="15"/>
      <c r="I1114" s="18"/>
      <c r="J1114" s="22"/>
      <c r="K1114" s="108"/>
      <c r="L1114" s="26"/>
      <c r="M1114" s="26"/>
    </row>
    <row r="1115">
      <c r="A1115" s="12"/>
      <c r="B1115" s="13"/>
      <c r="C1115" s="14"/>
      <c r="D1115" s="14"/>
      <c r="E1115" s="15"/>
      <c r="F1115" s="16"/>
      <c r="G1115" s="18"/>
      <c r="H1115" s="15"/>
      <c r="I1115" s="18"/>
      <c r="J1115" s="22"/>
      <c r="K1115" s="108"/>
      <c r="L1115" s="26"/>
      <c r="M1115" s="26"/>
    </row>
    <row r="1116">
      <c r="A1116" s="12"/>
      <c r="B1116" s="13"/>
      <c r="C1116" s="14"/>
      <c r="D1116" s="14"/>
      <c r="E1116" s="15"/>
      <c r="F1116" s="16"/>
      <c r="G1116" s="18"/>
      <c r="H1116" s="15"/>
      <c r="I1116" s="18"/>
      <c r="J1116" s="22"/>
      <c r="K1116" s="108"/>
      <c r="L1116" s="26"/>
      <c r="M1116" s="26"/>
    </row>
    <row r="1117">
      <c r="A1117" s="12"/>
      <c r="B1117" s="13"/>
      <c r="C1117" s="14"/>
      <c r="D1117" s="14"/>
      <c r="E1117" s="15"/>
      <c r="F1117" s="16"/>
      <c r="G1117" s="18"/>
      <c r="H1117" s="15"/>
      <c r="I1117" s="18"/>
      <c r="J1117" s="22"/>
      <c r="K1117" s="108"/>
      <c r="L1117" s="26"/>
      <c r="M1117" s="26"/>
    </row>
    <row r="1118">
      <c r="A1118" s="12"/>
      <c r="B1118" s="13"/>
      <c r="C1118" s="14"/>
      <c r="D1118" s="14"/>
      <c r="E1118" s="15"/>
      <c r="F1118" s="16"/>
      <c r="G1118" s="18"/>
      <c r="H1118" s="15"/>
      <c r="I1118" s="18"/>
      <c r="J1118" s="22"/>
      <c r="K1118" s="108"/>
      <c r="L1118" s="26"/>
      <c r="M1118" s="26"/>
    </row>
    <row r="1119">
      <c r="A1119" s="12"/>
      <c r="B1119" s="13"/>
      <c r="C1119" s="14"/>
      <c r="D1119" s="14"/>
      <c r="E1119" s="15"/>
      <c r="F1119" s="16"/>
      <c r="G1119" s="18"/>
      <c r="H1119" s="15"/>
      <c r="I1119" s="18"/>
      <c r="J1119" s="22"/>
      <c r="K1119" s="108"/>
      <c r="L1119" s="26"/>
      <c r="M1119" s="26"/>
    </row>
    <row r="1120">
      <c r="A1120" s="12"/>
      <c r="B1120" s="13"/>
      <c r="C1120" s="14"/>
      <c r="D1120" s="14"/>
      <c r="E1120" s="15"/>
      <c r="F1120" s="16"/>
      <c r="G1120" s="18"/>
      <c r="H1120" s="15"/>
      <c r="I1120" s="18"/>
      <c r="J1120" s="22"/>
      <c r="K1120" s="108"/>
      <c r="L1120" s="26"/>
      <c r="M1120" s="26"/>
    </row>
    <row r="1121">
      <c r="A1121" s="12"/>
      <c r="B1121" s="13"/>
      <c r="C1121" s="14"/>
      <c r="D1121" s="14"/>
      <c r="E1121" s="15"/>
      <c r="F1121" s="16"/>
      <c r="G1121" s="18"/>
      <c r="H1121" s="15"/>
      <c r="I1121" s="18"/>
      <c r="J1121" s="22"/>
      <c r="K1121" s="108"/>
      <c r="L1121" s="26"/>
      <c r="M1121" s="26"/>
    </row>
    <row r="1122">
      <c r="A1122" s="12"/>
      <c r="B1122" s="13"/>
      <c r="C1122" s="14"/>
      <c r="D1122" s="14"/>
      <c r="E1122" s="15"/>
      <c r="F1122" s="16"/>
      <c r="G1122" s="18"/>
      <c r="H1122" s="15"/>
      <c r="I1122" s="18"/>
      <c r="J1122" s="22"/>
      <c r="K1122" s="108"/>
      <c r="L1122" s="26"/>
      <c r="M1122" s="26"/>
    </row>
    <row r="1123">
      <c r="A1123" s="12"/>
      <c r="B1123" s="13"/>
      <c r="C1123" s="14"/>
      <c r="D1123" s="14"/>
      <c r="E1123" s="15"/>
      <c r="F1123" s="16"/>
      <c r="G1123" s="18"/>
      <c r="H1123" s="15"/>
      <c r="I1123" s="18"/>
      <c r="J1123" s="22"/>
      <c r="K1123" s="108"/>
      <c r="L1123" s="26"/>
      <c r="M1123" s="26"/>
    </row>
    <row r="1124">
      <c r="A1124" s="12"/>
      <c r="B1124" s="13"/>
      <c r="C1124" s="14"/>
      <c r="D1124" s="14"/>
      <c r="E1124" s="15"/>
      <c r="F1124" s="16"/>
      <c r="G1124" s="18"/>
      <c r="H1124" s="15"/>
      <c r="I1124" s="18"/>
      <c r="J1124" s="22"/>
      <c r="K1124" s="108"/>
      <c r="L1124" s="26"/>
      <c r="M1124" s="26"/>
    </row>
    <row r="1125">
      <c r="A1125" s="12"/>
      <c r="B1125" s="13"/>
      <c r="C1125" s="14"/>
      <c r="D1125" s="14"/>
      <c r="E1125" s="15"/>
      <c r="F1125" s="16"/>
      <c r="G1125" s="18"/>
      <c r="H1125" s="15"/>
      <c r="I1125" s="18"/>
      <c r="J1125" s="22"/>
      <c r="K1125" s="108"/>
      <c r="L1125" s="26"/>
      <c r="M1125" s="26"/>
    </row>
    <row r="1126">
      <c r="A1126" s="12"/>
      <c r="B1126" s="13"/>
      <c r="C1126" s="14"/>
      <c r="D1126" s="14"/>
      <c r="E1126" s="15"/>
      <c r="F1126" s="16"/>
      <c r="G1126" s="18"/>
      <c r="H1126" s="15"/>
      <c r="I1126" s="18"/>
      <c r="J1126" s="22"/>
      <c r="K1126" s="108"/>
      <c r="L1126" s="26"/>
      <c r="M1126" s="26"/>
    </row>
    <row r="1127">
      <c r="A1127" s="12"/>
      <c r="B1127" s="13"/>
      <c r="C1127" s="14"/>
      <c r="D1127" s="14"/>
      <c r="E1127" s="15"/>
      <c r="F1127" s="16"/>
      <c r="G1127" s="18"/>
      <c r="H1127" s="15"/>
      <c r="I1127" s="18"/>
      <c r="J1127" s="22"/>
      <c r="K1127" s="108"/>
      <c r="L1127" s="26"/>
      <c r="M1127" s="26"/>
    </row>
    <row r="1128">
      <c r="A1128" s="12"/>
      <c r="B1128" s="13"/>
      <c r="C1128" s="14"/>
      <c r="D1128" s="14"/>
      <c r="E1128" s="15"/>
      <c r="F1128" s="16"/>
      <c r="G1128" s="18"/>
      <c r="H1128" s="15"/>
      <c r="I1128" s="18"/>
      <c r="J1128" s="22"/>
      <c r="K1128" s="108"/>
      <c r="L1128" s="26"/>
      <c r="M1128" s="26"/>
    </row>
    <row r="1129">
      <c r="A1129" s="12"/>
      <c r="B1129" s="13"/>
      <c r="C1129" s="14"/>
      <c r="D1129" s="14"/>
      <c r="E1129" s="15"/>
      <c r="F1129" s="16"/>
      <c r="G1129" s="18"/>
      <c r="H1129" s="15"/>
      <c r="I1129" s="18"/>
      <c r="J1129" s="22"/>
      <c r="K1129" s="108"/>
      <c r="L1129" s="26"/>
      <c r="M1129" s="26"/>
    </row>
    <row r="1130">
      <c r="A1130" s="12"/>
      <c r="B1130" s="13"/>
      <c r="C1130" s="14"/>
      <c r="D1130" s="14"/>
      <c r="E1130" s="15"/>
      <c r="F1130" s="16"/>
      <c r="G1130" s="18"/>
      <c r="H1130" s="15"/>
      <c r="I1130" s="18"/>
      <c r="J1130" s="22"/>
      <c r="K1130" s="108"/>
      <c r="L1130" s="26"/>
      <c r="M1130" s="26"/>
    </row>
    <row r="1131">
      <c r="A1131" s="12"/>
      <c r="B1131" s="13"/>
      <c r="C1131" s="14"/>
      <c r="D1131" s="14"/>
      <c r="E1131" s="15"/>
      <c r="F1131" s="16"/>
      <c r="G1131" s="18"/>
      <c r="H1131" s="15"/>
      <c r="I1131" s="18"/>
      <c r="J1131" s="22"/>
      <c r="K1131" s="108"/>
      <c r="L1131" s="26"/>
      <c r="M1131" s="26"/>
    </row>
    <row r="1132">
      <c r="A1132" s="12"/>
      <c r="B1132" s="13"/>
      <c r="C1132" s="14"/>
      <c r="D1132" s="14"/>
      <c r="E1132" s="15"/>
      <c r="F1132" s="16"/>
      <c r="G1132" s="18"/>
      <c r="H1132" s="15"/>
      <c r="I1132" s="18"/>
      <c r="J1132" s="22"/>
      <c r="K1132" s="108"/>
      <c r="L1132" s="26"/>
      <c r="M1132" s="26"/>
    </row>
    <row r="1133">
      <c r="A1133" s="12"/>
      <c r="B1133" s="13"/>
      <c r="C1133" s="14"/>
      <c r="D1133" s="14"/>
      <c r="E1133" s="15"/>
      <c r="F1133" s="16"/>
      <c r="G1133" s="18"/>
      <c r="H1133" s="15"/>
      <c r="I1133" s="18"/>
      <c r="J1133" s="22"/>
      <c r="K1133" s="108"/>
      <c r="L1133" s="26"/>
      <c r="M1133" s="26"/>
    </row>
    <row r="1134">
      <c r="A1134" s="12"/>
      <c r="B1134" s="13"/>
      <c r="C1134" s="14"/>
      <c r="D1134" s="14"/>
      <c r="E1134" s="15"/>
      <c r="F1134" s="16"/>
      <c r="G1134" s="18"/>
      <c r="H1134" s="15"/>
      <c r="I1134" s="18"/>
      <c r="J1134" s="22"/>
      <c r="K1134" s="108"/>
      <c r="L1134" s="26"/>
      <c r="M1134" s="26"/>
    </row>
    <row r="1135">
      <c r="A1135" s="12"/>
      <c r="B1135" s="13"/>
      <c r="C1135" s="14"/>
      <c r="D1135" s="14"/>
      <c r="E1135" s="15"/>
      <c r="F1135" s="16"/>
      <c r="G1135" s="18"/>
      <c r="H1135" s="15"/>
      <c r="I1135" s="18"/>
      <c r="J1135" s="22"/>
      <c r="K1135" s="108"/>
      <c r="L1135" s="26"/>
      <c r="M1135" s="26"/>
    </row>
    <row r="1136">
      <c r="A1136" s="12"/>
      <c r="B1136" s="13"/>
      <c r="C1136" s="14"/>
      <c r="D1136" s="14"/>
      <c r="E1136" s="15"/>
      <c r="F1136" s="16"/>
      <c r="G1136" s="18"/>
      <c r="H1136" s="15"/>
      <c r="I1136" s="18"/>
      <c r="J1136" s="22"/>
      <c r="K1136" s="108"/>
      <c r="L1136" s="26"/>
      <c r="M1136" s="26"/>
    </row>
    <row r="1137">
      <c r="A1137" s="12"/>
      <c r="B1137" s="13"/>
      <c r="C1137" s="14"/>
      <c r="D1137" s="14"/>
      <c r="E1137" s="15"/>
      <c r="F1137" s="16"/>
      <c r="G1137" s="18"/>
      <c r="H1137" s="15"/>
      <c r="I1137" s="18"/>
      <c r="J1137" s="22"/>
      <c r="K1137" s="108"/>
      <c r="L1137" s="26"/>
      <c r="M1137" s="26"/>
    </row>
    <row r="1138">
      <c r="A1138" s="12"/>
      <c r="B1138" s="13"/>
      <c r="C1138" s="14"/>
      <c r="D1138" s="14"/>
      <c r="E1138" s="15"/>
      <c r="F1138" s="16"/>
      <c r="G1138" s="18"/>
      <c r="H1138" s="15"/>
      <c r="I1138" s="18"/>
      <c r="J1138" s="22"/>
      <c r="K1138" s="108"/>
      <c r="L1138" s="26"/>
      <c r="M1138" s="26"/>
    </row>
    <row r="1139">
      <c r="A1139" s="12"/>
      <c r="B1139" s="13"/>
      <c r="C1139" s="14"/>
      <c r="D1139" s="14"/>
      <c r="E1139" s="15"/>
      <c r="F1139" s="16"/>
      <c r="G1139" s="18"/>
      <c r="H1139" s="15"/>
      <c r="I1139" s="18"/>
      <c r="J1139" s="22"/>
      <c r="K1139" s="108"/>
      <c r="L1139" s="26"/>
      <c r="M1139" s="26"/>
    </row>
    <row r="1140">
      <c r="A1140" s="12"/>
      <c r="B1140" s="13"/>
      <c r="C1140" s="14"/>
      <c r="D1140" s="14"/>
      <c r="E1140" s="15"/>
      <c r="F1140" s="16"/>
      <c r="G1140" s="18"/>
      <c r="H1140" s="15"/>
      <c r="I1140" s="18"/>
      <c r="J1140" s="22"/>
      <c r="K1140" s="108"/>
      <c r="L1140" s="26"/>
      <c r="M1140" s="26"/>
    </row>
    <row r="1141">
      <c r="A1141" s="12"/>
      <c r="B1141" s="13"/>
      <c r="C1141" s="14"/>
      <c r="D1141" s="14"/>
      <c r="E1141" s="15"/>
      <c r="F1141" s="16"/>
      <c r="G1141" s="18"/>
      <c r="H1141" s="15"/>
      <c r="I1141" s="18"/>
      <c r="J1141" s="22"/>
      <c r="K1141" s="108"/>
      <c r="L1141" s="26"/>
      <c r="M1141" s="26"/>
    </row>
    <row r="1142">
      <c r="A1142" s="12"/>
      <c r="B1142" s="13"/>
      <c r="C1142" s="14"/>
      <c r="D1142" s="14"/>
      <c r="E1142" s="15"/>
      <c r="F1142" s="16"/>
      <c r="G1142" s="18"/>
      <c r="H1142" s="15"/>
      <c r="I1142" s="18"/>
      <c r="J1142" s="22"/>
      <c r="K1142" s="108"/>
      <c r="L1142" s="26"/>
      <c r="M1142" s="26"/>
    </row>
    <row r="1143">
      <c r="A1143" s="12"/>
      <c r="B1143" s="13"/>
      <c r="C1143" s="14"/>
      <c r="D1143" s="14"/>
      <c r="E1143" s="15"/>
      <c r="F1143" s="16"/>
      <c r="G1143" s="18"/>
      <c r="H1143" s="15"/>
      <c r="I1143" s="18"/>
      <c r="J1143" s="22"/>
      <c r="K1143" s="108"/>
      <c r="L1143" s="26"/>
      <c r="M1143" s="26"/>
    </row>
    <row r="1144">
      <c r="A1144" s="12"/>
      <c r="B1144" s="13"/>
      <c r="C1144" s="14"/>
      <c r="D1144" s="14"/>
      <c r="E1144" s="15"/>
      <c r="F1144" s="16"/>
      <c r="G1144" s="18"/>
      <c r="H1144" s="15"/>
      <c r="I1144" s="18"/>
      <c r="J1144" s="22"/>
      <c r="K1144" s="108"/>
      <c r="L1144" s="26"/>
      <c r="M1144" s="26"/>
    </row>
    <row r="1145">
      <c r="A1145" s="12"/>
      <c r="B1145" s="13"/>
      <c r="C1145" s="14"/>
      <c r="D1145" s="14"/>
      <c r="E1145" s="15"/>
      <c r="F1145" s="16"/>
      <c r="G1145" s="18"/>
      <c r="H1145" s="15"/>
      <c r="I1145" s="18"/>
      <c r="J1145" s="22"/>
      <c r="K1145" s="108"/>
      <c r="L1145" s="26"/>
      <c r="M1145" s="26"/>
    </row>
    <row r="1146">
      <c r="A1146" s="12"/>
      <c r="B1146" s="13"/>
      <c r="C1146" s="14"/>
      <c r="D1146" s="14"/>
      <c r="E1146" s="15"/>
      <c r="F1146" s="16"/>
      <c r="G1146" s="18"/>
      <c r="H1146" s="15"/>
      <c r="I1146" s="18"/>
      <c r="J1146" s="22"/>
      <c r="K1146" s="108"/>
      <c r="L1146" s="26"/>
      <c r="M1146" s="26"/>
    </row>
    <row r="1147">
      <c r="A1147" s="12"/>
      <c r="B1147" s="13"/>
      <c r="C1147" s="14"/>
      <c r="D1147" s="14"/>
      <c r="E1147" s="15"/>
      <c r="F1147" s="16"/>
      <c r="G1147" s="18"/>
      <c r="H1147" s="15"/>
      <c r="I1147" s="18"/>
      <c r="J1147" s="22"/>
      <c r="K1147" s="108"/>
      <c r="L1147" s="26"/>
      <c r="M1147" s="26"/>
    </row>
    <row r="1148">
      <c r="A1148" s="12"/>
      <c r="B1148" s="13"/>
      <c r="C1148" s="14"/>
      <c r="D1148" s="14"/>
      <c r="E1148" s="15"/>
      <c r="F1148" s="16"/>
      <c r="G1148" s="18"/>
      <c r="H1148" s="15"/>
      <c r="I1148" s="18"/>
      <c r="J1148" s="22"/>
      <c r="K1148" s="108"/>
      <c r="L1148" s="26"/>
      <c r="M1148" s="26"/>
    </row>
    <row r="1149">
      <c r="A1149" s="12"/>
      <c r="B1149" s="13"/>
      <c r="C1149" s="14"/>
      <c r="D1149" s="14"/>
      <c r="E1149" s="15"/>
      <c r="F1149" s="16"/>
      <c r="G1149" s="18"/>
      <c r="H1149" s="15"/>
      <c r="I1149" s="18"/>
      <c r="J1149" s="22"/>
      <c r="K1149" s="108"/>
      <c r="L1149" s="26"/>
      <c r="M1149" s="26"/>
    </row>
    <row r="1150">
      <c r="A1150" s="12"/>
      <c r="B1150" s="13"/>
      <c r="C1150" s="14"/>
      <c r="D1150" s="14"/>
      <c r="E1150" s="15"/>
      <c r="F1150" s="16"/>
      <c r="G1150" s="18"/>
      <c r="H1150" s="15"/>
      <c r="I1150" s="18"/>
      <c r="J1150" s="22"/>
      <c r="K1150" s="108"/>
      <c r="L1150" s="26"/>
      <c r="M1150" s="26"/>
    </row>
    <row r="1151">
      <c r="A1151" s="12"/>
      <c r="B1151" s="13"/>
      <c r="C1151" s="14"/>
      <c r="D1151" s="14"/>
      <c r="E1151" s="15"/>
      <c r="F1151" s="16"/>
      <c r="G1151" s="18"/>
      <c r="H1151" s="15"/>
      <c r="I1151" s="18"/>
      <c r="J1151" s="22"/>
      <c r="K1151" s="108"/>
      <c r="L1151" s="26"/>
      <c r="M1151" s="26"/>
    </row>
    <row r="1152">
      <c r="A1152" s="12"/>
      <c r="B1152" s="13"/>
      <c r="C1152" s="14"/>
      <c r="D1152" s="14"/>
      <c r="E1152" s="15"/>
      <c r="F1152" s="16"/>
      <c r="G1152" s="18"/>
      <c r="H1152" s="15"/>
      <c r="I1152" s="18"/>
      <c r="J1152" s="22"/>
      <c r="K1152" s="108"/>
      <c r="L1152" s="26"/>
      <c r="M1152" s="26"/>
    </row>
    <row r="1153">
      <c r="A1153" s="12"/>
      <c r="B1153" s="13"/>
      <c r="C1153" s="14"/>
      <c r="D1153" s="14"/>
      <c r="E1153" s="15"/>
      <c r="F1153" s="16"/>
      <c r="G1153" s="18"/>
      <c r="H1153" s="15"/>
      <c r="I1153" s="18"/>
      <c r="J1153" s="22"/>
      <c r="K1153" s="108"/>
      <c r="L1153" s="26"/>
      <c r="M1153" s="26"/>
    </row>
    <row r="1154">
      <c r="A1154" s="12"/>
      <c r="B1154" s="13"/>
      <c r="C1154" s="14"/>
      <c r="D1154" s="14"/>
      <c r="E1154" s="15"/>
      <c r="F1154" s="16"/>
      <c r="G1154" s="18"/>
      <c r="H1154" s="15"/>
      <c r="I1154" s="18"/>
      <c r="J1154" s="22"/>
      <c r="K1154" s="108"/>
      <c r="L1154" s="26"/>
      <c r="M1154" s="26"/>
    </row>
    <row r="1155">
      <c r="A1155" s="12"/>
      <c r="B1155" s="13"/>
      <c r="C1155" s="14"/>
      <c r="D1155" s="14"/>
      <c r="E1155" s="15"/>
      <c r="F1155" s="16"/>
      <c r="G1155" s="18"/>
      <c r="H1155" s="15"/>
      <c r="I1155" s="18"/>
      <c r="J1155" s="22"/>
      <c r="K1155" s="108"/>
      <c r="L1155" s="26"/>
      <c r="M1155" s="26"/>
    </row>
    <row r="1156">
      <c r="A1156" s="12"/>
      <c r="B1156" s="13"/>
      <c r="C1156" s="14"/>
      <c r="D1156" s="14"/>
      <c r="E1156" s="15"/>
      <c r="F1156" s="16"/>
      <c r="G1156" s="18"/>
      <c r="H1156" s="15"/>
      <c r="I1156" s="18"/>
      <c r="J1156" s="22"/>
      <c r="K1156" s="108"/>
      <c r="L1156" s="26"/>
      <c r="M1156" s="26"/>
    </row>
    <row r="1157">
      <c r="A1157" s="12"/>
      <c r="B1157" s="13"/>
      <c r="C1157" s="14"/>
      <c r="D1157" s="14"/>
      <c r="E1157" s="15"/>
      <c r="F1157" s="16"/>
      <c r="G1157" s="18"/>
      <c r="H1157" s="15"/>
      <c r="I1157" s="18"/>
      <c r="J1157" s="22"/>
      <c r="K1157" s="108"/>
      <c r="L1157" s="26"/>
      <c r="M1157" s="26"/>
    </row>
    <row r="1158">
      <c r="A1158" s="12"/>
      <c r="B1158" s="13"/>
      <c r="C1158" s="14"/>
      <c r="D1158" s="14"/>
      <c r="E1158" s="15"/>
      <c r="F1158" s="16"/>
      <c r="G1158" s="18"/>
      <c r="H1158" s="15"/>
      <c r="I1158" s="18"/>
      <c r="J1158" s="22"/>
      <c r="K1158" s="108"/>
      <c r="L1158" s="26"/>
      <c r="M1158" s="26"/>
    </row>
    <row r="1159">
      <c r="A1159" s="12"/>
      <c r="B1159" s="13"/>
      <c r="C1159" s="14"/>
      <c r="D1159" s="14"/>
      <c r="E1159" s="15"/>
      <c r="F1159" s="16"/>
      <c r="G1159" s="18"/>
      <c r="H1159" s="15"/>
      <c r="I1159" s="18"/>
      <c r="J1159" s="22"/>
      <c r="K1159" s="108"/>
      <c r="L1159" s="26"/>
      <c r="M1159" s="26"/>
    </row>
    <row r="1160">
      <c r="A1160" s="12"/>
      <c r="B1160" s="13"/>
      <c r="C1160" s="14"/>
      <c r="D1160" s="14"/>
      <c r="E1160" s="15"/>
      <c r="F1160" s="16"/>
      <c r="G1160" s="18"/>
      <c r="H1160" s="15"/>
      <c r="I1160" s="18"/>
      <c r="J1160" s="22"/>
      <c r="K1160" s="108"/>
      <c r="L1160" s="26"/>
      <c r="M1160" s="26"/>
    </row>
    <row r="1161">
      <c r="A1161" s="12"/>
      <c r="B1161" s="13"/>
      <c r="C1161" s="14"/>
      <c r="D1161" s="14"/>
      <c r="E1161" s="15"/>
      <c r="F1161" s="16"/>
      <c r="G1161" s="18"/>
      <c r="H1161" s="15"/>
      <c r="I1161" s="18"/>
      <c r="J1161" s="22"/>
      <c r="K1161" s="108"/>
      <c r="L1161" s="26"/>
      <c r="M1161" s="26"/>
    </row>
    <row r="1162">
      <c r="A1162" s="12"/>
      <c r="B1162" s="13"/>
      <c r="C1162" s="14"/>
      <c r="D1162" s="14"/>
      <c r="E1162" s="15"/>
      <c r="F1162" s="16"/>
      <c r="G1162" s="18"/>
      <c r="H1162" s="15"/>
      <c r="I1162" s="18"/>
      <c r="J1162" s="22"/>
      <c r="K1162" s="108"/>
      <c r="L1162" s="26"/>
      <c r="M1162" s="26"/>
    </row>
    <row r="1163">
      <c r="A1163" s="12"/>
      <c r="B1163" s="13"/>
      <c r="C1163" s="14"/>
      <c r="D1163" s="14"/>
      <c r="E1163" s="15"/>
      <c r="F1163" s="16"/>
      <c r="G1163" s="18"/>
      <c r="H1163" s="15"/>
      <c r="I1163" s="18"/>
      <c r="J1163" s="22"/>
      <c r="K1163" s="108"/>
      <c r="L1163" s="26"/>
      <c r="M1163" s="26"/>
    </row>
    <row r="1164">
      <c r="A1164" s="12"/>
      <c r="B1164" s="13"/>
      <c r="C1164" s="14"/>
      <c r="D1164" s="14"/>
      <c r="E1164" s="15"/>
      <c r="F1164" s="16"/>
      <c r="G1164" s="18"/>
      <c r="H1164" s="15"/>
      <c r="I1164" s="18"/>
      <c r="J1164" s="22"/>
      <c r="K1164" s="108"/>
      <c r="L1164" s="26"/>
      <c r="M1164" s="26"/>
    </row>
    <row r="1165">
      <c r="A1165" s="12"/>
      <c r="B1165" s="13"/>
      <c r="C1165" s="14"/>
      <c r="D1165" s="14"/>
      <c r="E1165" s="15"/>
      <c r="F1165" s="16"/>
      <c r="G1165" s="18"/>
      <c r="H1165" s="15"/>
      <c r="I1165" s="18"/>
      <c r="J1165" s="22"/>
      <c r="K1165" s="108"/>
      <c r="L1165" s="26"/>
      <c r="M1165" s="26"/>
    </row>
    <row r="1166">
      <c r="A1166" s="12"/>
      <c r="B1166" s="13"/>
      <c r="C1166" s="14"/>
      <c r="D1166" s="14"/>
      <c r="E1166" s="15"/>
      <c r="F1166" s="16"/>
      <c r="G1166" s="18"/>
      <c r="H1166" s="15"/>
      <c r="I1166" s="18"/>
      <c r="J1166" s="22"/>
      <c r="K1166" s="108"/>
      <c r="L1166" s="26"/>
      <c r="M1166" s="26"/>
    </row>
    <row r="1167">
      <c r="A1167" s="12"/>
      <c r="B1167" s="13"/>
      <c r="C1167" s="14"/>
      <c r="D1167" s="14"/>
      <c r="E1167" s="15"/>
      <c r="F1167" s="16"/>
      <c r="G1167" s="18"/>
      <c r="H1167" s="15"/>
      <c r="I1167" s="18"/>
      <c r="J1167" s="22"/>
      <c r="K1167" s="108"/>
      <c r="L1167" s="26"/>
      <c r="M1167" s="26"/>
    </row>
    <row r="1168">
      <c r="A1168" s="12"/>
      <c r="B1168" s="13"/>
      <c r="C1168" s="14"/>
      <c r="D1168" s="14"/>
      <c r="E1168" s="15"/>
      <c r="F1168" s="16"/>
      <c r="G1168" s="18"/>
      <c r="H1168" s="15"/>
      <c r="I1168" s="18"/>
      <c r="J1168" s="22"/>
      <c r="K1168" s="108"/>
      <c r="L1168" s="26"/>
      <c r="M1168" s="26"/>
    </row>
    <row r="1169">
      <c r="A1169" s="12"/>
      <c r="B1169" s="13"/>
      <c r="C1169" s="14"/>
      <c r="D1169" s="14"/>
      <c r="E1169" s="15"/>
      <c r="F1169" s="16"/>
      <c r="G1169" s="18"/>
      <c r="H1169" s="15"/>
      <c r="I1169" s="18"/>
      <c r="J1169" s="22"/>
      <c r="K1169" s="108"/>
      <c r="L1169" s="26"/>
      <c r="M1169" s="26"/>
    </row>
    <row r="1170">
      <c r="A1170" s="12"/>
      <c r="B1170" s="13"/>
      <c r="C1170" s="14"/>
      <c r="D1170" s="14"/>
      <c r="E1170" s="15"/>
      <c r="F1170" s="16"/>
      <c r="G1170" s="18"/>
      <c r="H1170" s="15"/>
      <c r="I1170" s="18"/>
      <c r="J1170" s="22"/>
      <c r="K1170" s="108"/>
      <c r="L1170" s="26"/>
      <c r="M1170" s="26"/>
    </row>
    <row r="1171">
      <c r="A1171" s="12"/>
      <c r="B1171" s="13"/>
      <c r="C1171" s="14"/>
      <c r="D1171" s="14"/>
      <c r="E1171" s="15"/>
      <c r="F1171" s="16"/>
      <c r="G1171" s="18"/>
      <c r="H1171" s="15"/>
      <c r="I1171" s="18"/>
      <c r="J1171" s="22"/>
      <c r="K1171" s="108"/>
      <c r="L1171" s="26"/>
      <c r="M1171" s="26"/>
    </row>
    <row r="1172">
      <c r="A1172" s="12"/>
      <c r="B1172" s="13"/>
      <c r="C1172" s="14"/>
      <c r="D1172" s="14"/>
      <c r="E1172" s="15"/>
      <c r="F1172" s="16"/>
      <c r="G1172" s="18"/>
      <c r="H1172" s="15"/>
      <c r="I1172" s="18"/>
      <c r="J1172" s="22"/>
      <c r="K1172" s="108"/>
      <c r="L1172" s="26"/>
      <c r="M1172" s="26"/>
    </row>
    <row r="1173">
      <c r="A1173" s="12"/>
      <c r="B1173" s="13"/>
      <c r="C1173" s="14"/>
      <c r="D1173" s="14"/>
      <c r="E1173" s="15"/>
      <c r="F1173" s="16"/>
      <c r="G1173" s="18"/>
      <c r="H1173" s="15"/>
      <c r="I1173" s="18"/>
      <c r="J1173" s="22"/>
      <c r="K1173" s="108"/>
      <c r="L1173" s="26"/>
      <c r="M1173" s="26"/>
    </row>
    <row r="1174">
      <c r="A1174" s="12"/>
      <c r="B1174" s="13"/>
      <c r="C1174" s="14"/>
      <c r="D1174" s="14"/>
      <c r="E1174" s="15"/>
      <c r="F1174" s="16"/>
      <c r="G1174" s="18"/>
      <c r="H1174" s="15"/>
      <c r="I1174" s="18"/>
      <c r="J1174" s="22"/>
      <c r="K1174" s="108"/>
      <c r="L1174" s="26"/>
      <c r="M1174" s="26"/>
    </row>
    <row r="1175">
      <c r="A1175" s="12"/>
      <c r="B1175" s="13"/>
      <c r="C1175" s="14"/>
      <c r="D1175" s="14"/>
      <c r="E1175" s="15"/>
      <c r="F1175" s="16"/>
      <c r="G1175" s="18"/>
      <c r="H1175" s="15"/>
      <c r="I1175" s="18"/>
      <c r="J1175" s="22"/>
      <c r="K1175" s="108"/>
      <c r="L1175" s="26"/>
      <c r="M1175" s="26"/>
    </row>
    <row r="1176">
      <c r="A1176" s="12"/>
      <c r="B1176" s="13"/>
      <c r="C1176" s="14"/>
      <c r="D1176" s="14"/>
      <c r="E1176" s="15"/>
      <c r="F1176" s="16"/>
      <c r="G1176" s="18"/>
      <c r="H1176" s="15"/>
      <c r="I1176" s="18"/>
      <c r="J1176" s="22"/>
      <c r="K1176" s="108"/>
      <c r="L1176" s="26"/>
      <c r="M1176" s="26"/>
    </row>
    <row r="1177">
      <c r="A1177" s="12"/>
      <c r="B1177" s="13"/>
      <c r="C1177" s="14"/>
      <c r="D1177" s="14"/>
      <c r="E1177" s="15"/>
      <c r="F1177" s="16"/>
      <c r="G1177" s="18"/>
      <c r="H1177" s="15"/>
      <c r="I1177" s="18"/>
      <c r="J1177" s="22"/>
      <c r="K1177" s="108"/>
      <c r="L1177" s="26"/>
      <c r="M1177" s="26"/>
    </row>
    <row r="1178">
      <c r="A1178" s="12"/>
      <c r="B1178" s="13"/>
      <c r="C1178" s="14"/>
      <c r="D1178" s="14"/>
      <c r="E1178" s="15"/>
      <c r="F1178" s="16"/>
      <c r="G1178" s="18"/>
      <c r="H1178" s="15"/>
      <c r="I1178" s="18"/>
      <c r="J1178" s="22"/>
      <c r="K1178" s="108"/>
      <c r="L1178" s="26"/>
      <c r="M1178" s="26"/>
    </row>
    <row r="1179">
      <c r="A1179" s="12"/>
      <c r="B1179" s="13"/>
      <c r="C1179" s="14"/>
      <c r="D1179" s="14"/>
      <c r="E1179" s="15"/>
      <c r="F1179" s="16"/>
      <c r="G1179" s="18"/>
      <c r="H1179" s="15"/>
      <c r="I1179" s="18"/>
      <c r="J1179" s="22"/>
      <c r="K1179" s="108"/>
      <c r="L1179" s="26"/>
      <c r="M1179" s="26"/>
    </row>
    <row r="1180">
      <c r="A1180" s="12"/>
      <c r="B1180" s="13"/>
      <c r="C1180" s="14"/>
      <c r="D1180" s="14"/>
      <c r="E1180" s="15"/>
      <c r="F1180" s="16"/>
      <c r="G1180" s="18"/>
      <c r="H1180" s="15"/>
      <c r="I1180" s="18"/>
      <c r="J1180" s="22"/>
      <c r="K1180" s="108"/>
      <c r="L1180" s="26"/>
      <c r="M1180" s="26"/>
    </row>
    <row r="1181">
      <c r="A1181" s="12"/>
      <c r="B1181" s="13"/>
      <c r="C1181" s="14"/>
      <c r="D1181" s="14"/>
      <c r="E1181" s="15"/>
      <c r="F1181" s="16"/>
      <c r="G1181" s="18"/>
      <c r="H1181" s="15"/>
      <c r="I1181" s="18"/>
      <c r="J1181" s="22"/>
      <c r="K1181" s="108"/>
      <c r="L1181" s="26"/>
      <c r="M1181" s="26"/>
    </row>
    <row r="1182">
      <c r="A1182" s="12"/>
      <c r="B1182" s="13"/>
      <c r="C1182" s="14"/>
      <c r="D1182" s="14"/>
      <c r="E1182" s="15"/>
      <c r="F1182" s="16"/>
      <c r="G1182" s="18"/>
      <c r="H1182" s="15"/>
      <c r="I1182" s="18"/>
      <c r="J1182" s="22"/>
      <c r="K1182" s="108"/>
      <c r="L1182" s="26"/>
      <c r="M1182" s="26"/>
    </row>
    <row r="1183">
      <c r="A1183" s="12"/>
      <c r="B1183" s="13"/>
      <c r="C1183" s="14"/>
      <c r="D1183" s="14"/>
      <c r="E1183" s="15"/>
      <c r="F1183" s="16"/>
      <c r="G1183" s="18"/>
      <c r="H1183" s="15"/>
      <c r="I1183" s="18"/>
      <c r="J1183" s="22"/>
      <c r="K1183" s="108"/>
      <c r="L1183" s="26"/>
      <c r="M1183" s="26"/>
    </row>
    <row r="1184">
      <c r="A1184" s="12"/>
      <c r="B1184" s="13"/>
      <c r="C1184" s="14"/>
      <c r="D1184" s="14"/>
      <c r="E1184" s="15"/>
      <c r="F1184" s="16"/>
      <c r="G1184" s="18"/>
      <c r="H1184" s="15"/>
      <c r="I1184" s="18"/>
      <c r="J1184" s="22"/>
      <c r="K1184" s="108"/>
      <c r="L1184" s="26"/>
      <c r="M1184" s="26"/>
    </row>
    <row r="1185">
      <c r="A1185" s="12"/>
      <c r="B1185" s="13"/>
      <c r="C1185" s="14"/>
      <c r="D1185" s="14"/>
      <c r="E1185" s="15"/>
      <c r="F1185" s="16"/>
      <c r="G1185" s="18"/>
      <c r="H1185" s="15"/>
      <c r="I1185" s="18"/>
      <c r="J1185" s="22"/>
      <c r="K1185" s="108"/>
      <c r="L1185" s="26"/>
      <c r="M1185" s="26"/>
    </row>
    <row r="1186">
      <c r="A1186" s="12"/>
      <c r="B1186" s="13"/>
      <c r="C1186" s="14"/>
      <c r="D1186" s="14"/>
      <c r="E1186" s="15"/>
      <c r="F1186" s="16"/>
      <c r="G1186" s="18"/>
      <c r="H1186" s="15"/>
      <c r="I1186" s="18"/>
      <c r="J1186" s="22"/>
      <c r="K1186" s="108"/>
      <c r="L1186" s="26"/>
      <c r="M1186" s="26"/>
    </row>
    <row r="1187">
      <c r="A1187" s="12"/>
      <c r="B1187" s="13"/>
      <c r="C1187" s="14"/>
      <c r="D1187" s="14"/>
      <c r="E1187" s="15"/>
      <c r="F1187" s="16"/>
      <c r="G1187" s="18"/>
      <c r="H1187" s="15"/>
      <c r="I1187" s="18"/>
      <c r="J1187" s="22"/>
      <c r="K1187" s="108"/>
      <c r="L1187" s="26"/>
      <c r="M1187" s="26"/>
    </row>
    <row r="1188">
      <c r="A1188" s="12"/>
      <c r="B1188" s="13"/>
      <c r="C1188" s="14"/>
      <c r="D1188" s="14"/>
      <c r="E1188" s="15"/>
      <c r="F1188" s="16"/>
      <c r="G1188" s="18"/>
      <c r="H1188" s="15"/>
      <c r="I1188" s="18"/>
      <c r="J1188" s="22"/>
      <c r="K1188" s="108"/>
      <c r="L1188" s="26"/>
      <c r="M1188" s="26"/>
    </row>
    <row r="1189">
      <c r="A1189" s="12"/>
      <c r="B1189" s="13"/>
      <c r="C1189" s="14"/>
      <c r="D1189" s="14"/>
      <c r="E1189" s="15"/>
      <c r="F1189" s="16"/>
      <c r="G1189" s="18"/>
      <c r="H1189" s="15"/>
      <c r="I1189" s="18"/>
      <c r="J1189" s="22"/>
      <c r="K1189" s="108"/>
      <c r="L1189" s="26"/>
      <c r="M1189" s="26"/>
    </row>
    <row r="1190">
      <c r="A1190" s="12"/>
      <c r="B1190" s="13"/>
      <c r="C1190" s="14"/>
      <c r="D1190" s="14"/>
      <c r="E1190" s="15"/>
      <c r="F1190" s="16"/>
      <c r="G1190" s="18"/>
      <c r="H1190" s="15"/>
      <c r="I1190" s="18"/>
      <c r="J1190" s="22"/>
      <c r="K1190" s="108"/>
      <c r="L1190" s="26"/>
      <c r="M1190" s="26"/>
    </row>
    <row r="1191">
      <c r="A1191" s="12"/>
      <c r="B1191" s="13"/>
      <c r="C1191" s="14"/>
      <c r="D1191" s="14"/>
      <c r="E1191" s="15"/>
      <c r="F1191" s="16"/>
      <c r="G1191" s="18"/>
      <c r="H1191" s="15"/>
      <c r="I1191" s="18"/>
      <c r="J1191" s="22"/>
      <c r="K1191" s="108"/>
      <c r="L1191" s="26"/>
      <c r="M1191" s="26"/>
    </row>
    <row r="1192">
      <c r="A1192" s="12"/>
      <c r="B1192" s="13"/>
      <c r="C1192" s="14"/>
      <c r="D1192" s="14"/>
      <c r="E1192" s="15"/>
      <c r="F1192" s="16"/>
      <c r="G1192" s="18"/>
      <c r="H1192" s="15"/>
      <c r="I1192" s="18"/>
      <c r="J1192" s="22"/>
      <c r="K1192" s="108"/>
      <c r="L1192" s="26"/>
      <c r="M1192" s="26"/>
    </row>
    <row r="1193">
      <c r="A1193" s="12"/>
      <c r="B1193" s="13"/>
      <c r="C1193" s="14"/>
      <c r="D1193" s="14"/>
      <c r="E1193" s="15"/>
      <c r="F1193" s="16"/>
      <c r="G1193" s="18"/>
      <c r="H1193" s="15"/>
      <c r="I1193" s="18"/>
      <c r="J1193" s="22"/>
      <c r="K1193" s="108"/>
      <c r="L1193" s="26"/>
      <c r="M1193" s="26"/>
    </row>
    <row r="1194">
      <c r="A1194" s="12"/>
      <c r="B1194" s="13"/>
      <c r="C1194" s="14"/>
      <c r="D1194" s="14"/>
      <c r="E1194" s="15"/>
      <c r="F1194" s="16"/>
      <c r="G1194" s="18"/>
      <c r="H1194" s="15"/>
      <c r="I1194" s="18"/>
      <c r="J1194" s="22"/>
      <c r="K1194" s="108"/>
      <c r="L1194" s="26"/>
      <c r="M1194" s="26"/>
    </row>
    <row r="1195">
      <c r="A1195" s="12"/>
      <c r="B1195" s="13"/>
      <c r="C1195" s="14"/>
      <c r="D1195" s="14"/>
      <c r="E1195" s="15"/>
      <c r="F1195" s="16"/>
      <c r="G1195" s="18"/>
      <c r="H1195" s="15"/>
      <c r="I1195" s="18"/>
      <c r="J1195" s="22"/>
      <c r="K1195" s="108"/>
      <c r="L1195" s="26"/>
      <c r="M1195" s="26"/>
    </row>
    <row r="1196">
      <c r="A1196" s="12"/>
      <c r="B1196" s="13"/>
      <c r="C1196" s="14"/>
      <c r="D1196" s="14"/>
      <c r="E1196" s="15"/>
      <c r="F1196" s="16"/>
      <c r="G1196" s="18"/>
      <c r="H1196" s="15"/>
      <c r="I1196" s="18"/>
      <c r="J1196" s="22"/>
      <c r="K1196" s="108"/>
      <c r="L1196" s="26"/>
      <c r="M1196" s="26"/>
    </row>
    <row r="1197">
      <c r="A1197" s="12"/>
      <c r="B1197" s="13"/>
      <c r="C1197" s="14"/>
      <c r="D1197" s="14"/>
      <c r="E1197" s="15"/>
      <c r="F1197" s="16"/>
      <c r="G1197" s="18"/>
      <c r="H1197" s="15"/>
      <c r="I1197" s="18"/>
      <c r="J1197" s="22"/>
      <c r="K1197" s="108"/>
      <c r="L1197" s="26"/>
      <c r="M1197" s="26"/>
    </row>
    <row r="1198">
      <c r="A1198" s="12"/>
      <c r="B1198" s="13"/>
      <c r="C1198" s="14"/>
      <c r="D1198" s="14"/>
      <c r="E1198" s="15"/>
      <c r="F1198" s="16"/>
      <c r="G1198" s="18"/>
      <c r="H1198" s="15"/>
      <c r="I1198" s="18"/>
      <c r="J1198" s="22"/>
      <c r="K1198" s="108"/>
      <c r="L1198" s="26"/>
      <c r="M1198" s="26"/>
    </row>
    <row r="1199">
      <c r="A1199" s="12"/>
      <c r="B1199" s="13"/>
      <c r="C1199" s="14"/>
      <c r="D1199" s="14"/>
      <c r="E1199" s="15"/>
      <c r="F1199" s="16"/>
      <c r="G1199" s="18"/>
      <c r="H1199" s="15"/>
      <c r="I1199" s="18"/>
      <c r="J1199" s="22"/>
      <c r="K1199" s="108"/>
      <c r="L1199" s="26"/>
      <c r="M1199" s="26"/>
    </row>
    <row r="1200">
      <c r="A1200" s="12"/>
      <c r="B1200" s="13"/>
      <c r="C1200" s="14"/>
      <c r="D1200" s="14"/>
      <c r="E1200" s="15"/>
      <c r="F1200" s="16"/>
      <c r="G1200" s="18"/>
      <c r="H1200" s="15"/>
      <c r="I1200" s="18"/>
      <c r="J1200" s="22"/>
      <c r="K1200" s="108"/>
      <c r="L1200" s="26"/>
      <c r="M1200" s="26"/>
    </row>
    <row r="1201">
      <c r="A1201" s="12"/>
      <c r="B1201" s="13"/>
      <c r="C1201" s="14"/>
      <c r="D1201" s="14"/>
      <c r="E1201" s="15"/>
      <c r="F1201" s="16"/>
      <c r="G1201" s="18"/>
      <c r="H1201" s="15"/>
      <c r="I1201" s="18"/>
      <c r="J1201" s="22"/>
      <c r="K1201" s="108"/>
      <c r="L1201" s="26"/>
      <c r="M1201" s="26"/>
    </row>
    <row r="1202">
      <c r="A1202" s="12"/>
      <c r="B1202" s="13"/>
      <c r="C1202" s="14"/>
      <c r="D1202" s="14"/>
      <c r="E1202" s="15"/>
      <c r="F1202" s="16"/>
      <c r="G1202" s="18"/>
      <c r="H1202" s="15"/>
      <c r="I1202" s="18"/>
      <c r="J1202" s="22"/>
      <c r="K1202" s="108"/>
      <c r="L1202" s="26"/>
      <c r="M1202" s="26"/>
    </row>
    <row r="1203">
      <c r="A1203" s="12"/>
      <c r="B1203" s="13"/>
      <c r="C1203" s="14"/>
      <c r="D1203" s="14"/>
      <c r="E1203" s="15"/>
      <c r="F1203" s="16"/>
      <c r="G1203" s="18"/>
      <c r="H1203" s="15"/>
      <c r="I1203" s="18"/>
      <c r="J1203" s="22"/>
      <c r="K1203" s="108"/>
      <c r="L1203" s="26"/>
      <c r="M1203" s="26"/>
    </row>
    <row r="1204">
      <c r="A1204" s="12"/>
      <c r="B1204" s="13"/>
      <c r="C1204" s="14"/>
      <c r="D1204" s="14"/>
      <c r="E1204" s="15"/>
      <c r="F1204" s="16"/>
      <c r="G1204" s="18"/>
      <c r="H1204" s="15"/>
      <c r="I1204" s="18"/>
      <c r="J1204" s="22"/>
      <c r="K1204" s="108"/>
      <c r="L1204" s="26"/>
      <c r="M1204" s="26"/>
    </row>
    <row r="1205">
      <c r="A1205" s="12"/>
      <c r="B1205" s="13"/>
      <c r="C1205" s="14"/>
      <c r="D1205" s="14"/>
      <c r="E1205" s="15"/>
      <c r="F1205" s="16"/>
      <c r="G1205" s="18"/>
      <c r="H1205" s="15"/>
      <c r="I1205" s="18"/>
      <c r="J1205" s="22"/>
      <c r="K1205" s="108"/>
      <c r="L1205" s="26"/>
      <c r="M1205" s="26"/>
    </row>
    <row r="1206">
      <c r="A1206" s="12"/>
      <c r="B1206" s="13"/>
      <c r="C1206" s="14"/>
      <c r="D1206" s="14"/>
      <c r="E1206" s="15"/>
      <c r="F1206" s="16"/>
      <c r="G1206" s="18"/>
      <c r="H1206" s="15"/>
      <c r="I1206" s="18"/>
      <c r="J1206" s="22"/>
      <c r="K1206" s="108"/>
      <c r="L1206" s="26"/>
      <c r="M1206" s="26"/>
    </row>
    <row r="1207">
      <c r="A1207" s="12"/>
      <c r="B1207" s="13"/>
      <c r="C1207" s="14"/>
      <c r="D1207" s="14"/>
      <c r="E1207" s="15"/>
      <c r="F1207" s="16"/>
      <c r="G1207" s="18"/>
      <c r="H1207" s="15"/>
      <c r="I1207" s="18"/>
      <c r="J1207" s="22"/>
      <c r="K1207" s="108"/>
      <c r="L1207" s="26"/>
      <c r="M1207" s="26"/>
    </row>
    <row r="1208">
      <c r="A1208" s="12"/>
      <c r="B1208" s="13"/>
      <c r="C1208" s="14"/>
      <c r="D1208" s="14"/>
      <c r="E1208" s="15"/>
      <c r="F1208" s="16"/>
      <c r="G1208" s="18"/>
      <c r="H1208" s="15"/>
      <c r="I1208" s="18"/>
      <c r="J1208" s="22"/>
      <c r="K1208" s="108"/>
      <c r="L1208" s="26"/>
      <c r="M1208" s="26"/>
    </row>
    <row r="1209">
      <c r="A1209" s="12"/>
      <c r="B1209" s="13"/>
      <c r="C1209" s="14"/>
      <c r="D1209" s="14"/>
      <c r="E1209" s="15"/>
      <c r="F1209" s="16"/>
      <c r="G1209" s="18"/>
      <c r="H1209" s="15"/>
      <c r="I1209" s="18"/>
      <c r="J1209" s="22"/>
      <c r="K1209" s="108"/>
      <c r="L1209" s="26"/>
      <c r="M1209" s="26"/>
    </row>
    <row r="1210">
      <c r="A1210" s="12"/>
      <c r="B1210" s="13"/>
      <c r="C1210" s="14"/>
      <c r="D1210" s="14"/>
      <c r="E1210" s="15"/>
      <c r="F1210" s="16"/>
      <c r="G1210" s="18"/>
      <c r="H1210" s="15"/>
      <c r="I1210" s="18"/>
      <c r="J1210" s="22"/>
      <c r="K1210" s="108"/>
      <c r="L1210" s="26"/>
      <c r="M1210" s="26"/>
    </row>
    <row r="1211">
      <c r="A1211" s="12"/>
      <c r="B1211" s="13"/>
      <c r="C1211" s="14"/>
      <c r="D1211" s="14"/>
      <c r="E1211" s="15"/>
      <c r="F1211" s="16"/>
      <c r="G1211" s="18"/>
      <c r="H1211" s="15"/>
      <c r="I1211" s="18"/>
      <c r="J1211" s="22"/>
      <c r="K1211" s="108"/>
      <c r="L1211" s="26"/>
      <c r="M1211" s="26"/>
    </row>
    <row r="1212">
      <c r="A1212" s="12"/>
      <c r="B1212" s="13"/>
      <c r="C1212" s="14"/>
      <c r="D1212" s="14"/>
      <c r="E1212" s="15"/>
      <c r="F1212" s="16"/>
      <c r="G1212" s="18"/>
      <c r="H1212" s="15"/>
      <c r="I1212" s="18"/>
      <c r="J1212" s="22"/>
      <c r="K1212" s="108"/>
      <c r="L1212" s="26"/>
      <c r="M1212" s="26"/>
    </row>
    <row r="1213">
      <c r="A1213" s="12"/>
      <c r="B1213" s="13"/>
      <c r="C1213" s="14"/>
      <c r="D1213" s="14"/>
      <c r="E1213" s="15"/>
      <c r="F1213" s="16"/>
      <c r="G1213" s="18"/>
      <c r="H1213" s="15"/>
      <c r="I1213" s="18"/>
      <c r="J1213" s="22"/>
      <c r="K1213" s="108"/>
      <c r="L1213" s="26"/>
      <c r="M1213" s="26"/>
    </row>
    <row r="1214">
      <c r="A1214" s="12"/>
      <c r="B1214" s="13"/>
      <c r="C1214" s="14"/>
      <c r="D1214" s="14"/>
      <c r="E1214" s="15"/>
      <c r="F1214" s="16"/>
      <c r="G1214" s="18"/>
      <c r="H1214" s="15"/>
      <c r="I1214" s="18"/>
      <c r="J1214" s="22"/>
      <c r="K1214" s="108"/>
      <c r="L1214" s="26"/>
      <c r="M1214" s="26"/>
    </row>
    <row r="1215">
      <c r="A1215" s="12"/>
      <c r="B1215" s="13"/>
      <c r="C1215" s="14"/>
      <c r="D1215" s="14"/>
      <c r="E1215" s="15"/>
      <c r="F1215" s="16"/>
      <c r="G1215" s="18"/>
      <c r="H1215" s="15"/>
      <c r="I1215" s="18"/>
      <c r="J1215" s="22"/>
      <c r="K1215" s="108"/>
      <c r="L1215" s="26"/>
      <c r="M1215" s="26"/>
    </row>
    <row r="1216">
      <c r="A1216" s="12"/>
      <c r="B1216" s="13"/>
      <c r="C1216" s="14"/>
      <c r="D1216" s="14"/>
      <c r="E1216" s="15"/>
      <c r="F1216" s="16"/>
      <c r="G1216" s="18"/>
      <c r="H1216" s="15"/>
      <c r="I1216" s="18"/>
      <c r="J1216" s="22"/>
      <c r="K1216" s="108"/>
      <c r="L1216" s="26"/>
      <c r="M1216" s="26"/>
    </row>
    <row r="1217">
      <c r="A1217" s="12"/>
      <c r="B1217" s="13"/>
      <c r="C1217" s="14"/>
      <c r="D1217" s="14"/>
      <c r="E1217" s="15"/>
      <c r="F1217" s="16"/>
      <c r="G1217" s="18"/>
      <c r="H1217" s="15"/>
      <c r="I1217" s="18"/>
      <c r="J1217" s="22"/>
      <c r="K1217" s="108"/>
      <c r="L1217" s="26"/>
      <c r="M1217" s="26"/>
    </row>
    <row r="1218">
      <c r="A1218" s="12"/>
      <c r="B1218" s="13"/>
      <c r="C1218" s="14"/>
      <c r="D1218" s="14"/>
      <c r="E1218" s="15"/>
      <c r="F1218" s="16"/>
      <c r="G1218" s="18"/>
      <c r="H1218" s="15"/>
      <c r="I1218" s="18"/>
      <c r="J1218" s="22"/>
      <c r="K1218" s="108"/>
      <c r="L1218" s="26"/>
      <c r="M1218" s="26"/>
    </row>
    <row r="1219">
      <c r="A1219" s="12"/>
      <c r="B1219" s="13"/>
      <c r="C1219" s="14"/>
      <c r="D1219" s="14"/>
      <c r="E1219" s="15"/>
      <c r="F1219" s="16"/>
      <c r="G1219" s="18"/>
      <c r="H1219" s="15"/>
      <c r="I1219" s="18"/>
      <c r="J1219" s="22"/>
      <c r="K1219" s="108"/>
      <c r="L1219" s="26"/>
      <c r="M1219" s="26"/>
    </row>
    <row r="1220">
      <c r="A1220" s="12"/>
      <c r="B1220" s="13"/>
      <c r="C1220" s="14"/>
      <c r="D1220" s="14"/>
      <c r="E1220" s="15"/>
      <c r="F1220" s="16"/>
      <c r="G1220" s="18"/>
      <c r="H1220" s="15"/>
      <c r="I1220" s="18"/>
      <c r="J1220" s="22"/>
      <c r="K1220" s="108"/>
      <c r="L1220" s="26"/>
      <c r="M1220" s="26"/>
    </row>
    <row r="1221">
      <c r="A1221" s="12"/>
      <c r="B1221" s="13"/>
      <c r="C1221" s="14"/>
      <c r="D1221" s="14"/>
      <c r="E1221" s="15"/>
      <c r="F1221" s="16"/>
      <c r="G1221" s="18"/>
      <c r="H1221" s="15"/>
      <c r="I1221" s="18"/>
      <c r="J1221" s="22"/>
      <c r="K1221" s="108"/>
      <c r="L1221" s="26"/>
      <c r="M1221" s="26"/>
    </row>
    <row r="1222">
      <c r="A1222" s="12"/>
      <c r="B1222" s="13"/>
      <c r="C1222" s="14"/>
      <c r="D1222" s="14"/>
      <c r="E1222" s="15"/>
      <c r="F1222" s="16"/>
      <c r="G1222" s="18"/>
      <c r="H1222" s="15"/>
      <c r="I1222" s="18"/>
      <c r="J1222" s="22"/>
      <c r="K1222" s="108"/>
      <c r="L1222" s="26"/>
      <c r="M1222" s="26"/>
    </row>
    <row r="1223">
      <c r="A1223" s="12"/>
      <c r="B1223" s="13"/>
      <c r="C1223" s="14"/>
      <c r="D1223" s="14"/>
      <c r="E1223" s="15"/>
      <c r="F1223" s="16"/>
      <c r="G1223" s="18"/>
      <c r="H1223" s="15"/>
      <c r="I1223" s="18"/>
      <c r="J1223" s="22"/>
      <c r="K1223" s="108"/>
      <c r="L1223" s="26"/>
      <c r="M1223" s="26"/>
    </row>
    <row r="1224">
      <c r="A1224" s="12"/>
      <c r="B1224" s="13"/>
      <c r="C1224" s="14"/>
      <c r="D1224" s="14"/>
      <c r="E1224" s="15"/>
      <c r="F1224" s="16"/>
      <c r="G1224" s="18"/>
      <c r="H1224" s="15"/>
      <c r="I1224" s="18"/>
      <c r="J1224" s="22"/>
      <c r="K1224" s="108"/>
      <c r="L1224" s="26"/>
      <c r="M1224" s="26"/>
    </row>
    <row r="1225">
      <c r="A1225" s="12"/>
      <c r="B1225" s="13"/>
      <c r="C1225" s="14"/>
      <c r="D1225" s="14"/>
      <c r="E1225" s="15"/>
      <c r="F1225" s="16"/>
      <c r="G1225" s="18"/>
      <c r="H1225" s="15"/>
      <c r="I1225" s="18"/>
      <c r="J1225" s="22"/>
      <c r="K1225" s="108"/>
      <c r="L1225" s="26"/>
      <c r="M1225" s="26"/>
    </row>
    <row r="1226">
      <c r="A1226" s="12"/>
      <c r="B1226" s="13"/>
      <c r="C1226" s="14"/>
      <c r="D1226" s="14"/>
      <c r="E1226" s="15"/>
      <c r="F1226" s="16"/>
      <c r="G1226" s="18"/>
      <c r="H1226" s="15"/>
      <c r="I1226" s="18"/>
      <c r="J1226" s="22"/>
      <c r="K1226" s="108"/>
      <c r="L1226" s="26"/>
      <c r="M1226" s="26"/>
    </row>
    <row r="1227">
      <c r="A1227" s="12"/>
      <c r="B1227" s="13"/>
      <c r="C1227" s="14"/>
      <c r="D1227" s="14"/>
      <c r="E1227" s="15"/>
      <c r="F1227" s="16"/>
      <c r="G1227" s="18"/>
      <c r="H1227" s="15"/>
      <c r="I1227" s="18"/>
      <c r="J1227" s="22"/>
      <c r="K1227" s="108"/>
      <c r="L1227" s="26"/>
      <c r="M1227" s="26"/>
    </row>
    <row r="1228">
      <c r="A1228" s="12"/>
      <c r="B1228" s="13"/>
      <c r="C1228" s="14"/>
      <c r="D1228" s="14"/>
      <c r="E1228" s="15"/>
      <c r="F1228" s="16"/>
      <c r="G1228" s="18"/>
      <c r="H1228" s="15"/>
      <c r="I1228" s="18"/>
      <c r="J1228" s="22"/>
      <c r="K1228" s="108"/>
      <c r="L1228" s="26"/>
      <c r="M1228" s="26"/>
    </row>
    <row r="1229">
      <c r="A1229" s="12"/>
      <c r="B1229" s="13"/>
      <c r="C1229" s="14"/>
      <c r="D1229" s="14"/>
      <c r="E1229" s="15"/>
      <c r="F1229" s="16"/>
      <c r="G1229" s="18"/>
      <c r="H1229" s="15"/>
      <c r="I1229" s="18"/>
      <c r="J1229" s="22"/>
      <c r="K1229" s="108"/>
      <c r="L1229" s="26"/>
      <c r="M1229" s="26"/>
    </row>
    <row r="1230">
      <c r="A1230" s="12"/>
      <c r="B1230" s="13"/>
      <c r="C1230" s="14"/>
      <c r="D1230" s="14"/>
      <c r="E1230" s="15"/>
      <c r="F1230" s="16"/>
      <c r="G1230" s="18"/>
      <c r="H1230" s="15"/>
      <c r="I1230" s="18"/>
      <c r="J1230" s="22"/>
      <c r="K1230" s="108"/>
      <c r="L1230" s="26"/>
      <c r="M1230" s="26"/>
    </row>
    <row r="1231">
      <c r="A1231" s="12"/>
      <c r="B1231" s="13"/>
      <c r="C1231" s="14"/>
      <c r="D1231" s="14"/>
      <c r="E1231" s="15"/>
      <c r="F1231" s="16"/>
      <c r="G1231" s="18"/>
      <c r="H1231" s="15"/>
      <c r="I1231" s="18"/>
      <c r="J1231" s="22"/>
      <c r="K1231" s="108"/>
      <c r="L1231" s="26"/>
      <c r="M1231" s="26"/>
    </row>
    <row r="1232">
      <c r="A1232" s="12"/>
      <c r="B1232" s="13"/>
      <c r="C1232" s="14"/>
      <c r="D1232" s="14"/>
      <c r="E1232" s="15"/>
      <c r="F1232" s="16"/>
      <c r="G1232" s="18"/>
      <c r="H1232" s="15"/>
      <c r="I1232" s="18"/>
      <c r="J1232" s="22"/>
      <c r="K1232" s="108"/>
      <c r="L1232" s="26"/>
      <c r="M1232" s="26"/>
    </row>
    <row r="1233">
      <c r="A1233" s="12"/>
      <c r="B1233" s="13"/>
      <c r="C1233" s="14"/>
      <c r="D1233" s="14"/>
      <c r="E1233" s="15"/>
      <c r="F1233" s="16"/>
      <c r="G1233" s="18"/>
      <c r="H1233" s="15"/>
      <c r="I1233" s="18"/>
      <c r="J1233" s="22"/>
      <c r="K1233" s="108"/>
      <c r="L1233" s="26"/>
      <c r="M1233" s="26"/>
    </row>
    <row r="1234">
      <c r="A1234" s="12"/>
      <c r="B1234" s="13"/>
      <c r="C1234" s="14"/>
      <c r="D1234" s="14"/>
      <c r="E1234" s="15"/>
      <c r="F1234" s="16"/>
      <c r="G1234" s="18"/>
      <c r="H1234" s="15"/>
      <c r="I1234" s="18"/>
      <c r="J1234" s="22"/>
      <c r="K1234" s="108"/>
      <c r="L1234" s="26"/>
      <c r="M1234" s="26"/>
    </row>
    <row r="1235">
      <c r="A1235" s="12"/>
      <c r="B1235" s="13"/>
      <c r="C1235" s="14"/>
      <c r="D1235" s="14"/>
      <c r="E1235" s="15"/>
      <c r="F1235" s="16"/>
      <c r="G1235" s="18"/>
      <c r="H1235" s="15"/>
      <c r="I1235" s="18"/>
      <c r="J1235" s="22"/>
      <c r="K1235" s="108"/>
      <c r="L1235" s="26"/>
      <c r="M1235" s="26"/>
    </row>
    <row r="1236">
      <c r="A1236" s="12"/>
      <c r="B1236" s="13"/>
      <c r="C1236" s="14"/>
      <c r="D1236" s="14"/>
      <c r="E1236" s="15"/>
      <c r="F1236" s="16"/>
      <c r="G1236" s="18"/>
      <c r="H1236" s="15"/>
      <c r="I1236" s="18"/>
      <c r="J1236" s="22"/>
      <c r="K1236" s="108"/>
      <c r="L1236" s="26"/>
      <c r="M1236" s="26"/>
    </row>
    <row r="1237">
      <c r="A1237" s="12"/>
      <c r="B1237" s="13"/>
      <c r="C1237" s="14"/>
      <c r="D1237" s="14"/>
      <c r="E1237" s="15"/>
      <c r="F1237" s="16"/>
      <c r="G1237" s="18"/>
      <c r="H1237" s="15"/>
      <c r="I1237" s="18"/>
      <c r="J1237" s="22"/>
      <c r="K1237" s="108"/>
      <c r="L1237" s="26"/>
      <c r="M1237" s="26"/>
    </row>
    <row r="1238">
      <c r="A1238" s="12"/>
      <c r="B1238" s="13"/>
      <c r="C1238" s="14"/>
      <c r="D1238" s="14"/>
      <c r="E1238" s="15"/>
      <c r="F1238" s="16"/>
      <c r="G1238" s="18"/>
      <c r="H1238" s="15"/>
      <c r="I1238" s="18"/>
      <c r="J1238" s="22"/>
      <c r="K1238" s="108"/>
      <c r="L1238" s="26"/>
      <c r="M1238" s="26"/>
    </row>
    <row r="1239">
      <c r="A1239" s="12"/>
      <c r="B1239" s="13"/>
      <c r="C1239" s="14"/>
      <c r="D1239" s="14"/>
      <c r="E1239" s="15"/>
      <c r="F1239" s="16"/>
      <c r="G1239" s="18"/>
      <c r="H1239" s="15"/>
      <c r="I1239" s="18"/>
      <c r="J1239" s="22"/>
      <c r="K1239" s="108"/>
      <c r="L1239" s="26"/>
      <c r="M1239" s="26"/>
    </row>
    <row r="1240">
      <c r="A1240" s="12"/>
      <c r="B1240" s="13"/>
      <c r="C1240" s="14"/>
      <c r="D1240" s="14"/>
      <c r="E1240" s="15"/>
      <c r="F1240" s="16"/>
      <c r="G1240" s="18"/>
      <c r="H1240" s="15"/>
      <c r="I1240" s="18"/>
      <c r="J1240" s="22"/>
      <c r="K1240" s="108"/>
      <c r="L1240" s="26"/>
      <c r="M1240" s="26"/>
    </row>
    <row r="1241">
      <c r="A1241" s="12"/>
      <c r="B1241" s="13"/>
      <c r="C1241" s="14"/>
      <c r="D1241" s="14"/>
      <c r="E1241" s="15"/>
      <c r="F1241" s="16"/>
      <c r="G1241" s="18"/>
      <c r="H1241" s="15"/>
      <c r="I1241" s="18"/>
      <c r="J1241" s="22"/>
      <c r="K1241" s="108"/>
      <c r="L1241" s="26"/>
      <c r="M1241" s="26"/>
    </row>
    <row r="1242">
      <c r="A1242" s="12"/>
      <c r="B1242" s="13"/>
      <c r="C1242" s="14"/>
      <c r="D1242" s="14"/>
      <c r="E1242" s="15"/>
      <c r="F1242" s="16"/>
      <c r="G1242" s="18"/>
      <c r="H1242" s="15"/>
      <c r="I1242" s="18"/>
      <c r="J1242" s="22"/>
      <c r="K1242" s="108"/>
      <c r="L1242" s="26"/>
      <c r="M1242" s="26"/>
    </row>
    <row r="1243">
      <c r="A1243" s="12"/>
      <c r="B1243" s="13"/>
      <c r="C1243" s="14"/>
      <c r="D1243" s="14"/>
      <c r="E1243" s="15"/>
      <c r="F1243" s="16"/>
      <c r="G1243" s="18"/>
      <c r="H1243" s="15"/>
      <c r="I1243" s="18"/>
      <c r="J1243" s="22"/>
      <c r="K1243" s="108"/>
      <c r="L1243" s="26"/>
      <c r="M1243" s="26"/>
    </row>
    <row r="1244">
      <c r="A1244" s="12"/>
      <c r="B1244" s="13"/>
      <c r="C1244" s="14"/>
      <c r="D1244" s="14"/>
      <c r="E1244" s="15"/>
      <c r="F1244" s="16"/>
      <c r="G1244" s="18"/>
      <c r="H1244" s="15"/>
      <c r="I1244" s="18"/>
      <c r="J1244" s="22"/>
      <c r="K1244" s="108"/>
      <c r="L1244" s="26"/>
      <c r="M1244" s="26"/>
    </row>
    <row r="1245">
      <c r="A1245" s="12"/>
      <c r="B1245" s="13"/>
      <c r="C1245" s="14"/>
      <c r="D1245" s="14"/>
      <c r="E1245" s="15"/>
      <c r="F1245" s="16"/>
      <c r="G1245" s="18"/>
      <c r="H1245" s="15"/>
      <c r="I1245" s="18"/>
      <c r="J1245" s="22"/>
      <c r="K1245" s="108"/>
      <c r="L1245" s="26"/>
      <c r="M1245" s="26"/>
    </row>
    <row r="1246">
      <c r="A1246" s="12"/>
      <c r="B1246" s="13"/>
      <c r="C1246" s="14"/>
      <c r="D1246" s="14"/>
      <c r="E1246" s="15"/>
      <c r="F1246" s="16"/>
      <c r="G1246" s="18"/>
      <c r="H1246" s="15"/>
      <c r="I1246" s="18"/>
      <c r="J1246" s="22"/>
      <c r="K1246" s="108"/>
      <c r="L1246" s="26"/>
      <c r="M1246" s="26"/>
    </row>
    <row r="1247">
      <c r="A1247" s="12"/>
      <c r="B1247" s="13"/>
      <c r="C1247" s="14"/>
      <c r="D1247" s="14"/>
      <c r="E1247" s="15"/>
      <c r="F1247" s="16"/>
      <c r="G1247" s="18"/>
      <c r="H1247" s="15"/>
      <c r="I1247" s="18"/>
      <c r="J1247" s="22"/>
      <c r="K1247" s="108"/>
      <c r="L1247" s="26"/>
      <c r="M1247" s="26"/>
    </row>
    <row r="1248">
      <c r="A1248" s="12"/>
      <c r="B1248" s="13"/>
      <c r="C1248" s="14"/>
      <c r="D1248" s="14"/>
      <c r="E1248" s="15"/>
      <c r="F1248" s="16"/>
      <c r="G1248" s="18"/>
      <c r="H1248" s="15"/>
      <c r="I1248" s="18"/>
      <c r="J1248" s="22"/>
      <c r="K1248" s="108"/>
      <c r="L1248" s="26"/>
      <c r="M1248" s="26"/>
    </row>
    <row r="1249">
      <c r="A1249" s="12"/>
      <c r="B1249" s="13"/>
      <c r="C1249" s="14"/>
      <c r="D1249" s="14"/>
      <c r="E1249" s="15"/>
      <c r="F1249" s="16"/>
      <c r="G1249" s="18"/>
      <c r="H1249" s="15"/>
      <c r="I1249" s="18"/>
      <c r="J1249" s="22"/>
      <c r="K1249" s="108"/>
      <c r="L1249" s="26"/>
      <c r="M1249" s="26"/>
    </row>
    <row r="1250">
      <c r="A1250" s="12"/>
      <c r="B1250" s="13"/>
      <c r="C1250" s="14"/>
      <c r="D1250" s="14"/>
      <c r="E1250" s="15"/>
      <c r="F1250" s="16"/>
      <c r="G1250" s="18"/>
      <c r="H1250" s="15"/>
      <c r="I1250" s="18"/>
      <c r="J1250" s="22"/>
      <c r="K1250" s="108"/>
      <c r="L1250" s="26"/>
      <c r="M1250" s="26"/>
    </row>
    <row r="1251">
      <c r="A1251" s="12"/>
      <c r="B1251" s="13"/>
      <c r="C1251" s="14"/>
      <c r="D1251" s="14"/>
      <c r="E1251" s="15"/>
      <c r="F1251" s="16"/>
      <c r="G1251" s="18"/>
      <c r="H1251" s="15"/>
      <c r="I1251" s="18"/>
      <c r="J1251" s="22"/>
      <c r="K1251" s="108"/>
      <c r="L1251" s="26"/>
      <c r="M1251" s="26"/>
    </row>
    <row r="1252">
      <c r="A1252" s="12"/>
      <c r="B1252" s="13"/>
      <c r="C1252" s="14"/>
      <c r="D1252" s="14"/>
      <c r="E1252" s="15"/>
      <c r="F1252" s="16"/>
      <c r="G1252" s="18"/>
      <c r="H1252" s="15"/>
      <c r="I1252" s="18"/>
      <c r="J1252" s="22"/>
      <c r="K1252" s="108"/>
      <c r="L1252" s="26"/>
      <c r="M1252" s="26"/>
    </row>
    <row r="1253">
      <c r="A1253" s="12"/>
      <c r="B1253" s="13"/>
      <c r="C1253" s="14"/>
      <c r="D1253" s="14"/>
      <c r="E1253" s="15"/>
      <c r="F1253" s="16"/>
      <c r="G1253" s="18"/>
      <c r="H1253" s="15"/>
      <c r="I1253" s="18"/>
      <c r="J1253" s="22"/>
      <c r="K1253" s="108"/>
      <c r="L1253" s="26"/>
      <c r="M1253" s="26"/>
    </row>
    <row r="1254">
      <c r="A1254" s="12"/>
      <c r="B1254" s="13"/>
      <c r="C1254" s="14"/>
      <c r="D1254" s="14"/>
      <c r="E1254" s="15"/>
      <c r="F1254" s="16"/>
      <c r="G1254" s="18"/>
      <c r="H1254" s="15"/>
      <c r="I1254" s="18"/>
      <c r="J1254" s="22"/>
      <c r="K1254" s="108"/>
      <c r="L1254" s="26"/>
      <c r="M1254" s="26"/>
    </row>
    <row r="1255">
      <c r="A1255" s="12"/>
      <c r="B1255" s="13"/>
      <c r="C1255" s="14"/>
      <c r="D1255" s="14"/>
      <c r="E1255" s="15"/>
      <c r="F1255" s="16"/>
      <c r="G1255" s="18"/>
      <c r="H1255" s="15"/>
      <c r="I1255" s="18"/>
      <c r="J1255" s="22"/>
      <c r="K1255" s="108"/>
      <c r="L1255" s="26"/>
      <c r="M1255" s="26"/>
    </row>
    <row r="1256">
      <c r="A1256" s="12"/>
      <c r="B1256" s="13"/>
      <c r="C1256" s="14"/>
      <c r="D1256" s="14"/>
      <c r="E1256" s="15"/>
      <c r="F1256" s="16"/>
      <c r="G1256" s="18"/>
      <c r="H1256" s="15"/>
      <c r="I1256" s="18"/>
      <c r="J1256" s="22"/>
      <c r="K1256" s="108"/>
      <c r="L1256" s="26"/>
      <c r="M1256" s="26"/>
    </row>
    <row r="1257">
      <c r="A1257" s="12"/>
      <c r="B1257" s="13"/>
      <c r="C1257" s="14"/>
      <c r="D1257" s="14"/>
      <c r="E1257" s="15"/>
      <c r="F1257" s="16"/>
      <c r="G1257" s="18"/>
      <c r="H1257" s="15"/>
      <c r="I1257" s="18"/>
      <c r="J1257" s="22"/>
      <c r="K1257" s="108"/>
      <c r="L1257" s="26"/>
      <c r="M1257" s="26"/>
    </row>
    <row r="1258">
      <c r="A1258" s="12"/>
      <c r="B1258" s="13"/>
      <c r="C1258" s="14"/>
      <c r="D1258" s="14"/>
      <c r="E1258" s="15"/>
      <c r="F1258" s="16"/>
      <c r="G1258" s="18"/>
      <c r="H1258" s="15"/>
      <c r="I1258" s="18"/>
      <c r="J1258" s="22"/>
      <c r="K1258" s="108"/>
      <c r="L1258" s="26"/>
      <c r="M1258" s="26"/>
    </row>
    <row r="1259">
      <c r="A1259" s="12"/>
      <c r="B1259" s="13"/>
      <c r="C1259" s="14"/>
      <c r="D1259" s="14"/>
      <c r="E1259" s="15"/>
      <c r="F1259" s="16"/>
      <c r="G1259" s="18"/>
      <c r="H1259" s="15"/>
      <c r="I1259" s="18"/>
      <c r="J1259" s="22"/>
      <c r="K1259" s="108"/>
      <c r="L1259" s="26"/>
      <c r="M1259" s="26"/>
    </row>
    <row r="1260">
      <c r="A1260" s="12"/>
      <c r="B1260" s="13"/>
      <c r="C1260" s="14"/>
      <c r="D1260" s="14"/>
      <c r="E1260" s="15"/>
      <c r="F1260" s="16"/>
      <c r="G1260" s="18"/>
      <c r="H1260" s="15"/>
      <c r="I1260" s="18"/>
      <c r="J1260" s="22"/>
      <c r="K1260" s="108"/>
      <c r="L1260" s="26"/>
      <c r="M1260" s="26"/>
    </row>
    <row r="1261">
      <c r="A1261" s="12"/>
      <c r="B1261" s="13"/>
      <c r="C1261" s="14"/>
      <c r="D1261" s="14"/>
      <c r="E1261" s="15"/>
      <c r="F1261" s="16"/>
      <c r="G1261" s="18"/>
      <c r="H1261" s="15"/>
      <c r="I1261" s="18"/>
      <c r="J1261" s="22"/>
      <c r="K1261" s="108"/>
      <c r="L1261" s="26"/>
      <c r="M1261" s="26"/>
    </row>
    <row r="1262">
      <c r="A1262" s="12"/>
      <c r="B1262" s="13"/>
      <c r="C1262" s="14"/>
      <c r="D1262" s="14"/>
      <c r="E1262" s="15"/>
      <c r="F1262" s="16"/>
      <c r="G1262" s="18"/>
      <c r="H1262" s="15"/>
      <c r="I1262" s="18"/>
      <c r="J1262" s="22"/>
      <c r="K1262" s="108"/>
      <c r="L1262" s="26"/>
      <c r="M1262" s="26"/>
    </row>
    <row r="1263">
      <c r="A1263" s="12"/>
      <c r="B1263" s="13"/>
      <c r="C1263" s="14"/>
      <c r="D1263" s="14"/>
      <c r="E1263" s="15"/>
      <c r="F1263" s="16"/>
      <c r="G1263" s="18"/>
      <c r="H1263" s="15"/>
      <c r="I1263" s="18"/>
      <c r="J1263" s="22"/>
      <c r="K1263" s="108"/>
      <c r="L1263" s="26"/>
      <c r="M1263" s="26"/>
    </row>
    <row r="1264">
      <c r="A1264" s="12"/>
      <c r="B1264" s="13"/>
      <c r="C1264" s="14"/>
      <c r="D1264" s="14"/>
      <c r="E1264" s="15"/>
      <c r="F1264" s="16"/>
      <c r="G1264" s="18"/>
      <c r="H1264" s="15"/>
      <c r="I1264" s="18"/>
      <c r="J1264" s="22"/>
      <c r="K1264" s="108"/>
      <c r="L1264" s="26"/>
      <c r="M1264" s="26"/>
    </row>
    <row r="1265">
      <c r="A1265" s="12"/>
      <c r="B1265" s="13"/>
      <c r="C1265" s="14"/>
      <c r="D1265" s="14"/>
      <c r="E1265" s="15"/>
      <c r="F1265" s="16"/>
      <c r="G1265" s="18"/>
      <c r="H1265" s="15"/>
      <c r="I1265" s="18"/>
      <c r="J1265" s="22"/>
      <c r="K1265" s="108"/>
      <c r="L1265" s="26"/>
      <c r="M1265" s="26"/>
    </row>
    <row r="1266">
      <c r="A1266" s="12"/>
      <c r="B1266" s="13"/>
      <c r="C1266" s="14"/>
      <c r="D1266" s="14"/>
      <c r="E1266" s="15"/>
      <c r="F1266" s="16"/>
      <c r="G1266" s="18"/>
      <c r="H1266" s="15"/>
      <c r="I1266" s="18"/>
      <c r="J1266" s="22"/>
      <c r="K1266" s="108"/>
      <c r="L1266" s="26"/>
      <c r="M1266" s="26"/>
    </row>
    <row r="1267">
      <c r="A1267" s="12"/>
      <c r="B1267" s="13"/>
      <c r="C1267" s="14"/>
      <c r="D1267" s="14"/>
      <c r="E1267" s="15"/>
      <c r="F1267" s="16"/>
      <c r="G1267" s="18"/>
      <c r="H1267" s="15"/>
      <c r="I1267" s="18"/>
      <c r="J1267" s="22"/>
      <c r="K1267" s="108"/>
      <c r="L1267" s="26"/>
      <c r="M1267" s="26"/>
    </row>
    <row r="1268">
      <c r="A1268" s="12"/>
      <c r="B1268" s="13"/>
      <c r="C1268" s="14"/>
      <c r="D1268" s="14"/>
      <c r="E1268" s="15"/>
      <c r="F1268" s="16"/>
      <c r="G1268" s="18"/>
      <c r="H1268" s="15"/>
      <c r="I1268" s="18"/>
      <c r="J1268" s="22"/>
      <c r="K1268" s="108"/>
      <c r="L1268" s="26"/>
      <c r="M1268" s="26"/>
    </row>
    <row r="1269">
      <c r="A1269" s="12"/>
      <c r="B1269" s="13"/>
      <c r="C1269" s="14"/>
      <c r="D1269" s="14"/>
      <c r="E1269" s="15"/>
      <c r="F1269" s="16"/>
      <c r="G1269" s="18"/>
      <c r="H1269" s="15"/>
      <c r="I1269" s="18"/>
      <c r="J1269" s="22"/>
      <c r="K1269" s="108"/>
      <c r="L1269" s="26"/>
      <c r="M1269" s="26"/>
    </row>
    <row r="1270">
      <c r="A1270" s="12"/>
      <c r="B1270" s="13"/>
      <c r="C1270" s="14"/>
      <c r="D1270" s="14"/>
      <c r="E1270" s="15"/>
      <c r="F1270" s="16"/>
      <c r="G1270" s="18"/>
      <c r="H1270" s="15"/>
      <c r="I1270" s="18"/>
      <c r="J1270" s="22"/>
      <c r="K1270" s="108"/>
      <c r="L1270" s="26"/>
      <c r="M1270" s="26"/>
    </row>
    <row r="1271">
      <c r="A1271" s="12"/>
      <c r="B1271" s="13"/>
      <c r="C1271" s="14"/>
      <c r="D1271" s="14"/>
      <c r="E1271" s="15"/>
      <c r="F1271" s="16"/>
      <c r="G1271" s="18"/>
      <c r="H1271" s="15"/>
      <c r="I1271" s="18"/>
      <c r="J1271" s="22"/>
      <c r="K1271" s="108"/>
      <c r="L1271" s="26"/>
      <c r="M1271" s="26"/>
    </row>
    <row r="1272">
      <c r="A1272" s="12"/>
      <c r="B1272" s="13"/>
      <c r="C1272" s="14"/>
      <c r="D1272" s="14"/>
      <c r="E1272" s="15"/>
      <c r="F1272" s="16"/>
      <c r="G1272" s="18"/>
      <c r="H1272" s="15"/>
      <c r="I1272" s="18"/>
      <c r="J1272" s="22"/>
      <c r="K1272" s="108"/>
      <c r="L1272" s="26"/>
      <c r="M1272" s="26"/>
    </row>
    <row r="1273">
      <c r="A1273" s="12"/>
      <c r="B1273" s="13"/>
      <c r="C1273" s="14"/>
      <c r="D1273" s="14"/>
      <c r="E1273" s="15"/>
      <c r="F1273" s="16"/>
      <c r="G1273" s="18"/>
      <c r="H1273" s="15"/>
      <c r="I1273" s="18"/>
      <c r="J1273" s="22"/>
      <c r="K1273" s="108"/>
      <c r="L1273" s="26"/>
      <c r="M1273" s="26"/>
    </row>
    <row r="1274">
      <c r="A1274" s="12"/>
      <c r="B1274" s="13"/>
      <c r="C1274" s="14"/>
      <c r="D1274" s="14"/>
      <c r="E1274" s="15"/>
      <c r="F1274" s="16"/>
      <c r="G1274" s="18"/>
      <c r="H1274" s="15"/>
      <c r="I1274" s="18"/>
      <c r="J1274" s="22"/>
      <c r="K1274" s="108"/>
      <c r="L1274" s="26"/>
      <c r="M1274" s="26"/>
    </row>
    <row r="1275">
      <c r="A1275" s="12"/>
      <c r="B1275" s="13"/>
      <c r="C1275" s="14"/>
      <c r="D1275" s="14"/>
      <c r="E1275" s="15"/>
      <c r="F1275" s="16"/>
      <c r="G1275" s="18"/>
      <c r="H1275" s="15"/>
      <c r="I1275" s="18"/>
      <c r="J1275" s="22"/>
      <c r="K1275" s="108"/>
      <c r="L1275" s="26"/>
      <c r="M1275" s="26"/>
    </row>
    <row r="1276">
      <c r="A1276" s="12"/>
      <c r="B1276" s="13"/>
      <c r="C1276" s="14"/>
      <c r="D1276" s="14"/>
      <c r="E1276" s="15"/>
      <c r="F1276" s="16"/>
      <c r="G1276" s="18"/>
      <c r="H1276" s="15"/>
      <c r="I1276" s="18"/>
      <c r="J1276" s="22"/>
      <c r="K1276" s="108"/>
      <c r="L1276" s="26"/>
      <c r="M1276" s="26"/>
    </row>
    <row r="1277">
      <c r="A1277" s="12"/>
      <c r="B1277" s="13"/>
      <c r="C1277" s="14"/>
      <c r="D1277" s="14"/>
      <c r="E1277" s="15"/>
      <c r="F1277" s="16"/>
      <c r="G1277" s="18"/>
      <c r="H1277" s="15"/>
      <c r="I1277" s="18"/>
      <c r="J1277" s="22"/>
      <c r="K1277" s="108"/>
      <c r="L1277" s="26"/>
      <c r="M1277" s="26"/>
    </row>
    <row r="1278">
      <c r="A1278" s="12"/>
      <c r="B1278" s="13"/>
      <c r="C1278" s="14"/>
      <c r="D1278" s="14"/>
      <c r="E1278" s="15"/>
      <c r="F1278" s="16"/>
      <c r="G1278" s="18"/>
      <c r="H1278" s="15"/>
      <c r="I1278" s="18"/>
      <c r="J1278" s="22"/>
      <c r="K1278" s="108"/>
      <c r="L1278" s="26"/>
      <c r="M1278" s="26"/>
    </row>
    <row r="1279">
      <c r="A1279" s="12"/>
      <c r="B1279" s="13"/>
      <c r="C1279" s="14"/>
      <c r="D1279" s="14"/>
      <c r="E1279" s="15"/>
      <c r="F1279" s="16"/>
      <c r="G1279" s="18"/>
      <c r="H1279" s="15"/>
      <c r="I1279" s="18"/>
      <c r="J1279" s="22"/>
      <c r="K1279" s="108"/>
      <c r="L1279" s="26"/>
      <c r="M1279" s="26"/>
    </row>
    <row r="1280">
      <c r="A1280" s="12"/>
      <c r="B1280" s="13"/>
      <c r="C1280" s="14"/>
      <c r="D1280" s="14"/>
      <c r="E1280" s="15"/>
      <c r="F1280" s="16"/>
      <c r="G1280" s="18"/>
      <c r="H1280" s="15"/>
      <c r="I1280" s="18"/>
      <c r="J1280" s="22"/>
      <c r="K1280" s="108"/>
      <c r="L1280" s="26"/>
      <c r="M1280" s="26"/>
    </row>
    <row r="1281">
      <c r="A1281" s="12"/>
      <c r="B1281" s="13"/>
      <c r="C1281" s="14"/>
      <c r="D1281" s="14"/>
      <c r="E1281" s="15"/>
      <c r="F1281" s="16"/>
      <c r="G1281" s="18"/>
      <c r="H1281" s="15"/>
      <c r="I1281" s="18"/>
      <c r="J1281" s="22"/>
      <c r="K1281" s="108"/>
      <c r="L1281" s="26"/>
      <c r="M1281" s="26"/>
    </row>
    <row r="1282">
      <c r="A1282" s="12"/>
      <c r="B1282" s="13"/>
      <c r="C1282" s="14"/>
      <c r="D1282" s="14"/>
      <c r="E1282" s="15"/>
      <c r="F1282" s="16"/>
      <c r="G1282" s="18"/>
      <c r="H1282" s="15"/>
      <c r="I1282" s="18"/>
      <c r="J1282" s="22"/>
      <c r="K1282" s="108"/>
      <c r="L1282" s="26"/>
      <c r="M1282" s="26"/>
    </row>
    <row r="1283">
      <c r="A1283" s="12"/>
      <c r="B1283" s="13"/>
      <c r="C1283" s="14"/>
      <c r="D1283" s="14"/>
      <c r="E1283" s="15"/>
      <c r="F1283" s="16"/>
      <c r="G1283" s="18"/>
      <c r="H1283" s="15"/>
      <c r="I1283" s="18"/>
      <c r="J1283" s="22"/>
      <c r="K1283" s="108"/>
      <c r="L1283" s="26"/>
      <c r="M1283" s="26"/>
    </row>
    <row r="1284">
      <c r="A1284" s="12"/>
      <c r="B1284" s="13"/>
      <c r="C1284" s="14"/>
      <c r="D1284" s="14"/>
      <c r="E1284" s="15"/>
      <c r="F1284" s="16"/>
      <c r="G1284" s="18"/>
      <c r="H1284" s="15"/>
      <c r="I1284" s="18"/>
      <c r="J1284" s="22"/>
      <c r="K1284" s="108"/>
      <c r="L1284" s="26"/>
      <c r="M1284" s="26"/>
    </row>
    <row r="1285">
      <c r="A1285" s="12"/>
      <c r="B1285" s="13"/>
      <c r="C1285" s="14"/>
      <c r="D1285" s="14"/>
      <c r="E1285" s="15"/>
      <c r="F1285" s="16"/>
      <c r="G1285" s="18"/>
      <c r="H1285" s="15"/>
      <c r="I1285" s="18"/>
      <c r="J1285" s="22"/>
      <c r="K1285" s="108"/>
      <c r="L1285" s="26"/>
      <c r="M1285" s="26"/>
    </row>
    <row r="1286">
      <c r="A1286" s="12"/>
      <c r="B1286" s="13"/>
      <c r="C1286" s="14"/>
      <c r="D1286" s="14"/>
      <c r="E1286" s="15"/>
      <c r="F1286" s="16"/>
      <c r="G1286" s="18"/>
      <c r="H1286" s="15"/>
      <c r="I1286" s="18"/>
      <c r="J1286" s="22"/>
      <c r="K1286" s="108"/>
      <c r="L1286" s="26"/>
      <c r="M1286" s="26"/>
    </row>
    <row r="1287">
      <c r="A1287" s="12"/>
      <c r="B1287" s="13"/>
      <c r="C1287" s="14"/>
      <c r="D1287" s="14"/>
      <c r="E1287" s="15"/>
      <c r="F1287" s="16"/>
      <c r="G1287" s="18"/>
      <c r="H1287" s="15"/>
      <c r="I1287" s="18"/>
      <c r="J1287" s="22"/>
      <c r="K1287" s="108"/>
      <c r="L1287" s="26"/>
      <c r="M1287" s="26"/>
    </row>
    <row r="1288">
      <c r="A1288" s="12"/>
      <c r="B1288" s="13"/>
      <c r="C1288" s="14"/>
      <c r="D1288" s="14"/>
      <c r="E1288" s="15"/>
      <c r="F1288" s="16"/>
      <c r="G1288" s="18"/>
      <c r="H1288" s="15"/>
      <c r="I1288" s="18"/>
      <c r="J1288" s="22"/>
      <c r="K1288" s="108"/>
      <c r="L1288" s="26"/>
      <c r="M1288" s="26"/>
    </row>
    <row r="1289">
      <c r="A1289" s="12"/>
      <c r="B1289" s="13"/>
      <c r="C1289" s="14"/>
      <c r="D1289" s="14"/>
      <c r="E1289" s="15"/>
      <c r="F1289" s="16"/>
      <c r="G1289" s="18"/>
      <c r="H1289" s="15"/>
      <c r="I1289" s="18"/>
      <c r="J1289" s="22"/>
      <c r="K1289" s="108"/>
      <c r="L1289" s="26"/>
      <c r="M1289" s="26"/>
    </row>
    <row r="1290">
      <c r="A1290" s="12"/>
      <c r="B1290" s="13"/>
      <c r="C1290" s="14"/>
      <c r="D1290" s="14"/>
      <c r="E1290" s="15"/>
      <c r="F1290" s="16"/>
      <c r="G1290" s="18"/>
      <c r="H1290" s="15"/>
      <c r="I1290" s="18"/>
      <c r="J1290" s="22"/>
      <c r="K1290" s="108"/>
      <c r="L1290" s="26"/>
      <c r="M1290" s="26"/>
    </row>
    <row r="1291">
      <c r="A1291" s="12"/>
      <c r="B1291" s="13"/>
      <c r="C1291" s="14"/>
      <c r="D1291" s="14"/>
      <c r="E1291" s="15"/>
      <c r="F1291" s="16"/>
      <c r="G1291" s="18"/>
      <c r="H1291" s="15"/>
      <c r="I1291" s="18"/>
      <c r="J1291" s="22"/>
      <c r="K1291" s="108"/>
      <c r="L1291" s="26"/>
      <c r="M1291" s="26"/>
    </row>
    <row r="1292">
      <c r="A1292" s="12"/>
      <c r="B1292" s="13"/>
      <c r="C1292" s="14"/>
      <c r="D1292" s="14"/>
      <c r="E1292" s="15"/>
      <c r="F1292" s="16"/>
      <c r="G1292" s="18"/>
      <c r="H1292" s="15"/>
      <c r="I1292" s="18"/>
      <c r="J1292" s="22"/>
      <c r="K1292" s="108"/>
      <c r="L1292" s="26"/>
      <c r="M1292" s="26"/>
    </row>
    <row r="1293">
      <c r="A1293" s="12"/>
      <c r="B1293" s="13"/>
      <c r="C1293" s="14"/>
      <c r="D1293" s="14"/>
      <c r="E1293" s="15"/>
      <c r="F1293" s="16"/>
      <c r="G1293" s="18"/>
      <c r="H1293" s="15"/>
      <c r="I1293" s="18"/>
      <c r="J1293" s="22"/>
      <c r="K1293" s="108"/>
      <c r="L1293" s="26"/>
      <c r="M1293" s="26"/>
    </row>
    <row r="1294">
      <c r="A1294" s="12"/>
      <c r="B1294" s="13"/>
      <c r="C1294" s="14"/>
      <c r="D1294" s="14"/>
      <c r="E1294" s="15"/>
      <c r="F1294" s="16"/>
      <c r="G1294" s="18"/>
      <c r="H1294" s="15"/>
      <c r="I1294" s="18"/>
      <c r="J1294" s="22"/>
      <c r="K1294" s="108"/>
      <c r="L1294" s="26"/>
      <c r="M1294" s="26"/>
    </row>
    <row r="1295">
      <c r="A1295" s="12"/>
      <c r="B1295" s="13"/>
      <c r="C1295" s="14"/>
      <c r="D1295" s="14"/>
      <c r="E1295" s="15"/>
      <c r="F1295" s="16"/>
      <c r="G1295" s="18"/>
      <c r="H1295" s="15"/>
      <c r="I1295" s="18"/>
      <c r="J1295" s="22"/>
      <c r="K1295" s="108"/>
      <c r="L1295" s="26"/>
      <c r="M1295" s="26"/>
    </row>
    <row r="1296">
      <c r="A1296" s="12"/>
      <c r="B1296" s="13"/>
      <c r="C1296" s="14"/>
      <c r="D1296" s="14"/>
      <c r="E1296" s="15"/>
      <c r="F1296" s="16"/>
      <c r="G1296" s="18"/>
      <c r="H1296" s="15"/>
      <c r="I1296" s="18"/>
      <c r="J1296" s="22"/>
      <c r="K1296" s="108"/>
      <c r="L1296" s="26"/>
      <c r="M1296" s="26"/>
    </row>
    <row r="1297">
      <c r="A1297" s="12"/>
      <c r="B1297" s="13"/>
      <c r="C1297" s="14"/>
      <c r="D1297" s="14"/>
      <c r="E1297" s="15"/>
      <c r="F1297" s="16"/>
      <c r="G1297" s="18"/>
      <c r="H1297" s="15"/>
      <c r="I1297" s="18"/>
      <c r="J1297" s="22"/>
      <c r="K1297" s="108"/>
      <c r="L1297" s="26"/>
      <c r="M1297" s="26"/>
    </row>
    <row r="1298">
      <c r="A1298" s="12"/>
      <c r="B1298" s="13"/>
      <c r="C1298" s="14"/>
      <c r="D1298" s="14"/>
      <c r="E1298" s="15"/>
      <c r="F1298" s="16"/>
      <c r="G1298" s="18"/>
      <c r="H1298" s="15"/>
      <c r="I1298" s="18"/>
      <c r="J1298" s="22"/>
      <c r="K1298" s="108"/>
      <c r="L1298" s="26"/>
      <c r="M1298" s="26"/>
    </row>
    <row r="1299">
      <c r="A1299" s="12"/>
      <c r="B1299" s="13"/>
      <c r="C1299" s="14"/>
      <c r="D1299" s="14"/>
      <c r="E1299" s="15"/>
      <c r="F1299" s="16"/>
      <c r="G1299" s="18"/>
      <c r="H1299" s="15"/>
      <c r="I1299" s="18"/>
      <c r="J1299" s="22"/>
      <c r="K1299" s="108"/>
      <c r="L1299" s="26"/>
      <c r="M1299" s="26"/>
    </row>
    <row r="1300">
      <c r="A1300" s="12"/>
      <c r="B1300" s="13"/>
      <c r="C1300" s="14"/>
      <c r="D1300" s="14"/>
      <c r="E1300" s="15"/>
      <c r="F1300" s="16"/>
      <c r="G1300" s="18"/>
      <c r="H1300" s="15"/>
      <c r="I1300" s="18"/>
      <c r="J1300" s="22"/>
      <c r="K1300" s="108"/>
      <c r="L1300" s="26"/>
      <c r="M1300" s="26"/>
    </row>
    <row r="1301">
      <c r="A1301" s="12"/>
      <c r="B1301" s="13"/>
      <c r="C1301" s="14"/>
      <c r="D1301" s="14"/>
      <c r="E1301" s="15"/>
      <c r="F1301" s="16"/>
      <c r="G1301" s="18"/>
      <c r="H1301" s="15"/>
      <c r="I1301" s="18"/>
      <c r="J1301" s="22"/>
      <c r="K1301" s="108"/>
      <c r="L1301" s="26"/>
      <c r="M1301" s="26"/>
    </row>
    <row r="1302">
      <c r="A1302" s="12"/>
      <c r="B1302" s="13"/>
      <c r="C1302" s="14"/>
      <c r="D1302" s="14"/>
      <c r="E1302" s="15"/>
      <c r="F1302" s="16"/>
      <c r="G1302" s="18"/>
      <c r="H1302" s="15"/>
      <c r="I1302" s="18"/>
      <c r="J1302" s="22"/>
      <c r="K1302" s="108"/>
      <c r="L1302" s="26"/>
      <c r="M1302" s="26"/>
    </row>
    <row r="1303">
      <c r="A1303" s="12"/>
      <c r="B1303" s="13"/>
      <c r="C1303" s="14"/>
      <c r="D1303" s="14"/>
      <c r="E1303" s="15"/>
      <c r="F1303" s="16"/>
      <c r="G1303" s="18"/>
      <c r="H1303" s="15"/>
      <c r="I1303" s="18"/>
      <c r="J1303" s="22"/>
      <c r="K1303" s="108"/>
      <c r="L1303" s="26"/>
      <c r="M1303" s="26"/>
    </row>
    <row r="1304">
      <c r="A1304" s="12"/>
      <c r="B1304" s="13"/>
      <c r="C1304" s="14"/>
      <c r="D1304" s="14"/>
      <c r="E1304" s="15"/>
      <c r="F1304" s="16"/>
      <c r="G1304" s="18"/>
      <c r="H1304" s="15"/>
      <c r="I1304" s="18"/>
      <c r="J1304" s="22"/>
      <c r="K1304" s="108"/>
      <c r="L1304" s="26"/>
      <c r="M1304" s="26"/>
    </row>
    <row r="1305">
      <c r="A1305" s="12"/>
      <c r="B1305" s="13"/>
      <c r="C1305" s="14"/>
      <c r="D1305" s="14"/>
      <c r="E1305" s="15"/>
      <c r="F1305" s="16"/>
      <c r="G1305" s="18"/>
      <c r="H1305" s="15"/>
      <c r="I1305" s="18"/>
      <c r="J1305" s="22"/>
      <c r="K1305" s="108"/>
      <c r="L1305" s="26"/>
      <c r="M1305" s="26"/>
    </row>
    <row r="1306">
      <c r="A1306" s="12"/>
      <c r="B1306" s="13"/>
      <c r="C1306" s="14"/>
      <c r="D1306" s="14"/>
      <c r="E1306" s="15"/>
      <c r="F1306" s="16"/>
      <c r="G1306" s="18"/>
      <c r="H1306" s="15"/>
      <c r="I1306" s="18"/>
      <c r="J1306" s="22"/>
      <c r="K1306" s="108"/>
      <c r="L1306" s="26"/>
      <c r="M1306" s="26"/>
    </row>
    <row r="1307">
      <c r="A1307" s="12"/>
      <c r="B1307" s="13"/>
      <c r="C1307" s="14"/>
      <c r="D1307" s="14"/>
      <c r="E1307" s="15"/>
      <c r="F1307" s="16"/>
      <c r="G1307" s="18"/>
      <c r="H1307" s="15"/>
      <c r="I1307" s="18"/>
      <c r="J1307" s="22"/>
      <c r="K1307" s="108"/>
      <c r="L1307" s="26"/>
      <c r="M1307" s="26"/>
    </row>
    <row r="1308">
      <c r="A1308" s="12"/>
      <c r="B1308" s="13"/>
      <c r="C1308" s="14"/>
      <c r="D1308" s="14"/>
      <c r="E1308" s="15"/>
      <c r="F1308" s="16"/>
      <c r="G1308" s="18"/>
      <c r="H1308" s="15"/>
      <c r="I1308" s="18"/>
      <c r="J1308" s="22"/>
      <c r="K1308" s="108"/>
      <c r="L1308" s="26"/>
      <c r="M1308" s="26"/>
    </row>
    <row r="1309">
      <c r="A1309" s="12"/>
      <c r="B1309" s="13"/>
      <c r="C1309" s="14"/>
      <c r="D1309" s="14"/>
      <c r="E1309" s="15"/>
      <c r="F1309" s="16"/>
      <c r="G1309" s="18"/>
      <c r="H1309" s="15"/>
      <c r="I1309" s="18"/>
      <c r="J1309" s="22"/>
      <c r="K1309" s="108"/>
      <c r="L1309" s="26"/>
      <c r="M1309" s="26"/>
    </row>
    <row r="1310">
      <c r="A1310" s="12"/>
      <c r="B1310" s="13"/>
      <c r="C1310" s="14"/>
      <c r="D1310" s="14"/>
      <c r="E1310" s="15"/>
      <c r="F1310" s="16"/>
      <c r="G1310" s="18"/>
      <c r="H1310" s="15"/>
      <c r="I1310" s="18"/>
      <c r="J1310" s="22"/>
      <c r="K1310" s="108"/>
      <c r="L1310" s="26"/>
      <c r="M1310" s="26"/>
    </row>
    <row r="1311">
      <c r="A1311" s="12"/>
      <c r="B1311" s="13"/>
      <c r="C1311" s="14"/>
      <c r="D1311" s="14"/>
      <c r="E1311" s="15"/>
      <c r="F1311" s="16"/>
      <c r="G1311" s="18"/>
      <c r="H1311" s="15"/>
      <c r="I1311" s="18"/>
      <c r="J1311" s="22"/>
      <c r="K1311" s="108"/>
      <c r="L1311" s="26"/>
      <c r="M1311" s="26"/>
    </row>
    <row r="1312">
      <c r="A1312" s="12"/>
      <c r="B1312" s="13"/>
      <c r="C1312" s="14"/>
      <c r="D1312" s="14"/>
      <c r="E1312" s="15"/>
      <c r="F1312" s="16"/>
      <c r="G1312" s="18"/>
      <c r="H1312" s="15"/>
      <c r="I1312" s="18"/>
      <c r="J1312" s="22"/>
      <c r="K1312" s="108"/>
      <c r="L1312" s="26"/>
      <c r="M1312" s="26"/>
    </row>
    <row r="1313">
      <c r="A1313" s="12"/>
      <c r="B1313" s="13"/>
      <c r="C1313" s="14"/>
      <c r="D1313" s="14"/>
      <c r="E1313" s="15"/>
      <c r="F1313" s="16"/>
      <c r="G1313" s="18"/>
      <c r="H1313" s="15"/>
      <c r="I1313" s="18"/>
      <c r="J1313" s="22"/>
      <c r="K1313" s="108"/>
      <c r="L1313" s="26"/>
      <c r="M1313" s="26"/>
    </row>
    <row r="1314">
      <c r="A1314" s="12"/>
      <c r="B1314" s="13"/>
      <c r="C1314" s="14"/>
      <c r="D1314" s="14"/>
      <c r="E1314" s="15"/>
      <c r="F1314" s="16"/>
      <c r="G1314" s="18"/>
      <c r="H1314" s="15"/>
      <c r="I1314" s="18"/>
      <c r="J1314" s="22"/>
      <c r="K1314" s="108"/>
      <c r="L1314" s="26"/>
      <c r="M1314" s="26"/>
    </row>
    <row r="1315">
      <c r="A1315" s="12"/>
      <c r="B1315" s="13"/>
      <c r="C1315" s="14"/>
      <c r="D1315" s="14"/>
      <c r="E1315" s="15"/>
      <c r="F1315" s="16"/>
      <c r="G1315" s="18"/>
      <c r="H1315" s="15"/>
      <c r="I1315" s="18"/>
      <c r="J1315" s="22"/>
      <c r="K1315" s="108"/>
      <c r="L1315" s="26"/>
      <c r="M1315" s="26"/>
    </row>
    <row r="1316">
      <c r="A1316" s="12"/>
      <c r="B1316" s="13"/>
      <c r="C1316" s="14"/>
      <c r="D1316" s="14"/>
      <c r="E1316" s="15"/>
      <c r="F1316" s="16"/>
      <c r="G1316" s="18"/>
      <c r="H1316" s="15"/>
      <c r="I1316" s="18"/>
      <c r="J1316" s="22"/>
      <c r="K1316" s="108"/>
      <c r="L1316" s="26"/>
      <c r="M1316" s="26"/>
    </row>
    <row r="1317">
      <c r="A1317" s="12"/>
      <c r="B1317" s="13"/>
      <c r="C1317" s="14"/>
      <c r="D1317" s="14"/>
      <c r="E1317" s="15"/>
      <c r="F1317" s="16"/>
      <c r="G1317" s="18"/>
      <c r="H1317" s="15"/>
      <c r="I1317" s="18"/>
      <c r="J1317" s="22"/>
      <c r="K1317" s="108"/>
      <c r="L1317" s="26"/>
      <c r="M1317" s="26"/>
    </row>
    <row r="1318">
      <c r="A1318" s="12"/>
      <c r="B1318" s="13"/>
      <c r="C1318" s="14"/>
      <c r="D1318" s="14"/>
      <c r="E1318" s="15"/>
      <c r="F1318" s="16"/>
      <c r="G1318" s="18"/>
      <c r="H1318" s="15"/>
      <c r="I1318" s="18"/>
      <c r="J1318" s="22"/>
      <c r="K1318" s="108"/>
      <c r="L1318" s="26"/>
      <c r="M1318" s="26"/>
    </row>
    <row r="1319">
      <c r="A1319" s="12"/>
      <c r="B1319" s="13"/>
      <c r="C1319" s="14"/>
      <c r="D1319" s="14"/>
      <c r="E1319" s="15"/>
      <c r="F1319" s="16"/>
      <c r="G1319" s="18"/>
      <c r="H1319" s="15"/>
      <c r="I1319" s="18"/>
      <c r="J1319" s="22"/>
      <c r="K1319" s="108"/>
      <c r="L1319" s="26"/>
      <c r="M1319" s="26"/>
    </row>
    <row r="1320">
      <c r="A1320" s="12"/>
      <c r="B1320" s="13"/>
      <c r="C1320" s="14"/>
      <c r="D1320" s="14"/>
      <c r="E1320" s="15"/>
      <c r="F1320" s="16"/>
      <c r="G1320" s="18"/>
      <c r="H1320" s="15"/>
      <c r="I1320" s="18"/>
      <c r="J1320" s="22"/>
      <c r="K1320" s="108"/>
      <c r="L1320" s="26"/>
      <c r="M1320" s="26"/>
    </row>
    <row r="1321">
      <c r="A1321" s="12"/>
      <c r="B1321" s="13"/>
      <c r="C1321" s="14"/>
      <c r="D1321" s="14"/>
      <c r="E1321" s="15"/>
      <c r="F1321" s="16"/>
      <c r="G1321" s="18"/>
      <c r="H1321" s="15"/>
      <c r="I1321" s="18"/>
      <c r="J1321" s="22"/>
      <c r="K1321" s="108"/>
      <c r="L1321" s="26"/>
      <c r="M1321" s="26"/>
    </row>
    <row r="1322">
      <c r="A1322" s="12"/>
      <c r="B1322" s="13"/>
      <c r="C1322" s="14"/>
      <c r="D1322" s="14"/>
      <c r="E1322" s="15"/>
      <c r="F1322" s="16"/>
      <c r="G1322" s="18"/>
      <c r="H1322" s="15"/>
      <c r="I1322" s="18"/>
      <c r="J1322" s="22"/>
      <c r="K1322" s="108"/>
      <c r="L1322" s="26"/>
      <c r="M1322" s="26"/>
    </row>
    <row r="1323">
      <c r="A1323" s="12"/>
      <c r="B1323" s="13"/>
      <c r="C1323" s="14"/>
      <c r="D1323" s="14"/>
      <c r="E1323" s="15"/>
      <c r="F1323" s="16"/>
      <c r="G1323" s="18"/>
      <c r="H1323" s="15"/>
      <c r="I1323" s="18"/>
      <c r="J1323" s="22"/>
      <c r="K1323" s="108"/>
      <c r="L1323" s="26"/>
      <c r="M1323" s="26"/>
    </row>
    <row r="1324">
      <c r="A1324" s="12"/>
      <c r="B1324" s="13"/>
      <c r="C1324" s="14"/>
      <c r="D1324" s="14"/>
      <c r="E1324" s="15"/>
      <c r="F1324" s="16"/>
      <c r="G1324" s="18"/>
      <c r="H1324" s="15"/>
      <c r="I1324" s="18"/>
      <c r="J1324" s="22"/>
      <c r="K1324" s="108"/>
      <c r="L1324" s="26"/>
      <c r="M1324" s="26"/>
    </row>
    <row r="1325">
      <c r="A1325" s="12"/>
      <c r="B1325" s="13"/>
      <c r="C1325" s="14"/>
      <c r="D1325" s="14"/>
      <c r="E1325" s="15"/>
      <c r="F1325" s="16"/>
      <c r="G1325" s="18"/>
      <c r="H1325" s="15"/>
      <c r="I1325" s="18"/>
      <c r="J1325" s="22"/>
      <c r="K1325" s="108"/>
      <c r="L1325" s="26"/>
      <c r="M1325" s="26"/>
    </row>
    <row r="1326">
      <c r="A1326" s="12"/>
      <c r="B1326" s="13"/>
      <c r="C1326" s="14"/>
      <c r="D1326" s="14"/>
      <c r="E1326" s="15"/>
      <c r="F1326" s="16"/>
      <c r="G1326" s="18"/>
      <c r="H1326" s="15"/>
      <c r="I1326" s="18"/>
      <c r="J1326" s="22"/>
      <c r="K1326" s="108"/>
      <c r="L1326" s="26"/>
      <c r="M1326" s="26"/>
    </row>
    <row r="1327">
      <c r="A1327" s="12"/>
      <c r="B1327" s="13"/>
      <c r="C1327" s="14"/>
      <c r="D1327" s="14"/>
      <c r="E1327" s="15"/>
      <c r="F1327" s="16"/>
      <c r="G1327" s="18"/>
      <c r="H1327" s="15"/>
      <c r="I1327" s="18"/>
      <c r="J1327" s="22"/>
      <c r="K1327" s="108"/>
      <c r="L1327" s="26"/>
      <c r="M1327" s="26"/>
    </row>
    <row r="1328">
      <c r="A1328" s="12"/>
      <c r="B1328" s="13"/>
      <c r="C1328" s="14"/>
      <c r="D1328" s="14"/>
      <c r="E1328" s="15"/>
      <c r="F1328" s="16"/>
      <c r="G1328" s="18"/>
      <c r="H1328" s="15"/>
      <c r="I1328" s="18"/>
      <c r="J1328" s="22"/>
      <c r="K1328" s="108"/>
      <c r="L1328" s="26"/>
      <c r="M1328" s="26"/>
    </row>
    <row r="1329">
      <c r="A1329" s="12"/>
      <c r="B1329" s="13"/>
      <c r="C1329" s="14"/>
      <c r="D1329" s="14"/>
      <c r="E1329" s="15"/>
      <c r="F1329" s="16"/>
      <c r="G1329" s="18"/>
      <c r="H1329" s="15"/>
      <c r="I1329" s="18"/>
      <c r="J1329" s="22"/>
      <c r="K1329" s="108"/>
      <c r="L1329" s="26"/>
      <c r="M1329" s="26"/>
    </row>
    <row r="1330">
      <c r="A1330" s="12"/>
      <c r="B1330" s="13"/>
      <c r="C1330" s="14"/>
      <c r="D1330" s="14"/>
      <c r="E1330" s="15"/>
      <c r="F1330" s="16"/>
      <c r="G1330" s="18"/>
      <c r="H1330" s="15"/>
      <c r="I1330" s="18"/>
      <c r="J1330" s="22"/>
      <c r="K1330" s="108"/>
      <c r="L1330" s="26"/>
      <c r="M1330" s="26"/>
    </row>
    <row r="1331">
      <c r="A1331" s="12"/>
      <c r="B1331" s="13"/>
      <c r="C1331" s="14"/>
      <c r="D1331" s="14"/>
      <c r="E1331" s="15"/>
      <c r="F1331" s="16"/>
      <c r="G1331" s="18"/>
      <c r="H1331" s="15"/>
      <c r="I1331" s="18"/>
      <c r="J1331" s="22"/>
      <c r="K1331" s="108"/>
      <c r="L1331" s="26"/>
      <c r="M1331" s="26"/>
    </row>
    <row r="1332">
      <c r="A1332" s="12"/>
      <c r="B1332" s="13"/>
      <c r="C1332" s="14"/>
      <c r="D1332" s="14"/>
      <c r="E1332" s="15"/>
      <c r="F1332" s="16"/>
      <c r="G1332" s="18"/>
      <c r="H1332" s="15"/>
      <c r="I1332" s="18"/>
      <c r="J1332" s="22"/>
      <c r="K1332" s="108"/>
      <c r="L1332" s="26"/>
      <c r="M1332" s="26"/>
    </row>
    <row r="1333">
      <c r="A1333" s="12"/>
      <c r="B1333" s="13"/>
      <c r="C1333" s="14"/>
      <c r="D1333" s="14"/>
      <c r="E1333" s="15"/>
      <c r="F1333" s="16"/>
      <c r="G1333" s="18"/>
      <c r="H1333" s="15"/>
      <c r="I1333" s="18"/>
      <c r="J1333" s="22"/>
      <c r="K1333" s="108"/>
      <c r="L1333" s="26"/>
      <c r="M1333" s="26"/>
    </row>
    <row r="1334">
      <c r="A1334" s="12"/>
      <c r="B1334" s="13"/>
      <c r="C1334" s="14"/>
      <c r="D1334" s="14"/>
      <c r="E1334" s="15"/>
      <c r="F1334" s="16"/>
      <c r="G1334" s="18"/>
      <c r="H1334" s="15"/>
      <c r="I1334" s="18"/>
      <c r="J1334" s="22"/>
      <c r="K1334" s="108"/>
      <c r="L1334" s="26"/>
      <c r="M1334" s="26"/>
    </row>
    <row r="1335">
      <c r="A1335" s="12"/>
      <c r="B1335" s="13"/>
      <c r="C1335" s="14"/>
      <c r="D1335" s="14"/>
      <c r="E1335" s="15"/>
      <c r="F1335" s="16"/>
      <c r="G1335" s="18"/>
      <c r="H1335" s="15"/>
      <c r="I1335" s="18"/>
      <c r="J1335" s="22"/>
      <c r="K1335" s="108"/>
      <c r="L1335" s="26"/>
      <c r="M1335" s="26"/>
    </row>
    <row r="1336">
      <c r="A1336" s="12"/>
      <c r="B1336" s="13"/>
      <c r="C1336" s="14"/>
      <c r="D1336" s="14"/>
      <c r="E1336" s="15"/>
      <c r="F1336" s="16"/>
      <c r="G1336" s="18"/>
      <c r="H1336" s="15"/>
      <c r="I1336" s="18"/>
      <c r="J1336" s="22"/>
      <c r="K1336" s="108"/>
      <c r="L1336" s="26"/>
      <c r="M1336" s="26"/>
    </row>
    <row r="1337">
      <c r="A1337" s="12"/>
      <c r="B1337" s="13"/>
      <c r="C1337" s="14"/>
      <c r="D1337" s="14"/>
      <c r="E1337" s="15"/>
      <c r="F1337" s="16"/>
      <c r="G1337" s="18"/>
      <c r="H1337" s="15"/>
      <c r="I1337" s="18"/>
      <c r="J1337" s="22"/>
      <c r="K1337" s="108"/>
      <c r="L1337" s="26"/>
      <c r="M1337" s="26"/>
    </row>
    <row r="1338">
      <c r="A1338" s="12"/>
      <c r="B1338" s="13"/>
      <c r="C1338" s="14"/>
      <c r="D1338" s="14"/>
      <c r="E1338" s="15"/>
      <c r="F1338" s="16"/>
      <c r="G1338" s="18"/>
      <c r="H1338" s="15"/>
      <c r="I1338" s="18"/>
      <c r="J1338" s="22"/>
      <c r="K1338" s="108"/>
      <c r="L1338" s="26"/>
      <c r="M1338" s="26"/>
    </row>
    <row r="1339">
      <c r="A1339" s="12"/>
      <c r="B1339" s="13"/>
      <c r="C1339" s="14"/>
      <c r="D1339" s="14"/>
      <c r="E1339" s="15"/>
      <c r="F1339" s="16"/>
      <c r="G1339" s="18"/>
      <c r="H1339" s="15"/>
      <c r="I1339" s="18"/>
      <c r="J1339" s="22"/>
      <c r="K1339" s="108"/>
      <c r="L1339" s="26"/>
      <c r="M1339" s="26"/>
    </row>
    <row r="1340">
      <c r="A1340" s="12"/>
      <c r="B1340" s="13"/>
      <c r="C1340" s="14"/>
      <c r="D1340" s="14"/>
      <c r="E1340" s="15"/>
      <c r="F1340" s="16"/>
      <c r="G1340" s="18"/>
      <c r="H1340" s="15"/>
      <c r="I1340" s="18"/>
      <c r="J1340" s="22"/>
      <c r="K1340" s="108"/>
      <c r="L1340" s="26"/>
      <c r="M1340" s="26"/>
    </row>
    <row r="1341">
      <c r="A1341" s="12"/>
      <c r="B1341" s="13"/>
      <c r="C1341" s="14"/>
      <c r="D1341" s="14"/>
      <c r="E1341" s="15"/>
      <c r="F1341" s="16"/>
      <c r="G1341" s="18"/>
      <c r="H1341" s="15"/>
      <c r="I1341" s="18"/>
      <c r="J1341" s="22"/>
      <c r="K1341" s="108"/>
      <c r="L1341" s="26"/>
      <c r="M1341" s="26"/>
    </row>
    <row r="1342">
      <c r="A1342" s="12"/>
      <c r="B1342" s="13"/>
      <c r="C1342" s="14"/>
      <c r="D1342" s="14"/>
      <c r="E1342" s="15"/>
      <c r="F1342" s="16"/>
      <c r="G1342" s="18"/>
      <c r="H1342" s="15"/>
      <c r="I1342" s="18"/>
      <c r="J1342" s="22"/>
      <c r="K1342" s="108"/>
      <c r="L1342" s="26"/>
      <c r="M1342" s="26"/>
    </row>
    <row r="1343">
      <c r="A1343" s="12"/>
      <c r="B1343" s="13"/>
      <c r="C1343" s="14"/>
      <c r="D1343" s="14"/>
      <c r="E1343" s="15"/>
      <c r="F1343" s="16"/>
      <c r="G1343" s="18"/>
      <c r="H1343" s="15"/>
      <c r="I1343" s="18"/>
      <c r="J1343" s="22"/>
      <c r="K1343" s="108"/>
      <c r="L1343" s="26"/>
      <c r="M1343" s="26"/>
    </row>
    <row r="1344">
      <c r="A1344" s="12"/>
      <c r="B1344" s="13"/>
      <c r="C1344" s="14"/>
      <c r="D1344" s="14"/>
      <c r="E1344" s="15"/>
      <c r="F1344" s="16"/>
      <c r="G1344" s="18"/>
      <c r="H1344" s="15"/>
      <c r="I1344" s="18"/>
      <c r="J1344" s="22"/>
      <c r="K1344" s="108"/>
      <c r="L1344" s="26"/>
      <c r="M1344" s="26"/>
    </row>
    <row r="1345">
      <c r="A1345" s="12"/>
      <c r="B1345" s="13"/>
      <c r="C1345" s="14"/>
      <c r="D1345" s="14"/>
      <c r="E1345" s="15"/>
      <c r="F1345" s="16"/>
      <c r="G1345" s="18"/>
      <c r="H1345" s="15"/>
      <c r="I1345" s="18"/>
      <c r="J1345" s="22"/>
      <c r="K1345" s="108"/>
      <c r="L1345" s="26"/>
      <c r="M1345" s="26"/>
    </row>
    <row r="1346">
      <c r="A1346" s="12"/>
      <c r="B1346" s="13"/>
      <c r="C1346" s="14"/>
      <c r="D1346" s="14"/>
      <c r="E1346" s="15"/>
      <c r="F1346" s="16"/>
      <c r="G1346" s="18"/>
      <c r="H1346" s="15"/>
      <c r="I1346" s="18"/>
      <c r="J1346" s="22"/>
      <c r="K1346" s="108"/>
      <c r="L1346" s="26"/>
      <c r="M1346" s="26"/>
    </row>
    <row r="1347">
      <c r="A1347" s="12"/>
      <c r="B1347" s="13"/>
      <c r="C1347" s="14"/>
      <c r="D1347" s="14"/>
      <c r="E1347" s="15"/>
      <c r="F1347" s="16"/>
      <c r="G1347" s="18"/>
      <c r="H1347" s="15"/>
      <c r="I1347" s="18"/>
      <c r="J1347" s="22"/>
      <c r="K1347" s="108"/>
      <c r="L1347" s="26"/>
      <c r="M1347" s="26"/>
    </row>
    <row r="1348">
      <c r="A1348" s="12"/>
      <c r="B1348" s="13"/>
      <c r="C1348" s="14"/>
      <c r="D1348" s="14"/>
      <c r="E1348" s="15"/>
      <c r="F1348" s="16"/>
      <c r="G1348" s="18"/>
      <c r="H1348" s="15"/>
      <c r="I1348" s="18"/>
      <c r="J1348" s="22"/>
      <c r="K1348" s="108"/>
      <c r="L1348" s="26"/>
      <c r="M1348" s="26"/>
    </row>
    <row r="1349">
      <c r="A1349" s="12"/>
      <c r="B1349" s="13"/>
      <c r="C1349" s="14"/>
      <c r="D1349" s="14"/>
      <c r="E1349" s="15"/>
      <c r="F1349" s="16"/>
      <c r="G1349" s="18"/>
      <c r="H1349" s="15"/>
      <c r="I1349" s="18"/>
      <c r="J1349" s="22"/>
      <c r="K1349" s="108"/>
      <c r="L1349" s="26"/>
      <c r="M1349" s="26"/>
    </row>
    <row r="1350">
      <c r="A1350" s="12"/>
      <c r="B1350" s="13"/>
      <c r="C1350" s="14"/>
      <c r="D1350" s="14"/>
      <c r="E1350" s="15"/>
      <c r="F1350" s="16"/>
      <c r="G1350" s="18"/>
      <c r="H1350" s="15"/>
      <c r="I1350" s="18"/>
      <c r="J1350" s="22"/>
      <c r="K1350" s="108"/>
      <c r="L1350" s="26"/>
      <c r="M1350" s="26"/>
    </row>
    <row r="1351">
      <c r="A1351" s="12"/>
      <c r="B1351" s="13"/>
      <c r="C1351" s="14"/>
      <c r="D1351" s="14"/>
      <c r="E1351" s="15"/>
      <c r="F1351" s="16"/>
      <c r="G1351" s="18"/>
      <c r="H1351" s="15"/>
      <c r="I1351" s="18"/>
      <c r="J1351" s="22"/>
      <c r="K1351" s="108"/>
      <c r="L1351" s="26"/>
      <c r="M1351" s="26"/>
    </row>
    <row r="1352">
      <c r="A1352" s="12"/>
      <c r="B1352" s="13"/>
      <c r="C1352" s="14"/>
      <c r="D1352" s="14"/>
      <c r="E1352" s="15"/>
      <c r="F1352" s="16"/>
      <c r="G1352" s="18"/>
      <c r="H1352" s="15"/>
      <c r="I1352" s="18"/>
      <c r="J1352" s="22"/>
      <c r="K1352" s="108"/>
      <c r="L1352" s="26"/>
      <c r="M1352" s="26"/>
    </row>
    <row r="1353">
      <c r="A1353" s="12"/>
      <c r="B1353" s="13"/>
      <c r="C1353" s="14"/>
      <c r="D1353" s="14"/>
      <c r="E1353" s="15"/>
      <c r="F1353" s="16"/>
      <c r="G1353" s="18"/>
      <c r="H1353" s="15"/>
      <c r="I1353" s="18"/>
      <c r="J1353" s="22"/>
      <c r="K1353" s="108"/>
      <c r="L1353" s="26"/>
      <c r="M1353" s="26"/>
    </row>
    <row r="1354">
      <c r="A1354" s="12"/>
      <c r="B1354" s="13"/>
      <c r="C1354" s="14"/>
      <c r="D1354" s="14"/>
      <c r="E1354" s="15"/>
      <c r="F1354" s="16"/>
      <c r="G1354" s="18"/>
      <c r="H1354" s="15"/>
      <c r="I1354" s="18"/>
      <c r="J1354" s="22"/>
      <c r="K1354" s="108"/>
      <c r="L1354" s="26"/>
      <c r="M1354" s="26"/>
    </row>
    <row r="1355">
      <c r="A1355" s="12"/>
      <c r="B1355" s="13"/>
      <c r="C1355" s="14"/>
      <c r="D1355" s="14"/>
      <c r="E1355" s="15"/>
      <c r="F1355" s="16"/>
      <c r="G1355" s="18"/>
      <c r="H1355" s="15"/>
      <c r="I1355" s="18"/>
      <c r="J1355" s="22"/>
      <c r="K1355" s="108"/>
      <c r="L1355" s="26"/>
      <c r="M1355" s="26"/>
    </row>
    <row r="1356">
      <c r="A1356" s="12"/>
      <c r="B1356" s="13"/>
      <c r="C1356" s="14"/>
      <c r="D1356" s="14"/>
      <c r="E1356" s="15"/>
      <c r="F1356" s="16"/>
      <c r="G1356" s="18"/>
      <c r="H1356" s="15"/>
      <c r="I1356" s="18"/>
      <c r="J1356" s="22"/>
      <c r="K1356" s="108"/>
      <c r="L1356" s="26"/>
      <c r="M1356" s="26"/>
    </row>
    <row r="1357">
      <c r="A1357" s="12"/>
      <c r="B1357" s="13"/>
      <c r="C1357" s="14"/>
      <c r="D1357" s="14"/>
      <c r="E1357" s="15"/>
      <c r="F1357" s="16"/>
      <c r="G1357" s="18"/>
      <c r="H1357" s="15"/>
      <c r="I1357" s="18"/>
      <c r="J1357" s="22"/>
      <c r="K1357" s="108"/>
      <c r="L1357" s="26"/>
      <c r="M1357" s="26"/>
    </row>
    <row r="1358">
      <c r="A1358" s="12"/>
      <c r="B1358" s="13"/>
      <c r="C1358" s="14"/>
      <c r="D1358" s="14"/>
      <c r="E1358" s="15"/>
      <c r="F1358" s="16"/>
      <c r="G1358" s="18"/>
      <c r="H1358" s="15"/>
      <c r="I1358" s="18"/>
      <c r="J1358" s="22"/>
      <c r="K1358" s="108"/>
      <c r="L1358" s="26"/>
      <c r="M1358" s="26"/>
    </row>
    <row r="1359">
      <c r="A1359" s="12"/>
      <c r="B1359" s="13"/>
      <c r="C1359" s="14"/>
      <c r="D1359" s="14"/>
      <c r="E1359" s="15"/>
      <c r="F1359" s="16"/>
      <c r="G1359" s="18"/>
      <c r="H1359" s="15"/>
      <c r="I1359" s="18"/>
      <c r="J1359" s="22"/>
      <c r="K1359" s="108"/>
      <c r="L1359" s="26"/>
      <c r="M1359" s="26"/>
    </row>
    <row r="1360">
      <c r="A1360" s="12"/>
      <c r="B1360" s="13"/>
      <c r="C1360" s="14"/>
      <c r="D1360" s="14"/>
      <c r="E1360" s="15"/>
      <c r="F1360" s="16"/>
      <c r="G1360" s="18"/>
      <c r="H1360" s="15"/>
      <c r="I1360" s="18"/>
      <c r="J1360" s="22"/>
      <c r="K1360" s="108"/>
      <c r="L1360" s="26"/>
      <c r="M1360" s="26"/>
    </row>
    <row r="1361">
      <c r="A1361" s="12"/>
      <c r="B1361" s="13"/>
      <c r="C1361" s="14"/>
      <c r="D1361" s="14"/>
      <c r="E1361" s="15"/>
      <c r="F1361" s="16"/>
      <c r="G1361" s="18"/>
      <c r="H1361" s="15"/>
      <c r="I1361" s="18"/>
      <c r="J1361" s="22"/>
      <c r="K1361" s="108"/>
      <c r="L1361" s="26"/>
      <c r="M1361" s="26"/>
    </row>
    <row r="1362">
      <c r="A1362" s="12"/>
      <c r="B1362" s="13"/>
      <c r="C1362" s="14"/>
      <c r="D1362" s="14"/>
      <c r="E1362" s="15"/>
      <c r="F1362" s="16"/>
      <c r="G1362" s="18"/>
      <c r="H1362" s="15"/>
      <c r="I1362" s="18"/>
      <c r="J1362" s="22"/>
      <c r="K1362" s="108"/>
      <c r="L1362" s="26"/>
      <c r="M1362" s="26"/>
    </row>
    <row r="1363">
      <c r="A1363" s="12"/>
      <c r="B1363" s="13"/>
      <c r="C1363" s="14"/>
      <c r="D1363" s="14"/>
      <c r="E1363" s="15"/>
      <c r="F1363" s="16"/>
      <c r="G1363" s="18"/>
      <c r="H1363" s="15"/>
      <c r="I1363" s="18"/>
      <c r="J1363" s="22"/>
      <c r="K1363" s="108"/>
      <c r="L1363" s="26"/>
      <c r="M1363" s="26"/>
    </row>
    <row r="1364">
      <c r="A1364" s="12"/>
      <c r="B1364" s="13"/>
      <c r="C1364" s="14"/>
      <c r="D1364" s="14"/>
      <c r="E1364" s="15"/>
      <c r="F1364" s="16"/>
      <c r="G1364" s="18"/>
      <c r="H1364" s="15"/>
      <c r="I1364" s="18"/>
      <c r="J1364" s="22"/>
      <c r="K1364" s="108"/>
      <c r="L1364" s="26"/>
      <c r="M1364" s="26"/>
    </row>
    <row r="1365">
      <c r="A1365" s="12"/>
      <c r="B1365" s="13"/>
      <c r="C1365" s="14"/>
      <c r="D1365" s="14"/>
      <c r="E1365" s="15"/>
      <c r="F1365" s="16"/>
      <c r="G1365" s="18"/>
      <c r="H1365" s="15"/>
      <c r="I1365" s="18"/>
      <c r="J1365" s="22"/>
      <c r="K1365" s="108"/>
      <c r="L1365" s="26"/>
      <c r="M1365" s="26"/>
    </row>
    <row r="1366">
      <c r="A1366" s="12"/>
      <c r="B1366" s="13"/>
      <c r="C1366" s="14"/>
      <c r="D1366" s="14"/>
      <c r="E1366" s="15"/>
      <c r="F1366" s="16"/>
      <c r="G1366" s="18"/>
      <c r="H1366" s="15"/>
      <c r="I1366" s="18"/>
      <c r="J1366" s="22"/>
      <c r="K1366" s="108"/>
      <c r="L1366" s="26"/>
      <c r="M1366" s="26"/>
    </row>
    <row r="1367">
      <c r="A1367" s="12"/>
      <c r="B1367" s="13"/>
      <c r="C1367" s="14"/>
      <c r="D1367" s="14"/>
      <c r="E1367" s="15"/>
      <c r="F1367" s="16"/>
      <c r="G1367" s="18"/>
      <c r="H1367" s="15"/>
      <c r="I1367" s="18"/>
      <c r="J1367" s="22"/>
      <c r="K1367" s="108"/>
      <c r="L1367" s="26"/>
      <c r="M1367" s="26"/>
    </row>
    <row r="1368">
      <c r="A1368" s="12"/>
      <c r="B1368" s="13"/>
      <c r="C1368" s="14"/>
      <c r="D1368" s="14"/>
      <c r="E1368" s="15"/>
      <c r="F1368" s="16"/>
      <c r="G1368" s="18"/>
      <c r="H1368" s="15"/>
      <c r="I1368" s="18"/>
      <c r="J1368" s="22"/>
      <c r="K1368" s="108"/>
      <c r="L1368" s="26"/>
      <c r="M1368" s="26"/>
    </row>
    <row r="1369">
      <c r="A1369" s="12"/>
      <c r="B1369" s="13"/>
      <c r="C1369" s="14"/>
      <c r="D1369" s="14"/>
      <c r="E1369" s="15"/>
      <c r="F1369" s="16"/>
      <c r="G1369" s="18"/>
      <c r="H1369" s="15"/>
      <c r="I1369" s="18"/>
      <c r="J1369" s="22"/>
      <c r="K1369" s="108"/>
      <c r="L1369" s="26"/>
      <c r="M1369" s="26"/>
    </row>
    <row r="1370">
      <c r="A1370" s="12"/>
      <c r="B1370" s="13"/>
      <c r="C1370" s="14"/>
      <c r="D1370" s="14"/>
      <c r="E1370" s="15"/>
      <c r="F1370" s="16"/>
      <c r="G1370" s="18"/>
      <c r="H1370" s="15"/>
      <c r="I1370" s="18"/>
      <c r="J1370" s="22"/>
      <c r="K1370" s="108"/>
      <c r="L1370" s="26"/>
      <c r="M1370" s="26"/>
    </row>
    <row r="1371">
      <c r="A1371" s="12"/>
      <c r="B1371" s="13"/>
      <c r="C1371" s="14"/>
      <c r="D1371" s="14"/>
      <c r="E1371" s="15"/>
      <c r="F1371" s="16"/>
      <c r="G1371" s="18"/>
      <c r="H1371" s="15"/>
      <c r="I1371" s="18"/>
      <c r="J1371" s="22"/>
      <c r="K1371" s="108"/>
      <c r="L1371" s="26"/>
      <c r="M1371" s="26"/>
    </row>
    <row r="1372">
      <c r="A1372" s="12"/>
      <c r="B1372" s="13"/>
      <c r="C1372" s="14"/>
      <c r="D1372" s="14"/>
      <c r="E1372" s="15"/>
      <c r="F1372" s="16"/>
      <c r="G1372" s="18"/>
      <c r="H1372" s="15"/>
      <c r="I1372" s="18"/>
      <c r="J1372" s="22"/>
      <c r="K1372" s="108"/>
      <c r="L1372" s="26"/>
      <c r="M1372" s="26"/>
    </row>
    <row r="1373">
      <c r="A1373" s="12"/>
      <c r="B1373" s="13"/>
      <c r="C1373" s="14"/>
      <c r="D1373" s="14"/>
      <c r="E1373" s="15"/>
      <c r="F1373" s="16"/>
      <c r="G1373" s="18"/>
      <c r="H1373" s="15"/>
      <c r="I1373" s="18"/>
      <c r="J1373" s="22"/>
      <c r="K1373" s="108"/>
      <c r="L1373" s="26"/>
      <c r="M1373" s="26"/>
    </row>
    <row r="1374">
      <c r="A1374" s="12"/>
      <c r="B1374" s="13"/>
      <c r="C1374" s="14"/>
      <c r="D1374" s="14"/>
      <c r="E1374" s="15"/>
      <c r="F1374" s="16"/>
      <c r="G1374" s="18"/>
      <c r="H1374" s="15"/>
      <c r="I1374" s="18"/>
      <c r="J1374" s="22"/>
      <c r="K1374" s="108"/>
      <c r="L1374" s="26"/>
      <c r="M1374" s="26"/>
    </row>
    <row r="1375">
      <c r="A1375" s="12"/>
      <c r="B1375" s="13"/>
      <c r="C1375" s="14"/>
      <c r="D1375" s="14"/>
      <c r="E1375" s="15"/>
      <c r="F1375" s="16"/>
      <c r="G1375" s="18"/>
      <c r="H1375" s="15"/>
      <c r="I1375" s="18"/>
      <c r="J1375" s="22"/>
      <c r="K1375" s="108"/>
      <c r="L1375" s="26"/>
      <c r="M1375" s="26"/>
    </row>
    <row r="1376">
      <c r="A1376" s="12"/>
      <c r="B1376" s="13"/>
      <c r="C1376" s="14"/>
      <c r="D1376" s="14"/>
      <c r="E1376" s="15"/>
      <c r="F1376" s="16"/>
      <c r="G1376" s="18"/>
      <c r="H1376" s="15"/>
      <c r="I1376" s="18"/>
      <c r="J1376" s="22"/>
      <c r="K1376" s="108"/>
      <c r="L1376" s="26"/>
      <c r="M1376" s="26"/>
    </row>
    <row r="1377">
      <c r="A1377" s="12"/>
      <c r="B1377" s="13"/>
      <c r="C1377" s="14"/>
      <c r="D1377" s="14"/>
      <c r="E1377" s="15"/>
      <c r="F1377" s="16"/>
      <c r="G1377" s="18"/>
      <c r="H1377" s="15"/>
      <c r="I1377" s="18"/>
      <c r="J1377" s="22"/>
      <c r="K1377" s="108"/>
      <c r="L1377" s="26"/>
      <c r="M1377" s="26"/>
    </row>
    <row r="1378">
      <c r="A1378" s="12"/>
      <c r="B1378" s="13"/>
      <c r="C1378" s="14"/>
      <c r="D1378" s="14"/>
      <c r="E1378" s="15"/>
      <c r="F1378" s="16"/>
      <c r="G1378" s="18"/>
      <c r="H1378" s="15"/>
      <c r="I1378" s="18"/>
      <c r="J1378" s="22"/>
      <c r="K1378" s="108"/>
      <c r="L1378" s="26"/>
      <c r="M1378" s="26"/>
    </row>
    <row r="1379">
      <c r="A1379" s="12"/>
      <c r="B1379" s="13"/>
      <c r="C1379" s="14"/>
      <c r="D1379" s="14"/>
      <c r="E1379" s="15"/>
      <c r="F1379" s="16"/>
      <c r="G1379" s="18"/>
      <c r="H1379" s="15"/>
      <c r="I1379" s="18"/>
      <c r="J1379" s="22"/>
      <c r="K1379" s="108"/>
      <c r="L1379" s="26"/>
      <c r="M1379" s="26"/>
    </row>
    <row r="1380">
      <c r="A1380" s="12"/>
      <c r="B1380" s="13"/>
      <c r="C1380" s="14"/>
      <c r="D1380" s="14"/>
      <c r="E1380" s="15"/>
      <c r="F1380" s="16"/>
      <c r="G1380" s="18"/>
      <c r="H1380" s="15"/>
      <c r="I1380" s="18"/>
      <c r="J1380" s="22"/>
      <c r="K1380" s="108"/>
      <c r="L1380" s="26"/>
      <c r="M1380" s="26"/>
    </row>
    <row r="1381">
      <c r="A1381" s="12"/>
      <c r="B1381" s="13"/>
      <c r="C1381" s="14"/>
      <c r="D1381" s="14"/>
      <c r="E1381" s="15"/>
      <c r="F1381" s="16"/>
      <c r="G1381" s="18"/>
      <c r="H1381" s="15"/>
      <c r="I1381" s="18"/>
      <c r="J1381" s="22"/>
      <c r="K1381" s="108"/>
      <c r="L1381" s="26"/>
      <c r="M1381" s="26"/>
    </row>
    <row r="1382">
      <c r="A1382" s="12"/>
      <c r="B1382" s="13"/>
      <c r="C1382" s="14"/>
      <c r="D1382" s="14"/>
      <c r="E1382" s="15"/>
      <c r="F1382" s="16"/>
      <c r="G1382" s="18"/>
      <c r="H1382" s="15"/>
      <c r="I1382" s="18"/>
      <c r="J1382" s="22"/>
      <c r="K1382" s="108"/>
      <c r="L1382" s="26"/>
      <c r="M1382" s="26"/>
    </row>
    <row r="1383">
      <c r="A1383" s="12"/>
      <c r="B1383" s="13"/>
      <c r="C1383" s="14"/>
      <c r="D1383" s="14"/>
      <c r="E1383" s="15"/>
      <c r="F1383" s="16"/>
      <c r="G1383" s="18"/>
      <c r="H1383" s="15"/>
      <c r="I1383" s="18"/>
      <c r="J1383" s="22"/>
      <c r="K1383" s="108"/>
      <c r="L1383" s="26"/>
      <c r="M1383" s="26"/>
    </row>
    <row r="1384">
      <c r="A1384" s="12"/>
      <c r="B1384" s="13"/>
      <c r="C1384" s="14"/>
      <c r="D1384" s="14"/>
      <c r="E1384" s="15"/>
      <c r="F1384" s="16"/>
      <c r="G1384" s="18"/>
      <c r="H1384" s="15"/>
      <c r="I1384" s="18"/>
      <c r="J1384" s="22"/>
      <c r="K1384" s="108"/>
      <c r="L1384" s="26"/>
      <c r="M1384" s="26"/>
    </row>
    <row r="1385">
      <c r="A1385" s="12"/>
      <c r="B1385" s="13"/>
      <c r="C1385" s="14"/>
      <c r="D1385" s="14"/>
      <c r="E1385" s="15"/>
      <c r="F1385" s="16"/>
      <c r="G1385" s="18"/>
      <c r="H1385" s="15"/>
      <c r="I1385" s="18"/>
      <c r="J1385" s="22"/>
      <c r="K1385" s="108"/>
      <c r="L1385" s="26"/>
      <c r="M1385" s="26"/>
    </row>
    <row r="1386">
      <c r="A1386" s="12"/>
      <c r="B1386" s="13"/>
      <c r="C1386" s="14"/>
      <c r="D1386" s="14"/>
      <c r="E1386" s="15"/>
      <c r="F1386" s="16"/>
      <c r="G1386" s="18"/>
      <c r="H1386" s="15"/>
      <c r="I1386" s="18"/>
      <c r="J1386" s="22"/>
      <c r="K1386" s="108"/>
      <c r="L1386" s="26"/>
      <c r="M1386" s="26"/>
    </row>
    <row r="1387">
      <c r="A1387" s="12"/>
      <c r="B1387" s="13"/>
      <c r="C1387" s="14"/>
      <c r="D1387" s="14"/>
      <c r="E1387" s="15"/>
      <c r="F1387" s="16"/>
      <c r="G1387" s="18"/>
      <c r="H1387" s="15"/>
      <c r="I1387" s="18"/>
      <c r="J1387" s="22"/>
      <c r="K1387" s="108"/>
      <c r="L1387" s="26"/>
      <c r="M1387" s="26"/>
    </row>
    <row r="1388">
      <c r="A1388" s="12"/>
      <c r="B1388" s="13"/>
      <c r="C1388" s="14"/>
      <c r="D1388" s="14"/>
      <c r="E1388" s="15"/>
      <c r="F1388" s="16"/>
      <c r="G1388" s="18"/>
      <c r="H1388" s="15"/>
      <c r="I1388" s="18"/>
      <c r="J1388" s="22"/>
      <c r="K1388" s="108"/>
      <c r="L1388" s="26"/>
      <c r="M1388" s="26"/>
    </row>
    <row r="1389">
      <c r="A1389" s="12"/>
      <c r="B1389" s="13"/>
      <c r="C1389" s="14"/>
      <c r="D1389" s="14"/>
      <c r="E1389" s="15"/>
      <c r="F1389" s="16"/>
      <c r="G1389" s="18"/>
      <c r="H1389" s="15"/>
      <c r="I1389" s="18"/>
      <c r="J1389" s="22"/>
      <c r="K1389" s="108"/>
      <c r="L1389" s="26"/>
      <c r="M1389" s="26"/>
    </row>
    <row r="1390">
      <c r="A1390" s="12"/>
      <c r="B1390" s="13"/>
      <c r="C1390" s="14"/>
      <c r="D1390" s="14"/>
      <c r="E1390" s="15"/>
      <c r="F1390" s="16"/>
      <c r="G1390" s="18"/>
      <c r="H1390" s="15"/>
      <c r="I1390" s="18"/>
      <c r="J1390" s="22"/>
      <c r="K1390" s="108"/>
      <c r="L1390" s="26"/>
      <c r="M1390" s="26"/>
    </row>
    <row r="1391">
      <c r="A1391" s="12"/>
      <c r="B1391" s="13"/>
      <c r="C1391" s="14"/>
      <c r="D1391" s="14"/>
      <c r="E1391" s="15"/>
      <c r="F1391" s="16"/>
      <c r="G1391" s="18"/>
      <c r="H1391" s="15"/>
      <c r="I1391" s="18"/>
      <c r="J1391" s="22"/>
      <c r="K1391" s="108"/>
      <c r="L1391" s="26"/>
      <c r="M1391" s="26"/>
    </row>
    <row r="1392">
      <c r="A1392" s="12"/>
      <c r="B1392" s="13"/>
      <c r="C1392" s="14"/>
      <c r="D1392" s="14"/>
      <c r="E1392" s="15"/>
      <c r="F1392" s="16"/>
      <c r="G1392" s="18"/>
      <c r="H1392" s="15"/>
      <c r="I1392" s="18"/>
      <c r="J1392" s="22"/>
      <c r="K1392" s="108"/>
      <c r="L1392" s="26"/>
      <c r="M1392" s="26"/>
    </row>
    <row r="1393">
      <c r="A1393" s="12"/>
      <c r="B1393" s="13"/>
      <c r="C1393" s="14"/>
      <c r="D1393" s="14"/>
      <c r="E1393" s="15"/>
      <c r="F1393" s="16"/>
      <c r="G1393" s="18"/>
      <c r="H1393" s="15"/>
      <c r="I1393" s="18"/>
      <c r="J1393" s="22"/>
      <c r="K1393" s="108"/>
      <c r="L1393" s="26"/>
      <c r="M1393" s="26"/>
    </row>
    <row r="1394">
      <c r="A1394" s="12"/>
      <c r="B1394" s="13"/>
      <c r="C1394" s="14"/>
      <c r="D1394" s="14"/>
      <c r="E1394" s="15"/>
      <c r="F1394" s="16"/>
      <c r="G1394" s="18"/>
      <c r="H1394" s="15"/>
      <c r="I1394" s="18"/>
      <c r="J1394" s="22"/>
      <c r="K1394" s="108"/>
      <c r="L1394" s="26"/>
      <c r="M1394" s="26"/>
    </row>
    <row r="1395">
      <c r="A1395" s="12"/>
      <c r="B1395" s="13"/>
      <c r="C1395" s="14"/>
      <c r="D1395" s="14"/>
      <c r="E1395" s="15"/>
      <c r="F1395" s="16"/>
      <c r="G1395" s="18"/>
      <c r="H1395" s="15"/>
      <c r="I1395" s="18"/>
      <c r="J1395" s="22"/>
      <c r="K1395" s="108"/>
      <c r="L1395" s="26"/>
      <c r="M1395" s="26"/>
    </row>
    <row r="1396">
      <c r="A1396" s="12"/>
      <c r="B1396" s="13"/>
      <c r="C1396" s="14"/>
      <c r="D1396" s="14"/>
      <c r="E1396" s="15"/>
      <c r="F1396" s="16"/>
      <c r="G1396" s="18"/>
      <c r="H1396" s="15"/>
      <c r="I1396" s="18"/>
      <c r="J1396" s="22"/>
      <c r="K1396" s="108"/>
      <c r="L1396" s="26"/>
      <c r="M1396" s="26"/>
    </row>
    <row r="1397">
      <c r="A1397" s="12"/>
      <c r="B1397" s="13"/>
      <c r="C1397" s="14"/>
      <c r="D1397" s="14"/>
      <c r="E1397" s="15"/>
      <c r="F1397" s="16"/>
      <c r="G1397" s="18"/>
      <c r="H1397" s="15"/>
      <c r="I1397" s="18"/>
      <c r="J1397" s="22"/>
      <c r="K1397" s="108"/>
      <c r="L1397" s="26"/>
      <c r="M1397" s="26"/>
    </row>
    <row r="1398">
      <c r="A1398" s="12"/>
      <c r="B1398" s="13"/>
      <c r="C1398" s="14"/>
      <c r="D1398" s="14"/>
      <c r="E1398" s="15"/>
      <c r="F1398" s="16"/>
      <c r="G1398" s="18"/>
      <c r="H1398" s="15"/>
      <c r="I1398" s="18"/>
      <c r="J1398" s="22"/>
      <c r="K1398" s="108"/>
      <c r="L1398" s="26"/>
      <c r="M1398" s="26"/>
    </row>
    <row r="1399">
      <c r="A1399" s="12"/>
      <c r="B1399" s="13"/>
      <c r="C1399" s="14"/>
      <c r="D1399" s="14"/>
      <c r="E1399" s="15"/>
      <c r="F1399" s="16"/>
      <c r="G1399" s="18"/>
      <c r="H1399" s="15"/>
      <c r="I1399" s="18"/>
      <c r="J1399" s="22"/>
      <c r="K1399" s="108"/>
      <c r="L1399" s="26"/>
      <c r="M1399" s="26"/>
    </row>
    <row r="1400">
      <c r="A1400" s="12"/>
      <c r="B1400" s="13"/>
      <c r="C1400" s="14"/>
      <c r="D1400" s="14"/>
      <c r="E1400" s="15"/>
      <c r="F1400" s="16"/>
      <c r="G1400" s="18"/>
      <c r="H1400" s="15"/>
      <c r="I1400" s="18"/>
      <c r="J1400" s="22"/>
      <c r="K1400" s="108"/>
      <c r="L1400" s="26"/>
      <c r="M1400" s="26"/>
    </row>
    <row r="1401">
      <c r="A1401" s="12"/>
      <c r="B1401" s="13"/>
      <c r="C1401" s="14"/>
      <c r="D1401" s="14"/>
      <c r="E1401" s="15"/>
      <c r="F1401" s="16"/>
      <c r="G1401" s="18"/>
      <c r="H1401" s="15"/>
      <c r="I1401" s="18"/>
      <c r="J1401" s="22"/>
      <c r="K1401" s="108"/>
      <c r="L1401" s="26"/>
      <c r="M1401" s="26"/>
    </row>
    <row r="1402">
      <c r="A1402" s="12"/>
      <c r="B1402" s="13"/>
      <c r="C1402" s="14"/>
      <c r="D1402" s="14"/>
      <c r="E1402" s="15"/>
      <c r="F1402" s="16"/>
      <c r="G1402" s="18"/>
      <c r="H1402" s="15"/>
      <c r="I1402" s="18"/>
      <c r="J1402" s="22"/>
      <c r="K1402" s="108"/>
      <c r="L1402" s="26"/>
      <c r="M1402" s="26"/>
    </row>
    <row r="1403">
      <c r="A1403" s="12"/>
      <c r="B1403" s="13"/>
      <c r="C1403" s="14"/>
      <c r="D1403" s="14"/>
      <c r="E1403" s="15"/>
      <c r="F1403" s="16"/>
      <c r="G1403" s="18"/>
      <c r="H1403" s="15"/>
      <c r="I1403" s="18"/>
      <c r="J1403" s="22"/>
      <c r="K1403" s="108"/>
      <c r="L1403" s="26"/>
      <c r="M1403" s="26"/>
    </row>
    <row r="1404">
      <c r="A1404" s="12"/>
      <c r="B1404" s="13"/>
      <c r="C1404" s="14"/>
      <c r="D1404" s="14"/>
      <c r="E1404" s="15"/>
      <c r="F1404" s="16"/>
      <c r="G1404" s="18"/>
      <c r="H1404" s="15"/>
      <c r="I1404" s="18"/>
      <c r="J1404" s="22"/>
      <c r="K1404" s="108"/>
      <c r="L1404" s="26"/>
      <c r="M1404" s="26"/>
    </row>
    <row r="1405">
      <c r="A1405" s="12"/>
      <c r="B1405" s="13"/>
      <c r="C1405" s="14"/>
      <c r="D1405" s="14"/>
      <c r="E1405" s="15"/>
      <c r="F1405" s="16"/>
      <c r="G1405" s="18"/>
      <c r="H1405" s="15"/>
      <c r="I1405" s="18"/>
      <c r="J1405" s="22"/>
      <c r="K1405" s="108"/>
      <c r="L1405" s="26"/>
      <c r="M1405" s="26"/>
    </row>
    <row r="1406">
      <c r="A1406" s="12"/>
      <c r="B1406" s="13"/>
      <c r="C1406" s="14"/>
      <c r="D1406" s="14"/>
      <c r="E1406" s="15"/>
      <c r="F1406" s="16"/>
      <c r="G1406" s="18"/>
      <c r="H1406" s="15"/>
      <c r="I1406" s="18"/>
      <c r="J1406" s="22"/>
      <c r="K1406" s="108"/>
      <c r="L1406" s="26"/>
      <c r="M1406" s="26"/>
    </row>
    <row r="1407">
      <c r="A1407" s="12"/>
      <c r="B1407" s="13"/>
      <c r="C1407" s="14"/>
      <c r="D1407" s="14"/>
      <c r="E1407" s="15"/>
      <c r="F1407" s="16"/>
      <c r="G1407" s="18"/>
      <c r="H1407" s="15"/>
      <c r="I1407" s="18"/>
      <c r="J1407" s="22"/>
      <c r="K1407" s="108"/>
      <c r="L1407" s="26"/>
      <c r="M1407" s="26"/>
    </row>
    <row r="1408">
      <c r="A1408" s="12"/>
      <c r="B1408" s="13"/>
      <c r="C1408" s="14"/>
      <c r="D1408" s="14"/>
      <c r="E1408" s="15"/>
      <c r="F1408" s="16"/>
      <c r="G1408" s="18"/>
      <c r="H1408" s="15"/>
      <c r="I1408" s="18"/>
      <c r="J1408" s="22"/>
      <c r="K1408" s="108"/>
      <c r="L1408" s="26"/>
      <c r="M1408" s="26"/>
    </row>
    <row r="1409">
      <c r="A1409" s="12"/>
      <c r="B1409" s="13"/>
      <c r="C1409" s="14"/>
      <c r="D1409" s="14"/>
      <c r="E1409" s="15"/>
      <c r="F1409" s="16"/>
      <c r="G1409" s="18"/>
      <c r="H1409" s="15"/>
      <c r="I1409" s="18"/>
      <c r="J1409" s="22"/>
      <c r="K1409" s="108"/>
      <c r="L1409" s="26"/>
      <c r="M1409" s="26"/>
    </row>
    <row r="1410">
      <c r="A1410" s="12"/>
      <c r="B1410" s="13"/>
      <c r="C1410" s="14"/>
      <c r="D1410" s="14"/>
      <c r="E1410" s="15"/>
      <c r="F1410" s="16"/>
      <c r="G1410" s="18"/>
      <c r="H1410" s="15"/>
      <c r="I1410" s="18"/>
      <c r="J1410" s="22"/>
      <c r="K1410" s="108"/>
      <c r="L1410" s="26"/>
      <c r="M1410" s="26"/>
    </row>
    <row r="1411">
      <c r="A1411" s="12"/>
      <c r="B1411" s="13"/>
      <c r="C1411" s="14"/>
      <c r="D1411" s="14"/>
      <c r="E1411" s="15"/>
      <c r="F1411" s="16"/>
      <c r="G1411" s="18"/>
      <c r="H1411" s="15"/>
      <c r="I1411" s="18"/>
      <c r="J1411" s="22"/>
      <c r="K1411" s="108"/>
      <c r="L1411" s="26"/>
      <c r="M1411" s="26"/>
    </row>
    <row r="1412">
      <c r="A1412" s="12"/>
      <c r="B1412" s="13"/>
      <c r="C1412" s="14"/>
      <c r="D1412" s="14"/>
      <c r="E1412" s="15"/>
      <c r="F1412" s="16"/>
      <c r="G1412" s="18"/>
      <c r="H1412" s="15"/>
      <c r="I1412" s="18"/>
      <c r="J1412" s="22"/>
      <c r="K1412" s="108"/>
      <c r="L1412" s="26"/>
      <c r="M1412" s="26"/>
    </row>
    <row r="1413">
      <c r="A1413" s="12"/>
      <c r="B1413" s="13"/>
      <c r="C1413" s="14"/>
      <c r="D1413" s="14"/>
      <c r="E1413" s="15"/>
      <c r="F1413" s="16"/>
      <c r="G1413" s="18"/>
      <c r="H1413" s="15"/>
      <c r="I1413" s="18"/>
      <c r="J1413" s="22"/>
      <c r="K1413" s="108"/>
      <c r="L1413" s="26"/>
      <c r="M1413" s="26"/>
    </row>
    <row r="1414">
      <c r="A1414" s="12"/>
      <c r="B1414" s="13"/>
      <c r="C1414" s="14"/>
      <c r="D1414" s="14"/>
      <c r="E1414" s="15"/>
      <c r="F1414" s="16"/>
      <c r="G1414" s="18"/>
      <c r="H1414" s="15"/>
      <c r="I1414" s="18"/>
      <c r="J1414" s="22"/>
      <c r="K1414" s="108"/>
      <c r="L1414" s="26"/>
      <c r="M1414" s="26"/>
    </row>
    <row r="1415">
      <c r="A1415" s="12"/>
      <c r="B1415" s="13"/>
      <c r="C1415" s="14"/>
      <c r="D1415" s="14"/>
      <c r="E1415" s="15"/>
      <c r="F1415" s="16"/>
      <c r="G1415" s="18"/>
      <c r="H1415" s="15"/>
      <c r="I1415" s="18"/>
      <c r="J1415" s="22"/>
      <c r="K1415" s="108"/>
      <c r="L1415" s="26"/>
      <c r="M1415" s="26"/>
    </row>
    <row r="1416">
      <c r="A1416" s="12"/>
      <c r="B1416" s="13"/>
      <c r="C1416" s="14"/>
      <c r="D1416" s="14"/>
      <c r="E1416" s="15"/>
      <c r="F1416" s="16"/>
      <c r="G1416" s="18"/>
      <c r="H1416" s="15"/>
      <c r="I1416" s="18"/>
      <c r="J1416" s="22"/>
      <c r="K1416" s="108"/>
      <c r="L1416" s="26"/>
      <c r="M1416" s="26"/>
    </row>
    <row r="1417">
      <c r="A1417" s="12"/>
      <c r="B1417" s="13"/>
      <c r="C1417" s="14"/>
      <c r="D1417" s="14"/>
      <c r="E1417" s="15"/>
      <c r="F1417" s="16"/>
      <c r="G1417" s="18"/>
      <c r="H1417" s="15"/>
      <c r="I1417" s="18"/>
      <c r="J1417" s="22"/>
      <c r="K1417" s="108"/>
      <c r="L1417" s="26"/>
      <c r="M1417" s="26"/>
    </row>
    <row r="1418">
      <c r="A1418" s="12"/>
      <c r="B1418" s="13"/>
      <c r="C1418" s="14"/>
      <c r="D1418" s="14"/>
      <c r="E1418" s="15"/>
      <c r="F1418" s="16"/>
      <c r="G1418" s="18"/>
      <c r="H1418" s="15"/>
      <c r="I1418" s="18"/>
      <c r="J1418" s="22"/>
      <c r="K1418" s="108"/>
      <c r="L1418" s="26"/>
      <c r="M1418" s="26"/>
    </row>
    <row r="1419">
      <c r="A1419" s="12"/>
      <c r="B1419" s="13"/>
      <c r="C1419" s="14"/>
      <c r="D1419" s="14"/>
      <c r="E1419" s="15"/>
      <c r="F1419" s="16"/>
      <c r="G1419" s="18"/>
      <c r="H1419" s="15"/>
      <c r="I1419" s="18"/>
      <c r="J1419" s="22"/>
      <c r="K1419" s="108"/>
      <c r="L1419" s="26"/>
      <c r="M1419" s="26"/>
    </row>
    <row r="1420">
      <c r="A1420" s="12"/>
      <c r="B1420" s="13"/>
      <c r="C1420" s="14"/>
      <c r="D1420" s="14"/>
      <c r="E1420" s="15"/>
      <c r="F1420" s="16"/>
      <c r="G1420" s="18"/>
      <c r="H1420" s="15"/>
      <c r="I1420" s="18"/>
      <c r="J1420" s="22"/>
      <c r="K1420" s="108"/>
      <c r="L1420" s="26"/>
      <c r="M1420" s="26"/>
    </row>
    <row r="1421">
      <c r="A1421" s="12"/>
      <c r="B1421" s="13"/>
      <c r="C1421" s="14"/>
      <c r="D1421" s="14"/>
      <c r="E1421" s="15"/>
      <c r="F1421" s="16"/>
      <c r="G1421" s="18"/>
      <c r="H1421" s="15"/>
      <c r="I1421" s="18"/>
      <c r="J1421" s="22"/>
      <c r="K1421" s="108"/>
      <c r="L1421" s="26"/>
      <c r="M1421" s="26"/>
    </row>
    <row r="1422">
      <c r="A1422" s="12"/>
      <c r="B1422" s="13"/>
      <c r="C1422" s="14"/>
      <c r="D1422" s="14"/>
      <c r="E1422" s="15"/>
      <c r="F1422" s="16"/>
      <c r="G1422" s="18"/>
      <c r="H1422" s="15"/>
      <c r="I1422" s="18"/>
      <c r="J1422" s="22"/>
      <c r="K1422" s="108"/>
      <c r="L1422" s="26"/>
      <c r="M1422" s="26"/>
    </row>
    <row r="1423">
      <c r="A1423" s="12"/>
      <c r="B1423" s="13"/>
      <c r="C1423" s="14"/>
      <c r="D1423" s="14"/>
      <c r="E1423" s="15"/>
      <c r="F1423" s="16"/>
      <c r="G1423" s="18"/>
      <c r="H1423" s="15"/>
      <c r="I1423" s="18"/>
      <c r="J1423" s="22"/>
      <c r="K1423" s="108"/>
      <c r="L1423" s="26"/>
      <c r="M1423" s="26"/>
    </row>
    <row r="1424">
      <c r="A1424" s="12"/>
      <c r="B1424" s="13"/>
      <c r="C1424" s="14"/>
      <c r="D1424" s="14"/>
      <c r="E1424" s="15"/>
      <c r="F1424" s="16"/>
      <c r="G1424" s="18"/>
      <c r="H1424" s="15"/>
      <c r="I1424" s="18"/>
      <c r="J1424" s="22"/>
      <c r="K1424" s="108"/>
      <c r="L1424" s="26"/>
      <c r="M1424" s="26"/>
    </row>
    <row r="1425">
      <c r="A1425" s="12"/>
      <c r="B1425" s="13"/>
      <c r="C1425" s="14"/>
      <c r="D1425" s="14"/>
      <c r="E1425" s="15"/>
      <c r="F1425" s="16"/>
      <c r="G1425" s="18"/>
      <c r="H1425" s="15"/>
      <c r="I1425" s="18"/>
      <c r="J1425" s="22"/>
      <c r="K1425" s="108"/>
      <c r="L1425" s="26"/>
      <c r="M1425" s="26"/>
    </row>
    <row r="1426">
      <c r="A1426" s="12"/>
      <c r="B1426" s="13"/>
      <c r="C1426" s="14"/>
      <c r="D1426" s="14"/>
      <c r="E1426" s="15"/>
      <c r="F1426" s="16"/>
      <c r="G1426" s="18"/>
      <c r="H1426" s="15"/>
      <c r="I1426" s="18"/>
      <c r="J1426" s="22"/>
      <c r="K1426" s="108"/>
      <c r="L1426" s="26"/>
      <c r="M1426" s="26"/>
    </row>
    <row r="1427">
      <c r="A1427" s="12"/>
      <c r="B1427" s="13"/>
      <c r="C1427" s="14"/>
      <c r="D1427" s="14"/>
      <c r="E1427" s="15"/>
      <c r="F1427" s="16"/>
      <c r="G1427" s="18"/>
      <c r="H1427" s="15"/>
      <c r="I1427" s="18"/>
      <c r="J1427" s="22"/>
      <c r="K1427" s="108"/>
      <c r="L1427" s="26"/>
      <c r="M1427" s="26"/>
    </row>
    <row r="1428">
      <c r="A1428" s="12"/>
      <c r="B1428" s="13"/>
      <c r="C1428" s="14"/>
      <c r="D1428" s="14"/>
      <c r="E1428" s="15"/>
      <c r="F1428" s="16"/>
      <c r="G1428" s="18"/>
      <c r="H1428" s="15"/>
      <c r="I1428" s="18"/>
      <c r="J1428" s="22"/>
      <c r="K1428" s="108"/>
      <c r="L1428" s="26"/>
      <c r="M1428" s="26"/>
    </row>
    <row r="1429">
      <c r="A1429" s="12"/>
      <c r="B1429" s="13"/>
      <c r="C1429" s="14"/>
      <c r="D1429" s="14"/>
      <c r="E1429" s="15"/>
      <c r="F1429" s="16"/>
      <c r="G1429" s="18"/>
      <c r="H1429" s="15"/>
      <c r="I1429" s="18"/>
      <c r="J1429" s="22"/>
      <c r="K1429" s="108"/>
      <c r="L1429" s="26"/>
      <c r="M1429" s="26"/>
    </row>
    <row r="1430">
      <c r="A1430" s="12"/>
      <c r="B1430" s="13"/>
      <c r="C1430" s="14"/>
      <c r="D1430" s="14"/>
      <c r="E1430" s="15"/>
      <c r="F1430" s="16"/>
      <c r="G1430" s="18"/>
      <c r="H1430" s="15"/>
      <c r="I1430" s="18"/>
      <c r="J1430" s="22"/>
      <c r="K1430" s="108"/>
      <c r="L1430" s="26"/>
      <c r="M1430" s="26"/>
    </row>
    <row r="1431">
      <c r="A1431" s="12"/>
      <c r="B1431" s="13"/>
      <c r="C1431" s="14"/>
      <c r="D1431" s="14"/>
      <c r="E1431" s="15"/>
      <c r="F1431" s="16"/>
      <c r="G1431" s="18"/>
      <c r="H1431" s="15"/>
      <c r="I1431" s="18"/>
      <c r="J1431" s="22"/>
      <c r="K1431" s="108"/>
      <c r="L1431" s="26"/>
      <c r="M1431" s="26"/>
    </row>
    <row r="1432">
      <c r="A1432" s="12"/>
      <c r="B1432" s="13"/>
      <c r="C1432" s="14"/>
      <c r="D1432" s="14"/>
      <c r="E1432" s="15"/>
      <c r="F1432" s="16"/>
      <c r="G1432" s="18"/>
      <c r="H1432" s="15"/>
      <c r="I1432" s="18"/>
      <c r="J1432" s="22"/>
      <c r="K1432" s="108"/>
      <c r="L1432" s="26"/>
      <c r="M1432" s="26"/>
    </row>
    <row r="1433">
      <c r="A1433" s="12"/>
      <c r="B1433" s="13"/>
      <c r="C1433" s="14"/>
      <c r="D1433" s="14"/>
      <c r="E1433" s="15"/>
      <c r="F1433" s="16"/>
      <c r="G1433" s="18"/>
      <c r="H1433" s="15"/>
      <c r="I1433" s="18"/>
      <c r="J1433" s="22"/>
      <c r="K1433" s="108"/>
      <c r="L1433" s="26"/>
      <c r="M1433" s="26"/>
    </row>
    <row r="1434">
      <c r="A1434" s="12"/>
      <c r="B1434" s="13"/>
      <c r="C1434" s="14"/>
      <c r="D1434" s="14"/>
      <c r="E1434" s="15"/>
      <c r="F1434" s="16"/>
      <c r="G1434" s="18"/>
      <c r="H1434" s="15"/>
      <c r="I1434" s="18"/>
      <c r="J1434" s="22"/>
      <c r="K1434" s="108"/>
      <c r="L1434" s="26"/>
      <c r="M1434" s="26"/>
    </row>
    <row r="1435">
      <c r="A1435" s="12"/>
      <c r="B1435" s="13"/>
      <c r="C1435" s="14"/>
      <c r="D1435" s="14"/>
      <c r="E1435" s="15"/>
      <c r="F1435" s="16"/>
      <c r="G1435" s="18"/>
      <c r="H1435" s="15"/>
      <c r="I1435" s="18"/>
      <c r="J1435" s="22"/>
      <c r="K1435" s="108"/>
      <c r="L1435" s="26"/>
      <c r="M1435" s="26"/>
    </row>
    <row r="1436">
      <c r="A1436" s="12"/>
      <c r="B1436" s="13"/>
      <c r="C1436" s="14"/>
      <c r="D1436" s="14"/>
      <c r="E1436" s="15"/>
      <c r="F1436" s="16"/>
      <c r="G1436" s="18"/>
      <c r="H1436" s="15"/>
      <c r="I1436" s="18"/>
      <c r="J1436" s="22"/>
      <c r="K1436" s="108"/>
      <c r="L1436" s="26"/>
      <c r="M1436" s="26"/>
    </row>
    <row r="1437">
      <c r="A1437" s="12"/>
      <c r="B1437" s="13"/>
      <c r="C1437" s="14"/>
      <c r="D1437" s="14"/>
      <c r="E1437" s="15"/>
      <c r="F1437" s="16"/>
      <c r="G1437" s="18"/>
      <c r="H1437" s="15"/>
      <c r="I1437" s="18"/>
      <c r="J1437" s="22"/>
      <c r="K1437" s="108"/>
      <c r="L1437" s="26"/>
      <c r="M1437" s="26"/>
    </row>
    <row r="1438">
      <c r="A1438" s="12"/>
      <c r="B1438" s="13"/>
      <c r="C1438" s="14"/>
      <c r="D1438" s="14"/>
      <c r="E1438" s="15"/>
      <c r="F1438" s="16"/>
      <c r="G1438" s="18"/>
      <c r="H1438" s="15"/>
      <c r="I1438" s="18"/>
      <c r="J1438" s="22"/>
      <c r="K1438" s="108"/>
      <c r="L1438" s="26"/>
      <c r="M1438" s="26"/>
    </row>
    <row r="1439">
      <c r="A1439" s="12"/>
      <c r="B1439" s="13"/>
      <c r="C1439" s="14"/>
      <c r="D1439" s="14"/>
      <c r="E1439" s="15"/>
      <c r="F1439" s="16"/>
      <c r="G1439" s="18"/>
      <c r="H1439" s="15"/>
      <c r="I1439" s="18"/>
      <c r="J1439" s="22"/>
      <c r="K1439" s="108"/>
      <c r="L1439" s="26"/>
      <c r="M1439" s="26"/>
    </row>
    <row r="1440">
      <c r="A1440" s="12"/>
      <c r="B1440" s="13"/>
      <c r="C1440" s="14"/>
      <c r="D1440" s="14"/>
      <c r="E1440" s="15"/>
      <c r="F1440" s="16"/>
      <c r="G1440" s="18"/>
      <c r="H1440" s="15"/>
      <c r="I1440" s="18"/>
      <c r="J1440" s="22"/>
      <c r="K1440" s="108"/>
      <c r="L1440" s="26"/>
      <c r="M1440" s="26"/>
    </row>
    <row r="1441">
      <c r="A1441" s="12"/>
      <c r="B1441" s="13"/>
      <c r="C1441" s="14"/>
      <c r="D1441" s="14"/>
      <c r="E1441" s="15"/>
      <c r="F1441" s="16"/>
      <c r="G1441" s="18"/>
      <c r="H1441" s="15"/>
      <c r="I1441" s="18"/>
      <c r="J1441" s="22"/>
      <c r="K1441" s="108"/>
      <c r="L1441" s="26"/>
      <c r="M1441" s="26"/>
    </row>
    <row r="1442">
      <c r="A1442" s="12"/>
      <c r="B1442" s="13"/>
      <c r="C1442" s="14"/>
      <c r="D1442" s="14"/>
      <c r="E1442" s="15"/>
      <c r="F1442" s="16"/>
      <c r="G1442" s="18"/>
      <c r="H1442" s="15"/>
      <c r="I1442" s="18"/>
      <c r="J1442" s="22"/>
      <c r="K1442" s="108"/>
      <c r="L1442" s="26"/>
      <c r="M1442" s="26"/>
    </row>
    <row r="1443">
      <c r="A1443" s="12"/>
      <c r="B1443" s="13"/>
      <c r="C1443" s="14"/>
      <c r="D1443" s="14"/>
      <c r="E1443" s="15"/>
      <c r="F1443" s="16"/>
      <c r="G1443" s="18"/>
      <c r="H1443" s="15"/>
      <c r="I1443" s="18"/>
      <c r="J1443" s="22"/>
      <c r="K1443" s="108"/>
      <c r="L1443" s="26"/>
      <c r="M1443" s="26"/>
    </row>
    <row r="1444">
      <c r="A1444" s="12"/>
      <c r="B1444" s="13"/>
      <c r="C1444" s="14"/>
      <c r="D1444" s="14"/>
      <c r="E1444" s="15"/>
      <c r="F1444" s="16"/>
      <c r="G1444" s="18"/>
      <c r="H1444" s="15"/>
      <c r="I1444" s="18"/>
      <c r="J1444" s="22"/>
      <c r="K1444" s="108"/>
      <c r="L1444" s="26"/>
      <c r="M1444" s="26"/>
    </row>
    <row r="1445">
      <c r="A1445" s="12"/>
      <c r="B1445" s="13"/>
      <c r="C1445" s="14"/>
      <c r="D1445" s="14"/>
      <c r="E1445" s="15"/>
      <c r="F1445" s="16"/>
      <c r="G1445" s="18"/>
      <c r="H1445" s="15"/>
      <c r="I1445" s="18"/>
      <c r="J1445" s="22"/>
      <c r="K1445" s="108"/>
      <c r="L1445" s="26"/>
      <c r="M1445" s="26"/>
    </row>
    <row r="1446">
      <c r="A1446" s="12"/>
      <c r="B1446" s="13"/>
      <c r="C1446" s="14"/>
      <c r="D1446" s="14"/>
      <c r="E1446" s="15"/>
      <c r="F1446" s="16"/>
      <c r="G1446" s="18"/>
      <c r="H1446" s="15"/>
      <c r="I1446" s="18"/>
      <c r="J1446" s="22"/>
      <c r="K1446" s="108"/>
      <c r="L1446" s="26"/>
      <c r="M1446" s="26"/>
    </row>
    <row r="1447">
      <c r="A1447" s="12"/>
      <c r="B1447" s="13"/>
      <c r="C1447" s="14"/>
      <c r="D1447" s="14"/>
      <c r="E1447" s="15"/>
      <c r="F1447" s="16"/>
      <c r="G1447" s="18"/>
      <c r="H1447" s="15"/>
      <c r="I1447" s="18"/>
      <c r="J1447" s="22"/>
      <c r="K1447" s="108"/>
      <c r="L1447" s="26"/>
      <c r="M1447" s="26"/>
    </row>
    <row r="1448">
      <c r="A1448" s="12"/>
      <c r="B1448" s="13"/>
      <c r="C1448" s="14"/>
      <c r="D1448" s="14"/>
      <c r="E1448" s="15"/>
      <c r="F1448" s="16"/>
      <c r="G1448" s="18"/>
      <c r="H1448" s="15"/>
      <c r="I1448" s="18"/>
      <c r="J1448" s="22"/>
      <c r="K1448" s="108"/>
      <c r="L1448" s="26"/>
      <c r="M1448" s="26"/>
    </row>
    <row r="1449">
      <c r="A1449" s="12"/>
      <c r="B1449" s="13"/>
      <c r="C1449" s="14"/>
      <c r="D1449" s="14"/>
      <c r="E1449" s="15"/>
      <c r="F1449" s="16"/>
      <c r="G1449" s="18"/>
      <c r="H1449" s="15"/>
      <c r="I1449" s="18"/>
      <c r="J1449" s="22"/>
      <c r="K1449" s="108"/>
      <c r="L1449" s="26"/>
      <c r="M1449" s="26"/>
    </row>
    <row r="1450">
      <c r="A1450" s="12"/>
      <c r="B1450" s="13"/>
      <c r="C1450" s="14"/>
      <c r="D1450" s="14"/>
      <c r="E1450" s="15"/>
      <c r="F1450" s="16"/>
      <c r="G1450" s="18"/>
      <c r="H1450" s="15"/>
      <c r="I1450" s="18"/>
      <c r="J1450" s="22"/>
      <c r="K1450" s="108"/>
      <c r="L1450" s="26"/>
      <c r="M1450" s="26"/>
    </row>
    <row r="1451">
      <c r="A1451" s="12"/>
      <c r="B1451" s="13"/>
      <c r="C1451" s="14"/>
      <c r="D1451" s="14"/>
      <c r="E1451" s="15"/>
      <c r="F1451" s="16"/>
      <c r="G1451" s="18"/>
      <c r="H1451" s="15"/>
      <c r="I1451" s="18"/>
      <c r="J1451" s="22"/>
      <c r="K1451" s="108"/>
      <c r="L1451" s="26"/>
      <c r="M1451" s="26"/>
    </row>
    <row r="1452">
      <c r="A1452" s="12"/>
      <c r="B1452" s="13"/>
      <c r="C1452" s="14"/>
      <c r="D1452" s="14"/>
      <c r="E1452" s="15"/>
      <c r="F1452" s="16"/>
      <c r="G1452" s="18"/>
      <c r="H1452" s="15"/>
      <c r="I1452" s="18"/>
      <c r="J1452" s="22"/>
      <c r="K1452" s="108"/>
      <c r="L1452" s="26"/>
      <c r="M1452" s="26"/>
    </row>
    <row r="1453">
      <c r="A1453" s="12"/>
      <c r="B1453" s="13"/>
      <c r="C1453" s="14"/>
      <c r="D1453" s="14"/>
      <c r="E1453" s="15"/>
      <c r="F1453" s="16"/>
      <c r="G1453" s="18"/>
      <c r="H1453" s="15"/>
      <c r="I1453" s="18"/>
      <c r="J1453" s="22"/>
      <c r="K1453" s="108"/>
      <c r="L1453" s="26"/>
      <c r="M1453" s="26"/>
    </row>
    <row r="1454">
      <c r="A1454" s="12"/>
      <c r="B1454" s="13"/>
      <c r="C1454" s="14"/>
      <c r="D1454" s="14"/>
      <c r="E1454" s="15"/>
      <c r="F1454" s="16"/>
      <c r="G1454" s="18"/>
      <c r="H1454" s="15"/>
      <c r="I1454" s="18"/>
      <c r="J1454" s="22"/>
      <c r="K1454" s="108"/>
      <c r="L1454" s="26"/>
      <c r="M1454" s="26"/>
    </row>
    <row r="1455">
      <c r="A1455" s="12"/>
      <c r="B1455" s="13"/>
      <c r="C1455" s="14"/>
      <c r="D1455" s="14"/>
      <c r="E1455" s="15"/>
      <c r="F1455" s="16"/>
      <c r="G1455" s="18"/>
      <c r="H1455" s="15"/>
      <c r="I1455" s="18"/>
      <c r="J1455" s="22"/>
      <c r="K1455" s="108"/>
      <c r="L1455" s="26"/>
      <c r="M1455" s="26"/>
    </row>
    <row r="1456">
      <c r="A1456" s="12"/>
      <c r="B1456" s="13"/>
      <c r="C1456" s="14"/>
      <c r="D1456" s="14"/>
      <c r="E1456" s="15"/>
      <c r="F1456" s="16"/>
      <c r="G1456" s="18"/>
      <c r="H1456" s="15"/>
      <c r="I1456" s="18"/>
      <c r="J1456" s="22"/>
      <c r="K1456" s="108"/>
      <c r="L1456" s="26"/>
      <c r="M1456" s="26"/>
    </row>
    <row r="1457">
      <c r="A1457" s="12"/>
      <c r="B1457" s="13"/>
      <c r="C1457" s="14"/>
      <c r="D1457" s="14"/>
      <c r="E1457" s="15"/>
      <c r="F1457" s="16"/>
      <c r="G1457" s="18"/>
      <c r="H1457" s="15"/>
      <c r="I1457" s="18"/>
      <c r="J1457" s="22"/>
      <c r="K1457" s="108"/>
      <c r="L1457" s="26"/>
      <c r="M1457" s="26"/>
    </row>
    <row r="1458">
      <c r="A1458" s="12"/>
      <c r="B1458" s="13"/>
      <c r="C1458" s="14"/>
      <c r="D1458" s="14"/>
      <c r="E1458" s="15"/>
      <c r="F1458" s="16"/>
      <c r="G1458" s="18"/>
      <c r="H1458" s="15"/>
      <c r="I1458" s="18"/>
      <c r="J1458" s="22"/>
      <c r="K1458" s="108"/>
      <c r="L1458" s="26"/>
      <c r="M1458" s="26"/>
    </row>
    <row r="1459">
      <c r="A1459" s="12"/>
      <c r="B1459" s="13"/>
      <c r="C1459" s="14"/>
      <c r="D1459" s="14"/>
      <c r="E1459" s="15"/>
      <c r="F1459" s="16"/>
      <c r="G1459" s="18"/>
      <c r="H1459" s="15"/>
      <c r="I1459" s="18"/>
      <c r="J1459" s="22"/>
      <c r="K1459" s="108"/>
      <c r="L1459" s="26"/>
      <c r="M1459" s="26"/>
    </row>
    <row r="1460">
      <c r="A1460" s="12"/>
      <c r="B1460" s="13"/>
      <c r="C1460" s="14"/>
      <c r="D1460" s="14"/>
      <c r="E1460" s="15"/>
      <c r="F1460" s="16"/>
      <c r="G1460" s="18"/>
      <c r="H1460" s="15"/>
      <c r="I1460" s="18"/>
      <c r="J1460" s="22"/>
      <c r="K1460" s="108"/>
      <c r="L1460" s="26"/>
      <c r="M1460" s="26"/>
    </row>
    <row r="1461">
      <c r="A1461" s="12"/>
      <c r="B1461" s="13"/>
      <c r="C1461" s="14"/>
      <c r="D1461" s="14"/>
      <c r="E1461" s="15"/>
      <c r="F1461" s="16"/>
      <c r="G1461" s="18"/>
      <c r="H1461" s="15"/>
      <c r="I1461" s="18"/>
      <c r="J1461" s="22"/>
      <c r="K1461" s="108"/>
      <c r="L1461" s="26"/>
      <c r="M1461" s="26"/>
    </row>
    <row r="1462">
      <c r="A1462" s="12"/>
      <c r="B1462" s="13"/>
      <c r="C1462" s="14"/>
      <c r="D1462" s="14"/>
      <c r="E1462" s="15"/>
      <c r="F1462" s="16"/>
      <c r="G1462" s="18"/>
      <c r="H1462" s="15"/>
      <c r="I1462" s="18"/>
      <c r="J1462" s="22"/>
      <c r="K1462" s="108"/>
      <c r="L1462" s="26"/>
      <c r="M1462" s="26"/>
    </row>
    <row r="1463">
      <c r="A1463" s="12"/>
      <c r="B1463" s="13"/>
      <c r="C1463" s="14"/>
      <c r="D1463" s="14"/>
      <c r="E1463" s="15"/>
      <c r="F1463" s="16"/>
      <c r="G1463" s="18"/>
      <c r="H1463" s="15"/>
      <c r="I1463" s="18"/>
      <c r="J1463" s="22"/>
      <c r="K1463" s="108"/>
      <c r="L1463" s="26"/>
      <c r="M1463" s="26"/>
    </row>
    <row r="1464">
      <c r="A1464" s="12"/>
      <c r="B1464" s="13"/>
      <c r="C1464" s="14"/>
      <c r="D1464" s="14"/>
      <c r="E1464" s="15"/>
      <c r="F1464" s="16"/>
      <c r="G1464" s="18"/>
      <c r="H1464" s="15"/>
      <c r="I1464" s="18"/>
      <c r="J1464" s="22"/>
      <c r="K1464" s="108"/>
      <c r="L1464" s="26"/>
      <c r="M1464" s="26"/>
    </row>
    <row r="1465">
      <c r="A1465" s="12"/>
      <c r="B1465" s="13"/>
      <c r="C1465" s="14"/>
      <c r="D1465" s="14"/>
      <c r="E1465" s="15"/>
      <c r="F1465" s="16"/>
      <c r="G1465" s="18"/>
      <c r="H1465" s="15"/>
      <c r="I1465" s="18"/>
      <c r="J1465" s="22"/>
      <c r="K1465" s="108"/>
      <c r="L1465" s="26"/>
      <c r="M1465" s="26"/>
    </row>
    <row r="1466">
      <c r="A1466" s="12"/>
      <c r="B1466" s="13"/>
      <c r="C1466" s="14"/>
      <c r="D1466" s="14"/>
      <c r="E1466" s="15"/>
      <c r="F1466" s="16"/>
      <c r="G1466" s="18"/>
      <c r="H1466" s="15"/>
      <c r="I1466" s="18"/>
      <c r="J1466" s="22"/>
      <c r="K1466" s="108"/>
      <c r="L1466" s="26"/>
      <c r="M1466" s="26"/>
    </row>
    <row r="1467">
      <c r="A1467" s="12"/>
      <c r="B1467" s="13"/>
      <c r="C1467" s="14"/>
      <c r="D1467" s="14"/>
      <c r="E1467" s="15"/>
      <c r="F1467" s="16"/>
      <c r="G1467" s="18"/>
      <c r="H1467" s="15"/>
      <c r="I1467" s="18"/>
      <c r="J1467" s="22"/>
      <c r="K1467" s="108"/>
      <c r="L1467" s="26"/>
      <c r="M1467" s="26"/>
    </row>
    <row r="1468">
      <c r="A1468" s="12"/>
      <c r="B1468" s="13"/>
      <c r="C1468" s="14"/>
      <c r="D1468" s="14"/>
      <c r="E1468" s="15"/>
      <c r="F1468" s="16"/>
      <c r="G1468" s="18"/>
      <c r="H1468" s="15"/>
      <c r="I1468" s="18"/>
      <c r="J1468" s="22"/>
      <c r="K1468" s="108"/>
      <c r="L1468" s="26"/>
      <c r="M1468" s="26"/>
    </row>
    <row r="1469">
      <c r="A1469" s="12"/>
      <c r="B1469" s="13"/>
      <c r="C1469" s="14"/>
      <c r="D1469" s="14"/>
      <c r="E1469" s="15"/>
      <c r="F1469" s="16"/>
      <c r="G1469" s="18"/>
      <c r="H1469" s="15"/>
      <c r="I1469" s="18"/>
      <c r="J1469" s="22"/>
      <c r="K1469" s="108"/>
      <c r="L1469" s="26"/>
      <c r="M1469" s="26"/>
    </row>
    <row r="1470">
      <c r="A1470" s="12"/>
      <c r="B1470" s="13"/>
      <c r="C1470" s="14"/>
      <c r="D1470" s="14"/>
      <c r="E1470" s="15"/>
      <c r="F1470" s="16"/>
      <c r="G1470" s="18"/>
      <c r="H1470" s="15"/>
      <c r="I1470" s="18"/>
      <c r="J1470" s="22"/>
      <c r="K1470" s="108"/>
      <c r="L1470" s="26"/>
      <c r="M1470" s="26"/>
    </row>
    <row r="1471">
      <c r="A1471" s="12"/>
      <c r="B1471" s="13"/>
      <c r="C1471" s="14"/>
      <c r="D1471" s="14"/>
      <c r="E1471" s="15"/>
      <c r="F1471" s="16"/>
      <c r="G1471" s="18"/>
      <c r="H1471" s="15"/>
      <c r="I1471" s="18"/>
      <c r="J1471" s="22"/>
      <c r="K1471" s="108"/>
      <c r="L1471" s="26"/>
      <c r="M1471" s="26"/>
    </row>
    <row r="1472">
      <c r="A1472" s="12"/>
      <c r="B1472" s="13"/>
      <c r="C1472" s="14"/>
      <c r="D1472" s="14"/>
      <c r="E1472" s="15"/>
      <c r="F1472" s="16"/>
      <c r="G1472" s="18"/>
      <c r="H1472" s="15"/>
      <c r="I1472" s="18"/>
      <c r="J1472" s="22"/>
      <c r="K1472" s="108"/>
      <c r="L1472" s="26"/>
      <c r="M1472" s="26"/>
    </row>
    <row r="1473">
      <c r="A1473" s="12"/>
      <c r="B1473" s="13"/>
      <c r="C1473" s="14"/>
      <c r="D1473" s="14"/>
      <c r="E1473" s="15"/>
      <c r="F1473" s="16"/>
      <c r="G1473" s="18"/>
      <c r="H1473" s="15"/>
      <c r="I1473" s="18"/>
      <c r="J1473" s="22"/>
      <c r="K1473" s="108"/>
      <c r="L1473" s="26"/>
      <c r="M1473" s="26"/>
    </row>
    <row r="1474">
      <c r="A1474" s="12"/>
      <c r="B1474" s="13"/>
      <c r="C1474" s="14"/>
      <c r="D1474" s="14"/>
      <c r="E1474" s="15"/>
      <c r="F1474" s="16"/>
      <c r="G1474" s="18"/>
      <c r="H1474" s="15"/>
      <c r="I1474" s="18"/>
      <c r="J1474" s="22"/>
      <c r="K1474" s="108"/>
      <c r="L1474" s="26"/>
      <c r="M1474" s="26"/>
    </row>
    <row r="1475">
      <c r="A1475" s="12"/>
      <c r="B1475" s="13"/>
      <c r="C1475" s="14"/>
      <c r="D1475" s="14"/>
      <c r="E1475" s="15"/>
      <c r="F1475" s="16"/>
      <c r="G1475" s="18"/>
      <c r="H1475" s="15"/>
      <c r="I1475" s="18"/>
      <c r="J1475" s="22"/>
      <c r="K1475" s="108"/>
      <c r="L1475" s="26"/>
      <c r="M1475" s="26"/>
    </row>
    <row r="1476">
      <c r="A1476" s="12"/>
      <c r="B1476" s="13"/>
      <c r="C1476" s="14"/>
      <c r="D1476" s="14"/>
      <c r="E1476" s="15"/>
      <c r="F1476" s="16"/>
      <c r="G1476" s="18"/>
      <c r="H1476" s="15"/>
      <c r="I1476" s="18"/>
      <c r="J1476" s="22"/>
      <c r="K1476" s="108"/>
      <c r="L1476" s="26"/>
      <c r="M1476" s="26"/>
    </row>
    <row r="1477">
      <c r="A1477" s="12"/>
      <c r="B1477" s="13"/>
      <c r="C1477" s="14"/>
      <c r="D1477" s="14"/>
      <c r="E1477" s="15"/>
      <c r="F1477" s="16"/>
      <c r="G1477" s="18"/>
      <c r="H1477" s="15"/>
      <c r="I1477" s="18"/>
      <c r="J1477" s="22"/>
      <c r="K1477" s="108"/>
      <c r="L1477" s="26"/>
      <c r="M1477" s="26"/>
    </row>
    <row r="1478">
      <c r="A1478" s="12"/>
      <c r="B1478" s="13"/>
      <c r="C1478" s="14"/>
      <c r="D1478" s="14"/>
      <c r="E1478" s="15"/>
      <c r="F1478" s="16"/>
      <c r="G1478" s="18"/>
      <c r="H1478" s="15"/>
      <c r="I1478" s="18"/>
      <c r="J1478" s="22"/>
      <c r="K1478" s="108"/>
      <c r="L1478" s="26"/>
      <c r="M1478" s="26"/>
    </row>
    <row r="1479">
      <c r="A1479" s="12"/>
      <c r="B1479" s="13"/>
      <c r="C1479" s="14"/>
      <c r="D1479" s="14"/>
      <c r="E1479" s="15"/>
      <c r="F1479" s="16"/>
      <c r="G1479" s="18"/>
      <c r="H1479" s="15"/>
      <c r="I1479" s="18"/>
      <c r="J1479" s="22"/>
      <c r="K1479" s="108"/>
      <c r="L1479" s="26"/>
      <c r="M1479" s="26"/>
    </row>
    <row r="1480">
      <c r="A1480" s="12"/>
      <c r="B1480" s="13"/>
      <c r="C1480" s="14"/>
      <c r="D1480" s="14"/>
      <c r="E1480" s="15"/>
      <c r="F1480" s="16"/>
      <c r="G1480" s="18"/>
      <c r="H1480" s="15"/>
      <c r="I1480" s="18"/>
      <c r="J1480" s="22"/>
      <c r="K1480" s="108"/>
      <c r="L1480" s="26"/>
      <c r="M1480" s="26"/>
    </row>
    <row r="1481">
      <c r="A1481" s="12"/>
      <c r="B1481" s="13"/>
      <c r="C1481" s="14"/>
      <c r="D1481" s="14"/>
      <c r="E1481" s="15"/>
      <c r="F1481" s="16"/>
      <c r="G1481" s="18"/>
      <c r="H1481" s="15"/>
      <c r="I1481" s="18"/>
      <c r="J1481" s="22"/>
      <c r="K1481" s="108"/>
      <c r="L1481" s="26"/>
      <c r="M1481" s="26"/>
    </row>
    <row r="1482">
      <c r="A1482" s="12"/>
      <c r="B1482" s="13"/>
      <c r="C1482" s="14"/>
      <c r="D1482" s="14"/>
      <c r="E1482" s="15"/>
      <c r="F1482" s="16"/>
      <c r="G1482" s="18"/>
      <c r="H1482" s="15"/>
      <c r="I1482" s="18"/>
      <c r="J1482" s="22"/>
      <c r="K1482" s="108"/>
      <c r="L1482" s="26"/>
      <c r="M1482" s="26"/>
    </row>
    <row r="1483">
      <c r="A1483" s="12"/>
      <c r="B1483" s="13"/>
      <c r="C1483" s="14"/>
      <c r="D1483" s="14"/>
      <c r="E1483" s="15"/>
      <c r="F1483" s="16"/>
      <c r="G1483" s="18"/>
      <c r="H1483" s="15"/>
      <c r="I1483" s="18"/>
      <c r="J1483" s="22"/>
      <c r="K1483" s="108"/>
      <c r="L1483" s="26"/>
      <c r="M1483" s="26"/>
    </row>
    <row r="1484">
      <c r="A1484" s="12"/>
      <c r="B1484" s="13"/>
      <c r="C1484" s="14"/>
      <c r="D1484" s="14"/>
      <c r="E1484" s="15"/>
      <c r="F1484" s="16"/>
      <c r="G1484" s="18"/>
      <c r="H1484" s="15"/>
      <c r="I1484" s="18"/>
      <c r="J1484" s="22"/>
      <c r="K1484" s="108"/>
      <c r="L1484" s="26"/>
      <c r="M1484" s="26"/>
    </row>
    <row r="1485">
      <c r="A1485" s="12"/>
      <c r="B1485" s="13"/>
      <c r="C1485" s="14"/>
      <c r="D1485" s="14"/>
      <c r="E1485" s="15"/>
      <c r="F1485" s="16"/>
      <c r="G1485" s="18"/>
      <c r="H1485" s="15"/>
      <c r="I1485" s="18"/>
      <c r="J1485" s="22"/>
      <c r="K1485" s="108"/>
      <c r="L1485" s="26"/>
      <c r="M1485" s="26"/>
    </row>
    <row r="1486">
      <c r="A1486" s="12"/>
      <c r="B1486" s="13"/>
      <c r="C1486" s="14"/>
      <c r="D1486" s="14"/>
      <c r="E1486" s="15"/>
      <c r="F1486" s="16"/>
      <c r="G1486" s="18"/>
      <c r="H1486" s="15"/>
      <c r="I1486" s="18"/>
      <c r="J1486" s="22"/>
      <c r="K1486" s="108"/>
      <c r="L1486" s="26"/>
      <c r="M1486" s="26"/>
    </row>
    <row r="1487">
      <c r="A1487" s="12"/>
      <c r="B1487" s="13"/>
      <c r="C1487" s="14"/>
      <c r="D1487" s="14"/>
      <c r="E1487" s="15"/>
      <c r="F1487" s="16"/>
      <c r="G1487" s="18"/>
      <c r="H1487" s="15"/>
      <c r="I1487" s="18"/>
      <c r="J1487" s="22"/>
      <c r="K1487" s="108"/>
      <c r="L1487" s="26"/>
      <c r="M1487" s="26"/>
    </row>
    <row r="1488">
      <c r="A1488" s="12"/>
      <c r="B1488" s="13"/>
      <c r="C1488" s="14"/>
      <c r="D1488" s="14"/>
      <c r="E1488" s="15"/>
      <c r="F1488" s="16"/>
      <c r="G1488" s="18"/>
      <c r="H1488" s="15"/>
      <c r="I1488" s="18"/>
      <c r="J1488" s="22"/>
      <c r="K1488" s="108"/>
      <c r="L1488" s="26"/>
      <c r="M1488" s="26"/>
    </row>
    <row r="1489">
      <c r="A1489" s="12"/>
      <c r="B1489" s="13"/>
      <c r="C1489" s="14"/>
      <c r="D1489" s="14"/>
      <c r="E1489" s="15"/>
      <c r="F1489" s="16"/>
      <c r="G1489" s="18"/>
      <c r="H1489" s="15"/>
      <c r="I1489" s="18"/>
      <c r="J1489" s="22"/>
      <c r="K1489" s="108"/>
      <c r="L1489" s="26"/>
      <c r="M1489" s="26"/>
    </row>
    <row r="1490">
      <c r="A1490" s="12"/>
      <c r="B1490" s="13"/>
      <c r="C1490" s="14"/>
      <c r="D1490" s="14"/>
      <c r="E1490" s="15"/>
      <c r="F1490" s="16"/>
      <c r="G1490" s="18"/>
      <c r="H1490" s="15"/>
      <c r="I1490" s="18"/>
      <c r="J1490" s="22"/>
      <c r="K1490" s="108"/>
      <c r="L1490" s="26"/>
      <c r="M1490" s="26"/>
    </row>
    <row r="1491">
      <c r="A1491" s="12"/>
      <c r="B1491" s="13"/>
      <c r="C1491" s="14"/>
      <c r="D1491" s="14"/>
      <c r="E1491" s="15"/>
      <c r="F1491" s="16"/>
      <c r="G1491" s="18"/>
      <c r="H1491" s="15"/>
      <c r="I1491" s="18"/>
      <c r="J1491" s="22"/>
      <c r="K1491" s="108"/>
      <c r="L1491" s="26"/>
      <c r="M1491" s="26"/>
    </row>
    <row r="1492">
      <c r="A1492" s="12"/>
      <c r="B1492" s="13"/>
      <c r="C1492" s="14"/>
      <c r="D1492" s="14"/>
      <c r="E1492" s="15"/>
      <c r="F1492" s="16"/>
      <c r="G1492" s="18"/>
      <c r="H1492" s="15"/>
      <c r="I1492" s="18"/>
      <c r="J1492" s="22"/>
      <c r="K1492" s="108"/>
      <c r="L1492" s="26"/>
      <c r="M1492" s="26"/>
    </row>
    <row r="1493">
      <c r="A1493" s="12"/>
      <c r="B1493" s="13"/>
      <c r="C1493" s="14"/>
      <c r="D1493" s="14"/>
      <c r="E1493" s="15"/>
      <c r="F1493" s="16"/>
      <c r="G1493" s="18"/>
      <c r="H1493" s="15"/>
      <c r="I1493" s="18"/>
      <c r="J1493" s="22"/>
      <c r="K1493" s="108"/>
      <c r="L1493" s="26"/>
      <c r="M1493" s="26"/>
    </row>
    <row r="1494">
      <c r="A1494" s="12"/>
      <c r="B1494" s="13"/>
      <c r="C1494" s="14"/>
      <c r="D1494" s="14"/>
      <c r="E1494" s="15"/>
      <c r="F1494" s="16"/>
      <c r="G1494" s="18"/>
      <c r="H1494" s="15"/>
      <c r="I1494" s="18"/>
      <c r="J1494" s="22"/>
      <c r="K1494" s="108"/>
      <c r="L1494" s="26"/>
      <c r="M1494" s="26"/>
    </row>
    <row r="1495">
      <c r="A1495" s="12"/>
      <c r="B1495" s="13"/>
      <c r="C1495" s="14"/>
      <c r="D1495" s="14"/>
      <c r="E1495" s="15"/>
      <c r="F1495" s="16"/>
      <c r="G1495" s="18"/>
      <c r="H1495" s="15"/>
      <c r="I1495" s="18"/>
      <c r="J1495" s="22"/>
      <c r="K1495" s="108"/>
      <c r="L1495" s="26"/>
      <c r="M1495" s="26"/>
    </row>
    <row r="1496">
      <c r="A1496" s="12"/>
      <c r="B1496" s="13"/>
      <c r="C1496" s="14"/>
      <c r="D1496" s="14"/>
      <c r="E1496" s="15"/>
      <c r="F1496" s="16"/>
      <c r="G1496" s="18"/>
      <c r="H1496" s="15"/>
      <c r="I1496" s="18"/>
      <c r="J1496" s="22"/>
      <c r="K1496" s="108"/>
      <c r="L1496" s="26"/>
      <c r="M1496" s="26"/>
    </row>
    <row r="1497">
      <c r="A1497" s="12"/>
      <c r="B1497" s="13"/>
      <c r="C1497" s="14"/>
      <c r="D1497" s="14"/>
      <c r="E1497" s="15"/>
      <c r="F1497" s="16"/>
      <c r="G1497" s="18"/>
      <c r="H1497" s="15"/>
      <c r="I1497" s="18"/>
      <c r="J1497" s="22"/>
      <c r="K1497" s="108"/>
      <c r="L1497" s="26"/>
      <c r="M1497" s="26"/>
    </row>
    <row r="1498">
      <c r="A1498" s="12"/>
      <c r="B1498" s="13"/>
      <c r="C1498" s="14"/>
      <c r="D1498" s="14"/>
      <c r="E1498" s="15"/>
      <c r="F1498" s="16"/>
      <c r="G1498" s="18"/>
      <c r="H1498" s="15"/>
      <c r="I1498" s="18"/>
      <c r="J1498" s="22"/>
      <c r="K1498" s="108"/>
      <c r="L1498" s="26"/>
      <c r="M1498" s="26"/>
    </row>
    <row r="1499">
      <c r="A1499" s="12"/>
      <c r="B1499" s="13"/>
      <c r="C1499" s="14"/>
      <c r="D1499" s="14"/>
      <c r="E1499" s="15"/>
      <c r="F1499" s="16"/>
      <c r="G1499" s="18"/>
      <c r="H1499" s="15"/>
      <c r="I1499" s="18"/>
      <c r="J1499" s="22"/>
      <c r="K1499" s="108"/>
      <c r="L1499" s="26"/>
      <c r="M1499" s="26"/>
    </row>
    <row r="1500">
      <c r="A1500" s="12"/>
      <c r="B1500" s="13"/>
      <c r="C1500" s="14"/>
      <c r="D1500" s="14"/>
      <c r="E1500" s="15"/>
      <c r="F1500" s="16"/>
      <c r="G1500" s="18"/>
      <c r="H1500" s="15"/>
      <c r="I1500" s="18"/>
      <c r="J1500" s="22"/>
      <c r="K1500" s="108"/>
      <c r="L1500" s="26"/>
      <c r="M1500" s="26"/>
    </row>
    <row r="1501">
      <c r="A1501" s="12"/>
      <c r="B1501" s="13"/>
      <c r="C1501" s="14"/>
      <c r="D1501" s="14"/>
      <c r="E1501" s="15"/>
      <c r="F1501" s="16"/>
      <c r="G1501" s="18"/>
      <c r="H1501" s="15"/>
      <c r="I1501" s="18"/>
      <c r="J1501" s="22"/>
      <c r="K1501" s="108"/>
      <c r="L1501" s="26"/>
      <c r="M1501" s="26"/>
    </row>
    <row r="1502">
      <c r="A1502" s="12"/>
      <c r="B1502" s="13"/>
      <c r="C1502" s="14"/>
      <c r="D1502" s="14"/>
      <c r="E1502" s="15"/>
      <c r="F1502" s="16"/>
      <c r="G1502" s="18"/>
      <c r="H1502" s="15"/>
      <c r="I1502" s="18"/>
      <c r="J1502" s="22"/>
      <c r="K1502" s="108"/>
      <c r="L1502" s="26"/>
      <c r="M1502" s="26"/>
    </row>
    <row r="1503">
      <c r="A1503" s="12"/>
      <c r="B1503" s="13"/>
      <c r="C1503" s="14"/>
      <c r="D1503" s="14"/>
      <c r="E1503" s="15"/>
      <c r="F1503" s="16"/>
      <c r="G1503" s="18"/>
      <c r="H1503" s="15"/>
      <c r="I1503" s="18"/>
      <c r="J1503" s="22"/>
      <c r="K1503" s="108"/>
      <c r="L1503" s="26"/>
      <c r="M1503" s="26"/>
    </row>
    <row r="1504">
      <c r="A1504" s="12"/>
      <c r="B1504" s="13"/>
      <c r="C1504" s="14"/>
      <c r="D1504" s="14"/>
      <c r="E1504" s="15"/>
      <c r="F1504" s="16"/>
      <c r="G1504" s="18"/>
      <c r="H1504" s="15"/>
      <c r="I1504" s="18"/>
      <c r="J1504" s="22"/>
      <c r="K1504" s="108"/>
      <c r="L1504" s="26"/>
      <c r="M1504" s="26"/>
    </row>
    <row r="1505">
      <c r="A1505" s="12"/>
      <c r="B1505" s="13"/>
      <c r="C1505" s="14"/>
      <c r="D1505" s="14"/>
      <c r="E1505" s="15"/>
      <c r="F1505" s="16"/>
      <c r="G1505" s="18"/>
      <c r="H1505" s="15"/>
      <c r="I1505" s="18"/>
      <c r="J1505" s="22"/>
      <c r="K1505" s="108"/>
      <c r="L1505" s="26"/>
      <c r="M1505" s="26"/>
    </row>
    <row r="1506">
      <c r="A1506" s="12"/>
      <c r="B1506" s="13"/>
      <c r="C1506" s="14"/>
      <c r="D1506" s="14"/>
      <c r="E1506" s="15"/>
      <c r="F1506" s="16"/>
      <c r="G1506" s="18"/>
      <c r="H1506" s="15"/>
      <c r="I1506" s="18"/>
      <c r="J1506" s="22"/>
      <c r="K1506" s="108"/>
      <c r="L1506" s="26"/>
      <c r="M1506" s="26"/>
    </row>
    <row r="1507">
      <c r="A1507" s="12"/>
      <c r="B1507" s="13"/>
      <c r="C1507" s="14"/>
      <c r="D1507" s="14"/>
      <c r="E1507" s="15"/>
      <c r="F1507" s="16"/>
      <c r="G1507" s="18"/>
      <c r="H1507" s="15"/>
      <c r="I1507" s="18"/>
      <c r="J1507" s="22"/>
      <c r="K1507" s="108"/>
      <c r="L1507" s="26"/>
      <c r="M1507" s="26"/>
    </row>
    <row r="1508">
      <c r="A1508" s="12"/>
      <c r="B1508" s="13"/>
      <c r="C1508" s="14"/>
      <c r="D1508" s="14"/>
      <c r="E1508" s="15"/>
      <c r="F1508" s="16"/>
      <c r="G1508" s="18"/>
      <c r="H1508" s="15"/>
      <c r="I1508" s="18"/>
      <c r="J1508" s="22"/>
      <c r="K1508" s="108"/>
      <c r="L1508" s="26"/>
      <c r="M1508" s="26"/>
    </row>
    <row r="1509">
      <c r="A1509" s="12"/>
      <c r="B1509" s="13"/>
      <c r="C1509" s="14"/>
      <c r="D1509" s="14"/>
      <c r="E1509" s="15"/>
      <c r="F1509" s="16"/>
      <c r="G1509" s="18"/>
      <c r="H1509" s="15"/>
      <c r="I1509" s="18"/>
      <c r="J1509" s="22"/>
      <c r="K1509" s="108"/>
      <c r="L1509" s="26"/>
      <c r="M1509" s="26"/>
    </row>
    <row r="1510">
      <c r="A1510" s="12"/>
      <c r="B1510" s="13"/>
      <c r="C1510" s="14"/>
      <c r="D1510" s="14"/>
      <c r="E1510" s="15"/>
      <c r="F1510" s="16"/>
      <c r="G1510" s="18"/>
      <c r="H1510" s="15"/>
      <c r="I1510" s="18"/>
      <c r="J1510" s="22"/>
      <c r="K1510" s="108"/>
      <c r="L1510" s="26"/>
      <c r="M1510" s="26"/>
    </row>
    <row r="1511">
      <c r="A1511" s="12"/>
      <c r="B1511" s="13"/>
      <c r="C1511" s="14"/>
      <c r="D1511" s="14"/>
      <c r="E1511" s="15"/>
      <c r="F1511" s="16"/>
      <c r="G1511" s="18"/>
      <c r="H1511" s="15"/>
      <c r="I1511" s="18"/>
      <c r="J1511" s="22"/>
      <c r="K1511" s="108"/>
      <c r="L1511" s="26"/>
      <c r="M1511" s="26"/>
    </row>
    <row r="1512">
      <c r="A1512" s="12"/>
      <c r="B1512" s="13"/>
      <c r="C1512" s="14"/>
      <c r="D1512" s="14"/>
      <c r="E1512" s="15"/>
      <c r="F1512" s="16"/>
      <c r="G1512" s="18"/>
      <c r="H1512" s="15"/>
      <c r="I1512" s="18"/>
      <c r="J1512" s="22"/>
      <c r="K1512" s="108"/>
      <c r="L1512" s="26"/>
      <c r="M1512" s="26"/>
    </row>
    <row r="1513">
      <c r="A1513" s="12"/>
      <c r="B1513" s="13"/>
      <c r="C1513" s="14"/>
      <c r="D1513" s="14"/>
      <c r="E1513" s="15"/>
      <c r="F1513" s="16"/>
      <c r="G1513" s="18"/>
      <c r="H1513" s="15"/>
      <c r="I1513" s="18"/>
      <c r="J1513" s="22"/>
      <c r="K1513" s="108"/>
      <c r="L1513" s="26"/>
      <c r="M1513" s="26"/>
    </row>
    <row r="1514">
      <c r="A1514" s="12"/>
      <c r="B1514" s="13"/>
      <c r="C1514" s="14"/>
      <c r="D1514" s="14"/>
      <c r="E1514" s="15"/>
      <c r="F1514" s="16"/>
      <c r="G1514" s="18"/>
      <c r="H1514" s="15"/>
      <c r="I1514" s="18"/>
      <c r="J1514" s="22"/>
      <c r="K1514" s="108"/>
      <c r="L1514" s="26"/>
      <c r="M1514" s="26"/>
    </row>
    <row r="1515">
      <c r="A1515" s="12"/>
      <c r="B1515" s="13"/>
      <c r="C1515" s="14"/>
      <c r="D1515" s="14"/>
      <c r="E1515" s="15"/>
      <c r="F1515" s="16"/>
      <c r="G1515" s="18"/>
      <c r="H1515" s="15"/>
      <c r="I1515" s="18"/>
      <c r="J1515" s="22"/>
      <c r="K1515" s="108"/>
      <c r="L1515" s="26"/>
      <c r="M1515" s="26"/>
    </row>
    <row r="1516">
      <c r="A1516" s="12"/>
      <c r="B1516" s="13"/>
      <c r="C1516" s="14"/>
      <c r="D1516" s="14"/>
      <c r="E1516" s="15"/>
      <c r="F1516" s="16"/>
      <c r="G1516" s="18"/>
      <c r="H1516" s="15"/>
      <c r="I1516" s="18"/>
      <c r="J1516" s="22"/>
      <c r="K1516" s="108"/>
      <c r="L1516" s="26"/>
      <c r="M1516" s="26"/>
    </row>
    <row r="1517">
      <c r="A1517" s="12"/>
      <c r="B1517" s="13"/>
      <c r="C1517" s="14"/>
      <c r="D1517" s="14"/>
      <c r="E1517" s="15"/>
      <c r="F1517" s="16"/>
      <c r="G1517" s="18"/>
      <c r="H1517" s="15"/>
      <c r="I1517" s="18"/>
      <c r="J1517" s="22"/>
      <c r="K1517" s="108"/>
      <c r="L1517" s="26"/>
      <c r="M1517" s="26"/>
    </row>
    <row r="1518">
      <c r="A1518" s="12"/>
      <c r="B1518" s="13"/>
      <c r="C1518" s="14"/>
      <c r="D1518" s="14"/>
      <c r="E1518" s="15"/>
      <c r="F1518" s="16"/>
      <c r="G1518" s="18"/>
      <c r="H1518" s="15"/>
      <c r="I1518" s="18"/>
      <c r="J1518" s="22"/>
      <c r="K1518" s="108"/>
      <c r="L1518" s="26"/>
      <c r="M1518" s="26"/>
    </row>
    <row r="1519">
      <c r="A1519" s="12"/>
      <c r="B1519" s="13"/>
      <c r="C1519" s="14"/>
      <c r="D1519" s="14"/>
      <c r="E1519" s="15"/>
      <c r="F1519" s="16"/>
      <c r="G1519" s="18"/>
      <c r="H1519" s="15"/>
      <c r="I1519" s="18"/>
      <c r="J1519" s="22"/>
      <c r="K1519" s="108"/>
      <c r="L1519" s="26"/>
      <c r="M1519" s="26"/>
    </row>
    <row r="1520">
      <c r="A1520" s="12"/>
      <c r="B1520" s="13"/>
      <c r="C1520" s="14"/>
      <c r="D1520" s="14"/>
      <c r="E1520" s="15"/>
      <c r="F1520" s="16"/>
      <c r="G1520" s="18"/>
      <c r="H1520" s="15"/>
      <c r="I1520" s="18"/>
      <c r="J1520" s="22"/>
      <c r="K1520" s="108"/>
      <c r="L1520" s="26"/>
      <c r="M1520" s="26"/>
    </row>
    <row r="1521">
      <c r="A1521" s="12"/>
      <c r="B1521" s="13"/>
      <c r="C1521" s="14"/>
      <c r="D1521" s="14"/>
      <c r="E1521" s="15"/>
      <c r="F1521" s="16"/>
      <c r="G1521" s="18"/>
      <c r="H1521" s="15"/>
      <c r="I1521" s="18"/>
      <c r="J1521" s="22"/>
      <c r="K1521" s="108"/>
      <c r="L1521" s="26"/>
      <c r="M1521" s="26"/>
    </row>
    <row r="1522">
      <c r="A1522" s="12"/>
      <c r="B1522" s="13"/>
      <c r="C1522" s="14"/>
      <c r="D1522" s="14"/>
      <c r="E1522" s="15"/>
      <c r="F1522" s="16"/>
      <c r="G1522" s="18"/>
      <c r="H1522" s="15"/>
      <c r="I1522" s="18"/>
      <c r="J1522" s="22"/>
      <c r="K1522" s="108"/>
      <c r="L1522" s="26"/>
      <c r="M1522" s="26"/>
    </row>
    <row r="1523">
      <c r="A1523" s="12"/>
      <c r="B1523" s="13"/>
      <c r="C1523" s="14"/>
      <c r="D1523" s="14"/>
      <c r="E1523" s="15"/>
      <c r="F1523" s="16"/>
      <c r="G1523" s="18"/>
      <c r="H1523" s="15"/>
      <c r="I1523" s="18"/>
      <c r="J1523" s="22"/>
      <c r="K1523" s="108"/>
      <c r="L1523" s="26"/>
      <c r="M1523" s="26"/>
    </row>
    <row r="1524">
      <c r="A1524" s="12"/>
      <c r="B1524" s="13"/>
      <c r="C1524" s="14"/>
      <c r="D1524" s="14"/>
      <c r="E1524" s="15"/>
      <c r="F1524" s="16"/>
      <c r="G1524" s="18"/>
      <c r="H1524" s="15"/>
      <c r="I1524" s="18"/>
      <c r="J1524" s="22"/>
      <c r="K1524" s="108"/>
      <c r="L1524" s="26"/>
      <c r="M1524" s="26"/>
    </row>
    <row r="1525">
      <c r="A1525" s="12"/>
      <c r="B1525" s="13"/>
      <c r="C1525" s="14"/>
      <c r="D1525" s="14"/>
      <c r="E1525" s="15"/>
      <c r="F1525" s="16"/>
      <c r="G1525" s="18"/>
      <c r="H1525" s="15"/>
      <c r="I1525" s="18"/>
      <c r="J1525" s="22"/>
      <c r="K1525" s="108"/>
      <c r="L1525" s="26"/>
      <c r="M1525" s="26"/>
    </row>
    <row r="1526">
      <c r="A1526" s="12"/>
      <c r="B1526" s="13"/>
      <c r="C1526" s="14"/>
      <c r="D1526" s="14"/>
      <c r="E1526" s="15"/>
      <c r="F1526" s="16"/>
      <c r="G1526" s="18"/>
      <c r="H1526" s="15"/>
      <c r="I1526" s="18"/>
      <c r="J1526" s="22"/>
      <c r="K1526" s="108"/>
      <c r="L1526" s="26"/>
      <c r="M1526" s="26"/>
    </row>
    <row r="1527">
      <c r="A1527" s="12"/>
      <c r="B1527" s="13"/>
      <c r="C1527" s="14"/>
      <c r="D1527" s="14"/>
      <c r="E1527" s="15"/>
      <c r="F1527" s="16"/>
      <c r="G1527" s="18"/>
      <c r="H1527" s="15"/>
      <c r="I1527" s="18"/>
      <c r="J1527" s="22"/>
      <c r="K1527" s="108"/>
      <c r="L1527" s="26"/>
      <c r="M1527" s="26"/>
    </row>
    <row r="1528">
      <c r="A1528" s="12"/>
      <c r="B1528" s="13"/>
      <c r="C1528" s="14"/>
      <c r="D1528" s="14"/>
      <c r="E1528" s="15"/>
      <c r="F1528" s="16"/>
      <c r="G1528" s="18"/>
      <c r="H1528" s="15"/>
      <c r="I1528" s="18"/>
      <c r="J1528" s="22"/>
      <c r="K1528" s="108"/>
      <c r="L1528" s="26"/>
      <c r="M1528" s="26"/>
    </row>
    <row r="1529">
      <c r="A1529" s="12"/>
      <c r="B1529" s="13"/>
      <c r="C1529" s="14"/>
      <c r="D1529" s="14"/>
      <c r="E1529" s="15"/>
      <c r="F1529" s="16"/>
      <c r="G1529" s="18"/>
      <c r="H1529" s="15"/>
      <c r="I1529" s="18"/>
      <c r="J1529" s="22"/>
      <c r="K1529" s="108"/>
      <c r="L1529" s="26"/>
      <c r="M1529" s="26"/>
    </row>
    <row r="1530">
      <c r="A1530" s="12"/>
      <c r="B1530" s="13"/>
      <c r="C1530" s="14"/>
      <c r="D1530" s="14"/>
      <c r="E1530" s="15"/>
      <c r="F1530" s="16"/>
      <c r="G1530" s="18"/>
      <c r="H1530" s="15"/>
      <c r="I1530" s="18"/>
      <c r="J1530" s="22"/>
      <c r="K1530" s="108"/>
      <c r="L1530" s="26"/>
      <c r="M1530" s="26"/>
    </row>
    <row r="1531">
      <c r="A1531" s="12"/>
      <c r="B1531" s="13"/>
      <c r="C1531" s="14"/>
      <c r="D1531" s="14"/>
      <c r="E1531" s="15"/>
      <c r="F1531" s="16"/>
      <c r="G1531" s="18"/>
      <c r="H1531" s="15"/>
      <c r="I1531" s="18"/>
      <c r="J1531" s="22"/>
      <c r="K1531" s="108"/>
      <c r="L1531" s="26"/>
      <c r="M1531" s="26"/>
    </row>
    <row r="1532">
      <c r="A1532" s="12"/>
      <c r="B1532" s="13"/>
      <c r="C1532" s="14"/>
      <c r="D1532" s="14"/>
      <c r="E1532" s="15"/>
      <c r="F1532" s="16"/>
      <c r="G1532" s="18"/>
      <c r="H1532" s="15"/>
      <c r="I1532" s="18"/>
      <c r="J1532" s="22"/>
      <c r="K1532" s="108"/>
      <c r="L1532" s="26"/>
      <c r="M1532" s="26"/>
    </row>
    <row r="1533">
      <c r="A1533" s="12"/>
      <c r="B1533" s="13"/>
      <c r="C1533" s="14"/>
      <c r="D1533" s="14"/>
      <c r="E1533" s="15"/>
      <c r="F1533" s="16"/>
      <c r="G1533" s="18"/>
      <c r="H1533" s="15"/>
      <c r="I1533" s="18"/>
      <c r="J1533" s="22"/>
      <c r="K1533" s="108"/>
      <c r="L1533" s="26"/>
      <c r="M1533" s="26"/>
    </row>
    <row r="1534">
      <c r="A1534" s="12"/>
      <c r="B1534" s="13"/>
      <c r="C1534" s="14"/>
      <c r="D1534" s="14"/>
      <c r="E1534" s="15"/>
      <c r="F1534" s="16"/>
      <c r="G1534" s="18"/>
      <c r="H1534" s="15"/>
      <c r="I1534" s="18"/>
      <c r="J1534" s="22"/>
      <c r="K1534" s="108"/>
      <c r="L1534" s="26"/>
      <c r="M1534" s="26"/>
    </row>
    <row r="1535">
      <c r="A1535" s="12"/>
      <c r="B1535" s="13"/>
      <c r="C1535" s="14"/>
      <c r="D1535" s="14"/>
      <c r="E1535" s="15"/>
      <c r="F1535" s="16"/>
      <c r="G1535" s="18"/>
      <c r="H1535" s="15"/>
      <c r="I1535" s="18"/>
      <c r="J1535" s="22"/>
      <c r="K1535" s="108"/>
      <c r="L1535" s="26"/>
      <c r="M1535" s="26"/>
    </row>
    <row r="1536">
      <c r="A1536" s="12"/>
      <c r="B1536" s="13"/>
      <c r="C1536" s="14"/>
      <c r="D1536" s="14"/>
      <c r="E1536" s="15"/>
      <c r="F1536" s="16"/>
      <c r="G1536" s="18"/>
      <c r="H1536" s="15"/>
      <c r="I1536" s="18"/>
      <c r="J1536" s="22"/>
      <c r="K1536" s="108"/>
      <c r="L1536" s="26"/>
      <c r="M1536" s="26"/>
    </row>
    <row r="1537">
      <c r="A1537" s="12"/>
      <c r="B1537" s="13"/>
      <c r="C1537" s="14"/>
      <c r="D1537" s="14"/>
      <c r="E1537" s="15"/>
      <c r="F1537" s="16"/>
      <c r="G1537" s="18"/>
      <c r="H1537" s="15"/>
      <c r="I1537" s="18"/>
      <c r="J1537" s="22"/>
      <c r="K1537" s="108"/>
      <c r="L1537" s="26"/>
      <c r="M1537" s="26"/>
    </row>
    <row r="1538">
      <c r="A1538" s="12"/>
      <c r="B1538" s="13"/>
      <c r="C1538" s="14"/>
      <c r="D1538" s="14"/>
      <c r="E1538" s="15"/>
      <c r="F1538" s="16"/>
      <c r="G1538" s="18"/>
      <c r="H1538" s="15"/>
      <c r="I1538" s="18"/>
      <c r="J1538" s="22"/>
      <c r="K1538" s="108"/>
      <c r="L1538" s="26"/>
      <c r="M1538" s="26"/>
    </row>
    <row r="1539">
      <c r="A1539" s="12"/>
      <c r="B1539" s="13"/>
      <c r="C1539" s="14"/>
      <c r="D1539" s="14"/>
      <c r="E1539" s="15"/>
      <c r="F1539" s="16"/>
      <c r="G1539" s="18"/>
      <c r="H1539" s="15"/>
      <c r="I1539" s="18"/>
      <c r="J1539" s="22"/>
      <c r="K1539" s="108"/>
      <c r="L1539" s="26"/>
      <c r="M1539" s="26"/>
    </row>
    <row r="1540">
      <c r="A1540" s="12"/>
      <c r="B1540" s="13"/>
      <c r="C1540" s="14"/>
      <c r="D1540" s="14"/>
      <c r="E1540" s="15"/>
      <c r="F1540" s="16"/>
      <c r="G1540" s="18"/>
      <c r="H1540" s="15"/>
      <c r="I1540" s="18"/>
      <c r="J1540" s="22"/>
      <c r="K1540" s="108"/>
      <c r="L1540" s="26"/>
      <c r="M1540" s="26"/>
    </row>
    <row r="1541">
      <c r="A1541" s="12"/>
      <c r="B1541" s="13"/>
      <c r="C1541" s="14"/>
      <c r="D1541" s="14"/>
      <c r="E1541" s="15"/>
      <c r="F1541" s="16"/>
      <c r="G1541" s="18"/>
      <c r="H1541" s="15"/>
      <c r="I1541" s="18"/>
      <c r="J1541" s="22"/>
      <c r="K1541" s="108"/>
      <c r="L1541" s="26"/>
      <c r="M1541" s="26"/>
    </row>
    <row r="1542">
      <c r="A1542" s="12"/>
      <c r="B1542" s="13"/>
      <c r="C1542" s="14"/>
      <c r="D1542" s="14"/>
      <c r="E1542" s="15"/>
      <c r="F1542" s="16"/>
      <c r="G1542" s="18"/>
      <c r="H1542" s="15"/>
      <c r="I1542" s="18"/>
      <c r="J1542" s="22"/>
      <c r="K1542" s="108"/>
      <c r="L1542" s="26"/>
      <c r="M1542" s="26"/>
    </row>
    <row r="1543">
      <c r="A1543" s="12"/>
      <c r="B1543" s="13"/>
      <c r="C1543" s="14"/>
      <c r="D1543" s="14"/>
      <c r="E1543" s="15"/>
      <c r="F1543" s="16"/>
      <c r="G1543" s="18"/>
      <c r="H1543" s="15"/>
      <c r="I1543" s="18"/>
      <c r="J1543" s="22"/>
      <c r="K1543" s="108"/>
      <c r="L1543" s="26"/>
      <c r="M1543" s="26"/>
    </row>
    <row r="1544">
      <c r="A1544" s="12"/>
      <c r="B1544" s="13"/>
      <c r="C1544" s="14"/>
      <c r="D1544" s="14"/>
      <c r="E1544" s="15"/>
      <c r="F1544" s="16"/>
      <c r="G1544" s="18"/>
      <c r="H1544" s="15"/>
      <c r="I1544" s="18"/>
      <c r="J1544" s="22"/>
      <c r="K1544" s="108"/>
      <c r="L1544" s="26"/>
      <c r="M1544" s="26"/>
    </row>
    <row r="1545">
      <c r="A1545" s="12"/>
      <c r="B1545" s="13"/>
      <c r="C1545" s="14"/>
      <c r="D1545" s="14"/>
      <c r="E1545" s="15"/>
      <c r="F1545" s="16"/>
      <c r="G1545" s="18"/>
      <c r="H1545" s="15"/>
      <c r="I1545" s="18"/>
      <c r="J1545" s="22"/>
      <c r="K1545" s="108"/>
      <c r="L1545" s="26"/>
      <c r="M1545" s="26"/>
    </row>
    <row r="1546">
      <c r="A1546" s="12"/>
      <c r="B1546" s="13"/>
      <c r="C1546" s="14"/>
      <c r="D1546" s="14"/>
      <c r="E1546" s="15"/>
      <c r="F1546" s="16"/>
      <c r="G1546" s="18"/>
      <c r="H1546" s="15"/>
      <c r="I1546" s="18"/>
      <c r="J1546" s="22"/>
      <c r="K1546" s="108"/>
      <c r="L1546" s="26"/>
      <c r="M1546" s="26"/>
    </row>
    <row r="1547">
      <c r="A1547" s="12"/>
      <c r="B1547" s="13"/>
      <c r="C1547" s="14"/>
      <c r="D1547" s="14"/>
      <c r="E1547" s="15"/>
      <c r="F1547" s="16"/>
      <c r="G1547" s="18"/>
      <c r="H1547" s="15"/>
      <c r="I1547" s="18"/>
      <c r="J1547" s="22"/>
      <c r="K1547" s="108"/>
      <c r="L1547" s="26"/>
      <c r="M1547" s="26"/>
    </row>
    <row r="1548">
      <c r="A1548" s="12"/>
      <c r="B1548" s="13"/>
      <c r="C1548" s="14"/>
      <c r="D1548" s="14"/>
      <c r="E1548" s="15"/>
      <c r="F1548" s="16"/>
      <c r="G1548" s="18"/>
      <c r="H1548" s="15"/>
      <c r="I1548" s="18"/>
      <c r="J1548" s="22"/>
      <c r="K1548" s="108"/>
      <c r="L1548" s="26"/>
      <c r="M1548" s="26"/>
    </row>
    <row r="1549">
      <c r="A1549" s="12"/>
      <c r="B1549" s="13"/>
      <c r="C1549" s="14"/>
      <c r="D1549" s="14"/>
      <c r="E1549" s="15"/>
      <c r="F1549" s="16"/>
      <c r="G1549" s="18"/>
      <c r="H1549" s="15"/>
      <c r="I1549" s="18"/>
      <c r="J1549" s="22"/>
      <c r="K1549" s="108"/>
      <c r="L1549" s="26"/>
      <c r="M1549" s="26"/>
    </row>
    <row r="1550">
      <c r="A1550" s="12"/>
      <c r="B1550" s="13"/>
      <c r="C1550" s="14"/>
      <c r="D1550" s="14"/>
      <c r="E1550" s="15"/>
      <c r="F1550" s="16"/>
      <c r="G1550" s="18"/>
      <c r="H1550" s="15"/>
      <c r="I1550" s="18"/>
      <c r="J1550" s="22"/>
      <c r="K1550" s="108"/>
      <c r="L1550" s="26"/>
      <c r="M1550" s="26"/>
    </row>
    <row r="1551">
      <c r="A1551" s="12"/>
      <c r="B1551" s="13"/>
      <c r="C1551" s="14"/>
      <c r="D1551" s="14"/>
      <c r="E1551" s="15"/>
      <c r="F1551" s="16"/>
      <c r="G1551" s="18"/>
      <c r="H1551" s="15"/>
      <c r="I1551" s="18"/>
      <c r="J1551" s="22"/>
      <c r="K1551" s="108"/>
      <c r="L1551" s="26"/>
      <c r="M1551" s="26"/>
    </row>
    <row r="1552">
      <c r="A1552" s="12"/>
      <c r="B1552" s="13"/>
      <c r="C1552" s="14"/>
      <c r="D1552" s="14"/>
      <c r="E1552" s="15"/>
      <c r="F1552" s="16"/>
      <c r="G1552" s="18"/>
      <c r="H1552" s="15"/>
      <c r="I1552" s="18"/>
      <c r="J1552" s="22"/>
      <c r="K1552" s="108"/>
      <c r="L1552" s="26"/>
      <c r="M1552" s="26"/>
    </row>
    <row r="1553">
      <c r="A1553" s="12"/>
      <c r="B1553" s="13"/>
      <c r="C1553" s="14"/>
      <c r="D1553" s="14"/>
      <c r="E1553" s="15"/>
      <c r="F1553" s="16"/>
      <c r="G1553" s="18"/>
      <c r="H1553" s="15"/>
      <c r="I1553" s="18"/>
      <c r="J1553" s="22"/>
      <c r="K1553" s="108"/>
      <c r="L1553" s="26"/>
      <c r="M1553" s="26"/>
    </row>
    <row r="1554">
      <c r="A1554" s="12"/>
      <c r="B1554" s="13"/>
      <c r="C1554" s="14"/>
      <c r="D1554" s="14"/>
      <c r="E1554" s="15"/>
      <c r="F1554" s="16"/>
      <c r="G1554" s="18"/>
      <c r="H1554" s="15"/>
      <c r="I1554" s="18"/>
      <c r="J1554" s="22"/>
      <c r="K1554" s="108"/>
      <c r="L1554" s="26"/>
      <c r="M1554" s="26"/>
    </row>
    <row r="1555">
      <c r="A1555" s="12"/>
      <c r="B1555" s="13"/>
      <c r="C1555" s="14"/>
      <c r="D1555" s="14"/>
      <c r="E1555" s="15"/>
      <c r="F1555" s="16"/>
      <c r="G1555" s="18"/>
      <c r="H1555" s="15"/>
      <c r="I1555" s="18"/>
      <c r="J1555" s="22"/>
      <c r="K1555" s="108"/>
      <c r="L1555" s="26"/>
      <c r="M1555" s="26"/>
    </row>
    <row r="1556">
      <c r="A1556" s="12"/>
      <c r="B1556" s="13"/>
      <c r="C1556" s="14"/>
      <c r="D1556" s="14"/>
      <c r="E1556" s="15"/>
      <c r="F1556" s="16"/>
      <c r="G1556" s="18"/>
      <c r="H1556" s="15"/>
      <c r="I1556" s="18"/>
      <c r="J1556" s="22"/>
      <c r="K1556" s="108"/>
      <c r="L1556" s="26"/>
      <c r="M1556" s="26"/>
    </row>
    <row r="1557">
      <c r="A1557" s="12"/>
      <c r="B1557" s="13"/>
      <c r="C1557" s="14"/>
      <c r="D1557" s="14"/>
      <c r="E1557" s="15"/>
      <c r="F1557" s="16"/>
      <c r="G1557" s="18"/>
      <c r="H1557" s="15"/>
      <c r="I1557" s="18"/>
      <c r="J1557" s="22"/>
      <c r="K1557" s="108"/>
      <c r="L1557" s="26"/>
      <c r="M1557" s="26"/>
    </row>
    <row r="1558">
      <c r="A1558" s="12"/>
      <c r="B1558" s="13"/>
      <c r="C1558" s="14"/>
      <c r="D1558" s="14"/>
      <c r="E1558" s="15"/>
      <c r="F1558" s="16"/>
      <c r="G1558" s="18"/>
      <c r="H1558" s="15"/>
      <c r="I1558" s="18"/>
      <c r="J1558" s="22"/>
      <c r="K1558" s="108"/>
      <c r="L1558" s="26"/>
      <c r="M1558" s="26"/>
    </row>
    <row r="1559">
      <c r="A1559" s="12"/>
      <c r="B1559" s="13"/>
      <c r="C1559" s="14"/>
      <c r="D1559" s="14"/>
      <c r="E1559" s="15"/>
      <c r="F1559" s="16"/>
      <c r="G1559" s="18"/>
      <c r="H1559" s="15"/>
      <c r="I1559" s="18"/>
      <c r="J1559" s="22"/>
      <c r="K1559" s="108"/>
      <c r="L1559" s="26"/>
      <c r="M1559" s="26"/>
    </row>
    <row r="1560">
      <c r="A1560" s="12"/>
      <c r="B1560" s="13"/>
      <c r="C1560" s="14"/>
      <c r="D1560" s="14"/>
      <c r="E1560" s="15"/>
      <c r="F1560" s="16"/>
      <c r="G1560" s="18"/>
      <c r="H1560" s="15"/>
      <c r="I1560" s="18"/>
      <c r="J1560" s="22"/>
      <c r="K1560" s="108"/>
      <c r="L1560" s="26"/>
      <c r="M1560" s="26"/>
    </row>
    <row r="1561">
      <c r="A1561" s="12"/>
      <c r="B1561" s="13"/>
      <c r="C1561" s="14"/>
      <c r="D1561" s="14"/>
      <c r="E1561" s="15"/>
      <c r="F1561" s="16"/>
      <c r="G1561" s="18"/>
      <c r="H1561" s="15"/>
      <c r="I1561" s="18"/>
      <c r="J1561" s="22"/>
      <c r="K1561" s="108"/>
      <c r="L1561" s="26"/>
      <c r="M1561" s="26"/>
    </row>
    <row r="1562">
      <c r="A1562" s="12"/>
      <c r="B1562" s="13"/>
      <c r="C1562" s="14"/>
      <c r="D1562" s="14"/>
      <c r="E1562" s="15"/>
      <c r="F1562" s="16"/>
      <c r="G1562" s="18"/>
      <c r="H1562" s="15"/>
      <c r="I1562" s="18"/>
      <c r="J1562" s="22"/>
      <c r="K1562" s="108"/>
      <c r="L1562" s="26"/>
      <c r="M1562" s="26"/>
    </row>
    <row r="1563">
      <c r="A1563" s="12"/>
      <c r="B1563" s="13"/>
      <c r="C1563" s="14"/>
      <c r="D1563" s="14"/>
      <c r="E1563" s="15"/>
      <c r="F1563" s="16"/>
      <c r="G1563" s="18"/>
      <c r="H1563" s="15"/>
      <c r="I1563" s="18"/>
      <c r="J1563" s="22"/>
      <c r="K1563" s="108"/>
      <c r="L1563" s="26"/>
      <c r="M1563" s="26"/>
    </row>
    <row r="1564">
      <c r="A1564" s="12"/>
      <c r="B1564" s="13"/>
      <c r="C1564" s="14"/>
      <c r="D1564" s="14"/>
      <c r="E1564" s="15"/>
      <c r="F1564" s="16"/>
      <c r="G1564" s="18"/>
      <c r="H1564" s="15"/>
      <c r="I1564" s="18"/>
      <c r="J1564" s="22"/>
      <c r="K1564" s="108"/>
      <c r="L1564" s="26"/>
      <c r="M1564" s="26"/>
    </row>
    <row r="1565">
      <c r="A1565" s="12"/>
      <c r="B1565" s="13"/>
      <c r="C1565" s="14"/>
      <c r="D1565" s="14"/>
      <c r="E1565" s="15"/>
      <c r="F1565" s="16"/>
      <c r="G1565" s="18"/>
      <c r="H1565" s="15"/>
      <c r="I1565" s="18"/>
      <c r="J1565" s="22"/>
      <c r="K1565" s="108"/>
      <c r="L1565" s="26"/>
      <c r="M1565" s="26"/>
    </row>
    <row r="1566">
      <c r="A1566" s="12"/>
      <c r="B1566" s="13"/>
      <c r="C1566" s="14"/>
      <c r="D1566" s="14"/>
      <c r="E1566" s="15"/>
      <c r="F1566" s="16"/>
      <c r="G1566" s="18"/>
      <c r="H1566" s="15"/>
      <c r="I1566" s="18"/>
      <c r="J1566" s="22"/>
      <c r="K1566" s="108"/>
      <c r="L1566" s="26"/>
      <c r="M1566" s="26"/>
    </row>
    <row r="1567">
      <c r="A1567" s="12"/>
      <c r="B1567" s="13"/>
      <c r="C1567" s="14"/>
      <c r="D1567" s="14"/>
      <c r="E1567" s="15"/>
      <c r="F1567" s="16"/>
      <c r="G1567" s="18"/>
      <c r="H1567" s="15"/>
      <c r="I1567" s="18"/>
      <c r="J1567" s="22"/>
      <c r="K1567" s="108"/>
      <c r="L1567" s="26"/>
      <c r="M1567" s="26"/>
    </row>
    <row r="1568">
      <c r="A1568" s="12"/>
      <c r="B1568" s="13"/>
      <c r="C1568" s="14"/>
      <c r="D1568" s="14"/>
      <c r="E1568" s="15"/>
      <c r="F1568" s="16"/>
      <c r="G1568" s="18"/>
      <c r="H1568" s="15"/>
      <c r="I1568" s="18"/>
      <c r="J1568" s="22"/>
      <c r="K1568" s="108"/>
      <c r="L1568" s="26"/>
      <c r="M1568" s="26"/>
    </row>
    <row r="1569">
      <c r="A1569" s="12"/>
      <c r="B1569" s="13"/>
      <c r="C1569" s="14"/>
      <c r="D1569" s="14"/>
      <c r="E1569" s="15"/>
      <c r="F1569" s="16"/>
      <c r="G1569" s="18"/>
      <c r="H1569" s="15"/>
      <c r="I1569" s="18"/>
      <c r="J1569" s="22"/>
      <c r="K1569" s="108"/>
      <c r="L1569" s="26"/>
      <c r="M1569" s="26"/>
    </row>
    <row r="1570">
      <c r="A1570" s="12"/>
      <c r="B1570" s="13"/>
      <c r="C1570" s="14"/>
      <c r="D1570" s="14"/>
      <c r="E1570" s="15"/>
      <c r="F1570" s="16"/>
      <c r="G1570" s="18"/>
      <c r="H1570" s="15"/>
      <c r="I1570" s="18"/>
      <c r="J1570" s="22"/>
      <c r="K1570" s="108"/>
      <c r="L1570" s="26"/>
      <c r="M1570" s="26"/>
    </row>
    <row r="1571">
      <c r="A1571" s="12"/>
      <c r="B1571" s="13"/>
      <c r="C1571" s="14"/>
      <c r="D1571" s="14"/>
      <c r="E1571" s="15"/>
      <c r="F1571" s="16"/>
      <c r="G1571" s="18"/>
      <c r="H1571" s="15"/>
      <c r="I1571" s="18"/>
      <c r="J1571" s="22"/>
      <c r="K1571" s="108"/>
      <c r="L1571" s="26"/>
      <c r="M1571" s="26"/>
    </row>
    <row r="1572">
      <c r="A1572" s="12"/>
      <c r="B1572" s="13"/>
      <c r="C1572" s="14"/>
      <c r="D1572" s="14"/>
      <c r="E1572" s="15"/>
      <c r="F1572" s="16"/>
      <c r="G1572" s="18"/>
      <c r="H1572" s="15"/>
      <c r="I1572" s="18"/>
      <c r="J1572" s="22"/>
      <c r="K1572" s="108"/>
      <c r="L1572" s="26"/>
      <c r="M1572" s="26"/>
    </row>
    <row r="1573">
      <c r="A1573" s="12"/>
      <c r="B1573" s="13"/>
      <c r="C1573" s="14"/>
      <c r="D1573" s="14"/>
      <c r="E1573" s="15"/>
      <c r="F1573" s="16"/>
      <c r="G1573" s="18"/>
      <c r="H1573" s="15"/>
      <c r="I1573" s="18"/>
      <c r="J1573" s="22"/>
      <c r="K1573" s="108"/>
      <c r="L1573" s="26"/>
      <c r="M1573" s="26"/>
    </row>
    <row r="1574">
      <c r="A1574" s="12"/>
      <c r="B1574" s="13"/>
      <c r="C1574" s="14"/>
      <c r="D1574" s="14"/>
      <c r="E1574" s="15"/>
      <c r="F1574" s="16"/>
      <c r="G1574" s="18"/>
      <c r="H1574" s="15"/>
      <c r="I1574" s="18"/>
      <c r="J1574" s="22"/>
      <c r="K1574" s="108"/>
      <c r="L1574" s="26"/>
      <c r="M1574" s="26"/>
    </row>
    <row r="1575">
      <c r="A1575" s="12"/>
      <c r="B1575" s="13"/>
      <c r="C1575" s="14"/>
      <c r="D1575" s="14"/>
      <c r="E1575" s="15"/>
      <c r="F1575" s="16"/>
      <c r="G1575" s="18"/>
      <c r="H1575" s="15"/>
      <c r="I1575" s="18"/>
      <c r="J1575" s="22"/>
      <c r="K1575" s="108"/>
      <c r="L1575" s="26"/>
      <c r="M1575" s="26"/>
    </row>
    <row r="1576">
      <c r="A1576" s="12"/>
      <c r="B1576" s="13"/>
      <c r="C1576" s="14"/>
      <c r="D1576" s="14"/>
      <c r="E1576" s="15"/>
      <c r="F1576" s="16"/>
      <c r="G1576" s="18"/>
      <c r="H1576" s="15"/>
      <c r="I1576" s="18"/>
      <c r="J1576" s="22"/>
      <c r="K1576" s="108"/>
      <c r="L1576" s="26"/>
      <c r="M1576" s="26"/>
    </row>
    <row r="1577">
      <c r="A1577" s="12"/>
      <c r="B1577" s="13"/>
      <c r="C1577" s="14"/>
      <c r="D1577" s="14"/>
      <c r="E1577" s="15"/>
      <c r="F1577" s="16"/>
      <c r="G1577" s="18"/>
      <c r="H1577" s="15"/>
      <c r="I1577" s="18"/>
      <c r="J1577" s="22"/>
      <c r="K1577" s="108"/>
      <c r="L1577" s="26"/>
      <c r="M1577" s="26"/>
    </row>
    <row r="1578">
      <c r="A1578" s="12"/>
      <c r="B1578" s="13"/>
      <c r="C1578" s="14"/>
      <c r="D1578" s="14"/>
      <c r="E1578" s="15"/>
      <c r="F1578" s="16"/>
      <c r="G1578" s="18"/>
      <c r="H1578" s="15"/>
      <c r="I1578" s="18"/>
      <c r="J1578" s="22"/>
      <c r="K1578" s="108"/>
      <c r="L1578" s="26"/>
      <c r="M1578" s="26"/>
    </row>
    <row r="1579">
      <c r="A1579" s="12"/>
      <c r="B1579" s="13"/>
      <c r="C1579" s="14"/>
      <c r="D1579" s="14"/>
      <c r="E1579" s="15"/>
      <c r="F1579" s="16"/>
      <c r="G1579" s="18"/>
      <c r="H1579" s="15"/>
      <c r="I1579" s="18"/>
      <c r="J1579" s="22"/>
      <c r="K1579" s="108"/>
      <c r="L1579" s="26"/>
      <c r="M1579" s="26"/>
    </row>
    <row r="1580">
      <c r="A1580" s="12"/>
      <c r="B1580" s="13"/>
      <c r="C1580" s="14"/>
      <c r="D1580" s="14"/>
      <c r="E1580" s="15"/>
      <c r="F1580" s="16"/>
      <c r="G1580" s="18"/>
      <c r="H1580" s="15"/>
      <c r="I1580" s="18"/>
      <c r="J1580" s="22"/>
      <c r="K1580" s="108"/>
      <c r="L1580" s="26"/>
      <c r="M1580" s="26"/>
    </row>
    <row r="1581">
      <c r="A1581" s="12"/>
      <c r="B1581" s="13"/>
      <c r="C1581" s="14"/>
      <c r="D1581" s="14"/>
      <c r="E1581" s="15"/>
      <c r="F1581" s="16"/>
      <c r="G1581" s="18"/>
      <c r="H1581" s="15"/>
      <c r="I1581" s="18"/>
      <c r="J1581" s="22"/>
      <c r="K1581" s="108"/>
      <c r="L1581" s="26"/>
      <c r="M1581" s="26"/>
    </row>
    <row r="1582">
      <c r="A1582" s="12"/>
      <c r="B1582" s="13"/>
      <c r="C1582" s="14"/>
      <c r="D1582" s="14"/>
      <c r="E1582" s="15"/>
      <c r="F1582" s="16"/>
      <c r="G1582" s="18"/>
      <c r="H1582" s="15"/>
      <c r="I1582" s="18"/>
      <c r="J1582" s="22"/>
      <c r="K1582" s="108"/>
      <c r="L1582" s="26"/>
      <c r="M1582" s="26"/>
    </row>
    <row r="1583">
      <c r="A1583" s="12"/>
      <c r="B1583" s="13"/>
      <c r="C1583" s="14"/>
      <c r="D1583" s="14"/>
      <c r="E1583" s="15"/>
      <c r="F1583" s="16"/>
      <c r="G1583" s="18"/>
      <c r="H1583" s="15"/>
      <c r="I1583" s="18"/>
      <c r="J1583" s="22"/>
      <c r="K1583" s="108"/>
      <c r="L1583" s="26"/>
      <c r="M1583" s="26"/>
    </row>
    <row r="1584">
      <c r="A1584" s="12"/>
      <c r="B1584" s="13"/>
      <c r="C1584" s="14"/>
      <c r="D1584" s="14"/>
      <c r="E1584" s="15"/>
      <c r="F1584" s="16"/>
      <c r="G1584" s="18"/>
      <c r="H1584" s="15"/>
      <c r="I1584" s="18"/>
      <c r="J1584" s="22"/>
      <c r="K1584" s="108"/>
      <c r="L1584" s="26"/>
      <c r="M1584" s="26"/>
    </row>
    <row r="1585">
      <c r="A1585" s="12"/>
      <c r="B1585" s="13"/>
      <c r="C1585" s="14"/>
      <c r="D1585" s="14"/>
      <c r="E1585" s="15"/>
      <c r="F1585" s="16"/>
      <c r="G1585" s="18"/>
      <c r="H1585" s="15"/>
      <c r="I1585" s="18"/>
      <c r="J1585" s="22"/>
      <c r="K1585" s="108"/>
      <c r="L1585" s="26"/>
      <c r="M1585" s="26"/>
    </row>
    <row r="1586">
      <c r="A1586" s="12"/>
      <c r="B1586" s="13"/>
      <c r="C1586" s="14"/>
      <c r="D1586" s="14"/>
      <c r="E1586" s="15"/>
      <c r="F1586" s="16"/>
      <c r="G1586" s="18"/>
      <c r="H1586" s="15"/>
      <c r="I1586" s="18"/>
      <c r="J1586" s="22"/>
      <c r="K1586" s="108"/>
      <c r="L1586" s="26"/>
      <c r="M1586" s="26"/>
    </row>
    <row r="1587">
      <c r="A1587" s="12"/>
      <c r="B1587" s="13"/>
      <c r="C1587" s="14"/>
      <c r="D1587" s="14"/>
      <c r="E1587" s="15"/>
      <c r="F1587" s="16"/>
      <c r="G1587" s="18"/>
      <c r="H1587" s="15"/>
      <c r="I1587" s="18"/>
      <c r="J1587" s="22"/>
      <c r="K1587" s="108"/>
      <c r="L1587" s="26"/>
      <c r="M1587" s="26"/>
    </row>
    <row r="1588">
      <c r="A1588" s="12"/>
      <c r="B1588" s="13"/>
      <c r="C1588" s="14"/>
      <c r="D1588" s="14"/>
      <c r="E1588" s="15"/>
      <c r="F1588" s="16"/>
      <c r="G1588" s="18"/>
      <c r="H1588" s="15"/>
      <c r="I1588" s="18"/>
      <c r="J1588" s="22"/>
      <c r="K1588" s="108"/>
      <c r="L1588" s="26"/>
      <c r="M1588" s="26"/>
    </row>
    <row r="1589">
      <c r="A1589" s="12"/>
      <c r="B1589" s="13"/>
      <c r="C1589" s="14"/>
      <c r="D1589" s="14"/>
      <c r="E1589" s="15"/>
      <c r="F1589" s="16"/>
      <c r="G1589" s="18"/>
      <c r="H1589" s="15"/>
      <c r="I1589" s="18"/>
      <c r="J1589" s="22"/>
      <c r="K1589" s="108"/>
      <c r="L1589" s="26"/>
      <c r="M1589" s="26"/>
    </row>
    <row r="1590">
      <c r="A1590" s="12"/>
      <c r="B1590" s="13"/>
      <c r="C1590" s="14"/>
      <c r="D1590" s="14"/>
      <c r="E1590" s="15"/>
      <c r="F1590" s="16"/>
      <c r="G1590" s="18"/>
      <c r="H1590" s="15"/>
      <c r="I1590" s="18"/>
      <c r="J1590" s="22"/>
      <c r="K1590" s="108"/>
      <c r="L1590" s="26"/>
      <c r="M1590" s="26"/>
    </row>
    <row r="1591">
      <c r="A1591" s="12"/>
      <c r="B1591" s="13"/>
      <c r="C1591" s="14"/>
      <c r="D1591" s="14"/>
      <c r="E1591" s="15"/>
      <c r="F1591" s="16"/>
      <c r="G1591" s="18"/>
      <c r="H1591" s="15"/>
      <c r="I1591" s="18"/>
      <c r="J1591" s="22"/>
      <c r="K1591" s="108"/>
      <c r="L1591" s="26"/>
      <c r="M1591" s="26"/>
    </row>
    <row r="1592">
      <c r="A1592" s="12"/>
      <c r="B1592" s="13"/>
      <c r="C1592" s="14"/>
      <c r="D1592" s="14"/>
      <c r="E1592" s="15"/>
      <c r="F1592" s="16"/>
      <c r="G1592" s="18"/>
      <c r="H1592" s="15"/>
      <c r="I1592" s="18"/>
      <c r="J1592" s="22"/>
      <c r="K1592" s="108"/>
      <c r="L1592" s="26"/>
      <c r="M1592" s="26"/>
    </row>
    <row r="1593">
      <c r="A1593" s="12"/>
      <c r="B1593" s="13"/>
      <c r="C1593" s="14"/>
      <c r="D1593" s="14"/>
      <c r="E1593" s="15"/>
      <c r="F1593" s="16"/>
      <c r="G1593" s="18"/>
      <c r="H1593" s="15"/>
      <c r="I1593" s="18"/>
      <c r="J1593" s="22"/>
      <c r="K1593" s="108"/>
      <c r="L1593" s="26"/>
      <c r="M1593" s="26"/>
    </row>
    <row r="1594">
      <c r="A1594" s="12"/>
      <c r="B1594" s="13"/>
      <c r="C1594" s="14"/>
      <c r="D1594" s="14"/>
      <c r="E1594" s="15"/>
      <c r="F1594" s="16"/>
      <c r="G1594" s="18"/>
      <c r="H1594" s="15"/>
      <c r="I1594" s="18"/>
      <c r="J1594" s="22"/>
      <c r="K1594" s="108"/>
      <c r="L1594" s="26"/>
      <c r="M1594" s="26"/>
    </row>
    <row r="1595">
      <c r="A1595" s="12"/>
      <c r="B1595" s="13"/>
      <c r="C1595" s="14"/>
      <c r="D1595" s="14"/>
      <c r="E1595" s="15"/>
      <c r="F1595" s="16"/>
      <c r="G1595" s="18"/>
      <c r="H1595" s="15"/>
      <c r="I1595" s="18"/>
      <c r="J1595" s="22"/>
      <c r="K1595" s="108"/>
      <c r="L1595" s="26"/>
      <c r="M1595" s="26"/>
    </row>
    <row r="1596">
      <c r="A1596" s="12"/>
      <c r="B1596" s="13"/>
      <c r="C1596" s="14"/>
      <c r="D1596" s="14"/>
      <c r="E1596" s="15"/>
      <c r="F1596" s="16"/>
      <c r="G1596" s="18"/>
      <c r="H1596" s="15"/>
      <c r="I1596" s="18"/>
      <c r="J1596" s="22"/>
      <c r="K1596" s="108"/>
      <c r="L1596" s="26"/>
      <c r="M1596" s="26"/>
    </row>
    <row r="1597">
      <c r="A1597" s="12"/>
      <c r="B1597" s="13"/>
      <c r="C1597" s="14"/>
      <c r="D1597" s="14"/>
      <c r="E1597" s="15"/>
      <c r="F1597" s="16"/>
      <c r="G1597" s="18"/>
      <c r="H1597" s="15"/>
      <c r="I1597" s="18"/>
      <c r="J1597" s="22"/>
      <c r="K1597" s="108"/>
      <c r="L1597" s="26"/>
      <c r="M1597" s="26"/>
    </row>
    <row r="1598">
      <c r="A1598" s="12"/>
      <c r="B1598" s="13"/>
      <c r="C1598" s="14"/>
      <c r="D1598" s="14"/>
      <c r="E1598" s="15"/>
      <c r="F1598" s="16"/>
      <c r="G1598" s="18"/>
      <c r="H1598" s="15"/>
      <c r="I1598" s="18"/>
      <c r="J1598" s="22"/>
      <c r="K1598" s="108"/>
      <c r="L1598" s="26"/>
      <c r="M1598" s="26"/>
    </row>
    <row r="1599">
      <c r="A1599" s="12"/>
      <c r="B1599" s="13"/>
      <c r="C1599" s="14"/>
      <c r="D1599" s="14"/>
      <c r="E1599" s="15"/>
      <c r="F1599" s="16"/>
      <c r="G1599" s="18"/>
      <c r="H1599" s="15"/>
      <c r="I1599" s="18"/>
      <c r="J1599" s="22"/>
      <c r="K1599" s="108"/>
      <c r="L1599" s="26"/>
      <c r="M1599" s="26"/>
    </row>
    <row r="1600">
      <c r="A1600" s="12"/>
      <c r="B1600" s="13"/>
      <c r="C1600" s="14"/>
      <c r="D1600" s="14"/>
      <c r="E1600" s="15"/>
      <c r="F1600" s="16"/>
      <c r="G1600" s="18"/>
      <c r="H1600" s="15"/>
      <c r="I1600" s="18"/>
      <c r="J1600" s="22"/>
      <c r="K1600" s="108"/>
      <c r="L1600" s="26"/>
      <c r="M1600" s="26"/>
    </row>
    <row r="1601">
      <c r="A1601" s="12"/>
      <c r="B1601" s="13"/>
      <c r="C1601" s="14"/>
      <c r="D1601" s="14"/>
      <c r="E1601" s="15"/>
      <c r="F1601" s="16"/>
      <c r="G1601" s="18"/>
      <c r="H1601" s="15"/>
      <c r="I1601" s="18"/>
      <c r="J1601" s="22"/>
      <c r="K1601" s="108"/>
      <c r="L1601" s="26"/>
      <c r="M1601" s="26"/>
    </row>
    <row r="1602">
      <c r="A1602" s="12"/>
      <c r="B1602" s="13"/>
      <c r="C1602" s="14"/>
      <c r="D1602" s="14"/>
      <c r="E1602" s="15"/>
      <c r="F1602" s="16"/>
      <c r="G1602" s="18"/>
      <c r="H1602" s="15"/>
      <c r="I1602" s="18"/>
      <c r="J1602" s="22"/>
      <c r="K1602" s="108"/>
      <c r="L1602" s="26"/>
      <c r="M1602" s="26"/>
    </row>
    <row r="1603">
      <c r="A1603" s="12"/>
      <c r="B1603" s="13"/>
      <c r="C1603" s="14"/>
      <c r="D1603" s="14"/>
      <c r="E1603" s="15"/>
      <c r="F1603" s="16"/>
      <c r="G1603" s="18"/>
      <c r="H1603" s="15"/>
      <c r="I1603" s="18"/>
      <c r="J1603" s="22"/>
      <c r="K1603" s="108"/>
      <c r="L1603" s="26"/>
      <c r="M1603" s="26"/>
    </row>
    <row r="1604">
      <c r="A1604" s="12"/>
      <c r="B1604" s="13"/>
      <c r="C1604" s="14"/>
      <c r="D1604" s="14"/>
      <c r="E1604" s="15"/>
      <c r="F1604" s="16"/>
      <c r="G1604" s="18"/>
      <c r="H1604" s="15"/>
      <c r="I1604" s="18"/>
      <c r="J1604" s="22"/>
      <c r="K1604" s="108"/>
      <c r="L1604" s="26"/>
      <c r="M1604" s="26"/>
    </row>
    <row r="1605">
      <c r="A1605" s="12"/>
      <c r="B1605" s="13"/>
      <c r="C1605" s="14"/>
      <c r="D1605" s="14"/>
      <c r="E1605" s="15"/>
      <c r="F1605" s="16"/>
      <c r="G1605" s="18"/>
      <c r="H1605" s="15"/>
      <c r="I1605" s="18"/>
      <c r="J1605" s="22"/>
      <c r="K1605" s="108"/>
      <c r="L1605" s="26"/>
      <c r="M1605" s="26"/>
    </row>
    <row r="1606">
      <c r="A1606" s="12"/>
      <c r="B1606" s="13"/>
      <c r="C1606" s="14"/>
      <c r="D1606" s="14"/>
      <c r="E1606" s="15"/>
      <c r="F1606" s="16"/>
      <c r="G1606" s="18"/>
      <c r="H1606" s="15"/>
      <c r="I1606" s="18"/>
      <c r="J1606" s="22"/>
      <c r="K1606" s="108"/>
      <c r="L1606" s="26"/>
      <c r="M1606" s="26"/>
    </row>
    <row r="1607">
      <c r="A1607" s="12"/>
      <c r="B1607" s="13"/>
      <c r="C1607" s="14"/>
      <c r="D1607" s="14"/>
      <c r="E1607" s="15"/>
      <c r="F1607" s="16"/>
      <c r="G1607" s="18"/>
      <c r="H1607" s="15"/>
      <c r="I1607" s="18"/>
      <c r="J1607" s="22"/>
      <c r="K1607" s="108"/>
      <c r="L1607" s="26"/>
      <c r="M1607" s="26"/>
    </row>
    <row r="1608">
      <c r="A1608" s="12"/>
      <c r="B1608" s="13"/>
      <c r="C1608" s="14"/>
      <c r="D1608" s="14"/>
      <c r="E1608" s="15"/>
      <c r="F1608" s="16"/>
      <c r="G1608" s="18"/>
      <c r="H1608" s="15"/>
      <c r="I1608" s="18"/>
      <c r="J1608" s="22"/>
      <c r="K1608" s="108"/>
      <c r="L1608" s="26"/>
      <c r="M1608" s="26"/>
    </row>
    <row r="1609">
      <c r="A1609" s="12"/>
      <c r="B1609" s="13"/>
      <c r="C1609" s="14"/>
      <c r="D1609" s="14"/>
      <c r="E1609" s="15"/>
      <c r="F1609" s="16"/>
      <c r="G1609" s="18"/>
      <c r="H1609" s="15"/>
      <c r="I1609" s="18"/>
      <c r="J1609" s="22"/>
      <c r="K1609" s="108"/>
      <c r="L1609" s="26"/>
      <c r="M1609" s="26"/>
    </row>
    <row r="1610">
      <c r="A1610" s="12"/>
      <c r="B1610" s="13"/>
      <c r="C1610" s="14"/>
      <c r="D1610" s="14"/>
      <c r="E1610" s="15"/>
      <c r="F1610" s="16"/>
      <c r="G1610" s="18"/>
      <c r="H1610" s="15"/>
      <c r="I1610" s="18"/>
      <c r="J1610" s="22"/>
      <c r="K1610" s="108"/>
      <c r="L1610" s="26"/>
      <c r="M1610" s="26"/>
    </row>
    <row r="1611">
      <c r="A1611" s="12"/>
      <c r="B1611" s="13"/>
      <c r="C1611" s="14"/>
      <c r="D1611" s="14"/>
      <c r="E1611" s="15"/>
      <c r="F1611" s="16"/>
      <c r="G1611" s="18"/>
      <c r="H1611" s="15"/>
      <c r="I1611" s="18"/>
      <c r="J1611" s="22"/>
      <c r="K1611" s="108"/>
      <c r="L1611" s="26"/>
      <c r="M1611" s="26"/>
    </row>
    <row r="1612">
      <c r="A1612" s="12"/>
      <c r="B1612" s="13"/>
      <c r="C1612" s="14"/>
      <c r="D1612" s="14"/>
      <c r="E1612" s="15"/>
      <c r="F1612" s="16"/>
      <c r="G1612" s="18"/>
      <c r="H1612" s="15"/>
      <c r="I1612" s="18"/>
      <c r="J1612" s="22"/>
      <c r="K1612" s="108"/>
      <c r="L1612" s="26"/>
      <c r="M1612" s="26"/>
    </row>
    <row r="1613">
      <c r="A1613" s="12"/>
      <c r="B1613" s="13"/>
      <c r="C1613" s="14"/>
      <c r="D1613" s="14"/>
      <c r="E1613" s="15"/>
      <c r="F1613" s="16"/>
      <c r="G1613" s="18"/>
      <c r="H1613" s="15"/>
      <c r="I1613" s="18"/>
      <c r="J1613" s="22"/>
      <c r="K1613" s="108"/>
      <c r="L1613" s="26"/>
      <c r="M1613" s="26"/>
    </row>
    <row r="1614">
      <c r="A1614" s="12"/>
      <c r="B1614" s="13"/>
      <c r="C1614" s="14"/>
      <c r="D1614" s="14"/>
      <c r="E1614" s="15"/>
      <c r="F1614" s="16"/>
      <c r="G1614" s="18"/>
      <c r="H1614" s="15"/>
      <c r="I1614" s="18"/>
      <c r="J1614" s="22"/>
      <c r="K1614" s="108"/>
      <c r="L1614" s="26"/>
      <c r="M1614" s="26"/>
    </row>
    <row r="1615">
      <c r="A1615" s="12"/>
      <c r="B1615" s="13"/>
      <c r="C1615" s="14"/>
      <c r="D1615" s="14"/>
      <c r="E1615" s="15"/>
      <c r="F1615" s="16"/>
      <c r="G1615" s="18"/>
      <c r="H1615" s="15"/>
      <c r="I1615" s="18"/>
      <c r="J1615" s="22"/>
      <c r="K1615" s="108"/>
      <c r="L1615" s="26"/>
      <c r="M1615" s="26"/>
    </row>
    <row r="1616">
      <c r="A1616" s="12"/>
      <c r="B1616" s="13"/>
      <c r="C1616" s="14"/>
      <c r="D1616" s="14"/>
      <c r="E1616" s="15"/>
      <c r="F1616" s="16"/>
      <c r="G1616" s="18"/>
      <c r="H1616" s="15"/>
      <c r="I1616" s="18"/>
      <c r="J1616" s="22"/>
      <c r="K1616" s="108"/>
      <c r="L1616" s="26"/>
      <c r="M1616" s="26"/>
    </row>
    <row r="1617">
      <c r="A1617" s="12"/>
      <c r="B1617" s="13"/>
      <c r="C1617" s="14"/>
      <c r="D1617" s="14"/>
      <c r="E1617" s="15"/>
      <c r="F1617" s="16"/>
      <c r="G1617" s="18"/>
      <c r="H1617" s="15"/>
      <c r="I1617" s="18"/>
      <c r="J1617" s="22"/>
      <c r="K1617" s="108"/>
      <c r="L1617" s="26"/>
      <c r="M1617" s="26"/>
    </row>
    <row r="1618">
      <c r="A1618" s="12"/>
      <c r="B1618" s="13"/>
      <c r="C1618" s="14"/>
      <c r="D1618" s="14"/>
      <c r="E1618" s="15"/>
      <c r="F1618" s="16"/>
      <c r="G1618" s="18"/>
      <c r="H1618" s="15"/>
      <c r="I1618" s="18"/>
      <c r="J1618" s="22"/>
      <c r="K1618" s="108"/>
      <c r="L1618" s="26"/>
      <c r="M1618" s="26"/>
    </row>
    <row r="1619">
      <c r="A1619" s="12"/>
      <c r="B1619" s="13"/>
      <c r="C1619" s="14"/>
      <c r="D1619" s="14"/>
      <c r="E1619" s="15"/>
      <c r="F1619" s="16"/>
      <c r="G1619" s="18"/>
      <c r="H1619" s="15"/>
      <c r="I1619" s="18"/>
      <c r="J1619" s="22"/>
      <c r="K1619" s="108"/>
      <c r="L1619" s="26"/>
      <c r="M1619" s="26"/>
    </row>
    <row r="1620">
      <c r="A1620" s="12"/>
      <c r="B1620" s="13"/>
      <c r="C1620" s="14"/>
      <c r="D1620" s="14"/>
      <c r="E1620" s="15"/>
      <c r="F1620" s="16"/>
      <c r="G1620" s="18"/>
      <c r="H1620" s="15"/>
      <c r="I1620" s="18"/>
      <c r="J1620" s="22"/>
      <c r="K1620" s="108"/>
      <c r="L1620" s="26"/>
      <c r="M1620" s="26"/>
    </row>
    <row r="1621">
      <c r="A1621" s="12"/>
      <c r="B1621" s="13"/>
      <c r="C1621" s="14"/>
      <c r="D1621" s="14"/>
      <c r="E1621" s="15"/>
      <c r="F1621" s="16"/>
      <c r="G1621" s="18"/>
      <c r="H1621" s="15"/>
      <c r="I1621" s="18"/>
      <c r="J1621" s="22"/>
      <c r="K1621" s="108"/>
      <c r="L1621" s="26"/>
      <c r="M1621" s="26"/>
    </row>
    <row r="1622">
      <c r="A1622" s="12"/>
      <c r="B1622" s="13"/>
      <c r="C1622" s="14"/>
      <c r="D1622" s="14"/>
      <c r="E1622" s="15"/>
      <c r="F1622" s="16"/>
      <c r="G1622" s="18"/>
      <c r="H1622" s="15"/>
      <c r="I1622" s="18"/>
      <c r="J1622" s="22"/>
      <c r="K1622" s="108"/>
      <c r="L1622" s="26"/>
      <c r="M1622" s="26"/>
    </row>
    <row r="1623">
      <c r="A1623" s="12"/>
      <c r="B1623" s="13"/>
      <c r="C1623" s="14"/>
      <c r="D1623" s="14"/>
      <c r="E1623" s="15"/>
      <c r="F1623" s="16"/>
      <c r="G1623" s="18"/>
      <c r="H1623" s="15"/>
      <c r="I1623" s="18"/>
      <c r="J1623" s="22"/>
      <c r="K1623" s="108"/>
      <c r="L1623" s="26"/>
      <c r="M1623" s="26"/>
    </row>
    <row r="1624">
      <c r="A1624" s="12"/>
      <c r="B1624" s="13"/>
      <c r="C1624" s="14"/>
      <c r="D1624" s="14"/>
      <c r="E1624" s="15"/>
      <c r="F1624" s="16"/>
      <c r="G1624" s="18"/>
      <c r="H1624" s="15"/>
      <c r="I1624" s="18"/>
      <c r="J1624" s="22"/>
      <c r="K1624" s="108"/>
      <c r="L1624" s="26"/>
      <c r="M1624" s="26"/>
    </row>
    <row r="1625">
      <c r="A1625" s="12"/>
      <c r="B1625" s="13"/>
      <c r="C1625" s="14"/>
      <c r="D1625" s="14"/>
      <c r="E1625" s="15"/>
      <c r="F1625" s="16"/>
      <c r="G1625" s="18"/>
      <c r="H1625" s="15"/>
      <c r="I1625" s="18"/>
      <c r="J1625" s="22"/>
      <c r="K1625" s="108"/>
      <c r="L1625" s="26"/>
      <c r="M1625" s="26"/>
    </row>
    <row r="1626">
      <c r="A1626" s="12"/>
      <c r="B1626" s="13"/>
      <c r="C1626" s="14"/>
      <c r="D1626" s="14"/>
      <c r="E1626" s="15"/>
      <c r="F1626" s="16"/>
      <c r="G1626" s="18"/>
      <c r="H1626" s="15"/>
      <c r="I1626" s="18"/>
      <c r="J1626" s="22"/>
      <c r="K1626" s="108"/>
      <c r="L1626" s="26"/>
      <c r="M1626" s="26"/>
    </row>
    <row r="1627">
      <c r="A1627" s="12"/>
      <c r="B1627" s="13"/>
      <c r="C1627" s="14"/>
      <c r="D1627" s="14"/>
      <c r="E1627" s="15"/>
      <c r="F1627" s="16"/>
      <c r="G1627" s="18"/>
      <c r="H1627" s="15"/>
      <c r="I1627" s="18"/>
      <c r="J1627" s="22"/>
      <c r="K1627" s="108"/>
      <c r="L1627" s="26"/>
      <c r="M1627" s="26"/>
    </row>
    <row r="1628">
      <c r="A1628" s="12"/>
      <c r="B1628" s="13"/>
      <c r="C1628" s="14"/>
      <c r="D1628" s="14"/>
      <c r="E1628" s="15"/>
      <c r="F1628" s="16"/>
      <c r="G1628" s="18"/>
      <c r="H1628" s="15"/>
      <c r="I1628" s="18"/>
      <c r="J1628" s="22"/>
      <c r="K1628" s="108"/>
      <c r="L1628" s="26"/>
      <c r="M1628" s="26"/>
    </row>
    <row r="1629">
      <c r="A1629" s="12"/>
      <c r="B1629" s="13"/>
      <c r="C1629" s="14"/>
      <c r="D1629" s="14"/>
      <c r="E1629" s="15"/>
      <c r="F1629" s="16"/>
      <c r="G1629" s="18"/>
      <c r="H1629" s="15"/>
      <c r="I1629" s="18"/>
      <c r="J1629" s="22"/>
      <c r="K1629" s="108"/>
      <c r="L1629" s="26"/>
      <c r="M1629" s="26"/>
    </row>
    <row r="1630">
      <c r="A1630" s="12"/>
      <c r="B1630" s="13"/>
      <c r="C1630" s="14"/>
      <c r="D1630" s="14"/>
      <c r="E1630" s="15"/>
      <c r="F1630" s="16"/>
      <c r="G1630" s="18"/>
      <c r="H1630" s="15"/>
      <c r="I1630" s="18"/>
      <c r="J1630" s="22"/>
      <c r="K1630" s="108"/>
      <c r="L1630" s="26"/>
      <c r="M1630" s="26"/>
    </row>
    <row r="1631">
      <c r="A1631" s="12"/>
      <c r="B1631" s="13"/>
      <c r="C1631" s="14"/>
      <c r="D1631" s="14"/>
      <c r="E1631" s="15"/>
      <c r="F1631" s="16"/>
      <c r="G1631" s="18"/>
      <c r="H1631" s="15"/>
      <c r="I1631" s="18"/>
      <c r="J1631" s="22"/>
      <c r="K1631" s="108"/>
      <c r="L1631" s="26"/>
      <c r="M1631" s="26"/>
    </row>
    <row r="1632">
      <c r="A1632" s="12"/>
      <c r="B1632" s="13"/>
      <c r="C1632" s="14"/>
      <c r="D1632" s="14"/>
      <c r="E1632" s="15"/>
      <c r="F1632" s="16"/>
      <c r="G1632" s="18"/>
      <c r="H1632" s="15"/>
      <c r="I1632" s="18"/>
      <c r="J1632" s="22"/>
      <c r="K1632" s="108"/>
      <c r="L1632" s="26"/>
      <c r="M1632" s="26"/>
    </row>
    <row r="1633">
      <c r="A1633" s="12"/>
      <c r="B1633" s="13"/>
      <c r="C1633" s="14"/>
      <c r="D1633" s="14"/>
      <c r="E1633" s="15"/>
      <c r="F1633" s="16"/>
      <c r="G1633" s="18"/>
      <c r="H1633" s="15"/>
      <c r="I1633" s="18"/>
      <c r="J1633" s="22"/>
      <c r="K1633" s="108"/>
      <c r="L1633" s="26"/>
      <c r="M1633" s="26"/>
    </row>
    <row r="1634">
      <c r="A1634" s="12"/>
      <c r="B1634" s="13"/>
      <c r="C1634" s="14"/>
      <c r="D1634" s="14"/>
      <c r="E1634" s="15"/>
      <c r="F1634" s="16"/>
      <c r="G1634" s="18"/>
      <c r="H1634" s="15"/>
      <c r="I1634" s="18"/>
      <c r="J1634" s="22"/>
      <c r="K1634" s="108"/>
      <c r="L1634" s="26"/>
      <c r="M1634" s="26"/>
    </row>
    <row r="1635">
      <c r="A1635" s="12"/>
      <c r="B1635" s="13"/>
      <c r="C1635" s="14"/>
      <c r="D1635" s="14"/>
      <c r="E1635" s="15"/>
      <c r="F1635" s="16"/>
      <c r="G1635" s="18"/>
      <c r="H1635" s="15"/>
      <c r="I1635" s="18"/>
      <c r="J1635" s="22"/>
      <c r="K1635" s="108"/>
      <c r="L1635" s="26"/>
      <c r="M1635" s="26"/>
    </row>
    <row r="1636">
      <c r="A1636" s="12"/>
      <c r="B1636" s="13"/>
      <c r="C1636" s="14"/>
      <c r="D1636" s="14"/>
      <c r="E1636" s="15"/>
      <c r="F1636" s="16"/>
      <c r="G1636" s="18"/>
      <c r="H1636" s="15"/>
      <c r="I1636" s="18"/>
      <c r="J1636" s="22"/>
      <c r="K1636" s="108"/>
      <c r="L1636" s="26"/>
      <c r="M1636" s="26"/>
    </row>
    <row r="1637">
      <c r="A1637" s="12"/>
      <c r="B1637" s="13"/>
      <c r="C1637" s="14"/>
      <c r="D1637" s="14"/>
      <c r="E1637" s="15"/>
      <c r="F1637" s="16"/>
      <c r="G1637" s="18"/>
      <c r="H1637" s="15"/>
      <c r="I1637" s="18"/>
      <c r="J1637" s="22"/>
      <c r="K1637" s="108"/>
      <c r="L1637" s="26"/>
      <c r="M1637" s="26"/>
    </row>
    <row r="1638">
      <c r="A1638" s="12"/>
      <c r="B1638" s="13"/>
      <c r="C1638" s="14"/>
      <c r="D1638" s="14"/>
      <c r="E1638" s="15"/>
      <c r="F1638" s="16"/>
      <c r="G1638" s="18"/>
      <c r="H1638" s="15"/>
      <c r="I1638" s="18"/>
      <c r="J1638" s="22"/>
      <c r="K1638" s="108"/>
      <c r="L1638" s="26"/>
      <c r="M1638" s="26"/>
    </row>
    <row r="1639">
      <c r="A1639" s="12"/>
      <c r="B1639" s="13"/>
      <c r="C1639" s="14"/>
      <c r="D1639" s="14"/>
      <c r="E1639" s="15"/>
      <c r="F1639" s="16"/>
      <c r="G1639" s="18"/>
      <c r="H1639" s="15"/>
      <c r="I1639" s="18"/>
      <c r="J1639" s="22"/>
      <c r="K1639" s="108"/>
      <c r="L1639" s="26"/>
      <c r="M1639" s="26"/>
    </row>
    <row r="1640">
      <c r="A1640" s="12"/>
      <c r="B1640" s="13"/>
      <c r="C1640" s="14"/>
      <c r="D1640" s="14"/>
      <c r="E1640" s="15"/>
      <c r="F1640" s="16"/>
      <c r="G1640" s="18"/>
      <c r="H1640" s="15"/>
      <c r="I1640" s="18"/>
      <c r="J1640" s="22"/>
      <c r="K1640" s="108"/>
      <c r="L1640" s="26"/>
      <c r="M1640" s="26"/>
    </row>
    <row r="1641">
      <c r="A1641" s="12"/>
      <c r="B1641" s="13"/>
      <c r="C1641" s="14"/>
      <c r="D1641" s="14"/>
      <c r="E1641" s="15"/>
      <c r="F1641" s="16"/>
      <c r="G1641" s="18"/>
      <c r="H1641" s="15"/>
      <c r="I1641" s="18"/>
      <c r="J1641" s="22"/>
      <c r="K1641" s="108"/>
      <c r="L1641" s="26"/>
      <c r="M1641" s="26"/>
    </row>
    <row r="1642">
      <c r="A1642" s="12"/>
      <c r="B1642" s="13"/>
      <c r="C1642" s="14"/>
      <c r="D1642" s="14"/>
      <c r="E1642" s="15"/>
      <c r="F1642" s="16"/>
      <c r="G1642" s="18"/>
      <c r="H1642" s="15"/>
      <c r="I1642" s="18"/>
      <c r="J1642" s="22"/>
      <c r="K1642" s="108"/>
      <c r="L1642" s="26"/>
      <c r="M1642" s="26"/>
    </row>
    <row r="1643">
      <c r="A1643" s="12"/>
      <c r="B1643" s="13"/>
      <c r="C1643" s="14"/>
      <c r="D1643" s="14"/>
      <c r="E1643" s="15"/>
      <c r="F1643" s="16"/>
      <c r="G1643" s="18"/>
      <c r="H1643" s="15"/>
      <c r="I1643" s="18"/>
      <c r="J1643" s="22"/>
      <c r="K1643" s="108"/>
      <c r="L1643" s="26"/>
      <c r="M1643" s="26"/>
    </row>
    <row r="1644">
      <c r="A1644" s="12"/>
      <c r="B1644" s="13"/>
      <c r="C1644" s="14"/>
      <c r="D1644" s="14"/>
      <c r="E1644" s="15"/>
      <c r="F1644" s="16"/>
      <c r="G1644" s="18"/>
      <c r="H1644" s="15"/>
      <c r="I1644" s="18"/>
      <c r="J1644" s="22"/>
      <c r="K1644" s="108"/>
      <c r="L1644" s="26"/>
      <c r="M1644" s="26"/>
    </row>
    <row r="1645">
      <c r="A1645" s="12"/>
      <c r="B1645" s="13"/>
      <c r="C1645" s="14"/>
      <c r="D1645" s="14"/>
      <c r="E1645" s="15"/>
      <c r="F1645" s="16"/>
      <c r="G1645" s="18"/>
      <c r="H1645" s="15"/>
      <c r="I1645" s="18"/>
      <c r="J1645" s="22"/>
      <c r="K1645" s="108"/>
      <c r="L1645" s="26"/>
      <c r="M1645" s="26"/>
    </row>
    <row r="1646">
      <c r="A1646" s="12"/>
      <c r="B1646" s="13"/>
      <c r="C1646" s="14"/>
      <c r="D1646" s="14"/>
      <c r="E1646" s="15"/>
      <c r="F1646" s="16"/>
      <c r="G1646" s="18"/>
      <c r="H1646" s="15"/>
      <c r="I1646" s="18"/>
      <c r="J1646" s="22"/>
      <c r="K1646" s="108"/>
      <c r="L1646" s="26"/>
      <c r="M1646" s="26"/>
    </row>
    <row r="1647">
      <c r="A1647" s="12"/>
      <c r="B1647" s="13"/>
      <c r="C1647" s="14"/>
      <c r="D1647" s="14"/>
      <c r="E1647" s="15"/>
      <c r="F1647" s="16"/>
      <c r="G1647" s="18"/>
      <c r="H1647" s="15"/>
      <c r="I1647" s="18"/>
      <c r="J1647" s="22"/>
      <c r="K1647" s="108"/>
      <c r="L1647" s="26"/>
      <c r="M1647" s="26"/>
    </row>
    <row r="1648">
      <c r="A1648" s="12"/>
      <c r="B1648" s="13"/>
      <c r="C1648" s="14"/>
      <c r="D1648" s="14"/>
      <c r="E1648" s="15"/>
      <c r="F1648" s="16"/>
      <c r="G1648" s="18"/>
      <c r="H1648" s="15"/>
      <c r="I1648" s="18"/>
      <c r="J1648" s="22"/>
      <c r="K1648" s="108"/>
      <c r="L1648" s="26"/>
      <c r="M1648" s="26"/>
    </row>
    <row r="1649">
      <c r="A1649" s="12"/>
      <c r="B1649" s="13"/>
      <c r="C1649" s="14"/>
      <c r="D1649" s="14"/>
      <c r="E1649" s="15"/>
      <c r="F1649" s="16"/>
      <c r="G1649" s="18"/>
      <c r="H1649" s="15"/>
      <c r="I1649" s="18"/>
      <c r="J1649" s="22"/>
      <c r="K1649" s="108"/>
      <c r="L1649" s="26"/>
      <c r="M1649" s="26"/>
    </row>
    <row r="1650">
      <c r="A1650" s="12"/>
      <c r="B1650" s="13"/>
      <c r="C1650" s="14"/>
      <c r="D1650" s="14"/>
      <c r="E1650" s="15"/>
      <c r="F1650" s="16"/>
      <c r="G1650" s="18"/>
      <c r="H1650" s="15"/>
      <c r="I1650" s="18"/>
      <c r="J1650" s="22"/>
      <c r="K1650" s="108"/>
      <c r="L1650" s="26"/>
      <c r="M1650" s="26"/>
    </row>
    <row r="1651">
      <c r="A1651" s="12"/>
      <c r="B1651" s="13"/>
      <c r="C1651" s="14"/>
      <c r="D1651" s="14"/>
      <c r="E1651" s="15"/>
      <c r="F1651" s="16"/>
      <c r="G1651" s="18"/>
      <c r="H1651" s="15"/>
      <c r="I1651" s="18"/>
      <c r="J1651" s="22"/>
      <c r="K1651" s="108"/>
      <c r="L1651" s="26"/>
      <c r="M1651" s="26"/>
    </row>
    <row r="1652">
      <c r="A1652" s="12"/>
      <c r="B1652" s="13"/>
      <c r="C1652" s="14"/>
      <c r="D1652" s="14"/>
      <c r="E1652" s="15"/>
      <c r="F1652" s="16"/>
      <c r="G1652" s="18"/>
      <c r="H1652" s="15"/>
      <c r="I1652" s="18"/>
      <c r="J1652" s="22"/>
      <c r="K1652" s="108"/>
      <c r="L1652" s="26"/>
      <c r="M1652" s="26"/>
    </row>
    <row r="1653">
      <c r="A1653" s="12"/>
      <c r="B1653" s="13"/>
      <c r="C1653" s="14"/>
      <c r="D1653" s="14"/>
      <c r="E1653" s="15"/>
      <c r="F1653" s="16"/>
      <c r="G1653" s="18"/>
      <c r="H1653" s="15"/>
      <c r="I1653" s="18"/>
      <c r="J1653" s="22"/>
      <c r="K1653" s="108"/>
      <c r="L1653" s="26"/>
      <c r="M1653" s="26"/>
    </row>
    <row r="1654">
      <c r="A1654" s="12"/>
      <c r="B1654" s="13"/>
      <c r="C1654" s="14"/>
      <c r="D1654" s="14"/>
      <c r="E1654" s="15"/>
      <c r="F1654" s="16"/>
      <c r="G1654" s="18"/>
      <c r="H1654" s="15"/>
      <c r="I1654" s="18"/>
      <c r="J1654" s="22"/>
      <c r="K1654" s="108"/>
      <c r="L1654" s="26"/>
      <c r="M1654" s="26"/>
    </row>
    <row r="1655">
      <c r="A1655" s="12"/>
      <c r="B1655" s="13"/>
      <c r="C1655" s="14"/>
      <c r="D1655" s="14"/>
      <c r="E1655" s="15"/>
      <c r="F1655" s="16"/>
      <c r="G1655" s="18"/>
      <c r="H1655" s="15"/>
      <c r="I1655" s="18"/>
      <c r="J1655" s="22"/>
      <c r="K1655" s="108"/>
      <c r="L1655" s="26"/>
      <c r="M1655" s="26"/>
    </row>
    <row r="1656">
      <c r="A1656" s="12"/>
      <c r="B1656" s="13"/>
      <c r="C1656" s="14"/>
      <c r="D1656" s="14"/>
      <c r="E1656" s="15"/>
      <c r="F1656" s="16"/>
      <c r="G1656" s="18"/>
      <c r="H1656" s="15"/>
      <c r="I1656" s="18"/>
      <c r="J1656" s="22"/>
      <c r="K1656" s="108"/>
      <c r="L1656" s="26"/>
      <c r="M1656" s="26"/>
    </row>
    <row r="1657">
      <c r="A1657" s="12"/>
      <c r="B1657" s="13"/>
      <c r="C1657" s="14"/>
      <c r="D1657" s="14"/>
      <c r="E1657" s="15"/>
      <c r="F1657" s="16"/>
      <c r="G1657" s="18"/>
      <c r="H1657" s="15"/>
      <c r="I1657" s="18"/>
      <c r="J1657" s="22"/>
      <c r="K1657" s="108"/>
      <c r="L1657" s="26"/>
      <c r="M1657" s="26"/>
    </row>
    <row r="1658">
      <c r="A1658" s="12"/>
      <c r="B1658" s="13"/>
      <c r="C1658" s="14"/>
      <c r="D1658" s="14"/>
      <c r="E1658" s="15"/>
      <c r="F1658" s="16"/>
      <c r="G1658" s="18"/>
      <c r="H1658" s="15"/>
      <c r="I1658" s="18"/>
      <c r="J1658" s="22"/>
      <c r="K1658" s="108"/>
      <c r="L1658" s="26"/>
      <c r="M1658" s="26"/>
    </row>
    <row r="1659">
      <c r="A1659" s="12"/>
      <c r="B1659" s="13"/>
      <c r="C1659" s="14"/>
      <c r="D1659" s="14"/>
      <c r="E1659" s="15"/>
      <c r="F1659" s="16"/>
      <c r="G1659" s="18"/>
      <c r="H1659" s="15"/>
      <c r="I1659" s="18"/>
      <c r="J1659" s="22"/>
      <c r="K1659" s="108"/>
      <c r="L1659" s="26"/>
      <c r="M1659" s="26"/>
    </row>
    <row r="1660">
      <c r="A1660" s="12"/>
      <c r="B1660" s="13"/>
      <c r="C1660" s="14"/>
      <c r="D1660" s="14"/>
      <c r="E1660" s="15"/>
      <c r="F1660" s="16"/>
      <c r="G1660" s="18"/>
      <c r="H1660" s="15"/>
      <c r="I1660" s="18"/>
      <c r="J1660" s="22"/>
      <c r="K1660" s="108"/>
      <c r="L1660" s="26"/>
      <c r="M1660" s="26"/>
    </row>
    <row r="1661">
      <c r="A1661" s="12"/>
      <c r="B1661" s="13"/>
      <c r="C1661" s="14"/>
      <c r="D1661" s="14"/>
      <c r="E1661" s="15"/>
      <c r="F1661" s="16"/>
      <c r="G1661" s="18"/>
      <c r="H1661" s="15"/>
      <c r="I1661" s="18"/>
      <c r="J1661" s="22"/>
      <c r="K1661" s="108"/>
      <c r="L1661" s="26"/>
      <c r="M1661" s="26"/>
    </row>
    <row r="1662">
      <c r="A1662" s="12"/>
      <c r="B1662" s="13"/>
      <c r="C1662" s="14"/>
      <c r="D1662" s="14"/>
      <c r="E1662" s="15"/>
      <c r="F1662" s="16"/>
      <c r="G1662" s="18"/>
      <c r="H1662" s="15"/>
      <c r="I1662" s="18"/>
      <c r="J1662" s="22"/>
      <c r="K1662" s="108"/>
      <c r="L1662" s="26"/>
      <c r="M1662" s="26"/>
    </row>
    <row r="1663">
      <c r="A1663" s="12"/>
      <c r="B1663" s="13"/>
      <c r="C1663" s="14"/>
      <c r="D1663" s="14"/>
      <c r="E1663" s="15"/>
      <c r="F1663" s="16"/>
      <c r="G1663" s="18"/>
      <c r="H1663" s="15"/>
      <c r="I1663" s="18"/>
      <c r="J1663" s="22"/>
      <c r="K1663" s="108"/>
      <c r="L1663" s="26"/>
      <c r="M1663" s="26"/>
    </row>
    <row r="1664">
      <c r="A1664" s="12"/>
      <c r="B1664" s="13"/>
      <c r="C1664" s="14"/>
      <c r="D1664" s="14"/>
      <c r="E1664" s="15"/>
      <c r="F1664" s="16"/>
      <c r="G1664" s="18"/>
      <c r="H1664" s="15"/>
      <c r="I1664" s="18"/>
      <c r="J1664" s="22"/>
      <c r="K1664" s="108"/>
      <c r="L1664" s="26"/>
      <c r="M1664" s="26"/>
    </row>
    <row r="1665">
      <c r="A1665" s="12"/>
      <c r="B1665" s="13"/>
      <c r="C1665" s="14"/>
      <c r="D1665" s="14"/>
      <c r="E1665" s="15"/>
      <c r="F1665" s="16"/>
      <c r="G1665" s="18"/>
      <c r="H1665" s="15"/>
      <c r="I1665" s="18"/>
      <c r="J1665" s="22"/>
      <c r="K1665" s="108"/>
      <c r="L1665" s="26"/>
      <c r="M1665" s="26"/>
    </row>
    <row r="1666">
      <c r="A1666" s="12"/>
      <c r="B1666" s="13"/>
      <c r="C1666" s="14"/>
      <c r="D1666" s="14"/>
      <c r="E1666" s="15"/>
      <c r="F1666" s="16"/>
      <c r="G1666" s="18"/>
      <c r="H1666" s="15"/>
      <c r="I1666" s="18"/>
      <c r="J1666" s="22"/>
      <c r="K1666" s="108"/>
      <c r="L1666" s="26"/>
      <c r="M1666" s="26"/>
    </row>
    <row r="1667">
      <c r="A1667" s="12"/>
      <c r="B1667" s="13"/>
      <c r="C1667" s="14"/>
      <c r="D1667" s="14"/>
      <c r="E1667" s="15"/>
      <c r="F1667" s="16"/>
      <c r="G1667" s="18"/>
      <c r="H1667" s="15"/>
      <c r="I1667" s="18"/>
      <c r="J1667" s="22"/>
      <c r="K1667" s="108"/>
      <c r="L1667" s="26"/>
      <c r="M1667" s="26"/>
    </row>
    <row r="1668">
      <c r="A1668" s="12"/>
      <c r="B1668" s="13"/>
      <c r="C1668" s="14"/>
      <c r="D1668" s="14"/>
      <c r="E1668" s="15"/>
      <c r="F1668" s="16"/>
      <c r="G1668" s="18"/>
      <c r="H1668" s="15"/>
      <c r="I1668" s="18"/>
      <c r="J1668" s="22"/>
      <c r="K1668" s="108"/>
      <c r="L1668" s="26"/>
      <c r="M1668" s="26"/>
    </row>
    <row r="1669">
      <c r="A1669" s="12"/>
      <c r="B1669" s="13"/>
      <c r="C1669" s="14"/>
      <c r="D1669" s="14"/>
      <c r="E1669" s="15"/>
      <c r="F1669" s="16"/>
      <c r="G1669" s="18"/>
      <c r="H1669" s="15"/>
      <c r="I1669" s="18"/>
      <c r="J1669" s="22"/>
      <c r="K1669" s="108"/>
      <c r="L1669" s="26"/>
      <c r="M1669" s="26"/>
    </row>
    <row r="1670">
      <c r="A1670" s="12"/>
      <c r="B1670" s="13"/>
      <c r="C1670" s="14"/>
      <c r="D1670" s="14"/>
      <c r="E1670" s="15"/>
      <c r="F1670" s="16"/>
      <c r="G1670" s="18"/>
      <c r="H1670" s="15"/>
      <c r="I1670" s="18"/>
      <c r="J1670" s="22"/>
      <c r="K1670" s="108"/>
      <c r="L1670" s="26"/>
      <c r="M1670" s="26"/>
    </row>
    <row r="1671">
      <c r="A1671" s="12"/>
      <c r="B1671" s="13"/>
      <c r="C1671" s="14"/>
      <c r="D1671" s="14"/>
      <c r="E1671" s="15"/>
      <c r="F1671" s="16"/>
      <c r="G1671" s="18"/>
      <c r="H1671" s="15"/>
      <c r="I1671" s="18"/>
      <c r="J1671" s="22"/>
      <c r="K1671" s="108"/>
      <c r="L1671" s="26"/>
      <c r="M1671" s="26"/>
    </row>
    <row r="1672">
      <c r="A1672" s="12"/>
      <c r="B1672" s="13"/>
      <c r="C1672" s="14"/>
      <c r="D1672" s="14"/>
      <c r="E1672" s="15"/>
      <c r="F1672" s="16"/>
      <c r="G1672" s="18"/>
      <c r="H1672" s="15"/>
      <c r="I1672" s="18"/>
      <c r="J1672" s="22"/>
      <c r="K1672" s="108"/>
      <c r="L1672" s="26"/>
      <c r="M1672" s="26"/>
    </row>
    <row r="1673">
      <c r="A1673" s="12"/>
      <c r="B1673" s="13"/>
      <c r="C1673" s="14"/>
      <c r="D1673" s="14"/>
      <c r="E1673" s="15"/>
      <c r="F1673" s="16"/>
      <c r="G1673" s="18"/>
      <c r="H1673" s="15"/>
      <c r="I1673" s="18"/>
      <c r="J1673" s="22"/>
      <c r="K1673" s="108"/>
      <c r="L1673" s="26"/>
      <c r="M1673" s="26"/>
    </row>
    <row r="1674">
      <c r="A1674" s="12"/>
      <c r="B1674" s="13"/>
      <c r="C1674" s="14"/>
      <c r="D1674" s="14"/>
      <c r="E1674" s="15"/>
      <c r="F1674" s="16"/>
      <c r="G1674" s="18"/>
      <c r="H1674" s="15"/>
      <c r="I1674" s="18"/>
      <c r="J1674" s="22"/>
      <c r="K1674" s="108"/>
      <c r="L1674" s="26"/>
      <c r="M1674" s="26"/>
    </row>
    <row r="1675">
      <c r="A1675" s="12"/>
      <c r="B1675" s="13"/>
      <c r="C1675" s="14"/>
      <c r="D1675" s="14"/>
      <c r="E1675" s="15"/>
      <c r="F1675" s="16"/>
      <c r="G1675" s="18"/>
      <c r="H1675" s="15"/>
      <c r="I1675" s="18"/>
      <c r="J1675" s="22"/>
      <c r="K1675" s="108"/>
      <c r="L1675" s="26"/>
      <c r="M1675" s="26"/>
    </row>
    <row r="1676">
      <c r="A1676" s="12"/>
      <c r="B1676" s="13"/>
      <c r="C1676" s="14"/>
      <c r="D1676" s="14"/>
      <c r="E1676" s="15"/>
      <c r="F1676" s="16"/>
      <c r="G1676" s="18"/>
      <c r="H1676" s="15"/>
      <c r="I1676" s="18"/>
      <c r="J1676" s="22"/>
      <c r="K1676" s="108"/>
      <c r="L1676" s="26"/>
      <c r="M1676" s="26"/>
    </row>
    <row r="1677">
      <c r="A1677" s="12"/>
      <c r="B1677" s="13"/>
      <c r="C1677" s="14"/>
      <c r="D1677" s="14"/>
      <c r="E1677" s="15"/>
      <c r="F1677" s="16"/>
      <c r="G1677" s="18"/>
      <c r="H1677" s="15"/>
      <c r="I1677" s="18"/>
      <c r="J1677" s="22"/>
      <c r="K1677" s="108"/>
      <c r="L1677" s="26"/>
      <c r="M1677" s="26"/>
    </row>
    <row r="1678">
      <c r="A1678" s="12"/>
      <c r="B1678" s="13"/>
      <c r="C1678" s="14"/>
      <c r="D1678" s="14"/>
      <c r="E1678" s="15"/>
      <c r="F1678" s="16"/>
      <c r="G1678" s="18"/>
      <c r="H1678" s="15"/>
      <c r="I1678" s="18"/>
      <c r="J1678" s="22"/>
      <c r="K1678" s="108"/>
      <c r="L1678" s="26"/>
      <c r="M1678" s="26"/>
    </row>
    <row r="1679">
      <c r="A1679" s="12"/>
      <c r="B1679" s="13"/>
      <c r="C1679" s="14"/>
      <c r="D1679" s="14"/>
      <c r="E1679" s="15"/>
      <c r="F1679" s="16"/>
      <c r="G1679" s="18"/>
      <c r="H1679" s="15"/>
      <c r="I1679" s="18"/>
      <c r="J1679" s="22"/>
      <c r="K1679" s="108"/>
      <c r="L1679" s="26"/>
      <c r="M1679" s="26"/>
    </row>
    <row r="1680">
      <c r="A1680" s="12"/>
      <c r="B1680" s="13"/>
      <c r="C1680" s="14"/>
      <c r="D1680" s="14"/>
      <c r="E1680" s="15"/>
      <c r="F1680" s="16"/>
      <c r="G1680" s="18"/>
      <c r="H1680" s="15"/>
      <c r="I1680" s="18"/>
      <c r="J1680" s="22"/>
      <c r="K1680" s="108"/>
      <c r="L1680" s="26"/>
      <c r="M1680" s="26"/>
    </row>
    <row r="1681">
      <c r="A1681" s="12"/>
      <c r="B1681" s="13"/>
      <c r="C1681" s="14"/>
      <c r="D1681" s="14"/>
      <c r="E1681" s="15"/>
      <c r="F1681" s="16"/>
      <c r="G1681" s="18"/>
      <c r="H1681" s="15"/>
      <c r="I1681" s="18"/>
      <c r="J1681" s="22"/>
      <c r="K1681" s="108"/>
      <c r="L1681" s="26"/>
      <c r="M1681" s="26"/>
    </row>
    <row r="1682">
      <c r="A1682" s="12"/>
      <c r="B1682" s="13"/>
      <c r="C1682" s="14"/>
      <c r="D1682" s="14"/>
      <c r="E1682" s="15"/>
      <c r="F1682" s="16"/>
      <c r="G1682" s="18"/>
      <c r="H1682" s="15"/>
      <c r="I1682" s="18"/>
      <c r="J1682" s="22"/>
      <c r="K1682" s="108"/>
      <c r="L1682" s="26"/>
      <c r="M1682" s="26"/>
    </row>
    <row r="1683">
      <c r="A1683" s="12"/>
      <c r="B1683" s="13"/>
      <c r="C1683" s="14"/>
      <c r="D1683" s="14"/>
      <c r="E1683" s="15"/>
      <c r="F1683" s="16"/>
      <c r="G1683" s="18"/>
      <c r="H1683" s="15"/>
      <c r="I1683" s="18"/>
      <c r="J1683" s="22"/>
      <c r="K1683" s="108"/>
      <c r="L1683" s="26"/>
      <c r="M1683" s="26"/>
    </row>
    <row r="1684">
      <c r="A1684" s="12"/>
      <c r="B1684" s="13"/>
      <c r="C1684" s="14"/>
      <c r="D1684" s="14"/>
      <c r="E1684" s="15"/>
      <c r="F1684" s="16"/>
      <c r="G1684" s="18"/>
      <c r="H1684" s="15"/>
      <c r="I1684" s="18"/>
      <c r="J1684" s="22"/>
      <c r="K1684" s="108"/>
      <c r="L1684" s="26"/>
      <c r="M1684" s="26"/>
    </row>
    <row r="1685">
      <c r="A1685" s="12"/>
      <c r="B1685" s="13"/>
      <c r="C1685" s="14"/>
      <c r="D1685" s="14"/>
      <c r="E1685" s="15"/>
      <c r="F1685" s="16"/>
      <c r="G1685" s="18"/>
      <c r="H1685" s="15"/>
      <c r="I1685" s="18"/>
      <c r="J1685" s="22"/>
      <c r="K1685" s="108"/>
      <c r="L1685" s="26"/>
      <c r="M1685" s="26"/>
    </row>
    <row r="1686">
      <c r="A1686" s="12"/>
      <c r="B1686" s="13"/>
      <c r="C1686" s="14"/>
      <c r="D1686" s="14"/>
      <c r="E1686" s="15"/>
      <c r="F1686" s="16"/>
      <c r="G1686" s="18"/>
      <c r="H1686" s="15"/>
      <c r="I1686" s="18"/>
      <c r="J1686" s="22"/>
      <c r="K1686" s="108"/>
      <c r="L1686" s="26"/>
      <c r="M1686" s="26"/>
    </row>
    <row r="1687">
      <c r="A1687" s="12"/>
      <c r="B1687" s="13"/>
      <c r="C1687" s="14"/>
      <c r="D1687" s="14"/>
      <c r="E1687" s="15"/>
      <c r="F1687" s="16"/>
      <c r="G1687" s="18"/>
      <c r="H1687" s="15"/>
      <c r="I1687" s="18"/>
      <c r="J1687" s="22"/>
      <c r="K1687" s="108"/>
      <c r="L1687" s="26"/>
      <c r="M1687" s="26"/>
    </row>
    <row r="1688">
      <c r="A1688" s="12"/>
      <c r="B1688" s="13"/>
      <c r="C1688" s="14"/>
      <c r="D1688" s="14"/>
      <c r="E1688" s="15"/>
      <c r="F1688" s="16"/>
      <c r="G1688" s="18"/>
      <c r="H1688" s="15"/>
      <c r="I1688" s="18"/>
      <c r="J1688" s="22"/>
      <c r="K1688" s="108"/>
      <c r="L1688" s="26"/>
      <c r="M1688" s="26"/>
    </row>
    <row r="1689">
      <c r="A1689" s="12"/>
      <c r="B1689" s="13"/>
      <c r="C1689" s="14"/>
      <c r="D1689" s="14"/>
      <c r="E1689" s="15"/>
      <c r="F1689" s="16"/>
      <c r="G1689" s="18"/>
      <c r="H1689" s="15"/>
      <c r="I1689" s="18"/>
      <c r="J1689" s="22"/>
      <c r="K1689" s="108"/>
      <c r="L1689" s="26"/>
      <c r="M1689" s="26"/>
    </row>
    <row r="1690">
      <c r="A1690" s="12"/>
      <c r="B1690" s="13"/>
      <c r="C1690" s="14"/>
      <c r="D1690" s="14"/>
      <c r="E1690" s="15"/>
      <c r="F1690" s="16"/>
      <c r="G1690" s="18"/>
      <c r="H1690" s="15"/>
      <c r="I1690" s="18"/>
      <c r="J1690" s="22"/>
      <c r="K1690" s="108"/>
      <c r="L1690" s="26"/>
      <c r="M1690" s="26"/>
    </row>
    <row r="1691">
      <c r="A1691" s="12"/>
      <c r="B1691" s="13"/>
      <c r="C1691" s="14"/>
      <c r="D1691" s="14"/>
      <c r="E1691" s="15"/>
      <c r="F1691" s="16"/>
      <c r="G1691" s="18"/>
      <c r="H1691" s="15"/>
      <c r="I1691" s="18"/>
      <c r="J1691" s="22"/>
      <c r="K1691" s="108"/>
      <c r="L1691" s="26"/>
      <c r="M1691" s="26"/>
    </row>
    <row r="1692">
      <c r="A1692" s="12"/>
      <c r="B1692" s="13"/>
      <c r="C1692" s="14"/>
      <c r="D1692" s="14"/>
      <c r="E1692" s="15"/>
      <c r="F1692" s="16"/>
      <c r="G1692" s="18"/>
      <c r="H1692" s="15"/>
      <c r="I1692" s="18"/>
      <c r="J1692" s="22"/>
      <c r="K1692" s="108"/>
      <c r="L1692" s="26"/>
      <c r="M1692" s="26"/>
    </row>
    <row r="1693">
      <c r="A1693" s="12"/>
      <c r="B1693" s="13"/>
      <c r="C1693" s="14"/>
      <c r="D1693" s="14"/>
      <c r="E1693" s="15"/>
      <c r="F1693" s="16"/>
      <c r="G1693" s="18"/>
      <c r="H1693" s="15"/>
      <c r="I1693" s="18"/>
      <c r="J1693" s="22"/>
      <c r="K1693" s="108"/>
      <c r="L1693" s="26"/>
      <c r="M1693" s="26"/>
    </row>
    <row r="1694">
      <c r="A1694" s="12"/>
      <c r="B1694" s="13"/>
      <c r="C1694" s="14"/>
      <c r="D1694" s="14"/>
      <c r="E1694" s="15"/>
      <c r="F1694" s="16"/>
      <c r="G1694" s="18"/>
      <c r="H1694" s="15"/>
      <c r="I1694" s="18"/>
      <c r="J1694" s="22"/>
      <c r="K1694" s="108"/>
      <c r="L1694" s="26"/>
      <c r="M1694" s="26"/>
    </row>
    <row r="1695">
      <c r="A1695" s="12"/>
      <c r="B1695" s="13"/>
      <c r="C1695" s="14"/>
      <c r="D1695" s="14"/>
      <c r="E1695" s="15"/>
      <c r="F1695" s="16"/>
      <c r="G1695" s="18"/>
      <c r="H1695" s="15"/>
      <c r="I1695" s="18"/>
      <c r="J1695" s="22"/>
      <c r="K1695" s="108"/>
      <c r="L1695" s="26"/>
      <c r="M1695" s="26"/>
    </row>
    <row r="1696">
      <c r="A1696" s="12"/>
      <c r="B1696" s="13"/>
      <c r="C1696" s="14"/>
      <c r="D1696" s="14"/>
      <c r="E1696" s="15"/>
      <c r="F1696" s="16"/>
      <c r="G1696" s="18"/>
      <c r="H1696" s="15"/>
      <c r="I1696" s="18"/>
      <c r="J1696" s="22"/>
      <c r="K1696" s="108"/>
      <c r="L1696" s="26"/>
      <c r="M1696" s="26"/>
    </row>
    <row r="1697">
      <c r="A1697" s="12"/>
      <c r="B1697" s="13"/>
      <c r="C1697" s="14"/>
      <c r="D1697" s="14"/>
      <c r="E1697" s="15"/>
      <c r="F1697" s="16"/>
      <c r="G1697" s="18"/>
      <c r="H1697" s="15"/>
      <c r="I1697" s="18"/>
      <c r="J1697" s="22"/>
      <c r="K1697" s="108"/>
      <c r="L1697" s="26"/>
      <c r="M1697" s="26"/>
    </row>
    <row r="1698">
      <c r="A1698" s="12"/>
      <c r="B1698" s="13"/>
      <c r="C1698" s="14"/>
      <c r="D1698" s="14"/>
      <c r="E1698" s="15"/>
      <c r="F1698" s="16"/>
      <c r="G1698" s="18"/>
      <c r="H1698" s="15"/>
      <c r="I1698" s="18"/>
      <c r="J1698" s="22"/>
      <c r="K1698" s="108"/>
      <c r="L1698" s="26"/>
      <c r="M1698" s="26"/>
    </row>
    <row r="1699">
      <c r="A1699" s="12"/>
      <c r="B1699" s="13"/>
      <c r="C1699" s="14"/>
      <c r="D1699" s="14"/>
      <c r="E1699" s="15"/>
      <c r="F1699" s="16"/>
      <c r="G1699" s="18"/>
      <c r="H1699" s="15"/>
      <c r="I1699" s="18"/>
      <c r="J1699" s="22"/>
      <c r="K1699" s="108"/>
      <c r="L1699" s="26"/>
      <c r="M1699" s="26"/>
    </row>
    <row r="1700">
      <c r="A1700" s="12"/>
      <c r="B1700" s="13"/>
      <c r="C1700" s="14"/>
      <c r="D1700" s="14"/>
      <c r="E1700" s="15"/>
      <c r="F1700" s="16"/>
      <c r="G1700" s="18"/>
      <c r="H1700" s="15"/>
      <c r="I1700" s="18"/>
      <c r="J1700" s="22"/>
      <c r="K1700" s="108"/>
      <c r="L1700" s="26"/>
      <c r="M1700" s="26"/>
    </row>
    <row r="1701">
      <c r="A1701" s="12"/>
      <c r="B1701" s="13"/>
      <c r="C1701" s="14"/>
      <c r="D1701" s="14"/>
      <c r="E1701" s="15"/>
      <c r="F1701" s="16"/>
      <c r="G1701" s="18"/>
      <c r="H1701" s="15"/>
      <c r="I1701" s="18"/>
      <c r="J1701" s="22"/>
      <c r="K1701" s="108"/>
      <c r="L1701" s="26"/>
      <c r="M1701" s="26"/>
    </row>
    <row r="1702">
      <c r="A1702" s="12"/>
      <c r="B1702" s="13"/>
      <c r="C1702" s="14"/>
      <c r="D1702" s="14"/>
      <c r="E1702" s="15"/>
      <c r="F1702" s="16"/>
      <c r="G1702" s="18"/>
      <c r="H1702" s="15"/>
      <c r="I1702" s="18"/>
      <c r="J1702" s="22"/>
      <c r="K1702" s="108"/>
      <c r="L1702" s="26"/>
      <c r="M1702" s="26"/>
    </row>
    <row r="1703">
      <c r="A1703" s="12"/>
      <c r="B1703" s="13"/>
      <c r="C1703" s="14"/>
      <c r="D1703" s="14"/>
      <c r="E1703" s="15"/>
      <c r="F1703" s="16"/>
      <c r="G1703" s="18"/>
      <c r="H1703" s="15"/>
      <c r="I1703" s="18"/>
      <c r="J1703" s="22"/>
      <c r="K1703" s="108"/>
      <c r="L1703" s="26"/>
      <c r="M1703" s="26"/>
    </row>
    <row r="1704">
      <c r="A1704" s="12"/>
      <c r="B1704" s="13"/>
      <c r="C1704" s="14"/>
      <c r="D1704" s="14"/>
      <c r="E1704" s="15"/>
      <c r="F1704" s="16"/>
      <c r="G1704" s="18"/>
      <c r="H1704" s="15"/>
      <c r="I1704" s="18"/>
      <c r="J1704" s="22"/>
      <c r="K1704" s="108"/>
      <c r="L1704" s="26"/>
      <c r="M1704" s="26"/>
    </row>
    <row r="1705">
      <c r="A1705" s="12"/>
      <c r="B1705" s="13"/>
      <c r="C1705" s="14"/>
      <c r="D1705" s="14"/>
      <c r="E1705" s="15"/>
      <c r="F1705" s="16"/>
      <c r="G1705" s="18"/>
      <c r="H1705" s="15"/>
      <c r="I1705" s="18"/>
      <c r="J1705" s="22"/>
      <c r="K1705" s="108"/>
      <c r="L1705" s="26"/>
      <c r="M1705" s="26"/>
    </row>
    <row r="1706">
      <c r="A1706" s="12"/>
      <c r="B1706" s="13"/>
      <c r="C1706" s="14"/>
      <c r="D1706" s="14"/>
      <c r="E1706" s="15"/>
      <c r="F1706" s="16"/>
      <c r="G1706" s="18"/>
      <c r="H1706" s="15"/>
      <c r="I1706" s="18"/>
      <c r="J1706" s="22"/>
      <c r="K1706" s="108"/>
      <c r="L1706" s="26"/>
      <c r="M1706" s="26"/>
    </row>
    <row r="1707">
      <c r="A1707" s="12"/>
      <c r="B1707" s="13"/>
      <c r="C1707" s="14"/>
      <c r="D1707" s="14"/>
      <c r="E1707" s="15"/>
      <c r="F1707" s="16"/>
      <c r="G1707" s="18"/>
      <c r="H1707" s="15"/>
      <c r="I1707" s="18"/>
      <c r="J1707" s="22"/>
      <c r="K1707" s="108"/>
      <c r="L1707" s="26"/>
      <c r="M1707" s="26"/>
    </row>
    <row r="1708">
      <c r="A1708" s="12"/>
      <c r="B1708" s="13"/>
      <c r="C1708" s="14"/>
      <c r="D1708" s="14"/>
      <c r="E1708" s="15"/>
      <c r="F1708" s="16"/>
      <c r="G1708" s="18"/>
      <c r="H1708" s="15"/>
      <c r="I1708" s="18"/>
      <c r="J1708" s="22"/>
      <c r="K1708" s="108"/>
      <c r="L1708" s="26"/>
      <c r="M1708" s="26"/>
    </row>
    <row r="1709">
      <c r="A1709" s="12"/>
      <c r="B1709" s="13"/>
      <c r="C1709" s="14"/>
      <c r="D1709" s="14"/>
      <c r="E1709" s="15"/>
      <c r="F1709" s="16"/>
      <c r="G1709" s="18"/>
      <c r="H1709" s="15"/>
      <c r="I1709" s="18"/>
      <c r="J1709" s="22"/>
      <c r="K1709" s="108"/>
      <c r="L1709" s="26"/>
      <c r="M1709" s="26"/>
    </row>
    <row r="1710">
      <c r="A1710" s="12"/>
      <c r="B1710" s="13"/>
      <c r="C1710" s="14"/>
      <c r="D1710" s="14"/>
      <c r="E1710" s="15"/>
      <c r="F1710" s="16"/>
      <c r="G1710" s="18"/>
      <c r="H1710" s="15"/>
      <c r="I1710" s="18"/>
      <c r="J1710" s="22"/>
      <c r="K1710" s="108"/>
      <c r="L1710" s="26"/>
      <c r="M1710" s="26"/>
    </row>
    <row r="1711">
      <c r="A1711" s="12"/>
      <c r="B1711" s="13"/>
      <c r="C1711" s="14"/>
      <c r="D1711" s="14"/>
      <c r="E1711" s="15"/>
      <c r="F1711" s="16"/>
      <c r="G1711" s="18"/>
      <c r="H1711" s="15"/>
      <c r="I1711" s="18"/>
      <c r="J1711" s="22"/>
      <c r="K1711" s="108"/>
      <c r="L1711" s="26"/>
      <c r="M1711" s="26"/>
    </row>
    <row r="1712">
      <c r="A1712" s="12"/>
      <c r="B1712" s="13"/>
      <c r="C1712" s="14"/>
      <c r="D1712" s="14"/>
      <c r="E1712" s="15"/>
      <c r="F1712" s="16"/>
      <c r="G1712" s="18"/>
      <c r="H1712" s="15"/>
      <c r="I1712" s="18"/>
      <c r="J1712" s="22"/>
      <c r="K1712" s="108"/>
      <c r="L1712" s="26"/>
      <c r="M1712" s="26"/>
    </row>
    <row r="1713">
      <c r="A1713" s="12"/>
      <c r="B1713" s="13"/>
      <c r="C1713" s="14"/>
      <c r="D1713" s="14"/>
      <c r="E1713" s="15"/>
      <c r="F1713" s="16"/>
      <c r="G1713" s="18"/>
      <c r="H1713" s="15"/>
      <c r="I1713" s="18"/>
      <c r="J1713" s="22"/>
      <c r="K1713" s="108"/>
      <c r="L1713" s="26"/>
      <c r="M1713" s="26"/>
    </row>
    <row r="1714">
      <c r="A1714" s="12"/>
      <c r="B1714" s="13"/>
      <c r="C1714" s="14"/>
      <c r="D1714" s="14"/>
      <c r="E1714" s="15"/>
      <c r="F1714" s="16"/>
      <c r="G1714" s="18"/>
      <c r="H1714" s="15"/>
      <c r="I1714" s="18"/>
      <c r="J1714" s="22"/>
      <c r="K1714" s="108"/>
      <c r="L1714" s="26"/>
      <c r="M1714" s="26"/>
    </row>
    <row r="1715">
      <c r="A1715" s="12"/>
      <c r="B1715" s="13"/>
      <c r="C1715" s="14"/>
      <c r="D1715" s="14"/>
      <c r="E1715" s="15"/>
      <c r="F1715" s="16"/>
      <c r="G1715" s="18"/>
      <c r="H1715" s="15"/>
      <c r="I1715" s="18"/>
      <c r="J1715" s="22"/>
      <c r="K1715" s="108"/>
      <c r="L1715" s="26"/>
      <c r="M1715" s="26"/>
    </row>
    <row r="1716">
      <c r="A1716" s="12"/>
      <c r="B1716" s="13"/>
      <c r="C1716" s="14"/>
      <c r="D1716" s="14"/>
      <c r="E1716" s="15"/>
      <c r="F1716" s="16"/>
      <c r="G1716" s="18"/>
      <c r="H1716" s="15"/>
      <c r="I1716" s="18"/>
      <c r="J1716" s="22"/>
      <c r="K1716" s="108"/>
      <c r="L1716" s="26"/>
      <c r="M1716" s="26"/>
    </row>
    <row r="1717">
      <c r="A1717" s="12"/>
      <c r="B1717" s="13"/>
      <c r="C1717" s="14"/>
      <c r="D1717" s="14"/>
      <c r="E1717" s="15"/>
      <c r="F1717" s="16"/>
      <c r="G1717" s="18"/>
      <c r="H1717" s="15"/>
      <c r="I1717" s="18"/>
      <c r="J1717" s="22"/>
      <c r="K1717" s="108"/>
      <c r="L1717" s="26"/>
      <c r="M1717" s="26"/>
    </row>
    <row r="1718">
      <c r="A1718" s="12"/>
      <c r="B1718" s="13"/>
      <c r="C1718" s="14"/>
      <c r="D1718" s="14"/>
      <c r="E1718" s="15"/>
      <c r="F1718" s="16"/>
      <c r="G1718" s="18"/>
      <c r="H1718" s="15"/>
      <c r="I1718" s="18"/>
      <c r="J1718" s="22"/>
      <c r="K1718" s="108"/>
      <c r="L1718" s="26"/>
      <c r="M1718" s="26"/>
    </row>
    <row r="1719">
      <c r="A1719" s="12"/>
      <c r="B1719" s="13"/>
      <c r="C1719" s="14"/>
      <c r="D1719" s="14"/>
      <c r="E1719" s="15"/>
      <c r="F1719" s="16"/>
      <c r="G1719" s="18"/>
      <c r="H1719" s="15"/>
      <c r="I1719" s="18"/>
      <c r="J1719" s="22"/>
      <c r="K1719" s="108"/>
      <c r="L1719" s="26"/>
      <c r="M1719" s="26"/>
    </row>
    <row r="1720">
      <c r="A1720" s="12"/>
      <c r="B1720" s="13"/>
      <c r="C1720" s="14"/>
      <c r="D1720" s="14"/>
      <c r="E1720" s="15"/>
      <c r="F1720" s="16"/>
      <c r="G1720" s="18"/>
      <c r="H1720" s="15"/>
      <c r="I1720" s="18"/>
      <c r="J1720" s="22"/>
      <c r="K1720" s="108"/>
      <c r="L1720" s="26"/>
      <c r="M1720" s="26"/>
    </row>
    <row r="1721">
      <c r="A1721" s="12"/>
      <c r="B1721" s="13"/>
      <c r="C1721" s="14"/>
      <c r="D1721" s="14"/>
      <c r="E1721" s="15"/>
      <c r="F1721" s="16"/>
      <c r="G1721" s="18"/>
      <c r="H1721" s="15"/>
      <c r="I1721" s="18"/>
      <c r="J1721" s="22"/>
      <c r="K1721" s="108"/>
      <c r="L1721" s="26"/>
      <c r="M1721" s="26"/>
    </row>
    <row r="1722">
      <c r="A1722" s="12"/>
      <c r="B1722" s="13"/>
      <c r="C1722" s="14"/>
      <c r="D1722" s="14"/>
      <c r="E1722" s="15"/>
      <c r="F1722" s="16"/>
      <c r="G1722" s="18"/>
      <c r="H1722" s="15"/>
      <c r="I1722" s="18"/>
      <c r="J1722" s="22"/>
      <c r="K1722" s="108"/>
      <c r="L1722" s="26"/>
      <c r="M1722" s="26"/>
    </row>
    <row r="1723">
      <c r="A1723" s="12"/>
      <c r="B1723" s="13"/>
      <c r="C1723" s="14"/>
      <c r="D1723" s="14"/>
      <c r="E1723" s="15"/>
      <c r="F1723" s="16"/>
      <c r="G1723" s="18"/>
      <c r="H1723" s="15"/>
      <c r="I1723" s="18"/>
      <c r="J1723" s="22"/>
      <c r="K1723" s="108"/>
      <c r="L1723" s="26"/>
      <c r="M1723" s="26"/>
    </row>
    <row r="1724">
      <c r="A1724" s="12"/>
      <c r="B1724" s="13"/>
      <c r="C1724" s="14"/>
      <c r="D1724" s="14"/>
      <c r="E1724" s="15"/>
      <c r="F1724" s="16"/>
      <c r="G1724" s="18"/>
      <c r="H1724" s="15"/>
      <c r="I1724" s="18"/>
      <c r="J1724" s="22"/>
      <c r="K1724" s="108"/>
      <c r="L1724" s="26"/>
      <c r="M1724" s="26"/>
    </row>
    <row r="1725">
      <c r="A1725" s="12"/>
      <c r="B1725" s="13"/>
      <c r="C1725" s="14"/>
      <c r="D1725" s="14"/>
      <c r="E1725" s="15"/>
      <c r="F1725" s="16"/>
      <c r="G1725" s="18"/>
      <c r="H1725" s="15"/>
      <c r="I1725" s="18"/>
      <c r="J1725" s="22"/>
      <c r="K1725" s="108"/>
      <c r="L1725" s="26"/>
      <c r="M1725" s="26"/>
    </row>
    <row r="1726">
      <c r="A1726" s="12"/>
      <c r="B1726" s="13"/>
      <c r="C1726" s="14"/>
      <c r="D1726" s="14"/>
      <c r="E1726" s="15"/>
      <c r="F1726" s="16"/>
      <c r="G1726" s="18"/>
      <c r="H1726" s="15"/>
      <c r="I1726" s="18"/>
      <c r="J1726" s="22"/>
      <c r="K1726" s="108"/>
      <c r="L1726" s="26"/>
      <c r="M1726" s="26"/>
    </row>
    <row r="1727">
      <c r="A1727" s="12"/>
      <c r="B1727" s="13"/>
      <c r="C1727" s="14"/>
      <c r="D1727" s="14"/>
      <c r="E1727" s="15"/>
      <c r="F1727" s="16"/>
      <c r="G1727" s="18"/>
      <c r="H1727" s="15"/>
      <c r="I1727" s="18"/>
      <c r="J1727" s="22"/>
      <c r="K1727" s="108"/>
      <c r="L1727" s="26"/>
      <c r="M1727" s="26"/>
    </row>
    <row r="1728">
      <c r="A1728" s="12"/>
      <c r="B1728" s="13"/>
      <c r="C1728" s="14"/>
      <c r="D1728" s="14"/>
      <c r="E1728" s="15"/>
      <c r="F1728" s="16"/>
      <c r="G1728" s="18"/>
      <c r="H1728" s="15"/>
      <c r="I1728" s="18"/>
      <c r="J1728" s="22"/>
      <c r="K1728" s="108"/>
      <c r="L1728" s="26"/>
      <c r="M1728" s="26"/>
    </row>
    <row r="1729">
      <c r="A1729" s="12"/>
      <c r="B1729" s="13"/>
      <c r="C1729" s="14"/>
      <c r="D1729" s="14"/>
      <c r="E1729" s="15"/>
      <c r="F1729" s="16"/>
      <c r="G1729" s="18"/>
      <c r="H1729" s="15"/>
      <c r="I1729" s="18"/>
      <c r="J1729" s="22"/>
      <c r="K1729" s="108"/>
      <c r="L1729" s="26"/>
      <c r="M1729" s="26"/>
    </row>
    <row r="1730">
      <c r="A1730" s="12"/>
      <c r="B1730" s="13"/>
      <c r="C1730" s="14"/>
      <c r="D1730" s="14"/>
      <c r="E1730" s="15"/>
      <c r="F1730" s="16"/>
      <c r="G1730" s="18"/>
      <c r="H1730" s="15"/>
      <c r="I1730" s="18"/>
      <c r="J1730" s="22"/>
      <c r="K1730" s="108"/>
      <c r="L1730" s="26"/>
      <c r="M1730" s="26"/>
    </row>
    <row r="1731">
      <c r="A1731" s="12"/>
      <c r="B1731" s="13"/>
      <c r="C1731" s="14"/>
      <c r="D1731" s="14"/>
      <c r="E1731" s="15"/>
      <c r="F1731" s="16"/>
      <c r="G1731" s="18"/>
      <c r="H1731" s="15"/>
      <c r="I1731" s="18"/>
      <c r="J1731" s="22"/>
      <c r="K1731" s="108"/>
      <c r="L1731" s="26"/>
      <c r="M1731" s="26"/>
    </row>
    <row r="1732">
      <c r="A1732" s="12"/>
      <c r="B1732" s="13"/>
      <c r="C1732" s="14"/>
      <c r="D1732" s="14"/>
      <c r="E1732" s="15"/>
      <c r="F1732" s="16"/>
      <c r="G1732" s="18"/>
      <c r="H1732" s="15"/>
      <c r="I1732" s="18"/>
      <c r="J1732" s="22"/>
      <c r="K1732" s="108"/>
      <c r="L1732" s="26"/>
      <c r="M1732" s="26"/>
    </row>
    <row r="1733">
      <c r="A1733" s="12"/>
      <c r="B1733" s="13"/>
      <c r="C1733" s="14"/>
      <c r="D1733" s="14"/>
      <c r="E1733" s="15"/>
      <c r="F1733" s="16"/>
      <c r="G1733" s="18"/>
      <c r="H1733" s="15"/>
      <c r="I1733" s="18"/>
      <c r="J1733" s="22"/>
      <c r="K1733" s="108"/>
      <c r="L1733" s="26"/>
      <c r="M1733" s="26"/>
    </row>
    <row r="1734">
      <c r="A1734" s="12"/>
      <c r="B1734" s="13"/>
      <c r="C1734" s="14"/>
      <c r="D1734" s="14"/>
      <c r="E1734" s="15"/>
      <c r="F1734" s="16"/>
      <c r="G1734" s="18"/>
      <c r="H1734" s="15"/>
      <c r="I1734" s="18"/>
      <c r="J1734" s="22"/>
      <c r="K1734" s="108"/>
      <c r="L1734" s="26"/>
      <c r="M1734" s="26"/>
    </row>
    <row r="1735">
      <c r="A1735" s="12"/>
      <c r="B1735" s="13"/>
      <c r="C1735" s="14"/>
      <c r="D1735" s="14"/>
      <c r="E1735" s="15"/>
      <c r="F1735" s="16"/>
      <c r="G1735" s="18"/>
      <c r="H1735" s="15"/>
      <c r="I1735" s="18"/>
      <c r="J1735" s="22"/>
      <c r="K1735" s="108"/>
      <c r="L1735" s="26"/>
      <c r="M1735" s="26"/>
    </row>
    <row r="1736">
      <c r="A1736" s="12"/>
      <c r="B1736" s="13"/>
      <c r="C1736" s="14"/>
      <c r="D1736" s="14"/>
      <c r="E1736" s="15"/>
      <c r="F1736" s="16"/>
      <c r="G1736" s="18"/>
      <c r="H1736" s="15"/>
      <c r="I1736" s="18"/>
      <c r="J1736" s="22"/>
      <c r="K1736" s="108"/>
      <c r="L1736" s="26"/>
      <c r="M1736" s="26"/>
    </row>
    <row r="1737">
      <c r="A1737" s="12"/>
      <c r="B1737" s="13"/>
      <c r="C1737" s="14"/>
      <c r="D1737" s="14"/>
      <c r="E1737" s="15"/>
      <c r="F1737" s="16"/>
      <c r="G1737" s="18"/>
      <c r="H1737" s="15"/>
      <c r="I1737" s="18"/>
      <c r="J1737" s="22"/>
      <c r="K1737" s="108"/>
      <c r="L1737" s="26"/>
      <c r="M1737" s="26"/>
    </row>
    <row r="1738">
      <c r="A1738" s="12"/>
      <c r="B1738" s="13"/>
      <c r="C1738" s="14"/>
      <c r="D1738" s="14"/>
      <c r="E1738" s="15"/>
      <c r="F1738" s="16"/>
      <c r="G1738" s="18"/>
      <c r="H1738" s="15"/>
      <c r="I1738" s="18"/>
      <c r="J1738" s="22"/>
      <c r="K1738" s="108"/>
      <c r="L1738" s="26"/>
      <c r="M1738" s="26"/>
    </row>
    <row r="1739">
      <c r="A1739" s="12"/>
      <c r="B1739" s="13"/>
      <c r="C1739" s="14"/>
      <c r="D1739" s="14"/>
      <c r="E1739" s="15"/>
      <c r="F1739" s="16"/>
      <c r="G1739" s="18"/>
      <c r="H1739" s="15"/>
      <c r="I1739" s="18"/>
      <c r="J1739" s="22"/>
      <c r="K1739" s="108"/>
      <c r="L1739" s="26"/>
      <c r="M1739" s="26"/>
    </row>
    <row r="1740">
      <c r="A1740" s="12"/>
      <c r="B1740" s="13"/>
      <c r="C1740" s="14"/>
      <c r="D1740" s="14"/>
      <c r="E1740" s="15"/>
      <c r="F1740" s="16"/>
      <c r="G1740" s="18"/>
      <c r="H1740" s="15"/>
      <c r="I1740" s="18"/>
      <c r="J1740" s="22"/>
      <c r="K1740" s="108"/>
      <c r="L1740" s="26"/>
      <c r="M1740" s="26"/>
    </row>
    <row r="1741">
      <c r="A1741" s="12"/>
      <c r="B1741" s="13"/>
      <c r="C1741" s="14"/>
      <c r="D1741" s="14"/>
      <c r="E1741" s="15"/>
      <c r="F1741" s="16"/>
      <c r="G1741" s="18"/>
      <c r="H1741" s="15"/>
      <c r="I1741" s="18"/>
      <c r="J1741" s="22"/>
      <c r="K1741" s="108"/>
      <c r="L1741" s="26"/>
      <c r="M1741" s="26"/>
    </row>
    <row r="1742">
      <c r="A1742" s="12"/>
      <c r="B1742" s="13"/>
      <c r="C1742" s="14"/>
      <c r="D1742" s="14"/>
      <c r="E1742" s="15"/>
      <c r="F1742" s="16"/>
      <c r="G1742" s="18"/>
      <c r="H1742" s="15"/>
      <c r="I1742" s="18"/>
      <c r="J1742" s="22"/>
      <c r="K1742" s="108"/>
      <c r="L1742" s="26"/>
      <c r="M1742" s="26"/>
    </row>
    <row r="1743">
      <c r="A1743" s="12"/>
      <c r="B1743" s="13"/>
      <c r="C1743" s="14"/>
      <c r="D1743" s="14"/>
      <c r="E1743" s="15"/>
      <c r="F1743" s="16"/>
      <c r="G1743" s="18"/>
      <c r="H1743" s="15"/>
      <c r="I1743" s="18"/>
      <c r="J1743" s="22"/>
      <c r="K1743" s="108"/>
      <c r="L1743" s="26"/>
      <c r="M1743" s="26"/>
    </row>
    <row r="1744">
      <c r="A1744" s="12"/>
      <c r="B1744" s="13"/>
      <c r="C1744" s="14"/>
      <c r="D1744" s="14"/>
      <c r="E1744" s="15"/>
      <c r="F1744" s="16"/>
      <c r="G1744" s="18"/>
      <c r="H1744" s="15"/>
      <c r="I1744" s="18"/>
      <c r="J1744" s="22"/>
      <c r="K1744" s="108"/>
      <c r="L1744" s="26"/>
      <c r="M1744" s="26"/>
    </row>
    <row r="1745">
      <c r="A1745" s="12"/>
      <c r="B1745" s="13"/>
      <c r="C1745" s="14"/>
      <c r="D1745" s="14"/>
      <c r="E1745" s="15"/>
      <c r="F1745" s="16"/>
      <c r="G1745" s="18"/>
      <c r="H1745" s="15"/>
      <c r="I1745" s="18"/>
      <c r="J1745" s="22"/>
      <c r="K1745" s="108"/>
      <c r="L1745" s="26"/>
      <c r="M1745" s="26"/>
    </row>
    <row r="1746">
      <c r="A1746" s="12"/>
      <c r="B1746" s="13"/>
      <c r="C1746" s="14"/>
      <c r="D1746" s="14"/>
      <c r="E1746" s="15"/>
      <c r="F1746" s="16"/>
      <c r="G1746" s="18"/>
      <c r="H1746" s="15"/>
      <c r="I1746" s="18"/>
      <c r="J1746" s="22"/>
      <c r="K1746" s="108"/>
      <c r="L1746" s="26"/>
      <c r="M1746" s="26"/>
    </row>
    <row r="1747">
      <c r="A1747" s="12"/>
      <c r="B1747" s="13"/>
      <c r="C1747" s="14"/>
      <c r="D1747" s="14"/>
      <c r="E1747" s="15"/>
      <c r="F1747" s="16"/>
      <c r="G1747" s="18"/>
      <c r="H1747" s="15"/>
      <c r="I1747" s="18"/>
      <c r="J1747" s="22"/>
      <c r="K1747" s="108"/>
      <c r="L1747" s="26"/>
      <c r="M1747" s="26"/>
    </row>
    <row r="1748">
      <c r="A1748" s="12"/>
      <c r="B1748" s="13"/>
      <c r="C1748" s="14"/>
      <c r="D1748" s="14"/>
      <c r="E1748" s="15"/>
      <c r="F1748" s="16"/>
      <c r="G1748" s="18"/>
      <c r="H1748" s="15"/>
      <c r="I1748" s="18"/>
      <c r="J1748" s="22"/>
      <c r="K1748" s="108"/>
      <c r="L1748" s="26"/>
      <c r="M1748" s="26"/>
    </row>
    <row r="1749">
      <c r="A1749" s="12"/>
      <c r="B1749" s="13"/>
      <c r="C1749" s="14"/>
      <c r="D1749" s="14"/>
      <c r="E1749" s="15"/>
      <c r="F1749" s="16"/>
      <c r="G1749" s="18"/>
      <c r="H1749" s="15"/>
      <c r="I1749" s="18"/>
      <c r="J1749" s="22"/>
      <c r="K1749" s="108"/>
      <c r="L1749" s="26"/>
      <c r="M1749" s="26"/>
    </row>
    <row r="1750">
      <c r="A1750" s="12"/>
      <c r="B1750" s="13"/>
      <c r="C1750" s="14"/>
      <c r="D1750" s="14"/>
      <c r="E1750" s="15"/>
      <c r="F1750" s="16"/>
      <c r="G1750" s="18"/>
      <c r="H1750" s="15"/>
      <c r="I1750" s="18"/>
      <c r="J1750" s="22"/>
      <c r="K1750" s="108"/>
      <c r="L1750" s="26"/>
      <c r="M1750" s="26"/>
    </row>
    <row r="1751">
      <c r="A1751" s="12"/>
      <c r="B1751" s="13"/>
      <c r="C1751" s="14"/>
      <c r="D1751" s="14"/>
      <c r="E1751" s="15"/>
      <c r="F1751" s="16"/>
      <c r="G1751" s="18"/>
      <c r="H1751" s="15"/>
      <c r="I1751" s="18"/>
      <c r="J1751" s="22"/>
      <c r="K1751" s="108"/>
      <c r="L1751" s="26"/>
      <c r="M1751" s="26"/>
    </row>
    <row r="1752">
      <c r="A1752" s="12"/>
      <c r="B1752" s="13"/>
      <c r="C1752" s="14"/>
      <c r="D1752" s="14"/>
      <c r="E1752" s="15"/>
      <c r="F1752" s="16"/>
      <c r="G1752" s="18"/>
      <c r="H1752" s="15"/>
      <c r="I1752" s="18"/>
      <c r="J1752" s="22"/>
      <c r="K1752" s="108"/>
      <c r="L1752" s="26"/>
      <c r="M1752" s="26"/>
    </row>
    <row r="1753">
      <c r="A1753" s="12"/>
      <c r="B1753" s="13"/>
      <c r="C1753" s="14"/>
      <c r="D1753" s="14"/>
      <c r="E1753" s="15"/>
      <c r="F1753" s="16"/>
      <c r="G1753" s="18"/>
      <c r="H1753" s="15"/>
      <c r="I1753" s="18"/>
      <c r="J1753" s="22"/>
      <c r="K1753" s="108"/>
      <c r="L1753" s="26"/>
      <c r="M1753" s="26"/>
    </row>
    <row r="1754">
      <c r="A1754" s="12"/>
      <c r="B1754" s="13"/>
      <c r="C1754" s="14"/>
      <c r="D1754" s="14"/>
      <c r="E1754" s="15"/>
      <c r="F1754" s="16"/>
      <c r="G1754" s="18"/>
      <c r="H1754" s="15"/>
      <c r="I1754" s="18"/>
      <c r="J1754" s="22"/>
      <c r="K1754" s="108"/>
      <c r="L1754" s="26"/>
      <c r="M1754" s="26"/>
    </row>
    <row r="1755">
      <c r="A1755" s="12"/>
      <c r="B1755" s="13"/>
      <c r="C1755" s="14"/>
      <c r="D1755" s="14"/>
      <c r="E1755" s="15"/>
      <c r="F1755" s="16"/>
      <c r="G1755" s="18"/>
      <c r="H1755" s="15"/>
      <c r="I1755" s="18"/>
      <c r="J1755" s="22"/>
      <c r="K1755" s="108"/>
      <c r="L1755" s="26"/>
      <c r="M1755" s="26"/>
    </row>
    <row r="1756">
      <c r="A1756" s="12"/>
      <c r="B1756" s="13"/>
      <c r="C1756" s="14"/>
      <c r="D1756" s="14"/>
      <c r="E1756" s="15"/>
      <c r="F1756" s="16"/>
      <c r="G1756" s="18"/>
      <c r="H1756" s="15"/>
      <c r="I1756" s="18"/>
      <c r="J1756" s="22"/>
      <c r="K1756" s="108"/>
      <c r="L1756" s="26"/>
      <c r="M1756" s="26"/>
    </row>
    <row r="1757">
      <c r="A1757" s="12"/>
      <c r="B1757" s="13"/>
      <c r="C1757" s="14"/>
      <c r="D1757" s="14"/>
      <c r="E1757" s="15"/>
      <c r="F1757" s="16"/>
      <c r="G1757" s="18"/>
      <c r="H1757" s="15"/>
      <c r="I1757" s="18"/>
      <c r="J1757" s="22"/>
      <c r="K1757" s="108"/>
      <c r="L1757" s="26"/>
      <c r="M1757" s="26"/>
    </row>
    <row r="1758">
      <c r="A1758" s="12"/>
      <c r="B1758" s="13"/>
      <c r="C1758" s="14"/>
      <c r="D1758" s="14"/>
      <c r="E1758" s="15"/>
      <c r="F1758" s="16"/>
      <c r="G1758" s="18"/>
      <c r="H1758" s="15"/>
      <c r="I1758" s="18"/>
      <c r="J1758" s="22"/>
      <c r="K1758" s="108"/>
      <c r="L1758" s="26"/>
      <c r="M1758" s="26"/>
    </row>
    <row r="1759">
      <c r="A1759" s="12"/>
      <c r="B1759" s="13"/>
      <c r="C1759" s="14"/>
      <c r="D1759" s="14"/>
      <c r="E1759" s="15"/>
      <c r="F1759" s="16"/>
      <c r="G1759" s="18"/>
      <c r="H1759" s="15"/>
      <c r="I1759" s="18"/>
      <c r="J1759" s="22"/>
      <c r="K1759" s="108"/>
      <c r="L1759" s="26"/>
      <c r="M1759" s="26"/>
    </row>
    <row r="1760">
      <c r="A1760" s="12"/>
      <c r="B1760" s="13"/>
      <c r="C1760" s="14"/>
      <c r="D1760" s="14"/>
      <c r="E1760" s="15"/>
      <c r="F1760" s="16"/>
      <c r="G1760" s="18"/>
      <c r="H1760" s="15"/>
      <c r="I1760" s="18"/>
      <c r="J1760" s="22"/>
      <c r="K1760" s="108"/>
      <c r="L1760" s="26"/>
      <c r="M1760" s="26"/>
    </row>
    <row r="1761">
      <c r="A1761" s="12"/>
      <c r="B1761" s="13"/>
      <c r="C1761" s="14"/>
      <c r="D1761" s="14"/>
      <c r="E1761" s="15"/>
      <c r="F1761" s="16"/>
      <c r="G1761" s="18"/>
      <c r="H1761" s="15"/>
      <c r="I1761" s="18"/>
      <c r="J1761" s="22"/>
      <c r="K1761" s="108"/>
      <c r="L1761" s="26"/>
      <c r="M1761" s="26"/>
    </row>
    <row r="1762">
      <c r="A1762" s="12"/>
      <c r="B1762" s="13"/>
      <c r="C1762" s="14"/>
      <c r="D1762" s="14"/>
      <c r="E1762" s="15"/>
      <c r="F1762" s="16"/>
      <c r="G1762" s="18"/>
      <c r="H1762" s="15"/>
      <c r="I1762" s="18"/>
      <c r="J1762" s="22"/>
      <c r="K1762" s="108"/>
      <c r="L1762" s="26"/>
      <c r="M1762" s="26"/>
    </row>
    <row r="1763">
      <c r="A1763" s="12"/>
      <c r="B1763" s="13"/>
      <c r="C1763" s="14"/>
      <c r="D1763" s="14"/>
      <c r="E1763" s="15"/>
      <c r="F1763" s="16"/>
      <c r="G1763" s="18"/>
      <c r="H1763" s="15"/>
      <c r="I1763" s="18"/>
      <c r="J1763" s="22"/>
      <c r="K1763" s="108"/>
      <c r="L1763" s="26"/>
      <c r="M1763" s="26"/>
    </row>
    <row r="1764">
      <c r="A1764" s="12"/>
      <c r="B1764" s="13"/>
      <c r="C1764" s="14"/>
      <c r="D1764" s="14"/>
      <c r="E1764" s="15"/>
      <c r="F1764" s="16"/>
      <c r="G1764" s="18"/>
      <c r="H1764" s="15"/>
      <c r="I1764" s="18"/>
      <c r="J1764" s="22"/>
      <c r="K1764" s="108"/>
      <c r="L1764" s="26"/>
      <c r="M1764" s="26"/>
    </row>
    <row r="1765">
      <c r="A1765" s="12"/>
      <c r="B1765" s="13"/>
      <c r="C1765" s="14"/>
      <c r="D1765" s="14"/>
      <c r="E1765" s="15"/>
      <c r="F1765" s="16"/>
      <c r="G1765" s="18"/>
      <c r="H1765" s="15"/>
      <c r="I1765" s="18"/>
      <c r="J1765" s="22"/>
      <c r="K1765" s="108"/>
      <c r="L1765" s="26"/>
      <c r="M1765" s="26"/>
    </row>
    <row r="1766">
      <c r="A1766" s="12"/>
      <c r="B1766" s="13"/>
      <c r="C1766" s="14"/>
      <c r="D1766" s="14"/>
      <c r="E1766" s="15"/>
      <c r="F1766" s="16"/>
      <c r="G1766" s="18"/>
      <c r="H1766" s="15"/>
      <c r="I1766" s="18"/>
      <c r="J1766" s="22"/>
      <c r="K1766" s="108"/>
      <c r="L1766" s="26"/>
      <c r="M1766" s="26"/>
    </row>
    <row r="1767">
      <c r="A1767" s="12"/>
      <c r="B1767" s="13"/>
      <c r="C1767" s="14"/>
      <c r="D1767" s="14"/>
      <c r="E1767" s="15"/>
      <c r="F1767" s="16"/>
      <c r="G1767" s="18"/>
      <c r="H1767" s="15"/>
      <c r="I1767" s="18"/>
      <c r="J1767" s="22"/>
      <c r="K1767" s="108"/>
      <c r="L1767" s="26"/>
      <c r="M1767" s="26"/>
    </row>
    <row r="1768">
      <c r="A1768" s="12"/>
      <c r="B1768" s="13"/>
      <c r="C1768" s="14"/>
      <c r="D1768" s="14"/>
      <c r="E1768" s="15"/>
      <c r="F1768" s="16"/>
      <c r="G1768" s="18"/>
      <c r="H1768" s="15"/>
      <c r="I1768" s="18"/>
      <c r="J1768" s="22"/>
      <c r="K1768" s="108"/>
      <c r="L1768" s="26"/>
      <c r="M1768" s="26"/>
    </row>
    <row r="1769">
      <c r="A1769" s="12"/>
      <c r="B1769" s="13"/>
      <c r="C1769" s="14"/>
      <c r="D1769" s="14"/>
      <c r="E1769" s="15"/>
      <c r="F1769" s="16"/>
      <c r="G1769" s="18"/>
      <c r="H1769" s="15"/>
      <c r="I1769" s="18"/>
      <c r="J1769" s="22"/>
      <c r="K1769" s="108"/>
      <c r="L1769" s="26"/>
      <c r="M1769" s="26"/>
    </row>
    <row r="1770">
      <c r="A1770" s="12"/>
      <c r="B1770" s="13"/>
      <c r="C1770" s="14"/>
      <c r="D1770" s="14"/>
      <c r="E1770" s="15"/>
      <c r="F1770" s="16"/>
      <c r="G1770" s="18"/>
      <c r="H1770" s="15"/>
      <c r="I1770" s="18"/>
      <c r="J1770" s="22"/>
      <c r="K1770" s="108"/>
      <c r="L1770" s="26"/>
      <c r="M1770" s="26"/>
    </row>
    <row r="1771">
      <c r="A1771" s="12"/>
      <c r="B1771" s="13"/>
      <c r="C1771" s="14"/>
      <c r="D1771" s="14"/>
      <c r="E1771" s="15"/>
      <c r="F1771" s="16"/>
      <c r="G1771" s="18"/>
      <c r="H1771" s="15"/>
      <c r="I1771" s="18"/>
      <c r="J1771" s="22"/>
      <c r="K1771" s="108"/>
      <c r="L1771" s="26"/>
      <c r="M1771" s="26"/>
    </row>
    <row r="1772">
      <c r="A1772" s="12"/>
      <c r="B1772" s="13"/>
      <c r="C1772" s="14"/>
      <c r="D1772" s="14"/>
      <c r="E1772" s="15"/>
      <c r="F1772" s="16"/>
      <c r="G1772" s="18"/>
      <c r="H1772" s="15"/>
      <c r="I1772" s="18"/>
      <c r="J1772" s="22"/>
      <c r="K1772" s="108"/>
      <c r="L1772" s="26"/>
      <c r="M1772" s="26"/>
    </row>
    <row r="1773">
      <c r="A1773" s="12"/>
      <c r="B1773" s="13"/>
      <c r="C1773" s="14"/>
      <c r="D1773" s="14"/>
      <c r="E1773" s="15"/>
      <c r="F1773" s="16"/>
      <c r="G1773" s="18"/>
      <c r="H1773" s="15"/>
      <c r="I1773" s="18"/>
      <c r="J1773" s="22"/>
      <c r="K1773" s="108"/>
      <c r="L1773" s="26"/>
      <c r="M1773" s="26"/>
    </row>
    <row r="1774">
      <c r="A1774" s="12"/>
      <c r="B1774" s="13"/>
      <c r="C1774" s="14"/>
      <c r="D1774" s="14"/>
      <c r="E1774" s="15"/>
      <c r="F1774" s="16"/>
      <c r="G1774" s="18"/>
      <c r="H1774" s="15"/>
      <c r="I1774" s="18"/>
      <c r="J1774" s="22"/>
      <c r="K1774" s="108"/>
      <c r="L1774" s="26"/>
      <c r="M1774" s="26"/>
    </row>
    <row r="1775">
      <c r="A1775" s="12"/>
      <c r="B1775" s="13"/>
      <c r="C1775" s="14"/>
      <c r="D1775" s="14"/>
      <c r="E1775" s="15"/>
      <c r="F1775" s="16"/>
      <c r="G1775" s="18"/>
      <c r="H1775" s="15"/>
      <c r="I1775" s="18"/>
      <c r="J1775" s="22"/>
      <c r="K1775" s="108"/>
      <c r="L1775" s="26"/>
      <c r="M1775" s="26"/>
    </row>
    <row r="1776">
      <c r="A1776" s="12"/>
      <c r="B1776" s="13"/>
      <c r="C1776" s="14"/>
      <c r="D1776" s="14"/>
      <c r="E1776" s="15"/>
      <c r="F1776" s="16"/>
      <c r="G1776" s="18"/>
      <c r="H1776" s="15"/>
      <c r="I1776" s="18"/>
      <c r="J1776" s="22"/>
      <c r="K1776" s="108"/>
      <c r="L1776" s="26"/>
      <c r="M1776" s="26"/>
    </row>
    <row r="1777">
      <c r="A1777" s="12"/>
      <c r="B1777" s="13"/>
      <c r="C1777" s="14"/>
      <c r="D1777" s="14"/>
      <c r="E1777" s="15"/>
      <c r="F1777" s="16"/>
      <c r="G1777" s="18"/>
      <c r="H1777" s="15"/>
      <c r="I1777" s="18"/>
      <c r="J1777" s="22"/>
      <c r="K1777" s="108"/>
      <c r="L1777" s="26"/>
      <c r="M1777" s="26"/>
    </row>
    <row r="1778">
      <c r="A1778" s="12"/>
      <c r="B1778" s="13"/>
      <c r="C1778" s="14"/>
      <c r="D1778" s="14"/>
      <c r="E1778" s="15"/>
      <c r="F1778" s="16"/>
      <c r="G1778" s="18"/>
      <c r="H1778" s="15"/>
      <c r="I1778" s="18"/>
      <c r="J1778" s="22"/>
      <c r="K1778" s="108"/>
      <c r="L1778" s="26"/>
      <c r="M1778" s="26"/>
    </row>
    <row r="1779">
      <c r="A1779" s="12"/>
      <c r="B1779" s="13"/>
      <c r="C1779" s="14"/>
      <c r="D1779" s="14"/>
      <c r="E1779" s="15"/>
      <c r="F1779" s="16"/>
      <c r="G1779" s="18"/>
      <c r="H1779" s="15"/>
      <c r="I1779" s="18"/>
      <c r="J1779" s="22"/>
      <c r="K1779" s="108"/>
      <c r="L1779" s="26"/>
      <c r="M1779" s="26"/>
    </row>
    <row r="1780">
      <c r="A1780" s="12"/>
      <c r="B1780" s="13"/>
      <c r="C1780" s="14"/>
      <c r="D1780" s="14"/>
      <c r="E1780" s="15"/>
      <c r="F1780" s="16"/>
      <c r="G1780" s="18"/>
      <c r="H1780" s="15"/>
      <c r="I1780" s="18"/>
      <c r="J1780" s="22"/>
      <c r="K1780" s="108"/>
      <c r="L1780" s="26"/>
      <c r="M1780" s="26"/>
    </row>
    <row r="1781">
      <c r="A1781" s="12"/>
      <c r="B1781" s="13"/>
      <c r="C1781" s="14"/>
      <c r="D1781" s="14"/>
      <c r="E1781" s="15"/>
      <c r="F1781" s="16"/>
      <c r="G1781" s="18"/>
      <c r="H1781" s="15"/>
      <c r="I1781" s="18"/>
      <c r="J1781" s="22"/>
      <c r="K1781" s="108"/>
      <c r="L1781" s="26"/>
      <c r="M1781" s="26"/>
    </row>
    <row r="1782">
      <c r="A1782" s="12"/>
      <c r="B1782" s="13"/>
      <c r="C1782" s="14"/>
      <c r="D1782" s="14"/>
      <c r="E1782" s="15"/>
      <c r="F1782" s="16"/>
      <c r="G1782" s="18"/>
      <c r="H1782" s="15"/>
      <c r="I1782" s="18"/>
      <c r="J1782" s="22"/>
      <c r="K1782" s="108"/>
      <c r="L1782" s="26"/>
      <c r="M1782" s="26"/>
    </row>
    <row r="1783">
      <c r="A1783" s="12"/>
      <c r="B1783" s="13"/>
      <c r="C1783" s="14"/>
      <c r="D1783" s="14"/>
      <c r="E1783" s="15"/>
      <c r="F1783" s="16"/>
      <c r="G1783" s="18"/>
      <c r="H1783" s="15"/>
      <c r="I1783" s="18"/>
      <c r="J1783" s="22"/>
      <c r="K1783" s="108"/>
      <c r="L1783" s="26"/>
      <c r="M1783" s="26"/>
    </row>
    <row r="1784">
      <c r="A1784" s="12"/>
      <c r="B1784" s="13"/>
      <c r="C1784" s="14"/>
      <c r="D1784" s="14"/>
      <c r="E1784" s="15"/>
      <c r="F1784" s="16"/>
      <c r="G1784" s="18"/>
      <c r="H1784" s="15"/>
      <c r="I1784" s="18"/>
      <c r="J1784" s="22"/>
      <c r="K1784" s="108"/>
      <c r="L1784" s="26"/>
      <c r="M1784" s="26"/>
    </row>
    <row r="1785">
      <c r="A1785" s="12"/>
      <c r="B1785" s="13"/>
      <c r="C1785" s="14"/>
      <c r="D1785" s="14"/>
      <c r="E1785" s="15"/>
      <c r="F1785" s="16"/>
      <c r="G1785" s="18"/>
      <c r="H1785" s="15"/>
      <c r="I1785" s="18"/>
      <c r="J1785" s="22"/>
      <c r="K1785" s="108"/>
      <c r="L1785" s="26"/>
      <c r="M1785" s="26"/>
    </row>
    <row r="1786">
      <c r="A1786" s="12"/>
      <c r="B1786" s="13"/>
      <c r="C1786" s="14"/>
      <c r="D1786" s="14"/>
      <c r="E1786" s="15"/>
      <c r="F1786" s="16"/>
      <c r="G1786" s="18"/>
      <c r="H1786" s="15"/>
      <c r="I1786" s="18"/>
      <c r="J1786" s="22"/>
      <c r="K1786" s="108"/>
      <c r="L1786" s="26"/>
      <c r="M1786" s="26"/>
    </row>
    <row r="1787">
      <c r="A1787" s="12"/>
      <c r="B1787" s="13"/>
      <c r="C1787" s="14"/>
      <c r="D1787" s="14"/>
      <c r="E1787" s="15"/>
      <c r="F1787" s="16"/>
      <c r="G1787" s="18"/>
      <c r="H1787" s="15"/>
      <c r="I1787" s="18"/>
      <c r="J1787" s="22"/>
      <c r="K1787" s="108"/>
      <c r="L1787" s="26"/>
      <c r="M1787" s="26"/>
    </row>
    <row r="1788">
      <c r="A1788" s="12"/>
      <c r="B1788" s="13"/>
      <c r="C1788" s="14"/>
      <c r="D1788" s="14"/>
      <c r="E1788" s="15"/>
      <c r="F1788" s="16"/>
      <c r="G1788" s="18"/>
      <c r="H1788" s="15"/>
      <c r="I1788" s="18"/>
      <c r="J1788" s="22"/>
      <c r="K1788" s="108"/>
      <c r="L1788" s="26"/>
      <c r="M1788" s="26"/>
    </row>
    <row r="1789">
      <c r="A1789" s="12"/>
      <c r="B1789" s="13"/>
      <c r="C1789" s="14"/>
      <c r="D1789" s="14"/>
      <c r="E1789" s="15"/>
      <c r="F1789" s="16"/>
      <c r="G1789" s="18"/>
      <c r="H1789" s="15"/>
      <c r="I1789" s="18"/>
      <c r="J1789" s="22"/>
      <c r="K1789" s="108"/>
      <c r="L1789" s="26"/>
      <c r="M1789" s="26"/>
    </row>
    <row r="1790">
      <c r="A1790" s="12"/>
      <c r="B1790" s="13"/>
      <c r="C1790" s="14"/>
      <c r="D1790" s="14"/>
      <c r="E1790" s="15"/>
      <c r="F1790" s="16"/>
      <c r="G1790" s="18"/>
      <c r="H1790" s="15"/>
      <c r="I1790" s="18"/>
      <c r="J1790" s="22"/>
      <c r="K1790" s="108"/>
      <c r="L1790" s="26"/>
      <c r="M1790" s="26"/>
    </row>
    <row r="1791">
      <c r="A1791" s="12"/>
      <c r="B1791" s="13"/>
      <c r="C1791" s="14"/>
      <c r="D1791" s="14"/>
      <c r="E1791" s="15"/>
      <c r="F1791" s="16"/>
      <c r="G1791" s="18"/>
      <c r="H1791" s="15"/>
      <c r="I1791" s="18"/>
      <c r="J1791" s="22"/>
      <c r="K1791" s="108"/>
      <c r="L1791" s="26"/>
      <c r="M1791" s="26"/>
    </row>
    <row r="1792">
      <c r="A1792" s="12"/>
      <c r="B1792" s="13"/>
      <c r="C1792" s="14"/>
      <c r="D1792" s="14"/>
      <c r="E1792" s="15"/>
      <c r="F1792" s="16"/>
      <c r="G1792" s="18"/>
      <c r="H1792" s="15"/>
      <c r="I1792" s="18"/>
      <c r="J1792" s="22"/>
      <c r="K1792" s="108"/>
      <c r="L1792" s="26"/>
      <c r="M1792" s="26"/>
    </row>
    <row r="1793">
      <c r="A1793" s="12"/>
      <c r="B1793" s="13"/>
      <c r="C1793" s="14"/>
      <c r="D1793" s="14"/>
      <c r="E1793" s="15"/>
      <c r="F1793" s="16"/>
      <c r="G1793" s="18"/>
      <c r="H1793" s="15"/>
      <c r="I1793" s="18"/>
      <c r="J1793" s="22"/>
      <c r="K1793" s="108"/>
      <c r="L1793" s="26"/>
      <c r="M1793" s="26"/>
    </row>
    <row r="1794">
      <c r="A1794" s="12"/>
      <c r="B1794" s="13"/>
      <c r="C1794" s="14"/>
      <c r="D1794" s="14"/>
      <c r="E1794" s="15"/>
      <c r="F1794" s="16"/>
      <c r="G1794" s="18"/>
      <c r="H1794" s="15"/>
      <c r="I1794" s="18"/>
      <c r="J1794" s="22"/>
      <c r="K1794" s="108"/>
      <c r="L1794" s="26"/>
      <c r="M1794" s="26"/>
    </row>
    <row r="1795">
      <c r="A1795" s="12"/>
      <c r="B1795" s="13"/>
      <c r="C1795" s="14"/>
      <c r="D1795" s="14"/>
      <c r="E1795" s="15"/>
      <c r="F1795" s="16"/>
      <c r="G1795" s="18"/>
      <c r="H1795" s="15"/>
      <c r="I1795" s="18"/>
      <c r="J1795" s="22"/>
      <c r="K1795" s="108"/>
      <c r="L1795" s="26"/>
      <c r="M1795" s="26"/>
    </row>
    <row r="1796">
      <c r="A1796" s="12"/>
      <c r="B1796" s="13"/>
      <c r="C1796" s="14"/>
      <c r="D1796" s="14"/>
      <c r="E1796" s="15"/>
      <c r="F1796" s="16"/>
      <c r="G1796" s="18"/>
      <c r="H1796" s="15"/>
      <c r="I1796" s="18"/>
      <c r="J1796" s="22"/>
      <c r="K1796" s="108"/>
      <c r="L1796" s="26"/>
      <c r="M1796" s="26"/>
    </row>
    <row r="1797">
      <c r="A1797" s="12"/>
      <c r="B1797" s="13"/>
      <c r="C1797" s="14"/>
      <c r="D1797" s="14"/>
      <c r="E1797" s="15"/>
      <c r="F1797" s="16"/>
      <c r="G1797" s="18"/>
      <c r="H1797" s="15"/>
      <c r="I1797" s="18"/>
      <c r="J1797" s="22"/>
      <c r="K1797" s="108"/>
      <c r="L1797" s="26"/>
      <c r="M1797" s="26"/>
    </row>
    <row r="1798">
      <c r="A1798" s="12"/>
      <c r="B1798" s="13"/>
      <c r="C1798" s="14"/>
      <c r="D1798" s="14"/>
      <c r="E1798" s="15"/>
      <c r="F1798" s="16"/>
      <c r="G1798" s="18"/>
      <c r="H1798" s="15"/>
      <c r="I1798" s="18"/>
      <c r="J1798" s="22"/>
      <c r="K1798" s="108"/>
      <c r="L1798" s="26"/>
      <c r="M1798" s="26"/>
    </row>
    <row r="1799">
      <c r="A1799" s="12"/>
      <c r="B1799" s="13"/>
      <c r="C1799" s="14"/>
      <c r="D1799" s="14"/>
      <c r="E1799" s="15"/>
      <c r="F1799" s="16"/>
      <c r="G1799" s="18"/>
      <c r="H1799" s="15"/>
      <c r="I1799" s="18"/>
      <c r="J1799" s="22"/>
      <c r="K1799" s="108"/>
      <c r="L1799" s="26"/>
      <c r="M1799" s="26"/>
    </row>
    <row r="1800">
      <c r="A1800" s="12"/>
      <c r="B1800" s="13"/>
      <c r="C1800" s="14"/>
      <c r="D1800" s="14"/>
      <c r="E1800" s="15"/>
      <c r="F1800" s="16"/>
      <c r="G1800" s="18"/>
      <c r="H1800" s="15"/>
      <c r="I1800" s="18"/>
      <c r="J1800" s="22"/>
      <c r="K1800" s="108"/>
      <c r="L1800" s="26"/>
      <c r="M1800" s="26"/>
    </row>
    <row r="1801">
      <c r="A1801" s="12"/>
      <c r="B1801" s="13"/>
      <c r="C1801" s="14"/>
      <c r="D1801" s="14"/>
      <c r="E1801" s="15"/>
      <c r="F1801" s="16"/>
      <c r="G1801" s="18"/>
      <c r="H1801" s="15"/>
      <c r="I1801" s="18"/>
      <c r="J1801" s="22"/>
      <c r="K1801" s="108"/>
      <c r="L1801" s="26"/>
      <c r="M1801" s="26"/>
    </row>
    <row r="1802">
      <c r="A1802" s="12"/>
      <c r="B1802" s="13"/>
      <c r="C1802" s="14"/>
      <c r="D1802" s="14"/>
      <c r="E1802" s="15"/>
      <c r="F1802" s="16"/>
      <c r="G1802" s="18"/>
      <c r="H1802" s="15"/>
      <c r="I1802" s="18"/>
      <c r="J1802" s="22"/>
      <c r="K1802" s="108"/>
      <c r="L1802" s="26"/>
      <c r="M1802" s="26"/>
    </row>
    <row r="1803">
      <c r="A1803" s="12"/>
      <c r="B1803" s="13"/>
      <c r="C1803" s="14"/>
      <c r="D1803" s="14"/>
      <c r="E1803" s="15"/>
      <c r="F1803" s="16"/>
      <c r="G1803" s="18"/>
      <c r="H1803" s="15"/>
      <c r="I1803" s="18"/>
      <c r="J1803" s="22"/>
      <c r="K1803" s="108"/>
      <c r="L1803" s="26"/>
      <c r="M1803" s="26"/>
    </row>
    <row r="1804">
      <c r="A1804" s="12"/>
      <c r="B1804" s="13"/>
      <c r="C1804" s="14"/>
      <c r="D1804" s="14"/>
      <c r="E1804" s="15"/>
      <c r="F1804" s="16"/>
      <c r="G1804" s="18"/>
      <c r="H1804" s="15"/>
      <c r="I1804" s="18"/>
      <c r="J1804" s="22"/>
      <c r="K1804" s="108"/>
      <c r="L1804" s="26"/>
      <c r="M1804" s="26"/>
    </row>
    <row r="1805">
      <c r="A1805" s="12"/>
      <c r="B1805" s="13"/>
      <c r="C1805" s="14"/>
      <c r="D1805" s="14"/>
      <c r="E1805" s="15"/>
      <c r="F1805" s="16"/>
      <c r="G1805" s="18"/>
      <c r="H1805" s="15"/>
      <c r="I1805" s="18"/>
      <c r="J1805" s="22"/>
      <c r="K1805" s="108"/>
      <c r="L1805" s="26"/>
      <c r="M1805" s="26"/>
    </row>
    <row r="1806">
      <c r="A1806" s="12"/>
      <c r="B1806" s="13"/>
      <c r="C1806" s="14"/>
      <c r="D1806" s="14"/>
      <c r="E1806" s="15"/>
      <c r="F1806" s="16"/>
      <c r="G1806" s="18"/>
      <c r="H1806" s="15"/>
      <c r="I1806" s="18"/>
      <c r="J1806" s="22"/>
      <c r="K1806" s="108"/>
      <c r="L1806" s="26"/>
      <c r="M1806" s="26"/>
    </row>
    <row r="1807">
      <c r="A1807" s="12"/>
      <c r="B1807" s="13"/>
      <c r="C1807" s="14"/>
      <c r="D1807" s="14"/>
      <c r="E1807" s="15"/>
      <c r="F1807" s="16"/>
      <c r="G1807" s="18"/>
      <c r="H1807" s="15"/>
      <c r="I1807" s="18"/>
      <c r="J1807" s="22"/>
      <c r="K1807" s="108"/>
      <c r="L1807" s="26"/>
      <c r="M1807" s="26"/>
    </row>
    <row r="1808">
      <c r="A1808" s="12"/>
      <c r="B1808" s="13"/>
      <c r="C1808" s="14"/>
      <c r="D1808" s="14"/>
      <c r="E1808" s="15"/>
      <c r="F1808" s="16"/>
      <c r="G1808" s="18"/>
      <c r="H1808" s="15"/>
      <c r="I1808" s="18"/>
      <c r="J1808" s="22"/>
      <c r="K1808" s="108"/>
      <c r="L1808" s="26"/>
      <c r="M1808" s="26"/>
    </row>
    <row r="1809">
      <c r="A1809" s="12"/>
      <c r="B1809" s="13"/>
      <c r="C1809" s="14"/>
      <c r="D1809" s="14"/>
      <c r="E1809" s="15"/>
      <c r="F1809" s="16"/>
      <c r="G1809" s="18"/>
      <c r="H1809" s="15"/>
      <c r="I1809" s="18"/>
      <c r="J1809" s="22"/>
      <c r="K1809" s="108"/>
      <c r="L1809" s="26"/>
      <c r="M1809" s="26"/>
    </row>
    <row r="1810">
      <c r="A1810" s="12"/>
      <c r="B1810" s="13"/>
      <c r="C1810" s="14"/>
      <c r="D1810" s="14"/>
      <c r="E1810" s="15"/>
      <c r="F1810" s="16"/>
      <c r="G1810" s="18"/>
      <c r="H1810" s="15"/>
      <c r="I1810" s="18"/>
      <c r="J1810" s="22"/>
      <c r="K1810" s="108"/>
      <c r="L1810" s="26"/>
      <c r="M1810" s="26"/>
    </row>
    <row r="1811">
      <c r="A1811" s="12"/>
      <c r="B1811" s="13"/>
      <c r="C1811" s="14"/>
      <c r="D1811" s="14"/>
      <c r="E1811" s="15"/>
      <c r="F1811" s="16"/>
      <c r="G1811" s="18"/>
      <c r="H1811" s="15"/>
      <c r="I1811" s="18"/>
      <c r="J1811" s="22"/>
      <c r="K1811" s="108"/>
      <c r="L1811" s="26"/>
      <c r="M1811" s="26"/>
    </row>
    <row r="1812">
      <c r="A1812" s="12"/>
      <c r="B1812" s="13"/>
      <c r="C1812" s="14"/>
      <c r="D1812" s="14"/>
      <c r="E1812" s="15"/>
      <c r="F1812" s="16"/>
      <c r="G1812" s="18"/>
      <c r="H1812" s="15"/>
      <c r="I1812" s="18"/>
      <c r="J1812" s="22"/>
      <c r="K1812" s="108"/>
      <c r="L1812" s="26"/>
      <c r="M1812" s="26"/>
    </row>
    <row r="1813">
      <c r="A1813" s="12"/>
      <c r="B1813" s="13"/>
      <c r="C1813" s="14"/>
      <c r="D1813" s="14"/>
      <c r="E1813" s="15"/>
      <c r="F1813" s="16"/>
      <c r="G1813" s="18"/>
      <c r="H1813" s="15"/>
      <c r="I1813" s="18"/>
      <c r="J1813" s="22"/>
      <c r="K1813" s="108"/>
      <c r="L1813" s="26"/>
      <c r="M1813" s="26"/>
    </row>
    <row r="1814">
      <c r="A1814" s="12"/>
      <c r="B1814" s="13"/>
      <c r="C1814" s="14"/>
      <c r="D1814" s="14"/>
      <c r="E1814" s="15"/>
      <c r="F1814" s="16"/>
      <c r="G1814" s="18"/>
      <c r="H1814" s="15"/>
      <c r="I1814" s="18"/>
      <c r="J1814" s="22"/>
      <c r="K1814" s="108"/>
      <c r="L1814" s="26"/>
      <c r="M1814" s="26"/>
    </row>
    <row r="1815">
      <c r="A1815" s="12"/>
      <c r="B1815" s="13"/>
      <c r="C1815" s="14"/>
      <c r="D1815" s="14"/>
      <c r="E1815" s="15"/>
      <c r="F1815" s="16"/>
      <c r="G1815" s="18"/>
      <c r="H1815" s="15"/>
      <c r="I1815" s="18"/>
      <c r="J1815" s="22"/>
      <c r="K1815" s="108"/>
      <c r="L1815" s="26"/>
      <c r="M1815" s="26"/>
    </row>
    <row r="1816">
      <c r="A1816" s="12"/>
      <c r="B1816" s="13"/>
      <c r="C1816" s="14"/>
      <c r="D1816" s="14"/>
      <c r="E1816" s="15"/>
      <c r="F1816" s="16"/>
      <c r="G1816" s="18"/>
      <c r="H1816" s="15"/>
      <c r="I1816" s="18"/>
      <c r="J1816" s="22"/>
      <c r="K1816" s="108"/>
      <c r="L1816" s="26"/>
      <c r="M1816" s="26"/>
    </row>
    <row r="1817">
      <c r="A1817" s="12"/>
      <c r="B1817" s="13"/>
      <c r="C1817" s="14"/>
      <c r="D1817" s="14"/>
      <c r="E1817" s="15"/>
      <c r="F1817" s="16"/>
      <c r="G1817" s="18"/>
      <c r="H1817" s="15"/>
      <c r="I1817" s="18"/>
      <c r="J1817" s="22"/>
      <c r="K1817" s="108"/>
      <c r="L1817" s="26"/>
      <c r="M1817" s="26"/>
    </row>
    <row r="1818">
      <c r="A1818" s="12"/>
      <c r="B1818" s="13"/>
      <c r="C1818" s="14"/>
      <c r="D1818" s="14"/>
      <c r="E1818" s="15"/>
      <c r="F1818" s="16"/>
      <c r="G1818" s="18"/>
      <c r="H1818" s="15"/>
      <c r="I1818" s="18"/>
      <c r="J1818" s="22"/>
      <c r="K1818" s="108"/>
      <c r="L1818" s="26"/>
      <c r="M1818" s="26"/>
    </row>
    <row r="1819">
      <c r="A1819" s="12"/>
      <c r="B1819" s="13"/>
      <c r="C1819" s="14"/>
      <c r="D1819" s="14"/>
      <c r="E1819" s="15"/>
      <c r="F1819" s="16"/>
      <c r="G1819" s="18"/>
      <c r="H1819" s="15"/>
      <c r="I1819" s="18"/>
      <c r="J1819" s="22"/>
      <c r="K1819" s="108"/>
      <c r="L1819" s="26"/>
      <c r="M1819" s="26"/>
    </row>
    <row r="1820">
      <c r="A1820" s="12"/>
      <c r="B1820" s="13"/>
      <c r="C1820" s="14"/>
      <c r="D1820" s="14"/>
      <c r="E1820" s="15"/>
      <c r="F1820" s="16"/>
      <c r="G1820" s="18"/>
      <c r="H1820" s="15"/>
      <c r="I1820" s="18"/>
      <c r="J1820" s="22"/>
      <c r="K1820" s="108"/>
      <c r="L1820" s="26"/>
      <c r="M1820" s="26"/>
    </row>
    <row r="1821">
      <c r="A1821" s="12"/>
      <c r="B1821" s="13"/>
      <c r="C1821" s="14"/>
      <c r="D1821" s="14"/>
      <c r="E1821" s="15"/>
      <c r="F1821" s="16"/>
      <c r="G1821" s="18"/>
      <c r="H1821" s="15"/>
      <c r="I1821" s="18"/>
      <c r="J1821" s="22"/>
      <c r="K1821" s="108"/>
      <c r="L1821" s="26"/>
      <c r="M1821" s="26"/>
    </row>
    <row r="1822">
      <c r="A1822" s="12"/>
      <c r="B1822" s="13"/>
      <c r="C1822" s="14"/>
      <c r="D1822" s="14"/>
      <c r="E1822" s="15"/>
      <c r="F1822" s="16"/>
      <c r="G1822" s="18"/>
      <c r="H1822" s="15"/>
      <c r="I1822" s="18"/>
      <c r="J1822" s="22"/>
      <c r="K1822" s="108"/>
      <c r="L1822" s="26"/>
      <c r="M1822" s="26"/>
    </row>
    <row r="1823">
      <c r="A1823" s="12"/>
      <c r="B1823" s="13"/>
      <c r="C1823" s="14"/>
      <c r="D1823" s="14"/>
      <c r="E1823" s="15"/>
      <c r="F1823" s="16"/>
      <c r="G1823" s="18"/>
      <c r="H1823" s="15"/>
      <c r="I1823" s="18"/>
      <c r="J1823" s="22"/>
      <c r="K1823" s="108"/>
      <c r="L1823" s="26"/>
      <c r="M1823" s="26"/>
    </row>
    <row r="1824">
      <c r="A1824" s="12"/>
      <c r="B1824" s="13"/>
      <c r="C1824" s="14"/>
      <c r="D1824" s="14"/>
      <c r="E1824" s="15"/>
      <c r="F1824" s="16"/>
      <c r="G1824" s="18"/>
      <c r="H1824" s="15"/>
      <c r="I1824" s="18"/>
      <c r="J1824" s="22"/>
      <c r="K1824" s="108"/>
      <c r="L1824" s="26"/>
      <c r="M1824" s="26"/>
    </row>
    <row r="1825">
      <c r="A1825" s="12"/>
      <c r="B1825" s="13"/>
      <c r="C1825" s="14"/>
      <c r="D1825" s="14"/>
      <c r="E1825" s="15"/>
      <c r="F1825" s="16"/>
      <c r="G1825" s="18"/>
      <c r="H1825" s="15"/>
      <c r="I1825" s="18"/>
      <c r="J1825" s="22"/>
      <c r="K1825" s="108"/>
      <c r="L1825" s="26"/>
      <c r="M1825" s="26"/>
    </row>
    <row r="1826">
      <c r="A1826" s="12"/>
      <c r="B1826" s="13"/>
      <c r="C1826" s="14"/>
      <c r="D1826" s="14"/>
      <c r="E1826" s="15"/>
      <c r="F1826" s="16"/>
      <c r="G1826" s="18"/>
      <c r="H1826" s="15"/>
      <c r="I1826" s="18"/>
      <c r="J1826" s="22"/>
      <c r="K1826" s="108"/>
      <c r="L1826" s="26"/>
      <c r="M1826" s="26"/>
    </row>
    <row r="1827">
      <c r="A1827" s="12"/>
      <c r="B1827" s="13"/>
      <c r="C1827" s="14"/>
      <c r="D1827" s="14"/>
      <c r="E1827" s="15"/>
      <c r="F1827" s="16"/>
      <c r="G1827" s="18"/>
      <c r="H1827" s="15"/>
      <c r="I1827" s="18"/>
      <c r="J1827" s="22"/>
      <c r="K1827" s="108"/>
      <c r="L1827" s="26"/>
      <c r="M1827" s="26"/>
    </row>
    <row r="1828">
      <c r="A1828" s="12"/>
      <c r="B1828" s="13"/>
      <c r="C1828" s="14"/>
      <c r="D1828" s="14"/>
      <c r="E1828" s="15"/>
      <c r="F1828" s="16"/>
      <c r="G1828" s="18"/>
      <c r="H1828" s="15"/>
      <c r="I1828" s="18"/>
      <c r="J1828" s="22"/>
      <c r="K1828" s="108"/>
      <c r="L1828" s="26"/>
      <c r="M1828" s="26"/>
    </row>
    <row r="1829">
      <c r="A1829" s="12"/>
      <c r="B1829" s="13"/>
      <c r="C1829" s="14"/>
      <c r="D1829" s="14"/>
      <c r="E1829" s="15"/>
      <c r="F1829" s="16"/>
      <c r="G1829" s="18"/>
      <c r="H1829" s="15"/>
      <c r="I1829" s="18"/>
      <c r="J1829" s="22"/>
      <c r="K1829" s="108"/>
      <c r="L1829" s="26"/>
      <c r="M1829" s="26"/>
    </row>
    <row r="1830">
      <c r="A1830" s="12"/>
      <c r="B1830" s="13"/>
      <c r="C1830" s="14"/>
      <c r="D1830" s="14"/>
      <c r="E1830" s="15"/>
      <c r="F1830" s="16"/>
      <c r="G1830" s="18"/>
      <c r="H1830" s="15"/>
      <c r="I1830" s="18"/>
      <c r="J1830" s="22"/>
      <c r="K1830" s="108"/>
      <c r="L1830" s="26"/>
      <c r="M1830" s="26"/>
    </row>
    <row r="1831">
      <c r="A1831" s="12"/>
      <c r="B1831" s="13"/>
      <c r="C1831" s="14"/>
      <c r="D1831" s="14"/>
      <c r="E1831" s="15"/>
      <c r="F1831" s="16"/>
      <c r="G1831" s="18"/>
      <c r="H1831" s="15"/>
      <c r="I1831" s="18"/>
      <c r="J1831" s="22"/>
      <c r="K1831" s="108"/>
      <c r="L1831" s="26"/>
      <c r="M1831" s="26"/>
    </row>
    <row r="1832">
      <c r="A1832" s="12"/>
      <c r="B1832" s="13"/>
      <c r="C1832" s="14"/>
      <c r="D1832" s="14"/>
      <c r="E1832" s="15"/>
      <c r="F1832" s="16"/>
      <c r="G1832" s="18"/>
      <c r="H1832" s="15"/>
      <c r="I1832" s="18"/>
      <c r="J1832" s="22"/>
      <c r="K1832" s="108"/>
      <c r="L1832" s="26"/>
      <c r="M1832" s="26"/>
    </row>
    <row r="1833">
      <c r="A1833" s="12"/>
      <c r="B1833" s="13"/>
      <c r="C1833" s="14"/>
      <c r="D1833" s="14"/>
      <c r="E1833" s="15"/>
      <c r="F1833" s="16"/>
      <c r="G1833" s="18"/>
      <c r="H1833" s="15"/>
      <c r="I1833" s="18"/>
      <c r="J1833" s="22"/>
      <c r="K1833" s="108"/>
      <c r="L1833" s="26"/>
      <c r="M1833" s="26"/>
    </row>
    <row r="1834">
      <c r="A1834" s="12"/>
      <c r="B1834" s="13"/>
      <c r="C1834" s="14"/>
      <c r="D1834" s="14"/>
      <c r="E1834" s="15"/>
      <c r="F1834" s="16"/>
      <c r="G1834" s="18"/>
      <c r="H1834" s="15"/>
      <c r="I1834" s="18"/>
      <c r="J1834" s="22"/>
      <c r="K1834" s="108"/>
      <c r="L1834" s="26"/>
      <c r="M1834" s="26"/>
    </row>
    <row r="1835">
      <c r="A1835" s="12"/>
      <c r="B1835" s="13"/>
      <c r="C1835" s="14"/>
      <c r="D1835" s="14"/>
      <c r="E1835" s="15"/>
      <c r="F1835" s="16"/>
      <c r="G1835" s="18"/>
      <c r="H1835" s="15"/>
      <c r="I1835" s="18"/>
      <c r="J1835" s="22"/>
      <c r="K1835" s="108"/>
      <c r="L1835" s="26"/>
      <c r="M1835" s="26"/>
    </row>
    <row r="1836">
      <c r="A1836" s="12"/>
      <c r="B1836" s="13"/>
      <c r="C1836" s="14"/>
      <c r="D1836" s="14"/>
      <c r="E1836" s="15"/>
      <c r="F1836" s="16"/>
      <c r="G1836" s="18"/>
      <c r="H1836" s="15"/>
      <c r="I1836" s="18"/>
      <c r="J1836" s="22"/>
      <c r="K1836" s="108"/>
      <c r="L1836" s="26"/>
      <c r="M1836" s="26"/>
    </row>
    <row r="1837">
      <c r="A1837" s="12"/>
      <c r="B1837" s="13"/>
      <c r="C1837" s="14"/>
      <c r="D1837" s="14"/>
      <c r="E1837" s="15"/>
      <c r="F1837" s="16"/>
      <c r="G1837" s="18"/>
      <c r="H1837" s="15"/>
      <c r="I1837" s="18"/>
      <c r="J1837" s="22"/>
      <c r="K1837" s="108"/>
      <c r="L1837" s="26"/>
      <c r="M1837" s="26"/>
    </row>
    <row r="1838">
      <c r="A1838" s="12"/>
      <c r="B1838" s="13"/>
      <c r="C1838" s="14"/>
      <c r="D1838" s="14"/>
      <c r="E1838" s="15"/>
      <c r="F1838" s="16"/>
      <c r="G1838" s="18"/>
      <c r="H1838" s="15"/>
      <c r="I1838" s="18"/>
      <c r="J1838" s="22"/>
      <c r="K1838" s="108"/>
      <c r="L1838" s="26"/>
      <c r="M1838" s="26"/>
    </row>
    <row r="1839">
      <c r="A1839" s="12"/>
      <c r="B1839" s="13"/>
      <c r="C1839" s="14"/>
      <c r="D1839" s="14"/>
      <c r="E1839" s="15"/>
      <c r="F1839" s="16"/>
      <c r="G1839" s="18"/>
      <c r="H1839" s="15"/>
      <c r="I1839" s="18"/>
      <c r="J1839" s="22"/>
      <c r="K1839" s="108"/>
      <c r="L1839" s="26"/>
      <c r="M1839" s="26"/>
    </row>
    <row r="1840">
      <c r="A1840" s="12"/>
      <c r="B1840" s="13"/>
      <c r="C1840" s="14"/>
      <c r="D1840" s="14"/>
      <c r="E1840" s="15"/>
      <c r="F1840" s="16"/>
      <c r="G1840" s="18"/>
      <c r="H1840" s="15"/>
      <c r="I1840" s="18"/>
      <c r="J1840" s="22"/>
      <c r="K1840" s="108"/>
      <c r="L1840" s="26"/>
      <c r="M1840" s="26"/>
    </row>
    <row r="1841">
      <c r="A1841" s="12"/>
      <c r="B1841" s="13"/>
      <c r="C1841" s="14"/>
      <c r="D1841" s="14"/>
      <c r="E1841" s="15"/>
      <c r="F1841" s="16"/>
      <c r="G1841" s="18"/>
      <c r="H1841" s="15"/>
      <c r="I1841" s="18"/>
      <c r="J1841" s="22"/>
      <c r="K1841" s="108"/>
      <c r="L1841" s="26"/>
      <c r="M1841" s="26"/>
    </row>
    <row r="1842">
      <c r="A1842" s="12"/>
      <c r="B1842" s="13"/>
      <c r="C1842" s="14"/>
      <c r="D1842" s="14"/>
      <c r="E1842" s="15"/>
      <c r="F1842" s="16"/>
      <c r="G1842" s="18"/>
      <c r="H1842" s="15"/>
      <c r="I1842" s="18"/>
      <c r="J1842" s="22"/>
      <c r="K1842" s="108"/>
      <c r="L1842" s="26"/>
      <c r="M1842" s="26"/>
    </row>
    <row r="1843">
      <c r="A1843" s="12"/>
      <c r="B1843" s="13"/>
      <c r="C1843" s="14"/>
      <c r="D1843" s="14"/>
      <c r="E1843" s="15"/>
      <c r="F1843" s="16"/>
      <c r="G1843" s="18"/>
      <c r="H1843" s="15"/>
      <c r="I1843" s="18"/>
      <c r="J1843" s="22"/>
      <c r="K1843" s="108"/>
      <c r="L1843" s="26"/>
      <c r="M1843" s="26"/>
    </row>
    <row r="1844">
      <c r="A1844" s="12"/>
      <c r="B1844" s="13"/>
      <c r="C1844" s="14"/>
      <c r="D1844" s="14"/>
      <c r="E1844" s="15"/>
      <c r="F1844" s="16"/>
      <c r="G1844" s="18"/>
      <c r="H1844" s="15"/>
      <c r="I1844" s="18"/>
      <c r="J1844" s="22"/>
      <c r="K1844" s="108"/>
      <c r="L1844" s="26"/>
      <c r="M1844" s="26"/>
    </row>
    <row r="1845">
      <c r="A1845" s="12"/>
      <c r="B1845" s="13"/>
      <c r="C1845" s="14"/>
      <c r="D1845" s="14"/>
      <c r="E1845" s="15"/>
      <c r="F1845" s="16"/>
      <c r="G1845" s="18"/>
      <c r="H1845" s="15"/>
      <c r="I1845" s="18"/>
      <c r="J1845" s="22"/>
      <c r="K1845" s="108"/>
      <c r="L1845" s="26"/>
      <c r="M1845" s="26"/>
    </row>
    <row r="1846">
      <c r="A1846" s="12"/>
      <c r="B1846" s="13"/>
      <c r="C1846" s="14"/>
      <c r="D1846" s="14"/>
      <c r="E1846" s="15"/>
      <c r="F1846" s="16"/>
      <c r="G1846" s="18"/>
      <c r="H1846" s="15"/>
      <c r="I1846" s="18"/>
      <c r="J1846" s="22"/>
      <c r="K1846" s="108"/>
      <c r="L1846" s="26"/>
      <c r="M1846" s="26"/>
    </row>
    <row r="1847">
      <c r="A1847" s="12"/>
      <c r="B1847" s="13"/>
      <c r="C1847" s="14"/>
      <c r="D1847" s="14"/>
      <c r="E1847" s="15"/>
      <c r="F1847" s="16"/>
      <c r="G1847" s="18"/>
      <c r="H1847" s="15"/>
      <c r="I1847" s="18"/>
      <c r="J1847" s="22"/>
      <c r="K1847" s="108"/>
      <c r="L1847" s="26"/>
      <c r="M1847" s="26"/>
    </row>
    <row r="1848">
      <c r="A1848" s="12"/>
      <c r="B1848" s="13"/>
      <c r="C1848" s="14"/>
      <c r="D1848" s="14"/>
      <c r="E1848" s="15"/>
      <c r="F1848" s="16"/>
      <c r="G1848" s="18"/>
      <c r="H1848" s="15"/>
      <c r="I1848" s="18"/>
      <c r="J1848" s="22"/>
      <c r="K1848" s="108"/>
      <c r="L1848" s="26"/>
      <c r="M1848" s="26"/>
    </row>
    <row r="1849">
      <c r="A1849" s="12"/>
      <c r="B1849" s="13"/>
      <c r="C1849" s="14"/>
      <c r="D1849" s="14"/>
      <c r="E1849" s="15"/>
      <c r="F1849" s="16"/>
      <c r="G1849" s="18"/>
      <c r="H1849" s="15"/>
      <c r="I1849" s="18"/>
      <c r="J1849" s="22"/>
      <c r="K1849" s="108"/>
      <c r="L1849" s="26"/>
      <c r="M1849" s="26"/>
    </row>
    <row r="1850">
      <c r="A1850" s="12"/>
      <c r="B1850" s="13"/>
      <c r="C1850" s="14"/>
      <c r="D1850" s="14"/>
      <c r="E1850" s="15"/>
      <c r="F1850" s="16"/>
      <c r="G1850" s="18"/>
      <c r="H1850" s="15"/>
      <c r="I1850" s="18"/>
      <c r="J1850" s="22"/>
      <c r="K1850" s="108"/>
      <c r="L1850" s="26"/>
      <c r="M1850" s="26"/>
    </row>
    <row r="1851">
      <c r="A1851" s="12"/>
      <c r="B1851" s="13"/>
      <c r="C1851" s="14"/>
      <c r="D1851" s="14"/>
      <c r="E1851" s="15"/>
      <c r="F1851" s="16"/>
      <c r="G1851" s="18"/>
      <c r="H1851" s="15"/>
      <c r="I1851" s="18"/>
      <c r="J1851" s="22"/>
      <c r="K1851" s="108"/>
      <c r="L1851" s="26"/>
      <c r="M1851" s="26"/>
    </row>
    <row r="1852">
      <c r="A1852" s="12"/>
      <c r="B1852" s="13"/>
      <c r="C1852" s="14"/>
      <c r="D1852" s="14"/>
      <c r="E1852" s="15"/>
      <c r="F1852" s="16"/>
      <c r="G1852" s="18"/>
      <c r="H1852" s="15"/>
      <c r="I1852" s="18"/>
      <c r="J1852" s="22"/>
      <c r="K1852" s="108"/>
      <c r="L1852" s="26"/>
      <c r="M1852" s="26"/>
    </row>
    <row r="1853">
      <c r="A1853" s="12"/>
      <c r="B1853" s="13"/>
      <c r="C1853" s="14"/>
      <c r="D1853" s="14"/>
      <c r="E1853" s="15"/>
      <c r="F1853" s="16"/>
      <c r="G1853" s="18"/>
      <c r="H1853" s="15"/>
      <c r="I1853" s="18"/>
      <c r="J1853" s="22"/>
      <c r="K1853" s="108"/>
      <c r="L1853" s="26"/>
      <c r="M1853" s="26"/>
    </row>
    <row r="1854">
      <c r="A1854" s="12"/>
      <c r="B1854" s="13"/>
      <c r="C1854" s="14"/>
      <c r="D1854" s="14"/>
      <c r="E1854" s="15"/>
      <c r="F1854" s="16"/>
      <c r="G1854" s="18"/>
      <c r="H1854" s="15"/>
      <c r="I1854" s="18"/>
      <c r="J1854" s="22"/>
      <c r="K1854" s="108"/>
      <c r="L1854" s="26"/>
      <c r="M1854" s="26"/>
    </row>
    <row r="1855">
      <c r="A1855" s="12"/>
      <c r="B1855" s="13"/>
      <c r="C1855" s="14"/>
      <c r="D1855" s="14"/>
      <c r="E1855" s="15"/>
      <c r="F1855" s="16"/>
      <c r="G1855" s="18"/>
      <c r="H1855" s="15"/>
      <c r="I1855" s="18"/>
      <c r="J1855" s="22"/>
      <c r="K1855" s="108"/>
      <c r="L1855" s="26"/>
      <c r="M1855" s="26"/>
    </row>
    <row r="1856">
      <c r="A1856" s="12"/>
      <c r="B1856" s="13"/>
      <c r="C1856" s="14"/>
      <c r="D1856" s="14"/>
      <c r="E1856" s="15"/>
      <c r="F1856" s="16"/>
      <c r="G1856" s="18"/>
      <c r="H1856" s="15"/>
      <c r="I1856" s="18"/>
      <c r="J1856" s="22"/>
      <c r="K1856" s="108"/>
      <c r="L1856" s="26"/>
      <c r="M1856" s="26"/>
    </row>
    <row r="1857">
      <c r="A1857" s="12"/>
      <c r="B1857" s="13"/>
      <c r="C1857" s="14"/>
      <c r="D1857" s="14"/>
      <c r="E1857" s="15"/>
      <c r="F1857" s="16"/>
      <c r="G1857" s="18"/>
      <c r="H1857" s="15"/>
      <c r="I1857" s="18"/>
      <c r="J1857" s="22"/>
      <c r="K1857" s="108"/>
      <c r="L1857" s="26"/>
      <c r="M1857" s="26"/>
    </row>
    <row r="1858">
      <c r="A1858" s="12"/>
      <c r="B1858" s="13"/>
      <c r="C1858" s="14"/>
      <c r="D1858" s="14"/>
      <c r="E1858" s="15"/>
      <c r="F1858" s="16"/>
      <c r="G1858" s="18"/>
      <c r="H1858" s="15"/>
      <c r="I1858" s="18"/>
      <c r="J1858" s="22"/>
      <c r="K1858" s="108"/>
      <c r="L1858" s="26"/>
      <c r="M1858" s="26"/>
    </row>
    <row r="1859">
      <c r="A1859" s="12"/>
      <c r="B1859" s="13"/>
      <c r="C1859" s="14"/>
      <c r="D1859" s="14"/>
      <c r="E1859" s="15"/>
      <c r="F1859" s="16"/>
      <c r="G1859" s="18"/>
      <c r="H1859" s="15"/>
      <c r="I1859" s="18"/>
      <c r="J1859" s="22"/>
      <c r="K1859" s="108"/>
      <c r="L1859" s="26"/>
      <c r="M1859" s="26"/>
    </row>
    <row r="1860">
      <c r="A1860" s="12"/>
      <c r="B1860" s="13"/>
      <c r="C1860" s="14"/>
      <c r="D1860" s="14"/>
      <c r="E1860" s="15"/>
      <c r="F1860" s="16"/>
      <c r="G1860" s="18"/>
      <c r="H1860" s="15"/>
      <c r="I1860" s="18"/>
      <c r="J1860" s="22"/>
      <c r="K1860" s="108"/>
      <c r="L1860" s="26"/>
      <c r="M1860" s="26"/>
    </row>
    <row r="1861">
      <c r="A1861" s="12"/>
      <c r="B1861" s="13"/>
      <c r="C1861" s="14"/>
      <c r="D1861" s="14"/>
      <c r="E1861" s="15"/>
      <c r="F1861" s="16"/>
      <c r="G1861" s="18"/>
      <c r="H1861" s="15"/>
      <c r="I1861" s="18"/>
      <c r="J1861" s="22"/>
      <c r="K1861" s="108"/>
      <c r="L1861" s="26"/>
      <c r="M1861" s="26"/>
    </row>
    <row r="1862">
      <c r="A1862" s="12"/>
      <c r="B1862" s="13"/>
      <c r="C1862" s="14"/>
      <c r="D1862" s="14"/>
      <c r="E1862" s="15"/>
      <c r="F1862" s="16"/>
      <c r="G1862" s="18"/>
      <c r="H1862" s="15"/>
      <c r="I1862" s="18"/>
      <c r="J1862" s="22"/>
      <c r="K1862" s="108"/>
      <c r="L1862" s="26"/>
      <c r="M1862" s="26"/>
    </row>
    <row r="1863">
      <c r="A1863" s="12"/>
      <c r="B1863" s="13"/>
      <c r="C1863" s="14"/>
      <c r="D1863" s="14"/>
      <c r="E1863" s="15"/>
      <c r="F1863" s="16"/>
      <c r="G1863" s="18"/>
      <c r="H1863" s="15"/>
      <c r="I1863" s="18"/>
      <c r="J1863" s="22"/>
      <c r="K1863" s="108"/>
      <c r="L1863" s="26"/>
      <c r="M1863" s="26"/>
    </row>
    <row r="1864">
      <c r="A1864" s="12"/>
      <c r="B1864" s="13"/>
      <c r="C1864" s="14"/>
      <c r="D1864" s="14"/>
      <c r="E1864" s="15"/>
      <c r="F1864" s="16"/>
      <c r="G1864" s="18"/>
      <c r="H1864" s="15"/>
      <c r="I1864" s="18"/>
      <c r="J1864" s="22"/>
      <c r="K1864" s="108"/>
      <c r="L1864" s="26"/>
      <c r="M1864" s="26"/>
    </row>
    <row r="1865">
      <c r="A1865" s="12"/>
      <c r="B1865" s="13"/>
      <c r="C1865" s="14"/>
      <c r="D1865" s="14"/>
      <c r="E1865" s="15"/>
      <c r="F1865" s="16"/>
      <c r="G1865" s="18"/>
      <c r="H1865" s="15"/>
      <c r="I1865" s="18"/>
      <c r="J1865" s="22"/>
      <c r="K1865" s="108"/>
      <c r="L1865" s="26"/>
      <c r="M1865" s="26"/>
    </row>
    <row r="1866">
      <c r="A1866" s="12"/>
      <c r="B1866" s="13"/>
      <c r="C1866" s="14"/>
      <c r="D1866" s="14"/>
      <c r="E1866" s="15"/>
      <c r="F1866" s="16"/>
      <c r="G1866" s="18"/>
      <c r="H1866" s="15"/>
      <c r="I1866" s="18"/>
      <c r="J1866" s="22"/>
      <c r="K1866" s="108"/>
      <c r="L1866" s="26"/>
      <c r="M1866" s="26"/>
    </row>
    <row r="1867">
      <c r="A1867" s="12"/>
      <c r="B1867" s="13"/>
      <c r="C1867" s="14"/>
      <c r="D1867" s="14"/>
      <c r="E1867" s="15"/>
      <c r="F1867" s="16"/>
      <c r="G1867" s="18"/>
      <c r="H1867" s="15"/>
      <c r="I1867" s="18"/>
      <c r="J1867" s="22"/>
      <c r="K1867" s="108"/>
      <c r="L1867" s="26"/>
      <c r="M1867" s="26"/>
    </row>
    <row r="1868">
      <c r="A1868" s="12"/>
      <c r="B1868" s="13"/>
      <c r="C1868" s="14"/>
      <c r="D1868" s="14"/>
      <c r="E1868" s="15"/>
      <c r="F1868" s="16"/>
      <c r="G1868" s="18"/>
      <c r="H1868" s="15"/>
      <c r="I1868" s="18"/>
      <c r="J1868" s="22"/>
      <c r="K1868" s="108"/>
      <c r="L1868" s="26"/>
      <c r="M1868" s="26"/>
    </row>
    <row r="1869">
      <c r="A1869" s="12"/>
      <c r="B1869" s="13"/>
      <c r="C1869" s="14"/>
      <c r="D1869" s="14"/>
      <c r="E1869" s="15"/>
      <c r="F1869" s="16"/>
      <c r="G1869" s="18"/>
      <c r="H1869" s="15"/>
      <c r="I1869" s="18"/>
      <c r="J1869" s="22"/>
      <c r="K1869" s="108"/>
      <c r="L1869" s="26"/>
      <c r="M1869" s="26"/>
    </row>
    <row r="1870">
      <c r="A1870" s="12"/>
      <c r="B1870" s="13"/>
      <c r="C1870" s="14"/>
      <c r="D1870" s="14"/>
      <c r="E1870" s="15"/>
      <c r="F1870" s="16"/>
      <c r="G1870" s="18"/>
      <c r="H1870" s="15"/>
      <c r="I1870" s="18"/>
      <c r="J1870" s="22"/>
      <c r="K1870" s="108"/>
      <c r="L1870" s="26"/>
      <c r="M1870" s="26"/>
    </row>
    <row r="1871">
      <c r="A1871" s="12"/>
      <c r="B1871" s="13"/>
      <c r="C1871" s="14"/>
      <c r="D1871" s="14"/>
      <c r="E1871" s="15"/>
      <c r="F1871" s="16"/>
      <c r="G1871" s="18"/>
      <c r="H1871" s="15"/>
      <c r="I1871" s="18"/>
      <c r="J1871" s="22"/>
      <c r="K1871" s="108"/>
      <c r="L1871" s="26"/>
      <c r="M1871" s="26"/>
    </row>
    <row r="1872">
      <c r="A1872" s="12"/>
      <c r="B1872" s="13"/>
      <c r="C1872" s="14"/>
      <c r="D1872" s="14"/>
      <c r="E1872" s="15"/>
      <c r="F1872" s="16"/>
      <c r="G1872" s="18"/>
      <c r="H1872" s="15"/>
      <c r="I1872" s="18"/>
      <c r="J1872" s="22"/>
      <c r="K1872" s="108"/>
      <c r="L1872" s="26"/>
      <c r="M1872" s="26"/>
    </row>
    <row r="1873">
      <c r="A1873" s="12"/>
      <c r="B1873" s="13"/>
      <c r="C1873" s="14"/>
      <c r="D1873" s="14"/>
      <c r="E1873" s="15"/>
      <c r="F1873" s="16"/>
      <c r="G1873" s="18"/>
      <c r="H1873" s="15"/>
      <c r="I1873" s="18"/>
      <c r="J1873" s="22"/>
      <c r="K1873" s="108"/>
      <c r="L1873" s="26"/>
      <c r="M1873" s="26"/>
    </row>
    <row r="1874">
      <c r="A1874" s="12"/>
      <c r="B1874" s="13"/>
      <c r="C1874" s="14"/>
      <c r="D1874" s="14"/>
      <c r="E1874" s="15"/>
      <c r="F1874" s="16"/>
      <c r="G1874" s="18"/>
      <c r="H1874" s="15"/>
      <c r="I1874" s="18"/>
      <c r="J1874" s="22"/>
      <c r="K1874" s="108"/>
      <c r="L1874" s="26"/>
      <c r="M1874" s="26"/>
    </row>
    <row r="1875">
      <c r="A1875" s="12"/>
      <c r="B1875" s="13"/>
      <c r="C1875" s="14"/>
      <c r="D1875" s="14"/>
      <c r="E1875" s="15"/>
      <c r="F1875" s="16"/>
      <c r="G1875" s="18"/>
      <c r="H1875" s="15"/>
      <c r="I1875" s="18"/>
      <c r="J1875" s="22"/>
      <c r="K1875" s="108"/>
      <c r="L1875" s="26"/>
      <c r="M1875" s="26"/>
    </row>
    <row r="1876">
      <c r="A1876" s="12"/>
      <c r="B1876" s="13"/>
      <c r="C1876" s="14"/>
      <c r="D1876" s="14"/>
      <c r="E1876" s="15"/>
      <c r="F1876" s="16"/>
      <c r="G1876" s="18"/>
      <c r="H1876" s="15"/>
      <c r="I1876" s="18"/>
      <c r="J1876" s="22"/>
      <c r="K1876" s="108"/>
      <c r="L1876" s="26"/>
      <c r="M1876" s="26"/>
    </row>
    <row r="1877">
      <c r="A1877" s="12"/>
      <c r="B1877" s="13"/>
      <c r="C1877" s="14"/>
      <c r="D1877" s="14"/>
      <c r="E1877" s="15"/>
      <c r="F1877" s="16"/>
      <c r="G1877" s="18"/>
      <c r="H1877" s="15"/>
      <c r="I1877" s="18"/>
      <c r="J1877" s="22"/>
      <c r="K1877" s="108"/>
      <c r="L1877" s="26"/>
      <c r="M1877" s="26"/>
    </row>
    <row r="1878">
      <c r="A1878" s="12"/>
      <c r="B1878" s="13"/>
      <c r="C1878" s="14"/>
      <c r="D1878" s="14"/>
      <c r="E1878" s="15"/>
      <c r="F1878" s="16"/>
      <c r="G1878" s="18"/>
      <c r="H1878" s="15"/>
      <c r="I1878" s="18"/>
      <c r="J1878" s="22"/>
      <c r="K1878" s="108"/>
      <c r="L1878" s="26"/>
      <c r="M1878" s="26"/>
    </row>
    <row r="1879">
      <c r="A1879" s="12"/>
      <c r="B1879" s="13"/>
      <c r="C1879" s="14"/>
      <c r="D1879" s="14"/>
      <c r="E1879" s="15"/>
      <c r="F1879" s="16"/>
      <c r="G1879" s="18"/>
      <c r="H1879" s="15"/>
      <c r="I1879" s="18"/>
      <c r="J1879" s="22"/>
      <c r="K1879" s="108"/>
      <c r="L1879" s="26"/>
      <c r="M1879" s="26"/>
    </row>
    <row r="1880">
      <c r="A1880" s="12"/>
      <c r="B1880" s="13"/>
      <c r="C1880" s="14"/>
      <c r="D1880" s="14"/>
      <c r="E1880" s="15"/>
      <c r="F1880" s="16"/>
      <c r="G1880" s="18"/>
      <c r="H1880" s="15"/>
      <c r="I1880" s="18"/>
      <c r="J1880" s="22"/>
      <c r="K1880" s="108"/>
      <c r="L1880" s="26"/>
      <c r="M1880" s="26"/>
    </row>
    <row r="1881">
      <c r="A1881" s="12"/>
      <c r="B1881" s="13"/>
      <c r="C1881" s="14"/>
      <c r="D1881" s="14"/>
      <c r="E1881" s="15"/>
      <c r="F1881" s="16"/>
      <c r="G1881" s="18"/>
      <c r="H1881" s="15"/>
      <c r="I1881" s="18"/>
      <c r="J1881" s="22"/>
      <c r="K1881" s="108"/>
      <c r="L1881" s="26"/>
      <c r="M1881" s="26"/>
    </row>
    <row r="1882">
      <c r="A1882" s="12"/>
      <c r="B1882" s="13"/>
      <c r="C1882" s="14"/>
      <c r="D1882" s="14"/>
      <c r="E1882" s="15"/>
      <c r="F1882" s="16"/>
      <c r="G1882" s="18"/>
      <c r="H1882" s="15"/>
      <c r="I1882" s="18"/>
      <c r="J1882" s="22"/>
      <c r="K1882" s="108"/>
      <c r="L1882" s="26"/>
      <c r="M1882" s="26"/>
    </row>
    <row r="1883">
      <c r="A1883" s="12"/>
      <c r="B1883" s="13"/>
      <c r="C1883" s="14"/>
      <c r="D1883" s="14"/>
      <c r="E1883" s="15"/>
      <c r="F1883" s="16"/>
      <c r="G1883" s="18"/>
      <c r="H1883" s="15"/>
      <c r="I1883" s="18"/>
      <c r="J1883" s="22"/>
      <c r="K1883" s="108"/>
      <c r="L1883" s="26"/>
      <c r="M1883" s="26"/>
    </row>
    <row r="1884">
      <c r="A1884" s="12"/>
      <c r="B1884" s="13"/>
      <c r="C1884" s="14"/>
      <c r="D1884" s="14"/>
      <c r="E1884" s="15"/>
      <c r="F1884" s="16"/>
      <c r="G1884" s="18"/>
      <c r="H1884" s="15"/>
      <c r="I1884" s="18"/>
      <c r="J1884" s="22"/>
      <c r="K1884" s="108"/>
      <c r="L1884" s="26"/>
      <c r="M1884" s="26"/>
    </row>
    <row r="1885">
      <c r="A1885" s="12"/>
      <c r="B1885" s="13"/>
      <c r="C1885" s="14"/>
      <c r="D1885" s="14"/>
      <c r="E1885" s="15"/>
      <c r="F1885" s="16"/>
      <c r="G1885" s="18"/>
      <c r="H1885" s="15"/>
      <c r="I1885" s="18"/>
      <c r="J1885" s="22"/>
      <c r="K1885" s="108"/>
      <c r="L1885" s="26"/>
      <c r="M1885" s="26"/>
    </row>
    <row r="1886">
      <c r="A1886" s="12"/>
      <c r="B1886" s="13"/>
      <c r="C1886" s="14"/>
      <c r="D1886" s="14"/>
      <c r="E1886" s="15"/>
      <c r="F1886" s="16"/>
      <c r="G1886" s="18"/>
      <c r="H1886" s="15"/>
      <c r="I1886" s="18"/>
      <c r="J1886" s="22"/>
      <c r="K1886" s="108"/>
      <c r="L1886" s="26"/>
      <c r="M1886" s="26"/>
    </row>
    <row r="1887">
      <c r="A1887" s="12"/>
      <c r="B1887" s="13"/>
      <c r="C1887" s="14"/>
      <c r="D1887" s="14"/>
      <c r="E1887" s="15"/>
      <c r="F1887" s="16"/>
      <c r="G1887" s="18"/>
      <c r="H1887" s="15"/>
      <c r="I1887" s="18"/>
      <c r="J1887" s="22"/>
      <c r="K1887" s="108"/>
      <c r="L1887" s="26"/>
      <c r="M1887" s="26"/>
    </row>
    <row r="1888">
      <c r="A1888" s="12"/>
      <c r="B1888" s="13"/>
      <c r="C1888" s="14"/>
      <c r="D1888" s="14"/>
      <c r="E1888" s="15"/>
      <c r="F1888" s="16"/>
      <c r="G1888" s="18"/>
      <c r="H1888" s="15"/>
      <c r="I1888" s="18"/>
      <c r="J1888" s="22"/>
      <c r="K1888" s="108"/>
      <c r="L1888" s="26"/>
      <c r="M1888" s="26"/>
    </row>
    <row r="1889">
      <c r="A1889" s="12"/>
      <c r="B1889" s="13"/>
      <c r="C1889" s="14"/>
      <c r="D1889" s="14"/>
      <c r="E1889" s="15"/>
      <c r="F1889" s="16"/>
      <c r="G1889" s="18"/>
      <c r="H1889" s="15"/>
      <c r="I1889" s="18"/>
      <c r="J1889" s="22"/>
      <c r="K1889" s="108"/>
      <c r="L1889" s="26"/>
      <c r="M1889" s="26"/>
    </row>
    <row r="1890">
      <c r="A1890" s="12"/>
      <c r="B1890" s="13"/>
      <c r="C1890" s="14"/>
      <c r="D1890" s="14"/>
      <c r="E1890" s="15"/>
      <c r="F1890" s="16"/>
      <c r="G1890" s="18"/>
      <c r="H1890" s="15"/>
      <c r="I1890" s="18"/>
      <c r="J1890" s="22"/>
      <c r="K1890" s="108"/>
      <c r="L1890" s="26"/>
      <c r="M1890" s="26"/>
    </row>
    <row r="1891">
      <c r="A1891" s="12"/>
      <c r="B1891" s="13"/>
      <c r="C1891" s="14"/>
      <c r="D1891" s="14"/>
      <c r="E1891" s="15"/>
      <c r="F1891" s="16"/>
      <c r="G1891" s="18"/>
      <c r="H1891" s="15"/>
      <c r="I1891" s="18"/>
      <c r="J1891" s="22"/>
      <c r="K1891" s="108"/>
      <c r="L1891" s="26"/>
      <c r="M1891" s="26"/>
    </row>
    <row r="1892">
      <c r="A1892" s="12"/>
      <c r="B1892" s="13"/>
      <c r="C1892" s="14"/>
      <c r="D1892" s="14"/>
      <c r="E1892" s="15"/>
      <c r="F1892" s="16"/>
      <c r="G1892" s="18"/>
      <c r="H1892" s="15"/>
      <c r="I1892" s="18"/>
      <c r="J1892" s="22"/>
      <c r="K1892" s="108"/>
      <c r="L1892" s="26"/>
      <c r="M1892" s="26"/>
    </row>
    <row r="1893">
      <c r="A1893" s="12"/>
      <c r="B1893" s="13"/>
      <c r="C1893" s="14"/>
      <c r="D1893" s="14"/>
      <c r="E1893" s="15"/>
      <c r="F1893" s="16"/>
      <c r="G1893" s="18"/>
      <c r="H1893" s="15"/>
      <c r="I1893" s="18"/>
      <c r="J1893" s="22"/>
      <c r="K1893" s="108"/>
      <c r="L1893" s="26"/>
      <c r="M1893" s="26"/>
    </row>
    <row r="1894">
      <c r="A1894" s="12"/>
      <c r="B1894" s="13"/>
      <c r="C1894" s="14"/>
      <c r="D1894" s="14"/>
      <c r="E1894" s="15"/>
      <c r="F1894" s="16"/>
      <c r="G1894" s="18"/>
      <c r="H1894" s="15"/>
      <c r="I1894" s="18"/>
      <c r="J1894" s="22"/>
      <c r="K1894" s="108"/>
      <c r="L1894" s="26"/>
      <c r="M1894" s="26"/>
    </row>
    <row r="1895">
      <c r="A1895" s="12"/>
      <c r="B1895" s="13"/>
      <c r="C1895" s="14"/>
      <c r="D1895" s="14"/>
      <c r="E1895" s="15"/>
      <c r="F1895" s="16"/>
      <c r="G1895" s="18"/>
      <c r="H1895" s="15"/>
      <c r="I1895" s="18"/>
      <c r="J1895" s="22"/>
      <c r="K1895" s="108"/>
      <c r="L1895" s="26"/>
      <c r="M1895" s="26"/>
    </row>
    <row r="1896">
      <c r="A1896" s="12"/>
      <c r="B1896" s="13"/>
      <c r="C1896" s="14"/>
      <c r="D1896" s="14"/>
      <c r="E1896" s="15"/>
      <c r="F1896" s="16"/>
      <c r="G1896" s="18"/>
      <c r="H1896" s="15"/>
      <c r="I1896" s="18"/>
      <c r="J1896" s="22"/>
      <c r="K1896" s="108"/>
      <c r="L1896" s="26"/>
      <c r="M1896" s="26"/>
    </row>
    <row r="1897">
      <c r="A1897" s="12"/>
      <c r="B1897" s="13"/>
      <c r="C1897" s="14"/>
      <c r="D1897" s="14"/>
      <c r="E1897" s="15"/>
      <c r="F1897" s="16"/>
      <c r="G1897" s="18"/>
      <c r="H1897" s="15"/>
      <c r="I1897" s="18"/>
      <c r="J1897" s="22"/>
      <c r="K1897" s="108"/>
      <c r="L1897" s="26"/>
      <c r="M1897" s="26"/>
    </row>
    <row r="1898">
      <c r="A1898" s="12"/>
      <c r="B1898" s="13"/>
      <c r="C1898" s="14"/>
      <c r="D1898" s="14"/>
      <c r="E1898" s="15"/>
      <c r="F1898" s="16"/>
      <c r="G1898" s="18"/>
      <c r="H1898" s="15"/>
      <c r="I1898" s="18"/>
      <c r="J1898" s="22"/>
      <c r="K1898" s="108"/>
      <c r="L1898" s="26"/>
      <c r="M1898" s="26"/>
    </row>
    <row r="1899">
      <c r="A1899" s="12"/>
      <c r="B1899" s="13"/>
      <c r="C1899" s="14"/>
      <c r="D1899" s="14"/>
      <c r="E1899" s="15"/>
      <c r="F1899" s="16"/>
      <c r="G1899" s="18"/>
      <c r="H1899" s="15"/>
      <c r="I1899" s="18"/>
      <c r="J1899" s="22"/>
      <c r="K1899" s="108"/>
      <c r="L1899" s="26"/>
      <c r="M1899" s="26"/>
    </row>
    <row r="1900">
      <c r="A1900" s="12"/>
      <c r="B1900" s="13"/>
      <c r="C1900" s="14"/>
      <c r="D1900" s="14"/>
      <c r="E1900" s="15"/>
      <c r="F1900" s="16"/>
      <c r="G1900" s="18"/>
      <c r="H1900" s="15"/>
      <c r="I1900" s="18"/>
      <c r="J1900" s="22"/>
      <c r="K1900" s="108"/>
      <c r="L1900" s="26"/>
      <c r="M1900" s="26"/>
    </row>
    <row r="1901">
      <c r="A1901" s="12"/>
      <c r="B1901" s="13"/>
      <c r="C1901" s="14"/>
      <c r="D1901" s="14"/>
      <c r="E1901" s="15"/>
      <c r="F1901" s="16"/>
      <c r="G1901" s="18"/>
      <c r="H1901" s="15"/>
      <c r="I1901" s="18"/>
      <c r="J1901" s="22"/>
      <c r="K1901" s="108"/>
      <c r="L1901" s="26"/>
      <c r="M1901" s="26"/>
    </row>
    <row r="1902">
      <c r="A1902" s="12"/>
      <c r="B1902" s="13"/>
      <c r="C1902" s="14"/>
      <c r="D1902" s="14"/>
      <c r="E1902" s="15"/>
      <c r="F1902" s="16"/>
      <c r="G1902" s="18"/>
      <c r="H1902" s="15"/>
      <c r="I1902" s="18"/>
      <c r="J1902" s="22"/>
      <c r="K1902" s="108"/>
      <c r="L1902" s="26"/>
      <c r="M1902" s="26"/>
    </row>
    <row r="1903">
      <c r="A1903" s="12"/>
      <c r="B1903" s="13"/>
      <c r="C1903" s="14"/>
      <c r="D1903" s="14"/>
      <c r="E1903" s="15"/>
      <c r="F1903" s="16"/>
      <c r="G1903" s="18"/>
      <c r="H1903" s="15"/>
      <c r="I1903" s="18"/>
      <c r="J1903" s="22"/>
      <c r="K1903" s="108"/>
      <c r="L1903" s="26"/>
      <c r="M1903" s="26"/>
    </row>
    <row r="1904">
      <c r="A1904" s="12"/>
      <c r="B1904" s="13"/>
      <c r="C1904" s="14"/>
      <c r="D1904" s="14"/>
      <c r="E1904" s="15"/>
      <c r="F1904" s="16"/>
      <c r="G1904" s="18"/>
      <c r="H1904" s="15"/>
      <c r="I1904" s="18"/>
      <c r="J1904" s="22"/>
      <c r="K1904" s="108"/>
      <c r="L1904" s="26"/>
      <c r="M1904" s="26"/>
    </row>
    <row r="1905">
      <c r="A1905" s="12"/>
      <c r="B1905" s="13"/>
      <c r="C1905" s="14"/>
      <c r="D1905" s="14"/>
      <c r="E1905" s="15"/>
      <c r="F1905" s="16"/>
      <c r="G1905" s="18"/>
      <c r="H1905" s="15"/>
      <c r="I1905" s="18"/>
      <c r="J1905" s="22"/>
      <c r="K1905" s="108"/>
      <c r="L1905" s="26"/>
      <c r="M1905" s="26"/>
    </row>
    <row r="1906">
      <c r="A1906" s="12"/>
      <c r="B1906" s="13"/>
      <c r="C1906" s="14"/>
      <c r="D1906" s="14"/>
      <c r="E1906" s="15"/>
      <c r="F1906" s="16"/>
      <c r="G1906" s="18"/>
      <c r="H1906" s="15"/>
      <c r="I1906" s="18"/>
      <c r="J1906" s="22"/>
      <c r="K1906" s="108"/>
      <c r="L1906" s="26"/>
      <c r="M1906" s="26"/>
    </row>
    <row r="1907">
      <c r="A1907" s="12"/>
      <c r="B1907" s="13"/>
      <c r="C1907" s="14"/>
      <c r="D1907" s="14"/>
      <c r="E1907" s="15"/>
      <c r="F1907" s="16"/>
      <c r="G1907" s="18"/>
      <c r="H1907" s="15"/>
      <c r="I1907" s="18"/>
      <c r="J1907" s="22"/>
      <c r="K1907" s="108"/>
      <c r="L1907" s="26"/>
      <c r="M1907" s="26"/>
    </row>
    <row r="1908">
      <c r="A1908" s="12"/>
      <c r="B1908" s="13"/>
      <c r="C1908" s="14"/>
      <c r="D1908" s="14"/>
      <c r="E1908" s="15"/>
      <c r="F1908" s="16"/>
      <c r="G1908" s="18"/>
      <c r="H1908" s="15"/>
      <c r="I1908" s="18"/>
      <c r="J1908" s="22"/>
      <c r="K1908" s="108"/>
      <c r="L1908" s="26"/>
      <c r="M1908" s="26"/>
    </row>
    <row r="1909">
      <c r="A1909" s="12"/>
      <c r="B1909" s="13"/>
      <c r="C1909" s="14"/>
      <c r="D1909" s="14"/>
      <c r="E1909" s="15"/>
      <c r="F1909" s="16"/>
      <c r="G1909" s="18"/>
      <c r="H1909" s="15"/>
      <c r="I1909" s="18"/>
      <c r="J1909" s="22"/>
      <c r="K1909" s="108"/>
      <c r="L1909" s="26"/>
      <c r="M1909" s="26"/>
    </row>
    <row r="1910">
      <c r="A1910" s="12"/>
      <c r="B1910" s="13"/>
      <c r="C1910" s="14"/>
      <c r="D1910" s="14"/>
      <c r="E1910" s="15"/>
      <c r="F1910" s="16"/>
      <c r="G1910" s="18"/>
      <c r="H1910" s="15"/>
      <c r="I1910" s="18"/>
      <c r="J1910" s="22"/>
      <c r="K1910" s="108"/>
      <c r="L1910" s="26"/>
      <c r="M1910" s="26"/>
    </row>
    <row r="1911">
      <c r="A1911" s="12"/>
      <c r="B1911" s="13"/>
      <c r="C1911" s="14"/>
      <c r="D1911" s="14"/>
      <c r="E1911" s="15"/>
      <c r="F1911" s="16"/>
      <c r="G1911" s="18"/>
      <c r="H1911" s="15"/>
      <c r="I1911" s="18"/>
      <c r="J1911" s="22"/>
      <c r="K1911" s="108"/>
      <c r="L1911" s="26"/>
      <c r="M1911" s="26"/>
    </row>
    <row r="1912">
      <c r="A1912" s="12"/>
      <c r="B1912" s="13"/>
      <c r="C1912" s="14"/>
      <c r="D1912" s="14"/>
      <c r="E1912" s="15"/>
      <c r="F1912" s="16"/>
      <c r="G1912" s="18"/>
      <c r="H1912" s="15"/>
      <c r="I1912" s="18"/>
      <c r="J1912" s="22"/>
      <c r="K1912" s="108"/>
      <c r="L1912" s="26"/>
      <c r="M1912" s="26"/>
    </row>
    <row r="1913">
      <c r="A1913" s="12"/>
      <c r="B1913" s="13"/>
      <c r="C1913" s="14"/>
      <c r="D1913" s="14"/>
      <c r="E1913" s="15"/>
      <c r="F1913" s="16"/>
      <c r="G1913" s="18"/>
      <c r="H1913" s="15"/>
      <c r="I1913" s="18"/>
      <c r="J1913" s="22"/>
      <c r="K1913" s="108"/>
      <c r="L1913" s="26"/>
      <c r="M1913" s="26"/>
    </row>
    <row r="1914">
      <c r="A1914" s="12"/>
      <c r="B1914" s="13"/>
      <c r="C1914" s="14"/>
      <c r="D1914" s="14"/>
      <c r="E1914" s="15"/>
      <c r="F1914" s="16"/>
      <c r="G1914" s="18"/>
      <c r="H1914" s="15"/>
      <c r="I1914" s="18"/>
      <c r="J1914" s="22"/>
      <c r="K1914" s="108"/>
      <c r="L1914" s="26"/>
      <c r="M1914" s="26"/>
    </row>
    <row r="1915">
      <c r="A1915" s="12"/>
      <c r="B1915" s="13"/>
      <c r="C1915" s="14"/>
      <c r="D1915" s="14"/>
      <c r="E1915" s="15"/>
      <c r="F1915" s="16"/>
      <c r="G1915" s="18"/>
      <c r="H1915" s="15"/>
      <c r="I1915" s="18"/>
      <c r="J1915" s="22"/>
      <c r="K1915" s="108"/>
      <c r="L1915" s="26"/>
      <c r="M1915" s="26"/>
    </row>
    <row r="1916">
      <c r="A1916" s="12"/>
      <c r="B1916" s="13"/>
      <c r="C1916" s="14"/>
      <c r="D1916" s="14"/>
      <c r="E1916" s="15"/>
      <c r="F1916" s="16"/>
      <c r="G1916" s="18"/>
      <c r="H1916" s="15"/>
      <c r="I1916" s="18"/>
      <c r="J1916" s="22"/>
      <c r="K1916" s="108"/>
      <c r="L1916" s="26"/>
      <c r="M1916" s="26"/>
    </row>
    <row r="1917">
      <c r="A1917" s="12"/>
      <c r="B1917" s="13"/>
      <c r="C1917" s="14"/>
      <c r="D1917" s="14"/>
      <c r="E1917" s="15"/>
      <c r="F1917" s="16"/>
      <c r="G1917" s="18"/>
      <c r="H1917" s="15"/>
      <c r="I1917" s="18"/>
      <c r="J1917" s="22"/>
      <c r="K1917" s="108"/>
      <c r="L1917" s="26"/>
      <c r="M1917" s="26"/>
    </row>
    <row r="1918">
      <c r="A1918" s="12"/>
      <c r="B1918" s="13"/>
      <c r="C1918" s="14"/>
      <c r="D1918" s="14"/>
      <c r="E1918" s="15"/>
      <c r="F1918" s="16"/>
      <c r="G1918" s="18"/>
      <c r="H1918" s="15"/>
      <c r="I1918" s="18"/>
      <c r="J1918" s="22"/>
      <c r="K1918" s="108"/>
      <c r="L1918" s="26"/>
      <c r="M1918" s="26"/>
    </row>
    <row r="1919">
      <c r="A1919" s="12"/>
      <c r="B1919" s="13"/>
      <c r="C1919" s="14"/>
      <c r="D1919" s="14"/>
      <c r="E1919" s="15"/>
      <c r="F1919" s="16"/>
      <c r="G1919" s="18"/>
      <c r="H1919" s="15"/>
      <c r="I1919" s="18"/>
      <c r="J1919" s="22"/>
      <c r="K1919" s="108"/>
      <c r="L1919" s="26"/>
      <c r="M1919" s="26"/>
    </row>
    <row r="1920">
      <c r="A1920" s="12"/>
      <c r="B1920" s="13"/>
      <c r="C1920" s="14"/>
      <c r="D1920" s="14"/>
      <c r="E1920" s="15"/>
      <c r="F1920" s="16"/>
      <c r="G1920" s="18"/>
      <c r="H1920" s="15"/>
      <c r="I1920" s="18"/>
      <c r="J1920" s="22"/>
      <c r="K1920" s="108"/>
      <c r="L1920" s="26"/>
      <c r="M1920" s="26"/>
    </row>
    <row r="1921">
      <c r="A1921" s="12"/>
      <c r="B1921" s="13"/>
      <c r="C1921" s="14"/>
      <c r="D1921" s="14"/>
      <c r="E1921" s="15"/>
      <c r="F1921" s="16"/>
      <c r="G1921" s="18"/>
      <c r="H1921" s="15"/>
      <c r="I1921" s="18"/>
      <c r="J1921" s="22"/>
      <c r="K1921" s="108"/>
      <c r="L1921" s="26"/>
      <c r="M1921" s="26"/>
    </row>
    <row r="1922">
      <c r="A1922" s="12"/>
      <c r="B1922" s="13"/>
      <c r="C1922" s="14"/>
      <c r="D1922" s="14"/>
      <c r="E1922" s="15"/>
      <c r="F1922" s="16"/>
      <c r="G1922" s="18"/>
      <c r="H1922" s="15"/>
      <c r="I1922" s="18"/>
      <c r="J1922" s="22"/>
      <c r="K1922" s="108"/>
      <c r="L1922" s="26"/>
      <c r="M1922" s="26"/>
    </row>
    <row r="1923">
      <c r="A1923" s="12"/>
      <c r="B1923" s="13"/>
      <c r="C1923" s="14"/>
      <c r="D1923" s="14"/>
      <c r="E1923" s="15"/>
      <c r="F1923" s="16"/>
      <c r="G1923" s="18"/>
      <c r="H1923" s="15"/>
      <c r="I1923" s="18"/>
      <c r="J1923" s="22"/>
      <c r="K1923" s="108"/>
      <c r="L1923" s="26"/>
      <c r="M1923" s="26"/>
    </row>
    <row r="1924">
      <c r="A1924" s="12"/>
      <c r="B1924" s="13"/>
      <c r="C1924" s="14"/>
      <c r="D1924" s="14"/>
      <c r="E1924" s="15"/>
      <c r="F1924" s="16"/>
      <c r="G1924" s="18"/>
      <c r="H1924" s="15"/>
      <c r="I1924" s="18"/>
      <c r="J1924" s="22"/>
      <c r="K1924" s="108"/>
      <c r="L1924" s="26"/>
      <c r="M1924" s="26"/>
    </row>
    <row r="1925">
      <c r="A1925" s="12"/>
      <c r="B1925" s="13"/>
      <c r="C1925" s="14"/>
      <c r="D1925" s="14"/>
      <c r="E1925" s="15"/>
      <c r="F1925" s="16"/>
      <c r="G1925" s="18"/>
      <c r="H1925" s="15"/>
      <c r="I1925" s="18"/>
      <c r="J1925" s="22"/>
      <c r="K1925" s="108"/>
      <c r="L1925" s="26"/>
      <c r="M1925" s="26"/>
    </row>
    <row r="1926">
      <c r="A1926" s="12"/>
      <c r="B1926" s="13"/>
      <c r="C1926" s="14"/>
      <c r="D1926" s="14"/>
      <c r="E1926" s="15"/>
      <c r="F1926" s="16"/>
      <c r="G1926" s="18"/>
      <c r="H1926" s="15"/>
      <c r="I1926" s="18"/>
      <c r="J1926" s="22"/>
      <c r="K1926" s="108"/>
      <c r="L1926" s="26"/>
      <c r="M1926" s="26"/>
    </row>
    <row r="1927">
      <c r="A1927" s="12"/>
      <c r="B1927" s="13"/>
      <c r="C1927" s="14"/>
      <c r="D1927" s="14"/>
      <c r="E1927" s="15"/>
      <c r="F1927" s="16"/>
      <c r="G1927" s="18"/>
      <c r="H1927" s="15"/>
      <c r="I1927" s="18"/>
      <c r="J1927" s="22"/>
      <c r="K1927" s="108"/>
      <c r="L1927" s="26"/>
      <c r="M1927" s="26"/>
    </row>
    <row r="1928">
      <c r="A1928" s="12"/>
      <c r="B1928" s="13"/>
      <c r="C1928" s="14"/>
      <c r="D1928" s="14"/>
      <c r="E1928" s="15"/>
      <c r="F1928" s="16"/>
      <c r="G1928" s="18"/>
      <c r="H1928" s="15"/>
      <c r="I1928" s="18"/>
      <c r="J1928" s="22"/>
      <c r="K1928" s="108"/>
      <c r="L1928" s="26"/>
      <c r="M1928" s="26"/>
    </row>
    <row r="1929">
      <c r="A1929" s="12"/>
      <c r="B1929" s="13"/>
      <c r="C1929" s="14"/>
      <c r="D1929" s="14"/>
      <c r="E1929" s="15"/>
      <c r="F1929" s="16"/>
      <c r="G1929" s="18"/>
      <c r="H1929" s="15"/>
      <c r="I1929" s="18"/>
      <c r="J1929" s="22"/>
      <c r="K1929" s="108"/>
      <c r="L1929" s="26"/>
      <c r="M1929" s="26"/>
    </row>
    <row r="1930">
      <c r="A1930" s="12"/>
      <c r="B1930" s="13"/>
      <c r="C1930" s="14"/>
      <c r="D1930" s="14"/>
      <c r="E1930" s="15"/>
      <c r="F1930" s="16"/>
      <c r="G1930" s="18"/>
      <c r="H1930" s="15"/>
      <c r="I1930" s="18"/>
      <c r="J1930" s="22"/>
      <c r="K1930" s="108"/>
      <c r="L1930" s="26"/>
      <c r="M1930" s="26"/>
    </row>
    <row r="1931">
      <c r="A1931" s="12"/>
      <c r="B1931" s="13"/>
      <c r="C1931" s="14"/>
      <c r="D1931" s="14"/>
      <c r="E1931" s="15"/>
      <c r="F1931" s="16"/>
      <c r="G1931" s="18"/>
      <c r="H1931" s="15"/>
      <c r="I1931" s="18"/>
      <c r="J1931" s="22"/>
      <c r="K1931" s="108"/>
      <c r="L1931" s="26"/>
      <c r="M1931" s="26"/>
    </row>
    <row r="1932">
      <c r="A1932" s="12"/>
      <c r="B1932" s="13"/>
      <c r="C1932" s="14"/>
      <c r="D1932" s="14"/>
      <c r="E1932" s="15"/>
      <c r="F1932" s="16"/>
      <c r="G1932" s="18"/>
      <c r="H1932" s="15"/>
      <c r="I1932" s="18"/>
      <c r="J1932" s="22"/>
      <c r="K1932" s="108"/>
      <c r="L1932" s="26"/>
      <c r="M1932" s="26"/>
    </row>
    <row r="1933">
      <c r="A1933" s="12"/>
      <c r="B1933" s="13"/>
      <c r="C1933" s="14"/>
      <c r="D1933" s="14"/>
      <c r="E1933" s="15"/>
      <c r="F1933" s="16"/>
      <c r="G1933" s="18"/>
      <c r="H1933" s="15"/>
      <c r="I1933" s="18"/>
      <c r="J1933" s="22"/>
      <c r="K1933" s="108"/>
      <c r="L1933" s="26"/>
      <c r="M1933" s="26"/>
    </row>
    <row r="1934">
      <c r="A1934" s="12"/>
      <c r="B1934" s="13"/>
      <c r="C1934" s="14"/>
      <c r="D1934" s="14"/>
      <c r="E1934" s="15"/>
      <c r="F1934" s="16"/>
      <c r="G1934" s="18"/>
      <c r="H1934" s="15"/>
      <c r="I1934" s="18"/>
      <c r="J1934" s="22"/>
      <c r="K1934" s="108"/>
      <c r="L1934" s="26"/>
      <c r="M1934" s="26"/>
    </row>
    <row r="1935">
      <c r="A1935" s="12"/>
      <c r="B1935" s="13"/>
      <c r="C1935" s="14"/>
      <c r="D1935" s="14"/>
      <c r="E1935" s="15"/>
      <c r="F1935" s="16"/>
      <c r="G1935" s="18"/>
      <c r="H1935" s="15"/>
      <c r="I1935" s="18"/>
      <c r="J1935" s="22"/>
      <c r="K1935" s="108"/>
      <c r="L1935" s="26"/>
      <c r="M1935" s="26"/>
    </row>
    <row r="1936">
      <c r="A1936" s="12"/>
      <c r="B1936" s="13"/>
      <c r="C1936" s="14"/>
      <c r="D1936" s="14"/>
      <c r="E1936" s="15"/>
      <c r="F1936" s="16"/>
      <c r="G1936" s="18"/>
      <c r="H1936" s="15"/>
      <c r="I1936" s="18"/>
      <c r="J1936" s="22"/>
      <c r="K1936" s="108"/>
      <c r="L1936" s="26"/>
      <c r="M1936" s="26"/>
    </row>
    <row r="1937">
      <c r="A1937" s="12"/>
      <c r="B1937" s="13"/>
      <c r="C1937" s="14"/>
      <c r="D1937" s="14"/>
      <c r="E1937" s="15"/>
      <c r="F1937" s="16"/>
      <c r="G1937" s="18"/>
      <c r="H1937" s="15"/>
      <c r="I1937" s="18"/>
      <c r="J1937" s="22"/>
      <c r="K1937" s="108"/>
      <c r="L1937" s="26"/>
      <c r="M1937" s="26"/>
    </row>
    <row r="1938">
      <c r="A1938" s="12"/>
      <c r="B1938" s="13"/>
      <c r="C1938" s="14"/>
      <c r="D1938" s="14"/>
      <c r="E1938" s="15"/>
      <c r="F1938" s="16"/>
      <c r="G1938" s="18"/>
      <c r="H1938" s="15"/>
      <c r="I1938" s="18"/>
      <c r="J1938" s="22"/>
      <c r="K1938" s="108"/>
      <c r="L1938" s="26"/>
      <c r="M1938" s="26"/>
    </row>
    <row r="1939">
      <c r="A1939" s="12"/>
      <c r="B1939" s="13"/>
      <c r="C1939" s="14"/>
      <c r="D1939" s="14"/>
      <c r="E1939" s="15"/>
      <c r="F1939" s="16"/>
      <c r="G1939" s="18"/>
      <c r="H1939" s="15"/>
      <c r="I1939" s="18"/>
      <c r="J1939" s="22"/>
      <c r="K1939" s="108"/>
      <c r="L1939" s="26"/>
      <c r="M1939" s="26"/>
    </row>
    <row r="1940">
      <c r="A1940" s="12"/>
      <c r="B1940" s="13"/>
      <c r="C1940" s="14"/>
      <c r="D1940" s="14"/>
      <c r="E1940" s="15"/>
      <c r="F1940" s="16"/>
      <c r="G1940" s="18"/>
      <c r="H1940" s="15"/>
      <c r="I1940" s="18"/>
      <c r="J1940" s="22"/>
      <c r="K1940" s="108"/>
      <c r="L1940" s="26"/>
      <c r="M1940" s="26"/>
    </row>
    <row r="1941">
      <c r="A1941" s="12"/>
      <c r="B1941" s="13"/>
      <c r="C1941" s="14"/>
      <c r="D1941" s="14"/>
      <c r="E1941" s="15"/>
      <c r="F1941" s="16"/>
      <c r="G1941" s="18"/>
      <c r="H1941" s="15"/>
      <c r="I1941" s="18"/>
      <c r="J1941" s="22"/>
      <c r="K1941" s="108"/>
      <c r="L1941" s="26"/>
      <c r="M1941" s="26"/>
    </row>
    <row r="1942">
      <c r="A1942" s="12"/>
      <c r="B1942" s="13"/>
      <c r="C1942" s="14"/>
      <c r="D1942" s="14"/>
      <c r="E1942" s="15"/>
      <c r="F1942" s="16"/>
      <c r="G1942" s="18"/>
      <c r="H1942" s="15"/>
      <c r="I1942" s="18"/>
      <c r="J1942" s="22"/>
      <c r="K1942" s="108"/>
      <c r="L1942" s="26"/>
      <c r="M1942" s="26"/>
    </row>
    <row r="1943">
      <c r="A1943" s="12"/>
      <c r="B1943" s="13"/>
      <c r="C1943" s="14"/>
      <c r="D1943" s="14"/>
      <c r="E1943" s="15"/>
      <c r="F1943" s="16"/>
      <c r="G1943" s="18"/>
      <c r="H1943" s="15"/>
      <c r="I1943" s="18"/>
      <c r="J1943" s="22"/>
      <c r="K1943" s="108"/>
      <c r="L1943" s="26"/>
      <c r="M1943" s="26"/>
    </row>
    <row r="1944">
      <c r="A1944" s="12"/>
      <c r="B1944" s="13"/>
      <c r="C1944" s="14"/>
      <c r="D1944" s="14"/>
      <c r="E1944" s="15"/>
      <c r="F1944" s="16"/>
      <c r="G1944" s="18"/>
      <c r="H1944" s="15"/>
      <c r="I1944" s="18"/>
      <c r="J1944" s="22"/>
      <c r="K1944" s="108"/>
      <c r="L1944" s="26"/>
      <c r="M1944" s="26"/>
    </row>
    <row r="1945">
      <c r="A1945" s="12"/>
      <c r="B1945" s="13"/>
      <c r="C1945" s="14"/>
      <c r="D1945" s="14"/>
      <c r="E1945" s="15"/>
      <c r="F1945" s="16"/>
      <c r="G1945" s="18"/>
      <c r="H1945" s="15"/>
      <c r="I1945" s="18"/>
      <c r="J1945" s="22"/>
      <c r="K1945" s="108"/>
      <c r="L1945" s="26"/>
      <c r="M1945" s="26"/>
    </row>
    <row r="1946">
      <c r="A1946" s="12"/>
      <c r="B1946" s="13"/>
      <c r="C1946" s="14"/>
      <c r="D1946" s="14"/>
      <c r="E1946" s="15"/>
      <c r="F1946" s="16"/>
      <c r="G1946" s="18"/>
      <c r="H1946" s="15"/>
      <c r="I1946" s="18"/>
      <c r="J1946" s="22"/>
      <c r="K1946" s="108"/>
      <c r="L1946" s="26"/>
      <c r="M1946" s="26"/>
    </row>
    <row r="1947">
      <c r="A1947" s="12"/>
      <c r="B1947" s="13"/>
      <c r="C1947" s="14"/>
      <c r="D1947" s="14"/>
      <c r="E1947" s="15"/>
      <c r="F1947" s="16"/>
      <c r="G1947" s="18"/>
      <c r="H1947" s="15"/>
      <c r="I1947" s="18"/>
      <c r="J1947" s="22"/>
      <c r="K1947" s="108"/>
      <c r="L1947" s="26"/>
      <c r="M1947" s="26"/>
    </row>
    <row r="1948">
      <c r="A1948" s="12"/>
      <c r="B1948" s="13"/>
      <c r="C1948" s="14"/>
      <c r="D1948" s="14"/>
      <c r="E1948" s="15"/>
      <c r="F1948" s="16"/>
      <c r="G1948" s="18"/>
      <c r="H1948" s="15"/>
      <c r="I1948" s="18"/>
      <c r="J1948" s="22"/>
      <c r="K1948" s="108"/>
      <c r="L1948" s="26"/>
      <c r="M1948" s="26"/>
    </row>
    <row r="1949">
      <c r="A1949" s="12"/>
      <c r="B1949" s="13"/>
      <c r="C1949" s="14"/>
      <c r="D1949" s="14"/>
      <c r="E1949" s="15"/>
      <c r="F1949" s="16"/>
      <c r="G1949" s="18"/>
      <c r="H1949" s="15"/>
      <c r="I1949" s="18"/>
      <c r="J1949" s="22"/>
      <c r="K1949" s="108"/>
      <c r="L1949" s="26"/>
      <c r="M1949" s="26"/>
    </row>
    <row r="1950">
      <c r="A1950" s="12"/>
      <c r="B1950" s="13"/>
      <c r="C1950" s="14"/>
      <c r="D1950" s="14"/>
      <c r="E1950" s="15"/>
      <c r="F1950" s="16"/>
      <c r="G1950" s="18"/>
      <c r="H1950" s="15"/>
      <c r="I1950" s="18"/>
      <c r="J1950" s="22"/>
      <c r="K1950" s="108"/>
      <c r="L1950" s="26"/>
      <c r="M1950" s="26"/>
    </row>
    <row r="1951">
      <c r="A1951" s="12"/>
      <c r="B1951" s="13"/>
      <c r="C1951" s="14"/>
      <c r="D1951" s="14"/>
      <c r="E1951" s="15"/>
      <c r="F1951" s="16"/>
      <c r="G1951" s="18"/>
      <c r="H1951" s="15"/>
      <c r="I1951" s="18"/>
      <c r="J1951" s="22"/>
      <c r="K1951" s="108"/>
      <c r="L1951" s="26"/>
      <c r="M1951" s="26"/>
    </row>
    <row r="1952">
      <c r="A1952" s="12"/>
      <c r="B1952" s="13"/>
      <c r="C1952" s="14"/>
      <c r="D1952" s="14"/>
      <c r="E1952" s="15"/>
      <c r="F1952" s="16"/>
      <c r="G1952" s="18"/>
      <c r="H1952" s="15"/>
      <c r="I1952" s="18"/>
      <c r="J1952" s="22"/>
      <c r="K1952" s="108"/>
      <c r="L1952" s="26"/>
      <c r="M1952" s="26"/>
    </row>
    <row r="1953">
      <c r="A1953" s="12"/>
      <c r="B1953" s="13"/>
      <c r="C1953" s="14"/>
      <c r="D1953" s="14"/>
      <c r="E1953" s="15"/>
      <c r="F1953" s="16"/>
      <c r="G1953" s="18"/>
      <c r="H1953" s="15"/>
      <c r="I1953" s="18"/>
      <c r="J1953" s="22"/>
      <c r="K1953" s="108"/>
      <c r="L1953" s="26"/>
      <c r="M1953" s="26"/>
    </row>
    <row r="1954">
      <c r="A1954" s="12"/>
      <c r="B1954" s="13"/>
      <c r="C1954" s="14"/>
      <c r="D1954" s="14"/>
      <c r="E1954" s="15"/>
      <c r="F1954" s="16"/>
      <c r="G1954" s="18"/>
      <c r="H1954" s="15"/>
      <c r="I1954" s="18"/>
      <c r="J1954" s="22"/>
      <c r="K1954" s="108"/>
      <c r="L1954" s="26"/>
      <c r="M1954" s="26"/>
    </row>
    <row r="1955">
      <c r="A1955" s="12"/>
      <c r="B1955" s="13"/>
      <c r="C1955" s="14"/>
      <c r="D1955" s="14"/>
      <c r="E1955" s="15"/>
      <c r="F1955" s="16"/>
      <c r="G1955" s="18"/>
      <c r="H1955" s="15"/>
      <c r="I1955" s="18"/>
      <c r="J1955" s="22"/>
      <c r="K1955" s="108"/>
      <c r="L1955" s="26"/>
      <c r="M1955" s="26"/>
    </row>
    <row r="1956">
      <c r="A1956" s="12"/>
      <c r="B1956" s="13"/>
      <c r="C1956" s="14"/>
      <c r="D1956" s="14"/>
      <c r="E1956" s="15"/>
      <c r="F1956" s="16"/>
      <c r="G1956" s="18"/>
      <c r="H1956" s="15"/>
      <c r="I1956" s="18"/>
      <c r="J1956" s="22"/>
      <c r="K1956" s="108"/>
      <c r="L1956" s="26"/>
      <c r="M1956" s="26"/>
    </row>
    <row r="1957">
      <c r="A1957" s="12"/>
      <c r="B1957" s="13"/>
      <c r="C1957" s="14"/>
      <c r="D1957" s="14"/>
      <c r="E1957" s="15"/>
      <c r="F1957" s="16"/>
      <c r="G1957" s="18"/>
      <c r="H1957" s="15"/>
      <c r="I1957" s="18"/>
      <c r="J1957" s="22"/>
      <c r="K1957" s="108"/>
      <c r="L1957" s="26"/>
      <c r="M1957" s="26"/>
    </row>
    <row r="1958">
      <c r="A1958" s="12"/>
      <c r="B1958" s="13"/>
      <c r="C1958" s="14"/>
      <c r="D1958" s="14"/>
      <c r="E1958" s="15"/>
      <c r="F1958" s="16"/>
      <c r="G1958" s="18"/>
      <c r="H1958" s="15"/>
      <c r="I1958" s="18"/>
      <c r="J1958" s="22"/>
      <c r="K1958" s="108"/>
      <c r="L1958" s="26"/>
      <c r="M1958" s="26"/>
    </row>
    <row r="1959">
      <c r="A1959" s="12"/>
      <c r="B1959" s="13"/>
      <c r="C1959" s="14"/>
      <c r="D1959" s="14"/>
      <c r="E1959" s="15"/>
      <c r="F1959" s="16"/>
      <c r="G1959" s="18"/>
      <c r="H1959" s="15"/>
      <c r="I1959" s="18"/>
      <c r="J1959" s="22"/>
      <c r="K1959" s="108"/>
      <c r="L1959" s="26"/>
      <c r="M1959" s="26"/>
    </row>
    <row r="1960">
      <c r="A1960" s="12"/>
      <c r="B1960" s="13"/>
      <c r="C1960" s="14"/>
      <c r="D1960" s="14"/>
      <c r="E1960" s="15"/>
      <c r="F1960" s="16"/>
      <c r="G1960" s="18"/>
      <c r="H1960" s="15"/>
      <c r="I1960" s="18"/>
      <c r="J1960" s="22"/>
      <c r="K1960" s="108"/>
      <c r="L1960" s="26"/>
      <c r="M1960" s="26"/>
    </row>
    <row r="1961">
      <c r="A1961" s="12"/>
      <c r="B1961" s="13"/>
      <c r="C1961" s="14"/>
      <c r="D1961" s="14"/>
      <c r="E1961" s="15"/>
      <c r="F1961" s="16"/>
      <c r="G1961" s="18"/>
      <c r="H1961" s="15"/>
      <c r="I1961" s="18"/>
      <c r="J1961" s="22"/>
      <c r="K1961" s="108"/>
      <c r="L1961" s="26"/>
      <c r="M1961" s="26"/>
    </row>
    <row r="1962">
      <c r="A1962" s="12"/>
      <c r="B1962" s="13"/>
      <c r="C1962" s="14"/>
      <c r="D1962" s="14"/>
      <c r="E1962" s="15"/>
      <c r="F1962" s="16"/>
      <c r="G1962" s="18"/>
      <c r="H1962" s="15"/>
      <c r="I1962" s="18"/>
      <c r="J1962" s="22"/>
      <c r="K1962" s="108"/>
      <c r="L1962" s="26"/>
      <c r="M1962" s="26"/>
    </row>
    <row r="1963">
      <c r="A1963" s="12"/>
      <c r="B1963" s="13"/>
      <c r="C1963" s="14"/>
      <c r="D1963" s="14"/>
      <c r="E1963" s="15"/>
      <c r="F1963" s="16"/>
      <c r="G1963" s="18"/>
      <c r="H1963" s="15"/>
      <c r="I1963" s="18"/>
      <c r="J1963" s="22"/>
      <c r="K1963" s="108"/>
      <c r="L1963" s="26"/>
      <c r="M1963" s="26"/>
    </row>
    <row r="1964">
      <c r="A1964" s="12"/>
      <c r="B1964" s="13"/>
      <c r="C1964" s="14"/>
      <c r="D1964" s="14"/>
      <c r="E1964" s="15"/>
      <c r="F1964" s="16"/>
      <c r="G1964" s="18"/>
      <c r="H1964" s="15"/>
      <c r="I1964" s="18"/>
      <c r="J1964" s="22"/>
      <c r="K1964" s="108"/>
      <c r="L1964" s="26"/>
      <c r="M1964" s="26"/>
    </row>
    <row r="1965">
      <c r="A1965" s="12"/>
      <c r="B1965" s="13"/>
      <c r="C1965" s="14"/>
      <c r="D1965" s="14"/>
      <c r="E1965" s="15"/>
      <c r="F1965" s="16"/>
      <c r="G1965" s="18"/>
      <c r="H1965" s="15"/>
      <c r="I1965" s="18"/>
      <c r="J1965" s="22"/>
      <c r="K1965" s="108"/>
      <c r="L1965" s="26"/>
      <c r="M1965" s="26"/>
    </row>
    <row r="1966">
      <c r="A1966" s="12"/>
      <c r="B1966" s="13"/>
      <c r="C1966" s="14"/>
      <c r="D1966" s="14"/>
      <c r="E1966" s="15"/>
      <c r="F1966" s="16"/>
      <c r="G1966" s="18"/>
      <c r="H1966" s="15"/>
      <c r="I1966" s="18"/>
      <c r="J1966" s="22"/>
      <c r="K1966" s="108"/>
      <c r="L1966" s="26"/>
      <c r="M1966" s="26"/>
    </row>
    <row r="1967">
      <c r="A1967" s="12"/>
      <c r="B1967" s="13"/>
      <c r="C1967" s="14"/>
      <c r="D1967" s="14"/>
      <c r="E1967" s="15"/>
      <c r="F1967" s="16"/>
      <c r="G1967" s="18"/>
      <c r="H1967" s="15"/>
      <c r="I1967" s="18"/>
      <c r="J1967" s="22"/>
      <c r="K1967" s="108"/>
      <c r="L1967" s="26"/>
      <c r="M1967" s="26"/>
    </row>
    <row r="1968">
      <c r="A1968" s="12"/>
      <c r="B1968" s="13"/>
      <c r="C1968" s="14"/>
      <c r="D1968" s="14"/>
      <c r="E1968" s="15"/>
      <c r="F1968" s="16"/>
      <c r="G1968" s="18"/>
      <c r="H1968" s="15"/>
      <c r="I1968" s="18"/>
      <c r="J1968" s="22"/>
      <c r="K1968" s="108"/>
      <c r="L1968" s="26"/>
      <c r="M1968" s="26"/>
    </row>
    <row r="1969">
      <c r="A1969" s="12"/>
      <c r="B1969" s="13"/>
      <c r="C1969" s="14"/>
      <c r="D1969" s="14"/>
      <c r="E1969" s="15"/>
      <c r="F1969" s="16"/>
      <c r="G1969" s="18"/>
      <c r="H1969" s="15"/>
      <c r="I1969" s="18"/>
      <c r="J1969" s="22"/>
      <c r="K1969" s="108"/>
      <c r="L1969" s="26"/>
      <c r="M1969" s="26"/>
    </row>
    <row r="1970">
      <c r="A1970" s="12"/>
      <c r="B1970" s="13"/>
      <c r="C1970" s="14"/>
      <c r="D1970" s="14"/>
      <c r="E1970" s="15"/>
      <c r="F1970" s="16"/>
      <c r="G1970" s="18"/>
      <c r="H1970" s="15"/>
      <c r="I1970" s="18"/>
      <c r="J1970" s="22"/>
      <c r="K1970" s="108"/>
      <c r="L1970" s="26"/>
      <c r="M1970" s="26"/>
    </row>
    <row r="1971">
      <c r="A1971" s="12"/>
      <c r="B1971" s="13"/>
      <c r="C1971" s="14"/>
      <c r="D1971" s="14"/>
      <c r="E1971" s="15"/>
      <c r="F1971" s="16"/>
      <c r="G1971" s="18"/>
      <c r="H1971" s="15"/>
      <c r="I1971" s="18"/>
      <c r="J1971" s="22"/>
      <c r="K1971" s="108"/>
      <c r="L1971" s="26"/>
      <c r="M1971" s="26"/>
    </row>
    <row r="1972">
      <c r="A1972" s="12"/>
      <c r="B1972" s="13"/>
      <c r="C1972" s="14"/>
      <c r="D1972" s="14"/>
      <c r="E1972" s="15"/>
      <c r="F1972" s="16"/>
      <c r="G1972" s="18"/>
      <c r="H1972" s="15"/>
      <c r="I1972" s="18"/>
      <c r="J1972" s="22"/>
      <c r="K1972" s="108"/>
      <c r="L1972" s="26"/>
      <c r="M1972" s="26"/>
    </row>
    <row r="1973">
      <c r="A1973" s="12"/>
      <c r="B1973" s="13"/>
      <c r="C1973" s="14"/>
      <c r="D1973" s="14"/>
      <c r="E1973" s="15"/>
      <c r="F1973" s="16"/>
      <c r="G1973" s="18"/>
      <c r="H1973" s="15"/>
      <c r="I1973" s="18"/>
      <c r="J1973" s="22"/>
      <c r="K1973" s="108"/>
      <c r="L1973" s="26"/>
      <c r="M1973" s="26"/>
    </row>
    <row r="1974">
      <c r="A1974" s="12"/>
      <c r="B1974" s="13"/>
      <c r="C1974" s="14"/>
      <c r="D1974" s="14"/>
      <c r="E1974" s="15"/>
      <c r="F1974" s="16"/>
      <c r="G1974" s="18"/>
      <c r="H1974" s="15"/>
      <c r="I1974" s="18"/>
      <c r="J1974" s="22"/>
      <c r="K1974" s="108"/>
      <c r="L1974" s="26"/>
      <c r="M1974" s="26"/>
    </row>
    <row r="1975">
      <c r="A1975" s="12"/>
      <c r="B1975" s="13"/>
      <c r="C1975" s="14"/>
      <c r="D1975" s="14"/>
      <c r="E1975" s="15"/>
      <c r="F1975" s="16"/>
      <c r="G1975" s="18"/>
      <c r="H1975" s="15"/>
      <c r="I1975" s="18"/>
      <c r="J1975" s="22"/>
      <c r="K1975" s="108"/>
      <c r="L1975" s="26"/>
      <c r="M1975" s="26"/>
    </row>
    <row r="1976">
      <c r="A1976" s="12"/>
      <c r="B1976" s="13"/>
      <c r="C1976" s="14"/>
      <c r="D1976" s="14"/>
      <c r="E1976" s="15"/>
      <c r="F1976" s="16"/>
      <c r="G1976" s="18"/>
      <c r="H1976" s="15"/>
      <c r="I1976" s="18"/>
      <c r="J1976" s="22"/>
      <c r="K1976" s="108"/>
      <c r="L1976" s="26"/>
      <c r="M1976" s="26"/>
    </row>
    <row r="1977">
      <c r="A1977" s="12"/>
      <c r="B1977" s="13"/>
      <c r="C1977" s="14"/>
      <c r="D1977" s="14"/>
      <c r="E1977" s="15"/>
      <c r="F1977" s="16"/>
      <c r="G1977" s="18"/>
      <c r="H1977" s="15"/>
      <c r="I1977" s="18"/>
      <c r="J1977" s="22"/>
      <c r="K1977" s="108"/>
      <c r="L1977" s="26"/>
      <c r="M1977" s="26"/>
    </row>
    <row r="1978">
      <c r="A1978" s="12"/>
      <c r="B1978" s="13"/>
      <c r="C1978" s="14"/>
      <c r="D1978" s="14"/>
      <c r="E1978" s="15"/>
      <c r="F1978" s="16"/>
      <c r="G1978" s="18"/>
      <c r="H1978" s="15"/>
      <c r="I1978" s="18"/>
      <c r="J1978" s="22"/>
      <c r="K1978" s="108"/>
      <c r="L1978" s="26"/>
      <c r="M1978" s="26"/>
    </row>
    <row r="1979">
      <c r="A1979" s="12"/>
      <c r="B1979" s="13"/>
      <c r="C1979" s="14"/>
      <c r="D1979" s="14"/>
      <c r="E1979" s="15"/>
      <c r="F1979" s="16"/>
      <c r="G1979" s="18"/>
      <c r="H1979" s="15"/>
      <c r="I1979" s="18"/>
      <c r="J1979" s="22"/>
      <c r="K1979" s="108"/>
      <c r="L1979" s="26"/>
      <c r="M1979" s="26"/>
    </row>
    <row r="1980">
      <c r="A1980" s="12"/>
      <c r="B1980" s="13"/>
      <c r="C1980" s="14"/>
      <c r="D1980" s="14"/>
      <c r="E1980" s="15"/>
      <c r="F1980" s="16"/>
      <c r="G1980" s="18"/>
      <c r="H1980" s="15"/>
      <c r="I1980" s="18"/>
      <c r="J1980" s="22"/>
      <c r="K1980" s="108"/>
      <c r="L1980" s="26"/>
      <c r="M1980" s="26"/>
    </row>
    <row r="1981">
      <c r="A1981" s="12"/>
      <c r="B1981" s="13"/>
      <c r="C1981" s="14"/>
      <c r="D1981" s="14"/>
      <c r="E1981" s="15"/>
      <c r="F1981" s="16"/>
      <c r="G1981" s="18"/>
      <c r="H1981" s="15"/>
      <c r="I1981" s="18"/>
      <c r="J1981" s="22"/>
      <c r="K1981" s="108"/>
      <c r="L1981" s="26"/>
      <c r="M1981" s="26"/>
    </row>
    <row r="1982">
      <c r="A1982" s="12"/>
      <c r="B1982" s="13"/>
      <c r="C1982" s="14"/>
      <c r="D1982" s="14"/>
      <c r="E1982" s="15"/>
      <c r="F1982" s="16"/>
      <c r="G1982" s="18"/>
      <c r="H1982" s="15"/>
      <c r="I1982" s="18"/>
      <c r="J1982" s="22"/>
      <c r="K1982" s="108"/>
      <c r="L1982" s="26"/>
      <c r="M1982" s="26"/>
    </row>
    <row r="1983">
      <c r="A1983" s="12"/>
      <c r="B1983" s="13"/>
      <c r="C1983" s="14"/>
      <c r="D1983" s="14"/>
      <c r="E1983" s="15"/>
      <c r="F1983" s="16"/>
      <c r="G1983" s="18"/>
      <c r="H1983" s="15"/>
      <c r="I1983" s="18"/>
      <c r="J1983" s="22"/>
      <c r="K1983" s="108"/>
      <c r="L1983" s="26"/>
      <c r="M1983" s="26"/>
    </row>
    <row r="1984">
      <c r="A1984" s="12"/>
      <c r="B1984" s="13"/>
      <c r="C1984" s="14"/>
      <c r="D1984" s="14"/>
      <c r="E1984" s="15"/>
      <c r="F1984" s="16"/>
      <c r="G1984" s="18"/>
      <c r="H1984" s="15"/>
      <c r="I1984" s="18"/>
      <c r="J1984" s="22"/>
      <c r="K1984" s="108"/>
      <c r="L1984" s="26"/>
      <c r="M1984" s="26"/>
    </row>
    <row r="1985">
      <c r="A1985" s="12"/>
      <c r="B1985" s="13"/>
      <c r="C1985" s="14"/>
      <c r="D1985" s="14"/>
      <c r="E1985" s="15"/>
      <c r="F1985" s="16"/>
      <c r="G1985" s="18"/>
      <c r="H1985" s="15"/>
      <c r="I1985" s="18"/>
      <c r="J1985" s="22"/>
      <c r="K1985" s="108"/>
      <c r="L1985" s="26"/>
      <c r="M1985" s="26"/>
    </row>
    <row r="1986">
      <c r="A1986" s="12"/>
      <c r="B1986" s="13"/>
      <c r="C1986" s="14"/>
      <c r="D1986" s="14"/>
      <c r="E1986" s="15"/>
      <c r="F1986" s="16"/>
      <c r="G1986" s="18"/>
      <c r="H1986" s="15"/>
      <c r="I1986" s="18"/>
      <c r="J1986" s="22"/>
      <c r="K1986" s="108"/>
      <c r="L1986" s="26"/>
      <c r="M1986" s="26"/>
    </row>
    <row r="1987">
      <c r="A1987" s="12"/>
      <c r="B1987" s="13"/>
      <c r="C1987" s="14"/>
      <c r="D1987" s="14"/>
      <c r="E1987" s="15"/>
      <c r="F1987" s="16"/>
      <c r="G1987" s="18"/>
      <c r="H1987" s="15"/>
      <c r="I1987" s="18"/>
      <c r="J1987" s="22"/>
      <c r="K1987" s="108"/>
      <c r="L1987" s="26"/>
      <c r="M1987" s="26"/>
    </row>
    <row r="1988">
      <c r="A1988" s="12"/>
      <c r="B1988" s="13"/>
      <c r="C1988" s="14"/>
      <c r="D1988" s="14"/>
      <c r="E1988" s="15"/>
      <c r="F1988" s="16"/>
      <c r="G1988" s="18"/>
      <c r="H1988" s="15"/>
      <c r="I1988" s="18"/>
      <c r="J1988" s="22"/>
      <c r="K1988" s="108"/>
      <c r="L1988" s="26"/>
      <c r="M1988" s="26"/>
    </row>
    <row r="1989">
      <c r="A1989" s="12"/>
      <c r="B1989" s="13"/>
      <c r="C1989" s="14"/>
      <c r="D1989" s="14"/>
      <c r="E1989" s="15"/>
      <c r="F1989" s="16"/>
      <c r="G1989" s="18"/>
      <c r="H1989" s="15"/>
      <c r="I1989" s="18"/>
      <c r="J1989" s="22"/>
      <c r="K1989" s="108"/>
      <c r="L1989" s="26"/>
      <c r="M1989" s="26"/>
    </row>
    <row r="1990">
      <c r="A1990" s="12"/>
      <c r="B1990" s="13"/>
      <c r="C1990" s="14"/>
      <c r="D1990" s="14"/>
      <c r="E1990" s="15"/>
      <c r="F1990" s="16"/>
      <c r="G1990" s="18"/>
      <c r="H1990" s="15"/>
      <c r="I1990" s="18"/>
      <c r="J1990" s="22"/>
      <c r="K1990" s="108"/>
      <c r="L1990" s="26"/>
      <c r="M1990" s="26"/>
    </row>
    <row r="1991">
      <c r="A1991" s="12"/>
      <c r="B1991" s="13"/>
      <c r="C1991" s="14"/>
      <c r="D1991" s="14"/>
      <c r="E1991" s="15"/>
      <c r="F1991" s="16"/>
      <c r="G1991" s="18"/>
      <c r="H1991" s="15"/>
      <c r="I1991" s="18"/>
      <c r="J1991" s="22"/>
      <c r="K1991" s="108"/>
      <c r="L1991" s="26"/>
      <c r="M1991" s="26"/>
    </row>
    <row r="1992">
      <c r="A1992" s="12"/>
      <c r="B1992" s="13"/>
      <c r="C1992" s="14"/>
      <c r="D1992" s="14"/>
      <c r="E1992" s="15"/>
      <c r="F1992" s="16"/>
      <c r="G1992" s="18"/>
      <c r="H1992" s="15"/>
      <c r="I1992" s="18"/>
      <c r="J1992" s="22"/>
      <c r="K1992" s="108"/>
      <c r="L1992" s="26"/>
      <c r="M1992" s="26"/>
    </row>
    <row r="1993">
      <c r="A1993" s="12"/>
      <c r="B1993" s="13"/>
      <c r="C1993" s="14"/>
      <c r="D1993" s="14"/>
      <c r="E1993" s="15"/>
      <c r="F1993" s="16"/>
      <c r="G1993" s="18"/>
      <c r="H1993" s="15"/>
      <c r="I1993" s="18"/>
      <c r="J1993" s="22"/>
      <c r="K1993" s="108"/>
      <c r="L1993" s="26"/>
      <c r="M1993" s="26"/>
    </row>
    <row r="1994">
      <c r="A1994" s="12"/>
      <c r="B1994" s="13"/>
      <c r="C1994" s="14"/>
      <c r="D1994" s="14"/>
      <c r="E1994" s="15"/>
      <c r="F1994" s="16"/>
      <c r="G1994" s="18"/>
      <c r="H1994" s="15"/>
      <c r="I1994" s="18"/>
      <c r="J1994" s="22"/>
      <c r="K1994" s="108"/>
      <c r="L1994" s="26"/>
      <c r="M1994" s="26"/>
    </row>
    <row r="1995">
      <c r="A1995" s="12"/>
      <c r="B1995" s="13"/>
      <c r="C1995" s="14"/>
      <c r="D1995" s="14"/>
      <c r="E1995" s="15"/>
      <c r="F1995" s="16"/>
      <c r="G1995" s="18"/>
      <c r="H1995" s="15"/>
      <c r="I1995" s="18"/>
      <c r="J1995" s="22"/>
      <c r="K1995" s="108"/>
      <c r="L1995" s="26"/>
      <c r="M1995" s="26"/>
    </row>
    <row r="1996">
      <c r="A1996" s="12"/>
      <c r="B1996" s="13"/>
      <c r="C1996" s="14"/>
      <c r="D1996" s="14"/>
      <c r="E1996" s="15"/>
      <c r="F1996" s="16"/>
      <c r="G1996" s="18"/>
      <c r="H1996" s="15"/>
      <c r="I1996" s="18"/>
      <c r="J1996" s="22"/>
      <c r="K1996" s="108"/>
      <c r="L1996" s="26"/>
      <c r="M1996" s="26"/>
    </row>
    <row r="1997">
      <c r="A1997" s="12"/>
      <c r="B1997" s="13"/>
      <c r="C1997" s="14"/>
      <c r="D1997" s="14"/>
      <c r="E1997" s="15"/>
      <c r="F1997" s="16"/>
      <c r="G1997" s="18"/>
      <c r="H1997" s="15"/>
      <c r="I1997" s="18"/>
      <c r="J1997" s="22"/>
      <c r="K1997" s="108"/>
      <c r="L1997" s="26"/>
      <c r="M1997" s="26"/>
    </row>
    <row r="1998">
      <c r="A1998" s="12"/>
      <c r="B1998" s="13"/>
      <c r="C1998" s="14"/>
      <c r="D1998" s="14"/>
      <c r="E1998" s="15"/>
      <c r="F1998" s="16"/>
      <c r="G1998" s="18"/>
      <c r="H1998" s="15"/>
      <c r="I1998" s="18"/>
      <c r="J1998" s="22"/>
      <c r="K1998" s="108"/>
      <c r="L1998" s="26"/>
      <c r="M1998" s="26"/>
    </row>
    <row r="1999">
      <c r="A1999" s="12"/>
      <c r="B1999" s="13"/>
      <c r="C1999" s="14"/>
      <c r="D1999" s="14"/>
      <c r="E1999" s="15"/>
      <c r="F1999" s="16"/>
      <c r="G1999" s="18"/>
      <c r="H1999" s="15"/>
      <c r="I1999" s="18"/>
      <c r="J1999" s="22"/>
      <c r="K1999" s="108"/>
      <c r="L1999" s="26"/>
      <c r="M1999" s="26"/>
    </row>
    <row r="2000">
      <c r="A2000" s="12"/>
      <c r="B2000" s="13"/>
      <c r="C2000" s="14"/>
      <c r="D2000" s="14"/>
      <c r="E2000" s="15"/>
      <c r="F2000" s="16"/>
      <c r="G2000" s="18"/>
      <c r="H2000" s="15"/>
      <c r="I2000" s="18"/>
      <c r="J2000" s="22"/>
      <c r="K2000" s="108"/>
      <c r="L2000" s="26"/>
      <c r="M2000" s="26"/>
    </row>
    <row r="2001">
      <c r="A2001" s="12"/>
      <c r="B2001" s="13"/>
      <c r="C2001" s="14"/>
      <c r="D2001" s="14"/>
      <c r="E2001" s="15"/>
      <c r="F2001" s="16"/>
      <c r="G2001" s="18"/>
      <c r="H2001" s="15"/>
      <c r="I2001" s="18"/>
      <c r="J2001" s="22"/>
      <c r="K2001" s="108"/>
      <c r="L2001" s="26"/>
      <c r="M2001" s="26"/>
    </row>
    <row r="2002">
      <c r="A2002" s="12"/>
      <c r="B2002" s="13"/>
      <c r="C2002" s="14"/>
      <c r="D2002" s="14"/>
      <c r="E2002" s="15"/>
      <c r="F2002" s="16"/>
      <c r="G2002" s="18"/>
      <c r="H2002" s="15"/>
      <c r="I2002" s="18"/>
      <c r="J2002" s="22"/>
      <c r="K2002" s="108"/>
      <c r="L2002" s="26"/>
      <c r="M2002" s="26"/>
    </row>
    <row r="2003">
      <c r="A2003" s="12"/>
      <c r="B2003" s="13"/>
      <c r="C2003" s="14"/>
      <c r="D2003" s="14"/>
      <c r="E2003" s="15"/>
      <c r="F2003" s="16"/>
      <c r="G2003" s="18"/>
      <c r="H2003" s="15"/>
      <c r="I2003" s="18"/>
      <c r="J2003" s="22"/>
      <c r="K2003" s="108"/>
      <c r="L2003" s="26"/>
      <c r="M2003" s="26"/>
    </row>
    <row r="2004">
      <c r="A2004" s="12"/>
      <c r="B2004" s="13"/>
      <c r="C2004" s="14"/>
      <c r="D2004" s="14"/>
      <c r="E2004" s="15"/>
      <c r="F2004" s="16"/>
      <c r="G2004" s="18"/>
      <c r="H2004" s="15"/>
      <c r="I2004" s="18"/>
      <c r="J2004" s="22"/>
      <c r="K2004" s="108"/>
      <c r="L2004" s="26"/>
      <c r="M2004" s="26"/>
    </row>
    <row r="2005">
      <c r="A2005" s="12"/>
      <c r="B2005" s="13"/>
      <c r="C2005" s="14"/>
      <c r="D2005" s="14"/>
      <c r="E2005" s="15"/>
      <c r="F2005" s="16"/>
      <c r="G2005" s="18"/>
      <c r="H2005" s="15"/>
      <c r="I2005" s="18"/>
      <c r="J2005" s="22"/>
      <c r="K2005" s="108"/>
      <c r="L2005" s="26"/>
      <c r="M2005" s="26"/>
    </row>
    <row r="2006">
      <c r="A2006" s="12"/>
      <c r="B2006" s="13"/>
      <c r="C2006" s="14"/>
      <c r="D2006" s="14"/>
      <c r="E2006" s="15"/>
      <c r="F2006" s="16"/>
      <c r="G2006" s="18"/>
      <c r="H2006" s="15"/>
      <c r="I2006" s="18"/>
      <c r="J2006" s="22"/>
      <c r="K2006" s="108"/>
      <c r="L2006" s="26"/>
      <c r="M2006" s="26"/>
    </row>
    <row r="2007">
      <c r="A2007" s="12"/>
      <c r="B2007" s="13"/>
      <c r="C2007" s="14"/>
      <c r="D2007" s="14"/>
      <c r="E2007" s="15"/>
      <c r="F2007" s="16"/>
      <c r="G2007" s="18"/>
      <c r="H2007" s="15"/>
      <c r="I2007" s="18"/>
      <c r="J2007" s="22"/>
      <c r="K2007" s="108"/>
      <c r="L2007" s="26"/>
      <c r="M2007" s="26"/>
    </row>
    <row r="2008">
      <c r="A2008" s="12"/>
      <c r="B2008" s="13"/>
      <c r="C2008" s="14"/>
      <c r="D2008" s="14"/>
      <c r="E2008" s="15"/>
      <c r="F2008" s="16"/>
      <c r="G2008" s="18"/>
      <c r="H2008" s="15"/>
      <c r="I2008" s="18"/>
      <c r="J2008" s="22"/>
      <c r="K2008" s="108"/>
      <c r="L2008" s="26"/>
      <c r="M2008" s="26"/>
    </row>
    <row r="2009">
      <c r="A2009" s="12"/>
      <c r="B2009" s="13"/>
      <c r="C2009" s="14"/>
      <c r="D2009" s="14"/>
      <c r="E2009" s="15"/>
      <c r="F2009" s="16"/>
      <c r="G2009" s="18"/>
      <c r="H2009" s="15"/>
      <c r="I2009" s="18"/>
      <c r="J2009" s="22"/>
      <c r="K2009" s="108"/>
      <c r="L2009" s="26"/>
      <c r="M2009" s="26"/>
    </row>
    <row r="2010">
      <c r="A2010" s="12"/>
      <c r="B2010" s="13"/>
      <c r="C2010" s="14"/>
      <c r="D2010" s="14"/>
      <c r="E2010" s="15"/>
      <c r="F2010" s="16"/>
      <c r="G2010" s="18"/>
      <c r="H2010" s="15"/>
      <c r="I2010" s="18"/>
      <c r="J2010" s="22"/>
      <c r="K2010" s="108"/>
      <c r="L2010" s="26"/>
      <c r="M2010" s="26"/>
    </row>
    <row r="2011">
      <c r="A2011" s="12"/>
      <c r="B2011" s="13"/>
      <c r="C2011" s="14"/>
      <c r="D2011" s="14"/>
      <c r="E2011" s="15"/>
      <c r="F2011" s="16"/>
      <c r="G2011" s="18"/>
      <c r="H2011" s="15"/>
      <c r="I2011" s="18"/>
      <c r="J2011" s="22"/>
      <c r="K2011" s="108"/>
      <c r="L2011" s="26"/>
      <c r="M2011" s="26"/>
    </row>
    <row r="2012">
      <c r="A2012" s="12"/>
      <c r="B2012" s="13"/>
      <c r="C2012" s="14"/>
      <c r="D2012" s="14"/>
      <c r="E2012" s="15"/>
      <c r="F2012" s="16"/>
      <c r="G2012" s="18"/>
      <c r="H2012" s="15"/>
      <c r="I2012" s="18"/>
      <c r="J2012" s="22"/>
      <c r="K2012" s="108"/>
      <c r="L2012" s="26"/>
      <c r="M2012" s="26"/>
    </row>
    <row r="2013">
      <c r="A2013" s="12"/>
      <c r="B2013" s="13"/>
      <c r="C2013" s="14"/>
      <c r="D2013" s="14"/>
      <c r="E2013" s="15"/>
      <c r="F2013" s="16"/>
      <c r="G2013" s="18"/>
      <c r="H2013" s="15"/>
      <c r="I2013" s="18"/>
      <c r="J2013" s="22"/>
      <c r="K2013" s="108"/>
      <c r="L2013" s="26"/>
      <c r="M2013" s="26"/>
    </row>
    <row r="2014">
      <c r="A2014" s="12"/>
      <c r="B2014" s="13"/>
      <c r="C2014" s="14"/>
      <c r="D2014" s="14"/>
      <c r="E2014" s="15"/>
      <c r="F2014" s="16"/>
      <c r="G2014" s="18"/>
      <c r="H2014" s="15"/>
      <c r="I2014" s="18"/>
      <c r="J2014" s="22"/>
      <c r="K2014" s="108"/>
      <c r="L2014" s="26"/>
      <c r="M2014" s="26"/>
    </row>
    <row r="2015">
      <c r="A2015" s="12"/>
      <c r="B2015" s="13"/>
      <c r="C2015" s="14"/>
      <c r="D2015" s="14"/>
      <c r="E2015" s="15"/>
      <c r="F2015" s="16"/>
      <c r="G2015" s="18"/>
      <c r="H2015" s="15"/>
      <c r="I2015" s="18"/>
      <c r="J2015" s="22"/>
      <c r="K2015" s="108"/>
      <c r="L2015" s="26"/>
      <c r="M2015" s="26"/>
    </row>
    <row r="2016">
      <c r="A2016" s="12"/>
      <c r="B2016" s="13"/>
      <c r="C2016" s="14"/>
      <c r="D2016" s="14"/>
      <c r="E2016" s="15"/>
      <c r="F2016" s="16"/>
      <c r="G2016" s="18"/>
      <c r="H2016" s="15"/>
      <c r="I2016" s="18"/>
      <c r="J2016" s="22"/>
      <c r="K2016" s="108"/>
      <c r="L2016" s="26"/>
      <c r="M2016" s="26"/>
    </row>
    <row r="2017">
      <c r="A2017" s="12"/>
      <c r="B2017" s="13"/>
      <c r="C2017" s="14"/>
      <c r="D2017" s="14"/>
      <c r="E2017" s="15"/>
      <c r="F2017" s="16"/>
      <c r="G2017" s="18"/>
      <c r="H2017" s="15"/>
      <c r="I2017" s="18"/>
      <c r="J2017" s="22"/>
      <c r="K2017" s="108"/>
      <c r="L2017" s="26"/>
      <c r="M2017" s="26"/>
    </row>
    <row r="2018">
      <c r="A2018" s="12"/>
      <c r="B2018" s="13"/>
      <c r="C2018" s="14"/>
      <c r="D2018" s="14"/>
      <c r="E2018" s="15"/>
      <c r="F2018" s="16"/>
      <c r="G2018" s="18"/>
      <c r="H2018" s="15"/>
      <c r="I2018" s="18"/>
      <c r="J2018" s="22"/>
      <c r="K2018" s="108"/>
      <c r="L2018" s="26"/>
      <c r="M2018" s="26"/>
    </row>
    <row r="2019">
      <c r="A2019" s="12"/>
      <c r="B2019" s="13"/>
      <c r="C2019" s="14"/>
      <c r="D2019" s="14"/>
      <c r="E2019" s="15"/>
      <c r="F2019" s="16"/>
      <c r="G2019" s="18"/>
      <c r="H2019" s="15"/>
      <c r="I2019" s="18"/>
      <c r="J2019" s="22"/>
      <c r="K2019" s="108"/>
      <c r="L2019" s="26"/>
      <c r="M2019" s="26"/>
    </row>
    <row r="2020">
      <c r="A2020" s="12"/>
      <c r="B2020" s="13"/>
      <c r="C2020" s="14"/>
      <c r="D2020" s="14"/>
      <c r="E2020" s="15"/>
      <c r="F2020" s="16"/>
      <c r="G2020" s="18"/>
      <c r="H2020" s="15"/>
      <c r="I2020" s="18"/>
      <c r="J2020" s="22"/>
      <c r="K2020" s="108"/>
      <c r="L2020" s="26"/>
      <c r="M2020" s="26"/>
    </row>
    <row r="2021">
      <c r="A2021" s="12"/>
      <c r="B2021" s="13"/>
      <c r="C2021" s="14"/>
      <c r="D2021" s="14"/>
      <c r="E2021" s="15"/>
      <c r="F2021" s="16"/>
      <c r="G2021" s="18"/>
      <c r="H2021" s="15"/>
      <c r="I2021" s="18"/>
      <c r="J2021" s="22"/>
      <c r="K2021" s="108"/>
      <c r="L2021" s="26"/>
      <c r="M2021" s="26"/>
    </row>
    <row r="2022">
      <c r="A2022" s="12"/>
      <c r="B2022" s="13"/>
      <c r="C2022" s="14"/>
      <c r="D2022" s="14"/>
      <c r="E2022" s="15"/>
      <c r="F2022" s="16"/>
      <c r="G2022" s="18"/>
      <c r="H2022" s="15"/>
      <c r="I2022" s="18"/>
      <c r="J2022" s="22"/>
      <c r="K2022" s="108"/>
      <c r="L2022" s="26"/>
      <c r="M2022" s="26"/>
    </row>
    <row r="2023">
      <c r="A2023" s="12"/>
      <c r="B2023" s="13"/>
      <c r="C2023" s="14"/>
      <c r="D2023" s="14"/>
      <c r="E2023" s="15"/>
      <c r="F2023" s="16"/>
      <c r="G2023" s="18"/>
      <c r="H2023" s="15"/>
      <c r="I2023" s="18"/>
      <c r="J2023" s="22"/>
      <c r="K2023" s="108"/>
      <c r="L2023" s="26"/>
      <c r="M2023" s="26"/>
    </row>
    <row r="2024">
      <c r="A2024" s="12"/>
      <c r="B2024" s="13"/>
      <c r="C2024" s="14"/>
      <c r="D2024" s="14"/>
      <c r="E2024" s="15"/>
      <c r="F2024" s="16"/>
      <c r="G2024" s="18"/>
      <c r="H2024" s="15"/>
      <c r="I2024" s="18"/>
      <c r="J2024" s="22"/>
      <c r="K2024" s="108"/>
      <c r="L2024" s="26"/>
      <c r="M2024" s="26"/>
    </row>
    <row r="2025">
      <c r="A2025" s="12"/>
      <c r="B2025" s="13"/>
      <c r="C2025" s="14"/>
      <c r="D2025" s="14"/>
      <c r="E2025" s="15"/>
      <c r="F2025" s="16"/>
      <c r="G2025" s="18"/>
      <c r="H2025" s="15"/>
      <c r="I2025" s="18"/>
      <c r="J2025" s="22"/>
      <c r="K2025" s="108"/>
      <c r="L2025" s="26"/>
      <c r="M2025" s="26"/>
    </row>
    <row r="2026">
      <c r="A2026" s="12"/>
      <c r="B2026" s="13"/>
      <c r="C2026" s="14"/>
      <c r="D2026" s="14"/>
      <c r="E2026" s="15"/>
      <c r="F2026" s="16"/>
      <c r="G2026" s="18"/>
      <c r="H2026" s="15"/>
      <c r="I2026" s="18"/>
      <c r="J2026" s="22"/>
      <c r="K2026" s="108"/>
      <c r="L2026" s="26"/>
      <c r="M2026" s="26"/>
    </row>
    <row r="2027">
      <c r="A2027" s="12"/>
      <c r="B2027" s="13"/>
      <c r="C2027" s="14"/>
      <c r="D2027" s="14"/>
      <c r="E2027" s="15"/>
      <c r="F2027" s="16"/>
      <c r="G2027" s="18"/>
      <c r="H2027" s="15"/>
      <c r="I2027" s="18"/>
      <c r="J2027" s="22"/>
      <c r="K2027" s="108"/>
      <c r="L2027" s="26"/>
      <c r="M2027" s="26"/>
    </row>
    <row r="2028">
      <c r="A2028" s="12"/>
      <c r="B2028" s="13"/>
      <c r="C2028" s="14"/>
      <c r="D2028" s="14"/>
      <c r="E2028" s="15"/>
      <c r="F2028" s="16"/>
      <c r="G2028" s="18"/>
      <c r="H2028" s="15"/>
      <c r="I2028" s="18"/>
      <c r="J2028" s="22"/>
      <c r="K2028" s="108"/>
      <c r="L2028" s="26"/>
      <c r="M2028" s="26"/>
    </row>
    <row r="2029">
      <c r="A2029" s="12"/>
      <c r="B2029" s="13"/>
      <c r="C2029" s="14"/>
      <c r="D2029" s="14"/>
      <c r="E2029" s="15"/>
      <c r="F2029" s="16"/>
      <c r="G2029" s="18"/>
      <c r="H2029" s="15"/>
      <c r="I2029" s="18"/>
      <c r="J2029" s="22"/>
      <c r="K2029" s="108"/>
      <c r="L2029" s="26"/>
      <c r="M2029" s="26"/>
    </row>
    <row r="2030">
      <c r="A2030" s="12"/>
      <c r="B2030" s="13"/>
      <c r="C2030" s="14"/>
      <c r="D2030" s="14"/>
      <c r="E2030" s="15"/>
      <c r="F2030" s="16"/>
      <c r="G2030" s="18"/>
      <c r="H2030" s="15"/>
      <c r="I2030" s="18"/>
      <c r="J2030" s="22"/>
      <c r="K2030" s="108"/>
      <c r="L2030" s="26"/>
      <c r="M2030" s="26"/>
    </row>
    <row r="2031">
      <c r="A2031" s="12"/>
      <c r="B2031" s="13"/>
      <c r="C2031" s="14"/>
      <c r="D2031" s="14"/>
      <c r="E2031" s="15"/>
      <c r="F2031" s="16"/>
      <c r="G2031" s="18"/>
      <c r="H2031" s="15"/>
      <c r="I2031" s="18"/>
      <c r="J2031" s="22"/>
      <c r="K2031" s="108"/>
      <c r="L2031" s="26"/>
      <c r="M2031" s="26"/>
    </row>
    <row r="2032">
      <c r="A2032" s="12"/>
      <c r="B2032" s="13"/>
      <c r="C2032" s="14"/>
      <c r="D2032" s="14"/>
      <c r="E2032" s="15"/>
      <c r="F2032" s="16"/>
      <c r="G2032" s="18"/>
      <c r="H2032" s="15"/>
      <c r="I2032" s="18"/>
      <c r="J2032" s="22"/>
      <c r="K2032" s="108"/>
      <c r="L2032" s="26"/>
      <c r="M2032" s="26"/>
    </row>
    <row r="2033">
      <c r="A2033" s="12"/>
      <c r="B2033" s="13"/>
      <c r="C2033" s="14"/>
      <c r="D2033" s="14"/>
      <c r="E2033" s="15"/>
      <c r="F2033" s="16"/>
      <c r="G2033" s="18"/>
      <c r="H2033" s="15"/>
      <c r="I2033" s="18"/>
      <c r="J2033" s="22"/>
      <c r="K2033" s="108"/>
      <c r="L2033" s="26"/>
      <c r="M2033" s="26"/>
    </row>
    <row r="2034">
      <c r="A2034" s="12"/>
      <c r="B2034" s="13"/>
      <c r="C2034" s="14"/>
      <c r="D2034" s="14"/>
      <c r="E2034" s="15"/>
      <c r="F2034" s="16"/>
      <c r="G2034" s="18"/>
      <c r="H2034" s="15"/>
      <c r="I2034" s="18"/>
      <c r="J2034" s="22"/>
      <c r="K2034" s="108"/>
      <c r="L2034" s="26"/>
      <c r="M2034" s="26"/>
    </row>
    <row r="2035">
      <c r="A2035" s="12"/>
      <c r="B2035" s="13"/>
      <c r="C2035" s="14"/>
      <c r="D2035" s="14"/>
      <c r="E2035" s="15"/>
      <c r="F2035" s="16"/>
      <c r="G2035" s="18"/>
      <c r="H2035" s="15"/>
      <c r="I2035" s="18"/>
      <c r="J2035" s="22"/>
      <c r="K2035" s="108"/>
      <c r="L2035" s="26"/>
      <c r="M2035" s="26"/>
    </row>
    <row r="2036">
      <c r="A2036" s="12"/>
      <c r="B2036" s="13"/>
      <c r="C2036" s="14"/>
      <c r="D2036" s="14"/>
      <c r="E2036" s="15"/>
      <c r="F2036" s="16"/>
      <c r="G2036" s="18"/>
      <c r="H2036" s="15"/>
      <c r="I2036" s="18"/>
      <c r="J2036" s="22"/>
      <c r="K2036" s="108"/>
      <c r="L2036" s="26"/>
      <c r="M2036" s="26"/>
    </row>
    <row r="2037">
      <c r="A2037" s="12"/>
      <c r="B2037" s="13"/>
      <c r="C2037" s="14"/>
      <c r="D2037" s="14"/>
      <c r="E2037" s="15"/>
      <c r="F2037" s="16"/>
      <c r="G2037" s="18"/>
      <c r="H2037" s="15"/>
      <c r="I2037" s="18"/>
      <c r="J2037" s="22"/>
      <c r="K2037" s="108"/>
      <c r="L2037" s="26"/>
      <c r="M2037" s="26"/>
    </row>
    <row r="2038">
      <c r="A2038" s="12"/>
      <c r="B2038" s="13"/>
      <c r="C2038" s="14"/>
      <c r="D2038" s="14"/>
      <c r="E2038" s="15"/>
      <c r="F2038" s="16"/>
      <c r="G2038" s="18"/>
      <c r="H2038" s="15"/>
      <c r="I2038" s="18"/>
      <c r="J2038" s="22"/>
      <c r="K2038" s="108"/>
      <c r="L2038" s="26"/>
      <c r="M2038" s="26"/>
    </row>
    <row r="2039">
      <c r="A2039" s="12"/>
      <c r="B2039" s="13"/>
      <c r="C2039" s="14"/>
      <c r="D2039" s="14"/>
      <c r="E2039" s="15"/>
      <c r="F2039" s="16"/>
      <c r="G2039" s="18"/>
      <c r="H2039" s="15"/>
      <c r="I2039" s="18"/>
      <c r="J2039" s="22"/>
      <c r="K2039" s="108"/>
      <c r="L2039" s="26"/>
      <c r="M2039" s="26"/>
    </row>
    <row r="2040">
      <c r="A2040" s="12"/>
      <c r="B2040" s="13"/>
      <c r="C2040" s="14"/>
      <c r="D2040" s="14"/>
      <c r="E2040" s="15"/>
      <c r="F2040" s="16"/>
      <c r="G2040" s="18"/>
      <c r="H2040" s="15"/>
      <c r="I2040" s="18"/>
      <c r="J2040" s="22"/>
      <c r="K2040" s="108"/>
      <c r="L2040" s="26"/>
      <c r="M2040" s="26"/>
    </row>
    <row r="2041">
      <c r="A2041" s="12"/>
      <c r="B2041" s="13"/>
      <c r="C2041" s="14"/>
      <c r="D2041" s="14"/>
      <c r="E2041" s="15"/>
      <c r="F2041" s="16"/>
      <c r="G2041" s="18"/>
      <c r="H2041" s="15"/>
      <c r="I2041" s="18"/>
      <c r="J2041" s="22"/>
      <c r="K2041" s="108"/>
      <c r="L2041" s="26"/>
      <c r="M2041" s="26"/>
    </row>
    <row r="2042">
      <c r="A2042" s="12"/>
      <c r="B2042" s="13"/>
      <c r="C2042" s="14"/>
      <c r="D2042" s="14"/>
      <c r="E2042" s="15"/>
      <c r="F2042" s="16"/>
      <c r="G2042" s="18"/>
      <c r="H2042" s="15"/>
      <c r="I2042" s="18"/>
      <c r="J2042" s="22"/>
      <c r="K2042" s="108"/>
      <c r="L2042" s="26"/>
      <c r="M2042" s="26"/>
    </row>
    <row r="2043">
      <c r="A2043" s="12"/>
      <c r="B2043" s="13"/>
      <c r="C2043" s="14"/>
      <c r="D2043" s="14"/>
      <c r="E2043" s="15"/>
      <c r="F2043" s="16"/>
      <c r="G2043" s="18"/>
      <c r="H2043" s="15"/>
      <c r="I2043" s="18"/>
      <c r="J2043" s="22"/>
      <c r="K2043" s="108"/>
      <c r="L2043" s="26"/>
      <c r="M2043" s="26"/>
    </row>
    <row r="2044">
      <c r="A2044" s="12"/>
      <c r="B2044" s="13"/>
      <c r="C2044" s="14"/>
      <c r="D2044" s="14"/>
      <c r="E2044" s="15"/>
      <c r="F2044" s="16"/>
      <c r="G2044" s="18"/>
      <c r="H2044" s="15"/>
      <c r="I2044" s="18"/>
      <c r="J2044" s="22"/>
      <c r="K2044" s="108"/>
      <c r="L2044" s="26"/>
      <c r="M2044" s="26"/>
    </row>
    <row r="2045">
      <c r="A2045" s="12"/>
      <c r="B2045" s="13"/>
      <c r="C2045" s="14"/>
      <c r="D2045" s="14"/>
      <c r="E2045" s="15"/>
      <c r="F2045" s="16"/>
      <c r="G2045" s="18"/>
      <c r="H2045" s="15"/>
      <c r="I2045" s="18"/>
      <c r="J2045" s="22"/>
      <c r="K2045" s="108"/>
      <c r="L2045" s="26"/>
      <c r="M2045" s="26"/>
    </row>
    <row r="2046">
      <c r="A2046" s="12"/>
      <c r="B2046" s="13"/>
      <c r="C2046" s="14"/>
      <c r="D2046" s="14"/>
      <c r="E2046" s="15"/>
      <c r="F2046" s="16"/>
      <c r="G2046" s="18"/>
      <c r="H2046" s="15"/>
      <c r="I2046" s="18"/>
      <c r="J2046" s="22"/>
      <c r="K2046" s="108"/>
      <c r="L2046" s="26"/>
      <c r="M2046" s="26"/>
    </row>
    <row r="2047">
      <c r="A2047" s="12"/>
      <c r="B2047" s="13"/>
      <c r="C2047" s="14"/>
      <c r="D2047" s="14"/>
      <c r="E2047" s="15"/>
      <c r="F2047" s="16"/>
      <c r="G2047" s="18"/>
      <c r="H2047" s="15"/>
      <c r="I2047" s="18"/>
      <c r="J2047" s="22"/>
      <c r="K2047" s="108"/>
      <c r="L2047" s="26"/>
      <c r="M2047" s="26"/>
    </row>
    <row r="2048">
      <c r="A2048" s="12"/>
      <c r="B2048" s="13"/>
      <c r="C2048" s="14"/>
      <c r="D2048" s="14"/>
      <c r="E2048" s="15"/>
      <c r="F2048" s="16"/>
      <c r="G2048" s="18"/>
      <c r="H2048" s="15"/>
      <c r="I2048" s="18"/>
      <c r="J2048" s="22"/>
      <c r="K2048" s="108"/>
      <c r="L2048" s="26"/>
      <c r="M2048" s="26"/>
    </row>
    <row r="2049">
      <c r="A2049" s="12"/>
      <c r="B2049" s="13"/>
      <c r="C2049" s="14"/>
      <c r="D2049" s="14"/>
      <c r="E2049" s="15"/>
      <c r="F2049" s="16"/>
      <c r="G2049" s="18"/>
      <c r="H2049" s="15"/>
      <c r="I2049" s="18"/>
      <c r="J2049" s="22"/>
      <c r="K2049" s="108"/>
      <c r="L2049" s="26"/>
      <c r="M2049" s="26"/>
    </row>
    <row r="2050">
      <c r="A2050" s="12"/>
      <c r="B2050" s="13"/>
      <c r="C2050" s="14"/>
      <c r="D2050" s="14"/>
      <c r="E2050" s="15"/>
      <c r="F2050" s="16"/>
      <c r="G2050" s="18"/>
      <c r="H2050" s="15"/>
      <c r="I2050" s="18"/>
      <c r="J2050" s="22"/>
      <c r="K2050" s="108"/>
      <c r="L2050" s="26"/>
      <c r="M2050" s="26"/>
    </row>
    <row r="2051">
      <c r="A2051" s="12"/>
      <c r="B2051" s="13"/>
      <c r="C2051" s="14"/>
      <c r="D2051" s="14"/>
      <c r="E2051" s="15"/>
      <c r="F2051" s="16"/>
      <c r="G2051" s="18"/>
      <c r="H2051" s="15"/>
      <c r="I2051" s="18"/>
      <c r="J2051" s="22"/>
      <c r="K2051" s="108"/>
      <c r="L2051" s="26"/>
      <c r="M2051" s="26"/>
    </row>
    <row r="2052">
      <c r="A2052" s="12"/>
      <c r="B2052" s="13"/>
      <c r="C2052" s="14"/>
      <c r="D2052" s="14"/>
      <c r="E2052" s="15"/>
      <c r="F2052" s="16"/>
      <c r="G2052" s="18"/>
      <c r="H2052" s="15"/>
      <c r="I2052" s="18"/>
      <c r="J2052" s="22"/>
      <c r="K2052" s="108"/>
      <c r="L2052" s="26"/>
      <c r="M2052" s="26"/>
    </row>
    <row r="2053">
      <c r="A2053" s="12"/>
      <c r="B2053" s="13"/>
      <c r="C2053" s="14"/>
      <c r="D2053" s="14"/>
      <c r="E2053" s="15"/>
      <c r="F2053" s="16"/>
      <c r="G2053" s="18"/>
      <c r="H2053" s="15"/>
      <c r="I2053" s="18"/>
      <c r="J2053" s="22"/>
      <c r="K2053" s="108"/>
      <c r="L2053" s="26"/>
      <c r="M2053" s="26"/>
    </row>
    <row r="2054">
      <c r="A2054" s="12"/>
      <c r="B2054" s="13"/>
      <c r="C2054" s="14"/>
      <c r="D2054" s="14"/>
      <c r="E2054" s="15"/>
      <c r="F2054" s="16"/>
      <c r="G2054" s="18"/>
      <c r="H2054" s="15"/>
      <c r="I2054" s="18"/>
      <c r="J2054" s="22"/>
      <c r="K2054" s="108"/>
      <c r="L2054" s="26"/>
      <c r="M2054" s="26"/>
    </row>
    <row r="2055">
      <c r="A2055" s="12"/>
      <c r="B2055" s="13"/>
      <c r="C2055" s="14"/>
      <c r="D2055" s="14"/>
      <c r="E2055" s="15"/>
      <c r="F2055" s="16"/>
      <c r="G2055" s="18"/>
      <c r="H2055" s="15"/>
      <c r="I2055" s="18"/>
      <c r="J2055" s="22"/>
      <c r="K2055" s="108"/>
      <c r="L2055" s="26"/>
      <c r="M2055" s="26"/>
    </row>
    <row r="2056">
      <c r="A2056" s="12"/>
      <c r="B2056" s="13"/>
      <c r="C2056" s="14"/>
      <c r="D2056" s="14"/>
      <c r="E2056" s="15"/>
      <c r="F2056" s="16"/>
      <c r="G2056" s="18"/>
      <c r="H2056" s="15"/>
      <c r="I2056" s="18"/>
      <c r="J2056" s="22"/>
      <c r="K2056" s="108"/>
      <c r="L2056" s="26"/>
      <c r="M2056" s="26"/>
    </row>
    <row r="2057">
      <c r="A2057" s="12"/>
      <c r="B2057" s="13"/>
      <c r="C2057" s="14"/>
      <c r="D2057" s="14"/>
      <c r="E2057" s="15"/>
      <c r="F2057" s="16"/>
      <c r="G2057" s="18"/>
      <c r="H2057" s="15"/>
      <c r="I2057" s="18"/>
      <c r="J2057" s="22"/>
      <c r="K2057" s="108"/>
      <c r="L2057" s="26"/>
      <c r="M2057" s="26"/>
    </row>
    <row r="2058">
      <c r="A2058" s="12"/>
      <c r="B2058" s="13"/>
      <c r="C2058" s="14"/>
      <c r="D2058" s="14"/>
      <c r="E2058" s="15"/>
      <c r="F2058" s="16"/>
      <c r="G2058" s="18"/>
      <c r="H2058" s="15"/>
      <c r="I2058" s="18"/>
      <c r="J2058" s="22"/>
      <c r="K2058" s="108"/>
      <c r="L2058" s="26"/>
      <c r="M2058" s="26"/>
    </row>
    <row r="2059">
      <c r="A2059" s="12"/>
      <c r="B2059" s="13"/>
      <c r="C2059" s="14"/>
      <c r="D2059" s="14"/>
      <c r="E2059" s="15"/>
      <c r="F2059" s="16"/>
      <c r="G2059" s="18"/>
      <c r="H2059" s="15"/>
      <c r="I2059" s="18"/>
      <c r="J2059" s="22"/>
      <c r="K2059" s="108"/>
      <c r="L2059" s="26"/>
      <c r="M2059" s="26"/>
    </row>
    <row r="2060">
      <c r="A2060" s="12"/>
      <c r="B2060" s="13"/>
      <c r="C2060" s="14"/>
      <c r="D2060" s="14"/>
      <c r="E2060" s="15"/>
      <c r="F2060" s="16"/>
      <c r="G2060" s="18"/>
      <c r="H2060" s="15"/>
      <c r="I2060" s="18"/>
      <c r="J2060" s="22"/>
      <c r="K2060" s="108"/>
      <c r="L2060" s="26"/>
      <c r="M2060" s="26"/>
    </row>
    <row r="2061">
      <c r="A2061" s="12"/>
      <c r="B2061" s="13"/>
      <c r="C2061" s="14"/>
      <c r="D2061" s="14"/>
      <c r="E2061" s="15"/>
      <c r="F2061" s="16"/>
      <c r="G2061" s="18"/>
      <c r="H2061" s="15"/>
      <c r="I2061" s="18"/>
      <c r="J2061" s="22"/>
      <c r="K2061" s="108"/>
      <c r="L2061" s="26"/>
      <c r="M2061" s="26"/>
    </row>
    <row r="2062">
      <c r="A2062" s="12"/>
      <c r="B2062" s="13"/>
      <c r="C2062" s="14"/>
      <c r="D2062" s="14"/>
      <c r="E2062" s="15"/>
      <c r="F2062" s="16"/>
      <c r="G2062" s="18"/>
      <c r="H2062" s="15"/>
      <c r="I2062" s="18"/>
      <c r="J2062" s="22"/>
      <c r="K2062" s="108"/>
      <c r="L2062" s="26"/>
      <c r="M2062" s="26"/>
    </row>
    <row r="2063">
      <c r="A2063" s="12"/>
      <c r="B2063" s="13"/>
      <c r="C2063" s="14"/>
      <c r="D2063" s="14"/>
      <c r="E2063" s="15"/>
      <c r="F2063" s="16"/>
      <c r="G2063" s="18"/>
      <c r="H2063" s="15"/>
      <c r="I2063" s="18"/>
      <c r="J2063" s="22"/>
      <c r="K2063" s="108"/>
      <c r="L2063" s="26"/>
      <c r="M2063" s="26"/>
    </row>
    <row r="2064">
      <c r="A2064" s="12"/>
      <c r="B2064" s="13"/>
      <c r="C2064" s="14"/>
      <c r="D2064" s="14"/>
      <c r="E2064" s="15"/>
      <c r="F2064" s="16"/>
      <c r="G2064" s="18"/>
      <c r="H2064" s="15"/>
      <c r="I2064" s="18"/>
      <c r="J2064" s="22"/>
      <c r="K2064" s="108"/>
      <c r="L2064" s="26"/>
      <c r="M2064" s="26"/>
    </row>
    <row r="2065">
      <c r="A2065" s="12"/>
      <c r="B2065" s="13"/>
      <c r="C2065" s="14"/>
      <c r="D2065" s="14"/>
      <c r="E2065" s="15"/>
      <c r="F2065" s="16"/>
      <c r="G2065" s="18"/>
      <c r="H2065" s="15"/>
      <c r="I2065" s="18"/>
      <c r="J2065" s="22"/>
      <c r="K2065" s="108"/>
      <c r="L2065" s="26"/>
      <c r="M2065" s="26"/>
    </row>
    <row r="2066">
      <c r="A2066" s="12"/>
      <c r="B2066" s="13"/>
      <c r="C2066" s="14"/>
      <c r="D2066" s="14"/>
      <c r="E2066" s="15"/>
      <c r="F2066" s="16"/>
      <c r="G2066" s="18"/>
      <c r="H2066" s="15"/>
      <c r="I2066" s="18"/>
      <c r="J2066" s="22"/>
      <c r="K2066" s="108"/>
      <c r="L2066" s="26"/>
      <c r="M2066" s="26"/>
    </row>
    <row r="2067">
      <c r="A2067" s="12"/>
      <c r="B2067" s="13"/>
      <c r="C2067" s="14"/>
      <c r="D2067" s="14"/>
      <c r="E2067" s="15"/>
      <c r="F2067" s="16"/>
      <c r="G2067" s="18"/>
      <c r="H2067" s="15"/>
      <c r="I2067" s="18"/>
      <c r="J2067" s="22"/>
      <c r="K2067" s="108"/>
      <c r="L2067" s="26"/>
      <c r="M2067" s="26"/>
    </row>
    <row r="2068">
      <c r="A2068" s="12"/>
      <c r="B2068" s="13"/>
      <c r="C2068" s="14"/>
      <c r="D2068" s="14"/>
      <c r="E2068" s="15"/>
      <c r="F2068" s="16"/>
      <c r="G2068" s="18"/>
      <c r="H2068" s="15"/>
      <c r="I2068" s="18"/>
      <c r="J2068" s="22"/>
      <c r="K2068" s="108"/>
      <c r="L2068" s="26"/>
      <c r="M2068" s="26"/>
    </row>
    <row r="2069">
      <c r="A2069" s="12"/>
      <c r="B2069" s="13"/>
      <c r="C2069" s="14"/>
      <c r="D2069" s="14"/>
      <c r="E2069" s="15"/>
      <c r="F2069" s="16"/>
      <c r="G2069" s="18"/>
      <c r="H2069" s="15"/>
      <c r="I2069" s="18"/>
      <c r="J2069" s="22"/>
      <c r="K2069" s="108"/>
      <c r="L2069" s="26"/>
      <c r="M2069" s="26"/>
    </row>
    <row r="2070">
      <c r="A2070" s="12"/>
      <c r="B2070" s="13"/>
      <c r="C2070" s="14"/>
      <c r="D2070" s="14"/>
      <c r="E2070" s="15"/>
      <c r="F2070" s="16"/>
      <c r="G2070" s="18"/>
      <c r="H2070" s="15"/>
      <c r="I2070" s="18"/>
      <c r="J2070" s="22"/>
      <c r="K2070" s="108"/>
      <c r="L2070" s="26"/>
      <c r="M2070" s="26"/>
    </row>
    <row r="2071">
      <c r="A2071" s="12"/>
      <c r="B2071" s="13"/>
      <c r="C2071" s="14"/>
      <c r="D2071" s="14"/>
      <c r="E2071" s="15"/>
      <c r="F2071" s="16"/>
      <c r="G2071" s="18"/>
      <c r="H2071" s="15"/>
      <c r="I2071" s="18"/>
      <c r="J2071" s="22"/>
      <c r="K2071" s="108"/>
      <c r="L2071" s="26"/>
      <c r="M2071" s="26"/>
    </row>
    <row r="2072">
      <c r="A2072" s="12"/>
      <c r="B2072" s="13"/>
      <c r="C2072" s="14"/>
      <c r="D2072" s="14"/>
      <c r="E2072" s="15"/>
      <c r="F2072" s="16"/>
      <c r="G2072" s="18"/>
      <c r="H2072" s="15"/>
      <c r="I2072" s="18"/>
      <c r="J2072" s="22"/>
      <c r="K2072" s="108"/>
      <c r="L2072" s="26"/>
      <c r="M2072" s="26"/>
    </row>
    <row r="2073">
      <c r="A2073" s="12"/>
      <c r="B2073" s="13"/>
      <c r="C2073" s="14"/>
      <c r="D2073" s="14"/>
      <c r="E2073" s="15"/>
      <c r="F2073" s="16"/>
      <c r="G2073" s="18"/>
      <c r="H2073" s="15"/>
      <c r="I2073" s="18"/>
      <c r="J2073" s="22"/>
      <c r="K2073" s="108"/>
      <c r="L2073" s="26"/>
      <c r="M2073" s="26"/>
    </row>
    <row r="2074">
      <c r="A2074" s="12"/>
      <c r="B2074" s="13"/>
      <c r="C2074" s="14"/>
      <c r="D2074" s="14"/>
      <c r="E2074" s="15"/>
      <c r="F2074" s="16"/>
      <c r="G2074" s="18"/>
      <c r="H2074" s="15"/>
      <c r="I2074" s="18"/>
      <c r="J2074" s="22"/>
      <c r="K2074" s="108"/>
      <c r="L2074" s="26"/>
      <c r="M2074" s="26"/>
    </row>
    <row r="2075">
      <c r="A2075" s="12"/>
      <c r="B2075" s="13"/>
      <c r="C2075" s="14"/>
      <c r="D2075" s="14"/>
      <c r="E2075" s="15"/>
      <c r="F2075" s="16"/>
      <c r="G2075" s="18"/>
      <c r="H2075" s="15"/>
      <c r="I2075" s="18"/>
      <c r="J2075" s="22"/>
      <c r="K2075" s="108"/>
      <c r="L2075" s="26"/>
      <c r="M2075" s="26"/>
    </row>
    <row r="2076">
      <c r="A2076" s="12"/>
      <c r="B2076" s="13"/>
      <c r="C2076" s="14"/>
      <c r="D2076" s="14"/>
      <c r="E2076" s="15"/>
      <c r="F2076" s="16"/>
      <c r="G2076" s="18"/>
      <c r="H2076" s="15"/>
      <c r="I2076" s="18"/>
      <c r="J2076" s="22"/>
      <c r="K2076" s="108"/>
      <c r="L2076" s="26"/>
      <c r="M2076" s="26"/>
    </row>
    <row r="2077">
      <c r="A2077" s="12"/>
      <c r="B2077" s="13"/>
      <c r="C2077" s="14"/>
      <c r="D2077" s="14"/>
      <c r="E2077" s="15"/>
      <c r="F2077" s="16"/>
      <c r="G2077" s="18"/>
      <c r="H2077" s="15"/>
      <c r="I2077" s="18"/>
      <c r="J2077" s="22"/>
      <c r="K2077" s="108"/>
      <c r="L2077" s="26"/>
      <c r="M2077" s="26"/>
    </row>
    <row r="2078">
      <c r="A2078" s="12"/>
      <c r="B2078" s="13"/>
      <c r="C2078" s="14"/>
      <c r="D2078" s="14"/>
      <c r="E2078" s="15"/>
      <c r="F2078" s="16"/>
      <c r="G2078" s="18"/>
      <c r="H2078" s="15"/>
      <c r="I2078" s="18"/>
      <c r="J2078" s="22"/>
      <c r="K2078" s="108"/>
      <c r="L2078" s="26"/>
      <c r="M2078" s="26"/>
    </row>
    <row r="2079">
      <c r="A2079" s="12"/>
      <c r="B2079" s="13"/>
      <c r="C2079" s="14"/>
      <c r="D2079" s="14"/>
      <c r="E2079" s="15"/>
      <c r="F2079" s="16"/>
      <c r="G2079" s="18"/>
      <c r="H2079" s="15"/>
      <c r="I2079" s="18"/>
      <c r="J2079" s="22"/>
      <c r="K2079" s="108"/>
      <c r="L2079" s="26"/>
      <c r="M2079" s="26"/>
    </row>
    <row r="2080">
      <c r="A2080" s="12"/>
      <c r="B2080" s="13"/>
      <c r="C2080" s="14"/>
      <c r="D2080" s="14"/>
      <c r="E2080" s="15"/>
      <c r="F2080" s="16"/>
      <c r="G2080" s="18"/>
      <c r="H2080" s="15"/>
      <c r="I2080" s="18"/>
      <c r="J2080" s="22"/>
      <c r="K2080" s="108"/>
      <c r="L2080" s="26"/>
      <c r="M2080" s="26"/>
    </row>
    <row r="2081">
      <c r="A2081" s="12"/>
      <c r="B2081" s="13"/>
      <c r="C2081" s="14"/>
      <c r="D2081" s="14"/>
      <c r="E2081" s="15"/>
      <c r="F2081" s="16"/>
      <c r="G2081" s="18"/>
      <c r="H2081" s="15"/>
      <c r="I2081" s="18"/>
      <c r="J2081" s="22"/>
      <c r="K2081" s="108"/>
      <c r="L2081" s="26"/>
      <c r="M2081" s="26"/>
    </row>
    <row r="2082">
      <c r="A2082" s="12"/>
      <c r="B2082" s="13"/>
      <c r="C2082" s="14"/>
      <c r="D2082" s="14"/>
      <c r="E2082" s="15"/>
      <c r="F2082" s="16"/>
      <c r="G2082" s="18"/>
      <c r="H2082" s="15"/>
      <c r="I2082" s="18"/>
      <c r="J2082" s="22"/>
      <c r="K2082" s="108"/>
      <c r="L2082" s="26"/>
      <c r="M2082" s="26"/>
    </row>
    <row r="2083">
      <c r="A2083" s="12"/>
      <c r="B2083" s="13"/>
      <c r="C2083" s="14"/>
      <c r="D2083" s="14"/>
      <c r="E2083" s="15"/>
      <c r="F2083" s="16"/>
      <c r="G2083" s="18"/>
      <c r="H2083" s="15"/>
      <c r="I2083" s="18"/>
      <c r="J2083" s="22"/>
      <c r="K2083" s="108"/>
      <c r="L2083" s="26"/>
      <c r="M2083" s="26"/>
    </row>
    <row r="2084">
      <c r="A2084" s="12"/>
      <c r="B2084" s="13"/>
      <c r="C2084" s="14"/>
      <c r="D2084" s="14"/>
      <c r="E2084" s="15"/>
      <c r="F2084" s="16"/>
      <c r="G2084" s="18"/>
      <c r="H2084" s="15"/>
      <c r="I2084" s="18"/>
      <c r="J2084" s="22"/>
      <c r="K2084" s="108"/>
      <c r="L2084" s="26"/>
      <c r="M2084" s="26"/>
    </row>
    <row r="2085">
      <c r="A2085" s="12"/>
      <c r="B2085" s="13"/>
      <c r="C2085" s="14"/>
      <c r="D2085" s="14"/>
      <c r="E2085" s="15"/>
      <c r="F2085" s="16"/>
      <c r="G2085" s="18"/>
      <c r="H2085" s="15"/>
      <c r="I2085" s="18"/>
      <c r="J2085" s="22"/>
      <c r="K2085" s="108"/>
      <c r="L2085" s="26"/>
      <c r="M2085" s="26"/>
    </row>
    <row r="2086">
      <c r="A2086" s="12"/>
      <c r="B2086" s="13"/>
      <c r="C2086" s="14"/>
      <c r="D2086" s="14"/>
      <c r="E2086" s="15"/>
      <c r="F2086" s="16"/>
      <c r="G2086" s="18"/>
      <c r="H2086" s="15"/>
      <c r="I2086" s="18"/>
      <c r="J2086" s="22"/>
      <c r="K2086" s="108"/>
      <c r="L2086" s="26"/>
      <c r="M2086" s="26"/>
    </row>
    <row r="2087">
      <c r="A2087" s="12"/>
      <c r="B2087" s="13"/>
      <c r="C2087" s="14"/>
      <c r="D2087" s="14"/>
      <c r="E2087" s="15"/>
      <c r="F2087" s="16"/>
      <c r="G2087" s="18"/>
      <c r="H2087" s="15"/>
      <c r="I2087" s="18"/>
      <c r="J2087" s="22"/>
      <c r="K2087" s="108"/>
      <c r="L2087" s="26"/>
      <c r="M2087" s="26"/>
    </row>
    <row r="2088">
      <c r="A2088" s="12"/>
      <c r="B2088" s="13"/>
      <c r="C2088" s="14"/>
      <c r="D2088" s="14"/>
      <c r="E2088" s="15"/>
      <c r="F2088" s="16"/>
      <c r="G2088" s="18"/>
      <c r="H2088" s="15"/>
      <c r="I2088" s="18"/>
      <c r="J2088" s="22"/>
      <c r="K2088" s="108"/>
      <c r="L2088" s="26"/>
      <c r="M2088" s="26"/>
    </row>
    <row r="2089">
      <c r="A2089" s="12"/>
      <c r="B2089" s="13"/>
      <c r="C2089" s="14"/>
      <c r="D2089" s="14"/>
      <c r="E2089" s="15"/>
      <c r="F2089" s="16"/>
      <c r="G2089" s="18"/>
      <c r="H2089" s="15"/>
      <c r="I2089" s="18"/>
      <c r="J2089" s="22"/>
      <c r="K2089" s="108"/>
      <c r="L2089" s="26"/>
      <c r="M2089" s="26"/>
    </row>
    <row r="2090">
      <c r="A2090" s="12"/>
      <c r="B2090" s="13"/>
      <c r="C2090" s="14"/>
      <c r="D2090" s="14"/>
      <c r="E2090" s="15"/>
      <c r="F2090" s="16"/>
      <c r="G2090" s="18"/>
      <c r="H2090" s="15"/>
      <c r="I2090" s="18"/>
      <c r="J2090" s="22"/>
      <c r="K2090" s="108"/>
      <c r="L2090" s="26"/>
      <c r="M2090" s="26"/>
    </row>
    <row r="2091">
      <c r="A2091" s="12"/>
      <c r="B2091" s="13"/>
      <c r="C2091" s="14"/>
      <c r="D2091" s="14"/>
      <c r="E2091" s="15"/>
      <c r="F2091" s="16"/>
      <c r="G2091" s="18"/>
      <c r="H2091" s="15"/>
      <c r="I2091" s="18"/>
      <c r="J2091" s="22"/>
      <c r="K2091" s="108"/>
      <c r="L2091" s="26"/>
      <c r="M2091" s="26"/>
    </row>
    <row r="2092">
      <c r="A2092" s="12"/>
      <c r="B2092" s="13"/>
      <c r="C2092" s="14"/>
      <c r="D2092" s="14"/>
      <c r="E2092" s="15"/>
      <c r="F2092" s="16"/>
      <c r="G2092" s="18"/>
      <c r="H2092" s="15"/>
      <c r="I2092" s="18"/>
      <c r="J2092" s="22"/>
      <c r="K2092" s="108"/>
      <c r="L2092" s="26"/>
      <c r="M2092" s="26"/>
    </row>
    <row r="2093">
      <c r="A2093" s="12"/>
      <c r="B2093" s="13"/>
      <c r="C2093" s="14"/>
      <c r="D2093" s="14"/>
      <c r="E2093" s="15"/>
      <c r="F2093" s="16"/>
      <c r="G2093" s="18"/>
      <c r="H2093" s="15"/>
      <c r="I2093" s="18"/>
      <c r="J2093" s="22"/>
      <c r="K2093" s="108"/>
      <c r="L2093" s="26"/>
      <c r="M2093" s="26"/>
    </row>
    <row r="2094">
      <c r="A2094" s="12"/>
      <c r="B2094" s="13"/>
      <c r="C2094" s="14"/>
      <c r="D2094" s="14"/>
      <c r="E2094" s="15"/>
      <c r="F2094" s="16"/>
      <c r="G2094" s="18"/>
      <c r="H2094" s="15"/>
      <c r="I2094" s="18"/>
      <c r="J2094" s="22"/>
      <c r="K2094" s="108"/>
      <c r="L2094" s="26"/>
      <c r="M2094" s="26"/>
    </row>
    <row r="2095">
      <c r="A2095" s="12"/>
      <c r="B2095" s="13"/>
      <c r="C2095" s="14"/>
      <c r="D2095" s="14"/>
      <c r="E2095" s="15"/>
      <c r="F2095" s="16"/>
      <c r="G2095" s="18"/>
      <c r="H2095" s="15"/>
      <c r="I2095" s="18"/>
      <c r="J2095" s="22"/>
      <c r="K2095" s="108"/>
      <c r="L2095" s="26"/>
      <c r="M2095" s="26"/>
    </row>
    <row r="2096">
      <c r="A2096" s="12"/>
      <c r="B2096" s="13"/>
      <c r="C2096" s="14"/>
      <c r="D2096" s="14"/>
      <c r="E2096" s="15"/>
      <c r="F2096" s="16"/>
      <c r="G2096" s="18"/>
      <c r="H2096" s="15"/>
      <c r="I2096" s="18"/>
      <c r="J2096" s="22"/>
      <c r="K2096" s="108"/>
      <c r="L2096" s="26"/>
      <c r="M2096" s="26"/>
    </row>
    <row r="2097">
      <c r="A2097" s="12"/>
      <c r="B2097" s="13"/>
      <c r="C2097" s="14"/>
      <c r="D2097" s="14"/>
      <c r="E2097" s="15"/>
      <c r="F2097" s="16"/>
      <c r="G2097" s="18"/>
      <c r="H2097" s="15"/>
      <c r="I2097" s="18"/>
      <c r="J2097" s="22"/>
      <c r="K2097" s="108"/>
      <c r="L2097" s="26"/>
      <c r="M2097" s="26"/>
    </row>
    <row r="2098">
      <c r="A2098" s="12"/>
      <c r="B2098" s="13"/>
      <c r="C2098" s="14"/>
      <c r="D2098" s="14"/>
      <c r="E2098" s="15"/>
      <c r="F2098" s="16"/>
      <c r="G2098" s="18"/>
      <c r="H2098" s="15"/>
      <c r="I2098" s="18"/>
      <c r="J2098" s="22"/>
      <c r="K2098" s="108"/>
      <c r="L2098" s="26"/>
      <c r="M2098" s="26"/>
    </row>
    <row r="2099">
      <c r="A2099" s="12"/>
      <c r="B2099" s="13"/>
      <c r="C2099" s="14"/>
      <c r="D2099" s="14"/>
      <c r="E2099" s="15"/>
      <c r="F2099" s="16"/>
      <c r="G2099" s="18"/>
      <c r="H2099" s="15"/>
      <c r="I2099" s="18"/>
      <c r="J2099" s="22"/>
      <c r="K2099" s="108"/>
      <c r="L2099" s="26"/>
      <c r="M2099" s="26"/>
    </row>
    <row r="2100">
      <c r="A2100" s="12"/>
      <c r="B2100" s="13"/>
      <c r="C2100" s="14"/>
      <c r="D2100" s="14"/>
      <c r="E2100" s="15"/>
      <c r="F2100" s="16"/>
      <c r="G2100" s="18"/>
      <c r="H2100" s="15"/>
      <c r="I2100" s="18"/>
      <c r="J2100" s="22"/>
      <c r="K2100" s="108"/>
      <c r="L2100" s="26"/>
      <c r="M2100" s="26"/>
    </row>
    <row r="2101">
      <c r="A2101" s="12"/>
      <c r="B2101" s="13"/>
      <c r="C2101" s="14"/>
      <c r="D2101" s="14"/>
      <c r="E2101" s="15"/>
      <c r="F2101" s="16"/>
      <c r="G2101" s="18"/>
      <c r="H2101" s="15"/>
      <c r="I2101" s="18"/>
      <c r="J2101" s="22"/>
      <c r="K2101" s="108"/>
      <c r="L2101" s="26"/>
      <c r="M2101" s="26"/>
    </row>
    <row r="2102">
      <c r="A2102" s="12"/>
      <c r="B2102" s="13"/>
      <c r="C2102" s="14"/>
      <c r="D2102" s="14"/>
      <c r="E2102" s="15"/>
      <c r="F2102" s="16"/>
      <c r="G2102" s="18"/>
      <c r="H2102" s="15"/>
      <c r="I2102" s="18"/>
      <c r="J2102" s="22"/>
      <c r="K2102" s="108"/>
      <c r="L2102" s="26"/>
      <c r="M2102" s="26"/>
    </row>
    <row r="2103">
      <c r="A2103" s="12"/>
      <c r="B2103" s="13"/>
      <c r="C2103" s="14"/>
      <c r="D2103" s="14"/>
      <c r="E2103" s="15"/>
      <c r="F2103" s="16"/>
      <c r="G2103" s="18"/>
      <c r="H2103" s="15"/>
      <c r="I2103" s="18"/>
      <c r="J2103" s="22"/>
      <c r="K2103" s="108"/>
      <c r="L2103" s="26"/>
      <c r="M2103" s="26"/>
    </row>
    <row r="2104">
      <c r="A2104" s="12"/>
      <c r="B2104" s="13"/>
      <c r="C2104" s="14"/>
      <c r="D2104" s="14"/>
      <c r="E2104" s="15"/>
      <c r="F2104" s="16"/>
      <c r="G2104" s="18"/>
      <c r="H2104" s="15"/>
      <c r="I2104" s="18"/>
      <c r="J2104" s="22"/>
      <c r="K2104" s="108"/>
      <c r="L2104" s="26"/>
      <c r="M2104" s="26"/>
    </row>
    <row r="2105">
      <c r="A2105" s="12"/>
      <c r="B2105" s="13"/>
      <c r="C2105" s="14"/>
      <c r="D2105" s="14"/>
      <c r="E2105" s="15"/>
      <c r="F2105" s="16"/>
      <c r="G2105" s="18"/>
      <c r="H2105" s="15"/>
      <c r="I2105" s="18"/>
      <c r="J2105" s="22"/>
      <c r="K2105" s="108"/>
      <c r="L2105" s="26"/>
      <c r="M2105" s="26"/>
    </row>
    <row r="2106">
      <c r="A2106" s="12"/>
      <c r="B2106" s="13"/>
      <c r="C2106" s="14"/>
      <c r="D2106" s="14"/>
      <c r="E2106" s="15"/>
      <c r="F2106" s="16"/>
      <c r="G2106" s="18"/>
      <c r="H2106" s="15"/>
      <c r="I2106" s="18"/>
      <c r="J2106" s="22"/>
      <c r="K2106" s="108"/>
      <c r="L2106" s="26"/>
      <c r="M2106" s="26"/>
    </row>
    <row r="2107">
      <c r="A2107" s="12"/>
      <c r="B2107" s="13"/>
      <c r="C2107" s="14"/>
      <c r="D2107" s="14"/>
      <c r="E2107" s="15"/>
      <c r="F2107" s="16"/>
      <c r="G2107" s="18"/>
      <c r="H2107" s="15"/>
      <c r="I2107" s="18"/>
      <c r="J2107" s="22"/>
      <c r="K2107" s="108"/>
      <c r="L2107" s="26"/>
      <c r="M2107" s="26"/>
    </row>
    <row r="2108">
      <c r="A2108" s="12"/>
      <c r="B2108" s="13"/>
      <c r="C2108" s="14"/>
      <c r="D2108" s="14"/>
      <c r="E2108" s="15"/>
      <c r="F2108" s="16"/>
      <c r="G2108" s="18"/>
      <c r="H2108" s="15"/>
      <c r="I2108" s="18"/>
      <c r="J2108" s="22"/>
      <c r="K2108" s="108"/>
      <c r="L2108" s="26"/>
      <c r="M2108" s="26"/>
    </row>
    <row r="2109">
      <c r="A2109" s="12"/>
      <c r="B2109" s="13"/>
      <c r="C2109" s="14"/>
      <c r="D2109" s="14"/>
      <c r="E2109" s="15"/>
      <c r="F2109" s="16"/>
      <c r="G2109" s="18"/>
      <c r="H2109" s="15"/>
      <c r="I2109" s="18"/>
      <c r="J2109" s="22"/>
      <c r="K2109" s="108"/>
      <c r="L2109" s="26"/>
      <c r="M2109" s="26"/>
    </row>
    <row r="2110">
      <c r="A2110" s="12"/>
      <c r="B2110" s="13"/>
      <c r="C2110" s="14"/>
      <c r="D2110" s="14"/>
      <c r="E2110" s="15"/>
      <c r="F2110" s="16"/>
      <c r="G2110" s="18"/>
      <c r="H2110" s="15"/>
      <c r="I2110" s="18"/>
      <c r="J2110" s="22"/>
      <c r="K2110" s="108"/>
      <c r="L2110" s="26"/>
      <c r="M2110" s="26"/>
    </row>
    <row r="2111">
      <c r="A2111" s="12"/>
      <c r="B2111" s="13"/>
      <c r="C2111" s="14"/>
      <c r="D2111" s="14"/>
      <c r="E2111" s="15"/>
      <c r="F2111" s="16"/>
      <c r="G2111" s="18"/>
      <c r="H2111" s="15"/>
      <c r="I2111" s="18"/>
      <c r="J2111" s="22"/>
      <c r="K2111" s="108"/>
      <c r="L2111" s="26"/>
      <c r="M2111" s="26"/>
    </row>
    <row r="2112">
      <c r="A2112" s="12"/>
      <c r="B2112" s="13"/>
      <c r="C2112" s="14"/>
      <c r="D2112" s="14"/>
      <c r="E2112" s="15"/>
      <c r="F2112" s="16"/>
      <c r="G2112" s="18"/>
      <c r="H2112" s="15"/>
      <c r="I2112" s="18"/>
      <c r="J2112" s="22"/>
      <c r="K2112" s="108"/>
      <c r="L2112" s="26"/>
      <c r="M2112" s="26"/>
    </row>
    <row r="2113">
      <c r="A2113" s="12"/>
      <c r="B2113" s="13"/>
      <c r="C2113" s="14"/>
      <c r="D2113" s="14"/>
      <c r="E2113" s="15"/>
      <c r="F2113" s="16"/>
      <c r="G2113" s="18"/>
      <c r="H2113" s="15"/>
      <c r="I2113" s="18"/>
      <c r="J2113" s="22"/>
      <c r="K2113" s="108"/>
      <c r="L2113" s="26"/>
      <c r="M2113" s="26"/>
    </row>
    <row r="2114">
      <c r="A2114" s="12"/>
      <c r="B2114" s="13"/>
      <c r="C2114" s="14"/>
      <c r="D2114" s="14"/>
      <c r="E2114" s="15"/>
      <c r="F2114" s="16"/>
      <c r="G2114" s="18"/>
      <c r="H2114" s="15"/>
      <c r="I2114" s="18"/>
      <c r="J2114" s="22"/>
      <c r="K2114" s="108"/>
      <c r="L2114" s="26"/>
      <c r="M2114" s="26"/>
    </row>
    <row r="2115">
      <c r="A2115" s="12"/>
      <c r="B2115" s="13"/>
      <c r="C2115" s="14"/>
      <c r="D2115" s="14"/>
      <c r="E2115" s="15"/>
      <c r="F2115" s="16"/>
      <c r="G2115" s="18"/>
      <c r="H2115" s="15"/>
      <c r="I2115" s="18"/>
      <c r="J2115" s="22"/>
      <c r="K2115" s="108"/>
      <c r="L2115" s="26"/>
      <c r="M2115" s="26"/>
    </row>
    <row r="2116">
      <c r="A2116" s="12"/>
      <c r="B2116" s="13"/>
      <c r="C2116" s="14"/>
      <c r="D2116" s="14"/>
      <c r="E2116" s="15"/>
      <c r="F2116" s="16"/>
      <c r="G2116" s="18"/>
      <c r="H2116" s="15"/>
      <c r="I2116" s="18"/>
      <c r="J2116" s="22"/>
      <c r="K2116" s="108"/>
      <c r="L2116" s="26"/>
      <c r="M2116" s="26"/>
    </row>
    <row r="2117">
      <c r="A2117" s="12"/>
      <c r="B2117" s="13"/>
      <c r="C2117" s="14"/>
      <c r="D2117" s="14"/>
      <c r="E2117" s="15"/>
      <c r="F2117" s="16"/>
      <c r="G2117" s="18"/>
      <c r="H2117" s="15"/>
      <c r="I2117" s="18"/>
      <c r="J2117" s="22"/>
      <c r="K2117" s="108"/>
      <c r="L2117" s="26"/>
      <c r="M2117" s="26"/>
    </row>
    <row r="2118">
      <c r="A2118" s="12"/>
      <c r="B2118" s="13"/>
      <c r="C2118" s="14"/>
      <c r="D2118" s="14"/>
      <c r="E2118" s="15"/>
      <c r="F2118" s="16"/>
      <c r="G2118" s="18"/>
      <c r="H2118" s="15"/>
      <c r="I2118" s="18"/>
      <c r="J2118" s="22"/>
      <c r="K2118" s="108"/>
      <c r="L2118" s="26"/>
      <c r="M2118" s="26"/>
    </row>
    <row r="2119">
      <c r="A2119" s="12"/>
      <c r="B2119" s="13"/>
      <c r="C2119" s="14"/>
      <c r="D2119" s="14"/>
      <c r="E2119" s="15"/>
      <c r="F2119" s="16"/>
      <c r="G2119" s="18"/>
      <c r="H2119" s="15"/>
      <c r="I2119" s="18"/>
      <c r="J2119" s="22"/>
      <c r="K2119" s="108"/>
      <c r="L2119" s="26"/>
      <c r="M2119" s="26"/>
    </row>
    <row r="2120">
      <c r="A2120" s="12"/>
      <c r="B2120" s="13"/>
      <c r="C2120" s="14"/>
      <c r="D2120" s="14"/>
      <c r="E2120" s="15"/>
      <c r="F2120" s="16"/>
      <c r="G2120" s="18"/>
      <c r="H2120" s="15"/>
      <c r="I2120" s="18"/>
      <c r="J2120" s="22"/>
      <c r="K2120" s="108"/>
      <c r="L2120" s="26"/>
      <c r="M2120" s="26"/>
    </row>
    <row r="2121">
      <c r="A2121" s="12"/>
      <c r="B2121" s="13"/>
      <c r="C2121" s="14"/>
      <c r="D2121" s="14"/>
      <c r="E2121" s="15"/>
      <c r="F2121" s="16"/>
      <c r="G2121" s="18"/>
      <c r="H2121" s="15"/>
      <c r="I2121" s="18"/>
      <c r="J2121" s="22"/>
      <c r="K2121" s="108"/>
      <c r="L2121" s="26"/>
      <c r="M2121" s="26"/>
    </row>
    <row r="2122">
      <c r="A2122" s="12"/>
      <c r="B2122" s="13"/>
      <c r="C2122" s="14"/>
      <c r="D2122" s="14"/>
      <c r="E2122" s="15"/>
      <c r="F2122" s="16"/>
      <c r="G2122" s="18"/>
      <c r="H2122" s="15"/>
      <c r="I2122" s="18"/>
      <c r="J2122" s="22"/>
      <c r="K2122" s="108"/>
      <c r="L2122" s="26"/>
      <c r="M2122" s="26"/>
    </row>
    <row r="2123">
      <c r="A2123" s="12"/>
      <c r="B2123" s="13"/>
      <c r="C2123" s="14"/>
      <c r="D2123" s="14"/>
      <c r="E2123" s="15"/>
      <c r="F2123" s="16"/>
      <c r="G2123" s="18"/>
      <c r="H2123" s="15"/>
      <c r="I2123" s="18"/>
      <c r="J2123" s="22"/>
      <c r="K2123" s="108"/>
      <c r="L2123" s="26"/>
      <c r="M2123" s="26"/>
    </row>
    <row r="2124">
      <c r="A2124" s="12"/>
      <c r="B2124" s="13"/>
      <c r="C2124" s="14"/>
      <c r="D2124" s="14"/>
      <c r="E2124" s="15"/>
      <c r="F2124" s="16"/>
      <c r="G2124" s="18"/>
      <c r="H2124" s="15"/>
      <c r="I2124" s="18"/>
      <c r="J2124" s="22"/>
      <c r="K2124" s="108"/>
      <c r="L2124" s="26"/>
      <c r="M2124" s="26"/>
    </row>
    <row r="2125">
      <c r="A2125" s="12"/>
      <c r="B2125" s="13"/>
      <c r="C2125" s="14"/>
      <c r="D2125" s="14"/>
      <c r="E2125" s="15"/>
      <c r="F2125" s="16"/>
      <c r="G2125" s="18"/>
      <c r="H2125" s="15"/>
      <c r="I2125" s="18"/>
      <c r="J2125" s="22"/>
      <c r="K2125" s="108"/>
      <c r="L2125" s="26"/>
      <c r="M2125" s="26"/>
    </row>
    <row r="2126">
      <c r="A2126" s="12"/>
      <c r="B2126" s="13"/>
      <c r="C2126" s="14"/>
      <c r="D2126" s="14"/>
      <c r="E2126" s="15"/>
      <c r="F2126" s="16"/>
      <c r="G2126" s="18"/>
      <c r="H2126" s="15"/>
      <c r="I2126" s="18"/>
      <c r="J2126" s="22"/>
      <c r="K2126" s="108"/>
      <c r="L2126" s="26"/>
      <c r="M2126" s="26"/>
    </row>
    <row r="2127">
      <c r="A2127" s="12"/>
      <c r="B2127" s="13"/>
      <c r="C2127" s="14"/>
      <c r="D2127" s="14"/>
      <c r="E2127" s="15"/>
      <c r="F2127" s="16"/>
      <c r="G2127" s="18"/>
      <c r="H2127" s="15"/>
      <c r="I2127" s="18"/>
      <c r="J2127" s="22"/>
      <c r="K2127" s="108"/>
      <c r="L2127" s="26"/>
      <c r="M2127" s="26"/>
    </row>
    <row r="2128">
      <c r="A2128" s="12"/>
      <c r="B2128" s="13"/>
      <c r="C2128" s="14"/>
      <c r="D2128" s="14"/>
      <c r="E2128" s="15"/>
      <c r="F2128" s="16"/>
      <c r="G2128" s="18"/>
      <c r="H2128" s="15"/>
      <c r="I2128" s="18"/>
      <c r="J2128" s="22"/>
      <c r="K2128" s="108"/>
      <c r="L2128" s="26"/>
      <c r="M2128" s="26"/>
    </row>
    <row r="2129">
      <c r="A2129" s="12"/>
      <c r="B2129" s="13"/>
      <c r="C2129" s="14"/>
      <c r="D2129" s="14"/>
      <c r="E2129" s="15"/>
      <c r="F2129" s="16"/>
      <c r="G2129" s="18"/>
      <c r="H2129" s="15"/>
      <c r="I2129" s="18"/>
      <c r="J2129" s="22"/>
      <c r="K2129" s="108"/>
      <c r="L2129" s="26"/>
      <c r="M2129" s="26"/>
    </row>
    <row r="2130">
      <c r="A2130" s="12"/>
      <c r="B2130" s="13"/>
      <c r="C2130" s="14"/>
      <c r="D2130" s="14"/>
      <c r="E2130" s="15"/>
      <c r="F2130" s="16"/>
      <c r="G2130" s="18"/>
      <c r="H2130" s="15"/>
      <c r="I2130" s="18"/>
      <c r="J2130" s="22"/>
      <c r="K2130" s="108"/>
      <c r="L2130" s="26"/>
      <c r="M2130" s="26"/>
    </row>
    <row r="2131">
      <c r="A2131" s="12"/>
      <c r="B2131" s="13"/>
      <c r="C2131" s="14"/>
      <c r="D2131" s="14"/>
      <c r="E2131" s="15"/>
      <c r="F2131" s="16"/>
      <c r="G2131" s="18"/>
      <c r="H2131" s="15"/>
      <c r="I2131" s="18"/>
      <c r="J2131" s="22"/>
      <c r="K2131" s="108"/>
      <c r="L2131" s="26"/>
      <c r="M2131" s="26"/>
    </row>
    <row r="2132">
      <c r="A2132" s="12"/>
      <c r="B2132" s="13"/>
      <c r="C2132" s="14"/>
      <c r="D2132" s="14"/>
      <c r="E2132" s="15"/>
      <c r="F2132" s="16"/>
      <c r="G2132" s="18"/>
      <c r="H2132" s="15"/>
      <c r="I2132" s="18"/>
      <c r="J2132" s="22"/>
      <c r="K2132" s="108"/>
      <c r="L2132" s="26"/>
      <c r="M2132" s="26"/>
    </row>
    <row r="2133">
      <c r="A2133" s="12"/>
      <c r="B2133" s="13"/>
      <c r="C2133" s="14"/>
      <c r="D2133" s="14"/>
      <c r="E2133" s="15"/>
      <c r="F2133" s="16"/>
      <c r="G2133" s="18"/>
      <c r="H2133" s="15"/>
      <c r="I2133" s="18"/>
      <c r="J2133" s="22"/>
      <c r="K2133" s="108"/>
      <c r="L2133" s="26"/>
      <c r="M2133" s="26"/>
    </row>
    <row r="2134">
      <c r="A2134" s="12"/>
      <c r="B2134" s="13"/>
      <c r="C2134" s="14"/>
      <c r="D2134" s="14"/>
      <c r="E2134" s="15"/>
      <c r="F2134" s="16"/>
      <c r="G2134" s="18"/>
      <c r="H2134" s="15"/>
      <c r="I2134" s="18"/>
      <c r="J2134" s="22"/>
      <c r="K2134" s="108"/>
      <c r="L2134" s="26"/>
      <c r="M2134" s="26"/>
    </row>
    <row r="2135">
      <c r="A2135" s="12"/>
      <c r="B2135" s="13"/>
      <c r="C2135" s="14"/>
      <c r="D2135" s="14"/>
      <c r="E2135" s="15"/>
      <c r="F2135" s="16"/>
      <c r="G2135" s="18"/>
      <c r="H2135" s="15"/>
      <c r="I2135" s="18"/>
      <c r="J2135" s="22"/>
      <c r="K2135" s="108"/>
      <c r="L2135" s="26"/>
      <c r="M2135" s="26"/>
    </row>
    <row r="2136">
      <c r="A2136" s="12"/>
      <c r="B2136" s="13"/>
      <c r="C2136" s="14"/>
      <c r="D2136" s="14"/>
      <c r="E2136" s="15"/>
      <c r="F2136" s="16"/>
      <c r="G2136" s="18"/>
      <c r="H2136" s="15"/>
      <c r="I2136" s="18"/>
      <c r="J2136" s="22"/>
      <c r="K2136" s="108"/>
      <c r="L2136" s="26"/>
      <c r="M2136" s="26"/>
    </row>
    <row r="2137">
      <c r="A2137" s="12"/>
      <c r="B2137" s="13"/>
      <c r="C2137" s="14"/>
      <c r="D2137" s="14"/>
      <c r="E2137" s="15"/>
      <c r="F2137" s="16"/>
      <c r="G2137" s="18"/>
      <c r="H2137" s="15"/>
      <c r="I2137" s="18"/>
      <c r="J2137" s="22"/>
      <c r="K2137" s="108"/>
      <c r="L2137" s="26"/>
      <c r="M2137" s="26"/>
    </row>
    <row r="2138">
      <c r="A2138" s="12"/>
      <c r="B2138" s="13"/>
      <c r="C2138" s="14"/>
      <c r="D2138" s="14"/>
      <c r="E2138" s="15"/>
      <c r="F2138" s="16"/>
      <c r="G2138" s="18"/>
      <c r="H2138" s="15"/>
      <c r="I2138" s="18"/>
      <c r="J2138" s="22"/>
      <c r="K2138" s="108"/>
      <c r="L2138" s="26"/>
      <c r="M2138" s="26"/>
    </row>
    <row r="2139">
      <c r="A2139" s="12"/>
      <c r="B2139" s="13"/>
      <c r="C2139" s="14"/>
      <c r="D2139" s="14"/>
      <c r="E2139" s="15"/>
      <c r="F2139" s="16"/>
      <c r="G2139" s="18"/>
      <c r="H2139" s="15"/>
      <c r="I2139" s="18"/>
      <c r="J2139" s="22"/>
      <c r="K2139" s="108"/>
      <c r="L2139" s="26"/>
      <c r="M2139" s="26"/>
    </row>
    <row r="2140">
      <c r="A2140" s="12"/>
      <c r="B2140" s="13"/>
      <c r="C2140" s="14"/>
      <c r="D2140" s="14"/>
      <c r="E2140" s="15"/>
      <c r="F2140" s="16"/>
      <c r="G2140" s="18"/>
      <c r="H2140" s="15"/>
      <c r="I2140" s="18"/>
      <c r="J2140" s="22"/>
      <c r="K2140" s="108"/>
      <c r="L2140" s="26"/>
      <c r="M2140" s="26"/>
    </row>
    <row r="2141">
      <c r="A2141" s="12"/>
      <c r="B2141" s="13"/>
      <c r="C2141" s="14"/>
      <c r="D2141" s="14"/>
      <c r="E2141" s="15"/>
      <c r="F2141" s="16"/>
      <c r="G2141" s="18"/>
      <c r="H2141" s="15"/>
      <c r="I2141" s="18"/>
      <c r="J2141" s="22"/>
      <c r="K2141" s="108"/>
      <c r="L2141" s="26"/>
      <c r="M2141" s="26"/>
    </row>
    <row r="2142">
      <c r="A2142" s="12"/>
      <c r="B2142" s="13"/>
      <c r="C2142" s="14"/>
      <c r="D2142" s="14"/>
      <c r="E2142" s="15"/>
      <c r="F2142" s="16"/>
      <c r="G2142" s="18"/>
      <c r="H2142" s="15"/>
      <c r="I2142" s="18"/>
      <c r="J2142" s="22"/>
      <c r="K2142" s="108"/>
      <c r="L2142" s="26"/>
      <c r="M2142" s="26"/>
    </row>
    <row r="2143">
      <c r="A2143" s="12"/>
      <c r="B2143" s="13"/>
      <c r="C2143" s="14"/>
      <c r="D2143" s="14"/>
      <c r="E2143" s="15"/>
      <c r="F2143" s="16"/>
      <c r="G2143" s="18"/>
      <c r="H2143" s="15"/>
      <c r="I2143" s="18"/>
      <c r="J2143" s="22"/>
      <c r="K2143" s="108"/>
      <c r="L2143" s="26"/>
      <c r="M2143" s="26"/>
    </row>
    <row r="2144">
      <c r="A2144" s="12"/>
      <c r="B2144" s="13"/>
      <c r="C2144" s="14"/>
      <c r="D2144" s="14"/>
      <c r="E2144" s="15"/>
      <c r="F2144" s="16"/>
      <c r="G2144" s="18"/>
      <c r="H2144" s="15"/>
      <c r="I2144" s="18"/>
      <c r="J2144" s="22"/>
      <c r="K2144" s="108"/>
      <c r="L2144" s="26"/>
      <c r="M2144" s="26"/>
    </row>
    <row r="2145">
      <c r="A2145" s="12"/>
      <c r="B2145" s="13"/>
      <c r="C2145" s="14"/>
      <c r="D2145" s="14"/>
      <c r="E2145" s="15"/>
      <c r="F2145" s="16"/>
      <c r="G2145" s="18"/>
      <c r="H2145" s="15"/>
      <c r="I2145" s="18"/>
      <c r="J2145" s="22"/>
      <c r="K2145" s="108"/>
      <c r="L2145" s="26"/>
      <c r="M2145" s="26"/>
    </row>
    <row r="2146">
      <c r="A2146" s="12"/>
      <c r="B2146" s="13"/>
      <c r="C2146" s="14"/>
      <c r="D2146" s="14"/>
      <c r="E2146" s="15"/>
      <c r="F2146" s="16"/>
      <c r="G2146" s="18"/>
      <c r="H2146" s="15"/>
      <c r="I2146" s="18"/>
      <c r="J2146" s="22"/>
      <c r="K2146" s="108"/>
      <c r="L2146" s="26"/>
      <c r="M2146" s="26"/>
    </row>
    <row r="2147">
      <c r="A2147" s="12"/>
      <c r="B2147" s="13"/>
      <c r="C2147" s="14"/>
      <c r="D2147" s="14"/>
      <c r="E2147" s="15"/>
      <c r="F2147" s="16"/>
      <c r="G2147" s="18"/>
      <c r="H2147" s="15"/>
      <c r="I2147" s="18"/>
      <c r="J2147" s="22"/>
      <c r="K2147" s="108"/>
      <c r="L2147" s="26"/>
      <c r="M2147" s="26"/>
    </row>
    <row r="2148">
      <c r="A2148" s="12"/>
      <c r="B2148" s="13"/>
      <c r="C2148" s="14"/>
      <c r="D2148" s="14"/>
      <c r="E2148" s="15"/>
      <c r="F2148" s="16"/>
      <c r="G2148" s="18"/>
      <c r="H2148" s="15"/>
      <c r="I2148" s="18"/>
      <c r="J2148" s="22"/>
      <c r="K2148" s="108"/>
      <c r="L2148" s="26"/>
      <c r="M2148" s="26"/>
    </row>
    <row r="2149">
      <c r="A2149" s="12"/>
      <c r="B2149" s="13"/>
      <c r="C2149" s="14"/>
      <c r="D2149" s="14"/>
      <c r="E2149" s="15"/>
      <c r="F2149" s="16"/>
      <c r="G2149" s="18"/>
      <c r="H2149" s="15"/>
      <c r="I2149" s="18"/>
      <c r="J2149" s="22"/>
      <c r="K2149" s="108"/>
      <c r="L2149" s="26"/>
      <c r="M2149" s="26"/>
    </row>
    <row r="2150">
      <c r="A2150" s="12"/>
      <c r="B2150" s="13"/>
      <c r="C2150" s="14"/>
      <c r="D2150" s="14"/>
      <c r="E2150" s="15"/>
      <c r="F2150" s="16"/>
      <c r="G2150" s="18"/>
      <c r="H2150" s="15"/>
      <c r="I2150" s="18"/>
      <c r="J2150" s="22"/>
      <c r="K2150" s="108"/>
      <c r="L2150" s="26"/>
      <c r="M2150" s="26"/>
    </row>
    <row r="2151">
      <c r="A2151" s="12"/>
      <c r="B2151" s="13"/>
      <c r="C2151" s="14"/>
      <c r="D2151" s="14"/>
      <c r="E2151" s="15"/>
      <c r="F2151" s="16"/>
      <c r="G2151" s="18"/>
      <c r="H2151" s="15"/>
      <c r="I2151" s="18"/>
      <c r="J2151" s="22"/>
      <c r="K2151" s="108"/>
      <c r="L2151" s="26"/>
      <c r="M2151" s="26"/>
    </row>
    <row r="2152">
      <c r="A2152" s="12"/>
      <c r="B2152" s="13"/>
      <c r="C2152" s="14"/>
      <c r="D2152" s="14"/>
      <c r="E2152" s="15"/>
      <c r="F2152" s="16"/>
      <c r="G2152" s="18"/>
      <c r="H2152" s="15"/>
      <c r="I2152" s="18"/>
      <c r="J2152" s="22"/>
      <c r="K2152" s="108"/>
      <c r="L2152" s="26"/>
      <c r="M2152" s="26"/>
    </row>
    <row r="2153">
      <c r="A2153" s="12"/>
      <c r="B2153" s="13"/>
      <c r="C2153" s="14"/>
      <c r="D2153" s="14"/>
      <c r="E2153" s="15"/>
      <c r="F2153" s="16"/>
      <c r="G2153" s="18"/>
      <c r="H2153" s="15"/>
      <c r="I2153" s="18"/>
      <c r="J2153" s="22"/>
      <c r="K2153" s="108"/>
      <c r="L2153" s="26"/>
      <c r="M2153" s="26"/>
    </row>
    <row r="2154">
      <c r="A2154" s="12"/>
      <c r="B2154" s="13"/>
      <c r="C2154" s="14"/>
      <c r="D2154" s="14"/>
      <c r="E2154" s="15"/>
      <c r="F2154" s="16"/>
      <c r="G2154" s="18"/>
      <c r="H2154" s="15"/>
      <c r="I2154" s="18"/>
      <c r="J2154" s="22"/>
      <c r="K2154" s="108"/>
      <c r="L2154" s="26"/>
      <c r="M2154" s="26"/>
    </row>
    <row r="2155">
      <c r="A2155" s="12"/>
      <c r="B2155" s="13"/>
      <c r="C2155" s="14"/>
      <c r="D2155" s="14"/>
      <c r="E2155" s="15"/>
      <c r="F2155" s="16"/>
      <c r="G2155" s="18"/>
      <c r="H2155" s="15"/>
      <c r="I2155" s="18"/>
      <c r="J2155" s="22"/>
      <c r="K2155" s="108"/>
      <c r="L2155" s="26"/>
      <c r="M2155" s="26"/>
    </row>
    <row r="2156">
      <c r="A2156" s="12"/>
      <c r="B2156" s="13"/>
      <c r="C2156" s="14"/>
      <c r="D2156" s="14"/>
      <c r="E2156" s="15"/>
      <c r="F2156" s="16"/>
      <c r="G2156" s="18"/>
      <c r="H2156" s="15"/>
      <c r="I2156" s="18"/>
      <c r="J2156" s="22"/>
      <c r="K2156" s="108"/>
      <c r="L2156" s="26"/>
      <c r="M2156" s="26"/>
    </row>
    <row r="2157">
      <c r="A2157" s="12"/>
      <c r="B2157" s="13"/>
      <c r="C2157" s="14"/>
      <c r="D2157" s="14"/>
      <c r="E2157" s="15"/>
      <c r="F2157" s="16"/>
      <c r="G2157" s="18"/>
      <c r="H2157" s="15"/>
      <c r="I2157" s="18"/>
      <c r="J2157" s="22"/>
      <c r="K2157" s="108"/>
      <c r="L2157" s="26"/>
      <c r="M2157" s="26"/>
    </row>
    <row r="2158">
      <c r="A2158" s="12"/>
      <c r="B2158" s="13"/>
      <c r="C2158" s="14"/>
      <c r="D2158" s="14"/>
      <c r="E2158" s="15"/>
      <c r="F2158" s="16"/>
      <c r="G2158" s="18"/>
      <c r="H2158" s="15"/>
      <c r="I2158" s="18"/>
      <c r="J2158" s="22"/>
      <c r="K2158" s="108"/>
      <c r="L2158" s="26"/>
      <c r="M2158" s="26"/>
    </row>
    <row r="2159">
      <c r="A2159" s="12"/>
      <c r="B2159" s="13"/>
      <c r="C2159" s="14"/>
      <c r="D2159" s="14"/>
      <c r="E2159" s="15"/>
      <c r="F2159" s="16"/>
      <c r="G2159" s="18"/>
      <c r="H2159" s="15"/>
      <c r="I2159" s="18"/>
      <c r="J2159" s="22"/>
      <c r="K2159" s="108"/>
      <c r="L2159" s="26"/>
      <c r="M2159" s="26"/>
    </row>
    <row r="2160">
      <c r="A2160" s="12"/>
      <c r="B2160" s="13"/>
      <c r="C2160" s="14"/>
      <c r="D2160" s="14"/>
      <c r="E2160" s="15"/>
      <c r="F2160" s="16"/>
      <c r="G2160" s="18"/>
      <c r="H2160" s="15"/>
      <c r="I2160" s="18"/>
      <c r="J2160" s="22"/>
      <c r="K2160" s="108"/>
      <c r="L2160" s="26"/>
      <c r="M2160" s="26"/>
    </row>
    <row r="2161">
      <c r="A2161" s="12"/>
      <c r="B2161" s="13"/>
      <c r="C2161" s="14"/>
      <c r="D2161" s="14"/>
      <c r="E2161" s="15"/>
      <c r="F2161" s="16"/>
      <c r="G2161" s="18"/>
      <c r="H2161" s="15"/>
      <c r="I2161" s="18"/>
      <c r="J2161" s="22"/>
      <c r="K2161" s="108"/>
      <c r="L2161" s="26"/>
      <c r="M2161" s="26"/>
    </row>
    <row r="2162">
      <c r="A2162" s="12"/>
      <c r="B2162" s="13"/>
      <c r="C2162" s="14"/>
      <c r="D2162" s="14"/>
      <c r="E2162" s="15"/>
      <c r="F2162" s="16"/>
      <c r="G2162" s="18"/>
      <c r="H2162" s="15"/>
      <c r="I2162" s="18"/>
      <c r="J2162" s="22"/>
      <c r="K2162" s="108"/>
      <c r="L2162" s="26"/>
      <c r="M2162" s="26"/>
    </row>
    <row r="2163">
      <c r="A2163" s="12"/>
      <c r="B2163" s="13"/>
      <c r="C2163" s="14"/>
      <c r="D2163" s="14"/>
      <c r="E2163" s="15"/>
      <c r="F2163" s="16"/>
      <c r="G2163" s="18"/>
      <c r="H2163" s="15"/>
      <c r="I2163" s="18"/>
      <c r="J2163" s="22"/>
      <c r="K2163" s="108"/>
      <c r="L2163" s="26"/>
      <c r="M2163" s="26"/>
    </row>
    <row r="2164">
      <c r="A2164" s="12"/>
      <c r="B2164" s="13"/>
      <c r="C2164" s="14"/>
      <c r="D2164" s="14"/>
      <c r="E2164" s="15"/>
      <c r="F2164" s="16"/>
      <c r="G2164" s="18"/>
      <c r="H2164" s="15"/>
      <c r="I2164" s="18"/>
      <c r="J2164" s="22"/>
      <c r="K2164" s="108"/>
      <c r="L2164" s="26"/>
      <c r="M2164" s="26"/>
    </row>
    <row r="2165">
      <c r="A2165" s="12"/>
      <c r="B2165" s="13"/>
      <c r="C2165" s="14"/>
      <c r="D2165" s="14"/>
      <c r="E2165" s="15"/>
      <c r="F2165" s="16"/>
      <c r="G2165" s="18"/>
      <c r="H2165" s="15"/>
      <c r="I2165" s="18"/>
      <c r="J2165" s="22"/>
      <c r="K2165" s="108"/>
      <c r="L2165" s="26"/>
      <c r="M2165" s="26"/>
    </row>
    <row r="2166">
      <c r="A2166" s="12"/>
      <c r="B2166" s="13"/>
      <c r="C2166" s="14"/>
      <c r="D2166" s="14"/>
      <c r="E2166" s="15"/>
      <c r="F2166" s="16"/>
      <c r="G2166" s="18"/>
      <c r="H2166" s="15"/>
      <c r="I2166" s="18"/>
      <c r="J2166" s="22"/>
      <c r="K2166" s="108"/>
      <c r="L2166" s="26"/>
      <c r="M2166" s="26"/>
    </row>
    <row r="2167">
      <c r="A2167" s="12"/>
      <c r="B2167" s="13"/>
      <c r="C2167" s="14"/>
      <c r="D2167" s="14"/>
      <c r="E2167" s="15"/>
      <c r="F2167" s="16"/>
      <c r="G2167" s="18"/>
      <c r="H2167" s="15"/>
      <c r="I2167" s="18"/>
      <c r="J2167" s="22"/>
      <c r="K2167" s="108"/>
      <c r="L2167" s="26"/>
      <c r="M2167" s="26"/>
    </row>
    <row r="2168">
      <c r="A2168" s="12"/>
      <c r="B2168" s="13"/>
      <c r="C2168" s="14"/>
      <c r="D2168" s="14"/>
      <c r="E2168" s="15"/>
      <c r="F2168" s="16"/>
      <c r="G2168" s="18"/>
      <c r="H2168" s="15"/>
      <c r="I2168" s="18"/>
      <c r="J2168" s="22"/>
      <c r="K2168" s="108"/>
      <c r="L2168" s="26"/>
      <c r="M2168" s="26"/>
    </row>
    <row r="2169">
      <c r="A2169" s="12"/>
      <c r="B2169" s="13"/>
      <c r="C2169" s="14"/>
      <c r="D2169" s="14"/>
      <c r="E2169" s="15"/>
      <c r="F2169" s="16"/>
      <c r="G2169" s="18"/>
      <c r="H2169" s="15"/>
      <c r="I2169" s="18"/>
      <c r="J2169" s="22"/>
      <c r="K2169" s="108"/>
      <c r="L2169" s="26"/>
      <c r="M2169" s="26"/>
    </row>
    <row r="2170">
      <c r="A2170" s="12"/>
      <c r="B2170" s="13"/>
      <c r="C2170" s="14"/>
      <c r="D2170" s="14"/>
      <c r="E2170" s="15"/>
      <c r="F2170" s="16"/>
      <c r="G2170" s="18"/>
      <c r="H2170" s="15"/>
      <c r="I2170" s="18"/>
      <c r="J2170" s="22"/>
      <c r="K2170" s="108"/>
      <c r="L2170" s="26"/>
      <c r="M2170" s="26"/>
    </row>
    <row r="2171">
      <c r="A2171" s="12"/>
      <c r="B2171" s="13"/>
      <c r="C2171" s="14"/>
      <c r="D2171" s="14"/>
      <c r="E2171" s="15"/>
      <c r="F2171" s="16"/>
      <c r="G2171" s="18"/>
      <c r="H2171" s="15"/>
      <c r="I2171" s="18"/>
      <c r="J2171" s="22"/>
      <c r="K2171" s="108"/>
      <c r="L2171" s="26"/>
      <c r="M2171" s="26"/>
    </row>
    <row r="2172">
      <c r="A2172" s="12"/>
      <c r="B2172" s="13"/>
      <c r="C2172" s="14"/>
      <c r="D2172" s="14"/>
      <c r="E2172" s="15"/>
      <c r="F2172" s="16"/>
      <c r="G2172" s="18"/>
      <c r="H2172" s="15"/>
      <c r="I2172" s="18"/>
      <c r="J2172" s="22"/>
      <c r="K2172" s="108"/>
      <c r="L2172" s="26"/>
      <c r="M2172" s="26"/>
    </row>
    <row r="2173">
      <c r="A2173" s="12"/>
      <c r="B2173" s="13"/>
      <c r="C2173" s="14"/>
      <c r="D2173" s="14"/>
      <c r="E2173" s="15"/>
      <c r="F2173" s="16"/>
      <c r="G2173" s="18"/>
      <c r="H2173" s="15"/>
      <c r="I2173" s="18"/>
      <c r="J2173" s="22"/>
      <c r="K2173" s="108"/>
      <c r="L2173" s="26"/>
      <c r="M2173" s="26"/>
    </row>
    <row r="2174">
      <c r="A2174" s="12"/>
      <c r="B2174" s="13"/>
      <c r="C2174" s="14"/>
      <c r="D2174" s="14"/>
      <c r="E2174" s="15"/>
      <c r="F2174" s="16"/>
      <c r="G2174" s="18"/>
      <c r="H2174" s="15"/>
      <c r="I2174" s="18"/>
      <c r="J2174" s="22"/>
      <c r="K2174" s="108"/>
      <c r="L2174" s="26"/>
      <c r="M2174" s="26"/>
    </row>
    <row r="2175">
      <c r="A2175" s="12"/>
      <c r="B2175" s="13"/>
      <c r="C2175" s="14"/>
      <c r="D2175" s="14"/>
      <c r="E2175" s="15"/>
      <c r="F2175" s="16"/>
      <c r="G2175" s="18"/>
      <c r="H2175" s="15"/>
      <c r="I2175" s="18"/>
      <c r="J2175" s="22"/>
      <c r="K2175" s="108"/>
      <c r="L2175" s="26"/>
      <c r="M2175" s="26"/>
    </row>
    <row r="2176">
      <c r="A2176" s="12"/>
      <c r="B2176" s="13"/>
      <c r="C2176" s="14"/>
      <c r="D2176" s="14"/>
      <c r="E2176" s="15"/>
      <c r="F2176" s="16"/>
      <c r="G2176" s="18"/>
      <c r="H2176" s="15"/>
      <c r="I2176" s="18"/>
      <c r="J2176" s="22"/>
      <c r="K2176" s="108"/>
      <c r="L2176" s="26"/>
      <c r="M2176" s="26"/>
    </row>
    <row r="2177">
      <c r="A2177" s="12"/>
      <c r="B2177" s="13"/>
      <c r="C2177" s="14"/>
      <c r="D2177" s="14"/>
      <c r="E2177" s="15"/>
      <c r="F2177" s="16"/>
      <c r="G2177" s="18"/>
      <c r="H2177" s="15"/>
      <c r="I2177" s="18"/>
      <c r="J2177" s="22"/>
      <c r="K2177" s="108"/>
      <c r="L2177" s="26"/>
      <c r="M2177" s="26"/>
    </row>
    <row r="2178">
      <c r="A2178" s="12"/>
      <c r="B2178" s="13"/>
      <c r="C2178" s="14"/>
      <c r="D2178" s="14"/>
      <c r="E2178" s="15"/>
      <c r="F2178" s="16"/>
      <c r="G2178" s="18"/>
      <c r="H2178" s="15"/>
      <c r="I2178" s="18"/>
      <c r="J2178" s="22"/>
      <c r="K2178" s="108"/>
      <c r="L2178" s="26"/>
      <c r="M2178" s="26"/>
    </row>
    <row r="2179">
      <c r="A2179" s="12"/>
      <c r="B2179" s="13"/>
      <c r="C2179" s="14"/>
      <c r="D2179" s="14"/>
      <c r="E2179" s="15"/>
      <c r="F2179" s="16"/>
      <c r="G2179" s="18"/>
      <c r="H2179" s="15"/>
      <c r="I2179" s="18"/>
      <c r="J2179" s="22"/>
      <c r="K2179" s="108"/>
      <c r="L2179" s="26"/>
      <c r="M2179" s="26"/>
    </row>
    <row r="2180">
      <c r="A2180" s="12"/>
      <c r="B2180" s="13"/>
      <c r="C2180" s="14"/>
      <c r="D2180" s="14"/>
      <c r="E2180" s="15"/>
      <c r="F2180" s="16"/>
      <c r="G2180" s="18"/>
      <c r="H2180" s="15"/>
      <c r="I2180" s="18"/>
      <c r="J2180" s="22"/>
      <c r="K2180" s="108"/>
      <c r="L2180" s="26"/>
      <c r="M2180" s="26"/>
    </row>
    <row r="2181">
      <c r="A2181" s="12"/>
      <c r="B2181" s="13"/>
      <c r="C2181" s="14"/>
      <c r="D2181" s="14"/>
      <c r="E2181" s="15"/>
      <c r="F2181" s="16"/>
      <c r="G2181" s="18"/>
      <c r="H2181" s="15"/>
      <c r="I2181" s="18"/>
      <c r="J2181" s="22"/>
      <c r="K2181" s="108"/>
      <c r="L2181" s="26"/>
      <c r="M2181" s="26"/>
    </row>
    <row r="2182">
      <c r="A2182" s="12"/>
      <c r="B2182" s="13"/>
      <c r="C2182" s="14"/>
      <c r="D2182" s="14"/>
      <c r="E2182" s="15"/>
      <c r="F2182" s="16"/>
      <c r="G2182" s="18"/>
      <c r="H2182" s="15"/>
      <c r="I2182" s="18"/>
      <c r="J2182" s="22"/>
      <c r="K2182" s="108"/>
      <c r="L2182" s="26"/>
      <c r="M2182" s="26"/>
    </row>
    <row r="2183">
      <c r="A2183" s="12"/>
      <c r="B2183" s="13"/>
      <c r="C2183" s="14"/>
      <c r="D2183" s="14"/>
      <c r="E2183" s="15"/>
      <c r="F2183" s="16"/>
      <c r="G2183" s="18"/>
      <c r="H2183" s="15"/>
      <c r="I2183" s="18"/>
      <c r="J2183" s="22"/>
      <c r="K2183" s="108"/>
      <c r="L2183" s="26"/>
      <c r="M2183" s="26"/>
    </row>
    <row r="2184">
      <c r="A2184" s="12"/>
      <c r="B2184" s="13"/>
      <c r="C2184" s="14"/>
      <c r="D2184" s="14"/>
      <c r="E2184" s="15"/>
      <c r="F2184" s="16"/>
      <c r="G2184" s="18"/>
      <c r="H2184" s="15"/>
      <c r="I2184" s="18"/>
      <c r="J2184" s="22"/>
      <c r="K2184" s="108"/>
      <c r="L2184" s="26"/>
      <c r="M2184" s="26"/>
    </row>
    <row r="2185">
      <c r="A2185" s="12"/>
      <c r="B2185" s="13"/>
      <c r="C2185" s="14"/>
      <c r="D2185" s="14"/>
      <c r="E2185" s="15"/>
      <c r="F2185" s="16"/>
      <c r="G2185" s="18"/>
      <c r="H2185" s="15"/>
      <c r="I2185" s="18"/>
      <c r="J2185" s="22"/>
      <c r="K2185" s="108"/>
      <c r="L2185" s="26"/>
      <c r="M2185" s="26"/>
    </row>
    <row r="2186">
      <c r="A2186" s="12"/>
      <c r="B2186" s="13"/>
      <c r="C2186" s="14"/>
      <c r="D2186" s="14"/>
      <c r="E2186" s="15"/>
      <c r="F2186" s="16"/>
      <c r="G2186" s="18"/>
      <c r="H2186" s="15"/>
      <c r="I2186" s="18"/>
      <c r="J2186" s="22"/>
      <c r="K2186" s="108"/>
      <c r="L2186" s="26"/>
      <c r="M2186" s="26"/>
    </row>
    <row r="2187">
      <c r="A2187" s="12"/>
      <c r="B2187" s="13"/>
      <c r="C2187" s="14"/>
      <c r="D2187" s="14"/>
      <c r="E2187" s="15"/>
      <c r="F2187" s="16"/>
      <c r="G2187" s="18"/>
      <c r="H2187" s="15"/>
      <c r="I2187" s="18"/>
      <c r="J2187" s="22"/>
      <c r="K2187" s="108"/>
      <c r="L2187" s="26"/>
      <c r="M2187" s="26"/>
    </row>
    <row r="2188">
      <c r="A2188" s="12"/>
      <c r="B2188" s="13"/>
      <c r="C2188" s="14"/>
      <c r="D2188" s="14"/>
      <c r="E2188" s="15"/>
      <c r="F2188" s="16"/>
      <c r="G2188" s="18"/>
      <c r="H2188" s="15"/>
      <c r="I2188" s="18"/>
      <c r="J2188" s="22"/>
      <c r="K2188" s="108"/>
      <c r="L2188" s="26"/>
      <c r="M2188" s="26"/>
    </row>
    <row r="2189">
      <c r="A2189" s="12"/>
      <c r="B2189" s="13"/>
      <c r="C2189" s="14"/>
      <c r="D2189" s="14"/>
      <c r="E2189" s="15"/>
      <c r="F2189" s="16"/>
      <c r="G2189" s="18"/>
      <c r="H2189" s="15"/>
      <c r="I2189" s="18"/>
      <c r="J2189" s="22"/>
      <c r="K2189" s="108"/>
      <c r="L2189" s="26"/>
      <c r="M2189" s="26"/>
    </row>
    <row r="2190">
      <c r="A2190" s="12"/>
      <c r="B2190" s="13"/>
      <c r="C2190" s="14"/>
      <c r="D2190" s="14"/>
      <c r="E2190" s="15"/>
      <c r="F2190" s="16"/>
      <c r="G2190" s="18"/>
      <c r="H2190" s="15"/>
      <c r="I2190" s="18"/>
      <c r="J2190" s="22"/>
      <c r="K2190" s="108"/>
      <c r="L2190" s="26"/>
      <c r="M2190" s="26"/>
    </row>
    <row r="2191">
      <c r="A2191" s="12"/>
      <c r="B2191" s="13"/>
      <c r="C2191" s="14"/>
      <c r="D2191" s="14"/>
      <c r="E2191" s="15"/>
      <c r="F2191" s="16"/>
      <c r="G2191" s="18"/>
      <c r="H2191" s="15"/>
      <c r="I2191" s="18"/>
      <c r="J2191" s="22"/>
      <c r="K2191" s="108"/>
      <c r="L2191" s="26"/>
      <c r="M2191" s="26"/>
    </row>
    <row r="2192">
      <c r="A2192" s="12"/>
      <c r="B2192" s="13"/>
      <c r="C2192" s="14"/>
      <c r="D2192" s="14"/>
      <c r="E2192" s="15"/>
      <c r="F2192" s="16"/>
      <c r="G2192" s="18"/>
      <c r="H2192" s="15"/>
      <c r="I2192" s="18"/>
      <c r="J2192" s="22"/>
      <c r="K2192" s="108"/>
      <c r="L2192" s="26"/>
      <c r="M2192" s="26"/>
    </row>
    <row r="2193">
      <c r="A2193" s="12"/>
      <c r="B2193" s="13"/>
      <c r="C2193" s="14"/>
      <c r="D2193" s="14"/>
      <c r="E2193" s="15"/>
      <c r="F2193" s="16"/>
      <c r="G2193" s="18"/>
      <c r="H2193" s="15"/>
      <c r="I2193" s="18"/>
      <c r="J2193" s="22"/>
      <c r="K2193" s="108"/>
      <c r="L2193" s="26"/>
      <c r="M2193" s="26"/>
    </row>
    <row r="2194">
      <c r="A2194" s="12"/>
      <c r="B2194" s="13"/>
      <c r="C2194" s="14"/>
      <c r="D2194" s="14"/>
      <c r="E2194" s="15"/>
      <c r="F2194" s="16"/>
      <c r="G2194" s="18"/>
      <c r="H2194" s="15"/>
      <c r="I2194" s="18"/>
      <c r="J2194" s="22"/>
      <c r="K2194" s="108"/>
      <c r="L2194" s="26"/>
      <c r="M2194" s="26"/>
    </row>
    <row r="2195">
      <c r="A2195" s="12"/>
      <c r="B2195" s="13"/>
      <c r="C2195" s="14"/>
      <c r="D2195" s="14"/>
      <c r="E2195" s="15"/>
      <c r="F2195" s="16"/>
      <c r="G2195" s="18"/>
      <c r="H2195" s="15"/>
      <c r="I2195" s="18"/>
      <c r="J2195" s="22"/>
      <c r="K2195" s="108"/>
      <c r="L2195" s="26"/>
      <c r="M2195" s="26"/>
    </row>
    <row r="2196">
      <c r="A2196" s="12"/>
      <c r="B2196" s="13"/>
      <c r="C2196" s="14"/>
      <c r="D2196" s="14"/>
      <c r="E2196" s="15"/>
      <c r="F2196" s="16"/>
      <c r="G2196" s="18"/>
      <c r="H2196" s="15"/>
      <c r="I2196" s="18"/>
      <c r="J2196" s="22"/>
      <c r="K2196" s="108"/>
      <c r="L2196" s="26"/>
      <c r="M2196" s="26"/>
    </row>
    <row r="2197">
      <c r="A2197" s="12"/>
      <c r="B2197" s="13"/>
      <c r="C2197" s="14"/>
      <c r="D2197" s="14"/>
      <c r="E2197" s="15"/>
      <c r="F2197" s="16"/>
      <c r="G2197" s="18"/>
      <c r="H2197" s="15"/>
      <c r="I2197" s="18"/>
      <c r="J2197" s="22"/>
      <c r="K2197" s="108"/>
      <c r="L2197" s="26"/>
      <c r="M2197" s="26"/>
    </row>
    <row r="2198">
      <c r="A2198" s="12"/>
      <c r="B2198" s="13"/>
      <c r="C2198" s="14"/>
      <c r="D2198" s="14"/>
      <c r="E2198" s="15"/>
      <c r="F2198" s="16"/>
      <c r="G2198" s="18"/>
      <c r="H2198" s="15"/>
      <c r="I2198" s="18"/>
      <c r="J2198" s="22"/>
      <c r="K2198" s="108"/>
      <c r="L2198" s="26"/>
      <c r="M2198" s="26"/>
    </row>
    <row r="2199">
      <c r="A2199" s="12"/>
      <c r="B2199" s="13"/>
      <c r="C2199" s="14"/>
      <c r="D2199" s="14"/>
      <c r="E2199" s="15"/>
      <c r="F2199" s="16"/>
      <c r="G2199" s="18"/>
      <c r="H2199" s="15"/>
      <c r="I2199" s="18"/>
      <c r="J2199" s="22"/>
      <c r="K2199" s="108"/>
      <c r="L2199" s="26"/>
      <c r="M2199" s="26"/>
    </row>
    <row r="2200">
      <c r="A2200" s="12"/>
      <c r="B2200" s="13"/>
      <c r="C2200" s="14"/>
      <c r="D2200" s="14"/>
      <c r="E2200" s="15"/>
      <c r="F2200" s="16"/>
      <c r="G2200" s="18"/>
      <c r="H2200" s="15"/>
      <c r="I2200" s="18"/>
      <c r="J2200" s="22"/>
      <c r="K2200" s="108"/>
      <c r="L2200" s="26"/>
      <c r="M2200" s="26"/>
    </row>
    <row r="2201">
      <c r="A2201" s="12"/>
      <c r="B2201" s="13"/>
      <c r="C2201" s="14"/>
      <c r="D2201" s="14"/>
      <c r="E2201" s="15"/>
      <c r="F2201" s="16"/>
      <c r="G2201" s="18"/>
      <c r="H2201" s="15"/>
      <c r="I2201" s="18"/>
      <c r="J2201" s="22"/>
      <c r="K2201" s="108"/>
      <c r="L2201" s="26"/>
      <c r="M2201" s="26"/>
    </row>
    <row r="2202">
      <c r="A2202" s="12"/>
      <c r="B2202" s="13"/>
      <c r="C2202" s="14"/>
      <c r="D2202" s="14"/>
      <c r="E2202" s="15"/>
      <c r="F2202" s="16"/>
      <c r="G2202" s="18"/>
      <c r="H2202" s="15"/>
      <c r="I2202" s="18"/>
      <c r="J2202" s="22"/>
      <c r="K2202" s="108"/>
      <c r="L2202" s="26"/>
      <c r="M2202" s="26"/>
    </row>
    <row r="2203">
      <c r="A2203" s="12"/>
      <c r="B2203" s="13"/>
      <c r="C2203" s="14"/>
      <c r="D2203" s="14"/>
      <c r="E2203" s="15"/>
      <c r="F2203" s="16"/>
      <c r="G2203" s="18"/>
      <c r="H2203" s="15"/>
      <c r="I2203" s="18"/>
      <c r="J2203" s="22"/>
      <c r="K2203" s="108"/>
      <c r="L2203" s="26"/>
      <c r="M2203" s="26"/>
    </row>
    <row r="2204">
      <c r="A2204" s="12"/>
      <c r="B2204" s="13"/>
      <c r="C2204" s="14"/>
      <c r="D2204" s="14"/>
      <c r="E2204" s="15"/>
      <c r="F2204" s="16"/>
      <c r="G2204" s="18"/>
      <c r="H2204" s="15"/>
      <c r="I2204" s="18"/>
      <c r="J2204" s="22"/>
      <c r="K2204" s="108"/>
      <c r="L2204" s="26"/>
      <c r="M2204" s="26"/>
    </row>
    <row r="2205">
      <c r="A2205" s="12"/>
      <c r="B2205" s="13"/>
      <c r="C2205" s="14"/>
      <c r="D2205" s="14"/>
      <c r="E2205" s="15"/>
      <c r="F2205" s="16"/>
      <c r="G2205" s="18"/>
      <c r="H2205" s="15"/>
      <c r="I2205" s="18"/>
      <c r="J2205" s="22"/>
      <c r="K2205" s="108"/>
      <c r="L2205" s="26"/>
      <c r="M2205" s="26"/>
    </row>
    <row r="2206">
      <c r="A2206" s="12"/>
      <c r="B2206" s="13"/>
      <c r="C2206" s="14"/>
      <c r="D2206" s="14"/>
      <c r="E2206" s="15"/>
      <c r="F2206" s="16"/>
      <c r="G2206" s="18"/>
      <c r="H2206" s="15"/>
      <c r="I2206" s="18"/>
      <c r="J2206" s="22"/>
      <c r="K2206" s="108"/>
      <c r="L2206" s="26"/>
      <c r="M2206" s="26"/>
    </row>
    <row r="2207">
      <c r="A2207" s="12"/>
      <c r="B2207" s="13"/>
      <c r="C2207" s="14"/>
      <c r="D2207" s="14"/>
      <c r="E2207" s="15"/>
      <c r="F2207" s="16"/>
      <c r="G2207" s="18"/>
      <c r="H2207" s="15"/>
      <c r="I2207" s="18"/>
      <c r="J2207" s="22"/>
      <c r="K2207" s="108"/>
      <c r="L2207" s="26"/>
      <c r="M2207" s="26"/>
    </row>
    <row r="2208">
      <c r="A2208" s="12"/>
      <c r="B2208" s="13"/>
      <c r="C2208" s="14"/>
      <c r="D2208" s="14"/>
      <c r="E2208" s="15"/>
      <c r="F2208" s="16"/>
      <c r="G2208" s="18"/>
      <c r="H2208" s="15"/>
      <c r="I2208" s="18"/>
      <c r="J2208" s="22"/>
      <c r="K2208" s="108"/>
      <c r="L2208" s="26"/>
      <c r="M2208" s="26"/>
    </row>
    <row r="2209">
      <c r="A2209" s="12"/>
      <c r="B2209" s="13"/>
      <c r="C2209" s="14"/>
      <c r="D2209" s="14"/>
      <c r="E2209" s="15"/>
      <c r="F2209" s="16"/>
      <c r="G2209" s="18"/>
      <c r="H2209" s="15"/>
      <c r="I2209" s="18"/>
      <c r="J2209" s="22"/>
      <c r="K2209" s="108"/>
      <c r="L2209" s="26"/>
      <c r="M2209" s="26"/>
    </row>
    <row r="2210">
      <c r="A2210" s="12"/>
      <c r="B2210" s="13"/>
      <c r="C2210" s="14"/>
      <c r="D2210" s="14"/>
      <c r="E2210" s="15"/>
      <c r="F2210" s="16"/>
      <c r="G2210" s="18"/>
      <c r="H2210" s="15"/>
      <c r="I2210" s="18"/>
      <c r="J2210" s="22"/>
      <c r="K2210" s="108"/>
      <c r="L2210" s="26"/>
      <c r="M2210" s="26"/>
    </row>
    <row r="2211">
      <c r="A2211" s="12"/>
      <c r="B2211" s="13"/>
      <c r="C2211" s="14"/>
      <c r="D2211" s="14"/>
      <c r="E2211" s="15"/>
      <c r="F2211" s="16"/>
      <c r="G2211" s="18"/>
      <c r="H2211" s="15"/>
      <c r="I2211" s="18"/>
      <c r="J2211" s="22"/>
      <c r="K2211" s="108"/>
      <c r="L2211" s="26"/>
      <c r="M2211" s="26"/>
    </row>
    <row r="2212">
      <c r="A2212" s="12"/>
      <c r="B2212" s="13"/>
      <c r="C2212" s="14"/>
      <c r="D2212" s="14"/>
      <c r="E2212" s="15"/>
      <c r="F2212" s="16"/>
      <c r="G2212" s="18"/>
      <c r="H2212" s="15"/>
      <c r="I2212" s="18"/>
      <c r="J2212" s="22"/>
      <c r="K2212" s="108"/>
      <c r="L2212" s="26"/>
      <c r="M2212" s="26"/>
    </row>
    <row r="2213">
      <c r="A2213" s="12"/>
      <c r="B2213" s="13"/>
      <c r="C2213" s="14"/>
      <c r="D2213" s="14"/>
      <c r="E2213" s="15"/>
      <c r="F2213" s="16"/>
      <c r="G2213" s="18"/>
      <c r="H2213" s="15"/>
      <c r="I2213" s="18"/>
      <c r="J2213" s="22"/>
      <c r="K2213" s="108"/>
      <c r="L2213" s="26"/>
      <c r="M2213" s="26"/>
    </row>
    <row r="2214">
      <c r="A2214" s="12"/>
      <c r="B2214" s="13"/>
      <c r="C2214" s="14"/>
      <c r="D2214" s="14"/>
      <c r="E2214" s="15"/>
      <c r="F2214" s="16"/>
      <c r="G2214" s="18"/>
      <c r="H2214" s="15"/>
      <c r="I2214" s="18"/>
      <c r="J2214" s="22"/>
      <c r="K2214" s="108"/>
      <c r="L2214" s="26"/>
      <c r="M2214" s="26"/>
    </row>
    <row r="2215">
      <c r="A2215" s="12"/>
      <c r="B2215" s="13"/>
      <c r="C2215" s="14"/>
      <c r="D2215" s="14"/>
      <c r="E2215" s="15"/>
      <c r="F2215" s="16"/>
      <c r="G2215" s="18"/>
      <c r="H2215" s="15"/>
      <c r="I2215" s="18"/>
      <c r="J2215" s="22"/>
      <c r="K2215" s="108"/>
      <c r="L2215" s="26"/>
      <c r="M2215" s="26"/>
    </row>
    <row r="2216">
      <c r="A2216" s="12"/>
      <c r="B2216" s="13"/>
      <c r="C2216" s="14"/>
      <c r="D2216" s="14"/>
      <c r="E2216" s="15"/>
      <c r="F2216" s="16"/>
      <c r="G2216" s="18"/>
      <c r="H2216" s="15"/>
      <c r="I2216" s="18"/>
      <c r="J2216" s="22"/>
      <c r="K2216" s="108"/>
      <c r="L2216" s="26"/>
      <c r="M2216" s="26"/>
    </row>
    <row r="2217">
      <c r="A2217" s="12"/>
      <c r="B2217" s="13"/>
      <c r="C2217" s="14"/>
      <c r="D2217" s="14"/>
      <c r="E2217" s="15"/>
      <c r="F2217" s="16"/>
      <c r="G2217" s="18"/>
      <c r="H2217" s="15"/>
      <c r="I2217" s="18"/>
      <c r="J2217" s="22"/>
      <c r="K2217" s="108"/>
      <c r="L2217" s="26"/>
      <c r="M2217" s="26"/>
    </row>
    <row r="2218">
      <c r="A2218" s="12"/>
      <c r="B2218" s="13"/>
      <c r="C2218" s="14"/>
      <c r="D2218" s="14"/>
      <c r="E2218" s="15"/>
      <c r="F2218" s="16"/>
      <c r="G2218" s="18"/>
      <c r="H2218" s="15"/>
      <c r="I2218" s="18"/>
      <c r="J2218" s="22"/>
      <c r="K2218" s="108"/>
      <c r="L2218" s="26"/>
      <c r="M2218" s="26"/>
    </row>
    <row r="2219">
      <c r="A2219" s="12"/>
      <c r="B2219" s="13"/>
      <c r="C2219" s="14"/>
      <c r="D2219" s="14"/>
      <c r="E2219" s="15"/>
      <c r="F2219" s="16"/>
      <c r="G2219" s="18"/>
      <c r="H2219" s="15"/>
      <c r="I2219" s="18"/>
      <c r="J2219" s="22"/>
      <c r="K2219" s="108"/>
      <c r="L2219" s="26"/>
      <c r="M2219" s="26"/>
    </row>
    <row r="2220">
      <c r="A2220" s="12"/>
      <c r="B2220" s="13"/>
      <c r="C2220" s="14"/>
      <c r="D2220" s="14"/>
      <c r="E2220" s="15"/>
      <c r="F2220" s="16"/>
      <c r="G2220" s="18"/>
      <c r="H2220" s="15"/>
      <c r="I2220" s="18"/>
      <c r="J2220" s="22"/>
      <c r="K2220" s="108"/>
      <c r="L2220" s="26"/>
      <c r="M2220" s="26"/>
    </row>
    <row r="2221">
      <c r="A2221" s="12"/>
      <c r="B2221" s="13"/>
      <c r="C2221" s="14"/>
      <c r="D2221" s="14"/>
      <c r="E2221" s="15"/>
      <c r="F2221" s="16"/>
      <c r="G2221" s="18"/>
      <c r="H2221" s="15"/>
      <c r="I2221" s="18"/>
      <c r="J2221" s="22"/>
      <c r="K2221" s="108"/>
      <c r="L2221" s="26"/>
      <c r="M2221" s="26"/>
    </row>
    <row r="2222">
      <c r="A2222" s="12"/>
      <c r="B2222" s="13"/>
      <c r="C2222" s="14"/>
      <c r="D2222" s="14"/>
      <c r="E2222" s="15"/>
      <c r="F2222" s="16"/>
      <c r="G2222" s="18"/>
      <c r="H2222" s="15"/>
      <c r="I2222" s="18"/>
      <c r="J2222" s="22"/>
      <c r="K2222" s="108"/>
      <c r="L2222" s="26"/>
      <c r="M2222" s="26"/>
    </row>
    <row r="2223">
      <c r="A2223" s="12"/>
      <c r="B2223" s="13"/>
      <c r="C2223" s="14"/>
      <c r="D2223" s="14"/>
      <c r="E2223" s="15"/>
      <c r="F2223" s="16"/>
      <c r="G2223" s="18"/>
      <c r="H2223" s="15"/>
      <c r="I2223" s="18"/>
      <c r="J2223" s="22"/>
      <c r="K2223" s="108"/>
      <c r="L2223" s="26"/>
      <c r="M2223" s="26"/>
    </row>
    <row r="2224">
      <c r="A2224" s="12"/>
      <c r="B2224" s="13"/>
      <c r="C2224" s="14"/>
      <c r="D2224" s="14"/>
      <c r="E2224" s="15"/>
      <c r="F2224" s="16"/>
      <c r="G2224" s="18"/>
      <c r="H2224" s="15"/>
      <c r="I2224" s="18"/>
      <c r="J2224" s="22"/>
      <c r="K2224" s="108"/>
      <c r="L2224" s="26"/>
      <c r="M2224" s="26"/>
    </row>
    <row r="2225">
      <c r="A2225" s="12"/>
      <c r="B2225" s="13"/>
      <c r="C2225" s="14"/>
      <c r="D2225" s="14"/>
      <c r="E2225" s="15"/>
      <c r="F2225" s="16"/>
      <c r="G2225" s="18"/>
      <c r="H2225" s="15"/>
      <c r="I2225" s="18"/>
      <c r="J2225" s="22"/>
      <c r="K2225" s="108"/>
      <c r="L2225" s="26"/>
      <c r="M2225" s="26"/>
    </row>
    <row r="2226">
      <c r="A2226" s="12"/>
      <c r="B2226" s="13"/>
      <c r="C2226" s="14"/>
      <c r="D2226" s="14"/>
      <c r="E2226" s="15"/>
      <c r="F2226" s="16"/>
      <c r="G2226" s="18"/>
      <c r="H2226" s="15"/>
      <c r="I2226" s="18"/>
      <c r="J2226" s="22"/>
      <c r="K2226" s="108"/>
      <c r="L2226" s="26"/>
      <c r="M2226" s="26"/>
    </row>
    <row r="2227">
      <c r="A2227" s="12"/>
      <c r="B2227" s="13"/>
      <c r="C2227" s="14"/>
      <c r="D2227" s="14"/>
      <c r="E2227" s="15"/>
      <c r="F2227" s="16"/>
      <c r="G2227" s="18"/>
      <c r="H2227" s="15"/>
      <c r="I2227" s="18"/>
      <c r="J2227" s="22"/>
      <c r="K2227" s="108"/>
      <c r="L2227" s="26"/>
      <c r="M2227" s="26"/>
    </row>
    <row r="2228">
      <c r="A2228" s="12"/>
      <c r="B2228" s="13"/>
      <c r="C2228" s="14"/>
      <c r="D2228" s="14"/>
      <c r="E2228" s="15"/>
      <c r="F2228" s="16"/>
      <c r="G2228" s="18"/>
      <c r="H2228" s="15"/>
      <c r="I2228" s="18"/>
      <c r="J2228" s="22"/>
      <c r="K2228" s="108"/>
      <c r="L2228" s="26"/>
      <c r="M2228" s="26"/>
    </row>
    <row r="2229">
      <c r="A2229" s="12"/>
      <c r="B2229" s="13"/>
      <c r="C2229" s="14"/>
      <c r="D2229" s="14"/>
      <c r="E2229" s="15"/>
      <c r="F2229" s="16"/>
      <c r="G2229" s="18"/>
      <c r="H2229" s="15"/>
      <c r="I2229" s="18"/>
      <c r="J2229" s="22"/>
      <c r="K2229" s="108"/>
      <c r="L2229" s="26"/>
      <c r="M2229" s="26"/>
    </row>
    <row r="2230">
      <c r="A2230" s="12"/>
      <c r="B2230" s="13"/>
      <c r="C2230" s="14"/>
      <c r="D2230" s="14"/>
      <c r="E2230" s="15"/>
      <c r="F2230" s="16"/>
      <c r="G2230" s="18"/>
      <c r="H2230" s="15"/>
      <c r="I2230" s="18"/>
      <c r="J2230" s="22"/>
      <c r="K2230" s="108"/>
      <c r="L2230" s="26"/>
      <c r="M2230" s="26"/>
    </row>
    <row r="2231">
      <c r="A2231" s="12"/>
      <c r="B2231" s="13"/>
      <c r="C2231" s="14"/>
      <c r="D2231" s="14"/>
      <c r="E2231" s="15"/>
      <c r="F2231" s="16"/>
      <c r="G2231" s="18"/>
      <c r="H2231" s="15"/>
      <c r="I2231" s="18"/>
      <c r="J2231" s="22"/>
      <c r="K2231" s="108"/>
      <c r="L2231" s="26"/>
      <c r="M2231" s="26"/>
    </row>
    <row r="2232">
      <c r="A2232" s="12"/>
      <c r="B2232" s="13"/>
      <c r="C2232" s="14"/>
      <c r="D2232" s="14"/>
      <c r="E2232" s="15"/>
      <c r="F2232" s="16"/>
      <c r="G2232" s="18"/>
      <c r="H2232" s="15"/>
      <c r="I2232" s="18"/>
      <c r="J2232" s="22"/>
      <c r="K2232" s="108"/>
      <c r="L2232" s="26"/>
      <c r="M2232" s="26"/>
    </row>
    <row r="2233">
      <c r="A2233" s="12"/>
      <c r="B2233" s="13"/>
      <c r="C2233" s="14"/>
      <c r="D2233" s="14"/>
      <c r="E2233" s="15"/>
      <c r="F2233" s="16"/>
      <c r="G2233" s="18"/>
      <c r="H2233" s="15"/>
      <c r="I2233" s="18"/>
      <c r="J2233" s="22"/>
      <c r="K2233" s="108"/>
      <c r="L2233" s="26"/>
      <c r="M2233" s="26"/>
    </row>
    <row r="2234">
      <c r="A2234" s="12"/>
      <c r="B2234" s="13"/>
      <c r="C2234" s="14"/>
      <c r="D2234" s="14"/>
      <c r="E2234" s="15"/>
      <c r="F2234" s="16"/>
      <c r="G2234" s="18"/>
      <c r="H2234" s="15"/>
      <c r="I2234" s="18"/>
      <c r="J2234" s="22"/>
      <c r="K2234" s="108"/>
      <c r="L2234" s="26"/>
      <c r="M2234" s="26"/>
    </row>
    <row r="2235">
      <c r="A2235" s="12"/>
      <c r="B2235" s="13"/>
      <c r="C2235" s="14"/>
      <c r="D2235" s="14"/>
      <c r="E2235" s="15"/>
      <c r="F2235" s="16"/>
      <c r="G2235" s="18"/>
      <c r="H2235" s="15"/>
      <c r="I2235" s="18"/>
      <c r="J2235" s="22"/>
      <c r="K2235" s="108"/>
      <c r="L2235" s="26"/>
      <c r="M2235" s="26"/>
    </row>
    <row r="2236">
      <c r="A2236" s="12"/>
      <c r="B2236" s="13"/>
      <c r="C2236" s="14"/>
      <c r="D2236" s="14"/>
      <c r="E2236" s="15"/>
      <c r="F2236" s="16"/>
      <c r="G2236" s="18"/>
      <c r="H2236" s="15"/>
      <c r="I2236" s="18"/>
      <c r="J2236" s="22"/>
      <c r="K2236" s="108"/>
      <c r="L2236" s="26"/>
      <c r="M2236" s="26"/>
    </row>
    <row r="2237">
      <c r="A2237" s="12"/>
      <c r="B2237" s="13"/>
      <c r="C2237" s="14"/>
      <c r="D2237" s="14"/>
      <c r="E2237" s="15"/>
      <c r="F2237" s="16"/>
      <c r="G2237" s="18"/>
      <c r="H2237" s="15"/>
      <c r="I2237" s="18"/>
      <c r="J2237" s="22"/>
      <c r="K2237" s="108"/>
      <c r="L2237" s="26"/>
      <c r="M2237" s="26"/>
    </row>
    <row r="2238">
      <c r="A2238" s="12"/>
      <c r="B2238" s="13"/>
      <c r="C2238" s="14"/>
      <c r="D2238" s="14"/>
      <c r="E2238" s="15"/>
      <c r="F2238" s="16"/>
      <c r="G2238" s="18"/>
      <c r="H2238" s="15"/>
      <c r="I2238" s="18"/>
      <c r="J2238" s="22"/>
      <c r="K2238" s="108"/>
      <c r="L2238" s="26"/>
      <c r="M2238" s="26"/>
    </row>
    <row r="2239">
      <c r="A2239" s="12"/>
      <c r="B2239" s="13"/>
      <c r="C2239" s="14"/>
      <c r="D2239" s="14"/>
      <c r="E2239" s="15"/>
      <c r="F2239" s="16"/>
      <c r="G2239" s="18"/>
      <c r="H2239" s="15"/>
      <c r="I2239" s="18"/>
      <c r="J2239" s="22"/>
      <c r="K2239" s="108"/>
      <c r="L2239" s="26"/>
      <c r="M2239" s="26"/>
    </row>
    <row r="2240">
      <c r="A2240" s="12"/>
      <c r="B2240" s="13"/>
      <c r="C2240" s="14"/>
      <c r="D2240" s="14"/>
      <c r="E2240" s="15"/>
      <c r="F2240" s="16"/>
      <c r="G2240" s="18"/>
      <c r="H2240" s="15"/>
      <c r="I2240" s="18"/>
      <c r="J2240" s="22"/>
      <c r="K2240" s="108"/>
      <c r="L2240" s="26"/>
      <c r="M2240" s="26"/>
    </row>
    <row r="2241">
      <c r="A2241" s="12"/>
      <c r="B2241" s="13"/>
      <c r="C2241" s="14"/>
      <c r="D2241" s="14"/>
      <c r="E2241" s="15"/>
      <c r="F2241" s="16"/>
      <c r="G2241" s="18"/>
      <c r="H2241" s="15"/>
      <c r="I2241" s="18"/>
      <c r="J2241" s="22"/>
      <c r="K2241" s="108"/>
      <c r="L2241" s="26"/>
      <c r="M2241" s="26"/>
    </row>
    <row r="2242">
      <c r="A2242" s="12"/>
      <c r="B2242" s="13"/>
      <c r="C2242" s="14"/>
      <c r="D2242" s="14"/>
      <c r="E2242" s="15"/>
      <c r="F2242" s="16"/>
      <c r="G2242" s="18"/>
      <c r="H2242" s="15"/>
      <c r="I2242" s="18"/>
      <c r="J2242" s="22"/>
      <c r="K2242" s="108"/>
      <c r="L2242" s="26"/>
      <c r="M2242" s="26"/>
    </row>
    <row r="2243">
      <c r="A2243" s="12"/>
      <c r="B2243" s="13"/>
      <c r="C2243" s="14"/>
      <c r="D2243" s="14"/>
      <c r="E2243" s="15"/>
      <c r="F2243" s="16"/>
      <c r="G2243" s="18"/>
      <c r="H2243" s="15"/>
      <c r="I2243" s="18"/>
      <c r="J2243" s="22"/>
      <c r="K2243" s="108"/>
      <c r="L2243" s="26"/>
      <c r="M2243" s="26"/>
    </row>
    <row r="2244">
      <c r="A2244" s="12"/>
      <c r="B2244" s="13"/>
      <c r="C2244" s="14"/>
      <c r="D2244" s="14"/>
      <c r="E2244" s="15"/>
      <c r="F2244" s="16"/>
      <c r="G2244" s="18"/>
      <c r="H2244" s="15"/>
      <c r="I2244" s="18"/>
      <c r="J2244" s="22"/>
      <c r="K2244" s="108"/>
      <c r="L2244" s="26"/>
      <c r="M2244" s="26"/>
    </row>
    <row r="2245">
      <c r="A2245" s="12"/>
      <c r="B2245" s="13"/>
      <c r="C2245" s="14"/>
      <c r="D2245" s="14"/>
      <c r="E2245" s="15"/>
      <c r="F2245" s="16"/>
      <c r="G2245" s="18"/>
      <c r="H2245" s="15"/>
      <c r="I2245" s="18"/>
      <c r="J2245" s="22"/>
      <c r="K2245" s="108"/>
      <c r="L2245" s="26"/>
      <c r="M2245" s="26"/>
    </row>
    <row r="2246">
      <c r="A2246" s="12"/>
      <c r="B2246" s="13"/>
      <c r="C2246" s="14"/>
      <c r="D2246" s="14"/>
      <c r="E2246" s="15"/>
      <c r="F2246" s="16"/>
      <c r="G2246" s="18"/>
      <c r="H2246" s="15"/>
      <c r="I2246" s="18"/>
      <c r="J2246" s="22"/>
      <c r="K2246" s="108"/>
      <c r="L2246" s="26"/>
      <c r="M2246" s="26"/>
    </row>
    <row r="2247">
      <c r="A2247" s="12"/>
      <c r="B2247" s="13"/>
      <c r="C2247" s="14"/>
      <c r="D2247" s="14"/>
      <c r="E2247" s="15"/>
      <c r="F2247" s="16"/>
      <c r="G2247" s="18"/>
      <c r="H2247" s="15"/>
      <c r="I2247" s="18"/>
      <c r="J2247" s="22"/>
      <c r="K2247" s="108"/>
      <c r="L2247" s="26"/>
      <c r="M2247" s="26"/>
    </row>
    <row r="2248">
      <c r="A2248" s="12"/>
      <c r="B2248" s="13"/>
      <c r="C2248" s="14"/>
      <c r="D2248" s="14"/>
      <c r="E2248" s="15"/>
      <c r="F2248" s="16"/>
      <c r="G2248" s="18"/>
      <c r="H2248" s="15"/>
      <c r="I2248" s="18"/>
      <c r="J2248" s="22"/>
      <c r="K2248" s="108"/>
      <c r="L2248" s="26"/>
      <c r="M2248" s="26"/>
    </row>
    <row r="2249">
      <c r="A2249" s="12"/>
      <c r="B2249" s="13"/>
      <c r="C2249" s="14"/>
      <c r="D2249" s="14"/>
      <c r="E2249" s="15"/>
      <c r="F2249" s="16"/>
      <c r="G2249" s="18"/>
      <c r="H2249" s="15"/>
      <c r="I2249" s="18"/>
      <c r="J2249" s="22"/>
      <c r="K2249" s="108"/>
      <c r="L2249" s="26"/>
      <c r="M2249" s="26"/>
    </row>
    <row r="2250">
      <c r="A2250" s="12"/>
      <c r="B2250" s="13"/>
      <c r="C2250" s="14"/>
      <c r="D2250" s="14"/>
      <c r="E2250" s="15"/>
      <c r="F2250" s="16"/>
      <c r="G2250" s="18"/>
      <c r="H2250" s="15"/>
      <c r="I2250" s="18"/>
      <c r="J2250" s="22"/>
      <c r="K2250" s="108"/>
      <c r="L2250" s="26"/>
      <c r="M2250" s="26"/>
    </row>
    <row r="2251">
      <c r="A2251" s="12"/>
      <c r="B2251" s="13"/>
      <c r="C2251" s="14"/>
      <c r="D2251" s="14"/>
      <c r="E2251" s="15"/>
      <c r="F2251" s="16"/>
      <c r="G2251" s="18"/>
      <c r="H2251" s="15"/>
      <c r="I2251" s="18"/>
      <c r="J2251" s="22"/>
      <c r="K2251" s="108"/>
      <c r="L2251" s="26"/>
      <c r="M2251" s="26"/>
    </row>
    <row r="2252">
      <c r="A2252" s="12"/>
      <c r="B2252" s="13"/>
      <c r="C2252" s="14"/>
      <c r="D2252" s="14"/>
      <c r="E2252" s="15"/>
      <c r="F2252" s="16"/>
      <c r="G2252" s="18"/>
      <c r="H2252" s="15"/>
      <c r="I2252" s="18"/>
      <c r="J2252" s="22"/>
      <c r="K2252" s="108"/>
      <c r="L2252" s="26"/>
      <c r="M2252" s="26"/>
    </row>
    <row r="2253">
      <c r="A2253" s="12"/>
      <c r="B2253" s="13"/>
      <c r="C2253" s="14"/>
      <c r="D2253" s="14"/>
      <c r="E2253" s="15"/>
      <c r="F2253" s="16"/>
      <c r="G2253" s="18"/>
      <c r="H2253" s="15"/>
      <c r="I2253" s="18"/>
      <c r="J2253" s="22"/>
      <c r="K2253" s="108"/>
      <c r="L2253" s="26"/>
      <c r="M2253" s="26"/>
    </row>
    <row r="2254">
      <c r="A2254" s="12"/>
      <c r="B2254" s="13"/>
      <c r="C2254" s="14"/>
      <c r="D2254" s="14"/>
      <c r="E2254" s="15"/>
      <c r="F2254" s="16"/>
      <c r="G2254" s="18"/>
      <c r="H2254" s="15"/>
      <c r="I2254" s="18"/>
      <c r="J2254" s="22"/>
      <c r="K2254" s="108"/>
      <c r="L2254" s="26"/>
      <c r="M2254" s="26"/>
    </row>
    <row r="2255">
      <c r="A2255" s="12"/>
      <c r="B2255" s="13"/>
      <c r="C2255" s="14"/>
      <c r="D2255" s="14"/>
      <c r="E2255" s="15"/>
      <c r="F2255" s="16"/>
      <c r="G2255" s="18"/>
      <c r="H2255" s="15"/>
      <c r="I2255" s="18"/>
      <c r="J2255" s="22"/>
      <c r="K2255" s="108"/>
      <c r="L2255" s="26"/>
      <c r="M2255" s="26"/>
    </row>
    <row r="2256">
      <c r="A2256" s="12"/>
      <c r="B2256" s="13"/>
      <c r="C2256" s="14"/>
      <c r="D2256" s="14"/>
      <c r="E2256" s="15"/>
      <c r="F2256" s="16"/>
      <c r="G2256" s="18"/>
      <c r="H2256" s="15"/>
      <c r="I2256" s="18"/>
      <c r="J2256" s="22"/>
      <c r="K2256" s="108"/>
      <c r="L2256" s="26"/>
      <c r="M2256" s="26"/>
    </row>
    <row r="2257">
      <c r="A2257" s="12"/>
      <c r="B2257" s="13"/>
      <c r="C2257" s="14"/>
      <c r="D2257" s="14"/>
      <c r="E2257" s="15"/>
      <c r="F2257" s="16"/>
      <c r="G2257" s="18"/>
      <c r="H2257" s="15"/>
      <c r="I2257" s="18"/>
      <c r="J2257" s="22"/>
      <c r="K2257" s="108"/>
      <c r="L2257" s="26"/>
      <c r="M2257" s="26"/>
    </row>
    <row r="2258">
      <c r="A2258" s="12"/>
      <c r="B2258" s="13"/>
      <c r="C2258" s="14"/>
      <c r="D2258" s="14"/>
      <c r="E2258" s="15"/>
      <c r="F2258" s="16"/>
      <c r="G2258" s="18"/>
      <c r="H2258" s="15"/>
      <c r="I2258" s="18"/>
      <c r="J2258" s="22"/>
      <c r="K2258" s="108"/>
      <c r="L2258" s="26"/>
      <c r="M2258" s="26"/>
    </row>
    <row r="2259">
      <c r="A2259" s="12"/>
      <c r="B2259" s="13"/>
      <c r="C2259" s="14"/>
      <c r="D2259" s="14"/>
      <c r="E2259" s="15"/>
      <c r="F2259" s="16"/>
      <c r="G2259" s="18"/>
      <c r="H2259" s="15"/>
      <c r="I2259" s="18"/>
      <c r="J2259" s="22"/>
      <c r="K2259" s="108"/>
      <c r="L2259" s="26"/>
      <c r="M2259" s="26"/>
    </row>
    <row r="2260">
      <c r="A2260" s="12"/>
      <c r="B2260" s="13"/>
      <c r="C2260" s="14"/>
      <c r="D2260" s="14"/>
      <c r="E2260" s="15"/>
      <c r="F2260" s="16"/>
      <c r="G2260" s="18"/>
      <c r="H2260" s="15"/>
      <c r="I2260" s="18"/>
      <c r="J2260" s="22"/>
      <c r="K2260" s="108"/>
      <c r="L2260" s="26"/>
      <c r="M2260" s="26"/>
    </row>
    <row r="2261">
      <c r="A2261" s="12"/>
      <c r="B2261" s="13"/>
      <c r="C2261" s="14"/>
      <c r="D2261" s="14"/>
      <c r="E2261" s="15"/>
      <c r="F2261" s="16"/>
      <c r="G2261" s="18"/>
      <c r="H2261" s="15"/>
      <c r="I2261" s="18"/>
      <c r="J2261" s="22"/>
      <c r="K2261" s="108"/>
      <c r="L2261" s="26"/>
      <c r="M2261" s="26"/>
    </row>
    <row r="2262">
      <c r="A2262" s="12"/>
      <c r="B2262" s="13"/>
      <c r="C2262" s="14"/>
      <c r="D2262" s="14"/>
      <c r="E2262" s="15"/>
      <c r="F2262" s="16"/>
      <c r="G2262" s="18"/>
      <c r="H2262" s="15"/>
      <c r="I2262" s="18"/>
      <c r="J2262" s="22"/>
      <c r="K2262" s="108"/>
      <c r="L2262" s="26"/>
      <c r="M2262" s="26"/>
    </row>
    <row r="2263">
      <c r="A2263" s="12"/>
      <c r="B2263" s="13"/>
      <c r="C2263" s="14"/>
      <c r="D2263" s="14"/>
      <c r="E2263" s="15"/>
      <c r="F2263" s="16"/>
      <c r="G2263" s="18"/>
      <c r="H2263" s="15"/>
      <c r="I2263" s="18"/>
      <c r="J2263" s="22"/>
      <c r="K2263" s="108"/>
      <c r="L2263" s="26"/>
      <c r="M2263" s="26"/>
    </row>
    <row r="2264">
      <c r="A2264" s="12"/>
      <c r="B2264" s="13"/>
      <c r="C2264" s="14"/>
      <c r="D2264" s="14"/>
      <c r="E2264" s="15"/>
      <c r="F2264" s="16"/>
      <c r="G2264" s="18"/>
      <c r="H2264" s="15"/>
      <c r="I2264" s="18"/>
      <c r="J2264" s="22"/>
      <c r="K2264" s="108"/>
      <c r="L2264" s="26"/>
      <c r="M2264" s="26"/>
    </row>
    <row r="2265">
      <c r="A2265" s="12"/>
      <c r="B2265" s="13"/>
      <c r="C2265" s="14"/>
      <c r="D2265" s="14"/>
      <c r="E2265" s="15"/>
      <c r="F2265" s="16"/>
      <c r="G2265" s="18"/>
      <c r="H2265" s="15"/>
      <c r="I2265" s="18"/>
      <c r="J2265" s="22"/>
      <c r="K2265" s="108"/>
      <c r="L2265" s="26"/>
      <c r="M2265" s="26"/>
    </row>
    <row r="2266">
      <c r="A2266" s="12"/>
      <c r="B2266" s="13"/>
      <c r="C2266" s="14"/>
      <c r="D2266" s="14"/>
      <c r="E2266" s="15"/>
      <c r="F2266" s="16"/>
      <c r="G2266" s="18"/>
      <c r="H2266" s="15"/>
      <c r="I2266" s="18"/>
      <c r="J2266" s="22"/>
      <c r="K2266" s="108"/>
      <c r="L2266" s="26"/>
      <c r="M2266" s="26"/>
    </row>
    <row r="2267">
      <c r="A2267" s="12"/>
      <c r="B2267" s="13"/>
      <c r="C2267" s="14"/>
      <c r="D2267" s="14"/>
      <c r="E2267" s="15"/>
      <c r="F2267" s="16"/>
      <c r="G2267" s="18"/>
      <c r="H2267" s="15"/>
      <c r="I2267" s="18"/>
      <c r="J2267" s="22"/>
      <c r="K2267" s="108"/>
      <c r="L2267" s="26"/>
      <c r="M2267" s="26"/>
    </row>
    <row r="2268">
      <c r="A2268" s="12"/>
      <c r="B2268" s="13"/>
      <c r="C2268" s="14"/>
      <c r="D2268" s="14"/>
      <c r="E2268" s="15"/>
      <c r="F2268" s="16"/>
      <c r="G2268" s="18"/>
      <c r="H2268" s="15"/>
      <c r="I2268" s="18"/>
      <c r="J2268" s="22"/>
      <c r="K2268" s="108"/>
      <c r="L2268" s="26"/>
      <c r="M2268" s="26"/>
    </row>
    <row r="2269">
      <c r="A2269" s="12"/>
      <c r="B2269" s="13"/>
      <c r="C2269" s="14"/>
      <c r="D2269" s="14"/>
      <c r="E2269" s="15"/>
      <c r="F2269" s="16"/>
      <c r="G2269" s="18"/>
      <c r="H2269" s="15"/>
      <c r="I2269" s="18"/>
      <c r="J2269" s="22"/>
      <c r="K2269" s="108"/>
      <c r="L2269" s="26"/>
      <c r="M2269" s="26"/>
    </row>
    <row r="2270">
      <c r="A2270" s="12"/>
      <c r="B2270" s="13"/>
      <c r="C2270" s="14"/>
      <c r="D2270" s="14"/>
      <c r="E2270" s="15"/>
      <c r="F2270" s="16"/>
      <c r="G2270" s="18"/>
      <c r="H2270" s="15"/>
      <c r="I2270" s="18"/>
      <c r="J2270" s="22"/>
      <c r="K2270" s="108"/>
      <c r="L2270" s="26"/>
      <c r="M2270" s="26"/>
    </row>
    <row r="2271">
      <c r="A2271" s="12"/>
      <c r="B2271" s="13"/>
      <c r="C2271" s="14"/>
      <c r="D2271" s="14"/>
      <c r="E2271" s="15"/>
      <c r="F2271" s="16"/>
      <c r="G2271" s="18"/>
      <c r="H2271" s="15"/>
      <c r="I2271" s="18"/>
      <c r="J2271" s="22"/>
      <c r="K2271" s="108"/>
      <c r="L2271" s="26"/>
      <c r="M2271" s="26"/>
    </row>
    <row r="2272">
      <c r="A2272" s="12"/>
      <c r="B2272" s="13"/>
      <c r="C2272" s="14"/>
      <c r="D2272" s="14"/>
      <c r="E2272" s="15"/>
      <c r="F2272" s="16"/>
      <c r="G2272" s="18"/>
      <c r="H2272" s="15"/>
      <c r="I2272" s="18"/>
      <c r="J2272" s="22"/>
      <c r="K2272" s="108"/>
      <c r="L2272" s="26"/>
      <c r="M2272" s="26"/>
    </row>
    <row r="2273">
      <c r="A2273" s="12"/>
      <c r="B2273" s="13"/>
      <c r="C2273" s="14"/>
      <c r="D2273" s="14"/>
      <c r="E2273" s="15"/>
      <c r="F2273" s="16"/>
      <c r="G2273" s="18"/>
      <c r="H2273" s="15"/>
      <c r="I2273" s="18"/>
      <c r="J2273" s="22"/>
      <c r="K2273" s="108"/>
      <c r="L2273" s="26"/>
      <c r="M2273" s="26"/>
    </row>
    <row r="2274">
      <c r="A2274" s="12"/>
      <c r="B2274" s="13"/>
      <c r="C2274" s="14"/>
      <c r="D2274" s="14"/>
      <c r="E2274" s="15"/>
      <c r="F2274" s="16"/>
      <c r="G2274" s="18"/>
      <c r="H2274" s="15"/>
      <c r="I2274" s="18"/>
      <c r="J2274" s="22"/>
      <c r="K2274" s="108"/>
      <c r="L2274" s="26"/>
      <c r="M2274" s="26"/>
    </row>
    <row r="2275">
      <c r="A2275" s="12"/>
      <c r="B2275" s="13"/>
      <c r="C2275" s="14"/>
      <c r="D2275" s="14"/>
      <c r="E2275" s="15"/>
      <c r="F2275" s="16"/>
      <c r="G2275" s="18"/>
      <c r="H2275" s="15"/>
      <c r="I2275" s="18"/>
      <c r="J2275" s="22"/>
      <c r="K2275" s="108"/>
      <c r="L2275" s="26"/>
      <c r="M2275" s="26"/>
    </row>
    <row r="2276">
      <c r="A2276" s="12"/>
      <c r="B2276" s="13"/>
      <c r="C2276" s="14"/>
      <c r="D2276" s="14"/>
      <c r="E2276" s="15"/>
      <c r="F2276" s="16"/>
      <c r="G2276" s="18"/>
      <c r="H2276" s="15"/>
      <c r="I2276" s="18"/>
      <c r="J2276" s="22"/>
      <c r="K2276" s="108"/>
      <c r="L2276" s="26"/>
      <c r="M2276" s="26"/>
    </row>
    <row r="2277">
      <c r="A2277" s="12"/>
      <c r="B2277" s="13"/>
      <c r="C2277" s="14"/>
      <c r="D2277" s="14"/>
      <c r="E2277" s="15"/>
      <c r="F2277" s="16"/>
      <c r="G2277" s="18"/>
      <c r="H2277" s="15"/>
      <c r="I2277" s="18"/>
      <c r="J2277" s="22"/>
      <c r="K2277" s="108"/>
      <c r="L2277" s="26"/>
      <c r="M2277" s="26"/>
    </row>
    <row r="2278">
      <c r="A2278" s="12"/>
      <c r="B2278" s="13"/>
      <c r="C2278" s="14"/>
      <c r="D2278" s="14"/>
      <c r="E2278" s="15"/>
      <c r="F2278" s="16"/>
      <c r="G2278" s="18"/>
      <c r="H2278" s="15"/>
      <c r="I2278" s="18"/>
      <c r="J2278" s="22"/>
      <c r="K2278" s="108"/>
      <c r="L2278" s="26"/>
      <c r="M2278" s="26"/>
    </row>
    <row r="2279">
      <c r="A2279" s="12"/>
      <c r="B2279" s="13"/>
      <c r="C2279" s="14"/>
      <c r="D2279" s="14"/>
      <c r="E2279" s="15"/>
      <c r="F2279" s="16"/>
      <c r="G2279" s="18"/>
      <c r="H2279" s="15"/>
      <c r="I2279" s="18"/>
      <c r="J2279" s="22"/>
      <c r="K2279" s="108"/>
      <c r="L2279" s="26"/>
      <c r="M2279" s="26"/>
    </row>
    <row r="2280">
      <c r="A2280" s="12"/>
      <c r="B2280" s="13"/>
      <c r="C2280" s="14"/>
      <c r="D2280" s="14"/>
      <c r="E2280" s="15"/>
      <c r="F2280" s="16"/>
      <c r="G2280" s="18"/>
      <c r="H2280" s="15"/>
      <c r="I2280" s="18"/>
      <c r="J2280" s="22"/>
      <c r="K2280" s="108"/>
      <c r="L2280" s="26"/>
      <c r="M2280" s="26"/>
    </row>
    <row r="2281">
      <c r="A2281" s="12"/>
      <c r="B2281" s="13"/>
      <c r="C2281" s="14"/>
      <c r="D2281" s="14"/>
      <c r="E2281" s="15"/>
      <c r="F2281" s="16"/>
      <c r="G2281" s="18"/>
      <c r="H2281" s="15"/>
      <c r="I2281" s="18"/>
      <c r="J2281" s="22"/>
      <c r="K2281" s="108"/>
      <c r="L2281" s="26"/>
      <c r="M2281" s="26"/>
    </row>
    <row r="2282">
      <c r="A2282" s="12"/>
      <c r="B2282" s="13"/>
      <c r="C2282" s="14"/>
      <c r="D2282" s="14"/>
      <c r="E2282" s="15"/>
      <c r="F2282" s="16"/>
      <c r="G2282" s="18"/>
      <c r="H2282" s="15"/>
      <c r="I2282" s="18"/>
      <c r="J2282" s="22"/>
      <c r="K2282" s="108"/>
      <c r="L2282" s="26"/>
      <c r="M2282" s="26"/>
    </row>
    <row r="2283">
      <c r="A2283" s="12"/>
      <c r="B2283" s="13"/>
      <c r="C2283" s="14"/>
      <c r="D2283" s="14"/>
      <c r="E2283" s="15"/>
      <c r="F2283" s="16"/>
      <c r="G2283" s="18"/>
      <c r="H2283" s="15"/>
      <c r="I2283" s="18"/>
      <c r="J2283" s="22"/>
      <c r="K2283" s="108"/>
      <c r="L2283" s="26"/>
      <c r="M2283" s="26"/>
    </row>
    <row r="2284">
      <c r="A2284" s="12"/>
      <c r="B2284" s="13"/>
      <c r="C2284" s="14"/>
      <c r="D2284" s="14"/>
      <c r="E2284" s="15"/>
      <c r="F2284" s="16"/>
      <c r="G2284" s="18"/>
      <c r="H2284" s="15"/>
      <c r="I2284" s="18"/>
      <c r="J2284" s="22"/>
      <c r="K2284" s="108"/>
      <c r="L2284" s="26"/>
      <c r="M2284" s="26"/>
    </row>
    <row r="2285">
      <c r="A2285" s="12"/>
      <c r="B2285" s="13"/>
      <c r="C2285" s="14"/>
      <c r="D2285" s="14"/>
      <c r="E2285" s="15"/>
      <c r="F2285" s="16"/>
      <c r="G2285" s="18"/>
      <c r="H2285" s="15"/>
      <c r="I2285" s="18"/>
      <c r="J2285" s="22"/>
      <c r="K2285" s="108"/>
      <c r="L2285" s="26"/>
      <c r="M2285" s="26"/>
    </row>
    <row r="2286">
      <c r="A2286" s="12"/>
      <c r="B2286" s="13"/>
      <c r="C2286" s="14"/>
      <c r="D2286" s="14"/>
      <c r="E2286" s="15"/>
      <c r="F2286" s="16"/>
      <c r="G2286" s="18"/>
      <c r="H2286" s="15"/>
      <c r="I2286" s="18"/>
      <c r="J2286" s="22"/>
      <c r="K2286" s="108"/>
      <c r="L2286" s="26"/>
      <c r="M2286" s="26"/>
    </row>
    <row r="2287">
      <c r="A2287" s="12"/>
      <c r="B2287" s="13"/>
      <c r="C2287" s="14"/>
      <c r="D2287" s="14"/>
      <c r="E2287" s="15"/>
      <c r="F2287" s="16"/>
      <c r="G2287" s="18"/>
      <c r="H2287" s="15"/>
      <c r="I2287" s="18"/>
      <c r="J2287" s="22"/>
      <c r="K2287" s="108"/>
      <c r="L2287" s="26"/>
      <c r="M2287" s="26"/>
    </row>
    <row r="2288">
      <c r="A2288" s="12"/>
      <c r="B2288" s="13"/>
      <c r="C2288" s="14"/>
      <c r="D2288" s="14"/>
      <c r="E2288" s="15"/>
      <c r="F2288" s="16"/>
      <c r="G2288" s="18"/>
      <c r="H2288" s="15"/>
      <c r="I2288" s="18"/>
      <c r="J2288" s="22"/>
      <c r="K2288" s="108"/>
      <c r="L2288" s="26"/>
      <c r="M2288" s="26"/>
    </row>
    <row r="2289">
      <c r="A2289" s="12"/>
      <c r="B2289" s="13"/>
      <c r="C2289" s="14"/>
      <c r="D2289" s="14"/>
      <c r="E2289" s="15"/>
      <c r="F2289" s="16"/>
      <c r="G2289" s="18"/>
      <c r="H2289" s="15"/>
      <c r="I2289" s="18"/>
      <c r="J2289" s="22"/>
      <c r="K2289" s="108"/>
      <c r="L2289" s="26"/>
      <c r="M2289" s="26"/>
    </row>
    <row r="2290">
      <c r="A2290" s="12"/>
      <c r="B2290" s="13"/>
      <c r="C2290" s="14"/>
      <c r="D2290" s="14"/>
      <c r="E2290" s="15"/>
      <c r="F2290" s="16"/>
      <c r="G2290" s="18"/>
      <c r="H2290" s="15"/>
      <c r="I2290" s="18"/>
      <c r="J2290" s="22"/>
      <c r="K2290" s="108"/>
      <c r="L2290" s="26"/>
      <c r="M2290" s="26"/>
    </row>
    <row r="2291">
      <c r="A2291" s="12"/>
      <c r="B2291" s="13"/>
      <c r="C2291" s="14"/>
      <c r="D2291" s="14"/>
      <c r="E2291" s="15"/>
      <c r="F2291" s="16"/>
      <c r="G2291" s="18"/>
      <c r="H2291" s="15"/>
      <c r="I2291" s="18"/>
      <c r="J2291" s="22"/>
      <c r="K2291" s="108"/>
      <c r="L2291" s="26"/>
      <c r="M2291" s="26"/>
    </row>
    <row r="2292">
      <c r="A2292" s="12"/>
      <c r="B2292" s="13"/>
      <c r="C2292" s="14"/>
      <c r="D2292" s="14"/>
      <c r="E2292" s="15"/>
      <c r="F2292" s="16"/>
      <c r="G2292" s="18"/>
      <c r="H2292" s="15"/>
      <c r="I2292" s="18"/>
      <c r="J2292" s="22"/>
      <c r="K2292" s="108"/>
      <c r="L2292" s="26"/>
      <c r="M2292" s="26"/>
    </row>
    <row r="2293">
      <c r="A2293" s="12"/>
      <c r="B2293" s="13"/>
      <c r="C2293" s="14"/>
      <c r="D2293" s="14"/>
      <c r="E2293" s="15"/>
      <c r="F2293" s="16"/>
      <c r="G2293" s="18"/>
      <c r="H2293" s="15"/>
      <c r="I2293" s="18"/>
      <c r="J2293" s="22"/>
      <c r="K2293" s="108"/>
      <c r="L2293" s="26"/>
      <c r="M2293" s="26"/>
    </row>
    <row r="2294">
      <c r="A2294" s="12"/>
      <c r="B2294" s="13"/>
      <c r="C2294" s="14"/>
      <c r="D2294" s="14"/>
      <c r="E2294" s="15"/>
      <c r="F2294" s="16"/>
      <c r="G2294" s="18"/>
      <c r="H2294" s="15"/>
      <c r="I2294" s="18"/>
      <c r="J2294" s="22"/>
      <c r="K2294" s="108"/>
      <c r="L2294" s="26"/>
      <c r="M2294" s="26"/>
    </row>
    <row r="2295">
      <c r="A2295" s="12"/>
      <c r="B2295" s="13"/>
      <c r="C2295" s="14"/>
      <c r="D2295" s="14"/>
      <c r="E2295" s="15"/>
      <c r="F2295" s="16"/>
      <c r="G2295" s="18"/>
      <c r="H2295" s="15"/>
      <c r="I2295" s="18"/>
      <c r="J2295" s="22"/>
      <c r="K2295" s="108"/>
      <c r="L2295" s="26"/>
      <c r="M2295" s="26"/>
    </row>
    <row r="2296">
      <c r="A2296" s="12"/>
      <c r="B2296" s="13"/>
      <c r="C2296" s="14"/>
      <c r="D2296" s="14"/>
      <c r="E2296" s="15"/>
      <c r="F2296" s="16"/>
      <c r="G2296" s="18"/>
      <c r="H2296" s="15"/>
      <c r="I2296" s="18"/>
      <c r="J2296" s="22"/>
      <c r="K2296" s="108"/>
      <c r="L2296" s="26"/>
      <c r="M2296" s="26"/>
    </row>
    <row r="2297">
      <c r="A2297" s="12"/>
      <c r="B2297" s="13"/>
      <c r="C2297" s="14"/>
      <c r="D2297" s="14"/>
      <c r="E2297" s="15"/>
      <c r="F2297" s="16"/>
      <c r="G2297" s="18"/>
      <c r="H2297" s="15"/>
      <c r="I2297" s="18"/>
      <c r="J2297" s="22"/>
      <c r="K2297" s="108"/>
      <c r="L2297" s="26"/>
      <c r="M2297" s="26"/>
    </row>
    <row r="2298">
      <c r="A2298" s="12"/>
      <c r="B2298" s="13"/>
      <c r="C2298" s="14"/>
      <c r="D2298" s="14"/>
      <c r="E2298" s="15"/>
      <c r="F2298" s="16"/>
      <c r="G2298" s="18"/>
      <c r="H2298" s="15"/>
      <c r="I2298" s="18"/>
      <c r="J2298" s="22"/>
      <c r="K2298" s="108"/>
      <c r="L2298" s="26"/>
      <c r="M2298" s="26"/>
    </row>
    <row r="2299">
      <c r="A2299" s="12"/>
      <c r="B2299" s="13"/>
      <c r="C2299" s="14"/>
      <c r="D2299" s="14"/>
      <c r="E2299" s="15"/>
      <c r="F2299" s="16"/>
      <c r="G2299" s="18"/>
      <c r="H2299" s="15"/>
      <c r="I2299" s="18"/>
      <c r="J2299" s="22"/>
      <c r="K2299" s="108"/>
      <c r="L2299" s="26"/>
      <c r="M2299" s="26"/>
    </row>
    <row r="2300">
      <c r="A2300" s="12"/>
      <c r="B2300" s="13"/>
      <c r="C2300" s="14"/>
      <c r="D2300" s="14"/>
      <c r="E2300" s="15"/>
      <c r="F2300" s="16"/>
      <c r="G2300" s="18"/>
      <c r="H2300" s="15"/>
      <c r="I2300" s="18"/>
      <c r="J2300" s="22"/>
      <c r="K2300" s="108"/>
      <c r="L2300" s="26"/>
      <c r="M2300" s="26"/>
    </row>
    <row r="2301">
      <c r="A2301" s="12"/>
      <c r="B2301" s="13"/>
      <c r="C2301" s="14"/>
      <c r="D2301" s="14"/>
      <c r="E2301" s="15"/>
      <c r="F2301" s="16"/>
      <c r="G2301" s="18"/>
      <c r="H2301" s="15"/>
      <c r="I2301" s="18"/>
      <c r="J2301" s="22"/>
      <c r="K2301" s="108"/>
      <c r="L2301" s="26"/>
      <c r="M2301" s="26"/>
    </row>
    <row r="2302">
      <c r="A2302" s="12"/>
      <c r="B2302" s="13"/>
      <c r="C2302" s="14"/>
      <c r="D2302" s="14"/>
      <c r="E2302" s="15"/>
      <c r="F2302" s="16"/>
      <c r="G2302" s="18"/>
      <c r="H2302" s="15"/>
      <c r="I2302" s="18"/>
      <c r="J2302" s="22"/>
      <c r="K2302" s="108"/>
      <c r="L2302" s="26"/>
      <c r="M2302" s="26"/>
    </row>
    <row r="2303">
      <c r="A2303" s="12"/>
      <c r="B2303" s="13"/>
      <c r="C2303" s="14"/>
      <c r="D2303" s="14"/>
      <c r="E2303" s="15"/>
      <c r="F2303" s="16"/>
      <c r="G2303" s="18"/>
      <c r="H2303" s="15"/>
      <c r="I2303" s="18"/>
      <c r="J2303" s="22"/>
      <c r="K2303" s="108"/>
      <c r="L2303" s="26"/>
      <c r="M2303" s="26"/>
    </row>
    <row r="2304">
      <c r="A2304" s="12"/>
      <c r="B2304" s="13"/>
      <c r="C2304" s="14"/>
      <c r="D2304" s="14"/>
      <c r="E2304" s="15"/>
      <c r="F2304" s="16"/>
      <c r="G2304" s="18"/>
      <c r="H2304" s="15"/>
      <c r="I2304" s="18"/>
      <c r="J2304" s="22"/>
      <c r="K2304" s="108"/>
      <c r="L2304" s="26"/>
      <c r="M2304" s="26"/>
    </row>
    <row r="2305">
      <c r="A2305" s="12"/>
      <c r="B2305" s="13"/>
      <c r="C2305" s="14"/>
      <c r="D2305" s="14"/>
      <c r="E2305" s="15"/>
      <c r="F2305" s="16"/>
      <c r="G2305" s="18"/>
      <c r="H2305" s="15"/>
      <c r="I2305" s="18"/>
      <c r="J2305" s="22"/>
      <c r="K2305" s="108"/>
      <c r="L2305" s="26"/>
      <c r="M2305" s="26"/>
    </row>
    <row r="2306">
      <c r="A2306" s="12"/>
      <c r="B2306" s="13"/>
      <c r="C2306" s="14"/>
      <c r="D2306" s="14"/>
      <c r="E2306" s="15"/>
      <c r="F2306" s="16"/>
      <c r="G2306" s="18"/>
      <c r="H2306" s="15"/>
      <c r="I2306" s="18"/>
      <c r="J2306" s="22"/>
      <c r="K2306" s="108"/>
      <c r="L2306" s="26"/>
      <c r="M2306" s="26"/>
    </row>
    <row r="2307">
      <c r="A2307" s="12"/>
      <c r="B2307" s="13"/>
      <c r="C2307" s="14"/>
      <c r="D2307" s="14"/>
      <c r="E2307" s="15"/>
      <c r="F2307" s="16"/>
      <c r="G2307" s="18"/>
      <c r="H2307" s="15"/>
      <c r="I2307" s="18"/>
      <c r="J2307" s="22"/>
      <c r="K2307" s="108"/>
      <c r="L2307" s="26"/>
      <c r="M2307" s="26"/>
    </row>
    <row r="2308">
      <c r="A2308" s="12"/>
      <c r="B2308" s="13"/>
      <c r="C2308" s="14"/>
      <c r="D2308" s="14"/>
      <c r="E2308" s="15"/>
      <c r="F2308" s="16"/>
      <c r="G2308" s="18"/>
      <c r="H2308" s="15"/>
      <c r="I2308" s="18"/>
      <c r="J2308" s="22"/>
      <c r="K2308" s="108"/>
      <c r="L2308" s="26"/>
      <c r="M2308" s="26"/>
    </row>
    <row r="2309">
      <c r="A2309" s="12"/>
      <c r="B2309" s="13"/>
      <c r="C2309" s="14"/>
      <c r="D2309" s="14"/>
      <c r="E2309" s="15"/>
      <c r="F2309" s="16"/>
      <c r="G2309" s="18"/>
      <c r="H2309" s="15"/>
      <c r="I2309" s="18"/>
      <c r="J2309" s="22"/>
      <c r="K2309" s="108"/>
      <c r="L2309" s="26"/>
      <c r="M2309" s="26"/>
    </row>
    <row r="2310">
      <c r="A2310" s="12"/>
      <c r="B2310" s="13"/>
      <c r="C2310" s="14"/>
      <c r="D2310" s="14"/>
      <c r="E2310" s="15"/>
      <c r="F2310" s="16"/>
      <c r="G2310" s="18"/>
      <c r="H2310" s="15"/>
      <c r="I2310" s="18"/>
      <c r="J2310" s="22"/>
      <c r="K2310" s="108"/>
      <c r="L2310" s="26"/>
      <c r="M2310" s="26"/>
    </row>
    <row r="2311">
      <c r="A2311" s="12"/>
      <c r="B2311" s="13"/>
      <c r="C2311" s="14"/>
      <c r="D2311" s="14"/>
      <c r="E2311" s="15"/>
      <c r="F2311" s="16"/>
      <c r="G2311" s="18"/>
      <c r="H2311" s="15"/>
      <c r="I2311" s="18"/>
      <c r="J2311" s="22"/>
      <c r="K2311" s="108"/>
      <c r="L2311" s="26"/>
      <c r="M2311" s="26"/>
    </row>
    <row r="2312">
      <c r="A2312" s="12"/>
      <c r="B2312" s="13"/>
      <c r="C2312" s="14"/>
      <c r="D2312" s="14"/>
      <c r="E2312" s="15"/>
      <c r="F2312" s="16"/>
      <c r="G2312" s="18"/>
      <c r="H2312" s="15"/>
      <c r="I2312" s="18"/>
      <c r="J2312" s="22"/>
      <c r="K2312" s="108"/>
      <c r="L2312" s="26"/>
      <c r="M2312" s="26"/>
    </row>
    <row r="2313">
      <c r="A2313" s="12"/>
      <c r="B2313" s="13"/>
      <c r="C2313" s="14"/>
      <c r="D2313" s="14"/>
      <c r="E2313" s="15"/>
      <c r="F2313" s="16"/>
      <c r="G2313" s="18"/>
      <c r="H2313" s="15"/>
      <c r="I2313" s="18"/>
      <c r="J2313" s="22"/>
      <c r="K2313" s="108"/>
      <c r="L2313" s="26"/>
      <c r="M2313" s="26"/>
    </row>
    <row r="2314">
      <c r="A2314" s="12"/>
      <c r="B2314" s="13"/>
      <c r="C2314" s="14"/>
      <c r="D2314" s="14"/>
      <c r="E2314" s="15"/>
      <c r="F2314" s="16"/>
      <c r="G2314" s="18"/>
      <c r="H2314" s="15"/>
      <c r="I2314" s="18"/>
      <c r="J2314" s="22"/>
      <c r="K2314" s="108"/>
      <c r="L2314" s="26"/>
      <c r="M2314" s="26"/>
    </row>
    <row r="2315">
      <c r="A2315" s="12"/>
      <c r="B2315" s="13"/>
      <c r="C2315" s="14"/>
      <c r="D2315" s="14"/>
      <c r="E2315" s="15"/>
      <c r="F2315" s="16"/>
      <c r="G2315" s="18"/>
      <c r="H2315" s="15"/>
      <c r="I2315" s="18"/>
      <c r="J2315" s="22"/>
      <c r="K2315" s="108"/>
      <c r="L2315" s="26"/>
      <c r="M2315" s="26"/>
    </row>
    <row r="2316">
      <c r="A2316" s="12"/>
      <c r="B2316" s="13"/>
      <c r="C2316" s="14"/>
      <c r="D2316" s="14"/>
      <c r="E2316" s="15"/>
      <c r="F2316" s="16"/>
      <c r="G2316" s="18"/>
      <c r="H2316" s="15"/>
      <c r="I2316" s="18"/>
      <c r="J2316" s="22"/>
      <c r="K2316" s="108"/>
      <c r="L2316" s="26"/>
      <c r="M2316" s="26"/>
    </row>
    <row r="2317">
      <c r="A2317" s="12"/>
      <c r="B2317" s="13"/>
      <c r="C2317" s="14"/>
      <c r="D2317" s="14"/>
      <c r="E2317" s="15"/>
      <c r="F2317" s="16"/>
      <c r="G2317" s="18"/>
      <c r="H2317" s="15"/>
      <c r="I2317" s="18"/>
      <c r="J2317" s="22"/>
      <c r="K2317" s="108"/>
      <c r="L2317" s="26"/>
      <c r="M2317" s="26"/>
    </row>
    <row r="2318">
      <c r="A2318" s="12"/>
      <c r="B2318" s="13"/>
      <c r="C2318" s="14"/>
      <c r="D2318" s="14"/>
      <c r="E2318" s="15"/>
      <c r="F2318" s="16"/>
      <c r="G2318" s="18"/>
      <c r="H2318" s="15"/>
      <c r="I2318" s="18"/>
      <c r="J2318" s="22"/>
      <c r="K2318" s="108"/>
      <c r="L2318" s="26"/>
      <c r="M2318" s="26"/>
    </row>
    <row r="2319">
      <c r="A2319" s="12"/>
      <c r="B2319" s="13"/>
      <c r="C2319" s="14"/>
      <c r="D2319" s="14"/>
      <c r="E2319" s="15"/>
      <c r="F2319" s="16"/>
      <c r="G2319" s="18"/>
      <c r="H2319" s="15"/>
      <c r="I2319" s="18"/>
      <c r="J2319" s="22"/>
      <c r="K2319" s="108"/>
      <c r="L2319" s="26"/>
      <c r="M2319" s="26"/>
    </row>
    <row r="2320">
      <c r="A2320" s="12"/>
      <c r="B2320" s="13"/>
      <c r="C2320" s="14"/>
      <c r="D2320" s="14"/>
      <c r="E2320" s="15"/>
      <c r="F2320" s="16"/>
      <c r="G2320" s="18"/>
      <c r="H2320" s="15"/>
      <c r="I2320" s="18"/>
      <c r="J2320" s="22"/>
      <c r="K2320" s="108"/>
      <c r="L2320" s="26"/>
      <c r="M2320" s="26"/>
    </row>
    <row r="2321">
      <c r="A2321" s="12"/>
      <c r="B2321" s="13"/>
      <c r="C2321" s="14"/>
      <c r="D2321" s="14"/>
      <c r="E2321" s="15"/>
      <c r="F2321" s="16"/>
      <c r="G2321" s="18"/>
      <c r="H2321" s="15"/>
      <c r="I2321" s="18"/>
      <c r="J2321" s="22"/>
      <c r="K2321" s="108"/>
      <c r="L2321" s="26"/>
      <c r="M2321" s="26"/>
    </row>
    <row r="2322">
      <c r="A2322" s="12"/>
      <c r="B2322" s="13"/>
      <c r="C2322" s="14"/>
      <c r="D2322" s="14"/>
      <c r="E2322" s="15"/>
      <c r="F2322" s="16"/>
      <c r="G2322" s="18"/>
      <c r="H2322" s="15"/>
      <c r="I2322" s="18"/>
      <c r="J2322" s="22"/>
      <c r="K2322" s="108"/>
      <c r="L2322" s="26"/>
      <c r="M2322" s="26"/>
    </row>
    <row r="2323">
      <c r="A2323" s="12"/>
      <c r="B2323" s="13"/>
      <c r="C2323" s="14"/>
      <c r="D2323" s="14"/>
      <c r="E2323" s="15"/>
      <c r="F2323" s="16"/>
      <c r="G2323" s="18"/>
      <c r="H2323" s="15"/>
      <c r="I2323" s="18"/>
      <c r="J2323" s="22"/>
      <c r="K2323" s="108"/>
      <c r="L2323" s="26"/>
      <c r="M2323" s="26"/>
    </row>
    <row r="2324">
      <c r="A2324" s="12"/>
      <c r="B2324" s="13"/>
      <c r="C2324" s="14"/>
      <c r="D2324" s="14"/>
      <c r="E2324" s="15"/>
      <c r="F2324" s="16"/>
      <c r="G2324" s="18"/>
      <c r="H2324" s="15"/>
      <c r="I2324" s="18"/>
      <c r="J2324" s="22"/>
      <c r="K2324" s="108"/>
      <c r="L2324" s="26"/>
      <c r="M2324" s="26"/>
    </row>
    <row r="2325">
      <c r="A2325" s="12"/>
      <c r="B2325" s="13"/>
      <c r="C2325" s="14"/>
      <c r="D2325" s="14"/>
      <c r="E2325" s="15"/>
      <c r="F2325" s="16"/>
      <c r="G2325" s="18"/>
      <c r="H2325" s="15"/>
      <c r="I2325" s="18"/>
      <c r="J2325" s="22"/>
      <c r="K2325" s="108"/>
      <c r="L2325" s="26"/>
      <c r="M2325" s="26"/>
    </row>
    <row r="2326">
      <c r="A2326" s="12"/>
      <c r="B2326" s="13"/>
      <c r="C2326" s="14"/>
      <c r="D2326" s="14"/>
      <c r="E2326" s="15"/>
      <c r="F2326" s="16"/>
      <c r="G2326" s="18"/>
      <c r="H2326" s="15"/>
      <c r="I2326" s="18"/>
      <c r="J2326" s="22"/>
      <c r="K2326" s="108"/>
      <c r="L2326" s="26"/>
      <c r="M2326" s="26"/>
    </row>
    <row r="2327">
      <c r="A2327" s="12"/>
      <c r="B2327" s="13"/>
      <c r="C2327" s="14"/>
      <c r="D2327" s="14"/>
      <c r="E2327" s="15"/>
      <c r="F2327" s="16"/>
      <c r="G2327" s="18"/>
      <c r="H2327" s="15"/>
      <c r="I2327" s="18"/>
      <c r="J2327" s="22"/>
      <c r="K2327" s="108"/>
      <c r="L2327" s="26"/>
      <c r="M2327" s="26"/>
    </row>
    <row r="2328">
      <c r="A2328" s="12"/>
      <c r="B2328" s="13"/>
      <c r="C2328" s="14"/>
      <c r="D2328" s="14"/>
      <c r="E2328" s="15"/>
      <c r="F2328" s="16"/>
      <c r="G2328" s="18"/>
      <c r="H2328" s="15"/>
      <c r="I2328" s="18"/>
      <c r="J2328" s="22"/>
      <c r="K2328" s="108"/>
      <c r="L2328" s="26"/>
      <c r="M2328" s="26"/>
    </row>
    <row r="2329">
      <c r="A2329" s="12"/>
      <c r="B2329" s="13"/>
      <c r="C2329" s="14"/>
      <c r="D2329" s="14"/>
      <c r="E2329" s="15"/>
      <c r="F2329" s="16"/>
      <c r="G2329" s="18"/>
      <c r="H2329" s="15"/>
      <c r="I2329" s="18"/>
      <c r="J2329" s="22"/>
      <c r="K2329" s="108"/>
      <c r="L2329" s="26"/>
      <c r="M2329" s="26"/>
    </row>
    <row r="2330">
      <c r="A2330" s="12"/>
      <c r="B2330" s="13"/>
      <c r="C2330" s="14"/>
      <c r="D2330" s="14"/>
      <c r="E2330" s="15"/>
      <c r="F2330" s="16"/>
      <c r="G2330" s="18"/>
      <c r="H2330" s="15"/>
      <c r="I2330" s="18"/>
      <c r="J2330" s="22"/>
      <c r="K2330" s="108"/>
      <c r="L2330" s="26"/>
      <c r="M2330" s="26"/>
    </row>
    <row r="2331">
      <c r="A2331" s="12"/>
      <c r="B2331" s="13"/>
      <c r="C2331" s="14"/>
      <c r="D2331" s="14"/>
      <c r="E2331" s="15"/>
      <c r="F2331" s="16"/>
      <c r="G2331" s="18"/>
      <c r="H2331" s="15"/>
      <c r="I2331" s="18"/>
      <c r="J2331" s="22"/>
      <c r="K2331" s="108"/>
      <c r="L2331" s="26"/>
      <c r="M2331" s="26"/>
    </row>
    <row r="2332">
      <c r="A2332" s="12"/>
      <c r="B2332" s="13"/>
      <c r="C2332" s="14"/>
      <c r="D2332" s="14"/>
      <c r="E2332" s="15"/>
      <c r="F2332" s="16"/>
      <c r="G2332" s="18"/>
      <c r="H2332" s="15"/>
      <c r="I2332" s="18"/>
      <c r="J2332" s="22"/>
      <c r="K2332" s="108"/>
      <c r="L2332" s="26"/>
      <c r="M2332" s="26"/>
    </row>
    <row r="2333">
      <c r="A2333" s="12"/>
      <c r="B2333" s="13"/>
      <c r="C2333" s="14"/>
      <c r="D2333" s="14"/>
      <c r="E2333" s="15"/>
      <c r="F2333" s="16"/>
      <c r="G2333" s="18"/>
      <c r="H2333" s="15"/>
      <c r="I2333" s="18"/>
      <c r="J2333" s="22"/>
      <c r="K2333" s="108"/>
      <c r="L2333" s="26"/>
      <c r="M2333" s="26"/>
    </row>
    <row r="2334">
      <c r="A2334" s="12"/>
      <c r="B2334" s="13"/>
      <c r="C2334" s="14"/>
      <c r="D2334" s="14"/>
      <c r="E2334" s="15"/>
      <c r="F2334" s="16"/>
      <c r="G2334" s="18"/>
      <c r="H2334" s="15"/>
      <c r="I2334" s="18"/>
      <c r="J2334" s="22"/>
      <c r="K2334" s="108"/>
      <c r="L2334" s="26"/>
      <c r="M2334" s="26"/>
    </row>
    <row r="2335">
      <c r="A2335" s="12"/>
      <c r="B2335" s="13"/>
      <c r="C2335" s="14"/>
      <c r="D2335" s="14"/>
      <c r="E2335" s="15"/>
      <c r="F2335" s="16"/>
      <c r="G2335" s="18"/>
      <c r="H2335" s="15"/>
      <c r="I2335" s="18"/>
      <c r="J2335" s="22"/>
      <c r="K2335" s="108"/>
      <c r="L2335" s="26"/>
      <c r="M2335" s="26"/>
    </row>
    <row r="2336">
      <c r="A2336" s="12"/>
      <c r="B2336" s="13"/>
      <c r="C2336" s="14"/>
      <c r="D2336" s="14"/>
      <c r="E2336" s="15"/>
      <c r="F2336" s="16"/>
      <c r="G2336" s="18"/>
      <c r="H2336" s="15"/>
      <c r="I2336" s="18"/>
      <c r="J2336" s="22"/>
      <c r="K2336" s="108"/>
      <c r="L2336" s="26"/>
      <c r="M2336" s="26"/>
    </row>
    <row r="2337">
      <c r="A2337" s="12"/>
      <c r="B2337" s="13"/>
      <c r="C2337" s="14"/>
      <c r="D2337" s="14"/>
      <c r="E2337" s="15"/>
      <c r="F2337" s="16"/>
      <c r="G2337" s="18"/>
      <c r="H2337" s="15"/>
      <c r="I2337" s="18"/>
      <c r="J2337" s="22"/>
      <c r="K2337" s="108"/>
      <c r="L2337" s="26"/>
      <c r="M2337" s="26"/>
    </row>
    <row r="2338">
      <c r="A2338" s="12"/>
      <c r="B2338" s="13"/>
      <c r="C2338" s="14"/>
      <c r="D2338" s="14"/>
      <c r="E2338" s="15"/>
      <c r="F2338" s="16"/>
      <c r="G2338" s="18"/>
      <c r="H2338" s="15"/>
      <c r="I2338" s="18"/>
      <c r="J2338" s="22"/>
      <c r="K2338" s="108"/>
      <c r="L2338" s="26"/>
      <c r="M2338" s="26"/>
    </row>
    <row r="2339">
      <c r="A2339" s="12"/>
      <c r="B2339" s="13"/>
      <c r="C2339" s="14"/>
      <c r="D2339" s="14"/>
      <c r="E2339" s="15"/>
      <c r="F2339" s="16"/>
      <c r="G2339" s="18"/>
      <c r="H2339" s="15"/>
      <c r="I2339" s="18"/>
      <c r="J2339" s="22"/>
      <c r="K2339" s="108"/>
      <c r="L2339" s="26"/>
      <c r="M2339" s="26"/>
    </row>
    <row r="2340">
      <c r="A2340" s="12"/>
      <c r="B2340" s="13"/>
      <c r="C2340" s="14"/>
      <c r="D2340" s="14"/>
      <c r="E2340" s="15"/>
      <c r="F2340" s="16"/>
      <c r="G2340" s="18"/>
      <c r="H2340" s="15"/>
      <c r="I2340" s="18"/>
      <c r="J2340" s="22"/>
      <c r="K2340" s="108"/>
      <c r="L2340" s="26"/>
      <c r="M2340" s="26"/>
    </row>
    <row r="2341">
      <c r="A2341" s="12"/>
      <c r="B2341" s="13"/>
      <c r="C2341" s="14"/>
      <c r="D2341" s="14"/>
      <c r="E2341" s="15"/>
      <c r="F2341" s="16"/>
      <c r="G2341" s="18"/>
      <c r="H2341" s="15"/>
      <c r="I2341" s="18"/>
      <c r="J2341" s="22"/>
      <c r="K2341" s="108"/>
      <c r="L2341" s="26"/>
      <c r="M2341" s="26"/>
    </row>
    <row r="2342">
      <c r="A2342" s="12"/>
      <c r="B2342" s="13"/>
      <c r="C2342" s="14"/>
      <c r="D2342" s="14"/>
      <c r="E2342" s="15"/>
      <c r="F2342" s="16"/>
      <c r="G2342" s="18"/>
      <c r="H2342" s="15"/>
      <c r="I2342" s="18"/>
      <c r="J2342" s="22"/>
      <c r="K2342" s="108"/>
      <c r="L2342" s="26"/>
      <c r="M2342" s="26"/>
    </row>
    <row r="2343">
      <c r="A2343" s="12"/>
      <c r="B2343" s="13"/>
      <c r="C2343" s="14"/>
      <c r="D2343" s="14"/>
      <c r="E2343" s="15"/>
      <c r="F2343" s="16"/>
      <c r="G2343" s="18"/>
      <c r="H2343" s="15"/>
      <c r="I2343" s="18"/>
      <c r="J2343" s="22"/>
      <c r="K2343" s="108"/>
      <c r="L2343" s="26"/>
      <c r="M2343" s="26"/>
    </row>
    <row r="2344">
      <c r="A2344" s="12"/>
      <c r="B2344" s="13"/>
      <c r="C2344" s="14"/>
      <c r="D2344" s="14"/>
      <c r="E2344" s="15"/>
      <c r="F2344" s="16"/>
      <c r="G2344" s="18"/>
      <c r="H2344" s="15"/>
      <c r="I2344" s="18"/>
      <c r="J2344" s="22"/>
      <c r="K2344" s="108"/>
      <c r="L2344" s="26"/>
      <c r="M2344" s="26"/>
    </row>
    <row r="2345">
      <c r="A2345" s="12"/>
      <c r="B2345" s="13"/>
      <c r="C2345" s="14"/>
      <c r="D2345" s="14"/>
      <c r="E2345" s="15"/>
      <c r="F2345" s="16"/>
      <c r="G2345" s="18"/>
      <c r="H2345" s="15"/>
      <c r="I2345" s="18"/>
      <c r="J2345" s="22"/>
      <c r="K2345" s="108"/>
      <c r="L2345" s="26"/>
      <c r="M2345" s="26"/>
    </row>
    <row r="2346">
      <c r="A2346" s="12"/>
      <c r="B2346" s="13"/>
      <c r="C2346" s="14"/>
      <c r="D2346" s="14"/>
      <c r="E2346" s="15"/>
      <c r="F2346" s="16"/>
      <c r="G2346" s="18"/>
      <c r="H2346" s="15"/>
      <c r="I2346" s="18"/>
      <c r="J2346" s="22"/>
      <c r="K2346" s="108"/>
      <c r="L2346" s="26"/>
      <c r="M2346" s="26"/>
    </row>
    <row r="2347">
      <c r="A2347" s="12"/>
      <c r="B2347" s="13"/>
      <c r="C2347" s="14"/>
      <c r="D2347" s="14"/>
      <c r="E2347" s="15"/>
      <c r="F2347" s="16"/>
      <c r="G2347" s="18"/>
      <c r="H2347" s="15"/>
      <c r="I2347" s="18"/>
      <c r="J2347" s="22"/>
      <c r="K2347" s="108"/>
      <c r="L2347" s="26"/>
      <c r="M2347" s="26"/>
    </row>
    <row r="2348">
      <c r="A2348" s="12"/>
      <c r="B2348" s="13"/>
      <c r="C2348" s="14"/>
      <c r="D2348" s="14"/>
      <c r="E2348" s="15"/>
      <c r="F2348" s="16"/>
      <c r="G2348" s="18"/>
      <c r="H2348" s="15"/>
      <c r="I2348" s="18"/>
      <c r="J2348" s="22"/>
      <c r="K2348" s="108"/>
      <c r="L2348" s="26"/>
      <c r="M2348" s="26"/>
    </row>
    <row r="2349">
      <c r="A2349" s="12"/>
      <c r="B2349" s="13"/>
      <c r="C2349" s="14"/>
      <c r="D2349" s="14"/>
      <c r="E2349" s="15"/>
      <c r="F2349" s="16"/>
      <c r="G2349" s="18"/>
      <c r="H2349" s="15"/>
      <c r="I2349" s="18"/>
      <c r="J2349" s="22"/>
      <c r="K2349" s="108"/>
      <c r="L2349" s="26"/>
      <c r="M2349" s="26"/>
    </row>
    <row r="2350">
      <c r="A2350" s="12"/>
      <c r="B2350" s="13"/>
      <c r="C2350" s="14"/>
      <c r="D2350" s="14"/>
      <c r="E2350" s="15"/>
      <c r="F2350" s="16"/>
      <c r="G2350" s="18"/>
      <c r="H2350" s="15"/>
      <c r="I2350" s="18"/>
      <c r="J2350" s="22"/>
      <c r="K2350" s="108"/>
      <c r="L2350" s="26"/>
      <c r="M2350" s="26"/>
    </row>
    <row r="2351">
      <c r="A2351" s="12"/>
      <c r="B2351" s="13"/>
      <c r="C2351" s="14"/>
      <c r="D2351" s="14"/>
      <c r="E2351" s="15"/>
      <c r="F2351" s="16"/>
      <c r="G2351" s="18"/>
      <c r="H2351" s="15"/>
      <c r="I2351" s="18"/>
      <c r="J2351" s="22"/>
      <c r="K2351" s="108"/>
      <c r="L2351" s="26"/>
      <c r="M2351" s="26"/>
    </row>
    <row r="2352">
      <c r="A2352" s="12"/>
      <c r="B2352" s="13"/>
      <c r="C2352" s="14"/>
      <c r="D2352" s="14"/>
      <c r="E2352" s="15"/>
      <c r="F2352" s="16"/>
      <c r="G2352" s="18"/>
      <c r="H2352" s="15"/>
      <c r="I2352" s="18"/>
      <c r="J2352" s="22"/>
      <c r="K2352" s="108"/>
      <c r="L2352" s="26"/>
      <c r="M2352" s="26"/>
    </row>
    <row r="2353">
      <c r="A2353" s="12"/>
      <c r="B2353" s="13"/>
      <c r="C2353" s="14"/>
      <c r="D2353" s="14"/>
      <c r="E2353" s="15"/>
      <c r="F2353" s="16"/>
      <c r="G2353" s="18"/>
      <c r="H2353" s="15"/>
      <c r="I2353" s="18"/>
      <c r="J2353" s="22"/>
      <c r="K2353" s="108"/>
      <c r="L2353" s="26"/>
      <c r="M2353" s="26"/>
    </row>
    <row r="2354">
      <c r="A2354" s="12"/>
      <c r="B2354" s="13"/>
      <c r="C2354" s="14"/>
      <c r="D2354" s="14"/>
      <c r="E2354" s="15"/>
      <c r="F2354" s="16"/>
      <c r="G2354" s="18"/>
      <c r="H2354" s="15"/>
      <c r="I2354" s="18"/>
      <c r="J2354" s="22"/>
      <c r="K2354" s="108"/>
      <c r="L2354" s="26"/>
      <c r="M2354" s="26"/>
    </row>
    <row r="2355">
      <c r="A2355" s="12"/>
      <c r="B2355" s="13"/>
      <c r="C2355" s="14"/>
      <c r="D2355" s="14"/>
      <c r="E2355" s="15"/>
      <c r="F2355" s="16"/>
      <c r="G2355" s="18"/>
      <c r="H2355" s="15"/>
      <c r="I2355" s="18"/>
      <c r="J2355" s="22"/>
      <c r="K2355" s="108"/>
      <c r="L2355" s="26"/>
      <c r="M2355" s="26"/>
    </row>
    <row r="2356">
      <c r="A2356" s="12"/>
      <c r="B2356" s="13"/>
      <c r="C2356" s="14"/>
      <c r="D2356" s="14"/>
      <c r="E2356" s="15"/>
      <c r="F2356" s="16"/>
      <c r="G2356" s="18"/>
      <c r="H2356" s="15"/>
      <c r="I2356" s="18"/>
      <c r="J2356" s="22"/>
      <c r="K2356" s="108"/>
      <c r="L2356" s="26"/>
      <c r="M2356" s="26"/>
    </row>
    <row r="2357">
      <c r="A2357" s="12"/>
      <c r="B2357" s="13"/>
      <c r="C2357" s="14"/>
      <c r="D2357" s="14"/>
      <c r="E2357" s="15"/>
      <c r="F2357" s="16"/>
      <c r="G2357" s="18"/>
      <c r="H2357" s="15"/>
      <c r="I2357" s="18"/>
      <c r="J2357" s="22"/>
      <c r="K2357" s="108"/>
      <c r="L2357" s="26"/>
      <c r="M2357" s="26"/>
    </row>
    <row r="2358">
      <c r="A2358" s="12"/>
      <c r="B2358" s="13"/>
      <c r="C2358" s="14"/>
      <c r="D2358" s="14"/>
      <c r="E2358" s="15"/>
      <c r="F2358" s="16"/>
      <c r="G2358" s="18"/>
      <c r="H2358" s="15"/>
      <c r="I2358" s="18"/>
      <c r="J2358" s="22"/>
      <c r="K2358" s="108"/>
      <c r="L2358" s="26"/>
      <c r="M2358" s="26"/>
    </row>
    <row r="2359">
      <c r="A2359" s="12"/>
      <c r="B2359" s="13"/>
      <c r="C2359" s="14"/>
      <c r="D2359" s="14"/>
      <c r="E2359" s="15"/>
      <c r="F2359" s="16"/>
      <c r="G2359" s="18"/>
      <c r="H2359" s="15"/>
      <c r="I2359" s="18"/>
      <c r="J2359" s="22"/>
      <c r="K2359" s="108"/>
      <c r="L2359" s="26"/>
      <c r="M2359" s="26"/>
    </row>
    <row r="2360">
      <c r="A2360" s="12"/>
      <c r="B2360" s="13"/>
      <c r="C2360" s="14"/>
      <c r="D2360" s="14"/>
      <c r="E2360" s="15"/>
      <c r="F2360" s="16"/>
      <c r="G2360" s="18"/>
      <c r="H2360" s="15"/>
      <c r="I2360" s="18"/>
      <c r="J2360" s="22"/>
      <c r="K2360" s="108"/>
      <c r="L2360" s="26"/>
      <c r="M2360" s="26"/>
    </row>
    <row r="2361">
      <c r="A2361" s="12"/>
      <c r="B2361" s="13"/>
      <c r="C2361" s="14"/>
      <c r="D2361" s="14"/>
      <c r="E2361" s="15"/>
      <c r="F2361" s="16"/>
      <c r="G2361" s="18"/>
      <c r="H2361" s="15"/>
      <c r="I2361" s="18"/>
      <c r="J2361" s="22"/>
      <c r="K2361" s="108"/>
      <c r="L2361" s="26"/>
      <c r="M2361" s="26"/>
    </row>
    <row r="2362">
      <c r="A2362" s="12"/>
      <c r="B2362" s="13"/>
      <c r="C2362" s="14"/>
      <c r="D2362" s="14"/>
      <c r="E2362" s="15"/>
      <c r="F2362" s="16"/>
      <c r="G2362" s="18"/>
      <c r="H2362" s="15"/>
      <c r="I2362" s="18"/>
      <c r="J2362" s="22"/>
      <c r="K2362" s="108"/>
      <c r="L2362" s="26"/>
      <c r="M2362" s="26"/>
    </row>
    <row r="2363">
      <c r="A2363" s="12"/>
      <c r="B2363" s="13"/>
      <c r="C2363" s="14"/>
      <c r="D2363" s="14"/>
      <c r="E2363" s="15"/>
      <c r="F2363" s="16"/>
      <c r="G2363" s="18"/>
      <c r="H2363" s="15"/>
      <c r="I2363" s="18"/>
      <c r="J2363" s="22"/>
      <c r="K2363" s="108"/>
      <c r="L2363" s="26"/>
      <c r="M2363" s="26"/>
    </row>
    <row r="2364">
      <c r="A2364" s="12"/>
      <c r="B2364" s="13"/>
      <c r="C2364" s="14"/>
      <c r="D2364" s="14"/>
      <c r="E2364" s="15"/>
      <c r="F2364" s="16"/>
      <c r="G2364" s="18"/>
      <c r="H2364" s="15"/>
      <c r="I2364" s="18"/>
      <c r="J2364" s="22"/>
      <c r="K2364" s="108"/>
      <c r="L2364" s="26"/>
      <c r="M2364" s="26"/>
    </row>
    <row r="2365">
      <c r="A2365" s="12"/>
      <c r="B2365" s="13"/>
      <c r="C2365" s="14"/>
      <c r="D2365" s="14"/>
      <c r="E2365" s="15"/>
      <c r="F2365" s="16"/>
      <c r="G2365" s="18"/>
      <c r="H2365" s="15"/>
      <c r="I2365" s="18"/>
      <c r="J2365" s="22"/>
      <c r="K2365" s="108"/>
      <c r="L2365" s="26"/>
      <c r="M2365" s="26"/>
    </row>
    <row r="2366">
      <c r="A2366" s="12"/>
      <c r="B2366" s="13"/>
      <c r="C2366" s="14"/>
      <c r="D2366" s="14"/>
      <c r="E2366" s="15"/>
      <c r="F2366" s="16"/>
      <c r="G2366" s="18"/>
      <c r="H2366" s="15"/>
      <c r="I2366" s="18"/>
      <c r="J2366" s="22"/>
      <c r="K2366" s="108"/>
      <c r="L2366" s="26"/>
      <c r="M2366" s="26"/>
    </row>
    <row r="2367">
      <c r="A2367" s="12"/>
      <c r="B2367" s="13"/>
      <c r="C2367" s="14"/>
      <c r="D2367" s="14"/>
      <c r="E2367" s="15"/>
      <c r="F2367" s="16"/>
      <c r="G2367" s="18"/>
      <c r="H2367" s="15"/>
      <c r="I2367" s="18"/>
      <c r="J2367" s="22"/>
      <c r="K2367" s="108"/>
      <c r="L2367" s="26"/>
      <c r="M2367" s="26"/>
    </row>
    <row r="2368">
      <c r="A2368" s="12"/>
      <c r="B2368" s="13"/>
      <c r="C2368" s="14"/>
      <c r="D2368" s="14"/>
      <c r="E2368" s="15"/>
      <c r="F2368" s="16"/>
      <c r="G2368" s="18"/>
      <c r="H2368" s="15"/>
      <c r="I2368" s="18"/>
      <c r="J2368" s="22"/>
      <c r="K2368" s="108"/>
      <c r="L2368" s="26"/>
      <c r="M2368" s="26"/>
    </row>
    <row r="2369">
      <c r="A2369" s="12"/>
      <c r="B2369" s="13"/>
      <c r="C2369" s="14"/>
      <c r="D2369" s="14"/>
      <c r="E2369" s="15"/>
      <c r="F2369" s="16"/>
      <c r="G2369" s="18"/>
      <c r="H2369" s="15"/>
      <c r="I2369" s="18"/>
      <c r="J2369" s="22"/>
      <c r="K2369" s="108"/>
      <c r="L2369" s="26"/>
      <c r="M2369" s="26"/>
    </row>
    <row r="2370">
      <c r="A2370" s="12"/>
      <c r="B2370" s="13"/>
      <c r="C2370" s="14"/>
      <c r="D2370" s="14"/>
      <c r="E2370" s="15"/>
      <c r="F2370" s="16"/>
      <c r="G2370" s="18"/>
      <c r="H2370" s="15"/>
      <c r="I2370" s="18"/>
      <c r="J2370" s="22"/>
      <c r="K2370" s="108"/>
      <c r="L2370" s="26"/>
      <c r="M2370" s="26"/>
    </row>
    <row r="2371">
      <c r="A2371" s="12"/>
      <c r="B2371" s="13"/>
      <c r="C2371" s="14"/>
      <c r="D2371" s="14"/>
      <c r="E2371" s="15"/>
      <c r="F2371" s="16"/>
      <c r="G2371" s="18"/>
      <c r="H2371" s="15"/>
      <c r="I2371" s="18"/>
      <c r="J2371" s="22"/>
      <c r="K2371" s="108"/>
      <c r="L2371" s="26"/>
      <c r="M2371" s="26"/>
    </row>
    <row r="2372">
      <c r="A2372" s="12"/>
      <c r="B2372" s="13"/>
      <c r="C2372" s="14"/>
      <c r="D2372" s="14"/>
      <c r="E2372" s="15"/>
      <c r="F2372" s="16"/>
      <c r="G2372" s="18"/>
      <c r="H2372" s="15"/>
      <c r="I2372" s="18"/>
      <c r="J2372" s="22"/>
      <c r="K2372" s="108"/>
      <c r="L2372" s="26"/>
      <c r="M2372" s="26"/>
    </row>
    <row r="2373">
      <c r="A2373" s="12"/>
      <c r="B2373" s="13"/>
      <c r="C2373" s="14"/>
      <c r="D2373" s="14"/>
      <c r="E2373" s="15"/>
      <c r="F2373" s="16"/>
      <c r="G2373" s="18"/>
      <c r="H2373" s="15"/>
      <c r="I2373" s="18"/>
      <c r="J2373" s="22"/>
      <c r="K2373" s="108"/>
      <c r="L2373" s="26"/>
      <c r="M2373" s="26"/>
    </row>
    <row r="2374">
      <c r="A2374" s="12"/>
      <c r="B2374" s="13"/>
      <c r="C2374" s="14"/>
      <c r="D2374" s="14"/>
      <c r="E2374" s="15"/>
      <c r="F2374" s="16"/>
      <c r="G2374" s="18"/>
      <c r="H2374" s="15"/>
      <c r="I2374" s="18"/>
      <c r="J2374" s="22"/>
      <c r="K2374" s="108"/>
      <c r="L2374" s="26"/>
      <c r="M2374" s="26"/>
    </row>
    <row r="2375">
      <c r="A2375" s="12"/>
      <c r="B2375" s="13"/>
      <c r="C2375" s="14"/>
      <c r="D2375" s="14"/>
      <c r="E2375" s="15"/>
      <c r="F2375" s="16"/>
      <c r="G2375" s="18"/>
      <c r="H2375" s="15"/>
      <c r="I2375" s="18"/>
      <c r="J2375" s="22"/>
      <c r="K2375" s="108"/>
      <c r="L2375" s="26"/>
      <c r="M2375" s="26"/>
    </row>
    <row r="2376">
      <c r="A2376" s="12"/>
      <c r="B2376" s="13"/>
      <c r="C2376" s="14"/>
      <c r="D2376" s="14"/>
      <c r="E2376" s="15"/>
      <c r="F2376" s="16"/>
      <c r="G2376" s="18"/>
      <c r="H2376" s="15"/>
      <c r="I2376" s="18"/>
      <c r="J2376" s="22"/>
      <c r="K2376" s="108"/>
      <c r="L2376" s="26"/>
      <c r="M2376" s="26"/>
    </row>
    <row r="2377">
      <c r="A2377" s="12"/>
      <c r="B2377" s="13"/>
      <c r="C2377" s="14"/>
      <c r="D2377" s="14"/>
      <c r="E2377" s="15"/>
      <c r="F2377" s="16"/>
      <c r="G2377" s="18"/>
      <c r="H2377" s="15"/>
      <c r="I2377" s="18"/>
      <c r="J2377" s="22"/>
      <c r="K2377" s="108"/>
      <c r="L2377" s="26"/>
      <c r="M2377" s="26"/>
    </row>
    <row r="2378">
      <c r="A2378" s="12"/>
      <c r="B2378" s="13"/>
      <c r="C2378" s="14"/>
      <c r="D2378" s="14"/>
      <c r="E2378" s="15"/>
      <c r="F2378" s="16"/>
      <c r="G2378" s="18"/>
      <c r="H2378" s="15"/>
      <c r="I2378" s="18"/>
      <c r="J2378" s="22"/>
      <c r="K2378" s="108"/>
      <c r="L2378" s="26"/>
      <c r="M2378" s="26"/>
    </row>
    <row r="2379">
      <c r="A2379" s="12"/>
      <c r="B2379" s="13"/>
      <c r="C2379" s="14"/>
      <c r="D2379" s="14"/>
      <c r="E2379" s="15"/>
      <c r="F2379" s="16"/>
      <c r="G2379" s="18"/>
      <c r="H2379" s="15"/>
      <c r="I2379" s="18"/>
      <c r="J2379" s="22"/>
      <c r="K2379" s="108"/>
      <c r="L2379" s="26"/>
      <c r="M2379" s="26"/>
    </row>
    <row r="2380">
      <c r="A2380" s="12"/>
      <c r="B2380" s="13"/>
      <c r="C2380" s="14"/>
      <c r="D2380" s="14"/>
      <c r="E2380" s="15"/>
      <c r="F2380" s="16"/>
      <c r="G2380" s="18"/>
      <c r="H2380" s="15"/>
      <c r="I2380" s="18"/>
      <c r="J2380" s="22"/>
      <c r="K2380" s="108"/>
      <c r="L2380" s="26"/>
      <c r="M2380" s="26"/>
    </row>
    <row r="2381">
      <c r="A2381" s="12"/>
      <c r="B2381" s="13"/>
      <c r="C2381" s="14"/>
      <c r="D2381" s="14"/>
      <c r="E2381" s="15"/>
      <c r="F2381" s="16"/>
      <c r="G2381" s="18"/>
      <c r="H2381" s="15"/>
      <c r="I2381" s="18"/>
      <c r="J2381" s="22"/>
      <c r="K2381" s="108"/>
      <c r="L2381" s="26"/>
      <c r="M2381" s="26"/>
    </row>
    <row r="2382">
      <c r="A2382" s="12"/>
      <c r="B2382" s="13"/>
      <c r="C2382" s="14"/>
      <c r="D2382" s="14"/>
      <c r="E2382" s="15"/>
      <c r="F2382" s="16"/>
      <c r="G2382" s="18"/>
      <c r="H2382" s="15"/>
      <c r="I2382" s="18"/>
      <c r="J2382" s="22"/>
      <c r="K2382" s="108"/>
      <c r="L2382" s="26"/>
      <c r="M2382" s="26"/>
    </row>
    <row r="2383">
      <c r="A2383" s="12"/>
      <c r="B2383" s="13"/>
      <c r="C2383" s="14"/>
      <c r="D2383" s="14"/>
      <c r="E2383" s="15"/>
      <c r="F2383" s="16"/>
      <c r="G2383" s="18"/>
      <c r="H2383" s="15"/>
      <c r="I2383" s="18"/>
      <c r="J2383" s="22"/>
      <c r="K2383" s="108"/>
      <c r="L2383" s="26"/>
      <c r="M2383" s="26"/>
    </row>
    <row r="2384">
      <c r="A2384" s="12"/>
      <c r="B2384" s="13"/>
      <c r="C2384" s="14"/>
      <c r="D2384" s="14"/>
      <c r="E2384" s="15"/>
      <c r="F2384" s="16"/>
      <c r="G2384" s="18"/>
      <c r="H2384" s="15"/>
      <c r="I2384" s="18"/>
      <c r="J2384" s="22"/>
      <c r="K2384" s="108"/>
      <c r="L2384" s="26"/>
      <c r="M2384" s="26"/>
    </row>
    <row r="2385">
      <c r="A2385" s="12"/>
      <c r="B2385" s="13"/>
      <c r="C2385" s="14"/>
      <c r="D2385" s="14"/>
      <c r="E2385" s="15"/>
      <c r="F2385" s="16"/>
      <c r="G2385" s="18"/>
      <c r="H2385" s="15"/>
      <c r="I2385" s="18"/>
      <c r="J2385" s="22"/>
      <c r="K2385" s="108"/>
      <c r="L2385" s="26"/>
      <c r="M2385" s="26"/>
    </row>
    <row r="2386">
      <c r="A2386" s="12"/>
      <c r="B2386" s="13"/>
      <c r="C2386" s="14"/>
      <c r="D2386" s="14"/>
      <c r="E2386" s="15"/>
      <c r="F2386" s="16"/>
      <c r="G2386" s="18"/>
      <c r="H2386" s="15"/>
      <c r="I2386" s="18"/>
      <c r="J2386" s="22"/>
      <c r="K2386" s="108"/>
      <c r="L2386" s="26"/>
      <c r="M2386" s="26"/>
    </row>
    <row r="2387">
      <c r="A2387" s="12"/>
      <c r="B2387" s="13"/>
      <c r="C2387" s="14"/>
      <c r="D2387" s="14"/>
      <c r="E2387" s="15"/>
      <c r="F2387" s="16"/>
      <c r="G2387" s="18"/>
      <c r="H2387" s="15"/>
      <c r="I2387" s="18"/>
      <c r="J2387" s="22"/>
      <c r="K2387" s="108"/>
      <c r="L2387" s="26"/>
      <c r="M2387" s="26"/>
    </row>
    <row r="2388">
      <c r="A2388" s="12"/>
      <c r="B2388" s="13"/>
      <c r="C2388" s="14"/>
      <c r="D2388" s="14"/>
      <c r="E2388" s="15"/>
      <c r="F2388" s="16"/>
      <c r="G2388" s="18"/>
      <c r="H2388" s="15"/>
      <c r="I2388" s="18"/>
      <c r="J2388" s="22"/>
      <c r="K2388" s="108"/>
      <c r="L2388" s="26"/>
      <c r="M2388" s="26"/>
    </row>
    <row r="2389">
      <c r="A2389" s="12"/>
      <c r="B2389" s="13"/>
      <c r="C2389" s="14"/>
      <c r="D2389" s="14"/>
      <c r="E2389" s="15"/>
      <c r="F2389" s="16"/>
      <c r="G2389" s="18"/>
      <c r="H2389" s="15"/>
      <c r="I2389" s="18"/>
      <c r="J2389" s="22"/>
      <c r="K2389" s="108"/>
      <c r="L2389" s="26"/>
      <c r="M2389" s="26"/>
    </row>
    <row r="2390">
      <c r="A2390" s="12"/>
      <c r="B2390" s="13"/>
      <c r="C2390" s="14"/>
      <c r="D2390" s="14"/>
      <c r="E2390" s="15"/>
      <c r="F2390" s="16"/>
      <c r="G2390" s="18"/>
      <c r="H2390" s="15"/>
      <c r="I2390" s="18"/>
      <c r="J2390" s="22"/>
      <c r="K2390" s="108"/>
      <c r="L2390" s="26"/>
      <c r="M2390" s="26"/>
    </row>
    <row r="2391">
      <c r="A2391" s="12"/>
      <c r="B2391" s="13"/>
      <c r="C2391" s="14"/>
      <c r="D2391" s="14"/>
      <c r="E2391" s="15"/>
      <c r="F2391" s="16"/>
      <c r="G2391" s="18"/>
      <c r="H2391" s="15"/>
      <c r="I2391" s="18"/>
      <c r="J2391" s="22"/>
      <c r="K2391" s="108"/>
      <c r="L2391" s="26"/>
      <c r="M2391" s="26"/>
    </row>
    <row r="2392">
      <c r="A2392" s="12"/>
      <c r="B2392" s="13"/>
      <c r="C2392" s="14"/>
      <c r="D2392" s="14"/>
      <c r="E2392" s="15"/>
      <c r="F2392" s="16"/>
      <c r="G2392" s="18"/>
      <c r="H2392" s="15"/>
      <c r="I2392" s="18"/>
      <c r="J2392" s="22"/>
      <c r="K2392" s="108"/>
      <c r="L2392" s="26"/>
      <c r="M2392" s="26"/>
    </row>
    <row r="2393">
      <c r="A2393" s="12"/>
      <c r="B2393" s="13"/>
      <c r="C2393" s="14"/>
      <c r="D2393" s="14"/>
      <c r="E2393" s="15"/>
      <c r="F2393" s="16"/>
      <c r="G2393" s="18"/>
      <c r="H2393" s="15"/>
      <c r="I2393" s="18"/>
      <c r="J2393" s="22"/>
      <c r="K2393" s="108"/>
      <c r="L2393" s="26"/>
      <c r="M2393" s="26"/>
    </row>
    <row r="2394">
      <c r="A2394" s="12"/>
      <c r="B2394" s="13"/>
      <c r="C2394" s="14"/>
      <c r="D2394" s="14"/>
      <c r="E2394" s="15"/>
      <c r="F2394" s="16"/>
      <c r="G2394" s="18"/>
      <c r="H2394" s="15"/>
      <c r="I2394" s="18"/>
      <c r="J2394" s="22"/>
      <c r="K2394" s="108"/>
      <c r="L2394" s="26"/>
      <c r="M2394" s="26"/>
    </row>
    <row r="2395">
      <c r="A2395" s="12"/>
      <c r="B2395" s="13"/>
      <c r="C2395" s="14"/>
      <c r="D2395" s="14"/>
      <c r="E2395" s="15"/>
      <c r="F2395" s="16"/>
      <c r="G2395" s="18"/>
      <c r="H2395" s="15"/>
      <c r="I2395" s="18"/>
      <c r="J2395" s="22"/>
      <c r="K2395" s="108"/>
      <c r="L2395" s="26"/>
      <c r="M2395" s="26"/>
    </row>
    <row r="2396">
      <c r="A2396" s="12"/>
      <c r="B2396" s="13"/>
      <c r="C2396" s="14"/>
      <c r="D2396" s="14"/>
      <c r="E2396" s="15"/>
      <c r="F2396" s="16"/>
      <c r="G2396" s="18"/>
      <c r="H2396" s="15"/>
      <c r="I2396" s="18"/>
      <c r="J2396" s="22"/>
      <c r="K2396" s="108"/>
      <c r="L2396" s="26"/>
      <c r="M2396" s="26"/>
    </row>
    <row r="2397">
      <c r="A2397" s="12"/>
      <c r="B2397" s="13"/>
      <c r="C2397" s="14"/>
      <c r="D2397" s="14"/>
      <c r="E2397" s="15"/>
      <c r="F2397" s="16"/>
      <c r="G2397" s="18"/>
      <c r="H2397" s="15"/>
      <c r="I2397" s="18"/>
      <c r="J2397" s="22"/>
      <c r="K2397" s="108"/>
      <c r="L2397" s="26"/>
      <c r="M2397" s="26"/>
    </row>
    <row r="2398">
      <c r="A2398" s="12"/>
      <c r="B2398" s="13"/>
      <c r="C2398" s="14"/>
      <c r="D2398" s="14"/>
      <c r="E2398" s="15"/>
      <c r="F2398" s="16"/>
      <c r="G2398" s="18"/>
      <c r="H2398" s="15"/>
      <c r="I2398" s="18"/>
      <c r="J2398" s="22"/>
      <c r="K2398" s="108"/>
      <c r="L2398" s="26"/>
      <c r="M2398" s="26"/>
    </row>
    <row r="2399">
      <c r="A2399" s="12"/>
      <c r="B2399" s="13"/>
      <c r="C2399" s="14"/>
      <c r="D2399" s="14"/>
      <c r="E2399" s="15"/>
      <c r="F2399" s="16"/>
      <c r="G2399" s="18"/>
      <c r="H2399" s="15"/>
      <c r="I2399" s="18"/>
      <c r="J2399" s="22"/>
      <c r="K2399" s="108"/>
      <c r="L2399" s="26"/>
      <c r="M2399" s="26"/>
    </row>
    <row r="2400">
      <c r="A2400" s="12"/>
      <c r="B2400" s="13"/>
      <c r="C2400" s="14"/>
      <c r="D2400" s="14"/>
      <c r="E2400" s="15"/>
      <c r="F2400" s="16"/>
      <c r="G2400" s="18"/>
      <c r="H2400" s="15"/>
      <c r="I2400" s="18"/>
      <c r="J2400" s="22"/>
      <c r="K2400" s="108"/>
      <c r="L2400" s="26"/>
      <c r="M2400" s="26"/>
    </row>
    <row r="2401">
      <c r="A2401" s="12"/>
      <c r="B2401" s="13"/>
      <c r="C2401" s="14"/>
      <c r="D2401" s="14"/>
      <c r="E2401" s="15"/>
      <c r="F2401" s="16"/>
      <c r="G2401" s="18"/>
      <c r="H2401" s="15"/>
      <c r="I2401" s="18"/>
      <c r="J2401" s="22"/>
      <c r="K2401" s="108"/>
      <c r="L2401" s="26"/>
      <c r="M2401" s="26"/>
    </row>
    <row r="2402">
      <c r="A2402" s="12"/>
      <c r="B2402" s="13"/>
      <c r="C2402" s="14"/>
      <c r="D2402" s="14"/>
      <c r="E2402" s="15"/>
      <c r="F2402" s="16"/>
      <c r="G2402" s="18"/>
      <c r="H2402" s="15"/>
      <c r="I2402" s="18"/>
      <c r="J2402" s="22"/>
      <c r="K2402" s="108"/>
      <c r="L2402" s="26"/>
      <c r="M2402" s="26"/>
    </row>
    <row r="2403">
      <c r="A2403" s="12"/>
      <c r="B2403" s="13"/>
      <c r="C2403" s="14"/>
      <c r="D2403" s="14"/>
      <c r="E2403" s="15"/>
      <c r="F2403" s="16"/>
      <c r="G2403" s="18"/>
      <c r="H2403" s="15"/>
      <c r="I2403" s="18"/>
      <c r="J2403" s="22"/>
      <c r="K2403" s="108"/>
      <c r="L2403" s="26"/>
      <c r="M2403" s="26"/>
    </row>
    <row r="2404">
      <c r="A2404" s="12"/>
      <c r="B2404" s="13"/>
      <c r="C2404" s="14"/>
      <c r="D2404" s="14"/>
      <c r="E2404" s="15"/>
      <c r="F2404" s="16"/>
      <c r="G2404" s="18"/>
      <c r="H2404" s="15"/>
      <c r="I2404" s="18"/>
      <c r="J2404" s="22"/>
      <c r="K2404" s="108"/>
      <c r="L2404" s="26"/>
      <c r="M2404" s="26"/>
    </row>
    <row r="2405">
      <c r="A2405" s="12"/>
      <c r="B2405" s="13"/>
      <c r="C2405" s="14"/>
      <c r="D2405" s="14"/>
      <c r="E2405" s="15"/>
      <c r="F2405" s="16"/>
      <c r="G2405" s="18"/>
      <c r="H2405" s="15"/>
      <c r="I2405" s="18"/>
      <c r="J2405" s="22"/>
      <c r="K2405" s="108"/>
      <c r="L2405" s="26"/>
      <c r="M2405" s="26"/>
    </row>
    <row r="2406">
      <c r="A2406" s="12"/>
      <c r="B2406" s="13"/>
      <c r="C2406" s="14"/>
      <c r="D2406" s="14"/>
      <c r="E2406" s="15"/>
      <c r="F2406" s="16"/>
      <c r="G2406" s="18"/>
      <c r="H2406" s="15"/>
      <c r="I2406" s="18"/>
      <c r="J2406" s="22"/>
      <c r="K2406" s="108"/>
      <c r="L2406" s="26"/>
      <c r="M2406" s="26"/>
    </row>
    <row r="2407">
      <c r="A2407" s="12"/>
      <c r="B2407" s="13"/>
      <c r="C2407" s="14"/>
      <c r="D2407" s="14"/>
      <c r="E2407" s="15"/>
      <c r="F2407" s="16"/>
      <c r="G2407" s="18"/>
      <c r="H2407" s="15"/>
      <c r="I2407" s="18"/>
      <c r="J2407" s="22"/>
      <c r="K2407" s="108"/>
      <c r="L2407" s="26"/>
      <c r="M2407" s="26"/>
    </row>
    <row r="2408">
      <c r="A2408" s="12"/>
      <c r="B2408" s="13"/>
      <c r="C2408" s="14"/>
      <c r="D2408" s="14"/>
      <c r="E2408" s="15"/>
      <c r="F2408" s="16"/>
      <c r="G2408" s="18"/>
      <c r="H2408" s="15"/>
      <c r="I2408" s="18"/>
      <c r="J2408" s="22"/>
      <c r="K2408" s="108"/>
      <c r="L2408" s="26"/>
      <c r="M2408" s="26"/>
    </row>
    <row r="2409">
      <c r="A2409" s="12"/>
      <c r="B2409" s="13"/>
      <c r="C2409" s="14"/>
      <c r="D2409" s="14"/>
      <c r="E2409" s="15"/>
      <c r="F2409" s="16"/>
      <c r="G2409" s="18"/>
      <c r="H2409" s="15"/>
      <c r="I2409" s="18"/>
      <c r="J2409" s="22"/>
      <c r="K2409" s="108"/>
      <c r="L2409" s="26"/>
      <c r="M2409" s="26"/>
    </row>
    <row r="2410">
      <c r="A2410" s="12"/>
      <c r="B2410" s="13"/>
      <c r="C2410" s="14"/>
      <c r="D2410" s="14"/>
      <c r="E2410" s="15"/>
      <c r="F2410" s="16"/>
      <c r="G2410" s="18"/>
      <c r="H2410" s="15"/>
      <c r="I2410" s="18"/>
      <c r="J2410" s="22"/>
      <c r="K2410" s="108"/>
      <c r="L2410" s="26"/>
      <c r="M2410" s="26"/>
    </row>
    <row r="2411">
      <c r="A2411" s="12"/>
      <c r="B2411" s="13"/>
      <c r="C2411" s="14"/>
      <c r="D2411" s="14"/>
      <c r="E2411" s="15"/>
      <c r="F2411" s="16"/>
      <c r="G2411" s="18"/>
      <c r="H2411" s="15"/>
      <c r="I2411" s="18"/>
      <c r="J2411" s="22"/>
      <c r="K2411" s="108"/>
      <c r="L2411" s="26"/>
      <c r="M2411" s="26"/>
    </row>
    <row r="2412">
      <c r="A2412" s="12"/>
      <c r="B2412" s="13"/>
      <c r="C2412" s="14"/>
      <c r="D2412" s="14"/>
      <c r="E2412" s="15"/>
      <c r="F2412" s="16"/>
      <c r="G2412" s="18"/>
      <c r="H2412" s="15"/>
      <c r="I2412" s="18"/>
      <c r="J2412" s="22"/>
      <c r="K2412" s="108"/>
      <c r="L2412" s="26"/>
      <c r="M2412" s="26"/>
    </row>
    <row r="2413">
      <c r="A2413" s="12"/>
      <c r="B2413" s="13"/>
      <c r="C2413" s="14"/>
      <c r="D2413" s="14"/>
      <c r="E2413" s="15"/>
      <c r="F2413" s="16"/>
      <c r="G2413" s="18"/>
      <c r="H2413" s="15"/>
      <c r="I2413" s="18"/>
      <c r="J2413" s="22"/>
      <c r="K2413" s="108"/>
      <c r="L2413" s="26"/>
      <c r="M2413" s="26"/>
    </row>
    <row r="2414">
      <c r="A2414" s="12"/>
      <c r="B2414" s="13"/>
      <c r="C2414" s="14"/>
      <c r="D2414" s="14"/>
      <c r="E2414" s="15"/>
      <c r="F2414" s="16"/>
      <c r="G2414" s="18"/>
      <c r="H2414" s="15"/>
      <c r="I2414" s="18"/>
      <c r="J2414" s="22"/>
      <c r="K2414" s="108"/>
      <c r="L2414" s="26"/>
      <c r="M2414" s="26"/>
    </row>
    <row r="2415">
      <c r="A2415" s="12"/>
      <c r="B2415" s="13"/>
      <c r="C2415" s="14"/>
      <c r="D2415" s="14"/>
      <c r="E2415" s="15"/>
      <c r="F2415" s="16"/>
      <c r="G2415" s="18"/>
      <c r="H2415" s="15"/>
      <c r="I2415" s="18"/>
      <c r="J2415" s="22"/>
      <c r="K2415" s="108"/>
      <c r="L2415" s="26"/>
      <c r="M2415" s="26"/>
    </row>
    <row r="2416">
      <c r="A2416" s="12"/>
      <c r="B2416" s="13"/>
      <c r="C2416" s="14"/>
      <c r="D2416" s="14"/>
      <c r="E2416" s="15"/>
      <c r="F2416" s="16"/>
      <c r="G2416" s="18"/>
      <c r="H2416" s="15"/>
      <c r="I2416" s="18"/>
      <c r="J2416" s="22"/>
      <c r="K2416" s="108"/>
      <c r="L2416" s="26"/>
      <c r="M2416" s="26"/>
    </row>
    <row r="2417">
      <c r="A2417" s="12"/>
      <c r="B2417" s="13"/>
      <c r="C2417" s="14"/>
      <c r="D2417" s="14"/>
      <c r="E2417" s="15"/>
      <c r="F2417" s="16"/>
      <c r="G2417" s="18"/>
      <c r="H2417" s="15"/>
      <c r="I2417" s="18"/>
      <c r="J2417" s="22"/>
      <c r="K2417" s="108"/>
      <c r="L2417" s="26"/>
      <c r="M2417" s="26"/>
    </row>
    <row r="2418">
      <c r="A2418" s="12"/>
      <c r="B2418" s="13"/>
      <c r="C2418" s="14"/>
      <c r="D2418" s="14"/>
      <c r="E2418" s="15"/>
      <c r="F2418" s="16"/>
      <c r="G2418" s="18"/>
      <c r="H2418" s="15"/>
      <c r="I2418" s="18"/>
      <c r="J2418" s="22"/>
      <c r="K2418" s="108"/>
      <c r="L2418" s="26"/>
      <c r="M2418" s="26"/>
    </row>
    <row r="2419">
      <c r="A2419" s="12"/>
      <c r="B2419" s="13"/>
      <c r="C2419" s="14"/>
      <c r="D2419" s="14"/>
      <c r="E2419" s="15"/>
      <c r="F2419" s="16"/>
      <c r="G2419" s="18"/>
      <c r="H2419" s="15"/>
      <c r="I2419" s="18"/>
      <c r="J2419" s="22"/>
      <c r="K2419" s="108"/>
      <c r="L2419" s="26"/>
      <c r="M2419" s="26"/>
    </row>
    <row r="2420">
      <c r="A2420" s="12"/>
      <c r="B2420" s="13"/>
      <c r="C2420" s="14"/>
      <c r="D2420" s="14"/>
      <c r="E2420" s="15"/>
      <c r="F2420" s="16"/>
      <c r="G2420" s="18"/>
      <c r="H2420" s="15"/>
      <c r="I2420" s="18"/>
      <c r="J2420" s="22"/>
      <c r="K2420" s="108"/>
      <c r="L2420" s="26"/>
      <c r="M2420" s="26"/>
    </row>
    <row r="2421">
      <c r="A2421" s="12"/>
      <c r="B2421" s="13"/>
      <c r="C2421" s="14"/>
      <c r="D2421" s="14"/>
      <c r="E2421" s="15"/>
      <c r="F2421" s="16"/>
      <c r="G2421" s="18"/>
      <c r="H2421" s="15"/>
      <c r="I2421" s="18"/>
      <c r="J2421" s="22"/>
      <c r="K2421" s="108"/>
      <c r="L2421" s="26"/>
      <c r="M2421" s="26"/>
    </row>
    <row r="2422">
      <c r="A2422" s="12"/>
      <c r="B2422" s="13"/>
      <c r="C2422" s="14"/>
      <c r="D2422" s="14"/>
      <c r="E2422" s="15"/>
      <c r="F2422" s="16"/>
      <c r="G2422" s="18"/>
      <c r="H2422" s="15"/>
      <c r="I2422" s="18"/>
      <c r="J2422" s="22"/>
      <c r="K2422" s="108"/>
      <c r="L2422" s="26"/>
      <c r="M2422" s="26"/>
    </row>
    <row r="2423">
      <c r="A2423" s="12"/>
      <c r="B2423" s="13"/>
      <c r="C2423" s="14"/>
      <c r="D2423" s="14"/>
      <c r="E2423" s="15"/>
      <c r="F2423" s="16"/>
      <c r="G2423" s="18"/>
      <c r="H2423" s="15"/>
      <c r="I2423" s="18"/>
      <c r="J2423" s="22"/>
      <c r="K2423" s="108"/>
      <c r="L2423" s="26"/>
      <c r="M2423" s="26"/>
    </row>
    <row r="2424">
      <c r="A2424" s="12"/>
      <c r="B2424" s="13"/>
      <c r="C2424" s="14"/>
      <c r="D2424" s="14"/>
      <c r="E2424" s="15"/>
      <c r="F2424" s="16"/>
      <c r="G2424" s="18"/>
      <c r="H2424" s="15"/>
      <c r="I2424" s="18"/>
      <c r="J2424" s="22"/>
      <c r="K2424" s="108"/>
      <c r="L2424" s="26"/>
      <c r="M2424" s="26"/>
    </row>
    <row r="2425">
      <c r="A2425" s="12"/>
      <c r="B2425" s="13"/>
      <c r="C2425" s="14"/>
      <c r="D2425" s="14"/>
      <c r="E2425" s="15"/>
      <c r="F2425" s="16"/>
      <c r="G2425" s="18"/>
      <c r="H2425" s="15"/>
      <c r="I2425" s="18"/>
      <c r="J2425" s="22"/>
      <c r="K2425" s="108"/>
      <c r="L2425" s="26"/>
      <c r="M2425" s="26"/>
    </row>
    <row r="2426">
      <c r="A2426" s="12"/>
      <c r="B2426" s="13"/>
      <c r="C2426" s="14"/>
      <c r="D2426" s="14"/>
      <c r="E2426" s="15"/>
      <c r="F2426" s="16"/>
      <c r="G2426" s="18"/>
      <c r="H2426" s="15"/>
      <c r="I2426" s="18"/>
      <c r="J2426" s="22"/>
      <c r="K2426" s="108"/>
      <c r="L2426" s="26"/>
      <c r="M2426" s="26"/>
    </row>
    <row r="2427">
      <c r="A2427" s="12"/>
      <c r="B2427" s="13"/>
      <c r="C2427" s="14"/>
      <c r="D2427" s="14"/>
      <c r="E2427" s="15"/>
      <c r="F2427" s="16"/>
      <c r="G2427" s="18"/>
      <c r="H2427" s="15"/>
      <c r="I2427" s="18"/>
      <c r="J2427" s="22"/>
      <c r="K2427" s="108"/>
      <c r="L2427" s="26"/>
      <c r="M2427" s="26"/>
    </row>
    <row r="2428">
      <c r="A2428" s="12"/>
      <c r="B2428" s="13"/>
      <c r="C2428" s="14"/>
      <c r="D2428" s="14"/>
      <c r="E2428" s="15"/>
      <c r="F2428" s="16"/>
      <c r="G2428" s="18"/>
      <c r="H2428" s="15"/>
      <c r="I2428" s="18"/>
      <c r="J2428" s="22"/>
      <c r="K2428" s="108"/>
      <c r="L2428" s="26"/>
      <c r="M2428" s="26"/>
    </row>
    <row r="2429">
      <c r="A2429" s="12"/>
      <c r="B2429" s="13"/>
      <c r="C2429" s="14"/>
      <c r="D2429" s="14"/>
      <c r="E2429" s="15"/>
      <c r="F2429" s="16"/>
      <c r="G2429" s="18"/>
      <c r="H2429" s="15"/>
      <c r="I2429" s="18"/>
      <c r="J2429" s="22"/>
      <c r="K2429" s="108"/>
      <c r="L2429" s="26"/>
      <c r="M2429" s="26"/>
    </row>
    <row r="2430">
      <c r="A2430" s="12"/>
      <c r="B2430" s="13"/>
      <c r="C2430" s="14"/>
      <c r="D2430" s="14"/>
      <c r="E2430" s="15"/>
      <c r="F2430" s="16"/>
      <c r="G2430" s="18"/>
      <c r="H2430" s="15"/>
      <c r="I2430" s="18"/>
      <c r="J2430" s="22"/>
      <c r="K2430" s="108"/>
      <c r="L2430" s="26"/>
      <c r="M2430" s="26"/>
    </row>
    <row r="2431">
      <c r="A2431" s="12"/>
      <c r="B2431" s="13"/>
      <c r="C2431" s="14"/>
      <c r="D2431" s="14"/>
      <c r="E2431" s="15"/>
      <c r="F2431" s="16"/>
      <c r="G2431" s="18"/>
      <c r="H2431" s="15"/>
      <c r="I2431" s="18"/>
      <c r="J2431" s="22"/>
      <c r="K2431" s="108"/>
      <c r="L2431" s="26"/>
      <c r="M2431" s="26"/>
    </row>
    <row r="2432">
      <c r="A2432" s="12"/>
      <c r="B2432" s="13"/>
      <c r="C2432" s="14"/>
      <c r="D2432" s="14"/>
      <c r="E2432" s="15"/>
      <c r="F2432" s="16"/>
      <c r="G2432" s="18"/>
      <c r="H2432" s="15"/>
      <c r="I2432" s="18"/>
      <c r="J2432" s="22"/>
      <c r="K2432" s="108"/>
      <c r="L2432" s="26"/>
      <c r="M2432" s="26"/>
    </row>
    <row r="2433">
      <c r="A2433" s="12"/>
      <c r="B2433" s="13"/>
      <c r="C2433" s="14"/>
      <c r="D2433" s="14"/>
      <c r="E2433" s="15"/>
      <c r="F2433" s="16"/>
      <c r="G2433" s="18"/>
      <c r="H2433" s="15"/>
      <c r="I2433" s="18"/>
      <c r="J2433" s="22"/>
      <c r="K2433" s="108"/>
      <c r="L2433" s="26"/>
      <c r="M2433" s="26"/>
    </row>
    <row r="2434">
      <c r="A2434" s="12"/>
      <c r="B2434" s="13"/>
      <c r="C2434" s="14"/>
      <c r="D2434" s="14"/>
      <c r="E2434" s="15"/>
      <c r="F2434" s="16"/>
      <c r="G2434" s="18"/>
      <c r="H2434" s="15"/>
      <c r="I2434" s="18"/>
      <c r="J2434" s="22"/>
      <c r="K2434" s="108"/>
      <c r="L2434" s="26"/>
      <c r="M2434" s="26"/>
    </row>
    <row r="2435">
      <c r="A2435" s="12"/>
      <c r="B2435" s="13"/>
      <c r="C2435" s="14"/>
      <c r="D2435" s="14"/>
      <c r="E2435" s="15"/>
      <c r="F2435" s="16"/>
      <c r="G2435" s="18"/>
      <c r="H2435" s="15"/>
      <c r="I2435" s="18"/>
      <c r="J2435" s="22"/>
      <c r="K2435" s="108"/>
      <c r="L2435" s="26"/>
      <c r="M2435" s="26"/>
    </row>
    <row r="2436">
      <c r="A2436" s="12"/>
      <c r="B2436" s="13"/>
      <c r="C2436" s="14"/>
      <c r="D2436" s="14"/>
      <c r="E2436" s="15"/>
      <c r="F2436" s="16"/>
      <c r="G2436" s="18"/>
      <c r="H2436" s="15"/>
      <c r="I2436" s="18"/>
      <c r="J2436" s="22"/>
      <c r="K2436" s="108"/>
      <c r="L2436" s="26"/>
      <c r="M2436" s="26"/>
    </row>
    <row r="2437">
      <c r="A2437" s="12"/>
      <c r="B2437" s="13"/>
      <c r="C2437" s="14"/>
      <c r="D2437" s="14"/>
      <c r="E2437" s="15"/>
      <c r="F2437" s="16"/>
      <c r="G2437" s="18"/>
      <c r="H2437" s="15"/>
      <c r="I2437" s="18"/>
      <c r="J2437" s="22"/>
      <c r="K2437" s="108"/>
      <c r="L2437" s="26"/>
      <c r="M2437" s="26"/>
    </row>
    <row r="2438">
      <c r="A2438" s="12"/>
      <c r="B2438" s="13"/>
      <c r="C2438" s="14"/>
      <c r="D2438" s="14"/>
      <c r="E2438" s="15"/>
      <c r="F2438" s="16"/>
      <c r="G2438" s="18"/>
      <c r="H2438" s="15"/>
      <c r="I2438" s="18"/>
      <c r="J2438" s="22"/>
      <c r="K2438" s="108"/>
      <c r="L2438" s="26"/>
      <c r="M2438" s="26"/>
    </row>
    <row r="2439">
      <c r="A2439" s="12"/>
      <c r="B2439" s="13"/>
      <c r="C2439" s="14"/>
      <c r="D2439" s="14"/>
      <c r="E2439" s="15"/>
      <c r="F2439" s="16"/>
      <c r="G2439" s="18"/>
      <c r="H2439" s="15"/>
      <c r="I2439" s="18"/>
      <c r="J2439" s="22"/>
      <c r="K2439" s="108"/>
      <c r="L2439" s="26"/>
      <c r="M2439" s="26"/>
    </row>
    <row r="2440">
      <c r="A2440" s="12"/>
      <c r="B2440" s="13"/>
      <c r="C2440" s="14"/>
      <c r="D2440" s="14"/>
      <c r="E2440" s="15"/>
      <c r="F2440" s="16"/>
      <c r="G2440" s="18"/>
      <c r="H2440" s="15"/>
      <c r="I2440" s="18"/>
      <c r="J2440" s="22"/>
      <c r="K2440" s="108"/>
      <c r="L2440" s="26"/>
      <c r="M2440" s="26"/>
    </row>
    <row r="2441">
      <c r="A2441" s="12"/>
      <c r="B2441" s="13"/>
      <c r="C2441" s="14"/>
      <c r="D2441" s="14"/>
      <c r="E2441" s="15"/>
      <c r="F2441" s="16"/>
      <c r="G2441" s="18"/>
      <c r="H2441" s="15"/>
      <c r="I2441" s="18"/>
      <c r="J2441" s="22"/>
      <c r="K2441" s="108"/>
      <c r="L2441" s="26"/>
      <c r="M2441" s="26"/>
    </row>
    <row r="2442">
      <c r="A2442" s="12"/>
      <c r="B2442" s="13"/>
      <c r="C2442" s="14"/>
      <c r="D2442" s="14"/>
      <c r="E2442" s="15"/>
      <c r="F2442" s="16"/>
      <c r="G2442" s="18"/>
      <c r="H2442" s="15"/>
      <c r="I2442" s="18"/>
      <c r="J2442" s="22"/>
      <c r="K2442" s="108"/>
      <c r="L2442" s="26"/>
      <c r="M2442" s="26"/>
    </row>
    <row r="2443">
      <c r="A2443" s="12"/>
      <c r="B2443" s="13"/>
      <c r="C2443" s="14"/>
      <c r="D2443" s="14"/>
      <c r="E2443" s="15"/>
      <c r="F2443" s="16"/>
      <c r="G2443" s="18"/>
      <c r="H2443" s="15"/>
      <c r="I2443" s="18"/>
      <c r="J2443" s="22"/>
      <c r="K2443" s="108"/>
      <c r="L2443" s="26"/>
      <c r="M2443" s="26"/>
    </row>
    <row r="2444">
      <c r="A2444" s="12"/>
      <c r="B2444" s="13"/>
      <c r="C2444" s="14"/>
      <c r="D2444" s="14"/>
      <c r="E2444" s="15"/>
      <c r="F2444" s="16"/>
      <c r="G2444" s="18"/>
      <c r="H2444" s="15"/>
      <c r="I2444" s="18"/>
      <c r="J2444" s="22"/>
      <c r="K2444" s="108"/>
      <c r="L2444" s="26"/>
      <c r="M2444" s="26"/>
    </row>
    <row r="2445">
      <c r="A2445" s="12"/>
      <c r="B2445" s="13"/>
      <c r="C2445" s="14"/>
      <c r="D2445" s="14"/>
      <c r="E2445" s="15"/>
      <c r="F2445" s="16"/>
      <c r="G2445" s="18"/>
      <c r="H2445" s="15"/>
      <c r="I2445" s="18"/>
      <c r="J2445" s="22"/>
      <c r="K2445" s="108"/>
      <c r="L2445" s="26"/>
      <c r="M2445" s="26"/>
    </row>
    <row r="2446">
      <c r="A2446" s="12"/>
      <c r="B2446" s="13"/>
      <c r="C2446" s="14"/>
      <c r="D2446" s="14"/>
      <c r="E2446" s="15"/>
      <c r="F2446" s="16"/>
      <c r="G2446" s="18"/>
      <c r="H2446" s="15"/>
      <c r="I2446" s="18"/>
      <c r="J2446" s="22"/>
      <c r="K2446" s="108"/>
      <c r="L2446" s="26"/>
      <c r="M2446" s="26"/>
    </row>
    <row r="2447">
      <c r="A2447" s="12"/>
      <c r="B2447" s="13"/>
      <c r="C2447" s="14"/>
      <c r="D2447" s="14"/>
      <c r="E2447" s="15"/>
      <c r="F2447" s="16"/>
      <c r="G2447" s="18"/>
      <c r="H2447" s="15"/>
      <c r="I2447" s="18"/>
      <c r="J2447" s="22"/>
      <c r="K2447" s="108"/>
      <c r="L2447" s="26"/>
      <c r="M2447" s="26"/>
    </row>
    <row r="2448">
      <c r="A2448" s="12"/>
      <c r="B2448" s="13"/>
      <c r="C2448" s="14"/>
      <c r="D2448" s="14"/>
      <c r="E2448" s="15"/>
      <c r="F2448" s="16"/>
      <c r="G2448" s="18"/>
      <c r="H2448" s="15"/>
      <c r="I2448" s="18"/>
      <c r="J2448" s="22"/>
      <c r="K2448" s="108"/>
      <c r="L2448" s="26"/>
      <c r="M2448" s="26"/>
    </row>
    <row r="2449">
      <c r="A2449" s="12"/>
      <c r="B2449" s="13"/>
      <c r="C2449" s="14"/>
      <c r="D2449" s="14"/>
      <c r="E2449" s="15"/>
      <c r="F2449" s="16"/>
      <c r="G2449" s="18"/>
      <c r="H2449" s="15"/>
      <c r="I2449" s="18"/>
      <c r="J2449" s="22"/>
      <c r="K2449" s="108"/>
      <c r="L2449" s="26"/>
      <c r="M2449" s="26"/>
    </row>
    <row r="2450">
      <c r="A2450" s="12"/>
      <c r="B2450" s="13"/>
      <c r="C2450" s="14"/>
      <c r="D2450" s="14"/>
      <c r="E2450" s="15"/>
      <c r="F2450" s="16"/>
      <c r="G2450" s="18"/>
      <c r="H2450" s="15"/>
      <c r="I2450" s="18"/>
      <c r="J2450" s="22"/>
      <c r="K2450" s="108"/>
      <c r="L2450" s="26"/>
      <c r="M2450" s="26"/>
    </row>
    <row r="2451">
      <c r="A2451" s="12"/>
      <c r="B2451" s="13"/>
      <c r="C2451" s="14"/>
      <c r="D2451" s="14"/>
      <c r="E2451" s="15"/>
      <c r="F2451" s="16"/>
      <c r="G2451" s="18"/>
      <c r="H2451" s="15"/>
      <c r="I2451" s="18"/>
      <c r="J2451" s="22"/>
      <c r="K2451" s="108"/>
      <c r="L2451" s="26"/>
      <c r="M2451" s="26"/>
    </row>
    <row r="2452">
      <c r="A2452" s="12"/>
      <c r="B2452" s="13"/>
      <c r="C2452" s="14"/>
      <c r="D2452" s="14"/>
      <c r="E2452" s="15"/>
      <c r="F2452" s="16"/>
      <c r="G2452" s="18"/>
      <c r="H2452" s="15"/>
      <c r="I2452" s="18"/>
      <c r="J2452" s="22"/>
      <c r="K2452" s="108"/>
      <c r="L2452" s="26"/>
      <c r="M2452" s="26"/>
    </row>
    <row r="2453">
      <c r="A2453" s="12"/>
      <c r="B2453" s="13"/>
      <c r="C2453" s="14"/>
      <c r="D2453" s="14"/>
      <c r="E2453" s="15"/>
      <c r="F2453" s="16"/>
      <c r="G2453" s="18"/>
      <c r="H2453" s="15"/>
      <c r="I2453" s="18"/>
      <c r="J2453" s="22"/>
      <c r="K2453" s="108"/>
      <c r="L2453" s="26"/>
      <c r="M2453" s="26"/>
    </row>
    <row r="2454">
      <c r="A2454" s="12"/>
      <c r="B2454" s="13"/>
      <c r="C2454" s="14"/>
      <c r="D2454" s="14"/>
      <c r="E2454" s="15"/>
      <c r="F2454" s="16"/>
      <c r="G2454" s="18"/>
      <c r="H2454" s="15"/>
      <c r="I2454" s="18"/>
      <c r="J2454" s="22"/>
      <c r="K2454" s="108"/>
      <c r="L2454" s="26"/>
      <c r="M2454" s="26"/>
    </row>
    <row r="2455">
      <c r="A2455" s="12"/>
      <c r="B2455" s="13"/>
      <c r="C2455" s="14"/>
      <c r="D2455" s="14"/>
      <c r="E2455" s="15"/>
      <c r="F2455" s="16"/>
      <c r="G2455" s="18"/>
      <c r="H2455" s="15"/>
      <c r="I2455" s="18"/>
      <c r="J2455" s="22"/>
      <c r="K2455" s="108"/>
      <c r="L2455" s="26"/>
      <c r="M2455" s="26"/>
    </row>
    <row r="2456">
      <c r="A2456" s="12"/>
      <c r="B2456" s="13"/>
      <c r="C2456" s="14"/>
      <c r="D2456" s="14"/>
      <c r="E2456" s="15"/>
      <c r="F2456" s="16"/>
      <c r="G2456" s="18"/>
      <c r="H2456" s="15"/>
      <c r="I2456" s="18"/>
      <c r="J2456" s="22"/>
      <c r="K2456" s="108"/>
      <c r="L2456" s="26"/>
      <c r="M2456" s="26"/>
    </row>
    <row r="2457">
      <c r="A2457" s="12"/>
      <c r="B2457" s="13"/>
      <c r="C2457" s="14"/>
      <c r="D2457" s="14"/>
      <c r="E2457" s="15"/>
      <c r="F2457" s="16"/>
      <c r="G2457" s="18"/>
      <c r="H2457" s="15"/>
      <c r="I2457" s="18"/>
      <c r="J2457" s="22"/>
      <c r="K2457" s="108"/>
      <c r="L2457" s="26"/>
      <c r="M2457" s="26"/>
    </row>
    <row r="2458">
      <c r="A2458" s="12"/>
      <c r="B2458" s="13"/>
      <c r="C2458" s="14"/>
      <c r="D2458" s="14"/>
      <c r="E2458" s="15"/>
      <c r="F2458" s="16"/>
      <c r="G2458" s="18"/>
      <c r="H2458" s="15"/>
      <c r="I2458" s="18"/>
      <c r="J2458" s="22"/>
      <c r="K2458" s="108"/>
      <c r="L2458" s="26"/>
      <c r="M2458" s="26"/>
    </row>
    <row r="2459">
      <c r="A2459" s="12"/>
      <c r="B2459" s="13"/>
      <c r="C2459" s="14"/>
      <c r="D2459" s="14"/>
      <c r="E2459" s="15"/>
      <c r="F2459" s="16"/>
      <c r="G2459" s="18"/>
      <c r="H2459" s="15"/>
      <c r="I2459" s="18"/>
      <c r="J2459" s="22"/>
      <c r="K2459" s="108"/>
      <c r="L2459" s="26"/>
      <c r="M2459" s="26"/>
    </row>
    <row r="2460">
      <c r="A2460" s="12"/>
      <c r="B2460" s="13"/>
      <c r="C2460" s="14"/>
      <c r="D2460" s="14"/>
      <c r="E2460" s="15"/>
      <c r="F2460" s="16"/>
      <c r="G2460" s="18"/>
      <c r="H2460" s="15"/>
      <c r="I2460" s="18"/>
      <c r="J2460" s="22"/>
      <c r="K2460" s="108"/>
      <c r="L2460" s="26"/>
      <c r="M2460" s="26"/>
    </row>
    <row r="2461">
      <c r="A2461" s="12"/>
      <c r="B2461" s="13"/>
      <c r="C2461" s="14"/>
      <c r="D2461" s="14"/>
      <c r="E2461" s="15"/>
      <c r="F2461" s="16"/>
      <c r="G2461" s="18"/>
      <c r="H2461" s="15"/>
      <c r="I2461" s="18"/>
      <c r="J2461" s="22"/>
      <c r="K2461" s="108"/>
      <c r="L2461" s="26"/>
      <c r="M2461" s="26"/>
    </row>
    <row r="2462">
      <c r="A2462" s="12"/>
      <c r="B2462" s="13"/>
      <c r="C2462" s="14"/>
      <c r="D2462" s="14"/>
      <c r="E2462" s="15"/>
      <c r="F2462" s="16"/>
      <c r="G2462" s="18"/>
      <c r="H2462" s="15"/>
      <c r="I2462" s="18"/>
      <c r="J2462" s="22"/>
      <c r="K2462" s="108"/>
      <c r="L2462" s="26"/>
      <c r="M2462" s="26"/>
    </row>
    <row r="2463">
      <c r="A2463" s="12"/>
      <c r="B2463" s="13"/>
      <c r="C2463" s="14"/>
      <c r="D2463" s="14"/>
      <c r="E2463" s="15"/>
      <c r="F2463" s="16"/>
      <c r="G2463" s="18"/>
      <c r="H2463" s="15"/>
      <c r="I2463" s="18"/>
      <c r="J2463" s="22"/>
      <c r="K2463" s="108"/>
      <c r="L2463" s="26"/>
      <c r="M2463" s="26"/>
    </row>
    <row r="2464">
      <c r="A2464" s="12"/>
      <c r="B2464" s="13"/>
      <c r="C2464" s="14"/>
      <c r="D2464" s="14"/>
      <c r="E2464" s="15"/>
      <c r="F2464" s="16"/>
      <c r="G2464" s="18"/>
      <c r="H2464" s="15"/>
      <c r="I2464" s="18"/>
      <c r="J2464" s="22"/>
      <c r="K2464" s="108"/>
      <c r="L2464" s="26"/>
      <c r="M2464" s="26"/>
    </row>
    <row r="2465">
      <c r="A2465" s="12"/>
      <c r="B2465" s="13"/>
      <c r="C2465" s="14"/>
      <c r="D2465" s="14"/>
      <c r="E2465" s="15"/>
      <c r="F2465" s="16"/>
      <c r="G2465" s="18"/>
      <c r="H2465" s="15"/>
      <c r="I2465" s="18"/>
      <c r="J2465" s="22"/>
      <c r="K2465" s="108"/>
      <c r="L2465" s="26"/>
      <c r="M2465" s="26"/>
    </row>
    <row r="2466">
      <c r="A2466" s="12"/>
      <c r="B2466" s="13"/>
      <c r="C2466" s="14"/>
      <c r="D2466" s="14"/>
      <c r="E2466" s="15"/>
      <c r="F2466" s="16"/>
      <c r="G2466" s="18"/>
      <c r="H2466" s="15"/>
      <c r="I2466" s="18"/>
      <c r="J2466" s="22"/>
      <c r="K2466" s="108"/>
      <c r="L2466" s="26"/>
      <c r="M2466" s="26"/>
    </row>
    <row r="2467">
      <c r="A2467" s="12"/>
      <c r="B2467" s="13"/>
      <c r="C2467" s="14"/>
      <c r="D2467" s="14"/>
      <c r="E2467" s="15"/>
      <c r="F2467" s="16"/>
      <c r="G2467" s="18"/>
      <c r="H2467" s="15"/>
      <c r="I2467" s="18"/>
      <c r="J2467" s="22"/>
      <c r="K2467" s="108"/>
      <c r="L2467" s="26"/>
      <c r="M2467" s="26"/>
    </row>
    <row r="2468">
      <c r="A2468" s="12"/>
      <c r="B2468" s="13"/>
      <c r="C2468" s="14"/>
      <c r="D2468" s="14"/>
      <c r="E2468" s="15"/>
      <c r="F2468" s="16"/>
      <c r="G2468" s="18"/>
      <c r="H2468" s="15"/>
      <c r="I2468" s="18"/>
      <c r="J2468" s="22"/>
      <c r="K2468" s="108"/>
      <c r="L2468" s="26"/>
      <c r="M2468" s="26"/>
    </row>
    <row r="2469">
      <c r="A2469" s="12"/>
      <c r="B2469" s="13"/>
      <c r="C2469" s="14"/>
      <c r="D2469" s="14"/>
      <c r="E2469" s="15"/>
      <c r="F2469" s="16"/>
      <c r="G2469" s="18"/>
      <c r="H2469" s="15"/>
      <c r="I2469" s="18"/>
      <c r="J2469" s="22"/>
      <c r="K2469" s="108"/>
      <c r="L2469" s="26"/>
      <c r="M2469" s="26"/>
    </row>
    <row r="2470">
      <c r="A2470" s="12"/>
      <c r="B2470" s="13"/>
      <c r="C2470" s="14"/>
      <c r="D2470" s="14"/>
      <c r="E2470" s="15"/>
      <c r="F2470" s="16"/>
      <c r="G2470" s="18"/>
      <c r="H2470" s="15"/>
      <c r="I2470" s="18"/>
      <c r="J2470" s="22"/>
      <c r="K2470" s="108"/>
      <c r="L2470" s="26"/>
      <c r="M2470" s="26"/>
    </row>
    <row r="2471">
      <c r="A2471" s="12"/>
      <c r="B2471" s="13"/>
      <c r="C2471" s="14"/>
      <c r="D2471" s="14"/>
      <c r="E2471" s="15"/>
      <c r="F2471" s="16"/>
      <c r="G2471" s="18"/>
      <c r="H2471" s="15"/>
      <c r="I2471" s="18"/>
      <c r="J2471" s="22"/>
      <c r="K2471" s="108"/>
      <c r="L2471" s="26"/>
      <c r="M2471" s="26"/>
    </row>
    <row r="2472">
      <c r="A2472" s="12"/>
      <c r="B2472" s="13"/>
      <c r="C2472" s="14"/>
      <c r="D2472" s="14"/>
      <c r="E2472" s="15"/>
      <c r="F2472" s="16"/>
      <c r="G2472" s="18"/>
      <c r="H2472" s="15"/>
      <c r="I2472" s="18"/>
      <c r="J2472" s="22"/>
      <c r="K2472" s="108"/>
      <c r="L2472" s="26"/>
      <c r="M2472" s="26"/>
    </row>
    <row r="2473">
      <c r="A2473" s="12"/>
      <c r="B2473" s="13"/>
      <c r="C2473" s="14"/>
      <c r="D2473" s="14"/>
      <c r="E2473" s="15"/>
      <c r="F2473" s="16"/>
      <c r="G2473" s="18"/>
      <c r="H2473" s="15"/>
      <c r="I2473" s="18"/>
      <c r="J2473" s="22"/>
      <c r="K2473" s="108"/>
      <c r="L2473" s="26"/>
      <c r="M2473" s="26"/>
    </row>
    <row r="2474">
      <c r="A2474" s="12"/>
      <c r="B2474" s="13"/>
      <c r="C2474" s="14"/>
      <c r="D2474" s="14"/>
      <c r="E2474" s="15"/>
      <c r="F2474" s="16"/>
      <c r="G2474" s="18"/>
      <c r="H2474" s="15"/>
      <c r="I2474" s="18"/>
      <c r="J2474" s="22"/>
      <c r="K2474" s="108"/>
      <c r="L2474" s="26"/>
      <c r="M2474" s="26"/>
    </row>
    <row r="2475">
      <c r="A2475" s="12"/>
      <c r="B2475" s="13"/>
      <c r="C2475" s="14"/>
      <c r="D2475" s="14"/>
      <c r="E2475" s="15"/>
      <c r="F2475" s="16"/>
      <c r="G2475" s="18"/>
      <c r="H2475" s="15"/>
      <c r="I2475" s="18"/>
      <c r="J2475" s="22"/>
      <c r="K2475" s="108"/>
      <c r="L2475" s="26"/>
      <c r="M2475" s="26"/>
    </row>
    <row r="2476">
      <c r="A2476" s="12"/>
      <c r="B2476" s="13"/>
      <c r="C2476" s="14"/>
      <c r="D2476" s="14"/>
      <c r="E2476" s="15"/>
      <c r="F2476" s="16"/>
      <c r="G2476" s="18"/>
      <c r="H2476" s="15"/>
      <c r="I2476" s="18"/>
      <c r="J2476" s="22"/>
      <c r="K2476" s="108"/>
      <c r="L2476" s="26"/>
      <c r="M2476" s="26"/>
    </row>
    <row r="2477">
      <c r="A2477" s="12"/>
      <c r="B2477" s="13"/>
      <c r="C2477" s="14"/>
      <c r="D2477" s="14"/>
      <c r="E2477" s="15"/>
      <c r="F2477" s="16"/>
      <c r="G2477" s="18"/>
      <c r="H2477" s="15"/>
      <c r="I2477" s="18"/>
      <c r="J2477" s="22"/>
      <c r="K2477" s="108"/>
      <c r="L2477" s="26"/>
      <c r="M2477" s="26"/>
    </row>
    <row r="2478">
      <c r="A2478" s="12"/>
      <c r="B2478" s="13"/>
      <c r="C2478" s="14"/>
      <c r="D2478" s="14"/>
      <c r="E2478" s="15"/>
      <c r="F2478" s="16"/>
      <c r="G2478" s="18"/>
      <c r="H2478" s="15"/>
      <c r="I2478" s="18"/>
      <c r="J2478" s="22"/>
      <c r="K2478" s="108"/>
      <c r="L2478" s="26"/>
      <c r="M2478" s="26"/>
    </row>
    <row r="2479">
      <c r="A2479" s="12"/>
      <c r="B2479" s="13"/>
      <c r="C2479" s="14"/>
      <c r="D2479" s="14"/>
      <c r="E2479" s="15"/>
      <c r="F2479" s="16"/>
      <c r="G2479" s="18"/>
      <c r="H2479" s="15"/>
      <c r="I2479" s="18"/>
      <c r="J2479" s="22"/>
      <c r="K2479" s="108"/>
      <c r="L2479" s="26"/>
      <c r="M2479" s="26"/>
    </row>
    <row r="2480">
      <c r="A2480" s="12"/>
      <c r="B2480" s="13"/>
      <c r="C2480" s="14"/>
      <c r="D2480" s="14"/>
      <c r="E2480" s="15"/>
      <c r="F2480" s="16"/>
      <c r="G2480" s="18"/>
      <c r="H2480" s="15"/>
      <c r="I2480" s="18"/>
      <c r="J2480" s="22"/>
      <c r="K2480" s="108"/>
      <c r="L2480" s="26"/>
      <c r="M2480" s="26"/>
    </row>
    <row r="2481">
      <c r="A2481" s="12"/>
      <c r="B2481" s="13"/>
      <c r="C2481" s="14"/>
      <c r="D2481" s="14"/>
      <c r="E2481" s="15"/>
      <c r="F2481" s="16"/>
      <c r="G2481" s="18"/>
      <c r="H2481" s="15"/>
      <c r="I2481" s="18"/>
      <c r="J2481" s="22"/>
      <c r="K2481" s="108"/>
      <c r="L2481" s="26"/>
      <c r="M2481" s="26"/>
    </row>
    <row r="2482">
      <c r="A2482" s="12"/>
      <c r="B2482" s="13"/>
      <c r="C2482" s="14"/>
      <c r="D2482" s="14"/>
      <c r="E2482" s="15"/>
      <c r="F2482" s="16"/>
      <c r="G2482" s="18"/>
      <c r="H2482" s="15"/>
      <c r="I2482" s="18"/>
      <c r="J2482" s="22"/>
      <c r="K2482" s="108"/>
      <c r="L2482" s="26"/>
      <c r="M2482" s="26"/>
    </row>
    <row r="2483">
      <c r="A2483" s="12"/>
      <c r="B2483" s="13"/>
      <c r="C2483" s="14"/>
      <c r="D2483" s="14"/>
      <c r="E2483" s="15"/>
      <c r="F2483" s="16"/>
      <c r="G2483" s="18"/>
      <c r="H2483" s="15"/>
      <c r="I2483" s="18"/>
      <c r="J2483" s="22"/>
      <c r="K2483" s="108"/>
      <c r="L2483" s="26"/>
      <c r="M2483" s="26"/>
    </row>
    <row r="2484">
      <c r="A2484" s="12"/>
      <c r="B2484" s="13"/>
      <c r="C2484" s="14"/>
      <c r="D2484" s="14"/>
      <c r="E2484" s="15"/>
      <c r="F2484" s="16"/>
      <c r="G2484" s="18"/>
      <c r="H2484" s="15"/>
      <c r="I2484" s="18"/>
      <c r="J2484" s="22"/>
      <c r="K2484" s="108"/>
      <c r="L2484" s="26"/>
      <c r="M2484" s="26"/>
    </row>
    <row r="2485">
      <c r="A2485" s="12"/>
      <c r="B2485" s="13"/>
      <c r="C2485" s="14"/>
      <c r="D2485" s="14"/>
      <c r="E2485" s="15"/>
      <c r="F2485" s="16"/>
      <c r="G2485" s="18"/>
      <c r="H2485" s="15"/>
      <c r="I2485" s="18"/>
      <c r="J2485" s="22"/>
      <c r="K2485" s="108"/>
      <c r="L2485" s="26"/>
      <c r="M2485" s="26"/>
    </row>
    <row r="2486">
      <c r="A2486" s="12"/>
      <c r="B2486" s="13"/>
      <c r="C2486" s="14"/>
      <c r="D2486" s="14"/>
      <c r="E2486" s="15"/>
      <c r="F2486" s="16"/>
      <c r="G2486" s="18"/>
      <c r="H2486" s="15"/>
      <c r="I2486" s="18"/>
      <c r="J2486" s="22"/>
      <c r="K2486" s="108"/>
      <c r="L2486" s="26"/>
      <c r="M2486" s="26"/>
    </row>
    <row r="2487">
      <c r="A2487" s="12"/>
      <c r="B2487" s="13"/>
      <c r="C2487" s="14"/>
      <c r="D2487" s="14"/>
      <c r="E2487" s="15"/>
      <c r="F2487" s="16"/>
      <c r="G2487" s="18"/>
      <c r="H2487" s="15"/>
      <c r="I2487" s="18"/>
      <c r="J2487" s="22"/>
      <c r="K2487" s="108"/>
      <c r="L2487" s="26"/>
      <c r="M2487" s="26"/>
    </row>
    <row r="2488">
      <c r="A2488" s="12"/>
      <c r="B2488" s="13"/>
      <c r="C2488" s="14"/>
      <c r="D2488" s="14"/>
      <c r="E2488" s="15"/>
      <c r="F2488" s="16"/>
      <c r="G2488" s="18"/>
      <c r="H2488" s="15"/>
      <c r="I2488" s="18"/>
      <c r="J2488" s="22"/>
      <c r="K2488" s="108"/>
      <c r="L2488" s="26"/>
      <c r="M2488" s="26"/>
    </row>
    <row r="2489">
      <c r="A2489" s="12"/>
      <c r="B2489" s="13"/>
      <c r="C2489" s="14"/>
      <c r="D2489" s="14"/>
      <c r="E2489" s="15"/>
      <c r="F2489" s="16"/>
      <c r="G2489" s="18"/>
      <c r="H2489" s="15"/>
      <c r="I2489" s="18"/>
      <c r="J2489" s="22"/>
      <c r="K2489" s="108"/>
      <c r="L2489" s="26"/>
      <c r="M2489" s="26"/>
    </row>
    <row r="2490">
      <c r="A2490" s="12"/>
      <c r="B2490" s="13"/>
      <c r="C2490" s="14"/>
      <c r="D2490" s="14"/>
      <c r="E2490" s="15"/>
      <c r="F2490" s="16"/>
      <c r="G2490" s="18"/>
      <c r="H2490" s="15"/>
      <c r="I2490" s="18"/>
      <c r="J2490" s="22"/>
      <c r="K2490" s="108"/>
      <c r="L2490" s="26"/>
      <c r="M2490" s="26"/>
    </row>
    <row r="2491">
      <c r="A2491" s="12"/>
      <c r="B2491" s="13"/>
      <c r="C2491" s="14"/>
      <c r="D2491" s="14"/>
      <c r="E2491" s="15"/>
      <c r="F2491" s="16"/>
      <c r="G2491" s="18"/>
      <c r="H2491" s="15"/>
      <c r="I2491" s="18"/>
      <c r="J2491" s="22"/>
      <c r="K2491" s="108"/>
      <c r="L2491" s="26"/>
      <c r="M2491" s="26"/>
    </row>
    <row r="2492">
      <c r="A2492" s="12"/>
      <c r="B2492" s="13"/>
      <c r="C2492" s="14"/>
      <c r="D2492" s="14"/>
      <c r="E2492" s="15"/>
      <c r="F2492" s="16"/>
      <c r="G2492" s="18"/>
      <c r="H2492" s="15"/>
      <c r="I2492" s="18"/>
      <c r="J2492" s="22"/>
      <c r="K2492" s="108"/>
      <c r="L2492" s="26"/>
      <c r="M2492" s="26"/>
    </row>
    <row r="2493">
      <c r="A2493" s="12"/>
      <c r="B2493" s="13"/>
      <c r="C2493" s="14"/>
      <c r="D2493" s="14"/>
      <c r="E2493" s="15"/>
      <c r="F2493" s="16"/>
      <c r="G2493" s="18"/>
      <c r="H2493" s="15"/>
      <c r="I2493" s="18"/>
      <c r="J2493" s="22"/>
      <c r="K2493" s="108"/>
      <c r="L2493" s="26"/>
      <c r="M2493" s="26"/>
    </row>
    <row r="2494">
      <c r="A2494" s="12"/>
      <c r="B2494" s="13"/>
      <c r="C2494" s="14"/>
      <c r="D2494" s="14"/>
      <c r="E2494" s="15"/>
      <c r="F2494" s="16"/>
      <c r="G2494" s="18"/>
      <c r="H2494" s="15"/>
      <c r="I2494" s="18"/>
      <c r="J2494" s="22"/>
      <c r="K2494" s="108"/>
      <c r="L2494" s="26"/>
      <c r="M2494" s="26"/>
    </row>
    <row r="2495">
      <c r="A2495" s="12"/>
      <c r="B2495" s="13"/>
      <c r="C2495" s="14"/>
      <c r="D2495" s="14"/>
      <c r="E2495" s="15"/>
      <c r="F2495" s="16"/>
      <c r="G2495" s="18"/>
      <c r="H2495" s="15"/>
      <c r="I2495" s="18"/>
      <c r="J2495" s="22"/>
      <c r="K2495" s="108"/>
      <c r="L2495" s="26"/>
      <c r="M2495" s="26"/>
    </row>
    <row r="2496">
      <c r="A2496" s="12"/>
      <c r="B2496" s="13"/>
      <c r="C2496" s="14"/>
      <c r="D2496" s="14"/>
      <c r="E2496" s="15"/>
      <c r="F2496" s="16"/>
      <c r="G2496" s="18"/>
      <c r="H2496" s="15"/>
      <c r="I2496" s="18"/>
      <c r="J2496" s="22"/>
      <c r="K2496" s="108"/>
      <c r="L2496" s="26"/>
      <c r="M2496" s="26"/>
    </row>
    <row r="2497">
      <c r="A2497" s="12"/>
      <c r="B2497" s="13"/>
      <c r="C2497" s="14"/>
      <c r="D2497" s="14"/>
      <c r="E2497" s="15"/>
      <c r="F2497" s="16"/>
      <c r="G2497" s="18"/>
      <c r="H2497" s="15"/>
      <c r="I2497" s="18"/>
      <c r="J2497" s="22"/>
      <c r="K2497" s="108"/>
      <c r="L2497" s="26"/>
      <c r="M2497" s="26"/>
    </row>
    <row r="2498">
      <c r="A2498" s="12"/>
      <c r="B2498" s="13"/>
      <c r="C2498" s="14"/>
      <c r="D2498" s="14"/>
      <c r="E2498" s="15"/>
      <c r="F2498" s="16"/>
      <c r="G2498" s="18"/>
      <c r="H2498" s="15"/>
      <c r="I2498" s="18"/>
      <c r="J2498" s="22"/>
      <c r="K2498" s="108"/>
      <c r="L2498" s="26"/>
      <c r="M2498" s="26"/>
    </row>
    <row r="2499">
      <c r="A2499" s="12"/>
      <c r="B2499" s="13"/>
      <c r="C2499" s="14"/>
      <c r="D2499" s="14"/>
      <c r="E2499" s="15"/>
      <c r="F2499" s="16"/>
      <c r="G2499" s="18"/>
      <c r="H2499" s="15"/>
      <c r="I2499" s="18"/>
      <c r="J2499" s="22"/>
      <c r="K2499" s="108"/>
      <c r="L2499" s="26"/>
      <c r="M2499" s="26"/>
    </row>
    <row r="2500">
      <c r="A2500" s="12"/>
      <c r="B2500" s="13"/>
      <c r="C2500" s="14"/>
      <c r="D2500" s="14"/>
      <c r="E2500" s="15"/>
      <c r="F2500" s="16"/>
      <c r="G2500" s="18"/>
      <c r="H2500" s="15"/>
      <c r="I2500" s="18"/>
      <c r="J2500" s="22"/>
      <c r="K2500" s="108"/>
      <c r="L2500" s="26"/>
      <c r="M2500" s="26"/>
    </row>
    <row r="2501">
      <c r="A2501" s="12"/>
      <c r="B2501" s="13"/>
      <c r="C2501" s="14"/>
      <c r="D2501" s="14"/>
      <c r="E2501" s="15"/>
      <c r="F2501" s="16"/>
      <c r="G2501" s="18"/>
      <c r="H2501" s="15"/>
      <c r="I2501" s="18"/>
      <c r="J2501" s="22"/>
      <c r="K2501" s="108"/>
      <c r="L2501" s="26"/>
      <c r="M2501" s="26"/>
    </row>
    <row r="2502">
      <c r="A2502" s="12"/>
      <c r="B2502" s="13"/>
      <c r="C2502" s="14"/>
      <c r="D2502" s="14"/>
      <c r="E2502" s="15"/>
      <c r="F2502" s="16"/>
      <c r="G2502" s="18"/>
      <c r="H2502" s="15"/>
      <c r="I2502" s="18"/>
      <c r="J2502" s="22"/>
      <c r="K2502" s="108"/>
      <c r="L2502" s="26"/>
      <c r="M2502" s="26"/>
    </row>
    <row r="2503">
      <c r="A2503" s="12"/>
      <c r="B2503" s="13"/>
      <c r="C2503" s="14"/>
      <c r="D2503" s="14"/>
      <c r="E2503" s="15"/>
      <c r="F2503" s="16"/>
      <c r="G2503" s="18"/>
      <c r="H2503" s="15"/>
      <c r="I2503" s="18"/>
      <c r="J2503" s="22"/>
      <c r="K2503" s="108"/>
      <c r="L2503" s="26"/>
      <c r="M2503" s="26"/>
    </row>
    <row r="2504">
      <c r="A2504" s="12"/>
      <c r="B2504" s="13"/>
      <c r="C2504" s="14"/>
      <c r="D2504" s="14"/>
      <c r="E2504" s="15"/>
      <c r="F2504" s="16"/>
      <c r="G2504" s="18"/>
      <c r="H2504" s="15"/>
      <c r="I2504" s="18"/>
      <c r="J2504" s="22"/>
      <c r="K2504" s="108"/>
      <c r="L2504" s="26"/>
      <c r="M2504" s="26"/>
    </row>
    <row r="2505">
      <c r="A2505" s="12"/>
      <c r="B2505" s="13"/>
      <c r="C2505" s="14"/>
      <c r="D2505" s="14"/>
      <c r="E2505" s="15"/>
      <c r="F2505" s="16"/>
      <c r="G2505" s="18"/>
      <c r="H2505" s="15"/>
      <c r="I2505" s="18"/>
      <c r="J2505" s="22"/>
      <c r="K2505" s="108"/>
      <c r="L2505" s="26"/>
      <c r="M2505" s="26"/>
    </row>
    <row r="2506">
      <c r="A2506" s="12"/>
      <c r="B2506" s="13"/>
      <c r="C2506" s="14"/>
      <c r="D2506" s="14"/>
      <c r="E2506" s="15"/>
      <c r="F2506" s="16"/>
      <c r="G2506" s="18"/>
      <c r="H2506" s="15"/>
      <c r="I2506" s="18"/>
      <c r="J2506" s="22"/>
      <c r="K2506" s="108"/>
      <c r="L2506" s="26"/>
      <c r="M2506" s="26"/>
    </row>
    <row r="2507">
      <c r="A2507" s="12"/>
      <c r="B2507" s="13"/>
      <c r="C2507" s="14"/>
      <c r="D2507" s="14"/>
      <c r="E2507" s="15"/>
      <c r="F2507" s="16"/>
      <c r="G2507" s="18"/>
      <c r="H2507" s="15"/>
      <c r="I2507" s="18"/>
      <c r="J2507" s="22"/>
      <c r="K2507" s="108"/>
      <c r="L2507" s="26"/>
      <c r="M2507" s="26"/>
    </row>
    <row r="2508">
      <c r="A2508" s="12"/>
      <c r="B2508" s="13"/>
      <c r="C2508" s="14"/>
      <c r="D2508" s="14"/>
      <c r="E2508" s="15"/>
      <c r="F2508" s="16"/>
      <c r="G2508" s="18"/>
      <c r="H2508" s="15"/>
      <c r="I2508" s="18"/>
      <c r="J2508" s="22"/>
      <c r="K2508" s="108"/>
      <c r="L2508" s="26"/>
      <c r="M2508" s="26"/>
    </row>
    <row r="2509">
      <c r="A2509" s="12"/>
      <c r="B2509" s="13"/>
      <c r="C2509" s="14"/>
      <c r="D2509" s="14"/>
      <c r="E2509" s="15"/>
      <c r="F2509" s="16"/>
      <c r="G2509" s="18"/>
      <c r="H2509" s="15"/>
      <c r="I2509" s="18"/>
      <c r="J2509" s="22"/>
      <c r="K2509" s="108"/>
      <c r="L2509" s="26"/>
      <c r="M2509" s="26"/>
    </row>
    <row r="2510">
      <c r="A2510" s="12"/>
      <c r="B2510" s="13"/>
      <c r="C2510" s="14"/>
      <c r="D2510" s="14"/>
      <c r="E2510" s="15"/>
      <c r="F2510" s="16"/>
      <c r="G2510" s="18"/>
      <c r="H2510" s="15"/>
      <c r="I2510" s="18"/>
      <c r="J2510" s="22"/>
      <c r="K2510" s="108"/>
      <c r="L2510" s="26"/>
      <c r="M2510" s="26"/>
    </row>
    <row r="2511">
      <c r="A2511" s="12"/>
      <c r="B2511" s="13"/>
      <c r="C2511" s="14"/>
      <c r="D2511" s="14"/>
      <c r="E2511" s="15"/>
      <c r="F2511" s="16"/>
      <c r="G2511" s="18"/>
      <c r="H2511" s="15"/>
      <c r="I2511" s="18"/>
      <c r="J2511" s="22"/>
      <c r="K2511" s="108"/>
      <c r="L2511" s="26"/>
      <c r="M2511" s="26"/>
    </row>
    <row r="2512">
      <c r="A2512" s="12"/>
      <c r="B2512" s="13"/>
      <c r="C2512" s="14"/>
      <c r="D2512" s="14"/>
      <c r="E2512" s="15"/>
      <c r="F2512" s="16"/>
      <c r="G2512" s="18"/>
      <c r="H2512" s="15"/>
      <c r="I2512" s="18"/>
      <c r="J2512" s="22"/>
      <c r="K2512" s="108"/>
      <c r="L2512" s="26"/>
      <c r="M2512" s="26"/>
    </row>
    <row r="2513">
      <c r="A2513" s="12"/>
      <c r="B2513" s="13"/>
      <c r="C2513" s="14"/>
      <c r="D2513" s="14"/>
      <c r="E2513" s="15"/>
      <c r="F2513" s="16"/>
      <c r="G2513" s="18"/>
      <c r="H2513" s="15"/>
      <c r="I2513" s="18"/>
      <c r="J2513" s="22"/>
      <c r="K2513" s="108"/>
      <c r="L2513" s="26"/>
      <c r="M2513" s="26"/>
    </row>
    <row r="2514">
      <c r="A2514" s="12"/>
      <c r="B2514" s="13"/>
      <c r="C2514" s="14"/>
      <c r="D2514" s="14"/>
      <c r="E2514" s="15"/>
      <c r="F2514" s="16"/>
      <c r="G2514" s="18"/>
      <c r="H2514" s="15"/>
      <c r="I2514" s="18"/>
      <c r="J2514" s="22"/>
      <c r="K2514" s="108"/>
      <c r="L2514" s="26"/>
      <c r="M2514" s="26"/>
    </row>
    <row r="2515">
      <c r="A2515" s="12"/>
      <c r="B2515" s="13"/>
      <c r="C2515" s="14"/>
      <c r="D2515" s="14"/>
      <c r="E2515" s="15"/>
      <c r="F2515" s="16"/>
      <c r="G2515" s="18"/>
      <c r="H2515" s="15"/>
      <c r="I2515" s="18"/>
      <c r="J2515" s="22"/>
      <c r="K2515" s="108"/>
      <c r="L2515" s="26"/>
      <c r="M2515" s="26"/>
    </row>
    <row r="2516">
      <c r="A2516" s="12"/>
      <c r="B2516" s="13"/>
      <c r="C2516" s="14"/>
      <c r="D2516" s="14"/>
      <c r="E2516" s="15"/>
      <c r="F2516" s="16"/>
      <c r="G2516" s="18"/>
      <c r="H2516" s="15"/>
      <c r="I2516" s="18"/>
      <c r="J2516" s="22"/>
      <c r="K2516" s="108"/>
      <c r="L2516" s="26"/>
      <c r="M2516" s="26"/>
    </row>
    <row r="2517">
      <c r="A2517" s="12"/>
      <c r="B2517" s="13"/>
      <c r="C2517" s="14"/>
      <c r="D2517" s="14"/>
      <c r="E2517" s="15"/>
      <c r="F2517" s="16"/>
      <c r="G2517" s="18"/>
      <c r="H2517" s="15"/>
      <c r="I2517" s="18"/>
      <c r="J2517" s="22"/>
      <c r="K2517" s="108"/>
      <c r="L2517" s="26"/>
      <c r="M2517" s="26"/>
    </row>
    <row r="2518">
      <c r="A2518" s="12"/>
      <c r="B2518" s="13"/>
      <c r="C2518" s="14"/>
      <c r="D2518" s="14"/>
      <c r="E2518" s="15"/>
      <c r="F2518" s="16"/>
      <c r="G2518" s="18"/>
      <c r="H2518" s="15"/>
      <c r="I2518" s="18"/>
      <c r="J2518" s="22"/>
      <c r="K2518" s="108"/>
      <c r="L2518" s="26"/>
      <c r="M2518" s="26"/>
    </row>
    <row r="2519">
      <c r="A2519" s="12"/>
      <c r="B2519" s="13"/>
      <c r="C2519" s="14"/>
      <c r="D2519" s="14"/>
      <c r="E2519" s="15"/>
      <c r="F2519" s="16"/>
      <c r="G2519" s="18"/>
      <c r="H2519" s="15"/>
      <c r="I2519" s="18"/>
      <c r="J2519" s="22"/>
      <c r="K2519" s="108"/>
      <c r="L2519" s="26"/>
      <c r="M2519" s="26"/>
    </row>
    <row r="2520">
      <c r="A2520" s="12"/>
      <c r="B2520" s="13"/>
      <c r="C2520" s="14"/>
      <c r="D2520" s="14"/>
      <c r="E2520" s="15"/>
      <c r="F2520" s="16"/>
      <c r="G2520" s="18"/>
      <c r="H2520" s="15"/>
      <c r="I2520" s="18"/>
      <c r="J2520" s="22"/>
      <c r="K2520" s="108"/>
      <c r="L2520" s="26"/>
      <c r="M2520" s="26"/>
    </row>
    <row r="2521">
      <c r="A2521" s="12"/>
      <c r="B2521" s="13"/>
      <c r="C2521" s="14"/>
      <c r="D2521" s="14"/>
      <c r="E2521" s="15"/>
      <c r="F2521" s="16"/>
      <c r="G2521" s="18"/>
      <c r="H2521" s="15"/>
      <c r="I2521" s="18"/>
      <c r="J2521" s="22"/>
      <c r="K2521" s="108"/>
      <c r="L2521" s="26"/>
      <c r="M2521" s="26"/>
    </row>
    <row r="2522">
      <c r="A2522" s="12"/>
      <c r="B2522" s="13"/>
      <c r="C2522" s="14"/>
      <c r="D2522" s="14"/>
      <c r="E2522" s="15"/>
      <c r="F2522" s="16"/>
      <c r="G2522" s="18"/>
      <c r="H2522" s="15"/>
      <c r="I2522" s="18"/>
      <c r="J2522" s="22"/>
      <c r="K2522" s="108"/>
      <c r="L2522" s="26"/>
      <c r="M2522" s="26"/>
    </row>
    <row r="2523">
      <c r="A2523" s="12"/>
      <c r="B2523" s="13"/>
      <c r="C2523" s="14"/>
      <c r="D2523" s="14"/>
      <c r="E2523" s="15"/>
      <c r="F2523" s="16"/>
      <c r="G2523" s="18"/>
      <c r="H2523" s="15"/>
      <c r="I2523" s="18"/>
      <c r="J2523" s="22"/>
      <c r="K2523" s="108"/>
      <c r="L2523" s="26"/>
      <c r="M2523" s="26"/>
    </row>
    <row r="2524">
      <c r="A2524" s="12"/>
      <c r="B2524" s="13"/>
      <c r="C2524" s="14"/>
      <c r="D2524" s="14"/>
      <c r="E2524" s="15"/>
      <c r="F2524" s="16"/>
      <c r="G2524" s="18"/>
      <c r="H2524" s="15"/>
      <c r="I2524" s="18"/>
      <c r="J2524" s="22"/>
      <c r="K2524" s="108"/>
      <c r="L2524" s="26"/>
      <c r="M2524" s="26"/>
    </row>
    <row r="2525">
      <c r="A2525" s="12"/>
      <c r="B2525" s="13"/>
      <c r="C2525" s="14"/>
      <c r="D2525" s="14"/>
      <c r="E2525" s="15"/>
      <c r="F2525" s="16"/>
      <c r="G2525" s="18"/>
      <c r="H2525" s="15"/>
      <c r="I2525" s="18"/>
      <c r="J2525" s="22"/>
      <c r="K2525" s="108"/>
      <c r="L2525" s="26"/>
      <c r="M2525" s="26"/>
    </row>
    <row r="2526">
      <c r="A2526" s="12"/>
      <c r="B2526" s="13"/>
      <c r="C2526" s="14"/>
      <c r="D2526" s="14"/>
      <c r="E2526" s="15"/>
      <c r="F2526" s="16"/>
      <c r="G2526" s="18"/>
      <c r="H2526" s="15"/>
      <c r="I2526" s="18"/>
      <c r="J2526" s="22"/>
      <c r="K2526" s="108"/>
      <c r="L2526" s="26"/>
      <c r="M2526" s="26"/>
    </row>
    <row r="2527">
      <c r="A2527" s="12"/>
      <c r="B2527" s="13"/>
      <c r="C2527" s="14"/>
      <c r="D2527" s="14"/>
      <c r="E2527" s="15"/>
      <c r="F2527" s="16"/>
      <c r="G2527" s="18"/>
      <c r="H2527" s="15"/>
      <c r="I2527" s="18"/>
      <c r="J2527" s="22"/>
      <c r="K2527" s="108"/>
      <c r="L2527" s="26"/>
      <c r="M2527" s="26"/>
    </row>
    <row r="2528">
      <c r="A2528" s="12"/>
      <c r="B2528" s="13"/>
      <c r="C2528" s="14"/>
      <c r="D2528" s="14"/>
      <c r="E2528" s="15"/>
      <c r="F2528" s="16"/>
      <c r="G2528" s="18"/>
      <c r="H2528" s="15"/>
      <c r="I2528" s="18"/>
      <c r="J2528" s="22"/>
      <c r="K2528" s="108"/>
      <c r="L2528" s="26"/>
      <c r="M2528" s="26"/>
    </row>
    <row r="2529">
      <c r="A2529" s="12"/>
      <c r="B2529" s="13"/>
      <c r="C2529" s="14"/>
      <c r="D2529" s="14"/>
      <c r="E2529" s="15"/>
      <c r="F2529" s="16"/>
      <c r="G2529" s="18"/>
      <c r="H2529" s="15"/>
      <c r="I2529" s="18"/>
      <c r="J2529" s="22"/>
      <c r="K2529" s="108"/>
      <c r="L2529" s="26"/>
      <c r="M2529" s="26"/>
    </row>
    <row r="2530">
      <c r="A2530" s="12"/>
      <c r="B2530" s="13"/>
      <c r="C2530" s="14"/>
      <c r="D2530" s="14"/>
      <c r="E2530" s="15"/>
      <c r="F2530" s="16"/>
      <c r="G2530" s="18"/>
      <c r="H2530" s="15"/>
      <c r="I2530" s="18"/>
      <c r="J2530" s="22"/>
      <c r="K2530" s="108"/>
      <c r="L2530" s="26"/>
      <c r="M2530" s="26"/>
    </row>
    <row r="2531">
      <c r="A2531" s="12"/>
      <c r="B2531" s="13"/>
      <c r="C2531" s="14"/>
      <c r="D2531" s="14"/>
      <c r="E2531" s="15"/>
      <c r="F2531" s="16"/>
      <c r="G2531" s="18"/>
      <c r="H2531" s="15"/>
      <c r="I2531" s="18"/>
      <c r="J2531" s="22"/>
      <c r="K2531" s="108"/>
      <c r="L2531" s="26"/>
      <c r="M2531" s="26"/>
    </row>
    <row r="2532">
      <c r="A2532" s="12"/>
      <c r="B2532" s="13"/>
      <c r="C2532" s="14"/>
      <c r="D2532" s="14"/>
      <c r="E2532" s="15"/>
      <c r="F2532" s="16"/>
      <c r="G2532" s="18"/>
      <c r="H2532" s="15"/>
      <c r="I2532" s="18"/>
      <c r="J2532" s="22"/>
      <c r="K2532" s="108"/>
      <c r="L2532" s="26"/>
      <c r="M2532" s="26"/>
    </row>
    <row r="2533">
      <c r="A2533" s="12"/>
      <c r="B2533" s="13"/>
      <c r="C2533" s="14"/>
      <c r="D2533" s="14"/>
      <c r="E2533" s="15"/>
      <c r="F2533" s="16"/>
      <c r="G2533" s="18"/>
      <c r="H2533" s="15"/>
      <c r="I2533" s="18"/>
      <c r="J2533" s="22"/>
      <c r="K2533" s="108"/>
      <c r="L2533" s="26"/>
      <c r="M2533" s="26"/>
    </row>
    <row r="2534">
      <c r="A2534" s="12"/>
      <c r="B2534" s="13"/>
      <c r="C2534" s="14"/>
      <c r="D2534" s="14"/>
      <c r="E2534" s="15"/>
      <c r="F2534" s="16"/>
      <c r="G2534" s="18"/>
      <c r="H2534" s="15"/>
      <c r="I2534" s="18"/>
      <c r="J2534" s="22"/>
      <c r="K2534" s="108"/>
      <c r="L2534" s="26"/>
      <c r="M2534" s="26"/>
    </row>
    <row r="2535">
      <c r="A2535" s="12"/>
      <c r="B2535" s="13"/>
      <c r="C2535" s="14"/>
      <c r="D2535" s="14"/>
      <c r="E2535" s="15"/>
      <c r="F2535" s="16"/>
      <c r="G2535" s="18"/>
      <c r="H2535" s="15"/>
      <c r="I2535" s="18"/>
      <c r="J2535" s="22"/>
      <c r="K2535" s="108"/>
      <c r="L2535" s="26"/>
      <c r="M2535" s="26"/>
    </row>
    <row r="2536">
      <c r="A2536" s="12"/>
      <c r="B2536" s="13"/>
      <c r="C2536" s="14"/>
      <c r="D2536" s="14"/>
      <c r="E2536" s="15"/>
      <c r="F2536" s="16"/>
      <c r="G2536" s="18"/>
      <c r="H2536" s="15"/>
      <c r="I2536" s="18"/>
      <c r="J2536" s="22"/>
      <c r="K2536" s="108"/>
      <c r="L2536" s="26"/>
      <c r="M2536" s="26"/>
    </row>
    <row r="2537">
      <c r="A2537" s="12"/>
      <c r="B2537" s="13"/>
      <c r="C2537" s="14"/>
      <c r="D2537" s="14"/>
      <c r="E2537" s="15"/>
      <c r="F2537" s="16"/>
      <c r="G2537" s="18"/>
      <c r="H2537" s="15"/>
      <c r="I2537" s="18"/>
      <c r="J2537" s="22"/>
      <c r="K2537" s="108"/>
      <c r="L2537" s="26"/>
      <c r="M2537" s="26"/>
    </row>
    <row r="2538">
      <c r="A2538" s="12"/>
      <c r="B2538" s="13"/>
      <c r="C2538" s="14"/>
      <c r="D2538" s="14"/>
      <c r="E2538" s="15"/>
      <c r="F2538" s="16"/>
      <c r="G2538" s="18"/>
      <c r="H2538" s="15"/>
      <c r="I2538" s="18"/>
      <c r="J2538" s="22"/>
      <c r="K2538" s="108"/>
      <c r="L2538" s="26"/>
      <c r="M2538" s="26"/>
    </row>
    <row r="2539">
      <c r="A2539" s="12"/>
      <c r="B2539" s="13"/>
      <c r="C2539" s="14"/>
      <c r="D2539" s="14"/>
      <c r="E2539" s="15"/>
      <c r="F2539" s="16"/>
      <c r="G2539" s="18"/>
      <c r="H2539" s="15"/>
      <c r="I2539" s="18"/>
      <c r="J2539" s="22"/>
      <c r="K2539" s="108"/>
      <c r="L2539" s="26"/>
      <c r="M2539" s="26"/>
    </row>
    <row r="2540">
      <c r="A2540" s="12"/>
      <c r="B2540" s="13"/>
      <c r="C2540" s="14"/>
      <c r="D2540" s="14"/>
      <c r="E2540" s="15"/>
      <c r="F2540" s="16"/>
      <c r="G2540" s="18"/>
      <c r="H2540" s="15"/>
      <c r="I2540" s="18"/>
      <c r="J2540" s="22"/>
      <c r="K2540" s="108"/>
      <c r="L2540" s="26"/>
      <c r="M2540" s="26"/>
    </row>
    <row r="2541">
      <c r="A2541" s="12"/>
      <c r="B2541" s="13"/>
      <c r="C2541" s="14"/>
      <c r="D2541" s="14"/>
      <c r="E2541" s="15"/>
      <c r="F2541" s="16"/>
      <c r="G2541" s="18"/>
      <c r="H2541" s="15"/>
      <c r="I2541" s="18"/>
      <c r="J2541" s="22"/>
      <c r="K2541" s="108"/>
      <c r="L2541" s="26"/>
      <c r="M2541" s="26"/>
    </row>
    <row r="2542">
      <c r="A2542" s="12"/>
      <c r="B2542" s="13"/>
      <c r="C2542" s="14"/>
      <c r="D2542" s="14"/>
      <c r="E2542" s="15"/>
      <c r="F2542" s="16"/>
      <c r="G2542" s="18"/>
      <c r="H2542" s="15"/>
      <c r="I2542" s="18"/>
      <c r="J2542" s="22"/>
      <c r="K2542" s="108"/>
      <c r="L2542" s="26"/>
      <c r="M2542" s="26"/>
    </row>
    <row r="2543">
      <c r="A2543" s="12"/>
      <c r="B2543" s="13"/>
      <c r="C2543" s="14"/>
      <c r="D2543" s="14"/>
      <c r="E2543" s="15"/>
      <c r="F2543" s="16"/>
      <c r="G2543" s="18"/>
      <c r="H2543" s="15"/>
      <c r="I2543" s="18"/>
      <c r="J2543" s="22"/>
      <c r="K2543" s="108"/>
      <c r="L2543" s="26"/>
      <c r="M2543" s="26"/>
    </row>
    <row r="2544">
      <c r="A2544" s="12"/>
      <c r="B2544" s="13"/>
      <c r="C2544" s="14"/>
      <c r="D2544" s="14"/>
      <c r="E2544" s="15"/>
      <c r="F2544" s="16"/>
      <c r="G2544" s="18"/>
      <c r="H2544" s="15"/>
      <c r="I2544" s="18"/>
      <c r="J2544" s="22"/>
      <c r="K2544" s="108"/>
      <c r="L2544" s="26"/>
      <c r="M2544" s="26"/>
    </row>
    <row r="2545">
      <c r="A2545" s="12"/>
      <c r="B2545" s="13"/>
      <c r="C2545" s="14"/>
      <c r="D2545" s="14"/>
      <c r="E2545" s="15"/>
      <c r="F2545" s="16"/>
      <c r="G2545" s="18"/>
      <c r="H2545" s="15"/>
      <c r="I2545" s="18"/>
      <c r="J2545" s="22"/>
      <c r="K2545" s="108"/>
      <c r="L2545" s="26"/>
      <c r="M2545" s="26"/>
    </row>
    <row r="2546">
      <c r="A2546" s="12"/>
      <c r="B2546" s="13"/>
      <c r="C2546" s="14"/>
      <c r="D2546" s="14"/>
      <c r="E2546" s="15"/>
      <c r="F2546" s="16"/>
      <c r="G2546" s="18"/>
      <c r="H2546" s="15"/>
      <c r="I2546" s="18"/>
      <c r="J2546" s="22"/>
      <c r="K2546" s="108"/>
      <c r="L2546" s="26"/>
      <c r="M2546" s="26"/>
    </row>
    <row r="2547">
      <c r="A2547" s="12"/>
      <c r="B2547" s="13"/>
      <c r="C2547" s="14"/>
      <c r="D2547" s="14"/>
      <c r="E2547" s="15"/>
      <c r="F2547" s="16"/>
      <c r="G2547" s="18"/>
      <c r="H2547" s="15"/>
      <c r="I2547" s="18"/>
      <c r="J2547" s="22"/>
      <c r="K2547" s="108"/>
      <c r="L2547" s="26"/>
      <c r="M2547" s="26"/>
    </row>
    <row r="2548">
      <c r="A2548" s="12"/>
      <c r="B2548" s="13"/>
      <c r="C2548" s="14"/>
      <c r="D2548" s="14"/>
      <c r="E2548" s="15"/>
      <c r="F2548" s="16"/>
      <c r="G2548" s="18"/>
      <c r="H2548" s="15"/>
      <c r="I2548" s="18"/>
      <c r="J2548" s="22"/>
      <c r="K2548" s="108"/>
      <c r="L2548" s="26"/>
      <c r="M2548" s="26"/>
    </row>
    <row r="2549">
      <c r="A2549" s="12"/>
      <c r="B2549" s="13"/>
      <c r="C2549" s="14"/>
      <c r="D2549" s="14"/>
      <c r="E2549" s="15"/>
      <c r="F2549" s="16"/>
      <c r="G2549" s="18"/>
      <c r="H2549" s="15"/>
      <c r="I2549" s="18"/>
      <c r="J2549" s="22"/>
      <c r="K2549" s="108"/>
      <c r="L2549" s="26"/>
      <c r="M2549" s="26"/>
    </row>
    <row r="2550">
      <c r="A2550" s="12"/>
      <c r="B2550" s="13"/>
      <c r="C2550" s="14"/>
      <c r="D2550" s="14"/>
      <c r="E2550" s="15"/>
      <c r="F2550" s="16"/>
      <c r="G2550" s="18"/>
      <c r="H2550" s="15"/>
      <c r="I2550" s="18"/>
      <c r="J2550" s="22"/>
      <c r="K2550" s="108"/>
      <c r="L2550" s="26"/>
      <c r="M2550" s="26"/>
    </row>
    <row r="2551">
      <c r="A2551" s="12"/>
      <c r="B2551" s="13"/>
      <c r="C2551" s="14"/>
      <c r="D2551" s="14"/>
      <c r="E2551" s="15"/>
      <c r="F2551" s="16"/>
      <c r="G2551" s="18"/>
      <c r="H2551" s="15"/>
      <c r="I2551" s="18"/>
      <c r="J2551" s="22"/>
      <c r="K2551" s="108"/>
      <c r="L2551" s="26"/>
      <c r="M2551" s="26"/>
    </row>
    <row r="2552">
      <c r="A2552" s="12"/>
      <c r="B2552" s="13"/>
      <c r="C2552" s="14"/>
      <c r="D2552" s="14"/>
      <c r="E2552" s="15"/>
      <c r="F2552" s="16"/>
      <c r="G2552" s="18"/>
      <c r="H2552" s="15"/>
      <c r="I2552" s="18"/>
      <c r="J2552" s="22"/>
      <c r="K2552" s="108"/>
      <c r="L2552" s="26"/>
      <c r="M2552" s="26"/>
    </row>
    <row r="2553">
      <c r="A2553" s="12"/>
      <c r="B2553" s="13"/>
      <c r="C2553" s="14"/>
      <c r="D2553" s="14"/>
      <c r="E2553" s="15"/>
      <c r="F2553" s="16"/>
      <c r="G2553" s="18"/>
      <c r="H2553" s="15"/>
      <c r="I2553" s="18"/>
      <c r="J2553" s="22"/>
      <c r="K2553" s="108"/>
      <c r="L2553" s="26"/>
      <c r="M2553" s="26"/>
    </row>
    <row r="2554">
      <c r="A2554" s="12"/>
      <c r="B2554" s="13"/>
      <c r="C2554" s="14"/>
      <c r="D2554" s="14"/>
      <c r="E2554" s="15"/>
      <c r="F2554" s="16"/>
      <c r="G2554" s="18"/>
      <c r="H2554" s="15"/>
      <c r="I2554" s="18"/>
      <c r="J2554" s="22"/>
      <c r="K2554" s="108"/>
      <c r="L2554" s="26"/>
      <c r="M2554" s="26"/>
    </row>
    <row r="2555">
      <c r="A2555" s="12"/>
      <c r="B2555" s="13"/>
      <c r="C2555" s="14"/>
      <c r="D2555" s="14"/>
      <c r="E2555" s="15"/>
      <c r="F2555" s="16"/>
      <c r="G2555" s="18"/>
      <c r="H2555" s="15"/>
      <c r="I2555" s="18"/>
      <c r="J2555" s="22"/>
      <c r="K2555" s="108"/>
      <c r="L2555" s="26"/>
      <c r="M2555" s="26"/>
    </row>
    <row r="2556">
      <c r="A2556" s="12"/>
      <c r="B2556" s="13"/>
      <c r="C2556" s="14"/>
      <c r="D2556" s="14"/>
      <c r="E2556" s="15"/>
      <c r="F2556" s="16"/>
      <c r="G2556" s="18"/>
      <c r="H2556" s="15"/>
      <c r="I2556" s="18"/>
      <c r="J2556" s="22"/>
      <c r="K2556" s="108"/>
      <c r="L2556" s="26"/>
      <c r="M2556" s="26"/>
    </row>
    <row r="2557">
      <c r="A2557" s="12"/>
      <c r="B2557" s="13"/>
      <c r="C2557" s="14"/>
      <c r="D2557" s="14"/>
      <c r="E2557" s="15"/>
      <c r="F2557" s="16"/>
      <c r="G2557" s="18"/>
      <c r="H2557" s="15"/>
      <c r="I2557" s="18"/>
      <c r="J2557" s="22"/>
      <c r="K2557" s="108"/>
      <c r="L2557" s="26"/>
      <c r="M2557" s="26"/>
    </row>
    <row r="2558">
      <c r="A2558" s="12"/>
      <c r="B2558" s="13"/>
      <c r="C2558" s="14"/>
      <c r="D2558" s="14"/>
      <c r="E2558" s="15"/>
      <c r="F2558" s="16"/>
      <c r="G2558" s="18"/>
      <c r="H2558" s="15"/>
      <c r="I2558" s="18"/>
      <c r="J2558" s="22"/>
      <c r="K2558" s="108"/>
      <c r="L2558" s="26"/>
      <c r="M2558" s="26"/>
    </row>
    <row r="2559">
      <c r="A2559" s="12"/>
      <c r="B2559" s="13"/>
      <c r="C2559" s="14"/>
      <c r="D2559" s="14"/>
      <c r="E2559" s="15"/>
      <c r="F2559" s="16"/>
      <c r="G2559" s="18"/>
      <c r="H2559" s="15"/>
      <c r="I2559" s="18"/>
      <c r="J2559" s="22"/>
      <c r="K2559" s="108"/>
      <c r="L2559" s="26"/>
      <c r="M2559" s="26"/>
    </row>
    <row r="2560">
      <c r="A2560" s="12"/>
      <c r="B2560" s="13"/>
      <c r="C2560" s="14"/>
      <c r="D2560" s="14"/>
      <c r="E2560" s="15"/>
      <c r="F2560" s="16"/>
      <c r="G2560" s="18"/>
      <c r="H2560" s="15"/>
      <c r="I2560" s="18"/>
      <c r="J2560" s="22"/>
      <c r="K2560" s="108"/>
      <c r="L2560" s="26"/>
      <c r="M2560" s="26"/>
    </row>
    <row r="2561">
      <c r="A2561" s="12"/>
      <c r="B2561" s="13"/>
      <c r="C2561" s="14"/>
      <c r="D2561" s="14"/>
      <c r="E2561" s="15"/>
      <c r="F2561" s="16"/>
      <c r="G2561" s="18"/>
      <c r="H2561" s="15"/>
      <c r="I2561" s="18"/>
      <c r="J2561" s="22"/>
      <c r="K2561" s="108"/>
      <c r="L2561" s="26"/>
      <c r="M2561" s="26"/>
    </row>
    <row r="2562">
      <c r="A2562" s="12"/>
      <c r="B2562" s="13"/>
      <c r="C2562" s="14"/>
      <c r="D2562" s="14"/>
      <c r="E2562" s="15"/>
      <c r="F2562" s="16"/>
      <c r="G2562" s="18"/>
      <c r="H2562" s="15"/>
      <c r="I2562" s="18"/>
      <c r="J2562" s="22"/>
      <c r="K2562" s="108"/>
      <c r="L2562" s="26"/>
      <c r="M2562" s="26"/>
    </row>
    <row r="2563">
      <c r="A2563" s="12"/>
      <c r="B2563" s="13"/>
      <c r="C2563" s="14"/>
      <c r="D2563" s="14"/>
      <c r="E2563" s="15"/>
      <c r="F2563" s="16"/>
      <c r="G2563" s="18"/>
      <c r="H2563" s="15"/>
      <c r="I2563" s="18"/>
      <c r="J2563" s="22"/>
      <c r="K2563" s="108"/>
      <c r="L2563" s="26"/>
      <c r="M2563" s="26"/>
    </row>
    <row r="2564">
      <c r="A2564" s="12"/>
      <c r="B2564" s="13"/>
      <c r="C2564" s="14"/>
      <c r="D2564" s="14"/>
      <c r="E2564" s="15"/>
      <c r="F2564" s="16"/>
      <c r="G2564" s="18"/>
      <c r="H2564" s="15"/>
      <c r="I2564" s="18"/>
      <c r="J2564" s="22"/>
      <c r="K2564" s="108"/>
      <c r="L2564" s="26"/>
      <c r="M2564" s="26"/>
    </row>
    <row r="2565">
      <c r="A2565" s="12"/>
      <c r="B2565" s="13"/>
      <c r="C2565" s="14"/>
      <c r="D2565" s="14"/>
      <c r="E2565" s="15"/>
      <c r="F2565" s="16"/>
      <c r="G2565" s="18"/>
      <c r="H2565" s="15"/>
      <c r="I2565" s="18"/>
      <c r="J2565" s="22"/>
      <c r="K2565" s="108"/>
      <c r="L2565" s="26"/>
      <c r="M2565" s="26"/>
    </row>
    <row r="2566">
      <c r="A2566" s="12"/>
      <c r="B2566" s="13"/>
      <c r="C2566" s="14"/>
      <c r="D2566" s="14"/>
      <c r="E2566" s="15"/>
      <c r="F2566" s="16"/>
      <c r="G2566" s="18"/>
      <c r="H2566" s="15"/>
      <c r="I2566" s="18"/>
      <c r="J2566" s="22"/>
      <c r="K2566" s="108"/>
      <c r="L2566" s="26"/>
      <c r="M2566" s="26"/>
    </row>
    <row r="2567">
      <c r="A2567" s="12"/>
      <c r="B2567" s="13"/>
      <c r="C2567" s="14"/>
      <c r="D2567" s="14"/>
      <c r="E2567" s="15"/>
      <c r="F2567" s="16"/>
      <c r="G2567" s="18"/>
      <c r="H2567" s="15"/>
      <c r="I2567" s="18"/>
      <c r="J2567" s="22"/>
      <c r="K2567" s="108"/>
      <c r="L2567" s="26"/>
      <c r="M2567" s="26"/>
    </row>
    <row r="2568">
      <c r="A2568" s="12"/>
      <c r="B2568" s="13"/>
      <c r="C2568" s="14"/>
      <c r="D2568" s="14"/>
      <c r="E2568" s="15"/>
      <c r="F2568" s="16"/>
      <c r="G2568" s="18"/>
      <c r="H2568" s="15"/>
      <c r="I2568" s="18"/>
      <c r="J2568" s="22"/>
      <c r="K2568" s="108"/>
      <c r="L2568" s="26"/>
      <c r="M2568" s="26"/>
    </row>
    <row r="2569">
      <c r="A2569" s="12"/>
      <c r="B2569" s="13"/>
      <c r="C2569" s="14"/>
      <c r="D2569" s="14"/>
      <c r="E2569" s="15"/>
      <c r="F2569" s="16"/>
      <c r="G2569" s="18"/>
      <c r="H2569" s="15"/>
      <c r="I2569" s="18"/>
      <c r="J2569" s="22"/>
      <c r="K2569" s="108"/>
      <c r="L2569" s="26"/>
      <c r="M2569" s="26"/>
    </row>
    <row r="2570">
      <c r="A2570" s="12"/>
      <c r="B2570" s="13"/>
      <c r="C2570" s="14"/>
      <c r="D2570" s="14"/>
      <c r="E2570" s="15"/>
      <c r="F2570" s="16"/>
      <c r="G2570" s="18"/>
      <c r="H2570" s="15"/>
      <c r="I2570" s="18"/>
      <c r="J2570" s="22"/>
      <c r="K2570" s="108"/>
      <c r="L2570" s="26"/>
      <c r="M2570" s="26"/>
    </row>
    <row r="2571">
      <c r="A2571" s="12"/>
      <c r="B2571" s="13"/>
      <c r="C2571" s="14"/>
      <c r="D2571" s="14"/>
      <c r="E2571" s="15"/>
      <c r="F2571" s="16"/>
      <c r="G2571" s="18"/>
      <c r="H2571" s="15"/>
      <c r="I2571" s="18"/>
      <c r="J2571" s="22"/>
      <c r="K2571" s="108"/>
      <c r="L2571" s="26"/>
      <c r="M2571" s="26"/>
    </row>
    <row r="2572">
      <c r="A2572" s="12"/>
      <c r="B2572" s="13"/>
      <c r="C2572" s="14"/>
      <c r="D2572" s="14"/>
      <c r="E2572" s="15"/>
      <c r="F2572" s="16"/>
      <c r="G2572" s="18"/>
      <c r="H2572" s="15"/>
      <c r="I2572" s="18"/>
      <c r="J2572" s="22"/>
      <c r="K2572" s="108"/>
      <c r="L2572" s="26"/>
      <c r="M2572" s="26"/>
    </row>
    <row r="2573">
      <c r="A2573" s="12"/>
      <c r="B2573" s="13"/>
      <c r="C2573" s="14"/>
      <c r="D2573" s="14"/>
      <c r="E2573" s="15"/>
      <c r="F2573" s="16"/>
      <c r="G2573" s="18"/>
      <c r="H2573" s="15"/>
      <c r="I2573" s="18"/>
      <c r="J2573" s="22"/>
      <c r="K2573" s="108"/>
      <c r="L2573" s="26"/>
      <c r="M2573" s="26"/>
    </row>
    <row r="2574">
      <c r="A2574" s="12"/>
      <c r="B2574" s="13"/>
      <c r="C2574" s="14"/>
      <c r="D2574" s="14"/>
      <c r="E2574" s="15"/>
      <c r="F2574" s="16"/>
      <c r="G2574" s="18"/>
      <c r="H2574" s="15"/>
      <c r="I2574" s="18"/>
      <c r="J2574" s="22"/>
      <c r="K2574" s="108"/>
      <c r="L2574" s="26"/>
      <c r="M2574" s="26"/>
    </row>
    <row r="2575">
      <c r="A2575" s="12"/>
      <c r="B2575" s="13"/>
      <c r="C2575" s="14"/>
      <c r="D2575" s="14"/>
      <c r="E2575" s="15"/>
      <c r="F2575" s="16"/>
      <c r="G2575" s="18"/>
      <c r="H2575" s="15"/>
      <c r="I2575" s="18"/>
      <c r="J2575" s="22"/>
      <c r="K2575" s="108"/>
      <c r="L2575" s="26"/>
      <c r="M2575" s="26"/>
    </row>
    <row r="2576">
      <c r="A2576" s="12"/>
      <c r="B2576" s="13"/>
      <c r="C2576" s="14"/>
      <c r="D2576" s="14"/>
      <c r="E2576" s="15"/>
      <c r="F2576" s="16"/>
      <c r="G2576" s="18"/>
      <c r="H2576" s="15"/>
      <c r="I2576" s="18"/>
      <c r="J2576" s="22"/>
      <c r="K2576" s="108"/>
      <c r="L2576" s="26"/>
      <c r="M2576" s="26"/>
    </row>
    <row r="2577">
      <c r="A2577" s="12"/>
      <c r="B2577" s="13"/>
      <c r="C2577" s="14"/>
      <c r="D2577" s="14"/>
      <c r="E2577" s="15"/>
      <c r="F2577" s="16"/>
      <c r="G2577" s="18"/>
      <c r="H2577" s="15"/>
      <c r="I2577" s="18"/>
      <c r="J2577" s="22"/>
      <c r="K2577" s="108"/>
      <c r="L2577" s="26"/>
      <c r="M2577" s="26"/>
    </row>
    <row r="2578">
      <c r="A2578" s="12"/>
      <c r="B2578" s="13"/>
      <c r="C2578" s="14"/>
      <c r="D2578" s="14"/>
      <c r="E2578" s="15"/>
      <c r="F2578" s="16"/>
      <c r="G2578" s="18"/>
      <c r="H2578" s="15"/>
      <c r="I2578" s="18"/>
      <c r="J2578" s="22"/>
      <c r="K2578" s="108"/>
      <c r="L2578" s="26"/>
      <c r="M2578" s="26"/>
    </row>
    <row r="2579">
      <c r="A2579" s="12"/>
      <c r="B2579" s="13"/>
      <c r="C2579" s="14"/>
      <c r="D2579" s="14"/>
      <c r="E2579" s="15"/>
      <c r="F2579" s="16"/>
      <c r="G2579" s="18"/>
      <c r="H2579" s="15"/>
      <c r="I2579" s="18"/>
      <c r="J2579" s="22"/>
      <c r="K2579" s="108"/>
      <c r="L2579" s="26"/>
      <c r="M2579" s="26"/>
    </row>
    <row r="2580">
      <c r="A2580" s="12"/>
      <c r="B2580" s="13"/>
      <c r="C2580" s="14"/>
      <c r="D2580" s="14"/>
      <c r="E2580" s="15"/>
      <c r="F2580" s="16"/>
      <c r="G2580" s="18"/>
      <c r="H2580" s="15"/>
      <c r="I2580" s="18"/>
      <c r="J2580" s="22"/>
      <c r="K2580" s="108"/>
      <c r="L2580" s="26"/>
      <c r="M2580" s="26"/>
    </row>
    <row r="2581">
      <c r="A2581" s="12"/>
      <c r="B2581" s="13"/>
      <c r="C2581" s="14"/>
      <c r="D2581" s="14"/>
      <c r="E2581" s="15"/>
      <c r="F2581" s="16"/>
      <c r="G2581" s="18"/>
      <c r="H2581" s="15"/>
      <c r="I2581" s="18"/>
      <c r="J2581" s="22"/>
      <c r="K2581" s="108"/>
      <c r="L2581" s="26"/>
      <c r="M2581" s="26"/>
    </row>
    <row r="2582">
      <c r="A2582" s="12"/>
      <c r="B2582" s="13"/>
      <c r="C2582" s="14"/>
      <c r="D2582" s="14"/>
      <c r="E2582" s="15"/>
      <c r="F2582" s="16"/>
      <c r="G2582" s="18"/>
      <c r="H2582" s="15"/>
      <c r="I2582" s="18"/>
      <c r="J2582" s="22"/>
      <c r="K2582" s="108"/>
      <c r="L2582" s="26"/>
      <c r="M2582" s="26"/>
    </row>
    <row r="2583">
      <c r="A2583" s="12"/>
      <c r="B2583" s="13"/>
      <c r="C2583" s="14"/>
      <c r="D2583" s="14"/>
      <c r="E2583" s="15"/>
      <c r="F2583" s="16"/>
      <c r="G2583" s="18"/>
      <c r="H2583" s="15"/>
      <c r="I2583" s="18"/>
      <c r="J2583" s="22"/>
      <c r="K2583" s="108"/>
      <c r="L2583" s="26"/>
      <c r="M2583" s="26"/>
    </row>
    <row r="2584">
      <c r="A2584" s="12"/>
      <c r="B2584" s="13"/>
      <c r="C2584" s="14"/>
      <c r="D2584" s="14"/>
      <c r="E2584" s="15"/>
      <c r="F2584" s="16"/>
      <c r="G2584" s="18"/>
      <c r="H2584" s="15"/>
      <c r="I2584" s="18"/>
      <c r="J2584" s="22"/>
      <c r="K2584" s="108"/>
      <c r="L2584" s="26"/>
      <c r="M2584" s="26"/>
    </row>
    <row r="2585">
      <c r="A2585" s="12"/>
      <c r="B2585" s="13"/>
      <c r="C2585" s="14"/>
      <c r="D2585" s="14"/>
      <c r="E2585" s="15"/>
      <c r="F2585" s="16"/>
      <c r="G2585" s="18"/>
      <c r="H2585" s="15"/>
      <c r="I2585" s="18"/>
      <c r="J2585" s="22"/>
      <c r="K2585" s="108"/>
      <c r="L2585" s="26"/>
      <c r="M2585" s="26"/>
    </row>
    <row r="2586">
      <c r="A2586" s="12"/>
      <c r="B2586" s="13"/>
      <c r="C2586" s="14"/>
      <c r="D2586" s="14"/>
      <c r="E2586" s="15"/>
      <c r="F2586" s="16"/>
      <c r="G2586" s="18"/>
      <c r="H2586" s="15"/>
      <c r="I2586" s="18"/>
      <c r="J2586" s="22"/>
      <c r="K2586" s="108"/>
      <c r="L2586" s="26"/>
      <c r="M2586" s="26"/>
    </row>
    <row r="2587">
      <c r="A2587" s="12"/>
      <c r="B2587" s="13"/>
      <c r="C2587" s="14"/>
      <c r="D2587" s="14"/>
      <c r="E2587" s="15"/>
      <c r="F2587" s="16"/>
      <c r="G2587" s="18"/>
      <c r="H2587" s="15"/>
      <c r="I2587" s="18"/>
      <c r="J2587" s="22"/>
      <c r="K2587" s="108"/>
      <c r="L2587" s="26"/>
      <c r="M2587" s="26"/>
    </row>
    <row r="2588">
      <c r="A2588" s="12"/>
      <c r="B2588" s="13"/>
      <c r="C2588" s="14"/>
      <c r="D2588" s="14"/>
      <c r="E2588" s="15"/>
      <c r="F2588" s="16"/>
      <c r="G2588" s="18"/>
      <c r="H2588" s="15"/>
      <c r="I2588" s="18"/>
      <c r="J2588" s="22"/>
      <c r="K2588" s="108"/>
      <c r="L2588" s="26"/>
      <c r="M2588" s="26"/>
    </row>
    <row r="2589">
      <c r="A2589" s="12"/>
      <c r="B2589" s="13"/>
      <c r="C2589" s="14"/>
      <c r="D2589" s="14"/>
      <c r="E2589" s="15"/>
      <c r="F2589" s="16"/>
      <c r="G2589" s="18"/>
      <c r="H2589" s="15"/>
      <c r="I2589" s="18"/>
      <c r="J2589" s="22"/>
      <c r="K2589" s="108"/>
      <c r="L2589" s="26"/>
      <c r="M2589" s="26"/>
    </row>
    <row r="2590">
      <c r="A2590" s="12"/>
      <c r="B2590" s="13"/>
      <c r="C2590" s="14"/>
      <c r="D2590" s="14"/>
      <c r="E2590" s="15"/>
      <c r="F2590" s="16"/>
      <c r="G2590" s="18"/>
      <c r="H2590" s="15"/>
      <c r="I2590" s="18"/>
      <c r="J2590" s="22"/>
      <c r="K2590" s="108"/>
      <c r="L2590" s="26"/>
      <c r="M2590" s="26"/>
    </row>
    <row r="2591">
      <c r="A2591" s="12"/>
      <c r="B2591" s="13"/>
      <c r="C2591" s="14"/>
      <c r="D2591" s="14"/>
      <c r="E2591" s="15"/>
      <c r="F2591" s="16"/>
      <c r="G2591" s="18"/>
      <c r="H2591" s="15"/>
      <c r="I2591" s="18"/>
      <c r="J2591" s="22"/>
      <c r="K2591" s="108"/>
      <c r="L2591" s="26"/>
      <c r="M2591" s="26"/>
    </row>
    <row r="2592">
      <c r="A2592" s="12"/>
      <c r="B2592" s="13"/>
      <c r="C2592" s="14"/>
      <c r="D2592" s="14"/>
      <c r="E2592" s="15"/>
      <c r="F2592" s="16"/>
      <c r="G2592" s="18"/>
      <c r="H2592" s="15"/>
      <c r="I2592" s="18"/>
      <c r="J2592" s="22"/>
      <c r="K2592" s="108"/>
      <c r="L2592" s="26"/>
      <c r="M2592" s="26"/>
    </row>
    <row r="2593">
      <c r="A2593" s="12"/>
      <c r="B2593" s="13"/>
      <c r="C2593" s="14"/>
      <c r="D2593" s="14"/>
      <c r="E2593" s="15"/>
      <c r="F2593" s="16"/>
      <c r="G2593" s="18"/>
      <c r="H2593" s="15"/>
      <c r="I2593" s="18"/>
      <c r="J2593" s="22"/>
      <c r="K2593" s="108"/>
      <c r="L2593" s="26"/>
      <c r="M2593" s="26"/>
    </row>
    <row r="2594">
      <c r="A2594" s="12"/>
      <c r="B2594" s="13"/>
      <c r="C2594" s="14"/>
      <c r="D2594" s="14"/>
      <c r="E2594" s="15"/>
      <c r="F2594" s="16"/>
      <c r="G2594" s="18"/>
      <c r="H2594" s="15"/>
      <c r="I2594" s="18"/>
      <c r="J2594" s="22"/>
      <c r="K2594" s="108"/>
      <c r="L2594" s="26"/>
      <c r="M2594" s="26"/>
    </row>
    <row r="2595">
      <c r="A2595" s="12"/>
      <c r="B2595" s="13"/>
      <c r="C2595" s="14"/>
      <c r="D2595" s="14"/>
      <c r="E2595" s="15"/>
      <c r="F2595" s="16"/>
      <c r="G2595" s="18"/>
      <c r="H2595" s="15"/>
      <c r="I2595" s="18"/>
      <c r="J2595" s="22"/>
      <c r="K2595" s="108"/>
      <c r="L2595" s="26"/>
      <c r="M2595" s="26"/>
    </row>
    <row r="2596">
      <c r="A2596" s="12"/>
      <c r="B2596" s="13"/>
      <c r="C2596" s="14"/>
      <c r="D2596" s="14"/>
      <c r="E2596" s="15"/>
      <c r="F2596" s="16"/>
      <c r="G2596" s="18"/>
      <c r="H2596" s="15"/>
      <c r="I2596" s="18"/>
      <c r="J2596" s="22"/>
      <c r="K2596" s="108"/>
      <c r="L2596" s="26"/>
      <c r="M2596" s="26"/>
    </row>
    <row r="2597">
      <c r="A2597" s="12"/>
      <c r="B2597" s="13"/>
      <c r="C2597" s="14"/>
      <c r="D2597" s="14"/>
      <c r="E2597" s="15"/>
      <c r="F2597" s="16"/>
      <c r="G2597" s="18"/>
      <c r="H2597" s="15"/>
      <c r="I2597" s="18"/>
      <c r="J2597" s="22"/>
      <c r="K2597" s="108"/>
      <c r="L2597" s="26"/>
      <c r="M2597" s="26"/>
    </row>
    <row r="2598">
      <c r="A2598" s="12"/>
      <c r="B2598" s="13"/>
      <c r="C2598" s="14"/>
      <c r="D2598" s="14"/>
      <c r="E2598" s="15"/>
      <c r="F2598" s="16"/>
      <c r="G2598" s="18"/>
      <c r="H2598" s="15"/>
      <c r="I2598" s="18"/>
      <c r="J2598" s="22"/>
      <c r="K2598" s="108"/>
      <c r="L2598" s="26"/>
      <c r="M2598" s="26"/>
    </row>
    <row r="2599">
      <c r="A2599" s="12"/>
      <c r="B2599" s="13"/>
      <c r="C2599" s="14"/>
      <c r="D2599" s="14"/>
      <c r="E2599" s="15"/>
      <c r="F2599" s="16"/>
      <c r="G2599" s="18"/>
      <c r="H2599" s="15"/>
      <c r="I2599" s="18"/>
      <c r="J2599" s="22"/>
      <c r="K2599" s="108"/>
      <c r="L2599" s="26"/>
      <c r="M2599" s="26"/>
    </row>
    <row r="2600">
      <c r="A2600" s="12"/>
      <c r="B2600" s="13"/>
      <c r="C2600" s="14"/>
      <c r="D2600" s="14"/>
      <c r="E2600" s="15"/>
      <c r="F2600" s="16"/>
      <c r="G2600" s="18"/>
      <c r="H2600" s="15"/>
      <c r="I2600" s="18"/>
      <c r="J2600" s="22"/>
      <c r="K2600" s="108"/>
      <c r="L2600" s="26"/>
      <c r="M2600" s="26"/>
    </row>
    <row r="2601">
      <c r="A2601" s="12"/>
      <c r="B2601" s="13"/>
      <c r="C2601" s="14"/>
      <c r="D2601" s="14"/>
      <c r="E2601" s="15"/>
      <c r="F2601" s="16"/>
      <c r="G2601" s="18"/>
      <c r="H2601" s="15"/>
      <c r="I2601" s="18"/>
      <c r="J2601" s="22"/>
      <c r="K2601" s="108"/>
      <c r="L2601" s="26"/>
      <c r="M2601" s="26"/>
    </row>
    <row r="2602">
      <c r="A2602" s="12"/>
      <c r="B2602" s="13"/>
      <c r="C2602" s="14"/>
      <c r="D2602" s="14"/>
      <c r="E2602" s="15"/>
      <c r="F2602" s="16"/>
      <c r="G2602" s="18"/>
      <c r="H2602" s="15"/>
      <c r="I2602" s="18"/>
      <c r="J2602" s="22"/>
      <c r="K2602" s="108"/>
      <c r="L2602" s="26"/>
      <c r="M2602" s="26"/>
    </row>
    <row r="2603">
      <c r="A2603" s="12"/>
      <c r="B2603" s="13"/>
      <c r="C2603" s="14"/>
      <c r="D2603" s="14"/>
      <c r="E2603" s="15"/>
      <c r="F2603" s="16"/>
      <c r="G2603" s="18"/>
      <c r="H2603" s="15"/>
      <c r="I2603" s="18"/>
      <c r="J2603" s="22"/>
      <c r="K2603" s="108"/>
      <c r="L2603" s="26"/>
      <c r="M2603" s="26"/>
    </row>
    <row r="2604">
      <c r="A2604" s="12"/>
      <c r="B2604" s="13"/>
      <c r="C2604" s="14"/>
      <c r="D2604" s="14"/>
      <c r="E2604" s="15"/>
      <c r="F2604" s="16"/>
      <c r="G2604" s="18"/>
      <c r="H2604" s="15"/>
      <c r="I2604" s="18"/>
      <c r="J2604" s="22"/>
      <c r="K2604" s="108"/>
      <c r="L2604" s="26"/>
      <c r="M2604" s="26"/>
    </row>
    <row r="2605">
      <c r="A2605" s="12"/>
      <c r="B2605" s="13"/>
      <c r="C2605" s="14"/>
      <c r="D2605" s="14"/>
      <c r="E2605" s="15"/>
      <c r="F2605" s="16"/>
      <c r="G2605" s="18"/>
      <c r="H2605" s="15"/>
      <c r="I2605" s="18"/>
      <c r="J2605" s="22"/>
      <c r="K2605" s="108"/>
      <c r="L2605" s="26"/>
      <c r="M2605" s="26"/>
    </row>
    <row r="2606">
      <c r="A2606" s="12"/>
      <c r="B2606" s="13"/>
      <c r="C2606" s="14"/>
      <c r="D2606" s="14"/>
      <c r="E2606" s="15"/>
      <c r="F2606" s="16"/>
      <c r="G2606" s="18"/>
      <c r="H2606" s="15"/>
      <c r="I2606" s="18"/>
      <c r="J2606" s="22"/>
      <c r="K2606" s="108"/>
      <c r="L2606" s="26"/>
      <c r="M2606" s="26"/>
    </row>
    <row r="2607">
      <c r="A2607" s="12"/>
      <c r="B2607" s="13"/>
      <c r="C2607" s="14"/>
      <c r="D2607" s="14"/>
      <c r="E2607" s="15"/>
      <c r="F2607" s="16"/>
      <c r="G2607" s="18"/>
      <c r="H2607" s="15"/>
      <c r="I2607" s="18"/>
      <c r="J2607" s="22"/>
      <c r="K2607" s="108"/>
      <c r="L2607" s="26"/>
      <c r="M2607" s="26"/>
    </row>
    <row r="2608">
      <c r="A2608" s="12"/>
      <c r="B2608" s="13"/>
      <c r="C2608" s="14"/>
      <c r="D2608" s="14"/>
      <c r="E2608" s="15"/>
      <c r="F2608" s="16"/>
      <c r="G2608" s="18"/>
      <c r="H2608" s="15"/>
      <c r="I2608" s="18"/>
      <c r="J2608" s="22"/>
      <c r="K2608" s="108"/>
      <c r="L2608" s="26"/>
      <c r="M2608" s="26"/>
    </row>
    <row r="2609">
      <c r="A2609" s="12"/>
      <c r="B2609" s="13"/>
      <c r="C2609" s="14"/>
      <c r="D2609" s="14"/>
      <c r="E2609" s="15"/>
      <c r="F2609" s="16"/>
      <c r="G2609" s="18"/>
      <c r="H2609" s="15"/>
      <c r="I2609" s="18"/>
      <c r="J2609" s="22"/>
      <c r="K2609" s="108"/>
      <c r="L2609" s="26"/>
      <c r="M2609" s="26"/>
    </row>
    <row r="2610">
      <c r="A2610" s="12"/>
      <c r="B2610" s="13"/>
      <c r="C2610" s="14"/>
      <c r="D2610" s="14"/>
      <c r="E2610" s="15"/>
      <c r="F2610" s="16"/>
      <c r="G2610" s="18"/>
      <c r="H2610" s="15"/>
      <c r="I2610" s="18"/>
      <c r="J2610" s="22"/>
      <c r="K2610" s="108"/>
      <c r="L2610" s="26"/>
      <c r="M2610" s="26"/>
    </row>
    <row r="2611">
      <c r="A2611" s="12"/>
      <c r="B2611" s="13"/>
      <c r="C2611" s="14"/>
      <c r="D2611" s="14"/>
      <c r="E2611" s="15"/>
      <c r="F2611" s="16"/>
      <c r="G2611" s="18"/>
      <c r="H2611" s="15"/>
      <c r="I2611" s="18"/>
      <c r="J2611" s="22"/>
      <c r="K2611" s="108"/>
      <c r="L2611" s="26"/>
      <c r="M2611" s="26"/>
    </row>
    <row r="2612">
      <c r="A2612" s="12"/>
      <c r="B2612" s="13"/>
      <c r="C2612" s="14"/>
      <c r="D2612" s="14"/>
      <c r="E2612" s="15"/>
      <c r="F2612" s="16"/>
      <c r="G2612" s="18"/>
      <c r="H2612" s="15"/>
      <c r="I2612" s="18"/>
      <c r="J2612" s="22"/>
      <c r="K2612" s="108"/>
      <c r="L2612" s="26"/>
      <c r="M2612" s="26"/>
    </row>
    <row r="2613">
      <c r="A2613" s="12"/>
      <c r="B2613" s="13"/>
      <c r="C2613" s="14"/>
      <c r="D2613" s="14"/>
      <c r="E2613" s="15"/>
      <c r="F2613" s="16"/>
      <c r="G2613" s="18"/>
      <c r="H2613" s="15"/>
      <c r="I2613" s="18"/>
      <c r="J2613" s="22"/>
      <c r="K2613" s="108"/>
      <c r="L2613" s="26"/>
      <c r="M2613" s="26"/>
    </row>
    <row r="2614">
      <c r="A2614" s="12"/>
      <c r="B2614" s="13"/>
      <c r="C2614" s="14"/>
      <c r="D2614" s="14"/>
      <c r="E2614" s="15"/>
      <c r="F2614" s="16"/>
      <c r="G2614" s="18"/>
      <c r="H2614" s="15"/>
      <c r="I2614" s="18"/>
      <c r="J2614" s="22"/>
      <c r="K2614" s="108"/>
      <c r="L2614" s="26"/>
      <c r="M2614" s="26"/>
    </row>
    <row r="2615">
      <c r="A2615" s="12"/>
      <c r="B2615" s="13"/>
      <c r="C2615" s="14"/>
      <c r="D2615" s="14"/>
      <c r="E2615" s="15"/>
      <c r="F2615" s="16"/>
      <c r="G2615" s="18"/>
      <c r="H2615" s="15"/>
      <c r="I2615" s="18"/>
      <c r="J2615" s="22"/>
      <c r="K2615" s="108"/>
      <c r="L2615" s="26"/>
      <c r="M2615" s="26"/>
    </row>
    <row r="2616">
      <c r="A2616" s="12"/>
      <c r="B2616" s="13"/>
      <c r="C2616" s="14"/>
      <c r="D2616" s="14"/>
      <c r="E2616" s="15"/>
      <c r="F2616" s="16"/>
      <c r="G2616" s="18"/>
      <c r="H2616" s="15"/>
      <c r="I2616" s="18"/>
      <c r="J2616" s="22"/>
      <c r="K2616" s="108"/>
      <c r="L2616" s="26"/>
      <c r="M2616" s="26"/>
    </row>
    <row r="2617">
      <c r="A2617" s="12"/>
      <c r="B2617" s="13"/>
      <c r="C2617" s="14"/>
      <c r="D2617" s="14"/>
      <c r="E2617" s="15"/>
      <c r="F2617" s="16"/>
      <c r="G2617" s="18"/>
      <c r="H2617" s="15"/>
      <c r="I2617" s="18"/>
      <c r="J2617" s="22"/>
      <c r="K2617" s="108"/>
      <c r="L2617" s="26"/>
      <c r="M2617" s="26"/>
    </row>
    <row r="2618">
      <c r="A2618" s="12"/>
      <c r="B2618" s="13"/>
      <c r="C2618" s="14"/>
      <c r="D2618" s="14"/>
      <c r="E2618" s="15"/>
      <c r="F2618" s="16"/>
      <c r="G2618" s="18"/>
      <c r="H2618" s="15"/>
      <c r="I2618" s="18"/>
      <c r="J2618" s="22"/>
      <c r="K2618" s="108"/>
      <c r="L2618" s="26"/>
      <c r="M2618" s="26"/>
    </row>
    <row r="2619">
      <c r="A2619" s="12"/>
      <c r="B2619" s="13"/>
      <c r="C2619" s="14"/>
      <c r="D2619" s="14"/>
      <c r="E2619" s="15"/>
      <c r="F2619" s="16"/>
      <c r="G2619" s="18"/>
      <c r="H2619" s="15"/>
      <c r="I2619" s="18"/>
      <c r="J2619" s="22"/>
      <c r="K2619" s="108"/>
      <c r="L2619" s="26"/>
      <c r="M2619" s="26"/>
    </row>
    <row r="2620">
      <c r="A2620" s="12"/>
      <c r="B2620" s="13"/>
      <c r="C2620" s="14"/>
      <c r="D2620" s="14"/>
      <c r="E2620" s="15"/>
      <c r="F2620" s="16"/>
      <c r="G2620" s="18"/>
      <c r="H2620" s="15"/>
      <c r="I2620" s="18"/>
      <c r="J2620" s="22"/>
      <c r="K2620" s="108"/>
      <c r="L2620" s="26"/>
      <c r="M2620" s="26"/>
    </row>
    <row r="2621">
      <c r="A2621" s="12"/>
      <c r="B2621" s="13"/>
      <c r="C2621" s="14"/>
      <c r="D2621" s="14"/>
      <c r="E2621" s="15"/>
      <c r="F2621" s="16"/>
      <c r="G2621" s="18"/>
      <c r="H2621" s="15"/>
      <c r="I2621" s="18"/>
      <c r="J2621" s="22"/>
      <c r="K2621" s="108"/>
      <c r="L2621" s="26"/>
      <c r="M2621" s="26"/>
    </row>
    <row r="2622">
      <c r="A2622" s="12"/>
      <c r="B2622" s="13"/>
      <c r="C2622" s="14"/>
      <c r="D2622" s="14"/>
      <c r="E2622" s="15"/>
      <c r="F2622" s="16"/>
      <c r="G2622" s="18"/>
      <c r="H2622" s="15"/>
      <c r="I2622" s="18"/>
      <c r="J2622" s="22"/>
      <c r="K2622" s="108"/>
      <c r="L2622" s="26"/>
      <c r="M2622" s="26"/>
    </row>
    <row r="2623">
      <c r="A2623" s="12"/>
      <c r="B2623" s="13"/>
      <c r="C2623" s="14"/>
      <c r="D2623" s="14"/>
      <c r="E2623" s="15"/>
      <c r="F2623" s="16"/>
      <c r="G2623" s="18"/>
      <c r="H2623" s="15"/>
      <c r="I2623" s="18"/>
      <c r="J2623" s="22"/>
      <c r="K2623" s="108"/>
      <c r="L2623" s="26"/>
      <c r="M2623" s="26"/>
    </row>
    <row r="2624">
      <c r="A2624" s="12"/>
      <c r="B2624" s="13"/>
      <c r="C2624" s="14"/>
      <c r="D2624" s="14"/>
      <c r="E2624" s="15"/>
      <c r="F2624" s="16"/>
      <c r="G2624" s="18"/>
      <c r="H2624" s="15"/>
      <c r="I2624" s="18"/>
      <c r="J2624" s="22"/>
      <c r="K2624" s="108"/>
      <c r="L2624" s="26"/>
      <c r="M2624" s="26"/>
    </row>
    <row r="2625">
      <c r="A2625" s="12"/>
      <c r="B2625" s="13"/>
      <c r="C2625" s="14"/>
      <c r="D2625" s="14"/>
      <c r="E2625" s="15"/>
      <c r="F2625" s="16"/>
      <c r="G2625" s="18"/>
      <c r="H2625" s="15"/>
      <c r="I2625" s="18"/>
      <c r="J2625" s="22"/>
      <c r="K2625" s="108"/>
      <c r="L2625" s="26"/>
      <c r="M2625" s="26"/>
    </row>
    <row r="2626">
      <c r="A2626" s="12"/>
      <c r="B2626" s="13"/>
      <c r="C2626" s="14"/>
      <c r="D2626" s="14"/>
      <c r="E2626" s="15"/>
      <c r="F2626" s="16"/>
      <c r="G2626" s="18"/>
      <c r="H2626" s="15"/>
      <c r="I2626" s="18"/>
      <c r="J2626" s="22"/>
      <c r="K2626" s="108"/>
      <c r="L2626" s="26"/>
      <c r="M2626" s="26"/>
    </row>
    <row r="2627">
      <c r="A2627" s="12"/>
      <c r="B2627" s="13"/>
      <c r="C2627" s="14"/>
      <c r="D2627" s="14"/>
      <c r="E2627" s="15"/>
      <c r="F2627" s="16"/>
      <c r="G2627" s="18"/>
      <c r="H2627" s="15"/>
      <c r="I2627" s="18"/>
      <c r="J2627" s="22"/>
      <c r="K2627" s="108"/>
      <c r="L2627" s="26"/>
      <c r="M2627" s="26"/>
    </row>
    <row r="2628">
      <c r="A2628" s="12"/>
      <c r="B2628" s="13"/>
      <c r="C2628" s="14"/>
      <c r="D2628" s="14"/>
      <c r="E2628" s="15"/>
      <c r="F2628" s="16"/>
      <c r="G2628" s="18"/>
      <c r="H2628" s="15"/>
      <c r="I2628" s="18"/>
      <c r="J2628" s="22"/>
      <c r="K2628" s="108"/>
      <c r="L2628" s="26"/>
      <c r="M2628" s="26"/>
    </row>
    <row r="2629">
      <c r="A2629" s="12"/>
      <c r="B2629" s="13"/>
      <c r="C2629" s="14"/>
      <c r="D2629" s="14"/>
      <c r="E2629" s="15"/>
      <c r="F2629" s="16"/>
      <c r="G2629" s="18"/>
      <c r="H2629" s="15"/>
      <c r="I2629" s="18"/>
      <c r="J2629" s="22"/>
      <c r="K2629" s="108"/>
      <c r="L2629" s="26"/>
      <c r="M2629" s="26"/>
    </row>
    <row r="2630">
      <c r="A2630" s="12"/>
      <c r="B2630" s="13"/>
      <c r="C2630" s="14"/>
      <c r="D2630" s="14"/>
      <c r="E2630" s="15"/>
      <c r="F2630" s="16"/>
      <c r="G2630" s="18"/>
      <c r="H2630" s="15"/>
      <c r="I2630" s="18"/>
      <c r="J2630" s="22"/>
      <c r="K2630" s="108"/>
      <c r="L2630" s="26"/>
      <c r="M2630" s="26"/>
    </row>
    <row r="2631">
      <c r="A2631" s="12"/>
      <c r="B2631" s="13"/>
      <c r="C2631" s="14"/>
      <c r="D2631" s="14"/>
      <c r="E2631" s="15"/>
      <c r="F2631" s="16"/>
      <c r="G2631" s="18"/>
      <c r="H2631" s="15"/>
      <c r="I2631" s="18"/>
      <c r="J2631" s="22"/>
      <c r="K2631" s="108"/>
      <c r="L2631" s="26"/>
      <c r="M2631" s="26"/>
    </row>
    <row r="2632">
      <c r="A2632" s="12"/>
      <c r="B2632" s="13"/>
      <c r="C2632" s="14"/>
      <c r="D2632" s="14"/>
      <c r="E2632" s="15"/>
      <c r="F2632" s="16"/>
      <c r="G2632" s="18"/>
      <c r="H2632" s="15"/>
      <c r="I2632" s="18"/>
      <c r="J2632" s="22"/>
      <c r="K2632" s="108"/>
      <c r="L2632" s="26"/>
      <c r="M2632" s="26"/>
    </row>
    <row r="2633">
      <c r="A2633" s="12"/>
      <c r="B2633" s="13"/>
      <c r="C2633" s="14"/>
      <c r="D2633" s="14"/>
      <c r="E2633" s="15"/>
      <c r="F2633" s="16"/>
      <c r="G2633" s="18"/>
      <c r="H2633" s="15"/>
      <c r="I2633" s="18"/>
      <c r="J2633" s="22"/>
      <c r="K2633" s="108"/>
      <c r="L2633" s="26"/>
      <c r="M2633" s="26"/>
    </row>
    <row r="2634">
      <c r="A2634" s="12"/>
      <c r="B2634" s="13"/>
      <c r="C2634" s="14"/>
      <c r="D2634" s="14"/>
      <c r="E2634" s="15"/>
      <c r="F2634" s="16"/>
      <c r="G2634" s="18"/>
      <c r="H2634" s="15"/>
      <c r="I2634" s="18"/>
      <c r="J2634" s="22"/>
      <c r="K2634" s="108"/>
      <c r="L2634" s="26"/>
      <c r="M2634" s="26"/>
    </row>
    <row r="2635">
      <c r="A2635" s="12"/>
      <c r="B2635" s="13"/>
      <c r="C2635" s="14"/>
      <c r="D2635" s="14"/>
      <c r="E2635" s="15"/>
      <c r="F2635" s="16"/>
      <c r="G2635" s="18"/>
      <c r="H2635" s="15"/>
      <c r="I2635" s="18"/>
      <c r="J2635" s="22"/>
      <c r="K2635" s="108"/>
      <c r="L2635" s="26"/>
      <c r="M2635" s="26"/>
    </row>
    <row r="2636">
      <c r="A2636" s="12"/>
      <c r="B2636" s="13"/>
      <c r="C2636" s="14"/>
      <c r="D2636" s="14"/>
      <c r="E2636" s="15"/>
      <c r="F2636" s="16"/>
      <c r="G2636" s="18"/>
      <c r="H2636" s="15"/>
      <c r="I2636" s="18"/>
      <c r="J2636" s="22"/>
      <c r="K2636" s="108"/>
      <c r="L2636" s="26"/>
      <c r="M2636" s="26"/>
    </row>
    <row r="2637">
      <c r="A2637" s="12"/>
      <c r="B2637" s="13"/>
      <c r="C2637" s="14"/>
      <c r="D2637" s="14"/>
      <c r="E2637" s="15"/>
      <c r="F2637" s="16"/>
      <c r="G2637" s="18"/>
      <c r="H2637" s="15"/>
      <c r="I2637" s="18"/>
      <c r="J2637" s="22"/>
      <c r="K2637" s="108"/>
      <c r="L2637" s="26"/>
      <c r="M2637" s="26"/>
    </row>
    <row r="2638">
      <c r="A2638" s="12"/>
      <c r="B2638" s="13"/>
      <c r="C2638" s="14"/>
      <c r="D2638" s="14"/>
      <c r="E2638" s="15"/>
      <c r="F2638" s="16"/>
      <c r="G2638" s="18"/>
      <c r="H2638" s="15"/>
      <c r="I2638" s="18"/>
      <c r="J2638" s="22"/>
      <c r="K2638" s="108"/>
      <c r="L2638" s="26"/>
      <c r="M2638" s="26"/>
    </row>
    <row r="2639">
      <c r="A2639" s="12"/>
      <c r="B2639" s="13"/>
      <c r="C2639" s="14"/>
      <c r="D2639" s="14"/>
      <c r="E2639" s="15"/>
      <c r="F2639" s="16"/>
      <c r="G2639" s="18"/>
      <c r="H2639" s="15"/>
      <c r="I2639" s="18"/>
      <c r="J2639" s="22"/>
      <c r="K2639" s="108"/>
      <c r="L2639" s="26"/>
      <c r="M2639" s="26"/>
    </row>
    <row r="2640">
      <c r="A2640" s="12"/>
      <c r="B2640" s="13"/>
      <c r="C2640" s="14"/>
      <c r="D2640" s="14"/>
      <c r="E2640" s="15"/>
      <c r="F2640" s="16"/>
      <c r="G2640" s="18"/>
      <c r="H2640" s="15"/>
      <c r="I2640" s="18"/>
      <c r="J2640" s="22"/>
      <c r="K2640" s="108"/>
      <c r="L2640" s="26"/>
      <c r="M2640" s="26"/>
    </row>
    <row r="2641">
      <c r="A2641" s="12"/>
      <c r="B2641" s="13"/>
      <c r="C2641" s="14"/>
      <c r="D2641" s="14"/>
      <c r="E2641" s="15"/>
      <c r="F2641" s="16"/>
      <c r="G2641" s="18"/>
      <c r="H2641" s="15"/>
      <c r="I2641" s="18"/>
      <c r="J2641" s="22"/>
      <c r="K2641" s="108"/>
      <c r="L2641" s="26"/>
      <c r="M2641" s="26"/>
    </row>
    <row r="2642">
      <c r="A2642" s="12"/>
      <c r="B2642" s="13"/>
      <c r="C2642" s="14"/>
      <c r="D2642" s="14"/>
      <c r="E2642" s="15"/>
      <c r="F2642" s="16"/>
      <c r="G2642" s="18"/>
      <c r="H2642" s="15"/>
      <c r="I2642" s="18"/>
      <c r="J2642" s="22"/>
      <c r="K2642" s="108"/>
      <c r="L2642" s="26"/>
      <c r="M2642" s="26"/>
    </row>
    <row r="2643">
      <c r="A2643" s="12"/>
      <c r="B2643" s="13"/>
      <c r="C2643" s="14"/>
      <c r="D2643" s="14"/>
      <c r="E2643" s="15"/>
      <c r="F2643" s="16"/>
      <c r="G2643" s="18"/>
      <c r="H2643" s="15"/>
      <c r="I2643" s="18"/>
      <c r="J2643" s="22"/>
      <c r="K2643" s="108"/>
      <c r="L2643" s="26"/>
      <c r="M2643" s="26"/>
    </row>
    <row r="2644">
      <c r="A2644" s="12"/>
      <c r="B2644" s="13"/>
      <c r="C2644" s="14"/>
      <c r="D2644" s="14"/>
      <c r="E2644" s="15"/>
      <c r="F2644" s="16"/>
      <c r="G2644" s="18"/>
      <c r="H2644" s="15"/>
      <c r="I2644" s="18"/>
      <c r="J2644" s="22"/>
      <c r="K2644" s="108"/>
      <c r="L2644" s="26"/>
      <c r="M2644" s="26"/>
    </row>
    <row r="2645">
      <c r="A2645" s="12"/>
      <c r="B2645" s="13"/>
      <c r="C2645" s="14"/>
      <c r="D2645" s="14"/>
      <c r="E2645" s="15"/>
      <c r="F2645" s="16"/>
      <c r="G2645" s="18"/>
      <c r="H2645" s="15"/>
      <c r="I2645" s="18"/>
      <c r="J2645" s="22"/>
      <c r="K2645" s="108"/>
      <c r="L2645" s="26"/>
      <c r="M2645" s="26"/>
    </row>
    <row r="2646">
      <c r="A2646" s="12"/>
      <c r="B2646" s="13"/>
      <c r="C2646" s="14"/>
      <c r="D2646" s="14"/>
      <c r="E2646" s="15"/>
      <c r="F2646" s="16"/>
      <c r="G2646" s="18"/>
      <c r="H2646" s="15"/>
      <c r="I2646" s="18"/>
      <c r="J2646" s="22"/>
      <c r="K2646" s="108"/>
      <c r="L2646" s="26"/>
      <c r="M2646" s="26"/>
    </row>
    <row r="2647">
      <c r="A2647" s="12"/>
      <c r="B2647" s="13"/>
      <c r="C2647" s="14"/>
      <c r="D2647" s="14"/>
      <c r="E2647" s="15"/>
      <c r="F2647" s="16"/>
      <c r="G2647" s="18"/>
      <c r="H2647" s="15"/>
      <c r="I2647" s="18"/>
      <c r="J2647" s="22"/>
      <c r="K2647" s="108"/>
      <c r="L2647" s="26"/>
      <c r="M2647" s="26"/>
    </row>
    <row r="2648">
      <c r="A2648" s="12"/>
      <c r="B2648" s="13"/>
      <c r="C2648" s="14"/>
      <c r="D2648" s="14"/>
      <c r="E2648" s="15"/>
      <c r="F2648" s="16"/>
      <c r="G2648" s="18"/>
      <c r="H2648" s="15"/>
      <c r="I2648" s="18"/>
      <c r="J2648" s="22"/>
      <c r="K2648" s="108"/>
      <c r="L2648" s="26"/>
      <c r="M2648" s="26"/>
    </row>
    <row r="2649">
      <c r="A2649" s="12"/>
      <c r="B2649" s="13"/>
      <c r="C2649" s="14"/>
      <c r="D2649" s="14"/>
      <c r="E2649" s="15"/>
      <c r="F2649" s="16"/>
      <c r="G2649" s="18"/>
      <c r="H2649" s="15"/>
      <c r="I2649" s="18"/>
      <c r="J2649" s="22"/>
      <c r="K2649" s="108"/>
      <c r="L2649" s="26"/>
      <c r="M2649" s="26"/>
    </row>
    <row r="2650">
      <c r="A2650" s="12"/>
      <c r="B2650" s="13"/>
      <c r="C2650" s="14"/>
      <c r="D2650" s="14"/>
      <c r="E2650" s="15"/>
      <c r="F2650" s="16"/>
      <c r="G2650" s="18"/>
      <c r="H2650" s="15"/>
      <c r="I2650" s="18"/>
      <c r="J2650" s="22"/>
      <c r="K2650" s="108"/>
      <c r="L2650" s="26"/>
      <c r="M2650" s="26"/>
    </row>
    <row r="2651">
      <c r="A2651" s="12"/>
      <c r="B2651" s="13"/>
      <c r="C2651" s="14"/>
      <c r="D2651" s="14"/>
      <c r="E2651" s="15"/>
      <c r="F2651" s="16"/>
      <c r="G2651" s="18"/>
      <c r="H2651" s="15"/>
      <c r="I2651" s="18"/>
      <c r="J2651" s="22"/>
      <c r="K2651" s="108"/>
      <c r="L2651" s="26"/>
      <c r="M2651" s="26"/>
    </row>
    <row r="2652">
      <c r="A2652" s="12"/>
      <c r="B2652" s="13"/>
      <c r="C2652" s="14"/>
      <c r="D2652" s="14"/>
      <c r="E2652" s="15"/>
      <c r="F2652" s="16"/>
      <c r="G2652" s="18"/>
      <c r="H2652" s="15"/>
      <c r="I2652" s="18"/>
      <c r="J2652" s="22"/>
      <c r="K2652" s="108"/>
      <c r="L2652" s="26"/>
      <c r="M2652" s="26"/>
    </row>
    <row r="2653">
      <c r="A2653" s="12"/>
      <c r="B2653" s="13"/>
      <c r="C2653" s="14"/>
      <c r="D2653" s="14"/>
      <c r="E2653" s="15"/>
      <c r="F2653" s="16"/>
      <c r="G2653" s="18"/>
      <c r="H2653" s="15"/>
      <c r="I2653" s="18"/>
      <c r="J2653" s="22"/>
      <c r="K2653" s="108"/>
      <c r="L2653" s="26"/>
      <c r="M2653" s="26"/>
    </row>
    <row r="2654">
      <c r="A2654" s="12"/>
      <c r="B2654" s="13"/>
      <c r="C2654" s="14"/>
      <c r="D2654" s="14"/>
      <c r="E2654" s="15"/>
      <c r="F2654" s="16"/>
      <c r="G2654" s="18"/>
      <c r="H2654" s="15"/>
      <c r="I2654" s="18"/>
      <c r="J2654" s="22"/>
      <c r="K2654" s="108"/>
      <c r="L2654" s="26"/>
      <c r="M2654" s="26"/>
    </row>
    <row r="2655">
      <c r="A2655" s="12"/>
      <c r="B2655" s="13"/>
      <c r="C2655" s="14"/>
      <c r="D2655" s="14"/>
      <c r="E2655" s="15"/>
      <c r="F2655" s="16"/>
      <c r="G2655" s="18"/>
      <c r="H2655" s="15"/>
      <c r="I2655" s="18"/>
      <c r="J2655" s="22"/>
      <c r="K2655" s="108"/>
      <c r="L2655" s="26"/>
      <c r="M2655" s="26"/>
    </row>
    <row r="2656">
      <c r="A2656" s="12"/>
      <c r="B2656" s="13"/>
      <c r="C2656" s="14"/>
      <c r="D2656" s="14"/>
      <c r="E2656" s="15"/>
      <c r="F2656" s="16"/>
      <c r="G2656" s="18"/>
      <c r="H2656" s="15"/>
      <c r="I2656" s="18"/>
      <c r="J2656" s="22"/>
      <c r="K2656" s="108"/>
      <c r="L2656" s="26"/>
      <c r="M2656" s="26"/>
    </row>
    <row r="2657">
      <c r="A2657" s="12"/>
      <c r="B2657" s="13"/>
      <c r="C2657" s="14"/>
      <c r="D2657" s="14"/>
      <c r="E2657" s="15"/>
      <c r="F2657" s="16"/>
      <c r="G2657" s="18"/>
      <c r="H2657" s="15"/>
      <c r="I2657" s="18"/>
      <c r="J2657" s="22"/>
      <c r="K2657" s="108"/>
      <c r="L2657" s="26"/>
      <c r="M2657" s="26"/>
    </row>
    <row r="2658">
      <c r="A2658" s="12"/>
      <c r="B2658" s="13"/>
      <c r="C2658" s="14"/>
      <c r="D2658" s="14"/>
      <c r="E2658" s="15"/>
      <c r="F2658" s="16"/>
      <c r="G2658" s="18"/>
      <c r="H2658" s="15"/>
      <c r="I2658" s="18"/>
      <c r="J2658" s="22"/>
      <c r="K2658" s="108"/>
      <c r="L2658" s="26"/>
      <c r="M2658" s="26"/>
    </row>
    <row r="2659">
      <c r="A2659" s="12"/>
      <c r="B2659" s="13"/>
      <c r="C2659" s="14"/>
      <c r="D2659" s="14"/>
      <c r="E2659" s="15"/>
      <c r="F2659" s="16"/>
      <c r="G2659" s="18"/>
      <c r="H2659" s="15"/>
      <c r="I2659" s="18"/>
      <c r="J2659" s="22"/>
      <c r="K2659" s="108"/>
      <c r="L2659" s="26"/>
      <c r="M2659" s="26"/>
    </row>
    <row r="2660">
      <c r="A2660" s="12"/>
      <c r="B2660" s="13"/>
      <c r="C2660" s="14"/>
      <c r="D2660" s="14"/>
      <c r="E2660" s="15"/>
      <c r="F2660" s="16"/>
      <c r="G2660" s="18"/>
      <c r="H2660" s="15"/>
      <c r="I2660" s="18"/>
      <c r="J2660" s="22"/>
      <c r="K2660" s="108"/>
      <c r="L2660" s="26"/>
      <c r="M2660" s="26"/>
    </row>
    <row r="2661">
      <c r="A2661" s="12"/>
      <c r="B2661" s="13"/>
      <c r="C2661" s="14"/>
      <c r="D2661" s="14"/>
      <c r="E2661" s="15"/>
      <c r="F2661" s="16"/>
      <c r="G2661" s="18"/>
      <c r="H2661" s="15"/>
      <c r="I2661" s="18"/>
      <c r="J2661" s="22"/>
      <c r="K2661" s="108"/>
      <c r="L2661" s="26"/>
      <c r="M2661" s="26"/>
    </row>
    <row r="2662">
      <c r="A2662" s="12"/>
      <c r="B2662" s="13"/>
      <c r="C2662" s="14"/>
      <c r="D2662" s="14"/>
      <c r="E2662" s="15"/>
      <c r="F2662" s="16"/>
      <c r="G2662" s="18"/>
      <c r="H2662" s="15"/>
      <c r="I2662" s="18"/>
      <c r="J2662" s="22"/>
      <c r="K2662" s="108"/>
      <c r="L2662" s="26"/>
      <c r="M2662" s="26"/>
    </row>
    <row r="2663">
      <c r="A2663" s="12"/>
      <c r="B2663" s="13"/>
      <c r="C2663" s="14"/>
      <c r="D2663" s="14"/>
      <c r="E2663" s="15"/>
      <c r="F2663" s="16"/>
      <c r="G2663" s="18"/>
      <c r="H2663" s="15"/>
      <c r="I2663" s="18"/>
      <c r="J2663" s="22"/>
      <c r="K2663" s="108"/>
      <c r="L2663" s="26"/>
      <c r="M2663" s="26"/>
    </row>
    <row r="2664">
      <c r="A2664" s="12"/>
      <c r="B2664" s="13"/>
      <c r="C2664" s="14"/>
      <c r="D2664" s="14"/>
      <c r="E2664" s="15"/>
      <c r="F2664" s="16"/>
      <c r="G2664" s="18"/>
      <c r="H2664" s="15"/>
      <c r="I2664" s="18"/>
      <c r="J2664" s="22"/>
      <c r="K2664" s="108"/>
      <c r="L2664" s="26"/>
      <c r="M2664" s="26"/>
    </row>
    <row r="2665">
      <c r="A2665" s="12"/>
      <c r="B2665" s="13"/>
      <c r="C2665" s="14"/>
      <c r="D2665" s="14"/>
      <c r="E2665" s="15"/>
      <c r="F2665" s="16"/>
      <c r="G2665" s="18"/>
      <c r="H2665" s="15"/>
      <c r="I2665" s="18"/>
      <c r="J2665" s="22"/>
      <c r="K2665" s="108"/>
      <c r="L2665" s="26"/>
      <c r="M2665" s="26"/>
    </row>
    <row r="2666">
      <c r="A2666" s="12"/>
      <c r="B2666" s="13"/>
      <c r="C2666" s="14"/>
      <c r="D2666" s="14"/>
      <c r="E2666" s="15"/>
      <c r="F2666" s="16"/>
      <c r="G2666" s="18"/>
      <c r="H2666" s="15"/>
      <c r="I2666" s="18"/>
      <c r="J2666" s="22"/>
      <c r="K2666" s="108"/>
      <c r="L2666" s="26"/>
      <c r="M2666" s="26"/>
    </row>
    <row r="2667">
      <c r="A2667" s="12"/>
      <c r="B2667" s="13"/>
      <c r="C2667" s="14"/>
      <c r="D2667" s="14"/>
      <c r="E2667" s="15"/>
      <c r="F2667" s="16"/>
      <c r="G2667" s="18"/>
      <c r="H2667" s="15"/>
      <c r="I2667" s="18"/>
      <c r="J2667" s="22"/>
      <c r="K2667" s="108"/>
      <c r="L2667" s="26"/>
      <c r="M2667" s="26"/>
    </row>
    <row r="2668">
      <c r="A2668" s="12"/>
      <c r="B2668" s="13"/>
      <c r="C2668" s="14"/>
      <c r="D2668" s="14"/>
      <c r="E2668" s="15"/>
      <c r="F2668" s="16"/>
      <c r="G2668" s="18"/>
      <c r="H2668" s="15"/>
      <c r="I2668" s="18"/>
      <c r="J2668" s="22"/>
      <c r="K2668" s="108"/>
      <c r="L2668" s="26"/>
      <c r="M2668" s="26"/>
    </row>
    <row r="2669">
      <c r="A2669" s="12"/>
      <c r="B2669" s="13"/>
      <c r="C2669" s="14"/>
      <c r="D2669" s="14"/>
      <c r="E2669" s="15"/>
      <c r="F2669" s="16"/>
      <c r="G2669" s="18"/>
      <c r="H2669" s="15"/>
      <c r="I2669" s="18"/>
      <c r="J2669" s="22"/>
      <c r="K2669" s="108"/>
      <c r="L2669" s="26"/>
      <c r="M2669" s="26"/>
    </row>
    <row r="2670">
      <c r="A2670" s="12"/>
      <c r="B2670" s="13"/>
      <c r="C2670" s="14"/>
      <c r="D2670" s="14"/>
      <c r="E2670" s="15"/>
      <c r="F2670" s="16"/>
      <c r="G2670" s="18"/>
      <c r="H2670" s="15"/>
      <c r="I2670" s="18"/>
      <c r="J2670" s="22"/>
      <c r="K2670" s="108"/>
      <c r="L2670" s="26"/>
      <c r="M2670" s="26"/>
    </row>
    <row r="2671">
      <c r="A2671" s="12"/>
      <c r="B2671" s="13"/>
      <c r="C2671" s="14"/>
      <c r="D2671" s="14"/>
      <c r="E2671" s="15"/>
      <c r="F2671" s="16"/>
      <c r="G2671" s="18"/>
      <c r="H2671" s="15"/>
      <c r="I2671" s="18"/>
      <c r="J2671" s="22"/>
      <c r="K2671" s="108"/>
      <c r="L2671" s="26"/>
      <c r="M2671" s="26"/>
    </row>
    <row r="2672">
      <c r="A2672" s="12"/>
      <c r="B2672" s="13"/>
      <c r="C2672" s="14"/>
      <c r="D2672" s="14"/>
      <c r="E2672" s="15"/>
      <c r="F2672" s="16"/>
      <c r="G2672" s="18"/>
      <c r="H2672" s="15"/>
      <c r="I2672" s="18"/>
      <c r="J2672" s="22"/>
      <c r="K2672" s="108"/>
      <c r="L2672" s="26"/>
      <c r="M2672" s="26"/>
    </row>
    <row r="2673">
      <c r="A2673" s="12"/>
      <c r="B2673" s="13"/>
      <c r="C2673" s="14"/>
      <c r="D2673" s="14"/>
      <c r="E2673" s="15"/>
      <c r="F2673" s="16"/>
      <c r="G2673" s="18"/>
      <c r="H2673" s="15"/>
      <c r="I2673" s="18"/>
      <c r="J2673" s="22"/>
      <c r="K2673" s="108"/>
      <c r="L2673" s="26"/>
      <c r="M2673" s="26"/>
    </row>
    <row r="2674">
      <c r="A2674" s="12"/>
      <c r="B2674" s="13"/>
      <c r="C2674" s="14"/>
      <c r="D2674" s="14"/>
      <c r="E2674" s="15"/>
      <c r="F2674" s="16"/>
      <c r="G2674" s="18"/>
      <c r="H2674" s="15"/>
      <c r="I2674" s="18"/>
      <c r="J2674" s="22"/>
      <c r="K2674" s="108"/>
      <c r="L2674" s="26"/>
      <c r="M2674" s="26"/>
    </row>
    <row r="2675">
      <c r="A2675" s="12"/>
      <c r="B2675" s="13"/>
      <c r="C2675" s="14"/>
      <c r="D2675" s="14"/>
      <c r="E2675" s="15"/>
      <c r="F2675" s="16"/>
      <c r="G2675" s="18"/>
      <c r="H2675" s="15"/>
      <c r="I2675" s="18"/>
      <c r="J2675" s="22"/>
      <c r="K2675" s="108"/>
      <c r="L2675" s="26"/>
      <c r="M2675" s="26"/>
    </row>
    <row r="2676">
      <c r="A2676" s="12"/>
      <c r="B2676" s="13"/>
      <c r="C2676" s="14"/>
      <c r="D2676" s="14"/>
      <c r="E2676" s="15"/>
      <c r="F2676" s="16"/>
      <c r="G2676" s="18"/>
      <c r="H2676" s="15"/>
      <c r="I2676" s="18"/>
      <c r="J2676" s="22"/>
      <c r="K2676" s="108"/>
      <c r="L2676" s="26"/>
      <c r="M2676" s="26"/>
    </row>
    <row r="2677">
      <c r="A2677" s="12"/>
      <c r="B2677" s="13"/>
      <c r="C2677" s="14"/>
      <c r="D2677" s="14"/>
      <c r="E2677" s="15"/>
      <c r="F2677" s="16"/>
      <c r="G2677" s="18"/>
      <c r="H2677" s="15"/>
      <c r="I2677" s="18"/>
      <c r="J2677" s="22"/>
      <c r="K2677" s="108"/>
      <c r="L2677" s="26"/>
      <c r="M2677" s="26"/>
    </row>
    <row r="2678">
      <c r="A2678" s="12"/>
      <c r="B2678" s="13"/>
      <c r="C2678" s="14"/>
      <c r="D2678" s="14"/>
      <c r="E2678" s="15"/>
      <c r="F2678" s="16"/>
      <c r="G2678" s="18"/>
      <c r="H2678" s="15"/>
      <c r="I2678" s="18"/>
      <c r="J2678" s="22"/>
      <c r="K2678" s="108"/>
      <c r="L2678" s="26"/>
      <c r="M2678" s="26"/>
    </row>
    <row r="2679">
      <c r="A2679" s="12"/>
      <c r="B2679" s="13"/>
      <c r="C2679" s="14"/>
      <c r="D2679" s="14"/>
      <c r="E2679" s="15"/>
      <c r="F2679" s="16"/>
      <c r="G2679" s="18"/>
      <c r="H2679" s="15"/>
      <c r="I2679" s="18"/>
      <c r="J2679" s="22"/>
      <c r="K2679" s="108"/>
      <c r="L2679" s="26"/>
      <c r="M2679" s="26"/>
    </row>
    <row r="2680">
      <c r="A2680" s="12"/>
      <c r="B2680" s="13"/>
      <c r="C2680" s="14"/>
      <c r="D2680" s="14"/>
      <c r="E2680" s="15"/>
      <c r="F2680" s="16"/>
      <c r="G2680" s="18"/>
      <c r="H2680" s="15"/>
      <c r="I2680" s="18"/>
      <c r="J2680" s="22"/>
      <c r="K2680" s="108"/>
      <c r="L2680" s="26"/>
      <c r="M2680" s="26"/>
    </row>
    <row r="2681">
      <c r="A2681" s="12"/>
      <c r="B2681" s="13"/>
      <c r="C2681" s="14"/>
      <c r="D2681" s="14"/>
      <c r="E2681" s="15"/>
      <c r="F2681" s="16"/>
      <c r="G2681" s="18"/>
      <c r="H2681" s="15"/>
      <c r="I2681" s="18"/>
      <c r="J2681" s="22"/>
      <c r="K2681" s="108"/>
      <c r="L2681" s="26"/>
      <c r="M2681" s="26"/>
    </row>
    <row r="2682">
      <c r="A2682" s="12"/>
      <c r="B2682" s="13"/>
      <c r="C2682" s="14"/>
      <c r="D2682" s="14"/>
      <c r="E2682" s="15"/>
      <c r="F2682" s="16"/>
      <c r="G2682" s="18"/>
      <c r="H2682" s="15"/>
      <c r="I2682" s="18"/>
      <c r="J2682" s="22"/>
      <c r="K2682" s="108"/>
      <c r="L2682" s="26"/>
      <c r="M2682" s="26"/>
    </row>
    <row r="2683">
      <c r="A2683" s="12"/>
      <c r="B2683" s="13"/>
      <c r="C2683" s="14"/>
      <c r="D2683" s="14"/>
      <c r="E2683" s="15"/>
      <c r="F2683" s="16"/>
      <c r="G2683" s="18"/>
      <c r="H2683" s="15"/>
      <c r="I2683" s="18"/>
      <c r="J2683" s="22"/>
      <c r="K2683" s="108"/>
      <c r="L2683" s="26"/>
      <c r="M2683" s="26"/>
    </row>
    <row r="2684">
      <c r="A2684" s="12"/>
      <c r="B2684" s="13"/>
      <c r="C2684" s="14"/>
      <c r="D2684" s="14"/>
      <c r="E2684" s="15"/>
      <c r="F2684" s="16"/>
      <c r="G2684" s="18"/>
      <c r="H2684" s="15"/>
      <c r="I2684" s="18"/>
      <c r="J2684" s="22"/>
      <c r="K2684" s="108"/>
      <c r="L2684" s="26"/>
      <c r="M2684" s="26"/>
    </row>
    <row r="2685">
      <c r="A2685" s="12"/>
      <c r="B2685" s="13"/>
      <c r="C2685" s="14"/>
      <c r="D2685" s="14"/>
      <c r="E2685" s="15"/>
      <c r="F2685" s="16"/>
      <c r="G2685" s="18"/>
      <c r="H2685" s="15"/>
      <c r="I2685" s="18"/>
      <c r="J2685" s="22"/>
      <c r="K2685" s="108"/>
      <c r="L2685" s="26"/>
      <c r="M2685" s="26"/>
    </row>
    <row r="2686">
      <c r="A2686" s="12"/>
      <c r="B2686" s="13"/>
      <c r="C2686" s="14"/>
      <c r="D2686" s="14"/>
      <c r="E2686" s="15"/>
      <c r="F2686" s="16"/>
      <c r="G2686" s="18"/>
      <c r="H2686" s="15"/>
      <c r="I2686" s="18"/>
      <c r="J2686" s="22"/>
      <c r="K2686" s="108"/>
      <c r="L2686" s="26"/>
      <c r="M2686" s="26"/>
    </row>
    <row r="2687">
      <c r="A2687" s="12"/>
      <c r="B2687" s="13"/>
      <c r="C2687" s="14"/>
      <c r="D2687" s="14"/>
      <c r="E2687" s="15"/>
      <c r="F2687" s="16"/>
      <c r="G2687" s="18"/>
      <c r="H2687" s="15"/>
      <c r="I2687" s="18"/>
      <c r="J2687" s="22"/>
      <c r="K2687" s="108"/>
      <c r="L2687" s="26"/>
      <c r="M2687" s="26"/>
    </row>
    <row r="2688">
      <c r="A2688" s="12"/>
      <c r="B2688" s="13"/>
      <c r="C2688" s="14"/>
      <c r="D2688" s="14"/>
      <c r="E2688" s="15"/>
      <c r="F2688" s="16"/>
      <c r="G2688" s="18"/>
      <c r="H2688" s="15"/>
      <c r="I2688" s="18"/>
      <c r="J2688" s="22"/>
      <c r="K2688" s="108"/>
      <c r="L2688" s="26"/>
      <c r="M2688" s="26"/>
    </row>
    <row r="2689">
      <c r="A2689" s="12"/>
      <c r="B2689" s="13"/>
      <c r="C2689" s="14"/>
      <c r="D2689" s="14"/>
      <c r="E2689" s="15"/>
      <c r="F2689" s="16"/>
      <c r="G2689" s="18"/>
      <c r="H2689" s="15"/>
      <c r="I2689" s="18"/>
      <c r="J2689" s="22"/>
      <c r="K2689" s="108"/>
      <c r="L2689" s="26"/>
      <c r="M2689" s="26"/>
    </row>
    <row r="2690">
      <c r="A2690" s="12"/>
      <c r="B2690" s="13"/>
      <c r="C2690" s="14"/>
      <c r="D2690" s="14"/>
      <c r="E2690" s="15"/>
      <c r="F2690" s="16"/>
      <c r="G2690" s="18"/>
      <c r="H2690" s="15"/>
      <c r="I2690" s="18"/>
      <c r="J2690" s="22"/>
      <c r="K2690" s="108"/>
      <c r="L2690" s="26"/>
      <c r="M2690" s="26"/>
    </row>
    <row r="2691">
      <c r="A2691" s="12"/>
      <c r="B2691" s="13"/>
      <c r="C2691" s="14"/>
      <c r="D2691" s="14"/>
      <c r="E2691" s="15"/>
      <c r="F2691" s="16"/>
      <c r="G2691" s="18"/>
      <c r="H2691" s="15"/>
      <c r="I2691" s="18"/>
      <c r="J2691" s="22"/>
      <c r="K2691" s="108"/>
      <c r="L2691" s="26"/>
      <c r="M2691" s="26"/>
    </row>
    <row r="2692">
      <c r="A2692" s="12"/>
      <c r="B2692" s="13"/>
      <c r="C2692" s="14"/>
      <c r="D2692" s="14"/>
      <c r="E2692" s="15"/>
      <c r="F2692" s="16"/>
      <c r="G2692" s="18"/>
      <c r="H2692" s="15"/>
      <c r="I2692" s="18"/>
      <c r="J2692" s="22"/>
      <c r="K2692" s="108"/>
      <c r="L2692" s="26"/>
      <c r="M2692" s="26"/>
    </row>
    <row r="2693">
      <c r="A2693" s="12"/>
      <c r="B2693" s="13"/>
      <c r="C2693" s="14"/>
      <c r="D2693" s="14"/>
      <c r="E2693" s="15"/>
      <c r="F2693" s="16"/>
      <c r="G2693" s="18"/>
      <c r="H2693" s="15"/>
      <c r="I2693" s="18"/>
      <c r="J2693" s="22"/>
      <c r="K2693" s="108"/>
      <c r="L2693" s="26"/>
      <c r="M2693" s="26"/>
    </row>
    <row r="2694">
      <c r="A2694" s="12"/>
      <c r="B2694" s="13"/>
      <c r="C2694" s="14"/>
      <c r="D2694" s="14"/>
      <c r="E2694" s="15"/>
      <c r="F2694" s="16"/>
      <c r="G2694" s="18"/>
      <c r="H2694" s="15"/>
      <c r="I2694" s="18"/>
      <c r="J2694" s="22"/>
      <c r="K2694" s="108"/>
      <c r="L2694" s="26"/>
      <c r="M2694" s="26"/>
    </row>
    <row r="2695">
      <c r="A2695" s="12"/>
      <c r="B2695" s="13"/>
      <c r="C2695" s="14"/>
      <c r="D2695" s="14"/>
      <c r="E2695" s="15"/>
      <c r="F2695" s="16"/>
      <c r="G2695" s="18"/>
      <c r="H2695" s="15"/>
      <c r="I2695" s="18"/>
      <c r="J2695" s="22"/>
      <c r="K2695" s="108"/>
      <c r="L2695" s="26"/>
      <c r="M2695" s="26"/>
    </row>
    <row r="2696">
      <c r="A2696" s="12"/>
      <c r="B2696" s="13"/>
      <c r="C2696" s="14"/>
      <c r="D2696" s="14"/>
      <c r="E2696" s="15"/>
      <c r="F2696" s="16"/>
      <c r="G2696" s="18"/>
      <c r="H2696" s="15"/>
      <c r="I2696" s="18"/>
      <c r="J2696" s="22"/>
      <c r="K2696" s="108"/>
      <c r="L2696" s="26"/>
      <c r="M2696" s="26"/>
    </row>
    <row r="2697">
      <c r="A2697" s="12"/>
      <c r="B2697" s="13"/>
      <c r="C2697" s="14"/>
      <c r="D2697" s="14"/>
      <c r="E2697" s="15"/>
      <c r="F2697" s="16"/>
      <c r="G2697" s="18"/>
      <c r="H2697" s="15"/>
      <c r="I2697" s="18"/>
      <c r="J2697" s="22"/>
      <c r="K2697" s="108"/>
      <c r="L2697" s="26"/>
      <c r="M2697" s="26"/>
    </row>
    <row r="2698">
      <c r="A2698" s="12"/>
      <c r="B2698" s="13"/>
      <c r="C2698" s="14"/>
      <c r="D2698" s="14"/>
      <c r="E2698" s="15"/>
      <c r="F2698" s="16"/>
      <c r="G2698" s="18"/>
      <c r="H2698" s="15"/>
      <c r="I2698" s="18"/>
      <c r="J2698" s="22"/>
      <c r="K2698" s="108"/>
      <c r="L2698" s="26"/>
      <c r="M2698" s="26"/>
    </row>
    <row r="2699">
      <c r="A2699" s="12"/>
      <c r="B2699" s="13"/>
      <c r="C2699" s="14"/>
      <c r="D2699" s="14"/>
      <c r="E2699" s="15"/>
      <c r="F2699" s="16"/>
      <c r="G2699" s="18"/>
      <c r="H2699" s="15"/>
      <c r="I2699" s="18"/>
      <c r="J2699" s="22"/>
      <c r="K2699" s="108"/>
      <c r="L2699" s="26"/>
      <c r="M2699" s="26"/>
    </row>
    <row r="2700">
      <c r="A2700" s="12"/>
      <c r="B2700" s="13"/>
      <c r="C2700" s="14"/>
      <c r="D2700" s="14"/>
      <c r="E2700" s="15"/>
      <c r="F2700" s="16"/>
      <c r="G2700" s="18"/>
      <c r="H2700" s="15"/>
      <c r="I2700" s="18"/>
      <c r="J2700" s="22"/>
      <c r="K2700" s="108"/>
      <c r="L2700" s="26"/>
      <c r="M2700" s="26"/>
    </row>
    <row r="2701">
      <c r="A2701" s="12"/>
      <c r="B2701" s="13"/>
      <c r="C2701" s="14"/>
      <c r="D2701" s="14"/>
      <c r="E2701" s="15"/>
      <c r="F2701" s="16"/>
      <c r="G2701" s="18"/>
      <c r="H2701" s="15"/>
      <c r="I2701" s="18"/>
      <c r="J2701" s="22"/>
      <c r="K2701" s="108"/>
      <c r="L2701" s="26"/>
      <c r="M2701" s="26"/>
    </row>
    <row r="2702">
      <c r="A2702" s="12"/>
      <c r="B2702" s="13"/>
      <c r="C2702" s="14"/>
      <c r="D2702" s="14"/>
      <c r="E2702" s="15"/>
      <c r="F2702" s="16"/>
      <c r="G2702" s="18"/>
      <c r="H2702" s="15"/>
      <c r="I2702" s="18"/>
      <c r="J2702" s="22"/>
      <c r="K2702" s="108"/>
      <c r="L2702" s="26"/>
      <c r="M2702" s="26"/>
    </row>
    <row r="2703">
      <c r="A2703" s="12"/>
      <c r="B2703" s="13"/>
      <c r="C2703" s="14"/>
      <c r="D2703" s="14"/>
      <c r="E2703" s="15"/>
      <c r="F2703" s="16"/>
      <c r="G2703" s="18"/>
      <c r="H2703" s="15"/>
      <c r="I2703" s="18"/>
      <c r="J2703" s="22"/>
      <c r="K2703" s="108"/>
      <c r="L2703" s="26"/>
      <c r="M2703" s="26"/>
    </row>
    <row r="2704">
      <c r="A2704" s="12"/>
      <c r="B2704" s="13"/>
      <c r="C2704" s="14"/>
      <c r="D2704" s="14"/>
      <c r="E2704" s="15"/>
      <c r="F2704" s="16"/>
      <c r="G2704" s="18"/>
      <c r="H2704" s="15"/>
      <c r="I2704" s="18"/>
      <c r="J2704" s="22"/>
      <c r="K2704" s="108"/>
      <c r="L2704" s="26"/>
      <c r="M2704" s="26"/>
    </row>
    <row r="2705">
      <c r="A2705" s="12"/>
      <c r="B2705" s="13"/>
      <c r="C2705" s="14"/>
      <c r="D2705" s="14"/>
      <c r="E2705" s="15"/>
      <c r="F2705" s="16"/>
      <c r="G2705" s="18"/>
      <c r="H2705" s="15"/>
      <c r="I2705" s="18"/>
      <c r="J2705" s="22"/>
      <c r="K2705" s="108"/>
      <c r="L2705" s="26"/>
      <c r="M2705" s="26"/>
    </row>
    <row r="2706">
      <c r="A2706" s="12"/>
      <c r="B2706" s="13"/>
      <c r="C2706" s="14"/>
      <c r="D2706" s="14"/>
      <c r="E2706" s="15"/>
      <c r="F2706" s="16"/>
      <c r="G2706" s="18"/>
      <c r="H2706" s="15"/>
      <c r="I2706" s="18"/>
      <c r="J2706" s="22"/>
      <c r="K2706" s="108"/>
      <c r="L2706" s="26"/>
      <c r="M2706" s="26"/>
    </row>
    <row r="2707">
      <c r="A2707" s="12"/>
      <c r="B2707" s="13"/>
      <c r="C2707" s="14"/>
      <c r="D2707" s="14"/>
      <c r="E2707" s="15"/>
      <c r="F2707" s="16"/>
      <c r="G2707" s="18"/>
      <c r="H2707" s="15"/>
      <c r="I2707" s="18"/>
      <c r="J2707" s="22"/>
      <c r="K2707" s="108"/>
      <c r="L2707" s="26"/>
      <c r="M2707" s="26"/>
    </row>
    <row r="2708">
      <c r="A2708" s="12"/>
      <c r="B2708" s="13"/>
      <c r="C2708" s="14"/>
      <c r="D2708" s="14"/>
      <c r="E2708" s="15"/>
      <c r="F2708" s="16"/>
      <c r="G2708" s="18"/>
      <c r="H2708" s="15"/>
      <c r="I2708" s="18"/>
      <c r="J2708" s="22"/>
      <c r="K2708" s="108"/>
      <c r="L2708" s="26"/>
      <c r="M2708" s="26"/>
    </row>
    <row r="2709">
      <c r="A2709" s="12"/>
      <c r="B2709" s="13"/>
      <c r="C2709" s="14"/>
      <c r="D2709" s="14"/>
      <c r="E2709" s="15"/>
      <c r="F2709" s="16"/>
      <c r="G2709" s="18"/>
      <c r="H2709" s="15"/>
      <c r="I2709" s="18"/>
      <c r="J2709" s="22"/>
      <c r="K2709" s="108"/>
      <c r="L2709" s="26"/>
      <c r="M2709" s="26"/>
    </row>
    <row r="2710">
      <c r="A2710" s="12"/>
      <c r="B2710" s="13"/>
      <c r="C2710" s="14"/>
      <c r="D2710" s="14"/>
      <c r="E2710" s="15"/>
      <c r="F2710" s="16"/>
      <c r="G2710" s="18"/>
      <c r="H2710" s="15"/>
      <c r="I2710" s="18"/>
      <c r="J2710" s="22"/>
      <c r="K2710" s="108"/>
      <c r="L2710" s="26"/>
      <c r="M2710" s="26"/>
    </row>
    <row r="2711">
      <c r="A2711" s="12"/>
      <c r="B2711" s="13"/>
      <c r="C2711" s="14"/>
      <c r="D2711" s="14"/>
      <c r="E2711" s="15"/>
      <c r="F2711" s="16"/>
      <c r="G2711" s="18"/>
      <c r="H2711" s="15"/>
      <c r="I2711" s="18"/>
      <c r="J2711" s="22"/>
      <c r="K2711" s="108"/>
      <c r="L2711" s="26"/>
      <c r="M2711" s="26"/>
    </row>
    <row r="2712">
      <c r="A2712" s="12"/>
      <c r="B2712" s="13"/>
      <c r="C2712" s="14"/>
      <c r="D2712" s="14"/>
      <c r="E2712" s="15"/>
      <c r="F2712" s="16"/>
      <c r="G2712" s="18"/>
      <c r="H2712" s="15"/>
      <c r="I2712" s="18"/>
      <c r="J2712" s="22"/>
      <c r="K2712" s="108"/>
      <c r="L2712" s="26"/>
      <c r="M2712" s="26"/>
    </row>
    <row r="2713">
      <c r="A2713" s="12"/>
      <c r="B2713" s="13"/>
      <c r="C2713" s="14"/>
      <c r="D2713" s="14"/>
      <c r="E2713" s="15"/>
      <c r="F2713" s="16"/>
      <c r="G2713" s="18"/>
      <c r="H2713" s="15"/>
      <c r="I2713" s="18"/>
      <c r="J2713" s="22"/>
      <c r="K2713" s="108"/>
      <c r="L2713" s="26"/>
      <c r="M2713" s="26"/>
    </row>
    <row r="2714">
      <c r="A2714" s="12"/>
      <c r="B2714" s="13"/>
      <c r="C2714" s="14"/>
      <c r="D2714" s="14"/>
      <c r="E2714" s="15"/>
      <c r="F2714" s="16"/>
      <c r="G2714" s="18"/>
      <c r="H2714" s="15"/>
      <c r="I2714" s="18"/>
      <c r="J2714" s="22"/>
      <c r="K2714" s="108"/>
      <c r="L2714" s="26"/>
      <c r="M2714" s="26"/>
    </row>
    <row r="2715">
      <c r="A2715" s="12"/>
      <c r="B2715" s="13"/>
      <c r="C2715" s="14"/>
      <c r="D2715" s="14"/>
      <c r="E2715" s="15"/>
      <c r="F2715" s="16"/>
      <c r="G2715" s="18"/>
      <c r="H2715" s="15"/>
      <c r="I2715" s="18"/>
      <c r="J2715" s="22"/>
      <c r="K2715" s="108"/>
      <c r="L2715" s="26"/>
      <c r="M2715" s="26"/>
    </row>
    <row r="2716">
      <c r="A2716" s="12"/>
      <c r="B2716" s="13"/>
      <c r="C2716" s="14"/>
      <c r="D2716" s="14"/>
      <c r="E2716" s="15"/>
      <c r="F2716" s="16"/>
      <c r="G2716" s="18"/>
      <c r="H2716" s="15"/>
      <c r="I2716" s="18"/>
      <c r="J2716" s="22"/>
      <c r="K2716" s="108"/>
      <c r="L2716" s="26"/>
      <c r="M2716" s="26"/>
    </row>
    <row r="2717">
      <c r="A2717" s="12"/>
      <c r="B2717" s="13"/>
      <c r="C2717" s="14"/>
      <c r="D2717" s="14"/>
      <c r="E2717" s="15"/>
      <c r="F2717" s="16"/>
      <c r="G2717" s="18"/>
      <c r="H2717" s="15"/>
      <c r="I2717" s="18"/>
      <c r="J2717" s="22"/>
      <c r="K2717" s="108"/>
      <c r="L2717" s="26"/>
      <c r="M2717" s="26"/>
    </row>
    <row r="2718">
      <c r="A2718" s="12"/>
      <c r="B2718" s="13"/>
      <c r="C2718" s="14"/>
      <c r="D2718" s="14"/>
      <c r="E2718" s="15"/>
      <c r="F2718" s="16"/>
      <c r="G2718" s="18"/>
      <c r="H2718" s="15"/>
      <c r="I2718" s="18"/>
      <c r="J2718" s="22"/>
      <c r="K2718" s="108"/>
      <c r="L2718" s="26"/>
      <c r="M2718" s="26"/>
    </row>
    <row r="2719">
      <c r="A2719" s="12"/>
      <c r="B2719" s="13"/>
      <c r="C2719" s="14"/>
      <c r="D2719" s="14"/>
      <c r="E2719" s="15"/>
      <c r="F2719" s="16"/>
      <c r="G2719" s="18"/>
      <c r="H2719" s="15"/>
      <c r="I2719" s="18"/>
      <c r="J2719" s="22"/>
      <c r="K2719" s="108"/>
      <c r="L2719" s="26"/>
      <c r="M2719" s="26"/>
    </row>
    <row r="2720">
      <c r="A2720" s="12"/>
      <c r="B2720" s="13"/>
      <c r="C2720" s="14"/>
      <c r="D2720" s="14"/>
      <c r="E2720" s="15"/>
      <c r="F2720" s="16"/>
      <c r="G2720" s="18"/>
      <c r="H2720" s="15"/>
      <c r="I2720" s="18"/>
      <c r="J2720" s="22"/>
      <c r="K2720" s="108"/>
      <c r="L2720" s="26"/>
      <c r="M2720" s="26"/>
    </row>
    <row r="2721">
      <c r="A2721" s="12"/>
      <c r="B2721" s="13"/>
      <c r="C2721" s="14"/>
      <c r="D2721" s="14"/>
      <c r="E2721" s="15"/>
      <c r="F2721" s="16"/>
      <c r="G2721" s="18"/>
      <c r="H2721" s="15"/>
      <c r="I2721" s="18"/>
      <c r="J2721" s="22"/>
      <c r="K2721" s="108"/>
      <c r="L2721" s="26"/>
      <c r="M2721" s="26"/>
    </row>
    <row r="2722">
      <c r="A2722" s="12"/>
      <c r="B2722" s="13"/>
      <c r="C2722" s="14"/>
      <c r="D2722" s="14"/>
      <c r="E2722" s="15"/>
      <c r="F2722" s="16"/>
      <c r="G2722" s="18"/>
      <c r="H2722" s="15"/>
      <c r="I2722" s="18"/>
      <c r="J2722" s="22"/>
      <c r="K2722" s="108"/>
      <c r="L2722" s="26"/>
      <c r="M2722" s="26"/>
    </row>
    <row r="2723">
      <c r="A2723" s="12"/>
      <c r="B2723" s="13"/>
      <c r="C2723" s="14"/>
      <c r="D2723" s="14"/>
      <c r="E2723" s="15"/>
      <c r="F2723" s="16"/>
      <c r="G2723" s="18"/>
      <c r="H2723" s="15"/>
      <c r="I2723" s="18"/>
      <c r="J2723" s="22"/>
      <c r="K2723" s="108"/>
      <c r="L2723" s="26"/>
      <c r="M2723" s="26"/>
    </row>
    <row r="2724">
      <c r="A2724" s="12"/>
      <c r="B2724" s="13"/>
      <c r="C2724" s="14"/>
      <c r="D2724" s="14"/>
      <c r="E2724" s="15"/>
      <c r="F2724" s="16"/>
      <c r="G2724" s="18"/>
      <c r="H2724" s="15"/>
      <c r="I2724" s="18"/>
      <c r="J2724" s="22"/>
      <c r="K2724" s="108"/>
      <c r="L2724" s="26"/>
      <c r="M2724" s="26"/>
    </row>
    <row r="2725">
      <c r="A2725" s="12"/>
      <c r="B2725" s="13"/>
      <c r="C2725" s="14"/>
      <c r="D2725" s="14"/>
      <c r="E2725" s="15"/>
      <c r="F2725" s="16"/>
      <c r="G2725" s="18"/>
      <c r="H2725" s="15"/>
      <c r="I2725" s="18"/>
      <c r="J2725" s="22"/>
      <c r="K2725" s="108"/>
      <c r="L2725" s="26"/>
      <c r="M2725" s="26"/>
    </row>
    <row r="2726">
      <c r="A2726" s="12"/>
      <c r="B2726" s="13"/>
      <c r="C2726" s="14"/>
      <c r="D2726" s="14"/>
      <c r="E2726" s="15"/>
      <c r="F2726" s="16"/>
      <c r="G2726" s="18"/>
      <c r="H2726" s="15"/>
      <c r="I2726" s="18"/>
      <c r="J2726" s="22"/>
      <c r="K2726" s="108"/>
      <c r="L2726" s="26"/>
      <c r="M2726" s="26"/>
    </row>
    <row r="2727">
      <c r="A2727" s="12"/>
      <c r="B2727" s="13"/>
      <c r="C2727" s="14"/>
      <c r="D2727" s="14"/>
      <c r="E2727" s="15"/>
      <c r="F2727" s="16"/>
      <c r="G2727" s="18"/>
      <c r="H2727" s="15"/>
      <c r="I2727" s="18"/>
      <c r="J2727" s="22"/>
      <c r="K2727" s="108"/>
      <c r="L2727" s="26"/>
      <c r="M2727" s="26"/>
    </row>
    <row r="2728">
      <c r="A2728" s="12"/>
      <c r="B2728" s="13"/>
      <c r="C2728" s="14"/>
      <c r="D2728" s="14"/>
      <c r="E2728" s="15"/>
      <c r="F2728" s="16"/>
      <c r="G2728" s="18"/>
      <c r="H2728" s="15"/>
      <c r="I2728" s="18"/>
      <c r="J2728" s="22"/>
      <c r="K2728" s="108"/>
      <c r="L2728" s="26"/>
      <c r="M2728" s="26"/>
    </row>
    <row r="2729">
      <c r="A2729" s="12"/>
      <c r="B2729" s="13"/>
      <c r="C2729" s="14"/>
      <c r="D2729" s="14"/>
      <c r="E2729" s="15"/>
      <c r="F2729" s="16"/>
      <c r="G2729" s="18"/>
      <c r="H2729" s="15"/>
      <c r="I2729" s="18"/>
      <c r="J2729" s="22"/>
      <c r="K2729" s="108"/>
      <c r="L2729" s="26"/>
      <c r="M2729" s="26"/>
    </row>
    <row r="2730">
      <c r="A2730" s="12"/>
      <c r="B2730" s="13"/>
      <c r="C2730" s="14"/>
      <c r="D2730" s="14"/>
      <c r="E2730" s="15"/>
      <c r="F2730" s="16"/>
      <c r="G2730" s="18"/>
      <c r="H2730" s="15"/>
      <c r="I2730" s="18"/>
      <c r="J2730" s="22"/>
      <c r="K2730" s="108"/>
      <c r="L2730" s="26"/>
      <c r="M2730" s="26"/>
    </row>
    <row r="2731">
      <c r="A2731" s="12"/>
      <c r="B2731" s="13"/>
      <c r="C2731" s="14"/>
      <c r="D2731" s="14"/>
      <c r="E2731" s="15"/>
      <c r="F2731" s="16"/>
      <c r="G2731" s="18"/>
      <c r="H2731" s="15"/>
      <c r="I2731" s="18"/>
      <c r="J2731" s="22"/>
      <c r="K2731" s="108"/>
      <c r="L2731" s="26"/>
      <c r="M2731" s="26"/>
    </row>
    <row r="2732">
      <c r="A2732" s="12"/>
      <c r="B2732" s="13"/>
      <c r="C2732" s="14"/>
      <c r="D2732" s="14"/>
      <c r="E2732" s="15"/>
      <c r="F2732" s="16"/>
      <c r="G2732" s="18"/>
      <c r="H2732" s="15"/>
      <c r="I2732" s="18"/>
      <c r="J2732" s="22"/>
      <c r="K2732" s="108"/>
      <c r="L2732" s="26"/>
      <c r="M2732" s="26"/>
    </row>
    <row r="2733">
      <c r="A2733" s="12"/>
      <c r="B2733" s="13"/>
      <c r="C2733" s="14"/>
      <c r="D2733" s="14"/>
      <c r="E2733" s="15"/>
      <c r="F2733" s="16"/>
      <c r="G2733" s="18"/>
      <c r="H2733" s="15"/>
      <c r="I2733" s="18"/>
      <c r="J2733" s="22"/>
      <c r="K2733" s="108"/>
      <c r="L2733" s="26"/>
      <c r="M2733" s="26"/>
    </row>
    <row r="2734">
      <c r="A2734" s="12"/>
      <c r="B2734" s="13"/>
      <c r="C2734" s="14"/>
      <c r="D2734" s="14"/>
      <c r="E2734" s="15"/>
      <c r="F2734" s="16"/>
      <c r="G2734" s="18"/>
      <c r="H2734" s="15"/>
      <c r="I2734" s="18"/>
      <c r="J2734" s="22"/>
      <c r="K2734" s="108"/>
      <c r="L2734" s="26"/>
      <c r="M2734" s="26"/>
    </row>
    <row r="2735">
      <c r="A2735" s="12"/>
      <c r="B2735" s="13"/>
      <c r="C2735" s="14"/>
      <c r="D2735" s="14"/>
      <c r="E2735" s="15"/>
      <c r="F2735" s="16"/>
      <c r="G2735" s="18"/>
      <c r="H2735" s="15"/>
      <c r="I2735" s="18"/>
      <c r="J2735" s="22"/>
      <c r="K2735" s="108"/>
      <c r="L2735" s="26"/>
      <c r="M2735" s="26"/>
    </row>
    <row r="2736">
      <c r="A2736" s="12"/>
      <c r="B2736" s="13"/>
      <c r="C2736" s="14"/>
      <c r="D2736" s="14"/>
      <c r="E2736" s="15"/>
      <c r="F2736" s="16"/>
      <c r="G2736" s="18"/>
      <c r="H2736" s="15"/>
      <c r="I2736" s="18"/>
      <c r="J2736" s="22"/>
      <c r="K2736" s="108"/>
      <c r="L2736" s="26"/>
      <c r="M2736" s="26"/>
    </row>
    <row r="2737">
      <c r="A2737" s="12"/>
      <c r="B2737" s="13"/>
      <c r="C2737" s="14"/>
      <c r="D2737" s="14"/>
      <c r="E2737" s="15"/>
      <c r="F2737" s="16"/>
      <c r="G2737" s="18"/>
      <c r="H2737" s="15"/>
      <c r="I2737" s="18"/>
      <c r="J2737" s="22"/>
      <c r="K2737" s="108"/>
      <c r="L2737" s="26"/>
      <c r="M2737" s="26"/>
    </row>
    <row r="2738">
      <c r="A2738" s="12"/>
      <c r="B2738" s="13"/>
      <c r="C2738" s="14"/>
      <c r="D2738" s="14"/>
      <c r="E2738" s="15"/>
      <c r="F2738" s="16"/>
      <c r="G2738" s="18"/>
      <c r="H2738" s="15"/>
      <c r="I2738" s="18"/>
      <c r="J2738" s="22"/>
      <c r="K2738" s="108"/>
      <c r="L2738" s="26"/>
      <c r="M2738" s="26"/>
    </row>
    <row r="2739">
      <c r="A2739" s="12"/>
      <c r="B2739" s="13"/>
      <c r="C2739" s="14"/>
      <c r="D2739" s="14"/>
      <c r="E2739" s="15"/>
      <c r="F2739" s="16"/>
      <c r="G2739" s="18"/>
      <c r="H2739" s="15"/>
      <c r="I2739" s="18"/>
      <c r="J2739" s="22"/>
      <c r="K2739" s="108"/>
      <c r="L2739" s="26"/>
      <c r="M2739" s="26"/>
    </row>
    <row r="2740">
      <c r="A2740" s="12"/>
      <c r="B2740" s="13"/>
      <c r="C2740" s="14"/>
      <c r="D2740" s="14"/>
      <c r="E2740" s="15"/>
      <c r="F2740" s="16"/>
      <c r="G2740" s="18"/>
      <c r="H2740" s="15"/>
      <c r="I2740" s="18"/>
      <c r="J2740" s="22"/>
      <c r="K2740" s="108"/>
      <c r="L2740" s="26"/>
      <c r="M2740" s="26"/>
    </row>
    <row r="2741">
      <c r="A2741" s="12"/>
      <c r="B2741" s="13"/>
      <c r="C2741" s="14"/>
      <c r="D2741" s="14"/>
      <c r="E2741" s="15"/>
      <c r="F2741" s="16"/>
      <c r="G2741" s="18"/>
      <c r="H2741" s="15"/>
      <c r="I2741" s="18"/>
      <c r="J2741" s="22"/>
      <c r="K2741" s="108"/>
      <c r="L2741" s="26"/>
      <c r="M2741" s="26"/>
    </row>
    <row r="2742">
      <c r="A2742" s="12"/>
      <c r="B2742" s="13"/>
      <c r="C2742" s="14"/>
      <c r="D2742" s="14"/>
      <c r="E2742" s="15"/>
      <c r="F2742" s="16"/>
      <c r="G2742" s="18"/>
      <c r="H2742" s="15"/>
      <c r="I2742" s="18"/>
      <c r="J2742" s="22"/>
      <c r="K2742" s="108"/>
      <c r="L2742" s="26"/>
      <c r="M2742" s="26"/>
    </row>
    <row r="2743">
      <c r="A2743" s="12"/>
      <c r="B2743" s="13"/>
      <c r="C2743" s="14"/>
      <c r="D2743" s="14"/>
      <c r="E2743" s="15"/>
      <c r="F2743" s="16"/>
      <c r="G2743" s="18"/>
      <c r="H2743" s="15"/>
      <c r="I2743" s="18"/>
      <c r="J2743" s="22"/>
      <c r="K2743" s="108"/>
      <c r="L2743" s="26"/>
      <c r="M2743" s="26"/>
    </row>
    <row r="2744">
      <c r="A2744" s="12"/>
      <c r="B2744" s="13"/>
      <c r="C2744" s="14"/>
      <c r="D2744" s="14"/>
      <c r="E2744" s="15"/>
      <c r="F2744" s="16"/>
      <c r="G2744" s="18"/>
      <c r="H2744" s="15"/>
      <c r="I2744" s="18"/>
      <c r="J2744" s="22"/>
      <c r="K2744" s="108"/>
      <c r="L2744" s="26"/>
      <c r="M2744" s="26"/>
    </row>
    <row r="2745">
      <c r="A2745" s="12"/>
      <c r="B2745" s="13"/>
      <c r="C2745" s="14"/>
      <c r="D2745" s="14"/>
      <c r="E2745" s="15"/>
      <c r="F2745" s="16"/>
      <c r="G2745" s="18"/>
      <c r="H2745" s="15"/>
      <c r="I2745" s="18"/>
      <c r="J2745" s="22"/>
      <c r="K2745" s="108"/>
      <c r="L2745" s="26"/>
      <c r="M2745" s="26"/>
    </row>
    <row r="2746">
      <c r="A2746" s="12"/>
      <c r="B2746" s="13"/>
      <c r="C2746" s="14"/>
      <c r="D2746" s="14"/>
      <c r="E2746" s="15"/>
      <c r="F2746" s="16"/>
      <c r="G2746" s="18"/>
      <c r="H2746" s="15"/>
      <c r="I2746" s="18"/>
      <c r="J2746" s="22"/>
      <c r="K2746" s="108"/>
      <c r="L2746" s="26"/>
      <c r="M2746" s="26"/>
    </row>
    <row r="2747">
      <c r="A2747" s="12"/>
      <c r="B2747" s="13"/>
      <c r="C2747" s="14"/>
      <c r="D2747" s="14"/>
      <c r="E2747" s="15"/>
      <c r="F2747" s="16"/>
      <c r="G2747" s="18"/>
      <c r="H2747" s="15"/>
      <c r="I2747" s="18"/>
      <c r="J2747" s="22"/>
      <c r="K2747" s="108"/>
      <c r="L2747" s="26"/>
      <c r="M2747" s="26"/>
    </row>
  </sheetData>
  <autoFilter ref="$A$2:$L$173"/>
  <conditionalFormatting sqref="A2 D2">
    <cfRule type="expression" dxfId="5" priority="1">
      <formula>AND($D3&lt;&gt;"",(($D3-$G3)/365*12)&lt;1)</formula>
    </cfRule>
  </conditionalFormatting>
  <conditionalFormatting sqref="B1:B2">
    <cfRule type="cellIs" dxfId="4" priority="2" operator="equal">
      <formula>"Xbox"</formula>
    </cfRule>
  </conditionalFormatting>
  <conditionalFormatting sqref="E3:E2747 I3:I2747">
    <cfRule type="expression" dxfId="5" priority="3">
      <formula>AND($E3&lt;&gt;"",(($E3-$H3)/365*12)&lt;1)</formula>
    </cfRule>
  </conditionalFormatting>
  <conditionalFormatting sqref="B3:B2747">
    <cfRule type="expression" dxfId="14" priority="4">
      <formula>AND(MATCH(A3,INDIRECT("'Cross Play'!D2:D"),0),MATCH(A3,INDIRECT("'Cross Play'!A2:A"),0))</formula>
    </cfRule>
  </conditionalFormatting>
  <conditionalFormatting sqref="B3:B2747">
    <cfRule type="expression" dxfId="15" priority="5">
      <formula>MATCH(A3,INDIRECT("'Cross Play'!A2:A"),0)</formula>
    </cfRule>
  </conditionalFormatting>
  <conditionalFormatting sqref="B3:B2747">
    <cfRule type="expression" dxfId="16" priority="6">
      <formula>MATCH(A3,INDIRECT("'Cross Play'!D2:D"),0)</formula>
    </cfRule>
  </conditionalFormatting>
  <conditionalFormatting sqref="A2:A2747 D2:D2747">
    <cfRule type="expression" dxfId="13" priority="7">
      <formula>$D2="Coming Soon"</formula>
    </cfRule>
  </conditionalFormatting>
  <conditionalFormatting sqref="A2:A2747 D2:D2747">
    <cfRule type="expression" dxfId="7" priority="8">
      <formula>$D2="Removed"</formula>
    </cfRule>
  </conditionalFormatting>
  <conditionalFormatting sqref="A2:A2747 D2:D2747">
    <cfRule type="expression" dxfId="10" priority="9">
      <formula>$D2="Leaving Soon"</formula>
    </cfRule>
  </conditionalFormatting>
  <conditionalFormatting sqref="J2:J2747">
    <cfRule type="cellIs" dxfId="5" priority="10" operator="between">
      <formula>75</formula>
      <formula>100</formula>
    </cfRule>
  </conditionalFormatting>
  <conditionalFormatting sqref="J2:J2747">
    <cfRule type="cellIs" dxfId="6" priority="11" operator="between">
      <formula>50</formula>
      <formula>74</formula>
    </cfRule>
  </conditionalFormatting>
  <conditionalFormatting sqref="J2:J2747">
    <cfRule type="cellIs" dxfId="7" priority="12" operator="between">
      <formula>1</formula>
      <formula>49</formula>
    </cfRule>
  </conditionalFormatting>
  <conditionalFormatting sqref="B1">
    <cfRule type="expression" dxfId="7" priority="13">
      <formula>$O1="Removed"</formula>
    </cfRule>
  </conditionalFormatting>
  <conditionalFormatting sqref="B1 A2:A2747">
    <cfRule type="expression" dxfId="6" priority="14">
      <formula>MATCH(B1,INDIRECT("'Xbox Game Studios'!A:A"),0)</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4C2F4"/>
    <outlinePr summaryBelow="0" summaryRight="0"/>
  </sheetPr>
  <sheetViews>
    <sheetView workbookViewId="0"/>
  </sheetViews>
  <sheetFormatPr customHeight="1" defaultColWidth="12.63" defaultRowHeight="15.75" outlineLevelCol="2"/>
  <cols>
    <col customWidth="1" min="1" max="1" width="35.88"/>
    <col customWidth="1" min="12" max="27" width="21.0"/>
  </cols>
  <sheetData>
    <row r="1">
      <c r="A1" s="126" t="s">
        <v>398</v>
      </c>
      <c r="B1" s="6">
        <f>COUNTIF(D2:D590,"Active")+COUNTIF(D2:D590,"Leaving Soon")</f>
        <v>8</v>
      </c>
      <c r="C1" s="2"/>
      <c r="D1" s="2"/>
      <c r="E1" s="2"/>
      <c r="F1" s="2"/>
      <c r="G1" s="2"/>
      <c r="H1" s="2"/>
      <c r="I1" s="2"/>
      <c r="J1" s="2"/>
      <c r="K1" s="2"/>
      <c r="L1" s="2"/>
      <c r="M1" s="2"/>
      <c r="N1" s="2"/>
      <c r="O1" s="2"/>
      <c r="P1" s="2"/>
      <c r="Q1" s="2"/>
      <c r="R1" s="2"/>
      <c r="S1" s="2"/>
      <c r="T1" s="2"/>
      <c r="U1" s="2"/>
      <c r="V1" s="2"/>
      <c r="W1" s="2"/>
      <c r="X1" s="2"/>
      <c r="Y1" s="2"/>
      <c r="Z1" s="2"/>
      <c r="AA1" s="2"/>
    </row>
    <row r="2">
      <c r="A2" s="1" t="s">
        <v>0</v>
      </c>
      <c r="B2" s="8" t="s">
        <v>2</v>
      </c>
      <c r="C2" s="9" t="s">
        <v>3</v>
      </c>
      <c r="D2" s="8" t="s">
        <v>4</v>
      </c>
      <c r="E2" s="8" t="s">
        <v>5</v>
      </c>
      <c r="F2" s="9" t="s">
        <v>6</v>
      </c>
      <c r="G2" s="11" t="s">
        <v>7</v>
      </c>
      <c r="H2" s="7" t="s">
        <v>8</v>
      </c>
      <c r="I2" s="7" t="s">
        <v>9</v>
      </c>
      <c r="J2" s="7" t="s">
        <v>10</v>
      </c>
      <c r="K2" s="7" t="s">
        <v>11</v>
      </c>
      <c r="L2" s="7" t="s">
        <v>12</v>
      </c>
      <c r="M2" s="7"/>
      <c r="N2" s="7"/>
      <c r="O2" s="7"/>
      <c r="P2" s="7"/>
      <c r="Q2" s="7"/>
      <c r="R2" s="7"/>
      <c r="S2" s="7"/>
      <c r="T2" s="7"/>
      <c r="U2" s="7"/>
      <c r="V2" s="7"/>
      <c r="W2" s="7"/>
      <c r="X2" s="7"/>
      <c r="Y2" s="7"/>
      <c r="Z2" s="7"/>
      <c r="AA2" s="7"/>
    </row>
    <row r="3">
      <c r="A3" s="17" t="str">
        <f>IFERROR(__xludf.DUMMYFUNCTION("FILTER('Master List'!A2:L590, REGEXMATCH('Master List'!D2:D590, ""Leaving Soon""))"),"Nova Roma (Game Preview)")</f>
        <v>Nova Roma (Game Preview)</v>
      </c>
      <c r="B3" s="20" t="str">
        <f>IFERROR(__xludf.DUMMYFUNCTION("""COMPUTED_VALUE"""),"PC")</f>
        <v>PC</v>
      </c>
      <c r="C3" s="20"/>
      <c r="D3" s="21" t="str">
        <f>IFERROR(__xludf.DUMMYFUNCTION("""COMPUTED_VALUE"""),"Leaving Soon")</f>
        <v>Leaving Soon</v>
      </c>
      <c r="E3" s="127">
        <f>IFERROR(__xludf.DUMMYFUNCTION("""COMPUTED_VALUE"""),46107.0)</f>
        <v>46107</v>
      </c>
      <c r="F3" s="24">
        <f>IFERROR(__xludf.DUMMYFUNCTION("""COMPUTED_VALUE"""),46310.0)</f>
        <v>46310</v>
      </c>
      <c r="G3" s="27">
        <f>IFERROR(__xludf.DUMMYFUNCTION("""COMPUTED_VALUE"""),6.633333333333334)</f>
        <v>6.633333333</v>
      </c>
      <c r="H3" s="128">
        <f>IFERROR(__xludf.DUMMYFUNCTION("""COMPUTED_VALUE"""),46107.0)</f>
        <v>46107</v>
      </c>
      <c r="I3" s="27">
        <f>IFERROR(__xludf.DUMMYFUNCTION("""COMPUTED_VALUE"""),0.0)</f>
        <v>0</v>
      </c>
      <c r="J3" s="29">
        <f>IFERROR(__xludf.DUMMYFUNCTION("""COMPUTED_VALUE"""),80.0)</f>
        <v>80</v>
      </c>
      <c r="K3" s="29">
        <f>IFERROR(__xludf.DUMMYFUNCTION("""COMPUTED_VALUE"""),7.0)</f>
        <v>7</v>
      </c>
      <c r="L3" s="31" t="str">
        <f>IFERROR(__xludf.DUMMYFUNCTION("""COMPUTED_VALUE"""),"Strategy")</f>
        <v>Strategy</v>
      </c>
      <c r="M3" s="26"/>
      <c r="N3" s="26"/>
      <c r="O3" s="26"/>
      <c r="P3" s="26"/>
      <c r="Q3" s="26"/>
      <c r="R3" s="26"/>
      <c r="S3" s="26"/>
      <c r="T3" s="26"/>
      <c r="U3" s="26"/>
      <c r="V3" s="26"/>
      <c r="W3" s="26"/>
      <c r="X3" s="26"/>
      <c r="Y3" s="26"/>
      <c r="Z3" s="26"/>
      <c r="AA3" s="26"/>
    </row>
    <row r="4">
      <c r="A4" s="17" t="str">
        <f>IFERROR(__xludf.DUMMYFUNCTION("""COMPUTED_VALUE"""),"Pacific Drive")</f>
        <v>Pacific Drive</v>
      </c>
      <c r="B4" s="20" t="str">
        <f>IFERROR(__xludf.DUMMYFUNCTION("""COMPUTED_VALUE"""),"Xbox / PC")</f>
        <v>Xbox / PC</v>
      </c>
      <c r="C4" s="20" t="str">
        <f>IFERROR(__xludf.DUMMYFUNCTION("""COMPUTED_VALUE"""),"Yes")</f>
        <v>Yes</v>
      </c>
      <c r="D4" s="21" t="str">
        <f>IFERROR(__xludf.DUMMYFUNCTION("""COMPUTED_VALUE"""),"Leaving Soon")</f>
        <v>Leaving Soon</v>
      </c>
      <c r="E4" s="127">
        <f>IFERROR(__xludf.DUMMYFUNCTION("""COMPUTED_VALUE"""),45953.0)</f>
        <v>45953</v>
      </c>
      <c r="F4" s="24">
        <f>IFERROR(__xludf.DUMMYFUNCTION("""COMPUTED_VALUE"""),46310.0)</f>
        <v>46310</v>
      </c>
      <c r="G4" s="27">
        <f>IFERROR(__xludf.DUMMYFUNCTION("""COMPUTED_VALUE"""),11.733333333333333)</f>
        <v>11.73333333</v>
      </c>
      <c r="H4" s="128">
        <f>IFERROR(__xludf.DUMMYFUNCTION("""COMPUTED_VALUE"""),45343.0)</f>
        <v>45343</v>
      </c>
      <c r="I4" s="27">
        <f>IFERROR(__xludf.DUMMYFUNCTION("""COMPUTED_VALUE"""),1.6722222222222223)</f>
        <v>1.672222222</v>
      </c>
      <c r="J4" s="29">
        <f>IFERROR(__xludf.DUMMYFUNCTION("""COMPUTED_VALUE"""),79.0)</f>
        <v>79</v>
      </c>
      <c r="K4" s="29">
        <f>IFERROR(__xludf.DUMMYFUNCTION("""COMPUTED_VALUE"""),20.0)</f>
        <v>20</v>
      </c>
      <c r="L4" s="31" t="str">
        <f>IFERROR(__xludf.DUMMYFUNCTION("""COMPUTED_VALUE"""),"Racing")</f>
        <v>Racing</v>
      </c>
      <c r="M4" s="26"/>
      <c r="N4" s="26"/>
      <c r="O4" s="26"/>
      <c r="P4" s="26"/>
      <c r="Q4" s="26"/>
      <c r="R4" s="26"/>
      <c r="S4" s="26"/>
      <c r="T4" s="26"/>
      <c r="U4" s="26"/>
      <c r="V4" s="26"/>
      <c r="W4" s="26"/>
      <c r="X4" s="26"/>
      <c r="Y4" s="26"/>
      <c r="Z4" s="26"/>
      <c r="AA4" s="26"/>
    </row>
    <row r="5">
      <c r="A5" s="17" t="str">
        <f>IFERROR(__xludf.DUMMYFUNCTION("""COMPUTED_VALUE"""),"Evil West")</f>
        <v>Evil West</v>
      </c>
      <c r="B5" s="20" t="str">
        <f>IFERROR(__xludf.DUMMYFUNCTION("""COMPUTED_VALUE"""),"Xbox / PC")</f>
        <v>Xbox / PC</v>
      </c>
      <c r="C5" s="20" t="str">
        <f>IFERROR(__xludf.DUMMYFUNCTION("""COMPUTED_VALUE"""),"Yes")</f>
        <v>Yes</v>
      </c>
      <c r="D5" s="21" t="str">
        <f>IFERROR(__xludf.DUMMYFUNCTION("""COMPUTED_VALUE"""),"Leaving Soon")</f>
        <v>Leaving Soon</v>
      </c>
      <c r="E5" s="127">
        <f>IFERROR(__xludf.DUMMYFUNCTION("""COMPUTED_VALUE"""),45951.0)</f>
        <v>45951</v>
      </c>
      <c r="F5" s="24">
        <f>IFERROR(__xludf.DUMMYFUNCTION("""COMPUTED_VALUE"""),46310.0)</f>
        <v>46310</v>
      </c>
      <c r="G5" s="27">
        <f>IFERROR(__xludf.DUMMYFUNCTION("""COMPUTED_VALUE"""),11.799999999999999)</f>
        <v>11.8</v>
      </c>
      <c r="H5" s="128">
        <f>IFERROR(__xludf.DUMMYFUNCTION("""COMPUTED_VALUE"""),44887.0)</f>
        <v>44887</v>
      </c>
      <c r="I5" s="27">
        <f>IFERROR(__xludf.DUMMYFUNCTION("""COMPUTED_VALUE"""),2.9138888888888888)</f>
        <v>2.913888889</v>
      </c>
      <c r="J5" s="29">
        <f>IFERROR(__xludf.DUMMYFUNCTION("""COMPUTED_VALUE"""),73.0)</f>
        <v>73</v>
      </c>
      <c r="K5" s="29">
        <f>IFERROR(__xludf.DUMMYFUNCTION("""COMPUTED_VALUE"""),11.0)</f>
        <v>11</v>
      </c>
      <c r="L5" s="31" t="str">
        <f>IFERROR(__xludf.DUMMYFUNCTION("""COMPUTED_VALUE"""),"Shooter")</f>
        <v>Shooter</v>
      </c>
      <c r="M5" s="26"/>
      <c r="N5" s="26"/>
      <c r="O5" s="26"/>
      <c r="P5" s="26"/>
      <c r="Q5" s="26"/>
      <c r="R5" s="26"/>
      <c r="S5" s="26"/>
      <c r="T5" s="26"/>
      <c r="U5" s="26"/>
      <c r="V5" s="26"/>
      <c r="W5" s="26"/>
      <c r="X5" s="26"/>
      <c r="Y5" s="26"/>
      <c r="Z5" s="26"/>
      <c r="AA5" s="26"/>
    </row>
    <row r="6">
      <c r="A6" s="17" t="str">
        <f>IFERROR(__xludf.DUMMYFUNCTION("""COMPUTED_VALUE"""),"The Casting of Frank Stone")</f>
        <v>The Casting of Frank Stone</v>
      </c>
      <c r="B6" s="20" t="str">
        <f>IFERROR(__xludf.DUMMYFUNCTION("""COMPUTED_VALUE"""),"Xbox / PC")</f>
        <v>Xbox / PC</v>
      </c>
      <c r="C6" s="20" t="str">
        <f>IFERROR(__xludf.DUMMYFUNCTION("""COMPUTED_VALUE"""),"Yes")</f>
        <v>Yes</v>
      </c>
      <c r="D6" s="21" t="str">
        <f>IFERROR(__xludf.DUMMYFUNCTION("""COMPUTED_VALUE"""),"Leaving Soon")</f>
        <v>Leaving Soon</v>
      </c>
      <c r="E6" s="127">
        <f>IFERROR(__xludf.DUMMYFUNCTION("""COMPUTED_VALUE"""),45944.0)</f>
        <v>45944</v>
      </c>
      <c r="F6" s="24">
        <f>IFERROR(__xludf.DUMMYFUNCTION("""COMPUTED_VALUE"""),46310.0)</f>
        <v>46310</v>
      </c>
      <c r="G6" s="27">
        <f>IFERROR(__xludf.DUMMYFUNCTION("""COMPUTED_VALUE"""),12.033333333333333)</f>
        <v>12.03333333</v>
      </c>
      <c r="H6" s="128">
        <f>IFERROR(__xludf.DUMMYFUNCTION("""COMPUTED_VALUE"""),45538.0)</f>
        <v>45538</v>
      </c>
      <c r="I6" s="27">
        <f>IFERROR(__xludf.DUMMYFUNCTION("""COMPUTED_VALUE"""),1.113888888888889)</f>
        <v>1.113888889</v>
      </c>
      <c r="J6" s="29">
        <f>IFERROR(__xludf.DUMMYFUNCTION("""COMPUTED_VALUE"""),68.0)</f>
        <v>68</v>
      </c>
      <c r="K6" s="29">
        <f>IFERROR(__xludf.DUMMYFUNCTION("""COMPUTED_VALUE"""),6.0)</f>
        <v>6</v>
      </c>
      <c r="L6" s="31" t="str">
        <f>IFERROR(__xludf.DUMMYFUNCTION("""COMPUTED_VALUE"""),"Action-Adventure")</f>
        <v>Action-Adventure</v>
      </c>
      <c r="M6" s="26"/>
      <c r="N6" s="26"/>
      <c r="O6" s="26"/>
      <c r="P6" s="26"/>
      <c r="Q6" s="26"/>
      <c r="R6" s="26"/>
      <c r="S6" s="26"/>
      <c r="T6" s="26"/>
      <c r="U6" s="26"/>
      <c r="V6" s="26"/>
      <c r="W6" s="26"/>
      <c r="X6" s="26"/>
      <c r="Y6" s="26"/>
      <c r="Z6" s="26"/>
      <c r="AA6" s="26"/>
    </row>
    <row r="7">
      <c r="A7" s="17" t="str">
        <f>IFERROR(__xludf.DUMMYFUNCTION("""COMPUTED_VALUE"""),"Clair Obscur: Expedition 33")</f>
        <v>Clair Obscur: Expedition 33</v>
      </c>
      <c r="B7" s="20" t="str">
        <f>IFERROR(__xludf.DUMMYFUNCTION("""COMPUTED_VALUE"""),"Xbox / PC")</f>
        <v>Xbox / PC</v>
      </c>
      <c r="C7" s="20" t="str">
        <f>IFERROR(__xludf.DUMMYFUNCTION("""COMPUTED_VALUE"""),"Yes")</f>
        <v>Yes</v>
      </c>
      <c r="D7" s="21" t="str">
        <f>IFERROR(__xludf.DUMMYFUNCTION("""COMPUTED_VALUE"""),"Leaving Soon")</f>
        <v>Leaving Soon</v>
      </c>
      <c r="E7" s="127">
        <f>IFERROR(__xludf.DUMMYFUNCTION("""COMPUTED_VALUE"""),45771.0)</f>
        <v>45771</v>
      </c>
      <c r="F7" s="24">
        <f>IFERROR(__xludf.DUMMYFUNCTION("""COMPUTED_VALUE"""),46310.0)</f>
        <v>46310</v>
      </c>
      <c r="G7" s="27">
        <f>IFERROR(__xludf.DUMMYFUNCTION("""COMPUTED_VALUE"""),17.700000000000003)</f>
        <v>17.7</v>
      </c>
      <c r="H7" s="128">
        <f>IFERROR(__xludf.DUMMYFUNCTION("""COMPUTED_VALUE"""),45771.0)</f>
        <v>45771</v>
      </c>
      <c r="I7" s="27">
        <f>IFERROR(__xludf.DUMMYFUNCTION("""COMPUTED_VALUE"""),0.0)</f>
        <v>0</v>
      </c>
      <c r="J7" s="29">
        <f>IFERROR(__xludf.DUMMYFUNCTION("""COMPUTED_VALUE"""),92.0)</f>
        <v>92</v>
      </c>
      <c r="K7" s="29">
        <f>IFERROR(__xludf.DUMMYFUNCTION("""COMPUTED_VALUE"""),26.0)</f>
        <v>26</v>
      </c>
      <c r="L7" s="31" t="str">
        <f>IFERROR(__xludf.DUMMYFUNCTION("""COMPUTED_VALUE"""),"RPG")</f>
        <v>RPG</v>
      </c>
      <c r="M7" s="26"/>
      <c r="N7" s="26"/>
      <c r="O7" s="26"/>
      <c r="P7" s="26"/>
      <c r="Q7" s="26"/>
      <c r="R7" s="26"/>
      <c r="S7" s="26"/>
      <c r="T7" s="26"/>
      <c r="U7" s="26"/>
      <c r="V7" s="26"/>
      <c r="W7" s="26"/>
      <c r="X7" s="26"/>
      <c r="Y7" s="26"/>
      <c r="Z7" s="26"/>
      <c r="AA7" s="26"/>
    </row>
    <row r="8">
      <c r="A8" s="17" t="str">
        <f>IFERROR(__xludf.DUMMYFUNCTION("""COMPUTED_VALUE"""),"Crime Scene Cleaner")</f>
        <v>Crime Scene Cleaner</v>
      </c>
      <c r="B8" s="20" t="str">
        <f>IFERROR(__xludf.DUMMYFUNCTION("""COMPUTED_VALUE"""),"Xbox / PC")</f>
        <v>Xbox / PC</v>
      </c>
      <c r="C8" s="20" t="str">
        <f>IFERROR(__xludf.DUMMYFUNCTION("""COMPUTED_VALUE"""),"Yes")</f>
        <v>Yes</v>
      </c>
      <c r="D8" s="21" t="str">
        <f>IFERROR(__xludf.DUMMYFUNCTION("""COMPUTED_VALUE"""),"Leaving Soon")</f>
        <v>Leaving Soon</v>
      </c>
      <c r="E8" s="127">
        <f>IFERROR(__xludf.DUMMYFUNCTION("""COMPUTED_VALUE"""),45764.0)</f>
        <v>45764</v>
      </c>
      <c r="F8" s="24">
        <f>IFERROR(__xludf.DUMMYFUNCTION("""COMPUTED_VALUE"""),46310.0)</f>
        <v>46310</v>
      </c>
      <c r="G8" s="27">
        <f>IFERROR(__xludf.DUMMYFUNCTION("""COMPUTED_VALUE"""),17.933333333333334)</f>
        <v>17.93333333</v>
      </c>
      <c r="H8" s="128">
        <f>IFERROR(__xludf.DUMMYFUNCTION("""COMPUTED_VALUE"""),45518.0)</f>
        <v>45518</v>
      </c>
      <c r="I8" s="27">
        <f>IFERROR(__xludf.DUMMYFUNCTION("""COMPUTED_VALUE"""),0.675)</f>
        <v>0.675</v>
      </c>
      <c r="J8" s="29">
        <f>IFERROR(__xludf.DUMMYFUNCTION("""COMPUTED_VALUE"""),76.66666666666667)</f>
        <v>76.66666667</v>
      </c>
      <c r="K8" s="29">
        <f>IFERROR(__xludf.DUMMYFUNCTION("""COMPUTED_VALUE"""),13.0)</f>
        <v>13</v>
      </c>
      <c r="L8" s="31" t="str">
        <f>IFERROR(__xludf.DUMMYFUNCTION("""COMPUTED_VALUE"""),"Simulation")</f>
        <v>Simulation</v>
      </c>
      <c r="M8" s="26"/>
      <c r="N8" s="26"/>
      <c r="O8" s="26"/>
      <c r="P8" s="26"/>
      <c r="Q8" s="26"/>
      <c r="R8" s="26"/>
      <c r="S8" s="26"/>
      <c r="T8" s="26"/>
      <c r="U8" s="26"/>
      <c r="V8" s="26"/>
      <c r="W8" s="26"/>
      <c r="X8" s="26"/>
      <c r="Y8" s="26"/>
      <c r="Z8" s="26"/>
      <c r="AA8" s="26"/>
    </row>
    <row r="9">
      <c r="A9" s="17" t="str">
        <f>IFERROR(__xludf.DUMMYFUNCTION("""COMPUTED_VALUE"""),"Donut County")</f>
        <v>Donut County</v>
      </c>
      <c r="B9" s="20" t="str">
        <f>IFERROR(__xludf.DUMMYFUNCTION("""COMPUTED_VALUE"""),"Xbox / PC")</f>
        <v>Xbox / PC</v>
      </c>
      <c r="C9" s="20" t="str">
        <f>IFERROR(__xludf.DUMMYFUNCTION("""COMPUTED_VALUE"""),"Touch Controls")</f>
        <v>Touch Controls</v>
      </c>
      <c r="D9" s="21" t="str">
        <f>IFERROR(__xludf.DUMMYFUNCTION("""COMPUTED_VALUE"""),"Leaving Soon")</f>
        <v>Leaving Soon</v>
      </c>
      <c r="E9" s="127">
        <f>IFERROR(__xludf.DUMMYFUNCTION("""COMPUTED_VALUE"""),45582.0)</f>
        <v>45582</v>
      </c>
      <c r="F9" s="24">
        <f>IFERROR(__xludf.DUMMYFUNCTION("""COMPUTED_VALUE"""),46310.0)</f>
        <v>46310</v>
      </c>
      <c r="G9" s="27">
        <f>IFERROR(__xludf.DUMMYFUNCTION("""COMPUTED_VALUE"""),23.933333333333334)</f>
        <v>23.93333333</v>
      </c>
      <c r="H9" s="128">
        <f>IFERROR(__xludf.DUMMYFUNCTION("""COMPUTED_VALUE"""),43340.0)</f>
        <v>43340</v>
      </c>
      <c r="I9" s="27">
        <f>IFERROR(__xludf.DUMMYFUNCTION("""COMPUTED_VALUE"""),6.136111111111111)</f>
        <v>6.136111111</v>
      </c>
      <c r="J9" s="29">
        <f>IFERROR(__xludf.DUMMYFUNCTION("""COMPUTED_VALUE"""),82.0)</f>
        <v>82</v>
      </c>
      <c r="K9" s="29">
        <f>IFERROR(__xludf.DUMMYFUNCTION("""COMPUTED_VALUE"""),2.0)</f>
        <v>2</v>
      </c>
      <c r="L9" s="31" t="str">
        <f>IFERROR(__xludf.DUMMYFUNCTION("""COMPUTED_VALUE"""),"Action")</f>
        <v>Action</v>
      </c>
      <c r="M9" s="26"/>
      <c r="N9" s="26"/>
      <c r="O9" s="26"/>
      <c r="P9" s="26"/>
      <c r="Q9" s="26"/>
      <c r="R9" s="26"/>
      <c r="S9" s="26"/>
      <c r="T9" s="26"/>
      <c r="U9" s="26"/>
      <c r="V9" s="26"/>
      <c r="W9" s="26"/>
      <c r="X9" s="26"/>
      <c r="Y9" s="26"/>
      <c r="Z9" s="26"/>
      <c r="AA9" s="26"/>
    </row>
    <row r="10">
      <c r="A10" s="17" t="str">
        <f>IFERROR(__xludf.DUMMYFUNCTION("""COMPUTED_VALUE"""),"A Plague Tale: Requiem")</f>
        <v>A Plague Tale: Requiem</v>
      </c>
      <c r="B10" s="20" t="str">
        <f>IFERROR(__xludf.DUMMYFUNCTION("""COMPUTED_VALUE"""),"Xbox / PC")</f>
        <v>Xbox / PC</v>
      </c>
      <c r="C10" s="20" t="str">
        <f>IFERROR(__xludf.DUMMYFUNCTION("""COMPUTED_VALUE"""),"Yes")</f>
        <v>Yes</v>
      </c>
      <c r="D10" s="21" t="str">
        <f>IFERROR(__xludf.DUMMYFUNCTION("""COMPUTED_VALUE"""),"Leaving Soon")</f>
        <v>Leaving Soon</v>
      </c>
      <c r="E10" s="127">
        <f>IFERROR(__xludf.DUMMYFUNCTION("""COMPUTED_VALUE"""),44852.0)</f>
        <v>44852</v>
      </c>
      <c r="F10" s="24">
        <f>IFERROR(__xludf.DUMMYFUNCTION("""COMPUTED_VALUE"""),46310.0)</f>
        <v>46310</v>
      </c>
      <c r="G10" s="27">
        <f>IFERROR(__xludf.DUMMYFUNCTION("""COMPUTED_VALUE"""),47.9)</f>
        <v>47.9</v>
      </c>
      <c r="H10" s="128">
        <f>IFERROR(__xludf.DUMMYFUNCTION("""COMPUTED_VALUE"""),44852.0)</f>
        <v>44852</v>
      </c>
      <c r="I10" s="27">
        <f>IFERROR(__xludf.DUMMYFUNCTION("""COMPUTED_VALUE"""),0.0)</f>
        <v>0</v>
      </c>
      <c r="J10" s="29">
        <f>IFERROR(__xludf.DUMMYFUNCTION("""COMPUTED_VALUE"""),85.0)</f>
        <v>85</v>
      </c>
      <c r="K10" s="29">
        <f>IFERROR(__xludf.DUMMYFUNCTION("""COMPUTED_VALUE"""),15.0)</f>
        <v>15</v>
      </c>
      <c r="L10" s="31" t="str">
        <f>IFERROR(__xludf.DUMMYFUNCTION("""COMPUTED_VALUE"""),"Action-Adventure")</f>
        <v>Action-Adventure</v>
      </c>
      <c r="M10" s="26"/>
      <c r="N10" s="26"/>
      <c r="O10" s="26"/>
      <c r="P10" s="26"/>
      <c r="Q10" s="26"/>
      <c r="R10" s="26"/>
      <c r="S10" s="26"/>
      <c r="T10" s="26"/>
      <c r="U10" s="26"/>
      <c r="V10" s="26"/>
      <c r="W10" s="26"/>
      <c r="X10" s="26"/>
      <c r="Y10" s="26"/>
      <c r="Z10" s="26"/>
      <c r="AA10" s="26"/>
    </row>
    <row r="11">
      <c r="A11" s="17"/>
      <c r="B11" s="20"/>
      <c r="C11" s="20"/>
      <c r="D11" s="21"/>
      <c r="E11" s="127"/>
      <c r="F11" s="24"/>
      <c r="G11" s="27"/>
      <c r="H11" s="128"/>
      <c r="I11" s="27"/>
      <c r="J11" s="29"/>
      <c r="K11" s="129"/>
      <c r="L11" s="31"/>
      <c r="M11" s="26"/>
      <c r="N11" s="26"/>
      <c r="O11" s="26"/>
      <c r="P11" s="26"/>
      <c r="Q11" s="26"/>
      <c r="R11" s="26"/>
      <c r="S11" s="26"/>
      <c r="T11" s="26"/>
      <c r="U11" s="26"/>
      <c r="V11" s="26"/>
      <c r="W11" s="26"/>
      <c r="X11" s="26"/>
      <c r="Y11" s="26"/>
      <c r="Z11" s="26"/>
      <c r="AA11" s="26"/>
    </row>
    <row r="12">
      <c r="A12" s="17"/>
      <c r="B12" s="20"/>
      <c r="C12" s="20"/>
      <c r="D12" s="21"/>
      <c r="E12" s="127"/>
      <c r="F12" s="24"/>
      <c r="G12" s="27"/>
      <c r="H12" s="128"/>
      <c r="I12" s="27"/>
      <c r="J12" s="29"/>
      <c r="K12" s="129"/>
      <c r="L12" s="31"/>
      <c r="M12" s="26"/>
      <c r="N12" s="26"/>
      <c r="O12" s="26"/>
      <c r="P12" s="26"/>
      <c r="Q12" s="26"/>
      <c r="R12" s="26"/>
      <c r="S12" s="26"/>
      <c r="T12" s="26"/>
      <c r="U12" s="26"/>
      <c r="V12" s="26"/>
      <c r="W12" s="26"/>
      <c r="X12" s="26"/>
      <c r="Y12" s="26"/>
      <c r="Z12" s="26"/>
      <c r="AA12" s="26"/>
    </row>
    <row r="13">
      <c r="A13" s="17"/>
      <c r="B13" s="20"/>
      <c r="C13" s="20"/>
      <c r="D13" s="21"/>
      <c r="E13" s="127"/>
      <c r="F13" s="24"/>
      <c r="G13" s="27"/>
      <c r="H13" s="128"/>
      <c r="I13" s="27"/>
      <c r="J13" s="29"/>
      <c r="K13" s="129"/>
      <c r="L13" s="31"/>
      <c r="M13" s="26"/>
      <c r="N13" s="26"/>
      <c r="O13" s="26"/>
      <c r="P13" s="26"/>
      <c r="Q13" s="26"/>
      <c r="R13" s="26"/>
      <c r="S13" s="26"/>
      <c r="T13" s="26"/>
      <c r="U13" s="26"/>
      <c r="V13" s="26"/>
      <c r="W13" s="26"/>
      <c r="X13" s="26"/>
      <c r="Y13" s="26"/>
      <c r="Z13" s="26"/>
      <c r="AA13" s="26"/>
    </row>
    <row r="14">
      <c r="A14" s="17"/>
      <c r="B14" s="20"/>
      <c r="C14" s="20"/>
      <c r="D14" s="21"/>
      <c r="E14" s="127"/>
      <c r="F14" s="24"/>
      <c r="G14" s="27"/>
      <c r="H14" s="128"/>
      <c r="I14" s="27"/>
      <c r="J14" s="29"/>
      <c r="K14" s="129"/>
      <c r="L14" s="31"/>
      <c r="M14" s="26"/>
      <c r="N14" s="26"/>
      <c r="O14" s="26"/>
      <c r="P14" s="26"/>
      <c r="Q14" s="26"/>
      <c r="R14" s="26"/>
      <c r="S14" s="26"/>
      <c r="T14" s="26"/>
      <c r="U14" s="26"/>
      <c r="V14" s="26"/>
      <c r="W14" s="26"/>
      <c r="X14" s="26"/>
      <c r="Y14" s="26"/>
      <c r="Z14" s="26"/>
      <c r="AA14" s="26"/>
    </row>
    <row r="15">
      <c r="A15" s="17"/>
      <c r="B15" s="20"/>
      <c r="C15" s="20"/>
      <c r="D15" s="21"/>
      <c r="E15" s="127"/>
      <c r="F15" s="24"/>
      <c r="G15" s="27"/>
      <c r="H15" s="128"/>
      <c r="I15" s="27"/>
      <c r="J15" s="29"/>
      <c r="K15" s="129"/>
      <c r="L15" s="31"/>
      <c r="M15" s="26"/>
      <c r="N15" s="26"/>
      <c r="O15" s="26"/>
      <c r="P15" s="26"/>
      <c r="Q15" s="26"/>
      <c r="R15" s="26"/>
      <c r="S15" s="26"/>
      <c r="T15" s="26"/>
      <c r="U15" s="26"/>
      <c r="V15" s="26"/>
      <c r="W15" s="26"/>
      <c r="X15" s="26"/>
      <c r="Y15" s="26"/>
      <c r="Z15" s="26"/>
      <c r="AA15" s="26"/>
    </row>
    <row r="16">
      <c r="A16" s="17"/>
      <c r="B16" s="20"/>
      <c r="C16" s="20"/>
      <c r="D16" s="21"/>
      <c r="E16" s="127"/>
      <c r="F16" s="24"/>
      <c r="G16" s="27"/>
      <c r="H16" s="128"/>
      <c r="I16" s="27"/>
      <c r="J16" s="29"/>
      <c r="K16" s="129"/>
      <c r="L16" s="31"/>
      <c r="M16" s="26"/>
      <c r="N16" s="26"/>
      <c r="O16" s="26"/>
      <c r="P16" s="26"/>
      <c r="Q16" s="26"/>
      <c r="R16" s="26"/>
      <c r="S16" s="26"/>
      <c r="T16" s="26"/>
      <c r="U16" s="26"/>
      <c r="V16" s="26"/>
      <c r="W16" s="26"/>
      <c r="X16" s="26"/>
      <c r="Y16" s="26"/>
      <c r="Z16" s="26"/>
      <c r="AA16" s="26"/>
    </row>
    <row r="17">
      <c r="A17" s="17"/>
      <c r="B17" s="20"/>
      <c r="C17" s="20"/>
      <c r="D17" s="21"/>
      <c r="E17" s="127"/>
      <c r="F17" s="24"/>
      <c r="G17" s="27"/>
      <c r="H17" s="128"/>
      <c r="I17" s="27"/>
      <c r="J17" s="29"/>
      <c r="K17" s="129"/>
      <c r="L17" s="31"/>
      <c r="M17" s="26"/>
      <c r="N17" s="26"/>
      <c r="O17" s="26"/>
      <c r="P17" s="26"/>
      <c r="Q17" s="26"/>
      <c r="R17" s="26"/>
      <c r="S17" s="26"/>
      <c r="T17" s="26"/>
      <c r="U17" s="26"/>
      <c r="V17" s="26"/>
      <c r="W17" s="26"/>
      <c r="X17" s="26"/>
      <c r="Y17" s="26"/>
      <c r="Z17" s="26"/>
      <c r="AA17" s="26"/>
    </row>
    <row r="18">
      <c r="A18" s="17"/>
      <c r="B18" s="20"/>
      <c r="C18" s="20"/>
      <c r="D18" s="21"/>
      <c r="E18" s="127"/>
      <c r="F18" s="24"/>
      <c r="G18" s="27"/>
      <c r="H18" s="128"/>
      <c r="I18" s="27"/>
      <c r="J18" s="29"/>
      <c r="K18" s="129"/>
      <c r="L18" s="31"/>
      <c r="M18" s="26"/>
      <c r="N18" s="26"/>
      <c r="O18" s="26"/>
      <c r="P18" s="26"/>
      <c r="Q18" s="26"/>
      <c r="R18" s="26"/>
      <c r="S18" s="26"/>
      <c r="T18" s="26"/>
      <c r="U18" s="26"/>
      <c r="V18" s="26"/>
      <c r="W18" s="26"/>
      <c r="X18" s="26"/>
      <c r="Y18" s="26"/>
      <c r="Z18" s="26"/>
      <c r="AA18" s="26"/>
    </row>
    <row r="19">
      <c r="A19" s="17"/>
      <c r="B19" s="20"/>
      <c r="C19" s="20"/>
      <c r="D19" s="21"/>
      <c r="E19" s="127"/>
      <c r="F19" s="24"/>
      <c r="G19" s="27"/>
      <c r="H19" s="128"/>
      <c r="I19" s="27"/>
      <c r="J19" s="29"/>
      <c r="K19" s="129"/>
      <c r="L19" s="31"/>
      <c r="M19" s="26"/>
      <c r="N19" s="26"/>
      <c r="O19" s="26"/>
      <c r="P19" s="26"/>
      <c r="Q19" s="26"/>
      <c r="R19" s="26"/>
      <c r="S19" s="26"/>
      <c r="T19" s="26"/>
      <c r="U19" s="26"/>
      <c r="V19" s="26"/>
      <c r="W19" s="26"/>
      <c r="X19" s="26"/>
      <c r="Y19" s="26"/>
      <c r="Z19" s="26"/>
      <c r="AA19" s="26"/>
    </row>
    <row r="20">
      <c r="A20" s="12"/>
      <c r="B20" s="13"/>
      <c r="C20" s="13"/>
      <c r="D20" s="14"/>
      <c r="E20" s="130"/>
      <c r="F20" s="16"/>
      <c r="G20" s="18"/>
      <c r="H20" s="131"/>
      <c r="I20" s="18"/>
      <c r="J20" s="22"/>
      <c r="K20" s="108"/>
      <c r="L20" s="26"/>
      <c r="M20" s="26"/>
      <c r="N20" s="26"/>
      <c r="O20" s="26"/>
      <c r="P20" s="26"/>
      <c r="Q20" s="26"/>
      <c r="R20" s="26"/>
      <c r="S20" s="26"/>
      <c r="T20" s="26"/>
      <c r="U20" s="26"/>
      <c r="V20" s="26"/>
      <c r="W20" s="26"/>
      <c r="X20" s="26"/>
      <c r="Y20" s="26"/>
      <c r="Z20" s="26"/>
      <c r="AA20" s="26"/>
    </row>
    <row r="21">
      <c r="A21" s="12"/>
      <c r="B21" s="13"/>
      <c r="C21" s="13"/>
      <c r="D21" s="14"/>
      <c r="E21" s="130"/>
      <c r="F21" s="16"/>
      <c r="G21" s="18"/>
      <c r="H21" s="131"/>
      <c r="I21" s="18"/>
      <c r="J21" s="22"/>
      <c r="K21" s="108"/>
      <c r="L21" s="26"/>
      <c r="M21" s="26"/>
      <c r="N21" s="26"/>
      <c r="O21" s="26"/>
      <c r="P21" s="26"/>
      <c r="Q21" s="26"/>
      <c r="R21" s="26"/>
      <c r="S21" s="26"/>
      <c r="T21" s="26"/>
      <c r="U21" s="26"/>
      <c r="V21" s="26"/>
      <c r="W21" s="26"/>
      <c r="X21" s="26"/>
      <c r="Y21" s="26"/>
      <c r="Z21" s="26"/>
      <c r="AA21" s="26"/>
    </row>
    <row r="22">
      <c r="A22" s="12"/>
      <c r="B22" s="13"/>
      <c r="C22" s="13"/>
      <c r="D22" s="14"/>
      <c r="E22" s="130"/>
      <c r="F22" s="16"/>
      <c r="G22" s="18"/>
      <c r="H22" s="131"/>
      <c r="I22" s="18"/>
      <c r="J22" s="22"/>
      <c r="K22" s="108"/>
      <c r="L22" s="26"/>
      <c r="M22" s="26"/>
      <c r="N22" s="26"/>
      <c r="O22" s="26"/>
      <c r="P22" s="26"/>
      <c r="Q22" s="26"/>
      <c r="R22" s="26"/>
      <c r="S22" s="26"/>
      <c r="T22" s="26"/>
      <c r="U22" s="26"/>
      <c r="V22" s="26"/>
      <c r="W22" s="26"/>
      <c r="X22" s="26"/>
      <c r="Y22" s="26"/>
      <c r="Z22" s="26"/>
      <c r="AA22" s="26"/>
    </row>
    <row r="23">
      <c r="A23" s="12"/>
      <c r="B23" s="13"/>
      <c r="C23" s="13"/>
      <c r="D23" s="14"/>
      <c r="E23" s="130"/>
      <c r="F23" s="16"/>
      <c r="G23" s="18"/>
      <c r="H23" s="131"/>
      <c r="I23" s="18"/>
      <c r="J23" s="22"/>
      <c r="K23" s="108"/>
      <c r="L23" s="26"/>
      <c r="M23" s="26"/>
      <c r="N23" s="26"/>
      <c r="O23" s="26"/>
      <c r="P23" s="26"/>
      <c r="Q23" s="26"/>
      <c r="R23" s="26"/>
      <c r="S23" s="26"/>
      <c r="T23" s="26"/>
      <c r="U23" s="26"/>
      <c r="V23" s="26"/>
      <c r="W23" s="26"/>
      <c r="X23" s="26"/>
      <c r="Y23" s="26"/>
      <c r="Z23" s="26"/>
      <c r="AA23" s="26"/>
    </row>
    <row r="24">
      <c r="A24" s="12"/>
      <c r="B24" s="13"/>
      <c r="C24" s="13"/>
      <c r="D24" s="14"/>
      <c r="E24" s="130"/>
      <c r="F24" s="16"/>
      <c r="G24" s="18"/>
      <c r="H24" s="131"/>
      <c r="I24" s="18"/>
      <c r="J24" s="22"/>
      <c r="K24" s="108"/>
      <c r="L24" s="26"/>
      <c r="M24" s="26"/>
      <c r="N24" s="26"/>
      <c r="O24" s="26"/>
      <c r="P24" s="26"/>
      <c r="Q24" s="26"/>
      <c r="R24" s="26"/>
      <c r="S24" s="26"/>
      <c r="T24" s="26"/>
      <c r="U24" s="26"/>
      <c r="V24" s="26"/>
      <c r="W24" s="26"/>
      <c r="X24" s="26"/>
      <c r="Y24" s="26"/>
      <c r="Z24" s="26"/>
      <c r="AA24" s="26"/>
    </row>
    <row r="25">
      <c r="A25" s="12"/>
      <c r="B25" s="13"/>
      <c r="C25" s="13"/>
      <c r="D25" s="14"/>
      <c r="E25" s="130"/>
      <c r="F25" s="16"/>
      <c r="G25" s="18"/>
      <c r="H25" s="131"/>
      <c r="I25" s="18"/>
      <c r="J25" s="22"/>
      <c r="K25" s="108"/>
      <c r="L25" s="26"/>
      <c r="M25" s="26"/>
      <c r="N25" s="26"/>
      <c r="O25" s="26"/>
      <c r="P25" s="26"/>
      <c r="Q25" s="26"/>
      <c r="R25" s="26"/>
      <c r="S25" s="26"/>
      <c r="T25" s="26"/>
      <c r="U25" s="26"/>
      <c r="V25" s="26"/>
      <c r="W25" s="26"/>
      <c r="X25" s="26"/>
      <c r="Y25" s="26"/>
      <c r="Z25" s="26"/>
      <c r="AA25" s="26"/>
    </row>
    <row r="26">
      <c r="A26" s="12"/>
      <c r="B26" s="13"/>
      <c r="C26" s="13"/>
      <c r="D26" s="14"/>
      <c r="E26" s="130"/>
      <c r="F26" s="16"/>
      <c r="G26" s="18"/>
      <c r="H26" s="131"/>
      <c r="I26" s="18"/>
      <c r="J26" s="22"/>
      <c r="K26" s="108"/>
      <c r="L26" s="26"/>
      <c r="M26" s="26"/>
      <c r="N26" s="26"/>
      <c r="O26" s="26"/>
      <c r="P26" s="26"/>
      <c r="Q26" s="26"/>
      <c r="R26" s="26"/>
      <c r="S26" s="26"/>
      <c r="T26" s="26"/>
      <c r="U26" s="26"/>
      <c r="V26" s="26"/>
      <c r="W26" s="26"/>
      <c r="X26" s="26"/>
      <c r="Y26" s="26"/>
      <c r="Z26" s="26"/>
      <c r="AA26" s="26"/>
    </row>
    <row r="27">
      <c r="A27" s="12"/>
      <c r="B27" s="13"/>
      <c r="C27" s="13"/>
      <c r="D27" s="14"/>
      <c r="E27" s="130"/>
      <c r="F27" s="16"/>
      <c r="G27" s="18"/>
      <c r="H27" s="131"/>
      <c r="I27" s="18"/>
      <c r="J27" s="22"/>
      <c r="K27" s="108"/>
      <c r="L27" s="26"/>
      <c r="M27" s="26"/>
      <c r="N27" s="26"/>
      <c r="O27" s="26"/>
      <c r="P27" s="26"/>
      <c r="Q27" s="26"/>
      <c r="R27" s="26"/>
      <c r="S27" s="26"/>
      <c r="T27" s="26"/>
      <c r="U27" s="26"/>
      <c r="V27" s="26"/>
      <c r="W27" s="26"/>
      <c r="X27" s="26"/>
      <c r="Y27" s="26"/>
      <c r="Z27" s="26"/>
      <c r="AA27" s="26"/>
    </row>
    <row r="28">
      <c r="A28" s="12"/>
      <c r="B28" s="13"/>
      <c r="C28" s="13"/>
      <c r="D28" s="14"/>
      <c r="E28" s="130"/>
      <c r="F28" s="16"/>
      <c r="G28" s="18"/>
      <c r="H28" s="131"/>
      <c r="I28" s="18"/>
      <c r="J28" s="22"/>
      <c r="K28" s="108"/>
      <c r="L28" s="26"/>
      <c r="M28" s="26"/>
      <c r="N28" s="26"/>
      <c r="O28" s="26"/>
      <c r="P28" s="26"/>
      <c r="Q28" s="26"/>
      <c r="R28" s="26"/>
      <c r="S28" s="26"/>
      <c r="T28" s="26"/>
      <c r="U28" s="26"/>
      <c r="V28" s="26"/>
      <c r="W28" s="26"/>
      <c r="X28" s="26"/>
      <c r="Y28" s="26"/>
      <c r="Z28" s="26"/>
      <c r="AA28" s="26"/>
    </row>
    <row r="29">
      <c r="A29" s="12"/>
      <c r="B29" s="13"/>
      <c r="C29" s="13"/>
      <c r="D29" s="14"/>
      <c r="E29" s="130"/>
      <c r="F29" s="16"/>
      <c r="G29" s="18"/>
      <c r="H29" s="131"/>
      <c r="I29" s="18"/>
      <c r="J29" s="22"/>
      <c r="K29" s="108"/>
      <c r="L29" s="26"/>
      <c r="M29" s="26"/>
      <c r="N29" s="26"/>
      <c r="O29" s="26"/>
      <c r="P29" s="26"/>
      <c r="Q29" s="26"/>
      <c r="R29" s="26"/>
      <c r="S29" s="26"/>
      <c r="T29" s="26"/>
      <c r="U29" s="26"/>
      <c r="V29" s="26"/>
      <c r="W29" s="26"/>
      <c r="X29" s="26"/>
      <c r="Y29" s="26"/>
      <c r="Z29" s="26"/>
      <c r="AA29" s="26"/>
    </row>
    <row r="30">
      <c r="A30" s="12"/>
      <c r="B30" s="13"/>
      <c r="C30" s="13"/>
      <c r="D30" s="14"/>
      <c r="E30" s="130"/>
      <c r="F30" s="16"/>
      <c r="G30" s="18"/>
      <c r="H30" s="131"/>
      <c r="I30" s="18"/>
      <c r="J30" s="22"/>
      <c r="K30" s="108"/>
      <c r="L30" s="26"/>
      <c r="M30" s="26"/>
      <c r="N30" s="26"/>
      <c r="O30" s="26"/>
      <c r="P30" s="26"/>
      <c r="Q30" s="26"/>
      <c r="R30" s="26"/>
      <c r="S30" s="26"/>
      <c r="T30" s="26"/>
      <c r="U30" s="26"/>
      <c r="V30" s="26"/>
      <c r="W30" s="26"/>
      <c r="X30" s="26"/>
      <c r="Y30" s="26"/>
      <c r="Z30" s="26"/>
      <c r="AA30" s="26"/>
    </row>
    <row r="31">
      <c r="A31" s="12"/>
      <c r="B31" s="13"/>
      <c r="C31" s="13"/>
      <c r="D31" s="14"/>
      <c r="E31" s="130"/>
      <c r="F31" s="16"/>
      <c r="G31" s="18"/>
      <c r="H31" s="131"/>
      <c r="I31" s="18"/>
      <c r="J31" s="22"/>
      <c r="K31" s="108"/>
      <c r="L31" s="26"/>
      <c r="M31" s="26"/>
      <c r="N31" s="26"/>
      <c r="O31" s="26"/>
      <c r="P31" s="26"/>
      <c r="Q31" s="26"/>
      <c r="R31" s="26"/>
      <c r="S31" s="26"/>
      <c r="T31" s="26"/>
      <c r="U31" s="26"/>
      <c r="V31" s="26"/>
      <c r="W31" s="26"/>
      <c r="X31" s="26"/>
      <c r="Y31" s="26"/>
      <c r="Z31" s="26"/>
      <c r="AA31" s="26"/>
    </row>
    <row r="32">
      <c r="A32" s="12"/>
      <c r="B32" s="13"/>
      <c r="C32" s="13"/>
      <c r="D32" s="14"/>
      <c r="E32" s="130"/>
      <c r="F32" s="16"/>
      <c r="G32" s="18"/>
      <c r="H32" s="131"/>
      <c r="I32" s="18"/>
      <c r="J32" s="22"/>
      <c r="K32" s="108"/>
      <c r="L32" s="26"/>
      <c r="M32" s="26"/>
      <c r="N32" s="26"/>
      <c r="O32" s="26"/>
      <c r="P32" s="26"/>
      <c r="Q32" s="26"/>
      <c r="R32" s="26"/>
      <c r="S32" s="26"/>
      <c r="T32" s="26"/>
      <c r="U32" s="26"/>
      <c r="V32" s="26"/>
      <c r="W32" s="26"/>
      <c r="X32" s="26"/>
      <c r="Y32" s="26"/>
      <c r="Z32" s="26"/>
      <c r="AA32" s="26"/>
    </row>
    <row r="33">
      <c r="A33" s="12"/>
      <c r="B33" s="13"/>
      <c r="C33" s="13"/>
      <c r="D33" s="14"/>
      <c r="E33" s="130"/>
      <c r="F33" s="16"/>
      <c r="G33" s="18"/>
      <c r="H33" s="131"/>
      <c r="I33" s="18"/>
      <c r="J33" s="22"/>
      <c r="K33" s="108"/>
      <c r="L33" s="26"/>
      <c r="M33" s="26"/>
      <c r="N33" s="26"/>
      <c r="O33" s="26"/>
      <c r="P33" s="26"/>
      <c r="Q33" s="26"/>
      <c r="R33" s="26"/>
      <c r="S33" s="26"/>
      <c r="T33" s="26"/>
      <c r="U33" s="26"/>
      <c r="V33" s="26"/>
      <c r="W33" s="26"/>
      <c r="X33" s="26"/>
      <c r="Y33" s="26"/>
      <c r="Z33" s="26"/>
      <c r="AA33" s="26"/>
    </row>
    <row r="34">
      <c r="A34" s="12"/>
      <c r="B34" s="13"/>
      <c r="C34" s="13"/>
      <c r="D34" s="14"/>
      <c r="E34" s="130"/>
      <c r="F34" s="16"/>
      <c r="G34" s="18"/>
      <c r="H34" s="131"/>
      <c r="I34" s="18"/>
      <c r="J34" s="22"/>
      <c r="K34" s="108"/>
      <c r="L34" s="26"/>
      <c r="M34" s="26"/>
      <c r="N34" s="26"/>
      <c r="O34" s="26"/>
      <c r="P34" s="26"/>
      <c r="Q34" s="26"/>
      <c r="R34" s="26"/>
      <c r="S34" s="26"/>
      <c r="T34" s="26"/>
      <c r="U34" s="26"/>
      <c r="V34" s="26"/>
      <c r="W34" s="26"/>
      <c r="X34" s="26"/>
      <c r="Y34" s="26"/>
      <c r="Z34" s="26"/>
      <c r="AA34" s="26"/>
    </row>
    <row r="35">
      <c r="A35" s="12"/>
      <c r="B35" s="13"/>
      <c r="C35" s="13"/>
      <c r="D35" s="14"/>
      <c r="E35" s="130"/>
      <c r="F35" s="16"/>
      <c r="G35" s="18"/>
      <c r="H35" s="131"/>
      <c r="I35" s="18"/>
      <c r="J35" s="22"/>
      <c r="K35" s="108"/>
      <c r="L35" s="26"/>
      <c r="M35" s="26"/>
      <c r="N35" s="26"/>
      <c r="O35" s="26"/>
      <c r="P35" s="26"/>
      <c r="Q35" s="26"/>
      <c r="R35" s="26"/>
      <c r="S35" s="26"/>
      <c r="T35" s="26"/>
      <c r="U35" s="26"/>
      <c r="V35" s="26"/>
      <c r="W35" s="26"/>
      <c r="X35" s="26"/>
      <c r="Y35" s="26"/>
      <c r="Z35" s="26"/>
      <c r="AA35" s="26"/>
    </row>
    <row r="36">
      <c r="A36" s="12"/>
      <c r="B36" s="13"/>
      <c r="C36" s="13"/>
      <c r="D36" s="14"/>
      <c r="E36" s="130"/>
      <c r="F36" s="16"/>
      <c r="G36" s="18"/>
      <c r="H36" s="131"/>
      <c r="I36" s="18"/>
      <c r="J36" s="22"/>
      <c r="K36" s="108"/>
      <c r="L36" s="26"/>
      <c r="M36" s="26"/>
      <c r="N36" s="26"/>
      <c r="O36" s="26"/>
      <c r="P36" s="26"/>
      <c r="Q36" s="26"/>
      <c r="R36" s="26"/>
      <c r="S36" s="26"/>
      <c r="T36" s="26"/>
      <c r="U36" s="26"/>
      <c r="V36" s="26"/>
      <c r="W36" s="26"/>
      <c r="X36" s="26"/>
      <c r="Y36" s="26"/>
      <c r="Z36" s="26"/>
      <c r="AA36" s="26"/>
    </row>
    <row r="37">
      <c r="A37" s="12"/>
      <c r="B37" s="13"/>
      <c r="C37" s="13"/>
      <c r="D37" s="14"/>
      <c r="E37" s="130"/>
      <c r="F37" s="16"/>
      <c r="G37" s="18"/>
      <c r="H37" s="131"/>
      <c r="I37" s="18"/>
      <c r="J37" s="22"/>
      <c r="K37" s="108"/>
      <c r="L37" s="26"/>
      <c r="M37" s="26"/>
      <c r="N37" s="26"/>
      <c r="O37" s="26"/>
      <c r="P37" s="26"/>
      <c r="Q37" s="26"/>
      <c r="R37" s="26"/>
      <c r="S37" s="26"/>
      <c r="T37" s="26"/>
      <c r="U37" s="26"/>
      <c r="V37" s="26"/>
      <c r="W37" s="26"/>
      <c r="X37" s="26"/>
      <c r="Y37" s="26"/>
      <c r="Z37" s="26"/>
      <c r="AA37" s="26"/>
    </row>
    <row r="38">
      <c r="A38" s="12"/>
      <c r="B38" s="13"/>
      <c r="C38" s="13"/>
      <c r="D38" s="14"/>
      <c r="E38" s="130"/>
      <c r="F38" s="16"/>
      <c r="G38" s="18"/>
      <c r="H38" s="131"/>
      <c r="I38" s="18"/>
      <c r="J38" s="22"/>
      <c r="K38" s="108"/>
      <c r="L38" s="26"/>
      <c r="M38" s="26"/>
      <c r="N38" s="26"/>
      <c r="O38" s="26"/>
      <c r="P38" s="26"/>
      <c r="Q38" s="26"/>
      <c r="R38" s="26"/>
      <c r="S38" s="26"/>
      <c r="T38" s="26"/>
      <c r="U38" s="26"/>
      <c r="V38" s="26"/>
      <c r="W38" s="26"/>
      <c r="X38" s="26"/>
      <c r="Y38" s="26"/>
      <c r="Z38" s="26"/>
      <c r="AA38" s="26"/>
    </row>
    <row r="39">
      <c r="A39" s="12"/>
      <c r="B39" s="13"/>
      <c r="C39" s="13"/>
      <c r="D39" s="14"/>
      <c r="E39" s="130"/>
      <c r="F39" s="16"/>
      <c r="G39" s="18"/>
      <c r="H39" s="131"/>
      <c r="I39" s="18"/>
      <c r="J39" s="22"/>
      <c r="K39" s="108"/>
      <c r="L39" s="26"/>
      <c r="M39" s="26"/>
      <c r="N39" s="26"/>
      <c r="O39" s="26"/>
      <c r="P39" s="26"/>
      <c r="Q39" s="26"/>
      <c r="R39" s="26"/>
      <c r="S39" s="26"/>
      <c r="T39" s="26"/>
      <c r="U39" s="26"/>
      <c r="V39" s="26"/>
      <c r="W39" s="26"/>
      <c r="X39" s="26"/>
      <c r="Y39" s="26"/>
      <c r="Z39" s="26"/>
      <c r="AA39" s="26"/>
    </row>
    <row r="40">
      <c r="A40" s="12"/>
      <c r="B40" s="13"/>
      <c r="C40" s="13"/>
      <c r="D40" s="14"/>
      <c r="E40" s="130"/>
      <c r="F40" s="16"/>
      <c r="G40" s="18"/>
      <c r="H40" s="131"/>
      <c r="I40" s="18"/>
      <c r="J40" s="22"/>
      <c r="K40" s="108"/>
      <c r="L40" s="26"/>
      <c r="M40" s="26"/>
      <c r="N40" s="26"/>
      <c r="O40" s="26"/>
      <c r="P40" s="26"/>
      <c r="Q40" s="26"/>
      <c r="R40" s="26"/>
      <c r="S40" s="26"/>
      <c r="T40" s="26"/>
      <c r="U40" s="26"/>
      <c r="V40" s="26"/>
      <c r="W40" s="26"/>
      <c r="X40" s="26"/>
      <c r="Y40" s="26"/>
      <c r="Z40" s="26"/>
      <c r="AA40" s="26"/>
    </row>
    <row r="41">
      <c r="A41" s="12"/>
      <c r="B41" s="13"/>
      <c r="C41" s="13"/>
      <c r="D41" s="14"/>
      <c r="E41" s="130"/>
      <c r="F41" s="16"/>
      <c r="G41" s="18"/>
      <c r="H41" s="131"/>
      <c r="I41" s="18"/>
      <c r="J41" s="22"/>
      <c r="K41" s="108"/>
      <c r="L41" s="26"/>
      <c r="M41" s="26"/>
      <c r="N41" s="26"/>
      <c r="O41" s="26"/>
      <c r="P41" s="26"/>
      <c r="Q41" s="26"/>
      <c r="R41" s="26"/>
      <c r="S41" s="26"/>
      <c r="T41" s="26"/>
      <c r="U41" s="26"/>
      <c r="V41" s="26"/>
      <c r="W41" s="26"/>
      <c r="X41" s="26"/>
      <c r="Y41" s="26"/>
      <c r="Z41" s="26"/>
      <c r="AA41" s="26"/>
    </row>
    <row r="42">
      <c r="A42" s="12"/>
      <c r="B42" s="13"/>
      <c r="C42" s="13"/>
      <c r="D42" s="14"/>
      <c r="E42" s="130"/>
      <c r="F42" s="16"/>
      <c r="G42" s="18"/>
      <c r="H42" s="131"/>
      <c r="I42" s="18"/>
      <c r="J42" s="22"/>
      <c r="K42" s="108"/>
      <c r="L42" s="26"/>
      <c r="M42" s="26"/>
      <c r="N42" s="26"/>
      <c r="O42" s="26"/>
      <c r="P42" s="26"/>
      <c r="Q42" s="26"/>
      <c r="R42" s="26"/>
      <c r="S42" s="26"/>
      <c r="T42" s="26"/>
      <c r="U42" s="26"/>
      <c r="V42" s="26"/>
      <c r="W42" s="26"/>
      <c r="X42" s="26"/>
      <c r="Y42" s="26"/>
      <c r="Z42" s="26"/>
      <c r="AA42" s="26"/>
    </row>
    <row r="43">
      <c r="A43" s="12"/>
      <c r="B43" s="13"/>
      <c r="C43" s="13"/>
      <c r="D43" s="14"/>
      <c r="E43" s="130"/>
      <c r="F43" s="16"/>
      <c r="G43" s="18"/>
      <c r="H43" s="131"/>
      <c r="I43" s="18"/>
      <c r="J43" s="22"/>
      <c r="K43" s="108"/>
      <c r="L43" s="26"/>
      <c r="M43" s="26"/>
      <c r="N43" s="26"/>
      <c r="O43" s="26"/>
      <c r="P43" s="26"/>
      <c r="Q43" s="26"/>
      <c r="R43" s="26"/>
      <c r="S43" s="26"/>
      <c r="T43" s="26"/>
      <c r="U43" s="26"/>
      <c r="V43" s="26"/>
      <c r="W43" s="26"/>
      <c r="X43" s="26"/>
      <c r="Y43" s="26"/>
      <c r="Z43" s="26"/>
      <c r="AA43" s="26"/>
    </row>
    <row r="44">
      <c r="A44" s="12"/>
      <c r="B44" s="13"/>
      <c r="C44" s="13"/>
      <c r="D44" s="14"/>
      <c r="E44" s="130"/>
      <c r="F44" s="16"/>
      <c r="G44" s="18"/>
      <c r="H44" s="131"/>
      <c r="I44" s="18"/>
      <c r="J44" s="22"/>
      <c r="K44" s="108"/>
      <c r="L44" s="26"/>
      <c r="M44" s="26"/>
      <c r="N44" s="26"/>
      <c r="O44" s="26"/>
      <c r="P44" s="26"/>
      <c r="Q44" s="26"/>
      <c r="R44" s="26"/>
      <c r="S44" s="26"/>
      <c r="T44" s="26"/>
      <c r="U44" s="26"/>
      <c r="V44" s="26"/>
      <c r="W44" s="26"/>
      <c r="X44" s="26"/>
      <c r="Y44" s="26"/>
      <c r="Z44" s="26"/>
      <c r="AA44" s="26"/>
    </row>
    <row r="45">
      <c r="A45" s="12"/>
      <c r="B45" s="13"/>
      <c r="C45" s="13"/>
      <c r="D45" s="14"/>
      <c r="E45" s="130"/>
      <c r="F45" s="16"/>
      <c r="G45" s="18"/>
      <c r="H45" s="131"/>
      <c r="I45" s="18"/>
      <c r="J45" s="22"/>
      <c r="K45" s="108"/>
      <c r="L45" s="26"/>
      <c r="M45" s="26"/>
      <c r="N45" s="26"/>
      <c r="O45" s="26"/>
      <c r="P45" s="26"/>
      <c r="Q45" s="26"/>
      <c r="R45" s="26"/>
      <c r="S45" s="26"/>
      <c r="T45" s="26"/>
      <c r="U45" s="26"/>
      <c r="V45" s="26"/>
      <c r="W45" s="26"/>
      <c r="X45" s="26"/>
      <c r="Y45" s="26"/>
      <c r="Z45" s="26"/>
      <c r="AA45" s="26"/>
    </row>
    <row r="46">
      <c r="A46" s="12"/>
      <c r="B46" s="13"/>
      <c r="C46" s="13"/>
      <c r="D46" s="14"/>
      <c r="E46" s="130"/>
      <c r="F46" s="16"/>
      <c r="G46" s="18"/>
      <c r="H46" s="131"/>
      <c r="I46" s="18"/>
      <c r="J46" s="22"/>
      <c r="K46" s="108"/>
      <c r="L46" s="26"/>
      <c r="M46" s="26"/>
      <c r="N46" s="26"/>
      <c r="O46" s="26"/>
      <c r="P46" s="26"/>
      <c r="Q46" s="26"/>
      <c r="R46" s="26"/>
      <c r="S46" s="26"/>
      <c r="T46" s="26"/>
      <c r="U46" s="26"/>
      <c r="V46" s="26"/>
      <c r="W46" s="26"/>
      <c r="X46" s="26"/>
      <c r="Y46" s="26"/>
      <c r="Z46" s="26"/>
      <c r="AA46" s="26"/>
    </row>
    <row r="47">
      <c r="A47" s="12"/>
      <c r="B47" s="13"/>
      <c r="C47" s="13"/>
      <c r="D47" s="14"/>
      <c r="E47" s="130"/>
      <c r="F47" s="16"/>
      <c r="G47" s="18"/>
      <c r="H47" s="131"/>
      <c r="I47" s="18"/>
      <c r="J47" s="22"/>
      <c r="K47" s="108"/>
      <c r="L47" s="26"/>
      <c r="M47" s="26"/>
      <c r="N47" s="26"/>
      <c r="O47" s="26"/>
      <c r="P47" s="26"/>
      <c r="Q47" s="26"/>
      <c r="R47" s="26"/>
      <c r="S47" s="26"/>
      <c r="T47" s="26"/>
      <c r="U47" s="26"/>
      <c r="V47" s="26"/>
      <c r="W47" s="26"/>
      <c r="X47" s="26"/>
      <c r="Y47" s="26"/>
      <c r="Z47" s="26"/>
      <c r="AA47" s="26"/>
    </row>
    <row r="48">
      <c r="A48" s="12"/>
      <c r="B48" s="13"/>
      <c r="C48" s="13"/>
      <c r="D48" s="14"/>
      <c r="E48" s="130"/>
      <c r="F48" s="16"/>
      <c r="G48" s="18"/>
      <c r="H48" s="131"/>
      <c r="I48" s="18"/>
      <c r="J48" s="22"/>
      <c r="K48" s="108"/>
      <c r="L48" s="26"/>
      <c r="M48" s="26"/>
      <c r="N48" s="26"/>
      <c r="O48" s="26"/>
      <c r="P48" s="26"/>
      <c r="Q48" s="26"/>
      <c r="R48" s="26"/>
      <c r="S48" s="26"/>
      <c r="T48" s="26"/>
      <c r="U48" s="26"/>
      <c r="V48" s="26"/>
      <c r="W48" s="26"/>
      <c r="X48" s="26"/>
      <c r="Y48" s="26"/>
      <c r="Z48" s="26"/>
      <c r="AA48" s="26"/>
    </row>
    <row r="49">
      <c r="A49" s="12"/>
      <c r="B49" s="13"/>
      <c r="C49" s="13"/>
      <c r="D49" s="14"/>
      <c r="E49" s="130"/>
      <c r="F49" s="16"/>
      <c r="G49" s="18"/>
      <c r="H49" s="131"/>
      <c r="I49" s="18"/>
      <c r="J49" s="22"/>
      <c r="K49" s="108"/>
      <c r="L49" s="26"/>
      <c r="M49" s="26"/>
      <c r="N49" s="26"/>
      <c r="O49" s="26"/>
      <c r="P49" s="26"/>
      <c r="Q49" s="26"/>
      <c r="R49" s="26"/>
      <c r="S49" s="26"/>
      <c r="T49" s="26"/>
      <c r="U49" s="26"/>
      <c r="V49" s="26"/>
      <c r="W49" s="26"/>
      <c r="X49" s="26"/>
      <c r="Y49" s="26"/>
      <c r="Z49" s="26"/>
      <c r="AA49" s="26"/>
    </row>
    <row r="50">
      <c r="A50" s="12"/>
      <c r="B50" s="13"/>
      <c r="C50" s="13"/>
      <c r="D50" s="14"/>
      <c r="E50" s="130"/>
      <c r="F50" s="16"/>
      <c r="G50" s="18"/>
      <c r="H50" s="131"/>
      <c r="I50" s="18"/>
      <c r="J50" s="22"/>
      <c r="K50" s="108"/>
      <c r="L50" s="26"/>
      <c r="M50" s="26"/>
      <c r="N50" s="26"/>
      <c r="O50" s="26"/>
      <c r="P50" s="26"/>
      <c r="Q50" s="26"/>
      <c r="R50" s="26"/>
      <c r="S50" s="26"/>
      <c r="T50" s="26"/>
      <c r="U50" s="26"/>
      <c r="V50" s="26"/>
      <c r="W50" s="26"/>
      <c r="X50" s="26"/>
      <c r="Y50" s="26"/>
      <c r="Z50" s="26"/>
      <c r="AA50" s="26"/>
    </row>
    <row r="51">
      <c r="A51" s="12"/>
      <c r="B51" s="13"/>
      <c r="C51" s="13"/>
      <c r="D51" s="14"/>
      <c r="E51" s="130"/>
      <c r="F51" s="16"/>
      <c r="G51" s="18"/>
      <c r="H51" s="131"/>
      <c r="I51" s="18"/>
      <c r="J51" s="22"/>
      <c r="K51" s="108"/>
      <c r="L51" s="26"/>
      <c r="M51" s="26"/>
      <c r="N51" s="26"/>
      <c r="O51" s="26"/>
      <c r="P51" s="26"/>
      <c r="Q51" s="26"/>
      <c r="R51" s="26"/>
      <c r="S51" s="26"/>
      <c r="T51" s="26"/>
      <c r="U51" s="26"/>
      <c r="V51" s="26"/>
      <c r="W51" s="26"/>
      <c r="X51" s="26"/>
      <c r="Y51" s="26"/>
      <c r="Z51" s="26"/>
      <c r="AA51" s="26"/>
    </row>
    <row r="52">
      <c r="A52" s="12"/>
      <c r="B52" s="13"/>
      <c r="C52" s="13"/>
      <c r="D52" s="14"/>
      <c r="E52" s="130"/>
      <c r="F52" s="16"/>
      <c r="G52" s="18"/>
      <c r="H52" s="131"/>
      <c r="I52" s="18"/>
      <c r="J52" s="22"/>
      <c r="K52" s="108"/>
      <c r="L52" s="26"/>
      <c r="M52" s="26"/>
      <c r="N52" s="26"/>
      <c r="O52" s="26"/>
      <c r="P52" s="26"/>
      <c r="Q52" s="26"/>
      <c r="R52" s="26"/>
      <c r="S52" s="26"/>
      <c r="T52" s="26"/>
      <c r="U52" s="26"/>
      <c r="V52" s="26"/>
      <c r="W52" s="26"/>
      <c r="X52" s="26"/>
      <c r="Y52" s="26"/>
      <c r="Z52" s="26"/>
      <c r="AA52" s="26"/>
    </row>
    <row r="53">
      <c r="A53" s="12"/>
      <c r="B53" s="13"/>
      <c r="C53" s="13"/>
      <c r="D53" s="14"/>
      <c r="E53" s="130"/>
      <c r="F53" s="16"/>
      <c r="G53" s="18"/>
      <c r="H53" s="131"/>
      <c r="I53" s="18"/>
      <c r="J53" s="22"/>
      <c r="K53" s="108"/>
      <c r="L53" s="26"/>
      <c r="M53" s="26"/>
      <c r="N53" s="26"/>
      <c r="O53" s="26"/>
      <c r="P53" s="26"/>
      <c r="Q53" s="26"/>
      <c r="R53" s="26"/>
      <c r="S53" s="26"/>
      <c r="T53" s="26"/>
      <c r="U53" s="26"/>
      <c r="V53" s="26"/>
      <c r="W53" s="26"/>
      <c r="X53" s="26"/>
      <c r="Y53" s="26"/>
      <c r="Z53" s="26"/>
      <c r="AA53" s="26"/>
    </row>
    <row r="54">
      <c r="A54" s="12"/>
      <c r="B54" s="13"/>
      <c r="C54" s="13"/>
      <c r="D54" s="14"/>
      <c r="E54" s="130"/>
      <c r="F54" s="16"/>
      <c r="G54" s="18"/>
      <c r="H54" s="131"/>
      <c r="I54" s="18"/>
      <c r="J54" s="22"/>
      <c r="K54" s="108"/>
      <c r="L54" s="26"/>
      <c r="M54" s="26"/>
      <c r="N54" s="26"/>
      <c r="O54" s="26"/>
      <c r="P54" s="26"/>
      <c r="Q54" s="26"/>
      <c r="R54" s="26"/>
      <c r="S54" s="26"/>
      <c r="T54" s="26"/>
      <c r="U54" s="26"/>
      <c r="V54" s="26"/>
      <c r="W54" s="26"/>
      <c r="X54" s="26"/>
      <c r="Y54" s="26"/>
      <c r="Z54" s="26"/>
      <c r="AA54" s="26"/>
    </row>
    <row r="55">
      <c r="A55" s="12"/>
      <c r="B55" s="13"/>
      <c r="C55" s="13"/>
      <c r="D55" s="14"/>
      <c r="E55" s="130"/>
      <c r="F55" s="16"/>
      <c r="G55" s="18"/>
      <c r="H55" s="131"/>
      <c r="I55" s="18"/>
      <c r="J55" s="22"/>
      <c r="K55" s="108"/>
      <c r="L55" s="26"/>
      <c r="M55" s="26"/>
      <c r="N55" s="26"/>
      <c r="O55" s="26"/>
      <c r="P55" s="26"/>
      <c r="Q55" s="26"/>
      <c r="R55" s="26"/>
      <c r="S55" s="26"/>
      <c r="T55" s="26"/>
      <c r="U55" s="26"/>
      <c r="V55" s="26"/>
      <c r="W55" s="26"/>
      <c r="X55" s="26"/>
      <c r="Y55" s="26"/>
      <c r="Z55" s="26"/>
      <c r="AA55" s="26"/>
    </row>
    <row r="56">
      <c r="A56" s="12"/>
      <c r="B56" s="13"/>
      <c r="C56" s="13"/>
      <c r="D56" s="14"/>
      <c r="E56" s="130"/>
      <c r="F56" s="16"/>
      <c r="G56" s="18"/>
      <c r="H56" s="131"/>
      <c r="I56" s="18"/>
      <c r="J56" s="22"/>
      <c r="K56" s="108"/>
      <c r="L56" s="26"/>
      <c r="M56" s="26"/>
      <c r="N56" s="26"/>
      <c r="O56" s="26"/>
      <c r="P56" s="26"/>
      <c r="Q56" s="26"/>
      <c r="R56" s="26"/>
      <c r="S56" s="26"/>
      <c r="T56" s="26"/>
      <c r="U56" s="26"/>
      <c r="V56" s="26"/>
      <c r="W56" s="26"/>
      <c r="X56" s="26"/>
      <c r="Y56" s="26"/>
      <c r="Z56" s="26"/>
      <c r="AA56" s="26"/>
    </row>
    <row r="57">
      <c r="A57" s="12"/>
      <c r="B57" s="13"/>
      <c r="C57" s="13"/>
      <c r="D57" s="14"/>
      <c r="E57" s="130"/>
      <c r="F57" s="16"/>
      <c r="G57" s="18"/>
      <c r="H57" s="131"/>
      <c r="I57" s="18"/>
      <c r="J57" s="22"/>
      <c r="K57" s="108"/>
      <c r="L57" s="26"/>
      <c r="M57" s="26"/>
      <c r="N57" s="26"/>
      <c r="O57" s="26"/>
      <c r="P57" s="26"/>
      <c r="Q57" s="26"/>
      <c r="R57" s="26"/>
      <c r="S57" s="26"/>
      <c r="T57" s="26"/>
      <c r="U57" s="26"/>
      <c r="V57" s="26"/>
      <c r="W57" s="26"/>
      <c r="X57" s="26"/>
      <c r="Y57" s="26"/>
      <c r="Z57" s="26"/>
      <c r="AA57" s="26"/>
    </row>
    <row r="58">
      <c r="A58" s="12"/>
      <c r="B58" s="13"/>
      <c r="C58" s="13"/>
      <c r="D58" s="14"/>
      <c r="E58" s="130"/>
      <c r="F58" s="16"/>
      <c r="G58" s="18"/>
      <c r="H58" s="131"/>
      <c r="I58" s="18"/>
      <c r="J58" s="22"/>
      <c r="K58" s="108"/>
      <c r="L58" s="26"/>
      <c r="M58" s="26"/>
      <c r="N58" s="26"/>
      <c r="O58" s="26"/>
      <c r="P58" s="26"/>
      <c r="Q58" s="26"/>
      <c r="R58" s="26"/>
      <c r="S58" s="26"/>
      <c r="T58" s="26"/>
      <c r="U58" s="26"/>
      <c r="V58" s="26"/>
      <c r="W58" s="26"/>
      <c r="X58" s="26"/>
      <c r="Y58" s="26"/>
      <c r="Z58" s="26"/>
      <c r="AA58" s="26"/>
    </row>
    <row r="59">
      <c r="A59" s="12"/>
      <c r="B59" s="13"/>
      <c r="C59" s="13"/>
      <c r="D59" s="14"/>
      <c r="E59" s="130"/>
      <c r="F59" s="16"/>
      <c r="G59" s="18"/>
      <c r="H59" s="131"/>
      <c r="I59" s="18"/>
      <c r="J59" s="22"/>
      <c r="K59" s="108"/>
      <c r="L59" s="26"/>
      <c r="M59" s="26"/>
      <c r="N59" s="26"/>
      <c r="O59" s="26"/>
      <c r="P59" s="26"/>
      <c r="Q59" s="26"/>
      <c r="R59" s="26"/>
      <c r="S59" s="26"/>
      <c r="T59" s="26"/>
      <c r="U59" s="26"/>
      <c r="V59" s="26"/>
      <c r="W59" s="26"/>
      <c r="X59" s="26"/>
      <c r="Y59" s="26"/>
      <c r="Z59" s="26"/>
      <c r="AA59" s="26"/>
    </row>
    <row r="60">
      <c r="A60" s="12"/>
      <c r="B60" s="13"/>
      <c r="C60" s="13"/>
      <c r="D60" s="14"/>
      <c r="E60" s="130"/>
      <c r="F60" s="16"/>
      <c r="G60" s="18"/>
      <c r="H60" s="131"/>
      <c r="I60" s="18"/>
      <c r="J60" s="22"/>
      <c r="K60" s="108"/>
      <c r="L60" s="26"/>
      <c r="M60" s="26"/>
      <c r="N60" s="26"/>
      <c r="O60" s="26"/>
      <c r="P60" s="26"/>
      <c r="Q60" s="26"/>
      <c r="R60" s="26"/>
      <c r="S60" s="26"/>
      <c r="T60" s="26"/>
      <c r="U60" s="26"/>
      <c r="V60" s="26"/>
      <c r="W60" s="26"/>
      <c r="X60" s="26"/>
      <c r="Y60" s="26"/>
      <c r="Z60" s="26"/>
      <c r="AA60" s="26"/>
    </row>
    <row r="61">
      <c r="A61" s="12"/>
      <c r="B61" s="13"/>
      <c r="C61" s="13"/>
      <c r="D61" s="14"/>
      <c r="E61" s="130"/>
      <c r="F61" s="16"/>
      <c r="G61" s="18"/>
      <c r="H61" s="131"/>
      <c r="I61" s="18"/>
      <c r="J61" s="22"/>
      <c r="K61" s="108"/>
      <c r="L61" s="26"/>
      <c r="M61" s="26"/>
      <c r="N61" s="26"/>
      <c r="O61" s="26"/>
      <c r="P61" s="26"/>
      <c r="Q61" s="26"/>
      <c r="R61" s="26"/>
      <c r="S61" s="26"/>
      <c r="T61" s="26"/>
      <c r="U61" s="26"/>
      <c r="V61" s="26"/>
      <c r="W61" s="26"/>
      <c r="X61" s="26"/>
      <c r="Y61" s="26"/>
      <c r="Z61" s="26"/>
      <c r="AA61" s="26"/>
    </row>
    <row r="62">
      <c r="A62" s="12"/>
      <c r="B62" s="13"/>
      <c r="C62" s="13"/>
      <c r="D62" s="14"/>
      <c r="E62" s="130"/>
      <c r="F62" s="16"/>
      <c r="G62" s="18"/>
      <c r="H62" s="131"/>
      <c r="I62" s="18"/>
      <c r="J62" s="22"/>
      <c r="K62" s="108"/>
      <c r="L62" s="26"/>
      <c r="M62" s="26"/>
      <c r="N62" s="26"/>
      <c r="O62" s="26"/>
      <c r="P62" s="26"/>
      <c r="Q62" s="26"/>
      <c r="R62" s="26"/>
      <c r="S62" s="26"/>
      <c r="T62" s="26"/>
      <c r="U62" s="26"/>
      <c r="V62" s="26"/>
      <c r="W62" s="26"/>
      <c r="X62" s="26"/>
      <c r="Y62" s="26"/>
      <c r="Z62" s="26"/>
      <c r="AA62" s="26"/>
    </row>
    <row r="63">
      <c r="A63" s="12"/>
      <c r="B63" s="13"/>
      <c r="C63" s="13"/>
      <c r="D63" s="14"/>
      <c r="E63" s="130"/>
      <c r="F63" s="16"/>
      <c r="G63" s="18"/>
      <c r="H63" s="131"/>
      <c r="I63" s="18"/>
      <c r="J63" s="22"/>
      <c r="K63" s="108"/>
      <c r="L63" s="26"/>
      <c r="M63" s="26"/>
      <c r="N63" s="26"/>
      <c r="O63" s="26"/>
      <c r="P63" s="26"/>
      <c r="Q63" s="26"/>
      <c r="R63" s="26"/>
      <c r="S63" s="26"/>
      <c r="T63" s="26"/>
      <c r="U63" s="26"/>
      <c r="V63" s="26"/>
      <c r="W63" s="26"/>
      <c r="X63" s="26"/>
      <c r="Y63" s="26"/>
      <c r="Z63" s="26"/>
      <c r="AA63" s="26"/>
    </row>
    <row r="64">
      <c r="A64" s="12"/>
      <c r="B64" s="13"/>
      <c r="C64" s="13"/>
      <c r="D64" s="14"/>
      <c r="E64" s="130"/>
      <c r="F64" s="16"/>
      <c r="G64" s="18"/>
      <c r="H64" s="131"/>
      <c r="I64" s="18"/>
      <c r="J64" s="22"/>
      <c r="K64" s="108"/>
      <c r="L64" s="26"/>
      <c r="M64" s="26"/>
      <c r="N64" s="26"/>
      <c r="O64" s="26"/>
      <c r="P64" s="26"/>
      <c r="Q64" s="26"/>
      <c r="R64" s="26"/>
      <c r="S64" s="26"/>
      <c r="T64" s="26"/>
      <c r="U64" s="26"/>
      <c r="V64" s="26"/>
      <c r="W64" s="26"/>
      <c r="X64" s="26"/>
      <c r="Y64" s="26"/>
      <c r="Z64" s="26"/>
      <c r="AA64" s="26"/>
    </row>
    <row r="65">
      <c r="A65" s="12"/>
      <c r="B65" s="13"/>
      <c r="C65" s="13"/>
      <c r="D65" s="14"/>
      <c r="E65" s="130"/>
      <c r="F65" s="16"/>
      <c r="G65" s="18"/>
      <c r="H65" s="131"/>
      <c r="I65" s="18"/>
      <c r="J65" s="22"/>
      <c r="K65" s="108"/>
      <c r="L65" s="26"/>
      <c r="M65" s="26"/>
      <c r="N65" s="26"/>
      <c r="O65" s="26"/>
      <c r="P65" s="26"/>
      <c r="Q65" s="26"/>
      <c r="R65" s="26"/>
      <c r="S65" s="26"/>
      <c r="T65" s="26"/>
      <c r="U65" s="26"/>
      <c r="V65" s="26"/>
      <c r="W65" s="26"/>
      <c r="X65" s="26"/>
      <c r="Y65" s="26"/>
      <c r="Z65" s="26"/>
      <c r="AA65" s="26"/>
    </row>
    <row r="66">
      <c r="A66" s="12"/>
      <c r="B66" s="13"/>
      <c r="C66" s="13"/>
      <c r="D66" s="14"/>
      <c r="E66" s="130"/>
      <c r="F66" s="16"/>
      <c r="G66" s="18"/>
      <c r="H66" s="131"/>
      <c r="I66" s="18"/>
      <c r="J66" s="22"/>
      <c r="K66" s="108"/>
      <c r="L66" s="26"/>
      <c r="M66" s="26"/>
      <c r="N66" s="26"/>
      <c r="O66" s="26"/>
      <c r="P66" s="26"/>
      <c r="Q66" s="26"/>
      <c r="R66" s="26"/>
      <c r="S66" s="26"/>
      <c r="T66" s="26"/>
      <c r="U66" s="26"/>
      <c r="V66" s="26"/>
      <c r="W66" s="26"/>
      <c r="X66" s="26"/>
      <c r="Y66" s="26"/>
      <c r="Z66" s="26"/>
      <c r="AA66" s="26"/>
    </row>
    <row r="67">
      <c r="A67" s="12"/>
      <c r="B67" s="13"/>
      <c r="C67" s="13"/>
      <c r="D67" s="14"/>
      <c r="E67" s="130"/>
      <c r="F67" s="16"/>
      <c r="G67" s="18"/>
      <c r="H67" s="131"/>
      <c r="I67" s="18"/>
      <c r="J67" s="22"/>
      <c r="K67" s="108"/>
      <c r="L67" s="26"/>
      <c r="M67" s="26"/>
      <c r="N67" s="26"/>
      <c r="O67" s="26"/>
      <c r="P67" s="26"/>
      <c r="Q67" s="26"/>
      <c r="R67" s="26"/>
      <c r="S67" s="26"/>
      <c r="T67" s="26"/>
      <c r="U67" s="26"/>
      <c r="V67" s="26"/>
      <c r="W67" s="26"/>
      <c r="X67" s="26"/>
      <c r="Y67" s="26"/>
      <c r="Z67" s="26"/>
      <c r="AA67" s="26"/>
    </row>
    <row r="68">
      <c r="A68" s="12"/>
      <c r="B68" s="13"/>
      <c r="C68" s="13"/>
      <c r="D68" s="14"/>
      <c r="E68" s="130"/>
      <c r="F68" s="16"/>
      <c r="G68" s="18"/>
      <c r="H68" s="131"/>
      <c r="I68" s="18"/>
      <c r="J68" s="22"/>
      <c r="K68" s="108"/>
      <c r="L68" s="26"/>
      <c r="M68" s="26"/>
      <c r="N68" s="26"/>
      <c r="O68" s="26"/>
      <c r="P68" s="26"/>
      <c r="Q68" s="26"/>
      <c r="R68" s="26"/>
      <c r="S68" s="26"/>
      <c r="T68" s="26"/>
      <c r="U68" s="26"/>
      <c r="V68" s="26"/>
      <c r="W68" s="26"/>
      <c r="X68" s="26"/>
      <c r="Y68" s="26"/>
      <c r="Z68" s="26"/>
      <c r="AA68" s="26"/>
    </row>
    <row r="69">
      <c r="A69" s="12"/>
      <c r="B69" s="13"/>
      <c r="C69" s="13"/>
      <c r="D69" s="14"/>
      <c r="E69" s="130"/>
      <c r="F69" s="16"/>
      <c r="G69" s="18"/>
      <c r="H69" s="131"/>
      <c r="I69" s="18"/>
      <c r="J69" s="22"/>
      <c r="K69" s="108"/>
      <c r="L69" s="26"/>
      <c r="M69" s="26"/>
      <c r="N69" s="26"/>
      <c r="O69" s="26"/>
      <c r="P69" s="26"/>
      <c r="Q69" s="26"/>
      <c r="R69" s="26"/>
      <c r="S69" s="26"/>
      <c r="T69" s="26"/>
      <c r="U69" s="26"/>
      <c r="V69" s="26"/>
      <c r="W69" s="26"/>
      <c r="X69" s="26"/>
      <c r="Y69" s="26"/>
      <c r="Z69" s="26"/>
      <c r="AA69" s="26"/>
    </row>
    <row r="70">
      <c r="A70" s="12"/>
      <c r="B70" s="13"/>
      <c r="C70" s="13"/>
      <c r="D70" s="14"/>
      <c r="E70" s="130"/>
      <c r="F70" s="16"/>
      <c r="G70" s="18"/>
      <c r="H70" s="131"/>
      <c r="I70" s="18"/>
      <c r="J70" s="22"/>
      <c r="K70" s="108"/>
      <c r="L70" s="26"/>
      <c r="M70" s="26"/>
      <c r="N70" s="26"/>
      <c r="O70" s="26"/>
      <c r="P70" s="26"/>
      <c r="Q70" s="26"/>
      <c r="R70" s="26"/>
      <c r="S70" s="26"/>
      <c r="T70" s="26"/>
      <c r="U70" s="26"/>
      <c r="V70" s="26"/>
      <c r="W70" s="26"/>
      <c r="X70" s="26"/>
      <c r="Y70" s="26"/>
      <c r="Z70" s="26"/>
      <c r="AA70" s="26"/>
    </row>
    <row r="71">
      <c r="A71" s="12"/>
      <c r="B71" s="13"/>
      <c r="C71" s="13"/>
      <c r="D71" s="14"/>
      <c r="E71" s="130"/>
      <c r="F71" s="16"/>
      <c r="G71" s="18"/>
      <c r="H71" s="131"/>
      <c r="I71" s="18"/>
      <c r="J71" s="22"/>
      <c r="K71" s="108"/>
      <c r="L71" s="26"/>
      <c r="M71" s="26"/>
      <c r="N71" s="26"/>
      <c r="O71" s="26"/>
      <c r="P71" s="26"/>
      <c r="Q71" s="26"/>
      <c r="R71" s="26"/>
      <c r="S71" s="26"/>
      <c r="T71" s="26"/>
      <c r="U71" s="26"/>
      <c r="V71" s="26"/>
      <c r="W71" s="26"/>
      <c r="X71" s="26"/>
      <c r="Y71" s="26"/>
      <c r="Z71" s="26"/>
      <c r="AA71" s="26"/>
    </row>
    <row r="72">
      <c r="A72" s="12"/>
      <c r="B72" s="13"/>
      <c r="C72" s="13"/>
      <c r="D72" s="14"/>
      <c r="E72" s="130"/>
      <c r="F72" s="16"/>
      <c r="G72" s="18"/>
      <c r="H72" s="131"/>
      <c r="I72" s="18"/>
      <c r="J72" s="22"/>
      <c r="K72" s="108"/>
      <c r="L72" s="26"/>
      <c r="M72" s="26"/>
      <c r="N72" s="26"/>
      <c r="O72" s="26"/>
      <c r="P72" s="26"/>
      <c r="Q72" s="26"/>
      <c r="R72" s="26"/>
      <c r="S72" s="26"/>
      <c r="T72" s="26"/>
      <c r="U72" s="26"/>
      <c r="V72" s="26"/>
      <c r="W72" s="26"/>
      <c r="X72" s="26"/>
      <c r="Y72" s="26"/>
      <c r="Z72" s="26"/>
      <c r="AA72" s="26"/>
    </row>
    <row r="73">
      <c r="A73" s="12"/>
      <c r="B73" s="13"/>
      <c r="C73" s="13"/>
      <c r="D73" s="14"/>
      <c r="E73" s="130"/>
      <c r="F73" s="16"/>
      <c r="G73" s="18"/>
      <c r="H73" s="131"/>
      <c r="I73" s="18"/>
      <c r="J73" s="22"/>
      <c r="K73" s="108"/>
      <c r="L73" s="26"/>
      <c r="M73" s="26"/>
      <c r="N73" s="26"/>
      <c r="O73" s="26"/>
      <c r="P73" s="26"/>
      <c r="Q73" s="26"/>
      <c r="R73" s="26"/>
      <c r="S73" s="26"/>
      <c r="T73" s="26"/>
      <c r="U73" s="26"/>
      <c r="V73" s="26"/>
      <c r="W73" s="26"/>
      <c r="X73" s="26"/>
      <c r="Y73" s="26"/>
      <c r="Z73" s="26"/>
      <c r="AA73" s="26"/>
    </row>
    <row r="74">
      <c r="A74" s="12"/>
      <c r="B74" s="13"/>
      <c r="C74" s="13"/>
      <c r="D74" s="14"/>
      <c r="E74" s="130"/>
      <c r="F74" s="16"/>
      <c r="G74" s="18"/>
      <c r="H74" s="131"/>
      <c r="I74" s="18"/>
      <c r="J74" s="22"/>
      <c r="K74" s="108"/>
      <c r="L74" s="26"/>
      <c r="M74" s="26"/>
      <c r="N74" s="26"/>
      <c r="O74" s="26"/>
      <c r="P74" s="26"/>
      <c r="Q74" s="26"/>
      <c r="R74" s="26"/>
      <c r="S74" s="26"/>
      <c r="T74" s="26"/>
      <c r="U74" s="26"/>
      <c r="V74" s="26"/>
      <c r="W74" s="26"/>
      <c r="X74" s="26"/>
      <c r="Y74" s="26"/>
      <c r="Z74" s="26"/>
      <c r="AA74" s="26"/>
    </row>
    <row r="75">
      <c r="A75" s="12"/>
      <c r="B75" s="13"/>
      <c r="C75" s="13"/>
      <c r="D75" s="14"/>
      <c r="E75" s="130"/>
      <c r="F75" s="16"/>
      <c r="G75" s="18"/>
      <c r="H75" s="131"/>
      <c r="I75" s="18"/>
      <c r="J75" s="22"/>
      <c r="K75" s="108"/>
      <c r="L75" s="26"/>
      <c r="M75" s="26"/>
      <c r="N75" s="26"/>
      <c r="O75" s="26"/>
      <c r="P75" s="26"/>
      <c r="Q75" s="26"/>
      <c r="R75" s="26"/>
      <c r="S75" s="26"/>
      <c r="T75" s="26"/>
      <c r="U75" s="26"/>
      <c r="V75" s="26"/>
      <c r="W75" s="26"/>
      <c r="X75" s="26"/>
      <c r="Y75" s="26"/>
      <c r="Z75" s="26"/>
      <c r="AA75" s="26"/>
    </row>
    <row r="76">
      <c r="A76" s="12"/>
      <c r="B76" s="13"/>
      <c r="C76" s="13"/>
      <c r="D76" s="14"/>
      <c r="E76" s="130"/>
      <c r="F76" s="16"/>
      <c r="G76" s="18"/>
      <c r="H76" s="131"/>
      <c r="I76" s="18"/>
      <c r="J76" s="22"/>
      <c r="K76" s="108"/>
      <c r="L76" s="26"/>
      <c r="M76" s="26"/>
      <c r="N76" s="26"/>
      <c r="O76" s="26"/>
      <c r="P76" s="26"/>
      <c r="Q76" s="26"/>
      <c r="R76" s="26"/>
      <c r="S76" s="26"/>
      <c r="T76" s="26"/>
      <c r="U76" s="26"/>
      <c r="V76" s="26"/>
      <c r="W76" s="26"/>
      <c r="X76" s="26"/>
      <c r="Y76" s="26"/>
      <c r="Z76" s="26"/>
      <c r="AA76" s="26"/>
    </row>
    <row r="77">
      <c r="A77" s="12"/>
      <c r="B77" s="13"/>
      <c r="C77" s="13"/>
      <c r="D77" s="14"/>
      <c r="E77" s="130"/>
      <c r="F77" s="16"/>
      <c r="G77" s="18"/>
      <c r="H77" s="131"/>
      <c r="I77" s="18"/>
      <c r="J77" s="22"/>
      <c r="K77" s="108"/>
      <c r="L77" s="26"/>
      <c r="M77" s="26"/>
      <c r="N77" s="26"/>
      <c r="O77" s="26"/>
      <c r="P77" s="26"/>
      <c r="Q77" s="26"/>
      <c r="R77" s="26"/>
      <c r="S77" s="26"/>
      <c r="T77" s="26"/>
      <c r="U77" s="26"/>
      <c r="V77" s="26"/>
      <c r="W77" s="26"/>
      <c r="X77" s="26"/>
      <c r="Y77" s="26"/>
      <c r="Z77" s="26"/>
      <c r="AA77" s="26"/>
    </row>
    <row r="78">
      <c r="A78" s="12"/>
      <c r="B78" s="13"/>
      <c r="C78" s="13"/>
      <c r="D78" s="14"/>
      <c r="E78" s="130"/>
      <c r="F78" s="16"/>
      <c r="G78" s="18"/>
      <c r="H78" s="131"/>
      <c r="I78" s="18"/>
      <c r="J78" s="22"/>
      <c r="K78" s="108"/>
      <c r="L78" s="26"/>
      <c r="M78" s="26"/>
      <c r="N78" s="26"/>
      <c r="O78" s="26"/>
      <c r="P78" s="26"/>
      <c r="Q78" s="26"/>
      <c r="R78" s="26"/>
      <c r="S78" s="26"/>
      <c r="T78" s="26"/>
      <c r="U78" s="26"/>
      <c r="V78" s="26"/>
      <c r="W78" s="26"/>
      <c r="X78" s="26"/>
      <c r="Y78" s="26"/>
      <c r="Z78" s="26"/>
      <c r="AA78" s="26"/>
    </row>
    <row r="79">
      <c r="A79" s="12"/>
      <c r="B79" s="13"/>
      <c r="C79" s="13"/>
      <c r="D79" s="14"/>
      <c r="E79" s="130"/>
      <c r="F79" s="16"/>
      <c r="G79" s="18"/>
      <c r="H79" s="131"/>
      <c r="I79" s="18"/>
      <c r="J79" s="22"/>
      <c r="K79" s="108"/>
      <c r="L79" s="26"/>
      <c r="M79" s="26"/>
      <c r="N79" s="26"/>
      <c r="O79" s="26"/>
      <c r="P79" s="26"/>
      <c r="Q79" s="26"/>
      <c r="R79" s="26"/>
      <c r="S79" s="26"/>
      <c r="T79" s="26"/>
      <c r="U79" s="26"/>
      <c r="V79" s="26"/>
      <c r="W79" s="26"/>
      <c r="X79" s="26"/>
      <c r="Y79" s="26"/>
      <c r="Z79" s="26"/>
      <c r="AA79" s="26"/>
    </row>
    <row r="80">
      <c r="A80" s="12"/>
      <c r="B80" s="13"/>
      <c r="C80" s="13"/>
      <c r="D80" s="14"/>
      <c r="E80" s="130"/>
      <c r="F80" s="16"/>
      <c r="G80" s="18"/>
      <c r="H80" s="131"/>
      <c r="I80" s="18"/>
      <c r="J80" s="22"/>
      <c r="K80" s="108"/>
      <c r="L80" s="26"/>
      <c r="M80" s="26"/>
      <c r="N80" s="26"/>
      <c r="O80" s="26"/>
      <c r="P80" s="26"/>
      <c r="Q80" s="26"/>
      <c r="R80" s="26"/>
      <c r="S80" s="26"/>
      <c r="T80" s="26"/>
      <c r="U80" s="26"/>
      <c r="V80" s="26"/>
      <c r="W80" s="26"/>
      <c r="X80" s="26"/>
      <c r="Y80" s="26"/>
      <c r="Z80" s="26"/>
      <c r="AA80" s="26"/>
    </row>
    <row r="81">
      <c r="A81" s="12"/>
      <c r="B81" s="13"/>
      <c r="C81" s="13"/>
      <c r="D81" s="14"/>
      <c r="E81" s="130"/>
      <c r="F81" s="16"/>
      <c r="G81" s="18"/>
      <c r="H81" s="131"/>
      <c r="I81" s="18"/>
      <c r="J81" s="22"/>
      <c r="K81" s="108"/>
      <c r="L81" s="26"/>
      <c r="M81" s="26"/>
      <c r="N81" s="26"/>
      <c r="O81" s="26"/>
      <c r="P81" s="26"/>
      <c r="Q81" s="26"/>
      <c r="R81" s="26"/>
      <c r="S81" s="26"/>
      <c r="T81" s="26"/>
      <c r="U81" s="26"/>
      <c r="V81" s="26"/>
      <c r="W81" s="26"/>
      <c r="X81" s="26"/>
      <c r="Y81" s="26"/>
      <c r="Z81" s="26"/>
      <c r="AA81" s="26"/>
    </row>
    <row r="82">
      <c r="A82" s="12"/>
      <c r="B82" s="13"/>
      <c r="C82" s="13"/>
      <c r="D82" s="14"/>
      <c r="E82" s="130"/>
      <c r="F82" s="16"/>
      <c r="G82" s="18"/>
      <c r="H82" s="131"/>
      <c r="I82" s="18"/>
      <c r="J82" s="22"/>
      <c r="K82" s="108"/>
      <c r="L82" s="26"/>
      <c r="M82" s="26"/>
      <c r="N82" s="26"/>
      <c r="O82" s="26"/>
      <c r="P82" s="26"/>
      <c r="Q82" s="26"/>
      <c r="R82" s="26"/>
      <c r="S82" s="26"/>
      <c r="T82" s="26"/>
      <c r="U82" s="26"/>
      <c r="V82" s="26"/>
      <c r="W82" s="26"/>
      <c r="X82" s="26"/>
      <c r="Y82" s="26"/>
      <c r="Z82" s="26"/>
      <c r="AA82" s="26"/>
    </row>
    <row r="83">
      <c r="A83" s="12"/>
      <c r="B83" s="13"/>
      <c r="C83" s="13"/>
      <c r="D83" s="14"/>
      <c r="E83" s="130"/>
      <c r="F83" s="16"/>
      <c r="G83" s="18"/>
      <c r="H83" s="131"/>
      <c r="I83" s="18"/>
      <c r="J83" s="22"/>
      <c r="K83" s="108"/>
      <c r="L83" s="26"/>
      <c r="M83" s="26"/>
      <c r="N83" s="26"/>
      <c r="O83" s="26"/>
      <c r="P83" s="26"/>
      <c r="Q83" s="26"/>
      <c r="R83" s="26"/>
      <c r="S83" s="26"/>
      <c r="T83" s="26"/>
      <c r="U83" s="26"/>
      <c r="V83" s="26"/>
      <c r="W83" s="26"/>
      <c r="X83" s="26"/>
      <c r="Y83" s="26"/>
      <c r="Z83" s="26"/>
      <c r="AA83" s="26"/>
    </row>
    <row r="84">
      <c r="A84" s="12"/>
      <c r="B84" s="13"/>
      <c r="C84" s="13"/>
      <c r="D84" s="14"/>
      <c r="E84" s="130"/>
      <c r="F84" s="16"/>
      <c r="G84" s="18"/>
      <c r="H84" s="131"/>
      <c r="I84" s="18"/>
      <c r="J84" s="22"/>
      <c r="K84" s="108"/>
      <c r="L84" s="26"/>
      <c r="M84" s="26"/>
      <c r="N84" s="26"/>
      <c r="O84" s="26"/>
      <c r="P84" s="26"/>
      <c r="Q84" s="26"/>
      <c r="R84" s="26"/>
      <c r="S84" s="26"/>
      <c r="T84" s="26"/>
      <c r="U84" s="26"/>
      <c r="V84" s="26"/>
      <c r="W84" s="26"/>
      <c r="X84" s="26"/>
      <c r="Y84" s="26"/>
      <c r="Z84" s="26"/>
      <c r="AA84" s="26"/>
    </row>
    <row r="85">
      <c r="A85" s="12"/>
      <c r="B85" s="13"/>
      <c r="C85" s="13"/>
      <c r="D85" s="14"/>
      <c r="E85" s="130"/>
      <c r="F85" s="16"/>
      <c r="G85" s="18"/>
      <c r="H85" s="131"/>
      <c r="I85" s="18"/>
      <c r="J85" s="22"/>
      <c r="K85" s="108"/>
      <c r="L85" s="26"/>
      <c r="M85" s="26"/>
      <c r="N85" s="26"/>
      <c r="O85" s="26"/>
      <c r="P85" s="26"/>
      <c r="Q85" s="26"/>
      <c r="R85" s="26"/>
      <c r="S85" s="26"/>
      <c r="T85" s="26"/>
      <c r="U85" s="26"/>
      <c r="V85" s="26"/>
      <c r="W85" s="26"/>
      <c r="X85" s="26"/>
      <c r="Y85" s="26"/>
      <c r="Z85" s="26"/>
      <c r="AA85" s="26"/>
    </row>
    <row r="86">
      <c r="A86" s="12"/>
      <c r="B86" s="13"/>
      <c r="C86" s="13"/>
      <c r="D86" s="14"/>
      <c r="E86" s="130"/>
      <c r="F86" s="16"/>
      <c r="G86" s="18"/>
      <c r="H86" s="131"/>
      <c r="I86" s="18"/>
      <c r="J86" s="22"/>
      <c r="K86" s="108"/>
      <c r="L86" s="26"/>
      <c r="M86" s="26"/>
      <c r="N86" s="26"/>
      <c r="O86" s="26"/>
      <c r="P86" s="26"/>
      <c r="Q86" s="26"/>
      <c r="R86" s="26"/>
      <c r="S86" s="26"/>
      <c r="T86" s="26"/>
      <c r="U86" s="26"/>
      <c r="V86" s="26"/>
      <c r="W86" s="26"/>
      <c r="X86" s="26"/>
      <c r="Y86" s="26"/>
      <c r="Z86" s="26"/>
      <c r="AA86" s="26"/>
    </row>
    <row r="87">
      <c r="A87" s="12"/>
      <c r="B87" s="13"/>
      <c r="C87" s="13"/>
      <c r="D87" s="14"/>
      <c r="E87" s="130"/>
      <c r="F87" s="16"/>
      <c r="G87" s="18"/>
      <c r="H87" s="131"/>
      <c r="I87" s="18"/>
      <c r="J87" s="22"/>
      <c r="K87" s="108"/>
      <c r="L87" s="26"/>
      <c r="M87" s="26"/>
      <c r="N87" s="26"/>
      <c r="O87" s="26"/>
      <c r="P87" s="26"/>
      <c r="Q87" s="26"/>
      <c r="R87" s="26"/>
      <c r="S87" s="26"/>
      <c r="T87" s="26"/>
      <c r="U87" s="26"/>
      <c r="V87" s="26"/>
      <c r="W87" s="26"/>
      <c r="X87" s="26"/>
      <c r="Y87" s="26"/>
      <c r="Z87" s="26"/>
      <c r="AA87" s="26"/>
    </row>
    <row r="88">
      <c r="A88" s="12"/>
      <c r="B88" s="13"/>
      <c r="C88" s="13"/>
      <c r="D88" s="14"/>
      <c r="E88" s="130"/>
      <c r="F88" s="16"/>
      <c r="G88" s="18"/>
      <c r="H88" s="131"/>
      <c r="I88" s="18"/>
      <c r="J88" s="22"/>
      <c r="K88" s="108"/>
      <c r="L88" s="26"/>
      <c r="M88" s="26"/>
      <c r="N88" s="26"/>
      <c r="O88" s="26"/>
      <c r="P88" s="26"/>
      <c r="Q88" s="26"/>
      <c r="R88" s="26"/>
      <c r="S88" s="26"/>
      <c r="T88" s="26"/>
      <c r="U88" s="26"/>
      <c r="V88" s="26"/>
      <c r="W88" s="26"/>
      <c r="X88" s="26"/>
      <c r="Y88" s="26"/>
      <c r="Z88" s="26"/>
      <c r="AA88" s="26"/>
    </row>
    <row r="89">
      <c r="A89" s="12"/>
      <c r="B89" s="13"/>
      <c r="C89" s="13"/>
      <c r="D89" s="14"/>
      <c r="E89" s="130"/>
      <c r="F89" s="16"/>
      <c r="G89" s="18"/>
      <c r="H89" s="131"/>
      <c r="I89" s="18"/>
      <c r="J89" s="22"/>
      <c r="K89" s="108"/>
      <c r="L89" s="26"/>
      <c r="M89" s="26"/>
      <c r="N89" s="26"/>
      <c r="O89" s="26"/>
      <c r="P89" s="26"/>
      <c r="Q89" s="26"/>
      <c r="R89" s="26"/>
      <c r="S89" s="26"/>
      <c r="T89" s="26"/>
      <c r="U89" s="26"/>
      <c r="V89" s="26"/>
      <c r="W89" s="26"/>
      <c r="X89" s="26"/>
      <c r="Y89" s="26"/>
      <c r="Z89" s="26"/>
      <c r="AA89" s="26"/>
    </row>
    <row r="90">
      <c r="A90" s="12"/>
      <c r="B90" s="13"/>
      <c r="C90" s="13"/>
      <c r="D90" s="14"/>
      <c r="E90" s="130"/>
      <c r="F90" s="16"/>
      <c r="G90" s="18"/>
      <c r="H90" s="131"/>
      <c r="I90" s="18"/>
      <c r="J90" s="22"/>
      <c r="K90" s="108"/>
      <c r="L90" s="26"/>
      <c r="M90" s="26"/>
      <c r="N90" s="26"/>
      <c r="O90" s="26"/>
      <c r="P90" s="26"/>
      <c r="Q90" s="26"/>
      <c r="R90" s="26"/>
      <c r="S90" s="26"/>
      <c r="T90" s="26"/>
      <c r="U90" s="26"/>
      <c r="V90" s="26"/>
      <c r="W90" s="26"/>
      <c r="X90" s="26"/>
      <c r="Y90" s="26"/>
      <c r="Z90" s="26"/>
      <c r="AA90" s="26"/>
    </row>
    <row r="91">
      <c r="A91" s="12"/>
      <c r="B91" s="13"/>
      <c r="C91" s="13"/>
      <c r="D91" s="14"/>
      <c r="E91" s="130"/>
      <c r="F91" s="16"/>
      <c r="G91" s="18"/>
      <c r="H91" s="131"/>
      <c r="I91" s="18"/>
      <c r="J91" s="22"/>
      <c r="K91" s="108"/>
      <c r="L91" s="26"/>
      <c r="M91" s="26"/>
      <c r="N91" s="26"/>
      <c r="O91" s="26"/>
      <c r="P91" s="26"/>
      <c r="Q91" s="26"/>
      <c r="R91" s="26"/>
      <c r="S91" s="26"/>
      <c r="T91" s="26"/>
      <c r="U91" s="26"/>
      <c r="V91" s="26"/>
      <c r="W91" s="26"/>
      <c r="X91" s="26"/>
      <c r="Y91" s="26"/>
      <c r="Z91" s="26"/>
      <c r="AA91" s="26"/>
    </row>
    <row r="92">
      <c r="A92" s="12"/>
      <c r="B92" s="13"/>
      <c r="C92" s="13"/>
      <c r="D92" s="14"/>
      <c r="E92" s="130"/>
      <c r="F92" s="16"/>
      <c r="G92" s="18"/>
      <c r="H92" s="131"/>
      <c r="I92" s="18"/>
      <c r="J92" s="22"/>
      <c r="K92" s="108"/>
      <c r="L92" s="26"/>
      <c r="M92" s="26"/>
      <c r="N92" s="26"/>
      <c r="O92" s="26"/>
      <c r="P92" s="26"/>
      <c r="Q92" s="26"/>
      <c r="R92" s="26"/>
      <c r="S92" s="26"/>
      <c r="T92" s="26"/>
      <c r="U92" s="26"/>
      <c r="V92" s="26"/>
      <c r="W92" s="26"/>
      <c r="X92" s="26"/>
      <c r="Y92" s="26"/>
      <c r="Z92" s="26"/>
      <c r="AA92" s="26"/>
    </row>
    <row r="93">
      <c r="A93" s="12"/>
      <c r="B93" s="13"/>
      <c r="C93" s="13"/>
      <c r="D93" s="14"/>
      <c r="E93" s="130"/>
      <c r="F93" s="16"/>
      <c r="G93" s="18"/>
      <c r="H93" s="131"/>
      <c r="I93" s="18"/>
      <c r="J93" s="22"/>
      <c r="K93" s="108"/>
      <c r="L93" s="26"/>
      <c r="M93" s="26"/>
      <c r="N93" s="26"/>
      <c r="O93" s="26"/>
      <c r="P93" s="26"/>
      <c r="Q93" s="26"/>
      <c r="R93" s="26"/>
      <c r="S93" s="26"/>
      <c r="T93" s="26"/>
      <c r="U93" s="26"/>
      <c r="V93" s="26"/>
      <c r="W93" s="26"/>
      <c r="X93" s="26"/>
      <c r="Y93" s="26"/>
      <c r="Z93" s="26"/>
      <c r="AA93" s="26"/>
    </row>
    <row r="94">
      <c r="A94" s="12"/>
      <c r="B94" s="13"/>
      <c r="C94" s="13"/>
      <c r="D94" s="14"/>
      <c r="E94" s="130"/>
      <c r="F94" s="16"/>
      <c r="G94" s="18"/>
      <c r="H94" s="131"/>
      <c r="I94" s="18"/>
      <c r="J94" s="22"/>
      <c r="K94" s="108"/>
      <c r="L94" s="26"/>
      <c r="M94" s="26"/>
      <c r="N94" s="26"/>
      <c r="O94" s="26"/>
      <c r="P94" s="26"/>
      <c r="Q94" s="26"/>
      <c r="R94" s="26"/>
      <c r="S94" s="26"/>
      <c r="T94" s="26"/>
      <c r="U94" s="26"/>
      <c r="V94" s="26"/>
      <c r="W94" s="26"/>
      <c r="X94" s="26"/>
      <c r="Y94" s="26"/>
      <c r="Z94" s="26"/>
      <c r="AA94" s="26"/>
    </row>
    <row r="95">
      <c r="A95" s="12"/>
      <c r="B95" s="13"/>
      <c r="C95" s="13"/>
      <c r="D95" s="14"/>
      <c r="E95" s="130"/>
      <c r="F95" s="16"/>
      <c r="G95" s="18"/>
      <c r="H95" s="131"/>
      <c r="I95" s="18"/>
      <c r="J95" s="22"/>
      <c r="K95" s="108"/>
      <c r="L95" s="26"/>
      <c r="M95" s="26"/>
      <c r="N95" s="26"/>
      <c r="O95" s="26"/>
      <c r="P95" s="26"/>
      <c r="Q95" s="26"/>
      <c r="R95" s="26"/>
      <c r="S95" s="26"/>
      <c r="T95" s="26"/>
      <c r="U95" s="26"/>
      <c r="V95" s="26"/>
      <c r="W95" s="26"/>
      <c r="X95" s="26"/>
      <c r="Y95" s="26"/>
      <c r="Z95" s="26"/>
      <c r="AA95" s="26"/>
    </row>
    <row r="96">
      <c r="A96" s="12"/>
      <c r="B96" s="13"/>
      <c r="C96" s="13"/>
      <c r="D96" s="14"/>
      <c r="E96" s="130"/>
      <c r="F96" s="16"/>
      <c r="G96" s="18"/>
      <c r="H96" s="131"/>
      <c r="I96" s="18"/>
      <c r="J96" s="22"/>
      <c r="K96" s="108"/>
      <c r="L96" s="26"/>
      <c r="M96" s="26"/>
      <c r="N96" s="26"/>
      <c r="O96" s="26"/>
      <c r="P96" s="26"/>
      <c r="Q96" s="26"/>
      <c r="R96" s="26"/>
      <c r="S96" s="26"/>
      <c r="T96" s="26"/>
      <c r="U96" s="26"/>
      <c r="V96" s="26"/>
      <c r="W96" s="26"/>
      <c r="X96" s="26"/>
      <c r="Y96" s="26"/>
      <c r="Z96" s="26"/>
      <c r="AA96" s="26"/>
    </row>
    <row r="97">
      <c r="A97" s="12"/>
      <c r="B97" s="13"/>
      <c r="C97" s="13"/>
      <c r="D97" s="14"/>
      <c r="E97" s="130"/>
      <c r="F97" s="16"/>
      <c r="G97" s="18"/>
      <c r="H97" s="131"/>
      <c r="I97" s="18"/>
      <c r="J97" s="22"/>
      <c r="K97" s="108"/>
      <c r="L97" s="26"/>
      <c r="M97" s="26"/>
      <c r="N97" s="26"/>
      <c r="O97" s="26"/>
      <c r="P97" s="26"/>
      <c r="Q97" s="26"/>
      <c r="R97" s="26"/>
      <c r="S97" s="26"/>
      <c r="T97" s="26"/>
      <c r="U97" s="26"/>
      <c r="V97" s="26"/>
      <c r="W97" s="26"/>
      <c r="X97" s="26"/>
      <c r="Y97" s="26"/>
      <c r="Z97" s="26"/>
      <c r="AA97" s="26"/>
    </row>
    <row r="98">
      <c r="A98" s="12"/>
      <c r="B98" s="13"/>
      <c r="C98" s="13"/>
      <c r="D98" s="14"/>
      <c r="E98" s="130"/>
      <c r="F98" s="16"/>
      <c r="G98" s="18"/>
      <c r="H98" s="131"/>
      <c r="I98" s="18"/>
      <c r="J98" s="22"/>
      <c r="K98" s="108"/>
      <c r="L98" s="26"/>
      <c r="M98" s="26"/>
      <c r="N98" s="26"/>
      <c r="O98" s="26"/>
      <c r="P98" s="26"/>
      <c r="Q98" s="26"/>
      <c r="R98" s="26"/>
      <c r="S98" s="26"/>
      <c r="T98" s="26"/>
      <c r="U98" s="26"/>
      <c r="V98" s="26"/>
      <c r="W98" s="26"/>
      <c r="X98" s="26"/>
      <c r="Y98" s="26"/>
      <c r="Z98" s="26"/>
      <c r="AA98" s="26"/>
    </row>
    <row r="99">
      <c r="A99" s="12"/>
      <c r="B99" s="13"/>
      <c r="C99" s="13"/>
      <c r="D99" s="14"/>
      <c r="E99" s="130"/>
      <c r="F99" s="16"/>
      <c r="G99" s="18"/>
      <c r="H99" s="131"/>
      <c r="I99" s="18"/>
      <c r="J99" s="22"/>
      <c r="K99" s="108"/>
      <c r="L99" s="26"/>
      <c r="M99" s="26"/>
      <c r="N99" s="26"/>
      <c r="O99" s="26"/>
      <c r="P99" s="26"/>
      <c r="Q99" s="26"/>
      <c r="R99" s="26"/>
      <c r="S99" s="26"/>
      <c r="T99" s="26"/>
      <c r="U99" s="26"/>
      <c r="V99" s="26"/>
      <c r="W99" s="26"/>
      <c r="X99" s="26"/>
      <c r="Y99" s="26"/>
      <c r="Z99" s="26"/>
      <c r="AA99" s="26"/>
    </row>
    <row r="100">
      <c r="A100" s="12"/>
      <c r="B100" s="13"/>
      <c r="C100" s="13"/>
      <c r="D100" s="14"/>
      <c r="E100" s="130"/>
      <c r="F100" s="16"/>
      <c r="G100" s="18"/>
      <c r="H100" s="131"/>
      <c r="I100" s="18"/>
      <c r="J100" s="22"/>
      <c r="K100" s="108"/>
      <c r="L100" s="26"/>
      <c r="M100" s="26"/>
      <c r="N100" s="26"/>
      <c r="O100" s="26"/>
      <c r="P100" s="26"/>
      <c r="Q100" s="26"/>
      <c r="R100" s="26"/>
      <c r="S100" s="26"/>
      <c r="T100" s="26"/>
      <c r="U100" s="26"/>
      <c r="V100" s="26"/>
      <c r="W100" s="26"/>
      <c r="X100" s="26"/>
      <c r="Y100" s="26"/>
      <c r="Z100" s="26"/>
      <c r="AA100" s="26"/>
    </row>
    <row r="101">
      <c r="A101" s="12"/>
      <c r="B101" s="13"/>
      <c r="C101" s="13"/>
      <c r="D101" s="14"/>
      <c r="E101" s="130"/>
      <c r="F101" s="16"/>
      <c r="G101" s="18"/>
      <c r="H101" s="131"/>
      <c r="I101" s="18"/>
      <c r="J101" s="22"/>
      <c r="K101" s="108"/>
      <c r="L101" s="26"/>
      <c r="M101" s="26"/>
      <c r="N101" s="26"/>
      <c r="O101" s="26"/>
      <c r="P101" s="26"/>
      <c r="Q101" s="26"/>
      <c r="R101" s="26"/>
      <c r="S101" s="26"/>
      <c r="T101" s="26"/>
      <c r="U101" s="26"/>
      <c r="V101" s="26"/>
      <c r="W101" s="26"/>
      <c r="X101" s="26"/>
      <c r="Y101" s="26"/>
      <c r="Z101" s="26"/>
      <c r="AA101" s="26"/>
    </row>
    <row r="102">
      <c r="A102" s="12"/>
      <c r="B102" s="13"/>
      <c r="C102" s="13"/>
      <c r="D102" s="14"/>
      <c r="E102" s="130"/>
      <c r="F102" s="16"/>
      <c r="G102" s="18"/>
      <c r="H102" s="131"/>
      <c r="I102" s="18"/>
      <c r="J102" s="22"/>
      <c r="K102" s="108"/>
      <c r="L102" s="26"/>
      <c r="M102" s="26"/>
      <c r="N102" s="26"/>
      <c r="O102" s="26"/>
      <c r="P102" s="26"/>
      <c r="Q102" s="26"/>
      <c r="R102" s="26"/>
      <c r="S102" s="26"/>
      <c r="T102" s="26"/>
      <c r="U102" s="26"/>
      <c r="V102" s="26"/>
      <c r="W102" s="26"/>
      <c r="X102" s="26"/>
      <c r="Y102" s="26"/>
      <c r="Z102" s="26"/>
      <c r="AA102" s="26"/>
    </row>
    <row r="103">
      <c r="A103" s="12"/>
      <c r="B103" s="13"/>
      <c r="C103" s="13"/>
      <c r="D103" s="14"/>
      <c r="E103" s="130"/>
      <c r="F103" s="16"/>
      <c r="G103" s="18"/>
      <c r="H103" s="131"/>
      <c r="I103" s="18"/>
      <c r="J103" s="22"/>
      <c r="K103" s="108"/>
      <c r="L103" s="26"/>
      <c r="M103" s="26"/>
      <c r="N103" s="26"/>
      <c r="O103" s="26"/>
      <c r="P103" s="26"/>
      <c r="Q103" s="26"/>
      <c r="R103" s="26"/>
      <c r="S103" s="26"/>
      <c r="T103" s="26"/>
      <c r="U103" s="26"/>
      <c r="V103" s="26"/>
      <c r="W103" s="26"/>
      <c r="X103" s="26"/>
      <c r="Y103" s="26"/>
      <c r="Z103" s="26"/>
      <c r="AA103" s="26"/>
    </row>
    <row r="104">
      <c r="A104" s="12"/>
      <c r="B104" s="13"/>
      <c r="C104" s="13"/>
      <c r="D104" s="14"/>
      <c r="E104" s="130"/>
      <c r="F104" s="16"/>
      <c r="G104" s="18"/>
      <c r="H104" s="131"/>
      <c r="I104" s="18"/>
      <c r="J104" s="22"/>
      <c r="K104" s="108"/>
      <c r="L104" s="26"/>
      <c r="M104" s="26"/>
      <c r="N104" s="26"/>
      <c r="O104" s="26"/>
      <c r="P104" s="26"/>
      <c r="Q104" s="26"/>
      <c r="R104" s="26"/>
      <c r="S104" s="26"/>
      <c r="T104" s="26"/>
      <c r="U104" s="26"/>
      <c r="V104" s="26"/>
      <c r="W104" s="26"/>
      <c r="X104" s="26"/>
      <c r="Y104" s="26"/>
      <c r="Z104" s="26"/>
      <c r="AA104" s="26"/>
    </row>
    <row r="105">
      <c r="A105" s="12"/>
      <c r="B105" s="13"/>
      <c r="C105" s="13"/>
      <c r="D105" s="14"/>
      <c r="E105" s="130"/>
      <c r="F105" s="16"/>
      <c r="G105" s="18"/>
      <c r="H105" s="131"/>
      <c r="I105" s="18"/>
      <c r="J105" s="22"/>
      <c r="K105" s="108"/>
      <c r="L105" s="26"/>
      <c r="M105" s="26"/>
      <c r="N105" s="26"/>
      <c r="O105" s="26"/>
      <c r="P105" s="26"/>
      <c r="Q105" s="26"/>
      <c r="R105" s="26"/>
      <c r="S105" s="26"/>
      <c r="T105" s="26"/>
      <c r="U105" s="26"/>
      <c r="V105" s="26"/>
      <c r="W105" s="26"/>
      <c r="X105" s="26"/>
      <c r="Y105" s="26"/>
      <c r="Z105" s="26"/>
      <c r="AA105" s="26"/>
    </row>
    <row r="106">
      <c r="A106" s="12"/>
      <c r="B106" s="13"/>
      <c r="C106" s="13"/>
      <c r="D106" s="14"/>
      <c r="E106" s="130"/>
      <c r="F106" s="16"/>
      <c r="G106" s="18"/>
      <c r="H106" s="131"/>
      <c r="I106" s="18"/>
      <c r="J106" s="22"/>
      <c r="K106" s="108"/>
      <c r="L106" s="26"/>
      <c r="M106" s="26"/>
      <c r="N106" s="26"/>
      <c r="O106" s="26"/>
      <c r="P106" s="26"/>
      <c r="Q106" s="26"/>
      <c r="R106" s="26"/>
      <c r="S106" s="26"/>
      <c r="T106" s="26"/>
      <c r="U106" s="26"/>
      <c r="V106" s="26"/>
      <c r="W106" s="26"/>
      <c r="X106" s="26"/>
      <c r="Y106" s="26"/>
      <c r="Z106" s="26"/>
      <c r="AA106" s="26"/>
    </row>
    <row r="107">
      <c r="A107" s="12"/>
      <c r="B107" s="13"/>
      <c r="C107" s="13"/>
      <c r="D107" s="14"/>
      <c r="E107" s="130"/>
      <c r="F107" s="16"/>
      <c r="G107" s="18"/>
      <c r="H107" s="131"/>
      <c r="I107" s="18"/>
      <c r="J107" s="22"/>
      <c r="K107" s="108"/>
      <c r="L107" s="26"/>
      <c r="M107" s="26"/>
      <c r="N107" s="26"/>
      <c r="O107" s="26"/>
      <c r="P107" s="26"/>
      <c r="Q107" s="26"/>
      <c r="R107" s="26"/>
      <c r="S107" s="26"/>
      <c r="T107" s="26"/>
      <c r="U107" s="26"/>
      <c r="V107" s="26"/>
      <c r="W107" s="26"/>
      <c r="X107" s="26"/>
      <c r="Y107" s="26"/>
      <c r="Z107" s="26"/>
      <c r="AA107" s="26"/>
    </row>
    <row r="108">
      <c r="A108" s="12"/>
      <c r="B108" s="13"/>
      <c r="C108" s="13"/>
      <c r="D108" s="14"/>
      <c r="E108" s="130"/>
      <c r="F108" s="16"/>
      <c r="G108" s="18"/>
      <c r="H108" s="131"/>
      <c r="I108" s="18"/>
      <c r="J108" s="22"/>
      <c r="K108" s="108"/>
      <c r="L108" s="26"/>
      <c r="M108" s="26"/>
      <c r="N108" s="26"/>
      <c r="O108" s="26"/>
      <c r="P108" s="26"/>
      <c r="Q108" s="26"/>
      <c r="R108" s="26"/>
      <c r="S108" s="26"/>
      <c r="T108" s="26"/>
      <c r="U108" s="26"/>
      <c r="V108" s="26"/>
      <c r="W108" s="26"/>
      <c r="X108" s="26"/>
      <c r="Y108" s="26"/>
      <c r="Z108" s="26"/>
      <c r="AA108" s="26"/>
    </row>
    <row r="109">
      <c r="A109" s="12"/>
      <c r="B109" s="13"/>
      <c r="C109" s="13"/>
      <c r="D109" s="14"/>
      <c r="E109" s="130"/>
      <c r="F109" s="16"/>
      <c r="G109" s="18"/>
      <c r="H109" s="131"/>
      <c r="I109" s="18"/>
      <c r="J109" s="22"/>
      <c r="K109" s="108"/>
      <c r="L109" s="26"/>
      <c r="M109" s="26"/>
      <c r="N109" s="26"/>
      <c r="O109" s="26"/>
      <c r="P109" s="26"/>
      <c r="Q109" s="26"/>
      <c r="R109" s="26"/>
      <c r="S109" s="26"/>
      <c r="T109" s="26"/>
      <c r="U109" s="26"/>
      <c r="V109" s="26"/>
      <c r="W109" s="26"/>
      <c r="X109" s="26"/>
      <c r="Y109" s="26"/>
      <c r="Z109" s="26"/>
      <c r="AA109" s="26"/>
    </row>
    <row r="110">
      <c r="A110" s="12"/>
      <c r="B110" s="13"/>
      <c r="C110" s="13"/>
      <c r="D110" s="14"/>
      <c r="E110" s="130"/>
      <c r="F110" s="16"/>
      <c r="G110" s="18"/>
      <c r="H110" s="131"/>
      <c r="I110" s="18"/>
      <c r="J110" s="22"/>
      <c r="K110" s="108"/>
      <c r="L110" s="26"/>
      <c r="M110" s="26"/>
      <c r="N110" s="26"/>
      <c r="O110" s="26"/>
      <c r="P110" s="26"/>
      <c r="Q110" s="26"/>
      <c r="R110" s="26"/>
      <c r="S110" s="26"/>
      <c r="T110" s="26"/>
      <c r="U110" s="26"/>
      <c r="V110" s="26"/>
      <c r="W110" s="26"/>
      <c r="X110" s="26"/>
      <c r="Y110" s="26"/>
      <c r="Z110" s="26"/>
      <c r="AA110" s="26"/>
    </row>
    <row r="111">
      <c r="A111" s="12"/>
      <c r="B111" s="13"/>
      <c r="C111" s="13"/>
      <c r="D111" s="14"/>
      <c r="E111" s="130"/>
      <c r="F111" s="16"/>
      <c r="G111" s="18"/>
      <c r="H111" s="131"/>
      <c r="I111" s="18"/>
      <c r="J111" s="22"/>
      <c r="K111" s="108"/>
      <c r="L111" s="26"/>
      <c r="M111" s="26"/>
      <c r="N111" s="26"/>
      <c r="O111" s="26"/>
      <c r="P111" s="26"/>
      <c r="Q111" s="26"/>
      <c r="R111" s="26"/>
      <c r="S111" s="26"/>
      <c r="T111" s="26"/>
      <c r="U111" s="26"/>
      <c r="V111" s="26"/>
      <c r="W111" s="26"/>
      <c r="X111" s="26"/>
      <c r="Y111" s="26"/>
      <c r="Z111" s="26"/>
      <c r="AA111" s="26"/>
    </row>
    <row r="112">
      <c r="A112" s="12"/>
      <c r="B112" s="13"/>
      <c r="C112" s="13"/>
      <c r="D112" s="14"/>
      <c r="E112" s="130"/>
      <c r="F112" s="16"/>
      <c r="G112" s="18"/>
      <c r="H112" s="131"/>
      <c r="I112" s="18"/>
      <c r="J112" s="22"/>
      <c r="K112" s="108"/>
      <c r="L112" s="26"/>
      <c r="M112" s="26"/>
      <c r="N112" s="26"/>
      <c r="O112" s="26"/>
      <c r="P112" s="26"/>
      <c r="Q112" s="26"/>
      <c r="R112" s="26"/>
      <c r="S112" s="26"/>
      <c r="T112" s="26"/>
      <c r="U112" s="26"/>
      <c r="V112" s="26"/>
      <c r="W112" s="26"/>
      <c r="X112" s="26"/>
      <c r="Y112" s="26"/>
      <c r="Z112" s="26"/>
      <c r="AA112" s="26"/>
    </row>
    <row r="113">
      <c r="A113" s="12"/>
      <c r="B113" s="13"/>
      <c r="C113" s="13"/>
      <c r="D113" s="14"/>
      <c r="E113" s="130"/>
      <c r="F113" s="16"/>
      <c r="G113" s="18"/>
      <c r="H113" s="131"/>
      <c r="I113" s="18"/>
      <c r="J113" s="22"/>
      <c r="K113" s="108"/>
      <c r="L113" s="26"/>
      <c r="M113" s="26"/>
      <c r="N113" s="26"/>
      <c r="O113" s="26"/>
      <c r="P113" s="26"/>
      <c r="Q113" s="26"/>
      <c r="R113" s="26"/>
      <c r="S113" s="26"/>
      <c r="T113" s="26"/>
      <c r="U113" s="26"/>
      <c r="V113" s="26"/>
      <c r="W113" s="26"/>
      <c r="X113" s="26"/>
      <c r="Y113" s="26"/>
      <c r="Z113" s="26"/>
      <c r="AA113" s="26"/>
    </row>
    <row r="114">
      <c r="A114" s="12"/>
      <c r="B114" s="13"/>
      <c r="C114" s="13"/>
      <c r="D114" s="14"/>
      <c r="E114" s="130"/>
      <c r="F114" s="16"/>
      <c r="G114" s="18"/>
      <c r="H114" s="131"/>
      <c r="I114" s="18"/>
      <c r="J114" s="22"/>
      <c r="K114" s="108"/>
      <c r="L114" s="26"/>
      <c r="M114" s="26"/>
      <c r="N114" s="26"/>
      <c r="O114" s="26"/>
      <c r="P114" s="26"/>
      <c r="Q114" s="26"/>
      <c r="R114" s="26"/>
      <c r="S114" s="26"/>
      <c r="T114" s="26"/>
      <c r="U114" s="26"/>
      <c r="V114" s="26"/>
      <c r="W114" s="26"/>
      <c r="X114" s="26"/>
      <c r="Y114" s="26"/>
      <c r="Z114" s="26"/>
      <c r="AA114" s="26"/>
    </row>
    <row r="115">
      <c r="A115" s="12"/>
      <c r="B115" s="13"/>
      <c r="C115" s="13"/>
      <c r="D115" s="14"/>
      <c r="E115" s="130"/>
      <c r="F115" s="16"/>
      <c r="G115" s="18"/>
      <c r="H115" s="131"/>
      <c r="I115" s="18"/>
      <c r="J115" s="22"/>
      <c r="K115" s="108"/>
      <c r="L115" s="26"/>
      <c r="M115" s="26"/>
      <c r="N115" s="26"/>
      <c r="O115" s="26"/>
      <c r="P115" s="26"/>
      <c r="Q115" s="26"/>
      <c r="R115" s="26"/>
      <c r="S115" s="26"/>
      <c r="T115" s="26"/>
      <c r="U115" s="26"/>
      <c r="V115" s="26"/>
      <c r="W115" s="26"/>
      <c r="X115" s="26"/>
      <c r="Y115" s="26"/>
      <c r="Z115" s="26"/>
      <c r="AA115" s="26"/>
    </row>
    <row r="116">
      <c r="A116" s="12"/>
      <c r="B116" s="13"/>
      <c r="C116" s="13"/>
      <c r="D116" s="14"/>
      <c r="E116" s="130"/>
      <c r="F116" s="16"/>
      <c r="G116" s="18"/>
      <c r="H116" s="131"/>
      <c r="I116" s="18"/>
      <c r="J116" s="22"/>
      <c r="K116" s="108"/>
      <c r="L116" s="26"/>
      <c r="M116" s="26"/>
      <c r="N116" s="26"/>
      <c r="O116" s="26"/>
      <c r="P116" s="26"/>
      <c r="Q116" s="26"/>
      <c r="R116" s="26"/>
      <c r="S116" s="26"/>
      <c r="T116" s="26"/>
      <c r="U116" s="26"/>
      <c r="V116" s="26"/>
      <c r="W116" s="26"/>
      <c r="X116" s="26"/>
      <c r="Y116" s="26"/>
      <c r="Z116" s="26"/>
      <c r="AA116" s="26"/>
    </row>
    <row r="117">
      <c r="A117" s="12"/>
      <c r="B117" s="13"/>
      <c r="C117" s="13"/>
      <c r="D117" s="14"/>
      <c r="E117" s="130"/>
      <c r="F117" s="16"/>
      <c r="G117" s="18"/>
      <c r="H117" s="131"/>
      <c r="I117" s="18"/>
      <c r="J117" s="22"/>
      <c r="K117" s="108"/>
      <c r="L117" s="26"/>
      <c r="M117" s="26"/>
      <c r="N117" s="26"/>
      <c r="O117" s="26"/>
      <c r="P117" s="26"/>
      <c r="Q117" s="26"/>
      <c r="R117" s="26"/>
      <c r="S117" s="26"/>
      <c r="T117" s="26"/>
      <c r="U117" s="26"/>
      <c r="V117" s="26"/>
      <c r="W117" s="26"/>
      <c r="X117" s="26"/>
      <c r="Y117" s="26"/>
      <c r="Z117" s="26"/>
      <c r="AA117" s="26"/>
    </row>
    <row r="118">
      <c r="A118" s="12"/>
      <c r="B118" s="13"/>
      <c r="C118" s="13"/>
      <c r="D118" s="14"/>
      <c r="E118" s="130"/>
      <c r="F118" s="16"/>
      <c r="G118" s="18"/>
      <c r="H118" s="131"/>
      <c r="I118" s="18"/>
      <c r="J118" s="22"/>
      <c r="K118" s="108"/>
      <c r="L118" s="26"/>
      <c r="M118" s="26"/>
      <c r="N118" s="26"/>
      <c r="O118" s="26"/>
      <c r="P118" s="26"/>
      <c r="Q118" s="26"/>
      <c r="R118" s="26"/>
      <c r="S118" s="26"/>
      <c r="T118" s="26"/>
      <c r="U118" s="26"/>
      <c r="V118" s="26"/>
      <c r="W118" s="26"/>
      <c r="X118" s="26"/>
      <c r="Y118" s="26"/>
      <c r="Z118" s="26"/>
      <c r="AA118" s="26"/>
    </row>
    <row r="119">
      <c r="A119" s="12"/>
      <c r="B119" s="13"/>
      <c r="C119" s="13"/>
      <c r="D119" s="14"/>
      <c r="E119" s="130"/>
      <c r="F119" s="16"/>
      <c r="G119" s="18"/>
      <c r="H119" s="131"/>
      <c r="I119" s="18"/>
      <c r="J119" s="22"/>
      <c r="K119" s="108"/>
      <c r="L119" s="26"/>
      <c r="M119" s="26"/>
      <c r="N119" s="26"/>
      <c r="O119" s="26"/>
      <c r="P119" s="26"/>
      <c r="Q119" s="26"/>
      <c r="R119" s="26"/>
      <c r="S119" s="26"/>
      <c r="T119" s="26"/>
      <c r="U119" s="26"/>
      <c r="V119" s="26"/>
      <c r="W119" s="26"/>
      <c r="X119" s="26"/>
      <c r="Y119" s="26"/>
      <c r="Z119" s="26"/>
      <c r="AA119" s="26"/>
    </row>
    <row r="120">
      <c r="A120" s="12"/>
      <c r="B120" s="13"/>
      <c r="C120" s="13"/>
      <c r="D120" s="14"/>
      <c r="E120" s="130"/>
      <c r="F120" s="16"/>
      <c r="G120" s="18"/>
      <c r="H120" s="131"/>
      <c r="I120" s="18"/>
      <c r="J120" s="22"/>
      <c r="K120" s="108"/>
      <c r="L120" s="26"/>
      <c r="M120" s="26"/>
      <c r="N120" s="26"/>
      <c r="O120" s="26"/>
      <c r="P120" s="26"/>
      <c r="Q120" s="26"/>
      <c r="R120" s="26"/>
      <c r="S120" s="26"/>
      <c r="T120" s="26"/>
      <c r="U120" s="26"/>
      <c r="V120" s="26"/>
      <c r="W120" s="26"/>
      <c r="X120" s="26"/>
      <c r="Y120" s="26"/>
      <c r="Z120" s="26"/>
      <c r="AA120" s="26"/>
    </row>
    <row r="121">
      <c r="A121" s="12"/>
      <c r="B121" s="13"/>
      <c r="C121" s="13"/>
      <c r="D121" s="14"/>
      <c r="E121" s="130"/>
      <c r="F121" s="16"/>
      <c r="G121" s="18"/>
      <c r="H121" s="131"/>
      <c r="I121" s="18"/>
      <c r="J121" s="22"/>
      <c r="K121" s="108"/>
      <c r="L121" s="26"/>
      <c r="M121" s="26"/>
      <c r="N121" s="26"/>
      <c r="O121" s="26"/>
      <c r="P121" s="26"/>
      <c r="Q121" s="26"/>
      <c r="R121" s="26"/>
      <c r="S121" s="26"/>
      <c r="T121" s="26"/>
      <c r="U121" s="26"/>
      <c r="V121" s="26"/>
      <c r="W121" s="26"/>
      <c r="X121" s="26"/>
      <c r="Y121" s="26"/>
      <c r="Z121" s="26"/>
      <c r="AA121" s="26"/>
    </row>
    <row r="122">
      <c r="A122" s="12"/>
      <c r="B122" s="13"/>
      <c r="C122" s="13"/>
      <c r="D122" s="14"/>
      <c r="E122" s="130"/>
      <c r="F122" s="16"/>
      <c r="G122" s="18"/>
      <c r="H122" s="131"/>
      <c r="I122" s="18"/>
      <c r="J122" s="22"/>
      <c r="K122" s="108"/>
      <c r="L122" s="26"/>
      <c r="M122" s="26"/>
      <c r="N122" s="26"/>
      <c r="O122" s="26"/>
      <c r="P122" s="26"/>
      <c r="Q122" s="26"/>
      <c r="R122" s="26"/>
      <c r="S122" s="26"/>
      <c r="T122" s="26"/>
      <c r="U122" s="26"/>
      <c r="V122" s="26"/>
      <c r="W122" s="26"/>
      <c r="X122" s="26"/>
      <c r="Y122" s="26"/>
      <c r="Z122" s="26"/>
      <c r="AA122" s="26"/>
    </row>
    <row r="123">
      <c r="A123" s="12"/>
      <c r="B123" s="13"/>
      <c r="C123" s="13"/>
      <c r="D123" s="14"/>
      <c r="E123" s="130"/>
      <c r="F123" s="16"/>
      <c r="G123" s="18"/>
      <c r="H123" s="131"/>
      <c r="I123" s="18"/>
      <c r="J123" s="22"/>
      <c r="K123" s="108"/>
      <c r="L123" s="26"/>
      <c r="M123" s="26"/>
      <c r="N123" s="26"/>
      <c r="O123" s="26"/>
      <c r="P123" s="26"/>
      <c r="Q123" s="26"/>
      <c r="R123" s="26"/>
      <c r="S123" s="26"/>
      <c r="T123" s="26"/>
      <c r="U123" s="26"/>
      <c r="V123" s="26"/>
      <c r="W123" s="26"/>
      <c r="X123" s="26"/>
      <c r="Y123" s="26"/>
      <c r="Z123" s="26"/>
      <c r="AA123" s="26"/>
    </row>
    <row r="124">
      <c r="A124" s="12"/>
      <c r="B124" s="13"/>
      <c r="C124" s="13"/>
      <c r="D124" s="14"/>
      <c r="E124" s="130"/>
      <c r="F124" s="16"/>
      <c r="G124" s="18"/>
      <c r="H124" s="131"/>
      <c r="I124" s="18"/>
      <c r="J124" s="22"/>
      <c r="K124" s="108"/>
      <c r="L124" s="26"/>
      <c r="M124" s="26"/>
      <c r="N124" s="26"/>
      <c r="O124" s="26"/>
      <c r="P124" s="26"/>
      <c r="Q124" s="26"/>
      <c r="R124" s="26"/>
      <c r="S124" s="26"/>
      <c r="T124" s="26"/>
      <c r="U124" s="26"/>
      <c r="V124" s="26"/>
      <c r="W124" s="26"/>
      <c r="X124" s="26"/>
      <c r="Y124" s="26"/>
      <c r="Z124" s="26"/>
      <c r="AA124" s="26"/>
    </row>
    <row r="125">
      <c r="A125" s="12"/>
      <c r="B125" s="13"/>
      <c r="C125" s="13"/>
      <c r="D125" s="14"/>
      <c r="E125" s="130"/>
      <c r="F125" s="16"/>
      <c r="G125" s="18"/>
      <c r="H125" s="131"/>
      <c r="I125" s="18"/>
      <c r="J125" s="22"/>
      <c r="K125" s="108"/>
      <c r="L125" s="26"/>
      <c r="M125" s="26"/>
      <c r="N125" s="26"/>
      <c r="O125" s="26"/>
      <c r="P125" s="26"/>
      <c r="Q125" s="26"/>
      <c r="R125" s="26"/>
      <c r="S125" s="26"/>
      <c r="T125" s="26"/>
      <c r="U125" s="26"/>
      <c r="V125" s="26"/>
      <c r="W125" s="26"/>
      <c r="X125" s="26"/>
      <c r="Y125" s="26"/>
      <c r="Z125" s="26"/>
      <c r="AA125" s="26"/>
    </row>
    <row r="126">
      <c r="A126" s="12"/>
      <c r="B126" s="13"/>
      <c r="C126" s="13"/>
      <c r="D126" s="14"/>
      <c r="E126" s="130"/>
      <c r="F126" s="16"/>
      <c r="G126" s="18"/>
      <c r="H126" s="131"/>
      <c r="I126" s="18"/>
      <c r="J126" s="22"/>
      <c r="K126" s="108"/>
      <c r="L126" s="26"/>
      <c r="M126" s="26"/>
      <c r="N126" s="26"/>
      <c r="O126" s="26"/>
      <c r="P126" s="26"/>
      <c r="Q126" s="26"/>
      <c r="R126" s="26"/>
      <c r="S126" s="26"/>
      <c r="T126" s="26"/>
      <c r="U126" s="26"/>
      <c r="V126" s="26"/>
      <c r="W126" s="26"/>
      <c r="X126" s="26"/>
      <c r="Y126" s="26"/>
      <c r="Z126" s="26"/>
      <c r="AA126" s="26"/>
    </row>
    <row r="127">
      <c r="A127" s="12"/>
      <c r="B127" s="13"/>
      <c r="C127" s="13"/>
      <c r="D127" s="14"/>
      <c r="E127" s="130"/>
      <c r="F127" s="16"/>
      <c r="G127" s="18"/>
      <c r="H127" s="131"/>
      <c r="I127" s="18"/>
      <c r="J127" s="22"/>
      <c r="K127" s="108"/>
      <c r="L127" s="26"/>
      <c r="M127" s="26"/>
      <c r="N127" s="26"/>
      <c r="O127" s="26"/>
      <c r="P127" s="26"/>
      <c r="Q127" s="26"/>
      <c r="R127" s="26"/>
      <c r="S127" s="26"/>
      <c r="T127" s="26"/>
      <c r="U127" s="26"/>
      <c r="V127" s="26"/>
      <c r="W127" s="26"/>
      <c r="X127" s="26"/>
      <c r="Y127" s="26"/>
      <c r="Z127" s="26"/>
      <c r="AA127" s="26"/>
    </row>
    <row r="128">
      <c r="A128" s="12"/>
      <c r="B128" s="13"/>
      <c r="C128" s="13"/>
      <c r="D128" s="14"/>
      <c r="E128" s="130"/>
      <c r="F128" s="16"/>
      <c r="G128" s="18"/>
      <c r="H128" s="131"/>
      <c r="I128" s="18"/>
      <c r="J128" s="22"/>
      <c r="K128" s="108"/>
      <c r="L128" s="26"/>
      <c r="M128" s="26"/>
      <c r="N128" s="26"/>
      <c r="O128" s="26"/>
      <c r="P128" s="26"/>
      <c r="Q128" s="26"/>
      <c r="R128" s="26"/>
      <c r="S128" s="26"/>
      <c r="T128" s="26"/>
      <c r="U128" s="26"/>
      <c r="V128" s="26"/>
      <c r="W128" s="26"/>
      <c r="X128" s="26"/>
      <c r="Y128" s="26"/>
      <c r="Z128" s="26"/>
      <c r="AA128" s="26"/>
    </row>
    <row r="129">
      <c r="A129" s="12"/>
      <c r="B129" s="13"/>
      <c r="C129" s="13"/>
      <c r="D129" s="14"/>
      <c r="E129" s="130"/>
      <c r="F129" s="16"/>
      <c r="G129" s="18"/>
      <c r="H129" s="131"/>
      <c r="I129" s="18"/>
      <c r="J129" s="22"/>
      <c r="K129" s="108"/>
      <c r="L129" s="26"/>
      <c r="M129" s="26"/>
      <c r="N129" s="26"/>
      <c r="O129" s="26"/>
      <c r="P129" s="26"/>
      <c r="Q129" s="26"/>
      <c r="R129" s="26"/>
      <c r="S129" s="26"/>
      <c r="T129" s="26"/>
      <c r="U129" s="26"/>
      <c r="V129" s="26"/>
      <c r="W129" s="26"/>
      <c r="X129" s="26"/>
      <c r="Y129" s="26"/>
      <c r="Z129" s="26"/>
      <c r="AA129" s="26"/>
    </row>
    <row r="130">
      <c r="A130" s="12"/>
      <c r="B130" s="13"/>
      <c r="C130" s="13"/>
      <c r="D130" s="14"/>
      <c r="E130" s="130"/>
      <c r="F130" s="16"/>
      <c r="G130" s="18"/>
      <c r="H130" s="131"/>
      <c r="I130" s="18"/>
      <c r="J130" s="22"/>
      <c r="K130" s="108"/>
      <c r="L130" s="26"/>
      <c r="M130" s="26"/>
      <c r="N130" s="26"/>
      <c r="O130" s="26"/>
      <c r="P130" s="26"/>
      <c r="Q130" s="26"/>
      <c r="R130" s="26"/>
      <c r="S130" s="26"/>
      <c r="T130" s="26"/>
      <c r="U130" s="26"/>
      <c r="V130" s="26"/>
      <c r="W130" s="26"/>
      <c r="X130" s="26"/>
      <c r="Y130" s="26"/>
      <c r="Z130" s="26"/>
      <c r="AA130" s="26"/>
    </row>
    <row r="131">
      <c r="A131" s="12"/>
      <c r="B131" s="13"/>
      <c r="C131" s="13"/>
      <c r="D131" s="14"/>
      <c r="E131" s="130"/>
      <c r="F131" s="16"/>
      <c r="G131" s="18"/>
      <c r="H131" s="131"/>
      <c r="I131" s="18"/>
      <c r="J131" s="22"/>
      <c r="K131" s="108"/>
      <c r="L131" s="26"/>
      <c r="M131" s="26"/>
      <c r="N131" s="26"/>
      <c r="O131" s="26"/>
      <c r="P131" s="26"/>
      <c r="Q131" s="26"/>
      <c r="R131" s="26"/>
      <c r="S131" s="26"/>
      <c r="T131" s="26"/>
      <c r="U131" s="26"/>
      <c r="V131" s="26"/>
      <c r="W131" s="26"/>
      <c r="X131" s="26"/>
      <c r="Y131" s="26"/>
      <c r="Z131" s="26"/>
      <c r="AA131" s="26"/>
    </row>
    <row r="132">
      <c r="A132" s="12"/>
      <c r="B132" s="13"/>
      <c r="C132" s="13"/>
      <c r="D132" s="14"/>
      <c r="E132" s="130"/>
      <c r="F132" s="16"/>
      <c r="G132" s="18"/>
      <c r="H132" s="131"/>
      <c r="I132" s="18"/>
      <c r="J132" s="22"/>
      <c r="K132" s="108"/>
      <c r="L132" s="26"/>
      <c r="M132" s="26"/>
      <c r="N132" s="26"/>
      <c r="O132" s="26"/>
      <c r="P132" s="26"/>
      <c r="Q132" s="26"/>
      <c r="R132" s="26"/>
      <c r="S132" s="26"/>
      <c r="T132" s="26"/>
      <c r="U132" s="26"/>
      <c r="V132" s="26"/>
      <c r="W132" s="26"/>
      <c r="X132" s="26"/>
      <c r="Y132" s="26"/>
      <c r="Z132" s="26"/>
      <c r="AA132" s="26"/>
    </row>
    <row r="133">
      <c r="A133" s="12"/>
      <c r="B133" s="13"/>
      <c r="C133" s="13"/>
      <c r="D133" s="14"/>
      <c r="E133" s="130"/>
      <c r="F133" s="16"/>
      <c r="G133" s="18"/>
      <c r="H133" s="131"/>
      <c r="I133" s="18"/>
      <c r="J133" s="22"/>
      <c r="K133" s="108"/>
      <c r="L133" s="26"/>
      <c r="M133" s="26"/>
      <c r="N133" s="26"/>
      <c r="O133" s="26"/>
      <c r="P133" s="26"/>
      <c r="Q133" s="26"/>
      <c r="R133" s="26"/>
      <c r="S133" s="26"/>
      <c r="T133" s="26"/>
      <c r="U133" s="26"/>
      <c r="V133" s="26"/>
      <c r="W133" s="26"/>
      <c r="X133" s="26"/>
      <c r="Y133" s="26"/>
      <c r="Z133" s="26"/>
      <c r="AA133" s="26"/>
    </row>
    <row r="134">
      <c r="A134" s="12"/>
      <c r="B134" s="13"/>
      <c r="C134" s="13"/>
      <c r="D134" s="14"/>
      <c r="E134" s="130"/>
      <c r="F134" s="16"/>
      <c r="G134" s="18"/>
      <c r="H134" s="131"/>
      <c r="I134" s="18"/>
      <c r="J134" s="22"/>
      <c r="K134" s="108"/>
      <c r="L134" s="26"/>
      <c r="M134" s="26"/>
      <c r="N134" s="26"/>
      <c r="O134" s="26"/>
      <c r="P134" s="26"/>
      <c r="Q134" s="26"/>
      <c r="R134" s="26"/>
      <c r="S134" s="26"/>
      <c r="T134" s="26"/>
      <c r="U134" s="26"/>
      <c r="V134" s="26"/>
      <c r="W134" s="26"/>
      <c r="X134" s="26"/>
      <c r="Y134" s="26"/>
      <c r="Z134" s="26"/>
      <c r="AA134" s="26"/>
    </row>
    <row r="135">
      <c r="A135" s="12"/>
      <c r="B135" s="13"/>
      <c r="C135" s="13"/>
      <c r="D135" s="14"/>
      <c r="E135" s="130"/>
      <c r="F135" s="16"/>
      <c r="G135" s="18"/>
      <c r="H135" s="131"/>
      <c r="I135" s="18"/>
      <c r="J135" s="22"/>
      <c r="K135" s="108"/>
      <c r="L135" s="26"/>
      <c r="M135" s="26"/>
      <c r="N135" s="26"/>
      <c r="O135" s="26"/>
      <c r="P135" s="26"/>
      <c r="Q135" s="26"/>
      <c r="R135" s="26"/>
      <c r="S135" s="26"/>
      <c r="T135" s="26"/>
      <c r="U135" s="26"/>
      <c r="V135" s="26"/>
      <c r="W135" s="26"/>
      <c r="X135" s="26"/>
      <c r="Y135" s="26"/>
      <c r="Z135" s="26"/>
      <c r="AA135" s="26"/>
    </row>
    <row r="136">
      <c r="A136" s="12"/>
      <c r="B136" s="13"/>
      <c r="C136" s="13"/>
      <c r="D136" s="14"/>
      <c r="E136" s="130"/>
      <c r="F136" s="16"/>
      <c r="G136" s="18"/>
      <c r="H136" s="131"/>
      <c r="I136" s="18"/>
      <c r="J136" s="22"/>
      <c r="K136" s="108"/>
      <c r="L136" s="26"/>
      <c r="M136" s="26"/>
      <c r="N136" s="26"/>
      <c r="O136" s="26"/>
      <c r="P136" s="26"/>
      <c r="Q136" s="26"/>
      <c r="R136" s="26"/>
      <c r="S136" s="26"/>
      <c r="T136" s="26"/>
      <c r="U136" s="26"/>
      <c r="V136" s="26"/>
      <c r="W136" s="26"/>
      <c r="X136" s="26"/>
      <c r="Y136" s="26"/>
      <c r="Z136" s="26"/>
      <c r="AA136" s="26"/>
    </row>
    <row r="137">
      <c r="A137" s="12"/>
      <c r="B137" s="13"/>
      <c r="C137" s="13"/>
      <c r="D137" s="14"/>
      <c r="E137" s="130"/>
      <c r="F137" s="16"/>
      <c r="G137" s="18"/>
      <c r="H137" s="131"/>
      <c r="I137" s="18"/>
      <c r="J137" s="22"/>
      <c r="K137" s="108"/>
      <c r="L137" s="26"/>
      <c r="M137" s="26"/>
      <c r="N137" s="26"/>
      <c r="O137" s="26"/>
      <c r="P137" s="26"/>
      <c r="Q137" s="26"/>
      <c r="R137" s="26"/>
      <c r="S137" s="26"/>
      <c r="T137" s="26"/>
      <c r="U137" s="26"/>
      <c r="V137" s="26"/>
      <c r="W137" s="26"/>
      <c r="X137" s="26"/>
      <c r="Y137" s="26"/>
      <c r="Z137" s="26"/>
      <c r="AA137" s="26"/>
    </row>
    <row r="138">
      <c r="A138" s="12"/>
      <c r="B138" s="13"/>
      <c r="C138" s="13"/>
      <c r="D138" s="14"/>
      <c r="E138" s="130"/>
      <c r="F138" s="16"/>
      <c r="G138" s="18"/>
      <c r="H138" s="131"/>
      <c r="I138" s="18"/>
      <c r="J138" s="22"/>
      <c r="K138" s="108"/>
      <c r="L138" s="26"/>
      <c r="M138" s="26"/>
      <c r="N138" s="26"/>
      <c r="O138" s="26"/>
      <c r="P138" s="26"/>
      <c r="Q138" s="26"/>
      <c r="R138" s="26"/>
      <c r="S138" s="26"/>
      <c r="T138" s="26"/>
      <c r="U138" s="26"/>
      <c r="V138" s="26"/>
      <c r="W138" s="26"/>
      <c r="X138" s="26"/>
      <c r="Y138" s="26"/>
      <c r="Z138" s="26"/>
      <c r="AA138" s="26"/>
    </row>
    <row r="139">
      <c r="A139" s="12"/>
      <c r="B139" s="13"/>
      <c r="C139" s="13"/>
      <c r="D139" s="14"/>
      <c r="E139" s="130"/>
      <c r="F139" s="16"/>
      <c r="G139" s="18"/>
      <c r="H139" s="131"/>
      <c r="I139" s="18"/>
      <c r="J139" s="22"/>
      <c r="K139" s="108"/>
      <c r="L139" s="26"/>
      <c r="M139" s="26"/>
      <c r="N139" s="26"/>
      <c r="O139" s="26"/>
      <c r="P139" s="26"/>
      <c r="Q139" s="26"/>
      <c r="R139" s="26"/>
      <c r="S139" s="26"/>
      <c r="T139" s="26"/>
      <c r="U139" s="26"/>
      <c r="V139" s="26"/>
      <c r="W139" s="26"/>
      <c r="X139" s="26"/>
      <c r="Y139" s="26"/>
      <c r="Z139" s="26"/>
      <c r="AA139" s="26"/>
    </row>
    <row r="140">
      <c r="A140" s="12"/>
      <c r="B140" s="13"/>
      <c r="C140" s="13"/>
      <c r="D140" s="14"/>
      <c r="E140" s="130"/>
      <c r="F140" s="16"/>
      <c r="G140" s="18"/>
      <c r="H140" s="131"/>
      <c r="I140" s="18"/>
      <c r="J140" s="22"/>
      <c r="K140" s="108"/>
      <c r="L140" s="26"/>
      <c r="M140" s="26"/>
      <c r="N140" s="26"/>
      <c r="O140" s="26"/>
      <c r="P140" s="26"/>
      <c r="Q140" s="26"/>
      <c r="R140" s="26"/>
      <c r="S140" s="26"/>
      <c r="T140" s="26"/>
      <c r="U140" s="26"/>
      <c r="V140" s="26"/>
      <c r="W140" s="26"/>
      <c r="X140" s="26"/>
      <c r="Y140" s="26"/>
      <c r="Z140" s="26"/>
      <c r="AA140" s="26"/>
    </row>
    <row r="141">
      <c r="A141" s="12"/>
      <c r="B141" s="13"/>
      <c r="C141" s="13"/>
      <c r="D141" s="14"/>
      <c r="E141" s="130"/>
      <c r="F141" s="16"/>
      <c r="G141" s="18"/>
      <c r="H141" s="131"/>
      <c r="I141" s="18"/>
      <c r="J141" s="22"/>
      <c r="K141" s="108"/>
      <c r="L141" s="26"/>
      <c r="M141" s="26"/>
      <c r="N141" s="26"/>
      <c r="O141" s="26"/>
      <c r="P141" s="26"/>
      <c r="Q141" s="26"/>
      <c r="R141" s="26"/>
      <c r="S141" s="26"/>
      <c r="T141" s="26"/>
      <c r="U141" s="26"/>
      <c r="V141" s="26"/>
      <c r="W141" s="26"/>
      <c r="X141" s="26"/>
      <c r="Y141" s="26"/>
      <c r="Z141" s="26"/>
      <c r="AA141" s="26"/>
    </row>
    <row r="142">
      <c r="A142" s="12"/>
      <c r="B142" s="13"/>
      <c r="C142" s="13"/>
      <c r="D142" s="14"/>
      <c r="E142" s="130"/>
      <c r="F142" s="16"/>
      <c r="G142" s="18"/>
      <c r="H142" s="131"/>
      <c r="I142" s="18"/>
      <c r="J142" s="22"/>
      <c r="K142" s="108"/>
      <c r="L142" s="26"/>
      <c r="M142" s="26"/>
      <c r="N142" s="26"/>
      <c r="O142" s="26"/>
      <c r="P142" s="26"/>
      <c r="Q142" s="26"/>
      <c r="R142" s="26"/>
      <c r="S142" s="26"/>
      <c r="T142" s="26"/>
      <c r="U142" s="26"/>
      <c r="V142" s="26"/>
      <c r="W142" s="26"/>
      <c r="X142" s="26"/>
      <c r="Y142" s="26"/>
      <c r="Z142" s="26"/>
      <c r="AA142" s="26"/>
    </row>
    <row r="143">
      <c r="A143" s="12"/>
      <c r="B143" s="13"/>
      <c r="C143" s="13"/>
      <c r="D143" s="14"/>
      <c r="E143" s="130"/>
      <c r="F143" s="16"/>
      <c r="G143" s="18"/>
      <c r="H143" s="131"/>
      <c r="I143" s="18"/>
      <c r="J143" s="22"/>
      <c r="K143" s="108"/>
      <c r="L143" s="26"/>
      <c r="M143" s="26"/>
      <c r="N143" s="26"/>
      <c r="O143" s="26"/>
      <c r="P143" s="26"/>
      <c r="Q143" s="26"/>
      <c r="R143" s="26"/>
      <c r="S143" s="26"/>
      <c r="T143" s="26"/>
      <c r="U143" s="26"/>
      <c r="V143" s="26"/>
      <c r="W143" s="26"/>
      <c r="X143" s="26"/>
      <c r="Y143" s="26"/>
      <c r="Z143" s="26"/>
      <c r="AA143" s="26"/>
    </row>
    <row r="144">
      <c r="A144" s="12"/>
      <c r="B144" s="13"/>
      <c r="C144" s="13"/>
      <c r="D144" s="14"/>
      <c r="E144" s="130"/>
      <c r="F144" s="16"/>
      <c r="G144" s="18"/>
      <c r="H144" s="131"/>
      <c r="I144" s="18"/>
      <c r="J144" s="22"/>
      <c r="K144" s="108"/>
      <c r="L144" s="26"/>
      <c r="M144" s="26"/>
      <c r="N144" s="26"/>
      <c r="O144" s="26"/>
      <c r="P144" s="26"/>
      <c r="Q144" s="26"/>
      <c r="R144" s="26"/>
      <c r="S144" s="26"/>
      <c r="T144" s="26"/>
      <c r="U144" s="26"/>
      <c r="V144" s="26"/>
      <c r="W144" s="26"/>
      <c r="X144" s="26"/>
      <c r="Y144" s="26"/>
      <c r="Z144" s="26"/>
      <c r="AA144" s="26"/>
    </row>
    <row r="145">
      <c r="A145" s="12"/>
      <c r="B145" s="13"/>
      <c r="C145" s="13"/>
      <c r="D145" s="14"/>
      <c r="E145" s="130"/>
      <c r="F145" s="16"/>
      <c r="G145" s="18"/>
      <c r="H145" s="131"/>
      <c r="I145" s="18"/>
      <c r="J145" s="22"/>
      <c r="K145" s="108"/>
      <c r="L145" s="26"/>
      <c r="M145" s="26"/>
      <c r="N145" s="26"/>
      <c r="O145" s="26"/>
      <c r="P145" s="26"/>
      <c r="Q145" s="26"/>
      <c r="R145" s="26"/>
      <c r="S145" s="26"/>
      <c r="T145" s="26"/>
      <c r="U145" s="26"/>
      <c r="V145" s="26"/>
      <c r="W145" s="26"/>
      <c r="X145" s="26"/>
      <c r="Y145" s="26"/>
      <c r="Z145" s="26"/>
      <c r="AA145" s="26"/>
    </row>
    <row r="146">
      <c r="A146" s="12"/>
      <c r="B146" s="13"/>
      <c r="C146" s="13"/>
      <c r="D146" s="14"/>
      <c r="E146" s="130"/>
      <c r="F146" s="16"/>
      <c r="G146" s="18"/>
      <c r="H146" s="131"/>
      <c r="I146" s="18"/>
      <c r="J146" s="22"/>
      <c r="K146" s="108"/>
      <c r="L146" s="26"/>
      <c r="M146" s="26"/>
      <c r="N146" s="26"/>
      <c r="O146" s="26"/>
      <c r="P146" s="26"/>
      <c r="Q146" s="26"/>
      <c r="R146" s="26"/>
      <c r="S146" s="26"/>
      <c r="T146" s="26"/>
      <c r="U146" s="26"/>
      <c r="V146" s="26"/>
      <c r="W146" s="26"/>
      <c r="X146" s="26"/>
      <c r="Y146" s="26"/>
      <c r="Z146" s="26"/>
      <c r="AA146" s="26"/>
    </row>
    <row r="147">
      <c r="A147" s="12"/>
      <c r="B147" s="13"/>
      <c r="C147" s="13"/>
      <c r="D147" s="14"/>
      <c r="E147" s="130"/>
      <c r="F147" s="16"/>
      <c r="G147" s="18"/>
      <c r="H147" s="131"/>
      <c r="I147" s="18"/>
      <c r="J147" s="22"/>
      <c r="K147" s="108"/>
      <c r="L147" s="26"/>
      <c r="M147" s="26"/>
      <c r="N147" s="26"/>
      <c r="O147" s="26"/>
      <c r="P147" s="26"/>
      <c r="Q147" s="26"/>
      <c r="R147" s="26"/>
      <c r="S147" s="26"/>
      <c r="T147" s="26"/>
      <c r="U147" s="26"/>
      <c r="V147" s="26"/>
      <c r="W147" s="26"/>
      <c r="X147" s="26"/>
      <c r="Y147" s="26"/>
      <c r="Z147" s="26"/>
      <c r="AA147" s="26"/>
    </row>
    <row r="148">
      <c r="A148" s="12"/>
      <c r="B148" s="13"/>
      <c r="C148" s="13"/>
      <c r="D148" s="14"/>
      <c r="E148" s="130"/>
      <c r="F148" s="16"/>
      <c r="G148" s="18"/>
      <c r="H148" s="131"/>
      <c r="I148" s="18"/>
      <c r="J148" s="22"/>
      <c r="K148" s="108"/>
      <c r="L148" s="26"/>
      <c r="M148" s="26"/>
      <c r="N148" s="26"/>
      <c r="O148" s="26"/>
      <c r="P148" s="26"/>
      <c r="Q148" s="26"/>
      <c r="R148" s="26"/>
      <c r="S148" s="26"/>
      <c r="T148" s="26"/>
      <c r="U148" s="26"/>
      <c r="V148" s="26"/>
      <c r="W148" s="26"/>
      <c r="X148" s="26"/>
      <c r="Y148" s="26"/>
      <c r="Z148" s="26"/>
      <c r="AA148" s="26"/>
    </row>
    <row r="149">
      <c r="A149" s="12"/>
      <c r="B149" s="13"/>
      <c r="C149" s="13"/>
      <c r="D149" s="14"/>
      <c r="E149" s="130"/>
      <c r="F149" s="16"/>
      <c r="G149" s="18"/>
      <c r="H149" s="131"/>
      <c r="I149" s="18"/>
      <c r="J149" s="22"/>
      <c r="K149" s="108"/>
      <c r="L149" s="26"/>
      <c r="M149" s="26"/>
      <c r="N149" s="26"/>
      <c r="O149" s="26"/>
      <c r="P149" s="26"/>
      <c r="Q149" s="26"/>
      <c r="R149" s="26"/>
      <c r="S149" s="26"/>
      <c r="T149" s="26"/>
      <c r="U149" s="26"/>
      <c r="V149" s="26"/>
      <c r="W149" s="26"/>
      <c r="X149" s="26"/>
      <c r="Y149" s="26"/>
      <c r="Z149" s="26"/>
      <c r="AA149" s="26"/>
    </row>
    <row r="150">
      <c r="A150" s="12"/>
      <c r="B150" s="13"/>
      <c r="C150" s="13"/>
      <c r="D150" s="14"/>
      <c r="E150" s="130"/>
      <c r="F150" s="16"/>
      <c r="G150" s="18"/>
      <c r="H150" s="131"/>
      <c r="I150" s="18"/>
      <c r="J150" s="22"/>
      <c r="K150" s="108"/>
      <c r="L150" s="26"/>
      <c r="M150" s="26"/>
      <c r="N150" s="26"/>
      <c r="O150" s="26"/>
      <c r="P150" s="26"/>
      <c r="Q150" s="26"/>
      <c r="R150" s="26"/>
      <c r="S150" s="26"/>
      <c r="T150" s="26"/>
      <c r="U150" s="26"/>
      <c r="V150" s="26"/>
      <c r="W150" s="26"/>
      <c r="X150" s="26"/>
      <c r="Y150" s="26"/>
      <c r="Z150" s="26"/>
      <c r="AA150" s="26"/>
    </row>
    <row r="151">
      <c r="A151" s="12"/>
      <c r="B151" s="13"/>
      <c r="C151" s="13"/>
      <c r="D151" s="14"/>
      <c r="E151" s="130"/>
      <c r="F151" s="16"/>
      <c r="G151" s="18"/>
      <c r="H151" s="131"/>
      <c r="I151" s="18"/>
      <c r="J151" s="22"/>
      <c r="K151" s="108"/>
      <c r="L151" s="26"/>
      <c r="M151" s="26"/>
      <c r="N151" s="26"/>
      <c r="O151" s="26"/>
      <c r="P151" s="26"/>
      <c r="Q151" s="26"/>
      <c r="R151" s="26"/>
      <c r="S151" s="26"/>
      <c r="T151" s="26"/>
      <c r="U151" s="26"/>
      <c r="V151" s="26"/>
      <c r="W151" s="26"/>
      <c r="X151" s="26"/>
      <c r="Y151" s="26"/>
      <c r="Z151" s="26"/>
      <c r="AA151" s="26"/>
    </row>
    <row r="152">
      <c r="A152" s="12"/>
      <c r="B152" s="13"/>
      <c r="C152" s="13"/>
      <c r="D152" s="14"/>
      <c r="E152" s="130"/>
      <c r="F152" s="16"/>
      <c r="G152" s="18"/>
      <c r="H152" s="131"/>
      <c r="I152" s="18"/>
      <c r="J152" s="22"/>
      <c r="K152" s="108"/>
      <c r="L152" s="26"/>
      <c r="M152" s="26"/>
      <c r="N152" s="26"/>
      <c r="O152" s="26"/>
      <c r="P152" s="26"/>
      <c r="Q152" s="26"/>
      <c r="R152" s="26"/>
      <c r="S152" s="26"/>
      <c r="T152" s="26"/>
      <c r="U152" s="26"/>
      <c r="V152" s="26"/>
      <c r="W152" s="26"/>
      <c r="X152" s="26"/>
      <c r="Y152" s="26"/>
      <c r="Z152" s="26"/>
      <c r="AA152" s="26"/>
    </row>
    <row r="153">
      <c r="A153" s="12"/>
      <c r="B153" s="13"/>
      <c r="C153" s="13"/>
      <c r="D153" s="14"/>
      <c r="E153" s="130"/>
      <c r="F153" s="16"/>
      <c r="G153" s="18"/>
      <c r="H153" s="131"/>
      <c r="I153" s="18"/>
      <c r="J153" s="22"/>
      <c r="K153" s="108"/>
      <c r="L153" s="26"/>
      <c r="M153" s="26"/>
      <c r="N153" s="26"/>
      <c r="O153" s="26"/>
      <c r="P153" s="26"/>
      <c r="Q153" s="26"/>
      <c r="R153" s="26"/>
      <c r="S153" s="26"/>
      <c r="T153" s="26"/>
      <c r="U153" s="26"/>
      <c r="V153" s="26"/>
      <c r="W153" s="26"/>
      <c r="X153" s="26"/>
      <c r="Y153" s="26"/>
      <c r="Z153" s="26"/>
      <c r="AA153" s="26"/>
    </row>
    <row r="154">
      <c r="A154" s="12"/>
      <c r="B154" s="13"/>
      <c r="C154" s="13"/>
      <c r="D154" s="14"/>
      <c r="E154" s="130"/>
      <c r="F154" s="16"/>
      <c r="G154" s="18"/>
      <c r="H154" s="131"/>
      <c r="I154" s="18"/>
      <c r="J154" s="22"/>
      <c r="K154" s="108"/>
      <c r="L154" s="26"/>
      <c r="M154" s="26"/>
      <c r="N154" s="26"/>
      <c r="O154" s="26"/>
      <c r="P154" s="26"/>
      <c r="Q154" s="26"/>
      <c r="R154" s="26"/>
      <c r="S154" s="26"/>
      <c r="T154" s="26"/>
      <c r="U154" s="26"/>
      <c r="V154" s="26"/>
      <c r="W154" s="26"/>
      <c r="X154" s="26"/>
      <c r="Y154" s="26"/>
      <c r="Z154" s="26"/>
      <c r="AA154" s="26"/>
    </row>
    <row r="155">
      <c r="A155" s="12"/>
      <c r="B155" s="13"/>
      <c r="C155" s="13"/>
      <c r="D155" s="14"/>
      <c r="E155" s="130"/>
      <c r="F155" s="16"/>
      <c r="G155" s="18"/>
      <c r="H155" s="131"/>
      <c r="I155" s="18"/>
      <c r="J155" s="22"/>
      <c r="K155" s="108"/>
      <c r="L155" s="26"/>
      <c r="M155" s="26"/>
      <c r="N155" s="26"/>
      <c r="O155" s="26"/>
      <c r="P155" s="26"/>
      <c r="Q155" s="26"/>
      <c r="R155" s="26"/>
      <c r="S155" s="26"/>
      <c r="T155" s="26"/>
      <c r="U155" s="26"/>
      <c r="V155" s="26"/>
      <c r="W155" s="26"/>
      <c r="X155" s="26"/>
      <c r="Y155" s="26"/>
      <c r="Z155" s="26"/>
      <c r="AA155" s="26"/>
    </row>
    <row r="156">
      <c r="A156" s="12"/>
      <c r="B156" s="13"/>
      <c r="C156" s="13"/>
      <c r="D156" s="14"/>
      <c r="E156" s="130"/>
      <c r="F156" s="16"/>
      <c r="G156" s="18"/>
      <c r="H156" s="131"/>
      <c r="I156" s="18"/>
      <c r="J156" s="22"/>
      <c r="K156" s="108"/>
      <c r="L156" s="26"/>
      <c r="M156" s="26"/>
      <c r="N156" s="26"/>
      <c r="O156" s="26"/>
      <c r="P156" s="26"/>
      <c r="Q156" s="26"/>
      <c r="R156" s="26"/>
      <c r="S156" s="26"/>
      <c r="T156" s="26"/>
      <c r="U156" s="26"/>
      <c r="V156" s="26"/>
      <c r="W156" s="26"/>
      <c r="X156" s="26"/>
      <c r="Y156" s="26"/>
      <c r="Z156" s="26"/>
      <c r="AA156" s="26"/>
    </row>
    <row r="157">
      <c r="A157" s="12"/>
      <c r="B157" s="13"/>
      <c r="C157" s="13"/>
      <c r="D157" s="14"/>
      <c r="E157" s="130"/>
      <c r="F157" s="16"/>
      <c r="G157" s="18"/>
      <c r="H157" s="131"/>
      <c r="I157" s="18"/>
      <c r="J157" s="22"/>
      <c r="K157" s="108"/>
      <c r="L157" s="26"/>
      <c r="M157" s="26"/>
      <c r="N157" s="26"/>
      <c r="O157" s="26"/>
      <c r="P157" s="26"/>
      <c r="Q157" s="26"/>
      <c r="R157" s="26"/>
      <c r="S157" s="26"/>
      <c r="T157" s="26"/>
      <c r="U157" s="26"/>
      <c r="V157" s="26"/>
      <c r="W157" s="26"/>
      <c r="X157" s="26"/>
      <c r="Y157" s="26"/>
      <c r="Z157" s="26"/>
      <c r="AA157" s="26"/>
    </row>
    <row r="158">
      <c r="A158" s="12"/>
      <c r="B158" s="13"/>
      <c r="C158" s="13"/>
      <c r="D158" s="14"/>
      <c r="E158" s="130"/>
      <c r="F158" s="16"/>
      <c r="G158" s="18"/>
      <c r="H158" s="131"/>
      <c r="I158" s="18"/>
      <c r="J158" s="22"/>
      <c r="K158" s="108"/>
      <c r="L158" s="26"/>
      <c r="M158" s="26"/>
      <c r="N158" s="26"/>
      <c r="O158" s="26"/>
      <c r="P158" s="26"/>
      <c r="Q158" s="26"/>
      <c r="R158" s="26"/>
      <c r="S158" s="26"/>
      <c r="T158" s="26"/>
      <c r="U158" s="26"/>
      <c r="V158" s="26"/>
      <c r="W158" s="26"/>
      <c r="X158" s="26"/>
      <c r="Y158" s="26"/>
      <c r="Z158" s="26"/>
      <c r="AA158" s="26"/>
    </row>
    <row r="159">
      <c r="A159" s="12"/>
      <c r="B159" s="13"/>
      <c r="C159" s="13"/>
      <c r="D159" s="14"/>
      <c r="E159" s="130"/>
      <c r="F159" s="16"/>
      <c r="G159" s="18"/>
      <c r="H159" s="131"/>
      <c r="I159" s="18"/>
      <c r="J159" s="22"/>
      <c r="K159" s="108"/>
      <c r="L159" s="26"/>
      <c r="M159" s="26"/>
      <c r="N159" s="26"/>
      <c r="O159" s="26"/>
      <c r="P159" s="26"/>
      <c r="Q159" s="26"/>
      <c r="R159" s="26"/>
      <c r="S159" s="26"/>
      <c r="T159" s="26"/>
      <c r="U159" s="26"/>
      <c r="V159" s="26"/>
      <c r="W159" s="26"/>
      <c r="X159" s="26"/>
      <c r="Y159" s="26"/>
      <c r="Z159" s="26"/>
      <c r="AA159" s="26"/>
    </row>
    <row r="160">
      <c r="A160" s="12"/>
      <c r="B160" s="13"/>
      <c r="C160" s="13"/>
      <c r="D160" s="14"/>
      <c r="E160" s="130"/>
      <c r="F160" s="16"/>
      <c r="G160" s="18"/>
      <c r="H160" s="131"/>
      <c r="I160" s="18"/>
      <c r="J160" s="22"/>
      <c r="K160" s="108"/>
      <c r="L160" s="26"/>
      <c r="M160" s="26"/>
      <c r="N160" s="26"/>
      <c r="O160" s="26"/>
      <c r="P160" s="26"/>
      <c r="Q160" s="26"/>
      <c r="R160" s="26"/>
      <c r="S160" s="26"/>
      <c r="T160" s="26"/>
      <c r="U160" s="26"/>
      <c r="V160" s="26"/>
      <c r="W160" s="26"/>
      <c r="X160" s="26"/>
      <c r="Y160" s="26"/>
      <c r="Z160" s="26"/>
      <c r="AA160" s="26"/>
    </row>
    <row r="161">
      <c r="A161" s="12"/>
      <c r="B161" s="13"/>
      <c r="C161" s="13"/>
      <c r="D161" s="14"/>
      <c r="E161" s="130"/>
      <c r="F161" s="16"/>
      <c r="G161" s="18"/>
      <c r="H161" s="131"/>
      <c r="I161" s="18"/>
      <c r="J161" s="22"/>
      <c r="K161" s="108"/>
      <c r="L161" s="26"/>
      <c r="M161" s="26"/>
      <c r="N161" s="26"/>
      <c r="O161" s="26"/>
      <c r="P161" s="26"/>
      <c r="Q161" s="26"/>
      <c r="R161" s="26"/>
      <c r="S161" s="26"/>
      <c r="T161" s="26"/>
      <c r="U161" s="26"/>
      <c r="V161" s="26"/>
      <c r="W161" s="26"/>
      <c r="X161" s="26"/>
      <c r="Y161" s="26"/>
      <c r="Z161" s="26"/>
      <c r="AA161" s="26"/>
    </row>
    <row r="162">
      <c r="A162" s="12"/>
      <c r="B162" s="13"/>
      <c r="C162" s="13"/>
      <c r="D162" s="14"/>
      <c r="E162" s="130"/>
      <c r="F162" s="16"/>
      <c r="G162" s="18"/>
      <c r="H162" s="131"/>
      <c r="I162" s="18"/>
      <c r="J162" s="22"/>
      <c r="K162" s="108"/>
      <c r="L162" s="26"/>
      <c r="M162" s="26"/>
      <c r="N162" s="26"/>
      <c r="O162" s="26"/>
      <c r="P162" s="26"/>
      <c r="Q162" s="26"/>
      <c r="R162" s="26"/>
      <c r="S162" s="26"/>
      <c r="T162" s="26"/>
      <c r="U162" s="26"/>
      <c r="V162" s="26"/>
      <c r="W162" s="26"/>
      <c r="X162" s="26"/>
      <c r="Y162" s="26"/>
      <c r="Z162" s="26"/>
      <c r="AA162" s="26"/>
    </row>
    <row r="163">
      <c r="A163" s="12"/>
      <c r="B163" s="13"/>
      <c r="C163" s="13"/>
      <c r="D163" s="14"/>
      <c r="E163" s="130"/>
      <c r="F163" s="16"/>
      <c r="G163" s="18"/>
      <c r="H163" s="131"/>
      <c r="I163" s="18"/>
      <c r="J163" s="22"/>
      <c r="K163" s="108"/>
      <c r="L163" s="26"/>
      <c r="M163" s="26"/>
      <c r="N163" s="26"/>
      <c r="O163" s="26"/>
      <c r="P163" s="26"/>
      <c r="Q163" s="26"/>
      <c r="R163" s="26"/>
      <c r="S163" s="26"/>
      <c r="T163" s="26"/>
      <c r="U163" s="26"/>
      <c r="V163" s="26"/>
      <c r="W163" s="26"/>
      <c r="X163" s="26"/>
      <c r="Y163" s="26"/>
      <c r="Z163" s="26"/>
      <c r="AA163" s="26"/>
    </row>
    <row r="164">
      <c r="A164" s="12"/>
      <c r="B164" s="13"/>
      <c r="C164" s="13"/>
      <c r="D164" s="14"/>
      <c r="E164" s="130"/>
      <c r="F164" s="16"/>
      <c r="G164" s="18"/>
      <c r="H164" s="131"/>
      <c r="I164" s="18"/>
      <c r="J164" s="22"/>
      <c r="K164" s="108"/>
      <c r="L164" s="26"/>
      <c r="M164" s="26"/>
      <c r="N164" s="26"/>
      <c r="O164" s="26"/>
      <c r="P164" s="26"/>
      <c r="Q164" s="26"/>
      <c r="R164" s="26"/>
      <c r="S164" s="26"/>
      <c r="T164" s="26"/>
      <c r="U164" s="26"/>
      <c r="V164" s="26"/>
      <c r="W164" s="26"/>
      <c r="X164" s="26"/>
      <c r="Y164" s="26"/>
      <c r="Z164" s="26"/>
      <c r="AA164" s="26"/>
    </row>
    <row r="165">
      <c r="A165" s="12"/>
      <c r="B165" s="13"/>
      <c r="C165" s="13"/>
      <c r="D165" s="14"/>
      <c r="E165" s="130"/>
      <c r="F165" s="16"/>
      <c r="G165" s="18"/>
      <c r="H165" s="131"/>
      <c r="I165" s="18"/>
      <c r="J165" s="22"/>
      <c r="K165" s="108"/>
      <c r="L165" s="26"/>
      <c r="M165" s="26"/>
      <c r="N165" s="26"/>
      <c r="O165" s="26"/>
      <c r="P165" s="26"/>
      <c r="Q165" s="26"/>
      <c r="R165" s="26"/>
      <c r="S165" s="26"/>
      <c r="T165" s="26"/>
      <c r="U165" s="26"/>
      <c r="V165" s="26"/>
      <c r="W165" s="26"/>
      <c r="X165" s="26"/>
      <c r="Y165" s="26"/>
      <c r="Z165" s="26"/>
      <c r="AA165" s="26"/>
    </row>
    <row r="166">
      <c r="A166" s="12"/>
      <c r="B166" s="13"/>
      <c r="C166" s="13"/>
      <c r="D166" s="14"/>
      <c r="E166" s="130"/>
      <c r="F166" s="16"/>
      <c r="G166" s="18"/>
      <c r="H166" s="131"/>
      <c r="I166" s="18"/>
      <c r="J166" s="22"/>
      <c r="K166" s="108"/>
      <c r="L166" s="26"/>
      <c r="M166" s="26"/>
      <c r="N166" s="26"/>
      <c r="O166" s="26"/>
      <c r="P166" s="26"/>
      <c r="Q166" s="26"/>
      <c r="R166" s="26"/>
      <c r="S166" s="26"/>
      <c r="T166" s="26"/>
      <c r="U166" s="26"/>
      <c r="V166" s="26"/>
      <c r="W166" s="26"/>
      <c r="X166" s="26"/>
      <c r="Y166" s="26"/>
      <c r="Z166" s="26"/>
      <c r="AA166" s="26"/>
    </row>
    <row r="167">
      <c r="A167" s="12"/>
      <c r="B167" s="13"/>
      <c r="C167" s="13"/>
      <c r="D167" s="14"/>
      <c r="E167" s="130"/>
      <c r="F167" s="16"/>
      <c r="G167" s="18"/>
      <c r="H167" s="131"/>
      <c r="I167" s="18"/>
      <c r="J167" s="22"/>
      <c r="K167" s="108"/>
      <c r="L167" s="26"/>
      <c r="M167" s="26"/>
      <c r="N167" s="26"/>
      <c r="O167" s="26"/>
      <c r="P167" s="26"/>
      <c r="Q167" s="26"/>
      <c r="R167" s="26"/>
      <c r="S167" s="26"/>
      <c r="T167" s="26"/>
      <c r="U167" s="26"/>
      <c r="V167" s="26"/>
      <c r="W167" s="26"/>
      <c r="X167" s="26"/>
      <c r="Y167" s="26"/>
      <c r="Z167" s="26"/>
      <c r="AA167" s="26"/>
    </row>
    <row r="168">
      <c r="A168" s="12"/>
      <c r="B168" s="13"/>
      <c r="C168" s="13"/>
      <c r="D168" s="14"/>
      <c r="E168" s="130"/>
      <c r="F168" s="16"/>
      <c r="G168" s="18"/>
      <c r="H168" s="131"/>
      <c r="I168" s="18"/>
      <c r="J168" s="22"/>
      <c r="K168" s="108"/>
      <c r="L168" s="26"/>
      <c r="M168" s="26"/>
      <c r="N168" s="26"/>
      <c r="O168" s="26"/>
      <c r="P168" s="26"/>
      <c r="Q168" s="26"/>
      <c r="R168" s="26"/>
      <c r="S168" s="26"/>
      <c r="T168" s="26"/>
      <c r="U168" s="26"/>
      <c r="V168" s="26"/>
      <c r="W168" s="26"/>
      <c r="X168" s="26"/>
      <c r="Y168" s="26"/>
      <c r="Z168" s="26"/>
      <c r="AA168" s="26"/>
    </row>
    <row r="169">
      <c r="A169" s="12"/>
      <c r="B169" s="13"/>
      <c r="C169" s="13"/>
      <c r="D169" s="14"/>
      <c r="E169" s="130"/>
      <c r="F169" s="16"/>
      <c r="G169" s="18"/>
      <c r="H169" s="131"/>
      <c r="I169" s="18"/>
      <c r="J169" s="22"/>
      <c r="K169" s="108"/>
      <c r="L169" s="26"/>
      <c r="M169" s="26"/>
      <c r="N169" s="26"/>
      <c r="O169" s="26"/>
      <c r="P169" s="26"/>
      <c r="Q169" s="26"/>
      <c r="R169" s="26"/>
      <c r="S169" s="26"/>
      <c r="T169" s="26"/>
      <c r="U169" s="26"/>
      <c r="V169" s="26"/>
      <c r="W169" s="26"/>
      <c r="X169" s="26"/>
      <c r="Y169" s="26"/>
      <c r="Z169" s="26"/>
      <c r="AA169" s="26"/>
    </row>
    <row r="170">
      <c r="A170" s="12"/>
      <c r="B170" s="13"/>
      <c r="C170" s="13"/>
      <c r="D170" s="14"/>
      <c r="E170" s="130"/>
      <c r="F170" s="16"/>
      <c r="G170" s="18"/>
      <c r="H170" s="131"/>
      <c r="I170" s="18"/>
      <c r="J170" s="22"/>
      <c r="K170" s="108"/>
      <c r="L170" s="26"/>
      <c r="M170" s="26"/>
      <c r="N170" s="26"/>
      <c r="O170" s="26"/>
      <c r="P170" s="26"/>
      <c r="Q170" s="26"/>
      <c r="R170" s="26"/>
      <c r="S170" s="26"/>
      <c r="T170" s="26"/>
      <c r="U170" s="26"/>
      <c r="V170" s="26"/>
      <c r="W170" s="26"/>
      <c r="X170" s="26"/>
      <c r="Y170" s="26"/>
      <c r="Z170" s="26"/>
      <c r="AA170" s="26"/>
    </row>
    <row r="171">
      <c r="A171" s="12"/>
      <c r="B171" s="13"/>
      <c r="C171" s="13"/>
      <c r="D171" s="14"/>
      <c r="E171" s="130"/>
      <c r="F171" s="16"/>
      <c r="G171" s="18"/>
      <c r="H171" s="131"/>
      <c r="I171" s="18"/>
      <c r="J171" s="22"/>
      <c r="K171" s="108"/>
      <c r="L171" s="26"/>
      <c r="M171" s="26"/>
      <c r="N171" s="26"/>
      <c r="O171" s="26"/>
      <c r="P171" s="26"/>
      <c r="Q171" s="26"/>
      <c r="R171" s="26"/>
      <c r="S171" s="26"/>
      <c r="T171" s="26"/>
      <c r="U171" s="26"/>
      <c r="V171" s="26"/>
      <c r="W171" s="26"/>
      <c r="X171" s="26"/>
      <c r="Y171" s="26"/>
      <c r="Z171" s="26"/>
      <c r="AA171" s="26"/>
    </row>
    <row r="172">
      <c r="A172" s="12"/>
      <c r="B172" s="13"/>
      <c r="C172" s="13"/>
      <c r="D172" s="14"/>
      <c r="E172" s="130"/>
      <c r="F172" s="16"/>
      <c r="G172" s="18"/>
      <c r="H172" s="131"/>
      <c r="I172" s="18"/>
      <c r="J172" s="22"/>
      <c r="K172" s="108"/>
      <c r="L172" s="26"/>
      <c r="M172" s="26"/>
      <c r="N172" s="26"/>
      <c r="O172" s="26"/>
      <c r="P172" s="26"/>
      <c r="Q172" s="26"/>
      <c r="R172" s="26"/>
      <c r="S172" s="26"/>
      <c r="T172" s="26"/>
      <c r="U172" s="26"/>
      <c r="V172" s="26"/>
      <c r="W172" s="26"/>
      <c r="X172" s="26"/>
      <c r="Y172" s="26"/>
      <c r="Z172" s="26"/>
      <c r="AA172" s="26"/>
    </row>
    <row r="173">
      <c r="A173" s="12"/>
      <c r="B173" s="13"/>
      <c r="C173" s="13"/>
      <c r="D173" s="14"/>
      <c r="E173" s="130"/>
      <c r="F173" s="16"/>
      <c r="G173" s="18"/>
      <c r="H173" s="131"/>
      <c r="I173" s="18"/>
      <c r="J173" s="22"/>
      <c r="K173" s="108"/>
      <c r="L173" s="26"/>
      <c r="M173" s="26"/>
      <c r="N173" s="26"/>
      <c r="O173" s="26"/>
      <c r="P173" s="26"/>
      <c r="Q173" s="26"/>
      <c r="R173" s="26"/>
      <c r="S173" s="26"/>
      <c r="T173" s="26"/>
      <c r="U173" s="26"/>
      <c r="V173" s="26"/>
      <c r="W173" s="26"/>
      <c r="X173" s="26"/>
      <c r="Y173" s="26"/>
      <c r="Z173" s="26"/>
      <c r="AA173" s="26"/>
    </row>
    <row r="174">
      <c r="A174" s="12"/>
      <c r="B174" s="13"/>
      <c r="C174" s="13"/>
      <c r="D174" s="14"/>
      <c r="E174" s="130"/>
      <c r="F174" s="16"/>
      <c r="G174" s="18"/>
      <c r="H174" s="131"/>
      <c r="I174" s="18"/>
      <c r="J174" s="22"/>
      <c r="K174" s="108"/>
      <c r="L174" s="26"/>
      <c r="M174" s="26"/>
      <c r="N174" s="26"/>
      <c r="O174" s="26"/>
      <c r="P174" s="26"/>
      <c r="Q174" s="26"/>
      <c r="R174" s="26"/>
      <c r="S174" s="26"/>
      <c r="T174" s="26"/>
      <c r="U174" s="26"/>
      <c r="V174" s="26"/>
      <c r="W174" s="26"/>
      <c r="X174" s="26"/>
      <c r="Y174" s="26"/>
      <c r="Z174" s="26"/>
      <c r="AA174" s="26"/>
    </row>
    <row r="175">
      <c r="A175" s="12"/>
      <c r="B175" s="13"/>
      <c r="C175" s="13"/>
      <c r="D175" s="14"/>
      <c r="E175" s="130"/>
      <c r="F175" s="16"/>
      <c r="G175" s="18"/>
      <c r="H175" s="131"/>
      <c r="I175" s="18"/>
      <c r="J175" s="22"/>
      <c r="K175" s="108"/>
      <c r="L175" s="26"/>
      <c r="M175" s="26"/>
      <c r="N175" s="26"/>
      <c r="O175" s="26"/>
      <c r="P175" s="26"/>
      <c r="Q175" s="26"/>
      <c r="R175" s="26"/>
      <c r="S175" s="26"/>
      <c r="T175" s="26"/>
      <c r="U175" s="26"/>
      <c r="V175" s="26"/>
      <c r="W175" s="26"/>
      <c r="X175" s="26"/>
      <c r="Y175" s="26"/>
      <c r="Z175" s="26"/>
      <c r="AA175" s="26"/>
    </row>
    <row r="176">
      <c r="A176" s="12"/>
      <c r="B176" s="13"/>
      <c r="C176" s="13"/>
      <c r="D176" s="14"/>
      <c r="E176" s="130"/>
      <c r="F176" s="16"/>
      <c r="G176" s="18"/>
      <c r="H176" s="131"/>
      <c r="I176" s="18"/>
      <c r="J176" s="22"/>
      <c r="K176" s="108"/>
      <c r="L176" s="26"/>
      <c r="M176" s="26"/>
      <c r="N176" s="26"/>
      <c r="O176" s="26"/>
      <c r="P176" s="26"/>
      <c r="Q176" s="26"/>
      <c r="R176" s="26"/>
      <c r="S176" s="26"/>
      <c r="T176" s="26"/>
      <c r="U176" s="26"/>
      <c r="V176" s="26"/>
      <c r="W176" s="26"/>
      <c r="X176" s="26"/>
      <c r="Y176" s="26"/>
      <c r="Z176" s="26"/>
      <c r="AA176" s="26"/>
    </row>
    <row r="177">
      <c r="A177" s="12"/>
      <c r="B177" s="13"/>
      <c r="C177" s="13"/>
      <c r="D177" s="14"/>
      <c r="E177" s="130"/>
      <c r="F177" s="16"/>
      <c r="G177" s="18"/>
      <c r="H177" s="131"/>
      <c r="I177" s="18"/>
      <c r="J177" s="22"/>
      <c r="K177" s="108"/>
      <c r="L177" s="26"/>
      <c r="M177" s="26"/>
      <c r="N177" s="26"/>
      <c r="O177" s="26"/>
      <c r="P177" s="26"/>
      <c r="Q177" s="26"/>
      <c r="R177" s="26"/>
      <c r="S177" s="26"/>
      <c r="T177" s="26"/>
      <c r="U177" s="26"/>
      <c r="V177" s="26"/>
      <c r="W177" s="26"/>
      <c r="X177" s="26"/>
      <c r="Y177" s="26"/>
      <c r="Z177" s="26"/>
      <c r="AA177" s="26"/>
    </row>
    <row r="178">
      <c r="A178" s="12"/>
      <c r="B178" s="13"/>
      <c r="C178" s="13"/>
      <c r="D178" s="14"/>
      <c r="E178" s="130"/>
      <c r="F178" s="16"/>
      <c r="G178" s="18"/>
      <c r="H178" s="131"/>
      <c r="I178" s="18"/>
      <c r="J178" s="22"/>
      <c r="K178" s="108"/>
      <c r="L178" s="26"/>
      <c r="M178" s="26"/>
      <c r="N178" s="26"/>
      <c r="O178" s="26"/>
      <c r="P178" s="26"/>
      <c r="Q178" s="26"/>
      <c r="R178" s="26"/>
      <c r="S178" s="26"/>
      <c r="T178" s="26"/>
      <c r="U178" s="26"/>
      <c r="V178" s="26"/>
      <c r="W178" s="26"/>
      <c r="X178" s="26"/>
      <c r="Y178" s="26"/>
      <c r="Z178" s="26"/>
      <c r="AA178" s="26"/>
    </row>
    <row r="179">
      <c r="A179" s="12"/>
      <c r="B179" s="13"/>
      <c r="C179" s="13"/>
      <c r="D179" s="14"/>
      <c r="E179" s="130"/>
      <c r="F179" s="16"/>
      <c r="G179" s="18"/>
      <c r="H179" s="131"/>
      <c r="I179" s="18"/>
      <c r="J179" s="22"/>
      <c r="K179" s="108"/>
      <c r="L179" s="26"/>
      <c r="M179" s="26"/>
      <c r="N179" s="26"/>
      <c r="O179" s="26"/>
      <c r="P179" s="26"/>
      <c r="Q179" s="26"/>
      <c r="R179" s="26"/>
      <c r="S179" s="26"/>
      <c r="T179" s="26"/>
      <c r="U179" s="26"/>
      <c r="V179" s="26"/>
      <c r="W179" s="26"/>
      <c r="X179" s="26"/>
      <c r="Y179" s="26"/>
      <c r="Z179" s="26"/>
      <c r="AA179" s="26"/>
    </row>
    <row r="180">
      <c r="A180" s="12"/>
      <c r="B180" s="13"/>
      <c r="C180" s="13"/>
      <c r="D180" s="14"/>
      <c r="E180" s="130"/>
      <c r="F180" s="16"/>
      <c r="G180" s="18"/>
      <c r="H180" s="131"/>
      <c r="I180" s="18"/>
      <c r="J180" s="22"/>
      <c r="K180" s="108"/>
      <c r="L180" s="26"/>
      <c r="M180" s="26"/>
      <c r="N180" s="26"/>
      <c r="O180" s="26"/>
      <c r="P180" s="26"/>
      <c r="Q180" s="26"/>
      <c r="R180" s="26"/>
      <c r="S180" s="26"/>
      <c r="T180" s="26"/>
      <c r="U180" s="26"/>
      <c r="V180" s="26"/>
      <c r="W180" s="26"/>
      <c r="X180" s="26"/>
      <c r="Y180" s="26"/>
      <c r="Z180" s="26"/>
      <c r="AA180" s="26"/>
    </row>
    <row r="181">
      <c r="A181" s="12"/>
      <c r="B181" s="13"/>
      <c r="C181" s="13"/>
      <c r="D181" s="14"/>
      <c r="E181" s="130"/>
      <c r="F181" s="16"/>
      <c r="G181" s="18"/>
      <c r="H181" s="131"/>
      <c r="I181" s="18"/>
      <c r="J181" s="22"/>
      <c r="K181" s="108"/>
      <c r="L181" s="26"/>
      <c r="M181" s="26"/>
      <c r="N181" s="26"/>
      <c r="O181" s="26"/>
      <c r="P181" s="26"/>
      <c r="Q181" s="26"/>
      <c r="R181" s="26"/>
      <c r="S181" s="26"/>
      <c r="T181" s="26"/>
      <c r="U181" s="26"/>
      <c r="V181" s="26"/>
      <c r="W181" s="26"/>
      <c r="X181" s="26"/>
      <c r="Y181" s="26"/>
      <c r="Z181" s="26"/>
      <c r="AA181" s="26"/>
    </row>
    <row r="182">
      <c r="A182" s="12"/>
      <c r="B182" s="13"/>
      <c r="C182" s="13"/>
      <c r="D182" s="14"/>
      <c r="E182" s="130"/>
      <c r="F182" s="16"/>
      <c r="G182" s="18"/>
      <c r="H182" s="131"/>
      <c r="I182" s="18"/>
      <c r="J182" s="22"/>
      <c r="K182" s="108"/>
      <c r="L182" s="26"/>
      <c r="M182" s="26"/>
      <c r="N182" s="26"/>
      <c r="O182" s="26"/>
      <c r="P182" s="26"/>
      <c r="Q182" s="26"/>
      <c r="R182" s="26"/>
      <c r="S182" s="26"/>
      <c r="T182" s="26"/>
      <c r="U182" s="26"/>
      <c r="V182" s="26"/>
      <c r="W182" s="26"/>
      <c r="X182" s="26"/>
      <c r="Y182" s="26"/>
      <c r="Z182" s="26"/>
      <c r="AA182" s="26"/>
    </row>
    <row r="183">
      <c r="A183" s="12"/>
      <c r="B183" s="13"/>
      <c r="C183" s="13"/>
      <c r="D183" s="14"/>
      <c r="E183" s="130"/>
      <c r="F183" s="16"/>
      <c r="G183" s="18"/>
      <c r="H183" s="131"/>
      <c r="I183" s="18"/>
      <c r="J183" s="22"/>
      <c r="K183" s="108"/>
      <c r="L183" s="26"/>
      <c r="M183" s="26"/>
      <c r="N183" s="26"/>
      <c r="O183" s="26"/>
      <c r="P183" s="26"/>
      <c r="Q183" s="26"/>
      <c r="R183" s="26"/>
      <c r="S183" s="26"/>
      <c r="T183" s="26"/>
      <c r="U183" s="26"/>
      <c r="V183" s="26"/>
      <c r="W183" s="26"/>
      <c r="X183" s="26"/>
      <c r="Y183" s="26"/>
      <c r="Z183" s="26"/>
      <c r="AA183" s="26"/>
    </row>
    <row r="184">
      <c r="A184" s="12"/>
      <c r="B184" s="13"/>
      <c r="C184" s="13"/>
      <c r="D184" s="14"/>
      <c r="E184" s="130"/>
      <c r="F184" s="16"/>
      <c r="G184" s="18"/>
      <c r="H184" s="131"/>
      <c r="I184" s="18"/>
      <c r="J184" s="22"/>
      <c r="K184" s="108"/>
      <c r="L184" s="26"/>
      <c r="M184" s="26"/>
      <c r="N184" s="26"/>
      <c r="O184" s="26"/>
      <c r="P184" s="26"/>
      <c r="Q184" s="26"/>
      <c r="R184" s="26"/>
      <c r="S184" s="26"/>
      <c r="T184" s="26"/>
      <c r="U184" s="26"/>
      <c r="V184" s="26"/>
      <c r="W184" s="26"/>
      <c r="X184" s="26"/>
      <c r="Y184" s="26"/>
      <c r="Z184" s="26"/>
      <c r="AA184" s="26"/>
    </row>
    <row r="185">
      <c r="A185" s="12"/>
      <c r="B185" s="13"/>
      <c r="C185" s="13"/>
      <c r="D185" s="14"/>
      <c r="E185" s="130"/>
      <c r="F185" s="16"/>
      <c r="G185" s="18"/>
      <c r="H185" s="131"/>
      <c r="I185" s="18"/>
      <c r="J185" s="22"/>
      <c r="K185" s="108"/>
      <c r="L185" s="26"/>
      <c r="M185" s="26"/>
      <c r="N185" s="26"/>
      <c r="O185" s="26"/>
      <c r="P185" s="26"/>
      <c r="Q185" s="26"/>
      <c r="R185" s="26"/>
      <c r="S185" s="26"/>
      <c r="T185" s="26"/>
      <c r="U185" s="26"/>
      <c r="V185" s="26"/>
      <c r="W185" s="26"/>
      <c r="X185" s="26"/>
      <c r="Y185" s="26"/>
      <c r="Z185" s="26"/>
      <c r="AA185" s="26"/>
    </row>
    <row r="186">
      <c r="A186" s="12"/>
      <c r="B186" s="13"/>
      <c r="C186" s="13"/>
      <c r="D186" s="14"/>
      <c r="E186" s="130"/>
      <c r="F186" s="16"/>
      <c r="G186" s="18"/>
      <c r="H186" s="131"/>
      <c r="I186" s="18"/>
      <c r="J186" s="22"/>
      <c r="K186" s="108"/>
      <c r="L186" s="26"/>
      <c r="M186" s="26"/>
      <c r="N186" s="26"/>
      <c r="O186" s="26"/>
      <c r="P186" s="26"/>
      <c r="Q186" s="26"/>
      <c r="R186" s="26"/>
      <c r="S186" s="26"/>
      <c r="T186" s="26"/>
      <c r="U186" s="26"/>
      <c r="V186" s="26"/>
      <c r="W186" s="26"/>
      <c r="X186" s="26"/>
      <c r="Y186" s="26"/>
      <c r="Z186" s="26"/>
      <c r="AA186" s="26"/>
    </row>
    <row r="187">
      <c r="A187" s="12"/>
      <c r="B187" s="13"/>
      <c r="C187" s="13"/>
      <c r="D187" s="14"/>
      <c r="E187" s="130"/>
      <c r="F187" s="16"/>
      <c r="G187" s="18"/>
      <c r="H187" s="131"/>
      <c r="I187" s="18"/>
      <c r="J187" s="22"/>
      <c r="K187" s="108"/>
      <c r="L187" s="26"/>
      <c r="M187" s="26"/>
      <c r="N187" s="26"/>
      <c r="O187" s="26"/>
      <c r="P187" s="26"/>
      <c r="Q187" s="26"/>
      <c r="R187" s="26"/>
      <c r="S187" s="26"/>
      <c r="T187" s="26"/>
      <c r="U187" s="26"/>
      <c r="V187" s="26"/>
      <c r="W187" s="26"/>
      <c r="X187" s="26"/>
      <c r="Y187" s="26"/>
      <c r="Z187" s="26"/>
      <c r="AA187" s="26"/>
    </row>
    <row r="188">
      <c r="A188" s="12"/>
      <c r="B188" s="13"/>
      <c r="C188" s="13"/>
      <c r="D188" s="14"/>
      <c r="E188" s="130"/>
      <c r="F188" s="16"/>
      <c r="G188" s="18"/>
      <c r="H188" s="131"/>
      <c r="I188" s="18"/>
      <c r="J188" s="22"/>
      <c r="K188" s="108"/>
      <c r="L188" s="26"/>
      <c r="M188" s="26"/>
      <c r="N188" s="26"/>
      <c r="O188" s="26"/>
      <c r="P188" s="26"/>
      <c r="Q188" s="26"/>
      <c r="R188" s="26"/>
      <c r="S188" s="26"/>
      <c r="T188" s="26"/>
      <c r="U188" s="26"/>
      <c r="V188" s="26"/>
      <c r="W188" s="26"/>
      <c r="X188" s="26"/>
      <c r="Y188" s="26"/>
      <c r="Z188" s="26"/>
      <c r="AA188" s="26"/>
    </row>
    <row r="189">
      <c r="A189" s="12"/>
      <c r="B189" s="13"/>
      <c r="C189" s="13"/>
      <c r="D189" s="14"/>
      <c r="E189" s="130"/>
      <c r="F189" s="16"/>
      <c r="G189" s="18"/>
      <c r="H189" s="131"/>
      <c r="I189" s="18"/>
      <c r="J189" s="22"/>
      <c r="K189" s="108"/>
      <c r="L189" s="26"/>
      <c r="M189" s="26"/>
      <c r="N189" s="26"/>
      <c r="O189" s="26"/>
      <c r="P189" s="26"/>
      <c r="Q189" s="26"/>
      <c r="R189" s="26"/>
      <c r="S189" s="26"/>
      <c r="T189" s="26"/>
      <c r="U189" s="26"/>
      <c r="V189" s="26"/>
      <c r="W189" s="26"/>
      <c r="X189" s="26"/>
      <c r="Y189" s="26"/>
      <c r="Z189" s="26"/>
      <c r="AA189" s="26"/>
    </row>
    <row r="190">
      <c r="A190" s="12"/>
      <c r="B190" s="13"/>
      <c r="C190" s="13"/>
      <c r="D190" s="14"/>
      <c r="E190" s="130"/>
      <c r="F190" s="16"/>
      <c r="G190" s="18"/>
      <c r="H190" s="131"/>
      <c r="I190" s="18"/>
      <c r="J190" s="22"/>
      <c r="K190" s="108"/>
      <c r="L190" s="26"/>
      <c r="M190" s="26"/>
      <c r="N190" s="26"/>
      <c r="O190" s="26"/>
      <c r="P190" s="26"/>
      <c r="Q190" s="26"/>
      <c r="R190" s="26"/>
      <c r="S190" s="26"/>
      <c r="T190" s="26"/>
      <c r="U190" s="26"/>
      <c r="V190" s="26"/>
      <c r="W190" s="26"/>
      <c r="X190" s="26"/>
      <c r="Y190" s="26"/>
      <c r="Z190" s="26"/>
      <c r="AA190" s="26"/>
    </row>
    <row r="191">
      <c r="A191" s="12"/>
      <c r="B191" s="13"/>
      <c r="C191" s="13"/>
      <c r="D191" s="14"/>
      <c r="E191" s="130"/>
      <c r="F191" s="16"/>
      <c r="G191" s="18"/>
      <c r="H191" s="131"/>
      <c r="I191" s="18"/>
      <c r="J191" s="22"/>
      <c r="K191" s="108"/>
      <c r="L191" s="26"/>
      <c r="M191" s="26"/>
      <c r="N191" s="26"/>
      <c r="O191" s="26"/>
      <c r="P191" s="26"/>
      <c r="Q191" s="26"/>
      <c r="R191" s="26"/>
      <c r="S191" s="26"/>
      <c r="T191" s="26"/>
      <c r="U191" s="26"/>
      <c r="V191" s="26"/>
      <c r="W191" s="26"/>
      <c r="X191" s="26"/>
      <c r="Y191" s="26"/>
      <c r="Z191" s="26"/>
      <c r="AA191" s="26"/>
    </row>
    <row r="192">
      <c r="A192" s="12"/>
      <c r="B192" s="13"/>
      <c r="C192" s="13"/>
      <c r="D192" s="14"/>
      <c r="E192" s="130"/>
      <c r="F192" s="16"/>
      <c r="G192" s="18"/>
      <c r="H192" s="131"/>
      <c r="I192" s="18"/>
      <c r="J192" s="22"/>
      <c r="K192" s="108"/>
      <c r="L192" s="26"/>
      <c r="M192" s="26"/>
      <c r="N192" s="26"/>
      <c r="O192" s="26"/>
      <c r="P192" s="26"/>
      <c r="Q192" s="26"/>
      <c r="R192" s="26"/>
      <c r="S192" s="26"/>
      <c r="T192" s="26"/>
      <c r="U192" s="26"/>
      <c r="V192" s="26"/>
      <c r="W192" s="26"/>
      <c r="X192" s="26"/>
      <c r="Y192" s="26"/>
      <c r="Z192" s="26"/>
      <c r="AA192" s="26"/>
    </row>
    <row r="193">
      <c r="A193" s="12"/>
      <c r="B193" s="13"/>
      <c r="C193" s="13"/>
      <c r="D193" s="14"/>
      <c r="E193" s="130"/>
      <c r="F193" s="16"/>
      <c r="G193" s="18"/>
      <c r="H193" s="131"/>
      <c r="I193" s="18"/>
      <c r="J193" s="22"/>
      <c r="K193" s="108"/>
      <c r="L193" s="26"/>
      <c r="M193" s="26"/>
      <c r="N193" s="26"/>
      <c r="O193" s="26"/>
      <c r="P193" s="26"/>
      <c r="Q193" s="26"/>
      <c r="R193" s="26"/>
      <c r="S193" s="26"/>
      <c r="T193" s="26"/>
      <c r="U193" s="26"/>
      <c r="V193" s="26"/>
      <c r="W193" s="26"/>
      <c r="X193" s="26"/>
      <c r="Y193" s="26"/>
      <c r="Z193" s="26"/>
      <c r="AA193" s="26"/>
    </row>
    <row r="194">
      <c r="A194" s="12"/>
      <c r="B194" s="13"/>
      <c r="C194" s="13"/>
      <c r="D194" s="14"/>
      <c r="E194" s="130"/>
      <c r="F194" s="16"/>
      <c r="G194" s="18"/>
      <c r="H194" s="131"/>
      <c r="I194" s="18"/>
      <c r="J194" s="22"/>
      <c r="K194" s="108"/>
      <c r="L194" s="26"/>
      <c r="M194" s="26"/>
      <c r="N194" s="26"/>
      <c r="O194" s="26"/>
      <c r="P194" s="26"/>
      <c r="Q194" s="26"/>
      <c r="R194" s="26"/>
      <c r="S194" s="26"/>
      <c r="T194" s="26"/>
      <c r="U194" s="26"/>
      <c r="V194" s="26"/>
      <c r="W194" s="26"/>
      <c r="X194" s="26"/>
      <c r="Y194" s="26"/>
      <c r="Z194" s="26"/>
      <c r="AA194" s="26"/>
    </row>
    <row r="195">
      <c r="A195" s="12"/>
      <c r="B195" s="13"/>
      <c r="C195" s="13"/>
      <c r="D195" s="14"/>
      <c r="E195" s="130"/>
      <c r="F195" s="16"/>
      <c r="G195" s="18"/>
      <c r="H195" s="131"/>
      <c r="I195" s="18"/>
      <c r="J195" s="22"/>
      <c r="K195" s="108"/>
      <c r="L195" s="26"/>
      <c r="M195" s="26"/>
      <c r="N195" s="26"/>
      <c r="O195" s="26"/>
      <c r="P195" s="26"/>
      <c r="Q195" s="26"/>
      <c r="R195" s="26"/>
      <c r="S195" s="26"/>
      <c r="T195" s="26"/>
      <c r="U195" s="26"/>
      <c r="V195" s="26"/>
      <c r="W195" s="26"/>
      <c r="X195" s="26"/>
      <c r="Y195" s="26"/>
      <c r="Z195" s="26"/>
      <c r="AA195" s="26"/>
    </row>
    <row r="196">
      <c r="A196" s="12"/>
      <c r="B196" s="13"/>
      <c r="C196" s="13"/>
      <c r="D196" s="14"/>
      <c r="E196" s="130"/>
      <c r="F196" s="16"/>
      <c r="G196" s="18"/>
      <c r="H196" s="131"/>
      <c r="I196" s="18"/>
      <c r="J196" s="22"/>
      <c r="K196" s="108"/>
      <c r="L196" s="26"/>
      <c r="M196" s="26"/>
      <c r="N196" s="26"/>
      <c r="O196" s="26"/>
      <c r="P196" s="26"/>
      <c r="Q196" s="26"/>
      <c r="R196" s="26"/>
      <c r="S196" s="26"/>
      <c r="T196" s="26"/>
      <c r="U196" s="26"/>
      <c r="V196" s="26"/>
      <c r="W196" s="26"/>
      <c r="X196" s="26"/>
      <c r="Y196" s="26"/>
      <c r="Z196" s="26"/>
      <c r="AA196" s="26"/>
    </row>
    <row r="197">
      <c r="A197" s="12"/>
      <c r="B197" s="13"/>
      <c r="C197" s="13"/>
      <c r="D197" s="14"/>
      <c r="E197" s="130"/>
      <c r="F197" s="16"/>
      <c r="G197" s="18"/>
      <c r="H197" s="131"/>
      <c r="I197" s="18"/>
      <c r="J197" s="22"/>
      <c r="K197" s="108"/>
      <c r="L197" s="26"/>
      <c r="M197" s="26"/>
      <c r="N197" s="26"/>
      <c r="O197" s="26"/>
      <c r="P197" s="26"/>
      <c r="Q197" s="26"/>
      <c r="R197" s="26"/>
      <c r="S197" s="26"/>
      <c r="T197" s="26"/>
      <c r="U197" s="26"/>
      <c r="V197" s="26"/>
      <c r="W197" s="26"/>
      <c r="X197" s="26"/>
      <c r="Y197" s="26"/>
      <c r="Z197" s="26"/>
      <c r="AA197" s="26"/>
    </row>
    <row r="198">
      <c r="A198" s="12"/>
      <c r="B198" s="13"/>
      <c r="C198" s="13"/>
      <c r="D198" s="14"/>
      <c r="E198" s="130"/>
      <c r="F198" s="16"/>
      <c r="G198" s="18"/>
      <c r="H198" s="131"/>
      <c r="I198" s="18"/>
      <c r="J198" s="22"/>
      <c r="K198" s="108"/>
      <c r="L198" s="26"/>
      <c r="M198" s="26"/>
      <c r="N198" s="26"/>
      <c r="O198" s="26"/>
      <c r="P198" s="26"/>
      <c r="Q198" s="26"/>
      <c r="R198" s="26"/>
      <c r="S198" s="26"/>
      <c r="T198" s="26"/>
      <c r="U198" s="26"/>
      <c r="V198" s="26"/>
      <c r="W198" s="26"/>
      <c r="X198" s="26"/>
      <c r="Y198" s="26"/>
      <c r="Z198" s="26"/>
      <c r="AA198" s="26"/>
    </row>
    <row r="199">
      <c r="A199" s="12"/>
      <c r="B199" s="13"/>
      <c r="C199" s="13"/>
      <c r="D199" s="14"/>
      <c r="E199" s="130"/>
      <c r="F199" s="16"/>
      <c r="G199" s="18"/>
      <c r="H199" s="131"/>
      <c r="I199" s="18"/>
      <c r="J199" s="22"/>
      <c r="K199" s="108"/>
      <c r="L199" s="26"/>
      <c r="M199" s="26"/>
      <c r="N199" s="26"/>
      <c r="O199" s="26"/>
      <c r="P199" s="26"/>
      <c r="Q199" s="26"/>
      <c r="R199" s="26"/>
      <c r="S199" s="26"/>
      <c r="T199" s="26"/>
      <c r="U199" s="26"/>
      <c r="V199" s="26"/>
      <c r="W199" s="26"/>
      <c r="X199" s="26"/>
      <c r="Y199" s="26"/>
      <c r="Z199" s="26"/>
      <c r="AA199" s="26"/>
    </row>
    <row r="200">
      <c r="A200" s="12"/>
      <c r="B200" s="13"/>
      <c r="C200" s="13"/>
      <c r="D200" s="14"/>
      <c r="E200" s="130"/>
      <c r="F200" s="16"/>
      <c r="G200" s="18"/>
      <c r="H200" s="131"/>
      <c r="I200" s="18"/>
      <c r="J200" s="22"/>
      <c r="K200" s="108"/>
      <c r="L200" s="26"/>
      <c r="M200" s="26"/>
      <c r="N200" s="26"/>
      <c r="O200" s="26"/>
      <c r="P200" s="26"/>
      <c r="Q200" s="26"/>
      <c r="R200" s="26"/>
      <c r="S200" s="26"/>
      <c r="T200" s="26"/>
      <c r="U200" s="26"/>
      <c r="V200" s="26"/>
      <c r="W200" s="26"/>
      <c r="X200" s="26"/>
      <c r="Y200" s="26"/>
      <c r="Z200" s="26"/>
      <c r="AA200" s="26"/>
    </row>
    <row r="201">
      <c r="A201" s="12"/>
      <c r="B201" s="13"/>
      <c r="C201" s="13"/>
      <c r="D201" s="14"/>
      <c r="E201" s="130"/>
      <c r="F201" s="16"/>
      <c r="G201" s="18"/>
      <c r="H201" s="131"/>
      <c r="I201" s="18"/>
      <c r="J201" s="22"/>
      <c r="K201" s="108"/>
      <c r="L201" s="26"/>
      <c r="M201" s="26"/>
      <c r="N201" s="26"/>
      <c r="O201" s="26"/>
      <c r="P201" s="26"/>
      <c r="Q201" s="26"/>
      <c r="R201" s="26"/>
      <c r="S201" s="26"/>
      <c r="T201" s="26"/>
      <c r="U201" s="26"/>
      <c r="V201" s="26"/>
      <c r="W201" s="26"/>
      <c r="X201" s="26"/>
      <c r="Y201" s="26"/>
      <c r="Z201" s="26"/>
      <c r="AA201" s="26"/>
    </row>
    <row r="202">
      <c r="A202" s="12"/>
      <c r="B202" s="13"/>
      <c r="C202" s="13"/>
      <c r="D202" s="14"/>
      <c r="E202" s="130"/>
      <c r="F202" s="16"/>
      <c r="G202" s="18"/>
      <c r="H202" s="131"/>
      <c r="I202" s="18"/>
      <c r="J202" s="22"/>
      <c r="K202" s="108"/>
      <c r="L202" s="26"/>
      <c r="M202" s="26"/>
      <c r="N202" s="26"/>
      <c r="O202" s="26"/>
      <c r="P202" s="26"/>
      <c r="Q202" s="26"/>
      <c r="R202" s="26"/>
      <c r="S202" s="26"/>
      <c r="T202" s="26"/>
      <c r="U202" s="26"/>
      <c r="V202" s="26"/>
      <c r="W202" s="26"/>
      <c r="X202" s="26"/>
      <c r="Y202" s="26"/>
      <c r="Z202" s="26"/>
      <c r="AA202" s="26"/>
    </row>
    <row r="203">
      <c r="A203" s="12"/>
      <c r="B203" s="13"/>
      <c r="C203" s="13"/>
      <c r="D203" s="14"/>
      <c r="E203" s="130"/>
      <c r="F203" s="16"/>
      <c r="G203" s="18"/>
      <c r="H203" s="131"/>
      <c r="I203" s="18"/>
      <c r="J203" s="22"/>
      <c r="K203" s="108"/>
      <c r="L203" s="26"/>
      <c r="M203" s="26"/>
      <c r="N203" s="26"/>
      <c r="O203" s="26"/>
      <c r="P203" s="26"/>
      <c r="Q203" s="26"/>
      <c r="R203" s="26"/>
      <c r="S203" s="26"/>
      <c r="T203" s="26"/>
      <c r="U203" s="26"/>
      <c r="V203" s="26"/>
      <c r="W203" s="26"/>
      <c r="X203" s="26"/>
      <c r="Y203" s="26"/>
      <c r="Z203" s="26"/>
      <c r="AA203" s="26"/>
    </row>
    <row r="204">
      <c r="A204" s="12"/>
      <c r="B204" s="13"/>
      <c r="C204" s="13"/>
      <c r="D204" s="14"/>
      <c r="E204" s="130"/>
      <c r="F204" s="16"/>
      <c r="G204" s="18"/>
      <c r="H204" s="131"/>
      <c r="I204" s="18"/>
      <c r="J204" s="22"/>
      <c r="K204" s="108"/>
      <c r="L204" s="26"/>
      <c r="M204" s="26"/>
      <c r="N204" s="26"/>
      <c r="O204" s="26"/>
      <c r="P204" s="26"/>
      <c r="Q204" s="26"/>
      <c r="R204" s="26"/>
      <c r="S204" s="26"/>
      <c r="T204" s="26"/>
      <c r="U204" s="26"/>
      <c r="V204" s="26"/>
      <c r="W204" s="26"/>
      <c r="X204" s="26"/>
      <c r="Y204" s="26"/>
      <c r="Z204" s="26"/>
      <c r="AA204" s="26"/>
    </row>
    <row r="205">
      <c r="A205" s="12"/>
      <c r="B205" s="13"/>
      <c r="C205" s="13"/>
      <c r="D205" s="14"/>
      <c r="E205" s="130"/>
      <c r="F205" s="16"/>
      <c r="G205" s="18"/>
      <c r="H205" s="131"/>
      <c r="I205" s="18"/>
      <c r="J205" s="22"/>
      <c r="K205" s="108"/>
      <c r="L205" s="26"/>
      <c r="M205" s="26"/>
      <c r="N205" s="26"/>
      <c r="O205" s="26"/>
      <c r="P205" s="26"/>
      <c r="Q205" s="26"/>
      <c r="R205" s="26"/>
      <c r="S205" s="26"/>
      <c r="T205" s="26"/>
      <c r="U205" s="26"/>
      <c r="V205" s="26"/>
      <c r="W205" s="26"/>
      <c r="X205" s="26"/>
      <c r="Y205" s="26"/>
      <c r="Z205" s="26"/>
      <c r="AA205" s="26"/>
    </row>
    <row r="206">
      <c r="A206" s="12"/>
      <c r="B206" s="13"/>
      <c r="C206" s="13"/>
      <c r="D206" s="14"/>
      <c r="E206" s="130"/>
      <c r="F206" s="16"/>
      <c r="G206" s="18"/>
      <c r="H206" s="131"/>
      <c r="I206" s="18"/>
      <c r="J206" s="22"/>
      <c r="K206" s="108"/>
      <c r="L206" s="26"/>
      <c r="M206" s="26"/>
      <c r="N206" s="26"/>
      <c r="O206" s="26"/>
      <c r="P206" s="26"/>
      <c r="Q206" s="26"/>
      <c r="R206" s="26"/>
      <c r="S206" s="26"/>
      <c r="T206" s="26"/>
      <c r="U206" s="26"/>
      <c r="V206" s="26"/>
      <c r="W206" s="26"/>
      <c r="X206" s="26"/>
      <c r="Y206" s="26"/>
      <c r="Z206" s="26"/>
      <c r="AA206" s="26"/>
    </row>
    <row r="207">
      <c r="A207" s="12"/>
      <c r="B207" s="13"/>
      <c r="C207" s="13"/>
      <c r="D207" s="14"/>
      <c r="E207" s="130"/>
      <c r="F207" s="16"/>
      <c r="G207" s="18"/>
      <c r="H207" s="131"/>
      <c r="I207" s="18"/>
      <c r="J207" s="22"/>
      <c r="K207" s="108"/>
      <c r="L207" s="26"/>
      <c r="M207" s="26"/>
      <c r="N207" s="26"/>
      <c r="O207" s="26"/>
      <c r="P207" s="26"/>
      <c r="Q207" s="26"/>
      <c r="R207" s="26"/>
      <c r="S207" s="26"/>
      <c r="T207" s="26"/>
      <c r="U207" s="26"/>
      <c r="V207" s="26"/>
      <c r="W207" s="26"/>
      <c r="X207" s="26"/>
      <c r="Y207" s="26"/>
      <c r="Z207" s="26"/>
      <c r="AA207" s="26"/>
    </row>
    <row r="208">
      <c r="A208" s="12"/>
      <c r="B208" s="13"/>
      <c r="C208" s="13"/>
      <c r="D208" s="14"/>
      <c r="E208" s="130"/>
      <c r="F208" s="16"/>
      <c r="G208" s="18"/>
      <c r="H208" s="131"/>
      <c r="I208" s="18"/>
      <c r="J208" s="22"/>
      <c r="K208" s="108"/>
      <c r="L208" s="26"/>
      <c r="M208" s="26"/>
      <c r="N208" s="26"/>
      <c r="O208" s="26"/>
      <c r="P208" s="26"/>
      <c r="Q208" s="26"/>
      <c r="R208" s="26"/>
      <c r="S208" s="26"/>
      <c r="T208" s="26"/>
      <c r="U208" s="26"/>
      <c r="V208" s="26"/>
      <c r="W208" s="26"/>
      <c r="X208" s="26"/>
      <c r="Y208" s="26"/>
      <c r="Z208" s="26"/>
      <c r="AA208" s="26"/>
    </row>
    <row r="209">
      <c r="A209" s="12"/>
      <c r="B209" s="13"/>
      <c r="C209" s="13"/>
      <c r="D209" s="14"/>
      <c r="E209" s="130"/>
      <c r="F209" s="16"/>
      <c r="G209" s="18"/>
      <c r="H209" s="131"/>
      <c r="I209" s="18"/>
      <c r="J209" s="22"/>
      <c r="K209" s="108"/>
      <c r="L209" s="26"/>
      <c r="M209" s="26"/>
      <c r="N209" s="26"/>
      <c r="O209" s="26"/>
      <c r="P209" s="26"/>
      <c r="Q209" s="26"/>
      <c r="R209" s="26"/>
      <c r="S209" s="26"/>
      <c r="T209" s="26"/>
      <c r="U209" s="26"/>
      <c r="V209" s="26"/>
      <c r="W209" s="26"/>
      <c r="X209" s="26"/>
      <c r="Y209" s="26"/>
      <c r="Z209" s="26"/>
      <c r="AA209" s="26"/>
    </row>
    <row r="210">
      <c r="A210" s="12"/>
      <c r="B210" s="13"/>
      <c r="C210" s="13"/>
      <c r="D210" s="14"/>
      <c r="E210" s="130"/>
      <c r="F210" s="16"/>
      <c r="G210" s="18"/>
      <c r="H210" s="131"/>
      <c r="I210" s="18"/>
      <c r="J210" s="22"/>
      <c r="K210" s="108"/>
      <c r="L210" s="26"/>
      <c r="M210" s="26"/>
      <c r="N210" s="26"/>
      <c r="O210" s="26"/>
      <c r="P210" s="26"/>
      <c r="Q210" s="26"/>
      <c r="R210" s="26"/>
      <c r="S210" s="26"/>
      <c r="T210" s="26"/>
      <c r="U210" s="26"/>
      <c r="V210" s="26"/>
      <c r="W210" s="26"/>
      <c r="X210" s="26"/>
      <c r="Y210" s="26"/>
      <c r="Z210" s="26"/>
      <c r="AA210" s="26"/>
    </row>
    <row r="211">
      <c r="A211" s="12"/>
      <c r="B211" s="13"/>
      <c r="C211" s="13"/>
      <c r="D211" s="14"/>
      <c r="E211" s="130"/>
      <c r="F211" s="16"/>
      <c r="G211" s="18"/>
      <c r="H211" s="131"/>
      <c r="I211" s="18"/>
      <c r="J211" s="22"/>
      <c r="K211" s="108"/>
      <c r="L211" s="26"/>
      <c r="M211" s="26"/>
      <c r="N211" s="26"/>
      <c r="O211" s="26"/>
      <c r="P211" s="26"/>
      <c r="Q211" s="26"/>
      <c r="R211" s="26"/>
      <c r="S211" s="26"/>
      <c r="T211" s="26"/>
      <c r="U211" s="26"/>
      <c r="V211" s="26"/>
      <c r="W211" s="26"/>
      <c r="X211" s="26"/>
      <c r="Y211" s="26"/>
      <c r="Z211" s="26"/>
      <c r="AA211" s="26"/>
    </row>
    <row r="212">
      <c r="A212" s="12"/>
      <c r="B212" s="13"/>
      <c r="C212" s="13"/>
      <c r="D212" s="14"/>
      <c r="E212" s="130"/>
      <c r="F212" s="16"/>
      <c r="G212" s="18"/>
      <c r="H212" s="131"/>
      <c r="I212" s="18"/>
      <c r="J212" s="22"/>
      <c r="K212" s="108"/>
      <c r="L212" s="26"/>
      <c r="M212" s="26"/>
      <c r="N212" s="26"/>
      <c r="O212" s="26"/>
      <c r="P212" s="26"/>
      <c r="Q212" s="26"/>
      <c r="R212" s="26"/>
      <c r="S212" s="26"/>
      <c r="T212" s="26"/>
      <c r="U212" s="26"/>
      <c r="V212" s="26"/>
      <c r="W212" s="26"/>
      <c r="X212" s="26"/>
      <c r="Y212" s="26"/>
      <c r="Z212" s="26"/>
      <c r="AA212" s="26"/>
    </row>
    <row r="213">
      <c r="A213" s="12"/>
      <c r="B213" s="13"/>
      <c r="C213" s="13"/>
      <c r="D213" s="14"/>
      <c r="E213" s="130"/>
      <c r="F213" s="16"/>
      <c r="G213" s="18"/>
      <c r="H213" s="131"/>
      <c r="I213" s="18"/>
      <c r="J213" s="22"/>
      <c r="K213" s="108"/>
      <c r="L213" s="26"/>
      <c r="M213" s="26"/>
      <c r="N213" s="26"/>
      <c r="O213" s="26"/>
      <c r="P213" s="26"/>
      <c r="Q213" s="26"/>
      <c r="R213" s="26"/>
      <c r="S213" s="26"/>
      <c r="T213" s="26"/>
      <c r="U213" s="26"/>
      <c r="V213" s="26"/>
      <c r="W213" s="26"/>
      <c r="X213" s="26"/>
      <c r="Y213" s="26"/>
      <c r="Z213" s="26"/>
      <c r="AA213" s="26"/>
    </row>
    <row r="214">
      <c r="A214" s="12"/>
      <c r="B214" s="13"/>
      <c r="C214" s="13"/>
      <c r="D214" s="14"/>
      <c r="E214" s="130"/>
      <c r="F214" s="16"/>
      <c r="G214" s="18"/>
      <c r="H214" s="131"/>
      <c r="I214" s="18"/>
      <c r="J214" s="22"/>
      <c r="K214" s="108"/>
      <c r="L214" s="26"/>
      <c r="M214" s="26"/>
      <c r="N214" s="26"/>
      <c r="O214" s="26"/>
      <c r="P214" s="26"/>
      <c r="Q214" s="26"/>
      <c r="R214" s="26"/>
      <c r="S214" s="26"/>
      <c r="T214" s="26"/>
      <c r="U214" s="26"/>
      <c r="V214" s="26"/>
      <c r="W214" s="26"/>
      <c r="X214" s="26"/>
      <c r="Y214" s="26"/>
      <c r="Z214" s="26"/>
      <c r="AA214" s="26"/>
    </row>
    <row r="215">
      <c r="A215" s="12"/>
      <c r="B215" s="13"/>
      <c r="C215" s="13"/>
      <c r="D215" s="14"/>
      <c r="E215" s="130"/>
      <c r="F215" s="16"/>
      <c r="G215" s="18"/>
      <c r="H215" s="131"/>
      <c r="I215" s="18"/>
      <c r="J215" s="22"/>
      <c r="K215" s="108"/>
      <c r="L215" s="26"/>
      <c r="M215" s="26"/>
      <c r="N215" s="26"/>
      <c r="O215" s="26"/>
      <c r="P215" s="26"/>
      <c r="Q215" s="26"/>
      <c r="R215" s="26"/>
      <c r="S215" s="26"/>
      <c r="T215" s="26"/>
      <c r="U215" s="26"/>
      <c r="V215" s="26"/>
      <c r="W215" s="26"/>
      <c r="X215" s="26"/>
      <c r="Y215" s="26"/>
      <c r="Z215" s="26"/>
      <c r="AA215" s="26"/>
    </row>
    <row r="216">
      <c r="A216" s="12"/>
      <c r="B216" s="13"/>
      <c r="C216" s="13"/>
      <c r="D216" s="14"/>
      <c r="E216" s="130"/>
      <c r="F216" s="16"/>
      <c r="G216" s="18"/>
      <c r="H216" s="131"/>
      <c r="I216" s="18"/>
      <c r="J216" s="22"/>
      <c r="K216" s="108"/>
      <c r="L216" s="26"/>
      <c r="M216" s="26"/>
      <c r="N216" s="26"/>
      <c r="O216" s="26"/>
      <c r="P216" s="26"/>
      <c r="Q216" s="26"/>
      <c r="R216" s="26"/>
      <c r="S216" s="26"/>
      <c r="T216" s="26"/>
      <c r="U216" s="26"/>
      <c r="V216" s="26"/>
      <c r="W216" s="26"/>
      <c r="X216" s="26"/>
      <c r="Y216" s="26"/>
      <c r="Z216" s="26"/>
      <c r="AA216" s="26"/>
    </row>
    <row r="217">
      <c r="A217" s="12"/>
      <c r="B217" s="13"/>
      <c r="C217" s="13"/>
      <c r="D217" s="14"/>
      <c r="E217" s="130"/>
      <c r="F217" s="16"/>
      <c r="G217" s="18"/>
      <c r="H217" s="131"/>
      <c r="I217" s="18"/>
      <c r="J217" s="22"/>
      <c r="K217" s="108"/>
      <c r="L217" s="26"/>
      <c r="M217" s="26"/>
      <c r="N217" s="26"/>
      <c r="O217" s="26"/>
      <c r="P217" s="26"/>
      <c r="Q217" s="26"/>
      <c r="R217" s="26"/>
      <c r="S217" s="26"/>
      <c r="T217" s="26"/>
      <c r="U217" s="26"/>
      <c r="V217" s="26"/>
      <c r="W217" s="26"/>
      <c r="X217" s="26"/>
      <c r="Y217" s="26"/>
      <c r="Z217" s="26"/>
      <c r="AA217" s="26"/>
    </row>
    <row r="218">
      <c r="A218" s="12"/>
      <c r="B218" s="13"/>
      <c r="C218" s="13"/>
      <c r="D218" s="14"/>
      <c r="E218" s="130"/>
      <c r="F218" s="16"/>
      <c r="G218" s="18"/>
      <c r="H218" s="131"/>
      <c r="I218" s="18"/>
      <c r="J218" s="22"/>
      <c r="K218" s="108"/>
      <c r="L218" s="26"/>
      <c r="M218" s="26"/>
      <c r="N218" s="26"/>
      <c r="O218" s="26"/>
      <c r="P218" s="26"/>
      <c r="Q218" s="26"/>
      <c r="R218" s="26"/>
      <c r="S218" s="26"/>
      <c r="T218" s="26"/>
      <c r="U218" s="26"/>
      <c r="V218" s="26"/>
      <c r="W218" s="26"/>
      <c r="X218" s="26"/>
      <c r="Y218" s="26"/>
      <c r="Z218" s="26"/>
      <c r="AA218" s="26"/>
    </row>
    <row r="219">
      <c r="A219" s="12"/>
      <c r="B219" s="13"/>
      <c r="C219" s="13"/>
      <c r="D219" s="14"/>
      <c r="E219" s="130"/>
      <c r="F219" s="16"/>
      <c r="G219" s="18"/>
      <c r="H219" s="131"/>
      <c r="I219" s="18"/>
      <c r="J219" s="22"/>
      <c r="K219" s="108"/>
      <c r="L219" s="26"/>
      <c r="M219" s="26"/>
      <c r="N219" s="26"/>
      <c r="O219" s="26"/>
      <c r="P219" s="26"/>
      <c r="Q219" s="26"/>
      <c r="R219" s="26"/>
      <c r="S219" s="26"/>
      <c r="T219" s="26"/>
      <c r="U219" s="26"/>
      <c r="V219" s="26"/>
      <c r="W219" s="26"/>
      <c r="X219" s="26"/>
      <c r="Y219" s="26"/>
      <c r="Z219" s="26"/>
      <c r="AA219" s="26"/>
    </row>
    <row r="220">
      <c r="A220" s="12"/>
      <c r="B220" s="13"/>
      <c r="C220" s="13"/>
      <c r="D220" s="14"/>
      <c r="E220" s="130"/>
      <c r="F220" s="16"/>
      <c r="G220" s="18"/>
      <c r="H220" s="131"/>
      <c r="I220" s="18"/>
      <c r="J220" s="22"/>
      <c r="K220" s="108"/>
      <c r="L220" s="26"/>
      <c r="M220" s="26"/>
      <c r="N220" s="26"/>
      <c r="O220" s="26"/>
      <c r="P220" s="26"/>
      <c r="Q220" s="26"/>
      <c r="R220" s="26"/>
      <c r="S220" s="26"/>
      <c r="T220" s="26"/>
      <c r="U220" s="26"/>
      <c r="V220" s="26"/>
      <c r="W220" s="26"/>
      <c r="X220" s="26"/>
      <c r="Y220" s="26"/>
      <c r="Z220" s="26"/>
      <c r="AA220" s="26"/>
    </row>
    <row r="221">
      <c r="A221" s="12"/>
      <c r="B221" s="13"/>
      <c r="C221" s="13"/>
      <c r="D221" s="14"/>
      <c r="E221" s="130"/>
      <c r="F221" s="16"/>
      <c r="G221" s="18"/>
      <c r="H221" s="131"/>
      <c r="I221" s="18"/>
      <c r="J221" s="22"/>
      <c r="K221" s="108"/>
      <c r="L221" s="26"/>
      <c r="M221" s="26"/>
      <c r="N221" s="26"/>
      <c r="O221" s="26"/>
      <c r="P221" s="26"/>
      <c r="Q221" s="26"/>
      <c r="R221" s="26"/>
      <c r="S221" s="26"/>
      <c r="T221" s="26"/>
      <c r="U221" s="26"/>
      <c r="V221" s="26"/>
      <c r="W221" s="26"/>
      <c r="X221" s="26"/>
      <c r="Y221" s="26"/>
      <c r="Z221" s="26"/>
      <c r="AA221" s="26"/>
    </row>
    <row r="222">
      <c r="A222" s="12"/>
      <c r="B222" s="13"/>
      <c r="C222" s="13"/>
      <c r="D222" s="14"/>
      <c r="E222" s="130"/>
      <c r="F222" s="16"/>
      <c r="G222" s="18"/>
      <c r="H222" s="131"/>
      <c r="I222" s="18"/>
      <c r="J222" s="22"/>
      <c r="K222" s="108"/>
      <c r="L222" s="26"/>
      <c r="M222" s="26"/>
      <c r="N222" s="26"/>
      <c r="O222" s="26"/>
      <c r="P222" s="26"/>
      <c r="Q222" s="26"/>
      <c r="R222" s="26"/>
      <c r="S222" s="26"/>
      <c r="T222" s="26"/>
      <c r="U222" s="26"/>
      <c r="V222" s="26"/>
      <c r="W222" s="26"/>
      <c r="X222" s="26"/>
      <c r="Y222" s="26"/>
      <c r="Z222" s="26"/>
      <c r="AA222" s="26"/>
    </row>
    <row r="223">
      <c r="A223" s="12"/>
      <c r="B223" s="13"/>
      <c r="C223" s="13"/>
      <c r="D223" s="14"/>
      <c r="E223" s="130"/>
      <c r="F223" s="16"/>
      <c r="G223" s="18"/>
      <c r="H223" s="131"/>
      <c r="I223" s="18"/>
      <c r="J223" s="22"/>
      <c r="K223" s="108"/>
      <c r="L223" s="26"/>
      <c r="M223" s="26"/>
      <c r="N223" s="26"/>
      <c r="O223" s="26"/>
      <c r="P223" s="26"/>
      <c r="Q223" s="26"/>
      <c r="R223" s="26"/>
      <c r="S223" s="26"/>
      <c r="T223" s="26"/>
      <c r="U223" s="26"/>
      <c r="V223" s="26"/>
      <c r="W223" s="26"/>
      <c r="X223" s="26"/>
      <c r="Y223" s="26"/>
      <c r="Z223" s="26"/>
      <c r="AA223" s="26"/>
    </row>
    <row r="224">
      <c r="A224" s="12"/>
      <c r="B224" s="13"/>
      <c r="C224" s="13"/>
      <c r="D224" s="14"/>
      <c r="E224" s="130"/>
      <c r="F224" s="16"/>
      <c r="G224" s="18"/>
      <c r="H224" s="131"/>
      <c r="I224" s="18"/>
      <c r="J224" s="22"/>
      <c r="K224" s="108"/>
      <c r="L224" s="26"/>
      <c r="M224" s="26"/>
      <c r="N224" s="26"/>
      <c r="O224" s="26"/>
      <c r="P224" s="26"/>
      <c r="Q224" s="26"/>
      <c r="R224" s="26"/>
      <c r="S224" s="26"/>
      <c r="T224" s="26"/>
      <c r="U224" s="26"/>
      <c r="V224" s="26"/>
      <c r="W224" s="26"/>
      <c r="X224" s="26"/>
      <c r="Y224" s="26"/>
      <c r="Z224" s="26"/>
      <c r="AA224" s="26"/>
    </row>
    <row r="225">
      <c r="A225" s="12"/>
      <c r="B225" s="13"/>
      <c r="C225" s="13"/>
      <c r="D225" s="14"/>
      <c r="E225" s="130"/>
      <c r="F225" s="16"/>
      <c r="G225" s="18"/>
      <c r="H225" s="131"/>
      <c r="I225" s="18"/>
      <c r="J225" s="22"/>
      <c r="K225" s="108"/>
      <c r="L225" s="26"/>
      <c r="M225" s="26"/>
      <c r="N225" s="26"/>
      <c r="O225" s="26"/>
      <c r="P225" s="26"/>
      <c r="Q225" s="26"/>
      <c r="R225" s="26"/>
      <c r="S225" s="26"/>
      <c r="T225" s="26"/>
      <c r="U225" s="26"/>
      <c r="V225" s="26"/>
      <c r="W225" s="26"/>
      <c r="X225" s="26"/>
      <c r="Y225" s="26"/>
      <c r="Z225" s="26"/>
      <c r="AA225" s="26"/>
    </row>
    <row r="226">
      <c r="A226" s="12"/>
      <c r="B226" s="13"/>
      <c r="C226" s="13"/>
      <c r="D226" s="14"/>
      <c r="E226" s="130"/>
      <c r="F226" s="16"/>
      <c r="G226" s="18"/>
      <c r="H226" s="131"/>
      <c r="I226" s="18"/>
      <c r="J226" s="22"/>
      <c r="K226" s="108"/>
      <c r="L226" s="26"/>
      <c r="M226" s="26"/>
      <c r="N226" s="26"/>
      <c r="O226" s="26"/>
      <c r="P226" s="26"/>
      <c r="Q226" s="26"/>
      <c r="R226" s="26"/>
      <c r="S226" s="26"/>
      <c r="T226" s="26"/>
      <c r="U226" s="26"/>
      <c r="V226" s="26"/>
      <c r="W226" s="26"/>
      <c r="X226" s="26"/>
      <c r="Y226" s="26"/>
      <c r="Z226" s="26"/>
      <c r="AA226" s="26"/>
    </row>
    <row r="227">
      <c r="A227" s="12"/>
      <c r="B227" s="13"/>
      <c r="C227" s="13"/>
      <c r="D227" s="14"/>
      <c r="E227" s="130"/>
      <c r="F227" s="16"/>
      <c r="G227" s="18"/>
      <c r="H227" s="131"/>
      <c r="I227" s="18"/>
      <c r="J227" s="22"/>
      <c r="K227" s="108"/>
      <c r="L227" s="26"/>
      <c r="M227" s="26"/>
      <c r="N227" s="26"/>
      <c r="O227" s="26"/>
      <c r="P227" s="26"/>
      <c r="Q227" s="26"/>
      <c r="R227" s="26"/>
      <c r="S227" s="26"/>
      <c r="T227" s="26"/>
      <c r="U227" s="26"/>
      <c r="V227" s="26"/>
      <c r="W227" s="26"/>
      <c r="X227" s="26"/>
      <c r="Y227" s="26"/>
      <c r="Z227" s="26"/>
      <c r="AA227" s="26"/>
    </row>
    <row r="228">
      <c r="A228" s="12"/>
      <c r="B228" s="13"/>
      <c r="C228" s="13"/>
      <c r="D228" s="14"/>
      <c r="E228" s="130"/>
      <c r="F228" s="16"/>
      <c r="G228" s="18"/>
      <c r="H228" s="131"/>
      <c r="I228" s="18"/>
      <c r="J228" s="22"/>
      <c r="K228" s="108"/>
      <c r="L228" s="26"/>
      <c r="M228" s="26"/>
      <c r="N228" s="26"/>
      <c r="O228" s="26"/>
      <c r="P228" s="26"/>
      <c r="Q228" s="26"/>
      <c r="R228" s="26"/>
      <c r="S228" s="26"/>
      <c r="T228" s="26"/>
      <c r="U228" s="26"/>
      <c r="V228" s="26"/>
      <c r="W228" s="26"/>
      <c r="X228" s="26"/>
      <c r="Y228" s="26"/>
      <c r="Z228" s="26"/>
      <c r="AA228" s="26"/>
    </row>
    <row r="229">
      <c r="A229" s="12"/>
      <c r="B229" s="13"/>
      <c r="C229" s="13"/>
      <c r="D229" s="14"/>
      <c r="E229" s="130"/>
      <c r="F229" s="16"/>
      <c r="G229" s="18"/>
      <c r="H229" s="131"/>
      <c r="I229" s="18"/>
      <c r="J229" s="22"/>
      <c r="K229" s="108"/>
      <c r="L229" s="26"/>
      <c r="M229" s="26"/>
      <c r="N229" s="26"/>
      <c r="O229" s="26"/>
      <c r="P229" s="26"/>
      <c r="Q229" s="26"/>
      <c r="R229" s="26"/>
      <c r="S229" s="26"/>
      <c r="T229" s="26"/>
      <c r="U229" s="26"/>
      <c r="V229" s="26"/>
      <c r="W229" s="26"/>
      <c r="X229" s="26"/>
      <c r="Y229" s="26"/>
      <c r="Z229" s="26"/>
      <c r="AA229" s="26"/>
    </row>
    <row r="230">
      <c r="A230" s="12"/>
      <c r="B230" s="13"/>
      <c r="C230" s="13"/>
      <c r="D230" s="14"/>
      <c r="E230" s="130"/>
      <c r="F230" s="16"/>
      <c r="G230" s="18"/>
      <c r="H230" s="131"/>
      <c r="I230" s="18"/>
      <c r="J230" s="22"/>
      <c r="K230" s="108"/>
      <c r="L230" s="26"/>
      <c r="M230" s="26"/>
      <c r="N230" s="26"/>
      <c r="O230" s="26"/>
      <c r="P230" s="26"/>
      <c r="Q230" s="26"/>
      <c r="R230" s="26"/>
      <c r="S230" s="26"/>
      <c r="T230" s="26"/>
      <c r="U230" s="26"/>
      <c r="V230" s="26"/>
      <c r="W230" s="26"/>
      <c r="X230" s="26"/>
      <c r="Y230" s="26"/>
      <c r="Z230" s="26"/>
      <c r="AA230" s="26"/>
    </row>
    <row r="231">
      <c r="A231" s="12"/>
      <c r="B231" s="13"/>
      <c r="C231" s="13"/>
      <c r="D231" s="14"/>
      <c r="E231" s="130"/>
      <c r="F231" s="16"/>
      <c r="G231" s="18"/>
      <c r="H231" s="131"/>
      <c r="I231" s="18"/>
      <c r="J231" s="22"/>
      <c r="K231" s="108"/>
      <c r="L231" s="26"/>
      <c r="M231" s="26"/>
      <c r="N231" s="26"/>
      <c r="O231" s="26"/>
      <c r="P231" s="26"/>
      <c r="Q231" s="26"/>
      <c r="R231" s="26"/>
      <c r="S231" s="26"/>
      <c r="T231" s="26"/>
      <c r="U231" s="26"/>
      <c r="V231" s="26"/>
      <c r="W231" s="26"/>
      <c r="X231" s="26"/>
      <c r="Y231" s="26"/>
      <c r="Z231" s="26"/>
      <c r="AA231" s="26"/>
    </row>
    <row r="232">
      <c r="A232" s="12"/>
      <c r="B232" s="13"/>
      <c r="C232" s="13"/>
      <c r="D232" s="14"/>
      <c r="E232" s="130"/>
      <c r="F232" s="16"/>
      <c r="G232" s="18"/>
      <c r="H232" s="131"/>
      <c r="I232" s="18"/>
      <c r="J232" s="22"/>
      <c r="K232" s="108"/>
      <c r="L232" s="26"/>
      <c r="M232" s="26"/>
      <c r="N232" s="26"/>
      <c r="O232" s="26"/>
      <c r="P232" s="26"/>
      <c r="Q232" s="26"/>
      <c r="R232" s="26"/>
      <c r="S232" s="26"/>
      <c r="T232" s="26"/>
      <c r="U232" s="26"/>
      <c r="V232" s="26"/>
      <c r="W232" s="26"/>
      <c r="X232" s="26"/>
      <c r="Y232" s="26"/>
      <c r="Z232" s="26"/>
      <c r="AA232" s="26"/>
    </row>
    <row r="233">
      <c r="A233" s="12"/>
      <c r="B233" s="13"/>
      <c r="C233" s="13"/>
      <c r="D233" s="14"/>
      <c r="E233" s="130"/>
      <c r="F233" s="16"/>
      <c r="G233" s="18"/>
      <c r="H233" s="131"/>
      <c r="I233" s="18"/>
      <c r="J233" s="22"/>
      <c r="K233" s="108"/>
      <c r="L233" s="26"/>
      <c r="M233" s="26"/>
      <c r="N233" s="26"/>
      <c r="O233" s="26"/>
      <c r="P233" s="26"/>
      <c r="Q233" s="26"/>
      <c r="R233" s="26"/>
      <c r="S233" s="26"/>
      <c r="T233" s="26"/>
      <c r="U233" s="26"/>
      <c r="V233" s="26"/>
      <c r="W233" s="26"/>
      <c r="X233" s="26"/>
      <c r="Y233" s="26"/>
      <c r="Z233" s="26"/>
      <c r="AA233" s="26"/>
    </row>
    <row r="234">
      <c r="A234" s="12"/>
      <c r="B234" s="13"/>
      <c r="C234" s="13"/>
      <c r="D234" s="14"/>
      <c r="E234" s="130"/>
      <c r="F234" s="16"/>
      <c r="G234" s="18"/>
      <c r="H234" s="131"/>
      <c r="I234" s="18"/>
      <c r="J234" s="22"/>
      <c r="K234" s="108"/>
      <c r="L234" s="26"/>
      <c r="M234" s="26"/>
      <c r="N234" s="26"/>
      <c r="O234" s="26"/>
      <c r="P234" s="26"/>
      <c r="Q234" s="26"/>
      <c r="R234" s="26"/>
      <c r="S234" s="26"/>
      <c r="T234" s="26"/>
      <c r="U234" s="26"/>
      <c r="V234" s="26"/>
      <c r="W234" s="26"/>
      <c r="X234" s="26"/>
      <c r="Y234" s="26"/>
      <c r="Z234" s="26"/>
      <c r="AA234" s="26"/>
    </row>
    <row r="235">
      <c r="A235" s="12"/>
      <c r="B235" s="13"/>
      <c r="C235" s="13"/>
      <c r="D235" s="14"/>
      <c r="E235" s="130"/>
      <c r="F235" s="16"/>
      <c r="G235" s="18"/>
      <c r="H235" s="131"/>
      <c r="I235" s="18"/>
      <c r="J235" s="22"/>
      <c r="K235" s="108"/>
      <c r="L235" s="26"/>
      <c r="M235" s="26"/>
      <c r="N235" s="26"/>
      <c r="O235" s="26"/>
      <c r="P235" s="26"/>
      <c r="Q235" s="26"/>
      <c r="R235" s="26"/>
      <c r="S235" s="26"/>
      <c r="T235" s="26"/>
      <c r="U235" s="26"/>
      <c r="V235" s="26"/>
      <c r="W235" s="26"/>
      <c r="X235" s="26"/>
      <c r="Y235" s="26"/>
      <c r="Z235" s="26"/>
      <c r="AA235" s="26"/>
    </row>
    <row r="236">
      <c r="A236" s="12"/>
      <c r="B236" s="13"/>
      <c r="C236" s="13"/>
      <c r="D236" s="14"/>
      <c r="E236" s="130"/>
      <c r="F236" s="16"/>
      <c r="G236" s="18"/>
      <c r="H236" s="131"/>
      <c r="I236" s="18"/>
      <c r="J236" s="22"/>
      <c r="K236" s="108"/>
      <c r="L236" s="26"/>
      <c r="M236" s="26"/>
      <c r="N236" s="26"/>
      <c r="O236" s="26"/>
      <c r="P236" s="26"/>
      <c r="Q236" s="26"/>
      <c r="R236" s="26"/>
      <c r="S236" s="26"/>
      <c r="T236" s="26"/>
      <c r="U236" s="26"/>
      <c r="V236" s="26"/>
      <c r="W236" s="26"/>
      <c r="X236" s="26"/>
      <c r="Y236" s="26"/>
      <c r="Z236" s="26"/>
      <c r="AA236" s="26"/>
    </row>
    <row r="237">
      <c r="A237" s="12"/>
      <c r="B237" s="13"/>
      <c r="C237" s="13"/>
      <c r="D237" s="14"/>
      <c r="E237" s="130"/>
      <c r="F237" s="16"/>
      <c r="G237" s="18"/>
      <c r="H237" s="131"/>
      <c r="I237" s="18"/>
      <c r="J237" s="22"/>
      <c r="K237" s="108"/>
      <c r="L237" s="26"/>
      <c r="M237" s="26"/>
      <c r="N237" s="26"/>
      <c r="O237" s="26"/>
      <c r="P237" s="26"/>
      <c r="Q237" s="26"/>
      <c r="R237" s="26"/>
      <c r="S237" s="26"/>
      <c r="T237" s="26"/>
      <c r="U237" s="26"/>
      <c r="V237" s="26"/>
      <c r="W237" s="26"/>
      <c r="X237" s="26"/>
      <c r="Y237" s="26"/>
      <c r="Z237" s="26"/>
      <c r="AA237" s="26"/>
    </row>
    <row r="238">
      <c r="A238" s="12"/>
      <c r="B238" s="13"/>
      <c r="C238" s="13"/>
      <c r="D238" s="14"/>
      <c r="E238" s="130"/>
      <c r="F238" s="16"/>
      <c r="G238" s="18"/>
      <c r="H238" s="131"/>
      <c r="I238" s="18"/>
      <c r="J238" s="22"/>
      <c r="K238" s="108"/>
      <c r="L238" s="26"/>
      <c r="M238" s="26"/>
      <c r="N238" s="26"/>
      <c r="O238" s="26"/>
      <c r="P238" s="26"/>
      <c r="Q238" s="26"/>
      <c r="R238" s="26"/>
      <c r="S238" s="26"/>
      <c r="T238" s="26"/>
      <c r="U238" s="26"/>
      <c r="V238" s="26"/>
      <c r="W238" s="26"/>
      <c r="X238" s="26"/>
      <c r="Y238" s="26"/>
      <c r="Z238" s="26"/>
      <c r="AA238" s="26"/>
    </row>
    <row r="239">
      <c r="A239" s="12"/>
      <c r="B239" s="13"/>
      <c r="C239" s="13"/>
      <c r="D239" s="14"/>
      <c r="E239" s="130"/>
      <c r="F239" s="16"/>
      <c r="G239" s="18"/>
      <c r="H239" s="131"/>
      <c r="I239" s="18"/>
      <c r="J239" s="22"/>
      <c r="K239" s="108"/>
      <c r="L239" s="26"/>
      <c r="M239" s="26"/>
      <c r="N239" s="26"/>
      <c r="O239" s="26"/>
      <c r="P239" s="26"/>
      <c r="Q239" s="26"/>
      <c r="R239" s="26"/>
      <c r="S239" s="26"/>
      <c r="T239" s="26"/>
      <c r="U239" s="26"/>
      <c r="V239" s="26"/>
      <c r="W239" s="26"/>
      <c r="X239" s="26"/>
      <c r="Y239" s="26"/>
      <c r="Z239" s="26"/>
      <c r="AA239" s="26"/>
    </row>
    <row r="240">
      <c r="A240" s="12"/>
      <c r="B240" s="13"/>
      <c r="C240" s="13"/>
      <c r="D240" s="14"/>
      <c r="E240" s="130"/>
      <c r="F240" s="16"/>
      <c r="G240" s="18"/>
      <c r="H240" s="131"/>
      <c r="I240" s="18"/>
      <c r="J240" s="22"/>
      <c r="K240" s="108"/>
      <c r="L240" s="26"/>
      <c r="M240" s="26"/>
      <c r="N240" s="26"/>
      <c r="O240" s="26"/>
      <c r="P240" s="26"/>
      <c r="Q240" s="26"/>
      <c r="R240" s="26"/>
      <c r="S240" s="26"/>
      <c r="T240" s="26"/>
      <c r="U240" s="26"/>
      <c r="V240" s="26"/>
      <c r="W240" s="26"/>
      <c r="X240" s="26"/>
      <c r="Y240" s="26"/>
      <c r="Z240" s="26"/>
      <c r="AA240" s="26"/>
    </row>
    <row r="241">
      <c r="A241" s="12"/>
      <c r="B241" s="13"/>
      <c r="C241" s="13"/>
      <c r="D241" s="14"/>
      <c r="E241" s="130"/>
      <c r="F241" s="16"/>
      <c r="G241" s="18"/>
      <c r="H241" s="131"/>
      <c r="I241" s="18"/>
      <c r="J241" s="22"/>
      <c r="K241" s="108"/>
      <c r="L241" s="26"/>
      <c r="M241" s="26"/>
      <c r="N241" s="26"/>
      <c r="O241" s="26"/>
      <c r="P241" s="26"/>
      <c r="Q241" s="26"/>
      <c r="R241" s="26"/>
      <c r="S241" s="26"/>
      <c r="T241" s="26"/>
      <c r="U241" s="26"/>
      <c r="V241" s="26"/>
      <c r="W241" s="26"/>
      <c r="X241" s="26"/>
      <c r="Y241" s="26"/>
      <c r="Z241" s="26"/>
      <c r="AA241" s="26"/>
    </row>
    <row r="242">
      <c r="A242" s="12"/>
      <c r="B242" s="13"/>
      <c r="C242" s="13"/>
      <c r="D242" s="14"/>
      <c r="E242" s="130"/>
      <c r="F242" s="16"/>
      <c r="G242" s="18"/>
      <c r="H242" s="131"/>
      <c r="I242" s="18"/>
      <c r="J242" s="22"/>
      <c r="K242" s="108"/>
      <c r="L242" s="26"/>
      <c r="M242" s="26"/>
      <c r="N242" s="26"/>
      <c r="O242" s="26"/>
      <c r="P242" s="26"/>
      <c r="Q242" s="26"/>
      <c r="R242" s="26"/>
      <c r="S242" s="26"/>
      <c r="T242" s="26"/>
      <c r="U242" s="26"/>
      <c r="V242" s="26"/>
      <c r="W242" s="26"/>
      <c r="X242" s="26"/>
      <c r="Y242" s="26"/>
      <c r="Z242" s="26"/>
      <c r="AA242" s="26"/>
    </row>
    <row r="243">
      <c r="A243" s="12"/>
      <c r="B243" s="13"/>
      <c r="C243" s="13"/>
      <c r="D243" s="14"/>
      <c r="E243" s="130"/>
      <c r="F243" s="16"/>
      <c r="G243" s="18"/>
      <c r="H243" s="131"/>
      <c r="I243" s="18"/>
      <c r="J243" s="22"/>
      <c r="K243" s="108"/>
      <c r="L243" s="26"/>
      <c r="M243" s="26"/>
      <c r="N243" s="26"/>
      <c r="O243" s="26"/>
      <c r="P243" s="26"/>
      <c r="Q243" s="26"/>
      <c r="R243" s="26"/>
      <c r="S243" s="26"/>
      <c r="T243" s="26"/>
      <c r="U243" s="26"/>
      <c r="V243" s="26"/>
      <c r="W243" s="26"/>
      <c r="X243" s="26"/>
      <c r="Y243" s="26"/>
      <c r="Z243" s="26"/>
      <c r="AA243" s="26"/>
    </row>
    <row r="244">
      <c r="A244" s="12"/>
      <c r="B244" s="13"/>
      <c r="C244" s="13"/>
      <c r="D244" s="14"/>
      <c r="E244" s="130"/>
      <c r="F244" s="16"/>
      <c r="G244" s="18"/>
      <c r="H244" s="131"/>
      <c r="I244" s="18"/>
      <c r="J244" s="22"/>
      <c r="K244" s="108"/>
      <c r="L244" s="26"/>
      <c r="M244" s="26"/>
      <c r="N244" s="26"/>
      <c r="O244" s="26"/>
      <c r="P244" s="26"/>
      <c r="Q244" s="26"/>
      <c r="R244" s="26"/>
      <c r="S244" s="26"/>
      <c r="T244" s="26"/>
      <c r="U244" s="26"/>
      <c r="V244" s="26"/>
      <c r="W244" s="26"/>
      <c r="X244" s="26"/>
      <c r="Y244" s="26"/>
      <c r="Z244" s="26"/>
      <c r="AA244" s="26"/>
    </row>
    <row r="245">
      <c r="A245" s="12"/>
      <c r="B245" s="13"/>
      <c r="C245" s="13"/>
      <c r="D245" s="14"/>
      <c r="E245" s="130"/>
      <c r="F245" s="16"/>
      <c r="G245" s="18"/>
      <c r="H245" s="131"/>
      <c r="I245" s="18"/>
      <c r="J245" s="22"/>
      <c r="K245" s="108"/>
      <c r="L245" s="26"/>
      <c r="M245" s="26"/>
      <c r="N245" s="26"/>
      <c r="O245" s="26"/>
      <c r="P245" s="26"/>
      <c r="Q245" s="26"/>
      <c r="R245" s="26"/>
      <c r="S245" s="26"/>
      <c r="T245" s="26"/>
      <c r="U245" s="26"/>
      <c r="V245" s="26"/>
      <c r="W245" s="26"/>
      <c r="X245" s="26"/>
      <c r="Y245" s="26"/>
      <c r="Z245" s="26"/>
      <c r="AA245" s="26"/>
    </row>
    <row r="246">
      <c r="A246" s="12"/>
      <c r="B246" s="13"/>
      <c r="C246" s="13"/>
      <c r="D246" s="14"/>
      <c r="E246" s="130"/>
      <c r="F246" s="16"/>
      <c r="G246" s="18"/>
      <c r="H246" s="131"/>
      <c r="I246" s="18"/>
      <c r="J246" s="22"/>
      <c r="K246" s="108"/>
      <c r="L246" s="26"/>
      <c r="M246" s="26"/>
      <c r="N246" s="26"/>
      <c r="O246" s="26"/>
      <c r="P246" s="26"/>
      <c r="Q246" s="26"/>
      <c r="R246" s="26"/>
      <c r="S246" s="26"/>
      <c r="T246" s="26"/>
      <c r="U246" s="26"/>
      <c r="V246" s="26"/>
      <c r="W246" s="26"/>
      <c r="X246" s="26"/>
      <c r="Y246" s="26"/>
      <c r="Z246" s="26"/>
      <c r="AA246" s="26"/>
    </row>
    <row r="247">
      <c r="A247" s="12"/>
      <c r="B247" s="13"/>
      <c r="C247" s="13"/>
      <c r="D247" s="14"/>
      <c r="E247" s="130"/>
      <c r="F247" s="16"/>
      <c r="G247" s="18"/>
      <c r="H247" s="131"/>
      <c r="I247" s="18"/>
      <c r="J247" s="22"/>
      <c r="K247" s="108"/>
      <c r="L247" s="26"/>
      <c r="M247" s="26"/>
      <c r="N247" s="26"/>
      <c r="O247" s="26"/>
      <c r="P247" s="26"/>
      <c r="Q247" s="26"/>
      <c r="R247" s="26"/>
      <c r="S247" s="26"/>
      <c r="T247" s="26"/>
      <c r="U247" s="26"/>
      <c r="V247" s="26"/>
      <c r="W247" s="26"/>
      <c r="X247" s="26"/>
      <c r="Y247" s="26"/>
      <c r="Z247" s="26"/>
      <c r="AA247" s="26"/>
    </row>
    <row r="248">
      <c r="A248" s="12"/>
      <c r="B248" s="13"/>
      <c r="C248" s="13"/>
      <c r="D248" s="14"/>
      <c r="E248" s="130"/>
      <c r="F248" s="16"/>
      <c r="G248" s="18"/>
      <c r="H248" s="131"/>
      <c r="I248" s="18"/>
      <c r="J248" s="22"/>
      <c r="K248" s="108"/>
      <c r="L248" s="26"/>
      <c r="M248" s="26"/>
      <c r="N248" s="26"/>
      <c r="O248" s="26"/>
      <c r="P248" s="26"/>
      <c r="Q248" s="26"/>
      <c r="R248" s="26"/>
      <c r="S248" s="26"/>
      <c r="T248" s="26"/>
      <c r="U248" s="26"/>
      <c r="V248" s="26"/>
      <c r="W248" s="26"/>
      <c r="X248" s="26"/>
      <c r="Y248" s="26"/>
      <c r="Z248" s="26"/>
      <c r="AA248" s="26"/>
    </row>
    <row r="249">
      <c r="A249" s="12"/>
      <c r="B249" s="13"/>
      <c r="C249" s="13"/>
      <c r="D249" s="14"/>
      <c r="E249" s="130"/>
      <c r="F249" s="16"/>
      <c r="G249" s="18"/>
      <c r="H249" s="131"/>
      <c r="I249" s="18"/>
      <c r="J249" s="22"/>
      <c r="K249" s="108"/>
      <c r="L249" s="26"/>
      <c r="M249" s="26"/>
      <c r="N249" s="26"/>
      <c r="O249" s="26"/>
      <c r="P249" s="26"/>
      <c r="Q249" s="26"/>
      <c r="R249" s="26"/>
      <c r="S249" s="26"/>
      <c r="T249" s="26"/>
      <c r="U249" s="26"/>
      <c r="V249" s="26"/>
      <c r="W249" s="26"/>
      <c r="X249" s="26"/>
      <c r="Y249" s="26"/>
      <c r="Z249" s="26"/>
      <c r="AA249" s="26"/>
    </row>
    <row r="250">
      <c r="A250" s="12"/>
      <c r="B250" s="13"/>
      <c r="C250" s="13"/>
      <c r="D250" s="14"/>
      <c r="E250" s="130"/>
      <c r="F250" s="16"/>
      <c r="G250" s="18"/>
      <c r="H250" s="131"/>
      <c r="I250" s="18"/>
      <c r="J250" s="22"/>
      <c r="K250" s="108"/>
      <c r="L250" s="26"/>
      <c r="M250" s="26"/>
      <c r="N250" s="26"/>
      <c r="O250" s="26"/>
      <c r="P250" s="26"/>
      <c r="Q250" s="26"/>
      <c r="R250" s="26"/>
      <c r="S250" s="26"/>
      <c r="T250" s="26"/>
      <c r="U250" s="26"/>
      <c r="V250" s="26"/>
      <c r="W250" s="26"/>
      <c r="X250" s="26"/>
      <c r="Y250" s="26"/>
      <c r="Z250" s="26"/>
      <c r="AA250" s="26"/>
    </row>
    <row r="251">
      <c r="A251" s="12"/>
      <c r="B251" s="13"/>
      <c r="C251" s="13"/>
      <c r="D251" s="14"/>
      <c r="E251" s="130"/>
      <c r="F251" s="16"/>
      <c r="G251" s="18"/>
      <c r="H251" s="131"/>
      <c r="I251" s="18"/>
      <c r="J251" s="22"/>
      <c r="K251" s="108"/>
      <c r="L251" s="26"/>
      <c r="M251" s="26"/>
      <c r="N251" s="26"/>
      <c r="O251" s="26"/>
      <c r="P251" s="26"/>
      <c r="Q251" s="26"/>
      <c r="R251" s="26"/>
      <c r="S251" s="26"/>
      <c r="T251" s="26"/>
      <c r="U251" s="26"/>
      <c r="V251" s="26"/>
      <c r="W251" s="26"/>
      <c r="X251" s="26"/>
      <c r="Y251" s="26"/>
      <c r="Z251" s="26"/>
      <c r="AA251" s="26"/>
    </row>
    <row r="252">
      <c r="A252" s="12"/>
      <c r="B252" s="13"/>
      <c r="C252" s="13"/>
      <c r="D252" s="14"/>
      <c r="E252" s="130"/>
      <c r="F252" s="16"/>
      <c r="G252" s="18"/>
      <c r="H252" s="131"/>
      <c r="I252" s="18"/>
      <c r="J252" s="22"/>
      <c r="K252" s="108"/>
      <c r="L252" s="26"/>
      <c r="M252" s="26"/>
      <c r="N252" s="26"/>
      <c r="O252" s="26"/>
      <c r="P252" s="26"/>
      <c r="Q252" s="26"/>
      <c r="R252" s="26"/>
      <c r="S252" s="26"/>
      <c r="T252" s="26"/>
      <c r="U252" s="26"/>
      <c r="V252" s="26"/>
      <c r="W252" s="26"/>
      <c r="X252" s="26"/>
      <c r="Y252" s="26"/>
      <c r="Z252" s="26"/>
      <c r="AA252" s="26"/>
    </row>
    <row r="253">
      <c r="A253" s="12"/>
      <c r="B253" s="13"/>
      <c r="C253" s="13"/>
      <c r="D253" s="14"/>
      <c r="E253" s="130"/>
      <c r="F253" s="16"/>
      <c r="G253" s="18"/>
      <c r="H253" s="131"/>
      <c r="I253" s="18"/>
      <c r="J253" s="22"/>
      <c r="K253" s="108"/>
      <c r="L253" s="26"/>
      <c r="M253" s="26"/>
      <c r="N253" s="26"/>
      <c r="O253" s="26"/>
      <c r="P253" s="26"/>
      <c r="Q253" s="26"/>
      <c r="R253" s="26"/>
      <c r="S253" s="26"/>
      <c r="T253" s="26"/>
      <c r="U253" s="26"/>
      <c r="V253" s="26"/>
      <c r="W253" s="26"/>
      <c r="X253" s="26"/>
      <c r="Y253" s="26"/>
      <c r="Z253" s="26"/>
      <c r="AA253" s="26"/>
    </row>
    <row r="254">
      <c r="A254" s="12"/>
      <c r="B254" s="13"/>
      <c r="C254" s="13"/>
      <c r="D254" s="14"/>
      <c r="E254" s="130"/>
      <c r="F254" s="16"/>
      <c r="G254" s="18"/>
      <c r="H254" s="131"/>
      <c r="I254" s="18"/>
      <c r="J254" s="22"/>
      <c r="K254" s="108"/>
      <c r="L254" s="26"/>
      <c r="M254" s="26"/>
      <c r="N254" s="26"/>
      <c r="O254" s="26"/>
      <c r="P254" s="26"/>
      <c r="Q254" s="26"/>
      <c r="R254" s="26"/>
      <c r="S254" s="26"/>
      <c r="T254" s="26"/>
      <c r="U254" s="26"/>
      <c r="V254" s="26"/>
      <c r="W254" s="26"/>
      <c r="X254" s="26"/>
      <c r="Y254" s="26"/>
      <c r="Z254" s="26"/>
      <c r="AA254" s="26"/>
    </row>
    <row r="255">
      <c r="A255" s="12"/>
      <c r="B255" s="13"/>
      <c r="C255" s="13"/>
      <c r="D255" s="14"/>
      <c r="E255" s="130"/>
      <c r="F255" s="16"/>
      <c r="G255" s="18"/>
      <c r="H255" s="131"/>
      <c r="I255" s="18"/>
      <c r="J255" s="22"/>
      <c r="K255" s="108"/>
      <c r="L255" s="26"/>
      <c r="M255" s="26"/>
      <c r="N255" s="26"/>
      <c r="O255" s="26"/>
      <c r="P255" s="26"/>
      <c r="Q255" s="26"/>
      <c r="R255" s="26"/>
      <c r="S255" s="26"/>
      <c r="T255" s="26"/>
      <c r="U255" s="26"/>
      <c r="V255" s="26"/>
      <c r="W255" s="26"/>
      <c r="X255" s="26"/>
      <c r="Y255" s="26"/>
      <c r="Z255" s="26"/>
      <c r="AA255" s="26"/>
    </row>
    <row r="256">
      <c r="A256" s="12"/>
      <c r="B256" s="13"/>
      <c r="C256" s="13"/>
      <c r="D256" s="14"/>
      <c r="E256" s="130"/>
      <c r="F256" s="16"/>
      <c r="G256" s="18"/>
      <c r="H256" s="131"/>
      <c r="I256" s="18"/>
      <c r="J256" s="22"/>
      <c r="K256" s="108"/>
      <c r="L256" s="26"/>
      <c r="M256" s="26"/>
      <c r="N256" s="26"/>
      <c r="O256" s="26"/>
      <c r="P256" s="26"/>
      <c r="Q256" s="26"/>
      <c r="R256" s="26"/>
      <c r="S256" s="26"/>
      <c r="T256" s="26"/>
      <c r="U256" s="26"/>
      <c r="V256" s="26"/>
      <c r="W256" s="26"/>
      <c r="X256" s="26"/>
      <c r="Y256" s="26"/>
      <c r="Z256" s="26"/>
      <c r="AA256" s="26"/>
    </row>
    <row r="257">
      <c r="A257" s="12"/>
      <c r="B257" s="13"/>
      <c r="C257" s="13"/>
      <c r="D257" s="14"/>
      <c r="E257" s="130"/>
      <c r="F257" s="16"/>
      <c r="G257" s="18"/>
      <c r="H257" s="131"/>
      <c r="I257" s="18"/>
      <c r="J257" s="22"/>
      <c r="K257" s="108"/>
      <c r="L257" s="26"/>
      <c r="M257" s="26"/>
      <c r="N257" s="26"/>
      <c r="O257" s="26"/>
      <c r="P257" s="26"/>
      <c r="Q257" s="26"/>
      <c r="R257" s="26"/>
      <c r="S257" s="26"/>
      <c r="T257" s="26"/>
      <c r="U257" s="26"/>
      <c r="V257" s="26"/>
      <c r="W257" s="26"/>
      <c r="X257" s="26"/>
      <c r="Y257" s="26"/>
      <c r="Z257" s="26"/>
      <c r="AA257" s="26"/>
    </row>
    <row r="258">
      <c r="A258" s="12"/>
      <c r="B258" s="13"/>
      <c r="C258" s="13"/>
      <c r="D258" s="14"/>
      <c r="E258" s="130"/>
      <c r="F258" s="16"/>
      <c r="G258" s="18"/>
      <c r="H258" s="131"/>
      <c r="I258" s="18"/>
      <c r="J258" s="22"/>
      <c r="K258" s="108"/>
      <c r="L258" s="26"/>
      <c r="M258" s="26"/>
      <c r="N258" s="26"/>
      <c r="O258" s="26"/>
      <c r="P258" s="26"/>
      <c r="Q258" s="26"/>
      <c r="R258" s="26"/>
      <c r="S258" s="26"/>
      <c r="T258" s="26"/>
      <c r="U258" s="26"/>
      <c r="V258" s="26"/>
      <c r="W258" s="26"/>
      <c r="X258" s="26"/>
      <c r="Y258" s="26"/>
      <c r="Z258" s="26"/>
      <c r="AA258" s="26"/>
    </row>
    <row r="259">
      <c r="A259" s="12"/>
      <c r="B259" s="13"/>
      <c r="C259" s="13"/>
      <c r="D259" s="14"/>
      <c r="E259" s="130"/>
      <c r="F259" s="16"/>
      <c r="G259" s="18"/>
      <c r="H259" s="131"/>
      <c r="I259" s="18"/>
      <c r="J259" s="22"/>
      <c r="K259" s="108"/>
      <c r="L259" s="26"/>
      <c r="M259" s="26"/>
      <c r="N259" s="26"/>
      <c r="O259" s="26"/>
      <c r="P259" s="26"/>
      <c r="Q259" s="26"/>
      <c r="R259" s="26"/>
      <c r="S259" s="26"/>
      <c r="T259" s="26"/>
      <c r="U259" s="26"/>
      <c r="V259" s="26"/>
      <c r="W259" s="26"/>
      <c r="X259" s="26"/>
      <c r="Y259" s="26"/>
      <c r="Z259" s="26"/>
      <c r="AA259" s="26"/>
    </row>
    <row r="260">
      <c r="A260" s="12"/>
      <c r="B260" s="13"/>
      <c r="C260" s="13"/>
      <c r="D260" s="14"/>
      <c r="E260" s="130"/>
      <c r="F260" s="16"/>
      <c r="G260" s="18"/>
      <c r="H260" s="131"/>
      <c r="I260" s="18"/>
      <c r="J260" s="22"/>
      <c r="K260" s="108"/>
      <c r="L260" s="26"/>
      <c r="M260" s="26"/>
      <c r="N260" s="26"/>
      <c r="O260" s="26"/>
      <c r="P260" s="26"/>
      <c r="Q260" s="26"/>
      <c r="R260" s="26"/>
      <c r="S260" s="26"/>
      <c r="T260" s="26"/>
      <c r="U260" s="26"/>
      <c r="V260" s="26"/>
      <c r="W260" s="26"/>
      <c r="X260" s="26"/>
      <c r="Y260" s="26"/>
      <c r="Z260" s="26"/>
      <c r="AA260" s="26"/>
    </row>
    <row r="261">
      <c r="A261" s="12"/>
      <c r="B261" s="13"/>
      <c r="C261" s="13"/>
      <c r="D261" s="14"/>
      <c r="E261" s="130"/>
      <c r="F261" s="16"/>
      <c r="G261" s="18"/>
      <c r="H261" s="131"/>
      <c r="I261" s="18"/>
      <c r="J261" s="22"/>
      <c r="K261" s="108"/>
      <c r="L261" s="26"/>
      <c r="M261" s="26"/>
      <c r="N261" s="26"/>
      <c r="O261" s="26"/>
      <c r="P261" s="26"/>
      <c r="Q261" s="26"/>
      <c r="R261" s="26"/>
      <c r="S261" s="26"/>
      <c r="T261" s="26"/>
      <c r="U261" s="26"/>
      <c r="V261" s="26"/>
      <c r="W261" s="26"/>
      <c r="X261" s="26"/>
      <c r="Y261" s="26"/>
      <c r="Z261" s="26"/>
      <c r="AA261" s="26"/>
    </row>
    <row r="262">
      <c r="A262" s="12"/>
      <c r="B262" s="13"/>
      <c r="C262" s="13"/>
      <c r="D262" s="14"/>
      <c r="E262" s="130"/>
      <c r="F262" s="16"/>
      <c r="G262" s="18"/>
      <c r="H262" s="131"/>
      <c r="I262" s="18"/>
      <c r="J262" s="22"/>
      <c r="K262" s="108"/>
      <c r="L262" s="26"/>
      <c r="M262" s="26"/>
      <c r="N262" s="26"/>
      <c r="O262" s="26"/>
      <c r="P262" s="26"/>
      <c r="Q262" s="26"/>
      <c r="R262" s="26"/>
      <c r="S262" s="26"/>
      <c r="T262" s="26"/>
      <c r="U262" s="26"/>
      <c r="V262" s="26"/>
      <c r="W262" s="26"/>
      <c r="X262" s="26"/>
      <c r="Y262" s="26"/>
      <c r="Z262" s="26"/>
      <c r="AA262" s="26"/>
    </row>
    <row r="263">
      <c r="A263" s="12"/>
      <c r="B263" s="13"/>
      <c r="C263" s="13"/>
      <c r="D263" s="14"/>
      <c r="E263" s="130"/>
      <c r="F263" s="16"/>
      <c r="G263" s="18"/>
      <c r="H263" s="131"/>
      <c r="I263" s="18"/>
      <c r="J263" s="22"/>
      <c r="K263" s="108"/>
      <c r="L263" s="26"/>
      <c r="M263" s="26"/>
      <c r="N263" s="26"/>
      <c r="O263" s="26"/>
      <c r="P263" s="26"/>
      <c r="Q263" s="26"/>
      <c r="R263" s="26"/>
      <c r="S263" s="26"/>
      <c r="T263" s="26"/>
      <c r="U263" s="26"/>
      <c r="V263" s="26"/>
      <c r="W263" s="26"/>
      <c r="X263" s="26"/>
      <c r="Y263" s="26"/>
      <c r="Z263" s="26"/>
      <c r="AA263" s="26"/>
    </row>
    <row r="264">
      <c r="A264" s="12"/>
      <c r="B264" s="13"/>
      <c r="C264" s="13"/>
      <c r="D264" s="14"/>
      <c r="E264" s="130"/>
      <c r="F264" s="16"/>
      <c r="G264" s="18"/>
      <c r="H264" s="131"/>
      <c r="I264" s="18"/>
      <c r="J264" s="22"/>
      <c r="K264" s="108"/>
      <c r="L264" s="26"/>
      <c r="M264" s="26"/>
      <c r="N264" s="26"/>
      <c r="O264" s="26"/>
      <c r="P264" s="26"/>
      <c r="Q264" s="26"/>
      <c r="R264" s="26"/>
      <c r="S264" s="26"/>
      <c r="T264" s="26"/>
      <c r="U264" s="26"/>
      <c r="V264" s="26"/>
      <c r="W264" s="26"/>
      <c r="X264" s="26"/>
      <c r="Y264" s="26"/>
      <c r="Z264" s="26"/>
      <c r="AA264" s="26"/>
    </row>
    <row r="265">
      <c r="A265" s="12"/>
      <c r="B265" s="13"/>
      <c r="C265" s="13"/>
      <c r="D265" s="14"/>
      <c r="E265" s="130"/>
      <c r="F265" s="16"/>
      <c r="G265" s="18"/>
      <c r="H265" s="131"/>
      <c r="I265" s="18"/>
      <c r="J265" s="22"/>
      <c r="K265" s="108"/>
      <c r="L265" s="26"/>
      <c r="M265" s="26"/>
      <c r="N265" s="26"/>
      <c r="O265" s="26"/>
      <c r="P265" s="26"/>
      <c r="Q265" s="26"/>
      <c r="R265" s="26"/>
      <c r="S265" s="26"/>
      <c r="T265" s="26"/>
      <c r="U265" s="26"/>
      <c r="V265" s="26"/>
      <c r="W265" s="26"/>
      <c r="X265" s="26"/>
      <c r="Y265" s="26"/>
      <c r="Z265" s="26"/>
      <c r="AA265" s="26"/>
    </row>
    <row r="266">
      <c r="A266" s="12"/>
      <c r="B266" s="13"/>
      <c r="C266" s="13"/>
      <c r="D266" s="14"/>
      <c r="E266" s="130"/>
      <c r="F266" s="16"/>
      <c r="G266" s="18"/>
      <c r="H266" s="131"/>
      <c r="I266" s="18"/>
      <c r="J266" s="22"/>
      <c r="K266" s="108"/>
      <c r="L266" s="26"/>
      <c r="M266" s="26"/>
      <c r="N266" s="26"/>
      <c r="O266" s="26"/>
      <c r="P266" s="26"/>
      <c r="Q266" s="26"/>
      <c r="R266" s="26"/>
      <c r="S266" s="26"/>
      <c r="T266" s="26"/>
      <c r="U266" s="26"/>
      <c r="V266" s="26"/>
      <c r="W266" s="26"/>
      <c r="X266" s="26"/>
      <c r="Y266" s="26"/>
      <c r="Z266" s="26"/>
      <c r="AA266" s="26"/>
    </row>
    <row r="267">
      <c r="A267" s="12"/>
      <c r="B267" s="13"/>
      <c r="C267" s="13"/>
      <c r="D267" s="14"/>
      <c r="E267" s="130"/>
      <c r="F267" s="16"/>
      <c r="G267" s="18"/>
      <c r="H267" s="131"/>
      <c r="I267" s="18"/>
      <c r="J267" s="22"/>
      <c r="K267" s="108"/>
      <c r="L267" s="26"/>
      <c r="M267" s="26"/>
      <c r="N267" s="26"/>
      <c r="O267" s="26"/>
      <c r="P267" s="26"/>
      <c r="Q267" s="26"/>
      <c r="R267" s="26"/>
      <c r="S267" s="26"/>
      <c r="T267" s="26"/>
      <c r="U267" s="26"/>
      <c r="V267" s="26"/>
      <c r="W267" s="26"/>
      <c r="X267" s="26"/>
      <c r="Y267" s="26"/>
      <c r="Z267" s="26"/>
      <c r="AA267" s="26"/>
    </row>
    <row r="268">
      <c r="A268" s="12"/>
      <c r="B268" s="13"/>
      <c r="C268" s="13"/>
      <c r="D268" s="14"/>
      <c r="E268" s="130"/>
      <c r="F268" s="16"/>
      <c r="G268" s="18"/>
      <c r="H268" s="131"/>
      <c r="I268" s="18"/>
      <c r="J268" s="22"/>
      <c r="K268" s="108"/>
      <c r="L268" s="26"/>
      <c r="M268" s="26"/>
      <c r="N268" s="26"/>
      <c r="O268" s="26"/>
      <c r="P268" s="26"/>
      <c r="Q268" s="26"/>
      <c r="R268" s="26"/>
      <c r="S268" s="26"/>
      <c r="T268" s="26"/>
      <c r="U268" s="26"/>
      <c r="V268" s="26"/>
      <c r="W268" s="26"/>
      <c r="X268" s="26"/>
      <c r="Y268" s="26"/>
      <c r="Z268" s="26"/>
      <c r="AA268" s="26"/>
    </row>
    <row r="269">
      <c r="A269" s="12"/>
      <c r="B269" s="13"/>
      <c r="C269" s="13"/>
      <c r="D269" s="14"/>
      <c r="E269" s="130"/>
      <c r="F269" s="16"/>
      <c r="G269" s="18"/>
      <c r="H269" s="131"/>
      <c r="I269" s="18"/>
      <c r="J269" s="22"/>
      <c r="K269" s="108"/>
      <c r="L269" s="26"/>
      <c r="M269" s="26"/>
      <c r="N269" s="26"/>
      <c r="O269" s="26"/>
      <c r="P269" s="26"/>
      <c r="Q269" s="26"/>
      <c r="R269" s="26"/>
      <c r="S269" s="26"/>
      <c r="T269" s="26"/>
      <c r="U269" s="26"/>
      <c r="V269" s="26"/>
      <c r="W269" s="26"/>
      <c r="X269" s="26"/>
      <c r="Y269" s="26"/>
      <c r="Z269" s="26"/>
      <c r="AA269" s="26"/>
    </row>
    <row r="270">
      <c r="A270" s="12"/>
      <c r="B270" s="13"/>
      <c r="C270" s="13"/>
      <c r="D270" s="14"/>
      <c r="E270" s="130"/>
      <c r="F270" s="16"/>
      <c r="G270" s="18"/>
      <c r="H270" s="131"/>
      <c r="I270" s="18"/>
      <c r="J270" s="22"/>
      <c r="K270" s="108"/>
      <c r="L270" s="26"/>
      <c r="M270" s="26"/>
      <c r="N270" s="26"/>
      <c r="O270" s="26"/>
      <c r="P270" s="26"/>
      <c r="Q270" s="26"/>
      <c r="R270" s="26"/>
      <c r="S270" s="26"/>
      <c r="T270" s="26"/>
      <c r="U270" s="26"/>
      <c r="V270" s="26"/>
      <c r="W270" s="26"/>
      <c r="X270" s="26"/>
      <c r="Y270" s="26"/>
      <c r="Z270" s="26"/>
      <c r="AA270" s="26"/>
    </row>
    <row r="271">
      <c r="A271" s="12"/>
      <c r="B271" s="13"/>
      <c r="C271" s="13"/>
      <c r="D271" s="14"/>
      <c r="E271" s="130"/>
      <c r="F271" s="16"/>
      <c r="G271" s="18"/>
      <c r="H271" s="131"/>
      <c r="I271" s="18"/>
      <c r="J271" s="22"/>
      <c r="K271" s="108"/>
      <c r="L271" s="26"/>
      <c r="M271" s="26"/>
      <c r="N271" s="26"/>
      <c r="O271" s="26"/>
      <c r="P271" s="26"/>
      <c r="Q271" s="26"/>
      <c r="R271" s="26"/>
      <c r="S271" s="26"/>
      <c r="T271" s="26"/>
      <c r="U271" s="26"/>
      <c r="V271" s="26"/>
      <c r="W271" s="26"/>
      <c r="X271" s="26"/>
      <c r="Y271" s="26"/>
      <c r="Z271" s="26"/>
      <c r="AA271" s="26"/>
    </row>
    <row r="272">
      <c r="A272" s="12"/>
      <c r="B272" s="13"/>
      <c r="C272" s="13"/>
      <c r="D272" s="14"/>
      <c r="E272" s="130"/>
      <c r="F272" s="16"/>
      <c r="G272" s="18"/>
      <c r="H272" s="131"/>
      <c r="I272" s="18"/>
      <c r="J272" s="22"/>
      <c r="K272" s="108"/>
      <c r="L272" s="26"/>
      <c r="M272" s="26"/>
      <c r="N272" s="26"/>
      <c r="O272" s="26"/>
      <c r="P272" s="26"/>
      <c r="Q272" s="26"/>
      <c r="R272" s="26"/>
      <c r="S272" s="26"/>
      <c r="T272" s="26"/>
      <c r="U272" s="26"/>
      <c r="V272" s="26"/>
      <c r="W272" s="26"/>
      <c r="X272" s="26"/>
      <c r="Y272" s="26"/>
      <c r="Z272" s="26"/>
      <c r="AA272" s="26"/>
    </row>
    <row r="273">
      <c r="A273" s="12"/>
      <c r="B273" s="13"/>
      <c r="C273" s="13"/>
      <c r="D273" s="14"/>
      <c r="E273" s="130"/>
      <c r="F273" s="16"/>
      <c r="G273" s="18"/>
      <c r="H273" s="131"/>
      <c r="I273" s="18"/>
      <c r="J273" s="22"/>
      <c r="K273" s="108"/>
      <c r="L273" s="26"/>
      <c r="M273" s="26"/>
      <c r="N273" s="26"/>
      <c r="O273" s="26"/>
      <c r="P273" s="26"/>
      <c r="Q273" s="26"/>
      <c r="R273" s="26"/>
      <c r="S273" s="26"/>
      <c r="T273" s="26"/>
      <c r="U273" s="26"/>
      <c r="V273" s="26"/>
      <c r="W273" s="26"/>
      <c r="X273" s="26"/>
      <c r="Y273" s="26"/>
      <c r="Z273" s="26"/>
      <c r="AA273" s="26"/>
    </row>
    <row r="274">
      <c r="A274" s="12"/>
      <c r="B274" s="13"/>
      <c r="C274" s="13"/>
      <c r="D274" s="14"/>
      <c r="E274" s="130"/>
      <c r="F274" s="16"/>
      <c r="G274" s="18"/>
      <c r="H274" s="131"/>
      <c r="I274" s="18"/>
      <c r="J274" s="22"/>
      <c r="K274" s="108"/>
      <c r="L274" s="26"/>
      <c r="M274" s="26"/>
      <c r="N274" s="26"/>
      <c r="O274" s="26"/>
      <c r="P274" s="26"/>
      <c r="Q274" s="26"/>
      <c r="R274" s="26"/>
      <c r="S274" s="26"/>
      <c r="T274" s="26"/>
      <c r="U274" s="26"/>
      <c r="V274" s="26"/>
      <c r="W274" s="26"/>
      <c r="X274" s="26"/>
      <c r="Y274" s="26"/>
      <c r="Z274" s="26"/>
      <c r="AA274" s="26"/>
    </row>
    <row r="275">
      <c r="A275" s="12"/>
      <c r="B275" s="13"/>
      <c r="C275" s="13"/>
      <c r="D275" s="14"/>
      <c r="E275" s="130"/>
      <c r="F275" s="16"/>
      <c r="G275" s="18"/>
      <c r="H275" s="131"/>
      <c r="I275" s="18"/>
      <c r="J275" s="22"/>
      <c r="K275" s="108"/>
      <c r="L275" s="26"/>
      <c r="M275" s="26"/>
      <c r="N275" s="26"/>
      <c r="O275" s="26"/>
      <c r="P275" s="26"/>
      <c r="Q275" s="26"/>
      <c r="R275" s="26"/>
      <c r="S275" s="26"/>
      <c r="T275" s="26"/>
      <c r="U275" s="26"/>
      <c r="V275" s="26"/>
      <c r="W275" s="26"/>
      <c r="X275" s="26"/>
      <c r="Y275" s="26"/>
      <c r="Z275" s="26"/>
      <c r="AA275" s="26"/>
    </row>
    <row r="276">
      <c r="A276" s="12"/>
      <c r="B276" s="13"/>
      <c r="C276" s="13"/>
      <c r="D276" s="14"/>
      <c r="E276" s="130"/>
      <c r="F276" s="16"/>
      <c r="G276" s="18"/>
      <c r="H276" s="131"/>
      <c r="I276" s="18"/>
      <c r="J276" s="22"/>
      <c r="K276" s="108"/>
      <c r="L276" s="26"/>
      <c r="M276" s="26"/>
      <c r="N276" s="26"/>
      <c r="O276" s="26"/>
      <c r="P276" s="26"/>
      <c r="Q276" s="26"/>
      <c r="R276" s="26"/>
      <c r="S276" s="26"/>
      <c r="T276" s="26"/>
      <c r="U276" s="26"/>
      <c r="V276" s="26"/>
      <c r="W276" s="26"/>
      <c r="X276" s="26"/>
      <c r="Y276" s="26"/>
      <c r="Z276" s="26"/>
      <c r="AA276" s="26"/>
    </row>
    <row r="277">
      <c r="A277" s="12"/>
      <c r="B277" s="13"/>
      <c r="C277" s="13"/>
      <c r="D277" s="14"/>
      <c r="E277" s="130"/>
      <c r="F277" s="16"/>
      <c r="G277" s="18"/>
      <c r="H277" s="131"/>
      <c r="I277" s="18"/>
      <c r="J277" s="22"/>
      <c r="K277" s="108"/>
      <c r="L277" s="26"/>
      <c r="M277" s="26"/>
      <c r="N277" s="26"/>
      <c r="O277" s="26"/>
      <c r="P277" s="26"/>
      <c r="Q277" s="26"/>
      <c r="R277" s="26"/>
      <c r="S277" s="26"/>
      <c r="T277" s="26"/>
      <c r="U277" s="26"/>
      <c r="V277" s="26"/>
      <c r="W277" s="26"/>
      <c r="X277" s="26"/>
      <c r="Y277" s="26"/>
      <c r="Z277" s="26"/>
      <c r="AA277" s="26"/>
    </row>
    <row r="278">
      <c r="A278" s="12"/>
      <c r="B278" s="13"/>
      <c r="C278" s="13"/>
      <c r="D278" s="14"/>
      <c r="E278" s="130"/>
      <c r="F278" s="16"/>
      <c r="G278" s="18"/>
      <c r="H278" s="131"/>
      <c r="I278" s="18"/>
      <c r="J278" s="22"/>
      <c r="K278" s="108"/>
      <c r="L278" s="26"/>
      <c r="M278" s="26"/>
      <c r="N278" s="26"/>
      <c r="O278" s="26"/>
      <c r="P278" s="26"/>
      <c r="Q278" s="26"/>
      <c r="R278" s="26"/>
      <c r="S278" s="26"/>
      <c r="T278" s="26"/>
      <c r="U278" s="26"/>
      <c r="V278" s="26"/>
      <c r="W278" s="26"/>
      <c r="X278" s="26"/>
      <c r="Y278" s="26"/>
      <c r="Z278" s="26"/>
      <c r="AA278" s="26"/>
    </row>
    <row r="279">
      <c r="A279" s="12"/>
      <c r="B279" s="13"/>
      <c r="C279" s="13"/>
      <c r="D279" s="14"/>
      <c r="E279" s="130"/>
      <c r="F279" s="16"/>
      <c r="G279" s="18"/>
      <c r="H279" s="131"/>
      <c r="I279" s="18"/>
      <c r="J279" s="22"/>
      <c r="K279" s="108"/>
      <c r="L279" s="26"/>
      <c r="M279" s="26"/>
      <c r="N279" s="26"/>
      <c r="O279" s="26"/>
      <c r="P279" s="26"/>
      <c r="Q279" s="26"/>
      <c r="R279" s="26"/>
      <c r="S279" s="26"/>
      <c r="T279" s="26"/>
      <c r="U279" s="26"/>
      <c r="V279" s="26"/>
      <c r="W279" s="26"/>
      <c r="X279" s="26"/>
      <c r="Y279" s="26"/>
      <c r="Z279" s="26"/>
      <c r="AA279" s="26"/>
    </row>
    <row r="280">
      <c r="A280" s="12"/>
      <c r="B280" s="13"/>
      <c r="C280" s="13"/>
      <c r="D280" s="14"/>
      <c r="E280" s="130"/>
      <c r="F280" s="16"/>
      <c r="G280" s="18"/>
      <c r="H280" s="131"/>
      <c r="I280" s="18"/>
      <c r="J280" s="22"/>
      <c r="K280" s="108"/>
      <c r="L280" s="26"/>
      <c r="M280" s="26"/>
      <c r="N280" s="26"/>
      <c r="O280" s="26"/>
      <c r="P280" s="26"/>
      <c r="Q280" s="26"/>
      <c r="R280" s="26"/>
      <c r="S280" s="26"/>
      <c r="T280" s="26"/>
      <c r="U280" s="26"/>
      <c r="V280" s="26"/>
      <c r="W280" s="26"/>
      <c r="X280" s="26"/>
      <c r="Y280" s="26"/>
      <c r="Z280" s="26"/>
      <c r="AA280" s="26"/>
    </row>
    <row r="281">
      <c r="A281" s="12"/>
      <c r="B281" s="13"/>
      <c r="C281" s="13"/>
      <c r="D281" s="14"/>
      <c r="E281" s="130"/>
      <c r="F281" s="16"/>
      <c r="G281" s="18"/>
      <c r="H281" s="131"/>
      <c r="I281" s="18"/>
      <c r="J281" s="22"/>
      <c r="K281" s="108"/>
      <c r="L281" s="26"/>
      <c r="M281" s="26"/>
      <c r="N281" s="26"/>
      <c r="O281" s="26"/>
      <c r="P281" s="26"/>
      <c r="Q281" s="26"/>
      <c r="R281" s="26"/>
      <c r="S281" s="26"/>
      <c r="T281" s="26"/>
      <c r="U281" s="26"/>
      <c r="V281" s="26"/>
      <c r="W281" s="26"/>
      <c r="X281" s="26"/>
      <c r="Y281" s="26"/>
      <c r="Z281" s="26"/>
      <c r="AA281" s="26"/>
    </row>
    <row r="282">
      <c r="A282" s="12"/>
      <c r="B282" s="13"/>
      <c r="C282" s="13"/>
      <c r="D282" s="14"/>
      <c r="E282" s="130"/>
      <c r="F282" s="16"/>
      <c r="G282" s="18"/>
      <c r="H282" s="131"/>
      <c r="I282" s="18"/>
      <c r="J282" s="22"/>
      <c r="K282" s="108"/>
      <c r="L282" s="26"/>
      <c r="M282" s="26"/>
      <c r="N282" s="26"/>
      <c r="O282" s="26"/>
      <c r="P282" s="26"/>
      <c r="Q282" s="26"/>
      <c r="R282" s="26"/>
      <c r="S282" s="26"/>
      <c r="T282" s="26"/>
      <c r="U282" s="26"/>
      <c r="V282" s="26"/>
      <c r="W282" s="26"/>
      <c r="X282" s="26"/>
      <c r="Y282" s="26"/>
      <c r="Z282" s="26"/>
      <c r="AA282" s="26"/>
    </row>
    <row r="283">
      <c r="A283" s="12"/>
      <c r="B283" s="13"/>
      <c r="C283" s="13"/>
      <c r="D283" s="14"/>
      <c r="E283" s="130"/>
      <c r="F283" s="16"/>
      <c r="G283" s="18"/>
      <c r="H283" s="131"/>
      <c r="I283" s="18"/>
      <c r="J283" s="22"/>
      <c r="K283" s="108"/>
      <c r="L283" s="26"/>
      <c r="M283" s="26"/>
      <c r="N283" s="26"/>
      <c r="O283" s="26"/>
      <c r="P283" s="26"/>
      <c r="Q283" s="26"/>
      <c r="R283" s="26"/>
      <c r="S283" s="26"/>
      <c r="T283" s="26"/>
      <c r="U283" s="26"/>
      <c r="V283" s="26"/>
      <c r="W283" s="26"/>
      <c r="X283" s="26"/>
      <c r="Y283" s="26"/>
      <c r="Z283" s="26"/>
      <c r="AA283" s="26"/>
    </row>
    <row r="284">
      <c r="A284" s="12"/>
      <c r="B284" s="13"/>
      <c r="C284" s="13"/>
      <c r="D284" s="14"/>
      <c r="E284" s="130"/>
      <c r="F284" s="16"/>
      <c r="G284" s="18"/>
      <c r="H284" s="131"/>
      <c r="I284" s="18"/>
      <c r="J284" s="22"/>
      <c r="K284" s="108"/>
      <c r="L284" s="26"/>
      <c r="M284" s="26"/>
      <c r="N284" s="26"/>
      <c r="O284" s="26"/>
      <c r="P284" s="26"/>
      <c r="Q284" s="26"/>
      <c r="R284" s="26"/>
      <c r="S284" s="26"/>
      <c r="T284" s="26"/>
      <c r="U284" s="26"/>
      <c r="V284" s="26"/>
      <c r="W284" s="26"/>
      <c r="X284" s="26"/>
      <c r="Y284" s="26"/>
      <c r="Z284" s="26"/>
      <c r="AA284" s="26"/>
    </row>
    <row r="285">
      <c r="A285" s="12"/>
      <c r="B285" s="13"/>
      <c r="C285" s="13"/>
      <c r="D285" s="14"/>
      <c r="E285" s="130"/>
      <c r="F285" s="16"/>
      <c r="G285" s="18"/>
      <c r="H285" s="131"/>
      <c r="I285" s="18"/>
      <c r="J285" s="22"/>
      <c r="K285" s="108"/>
      <c r="L285" s="26"/>
      <c r="M285" s="26"/>
      <c r="N285" s="26"/>
      <c r="O285" s="26"/>
      <c r="P285" s="26"/>
      <c r="Q285" s="26"/>
      <c r="R285" s="26"/>
      <c r="S285" s="26"/>
      <c r="T285" s="26"/>
      <c r="U285" s="26"/>
      <c r="V285" s="26"/>
      <c r="W285" s="26"/>
      <c r="X285" s="26"/>
      <c r="Y285" s="26"/>
      <c r="Z285" s="26"/>
      <c r="AA285" s="26"/>
    </row>
    <row r="286">
      <c r="A286" s="12"/>
      <c r="B286" s="13"/>
      <c r="C286" s="13"/>
      <c r="D286" s="14"/>
      <c r="E286" s="130"/>
      <c r="F286" s="16"/>
      <c r="G286" s="18"/>
      <c r="H286" s="131"/>
      <c r="I286" s="18"/>
      <c r="J286" s="22"/>
      <c r="K286" s="108"/>
      <c r="L286" s="26"/>
      <c r="M286" s="26"/>
      <c r="N286" s="26"/>
      <c r="O286" s="26"/>
      <c r="P286" s="26"/>
      <c r="Q286" s="26"/>
      <c r="R286" s="26"/>
      <c r="S286" s="26"/>
      <c r="T286" s="26"/>
      <c r="U286" s="26"/>
      <c r="V286" s="26"/>
      <c r="W286" s="26"/>
      <c r="X286" s="26"/>
      <c r="Y286" s="26"/>
      <c r="Z286" s="26"/>
      <c r="AA286" s="26"/>
    </row>
    <row r="287">
      <c r="A287" s="12"/>
      <c r="B287" s="13"/>
      <c r="C287" s="13"/>
      <c r="D287" s="14"/>
      <c r="E287" s="130"/>
      <c r="F287" s="16"/>
      <c r="G287" s="18"/>
      <c r="H287" s="131"/>
      <c r="I287" s="18"/>
      <c r="J287" s="22"/>
      <c r="K287" s="108"/>
      <c r="L287" s="26"/>
      <c r="M287" s="26"/>
      <c r="N287" s="26"/>
      <c r="O287" s="26"/>
      <c r="P287" s="26"/>
      <c r="Q287" s="26"/>
      <c r="R287" s="26"/>
      <c r="S287" s="26"/>
      <c r="T287" s="26"/>
      <c r="U287" s="26"/>
      <c r="V287" s="26"/>
      <c r="W287" s="26"/>
      <c r="X287" s="26"/>
      <c r="Y287" s="26"/>
      <c r="Z287" s="26"/>
      <c r="AA287" s="26"/>
    </row>
    <row r="288">
      <c r="A288" s="12"/>
      <c r="B288" s="13"/>
      <c r="C288" s="13"/>
      <c r="D288" s="14"/>
      <c r="E288" s="130"/>
      <c r="F288" s="16"/>
      <c r="G288" s="18"/>
      <c r="H288" s="131"/>
      <c r="I288" s="18"/>
      <c r="J288" s="22"/>
      <c r="K288" s="108"/>
      <c r="L288" s="26"/>
      <c r="M288" s="26"/>
      <c r="N288" s="26"/>
      <c r="O288" s="26"/>
      <c r="P288" s="26"/>
      <c r="Q288" s="26"/>
      <c r="R288" s="26"/>
      <c r="S288" s="26"/>
      <c r="T288" s="26"/>
      <c r="U288" s="26"/>
      <c r="V288" s="26"/>
      <c r="W288" s="26"/>
      <c r="X288" s="26"/>
      <c r="Y288" s="26"/>
      <c r="Z288" s="26"/>
      <c r="AA288" s="26"/>
    </row>
    <row r="289">
      <c r="A289" s="12"/>
      <c r="B289" s="13"/>
      <c r="C289" s="13"/>
      <c r="D289" s="14"/>
      <c r="E289" s="130"/>
      <c r="F289" s="16"/>
      <c r="G289" s="18"/>
      <c r="H289" s="131"/>
      <c r="I289" s="18"/>
      <c r="J289" s="22"/>
      <c r="K289" s="108"/>
      <c r="L289" s="26"/>
      <c r="M289" s="26"/>
      <c r="N289" s="26"/>
      <c r="O289" s="26"/>
      <c r="P289" s="26"/>
      <c r="Q289" s="26"/>
      <c r="R289" s="26"/>
      <c r="S289" s="26"/>
      <c r="T289" s="26"/>
      <c r="U289" s="26"/>
      <c r="V289" s="26"/>
      <c r="W289" s="26"/>
      <c r="X289" s="26"/>
      <c r="Y289" s="26"/>
      <c r="Z289" s="26"/>
      <c r="AA289" s="26"/>
    </row>
    <row r="290">
      <c r="A290" s="12"/>
      <c r="B290" s="13"/>
      <c r="C290" s="13"/>
      <c r="D290" s="14"/>
      <c r="E290" s="130"/>
      <c r="F290" s="16"/>
      <c r="G290" s="18"/>
      <c r="H290" s="131"/>
      <c r="I290" s="18"/>
      <c r="J290" s="22"/>
      <c r="K290" s="108"/>
      <c r="L290" s="26"/>
      <c r="M290" s="26"/>
      <c r="N290" s="26"/>
      <c r="O290" s="26"/>
      <c r="P290" s="26"/>
      <c r="Q290" s="26"/>
      <c r="R290" s="26"/>
      <c r="S290" s="26"/>
      <c r="T290" s="26"/>
      <c r="U290" s="26"/>
      <c r="V290" s="26"/>
      <c r="W290" s="26"/>
      <c r="X290" s="26"/>
      <c r="Y290" s="26"/>
      <c r="Z290" s="26"/>
      <c r="AA290" s="26"/>
    </row>
    <row r="291">
      <c r="A291" s="12"/>
      <c r="B291" s="13"/>
      <c r="C291" s="13"/>
      <c r="D291" s="14"/>
      <c r="E291" s="130"/>
      <c r="F291" s="16"/>
      <c r="G291" s="18"/>
      <c r="H291" s="131"/>
      <c r="I291" s="18"/>
      <c r="J291" s="22"/>
      <c r="K291" s="108"/>
      <c r="L291" s="26"/>
      <c r="M291" s="26"/>
      <c r="N291" s="26"/>
      <c r="O291" s="26"/>
      <c r="P291" s="26"/>
      <c r="Q291" s="26"/>
      <c r="R291" s="26"/>
      <c r="S291" s="26"/>
      <c r="T291" s="26"/>
      <c r="U291" s="26"/>
      <c r="V291" s="26"/>
      <c r="W291" s="26"/>
      <c r="X291" s="26"/>
      <c r="Y291" s="26"/>
      <c r="Z291" s="26"/>
      <c r="AA291" s="26"/>
    </row>
    <row r="292">
      <c r="A292" s="12"/>
      <c r="B292" s="13"/>
      <c r="C292" s="13"/>
      <c r="D292" s="14"/>
      <c r="E292" s="130"/>
      <c r="F292" s="16"/>
      <c r="G292" s="18"/>
      <c r="H292" s="131"/>
      <c r="I292" s="18"/>
      <c r="J292" s="22"/>
      <c r="K292" s="108"/>
      <c r="L292" s="26"/>
      <c r="M292" s="26"/>
      <c r="N292" s="26"/>
      <c r="O292" s="26"/>
      <c r="P292" s="26"/>
      <c r="Q292" s="26"/>
      <c r="R292" s="26"/>
      <c r="S292" s="26"/>
      <c r="T292" s="26"/>
      <c r="U292" s="26"/>
      <c r="V292" s="26"/>
      <c r="W292" s="26"/>
      <c r="X292" s="26"/>
      <c r="Y292" s="26"/>
      <c r="Z292" s="26"/>
      <c r="AA292" s="26"/>
    </row>
    <row r="293">
      <c r="A293" s="12"/>
      <c r="B293" s="13"/>
      <c r="C293" s="13"/>
      <c r="D293" s="14"/>
      <c r="E293" s="130"/>
      <c r="F293" s="16"/>
      <c r="G293" s="18"/>
      <c r="H293" s="131"/>
      <c r="I293" s="18"/>
      <c r="J293" s="22"/>
      <c r="K293" s="108"/>
      <c r="L293" s="26"/>
      <c r="M293" s="26"/>
      <c r="N293" s="26"/>
      <c r="O293" s="26"/>
      <c r="P293" s="26"/>
      <c r="Q293" s="26"/>
      <c r="R293" s="26"/>
      <c r="S293" s="26"/>
      <c r="T293" s="26"/>
      <c r="U293" s="26"/>
      <c r="V293" s="26"/>
      <c r="W293" s="26"/>
      <c r="X293" s="26"/>
      <c r="Y293" s="26"/>
      <c r="Z293" s="26"/>
      <c r="AA293" s="26"/>
    </row>
    <row r="294">
      <c r="A294" s="12"/>
      <c r="B294" s="13"/>
      <c r="C294" s="13"/>
      <c r="D294" s="14"/>
      <c r="E294" s="130"/>
      <c r="F294" s="16"/>
      <c r="G294" s="18"/>
      <c r="H294" s="131"/>
      <c r="I294" s="18"/>
      <c r="J294" s="22"/>
      <c r="K294" s="108"/>
      <c r="L294" s="26"/>
      <c r="M294" s="26"/>
      <c r="N294" s="26"/>
      <c r="O294" s="26"/>
      <c r="P294" s="26"/>
      <c r="Q294" s="26"/>
      <c r="R294" s="26"/>
      <c r="S294" s="26"/>
      <c r="T294" s="26"/>
      <c r="U294" s="26"/>
      <c r="V294" s="26"/>
      <c r="W294" s="26"/>
      <c r="X294" s="26"/>
      <c r="Y294" s="26"/>
      <c r="Z294" s="26"/>
      <c r="AA294" s="26"/>
    </row>
    <row r="295">
      <c r="A295" s="12"/>
      <c r="B295" s="13"/>
      <c r="C295" s="13"/>
      <c r="D295" s="14"/>
      <c r="E295" s="130"/>
      <c r="F295" s="16"/>
      <c r="G295" s="18"/>
      <c r="H295" s="131"/>
      <c r="I295" s="18"/>
      <c r="J295" s="22"/>
      <c r="K295" s="108"/>
      <c r="L295" s="26"/>
      <c r="M295" s="26"/>
      <c r="N295" s="26"/>
      <c r="O295" s="26"/>
      <c r="P295" s="26"/>
      <c r="Q295" s="26"/>
      <c r="R295" s="26"/>
      <c r="S295" s="26"/>
      <c r="T295" s="26"/>
      <c r="U295" s="26"/>
      <c r="V295" s="26"/>
      <c r="W295" s="26"/>
      <c r="X295" s="26"/>
      <c r="Y295" s="26"/>
      <c r="Z295" s="26"/>
      <c r="AA295" s="26"/>
    </row>
    <row r="296">
      <c r="A296" s="12"/>
      <c r="B296" s="13"/>
      <c r="C296" s="13"/>
      <c r="D296" s="14"/>
      <c r="E296" s="130"/>
      <c r="F296" s="16"/>
      <c r="G296" s="18"/>
      <c r="H296" s="131"/>
      <c r="I296" s="18"/>
      <c r="J296" s="22"/>
      <c r="K296" s="108"/>
      <c r="L296" s="26"/>
      <c r="M296" s="26"/>
      <c r="N296" s="26"/>
      <c r="O296" s="26"/>
      <c r="P296" s="26"/>
      <c r="Q296" s="26"/>
      <c r="R296" s="26"/>
      <c r="S296" s="26"/>
      <c r="T296" s="26"/>
      <c r="U296" s="26"/>
      <c r="V296" s="26"/>
      <c r="W296" s="26"/>
      <c r="X296" s="26"/>
      <c r="Y296" s="26"/>
      <c r="Z296" s="26"/>
      <c r="AA296" s="26"/>
    </row>
    <row r="297">
      <c r="A297" s="12"/>
      <c r="B297" s="13"/>
      <c r="C297" s="13"/>
      <c r="D297" s="14"/>
      <c r="E297" s="130"/>
      <c r="F297" s="16"/>
      <c r="G297" s="18"/>
      <c r="H297" s="131"/>
      <c r="I297" s="18"/>
      <c r="J297" s="22"/>
      <c r="K297" s="108"/>
      <c r="L297" s="26"/>
      <c r="M297" s="26"/>
      <c r="N297" s="26"/>
      <c r="O297" s="26"/>
      <c r="P297" s="26"/>
      <c r="Q297" s="26"/>
      <c r="R297" s="26"/>
      <c r="S297" s="26"/>
      <c r="T297" s="26"/>
      <c r="U297" s="26"/>
      <c r="V297" s="26"/>
      <c r="W297" s="26"/>
      <c r="X297" s="26"/>
      <c r="Y297" s="26"/>
      <c r="Z297" s="26"/>
      <c r="AA297" s="26"/>
    </row>
    <row r="298">
      <c r="A298" s="12"/>
      <c r="B298" s="13"/>
      <c r="C298" s="13"/>
      <c r="D298" s="14"/>
      <c r="E298" s="130"/>
      <c r="F298" s="16"/>
      <c r="G298" s="18"/>
      <c r="H298" s="131"/>
      <c r="I298" s="18"/>
      <c r="J298" s="22"/>
      <c r="K298" s="108"/>
      <c r="L298" s="26"/>
      <c r="M298" s="26"/>
      <c r="N298" s="26"/>
      <c r="O298" s="26"/>
      <c r="P298" s="26"/>
      <c r="Q298" s="26"/>
      <c r="R298" s="26"/>
      <c r="S298" s="26"/>
      <c r="T298" s="26"/>
      <c r="U298" s="26"/>
      <c r="V298" s="26"/>
      <c r="W298" s="26"/>
      <c r="X298" s="26"/>
      <c r="Y298" s="26"/>
      <c r="Z298" s="26"/>
      <c r="AA298" s="26"/>
    </row>
    <row r="299">
      <c r="A299" s="12"/>
      <c r="B299" s="13"/>
      <c r="C299" s="13"/>
      <c r="D299" s="14"/>
      <c r="E299" s="130"/>
      <c r="F299" s="16"/>
      <c r="G299" s="18"/>
      <c r="H299" s="131"/>
      <c r="I299" s="18"/>
      <c r="J299" s="22"/>
      <c r="K299" s="108"/>
      <c r="L299" s="26"/>
      <c r="M299" s="26"/>
      <c r="N299" s="26"/>
      <c r="O299" s="26"/>
      <c r="P299" s="26"/>
      <c r="Q299" s="26"/>
      <c r="R299" s="26"/>
      <c r="S299" s="26"/>
      <c r="T299" s="26"/>
      <c r="U299" s="26"/>
      <c r="V299" s="26"/>
      <c r="W299" s="26"/>
      <c r="X299" s="26"/>
      <c r="Y299" s="26"/>
      <c r="Z299" s="26"/>
      <c r="AA299" s="26"/>
    </row>
    <row r="300">
      <c r="A300" s="12"/>
      <c r="B300" s="13"/>
      <c r="C300" s="13"/>
      <c r="D300" s="14"/>
      <c r="E300" s="130"/>
      <c r="F300" s="16"/>
      <c r="G300" s="18"/>
      <c r="H300" s="131"/>
      <c r="I300" s="18"/>
      <c r="J300" s="22"/>
      <c r="K300" s="108"/>
      <c r="L300" s="26"/>
      <c r="M300" s="26"/>
      <c r="N300" s="26"/>
      <c r="O300" s="26"/>
      <c r="P300" s="26"/>
      <c r="Q300" s="26"/>
      <c r="R300" s="26"/>
      <c r="S300" s="26"/>
      <c r="T300" s="26"/>
      <c r="U300" s="26"/>
      <c r="V300" s="26"/>
      <c r="W300" s="26"/>
      <c r="X300" s="26"/>
      <c r="Y300" s="26"/>
      <c r="Z300" s="26"/>
      <c r="AA300" s="26"/>
    </row>
    <row r="301">
      <c r="A301" s="12"/>
      <c r="B301" s="13"/>
      <c r="C301" s="13"/>
      <c r="D301" s="14"/>
      <c r="E301" s="130"/>
      <c r="F301" s="16"/>
      <c r="G301" s="18"/>
      <c r="H301" s="131"/>
      <c r="I301" s="18"/>
      <c r="J301" s="22"/>
      <c r="K301" s="108"/>
      <c r="L301" s="26"/>
      <c r="M301" s="26"/>
      <c r="N301" s="26"/>
      <c r="O301" s="26"/>
      <c r="P301" s="26"/>
      <c r="Q301" s="26"/>
      <c r="R301" s="26"/>
      <c r="S301" s="26"/>
      <c r="T301" s="26"/>
      <c r="U301" s="26"/>
      <c r="V301" s="26"/>
      <c r="W301" s="26"/>
      <c r="X301" s="26"/>
      <c r="Y301" s="26"/>
      <c r="Z301" s="26"/>
      <c r="AA301" s="26"/>
    </row>
    <row r="302">
      <c r="A302" s="12"/>
      <c r="B302" s="13"/>
      <c r="C302" s="13"/>
      <c r="D302" s="14"/>
      <c r="E302" s="130"/>
      <c r="F302" s="16"/>
      <c r="G302" s="18"/>
      <c r="H302" s="131"/>
      <c r="I302" s="18"/>
      <c r="J302" s="22"/>
      <c r="K302" s="108"/>
      <c r="L302" s="26"/>
      <c r="M302" s="26"/>
      <c r="N302" s="26"/>
      <c r="O302" s="26"/>
      <c r="P302" s="26"/>
      <c r="Q302" s="26"/>
      <c r="R302" s="26"/>
      <c r="S302" s="26"/>
      <c r="T302" s="26"/>
      <c r="U302" s="26"/>
      <c r="V302" s="26"/>
      <c r="W302" s="26"/>
      <c r="X302" s="26"/>
      <c r="Y302" s="26"/>
      <c r="Z302" s="26"/>
      <c r="AA302" s="26"/>
    </row>
    <row r="303">
      <c r="A303" s="12"/>
      <c r="B303" s="13"/>
      <c r="C303" s="13"/>
      <c r="D303" s="14"/>
      <c r="E303" s="130"/>
      <c r="F303" s="16"/>
      <c r="G303" s="18"/>
      <c r="H303" s="131"/>
      <c r="I303" s="18"/>
      <c r="J303" s="22"/>
      <c r="K303" s="108"/>
      <c r="L303" s="26"/>
      <c r="M303" s="26"/>
      <c r="N303" s="26"/>
      <c r="O303" s="26"/>
      <c r="P303" s="26"/>
      <c r="Q303" s="26"/>
      <c r="R303" s="26"/>
      <c r="S303" s="26"/>
      <c r="T303" s="26"/>
      <c r="U303" s="26"/>
      <c r="V303" s="26"/>
      <c r="W303" s="26"/>
      <c r="X303" s="26"/>
      <c r="Y303" s="26"/>
      <c r="Z303" s="26"/>
      <c r="AA303" s="26"/>
    </row>
    <row r="304">
      <c r="A304" s="12"/>
      <c r="B304" s="13"/>
      <c r="C304" s="13"/>
      <c r="D304" s="14"/>
      <c r="E304" s="130"/>
      <c r="F304" s="16"/>
      <c r="G304" s="18"/>
      <c r="H304" s="131"/>
      <c r="I304" s="18"/>
      <c r="J304" s="22"/>
      <c r="K304" s="108"/>
      <c r="L304" s="26"/>
      <c r="M304" s="26"/>
      <c r="N304" s="26"/>
      <c r="O304" s="26"/>
      <c r="P304" s="26"/>
      <c r="Q304" s="26"/>
      <c r="R304" s="26"/>
      <c r="S304" s="26"/>
      <c r="T304" s="26"/>
      <c r="U304" s="26"/>
      <c r="V304" s="26"/>
      <c r="W304" s="26"/>
      <c r="X304" s="26"/>
      <c r="Y304" s="26"/>
      <c r="Z304" s="26"/>
      <c r="AA304" s="26"/>
    </row>
    <row r="305">
      <c r="A305" s="12"/>
      <c r="B305" s="13"/>
      <c r="C305" s="13"/>
      <c r="D305" s="14"/>
      <c r="E305" s="130"/>
      <c r="F305" s="16"/>
      <c r="G305" s="18"/>
      <c r="H305" s="131"/>
      <c r="I305" s="18"/>
      <c r="J305" s="22"/>
      <c r="K305" s="108"/>
      <c r="L305" s="26"/>
      <c r="M305" s="26"/>
      <c r="N305" s="26"/>
      <c r="O305" s="26"/>
      <c r="P305" s="26"/>
      <c r="Q305" s="26"/>
      <c r="R305" s="26"/>
      <c r="S305" s="26"/>
      <c r="T305" s="26"/>
      <c r="U305" s="26"/>
      <c r="V305" s="26"/>
      <c r="W305" s="26"/>
      <c r="X305" s="26"/>
      <c r="Y305" s="26"/>
      <c r="Z305" s="26"/>
      <c r="AA305" s="26"/>
    </row>
    <row r="306">
      <c r="A306" s="12"/>
      <c r="B306" s="13"/>
      <c r="C306" s="13"/>
      <c r="D306" s="14"/>
      <c r="E306" s="130"/>
      <c r="F306" s="16"/>
      <c r="G306" s="18"/>
      <c r="H306" s="131"/>
      <c r="I306" s="18"/>
      <c r="J306" s="22"/>
      <c r="K306" s="108"/>
      <c r="L306" s="26"/>
      <c r="M306" s="26"/>
      <c r="N306" s="26"/>
      <c r="O306" s="26"/>
      <c r="P306" s="26"/>
      <c r="Q306" s="26"/>
      <c r="R306" s="26"/>
      <c r="S306" s="26"/>
      <c r="T306" s="26"/>
      <c r="U306" s="26"/>
      <c r="V306" s="26"/>
      <c r="W306" s="26"/>
      <c r="X306" s="26"/>
      <c r="Y306" s="26"/>
      <c r="Z306" s="26"/>
      <c r="AA306" s="26"/>
    </row>
    <row r="307">
      <c r="A307" s="12"/>
      <c r="B307" s="13"/>
      <c r="C307" s="13"/>
      <c r="D307" s="14"/>
      <c r="E307" s="130"/>
      <c r="F307" s="16"/>
      <c r="G307" s="18"/>
      <c r="H307" s="131"/>
      <c r="I307" s="18"/>
      <c r="J307" s="22"/>
      <c r="K307" s="108"/>
      <c r="L307" s="26"/>
      <c r="M307" s="26"/>
      <c r="N307" s="26"/>
      <c r="O307" s="26"/>
      <c r="P307" s="26"/>
      <c r="Q307" s="26"/>
      <c r="R307" s="26"/>
      <c r="S307" s="26"/>
      <c r="T307" s="26"/>
      <c r="U307" s="26"/>
      <c r="V307" s="26"/>
      <c r="W307" s="26"/>
      <c r="X307" s="26"/>
      <c r="Y307" s="26"/>
      <c r="Z307" s="26"/>
      <c r="AA307" s="26"/>
    </row>
    <row r="308">
      <c r="A308" s="12"/>
      <c r="B308" s="13"/>
      <c r="C308" s="13"/>
      <c r="D308" s="14"/>
      <c r="E308" s="130"/>
      <c r="F308" s="16"/>
      <c r="G308" s="18"/>
      <c r="H308" s="131"/>
      <c r="I308" s="18"/>
      <c r="J308" s="22"/>
      <c r="K308" s="108"/>
      <c r="L308" s="26"/>
      <c r="M308" s="26"/>
      <c r="N308" s="26"/>
      <c r="O308" s="26"/>
      <c r="P308" s="26"/>
      <c r="Q308" s="26"/>
      <c r="R308" s="26"/>
      <c r="S308" s="26"/>
      <c r="T308" s="26"/>
      <c r="U308" s="26"/>
      <c r="V308" s="26"/>
      <c r="W308" s="26"/>
      <c r="X308" s="26"/>
      <c r="Y308" s="26"/>
      <c r="Z308" s="26"/>
      <c r="AA308" s="26"/>
    </row>
    <row r="309">
      <c r="A309" s="12"/>
      <c r="B309" s="13"/>
      <c r="C309" s="13"/>
      <c r="D309" s="14"/>
      <c r="E309" s="130"/>
      <c r="F309" s="16"/>
      <c r="G309" s="18"/>
      <c r="H309" s="131"/>
      <c r="I309" s="18"/>
      <c r="J309" s="22"/>
      <c r="K309" s="108"/>
      <c r="L309" s="26"/>
      <c r="M309" s="26"/>
      <c r="N309" s="26"/>
      <c r="O309" s="26"/>
      <c r="P309" s="26"/>
      <c r="Q309" s="26"/>
      <c r="R309" s="26"/>
      <c r="S309" s="26"/>
      <c r="T309" s="26"/>
      <c r="U309" s="26"/>
      <c r="V309" s="26"/>
      <c r="W309" s="26"/>
      <c r="X309" s="26"/>
      <c r="Y309" s="26"/>
      <c r="Z309" s="26"/>
      <c r="AA309" s="26"/>
    </row>
    <row r="310">
      <c r="A310" s="12"/>
      <c r="B310" s="13"/>
      <c r="C310" s="13"/>
      <c r="D310" s="14"/>
      <c r="E310" s="130"/>
      <c r="F310" s="16"/>
      <c r="G310" s="18"/>
      <c r="H310" s="131"/>
      <c r="I310" s="18"/>
      <c r="J310" s="22"/>
      <c r="K310" s="108"/>
      <c r="L310" s="26"/>
      <c r="M310" s="26"/>
      <c r="N310" s="26"/>
      <c r="O310" s="26"/>
      <c r="P310" s="26"/>
      <c r="Q310" s="26"/>
      <c r="R310" s="26"/>
      <c r="S310" s="26"/>
      <c r="T310" s="26"/>
      <c r="U310" s="26"/>
      <c r="V310" s="26"/>
      <c r="W310" s="26"/>
      <c r="X310" s="26"/>
      <c r="Y310" s="26"/>
      <c r="Z310" s="26"/>
      <c r="AA310" s="26"/>
    </row>
    <row r="311">
      <c r="A311" s="12"/>
      <c r="B311" s="13"/>
      <c r="C311" s="13"/>
      <c r="D311" s="14"/>
      <c r="E311" s="130"/>
      <c r="F311" s="16"/>
      <c r="G311" s="18"/>
      <c r="H311" s="131"/>
      <c r="I311" s="18"/>
      <c r="J311" s="22"/>
      <c r="K311" s="108"/>
      <c r="L311" s="26"/>
      <c r="M311" s="26"/>
      <c r="N311" s="26"/>
      <c r="O311" s="26"/>
      <c r="P311" s="26"/>
      <c r="Q311" s="26"/>
      <c r="R311" s="26"/>
      <c r="S311" s="26"/>
      <c r="T311" s="26"/>
      <c r="U311" s="26"/>
      <c r="V311" s="26"/>
      <c r="W311" s="26"/>
      <c r="X311" s="26"/>
      <c r="Y311" s="26"/>
      <c r="Z311" s="26"/>
      <c r="AA311" s="26"/>
    </row>
    <row r="312">
      <c r="A312" s="12"/>
      <c r="B312" s="13"/>
      <c r="C312" s="13"/>
      <c r="D312" s="14"/>
      <c r="E312" s="130"/>
      <c r="F312" s="16"/>
      <c r="G312" s="18"/>
      <c r="H312" s="131"/>
      <c r="I312" s="18"/>
      <c r="J312" s="22"/>
      <c r="K312" s="108"/>
      <c r="L312" s="26"/>
      <c r="M312" s="26"/>
      <c r="N312" s="26"/>
      <c r="O312" s="26"/>
      <c r="P312" s="26"/>
      <c r="Q312" s="26"/>
      <c r="R312" s="26"/>
      <c r="S312" s="26"/>
      <c r="T312" s="26"/>
      <c r="U312" s="26"/>
      <c r="V312" s="26"/>
      <c r="W312" s="26"/>
      <c r="X312" s="26"/>
      <c r="Y312" s="26"/>
      <c r="Z312" s="26"/>
      <c r="AA312" s="26"/>
    </row>
    <row r="313">
      <c r="A313" s="12"/>
      <c r="B313" s="13"/>
      <c r="C313" s="13"/>
      <c r="D313" s="14"/>
      <c r="E313" s="130"/>
      <c r="F313" s="16"/>
      <c r="G313" s="18"/>
      <c r="H313" s="131"/>
      <c r="I313" s="18"/>
      <c r="J313" s="22"/>
      <c r="K313" s="108"/>
      <c r="L313" s="26"/>
      <c r="M313" s="26"/>
      <c r="N313" s="26"/>
      <c r="O313" s="26"/>
      <c r="P313" s="26"/>
      <c r="Q313" s="26"/>
      <c r="R313" s="26"/>
      <c r="S313" s="26"/>
      <c r="T313" s="26"/>
      <c r="U313" s="26"/>
      <c r="V313" s="26"/>
      <c r="W313" s="26"/>
      <c r="X313" s="26"/>
      <c r="Y313" s="26"/>
      <c r="Z313" s="26"/>
      <c r="AA313" s="26"/>
    </row>
    <row r="314">
      <c r="A314" s="12"/>
      <c r="B314" s="13"/>
      <c r="C314" s="13"/>
      <c r="D314" s="14"/>
      <c r="E314" s="130"/>
      <c r="F314" s="16"/>
      <c r="G314" s="18"/>
      <c r="H314" s="131"/>
      <c r="I314" s="18"/>
      <c r="J314" s="22"/>
      <c r="K314" s="108"/>
      <c r="L314" s="26"/>
      <c r="M314" s="26"/>
      <c r="N314" s="26"/>
      <c r="O314" s="26"/>
      <c r="P314" s="26"/>
      <c r="Q314" s="26"/>
      <c r="R314" s="26"/>
      <c r="S314" s="26"/>
      <c r="T314" s="26"/>
      <c r="U314" s="26"/>
      <c r="V314" s="26"/>
      <c r="W314" s="26"/>
      <c r="X314" s="26"/>
      <c r="Y314" s="26"/>
      <c r="Z314" s="26"/>
      <c r="AA314" s="26"/>
    </row>
    <row r="315">
      <c r="A315" s="12"/>
      <c r="B315" s="13"/>
      <c r="C315" s="13"/>
      <c r="D315" s="14"/>
      <c r="E315" s="130"/>
      <c r="F315" s="16"/>
      <c r="G315" s="18"/>
      <c r="H315" s="131"/>
      <c r="I315" s="18"/>
      <c r="J315" s="22"/>
      <c r="K315" s="108"/>
      <c r="L315" s="26"/>
      <c r="M315" s="26"/>
      <c r="N315" s="26"/>
      <c r="O315" s="26"/>
      <c r="P315" s="26"/>
      <c r="Q315" s="26"/>
      <c r="R315" s="26"/>
      <c r="S315" s="26"/>
      <c r="T315" s="26"/>
      <c r="U315" s="26"/>
      <c r="V315" s="26"/>
      <c r="W315" s="26"/>
      <c r="X315" s="26"/>
      <c r="Y315" s="26"/>
      <c r="Z315" s="26"/>
      <c r="AA315" s="26"/>
    </row>
    <row r="316">
      <c r="A316" s="12"/>
      <c r="B316" s="13"/>
      <c r="C316" s="13"/>
      <c r="D316" s="14"/>
      <c r="E316" s="130"/>
      <c r="F316" s="16"/>
      <c r="G316" s="18"/>
      <c r="H316" s="131"/>
      <c r="I316" s="18"/>
      <c r="J316" s="22"/>
      <c r="K316" s="108"/>
      <c r="L316" s="26"/>
      <c r="M316" s="26"/>
      <c r="N316" s="26"/>
      <c r="O316" s="26"/>
      <c r="P316" s="26"/>
      <c r="Q316" s="26"/>
      <c r="R316" s="26"/>
      <c r="S316" s="26"/>
      <c r="T316" s="26"/>
      <c r="U316" s="26"/>
      <c r="V316" s="26"/>
      <c r="W316" s="26"/>
      <c r="X316" s="26"/>
      <c r="Y316" s="26"/>
      <c r="Z316" s="26"/>
      <c r="AA316" s="26"/>
    </row>
    <row r="317">
      <c r="A317" s="12"/>
      <c r="B317" s="13"/>
      <c r="C317" s="13"/>
      <c r="D317" s="14"/>
      <c r="E317" s="130"/>
      <c r="F317" s="16"/>
      <c r="G317" s="18"/>
      <c r="H317" s="131"/>
      <c r="I317" s="18"/>
      <c r="J317" s="22"/>
      <c r="K317" s="108"/>
      <c r="L317" s="26"/>
      <c r="M317" s="26"/>
      <c r="N317" s="26"/>
      <c r="O317" s="26"/>
      <c r="P317" s="26"/>
      <c r="Q317" s="26"/>
      <c r="R317" s="26"/>
      <c r="S317" s="26"/>
      <c r="T317" s="26"/>
      <c r="U317" s="26"/>
      <c r="V317" s="26"/>
      <c r="W317" s="26"/>
      <c r="X317" s="26"/>
      <c r="Y317" s="26"/>
      <c r="Z317" s="26"/>
      <c r="AA317" s="26"/>
    </row>
    <row r="318">
      <c r="A318" s="12"/>
      <c r="B318" s="13"/>
      <c r="C318" s="13"/>
      <c r="D318" s="14"/>
      <c r="E318" s="130"/>
      <c r="F318" s="16"/>
      <c r="G318" s="18"/>
      <c r="H318" s="131"/>
      <c r="I318" s="18"/>
      <c r="J318" s="22"/>
      <c r="K318" s="108"/>
      <c r="L318" s="26"/>
      <c r="M318" s="26"/>
      <c r="N318" s="26"/>
      <c r="O318" s="26"/>
      <c r="P318" s="26"/>
      <c r="Q318" s="26"/>
      <c r="R318" s="26"/>
      <c r="S318" s="26"/>
      <c r="T318" s="26"/>
      <c r="U318" s="26"/>
      <c r="V318" s="26"/>
      <c r="W318" s="26"/>
      <c r="X318" s="26"/>
      <c r="Y318" s="26"/>
      <c r="Z318" s="26"/>
      <c r="AA318" s="26"/>
    </row>
    <row r="319">
      <c r="A319" s="12"/>
      <c r="B319" s="13"/>
      <c r="C319" s="13"/>
      <c r="D319" s="14"/>
      <c r="E319" s="130"/>
      <c r="F319" s="16"/>
      <c r="G319" s="18"/>
      <c r="H319" s="131"/>
      <c r="I319" s="18"/>
      <c r="J319" s="22"/>
      <c r="K319" s="108"/>
      <c r="L319" s="26"/>
      <c r="M319" s="26"/>
      <c r="N319" s="26"/>
      <c r="O319" s="26"/>
      <c r="P319" s="26"/>
      <c r="Q319" s="26"/>
      <c r="R319" s="26"/>
      <c r="S319" s="26"/>
      <c r="T319" s="26"/>
      <c r="U319" s="26"/>
      <c r="V319" s="26"/>
      <c r="W319" s="26"/>
      <c r="X319" s="26"/>
      <c r="Y319" s="26"/>
      <c r="Z319" s="26"/>
      <c r="AA319" s="26"/>
    </row>
    <row r="320">
      <c r="A320" s="12"/>
      <c r="B320" s="13"/>
      <c r="C320" s="13"/>
      <c r="D320" s="14"/>
      <c r="E320" s="130"/>
      <c r="F320" s="16"/>
      <c r="G320" s="18"/>
      <c r="H320" s="131"/>
      <c r="I320" s="18"/>
      <c r="J320" s="22"/>
      <c r="K320" s="108"/>
      <c r="L320" s="26"/>
      <c r="M320" s="26"/>
      <c r="N320" s="26"/>
      <c r="O320" s="26"/>
      <c r="P320" s="26"/>
      <c r="Q320" s="26"/>
      <c r="R320" s="26"/>
      <c r="S320" s="26"/>
      <c r="T320" s="26"/>
      <c r="U320" s="26"/>
      <c r="V320" s="26"/>
      <c r="W320" s="26"/>
      <c r="X320" s="26"/>
      <c r="Y320" s="26"/>
      <c r="Z320" s="26"/>
      <c r="AA320" s="26"/>
    </row>
    <row r="321">
      <c r="A321" s="12"/>
      <c r="B321" s="13"/>
      <c r="C321" s="13"/>
      <c r="D321" s="14"/>
      <c r="E321" s="130"/>
      <c r="F321" s="16"/>
      <c r="G321" s="18"/>
      <c r="H321" s="131"/>
      <c r="I321" s="18"/>
      <c r="J321" s="22"/>
      <c r="K321" s="108"/>
      <c r="L321" s="26"/>
      <c r="M321" s="26"/>
      <c r="N321" s="26"/>
      <c r="O321" s="26"/>
      <c r="P321" s="26"/>
      <c r="Q321" s="26"/>
      <c r="R321" s="26"/>
      <c r="S321" s="26"/>
      <c r="T321" s="26"/>
      <c r="U321" s="26"/>
      <c r="V321" s="26"/>
      <c r="W321" s="26"/>
      <c r="X321" s="26"/>
      <c r="Y321" s="26"/>
      <c r="Z321" s="26"/>
      <c r="AA321" s="26"/>
    </row>
    <row r="322">
      <c r="A322" s="12"/>
      <c r="B322" s="13"/>
      <c r="C322" s="13"/>
      <c r="D322" s="14"/>
      <c r="E322" s="130"/>
      <c r="F322" s="16"/>
      <c r="G322" s="18"/>
      <c r="H322" s="131"/>
      <c r="I322" s="18"/>
      <c r="J322" s="22"/>
      <c r="K322" s="108"/>
      <c r="L322" s="26"/>
      <c r="M322" s="26"/>
      <c r="N322" s="26"/>
      <c r="O322" s="26"/>
      <c r="P322" s="26"/>
      <c r="Q322" s="26"/>
      <c r="R322" s="26"/>
      <c r="S322" s="26"/>
      <c r="T322" s="26"/>
      <c r="U322" s="26"/>
      <c r="V322" s="26"/>
      <c r="W322" s="26"/>
      <c r="X322" s="26"/>
      <c r="Y322" s="26"/>
      <c r="Z322" s="26"/>
      <c r="AA322" s="26"/>
    </row>
    <row r="323">
      <c r="A323" s="12"/>
      <c r="B323" s="13"/>
      <c r="C323" s="13"/>
      <c r="D323" s="14"/>
      <c r="E323" s="130"/>
      <c r="F323" s="16"/>
      <c r="G323" s="18"/>
      <c r="H323" s="131"/>
      <c r="I323" s="18"/>
      <c r="J323" s="22"/>
      <c r="K323" s="108"/>
      <c r="L323" s="26"/>
      <c r="M323" s="26"/>
      <c r="N323" s="26"/>
      <c r="O323" s="26"/>
      <c r="P323" s="26"/>
      <c r="Q323" s="26"/>
      <c r="R323" s="26"/>
      <c r="S323" s="26"/>
      <c r="T323" s="26"/>
      <c r="U323" s="26"/>
      <c r="V323" s="26"/>
      <c r="W323" s="26"/>
      <c r="X323" s="26"/>
      <c r="Y323" s="26"/>
      <c r="Z323" s="26"/>
      <c r="AA323" s="26"/>
    </row>
    <row r="324">
      <c r="A324" s="12"/>
      <c r="B324" s="13"/>
      <c r="C324" s="13"/>
      <c r="D324" s="14"/>
      <c r="E324" s="130"/>
      <c r="F324" s="16"/>
      <c r="G324" s="18"/>
      <c r="H324" s="131"/>
      <c r="I324" s="18"/>
      <c r="J324" s="22"/>
      <c r="K324" s="108"/>
      <c r="L324" s="26"/>
      <c r="M324" s="26"/>
      <c r="N324" s="26"/>
      <c r="O324" s="26"/>
      <c r="P324" s="26"/>
      <c r="Q324" s="26"/>
      <c r="R324" s="26"/>
      <c r="S324" s="26"/>
      <c r="T324" s="26"/>
      <c r="U324" s="26"/>
      <c r="V324" s="26"/>
      <c r="W324" s="26"/>
      <c r="X324" s="26"/>
      <c r="Y324" s="26"/>
      <c r="Z324" s="26"/>
      <c r="AA324" s="26"/>
    </row>
    <row r="325">
      <c r="A325" s="12"/>
      <c r="B325" s="13"/>
      <c r="C325" s="13"/>
      <c r="D325" s="14"/>
      <c r="E325" s="130"/>
      <c r="F325" s="16"/>
      <c r="G325" s="18"/>
      <c r="H325" s="131"/>
      <c r="I325" s="18"/>
      <c r="J325" s="22"/>
      <c r="K325" s="108"/>
      <c r="L325" s="26"/>
      <c r="M325" s="26"/>
      <c r="N325" s="26"/>
      <c r="O325" s="26"/>
      <c r="P325" s="26"/>
      <c r="Q325" s="26"/>
      <c r="R325" s="26"/>
      <c r="S325" s="26"/>
      <c r="T325" s="26"/>
      <c r="U325" s="26"/>
      <c r="V325" s="26"/>
      <c r="W325" s="26"/>
      <c r="X325" s="26"/>
      <c r="Y325" s="26"/>
      <c r="Z325" s="26"/>
      <c r="AA325" s="26"/>
    </row>
    <row r="326">
      <c r="A326" s="12"/>
      <c r="B326" s="13"/>
      <c r="C326" s="13"/>
      <c r="D326" s="14"/>
      <c r="E326" s="130"/>
      <c r="F326" s="16"/>
      <c r="G326" s="18"/>
      <c r="H326" s="131"/>
      <c r="I326" s="18"/>
      <c r="J326" s="22"/>
      <c r="K326" s="108"/>
      <c r="L326" s="26"/>
      <c r="M326" s="26"/>
      <c r="N326" s="26"/>
      <c r="O326" s="26"/>
      <c r="P326" s="26"/>
      <c r="Q326" s="26"/>
      <c r="R326" s="26"/>
      <c r="S326" s="26"/>
      <c r="T326" s="26"/>
      <c r="U326" s="26"/>
      <c r="V326" s="26"/>
      <c r="W326" s="26"/>
      <c r="X326" s="26"/>
      <c r="Y326" s="26"/>
      <c r="Z326" s="26"/>
      <c r="AA326" s="26"/>
    </row>
    <row r="327">
      <c r="A327" s="12"/>
      <c r="B327" s="13"/>
      <c r="C327" s="13"/>
      <c r="D327" s="14"/>
      <c r="E327" s="130"/>
      <c r="F327" s="16"/>
      <c r="G327" s="18"/>
      <c r="H327" s="131"/>
      <c r="I327" s="18"/>
      <c r="J327" s="22"/>
      <c r="K327" s="108"/>
      <c r="L327" s="26"/>
      <c r="M327" s="26"/>
      <c r="N327" s="26"/>
      <c r="O327" s="26"/>
      <c r="P327" s="26"/>
      <c r="Q327" s="26"/>
      <c r="R327" s="26"/>
      <c r="S327" s="26"/>
      <c r="T327" s="26"/>
      <c r="U327" s="26"/>
      <c r="V327" s="26"/>
      <c r="W327" s="26"/>
      <c r="X327" s="26"/>
      <c r="Y327" s="26"/>
      <c r="Z327" s="26"/>
      <c r="AA327" s="26"/>
    </row>
    <row r="328">
      <c r="A328" s="12"/>
      <c r="B328" s="13"/>
      <c r="C328" s="13"/>
      <c r="D328" s="14"/>
      <c r="E328" s="130"/>
      <c r="F328" s="16"/>
      <c r="G328" s="18"/>
      <c r="H328" s="131"/>
      <c r="I328" s="18"/>
      <c r="J328" s="22"/>
      <c r="K328" s="108"/>
      <c r="L328" s="26"/>
      <c r="M328" s="26"/>
      <c r="N328" s="26"/>
      <c r="O328" s="26"/>
      <c r="P328" s="26"/>
      <c r="Q328" s="26"/>
      <c r="R328" s="26"/>
      <c r="S328" s="26"/>
      <c r="T328" s="26"/>
      <c r="U328" s="26"/>
      <c r="V328" s="26"/>
      <c r="W328" s="26"/>
      <c r="X328" s="26"/>
      <c r="Y328" s="26"/>
      <c r="Z328" s="26"/>
      <c r="AA328" s="26"/>
    </row>
    <row r="329">
      <c r="A329" s="12"/>
      <c r="B329" s="13"/>
      <c r="C329" s="13"/>
      <c r="D329" s="14"/>
      <c r="E329" s="130"/>
      <c r="F329" s="16"/>
      <c r="G329" s="18"/>
      <c r="H329" s="131"/>
      <c r="I329" s="18"/>
      <c r="J329" s="22"/>
      <c r="K329" s="108"/>
      <c r="L329" s="26"/>
      <c r="M329" s="26"/>
      <c r="N329" s="26"/>
      <c r="O329" s="26"/>
      <c r="P329" s="26"/>
      <c r="Q329" s="26"/>
      <c r="R329" s="26"/>
      <c r="S329" s="26"/>
      <c r="T329" s="26"/>
      <c r="U329" s="26"/>
      <c r="V329" s="26"/>
      <c r="W329" s="26"/>
      <c r="X329" s="26"/>
      <c r="Y329" s="26"/>
      <c r="Z329" s="26"/>
      <c r="AA329" s="26"/>
    </row>
    <row r="330">
      <c r="A330" s="12"/>
      <c r="B330" s="13"/>
      <c r="C330" s="13"/>
      <c r="D330" s="14"/>
      <c r="E330" s="130"/>
      <c r="F330" s="16"/>
      <c r="G330" s="18"/>
      <c r="H330" s="131"/>
      <c r="I330" s="18"/>
      <c r="J330" s="22"/>
      <c r="K330" s="108"/>
      <c r="L330" s="26"/>
      <c r="M330" s="26"/>
      <c r="N330" s="26"/>
      <c r="O330" s="26"/>
      <c r="P330" s="26"/>
      <c r="Q330" s="26"/>
      <c r="R330" s="26"/>
      <c r="S330" s="26"/>
      <c r="T330" s="26"/>
      <c r="U330" s="26"/>
      <c r="V330" s="26"/>
      <c r="W330" s="26"/>
      <c r="X330" s="26"/>
      <c r="Y330" s="26"/>
      <c r="Z330" s="26"/>
      <c r="AA330" s="26"/>
    </row>
    <row r="331">
      <c r="A331" s="12"/>
      <c r="B331" s="13"/>
      <c r="C331" s="13"/>
      <c r="D331" s="14"/>
      <c r="E331" s="130"/>
      <c r="F331" s="16"/>
      <c r="G331" s="18"/>
      <c r="H331" s="131"/>
      <c r="I331" s="18"/>
      <c r="J331" s="22"/>
      <c r="K331" s="108"/>
      <c r="L331" s="26"/>
      <c r="M331" s="26"/>
      <c r="N331" s="26"/>
      <c r="O331" s="26"/>
      <c r="P331" s="26"/>
      <c r="Q331" s="26"/>
      <c r="R331" s="26"/>
      <c r="S331" s="26"/>
      <c r="T331" s="26"/>
      <c r="U331" s="26"/>
      <c r="V331" s="26"/>
      <c r="W331" s="26"/>
      <c r="X331" s="26"/>
      <c r="Y331" s="26"/>
      <c r="Z331" s="26"/>
      <c r="AA331" s="26"/>
    </row>
    <row r="332">
      <c r="A332" s="12"/>
      <c r="B332" s="13"/>
      <c r="C332" s="13"/>
      <c r="D332" s="14"/>
      <c r="E332" s="130"/>
      <c r="F332" s="16"/>
      <c r="G332" s="18"/>
      <c r="H332" s="131"/>
      <c r="I332" s="18"/>
      <c r="J332" s="22"/>
      <c r="K332" s="108"/>
      <c r="L332" s="26"/>
      <c r="M332" s="26"/>
      <c r="N332" s="26"/>
      <c r="O332" s="26"/>
      <c r="P332" s="26"/>
      <c r="Q332" s="26"/>
      <c r="R332" s="26"/>
      <c r="S332" s="26"/>
      <c r="T332" s="26"/>
      <c r="U332" s="26"/>
      <c r="V332" s="26"/>
      <c r="W332" s="26"/>
      <c r="X332" s="26"/>
      <c r="Y332" s="26"/>
      <c r="Z332" s="26"/>
      <c r="AA332" s="26"/>
    </row>
    <row r="333">
      <c r="A333" s="12"/>
      <c r="B333" s="13"/>
      <c r="C333" s="13"/>
      <c r="D333" s="14"/>
      <c r="E333" s="130"/>
      <c r="F333" s="16"/>
      <c r="G333" s="18"/>
      <c r="H333" s="131"/>
      <c r="I333" s="18"/>
      <c r="J333" s="22"/>
      <c r="K333" s="108"/>
      <c r="L333" s="26"/>
      <c r="M333" s="26"/>
      <c r="N333" s="26"/>
      <c r="O333" s="26"/>
      <c r="P333" s="26"/>
      <c r="Q333" s="26"/>
      <c r="R333" s="26"/>
      <c r="S333" s="26"/>
      <c r="T333" s="26"/>
      <c r="U333" s="26"/>
      <c r="V333" s="26"/>
      <c r="W333" s="26"/>
      <c r="X333" s="26"/>
      <c r="Y333" s="26"/>
      <c r="Z333" s="26"/>
      <c r="AA333" s="26"/>
    </row>
    <row r="334">
      <c r="A334" s="12"/>
      <c r="B334" s="13"/>
      <c r="C334" s="13"/>
      <c r="D334" s="14"/>
      <c r="E334" s="130"/>
      <c r="F334" s="16"/>
      <c r="G334" s="18"/>
      <c r="H334" s="131"/>
      <c r="I334" s="18"/>
      <c r="J334" s="22"/>
      <c r="K334" s="108"/>
      <c r="L334" s="26"/>
      <c r="M334" s="26"/>
      <c r="N334" s="26"/>
      <c r="O334" s="26"/>
      <c r="P334" s="26"/>
      <c r="Q334" s="26"/>
      <c r="R334" s="26"/>
      <c r="S334" s="26"/>
      <c r="T334" s="26"/>
      <c r="U334" s="26"/>
      <c r="V334" s="26"/>
      <c r="W334" s="26"/>
      <c r="X334" s="26"/>
      <c r="Y334" s="26"/>
      <c r="Z334" s="26"/>
      <c r="AA334" s="26"/>
    </row>
    <row r="335">
      <c r="A335" s="12"/>
      <c r="B335" s="13"/>
      <c r="C335" s="13"/>
      <c r="D335" s="14"/>
      <c r="E335" s="130"/>
      <c r="F335" s="16"/>
      <c r="G335" s="18"/>
      <c r="H335" s="131"/>
      <c r="I335" s="18"/>
      <c r="J335" s="22"/>
      <c r="K335" s="108"/>
      <c r="L335" s="26"/>
      <c r="M335" s="26"/>
      <c r="N335" s="26"/>
      <c r="O335" s="26"/>
      <c r="P335" s="26"/>
      <c r="Q335" s="26"/>
      <c r="R335" s="26"/>
      <c r="S335" s="26"/>
      <c r="T335" s="26"/>
      <c r="U335" s="26"/>
      <c r="V335" s="26"/>
      <c r="W335" s="26"/>
      <c r="X335" s="26"/>
      <c r="Y335" s="26"/>
      <c r="Z335" s="26"/>
      <c r="AA335" s="26"/>
    </row>
    <row r="336">
      <c r="A336" s="12"/>
      <c r="B336" s="13"/>
      <c r="C336" s="13"/>
      <c r="D336" s="14"/>
      <c r="E336" s="130"/>
      <c r="F336" s="16"/>
      <c r="G336" s="18"/>
      <c r="H336" s="131"/>
      <c r="I336" s="18"/>
      <c r="J336" s="22"/>
      <c r="K336" s="108"/>
      <c r="L336" s="26"/>
      <c r="M336" s="26"/>
      <c r="N336" s="26"/>
      <c r="O336" s="26"/>
      <c r="P336" s="26"/>
      <c r="Q336" s="26"/>
      <c r="R336" s="26"/>
      <c r="S336" s="26"/>
      <c r="T336" s="26"/>
      <c r="U336" s="26"/>
      <c r="V336" s="26"/>
      <c r="W336" s="26"/>
      <c r="X336" s="26"/>
      <c r="Y336" s="26"/>
      <c r="Z336" s="26"/>
      <c r="AA336" s="26"/>
    </row>
    <row r="337">
      <c r="A337" s="12"/>
      <c r="B337" s="13"/>
      <c r="C337" s="13"/>
      <c r="D337" s="14"/>
      <c r="E337" s="130"/>
      <c r="F337" s="16"/>
      <c r="G337" s="18"/>
      <c r="H337" s="131"/>
      <c r="I337" s="18"/>
      <c r="J337" s="22"/>
      <c r="K337" s="108"/>
      <c r="L337" s="26"/>
      <c r="M337" s="26"/>
      <c r="N337" s="26"/>
      <c r="O337" s="26"/>
      <c r="P337" s="26"/>
      <c r="Q337" s="26"/>
      <c r="R337" s="26"/>
      <c r="S337" s="26"/>
      <c r="T337" s="26"/>
      <c r="U337" s="26"/>
      <c r="V337" s="26"/>
      <c r="W337" s="26"/>
      <c r="X337" s="26"/>
      <c r="Y337" s="26"/>
      <c r="Z337" s="26"/>
      <c r="AA337" s="26"/>
    </row>
    <row r="338">
      <c r="A338" s="12"/>
      <c r="B338" s="13"/>
      <c r="C338" s="13"/>
      <c r="D338" s="14"/>
      <c r="E338" s="130"/>
      <c r="F338" s="16"/>
      <c r="G338" s="18"/>
      <c r="H338" s="131"/>
      <c r="I338" s="18"/>
      <c r="J338" s="22"/>
      <c r="K338" s="108"/>
      <c r="L338" s="26"/>
      <c r="M338" s="26"/>
      <c r="N338" s="26"/>
      <c r="O338" s="26"/>
      <c r="P338" s="26"/>
      <c r="Q338" s="26"/>
      <c r="R338" s="26"/>
      <c r="S338" s="26"/>
      <c r="T338" s="26"/>
      <c r="U338" s="26"/>
      <c r="V338" s="26"/>
      <c r="W338" s="26"/>
      <c r="X338" s="26"/>
      <c r="Y338" s="26"/>
      <c r="Z338" s="26"/>
      <c r="AA338" s="26"/>
    </row>
    <row r="339">
      <c r="A339" s="12"/>
      <c r="B339" s="13"/>
      <c r="C339" s="13"/>
      <c r="D339" s="14"/>
      <c r="E339" s="130"/>
      <c r="F339" s="16"/>
      <c r="G339" s="18"/>
      <c r="H339" s="131"/>
      <c r="I339" s="18"/>
      <c r="J339" s="22"/>
      <c r="K339" s="108"/>
      <c r="L339" s="26"/>
      <c r="M339" s="26"/>
      <c r="N339" s="26"/>
      <c r="O339" s="26"/>
      <c r="P339" s="26"/>
      <c r="Q339" s="26"/>
      <c r="R339" s="26"/>
      <c r="S339" s="26"/>
      <c r="T339" s="26"/>
      <c r="U339" s="26"/>
      <c r="V339" s="26"/>
      <c r="W339" s="26"/>
      <c r="X339" s="26"/>
      <c r="Y339" s="26"/>
      <c r="Z339" s="26"/>
      <c r="AA339" s="26"/>
    </row>
    <row r="340">
      <c r="A340" s="12"/>
      <c r="B340" s="13"/>
      <c r="C340" s="13"/>
      <c r="D340" s="14"/>
      <c r="E340" s="130"/>
      <c r="F340" s="16"/>
      <c r="G340" s="18"/>
      <c r="H340" s="131"/>
      <c r="I340" s="18"/>
      <c r="J340" s="22"/>
      <c r="K340" s="108"/>
      <c r="L340" s="26"/>
      <c r="M340" s="26"/>
      <c r="N340" s="26"/>
      <c r="O340" s="26"/>
      <c r="P340" s="26"/>
      <c r="Q340" s="26"/>
      <c r="R340" s="26"/>
      <c r="S340" s="26"/>
      <c r="T340" s="26"/>
      <c r="U340" s="26"/>
      <c r="V340" s="26"/>
      <c r="W340" s="26"/>
      <c r="X340" s="26"/>
      <c r="Y340" s="26"/>
      <c r="Z340" s="26"/>
      <c r="AA340" s="26"/>
    </row>
    <row r="341">
      <c r="A341" s="12"/>
      <c r="B341" s="13"/>
      <c r="C341" s="13"/>
      <c r="D341" s="14"/>
      <c r="E341" s="130"/>
      <c r="F341" s="16"/>
      <c r="G341" s="18"/>
      <c r="H341" s="131"/>
      <c r="I341" s="18"/>
      <c r="J341" s="22"/>
      <c r="K341" s="108"/>
      <c r="L341" s="26"/>
      <c r="M341" s="26"/>
      <c r="N341" s="26"/>
      <c r="O341" s="26"/>
      <c r="P341" s="26"/>
      <c r="Q341" s="26"/>
      <c r="R341" s="26"/>
      <c r="S341" s="26"/>
      <c r="T341" s="26"/>
      <c r="U341" s="26"/>
      <c r="V341" s="26"/>
      <c r="W341" s="26"/>
      <c r="X341" s="26"/>
      <c r="Y341" s="26"/>
      <c r="Z341" s="26"/>
      <c r="AA341" s="26"/>
    </row>
    <row r="342">
      <c r="A342" s="12"/>
      <c r="B342" s="13"/>
      <c r="C342" s="13"/>
      <c r="D342" s="14"/>
      <c r="E342" s="130"/>
      <c r="F342" s="16"/>
      <c r="G342" s="18"/>
      <c r="H342" s="131"/>
      <c r="I342" s="18"/>
      <c r="J342" s="22"/>
      <c r="K342" s="108"/>
      <c r="L342" s="26"/>
      <c r="M342" s="26"/>
      <c r="N342" s="26"/>
      <c r="O342" s="26"/>
      <c r="P342" s="26"/>
      <c r="Q342" s="26"/>
      <c r="R342" s="26"/>
      <c r="S342" s="26"/>
      <c r="T342" s="26"/>
      <c r="U342" s="26"/>
      <c r="V342" s="26"/>
      <c r="W342" s="26"/>
      <c r="X342" s="26"/>
      <c r="Y342" s="26"/>
      <c r="Z342" s="26"/>
      <c r="AA342" s="26"/>
    </row>
    <row r="343">
      <c r="A343" s="12"/>
      <c r="B343" s="13"/>
      <c r="C343" s="13"/>
      <c r="D343" s="14"/>
      <c r="E343" s="130"/>
      <c r="F343" s="16"/>
      <c r="G343" s="18"/>
      <c r="H343" s="131"/>
      <c r="I343" s="18"/>
      <c r="J343" s="22"/>
      <c r="K343" s="108"/>
      <c r="L343" s="26"/>
      <c r="M343" s="26"/>
      <c r="N343" s="26"/>
      <c r="O343" s="26"/>
      <c r="P343" s="26"/>
      <c r="Q343" s="26"/>
      <c r="R343" s="26"/>
      <c r="S343" s="26"/>
      <c r="T343" s="26"/>
      <c r="U343" s="26"/>
      <c r="V343" s="26"/>
      <c r="W343" s="26"/>
      <c r="X343" s="26"/>
      <c r="Y343" s="26"/>
      <c r="Z343" s="26"/>
      <c r="AA343" s="26"/>
    </row>
    <row r="344">
      <c r="A344" s="12"/>
      <c r="B344" s="13"/>
      <c r="C344" s="13"/>
      <c r="D344" s="14"/>
      <c r="E344" s="130"/>
      <c r="F344" s="16"/>
      <c r="G344" s="18"/>
      <c r="H344" s="131"/>
      <c r="I344" s="18"/>
      <c r="J344" s="22"/>
      <c r="K344" s="108"/>
      <c r="L344" s="26"/>
      <c r="M344" s="26"/>
      <c r="N344" s="26"/>
      <c r="O344" s="26"/>
      <c r="P344" s="26"/>
      <c r="Q344" s="26"/>
      <c r="R344" s="26"/>
      <c r="S344" s="26"/>
      <c r="T344" s="26"/>
      <c r="U344" s="26"/>
      <c r="V344" s="26"/>
      <c r="W344" s="26"/>
      <c r="X344" s="26"/>
      <c r="Y344" s="26"/>
      <c r="Z344" s="26"/>
      <c r="AA344" s="26"/>
    </row>
    <row r="345">
      <c r="A345" s="12"/>
      <c r="B345" s="13"/>
      <c r="C345" s="13"/>
      <c r="D345" s="14"/>
      <c r="E345" s="130"/>
      <c r="F345" s="16"/>
      <c r="G345" s="18"/>
      <c r="H345" s="131"/>
      <c r="I345" s="18"/>
      <c r="J345" s="22"/>
      <c r="K345" s="108"/>
      <c r="L345" s="26"/>
      <c r="M345" s="26"/>
      <c r="N345" s="26"/>
      <c r="O345" s="26"/>
      <c r="P345" s="26"/>
      <c r="Q345" s="26"/>
      <c r="R345" s="26"/>
      <c r="S345" s="26"/>
      <c r="T345" s="26"/>
      <c r="U345" s="26"/>
      <c r="V345" s="26"/>
      <c r="W345" s="26"/>
      <c r="X345" s="26"/>
      <c r="Y345" s="26"/>
      <c r="Z345" s="26"/>
      <c r="AA345" s="26"/>
    </row>
    <row r="346">
      <c r="A346" s="12"/>
      <c r="B346" s="13"/>
      <c r="C346" s="13"/>
      <c r="D346" s="14"/>
      <c r="E346" s="130"/>
      <c r="F346" s="16"/>
      <c r="G346" s="18"/>
      <c r="H346" s="131"/>
      <c r="I346" s="18"/>
      <c r="J346" s="22"/>
      <c r="K346" s="108"/>
      <c r="L346" s="26"/>
      <c r="M346" s="26"/>
      <c r="N346" s="26"/>
      <c r="O346" s="26"/>
      <c r="P346" s="26"/>
      <c r="Q346" s="26"/>
      <c r="R346" s="26"/>
      <c r="S346" s="26"/>
      <c r="T346" s="26"/>
      <c r="U346" s="26"/>
      <c r="V346" s="26"/>
      <c r="W346" s="26"/>
      <c r="X346" s="26"/>
      <c r="Y346" s="26"/>
      <c r="Z346" s="26"/>
      <c r="AA346" s="26"/>
    </row>
    <row r="347">
      <c r="A347" s="12"/>
      <c r="B347" s="13"/>
      <c r="C347" s="13"/>
      <c r="D347" s="14"/>
      <c r="E347" s="130"/>
      <c r="F347" s="16"/>
      <c r="G347" s="18"/>
      <c r="H347" s="131"/>
      <c r="I347" s="18"/>
      <c r="J347" s="22"/>
      <c r="K347" s="108"/>
      <c r="L347" s="26"/>
      <c r="M347" s="26"/>
      <c r="N347" s="26"/>
      <c r="O347" s="26"/>
      <c r="P347" s="26"/>
      <c r="Q347" s="26"/>
      <c r="R347" s="26"/>
      <c r="S347" s="26"/>
      <c r="T347" s="26"/>
      <c r="U347" s="26"/>
      <c r="V347" s="26"/>
      <c r="W347" s="26"/>
      <c r="X347" s="26"/>
      <c r="Y347" s="26"/>
      <c r="Z347" s="26"/>
      <c r="AA347" s="26"/>
    </row>
    <row r="348">
      <c r="A348" s="12"/>
      <c r="B348" s="13"/>
      <c r="C348" s="13"/>
      <c r="D348" s="14"/>
      <c r="E348" s="130"/>
      <c r="F348" s="16"/>
      <c r="G348" s="18"/>
      <c r="H348" s="131"/>
      <c r="I348" s="18"/>
      <c r="J348" s="22"/>
      <c r="K348" s="108"/>
      <c r="L348" s="26"/>
      <c r="M348" s="26"/>
      <c r="N348" s="26"/>
      <c r="O348" s="26"/>
      <c r="P348" s="26"/>
      <c r="Q348" s="26"/>
      <c r="R348" s="26"/>
      <c r="S348" s="26"/>
      <c r="T348" s="26"/>
      <c r="U348" s="26"/>
      <c r="V348" s="26"/>
      <c r="W348" s="26"/>
      <c r="X348" s="26"/>
      <c r="Y348" s="26"/>
      <c r="Z348" s="26"/>
      <c r="AA348" s="26"/>
    </row>
    <row r="349">
      <c r="A349" s="12"/>
      <c r="B349" s="13"/>
      <c r="C349" s="13"/>
      <c r="D349" s="14"/>
      <c r="E349" s="130"/>
      <c r="F349" s="16"/>
      <c r="G349" s="18"/>
      <c r="H349" s="131"/>
      <c r="I349" s="18"/>
      <c r="J349" s="22"/>
      <c r="K349" s="108"/>
      <c r="L349" s="26"/>
      <c r="M349" s="26"/>
      <c r="N349" s="26"/>
      <c r="O349" s="26"/>
      <c r="P349" s="26"/>
      <c r="Q349" s="26"/>
      <c r="R349" s="26"/>
      <c r="S349" s="26"/>
      <c r="T349" s="26"/>
      <c r="U349" s="26"/>
      <c r="V349" s="26"/>
      <c r="W349" s="26"/>
      <c r="X349" s="26"/>
      <c r="Y349" s="26"/>
      <c r="Z349" s="26"/>
      <c r="AA349" s="26"/>
    </row>
    <row r="350">
      <c r="A350" s="12"/>
      <c r="B350" s="13"/>
      <c r="C350" s="13"/>
      <c r="D350" s="14"/>
      <c r="E350" s="130"/>
      <c r="F350" s="16"/>
      <c r="G350" s="18"/>
      <c r="H350" s="131"/>
      <c r="I350" s="18"/>
      <c r="J350" s="22"/>
      <c r="K350" s="108"/>
      <c r="L350" s="26"/>
      <c r="M350" s="26"/>
      <c r="N350" s="26"/>
      <c r="O350" s="26"/>
      <c r="P350" s="26"/>
      <c r="Q350" s="26"/>
      <c r="R350" s="26"/>
      <c r="S350" s="26"/>
      <c r="T350" s="26"/>
      <c r="U350" s="26"/>
      <c r="V350" s="26"/>
      <c r="W350" s="26"/>
      <c r="X350" s="26"/>
      <c r="Y350" s="26"/>
      <c r="Z350" s="26"/>
      <c r="AA350" s="26"/>
    </row>
    <row r="351">
      <c r="A351" s="12"/>
      <c r="B351" s="13"/>
      <c r="C351" s="13"/>
      <c r="D351" s="14"/>
      <c r="E351" s="130"/>
      <c r="F351" s="16"/>
      <c r="G351" s="18"/>
      <c r="H351" s="131"/>
      <c r="I351" s="18"/>
      <c r="J351" s="22"/>
      <c r="K351" s="108"/>
      <c r="L351" s="26"/>
      <c r="M351" s="26"/>
      <c r="N351" s="26"/>
      <c r="O351" s="26"/>
      <c r="P351" s="26"/>
      <c r="Q351" s="26"/>
      <c r="R351" s="26"/>
      <c r="S351" s="26"/>
      <c r="T351" s="26"/>
      <c r="U351" s="26"/>
      <c r="V351" s="26"/>
      <c r="W351" s="26"/>
      <c r="X351" s="26"/>
      <c r="Y351" s="26"/>
      <c r="Z351" s="26"/>
      <c r="AA351" s="26"/>
    </row>
    <row r="352">
      <c r="A352" s="12"/>
      <c r="B352" s="13"/>
      <c r="C352" s="13"/>
      <c r="D352" s="14"/>
      <c r="E352" s="130"/>
      <c r="F352" s="16"/>
      <c r="G352" s="18"/>
      <c r="H352" s="131"/>
      <c r="I352" s="18"/>
      <c r="J352" s="22"/>
      <c r="K352" s="108"/>
      <c r="L352" s="26"/>
      <c r="M352" s="26"/>
      <c r="N352" s="26"/>
      <c r="O352" s="26"/>
      <c r="P352" s="26"/>
      <c r="Q352" s="26"/>
      <c r="R352" s="26"/>
      <c r="S352" s="26"/>
      <c r="T352" s="26"/>
      <c r="U352" s="26"/>
      <c r="V352" s="26"/>
      <c r="W352" s="26"/>
      <c r="X352" s="26"/>
      <c r="Y352" s="26"/>
      <c r="Z352" s="26"/>
      <c r="AA352" s="26"/>
    </row>
    <row r="353">
      <c r="A353" s="12"/>
      <c r="B353" s="13"/>
      <c r="C353" s="13"/>
      <c r="D353" s="14"/>
      <c r="E353" s="130"/>
      <c r="F353" s="16"/>
      <c r="G353" s="18"/>
      <c r="H353" s="131"/>
      <c r="I353" s="18"/>
      <c r="J353" s="22"/>
      <c r="K353" s="108"/>
      <c r="L353" s="26"/>
      <c r="M353" s="26"/>
      <c r="N353" s="26"/>
      <c r="O353" s="26"/>
      <c r="P353" s="26"/>
      <c r="Q353" s="26"/>
      <c r="R353" s="26"/>
      <c r="S353" s="26"/>
      <c r="T353" s="26"/>
      <c r="U353" s="26"/>
      <c r="V353" s="26"/>
      <c r="W353" s="26"/>
      <c r="X353" s="26"/>
      <c r="Y353" s="26"/>
      <c r="Z353" s="26"/>
      <c r="AA353" s="26"/>
    </row>
    <row r="354">
      <c r="A354" s="12"/>
      <c r="B354" s="13"/>
      <c r="C354" s="13"/>
      <c r="D354" s="14"/>
      <c r="E354" s="130"/>
      <c r="F354" s="16"/>
      <c r="G354" s="18"/>
      <c r="H354" s="131"/>
      <c r="I354" s="18"/>
      <c r="J354" s="22"/>
      <c r="K354" s="108"/>
      <c r="L354" s="26"/>
      <c r="M354" s="26"/>
      <c r="N354" s="26"/>
      <c r="O354" s="26"/>
      <c r="P354" s="26"/>
      <c r="Q354" s="26"/>
      <c r="R354" s="26"/>
      <c r="S354" s="26"/>
      <c r="T354" s="26"/>
      <c r="U354" s="26"/>
      <c r="V354" s="26"/>
      <c r="W354" s="26"/>
      <c r="X354" s="26"/>
      <c r="Y354" s="26"/>
      <c r="Z354" s="26"/>
      <c r="AA354" s="26"/>
    </row>
    <row r="355">
      <c r="A355" s="12"/>
      <c r="B355" s="13"/>
      <c r="C355" s="13"/>
      <c r="D355" s="14"/>
      <c r="E355" s="130"/>
      <c r="F355" s="16"/>
      <c r="G355" s="18"/>
      <c r="H355" s="131"/>
      <c r="I355" s="18"/>
      <c r="J355" s="22"/>
      <c r="K355" s="108"/>
      <c r="L355" s="26"/>
      <c r="M355" s="26"/>
      <c r="N355" s="26"/>
      <c r="O355" s="26"/>
      <c r="P355" s="26"/>
      <c r="Q355" s="26"/>
      <c r="R355" s="26"/>
      <c r="S355" s="26"/>
      <c r="T355" s="26"/>
      <c r="U355" s="26"/>
      <c r="V355" s="26"/>
      <c r="W355" s="26"/>
      <c r="X355" s="26"/>
      <c r="Y355" s="26"/>
      <c r="Z355" s="26"/>
      <c r="AA355" s="26"/>
    </row>
    <row r="356">
      <c r="A356" s="12"/>
      <c r="B356" s="13"/>
      <c r="C356" s="13"/>
      <c r="D356" s="14"/>
      <c r="E356" s="130"/>
      <c r="F356" s="16"/>
      <c r="G356" s="18"/>
      <c r="H356" s="131"/>
      <c r="I356" s="18"/>
      <c r="J356" s="22"/>
      <c r="K356" s="108"/>
      <c r="L356" s="26"/>
      <c r="M356" s="26"/>
      <c r="N356" s="26"/>
      <c r="O356" s="26"/>
      <c r="P356" s="26"/>
      <c r="Q356" s="26"/>
      <c r="R356" s="26"/>
      <c r="S356" s="26"/>
      <c r="T356" s="26"/>
      <c r="U356" s="26"/>
      <c r="V356" s="26"/>
      <c r="W356" s="26"/>
      <c r="X356" s="26"/>
      <c r="Y356" s="26"/>
      <c r="Z356" s="26"/>
      <c r="AA356" s="26"/>
    </row>
    <row r="357">
      <c r="A357" s="12"/>
      <c r="B357" s="13"/>
      <c r="C357" s="13"/>
      <c r="D357" s="14"/>
      <c r="E357" s="130"/>
      <c r="F357" s="16"/>
      <c r="G357" s="18"/>
      <c r="H357" s="131"/>
      <c r="I357" s="18"/>
      <c r="J357" s="22"/>
      <c r="K357" s="108"/>
      <c r="L357" s="26"/>
      <c r="M357" s="26"/>
      <c r="N357" s="26"/>
      <c r="O357" s="26"/>
      <c r="P357" s="26"/>
      <c r="Q357" s="26"/>
      <c r="R357" s="26"/>
      <c r="S357" s="26"/>
      <c r="T357" s="26"/>
      <c r="U357" s="26"/>
      <c r="V357" s="26"/>
      <c r="W357" s="26"/>
      <c r="X357" s="26"/>
      <c r="Y357" s="26"/>
      <c r="Z357" s="26"/>
      <c r="AA357" s="26"/>
    </row>
    <row r="358">
      <c r="A358" s="12"/>
      <c r="B358" s="13"/>
      <c r="C358" s="13"/>
      <c r="D358" s="14"/>
      <c r="E358" s="130"/>
      <c r="F358" s="16"/>
      <c r="G358" s="18"/>
      <c r="H358" s="131"/>
      <c r="I358" s="18"/>
      <c r="J358" s="22"/>
      <c r="K358" s="108"/>
      <c r="L358" s="26"/>
      <c r="M358" s="26"/>
      <c r="N358" s="26"/>
      <c r="O358" s="26"/>
      <c r="P358" s="26"/>
      <c r="Q358" s="26"/>
      <c r="R358" s="26"/>
      <c r="S358" s="26"/>
      <c r="T358" s="26"/>
      <c r="U358" s="26"/>
      <c r="V358" s="26"/>
      <c r="W358" s="26"/>
      <c r="X358" s="26"/>
      <c r="Y358" s="26"/>
      <c r="Z358" s="26"/>
      <c r="AA358" s="26"/>
    </row>
    <row r="359">
      <c r="A359" s="12"/>
      <c r="B359" s="13"/>
      <c r="C359" s="13"/>
      <c r="D359" s="14"/>
      <c r="E359" s="130"/>
      <c r="F359" s="16"/>
      <c r="G359" s="18"/>
      <c r="H359" s="131"/>
      <c r="I359" s="18"/>
      <c r="J359" s="22"/>
      <c r="K359" s="108"/>
      <c r="L359" s="26"/>
      <c r="M359" s="26"/>
      <c r="N359" s="26"/>
      <c r="O359" s="26"/>
      <c r="P359" s="26"/>
      <c r="Q359" s="26"/>
      <c r="R359" s="26"/>
      <c r="S359" s="26"/>
      <c r="T359" s="26"/>
      <c r="U359" s="26"/>
      <c r="V359" s="26"/>
      <c r="W359" s="26"/>
      <c r="X359" s="26"/>
      <c r="Y359" s="26"/>
      <c r="Z359" s="26"/>
      <c r="AA359" s="26"/>
    </row>
    <row r="360">
      <c r="A360" s="12"/>
      <c r="B360" s="13"/>
      <c r="C360" s="13"/>
      <c r="D360" s="14"/>
      <c r="E360" s="130"/>
      <c r="F360" s="16"/>
      <c r="G360" s="18"/>
      <c r="H360" s="131"/>
      <c r="I360" s="18"/>
      <c r="J360" s="22"/>
      <c r="K360" s="108"/>
      <c r="L360" s="26"/>
      <c r="M360" s="26"/>
      <c r="N360" s="26"/>
      <c r="O360" s="26"/>
      <c r="P360" s="26"/>
      <c r="Q360" s="26"/>
      <c r="R360" s="26"/>
      <c r="S360" s="26"/>
      <c r="T360" s="26"/>
      <c r="U360" s="26"/>
      <c r="V360" s="26"/>
      <c r="W360" s="26"/>
      <c r="X360" s="26"/>
      <c r="Y360" s="26"/>
      <c r="Z360" s="26"/>
      <c r="AA360" s="26"/>
    </row>
    <row r="361">
      <c r="A361" s="12"/>
      <c r="B361" s="13"/>
      <c r="C361" s="13"/>
      <c r="D361" s="14"/>
      <c r="E361" s="130"/>
      <c r="F361" s="16"/>
      <c r="G361" s="18"/>
      <c r="H361" s="131"/>
      <c r="I361" s="18"/>
      <c r="J361" s="22"/>
      <c r="K361" s="108"/>
      <c r="L361" s="26"/>
      <c r="M361" s="26"/>
      <c r="N361" s="26"/>
      <c r="O361" s="26"/>
      <c r="P361" s="26"/>
      <c r="Q361" s="26"/>
      <c r="R361" s="26"/>
      <c r="S361" s="26"/>
      <c r="T361" s="26"/>
      <c r="U361" s="26"/>
      <c r="V361" s="26"/>
      <c r="W361" s="26"/>
      <c r="X361" s="26"/>
      <c r="Y361" s="26"/>
      <c r="Z361" s="26"/>
      <c r="AA361" s="26"/>
    </row>
    <row r="362">
      <c r="A362" s="12"/>
      <c r="B362" s="13"/>
      <c r="C362" s="13"/>
      <c r="D362" s="14"/>
      <c r="E362" s="130"/>
      <c r="F362" s="16"/>
      <c r="G362" s="18"/>
      <c r="H362" s="131"/>
      <c r="I362" s="18"/>
      <c r="J362" s="22"/>
      <c r="K362" s="108"/>
      <c r="L362" s="26"/>
      <c r="M362" s="26"/>
      <c r="N362" s="26"/>
      <c r="O362" s="26"/>
      <c r="P362" s="26"/>
      <c r="Q362" s="26"/>
      <c r="R362" s="26"/>
      <c r="S362" s="26"/>
      <c r="T362" s="26"/>
      <c r="U362" s="26"/>
      <c r="V362" s="26"/>
      <c r="W362" s="26"/>
      <c r="X362" s="26"/>
      <c r="Y362" s="26"/>
      <c r="Z362" s="26"/>
      <c r="AA362" s="26"/>
    </row>
    <row r="363">
      <c r="A363" s="12"/>
      <c r="B363" s="13"/>
      <c r="C363" s="13"/>
      <c r="D363" s="14"/>
      <c r="E363" s="130"/>
      <c r="F363" s="16"/>
      <c r="G363" s="18"/>
      <c r="H363" s="131"/>
      <c r="I363" s="18"/>
      <c r="J363" s="22"/>
      <c r="K363" s="108"/>
      <c r="L363" s="26"/>
      <c r="M363" s="26"/>
      <c r="N363" s="26"/>
      <c r="O363" s="26"/>
      <c r="P363" s="26"/>
      <c r="Q363" s="26"/>
      <c r="R363" s="26"/>
      <c r="S363" s="26"/>
      <c r="T363" s="26"/>
      <c r="U363" s="26"/>
      <c r="V363" s="26"/>
      <c r="W363" s="26"/>
      <c r="X363" s="26"/>
      <c r="Y363" s="26"/>
      <c r="Z363" s="26"/>
      <c r="AA363" s="26"/>
    </row>
    <row r="364">
      <c r="A364" s="12"/>
      <c r="B364" s="13"/>
      <c r="C364" s="13"/>
      <c r="D364" s="14"/>
      <c r="E364" s="130"/>
      <c r="F364" s="16"/>
      <c r="G364" s="18"/>
      <c r="H364" s="131"/>
      <c r="I364" s="18"/>
      <c r="J364" s="22"/>
      <c r="K364" s="108"/>
      <c r="L364" s="26"/>
      <c r="M364" s="26"/>
      <c r="N364" s="26"/>
      <c r="O364" s="26"/>
      <c r="P364" s="26"/>
      <c r="Q364" s="26"/>
      <c r="R364" s="26"/>
      <c r="S364" s="26"/>
      <c r="T364" s="26"/>
      <c r="U364" s="26"/>
      <c r="V364" s="26"/>
      <c r="W364" s="26"/>
      <c r="X364" s="26"/>
      <c r="Y364" s="26"/>
      <c r="Z364" s="26"/>
      <c r="AA364" s="26"/>
    </row>
    <row r="365">
      <c r="A365" s="12"/>
      <c r="B365" s="13"/>
      <c r="C365" s="13"/>
      <c r="D365" s="14"/>
      <c r="E365" s="130"/>
      <c r="F365" s="16"/>
      <c r="G365" s="18"/>
      <c r="H365" s="131"/>
      <c r="I365" s="18"/>
      <c r="J365" s="22"/>
      <c r="K365" s="108"/>
      <c r="L365" s="26"/>
      <c r="M365" s="26"/>
      <c r="N365" s="26"/>
      <c r="O365" s="26"/>
      <c r="P365" s="26"/>
      <c r="Q365" s="26"/>
      <c r="R365" s="26"/>
      <c r="S365" s="26"/>
      <c r="T365" s="26"/>
      <c r="U365" s="26"/>
      <c r="V365" s="26"/>
      <c r="W365" s="26"/>
      <c r="X365" s="26"/>
      <c r="Y365" s="26"/>
      <c r="Z365" s="26"/>
      <c r="AA365" s="26"/>
    </row>
    <row r="366">
      <c r="A366" s="12"/>
      <c r="B366" s="13"/>
      <c r="C366" s="13"/>
      <c r="D366" s="14"/>
      <c r="E366" s="130"/>
      <c r="F366" s="16"/>
      <c r="G366" s="18"/>
      <c r="H366" s="131"/>
      <c r="I366" s="18"/>
      <c r="J366" s="22"/>
      <c r="K366" s="108"/>
      <c r="L366" s="26"/>
      <c r="M366" s="26"/>
      <c r="N366" s="26"/>
      <c r="O366" s="26"/>
      <c r="P366" s="26"/>
      <c r="Q366" s="26"/>
      <c r="R366" s="26"/>
      <c r="S366" s="26"/>
      <c r="T366" s="26"/>
      <c r="U366" s="26"/>
      <c r="V366" s="26"/>
      <c r="W366" s="26"/>
      <c r="X366" s="26"/>
      <c r="Y366" s="26"/>
      <c r="Z366" s="26"/>
      <c r="AA366" s="26"/>
    </row>
    <row r="367">
      <c r="A367" s="12"/>
      <c r="B367" s="13"/>
      <c r="C367" s="13"/>
      <c r="D367" s="14"/>
      <c r="E367" s="130"/>
      <c r="F367" s="16"/>
      <c r="G367" s="18"/>
      <c r="H367" s="131"/>
      <c r="I367" s="18"/>
      <c r="J367" s="22"/>
      <c r="K367" s="108"/>
      <c r="L367" s="26"/>
      <c r="M367" s="26"/>
      <c r="N367" s="26"/>
      <c r="O367" s="26"/>
      <c r="P367" s="26"/>
      <c r="Q367" s="26"/>
      <c r="R367" s="26"/>
      <c r="S367" s="26"/>
      <c r="T367" s="26"/>
      <c r="U367" s="26"/>
      <c r="V367" s="26"/>
      <c r="W367" s="26"/>
      <c r="X367" s="26"/>
      <c r="Y367" s="26"/>
      <c r="Z367" s="26"/>
      <c r="AA367" s="26"/>
    </row>
    <row r="368">
      <c r="A368" s="12"/>
      <c r="B368" s="13"/>
      <c r="C368" s="13"/>
      <c r="D368" s="14"/>
      <c r="E368" s="130"/>
      <c r="F368" s="16"/>
      <c r="G368" s="18"/>
      <c r="H368" s="131"/>
      <c r="I368" s="18"/>
      <c r="J368" s="22"/>
      <c r="K368" s="108"/>
      <c r="L368" s="26"/>
      <c r="M368" s="26"/>
      <c r="N368" s="26"/>
      <c r="O368" s="26"/>
      <c r="P368" s="26"/>
      <c r="Q368" s="26"/>
      <c r="R368" s="26"/>
      <c r="S368" s="26"/>
      <c r="T368" s="26"/>
      <c r="U368" s="26"/>
      <c r="V368" s="26"/>
      <c r="W368" s="26"/>
      <c r="X368" s="26"/>
      <c r="Y368" s="26"/>
      <c r="Z368" s="26"/>
      <c r="AA368" s="26"/>
    </row>
    <row r="369">
      <c r="A369" s="12"/>
      <c r="B369" s="13"/>
      <c r="C369" s="13"/>
      <c r="D369" s="14"/>
      <c r="E369" s="130"/>
      <c r="F369" s="16"/>
      <c r="G369" s="18"/>
      <c r="H369" s="131"/>
      <c r="I369" s="18"/>
      <c r="J369" s="22"/>
      <c r="K369" s="108"/>
      <c r="L369" s="26"/>
      <c r="M369" s="26"/>
      <c r="N369" s="26"/>
      <c r="O369" s="26"/>
      <c r="P369" s="26"/>
      <c r="Q369" s="26"/>
      <c r="R369" s="26"/>
      <c r="S369" s="26"/>
      <c r="T369" s="26"/>
      <c r="U369" s="26"/>
      <c r="V369" s="26"/>
      <c r="W369" s="26"/>
      <c r="X369" s="26"/>
      <c r="Y369" s="26"/>
      <c r="Z369" s="26"/>
      <c r="AA369" s="26"/>
    </row>
    <row r="370">
      <c r="A370" s="12"/>
      <c r="B370" s="13"/>
      <c r="C370" s="13"/>
      <c r="D370" s="14"/>
      <c r="E370" s="130"/>
      <c r="F370" s="16"/>
      <c r="G370" s="18"/>
      <c r="H370" s="131"/>
      <c r="I370" s="18"/>
      <c r="J370" s="22"/>
      <c r="K370" s="108"/>
      <c r="L370" s="26"/>
      <c r="M370" s="26"/>
      <c r="N370" s="26"/>
      <c r="O370" s="26"/>
      <c r="P370" s="26"/>
      <c r="Q370" s="26"/>
      <c r="R370" s="26"/>
      <c r="S370" s="26"/>
      <c r="T370" s="26"/>
      <c r="U370" s="26"/>
      <c r="V370" s="26"/>
      <c r="W370" s="26"/>
      <c r="X370" s="26"/>
      <c r="Y370" s="26"/>
      <c r="Z370" s="26"/>
      <c r="AA370" s="26"/>
    </row>
    <row r="371">
      <c r="A371" s="12"/>
      <c r="B371" s="13"/>
      <c r="C371" s="13"/>
      <c r="D371" s="14"/>
      <c r="E371" s="130"/>
      <c r="F371" s="16"/>
      <c r="G371" s="18"/>
      <c r="H371" s="131"/>
      <c r="I371" s="18"/>
      <c r="J371" s="22"/>
      <c r="K371" s="108"/>
      <c r="L371" s="26"/>
      <c r="M371" s="26"/>
      <c r="N371" s="26"/>
      <c r="O371" s="26"/>
      <c r="P371" s="26"/>
      <c r="Q371" s="26"/>
      <c r="R371" s="26"/>
      <c r="S371" s="26"/>
      <c r="T371" s="26"/>
      <c r="U371" s="26"/>
      <c r="V371" s="26"/>
      <c r="W371" s="26"/>
      <c r="X371" s="26"/>
      <c r="Y371" s="26"/>
      <c r="Z371" s="26"/>
      <c r="AA371" s="26"/>
    </row>
    <row r="372">
      <c r="A372" s="12"/>
      <c r="B372" s="13"/>
      <c r="C372" s="13"/>
      <c r="D372" s="14"/>
      <c r="E372" s="130"/>
      <c r="F372" s="16"/>
      <c r="G372" s="18"/>
      <c r="H372" s="131"/>
      <c r="I372" s="18"/>
      <c r="J372" s="22"/>
      <c r="K372" s="108"/>
      <c r="L372" s="26"/>
      <c r="M372" s="26"/>
      <c r="N372" s="26"/>
      <c r="O372" s="26"/>
      <c r="P372" s="26"/>
      <c r="Q372" s="26"/>
      <c r="R372" s="26"/>
      <c r="S372" s="26"/>
      <c r="T372" s="26"/>
      <c r="U372" s="26"/>
      <c r="V372" s="26"/>
      <c r="W372" s="26"/>
      <c r="X372" s="26"/>
      <c r="Y372" s="26"/>
      <c r="Z372" s="26"/>
      <c r="AA372" s="26"/>
    </row>
    <row r="373">
      <c r="A373" s="12"/>
      <c r="B373" s="13"/>
      <c r="C373" s="13"/>
      <c r="D373" s="14"/>
      <c r="E373" s="130"/>
      <c r="F373" s="16"/>
      <c r="G373" s="18"/>
      <c r="H373" s="131"/>
      <c r="I373" s="18"/>
      <c r="J373" s="22"/>
      <c r="K373" s="108"/>
      <c r="L373" s="26"/>
      <c r="M373" s="26"/>
      <c r="N373" s="26"/>
      <c r="O373" s="26"/>
      <c r="P373" s="26"/>
      <c r="Q373" s="26"/>
      <c r="R373" s="26"/>
      <c r="S373" s="26"/>
      <c r="T373" s="26"/>
      <c r="U373" s="26"/>
      <c r="V373" s="26"/>
      <c r="W373" s="26"/>
      <c r="X373" s="26"/>
      <c r="Y373" s="26"/>
      <c r="Z373" s="26"/>
      <c r="AA373" s="26"/>
    </row>
    <row r="374">
      <c r="A374" s="12"/>
      <c r="B374" s="13"/>
      <c r="C374" s="13"/>
      <c r="D374" s="14"/>
      <c r="E374" s="130"/>
      <c r="F374" s="16"/>
      <c r="G374" s="18"/>
      <c r="H374" s="131"/>
      <c r="I374" s="18"/>
      <c r="J374" s="22"/>
      <c r="K374" s="108"/>
      <c r="L374" s="26"/>
      <c r="M374" s="26"/>
      <c r="N374" s="26"/>
      <c r="O374" s="26"/>
      <c r="P374" s="26"/>
      <c r="Q374" s="26"/>
      <c r="R374" s="26"/>
      <c r="S374" s="26"/>
      <c r="T374" s="26"/>
      <c r="U374" s="26"/>
      <c r="V374" s="26"/>
      <c r="W374" s="26"/>
      <c r="X374" s="26"/>
      <c r="Y374" s="26"/>
      <c r="Z374" s="26"/>
      <c r="AA374" s="26"/>
    </row>
    <row r="375">
      <c r="A375" s="12"/>
      <c r="B375" s="13"/>
      <c r="C375" s="13"/>
      <c r="D375" s="14"/>
      <c r="E375" s="130"/>
      <c r="F375" s="16"/>
      <c r="G375" s="18"/>
      <c r="H375" s="131"/>
      <c r="I375" s="18"/>
      <c r="J375" s="22"/>
      <c r="K375" s="108"/>
      <c r="L375" s="26"/>
      <c r="M375" s="26"/>
      <c r="N375" s="26"/>
      <c r="O375" s="26"/>
      <c r="P375" s="26"/>
      <c r="Q375" s="26"/>
      <c r="R375" s="26"/>
      <c r="S375" s="26"/>
      <c r="T375" s="26"/>
      <c r="U375" s="26"/>
      <c r="V375" s="26"/>
      <c r="W375" s="26"/>
      <c r="X375" s="26"/>
      <c r="Y375" s="26"/>
      <c r="Z375" s="26"/>
      <c r="AA375" s="26"/>
    </row>
    <row r="376">
      <c r="A376" s="12"/>
      <c r="B376" s="13"/>
      <c r="C376" s="13"/>
      <c r="D376" s="14"/>
      <c r="E376" s="130"/>
      <c r="F376" s="16"/>
      <c r="G376" s="18"/>
      <c r="H376" s="131"/>
      <c r="I376" s="18"/>
      <c r="J376" s="22"/>
      <c r="K376" s="108"/>
      <c r="L376" s="26"/>
      <c r="M376" s="26"/>
      <c r="N376" s="26"/>
      <c r="O376" s="26"/>
      <c r="P376" s="26"/>
      <c r="Q376" s="26"/>
      <c r="R376" s="26"/>
      <c r="S376" s="26"/>
      <c r="T376" s="26"/>
      <c r="U376" s="26"/>
      <c r="V376" s="26"/>
      <c r="W376" s="26"/>
      <c r="X376" s="26"/>
      <c r="Y376" s="26"/>
      <c r="Z376" s="26"/>
      <c r="AA376" s="26"/>
    </row>
    <row r="377">
      <c r="A377" s="12"/>
      <c r="B377" s="13"/>
      <c r="C377" s="13"/>
      <c r="D377" s="14"/>
      <c r="E377" s="130"/>
      <c r="F377" s="16"/>
      <c r="G377" s="18"/>
      <c r="H377" s="131"/>
      <c r="I377" s="18"/>
      <c r="J377" s="22"/>
      <c r="K377" s="108"/>
      <c r="L377" s="26"/>
      <c r="M377" s="26"/>
      <c r="N377" s="26"/>
      <c r="O377" s="26"/>
      <c r="P377" s="26"/>
      <c r="Q377" s="26"/>
      <c r="R377" s="26"/>
      <c r="S377" s="26"/>
      <c r="T377" s="26"/>
      <c r="U377" s="26"/>
      <c r="V377" s="26"/>
      <c r="W377" s="26"/>
      <c r="X377" s="26"/>
      <c r="Y377" s="26"/>
      <c r="Z377" s="26"/>
      <c r="AA377" s="26"/>
    </row>
    <row r="378">
      <c r="A378" s="12"/>
      <c r="B378" s="13"/>
      <c r="C378" s="13"/>
      <c r="D378" s="14"/>
      <c r="E378" s="130"/>
      <c r="F378" s="16"/>
      <c r="G378" s="18"/>
      <c r="H378" s="131"/>
      <c r="I378" s="18"/>
      <c r="J378" s="22"/>
      <c r="K378" s="108"/>
      <c r="L378" s="26"/>
      <c r="M378" s="26"/>
      <c r="N378" s="26"/>
      <c r="O378" s="26"/>
      <c r="P378" s="26"/>
      <c r="Q378" s="26"/>
      <c r="R378" s="26"/>
      <c r="S378" s="26"/>
      <c r="T378" s="26"/>
      <c r="U378" s="26"/>
      <c r="V378" s="26"/>
      <c r="W378" s="26"/>
      <c r="X378" s="26"/>
      <c r="Y378" s="26"/>
      <c r="Z378" s="26"/>
      <c r="AA378" s="26"/>
    </row>
    <row r="379">
      <c r="A379" s="12"/>
      <c r="B379" s="13"/>
      <c r="C379" s="13"/>
      <c r="D379" s="14"/>
      <c r="E379" s="130"/>
      <c r="F379" s="16"/>
      <c r="G379" s="18"/>
      <c r="H379" s="131"/>
      <c r="I379" s="18"/>
      <c r="J379" s="22"/>
      <c r="K379" s="108"/>
      <c r="L379" s="26"/>
      <c r="M379" s="26"/>
      <c r="N379" s="26"/>
      <c r="O379" s="26"/>
      <c r="P379" s="26"/>
      <c r="Q379" s="26"/>
      <c r="R379" s="26"/>
      <c r="S379" s="26"/>
      <c r="T379" s="26"/>
      <c r="U379" s="26"/>
      <c r="V379" s="26"/>
      <c r="W379" s="26"/>
      <c r="X379" s="26"/>
      <c r="Y379" s="26"/>
      <c r="Z379" s="26"/>
      <c r="AA379" s="26"/>
    </row>
    <row r="380">
      <c r="A380" s="12"/>
      <c r="B380" s="13"/>
      <c r="C380" s="13"/>
      <c r="D380" s="14"/>
      <c r="E380" s="130"/>
      <c r="F380" s="16"/>
      <c r="G380" s="18"/>
      <c r="H380" s="131"/>
      <c r="I380" s="18"/>
      <c r="J380" s="22"/>
      <c r="K380" s="108"/>
      <c r="L380" s="26"/>
      <c r="M380" s="26"/>
      <c r="N380" s="26"/>
      <c r="O380" s="26"/>
      <c r="P380" s="26"/>
      <c r="Q380" s="26"/>
      <c r="R380" s="26"/>
      <c r="S380" s="26"/>
      <c r="T380" s="26"/>
      <c r="U380" s="26"/>
      <c r="V380" s="26"/>
      <c r="W380" s="26"/>
      <c r="X380" s="26"/>
      <c r="Y380" s="26"/>
      <c r="Z380" s="26"/>
      <c r="AA380" s="26"/>
    </row>
    <row r="381">
      <c r="A381" s="12"/>
      <c r="B381" s="13"/>
      <c r="C381" s="13"/>
      <c r="D381" s="14"/>
      <c r="E381" s="130"/>
      <c r="F381" s="16"/>
      <c r="G381" s="18"/>
      <c r="H381" s="131"/>
      <c r="I381" s="18"/>
      <c r="J381" s="22"/>
      <c r="K381" s="108"/>
      <c r="L381" s="26"/>
      <c r="M381" s="26"/>
      <c r="N381" s="26"/>
      <c r="O381" s="26"/>
      <c r="P381" s="26"/>
      <c r="Q381" s="26"/>
      <c r="R381" s="26"/>
      <c r="S381" s="26"/>
      <c r="T381" s="26"/>
      <c r="U381" s="26"/>
      <c r="V381" s="26"/>
      <c r="W381" s="26"/>
      <c r="X381" s="26"/>
      <c r="Y381" s="26"/>
      <c r="Z381" s="26"/>
      <c r="AA381" s="26"/>
    </row>
    <row r="382">
      <c r="A382" s="12"/>
      <c r="B382" s="13"/>
      <c r="C382" s="13"/>
      <c r="D382" s="14"/>
      <c r="E382" s="130"/>
      <c r="F382" s="16"/>
      <c r="G382" s="18"/>
      <c r="H382" s="131"/>
      <c r="I382" s="18"/>
      <c r="J382" s="22"/>
      <c r="K382" s="108"/>
      <c r="L382" s="26"/>
      <c r="M382" s="26"/>
      <c r="N382" s="26"/>
      <c r="O382" s="26"/>
      <c r="P382" s="26"/>
      <c r="Q382" s="26"/>
      <c r="R382" s="26"/>
      <c r="S382" s="26"/>
      <c r="T382" s="26"/>
      <c r="U382" s="26"/>
      <c r="V382" s="26"/>
      <c r="W382" s="26"/>
      <c r="X382" s="26"/>
      <c r="Y382" s="26"/>
      <c r="Z382" s="26"/>
      <c r="AA382" s="26"/>
    </row>
    <row r="383">
      <c r="A383" s="12"/>
      <c r="B383" s="13"/>
      <c r="C383" s="13"/>
      <c r="D383" s="14"/>
      <c r="E383" s="130"/>
      <c r="F383" s="16"/>
      <c r="G383" s="18"/>
      <c r="H383" s="131"/>
      <c r="I383" s="18"/>
      <c r="J383" s="22"/>
      <c r="K383" s="108"/>
      <c r="L383" s="26"/>
      <c r="M383" s="26"/>
      <c r="N383" s="26"/>
      <c r="O383" s="26"/>
      <c r="P383" s="26"/>
      <c r="Q383" s="26"/>
      <c r="R383" s="26"/>
      <c r="S383" s="26"/>
      <c r="T383" s="26"/>
      <c r="U383" s="26"/>
      <c r="V383" s="26"/>
      <c r="W383" s="26"/>
      <c r="X383" s="26"/>
      <c r="Y383" s="26"/>
      <c r="Z383" s="26"/>
      <c r="AA383" s="26"/>
    </row>
    <row r="384">
      <c r="A384" s="12"/>
      <c r="B384" s="13"/>
      <c r="C384" s="13"/>
      <c r="D384" s="14"/>
      <c r="E384" s="130"/>
      <c r="F384" s="16"/>
      <c r="G384" s="18"/>
      <c r="H384" s="131"/>
      <c r="I384" s="18"/>
      <c r="J384" s="22"/>
      <c r="K384" s="108"/>
      <c r="L384" s="26"/>
      <c r="M384" s="26"/>
      <c r="N384" s="26"/>
      <c r="O384" s="26"/>
      <c r="P384" s="26"/>
      <c r="Q384" s="26"/>
      <c r="R384" s="26"/>
      <c r="S384" s="26"/>
      <c r="T384" s="26"/>
      <c r="U384" s="26"/>
      <c r="V384" s="26"/>
      <c r="W384" s="26"/>
      <c r="X384" s="26"/>
      <c r="Y384" s="26"/>
      <c r="Z384" s="26"/>
      <c r="AA384" s="26"/>
    </row>
    <row r="385">
      <c r="A385" s="12"/>
      <c r="B385" s="13"/>
      <c r="C385" s="13"/>
      <c r="D385" s="14"/>
      <c r="E385" s="130"/>
      <c r="F385" s="16"/>
      <c r="G385" s="18"/>
      <c r="H385" s="131"/>
      <c r="I385" s="18"/>
      <c r="J385" s="22"/>
      <c r="K385" s="108"/>
      <c r="L385" s="26"/>
      <c r="M385" s="26"/>
      <c r="N385" s="26"/>
      <c r="O385" s="26"/>
      <c r="P385" s="26"/>
      <c r="Q385" s="26"/>
      <c r="R385" s="26"/>
      <c r="S385" s="26"/>
      <c r="T385" s="26"/>
      <c r="U385" s="26"/>
      <c r="V385" s="26"/>
      <c r="W385" s="26"/>
      <c r="X385" s="26"/>
      <c r="Y385" s="26"/>
      <c r="Z385" s="26"/>
      <c r="AA385" s="26"/>
    </row>
    <row r="386">
      <c r="A386" s="12"/>
      <c r="B386" s="13"/>
      <c r="C386" s="13"/>
      <c r="D386" s="14"/>
      <c r="E386" s="130"/>
      <c r="F386" s="16"/>
      <c r="G386" s="18"/>
      <c r="H386" s="131"/>
      <c r="I386" s="18"/>
      <c r="J386" s="22"/>
      <c r="K386" s="108"/>
      <c r="L386" s="26"/>
      <c r="M386" s="26"/>
      <c r="N386" s="26"/>
      <c r="O386" s="26"/>
      <c r="P386" s="26"/>
      <c r="Q386" s="26"/>
      <c r="R386" s="26"/>
      <c r="S386" s="26"/>
      <c r="T386" s="26"/>
      <c r="U386" s="26"/>
      <c r="V386" s="26"/>
      <c r="W386" s="26"/>
      <c r="X386" s="26"/>
      <c r="Y386" s="26"/>
      <c r="Z386" s="26"/>
      <c r="AA386" s="26"/>
    </row>
    <row r="387">
      <c r="A387" s="12"/>
      <c r="B387" s="13"/>
      <c r="C387" s="13"/>
      <c r="D387" s="14"/>
      <c r="E387" s="130"/>
      <c r="F387" s="16"/>
      <c r="G387" s="18"/>
      <c r="H387" s="131"/>
      <c r="I387" s="18"/>
      <c r="J387" s="22"/>
      <c r="K387" s="108"/>
      <c r="L387" s="26"/>
      <c r="M387" s="26"/>
      <c r="N387" s="26"/>
      <c r="O387" s="26"/>
      <c r="P387" s="26"/>
      <c r="Q387" s="26"/>
      <c r="R387" s="26"/>
      <c r="S387" s="26"/>
      <c r="T387" s="26"/>
      <c r="U387" s="26"/>
      <c r="V387" s="26"/>
      <c r="W387" s="26"/>
      <c r="X387" s="26"/>
      <c r="Y387" s="26"/>
      <c r="Z387" s="26"/>
      <c r="AA387" s="26"/>
    </row>
    <row r="388">
      <c r="A388" s="12"/>
      <c r="B388" s="13"/>
      <c r="C388" s="13"/>
      <c r="D388" s="14"/>
      <c r="E388" s="130"/>
      <c r="F388" s="16"/>
      <c r="G388" s="18"/>
      <c r="H388" s="131"/>
      <c r="I388" s="18"/>
      <c r="J388" s="22"/>
      <c r="K388" s="108"/>
      <c r="L388" s="26"/>
      <c r="M388" s="26"/>
      <c r="N388" s="26"/>
      <c r="O388" s="26"/>
      <c r="P388" s="26"/>
      <c r="Q388" s="26"/>
      <c r="R388" s="26"/>
      <c r="S388" s="26"/>
      <c r="T388" s="26"/>
      <c r="U388" s="26"/>
      <c r="V388" s="26"/>
      <c r="W388" s="26"/>
      <c r="X388" s="26"/>
      <c r="Y388" s="26"/>
      <c r="Z388" s="26"/>
      <c r="AA388" s="26"/>
    </row>
    <row r="389">
      <c r="A389" s="12"/>
      <c r="B389" s="13"/>
      <c r="C389" s="13"/>
      <c r="D389" s="14"/>
      <c r="E389" s="130"/>
      <c r="F389" s="16"/>
      <c r="G389" s="18"/>
      <c r="H389" s="131"/>
      <c r="I389" s="18"/>
      <c r="J389" s="22"/>
      <c r="K389" s="108"/>
      <c r="L389" s="26"/>
      <c r="M389" s="26"/>
      <c r="N389" s="26"/>
      <c r="O389" s="26"/>
      <c r="P389" s="26"/>
      <c r="Q389" s="26"/>
      <c r="R389" s="26"/>
      <c r="S389" s="26"/>
      <c r="T389" s="26"/>
      <c r="U389" s="26"/>
      <c r="V389" s="26"/>
      <c r="W389" s="26"/>
      <c r="X389" s="26"/>
      <c r="Y389" s="26"/>
      <c r="Z389" s="26"/>
      <c r="AA389" s="26"/>
    </row>
    <row r="390">
      <c r="A390" s="12"/>
      <c r="B390" s="13"/>
      <c r="C390" s="13"/>
      <c r="D390" s="14"/>
      <c r="E390" s="130"/>
      <c r="F390" s="16"/>
      <c r="G390" s="18"/>
      <c r="H390" s="131"/>
      <c r="I390" s="18"/>
      <c r="J390" s="22"/>
      <c r="K390" s="108"/>
      <c r="L390" s="26"/>
      <c r="M390" s="26"/>
      <c r="N390" s="26"/>
      <c r="O390" s="26"/>
      <c r="P390" s="26"/>
      <c r="Q390" s="26"/>
      <c r="R390" s="26"/>
      <c r="S390" s="26"/>
      <c r="T390" s="26"/>
      <c r="U390" s="26"/>
      <c r="V390" s="26"/>
      <c r="W390" s="26"/>
      <c r="X390" s="26"/>
      <c r="Y390" s="26"/>
      <c r="Z390" s="26"/>
      <c r="AA390" s="26"/>
    </row>
    <row r="391">
      <c r="A391" s="12"/>
      <c r="B391" s="13"/>
      <c r="C391" s="13"/>
      <c r="D391" s="14"/>
      <c r="E391" s="130"/>
      <c r="F391" s="16"/>
      <c r="G391" s="18"/>
      <c r="H391" s="131"/>
      <c r="I391" s="18"/>
      <c r="J391" s="22"/>
      <c r="K391" s="108"/>
      <c r="L391" s="26"/>
      <c r="M391" s="26"/>
      <c r="N391" s="26"/>
      <c r="O391" s="26"/>
      <c r="P391" s="26"/>
      <c r="Q391" s="26"/>
      <c r="R391" s="26"/>
      <c r="S391" s="26"/>
      <c r="T391" s="26"/>
      <c r="U391" s="26"/>
      <c r="V391" s="26"/>
      <c r="W391" s="26"/>
      <c r="X391" s="26"/>
      <c r="Y391" s="26"/>
      <c r="Z391" s="26"/>
      <c r="AA391" s="26"/>
    </row>
    <row r="392">
      <c r="A392" s="12"/>
      <c r="B392" s="13"/>
      <c r="C392" s="13"/>
      <c r="D392" s="14"/>
      <c r="E392" s="130"/>
      <c r="F392" s="16"/>
      <c r="G392" s="18"/>
      <c r="H392" s="131"/>
      <c r="I392" s="18"/>
      <c r="J392" s="22"/>
      <c r="K392" s="108"/>
      <c r="L392" s="26"/>
      <c r="M392" s="26"/>
      <c r="N392" s="26"/>
      <c r="O392" s="26"/>
      <c r="P392" s="26"/>
      <c r="Q392" s="26"/>
      <c r="R392" s="26"/>
      <c r="S392" s="26"/>
      <c r="T392" s="26"/>
      <c r="U392" s="26"/>
      <c r="V392" s="26"/>
      <c r="W392" s="26"/>
      <c r="X392" s="26"/>
      <c r="Y392" s="26"/>
      <c r="Z392" s="26"/>
      <c r="AA392" s="26"/>
    </row>
    <row r="393">
      <c r="A393" s="12"/>
      <c r="B393" s="13"/>
      <c r="C393" s="13"/>
      <c r="D393" s="14"/>
      <c r="E393" s="130"/>
      <c r="F393" s="16"/>
      <c r="G393" s="18"/>
      <c r="H393" s="131"/>
      <c r="I393" s="18"/>
      <c r="J393" s="22"/>
      <c r="K393" s="108"/>
      <c r="L393" s="26"/>
      <c r="M393" s="26"/>
      <c r="N393" s="26"/>
      <c r="O393" s="26"/>
      <c r="P393" s="26"/>
      <c r="Q393" s="26"/>
      <c r="R393" s="26"/>
      <c r="S393" s="26"/>
      <c r="T393" s="26"/>
      <c r="U393" s="26"/>
      <c r="V393" s="26"/>
      <c r="W393" s="26"/>
      <c r="X393" s="26"/>
      <c r="Y393" s="26"/>
      <c r="Z393" s="26"/>
      <c r="AA393" s="26"/>
    </row>
    <row r="394">
      <c r="A394" s="12"/>
      <c r="B394" s="13"/>
      <c r="C394" s="13"/>
      <c r="D394" s="14"/>
      <c r="E394" s="130"/>
      <c r="F394" s="16"/>
      <c r="G394" s="18"/>
      <c r="H394" s="131"/>
      <c r="I394" s="18"/>
      <c r="J394" s="22"/>
      <c r="K394" s="108"/>
      <c r="L394" s="26"/>
      <c r="M394" s="26"/>
      <c r="N394" s="26"/>
      <c r="O394" s="26"/>
      <c r="P394" s="26"/>
      <c r="Q394" s="26"/>
      <c r="R394" s="26"/>
      <c r="S394" s="26"/>
      <c r="T394" s="26"/>
      <c r="U394" s="26"/>
      <c r="V394" s="26"/>
      <c r="W394" s="26"/>
      <c r="X394" s="26"/>
      <c r="Y394" s="26"/>
      <c r="Z394" s="26"/>
      <c r="AA394" s="26"/>
    </row>
    <row r="395">
      <c r="A395" s="12"/>
      <c r="B395" s="13"/>
      <c r="C395" s="13"/>
      <c r="D395" s="14"/>
      <c r="E395" s="130"/>
      <c r="F395" s="16"/>
      <c r="G395" s="18"/>
      <c r="H395" s="131"/>
      <c r="I395" s="18"/>
      <c r="J395" s="22"/>
      <c r="K395" s="108"/>
      <c r="L395" s="26"/>
      <c r="M395" s="26"/>
      <c r="N395" s="26"/>
      <c r="O395" s="26"/>
      <c r="P395" s="26"/>
      <c r="Q395" s="26"/>
      <c r="R395" s="26"/>
      <c r="S395" s="26"/>
      <c r="T395" s="26"/>
      <c r="U395" s="26"/>
      <c r="V395" s="26"/>
      <c r="W395" s="26"/>
      <c r="X395" s="26"/>
      <c r="Y395" s="26"/>
      <c r="Z395" s="26"/>
      <c r="AA395" s="26"/>
    </row>
    <row r="396">
      <c r="A396" s="12"/>
      <c r="B396" s="13"/>
      <c r="C396" s="13"/>
      <c r="D396" s="14"/>
      <c r="E396" s="130"/>
      <c r="F396" s="16"/>
      <c r="G396" s="18"/>
      <c r="H396" s="131"/>
      <c r="I396" s="18"/>
      <c r="J396" s="22"/>
      <c r="K396" s="108"/>
      <c r="L396" s="26"/>
      <c r="M396" s="26"/>
      <c r="N396" s="26"/>
      <c r="O396" s="26"/>
      <c r="P396" s="26"/>
      <c r="Q396" s="26"/>
      <c r="R396" s="26"/>
      <c r="S396" s="26"/>
      <c r="T396" s="26"/>
      <c r="U396" s="26"/>
      <c r="V396" s="26"/>
      <c r="W396" s="26"/>
      <c r="X396" s="26"/>
      <c r="Y396" s="26"/>
      <c r="Z396" s="26"/>
      <c r="AA396" s="26"/>
    </row>
    <row r="397">
      <c r="A397" s="12"/>
      <c r="B397" s="13"/>
      <c r="C397" s="13"/>
      <c r="D397" s="14"/>
      <c r="E397" s="130"/>
      <c r="F397" s="16"/>
      <c r="G397" s="18"/>
      <c r="H397" s="131"/>
      <c r="I397" s="18"/>
      <c r="J397" s="22"/>
      <c r="K397" s="108"/>
      <c r="L397" s="26"/>
      <c r="M397" s="26"/>
      <c r="N397" s="26"/>
      <c r="O397" s="26"/>
      <c r="P397" s="26"/>
      <c r="Q397" s="26"/>
      <c r="R397" s="26"/>
      <c r="S397" s="26"/>
      <c r="T397" s="26"/>
      <c r="U397" s="26"/>
      <c r="V397" s="26"/>
      <c r="W397" s="26"/>
      <c r="X397" s="26"/>
      <c r="Y397" s="26"/>
      <c r="Z397" s="26"/>
      <c r="AA397" s="26"/>
    </row>
    <row r="398">
      <c r="A398" s="12"/>
      <c r="B398" s="13"/>
      <c r="C398" s="13"/>
      <c r="D398" s="14"/>
      <c r="E398" s="130"/>
      <c r="F398" s="16"/>
      <c r="G398" s="18"/>
      <c r="H398" s="131"/>
      <c r="I398" s="18"/>
      <c r="J398" s="22"/>
      <c r="K398" s="108"/>
      <c r="L398" s="26"/>
      <c r="M398" s="26"/>
      <c r="N398" s="26"/>
      <c r="O398" s="26"/>
      <c r="P398" s="26"/>
      <c r="Q398" s="26"/>
      <c r="R398" s="26"/>
      <c r="S398" s="26"/>
      <c r="T398" s="26"/>
      <c r="U398" s="26"/>
      <c r="V398" s="26"/>
      <c r="W398" s="26"/>
      <c r="X398" s="26"/>
      <c r="Y398" s="26"/>
      <c r="Z398" s="26"/>
      <c r="AA398" s="26"/>
    </row>
    <row r="399">
      <c r="A399" s="12"/>
      <c r="B399" s="13"/>
      <c r="C399" s="13"/>
      <c r="D399" s="14"/>
      <c r="E399" s="130"/>
      <c r="F399" s="16"/>
      <c r="G399" s="18"/>
      <c r="H399" s="131"/>
      <c r="I399" s="18"/>
      <c r="J399" s="22"/>
      <c r="K399" s="108"/>
      <c r="L399" s="26"/>
      <c r="M399" s="26"/>
      <c r="N399" s="26"/>
      <c r="O399" s="26"/>
      <c r="P399" s="26"/>
      <c r="Q399" s="26"/>
      <c r="R399" s="26"/>
      <c r="S399" s="26"/>
      <c r="T399" s="26"/>
      <c r="U399" s="26"/>
      <c r="V399" s="26"/>
      <c r="W399" s="26"/>
      <c r="X399" s="26"/>
      <c r="Y399" s="26"/>
      <c r="Z399" s="26"/>
      <c r="AA399" s="26"/>
    </row>
    <row r="400">
      <c r="A400" s="12"/>
      <c r="B400" s="13"/>
      <c r="C400" s="13"/>
      <c r="D400" s="14"/>
      <c r="E400" s="130"/>
      <c r="F400" s="16"/>
      <c r="G400" s="18"/>
      <c r="H400" s="131"/>
      <c r="I400" s="18"/>
      <c r="J400" s="22"/>
      <c r="K400" s="108"/>
      <c r="L400" s="26"/>
      <c r="M400" s="26"/>
      <c r="N400" s="26"/>
      <c r="O400" s="26"/>
      <c r="P400" s="26"/>
      <c r="Q400" s="26"/>
      <c r="R400" s="26"/>
      <c r="S400" s="26"/>
      <c r="T400" s="26"/>
      <c r="U400" s="26"/>
      <c r="V400" s="26"/>
      <c r="W400" s="26"/>
      <c r="X400" s="26"/>
      <c r="Y400" s="26"/>
      <c r="Z400" s="26"/>
      <c r="AA400" s="26"/>
    </row>
    <row r="401">
      <c r="A401" s="12"/>
      <c r="B401" s="13"/>
      <c r="C401" s="13"/>
      <c r="D401" s="14"/>
      <c r="E401" s="130"/>
      <c r="F401" s="16"/>
      <c r="G401" s="18"/>
      <c r="H401" s="131"/>
      <c r="I401" s="18"/>
      <c r="J401" s="22"/>
      <c r="K401" s="108"/>
      <c r="L401" s="26"/>
      <c r="M401" s="26"/>
      <c r="N401" s="26"/>
      <c r="O401" s="26"/>
      <c r="P401" s="26"/>
      <c r="Q401" s="26"/>
      <c r="R401" s="26"/>
      <c r="S401" s="26"/>
      <c r="T401" s="26"/>
      <c r="U401" s="26"/>
      <c r="V401" s="26"/>
      <c r="W401" s="26"/>
      <c r="X401" s="26"/>
      <c r="Y401" s="26"/>
      <c r="Z401" s="26"/>
      <c r="AA401" s="26"/>
    </row>
    <row r="402">
      <c r="A402" s="12"/>
      <c r="B402" s="13"/>
      <c r="C402" s="13"/>
      <c r="D402" s="14"/>
      <c r="E402" s="130"/>
      <c r="F402" s="16"/>
      <c r="G402" s="18"/>
      <c r="H402" s="131"/>
      <c r="I402" s="18"/>
      <c r="J402" s="22"/>
      <c r="K402" s="108"/>
      <c r="L402" s="26"/>
      <c r="M402" s="26"/>
      <c r="N402" s="26"/>
      <c r="O402" s="26"/>
      <c r="P402" s="26"/>
      <c r="Q402" s="26"/>
      <c r="R402" s="26"/>
      <c r="S402" s="26"/>
      <c r="T402" s="26"/>
      <c r="U402" s="26"/>
      <c r="V402" s="26"/>
      <c r="W402" s="26"/>
      <c r="X402" s="26"/>
      <c r="Y402" s="26"/>
      <c r="Z402" s="26"/>
      <c r="AA402" s="26"/>
    </row>
    <row r="403">
      <c r="A403" s="12"/>
      <c r="B403" s="13"/>
      <c r="C403" s="13"/>
      <c r="D403" s="14"/>
      <c r="E403" s="130"/>
      <c r="F403" s="16"/>
      <c r="G403" s="18"/>
      <c r="H403" s="131"/>
      <c r="I403" s="18"/>
      <c r="J403" s="22"/>
      <c r="K403" s="108"/>
      <c r="L403" s="26"/>
      <c r="M403" s="26"/>
      <c r="N403" s="26"/>
      <c r="O403" s="26"/>
      <c r="P403" s="26"/>
      <c r="Q403" s="26"/>
      <c r="R403" s="26"/>
      <c r="S403" s="26"/>
      <c r="T403" s="26"/>
      <c r="U403" s="26"/>
      <c r="V403" s="26"/>
      <c r="W403" s="26"/>
      <c r="X403" s="26"/>
      <c r="Y403" s="26"/>
      <c r="Z403" s="26"/>
      <c r="AA403" s="26"/>
    </row>
    <row r="404">
      <c r="A404" s="12"/>
      <c r="B404" s="13"/>
      <c r="C404" s="13"/>
      <c r="D404" s="14"/>
      <c r="E404" s="130"/>
      <c r="F404" s="16"/>
      <c r="G404" s="18"/>
      <c r="H404" s="131"/>
      <c r="I404" s="18"/>
      <c r="J404" s="22"/>
      <c r="K404" s="108"/>
      <c r="L404" s="26"/>
      <c r="M404" s="26"/>
      <c r="N404" s="26"/>
      <c r="O404" s="26"/>
      <c r="P404" s="26"/>
      <c r="Q404" s="26"/>
      <c r="R404" s="26"/>
      <c r="S404" s="26"/>
      <c r="T404" s="26"/>
      <c r="U404" s="26"/>
      <c r="V404" s="26"/>
      <c r="W404" s="26"/>
      <c r="X404" s="26"/>
      <c r="Y404" s="26"/>
      <c r="Z404" s="26"/>
      <c r="AA404" s="26"/>
    </row>
    <row r="405">
      <c r="A405" s="12"/>
      <c r="B405" s="13"/>
      <c r="C405" s="13"/>
      <c r="D405" s="14"/>
      <c r="E405" s="130"/>
      <c r="F405" s="16"/>
      <c r="G405" s="18"/>
      <c r="H405" s="131"/>
      <c r="I405" s="18"/>
      <c r="J405" s="22"/>
      <c r="K405" s="108"/>
      <c r="L405" s="26"/>
      <c r="M405" s="26"/>
      <c r="N405" s="26"/>
      <c r="O405" s="26"/>
      <c r="P405" s="26"/>
      <c r="Q405" s="26"/>
      <c r="R405" s="26"/>
      <c r="S405" s="26"/>
      <c r="T405" s="26"/>
      <c r="U405" s="26"/>
      <c r="V405" s="26"/>
      <c r="W405" s="26"/>
      <c r="X405" s="26"/>
      <c r="Y405" s="26"/>
      <c r="Z405" s="26"/>
      <c r="AA405" s="26"/>
    </row>
    <row r="406">
      <c r="A406" s="12"/>
      <c r="B406" s="13"/>
      <c r="C406" s="13"/>
      <c r="D406" s="14"/>
      <c r="E406" s="130"/>
      <c r="F406" s="16"/>
      <c r="G406" s="18"/>
      <c r="H406" s="131"/>
      <c r="I406" s="18"/>
      <c r="J406" s="22"/>
      <c r="K406" s="108"/>
      <c r="L406" s="26"/>
      <c r="M406" s="26"/>
      <c r="N406" s="26"/>
      <c r="O406" s="26"/>
      <c r="P406" s="26"/>
      <c r="Q406" s="26"/>
      <c r="R406" s="26"/>
      <c r="S406" s="26"/>
      <c r="T406" s="26"/>
      <c r="U406" s="26"/>
      <c r="V406" s="26"/>
      <c r="W406" s="26"/>
      <c r="X406" s="26"/>
      <c r="Y406" s="26"/>
      <c r="Z406" s="26"/>
      <c r="AA406" s="26"/>
    </row>
    <row r="407">
      <c r="A407" s="12"/>
      <c r="B407" s="13"/>
      <c r="C407" s="13"/>
      <c r="D407" s="14"/>
      <c r="E407" s="130"/>
      <c r="F407" s="16"/>
      <c r="G407" s="18"/>
      <c r="H407" s="131"/>
      <c r="I407" s="18"/>
      <c r="J407" s="22"/>
      <c r="K407" s="108"/>
      <c r="L407" s="26"/>
      <c r="M407" s="26"/>
      <c r="N407" s="26"/>
      <c r="O407" s="26"/>
      <c r="P407" s="26"/>
      <c r="Q407" s="26"/>
      <c r="R407" s="26"/>
      <c r="S407" s="26"/>
      <c r="T407" s="26"/>
      <c r="U407" s="26"/>
      <c r="V407" s="26"/>
      <c r="W407" s="26"/>
      <c r="X407" s="26"/>
      <c r="Y407" s="26"/>
      <c r="Z407" s="26"/>
      <c r="AA407" s="26"/>
    </row>
    <row r="408">
      <c r="A408" s="12"/>
      <c r="B408" s="13"/>
      <c r="C408" s="13"/>
      <c r="D408" s="14"/>
      <c r="E408" s="130"/>
      <c r="F408" s="16"/>
      <c r="G408" s="18"/>
      <c r="H408" s="131"/>
      <c r="I408" s="18"/>
      <c r="J408" s="22"/>
      <c r="K408" s="108"/>
      <c r="L408" s="26"/>
      <c r="M408" s="26"/>
      <c r="N408" s="26"/>
      <c r="O408" s="26"/>
      <c r="P408" s="26"/>
      <c r="Q408" s="26"/>
      <c r="R408" s="26"/>
      <c r="S408" s="26"/>
      <c r="T408" s="26"/>
      <c r="U408" s="26"/>
      <c r="V408" s="26"/>
      <c r="W408" s="26"/>
      <c r="X408" s="26"/>
      <c r="Y408" s="26"/>
      <c r="Z408" s="26"/>
      <c r="AA408" s="26"/>
    </row>
    <row r="409">
      <c r="A409" s="12"/>
      <c r="B409" s="13"/>
      <c r="C409" s="13"/>
      <c r="D409" s="14"/>
      <c r="E409" s="130"/>
      <c r="F409" s="16"/>
      <c r="G409" s="18"/>
      <c r="H409" s="131"/>
      <c r="I409" s="18"/>
      <c r="J409" s="22"/>
      <c r="K409" s="108"/>
      <c r="L409" s="26"/>
      <c r="M409" s="26"/>
      <c r="N409" s="26"/>
      <c r="O409" s="26"/>
      <c r="P409" s="26"/>
      <c r="Q409" s="26"/>
      <c r="R409" s="26"/>
      <c r="S409" s="26"/>
      <c r="T409" s="26"/>
      <c r="U409" s="26"/>
      <c r="V409" s="26"/>
      <c r="W409" s="26"/>
      <c r="X409" s="26"/>
      <c r="Y409" s="26"/>
      <c r="Z409" s="26"/>
      <c r="AA409" s="26"/>
    </row>
    <row r="410">
      <c r="A410" s="12"/>
      <c r="B410" s="13"/>
      <c r="C410" s="13"/>
      <c r="D410" s="14"/>
      <c r="E410" s="130"/>
      <c r="F410" s="16"/>
      <c r="G410" s="18"/>
      <c r="H410" s="131"/>
      <c r="I410" s="18"/>
      <c r="J410" s="22"/>
      <c r="K410" s="108"/>
      <c r="L410" s="26"/>
      <c r="M410" s="26"/>
      <c r="N410" s="26"/>
      <c r="O410" s="26"/>
      <c r="P410" s="26"/>
      <c r="Q410" s="26"/>
      <c r="R410" s="26"/>
      <c r="S410" s="26"/>
      <c r="T410" s="26"/>
      <c r="U410" s="26"/>
      <c r="V410" s="26"/>
      <c r="W410" s="26"/>
      <c r="X410" s="26"/>
      <c r="Y410" s="26"/>
      <c r="Z410" s="26"/>
      <c r="AA410" s="26"/>
    </row>
    <row r="411">
      <c r="A411" s="12"/>
      <c r="B411" s="13"/>
      <c r="C411" s="13"/>
      <c r="D411" s="14"/>
      <c r="E411" s="130"/>
      <c r="F411" s="16"/>
      <c r="G411" s="18"/>
      <c r="H411" s="131"/>
      <c r="I411" s="18"/>
      <c r="J411" s="22"/>
      <c r="K411" s="108"/>
      <c r="L411" s="26"/>
      <c r="M411" s="26"/>
      <c r="N411" s="26"/>
      <c r="O411" s="26"/>
      <c r="P411" s="26"/>
      <c r="Q411" s="26"/>
      <c r="R411" s="26"/>
      <c r="S411" s="26"/>
      <c r="T411" s="26"/>
      <c r="U411" s="26"/>
      <c r="V411" s="26"/>
      <c r="W411" s="26"/>
      <c r="X411" s="26"/>
      <c r="Y411" s="26"/>
      <c r="Z411" s="26"/>
      <c r="AA411" s="26"/>
    </row>
    <row r="412">
      <c r="A412" s="12"/>
      <c r="B412" s="13"/>
      <c r="C412" s="13"/>
      <c r="D412" s="14"/>
      <c r="E412" s="130"/>
      <c r="F412" s="16"/>
      <c r="G412" s="18"/>
      <c r="H412" s="131"/>
      <c r="I412" s="18"/>
      <c r="J412" s="22"/>
      <c r="K412" s="108"/>
      <c r="L412" s="26"/>
      <c r="M412" s="26"/>
      <c r="N412" s="26"/>
      <c r="O412" s="26"/>
      <c r="P412" s="26"/>
      <c r="Q412" s="26"/>
      <c r="R412" s="26"/>
      <c r="S412" s="26"/>
      <c r="T412" s="26"/>
      <c r="U412" s="26"/>
      <c r="V412" s="26"/>
      <c r="W412" s="26"/>
      <c r="X412" s="26"/>
      <c r="Y412" s="26"/>
      <c r="Z412" s="26"/>
      <c r="AA412" s="26"/>
    </row>
    <row r="413">
      <c r="A413" s="12"/>
      <c r="B413" s="13"/>
      <c r="C413" s="13"/>
      <c r="D413" s="14"/>
      <c r="E413" s="130"/>
      <c r="F413" s="16"/>
      <c r="G413" s="18"/>
      <c r="H413" s="131"/>
      <c r="I413" s="18"/>
      <c r="J413" s="22"/>
      <c r="K413" s="108"/>
      <c r="L413" s="26"/>
      <c r="M413" s="26"/>
      <c r="N413" s="26"/>
      <c r="O413" s="26"/>
      <c r="P413" s="26"/>
      <c r="Q413" s="26"/>
      <c r="R413" s="26"/>
      <c r="S413" s="26"/>
      <c r="T413" s="26"/>
      <c r="U413" s="26"/>
      <c r="V413" s="26"/>
      <c r="W413" s="26"/>
      <c r="X413" s="26"/>
      <c r="Y413" s="26"/>
      <c r="Z413" s="26"/>
      <c r="AA413" s="26"/>
    </row>
    <row r="414">
      <c r="A414" s="12"/>
      <c r="B414" s="13"/>
      <c r="C414" s="13"/>
      <c r="D414" s="14"/>
      <c r="E414" s="130"/>
      <c r="F414" s="16"/>
      <c r="G414" s="18"/>
      <c r="H414" s="131"/>
      <c r="I414" s="18"/>
      <c r="J414" s="22"/>
      <c r="K414" s="108"/>
      <c r="L414" s="26"/>
      <c r="M414" s="26"/>
      <c r="N414" s="26"/>
      <c r="O414" s="26"/>
      <c r="P414" s="26"/>
      <c r="Q414" s="26"/>
      <c r="R414" s="26"/>
      <c r="S414" s="26"/>
      <c r="T414" s="26"/>
      <c r="U414" s="26"/>
      <c r="V414" s="26"/>
      <c r="W414" s="26"/>
      <c r="X414" s="26"/>
      <c r="Y414" s="26"/>
      <c r="Z414" s="26"/>
      <c r="AA414" s="26"/>
    </row>
    <row r="415">
      <c r="A415" s="12"/>
      <c r="B415" s="13"/>
      <c r="C415" s="13"/>
      <c r="D415" s="14"/>
      <c r="E415" s="130"/>
      <c r="F415" s="16"/>
      <c r="G415" s="18"/>
      <c r="H415" s="131"/>
      <c r="I415" s="18"/>
      <c r="J415" s="22"/>
      <c r="K415" s="108"/>
      <c r="L415" s="26"/>
      <c r="M415" s="26"/>
      <c r="N415" s="26"/>
      <c r="O415" s="26"/>
      <c r="P415" s="26"/>
      <c r="Q415" s="26"/>
      <c r="R415" s="26"/>
      <c r="S415" s="26"/>
      <c r="T415" s="26"/>
      <c r="U415" s="26"/>
      <c r="V415" s="26"/>
      <c r="W415" s="26"/>
      <c r="X415" s="26"/>
      <c r="Y415" s="26"/>
      <c r="Z415" s="26"/>
      <c r="AA415" s="26"/>
    </row>
    <row r="416">
      <c r="A416" s="12"/>
      <c r="B416" s="13"/>
      <c r="C416" s="13"/>
      <c r="D416" s="14"/>
      <c r="E416" s="130"/>
      <c r="F416" s="16"/>
      <c r="G416" s="18"/>
      <c r="H416" s="131"/>
      <c r="I416" s="18"/>
      <c r="J416" s="22"/>
      <c r="K416" s="108"/>
      <c r="L416" s="26"/>
      <c r="M416" s="26"/>
      <c r="N416" s="26"/>
      <c r="O416" s="26"/>
      <c r="P416" s="26"/>
      <c r="Q416" s="26"/>
      <c r="R416" s="26"/>
      <c r="S416" s="26"/>
      <c r="T416" s="26"/>
      <c r="U416" s="26"/>
      <c r="V416" s="26"/>
      <c r="W416" s="26"/>
      <c r="X416" s="26"/>
      <c r="Y416" s="26"/>
      <c r="Z416" s="26"/>
      <c r="AA416" s="26"/>
    </row>
    <row r="417">
      <c r="A417" s="12"/>
      <c r="B417" s="13"/>
      <c r="C417" s="13"/>
      <c r="D417" s="14"/>
      <c r="E417" s="130"/>
      <c r="F417" s="16"/>
      <c r="G417" s="18"/>
      <c r="H417" s="131"/>
      <c r="I417" s="18"/>
      <c r="J417" s="22"/>
      <c r="K417" s="108"/>
      <c r="L417" s="26"/>
      <c r="M417" s="26"/>
      <c r="N417" s="26"/>
      <c r="O417" s="26"/>
      <c r="P417" s="26"/>
      <c r="Q417" s="26"/>
      <c r="R417" s="26"/>
      <c r="S417" s="26"/>
      <c r="T417" s="26"/>
      <c r="U417" s="26"/>
      <c r="V417" s="26"/>
      <c r="W417" s="26"/>
      <c r="X417" s="26"/>
      <c r="Y417" s="26"/>
      <c r="Z417" s="26"/>
      <c r="AA417" s="26"/>
    </row>
    <row r="418">
      <c r="A418" s="12"/>
      <c r="B418" s="13"/>
      <c r="C418" s="13"/>
      <c r="D418" s="14"/>
      <c r="E418" s="130"/>
      <c r="F418" s="16"/>
      <c r="G418" s="18"/>
      <c r="H418" s="131"/>
      <c r="I418" s="18"/>
      <c r="J418" s="22"/>
      <c r="K418" s="108"/>
      <c r="L418" s="26"/>
      <c r="M418" s="26"/>
      <c r="N418" s="26"/>
      <c r="O418" s="26"/>
      <c r="P418" s="26"/>
      <c r="Q418" s="26"/>
      <c r="R418" s="26"/>
      <c r="S418" s="26"/>
      <c r="T418" s="26"/>
      <c r="U418" s="26"/>
      <c r="V418" s="26"/>
      <c r="W418" s="26"/>
      <c r="X418" s="26"/>
      <c r="Y418" s="26"/>
      <c r="Z418" s="26"/>
      <c r="AA418" s="26"/>
    </row>
    <row r="419">
      <c r="A419" s="12"/>
      <c r="B419" s="13"/>
      <c r="C419" s="13"/>
      <c r="D419" s="14"/>
      <c r="E419" s="130"/>
      <c r="F419" s="16"/>
      <c r="G419" s="18"/>
      <c r="H419" s="131"/>
      <c r="I419" s="18"/>
      <c r="J419" s="22"/>
      <c r="K419" s="108"/>
      <c r="L419" s="26"/>
      <c r="M419" s="26"/>
      <c r="N419" s="26"/>
      <c r="O419" s="26"/>
      <c r="P419" s="26"/>
      <c r="Q419" s="26"/>
      <c r="R419" s="26"/>
      <c r="S419" s="26"/>
      <c r="T419" s="26"/>
      <c r="U419" s="26"/>
      <c r="V419" s="26"/>
      <c r="W419" s="26"/>
      <c r="X419" s="26"/>
      <c r="Y419" s="26"/>
      <c r="Z419" s="26"/>
      <c r="AA419" s="26"/>
    </row>
    <row r="420">
      <c r="A420" s="12"/>
      <c r="B420" s="13"/>
      <c r="C420" s="13"/>
      <c r="D420" s="14"/>
      <c r="E420" s="130"/>
      <c r="F420" s="16"/>
      <c r="G420" s="18"/>
      <c r="H420" s="131"/>
      <c r="I420" s="18"/>
      <c r="J420" s="22"/>
      <c r="K420" s="108"/>
      <c r="L420" s="26"/>
      <c r="M420" s="26"/>
      <c r="N420" s="26"/>
      <c r="O420" s="26"/>
      <c r="P420" s="26"/>
      <c r="Q420" s="26"/>
      <c r="R420" s="26"/>
      <c r="S420" s="26"/>
      <c r="T420" s="26"/>
      <c r="U420" s="26"/>
      <c r="V420" s="26"/>
      <c r="W420" s="26"/>
      <c r="X420" s="26"/>
      <c r="Y420" s="26"/>
      <c r="Z420" s="26"/>
      <c r="AA420" s="26"/>
    </row>
    <row r="421">
      <c r="A421" s="12"/>
      <c r="B421" s="13"/>
      <c r="C421" s="13"/>
      <c r="D421" s="14"/>
      <c r="E421" s="130"/>
      <c r="F421" s="16"/>
      <c r="G421" s="18"/>
      <c r="H421" s="131"/>
      <c r="I421" s="18"/>
      <c r="J421" s="22"/>
      <c r="K421" s="108"/>
      <c r="L421" s="26"/>
      <c r="M421" s="26"/>
      <c r="N421" s="26"/>
      <c r="O421" s="26"/>
      <c r="P421" s="26"/>
      <c r="Q421" s="26"/>
      <c r="R421" s="26"/>
      <c r="S421" s="26"/>
      <c r="T421" s="26"/>
      <c r="U421" s="26"/>
      <c r="V421" s="26"/>
      <c r="W421" s="26"/>
      <c r="X421" s="26"/>
      <c r="Y421" s="26"/>
      <c r="Z421" s="26"/>
      <c r="AA421" s="26"/>
    </row>
    <row r="422">
      <c r="A422" s="12"/>
      <c r="B422" s="13"/>
      <c r="C422" s="13"/>
      <c r="D422" s="14"/>
      <c r="E422" s="130"/>
      <c r="F422" s="16"/>
      <c r="G422" s="18"/>
      <c r="H422" s="131"/>
      <c r="I422" s="18"/>
      <c r="J422" s="22"/>
      <c r="K422" s="108"/>
      <c r="L422" s="26"/>
      <c r="M422" s="26"/>
      <c r="N422" s="26"/>
      <c r="O422" s="26"/>
      <c r="P422" s="26"/>
      <c r="Q422" s="26"/>
      <c r="R422" s="26"/>
      <c r="S422" s="26"/>
      <c r="T422" s="26"/>
      <c r="U422" s="26"/>
      <c r="V422" s="26"/>
      <c r="W422" s="26"/>
      <c r="X422" s="26"/>
      <c r="Y422" s="26"/>
      <c r="Z422" s="26"/>
      <c r="AA422" s="26"/>
    </row>
    <row r="423">
      <c r="A423" s="12"/>
      <c r="B423" s="13"/>
      <c r="C423" s="13"/>
      <c r="D423" s="14"/>
      <c r="E423" s="130"/>
      <c r="F423" s="16"/>
      <c r="G423" s="18"/>
      <c r="H423" s="131"/>
      <c r="I423" s="18"/>
      <c r="J423" s="22"/>
      <c r="K423" s="108"/>
      <c r="L423" s="26"/>
      <c r="M423" s="26"/>
      <c r="N423" s="26"/>
      <c r="O423" s="26"/>
      <c r="P423" s="26"/>
      <c r="Q423" s="26"/>
      <c r="R423" s="26"/>
      <c r="S423" s="26"/>
      <c r="T423" s="26"/>
      <c r="U423" s="26"/>
      <c r="V423" s="26"/>
      <c r="W423" s="26"/>
      <c r="X423" s="26"/>
      <c r="Y423" s="26"/>
      <c r="Z423" s="26"/>
      <c r="AA423" s="26"/>
    </row>
    <row r="424">
      <c r="A424" s="12"/>
      <c r="B424" s="13"/>
      <c r="C424" s="13"/>
      <c r="D424" s="14"/>
      <c r="E424" s="130"/>
      <c r="F424" s="16"/>
      <c r="G424" s="18"/>
      <c r="H424" s="131"/>
      <c r="I424" s="18"/>
      <c r="J424" s="22"/>
      <c r="K424" s="108"/>
      <c r="L424" s="26"/>
      <c r="M424" s="26"/>
      <c r="N424" s="26"/>
      <c r="O424" s="26"/>
      <c r="P424" s="26"/>
      <c r="Q424" s="26"/>
      <c r="R424" s="26"/>
      <c r="S424" s="26"/>
      <c r="T424" s="26"/>
      <c r="U424" s="26"/>
      <c r="V424" s="26"/>
      <c r="W424" s="26"/>
      <c r="X424" s="26"/>
      <c r="Y424" s="26"/>
      <c r="Z424" s="26"/>
      <c r="AA424" s="26"/>
    </row>
    <row r="425">
      <c r="A425" s="12"/>
      <c r="B425" s="13"/>
      <c r="C425" s="13"/>
      <c r="D425" s="14"/>
      <c r="E425" s="130"/>
      <c r="F425" s="16"/>
      <c r="G425" s="18"/>
      <c r="H425" s="131"/>
      <c r="I425" s="18"/>
      <c r="J425" s="22"/>
      <c r="K425" s="108"/>
      <c r="L425" s="26"/>
      <c r="M425" s="26"/>
      <c r="N425" s="26"/>
      <c r="O425" s="26"/>
      <c r="P425" s="26"/>
      <c r="Q425" s="26"/>
      <c r="R425" s="26"/>
      <c r="S425" s="26"/>
      <c r="T425" s="26"/>
      <c r="U425" s="26"/>
      <c r="V425" s="26"/>
      <c r="W425" s="26"/>
      <c r="X425" s="26"/>
      <c r="Y425" s="26"/>
      <c r="Z425" s="26"/>
      <c r="AA425" s="26"/>
    </row>
    <row r="426">
      <c r="A426" s="12"/>
      <c r="B426" s="13"/>
      <c r="C426" s="13"/>
      <c r="D426" s="14"/>
      <c r="E426" s="130"/>
      <c r="F426" s="16"/>
      <c r="G426" s="18"/>
      <c r="H426" s="131"/>
      <c r="I426" s="18"/>
      <c r="J426" s="22"/>
      <c r="K426" s="108"/>
      <c r="L426" s="26"/>
      <c r="M426" s="26"/>
      <c r="N426" s="26"/>
      <c r="O426" s="26"/>
      <c r="P426" s="26"/>
      <c r="Q426" s="26"/>
      <c r="R426" s="26"/>
      <c r="S426" s="26"/>
      <c r="T426" s="26"/>
      <c r="U426" s="26"/>
      <c r="V426" s="26"/>
      <c r="W426" s="26"/>
      <c r="X426" s="26"/>
      <c r="Y426" s="26"/>
      <c r="Z426" s="26"/>
      <c r="AA426" s="26"/>
    </row>
    <row r="427">
      <c r="A427" s="12"/>
      <c r="B427" s="13"/>
      <c r="C427" s="13"/>
      <c r="D427" s="14"/>
      <c r="E427" s="130"/>
      <c r="F427" s="16"/>
      <c r="G427" s="18"/>
      <c r="H427" s="131"/>
      <c r="I427" s="18"/>
      <c r="J427" s="22"/>
      <c r="K427" s="108"/>
      <c r="L427" s="26"/>
      <c r="M427" s="26"/>
      <c r="N427" s="26"/>
      <c r="O427" s="26"/>
      <c r="P427" s="26"/>
      <c r="Q427" s="26"/>
      <c r="R427" s="26"/>
      <c r="S427" s="26"/>
      <c r="T427" s="26"/>
      <c r="U427" s="26"/>
      <c r="V427" s="26"/>
      <c r="W427" s="26"/>
      <c r="X427" s="26"/>
      <c r="Y427" s="26"/>
      <c r="Z427" s="26"/>
      <c r="AA427" s="26"/>
    </row>
    <row r="428">
      <c r="A428" s="12"/>
      <c r="B428" s="13"/>
      <c r="C428" s="13"/>
      <c r="D428" s="14"/>
      <c r="E428" s="130"/>
      <c r="F428" s="16"/>
      <c r="G428" s="18"/>
      <c r="H428" s="131"/>
      <c r="I428" s="18"/>
      <c r="J428" s="22"/>
      <c r="K428" s="108"/>
      <c r="L428" s="26"/>
      <c r="M428" s="26"/>
      <c r="N428" s="26"/>
      <c r="O428" s="26"/>
      <c r="P428" s="26"/>
      <c r="Q428" s="26"/>
      <c r="R428" s="26"/>
      <c r="S428" s="26"/>
      <c r="T428" s="26"/>
      <c r="U428" s="26"/>
      <c r="V428" s="26"/>
      <c r="W428" s="26"/>
      <c r="X428" s="26"/>
      <c r="Y428" s="26"/>
      <c r="Z428" s="26"/>
      <c r="AA428" s="26"/>
    </row>
    <row r="429">
      <c r="A429" s="12"/>
      <c r="B429" s="13"/>
      <c r="C429" s="13"/>
      <c r="D429" s="14"/>
      <c r="E429" s="130"/>
      <c r="F429" s="16"/>
      <c r="G429" s="18"/>
      <c r="H429" s="131"/>
      <c r="I429" s="18"/>
      <c r="J429" s="22"/>
      <c r="K429" s="108"/>
      <c r="L429" s="26"/>
      <c r="M429" s="26"/>
      <c r="N429" s="26"/>
      <c r="O429" s="26"/>
      <c r="P429" s="26"/>
      <c r="Q429" s="26"/>
      <c r="R429" s="26"/>
      <c r="S429" s="26"/>
      <c r="T429" s="26"/>
      <c r="U429" s="26"/>
      <c r="V429" s="26"/>
      <c r="W429" s="26"/>
      <c r="X429" s="26"/>
      <c r="Y429" s="26"/>
      <c r="Z429" s="26"/>
      <c r="AA429" s="26"/>
    </row>
    <row r="430">
      <c r="A430" s="12"/>
      <c r="B430" s="13"/>
      <c r="C430" s="13"/>
      <c r="D430" s="14"/>
      <c r="E430" s="130"/>
      <c r="F430" s="16"/>
      <c r="G430" s="18"/>
      <c r="H430" s="131"/>
      <c r="I430" s="18"/>
      <c r="J430" s="22"/>
      <c r="K430" s="108"/>
      <c r="L430" s="26"/>
      <c r="M430" s="26"/>
      <c r="N430" s="26"/>
      <c r="O430" s="26"/>
      <c r="P430" s="26"/>
      <c r="Q430" s="26"/>
      <c r="R430" s="26"/>
      <c r="S430" s="26"/>
      <c r="T430" s="26"/>
      <c r="U430" s="26"/>
      <c r="V430" s="26"/>
      <c r="W430" s="26"/>
      <c r="X430" s="26"/>
      <c r="Y430" s="26"/>
      <c r="Z430" s="26"/>
      <c r="AA430" s="26"/>
    </row>
    <row r="431">
      <c r="A431" s="12"/>
      <c r="B431" s="13"/>
      <c r="C431" s="13"/>
      <c r="D431" s="14"/>
      <c r="E431" s="130"/>
      <c r="F431" s="16"/>
      <c r="G431" s="18"/>
      <c r="H431" s="131"/>
      <c r="I431" s="18"/>
      <c r="J431" s="22"/>
      <c r="K431" s="108"/>
      <c r="L431" s="26"/>
      <c r="M431" s="26"/>
      <c r="N431" s="26"/>
      <c r="O431" s="26"/>
      <c r="P431" s="26"/>
      <c r="Q431" s="26"/>
      <c r="R431" s="26"/>
      <c r="S431" s="26"/>
      <c r="T431" s="26"/>
      <c r="U431" s="26"/>
      <c r="V431" s="26"/>
      <c r="W431" s="26"/>
      <c r="X431" s="26"/>
      <c r="Y431" s="26"/>
      <c r="Z431" s="26"/>
      <c r="AA431" s="26"/>
    </row>
    <row r="432">
      <c r="A432" s="12"/>
      <c r="B432" s="13"/>
      <c r="C432" s="13"/>
      <c r="D432" s="14"/>
      <c r="E432" s="130"/>
      <c r="F432" s="16"/>
      <c r="G432" s="18"/>
      <c r="H432" s="131"/>
      <c r="I432" s="18"/>
      <c r="J432" s="22"/>
      <c r="K432" s="108"/>
      <c r="L432" s="26"/>
      <c r="M432" s="26"/>
      <c r="N432" s="26"/>
      <c r="O432" s="26"/>
      <c r="P432" s="26"/>
      <c r="Q432" s="26"/>
      <c r="R432" s="26"/>
      <c r="S432" s="26"/>
      <c r="T432" s="26"/>
      <c r="U432" s="26"/>
      <c r="V432" s="26"/>
      <c r="W432" s="26"/>
      <c r="X432" s="26"/>
      <c r="Y432" s="26"/>
      <c r="Z432" s="26"/>
      <c r="AA432" s="26"/>
    </row>
    <row r="433">
      <c r="A433" s="12"/>
      <c r="B433" s="13"/>
      <c r="C433" s="13"/>
      <c r="D433" s="14"/>
      <c r="E433" s="130"/>
      <c r="F433" s="16"/>
      <c r="G433" s="18"/>
      <c r="H433" s="131"/>
      <c r="I433" s="18"/>
      <c r="J433" s="22"/>
      <c r="K433" s="108"/>
      <c r="L433" s="26"/>
      <c r="M433" s="26"/>
      <c r="N433" s="26"/>
      <c r="O433" s="26"/>
      <c r="P433" s="26"/>
      <c r="Q433" s="26"/>
      <c r="R433" s="26"/>
      <c r="S433" s="26"/>
      <c r="T433" s="26"/>
      <c r="U433" s="26"/>
      <c r="V433" s="26"/>
      <c r="W433" s="26"/>
      <c r="X433" s="26"/>
      <c r="Y433" s="26"/>
      <c r="Z433" s="26"/>
      <c r="AA433" s="26"/>
    </row>
    <row r="434">
      <c r="A434" s="12"/>
      <c r="B434" s="13"/>
      <c r="C434" s="13"/>
      <c r="D434" s="14"/>
      <c r="E434" s="130"/>
      <c r="F434" s="16"/>
      <c r="G434" s="18"/>
      <c r="H434" s="131"/>
      <c r="I434" s="18"/>
      <c r="J434" s="22"/>
      <c r="K434" s="108"/>
      <c r="L434" s="26"/>
      <c r="M434" s="26"/>
      <c r="N434" s="26"/>
      <c r="O434" s="26"/>
      <c r="P434" s="26"/>
      <c r="Q434" s="26"/>
      <c r="R434" s="26"/>
      <c r="S434" s="26"/>
      <c r="T434" s="26"/>
      <c r="U434" s="26"/>
      <c r="V434" s="26"/>
      <c r="W434" s="26"/>
      <c r="X434" s="26"/>
      <c r="Y434" s="26"/>
      <c r="Z434" s="26"/>
      <c r="AA434" s="26"/>
    </row>
    <row r="435">
      <c r="A435" s="12"/>
      <c r="B435" s="13"/>
      <c r="C435" s="13"/>
      <c r="D435" s="14"/>
      <c r="E435" s="130"/>
      <c r="F435" s="16"/>
      <c r="G435" s="18"/>
      <c r="H435" s="131"/>
      <c r="I435" s="18"/>
      <c r="J435" s="22"/>
      <c r="K435" s="108"/>
      <c r="L435" s="26"/>
      <c r="M435" s="26"/>
      <c r="N435" s="26"/>
      <c r="O435" s="26"/>
      <c r="P435" s="26"/>
      <c r="Q435" s="26"/>
      <c r="R435" s="26"/>
      <c r="S435" s="26"/>
      <c r="T435" s="26"/>
      <c r="U435" s="26"/>
      <c r="V435" s="26"/>
      <c r="W435" s="26"/>
      <c r="X435" s="26"/>
      <c r="Y435" s="26"/>
      <c r="Z435" s="26"/>
      <c r="AA435" s="26"/>
    </row>
    <row r="436">
      <c r="A436" s="12"/>
      <c r="B436" s="13"/>
      <c r="C436" s="13"/>
      <c r="D436" s="14"/>
      <c r="E436" s="130"/>
      <c r="F436" s="16"/>
      <c r="G436" s="18"/>
      <c r="H436" s="131"/>
      <c r="I436" s="18"/>
      <c r="J436" s="22"/>
      <c r="K436" s="108"/>
      <c r="L436" s="26"/>
      <c r="M436" s="26"/>
      <c r="N436" s="26"/>
      <c r="O436" s="26"/>
      <c r="P436" s="26"/>
      <c r="Q436" s="26"/>
      <c r="R436" s="26"/>
      <c r="S436" s="26"/>
      <c r="T436" s="26"/>
      <c r="U436" s="26"/>
      <c r="V436" s="26"/>
      <c r="W436" s="26"/>
      <c r="X436" s="26"/>
      <c r="Y436" s="26"/>
      <c r="Z436" s="26"/>
      <c r="AA436" s="26"/>
    </row>
    <row r="437">
      <c r="A437" s="12"/>
      <c r="B437" s="13"/>
      <c r="C437" s="13"/>
      <c r="D437" s="14"/>
      <c r="E437" s="130"/>
      <c r="F437" s="16"/>
      <c r="G437" s="18"/>
      <c r="H437" s="131"/>
      <c r="I437" s="18"/>
      <c r="J437" s="22"/>
      <c r="K437" s="108"/>
      <c r="L437" s="26"/>
      <c r="M437" s="26"/>
      <c r="N437" s="26"/>
      <c r="O437" s="26"/>
      <c r="P437" s="26"/>
      <c r="Q437" s="26"/>
      <c r="R437" s="26"/>
      <c r="S437" s="26"/>
      <c r="T437" s="26"/>
      <c r="U437" s="26"/>
      <c r="V437" s="26"/>
      <c r="W437" s="26"/>
      <c r="X437" s="26"/>
      <c r="Y437" s="26"/>
      <c r="Z437" s="26"/>
      <c r="AA437" s="26"/>
    </row>
    <row r="438">
      <c r="A438" s="12"/>
      <c r="B438" s="13"/>
      <c r="C438" s="13"/>
      <c r="D438" s="14"/>
      <c r="E438" s="130"/>
      <c r="F438" s="16"/>
      <c r="G438" s="18"/>
      <c r="H438" s="131"/>
      <c r="I438" s="18"/>
      <c r="J438" s="22"/>
      <c r="K438" s="108"/>
      <c r="L438" s="26"/>
      <c r="M438" s="26"/>
      <c r="N438" s="26"/>
      <c r="O438" s="26"/>
      <c r="P438" s="26"/>
      <c r="Q438" s="26"/>
      <c r="R438" s="26"/>
      <c r="S438" s="26"/>
      <c r="T438" s="26"/>
      <c r="U438" s="26"/>
      <c r="V438" s="26"/>
      <c r="W438" s="26"/>
      <c r="X438" s="26"/>
      <c r="Y438" s="26"/>
      <c r="Z438" s="26"/>
      <c r="AA438" s="26"/>
    </row>
    <row r="439">
      <c r="A439" s="12"/>
      <c r="B439" s="13"/>
      <c r="C439" s="13"/>
      <c r="D439" s="14"/>
      <c r="E439" s="130"/>
      <c r="F439" s="16"/>
      <c r="G439" s="18"/>
      <c r="H439" s="131"/>
      <c r="I439" s="18"/>
      <c r="J439" s="22"/>
      <c r="K439" s="108"/>
      <c r="L439" s="26"/>
      <c r="M439" s="26"/>
      <c r="N439" s="26"/>
      <c r="O439" s="26"/>
      <c r="P439" s="26"/>
      <c r="Q439" s="26"/>
      <c r="R439" s="26"/>
      <c r="S439" s="26"/>
      <c r="T439" s="26"/>
      <c r="U439" s="26"/>
      <c r="V439" s="26"/>
      <c r="W439" s="26"/>
      <c r="X439" s="26"/>
      <c r="Y439" s="26"/>
      <c r="Z439" s="26"/>
      <c r="AA439" s="26"/>
    </row>
    <row r="440">
      <c r="A440" s="12"/>
      <c r="B440" s="13"/>
      <c r="C440" s="13"/>
      <c r="D440" s="14"/>
      <c r="E440" s="130"/>
      <c r="F440" s="16"/>
      <c r="G440" s="18"/>
      <c r="H440" s="131"/>
      <c r="I440" s="18"/>
      <c r="J440" s="22"/>
      <c r="K440" s="108"/>
      <c r="L440" s="26"/>
      <c r="M440" s="26"/>
      <c r="N440" s="26"/>
      <c r="O440" s="26"/>
      <c r="P440" s="26"/>
      <c r="Q440" s="26"/>
      <c r="R440" s="26"/>
      <c r="S440" s="26"/>
      <c r="T440" s="26"/>
      <c r="U440" s="26"/>
      <c r="V440" s="26"/>
      <c r="W440" s="26"/>
      <c r="X440" s="26"/>
      <c r="Y440" s="26"/>
      <c r="Z440" s="26"/>
      <c r="AA440" s="26"/>
    </row>
    <row r="441">
      <c r="A441" s="12"/>
      <c r="B441" s="13"/>
      <c r="C441" s="13"/>
      <c r="D441" s="14"/>
      <c r="E441" s="130"/>
      <c r="F441" s="16"/>
      <c r="G441" s="18"/>
      <c r="H441" s="131"/>
      <c r="I441" s="18"/>
      <c r="J441" s="22"/>
      <c r="K441" s="108"/>
      <c r="L441" s="26"/>
      <c r="M441" s="26"/>
      <c r="N441" s="26"/>
      <c r="O441" s="26"/>
      <c r="P441" s="26"/>
      <c r="Q441" s="26"/>
      <c r="R441" s="26"/>
      <c r="S441" s="26"/>
      <c r="T441" s="26"/>
      <c r="U441" s="26"/>
      <c r="V441" s="26"/>
      <c r="W441" s="26"/>
      <c r="X441" s="26"/>
      <c r="Y441" s="26"/>
      <c r="Z441" s="26"/>
      <c r="AA441" s="26"/>
    </row>
    <row r="442">
      <c r="A442" s="12"/>
      <c r="B442" s="13"/>
      <c r="C442" s="13"/>
      <c r="D442" s="14"/>
      <c r="E442" s="130"/>
      <c r="F442" s="16"/>
      <c r="G442" s="18"/>
      <c r="H442" s="131"/>
      <c r="I442" s="18"/>
      <c r="J442" s="22"/>
      <c r="K442" s="108"/>
      <c r="L442" s="26"/>
      <c r="M442" s="26"/>
      <c r="N442" s="26"/>
      <c r="O442" s="26"/>
      <c r="P442" s="26"/>
      <c r="Q442" s="26"/>
      <c r="R442" s="26"/>
      <c r="S442" s="26"/>
      <c r="T442" s="26"/>
      <c r="U442" s="26"/>
      <c r="V442" s="26"/>
      <c r="W442" s="26"/>
      <c r="X442" s="26"/>
      <c r="Y442" s="26"/>
      <c r="Z442" s="26"/>
      <c r="AA442" s="26"/>
    </row>
    <row r="443">
      <c r="A443" s="12"/>
      <c r="B443" s="13"/>
      <c r="C443" s="13"/>
      <c r="D443" s="14"/>
      <c r="E443" s="130"/>
      <c r="F443" s="16"/>
      <c r="G443" s="18"/>
      <c r="H443" s="131"/>
      <c r="I443" s="18"/>
      <c r="J443" s="22"/>
      <c r="K443" s="108"/>
      <c r="L443" s="26"/>
      <c r="M443" s="26"/>
      <c r="N443" s="26"/>
      <c r="O443" s="26"/>
      <c r="P443" s="26"/>
      <c r="Q443" s="26"/>
      <c r="R443" s="26"/>
      <c r="S443" s="26"/>
      <c r="T443" s="26"/>
      <c r="U443" s="26"/>
      <c r="V443" s="26"/>
      <c r="W443" s="26"/>
      <c r="X443" s="26"/>
      <c r="Y443" s="26"/>
      <c r="Z443" s="26"/>
      <c r="AA443" s="26"/>
    </row>
    <row r="444">
      <c r="A444" s="12"/>
      <c r="B444" s="13"/>
      <c r="C444" s="13"/>
      <c r="D444" s="14"/>
      <c r="E444" s="130"/>
      <c r="F444" s="16"/>
      <c r="G444" s="18"/>
      <c r="H444" s="131"/>
      <c r="I444" s="18"/>
      <c r="J444" s="22"/>
      <c r="K444" s="108"/>
      <c r="L444" s="26"/>
      <c r="M444" s="26"/>
      <c r="N444" s="26"/>
      <c r="O444" s="26"/>
      <c r="P444" s="26"/>
      <c r="Q444" s="26"/>
      <c r="R444" s="26"/>
      <c r="S444" s="26"/>
      <c r="T444" s="26"/>
      <c r="U444" s="26"/>
      <c r="V444" s="26"/>
      <c r="W444" s="26"/>
      <c r="X444" s="26"/>
      <c r="Y444" s="26"/>
      <c r="Z444" s="26"/>
      <c r="AA444" s="26"/>
    </row>
    <row r="445">
      <c r="A445" s="12"/>
      <c r="B445" s="13"/>
      <c r="C445" s="13"/>
      <c r="D445" s="14"/>
      <c r="E445" s="130"/>
      <c r="F445" s="16"/>
      <c r="G445" s="18"/>
      <c r="H445" s="131"/>
      <c r="I445" s="18"/>
      <c r="J445" s="22"/>
      <c r="K445" s="108"/>
      <c r="L445" s="26"/>
      <c r="M445" s="26"/>
      <c r="N445" s="26"/>
      <c r="O445" s="26"/>
      <c r="P445" s="26"/>
      <c r="Q445" s="26"/>
      <c r="R445" s="26"/>
      <c r="S445" s="26"/>
      <c r="T445" s="26"/>
      <c r="U445" s="26"/>
      <c r="V445" s="26"/>
      <c r="W445" s="26"/>
      <c r="X445" s="26"/>
      <c r="Y445" s="26"/>
      <c r="Z445" s="26"/>
      <c r="AA445" s="26"/>
    </row>
    <row r="446">
      <c r="A446" s="12"/>
      <c r="B446" s="13"/>
      <c r="C446" s="13"/>
      <c r="D446" s="14"/>
      <c r="E446" s="130"/>
      <c r="F446" s="16"/>
      <c r="G446" s="18"/>
      <c r="H446" s="131"/>
      <c r="I446" s="18"/>
      <c r="J446" s="22"/>
      <c r="K446" s="108"/>
      <c r="L446" s="26"/>
      <c r="M446" s="26"/>
      <c r="N446" s="26"/>
      <c r="O446" s="26"/>
      <c r="P446" s="26"/>
      <c r="Q446" s="26"/>
      <c r="R446" s="26"/>
      <c r="S446" s="26"/>
      <c r="T446" s="26"/>
      <c r="U446" s="26"/>
      <c r="V446" s="26"/>
      <c r="W446" s="26"/>
      <c r="X446" s="26"/>
      <c r="Y446" s="26"/>
      <c r="Z446" s="26"/>
      <c r="AA446" s="26"/>
    </row>
    <row r="447">
      <c r="A447" s="12"/>
      <c r="B447" s="13"/>
      <c r="C447" s="13"/>
      <c r="D447" s="14"/>
      <c r="E447" s="130"/>
      <c r="F447" s="16"/>
      <c r="G447" s="18"/>
      <c r="H447" s="131"/>
      <c r="I447" s="18"/>
      <c r="J447" s="22"/>
      <c r="K447" s="108"/>
      <c r="L447" s="26"/>
      <c r="M447" s="26"/>
      <c r="N447" s="26"/>
      <c r="O447" s="26"/>
      <c r="P447" s="26"/>
      <c r="Q447" s="26"/>
      <c r="R447" s="26"/>
      <c r="S447" s="26"/>
      <c r="T447" s="26"/>
      <c r="U447" s="26"/>
      <c r="V447" s="26"/>
      <c r="W447" s="26"/>
      <c r="X447" s="26"/>
      <c r="Y447" s="26"/>
      <c r="Z447" s="26"/>
      <c r="AA447" s="26"/>
    </row>
    <row r="448">
      <c r="A448" s="12"/>
      <c r="B448" s="13"/>
      <c r="C448" s="13"/>
      <c r="D448" s="14"/>
      <c r="E448" s="130"/>
      <c r="F448" s="16"/>
      <c r="G448" s="18"/>
      <c r="H448" s="131"/>
      <c r="I448" s="18"/>
      <c r="J448" s="22"/>
      <c r="K448" s="108"/>
      <c r="L448" s="26"/>
      <c r="M448" s="26"/>
      <c r="N448" s="26"/>
      <c r="O448" s="26"/>
      <c r="P448" s="26"/>
      <c r="Q448" s="26"/>
      <c r="R448" s="26"/>
      <c r="S448" s="26"/>
      <c r="T448" s="26"/>
      <c r="U448" s="26"/>
      <c r="V448" s="26"/>
      <c r="W448" s="26"/>
      <c r="X448" s="26"/>
      <c r="Y448" s="26"/>
      <c r="Z448" s="26"/>
      <c r="AA448" s="26"/>
    </row>
    <row r="449">
      <c r="A449" s="12"/>
      <c r="B449" s="13"/>
      <c r="C449" s="13"/>
      <c r="D449" s="14"/>
      <c r="E449" s="130"/>
      <c r="F449" s="16"/>
      <c r="G449" s="18"/>
      <c r="H449" s="131"/>
      <c r="I449" s="18"/>
      <c r="J449" s="22"/>
      <c r="K449" s="108"/>
      <c r="L449" s="26"/>
      <c r="M449" s="26"/>
      <c r="N449" s="26"/>
      <c r="O449" s="26"/>
      <c r="P449" s="26"/>
      <c r="Q449" s="26"/>
      <c r="R449" s="26"/>
      <c r="S449" s="26"/>
      <c r="T449" s="26"/>
      <c r="U449" s="26"/>
      <c r="V449" s="26"/>
      <c r="W449" s="26"/>
      <c r="X449" s="26"/>
      <c r="Y449" s="26"/>
      <c r="Z449" s="26"/>
      <c r="AA449" s="26"/>
    </row>
    <row r="450">
      <c r="A450" s="12"/>
      <c r="B450" s="13"/>
      <c r="C450" s="13"/>
      <c r="D450" s="14"/>
      <c r="E450" s="130"/>
      <c r="F450" s="16"/>
      <c r="G450" s="18"/>
      <c r="H450" s="131"/>
      <c r="I450" s="18"/>
      <c r="J450" s="22"/>
      <c r="K450" s="108"/>
      <c r="L450" s="26"/>
      <c r="M450" s="26"/>
      <c r="N450" s="26"/>
      <c r="O450" s="26"/>
      <c r="P450" s="26"/>
      <c r="Q450" s="26"/>
      <c r="R450" s="26"/>
      <c r="S450" s="26"/>
      <c r="T450" s="26"/>
      <c r="U450" s="26"/>
      <c r="V450" s="26"/>
      <c r="W450" s="26"/>
      <c r="X450" s="26"/>
      <c r="Y450" s="26"/>
      <c r="Z450" s="26"/>
      <c r="AA450" s="26"/>
    </row>
    <row r="451">
      <c r="A451" s="12"/>
      <c r="B451" s="13"/>
      <c r="C451" s="13"/>
      <c r="D451" s="14"/>
      <c r="E451" s="130"/>
      <c r="F451" s="16"/>
      <c r="G451" s="18"/>
      <c r="H451" s="131"/>
      <c r="I451" s="18"/>
      <c r="J451" s="22"/>
      <c r="K451" s="108"/>
      <c r="L451" s="26"/>
      <c r="M451" s="26"/>
      <c r="N451" s="26"/>
      <c r="O451" s="26"/>
      <c r="P451" s="26"/>
      <c r="Q451" s="26"/>
      <c r="R451" s="26"/>
      <c r="S451" s="26"/>
      <c r="T451" s="26"/>
      <c r="U451" s="26"/>
      <c r="V451" s="26"/>
      <c r="W451" s="26"/>
      <c r="X451" s="26"/>
      <c r="Y451" s="26"/>
      <c r="Z451" s="26"/>
      <c r="AA451" s="26"/>
    </row>
    <row r="452">
      <c r="A452" s="12"/>
      <c r="B452" s="13"/>
      <c r="C452" s="13"/>
      <c r="D452" s="14"/>
      <c r="E452" s="130"/>
      <c r="F452" s="16"/>
      <c r="G452" s="18"/>
      <c r="H452" s="131"/>
      <c r="I452" s="18"/>
      <c r="J452" s="22"/>
      <c r="K452" s="108"/>
      <c r="L452" s="26"/>
      <c r="M452" s="26"/>
      <c r="N452" s="26"/>
      <c r="O452" s="26"/>
      <c r="P452" s="26"/>
      <c r="Q452" s="26"/>
      <c r="R452" s="26"/>
      <c r="S452" s="26"/>
      <c r="T452" s="26"/>
      <c r="U452" s="26"/>
      <c r="V452" s="26"/>
      <c r="W452" s="26"/>
      <c r="X452" s="26"/>
      <c r="Y452" s="26"/>
      <c r="Z452" s="26"/>
      <c r="AA452" s="26"/>
    </row>
    <row r="453">
      <c r="A453" s="12"/>
      <c r="B453" s="13"/>
      <c r="C453" s="13"/>
      <c r="D453" s="14"/>
      <c r="E453" s="130"/>
      <c r="F453" s="16"/>
      <c r="G453" s="18"/>
      <c r="H453" s="131"/>
      <c r="I453" s="18"/>
      <c r="J453" s="22"/>
      <c r="K453" s="108"/>
      <c r="L453" s="26"/>
      <c r="M453" s="26"/>
      <c r="N453" s="26"/>
      <c r="O453" s="26"/>
      <c r="P453" s="26"/>
      <c r="Q453" s="26"/>
      <c r="R453" s="26"/>
      <c r="S453" s="26"/>
      <c r="T453" s="26"/>
      <c r="U453" s="26"/>
      <c r="V453" s="26"/>
      <c r="W453" s="26"/>
      <c r="X453" s="26"/>
      <c r="Y453" s="26"/>
      <c r="Z453" s="26"/>
      <c r="AA453" s="26"/>
    </row>
    <row r="454">
      <c r="A454" s="12"/>
      <c r="B454" s="13"/>
      <c r="C454" s="13"/>
      <c r="D454" s="14"/>
      <c r="E454" s="130"/>
      <c r="F454" s="16"/>
      <c r="G454" s="18"/>
      <c r="H454" s="131"/>
      <c r="I454" s="18"/>
      <c r="J454" s="22"/>
      <c r="K454" s="108"/>
      <c r="L454" s="26"/>
      <c r="M454" s="26"/>
      <c r="N454" s="26"/>
      <c r="O454" s="26"/>
      <c r="P454" s="26"/>
      <c r="Q454" s="26"/>
      <c r="R454" s="26"/>
      <c r="S454" s="26"/>
      <c r="T454" s="26"/>
      <c r="U454" s="26"/>
      <c r="V454" s="26"/>
      <c r="W454" s="26"/>
      <c r="X454" s="26"/>
      <c r="Y454" s="26"/>
      <c r="Z454" s="26"/>
      <c r="AA454" s="26"/>
    </row>
    <row r="455">
      <c r="A455" s="12"/>
      <c r="B455" s="13"/>
      <c r="C455" s="13"/>
      <c r="D455" s="14"/>
      <c r="E455" s="130"/>
      <c r="F455" s="16"/>
      <c r="G455" s="18"/>
      <c r="H455" s="131"/>
      <c r="I455" s="18"/>
      <c r="J455" s="22"/>
      <c r="K455" s="108"/>
      <c r="L455" s="26"/>
      <c r="M455" s="26"/>
      <c r="N455" s="26"/>
      <c r="O455" s="26"/>
      <c r="P455" s="26"/>
      <c r="Q455" s="26"/>
      <c r="R455" s="26"/>
      <c r="S455" s="26"/>
      <c r="T455" s="26"/>
      <c r="U455" s="26"/>
      <c r="V455" s="26"/>
      <c r="W455" s="26"/>
      <c r="X455" s="26"/>
      <c r="Y455" s="26"/>
      <c r="Z455" s="26"/>
      <c r="AA455" s="26"/>
    </row>
    <row r="456">
      <c r="A456" s="12"/>
      <c r="B456" s="13"/>
      <c r="C456" s="13"/>
      <c r="D456" s="14"/>
      <c r="E456" s="130"/>
      <c r="F456" s="16"/>
      <c r="G456" s="18"/>
      <c r="H456" s="131"/>
      <c r="I456" s="18"/>
      <c r="J456" s="22"/>
      <c r="K456" s="108"/>
      <c r="L456" s="26"/>
      <c r="M456" s="26"/>
      <c r="N456" s="26"/>
      <c r="O456" s="26"/>
      <c r="P456" s="26"/>
      <c r="Q456" s="26"/>
      <c r="R456" s="26"/>
      <c r="S456" s="26"/>
      <c r="T456" s="26"/>
      <c r="U456" s="26"/>
      <c r="V456" s="26"/>
      <c r="W456" s="26"/>
      <c r="X456" s="26"/>
      <c r="Y456" s="26"/>
      <c r="Z456" s="26"/>
      <c r="AA456" s="26"/>
    </row>
    <row r="457">
      <c r="A457" s="12"/>
      <c r="B457" s="13"/>
      <c r="C457" s="13"/>
      <c r="D457" s="14"/>
      <c r="E457" s="130"/>
      <c r="F457" s="16"/>
      <c r="G457" s="18"/>
      <c r="H457" s="131"/>
      <c r="I457" s="18"/>
      <c r="J457" s="22"/>
      <c r="K457" s="108"/>
      <c r="L457" s="26"/>
      <c r="M457" s="26"/>
      <c r="N457" s="26"/>
      <c r="O457" s="26"/>
      <c r="P457" s="26"/>
      <c r="Q457" s="26"/>
      <c r="R457" s="26"/>
      <c r="S457" s="26"/>
      <c r="T457" s="26"/>
      <c r="U457" s="26"/>
      <c r="V457" s="26"/>
      <c r="W457" s="26"/>
      <c r="X457" s="26"/>
      <c r="Y457" s="26"/>
      <c r="Z457" s="26"/>
      <c r="AA457" s="26"/>
    </row>
    <row r="458">
      <c r="A458" s="12"/>
      <c r="B458" s="13"/>
      <c r="C458" s="13"/>
      <c r="D458" s="14"/>
      <c r="E458" s="130"/>
      <c r="F458" s="16"/>
      <c r="G458" s="18"/>
      <c r="H458" s="131"/>
      <c r="I458" s="18"/>
      <c r="J458" s="22"/>
      <c r="K458" s="108"/>
      <c r="L458" s="26"/>
      <c r="M458" s="26"/>
      <c r="N458" s="26"/>
      <c r="O458" s="26"/>
      <c r="P458" s="26"/>
      <c r="Q458" s="26"/>
      <c r="R458" s="26"/>
      <c r="S458" s="26"/>
      <c r="T458" s="26"/>
      <c r="U458" s="26"/>
      <c r="V458" s="26"/>
      <c r="W458" s="26"/>
      <c r="X458" s="26"/>
      <c r="Y458" s="26"/>
      <c r="Z458" s="26"/>
      <c r="AA458" s="26"/>
    </row>
    <row r="459">
      <c r="A459" s="12"/>
      <c r="B459" s="13"/>
      <c r="C459" s="13"/>
      <c r="D459" s="14"/>
      <c r="E459" s="130"/>
      <c r="F459" s="16"/>
      <c r="G459" s="18"/>
      <c r="H459" s="131"/>
      <c r="I459" s="18"/>
      <c r="J459" s="22"/>
      <c r="K459" s="108"/>
      <c r="L459" s="26"/>
      <c r="M459" s="26"/>
      <c r="N459" s="26"/>
      <c r="O459" s="26"/>
      <c r="P459" s="26"/>
      <c r="Q459" s="26"/>
      <c r="R459" s="26"/>
      <c r="S459" s="26"/>
      <c r="T459" s="26"/>
      <c r="U459" s="26"/>
      <c r="V459" s="26"/>
      <c r="W459" s="26"/>
      <c r="X459" s="26"/>
      <c r="Y459" s="26"/>
      <c r="Z459" s="26"/>
      <c r="AA459" s="26"/>
    </row>
    <row r="460">
      <c r="A460" s="12"/>
      <c r="B460" s="13"/>
      <c r="C460" s="13"/>
      <c r="D460" s="14"/>
      <c r="E460" s="130"/>
      <c r="F460" s="16"/>
      <c r="G460" s="18"/>
      <c r="H460" s="131"/>
      <c r="I460" s="18"/>
      <c r="J460" s="22"/>
      <c r="K460" s="108"/>
      <c r="L460" s="26"/>
      <c r="M460" s="26"/>
      <c r="N460" s="26"/>
      <c r="O460" s="26"/>
      <c r="P460" s="26"/>
      <c r="Q460" s="26"/>
      <c r="R460" s="26"/>
      <c r="S460" s="26"/>
      <c r="T460" s="26"/>
      <c r="U460" s="26"/>
      <c r="V460" s="26"/>
      <c r="W460" s="26"/>
      <c r="X460" s="26"/>
      <c r="Y460" s="26"/>
      <c r="Z460" s="26"/>
      <c r="AA460" s="26"/>
    </row>
    <row r="461">
      <c r="A461" s="12"/>
      <c r="B461" s="13"/>
      <c r="C461" s="13"/>
      <c r="D461" s="14"/>
      <c r="E461" s="130"/>
      <c r="F461" s="16"/>
      <c r="G461" s="18"/>
      <c r="H461" s="131"/>
      <c r="I461" s="18"/>
      <c r="J461" s="22"/>
      <c r="K461" s="108"/>
      <c r="L461" s="26"/>
      <c r="M461" s="26"/>
      <c r="N461" s="26"/>
      <c r="O461" s="26"/>
      <c r="P461" s="26"/>
      <c r="Q461" s="26"/>
      <c r="R461" s="26"/>
      <c r="S461" s="26"/>
      <c r="T461" s="26"/>
      <c r="U461" s="26"/>
      <c r="V461" s="26"/>
      <c r="W461" s="26"/>
      <c r="X461" s="26"/>
      <c r="Y461" s="26"/>
      <c r="Z461" s="26"/>
      <c r="AA461" s="26"/>
    </row>
    <row r="462">
      <c r="A462" s="12"/>
      <c r="B462" s="13"/>
      <c r="C462" s="13"/>
      <c r="D462" s="14"/>
      <c r="E462" s="130"/>
      <c r="F462" s="16"/>
      <c r="G462" s="18"/>
      <c r="H462" s="131"/>
      <c r="I462" s="18"/>
      <c r="J462" s="22"/>
      <c r="K462" s="108"/>
      <c r="L462" s="26"/>
      <c r="M462" s="26"/>
      <c r="N462" s="26"/>
      <c r="O462" s="26"/>
      <c r="P462" s="26"/>
      <c r="Q462" s="26"/>
      <c r="R462" s="26"/>
      <c r="S462" s="26"/>
      <c r="T462" s="26"/>
      <c r="U462" s="26"/>
      <c r="V462" s="26"/>
      <c r="W462" s="26"/>
      <c r="X462" s="26"/>
      <c r="Y462" s="26"/>
      <c r="Z462" s="26"/>
      <c r="AA462" s="26"/>
    </row>
    <row r="463">
      <c r="A463" s="12"/>
      <c r="B463" s="13"/>
      <c r="C463" s="13"/>
      <c r="D463" s="14"/>
      <c r="E463" s="130"/>
      <c r="F463" s="16"/>
      <c r="G463" s="18"/>
      <c r="H463" s="131"/>
      <c r="I463" s="18"/>
      <c r="J463" s="22"/>
      <c r="K463" s="108"/>
      <c r="L463" s="26"/>
      <c r="M463" s="26"/>
      <c r="N463" s="26"/>
      <c r="O463" s="26"/>
      <c r="P463" s="26"/>
      <c r="Q463" s="26"/>
      <c r="R463" s="26"/>
      <c r="S463" s="26"/>
      <c r="T463" s="26"/>
      <c r="U463" s="26"/>
      <c r="V463" s="26"/>
      <c r="W463" s="26"/>
      <c r="X463" s="26"/>
      <c r="Y463" s="26"/>
      <c r="Z463" s="26"/>
      <c r="AA463" s="26"/>
    </row>
    <row r="464">
      <c r="A464" s="12"/>
      <c r="B464" s="13"/>
      <c r="C464" s="13"/>
      <c r="D464" s="14"/>
      <c r="E464" s="130"/>
      <c r="F464" s="16"/>
      <c r="G464" s="18"/>
      <c r="H464" s="131"/>
      <c r="I464" s="18"/>
      <c r="J464" s="22"/>
      <c r="K464" s="108"/>
      <c r="L464" s="26"/>
      <c r="M464" s="26"/>
      <c r="N464" s="26"/>
      <c r="O464" s="26"/>
      <c r="P464" s="26"/>
      <c r="Q464" s="26"/>
      <c r="R464" s="26"/>
      <c r="S464" s="26"/>
      <c r="T464" s="26"/>
      <c r="U464" s="26"/>
      <c r="V464" s="26"/>
      <c r="W464" s="26"/>
      <c r="X464" s="26"/>
      <c r="Y464" s="26"/>
      <c r="Z464" s="26"/>
      <c r="AA464" s="26"/>
    </row>
    <row r="465">
      <c r="A465" s="12"/>
      <c r="B465" s="13"/>
      <c r="C465" s="13"/>
      <c r="D465" s="14"/>
      <c r="E465" s="130"/>
      <c r="F465" s="16"/>
      <c r="G465" s="18"/>
      <c r="H465" s="131"/>
      <c r="I465" s="18"/>
      <c r="J465" s="22"/>
      <c r="K465" s="108"/>
      <c r="L465" s="26"/>
      <c r="M465" s="26"/>
      <c r="N465" s="26"/>
      <c r="O465" s="26"/>
      <c r="P465" s="26"/>
      <c r="Q465" s="26"/>
      <c r="R465" s="26"/>
      <c r="S465" s="26"/>
      <c r="T465" s="26"/>
      <c r="U465" s="26"/>
      <c r="V465" s="26"/>
      <c r="W465" s="26"/>
      <c r="X465" s="26"/>
      <c r="Y465" s="26"/>
      <c r="Z465" s="26"/>
      <c r="AA465" s="26"/>
    </row>
    <row r="466">
      <c r="A466" s="12"/>
      <c r="B466" s="13"/>
      <c r="C466" s="13"/>
      <c r="D466" s="14"/>
      <c r="E466" s="130"/>
      <c r="F466" s="16"/>
      <c r="G466" s="18"/>
      <c r="H466" s="131"/>
      <c r="I466" s="18"/>
      <c r="J466" s="22"/>
      <c r="K466" s="108"/>
      <c r="L466" s="26"/>
      <c r="M466" s="26"/>
      <c r="N466" s="26"/>
      <c r="O466" s="26"/>
      <c r="P466" s="26"/>
      <c r="Q466" s="26"/>
      <c r="R466" s="26"/>
      <c r="S466" s="26"/>
      <c r="T466" s="26"/>
      <c r="U466" s="26"/>
      <c r="V466" s="26"/>
      <c r="W466" s="26"/>
      <c r="X466" s="26"/>
      <c r="Y466" s="26"/>
      <c r="Z466" s="26"/>
      <c r="AA466" s="26"/>
    </row>
    <row r="467">
      <c r="A467" s="12"/>
      <c r="B467" s="13"/>
      <c r="C467" s="13"/>
      <c r="D467" s="14"/>
      <c r="E467" s="130"/>
      <c r="F467" s="16"/>
      <c r="G467" s="18"/>
      <c r="H467" s="131"/>
      <c r="I467" s="18"/>
      <c r="J467" s="22"/>
      <c r="K467" s="108"/>
      <c r="L467" s="26"/>
      <c r="M467" s="26"/>
      <c r="N467" s="26"/>
      <c r="O467" s="26"/>
      <c r="P467" s="26"/>
      <c r="Q467" s="26"/>
      <c r="R467" s="26"/>
      <c r="S467" s="26"/>
      <c r="T467" s="26"/>
      <c r="U467" s="26"/>
      <c r="V467" s="26"/>
      <c r="W467" s="26"/>
      <c r="X467" s="26"/>
      <c r="Y467" s="26"/>
      <c r="Z467" s="26"/>
      <c r="AA467" s="26"/>
    </row>
    <row r="468">
      <c r="A468" s="12"/>
      <c r="B468" s="13"/>
      <c r="C468" s="13"/>
      <c r="D468" s="14"/>
      <c r="E468" s="130"/>
      <c r="F468" s="16"/>
      <c r="G468" s="18"/>
      <c r="H468" s="131"/>
      <c r="I468" s="18"/>
      <c r="J468" s="22"/>
      <c r="K468" s="108"/>
      <c r="L468" s="26"/>
      <c r="M468" s="26"/>
      <c r="N468" s="26"/>
      <c r="O468" s="26"/>
      <c r="P468" s="26"/>
      <c r="Q468" s="26"/>
      <c r="R468" s="26"/>
      <c r="S468" s="26"/>
      <c r="T468" s="26"/>
      <c r="U468" s="26"/>
      <c r="V468" s="26"/>
      <c r="W468" s="26"/>
      <c r="X468" s="26"/>
      <c r="Y468" s="26"/>
      <c r="Z468" s="26"/>
      <c r="AA468" s="26"/>
    </row>
    <row r="469">
      <c r="A469" s="12"/>
      <c r="B469" s="13"/>
      <c r="C469" s="13"/>
      <c r="D469" s="14"/>
      <c r="E469" s="130"/>
      <c r="F469" s="16"/>
      <c r="G469" s="18"/>
      <c r="H469" s="131"/>
      <c r="I469" s="18"/>
      <c r="J469" s="22"/>
      <c r="K469" s="108"/>
      <c r="L469" s="26"/>
      <c r="M469" s="26"/>
      <c r="N469" s="26"/>
      <c r="O469" s="26"/>
      <c r="P469" s="26"/>
      <c r="Q469" s="26"/>
      <c r="R469" s="26"/>
      <c r="S469" s="26"/>
      <c r="T469" s="26"/>
      <c r="U469" s="26"/>
      <c r="V469" s="26"/>
      <c r="W469" s="26"/>
      <c r="X469" s="26"/>
      <c r="Y469" s="26"/>
      <c r="Z469" s="26"/>
      <c r="AA469" s="26"/>
    </row>
    <row r="470">
      <c r="A470" s="12"/>
      <c r="B470" s="13"/>
      <c r="C470" s="13"/>
      <c r="D470" s="14"/>
      <c r="E470" s="130"/>
      <c r="F470" s="16"/>
      <c r="G470" s="18"/>
      <c r="H470" s="131"/>
      <c r="I470" s="18"/>
      <c r="J470" s="22"/>
      <c r="K470" s="108"/>
      <c r="L470" s="26"/>
      <c r="M470" s="26"/>
      <c r="N470" s="26"/>
      <c r="O470" s="26"/>
      <c r="P470" s="26"/>
      <c r="Q470" s="26"/>
      <c r="R470" s="26"/>
      <c r="S470" s="26"/>
      <c r="T470" s="26"/>
      <c r="U470" s="26"/>
      <c r="V470" s="26"/>
      <c r="W470" s="26"/>
      <c r="X470" s="26"/>
      <c r="Y470" s="26"/>
      <c r="Z470" s="26"/>
      <c r="AA470" s="26"/>
    </row>
    <row r="471">
      <c r="A471" s="12"/>
      <c r="B471" s="13"/>
      <c r="C471" s="13"/>
      <c r="D471" s="14"/>
      <c r="E471" s="130"/>
      <c r="F471" s="16"/>
      <c r="G471" s="18"/>
      <c r="H471" s="131"/>
      <c r="I471" s="18"/>
      <c r="J471" s="22"/>
      <c r="K471" s="108"/>
      <c r="L471" s="26"/>
      <c r="M471" s="26"/>
      <c r="N471" s="26"/>
      <c r="O471" s="26"/>
      <c r="P471" s="26"/>
      <c r="Q471" s="26"/>
      <c r="R471" s="26"/>
      <c r="S471" s="26"/>
      <c r="T471" s="26"/>
      <c r="U471" s="26"/>
      <c r="V471" s="26"/>
      <c r="W471" s="26"/>
      <c r="X471" s="26"/>
      <c r="Y471" s="26"/>
      <c r="Z471" s="26"/>
      <c r="AA471" s="26"/>
    </row>
    <row r="472">
      <c r="A472" s="12"/>
      <c r="B472" s="13"/>
      <c r="C472" s="13"/>
      <c r="D472" s="14"/>
      <c r="E472" s="130"/>
      <c r="F472" s="16"/>
      <c r="G472" s="18"/>
      <c r="H472" s="131"/>
      <c r="I472" s="18"/>
      <c r="J472" s="22"/>
      <c r="K472" s="108"/>
      <c r="L472" s="26"/>
      <c r="M472" s="26"/>
      <c r="N472" s="26"/>
      <c r="O472" s="26"/>
      <c r="P472" s="26"/>
      <c r="Q472" s="26"/>
      <c r="R472" s="26"/>
      <c r="S472" s="26"/>
      <c r="T472" s="26"/>
      <c r="U472" s="26"/>
      <c r="V472" s="26"/>
      <c r="W472" s="26"/>
      <c r="X472" s="26"/>
      <c r="Y472" s="26"/>
      <c r="Z472" s="26"/>
      <c r="AA472" s="26"/>
    </row>
    <row r="473">
      <c r="A473" s="12"/>
      <c r="B473" s="13"/>
      <c r="C473" s="13"/>
      <c r="D473" s="14"/>
      <c r="E473" s="130"/>
      <c r="F473" s="16"/>
      <c r="G473" s="18"/>
      <c r="H473" s="131"/>
      <c r="I473" s="18"/>
      <c r="J473" s="22"/>
      <c r="K473" s="108"/>
      <c r="L473" s="26"/>
      <c r="M473" s="26"/>
      <c r="N473" s="26"/>
      <c r="O473" s="26"/>
      <c r="P473" s="26"/>
      <c r="Q473" s="26"/>
      <c r="R473" s="26"/>
      <c r="S473" s="26"/>
      <c r="T473" s="26"/>
      <c r="U473" s="26"/>
      <c r="V473" s="26"/>
      <c r="W473" s="26"/>
      <c r="X473" s="26"/>
      <c r="Y473" s="26"/>
      <c r="Z473" s="26"/>
      <c r="AA473" s="26"/>
    </row>
    <row r="474">
      <c r="A474" s="12"/>
      <c r="B474" s="13"/>
      <c r="C474" s="13"/>
      <c r="D474" s="14"/>
      <c r="E474" s="130"/>
      <c r="F474" s="16"/>
      <c r="G474" s="18"/>
      <c r="H474" s="131"/>
      <c r="I474" s="18"/>
      <c r="J474" s="22"/>
      <c r="K474" s="108"/>
      <c r="L474" s="26"/>
      <c r="M474" s="26"/>
      <c r="N474" s="26"/>
      <c r="O474" s="26"/>
      <c r="P474" s="26"/>
      <c r="Q474" s="26"/>
      <c r="R474" s="26"/>
      <c r="S474" s="26"/>
      <c r="T474" s="26"/>
      <c r="U474" s="26"/>
      <c r="V474" s="26"/>
      <c r="W474" s="26"/>
      <c r="X474" s="26"/>
      <c r="Y474" s="26"/>
      <c r="Z474" s="26"/>
      <c r="AA474" s="26"/>
    </row>
    <row r="475">
      <c r="A475" s="12"/>
      <c r="B475" s="13"/>
      <c r="C475" s="13"/>
      <c r="D475" s="14"/>
      <c r="E475" s="130"/>
      <c r="F475" s="16"/>
      <c r="G475" s="18"/>
      <c r="H475" s="131"/>
      <c r="I475" s="18"/>
      <c r="J475" s="22"/>
      <c r="K475" s="108"/>
      <c r="L475" s="26"/>
      <c r="M475" s="26"/>
      <c r="N475" s="26"/>
      <c r="O475" s="26"/>
      <c r="P475" s="26"/>
      <c r="Q475" s="26"/>
      <c r="R475" s="26"/>
      <c r="S475" s="26"/>
      <c r="T475" s="26"/>
      <c r="U475" s="26"/>
      <c r="V475" s="26"/>
      <c r="W475" s="26"/>
      <c r="X475" s="26"/>
      <c r="Y475" s="26"/>
      <c r="Z475" s="26"/>
      <c r="AA475" s="26"/>
    </row>
    <row r="476">
      <c r="A476" s="12"/>
      <c r="B476" s="13"/>
      <c r="C476" s="13"/>
      <c r="D476" s="14"/>
      <c r="E476" s="130"/>
      <c r="F476" s="16"/>
      <c r="G476" s="18"/>
      <c r="H476" s="131"/>
      <c r="I476" s="18"/>
      <c r="J476" s="22"/>
      <c r="K476" s="108"/>
      <c r="L476" s="26"/>
      <c r="M476" s="26"/>
      <c r="N476" s="26"/>
      <c r="O476" s="26"/>
      <c r="P476" s="26"/>
      <c r="Q476" s="26"/>
      <c r="R476" s="26"/>
      <c r="S476" s="26"/>
      <c r="T476" s="26"/>
      <c r="U476" s="26"/>
      <c r="V476" s="26"/>
      <c r="W476" s="26"/>
      <c r="X476" s="26"/>
      <c r="Y476" s="26"/>
      <c r="Z476" s="26"/>
      <c r="AA476" s="26"/>
    </row>
    <row r="477">
      <c r="A477" s="12"/>
      <c r="B477" s="13"/>
      <c r="C477" s="13"/>
      <c r="D477" s="14"/>
      <c r="E477" s="130"/>
      <c r="F477" s="16"/>
      <c r="G477" s="18"/>
      <c r="H477" s="131"/>
      <c r="I477" s="18"/>
      <c r="J477" s="22"/>
      <c r="K477" s="108"/>
      <c r="L477" s="26"/>
      <c r="M477" s="26"/>
      <c r="N477" s="26"/>
      <c r="O477" s="26"/>
      <c r="P477" s="26"/>
      <c r="Q477" s="26"/>
      <c r="R477" s="26"/>
      <c r="S477" s="26"/>
      <c r="T477" s="26"/>
      <c r="U477" s="26"/>
      <c r="V477" s="26"/>
      <c r="W477" s="26"/>
      <c r="X477" s="26"/>
      <c r="Y477" s="26"/>
      <c r="Z477" s="26"/>
      <c r="AA477" s="26"/>
    </row>
    <row r="478">
      <c r="A478" s="12"/>
      <c r="B478" s="13"/>
      <c r="C478" s="13"/>
      <c r="D478" s="14"/>
      <c r="E478" s="130"/>
      <c r="F478" s="16"/>
      <c r="G478" s="18"/>
      <c r="H478" s="131"/>
      <c r="I478" s="18"/>
      <c r="J478" s="22"/>
      <c r="K478" s="108"/>
      <c r="L478" s="26"/>
      <c r="M478" s="26"/>
      <c r="N478" s="26"/>
      <c r="O478" s="26"/>
      <c r="P478" s="26"/>
      <c r="Q478" s="26"/>
      <c r="R478" s="26"/>
      <c r="S478" s="26"/>
      <c r="T478" s="26"/>
      <c r="U478" s="26"/>
      <c r="V478" s="26"/>
      <c r="W478" s="26"/>
      <c r="X478" s="26"/>
      <c r="Y478" s="26"/>
      <c r="Z478" s="26"/>
      <c r="AA478" s="26"/>
    </row>
    <row r="479">
      <c r="A479" s="12"/>
      <c r="B479" s="13"/>
      <c r="C479" s="13"/>
      <c r="D479" s="14"/>
      <c r="E479" s="130"/>
      <c r="F479" s="16"/>
      <c r="G479" s="18"/>
      <c r="H479" s="131"/>
      <c r="I479" s="18"/>
      <c r="J479" s="22"/>
      <c r="K479" s="108"/>
      <c r="L479" s="26"/>
      <c r="M479" s="26"/>
      <c r="N479" s="26"/>
      <c r="O479" s="26"/>
      <c r="P479" s="26"/>
      <c r="Q479" s="26"/>
      <c r="R479" s="26"/>
      <c r="S479" s="26"/>
      <c r="T479" s="26"/>
      <c r="U479" s="26"/>
      <c r="V479" s="26"/>
      <c r="W479" s="26"/>
      <c r="X479" s="26"/>
      <c r="Y479" s="26"/>
      <c r="Z479" s="26"/>
      <c r="AA479" s="26"/>
    </row>
    <row r="480">
      <c r="A480" s="12"/>
      <c r="B480" s="13"/>
      <c r="C480" s="13"/>
      <c r="D480" s="14"/>
      <c r="E480" s="130"/>
      <c r="F480" s="16"/>
      <c r="G480" s="18"/>
      <c r="H480" s="131"/>
      <c r="I480" s="18"/>
      <c r="J480" s="22"/>
      <c r="K480" s="108"/>
      <c r="L480" s="26"/>
      <c r="M480" s="26"/>
      <c r="N480" s="26"/>
      <c r="O480" s="26"/>
      <c r="P480" s="26"/>
      <c r="Q480" s="26"/>
      <c r="R480" s="26"/>
      <c r="S480" s="26"/>
      <c r="T480" s="26"/>
      <c r="U480" s="26"/>
      <c r="V480" s="26"/>
      <c r="W480" s="26"/>
      <c r="X480" s="26"/>
      <c r="Y480" s="26"/>
      <c r="Z480" s="26"/>
      <c r="AA480" s="26"/>
    </row>
    <row r="481">
      <c r="A481" s="12"/>
      <c r="B481" s="13"/>
      <c r="C481" s="13"/>
      <c r="D481" s="14"/>
      <c r="E481" s="130"/>
      <c r="F481" s="16"/>
      <c r="G481" s="18"/>
      <c r="H481" s="131"/>
      <c r="I481" s="18"/>
      <c r="J481" s="22"/>
      <c r="K481" s="108"/>
      <c r="L481" s="26"/>
      <c r="M481" s="26"/>
      <c r="N481" s="26"/>
      <c r="O481" s="26"/>
      <c r="P481" s="26"/>
      <c r="Q481" s="26"/>
      <c r="R481" s="26"/>
      <c r="S481" s="26"/>
      <c r="T481" s="26"/>
      <c r="U481" s="26"/>
      <c r="V481" s="26"/>
      <c r="W481" s="26"/>
      <c r="X481" s="26"/>
      <c r="Y481" s="26"/>
      <c r="Z481" s="26"/>
      <c r="AA481" s="26"/>
    </row>
    <row r="482">
      <c r="A482" s="12"/>
      <c r="B482" s="13"/>
      <c r="C482" s="13"/>
      <c r="D482" s="14"/>
      <c r="E482" s="130"/>
      <c r="F482" s="16"/>
      <c r="G482" s="18"/>
      <c r="H482" s="131"/>
      <c r="I482" s="18"/>
      <c r="J482" s="22"/>
      <c r="K482" s="108"/>
      <c r="L482" s="26"/>
      <c r="M482" s="26"/>
      <c r="N482" s="26"/>
      <c r="O482" s="26"/>
      <c r="P482" s="26"/>
      <c r="Q482" s="26"/>
      <c r="R482" s="26"/>
      <c r="S482" s="26"/>
      <c r="T482" s="26"/>
      <c r="U482" s="26"/>
      <c r="V482" s="26"/>
      <c r="W482" s="26"/>
      <c r="X482" s="26"/>
      <c r="Y482" s="26"/>
      <c r="Z482" s="26"/>
      <c r="AA482" s="26"/>
    </row>
    <row r="483">
      <c r="A483" s="12"/>
      <c r="B483" s="13"/>
      <c r="C483" s="13"/>
      <c r="D483" s="14"/>
      <c r="E483" s="130"/>
      <c r="F483" s="16"/>
      <c r="G483" s="18"/>
      <c r="H483" s="131"/>
      <c r="I483" s="18"/>
      <c r="J483" s="22"/>
      <c r="K483" s="108"/>
      <c r="L483" s="26"/>
      <c r="M483" s="26"/>
      <c r="N483" s="26"/>
      <c r="O483" s="26"/>
      <c r="P483" s="26"/>
      <c r="Q483" s="26"/>
      <c r="R483" s="26"/>
      <c r="S483" s="26"/>
      <c r="T483" s="26"/>
      <c r="U483" s="26"/>
      <c r="V483" s="26"/>
      <c r="W483" s="26"/>
      <c r="X483" s="26"/>
      <c r="Y483" s="26"/>
      <c r="Z483" s="26"/>
      <c r="AA483" s="26"/>
    </row>
    <row r="484">
      <c r="A484" s="12"/>
      <c r="B484" s="13"/>
      <c r="C484" s="13"/>
      <c r="D484" s="14"/>
      <c r="E484" s="130"/>
      <c r="F484" s="16"/>
      <c r="G484" s="18"/>
      <c r="H484" s="131"/>
      <c r="I484" s="18"/>
      <c r="J484" s="22"/>
      <c r="K484" s="108"/>
      <c r="L484" s="26"/>
      <c r="M484" s="26"/>
      <c r="N484" s="26"/>
      <c r="O484" s="26"/>
      <c r="P484" s="26"/>
      <c r="Q484" s="26"/>
      <c r="R484" s="26"/>
      <c r="S484" s="26"/>
      <c r="T484" s="26"/>
      <c r="U484" s="26"/>
      <c r="V484" s="26"/>
      <c r="W484" s="26"/>
      <c r="X484" s="26"/>
      <c r="Y484" s="26"/>
      <c r="Z484" s="26"/>
      <c r="AA484" s="26"/>
    </row>
    <row r="485">
      <c r="A485" s="12"/>
      <c r="B485" s="13"/>
      <c r="C485" s="13"/>
      <c r="D485" s="14"/>
      <c r="E485" s="130"/>
      <c r="F485" s="16"/>
      <c r="G485" s="18"/>
      <c r="H485" s="131"/>
      <c r="I485" s="18"/>
      <c r="J485" s="22"/>
      <c r="K485" s="108"/>
      <c r="L485" s="26"/>
      <c r="M485" s="26"/>
      <c r="N485" s="26"/>
      <c r="O485" s="26"/>
      <c r="P485" s="26"/>
      <c r="Q485" s="26"/>
      <c r="R485" s="26"/>
      <c r="S485" s="26"/>
      <c r="T485" s="26"/>
      <c r="U485" s="26"/>
      <c r="V485" s="26"/>
      <c r="W485" s="26"/>
      <c r="X485" s="26"/>
      <c r="Y485" s="26"/>
      <c r="Z485" s="26"/>
      <c r="AA485" s="26"/>
    </row>
    <row r="486">
      <c r="A486" s="12"/>
      <c r="B486" s="13"/>
      <c r="C486" s="13"/>
      <c r="D486" s="14"/>
      <c r="E486" s="130"/>
      <c r="F486" s="16"/>
      <c r="G486" s="18"/>
      <c r="H486" s="131"/>
      <c r="I486" s="18"/>
      <c r="J486" s="22"/>
      <c r="K486" s="108"/>
      <c r="L486" s="26"/>
      <c r="M486" s="26"/>
      <c r="N486" s="26"/>
      <c r="O486" s="26"/>
      <c r="P486" s="26"/>
      <c r="Q486" s="26"/>
      <c r="R486" s="26"/>
      <c r="S486" s="26"/>
      <c r="T486" s="26"/>
      <c r="U486" s="26"/>
      <c r="V486" s="26"/>
      <c r="W486" s="26"/>
      <c r="X486" s="26"/>
      <c r="Y486" s="26"/>
      <c r="Z486" s="26"/>
      <c r="AA486" s="26"/>
    </row>
    <row r="487">
      <c r="A487" s="12"/>
      <c r="B487" s="13"/>
      <c r="C487" s="13"/>
      <c r="D487" s="14"/>
      <c r="E487" s="130"/>
      <c r="F487" s="16"/>
      <c r="G487" s="18"/>
      <c r="H487" s="131"/>
      <c r="I487" s="18"/>
      <c r="J487" s="22"/>
      <c r="K487" s="108"/>
      <c r="L487" s="26"/>
      <c r="M487" s="26"/>
      <c r="N487" s="26"/>
      <c r="O487" s="26"/>
      <c r="P487" s="26"/>
      <c r="Q487" s="26"/>
      <c r="R487" s="26"/>
      <c r="S487" s="26"/>
      <c r="T487" s="26"/>
      <c r="U487" s="26"/>
      <c r="V487" s="26"/>
      <c r="W487" s="26"/>
      <c r="X487" s="26"/>
      <c r="Y487" s="26"/>
      <c r="Z487" s="26"/>
      <c r="AA487" s="26"/>
    </row>
    <row r="488">
      <c r="A488" s="12"/>
      <c r="B488" s="13"/>
      <c r="C488" s="13"/>
      <c r="D488" s="14"/>
      <c r="E488" s="130"/>
      <c r="F488" s="16"/>
      <c r="G488" s="18"/>
      <c r="H488" s="131"/>
      <c r="I488" s="18"/>
      <c r="J488" s="22"/>
      <c r="K488" s="108"/>
      <c r="L488" s="26"/>
      <c r="M488" s="26"/>
      <c r="N488" s="26"/>
      <c r="O488" s="26"/>
      <c r="P488" s="26"/>
      <c r="Q488" s="26"/>
      <c r="R488" s="26"/>
      <c r="S488" s="26"/>
      <c r="T488" s="26"/>
      <c r="U488" s="26"/>
      <c r="V488" s="26"/>
      <c r="W488" s="26"/>
      <c r="X488" s="26"/>
      <c r="Y488" s="26"/>
      <c r="Z488" s="26"/>
      <c r="AA488" s="26"/>
    </row>
    <row r="489">
      <c r="A489" s="12"/>
      <c r="B489" s="13"/>
      <c r="C489" s="13"/>
      <c r="D489" s="14"/>
      <c r="E489" s="130"/>
      <c r="F489" s="16"/>
      <c r="G489" s="18"/>
      <c r="H489" s="131"/>
      <c r="I489" s="18"/>
      <c r="J489" s="22"/>
      <c r="K489" s="108"/>
      <c r="L489" s="26"/>
      <c r="M489" s="26"/>
      <c r="N489" s="26"/>
      <c r="O489" s="26"/>
      <c r="P489" s="26"/>
      <c r="Q489" s="26"/>
      <c r="R489" s="26"/>
      <c r="S489" s="26"/>
      <c r="T489" s="26"/>
      <c r="U489" s="26"/>
      <c r="V489" s="26"/>
      <c r="W489" s="26"/>
      <c r="X489" s="26"/>
      <c r="Y489" s="26"/>
      <c r="Z489" s="26"/>
      <c r="AA489" s="26"/>
    </row>
    <row r="490">
      <c r="A490" s="12"/>
      <c r="B490" s="13"/>
      <c r="C490" s="13"/>
      <c r="D490" s="14"/>
      <c r="E490" s="130"/>
      <c r="F490" s="16"/>
      <c r="G490" s="18"/>
      <c r="H490" s="131"/>
      <c r="I490" s="18"/>
      <c r="J490" s="22"/>
      <c r="K490" s="108"/>
      <c r="L490" s="26"/>
      <c r="M490" s="26"/>
      <c r="N490" s="26"/>
      <c r="O490" s="26"/>
      <c r="P490" s="26"/>
      <c r="Q490" s="26"/>
      <c r="R490" s="26"/>
      <c r="S490" s="26"/>
      <c r="T490" s="26"/>
      <c r="U490" s="26"/>
      <c r="V490" s="26"/>
      <c r="W490" s="26"/>
      <c r="X490" s="26"/>
      <c r="Y490" s="26"/>
      <c r="Z490" s="26"/>
      <c r="AA490" s="26"/>
    </row>
    <row r="491">
      <c r="A491" s="12"/>
      <c r="B491" s="13"/>
      <c r="C491" s="13"/>
      <c r="D491" s="14"/>
      <c r="E491" s="130"/>
      <c r="F491" s="16"/>
      <c r="G491" s="18"/>
      <c r="H491" s="131"/>
      <c r="I491" s="18"/>
      <c r="J491" s="22"/>
      <c r="K491" s="108"/>
      <c r="L491" s="26"/>
      <c r="M491" s="26"/>
      <c r="N491" s="26"/>
      <c r="O491" s="26"/>
      <c r="P491" s="26"/>
      <c r="Q491" s="26"/>
      <c r="R491" s="26"/>
      <c r="S491" s="26"/>
      <c r="T491" s="26"/>
      <c r="U491" s="26"/>
      <c r="V491" s="26"/>
      <c r="W491" s="26"/>
      <c r="X491" s="26"/>
      <c r="Y491" s="26"/>
      <c r="Z491" s="26"/>
      <c r="AA491" s="26"/>
    </row>
    <row r="492">
      <c r="A492" s="12"/>
      <c r="B492" s="13"/>
      <c r="C492" s="13"/>
      <c r="D492" s="14"/>
      <c r="E492" s="130"/>
      <c r="F492" s="16"/>
      <c r="G492" s="18"/>
      <c r="H492" s="131"/>
      <c r="I492" s="18"/>
      <c r="J492" s="22"/>
      <c r="K492" s="108"/>
      <c r="L492" s="26"/>
      <c r="M492" s="26"/>
      <c r="N492" s="26"/>
      <c r="O492" s="26"/>
      <c r="P492" s="26"/>
      <c r="Q492" s="26"/>
      <c r="R492" s="26"/>
      <c r="S492" s="26"/>
      <c r="T492" s="26"/>
      <c r="U492" s="26"/>
      <c r="V492" s="26"/>
      <c r="W492" s="26"/>
      <c r="X492" s="26"/>
      <c r="Y492" s="26"/>
      <c r="Z492" s="26"/>
      <c r="AA492" s="26"/>
    </row>
    <row r="493">
      <c r="A493" s="12"/>
      <c r="B493" s="13"/>
      <c r="C493" s="13"/>
      <c r="D493" s="14"/>
      <c r="E493" s="130"/>
      <c r="F493" s="16"/>
      <c r="G493" s="18"/>
      <c r="H493" s="131"/>
      <c r="I493" s="18"/>
      <c r="J493" s="22"/>
      <c r="K493" s="108"/>
      <c r="L493" s="26"/>
      <c r="M493" s="26"/>
      <c r="N493" s="26"/>
      <c r="O493" s="26"/>
      <c r="P493" s="26"/>
      <c r="Q493" s="26"/>
      <c r="R493" s="26"/>
      <c r="S493" s="26"/>
      <c r="T493" s="26"/>
      <c r="U493" s="26"/>
      <c r="V493" s="26"/>
      <c r="W493" s="26"/>
      <c r="X493" s="26"/>
      <c r="Y493" s="26"/>
      <c r="Z493" s="26"/>
      <c r="AA493" s="26"/>
    </row>
    <row r="494">
      <c r="A494" s="12"/>
      <c r="B494" s="13"/>
      <c r="C494" s="13"/>
      <c r="D494" s="14"/>
      <c r="E494" s="130"/>
      <c r="F494" s="16"/>
      <c r="G494" s="18"/>
      <c r="H494" s="131"/>
      <c r="I494" s="18"/>
      <c r="J494" s="22"/>
      <c r="K494" s="108"/>
      <c r="L494" s="26"/>
      <c r="M494" s="26"/>
      <c r="N494" s="26"/>
      <c r="O494" s="26"/>
      <c r="P494" s="26"/>
      <c r="Q494" s="26"/>
      <c r="R494" s="26"/>
      <c r="S494" s="26"/>
      <c r="T494" s="26"/>
      <c r="U494" s="26"/>
      <c r="V494" s="26"/>
      <c r="W494" s="26"/>
      <c r="X494" s="26"/>
      <c r="Y494" s="26"/>
      <c r="Z494" s="26"/>
      <c r="AA494" s="26"/>
    </row>
    <row r="495">
      <c r="A495" s="12"/>
      <c r="B495" s="13"/>
      <c r="C495" s="13"/>
      <c r="D495" s="14"/>
      <c r="E495" s="130"/>
      <c r="F495" s="16"/>
      <c r="G495" s="18"/>
      <c r="H495" s="131"/>
      <c r="I495" s="18"/>
      <c r="J495" s="22"/>
      <c r="K495" s="108"/>
      <c r="L495" s="26"/>
      <c r="M495" s="26"/>
      <c r="N495" s="26"/>
      <c r="O495" s="26"/>
      <c r="P495" s="26"/>
      <c r="Q495" s="26"/>
      <c r="R495" s="26"/>
      <c r="S495" s="26"/>
      <c r="T495" s="26"/>
      <c r="U495" s="26"/>
      <c r="V495" s="26"/>
      <c r="W495" s="26"/>
      <c r="X495" s="26"/>
      <c r="Y495" s="26"/>
      <c r="Z495" s="26"/>
      <c r="AA495" s="26"/>
    </row>
    <row r="496">
      <c r="A496" s="12"/>
      <c r="B496" s="13"/>
      <c r="C496" s="13"/>
      <c r="D496" s="14"/>
      <c r="E496" s="130"/>
      <c r="F496" s="16"/>
      <c r="G496" s="18"/>
      <c r="H496" s="131"/>
      <c r="I496" s="18"/>
      <c r="J496" s="22"/>
      <c r="K496" s="108"/>
      <c r="L496" s="26"/>
      <c r="M496" s="26"/>
      <c r="N496" s="26"/>
      <c r="O496" s="26"/>
      <c r="P496" s="26"/>
      <c r="Q496" s="26"/>
      <c r="R496" s="26"/>
      <c r="S496" s="26"/>
      <c r="T496" s="26"/>
      <c r="U496" s="26"/>
      <c r="V496" s="26"/>
      <c r="W496" s="26"/>
      <c r="X496" s="26"/>
      <c r="Y496" s="26"/>
      <c r="Z496" s="26"/>
      <c r="AA496" s="26"/>
    </row>
    <row r="497">
      <c r="A497" s="12"/>
      <c r="B497" s="13"/>
      <c r="C497" s="13"/>
      <c r="D497" s="14"/>
      <c r="E497" s="130"/>
      <c r="F497" s="16"/>
      <c r="G497" s="18"/>
      <c r="H497" s="131"/>
      <c r="I497" s="18"/>
      <c r="J497" s="22"/>
      <c r="K497" s="108"/>
      <c r="L497" s="26"/>
      <c r="M497" s="26"/>
      <c r="N497" s="26"/>
      <c r="O497" s="26"/>
      <c r="P497" s="26"/>
      <c r="Q497" s="26"/>
      <c r="R497" s="26"/>
      <c r="S497" s="26"/>
      <c r="T497" s="26"/>
      <c r="U497" s="26"/>
      <c r="V497" s="26"/>
      <c r="W497" s="26"/>
      <c r="X497" s="26"/>
      <c r="Y497" s="26"/>
      <c r="Z497" s="26"/>
      <c r="AA497" s="26"/>
    </row>
    <row r="498">
      <c r="A498" s="12"/>
      <c r="B498" s="13"/>
      <c r="C498" s="13"/>
      <c r="D498" s="14"/>
      <c r="E498" s="130"/>
      <c r="F498" s="16"/>
      <c r="G498" s="18"/>
      <c r="H498" s="131"/>
      <c r="I498" s="18"/>
      <c r="J498" s="22"/>
      <c r="K498" s="108"/>
      <c r="L498" s="26"/>
      <c r="M498" s="26"/>
      <c r="N498" s="26"/>
      <c r="O498" s="26"/>
      <c r="P498" s="26"/>
      <c r="Q498" s="26"/>
      <c r="R498" s="26"/>
      <c r="S498" s="26"/>
      <c r="T498" s="26"/>
      <c r="U498" s="26"/>
      <c r="V498" s="26"/>
      <c r="W498" s="26"/>
      <c r="X498" s="26"/>
      <c r="Y498" s="26"/>
      <c r="Z498" s="26"/>
      <c r="AA498" s="26"/>
    </row>
    <row r="499">
      <c r="A499" s="12"/>
      <c r="B499" s="13"/>
      <c r="C499" s="13"/>
      <c r="D499" s="14"/>
      <c r="E499" s="130"/>
      <c r="F499" s="16"/>
      <c r="G499" s="18"/>
      <c r="H499" s="131"/>
      <c r="I499" s="18"/>
      <c r="J499" s="22"/>
      <c r="K499" s="108"/>
      <c r="L499" s="26"/>
      <c r="M499" s="26"/>
      <c r="N499" s="26"/>
      <c r="O499" s="26"/>
      <c r="P499" s="26"/>
      <c r="Q499" s="26"/>
      <c r="R499" s="26"/>
      <c r="S499" s="26"/>
      <c r="T499" s="26"/>
      <c r="U499" s="26"/>
      <c r="V499" s="26"/>
      <c r="W499" s="26"/>
      <c r="X499" s="26"/>
      <c r="Y499" s="26"/>
      <c r="Z499" s="26"/>
      <c r="AA499" s="26"/>
    </row>
    <row r="500">
      <c r="A500" s="12"/>
      <c r="B500" s="13"/>
      <c r="C500" s="13"/>
      <c r="D500" s="14"/>
      <c r="E500" s="130"/>
      <c r="F500" s="16"/>
      <c r="G500" s="18"/>
      <c r="H500" s="131"/>
      <c r="I500" s="18"/>
      <c r="J500" s="22"/>
      <c r="K500" s="108"/>
      <c r="L500" s="26"/>
      <c r="M500" s="26"/>
      <c r="N500" s="26"/>
      <c r="O500" s="26"/>
      <c r="P500" s="26"/>
      <c r="Q500" s="26"/>
      <c r="R500" s="26"/>
      <c r="S500" s="26"/>
      <c r="T500" s="26"/>
      <c r="U500" s="26"/>
      <c r="V500" s="26"/>
      <c r="W500" s="26"/>
      <c r="X500" s="26"/>
      <c r="Y500" s="26"/>
      <c r="Z500" s="26"/>
      <c r="AA500" s="26"/>
    </row>
    <row r="501">
      <c r="A501" s="12"/>
      <c r="B501" s="13"/>
      <c r="C501" s="13"/>
      <c r="D501" s="14"/>
      <c r="E501" s="130"/>
      <c r="F501" s="16"/>
      <c r="G501" s="18"/>
      <c r="H501" s="131"/>
      <c r="I501" s="18"/>
      <c r="J501" s="22"/>
      <c r="K501" s="108"/>
      <c r="L501" s="26"/>
      <c r="M501" s="26"/>
      <c r="N501" s="26"/>
      <c r="O501" s="26"/>
      <c r="P501" s="26"/>
      <c r="Q501" s="26"/>
      <c r="R501" s="26"/>
      <c r="S501" s="26"/>
      <c r="T501" s="26"/>
      <c r="U501" s="26"/>
      <c r="V501" s="26"/>
      <c r="W501" s="26"/>
      <c r="X501" s="26"/>
      <c r="Y501" s="26"/>
      <c r="Z501" s="26"/>
      <c r="AA501" s="26"/>
    </row>
    <row r="502">
      <c r="A502" s="12"/>
      <c r="B502" s="13"/>
      <c r="C502" s="13"/>
      <c r="D502" s="14"/>
      <c r="E502" s="130"/>
      <c r="F502" s="16"/>
      <c r="G502" s="18"/>
      <c r="H502" s="131"/>
      <c r="I502" s="18"/>
      <c r="J502" s="22"/>
      <c r="K502" s="108"/>
      <c r="L502" s="26"/>
      <c r="M502" s="26"/>
      <c r="N502" s="26"/>
      <c r="O502" s="26"/>
      <c r="P502" s="26"/>
      <c r="Q502" s="26"/>
      <c r="R502" s="26"/>
      <c r="S502" s="26"/>
      <c r="T502" s="26"/>
      <c r="U502" s="26"/>
      <c r="V502" s="26"/>
      <c r="W502" s="26"/>
      <c r="X502" s="26"/>
      <c r="Y502" s="26"/>
      <c r="Z502" s="26"/>
      <c r="AA502" s="26"/>
    </row>
    <row r="503">
      <c r="A503" s="12"/>
      <c r="B503" s="13"/>
      <c r="C503" s="13"/>
      <c r="D503" s="14"/>
      <c r="E503" s="130"/>
      <c r="F503" s="16"/>
      <c r="G503" s="18"/>
      <c r="H503" s="131"/>
      <c r="I503" s="18"/>
      <c r="J503" s="22"/>
      <c r="K503" s="108"/>
      <c r="L503" s="26"/>
      <c r="M503" s="26"/>
      <c r="N503" s="26"/>
      <c r="O503" s="26"/>
      <c r="P503" s="26"/>
      <c r="Q503" s="26"/>
      <c r="R503" s="26"/>
      <c r="S503" s="26"/>
      <c r="T503" s="26"/>
      <c r="U503" s="26"/>
      <c r="V503" s="26"/>
      <c r="W503" s="26"/>
      <c r="X503" s="26"/>
      <c r="Y503" s="26"/>
      <c r="Z503" s="26"/>
      <c r="AA503" s="26"/>
    </row>
    <row r="504">
      <c r="A504" s="12"/>
      <c r="B504" s="13"/>
      <c r="C504" s="13"/>
      <c r="D504" s="14"/>
      <c r="E504" s="130"/>
      <c r="F504" s="16"/>
      <c r="G504" s="18"/>
      <c r="H504" s="131"/>
      <c r="I504" s="18"/>
      <c r="J504" s="22"/>
      <c r="K504" s="108"/>
      <c r="L504" s="26"/>
      <c r="M504" s="26"/>
      <c r="N504" s="26"/>
      <c r="O504" s="26"/>
      <c r="P504" s="26"/>
      <c r="Q504" s="26"/>
      <c r="R504" s="26"/>
      <c r="S504" s="26"/>
      <c r="T504" s="26"/>
      <c r="U504" s="26"/>
      <c r="V504" s="26"/>
      <c r="W504" s="26"/>
      <c r="X504" s="26"/>
      <c r="Y504" s="26"/>
      <c r="Z504" s="26"/>
      <c r="AA504" s="26"/>
    </row>
    <row r="505">
      <c r="A505" s="12"/>
      <c r="B505" s="13"/>
      <c r="C505" s="13"/>
      <c r="D505" s="14"/>
      <c r="E505" s="130"/>
      <c r="F505" s="16"/>
      <c r="G505" s="18"/>
      <c r="H505" s="131"/>
      <c r="I505" s="18"/>
      <c r="J505" s="22"/>
      <c r="K505" s="108"/>
      <c r="L505" s="26"/>
      <c r="M505" s="26"/>
      <c r="N505" s="26"/>
      <c r="O505" s="26"/>
      <c r="P505" s="26"/>
      <c r="Q505" s="26"/>
      <c r="R505" s="26"/>
      <c r="S505" s="26"/>
      <c r="T505" s="26"/>
      <c r="U505" s="26"/>
      <c r="V505" s="26"/>
      <c r="W505" s="26"/>
      <c r="X505" s="26"/>
      <c r="Y505" s="26"/>
      <c r="Z505" s="26"/>
      <c r="AA505" s="26"/>
    </row>
    <row r="506">
      <c r="A506" s="12"/>
      <c r="B506" s="13"/>
      <c r="C506" s="13"/>
      <c r="D506" s="14"/>
      <c r="E506" s="130"/>
      <c r="F506" s="16"/>
      <c r="G506" s="18"/>
      <c r="H506" s="131"/>
      <c r="I506" s="18"/>
      <c r="J506" s="22"/>
      <c r="K506" s="108"/>
      <c r="L506" s="26"/>
      <c r="M506" s="26"/>
      <c r="N506" s="26"/>
      <c r="O506" s="26"/>
      <c r="P506" s="26"/>
      <c r="Q506" s="26"/>
      <c r="R506" s="26"/>
      <c r="S506" s="26"/>
      <c r="T506" s="26"/>
      <c r="U506" s="26"/>
      <c r="V506" s="26"/>
      <c r="W506" s="26"/>
      <c r="X506" s="26"/>
      <c r="Y506" s="26"/>
      <c r="Z506" s="26"/>
      <c r="AA506" s="26"/>
    </row>
    <row r="507">
      <c r="A507" s="12"/>
      <c r="B507" s="13"/>
      <c r="C507" s="13"/>
      <c r="D507" s="14"/>
      <c r="E507" s="130"/>
      <c r="F507" s="16"/>
      <c r="G507" s="18"/>
      <c r="H507" s="131"/>
      <c r="I507" s="18"/>
      <c r="J507" s="22"/>
      <c r="K507" s="108"/>
      <c r="L507" s="26"/>
      <c r="M507" s="26"/>
      <c r="N507" s="26"/>
      <c r="O507" s="26"/>
      <c r="P507" s="26"/>
      <c r="Q507" s="26"/>
      <c r="R507" s="26"/>
      <c r="S507" s="26"/>
      <c r="T507" s="26"/>
      <c r="U507" s="26"/>
      <c r="V507" s="26"/>
      <c r="W507" s="26"/>
      <c r="X507" s="26"/>
      <c r="Y507" s="26"/>
      <c r="Z507" s="26"/>
      <c r="AA507" s="26"/>
    </row>
    <row r="508">
      <c r="A508" s="12"/>
      <c r="B508" s="13"/>
      <c r="C508" s="13"/>
      <c r="D508" s="14"/>
      <c r="E508" s="130"/>
      <c r="F508" s="16"/>
      <c r="G508" s="18"/>
      <c r="H508" s="131"/>
      <c r="I508" s="18"/>
      <c r="J508" s="22"/>
      <c r="K508" s="108"/>
      <c r="L508" s="26"/>
      <c r="M508" s="26"/>
      <c r="N508" s="26"/>
      <c r="O508" s="26"/>
      <c r="P508" s="26"/>
      <c r="Q508" s="26"/>
      <c r="R508" s="26"/>
      <c r="S508" s="26"/>
      <c r="T508" s="26"/>
      <c r="U508" s="26"/>
      <c r="V508" s="26"/>
      <c r="W508" s="26"/>
      <c r="X508" s="26"/>
      <c r="Y508" s="26"/>
      <c r="Z508" s="26"/>
      <c r="AA508" s="26"/>
    </row>
    <row r="509">
      <c r="A509" s="12"/>
      <c r="B509" s="13"/>
      <c r="C509" s="13"/>
      <c r="D509" s="14"/>
      <c r="E509" s="130"/>
      <c r="F509" s="16"/>
      <c r="G509" s="18"/>
      <c r="H509" s="131"/>
      <c r="I509" s="18"/>
      <c r="J509" s="22"/>
      <c r="K509" s="108"/>
      <c r="L509" s="26"/>
      <c r="M509" s="26"/>
      <c r="N509" s="26"/>
      <c r="O509" s="26"/>
      <c r="P509" s="26"/>
      <c r="Q509" s="26"/>
      <c r="R509" s="26"/>
      <c r="S509" s="26"/>
      <c r="T509" s="26"/>
      <c r="U509" s="26"/>
      <c r="V509" s="26"/>
      <c r="W509" s="26"/>
      <c r="X509" s="26"/>
      <c r="Y509" s="26"/>
      <c r="Z509" s="26"/>
      <c r="AA509" s="26"/>
    </row>
    <row r="510">
      <c r="A510" s="12"/>
      <c r="B510" s="13"/>
      <c r="C510" s="13"/>
      <c r="D510" s="14"/>
      <c r="E510" s="130"/>
      <c r="F510" s="16"/>
      <c r="G510" s="18"/>
      <c r="H510" s="131"/>
      <c r="I510" s="18"/>
      <c r="J510" s="22"/>
      <c r="K510" s="108"/>
      <c r="L510" s="26"/>
      <c r="M510" s="26"/>
      <c r="N510" s="26"/>
      <c r="O510" s="26"/>
      <c r="P510" s="26"/>
      <c r="Q510" s="26"/>
      <c r="R510" s="26"/>
      <c r="S510" s="26"/>
      <c r="T510" s="26"/>
      <c r="U510" s="26"/>
      <c r="V510" s="26"/>
      <c r="W510" s="26"/>
      <c r="X510" s="26"/>
      <c r="Y510" s="26"/>
      <c r="Z510" s="26"/>
      <c r="AA510" s="26"/>
    </row>
    <row r="511">
      <c r="A511" s="12"/>
      <c r="B511" s="13"/>
      <c r="C511" s="13"/>
      <c r="D511" s="14"/>
      <c r="E511" s="130"/>
      <c r="F511" s="16"/>
      <c r="G511" s="18"/>
      <c r="H511" s="131"/>
      <c r="I511" s="18"/>
      <c r="J511" s="22"/>
      <c r="K511" s="108"/>
      <c r="L511" s="26"/>
      <c r="M511" s="26"/>
      <c r="N511" s="26"/>
      <c r="O511" s="26"/>
      <c r="P511" s="26"/>
      <c r="Q511" s="26"/>
      <c r="R511" s="26"/>
      <c r="S511" s="26"/>
      <c r="T511" s="26"/>
      <c r="U511" s="26"/>
      <c r="V511" s="26"/>
      <c r="W511" s="26"/>
      <c r="X511" s="26"/>
      <c r="Y511" s="26"/>
      <c r="Z511" s="26"/>
      <c r="AA511" s="26"/>
    </row>
    <row r="512">
      <c r="A512" s="12"/>
      <c r="B512" s="13"/>
      <c r="C512" s="13"/>
      <c r="D512" s="14"/>
      <c r="E512" s="130"/>
      <c r="F512" s="16"/>
      <c r="G512" s="18"/>
      <c r="H512" s="131"/>
      <c r="I512" s="18"/>
      <c r="J512" s="22"/>
      <c r="K512" s="108"/>
      <c r="L512" s="26"/>
      <c r="M512" s="26"/>
      <c r="N512" s="26"/>
      <c r="O512" s="26"/>
      <c r="P512" s="26"/>
      <c r="Q512" s="26"/>
      <c r="R512" s="26"/>
      <c r="S512" s="26"/>
      <c r="T512" s="26"/>
      <c r="U512" s="26"/>
      <c r="V512" s="26"/>
      <c r="W512" s="26"/>
      <c r="X512" s="26"/>
      <c r="Y512" s="26"/>
      <c r="Z512" s="26"/>
      <c r="AA512" s="26"/>
    </row>
    <row r="513">
      <c r="A513" s="12"/>
      <c r="B513" s="13"/>
      <c r="C513" s="13"/>
      <c r="D513" s="14"/>
      <c r="E513" s="130"/>
      <c r="F513" s="16"/>
      <c r="G513" s="18"/>
      <c r="H513" s="131"/>
      <c r="I513" s="18"/>
      <c r="J513" s="22"/>
      <c r="K513" s="108"/>
      <c r="L513" s="26"/>
      <c r="M513" s="26"/>
      <c r="N513" s="26"/>
      <c r="O513" s="26"/>
      <c r="P513" s="26"/>
      <c r="Q513" s="26"/>
      <c r="R513" s="26"/>
      <c r="S513" s="26"/>
      <c r="T513" s="26"/>
      <c r="U513" s="26"/>
      <c r="V513" s="26"/>
      <c r="W513" s="26"/>
      <c r="X513" s="26"/>
      <c r="Y513" s="26"/>
      <c r="Z513" s="26"/>
      <c r="AA513" s="26"/>
    </row>
    <row r="514">
      <c r="A514" s="12"/>
      <c r="B514" s="13"/>
      <c r="C514" s="13"/>
      <c r="D514" s="14"/>
      <c r="E514" s="130"/>
      <c r="F514" s="16"/>
      <c r="G514" s="18"/>
      <c r="H514" s="131"/>
      <c r="I514" s="18"/>
      <c r="J514" s="22"/>
      <c r="K514" s="108"/>
      <c r="L514" s="26"/>
      <c r="M514" s="26"/>
      <c r="N514" s="26"/>
      <c r="O514" s="26"/>
      <c r="P514" s="26"/>
      <c r="Q514" s="26"/>
      <c r="R514" s="26"/>
      <c r="S514" s="26"/>
      <c r="T514" s="26"/>
      <c r="U514" s="26"/>
      <c r="V514" s="26"/>
      <c r="W514" s="26"/>
      <c r="X514" s="26"/>
      <c r="Y514" s="26"/>
      <c r="Z514" s="26"/>
      <c r="AA514" s="26"/>
    </row>
    <row r="515">
      <c r="A515" s="12"/>
      <c r="B515" s="13"/>
      <c r="C515" s="13"/>
      <c r="D515" s="14"/>
      <c r="E515" s="130"/>
      <c r="F515" s="16"/>
      <c r="G515" s="18"/>
      <c r="H515" s="131"/>
      <c r="I515" s="18"/>
      <c r="J515" s="22"/>
      <c r="K515" s="108"/>
      <c r="L515" s="26"/>
      <c r="M515" s="26"/>
      <c r="N515" s="26"/>
      <c r="O515" s="26"/>
      <c r="P515" s="26"/>
      <c r="Q515" s="26"/>
      <c r="R515" s="26"/>
      <c r="S515" s="26"/>
      <c r="T515" s="26"/>
      <c r="U515" s="26"/>
      <c r="V515" s="26"/>
      <c r="W515" s="26"/>
      <c r="X515" s="26"/>
      <c r="Y515" s="26"/>
      <c r="Z515" s="26"/>
      <c r="AA515" s="26"/>
    </row>
    <row r="516">
      <c r="A516" s="12"/>
      <c r="B516" s="13"/>
      <c r="C516" s="13"/>
      <c r="D516" s="14"/>
      <c r="E516" s="130"/>
      <c r="F516" s="16"/>
      <c r="G516" s="18"/>
      <c r="H516" s="131"/>
      <c r="I516" s="18"/>
      <c r="J516" s="22"/>
      <c r="K516" s="108"/>
      <c r="L516" s="26"/>
      <c r="M516" s="26"/>
      <c r="N516" s="26"/>
      <c r="O516" s="26"/>
      <c r="P516" s="26"/>
      <c r="Q516" s="26"/>
      <c r="R516" s="26"/>
      <c r="S516" s="26"/>
      <c r="T516" s="26"/>
      <c r="U516" s="26"/>
      <c r="V516" s="26"/>
      <c r="W516" s="26"/>
      <c r="X516" s="26"/>
      <c r="Y516" s="26"/>
      <c r="Z516" s="26"/>
      <c r="AA516" s="26"/>
    </row>
    <row r="517">
      <c r="A517" s="12"/>
      <c r="B517" s="13"/>
      <c r="C517" s="13"/>
      <c r="D517" s="14"/>
      <c r="E517" s="130"/>
      <c r="F517" s="16"/>
      <c r="G517" s="18"/>
      <c r="H517" s="131"/>
      <c r="I517" s="18"/>
      <c r="J517" s="22"/>
      <c r="K517" s="108"/>
      <c r="L517" s="26"/>
      <c r="M517" s="26"/>
      <c r="N517" s="26"/>
      <c r="O517" s="26"/>
      <c r="P517" s="26"/>
      <c r="Q517" s="26"/>
      <c r="R517" s="26"/>
      <c r="S517" s="26"/>
      <c r="T517" s="26"/>
      <c r="U517" s="26"/>
      <c r="V517" s="26"/>
      <c r="W517" s="26"/>
      <c r="X517" s="26"/>
      <c r="Y517" s="26"/>
      <c r="Z517" s="26"/>
      <c r="AA517" s="26"/>
    </row>
    <row r="518">
      <c r="A518" s="12"/>
      <c r="B518" s="13"/>
      <c r="C518" s="13"/>
      <c r="D518" s="14"/>
      <c r="E518" s="130"/>
      <c r="F518" s="16"/>
      <c r="G518" s="18"/>
      <c r="H518" s="131"/>
      <c r="I518" s="18"/>
      <c r="J518" s="22"/>
      <c r="K518" s="108"/>
      <c r="L518" s="26"/>
      <c r="M518" s="26"/>
      <c r="N518" s="26"/>
      <c r="O518" s="26"/>
      <c r="P518" s="26"/>
      <c r="Q518" s="26"/>
      <c r="R518" s="26"/>
      <c r="S518" s="26"/>
      <c r="T518" s="26"/>
      <c r="U518" s="26"/>
      <c r="V518" s="26"/>
      <c r="W518" s="26"/>
      <c r="X518" s="26"/>
      <c r="Y518" s="26"/>
      <c r="Z518" s="26"/>
      <c r="AA518" s="26"/>
    </row>
    <row r="519">
      <c r="A519" s="12"/>
      <c r="B519" s="13"/>
      <c r="C519" s="13"/>
      <c r="D519" s="14"/>
      <c r="E519" s="130"/>
      <c r="F519" s="16"/>
      <c r="G519" s="18"/>
      <c r="H519" s="131"/>
      <c r="I519" s="18"/>
      <c r="J519" s="22"/>
      <c r="K519" s="108"/>
      <c r="L519" s="26"/>
      <c r="M519" s="26"/>
      <c r="N519" s="26"/>
      <c r="O519" s="26"/>
      <c r="P519" s="26"/>
      <c r="Q519" s="26"/>
      <c r="R519" s="26"/>
      <c r="S519" s="26"/>
      <c r="T519" s="26"/>
      <c r="U519" s="26"/>
      <c r="V519" s="26"/>
      <c r="W519" s="26"/>
      <c r="X519" s="26"/>
      <c r="Y519" s="26"/>
      <c r="Z519" s="26"/>
      <c r="AA519" s="26"/>
    </row>
    <row r="520">
      <c r="A520" s="12"/>
      <c r="B520" s="13"/>
      <c r="C520" s="13"/>
      <c r="D520" s="14"/>
      <c r="E520" s="130"/>
      <c r="F520" s="16"/>
      <c r="G520" s="18"/>
      <c r="H520" s="131"/>
      <c r="I520" s="18"/>
      <c r="J520" s="22"/>
      <c r="K520" s="108"/>
      <c r="L520" s="26"/>
      <c r="M520" s="26"/>
      <c r="N520" s="26"/>
      <c r="O520" s="26"/>
      <c r="P520" s="26"/>
      <c r="Q520" s="26"/>
      <c r="R520" s="26"/>
      <c r="S520" s="26"/>
      <c r="T520" s="26"/>
      <c r="U520" s="26"/>
      <c r="V520" s="26"/>
      <c r="W520" s="26"/>
      <c r="X520" s="26"/>
      <c r="Y520" s="26"/>
      <c r="Z520" s="26"/>
      <c r="AA520" s="26"/>
    </row>
    <row r="521">
      <c r="A521" s="12"/>
      <c r="B521" s="13"/>
      <c r="C521" s="13"/>
      <c r="D521" s="14"/>
      <c r="E521" s="130"/>
      <c r="F521" s="16"/>
      <c r="G521" s="18"/>
      <c r="H521" s="131"/>
      <c r="I521" s="18"/>
      <c r="J521" s="22"/>
      <c r="K521" s="108"/>
      <c r="L521" s="26"/>
      <c r="M521" s="26"/>
      <c r="N521" s="26"/>
      <c r="O521" s="26"/>
      <c r="P521" s="26"/>
      <c r="Q521" s="26"/>
      <c r="R521" s="26"/>
      <c r="S521" s="26"/>
      <c r="T521" s="26"/>
      <c r="U521" s="26"/>
      <c r="V521" s="26"/>
      <c r="W521" s="26"/>
      <c r="X521" s="26"/>
      <c r="Y521" s="26"/>
      <c r="Z521" s="26"/>
      <c r="AA521" s="26"/>
    </row>
    <row r="522">
      <c r="A522" s="12"/>
      <c r="B522" s="13"/>
      <c r="C522" s="13"/>
      <c r="D522" s="14"/>
      <c r="E522" s="130"/>
      <c r="F522" s="16"/>
      <c r="G522" s="18"/>
      <c r="H522" s="131"/>
      <c r="I522" s="18"/>
      <c r="J522" s="22"/>
      <c r="K522" s="108"/>
      <c r="L522" s="26"/>
      <c r="M522" s="26"/>
      <c r="N522" s="26"/>
      <c r="O522" s="26"/>
      <c r="P522" s="26"/>
      <c r="Q522" s="26"/>
      <c r="R522" s="26"/>
      <c r="S522" s="26"/>
      <c r="T522" s="26"/>
      <c r="U522" s="26"/>
      <c r="V522" s="26"/>
      <c r="W522" s="26"/>
      <c r="X522" s="26"/>
      <c r="Y522" s="26"/>
      <c r="Z522" s="26"/>
      <c r="AA522" s="26"/>
    </row>
    <row r="523">
      <c r="A523" s="12"/>
      <c r="B523" s="13"/>
      <c r="C523" s="13"/>
      <c r="D523" s="14"/>
      <c r="E523" s="130"/>
      <c r="F523" s="16"/>
      <c r="G523" s="18"/>
      <c r="H523" s="131"/>
      <c r="I523" s="18"/>
      <c r="J523" s="22"/>
      <c r="K523" s="108"/>
      <c r="L523" s="26"/>
      <c r="M523" s="26"/>
      <c r="N523" s="26"/>
      <c r="O523" s="26"/>
      <c r="P523" s="26"/>
      <c r="Q523" s="26"/>
      <c r="R523" s="26"/>
      <c r="S523" s="26"/>
      <c r="T523" s="26"/>
      <c r="U523" s="26"/>
      <c r="V523" s="26"/>
      <c r="W523" s="26"/>
      <c r="X523" s="26"/>
      <c r="Y523" s="26"/>
      <c r="Z523" s="26"/>
      <c r="AA523" s="26"/>
    </row>
    <row r="524">
      <c r="A524" s="12"/>
      <c r="B524" s="13"/>
      <c r="C524" s="13"/>
      <c r="D524" s="14"/>
      <c r="E524" s="130"/>
      <c r="F524" s="16"/>
      <c r="G524" s="18"/>
      <c r="H524" s="131"/>
      <c r="I524" s="18"/>
      <c r="J524" s="22"/>
      <c r="K524" s="108"/>
      <c r="L524" s="26"/>
      <c r="M524" s="26"/>
      <c r="N524" s="26"/>
      <c r="O524" s="26"/>
      <c r="P524" s="26"/>
      <c r="Q524" s="26"/>
      <c r="R524" s="26"/>
      <c r="S524" s="26"/>
      <c r="T524" s="26"/>
      <c r="U524" s="26"/>
      <c r="V524" s="26"/>
      <c r="W524" s="26"/>
      <c r="X524" s="26"/>
      <c r="Y524" s="26"/>
      <c r="Z524" s="26"/>
      <c r="AA524" s="26"/>
    </row>
    <row r="525">
      <c r="A525" s="12"/>
      <c r="B525" s="13"/>
      <c r="C525" s="13"/>
      <c r="D525" s="14"/>
      <c r="E525" s="130"/>
      <c r="F525" s="16"/>
      <c r="G525" s="18"/>
      <c r="H525" s="131"/>
      <c r="I525" s="18"/>
      <c r="J525" s="22"/>
      <c r="K525" s="108"/>
      <c r="L525" s="26"/>
      <c r="M525" s="26"/>
      <c r="N525" s="26"/>
      <c r="O525" s="26"/>
      <c r="P525" s="26"/>
      <c r="Q525" s="26"/>
      <c r="R525" s="26"/>
      <c r="S525" s="26"/>
      <c r="T525" s="26"/>
      <c r="U525" s="26"/>
      <c r="V525" s="26"/>
      <c r="W525" s="26"/>
      <c r="X525" s="26"/>
      <c r="Y525" s="26"/>
      <c r="Z525" s="26"/>
      <c r="AA525" s="26"/>
    </row>
    <row r="526">
      <c r="A526" s="12"/>
      <c r="B526" s="13"/>
      <c r="C526" s="13"/>
      <c r="D526" s="14"/>
      <c r="E526" s="130"/>
      <c r="F526" s="16"/>
      <c r="G526" s="18"/>
      <c r="H526" s="131"/>
      <c r="I526" s="18"/>
      <c r="J526" s="22"/>
      <c r="K526" s="108"/>
      <c r="L526" s="26"/>
      <c r="M526" s="26"/>
      <c r="N526" s="26"/>
      <c r="O526" s="26"/>
      <c r="P526" s="26"/>
      <c r="Q526" s="26"/>
      <c r="R526" s="26"/>
      <c r="S526" s="26"/>
      <c r="T526" s="26"/>
      <c r="U526" s="26"/>
      <c r="V526" s="26"/>
      <c r="W526" s="26"/>
      <c r="X526" s="26"/>
      <c r="Y526" s="26"/>
      <c r="Z526" s="26"/>
      <c r="AA526" s="26"/>
    </row>
    <row r="527">
      <c r="A527" s="12"/>
      <c r="B527" s="13"/>
      <c r="C527" s="13"/>
      <c r="D527" s="14"/>
      <c r="E527" s="130"/>
      <c r="F527" s="16"/>
      <c r="G527" s="18"/>
      <c r="H527" s="131"/>
      <c r="I527" s="18"/>
      <c r="J527" s="22"/>
      <c r="K527" s="108"/>
      <c r="L527" s="26"/>
      <c r="M527" s="26"/>
      <c r="N527" s="26"/>
      <c r="O527" s="26"/>
      <c r="P527" s="26"/>
      <c r="Q527" s="26"/>
      <c r="R527" s="26"/>
      <c r="S527" s="26"/>
      <c r="T527" s="26"/>
      <c r="U527" s="26"/>
      <c r="V527" s="26"/>
      <c r="W527" s="26"/>
      <c r="X527" s="26"/>
      <c r="Y527" s="26"/>
      <c r="Z527" s="26"/>
      <c r="AA527" s="26"/>
    </row>
    <row r="528">
      <c r="A528" s="12"/>
      <c r="B528" s="13"/>
      <c r="C528" s="13"/>
      <c r="D528" s="14"/>
      <c r="E528" s="130"/>
      <c r="F528" s="16"/>
      <c r="G528" s="18"/>
      <c r="H528" s="131"/>
      <c r="I528" s="18"/>
      <c r="J528" s="22"/>
      <c r="K528" s="108"/>
      <c r="L528" s="26"/>
      <c r="M528" s="26"/>
      <c r="N528" s="26"/>
      <c r="O528" s="26"/>
      <c r="P528" s="26"/>
      <c r="Q528" s="26"/>
      <c r="R528" s="26"/>
      <c r="S528" s="26"/>
      <c r="T528" s="26"/>
      <c r="U528" s="26"/>
      <c r="V528" s="26"/>
      <c r="W528" s="26"/>
      <c r="X528" s="26"/>
      <c r="Y528" s="26"/>
      <c r="Z528" s="26"/>
      <c r="AA528" s="26"/>
    </row>
    <row r="529">
      <c r="A529" s="12"/>
      <c r="B529" s="13"/>
      <c r="C529" s="13"/>
      <c r="D529" s="14"/>
      <c r="E529" s="130"/>
      <c r="F529" s="16"/>
      <c r="G529" s="18"/>
      <c r="H529" s="131"/>
      <c r="I529" s="18"/>
      <c r="J529" s="22"/>
      <c r="K529" s="108"/>
      <c r="L529" s="26"/>
      <c r="M529" s="26"/>
      <c r="N529" s="26"/>
      <c r="O529" s="26"/>
      <c r="P529" s="26"/>
      <c r="Q529" s="26"/>
      <c r="R529" s="26"/>
      <c r="S529" s="26"/>
      <c r="T529" s="26"/>
      <c r="U529" s="26"/>
      <c r="V529" s="26"/>
      <c r="W529" s="26"/>
      <c r="X529" s="26"/>
      <c r="Y529" s="26"/>
      <c r="Z529" s="26"/>
      <c r="AA529" s="26"/>
    </row>
    <row r="530">
      <c r="A530" s="12"/>
      <c r="B530" s="13"/>
      <c r="C530" s="13"/>
      <c r="D530" s="14"/>
      <c r="E530" s="130"/>
      <c r="F530" s="16"/>
      <c r="G530" s="18"/>
      <c r="H530" s="131"/>
      <c r="I530" s="18"/>
      <c r="J530" s="22"/>
      <c r="K530" s="108"/>
      <c r="L530" s="26"/>
      <c r="M530" s="26"/>
      <c r="N530" s="26"/>
      <c r="O530" s="26"/>
      <c r="P530" s="26"/>
      <c r="Q530" s="26"/>
      <c r="R530" s="26"/>
      <c r="S530" s="26"/>
      <c r="T530" s="26"/>
      <c r="U530" s="26"/>
      <c r="V530" s="26"/>
      <c r="W530" s="26"/>
      <c r="X530" s="26"/>
      <c r="Y530" s="26"/>
      <c r="Z530" s="26"/>
      <c r="AA530" s="26"/>
    </row>
    <row r="531">
      <c r="A531" s="12"/>
      <c r="B531" s="13"/>
      <c r="C531" s="13"/>
      <c r="D531" s="14"/>
      <c r="E531" s="130"/>
      <c r="F531" s="16"/>
      <c r="G531" s="18"/>
      <c r="H531" s="131"/>
      <c r="I531" s="18"/>
      <c r="J531" s="22"/>
      <c r="K531" s="108"/>
      <c r="L531" s="26"/>
      <c r="M531" s="26"/>
      <c r="N531" s="26"/>
      <c r="O531" s="26"/>
      <c r="P531" s="26"/>
      <c r="Q531" s="26"/>
      <c r="R531" s="26"/>
      <c r="S531" s="26"/>
      <c r="T531" s="26"/>
      <c r="U531" s="26"/>
      <c r="V531" s="26"/>
      <c r="W531" s="26"/>
      <c r="X531" s="26"/>
      <c r="Y531" s="26"/>
      <c r="Z531" s="26"/>
      <c r="AA531" s="26"/>
    </row>
    <row r="532">
      <c r="A532" s="12"/>
      <c r="B532" s="13"/>
      <c r="C532" s="13"/>
      <c r="D532" s="14"/>
      <c r="E532" s="130"/>
      <c r="F532" s="16"/>
      <c r="G532" s="18"/>
      <c r="H532" s="131"/>
      <c r="I532" s="18"/>
      <c r="J532" s="22"/>
      <c r="K532" s="108"/>
      <c r="L532" s="26"/>
      <c r="M532" s="26"/>
      <c r="N532" s="26"/>
      <c r="O532" s="26"/>
      <c r="P532" s="26"/>
      <c r="Q532" s="26"/>
      <c r="R532" s="26"/>
      <c r="S532" s="26"/>
      <c r="T532" s="26"/>
      <c r="U532" s="26"/>
      <c r="V532" s="26"/>
      <c r="W532" s="26"/>
      <c r="X532" s="26"/>
      <c r="Y532" s="26"/>
      <c r="Z532" s="26"/>
      <c r="AA532" s="26"/>
    </row>
    <row r="533">
      <c r="A533" s="12"/>
      <c r="B533" s="13"/>
      <c r="C533" s="13"/>
      <c r="D533" s="14"/>
      <c r="E533" s="130"/>
      <c r="F533" s="16"/>
      <c r="G533" s="18"/>
      <c r="H533" s="131"/>
      <c r="I533" s="18"/>
      <c r="J533" s="22"/>
      <c r="K533" s="108"/>
      <c r="L533" s="26"/>
      <c r="M533" s="26"/>
      <c r="N533" s="26"/>
      <c r="O533" s="26"/>
      <c r="P533" s="26"/>
      <c r="Q533" s="26"/>
      <c r="R533" s="26"/>
      <c r="S533" s="26"/>
      <c r="T533" s="26"/>
      <c r="U533" s="26"/>
      <c r="V533" s="26"/>
      <c r="W533" s="26"/>
      <c r="X533" s="26"/>
      <c r="Y533" s="26"/>
      <c r="Z533" s="26"/>
      <c r="AA533" s="26"/>
    </row>
    <row r="534">
      <c r="A534" s="12"/>
      <c r="B534" s="13"/>
      <c r="C534" s="13"/>
      <c r="D534" s="14"/>
      <c r="E534" s="130"/>
      <c r="F534" s="16"/>
      <c r="G534" s="18"/>
      <c r="H534" s="131"/>
      <c r="I534" s="18"/>
      <c r="J534" s="22"/>
      <c r="K534" s="108"/>
      <c r="L534" s="26"/>
      <c r="M534" s="26"/>
      <c r="N534" s="26"/>
      <c r="O534" s="26"/>
      <c r="P534" s="26"/>
      <c r="Q534" s="26"/>
      <c r="R534" s="26"/>
      <c r="S534" s="26"/>
      <c r="T534" s="26"/>
      <c r="U534" s="26"/>
      <c r="V534" s="26"/>
      <c r="W534" s="26"/>
      <c r="X534" s="26"/>
      <c r="Y534" s="26"/>
      <c r="Z534" s="26"/>
      <c r="AA534" s="26"/>
    </row>
    <row r="535">
      <c r="A535" s="12"/>
      <c r="B535" s="13"/>
      <c r="C535" s="13"/>
      <c r="D535" s="14"/>
      <c r="E535" s="130"/>
      <c r="F535" s="16"/>
      <c r="G535" s="18"/>
      <c r="H535" s="131"/>
      <c r="I535" s="18"/>
      <c r="J535" s="22"/>
      <c r="K535" s="108"/>
      <c r="L535" s="26"/>
      <c r="M535" s="26"/>
      <c r="N535" s="26"/>
      <c r="O535" s="26"/>
      <c r="P535" s="26"/>
      <c r="Q535" s="26"/>
      <c r="R535" s="26"/>
      <c r="S535" s="26"/>
      <c r="T535" s="26"/>
      <c r="U535" s="26"/>
      <c r="V535" s="26"/>
      <c r="W535" s="26"/>
      <c r="X535" s="26"/>
      <c r="Y535" s="26"/>
      <c r="Z535" s="26"/>
      <c r="AA535" s="26"/>
    </row>
    <row r="536">
      <c r="A536" s="12"/>
      <c r="B536" s="13"/>
      <c r="C536" s="13"/>
      <c r="D536" s="14"/>
      <c r="E536" s="130"/>
      <c r="F536" s="16"/>
      <c r="G536" s="18"/>
      <c r="H536" s="131"/>
      <c r="I536" s="18"/>
      <c r="J536" s="22"/>
      <c r="K536" s="108"/>
      <c r="L536" s="26"/>
      <c r="M536" s="26"/>
      <c r="N536" s="26"/>
      <c r="O536" s="26"/>
      <c r="P536" s="26"/>
      <c r="Q536" s="26"/>
      <c r="R536" s="26"/>
      <c r="S536" s="26"/>
      <c r="T536" s="26"/>
      <c r="U536" s="26"/>
      <c r="V536" s="26"/>
      <c r="W536" s="26"/>
      <c r="X536" s="26"/>
      <c r="Y536" s="26"/>
      <c r="Z536" s="26"/>
      <c r="AA536" s="26"/>
    </row>
    <row r="537">
      <c r="A537" s="12"/>
      <c r="B537" s="13"/>
      <c r="C537" s="13"/>
      <c r="D537" s="14"/>
      <c r="E537" s="130"/>
      <c r="F537" s="16"/>
      <c r="G537" s="18"/>
      <c r="H537" s="131"/>
      <c r="I537" s="18"/>
      <c r="J537" s="22"/>
      <c r="K537" s="108"/>
      <c r="L537" s="26"/>
      <c r="M537" s="26"/>
      <c r="N537" s="26"/>
      <c r="O537" s="26"/>
      <c r="P537" s="26"/>
      <c r="Q537" s="26"/>
      <c r="R537" s="26"/>
      <c r="S537" s="26"/>
      <c r="T537" s="26"/>
      <c r="U537" s="26"/>
      <c r="V537" s="26"/>
      <c r="W537" s="26"/>
      <c r="X537" s="26"/>
      <c r="Y537" s="26"/>
      <c r="Z537" s="26"/>
      <c r="AA537" s="26"/>
    </row>
    <row r="538">
      <c r="A538" s="12"/>
      <c r="B538" s="13"/>
      <c r="C538" s="13"/>
      <c r="D538" s="14"/>
      <c r="E538" s="130"/>
      <c r="F538" s="16"/>
      <c r="G538" s="18"/>
      <c r="H538" s="131"/>
      <c r="I538" s="18"/>
      <c r="J538" s="22"/>
      <c r="K538" s="108"/>
      <c r="L538" s="26"/>
      <c r="M538" s="26"/>
      <c r="N538" s="26"/>
      <c r="O538" s="26"/>
      <c r="P538" s="26"/>
      <c r="Q538" s="26"/>
      <c r="R538" s="26"/>
      <c r="S538" s="26"/>
      <c r="T538" s="26"/>
      <c r="U538" s="26"/>
      <c r="V538" s="26"/>
      <c r="W538" s="26"/>
      <c r="X538" s="26"/>
      <c r="Y538" s="26"/>
      <c r="Z538" s="26"/>
      <c r="AA538" s="26"/>
    </row>
    <row r="539">
      <c r="A539" s="12"/>
      <c r="B539" s="13"/>
      <c r="C539" s="13"/>
      <c r="D539" s="14"/>
      <c r="E539" s="130"/>
      <c r="F539" s="16"/>
      <c r="G539" s="18"/>
      <c r="H539" s="131"/>
      <c r="I539" s="18"/>
      <c r="J539" s="22"/>
      <c r="K539" s="108"/>
      <c r="L539" s="26"/>
      <c r="M539" s="26"/>
      <c r="N539" s="26"/>
      <c r="O539" s="26"/>
      <c r="P539" s="26"/>
      <c r="Q539" s="26"/>
      <c r="R539" s="26"/>
      <c r="S539" s="26"/>
      <c r="T539" s="26"/>
      <c r="U539" s="26"/>
      <c r="V539" s="26"/>
      <c r="W539" s="26"/>
      <c r="X539" s="26"/>
      <c r="Y539" s="26"/>
      <c r="Z539" s="26"/>
      <c r="AA539" s="26"/>
    </row>
    <row r="540">
      <c r="A540" s="12"/>
      <c r="B540" s="13"/>
      <c r="C540" s="13"/>
      <c r="D540" s="14"/>
      <c r="E540" s="130"/>
      <c r="F540" s="16"/>
      <c r="G540" s="18"/>
      <c r="H540" s="131"/>
      <c r="I540" s="18"/>
      <c r="J540" s="22"/>
      <c r="K540" s="108"/>
      <c r="L540" s="26"/>
      <c r="M540" s="26"/>
      <c r="N540" s="26"/>
      <c r="O540" s="26"/>
      <c r="P540" s="26"/>
      <c r="Q540" s="26"/>
      <c r="R540" s="26"/>
      <c r="S540" s="26"/>
      <c r="T540" s="26"/>
      <c r="U540" s="26"/>
      <c r="V540" s="26"/>
      <c r="W540" s="26"/>
      <c r="X540" s="26"/>
      <c r="Y540" s="26"/>
      <c r="Z540" s="26"/>
      <c r="AA540" s="26"/>
    </row>
    <row r="541">
      <c r="A541" s="12"/>
      <c r="B541" s="13"/>
      <c r="C541" s="13"/>
      <c r="D541" s="14"/>
      <c r="E541" s="130"/>
      <c r="F541" s="16"/>
      <c r="G541" s="18"/>
      <c r="H541" s="131"/>
      <c r="I541" s="18"/>
      <c r="J541" s="22"/>
      <c r="K541" s="108"/>
      <c r="L541" s="26"/>
      <c r="M541" s="26"/>
      <c r="N541" s="26"/>
      <c r="O541" s="26"/>
      <c r="P541" s="26"/>
      <c r="Q541" s="26"/>
      <c r="R541" s="26"/>
      <c r="S541" s="26"/>
      <c r="T541" s="26"/>
      <c r="U541" s="26"/>
      <c r="V541" s="26"/>
      <c r="W541" s="26"/>
      <c r="X541" s="26"/>
      <c r="Y541" s="26"/>
      <c r="Z541" s="26"/>
      <c r="AA541" s="26"/>
    </row>
    <row r="542">
      <c r="A542" s="12"/>
      <c r="B542" s="13"/>
      <c r="C542" s="13"/>
      <c r="D542" s="14"/>
      <c r="E542" s="130"/>
      <c r="F542" s="16"/>
      <c r="G542" s="18"/>
      <c r="H542" s="131"/>
      <c r="I542" s="18"/>
      <c r="J542" s="22"/>
      <c r="K542" s="108"/>
      <c r="L542" s="26"/>
      <c r="M542" s="26"/>
      <c r="N542" s="26"/>
      <c r="O542" s="26"/>
      <c r="P542" s="26"/>
      <c r="Q542" s="26"/>
      <c r="R542" s="26"/>
      <c r="S542" s="26"/>
      <c r="T542" s="26"/>
      <c r="U542" s="26"/>
      <c r="V542" s="26"/>
      <c r="W542" s="26"/>
      <c r="X542" s="26"/>
      <c r="Y542" s="26"/>
      <c r="Z542" s="26"/>
      <c r="AA542" s="26"/>
    </row>
    <row r="543">
      <c r="A543" s="12"/>
      <c r="B543" s="13"/>
      <c r="C543" s="13"/>
      <c r="D543" s="14"/>
      <c r="E543" s="130"/>
      <c r="F543" s="16"/>
      <c r="G543" s="18"/>
      <c r="H543" s="131"/>
      <c r="I543" s="18"/>
      <c r="J543" s="22"/>
      <c r="K543" s="108"/>
      <c r="L543" s="26"/>
      <c r="M543" s="26"/>
      <c r="N543" s="26"/>
      <c r="O543" s="26"/>
      <c r="P543" s="26"/>
      <c r="Q543" s="26"/>
      <c r="R543" s="26"/>
      <c r="S543" s="26"/>
      <c r="T543" s="26"/>
      <c r="U543" s="26"/>
      <c r="V543" s="26"/>
      <c r="W543" s="26"/>
      <c r="X543" s="26"/>
      <c r="Y543" s="26"/>
      <c r="Z543" s="26"/>
      <c r="AA543" s="26"/>
    </row>
    <row r="544">
      <c r="A544" s="12"/>
      <c r="B544" s="13"/>
      <c r="C544" s="13"/>
      <c r="D544" s="14"/>
      <c r="E544" s="130"/>
      <c r="F544" s="16"/>
      <c r="G544" s="18"/>
      <c r="H544" s="131"/>
      <c r="I544" s="18"/>
      <c r="J544" s="22"/>
      <c r="K544" s="108"/>
      <c r="L544" s="26"/>
      <c r="M544" s="26"/>
      <c r="N544" s="26"/>
      <c r="O544" s="26"/>
      <c r="P544" s="26"/>
      <c r="Q544" s="26"/>
      <c r="R544" s="26"/>
      <c r="S544" s="26"/>
      <c r="T544" s="26"/>
      <c r="U544" s="26"/>
      <c r="V544" s="26"/>
      <c r="W544" s="26"/>
      <c r="X544" s="26"/>
      <c r="Y544" s="26"/>
      <c r="Z544" s="26"/>
      <c r="AA544" s="26"/>
    </row>
    <row r="545">
      <c r="A545" s="12"/>
      <c r="B545" s="13"/>
      <c r="C545" s="13"/>
      <c r="D545" s="14"/>
      <c r="E545" s="130"/>
      <c r="F545" s="16"/>
      <c r="G545" s="18"/>
      <c r="H545" s="131"/>
      <c r="I545" s="18"/>
      <c r="J545" s="22"/>
      <c r="K545" s="108"/>
      <c r="L545" s="26"/>
      <c r="M545" s="26"/>
      <c r="N545" s="26"/>
      <c r="O545" s="26"/>
      <c r="P545" s="26"/>
      <c r="Q545" s="26"/>
      <c r="R545" s="26"/>
      <c r="S545" s="26"/>
      <c r="T545" s="26"/>
      <c r="U545" s="26"/>
      <c r="V545" s="26"/>
      <c r="W545" s="26"/>
      <c r="X545" s="26"/>
      <c r="Y545" s="26"/>
      <c r="Z545" s="26"/>
      <c r="AA545" s="26"/>
    </row>
    <row r="546">
      <c r="A546" s="12"/>
      <c r="B546" s="13"/>
      <c r="C546" s="13"/>
      <c r="D546" s="14"/>
      <c r="E546" s="130"/>
      <c r="F546" s="16"/>
      <c r="G546" s="18"/>
      <c r="H546" s="131"/>
      <c r="I546" s="18"/>
      <c r="J546" s="22"/>
      <c r="K546" s="108"/>
      <c r="L546" s="26"/>
      <c r="M546" s="26"/>
      <c r="N546" s="26"/>
      <c r="O546" s="26"/>
      <c r="P546" s="26"/>
      <c r="Q546" s="26"/>
      <c r="R546" s="26"/>
      <c r="S546" s="26"/>
      <c r="T546" s="26"/>
      <c r="U546" s="26"/>
      <c r="V546" s="26"/>
      <c r="W546" s="26"/>
      <c r="X546" s="26"/>
      <c r="Y546" s="26"/>
      <c r="Z546" s="26"/>
      <c r="AA546" s="26"/>
    </row>
    <row r="547">
      <c r="A547" s="12"/>
      <c r="B547" s="13"/>
      <c r="C547" s="13"/>
      <c r="D547" s="14"/>
      <c r="E547" s="130"/>
      <c r="F547" s="16"/>
      <c r="G547" s="18"/>
      <c r="H547" s="131"/>
      <c r="I547" s="18"/>
      <c r="J547" s="22"/>
      <c r="K547" s="108"/>
      <c r="L547" s="26"/>
      <c r="M547" s="26"/>
      <c r="N547" s="26"/>
      <c r="O547" s="26"/>
      <c r="P547" s="26"/>
      <c r="Q547" s="26"/>
      <c r="R547" s="26"/>
      <c r="S547" s="26"/>
      <c r="T547" s="26"/>
      <c r="U547" s="26"/>
      <c r="V547" s="26"/>
      <c r="W547" s="26"/>
      <c r="X547" s="26"/>
      <c r="Y547" s="26"/>
      <c r="Z547" s="26"/>
      <c r="AA547" s="26"/>
    </row>
    <row r="548">
      <c r="A548" s="12"/>
      <c r="B548" s="13"/>
      <c r="C548" s="13"/>
      <c r="D548" s="14"/>
      <c r="E548" s="130"/>
      <c r="F548" s="16"/>
      <c r="G548" s="18"/>
      <c r="H548" s="131"/>
      <c r="I548" s="18"/>
      <c r="J548" s="22"/>
      <c r="K548" s="108"/>
      <c r="L548" s="26"/>
      <c r="M548" s="26"/>
      <c r="N548" s="26"/>
      <c r="O548" s="26"/>
      <c r="P548" s="26"/>
      <c r="Q548" s="26"/>
      <c r="R548" s="26"/>
      <c r="S548" s="26"/>
      <c r="T548" s="26"/>
      <c r="U548" s="26"/>
      <c r="V548" s="26"/>
      <c r="W548" s="26"/>
      <c r="X548" s="26"/>
      <c r="Y548" s="26"/>
      <c r="Z548" s="26"/>
      <c r="AA548" s="26"/>
    </row>
    <row r="549">
      <c r="A549" s="12"/>
      <c r="B549" s="13"/>
      <c r="C549" s="13"/>
      <c r="D549" s="14"/>
      <c r="E549" s="130"/>
      <c r="F549" s="16"/>
      <c r="G549" s="18"/>
      <c r="H549" s="131"/>
      <c r="I549" s="18"/>
      <c r="J549" s="22"/>
      <c r="K549" s="108"/>
      <c r="L549" s="26"/>
      <c r="M549" s="26"/>
      <c r="N549" s="26"/>
      <c r="O549" s="26"/>
      <c r="P549" s="26"/>
      <c r="Q549" s="26"/>
      <c r="R549" s="26"/>
      <c r="S549" s="26"/>
      <c r="T549" s="26"/>
      <c r="U549" s="26"/>
      <c r="V549" s="26"/>
      <c r="W549" s="26"/>
      <c r="X549" s="26"/>
      <c r="Y549" s="26"/>
      <c r="Z549" s="26"/>
      <c r="AA549" s="26"/>
    </row>
    <row r="550">
      <c r="A550" s="12"/>
      <c r="B550" s="13"/>
      <c r="C550" s="13"/>
      <c r="D550" s="14"/>
      <c r="E550" s="130"/>
      <c r="F550" s="16"/>
      <c r="G550" s="18"/>
      <c r="H550" s="131"/>
      <c r="I550" s="18"/>
      <c r="J550" s="22"/>
      <c r="K550" s="108"/>
      <c r="L550" s="26"/>
      <c r="M550" s="26"/>
      <c r="N550" s="26"/>
      <c r="O550" s="26"/>
      <c r="P550" s="26"/>
      <c r="Q550" s="26"/>
      <c r="R550" s="26"/>
      <c r="S550" s="26"/>
      <c r="T550" s="26"/>
      <c r="U550" s="26"/>
      <c r="V550" s="26"/>
      <c r="W550" s="26"/>
      <c r="X550" s="26"/>
      <c r="Y550" s="26"/>
      <c r="Z550" s="26"/>
      <c r="AA550" s="26"/>
    </row>
    <row r="551">
      <c r="A551" s="12"/>
      <c r="B551" s="13"/>
      <c r="C551" s="13"/>
      <c r="D551" s="14"/>
      <c r="E551" s="130"/>
      <c r="F551" s="16"/>
      <c r="G551" s="18"/>
      <c r="H551" s="131"/>
      <c r="I551" s="18"/>
      <c r="J551" s="22"/>
      <c r="K551" s="108"/>
      <c r="L551" s="26"/>
      <c r="M551" s="26"/>
      <c r="N551" s="26"/>
      <c r="O551" s="26"/>
      <c r="P551" s="26"/>
      <c r="Q551" s="26"/>
      <c r="R551" s="26"/>
      <c r="S551" s="26"/>
      <c r="T551" s="26"/>
      <c r="U551" s="26"/>
      <c r="V551" s="26"/>
      <c r="W551" s="26"/>
      <c r="X551" s="26"/>
      <c r="Y551" s="26"/>
      <c r="Z551" s="26"/>
      <c r="AA551" s="26"/>
    </row>
    <row r="552">
      <c r="A552" s="12"/>
      <c r="B552" s="13"/>
      <c r="C552" s="13"/>
      <c r="D552" s="14"/>
      <c r="E552" s="130"/>
      <c r="F552" s="16"/>
      <c r="G552" s="18"/>
      <c r="H552" s="131"/>
      <c r="I552" s="18"/>
      <c r="J552" s="22"/>
      <c r="K552" s="108"/>
      <c r="L552" s="26"/>
      <c r="M552" s="26"/>
      <c r="N552" s="26"/>
      <c r="O552" s="26"/>
      <c r="P552" s="26"/>
      <c r="Q552" s="26"/>
      <c r="R552" s="26"/>
      <c r="S552" s="26"/>
      <c r="T552" s="26"/>
      <c r="U552" s="26"/>
      <c r="V552" s="26"/>
      <c r="W552" s="26"/>
      <c r="X552" s="26"/>
      <c r="Y552" s="26"/>
      <c r="Z552" s="26"/>
      <c r="AA552" s="26"/>
    </row>
    <row r="553">
      <c r="A553" s="12"/>
      <c r="B553" s="13"/>
      <c r="C553" s="13"/>
      <c r="D553" s="14"/>
      <c r="E553" s="130"/>
      <c r="F553" s="16"/>
      <c r="G553" s="18"/>
      <c r="H553" s="131"/>
      <c r="I553" s="18"/>
      <c r="J553" s="22"/>
      <c r="K553" s="108"/>
      <c r="L553" s="26"/>
      <c r="M553" s="26"/>
      <c r="N553" s="26"/>
      <c r="O553" s="26"/>
      <c r="P553" s="26"/>
      <c r="Q553" s="26"/>
      <c r="R553" s="26"/>
      <c r="S553" s="26"/>
      <c r="T553" s="26"/>
      <c r="U553" s="26"/>
      <c r="V553" s="26"/>
      <c r="W553" s="26"/>
      <c r="X553" s="26"/>
      <c r="Y553" s="26"/>
      <c r="Z553" s="26"/>
      <c r="AA553" s="26"/>
    </row>
    <row r="554">
      <c r="A554" s="12"/>
      <c r="B554" s="13"/>
      <c r="C554" s="13"/>
      <c r="D554" s="14"/>
      <c r="E554" s="130"/>
      <c r="F554" s="16"/>
      <c r="G554" s="18"/>
      <c r="H554" s="131"/>
      <c r="I554" s="18"/>
      <c r="J554" s="22"/>
      <c r="K554" s="108"/>
      <c r="L554" s="26"/>
      <c r="M554" s="26"/>
      <c r="N554" s="26"/>
      <c r="O554" s="26"/>
      <c r="P554" s="26"/>
      <c r="Q554" s="26"/>
      <c r="R554" s="26"/>
      <c r="S554" s="26"/>
      <c r="T554" s="26"/>
      <c r="U554" s="26"/>
      <c r="V554" s="26"/>
      <c r="W554" s="26"/>
      <c r="X554" s="26"/>
      <c r="Y554" s="26"/>
      <c r="Z554" s="26"/>
      <c r="AA554" s="26"/>
    </row>
    <row r="555">
      <c r="A555" s="12"/>
      <c r="B555" s="13"/>
      <c r="C555" s="13"/>
      <c r="D555" s="14"/>
      <c r="E555" s="130"/>
      <c r="F555" s="16"/>
      <c r="G555" s="18"/>
      <c r="H555" s="131"/>
      <c r="I555" s="18"/>
      <c r="J555" s="22"/>
      <c r="K555" s="108"/>
      <c r="L555" s="26"/>
      <c r="M555" s="26"/>
      <c r="N555" s="26"/>
      <c r="O555" s="26"/>
      <c r="P555" s="26"/>
      <c r="Q555" s="26"/>
      <c r="R555" s="26"/>
      <c r="S555" s="26"/>
      <c r="T555" s="26"/>
      <c r="U555" s="26"/>
      <c r="V555" s="26"/>
      <c r="W555" s="26"/>
      <c r="X555" s="26"/>
      <c r="Y555" s="26"/>
      <c r="Z555" s="26"/>
      <c r="AA555" s="26"/>
    </row>
    <row r="556">
      <c r="A556" s="12"/>
      <c r="B556" s="13"/>
      <c r="C556" s="13"/>
      <c r="D556" s="14"/>
      <c r="E556" s="130"/>
      <c r="F556" s="16"/>
      <c r="G556" s="18"/>
      <c r="H556" s="131"/>
      <c r="I556" s="18"/>
      <c r="J556" s="22"/>
      <c r="K556" s="108"/>
      <c r="L556" s="26"/>
      <c r="M556" s="26"/>
      <c r="N556" s="26"/>
      <c r="O556" s="26"/>
      <c r="P556" s="26"/>
      <c r="Q556" s="26"/>
      <c r="R556" s="26"/>
      <c r="S556" s="26"/>
      <c r="T556" s="26"/>
      <c r="U556" s="26"/>
      <c r="V556" s="26"/>
      <c r="W556" s="26"/>
      <c r="X556" s="26"/>
      <c r="Y556" s="26"/>
      <c r="Z556" s="26"/>
      <c r="AA556" s="26"/>
    </row>
    <row r="557">
      <c r="A557" s="12"/>
      <c r="B557" s="13"/>
      <c r="C557" s="13"/>
      <c r="D557" s="14"/>
      <c r="E557" s="130"/>
      <c r="F557" s="16"/>
      <c r="G557" s="18"/>
      <c r="H557" s="131"/>
      <c r="I557" s="18"/>
      <c r="J557" s="22"/>
      <c r="K557" s="108"/>
      <c r="L557" s="26"/>
      <c r="M557" s="26"/>
      <c r="N557" s="26"/>
      <c r="O557" s="26"/>
      <c r="P557" s="26"/>
      <c r="Q557" s="26"/>
      <c r="R557" s="26"/>
      <c r="S557" s="26"/>
      <c r="T557" s="26"/>
      <c r="U557" s="26"/>
      <c r="V557" s="26"/>
      <c r="W557" s="26"/>
      <c r="X557" s="26"/>
      <c r="Y557" s="26"/>
      <c r="Z557" s="26"/>
      <c r="AA557" s="26"/>
    </row>
    <row r="558">
      <c r="A558" s="12"/>
      <c r="B558" s="13"/>
      <c r="C558" s="13"/>
      <c r="D558" s="14"/>
      <c r="E558" s="130"/>
      <c r="F558" s="16"/>
      <c r="G558" s="18"/>
      <c r="H558" s="131"/>
      <c r="I558" s="18"/>
      <c r="J558" s="22"/>
      <c r="K558" s="108"/>
      <c r="L558" s="26"/>
      <c r="M558" s="26"/>
      <c r="N558" s="26"/>
      <c r="O558" s="26"/>
      <c r="P558" s="26"/>
      <c r="Q558" s="26"/>
      <c r="R558" s="26"/>
      <c r="S558" s="26"/>
      <c r="T558" s="26"/>
      <c r="U558" s="26"/>
      <c r="V558" s="26"/>
      <c r="W558" s="26"/>
      <c r="X558" s="26"/>
      <c r="Y558" s="26"/>
      <c r="Z558" s="26"/>
      <c r="AA558" s="26"/>
    </row>
    <row r="559">
      <c r="A559" s="12"/>
      <c r="B559" s="13"/>
      <c r="C559" s="13"/>
      <c r="D559" s="14"/>
      <c r="E559" s="130"/>
      <c r="F559" s="16"/>
      <c r="G559" s="18"/>
      <c r="H559" s="131"/>
      <c r="I559" s="18"/>
      <c r="J559" s="22"/>
      <c r="K559" s="108"/>
      <c r="L559" s="26"/>
      <c r="M559" s="26"/>
      <c r="N559" s="26"/>
      <c r="O559" s="26"/>
      <c r="P559" s="26"/>
      <c r="Q559" s="26"/>
      <c r="R559" s="26"/>
      <c r="S559" s="26"/>
      <c r="T559" s="26"/>
      <c r="U559" s="26"/>
      <c r="V559" s="26"/>
      <c r="W559" s="26"/>
      <c r="X559" s="26"/>
      <c r="Y559" s="26"/>
      <c r="Z559" s="26"/>
      <c r="AA559" s="26"/>
    </row>
    <row r="560">
      <c r="A560" s="12"/>
      <c r="B560" s="13"/>
      <c r="C560" s="13"/>
      <c r="D560" s="14"/>
      <c r="E560" s="130"/>
      <c r="F560" s="16"/>
      <c r="G560" s="18"/>
      <c r="H560" s="131"/>
      <c r="I560" s="18"/>
      <c r="J560" s="22"/>
      <c r="K560" s="108"/>
      <c r="L560" s="26"/>
      <c r="M560" s="26"/>
      <c r="N560" s="26"/>
      <c r="O560" s="26"/>
      <c r="P560" s="26"/>
      <c r="Q560" s="26"/>
      <c r="R560" s="26"/>
      <c r="S560" s="26"/>
      <c r="T560" s="26"/>
      <c r="U560" s="26"/>
      <c r="V560" s="26"/>
      <c r="W560" s="26"/>
      <c r="X560" s="26"/>
      <c r="Y560" s="26"/>
      <c r="Z560" s="26"/>
      <c r="AA560" s="26"/>
    </row>
    <row r="561">
      <c r="A561" s="12"/>
      <c r="B561" s="13"/>
      <c r="C561" s="13"/>
      <c r="D561" s="14"/>
      <c r="E561" s="130"/>
      <c r="F561" s="16"/>
      <c r="G561" s="18"/>
      <c r="H561" s="131"/>
      <c r="I561" s="18"/>
      <c r="J561" s="22"/>
      <c r="K561" s="108"/>
      <c r="L561" s="26"/>
      <c r="M561" s="26"/>
      <c r="N561" s="26"/>
      <c r="O561" s="26"/>
      <c r="P561" s="26"/>
      <c r="Q561" s="26"/>
      <c r="R561" s="26"/>
      <c r="S561" s="26"/>
      <c r="T561" s="26"/>
      <c r="U561" s="26"/>
      <c r="V561" s="26"/>
      <c r="W561" s="26"/>
      <c r="X561" s="26"/>
      <c r="Y561" s="26"/>
      <c r="Z561" s="26"/>
      <c r="AA561" s="26"/>
    </row>
    <row r="562">
      <c r="A562" s="12"/>
      <c r="B562" s="13"/>
      <c r="C562" s="13"/>
      <c r="D562" s="14"/>
      <c r="E562" s="130"/>
      <c r="F562" s="16"/>
      <c r="G562" s="18"/>
      <c r="H562" s="131"/>
      <c r="I562" s="18"/>
      <c r="J562" s="22"/>
      <c r="K562" s="108"/>
      <c r="L562" s="26"/>
      <c r="M562" s="26"/>
      <c r="N562" s="26"/>
      <c r="O562" s="26"/>
      <c r="P562" s="26"/>
      <c r="Q562" s="26"/>
      <c r="R562" s="26"/>
      <c r="S562" s="26"/>
      <c r="T562" s="26"/>
      <c r="U562" s="26"/>
      <c r="V562" s="26"/>
      <c r="W562" s="26"/>
      <c r="X562" s="26"/>
      <c r="Y562" s="26"/>
      <c r="Z562" s="26"/>
      <c r="AA562" s="26"/>
    </row>
    <row r="563">
      <c r="A563" s="12"/>
      <c r="B563" s="13"/>
      <c r="C563" s="13"/>
      <c r="D563" s="14"/>
      <c r="E563" s="130"/>
      <c r="F563" s="16"/>
      <c r="G563" s="18"/>
      <c r="H563" s="131"/>
      <c r="I563" s="18"/>
      <c r="J563" s="22"/>
      <c r="K563" s="108"/>
      <c r="L563" s="26"/>
      <c r="M563" s="26"/>
      <c r="N563" s="26"/>
      <c r="O563" s="26"/>
      <c r="P563" s="26"/>
      <c r="Q563" s="26"/>
      <c r="R563" s="26"/>
      <c r="S563" s="26"/>
      <c r="T563" s="26"/>
      <c r="U563" s="26"/>
      <c r="V563" s="26"/>
      <c r="W563" s="26"/>
      <c r="X563" s="26"/>
      <c r="Y563" s="26"/>
      <c r="Z563" s="26"/>
      <c r="AA563" s="26"/>
    </row>
    <row r="564">
      <c r="A564" s="12"/>
      <c r="B564" s="13"/>
      <c r="C564" s="13"/>
      <c r="D564" s="14"/>
      <c r="E564" s="130"/>
      <c r="F564" s="16"/>
      <c r="G564" s="18"/>
      <c r="H564" s="131"/>
      <c r="I564" s="18"/>
      <c r="J564" s="22"/>
      <c r="K564" s="108"/>
      <c r="L564" s="26"/>
      <c r="M564" s="26"/>
      <c r="N564" s="26"/>
      <c r="O564" s="26"/>
      <c r="P564" s="26"/>
      <c r="Q564" s="26"/>
      <c r="R564" s="26"/>
      <c r="S564" s="26"/>
      <c r="T564" s="26"/>
      <c r="U564" s="26"/>
      <c r="V564" s="26"/>
      <c r="W564" s="26"/>
      <c r="X564" s="26"/>
      <c r="Y564" s="26"/>
      <c r="Z564" s="26"/>
      <c r="AA564" s="26"/>
    </row>
    <row r="565">
      <c r="A565" s="12"/>
      <c r="B565" s="13"/>
      <c r="C565" s="13"/>
      <c r="D565" s="14"/>
      <c r="E565" s="130"/>
      <c r="F565" s="16"/>
      <c r="G565" s="18"/>
      <c r="H565" s="131"/>
      <c r="I565" s="18"/>
      <c r="J565" s="22"/>
      <c r="K565" s="108"/>
      <c r="L565" s="26"/>
      <c r="M565" s="26"/>
      <c r="N565" s="26"/>
      <c r="O565" s="26"/>
      <c r="P565" s="26"/>
      <c r="Q565" s="26"/>
      <c r="R565" s="26"/>
      <c r="S565" s="26"/>
      <c r="T565" s="26"/>
      <c r="U565" s="26"/>
      <c r="V565" s="26"/>
      <c r="W565" s="26"/>
      <c r="X565" s="26"/>
      <c r="Y565" s="26"/>
      <c r="Z565" s="26"/>
      <c r="AA565" s="26"/>
    </row>
    <row r="566">
      <c r="A566" s="12"/>
      <c r="B566" s="13"/>
      <c r="C566" s="13"/>
      <c r="D566" s="14"/>
      <c r="E566" s="130"/>
      <c r="F566" s="16"/>
      <c r="G566" s="18"/>
      <c r="H566" s="131"/>
      <c r="I566" s="18"/>
      <c r="J566" s="22"/>
      <c r="K566" s="108"/>
      <c r="L566" s="26"/>
      <c r="M566" s="26"/>
      <c r="N566" s="26"/>
      <c r="O566" s="26"/>
      <c r="P566" s="26"/>
      <c r="Q566" s="26"/>
      <c r="R566" s="26"/>
      <c r="S566" s="26"/>
      <c r="T566" s="26"/>
      <c r="U566" s="26"/>
      <c r="V566" s="26"/>
      <c r="W566" s="26"/>
      <c r="X566" s="26"/>
      <c r="Y566" s="26"/>
      <c r="Z566" s="26"/>
      <c r="AA566" s="26"/>
    </row>
    <row r="567">
      <c r="A567" s="12"/>
      <c r="B567" s="13"/>
      <c r="C567" s="13"/>
      <c r="D567" s="14"/>
      <c r="E567" s="130"/>
      <c r="F567" s="16"/>
      <c r="G567" s="18"/>
      <c r="H567" s="131"/>
      <c r="I567" s="18"/>
      <c r="J567" s="22"/>
      <c r="K567" s="108"/>
      <c r="L567" s="26"/>
      <c r="M567" s="26"/>
      <c r="N567" s="26"/>
      <c r="O567" s="26"/>
      <c r="P567" s="26"/>
      <c r="Q567" s="26"/>
      <c r="R567" s="26"/>
      <c r="S567" s="26"/>
      <c r="T567" s="26"/>
      <c r="U567" s="26"/>
      <c r="V567" s="26"/>
      <c r="W567" s="26"/>
      <c r="X567" s="26"/>
      <c r="Y567" s="26"/>
      <c r="Z567" s="26"/>
      <c r="AA567" s="26"/>
    </row>
    <row r="568">
      <c r="A568" s="12"/>
      <c r="B568" s="13"/>
      <c r="C568" s="13"/>
      <c r="D568" s="14"/>
      <c r="E568" s="130"/>
      <c r="F568" s="16"/>
      <c r="G568" s="18"/>
      <c r="H568" s="131"/>
      <c r="I568" s="18"/>
      <c r="J568" s="22"/>
      <c r="K568" s="108"/>
      <c r="L568" s="26"/>
      <c r="M568" s="26"/>
      <c r="N568" s="26"/>
      <c r="O568" s="26"/>
      <c r="P568" s="26"/>
      <c r="Q568" s="26"/>
      <c r="R568" s="26"/>
      <c r="S568" s="26"/>
      <c r="T568" s="26"/>
      <c r="U568" s="26"/>
      <c r="V568" s="26"/>
      <c r="W568" s="26"/>
      <c r="X568" s="26"/>
      <c r="Y568" s="26"/>
      <c r="Z568" s="26"/>
      <c r="AA568" s="26"/>
    </row>
    <row r="569">
      <c r="A569" s="12"/>
      <c r="B569" s="13"/>
      <c r="C569" s="13"/>
      <c r="D569" s="14"/>
      <c r="E569" s="130"/>
      <c r="F569" s="16"/>
      <c r="G569" s="18"/>
      <c r="H569" s="131"/>
      <c r="I569" s="18"/>
      <c r="J569" s="22"/>
      <c r="K569" s="108"/>
      <c r="L569" s="26"/>
      <c r="M569" s="26"/>
      <c r="N569" s="26"/>
      <c r="O569" s="26"/>
      <c r="P569" s="26"/>
      <c r="Q569" s="26"/>
      <c r="R569" s="26"/>
      <c r="S569" s="26"/>
      <c r="T569" s="26"/>
      <c r="U569" s="26"/>
      <c r="V569" s="26"/>
      <c r="W569" s="26"/>
      <c r="X569" s="26"/>
      <c r="Y569" s="26"/>
      <c r="Z569" s="26"/>
      <c r="AA569" s="26"/>
    </row>
    <row r="570">
      <c r="A570" s="12"/>
      <c r="B570" s="13"/>
      <c r="C570" s="13"/>
      <c r="D570" s="14"/>
      <c r="E570" s="130"/>
      <c r="F570" s="16"/>
      <c r="G570" s="18"/>
      <c r="H570" s="131"/>
      <c r="I570" s="18"/>
      <c r="J570" s="22"/>
      <c r="K570" s="108"/>
      <c r="L570" s="26"/>
      <c r="M570" s="26"/>
      <c r="N570" s="26"/>
      <c r="O570" s="26"/>
      <c r="P570" s="26"/>
      <c r="Q570" s="26"/>
      <c r="R570" s="26"/>
      <c r="S570" s="26"/>
      <c r="T570" s="26"/>
      <c r="U570" s="26"/>
      <c r="V570" s="26"/>
      <c r="W570" s="26"/>
      <c r="X570" s="26"/>
      <c r="Y570" s="26"/>
      <c r="Z570" s="26"/>
      <c r="AA570" s="26"/>
    </row>
    <row r="571">
      <c r="A571" s="12"/>
      <c r="B571" s="13"/>
      <c r="C571" s="13"/>
      <c r="D571" s="14"/>
      <c r="E571" s="130"/>
      <c r="F571" s="16"/>
      <c r="G571" s="18"/>
      <c r="H571" s="131"/>
      <c r="I571" s="18"/>
      <c r="J571" s="22"/>
      <c r="K571" s="108"/>
      <c r="L571" s="26"/>
      <c r="M571" s="26"/>
      <c r="N571" s="26"/>
      <c r="O571" s="26"/>
      <c r="P571" s="26"/>
      <c r="Q571" s="26"/>
      <c r="R571" s="26"/>
      <c r="S571" s="26"/>
      <c r="T571" s="26"/>
      <c r="U571" s="26"/>
      <c r="V571" s="26"/>
      <c r="W571" s="26"/>
      <c r="X571" s="26"/>
      <c r="Y571" s="26"/>
      <c r="Z571" s="26"/>
      <c r="AA571" s="26"/>
    </row>
    <row r="572">
      <c r="A572" s="12"/>
      <c r="B572" s="13"/>
      <c r="C572" s="13"/>
      <c r="D572" s="14"/>
      <c r="E572" s="130"/>
      <c r="F572" s="16"/>
      <c r="G572" s="18"/>
      <c r="H572" s="131"/>
      <c r="I572" s="18"/>
      <c r="J572" s="22"/>
      <c r="K572" s="108"/>
      <c r="L572" s="26"/>
      <c r="M572" s="26"/>
      <c r="N572" s="26"/>
      <c r="O572" s="26"/>
      <c r="P572" s="26"/>
      <c r="Q572" s="26"/>
      <c r="R572" s="26"/>
      <c r="S572" s="26"/>
      <c r="T572" s="26"/>
      <c r="U572" s="26"/>
      <c r="V572" s="26"/>
      <c r="W572" s="26"/>
      <c r="X572" s="26"/>
      <c r="Y572" s="26"/>
      <c r="Z572" s="26"/>
      <c r="AA572" s="26"/>
    </row>
    <row r="573">
      <c r="A573" s="12"/>
      <c r="B573" s="13"/>
      <c r="C573" s="13"/>
      <c r="D573" s="14"/>
      <c r="E573" s="130"/>
      <c r="F573" s="16"/>
      <c r="G573" s="18"/>
      <c r="H573" s="131"/>
      <c r="I573" s="18"/>
      <c r="J573" s="22"/>
      <c r="K573" s="108"/>
      <c r="L573" s="26"/>
      <c r="M573" s="26"/>
      <c r="N573" s="26"/>
      <c r="O573" s="26"/>
      <c r="P573" s="26"/>
      <c r="Q573" s="26"/>
      <c r="R573" s="26"/>
      <c r="S573" s="26"/>
      <c r="T573" s="26"/>
      <c r="U573" s="26"/>
      <c r="V573" s="26"/>
      <c r="W573" s="26"/>
      <c r="X573" s="26"/>
      <c r="Y573" s="26"/>
      <c r="Z573" s="26"/>
      <c r="AA573" s="26"/>
    </row>
    <row r="574">
      <c r="A574" s="12"/>
      <c r="B574" s="13"/>
      <c r="C574" s="13"/>
      <c r="D574" s="14"/>
      <c r="E574" s="130"/>
      <c r="F574" s="16"/>
      <c r="G574" s="18"/>
      <c r="H574" s="131"/>
      <c r="I574" s="18"/>
      <c r="J574" s="22"/>
      <c r="K574" s="108"/>
      <c r="L574" s="26"/>
      <c r="M574" s="26"/>
      <c r="N574" s="26"/>
      <c r="O574" s="26"/>
      <c r="P574" s="26"/>
      <c r="Q574" s="26"/>
      <c r="R574" s="26"/>
      <c r="S574" s="26"/>
      <c r="T574" s="26"/>
      <c r="U574" s="26"/>
      <c r="V574" s="26"/>
      <c r="W574" s="26"/>
      <c r="X574" s="26"/>
      <c r="Y574" s="26"/>
      <c r="Z574" s="26"/>
      <c r="AA574" s="26"/>
    </row>
    <row r="575">
      <c r="A575" s="12"/>
      <c r="B575" s="13"/>
      <c r="C575" s="13"/>
      <c r="D575" s="14"/>
      <c r="E575" s="130"/>
      <c r="F575" s="16"/>
      <c r="G575" s="18"/>
      <c r="H575" s="131"/>
      <c r="I575" s="18"/>
      <c r="J575" s="22"/>
      <c r="K575" s="108"/>
      <c r="L575" s="26"/>
      <c r="M575" s="26"/>
      <c r="N575" s="26"/>
      <c r="O575" s="26"/>
      <c r="P575" s="26"/>
      <c r="Q575" s="26"/>
      <c r="R575" s="26"/>
      <c r="S575" s="26"/>
      <c r="T575" s="26"/>
      <c r="U575" s="26"/>
      <c r="V575" s="26"/>
      <c r="W575" s="26"/>
      <c r="X575" s="26"/>
      <c r="Y575" s="26"/>
      <c r="Z575" s="26"/>
      <c r="AA575" s="26"/>
    </row>
    <row r="576">
      <c r="A576" s="12"/>
      <c r="B576" s="13"/>
      <c r="C576" s="13"/>
      <c r="D576" s="14"/>
      <c r="E576" s="130"/>
      <c r="F576" s="16"/>
      <c r="G576" s="18"/>
      <c r="H576" s="131"/>
      <c r="I576" s="18"/>
      <c r="J576" s="22"/>
      <c r="K576" s="108"/>
      <c r="L576" s="26"/>
      <c r="M576" s="26"/>
      <c r="N576" s="26"/>
      <c r="O576" s="26"/>
      <c r="P576" s="26"/>
      <c r="Q576" s="26"/>
      <c r="R576" s="26"/>
      <c r="S576" s="26"/>
      <c r="T576" s="26"/>
      <c r="U576" s="26"/>
      <c r="V576" s="26"/>
      <c r="W576" s="26"/>
      <c r="X576" s="26"/>
      <c r="Y576" s="26"/>
      <c r="Z576" s="26"/>
      <c r="AA576" s="26"/>
    </row>
    <row r="577">
      <c r="A577" s="12"/>
      <c r="B577" s="13"/>
      <c r="C577" s="13"/>
      <c r="D577" s="14"/>
      <c r="E577" s="130"/>
      <c r="F577" s="16"/>
      <c r="G577" s="18"/>
      <c r="H577" s="131"/>
      <c r="I577" s="18"/>
      <c r="J577" s="22"/>
      <c r="K577" s="108"/>
      <c r="L577" s="26"/>
      <c r="M577" s="26"/>
      <c r="N577" s="26"/>
      <c r="O577" s="26"/>
      <c r="P577" s="26"/>
      <c r="Q577" s="26"/>
      <c r="R577" s="26"/>
      <c r="S577" s="26"/>
      <c r="T577" s="26"/>
      <c r="U577" s="26"/>
      <c r="V577" s="26"/>
      <c r="W577" s="26"/>
      <c r="X577" s="26"/>
      <c r="Y577" s="26"/>
      <c r="Z577" s="26"/>
      <c r="AA577" s="26"/>
    </row>
    <row r="578">
      <c r="A578" s="12"/>
      <c r="B578" s="13"/>
      <c r="C578" s="13"/>
      <c r="D578" s="14"/>
      <c r="E578" s="130"/>
      <c r="F578" s="16"/>
      <c r="G578" s="18"/>
      <c r="H578" s="131"/>
      <c r="I578" s="18"/>
      <c r="J578" s="22"/>
      <c r="K578" s="108"/>
      <c r="L578" s="26"/>
      <c r="M578" s="26"/>
      <c r="N578" s="26"/>
      <c r="O578" s="26"/>
      <c r="P578" s="26"/>
      <c r="Q578" s="26"/>
      <c r="R578" s="26"/>
      <c r="S578" s="26"/>
      <c r="T578" s="26"/>
      <c r="U578" s="26"/>
      <c r="V578" s="26"/>
      <c r="W578" s="26"/>
      <c r="X578" s="26"/>
      <c r="Y578" s="26"/>
      <c r="Z578" s="26"/>
      <c r="AA578" s="26"/>
    </row>
    <row r="579">
      <c r="A579" s="12"/>
      <c r="B579" s="13"/>
      <c r="C579" s="13"/>
      <c r="D579" s="14"/>
      <c r="E579" s="130"/>
      <c r="F579" s="16"/>
      <c r="G579" s="18"/>
      <c r="H579" s="131"/>
      <c r="I579" s="18"/>
      <c r="J579" s="22"/>
      <c r="K579" s="108"/>
      <c r="L579" s="26"/>
      <c r="M579" s="26"/>
      <c r="N579" s="26"/>
      <c r="O579" s="26"/>
      <c r="P579" s="26"/>
      <c r="Q579" s="26"/>
      <c r="R579" s="26"/>
      <c r="S579" s="26"/>
      <c r="T579" s="26"/>
      <c r="U579" s="26"/>
      <c r="V579" s="26"/>
      <c r="W579" s="26"/>
      <c r="X579" s="26"/>
      <c r="Y579" s="26"/>
      <c r="Z579" s="26"/>
      <c r="AA579" s="26"/>
    </row>
    <row r="580">
      <c r="A580" s="12"/>
      <c r="B580" s="13"/>
      <c r="C580" s="13"/>
      <c r="D580" s="14"/>
      <c r="E580" s="130"/>
      <c r="F580" s="16"/>
      <c r="G580" s="18"/>
      <c r="H580" s="131"/>
      <c r="I580" s="18"/>
      <c r="J580" s="22"/>
      <c r="K580" s="108"/>
      <c r="L580" s="26"/>
      <c r="M580" s="26"/>
      <c r="N580" s="26"/>
      <c r="O580" s="26"/>
      <c r="P580" s="26"/>
      <c r="Q580" s="26"/>
      <c r="R580" s="26"/>
      <c r="S580" s="26"/>
      <c r="T580" s="26"/>
      <c r="U580" s="26"/>
      <c r="V580" s="26"/>
      <c r="W580" s="26"/>
      <c r="X580" s="26"/>
      <c r="Y580" s="26"/>
      <c r="Z580" s="26"/>
      <c r="AA580" s="26"/>
    </row>
    <row r="581">
      <c r="A581" s="12"/>
      <c r="B581" s="13"/>
      <c r="C581" s="13"/>
      <c r="D581" s="14"/>
      <c r="E581" s="130"/>
      <c r="F581" s="16"/>
      <c r="G581" s="18"/>
      <c r="H581" s="131"/>
      <c r="I581" s="18"/>
      <c r="J581" s="22"/>
      <c r="K581" s="108"/>
      <c r="L581" s="26"/>
      <c r="M581" s="26"/>
      <c r="N581" s="26"/>
      <c r="O581" s="26"/>
      <c r="P581" s="26"/>
      <c r="Q581" s="26"/>
      <c r="R581" s="26"/>
      <c r="S581" s="26"/>
      <c r="T581" s="26"/>
      <c r="U581" s="26"/>
      <c r="V581" s="26"/>
      <c r="W581" s="26"/>
      <c r="X581" s="26"/>
      <c r="Y581" s="26"/>
      <c r="Z581" s="26"/>
      <c r="AA581" s="26"/>
    </row>
    <row r="582">
      <c r="A582" s="12"/>
      <c r="B582" s="13"/>
      <c r="C582" s="13"/>
      <c r="D582" s="14"/>
      <c r="E582" s="130"/>
      <c r="F582" s="16"/>
      <c r="G582" s="18"/>
      <c r="H582" s="131"/>
      <c r="I582" s="18"/>
      <c r="J582" s="22"/>
      <c r="K582" s="108"/>
      <c r="L582" s="26"/>
      <c r="M582" s="26"/>
      <c r="N582" s="26"/>
      <c r="O582" s="26"/>
      <c r="P582" s="26"/>
      <c r="Q582" s="26"/>
      <c r="R582" s="26"/>
      <c r="S582" s="26"/>
      <c r="T582" s="26"/>
      <c r="U582" s="26"/>
      <c r="V582" s="26"/>
      <c r="W582" s="26"/>
      <c r="X582" s="26"/>
      <c r="Y582" s="26"/>
      <c r="Z582" s="26"/>
      <c r="AA582" s="26"/>
    </row>
    <row r="583">
      <c r="A583" s="12"/>
      <c r="B583" s="13"/>
      <c r="C583" s="13"/>
      <c r="D583" s="14"/>
      <c r="E583" s="130"/>
      <c r="F583" s="16"/>
      <c r="G583" s="18"/>
      <c r="H583" s="131"/>
      <c r="I583" s="18"/>
      <c r="J583" s="22"/>
      <c r="K583" s="108"/>
      <c r="L583" s="26"/>
      <c r="M583" s="26"/>
      <c r="N583" s="26"/>
      <c r="O583" s="26"/>
      <c r="P583" s="26"/>
      <c r="Q583" s="26"/>
      <c r="R583" s="26"/>
      <c r="S583" s="26"/>
      <c r="T583" s="26"/>
      <c r="U583" s="26"/>
      <c r="V583" s="26"/>
      <c r="W583" s="26"/>
      <c r="X583" s="26"/>
      <c r="Y583" s="26"/>
      <c r="Z583" s="26"/>
      <c r="AA583" s="26"/>
    </row>
    <row r="584">
      <c r="A584" s="12"/>
      <c r="B584" s="13"/>
      <c r="C584" s="13"/>
      <c r="D584" s="14"/>
      <c r="E584" s="130"/>
      <c r="F584" s="16"/>
      <c r="G584" s="18"/>
      <c r="H584" s="131"/>
      <c r="I584" s="18"/>
      <c r="J584" s="22"/>
      <c r="K584" s="108"/>
      <c r="L584" s="26"/>
      <c r="M584" s="26"/>
      <c r="N584" s="26"/>
      <c r="O584" s="26"/>
      <c r="P584" s="26"/>
      <c r="Q584" s="26"/>
      <c r="R584" s="26"/>
      <c r="S584" s="26"/>
      <c r="T584" s="26"/>
      <c r="U584" s="26"/>
      <c r="V584" s="26"/>
      <c r="W584" s="26"/>
      <c r="X584" s="26"/>
      <c r="Y584" s="26"/>
      <c r="Z584" s="26"/>
      <c r="AA584" s="26"/>
    </row>
    <row r="585">
      <c r="A585" s="12"/>
      <c r="B585" s="13"/>
      <c r="C585" s="13"/>
      <c r="D585" s="14"/>
      <c r="E585" s="130"/>
      <c r="F585" s="16"/>
      <c r="G585" s="18"/>
      <c r="H585" s="131"/>
      <c r="I585" s="18"/>
      <c r="J585" s="22"/>
      <c r="K585" s="108"/>
      <c r="L585" s="26"/>
      <c r="M585" s="26"/>
      <c r="N585" s="26"/>
      <c r="O585" s="26"/>
      <c r="P585" s="26"/>
      <c r="Q585" s="26"/>
      <c r="R585" s="26"/>
      <c r="S585" s="26"/>
      <c r="T585" s="26"/>
      <c r="U585" s="26"/>
      <c r="V585" s="26"/>
      <c r="W585" s="26"/>
      <c r="X585" s="26"/>
      <c r="Y585" s="26"/>
      <c r="Z585" s="26"/>
      <c r="AA585" s="26"/>
    </row>
    <row r="586">
      <c r="A586" s="12"/>
      <c r="B586" s="13"/>
      <c r="C586" s="13"/>
      <c r="D586" s="14"/>
      <c r="E586" s="130"/>
      <c r="F586" s="16"/>
      <c r="G586" s="18"/>
      <c r="H586" s="131"/>
      <c r="I586" s="18"/>
      <c r="J586" s="22"/>
      <c r="K586" s="108"/>
      <c r="L586" s="26"/>
      <c r="M586" s="26"/>
      <c r="N586" s="26"/>
      <c r="O586" s="26"/>
      <c r="P586" s="26"/>
      <c r="Q586" s="26"/>
      <c r="R586" s="26"/>
      <c r="S586" s="26"/>
      <c r="T586" s="26"/>
      <c r="U586" s="26"/>
      <c r="V586" s="26"/>
      <c r="W586" s="26"/>
      <c r="X586" s="26"/>
      <c r="Y586" s="26"/>
      <c r="Z586" s="26"/>
      <c r="AA586" s="26"/>
    </row>
    <row r="587">
      <c r="A587" s="12"/>
      <c r="B587" s="13"/>
      <c r="C587" s="13"/>
      <c r="D587" s="14"/>
      <c r="E587" s="130"/>
      <c r="F587" s="16"/>
      <c r="G587" s="18"/>
      <c r="H587" s="131"/>
      <c r="I587" s="18"/>
      <c r="J587" s="22"/>
      <c r="K587" s="108"/>
      <c r="L587" s="26"/>
      <c r="M587" s="26"/>
      <c r="N587" s="26"/>
      <c r="O587" s="26"/>
      <c r="P587" s="26"/>
      <c r="Q587" s="26"/>
      <c r="R587" s="26"/>
      <c r="S587" s="26"/>
      <c r="T587" s="26"/>
      <c r="U587" s="26"/>
      <c r="V587" s="26"/>
      <c r="W587" s="26"/>
      <c r="X587" s="26"/>
      <c r="Y587" s="26"/>
      <c r="Z587" s="26"/>
      <c r="AA587" s="26"/>
    </row>
    <row r="588">
      <c r="A588" s="12"/>
      <c r="B588" s="13"/>
      <c r="C588" s="13"/>
      <c r="D588" s="14"/>
      <c r="E588" s="130"/>
      <c r="F588" s="16"/>
      <c r="G588" s="18"/>
      <c r="H588" s="131"/>
      <c r="I588" s="18"/>
      <c r="J588" s="22"/>
      <c r="K588" s="108"/>
      <c r="L588" s="26"/>
      <c r="M588" s="26"/>
      <c r="N588" s="26"/>
      <c r="O588" s="26"/>
      <c r="P588" s="26"/>
      <c r="Q588" s="26"/>
      <c r="R588" s="26"/>
      <c r="S588" s="26"/>
      <c r="T588" s="26"/>
      <c r="U588" s="26"/>
      <c r="V588" s="26"/>
      <c r="W588" s="26"/>
      <c r="X588" s="26"/>
      <c r="Y588" s="26"/>
      <c r="Z588" s="26"/>
      <c r="AA588" s="26"/>
    </row>
    <row r="589">
      <c r="A589" s="12"/>
      <c r="B589" s="13"/>
      <c r="C589" s="13"/>
      <c r="D589" s="14"/>
      <c r="E589" s="130"/>
      <c r="F589" s="16"/>
      <c r="G589" s="18"/>
      <c r="H589" s="131"/>
      <c r="I589" s="18"/>
      <c r="J589" s="22"/>
      <c r="K589" s="108"/>
      <c r="L589" s="26"/>
      <c r="M589" s="26"/>
      <c r="N589" s="26"/>
      <c r="O589" s="26"/>
      <c r="P589" s="26"/>
      <c r="Q589" s="26"/>
      <c r="R589" s="26"/>
      <c r="S589" s="26"/>
      <c r="T589" s="26"/>
      <c r="U589" s="26"/>
      <c r="V589" s="26"/>
      <c r="W589" s="26"/>
      <c r="X589" s="26"/>
      <c r="Y589" s="26"/>
      <c r="Z589" s="26"/>
      <c r="AA589" s="26"/>
    </row>
    <row r="590">
      <c r="A590" s="12"/>
      <c r="B590" s="13"/>
      <c r="C590" s="13"/>
      <c r="D590" s="14"/>
      <c r="E590" s="130"/>
      <c r="F590" s="16"/>
      <c r="G590" s="18"/>
      <c r="H590" s="131"/>
      <c r="I590" s="18"/>
      <c r="J590" s="22"/>
      <c r="K590" s="108"/>
      <c r="L590" s="26"/>
      <c r="M590" s="26"/>
      <c r="N590" s="26"/>
      <c r="O590" s="26"/>
      <c r="P590" s="26"/>
      <c r="Q590" s="26"/>
      <c r="R590" s="26"/>
      <c r="S590" s="26"/>
      <c r="T590" s="26"/>
      <c r="U590" s="26"/>
      <c r="V590" s="26"/>
      <c r="W590" s="26"/>
      <c r="X590" s="26"/>
      <c r="Y590" s="26"/>
      <c r="Z590" s="26"/>
      <c r="AA590" s="26"/>
    </row>
  </sheetData>
  <conditionalFormatting sqref="A3:A590">
    <cfRule type="expression" dxfId="6" priority="1">
      <formula>MATCH(A3,INDIRECT("'Xbox Game Studios'!A:A"),0)</formula>
    </cfRule>
  </conditionalFormatting>
  <conditionalFormatting sqref="A3:A590">
    <cfRule type="expression" dxfId="5" priority="2">
      <formula>MATCH(A3,INDIRECT("'EA Play'!A:A"),0)</formula>
    </cfRule>
  </conditionalFormatting>
  <conditionalFormatting sqref="A3:A590 D3:D590">
    <cfRule type="expression" dxfId="13" priority="3">
      <formula>$D3="Coming Soon"</formula>
    </cfRule>
  </conditionalFormatting>
  <conditionalFormatting sqref="A3:A590 D3:D590">
    <cfRule type="expression" dxfId="7" priority="4">
      <formula>$D3="Removed"</formula>
    </cfRule>
  </conditionalFormatting>
  <conditionalFormatting sqref="A3:A590 D3:D590">
    <cfRule type="expression" dxfId="10" priority="5">
      <formula>$D3="Leaving Soon"</formula>
    </cfRule>
  </conditionalFormatting>
  <conditionalFormatting sqref="E3:E590 I3:I590">
    <cfRule type="expression" dxfId="4" priority="6">
      <formula>AND($E3&lt;&gt;"",(($E3-$H3)/365*12)&lt;1)</formula>
    </cfRule>
  </conditionalFormatting>
  <conditionalFormatting sqref="J3:J590">
    <cfRule type="cellIs" dxfId="5" priority="7" operator="between">
      <formula>75</formula>
      <formula>89</formula>
    </cfRule>
  </conditionalFormatting>
  <conditionalFormatting sqref="J3:J590">
    <cfRule type="cellIs" dxfId="6" priority="8" operator="between">
      <formula>50</formula>
      <formula>74</formula>
    </cfRule>
  </conditionalFormatting>
  <conditionalFormatting sqref="J3:J590">
    <cfRule type="cellIs" dxfId="7" priority="9" operator="between">
      <formula>1</formula>
      <formula>49</formula>
    </cfRule>
  </conditionalFormatting>
  <conditionalFormatting sqref="B3:B590">
    <cfRule type="expression" dxfId="14" priority="10">
      <formula>AND(MATCH(A3,INDIRECT("'Cross Play'!D2:D"),0),MATCH(A3,INDIRECT("'Cross Play'!A2:A"),0))</formula>
    </cfRule>
  </conditionalFormatting>
  <conditionalFormatting sqref="B3:B590">
    <cfRule type="expression" dxfId="15" priority="11">
      <formula>MATCH(A3,INDIRECT("'Cross Play'!A2:A"),0)</formula>
    </cfRule>
  </conditionalFormatting>
  <conditionalFormatting sqref="B3:B590">
    <cfRule type="expression" dxfId="16" priority="12">
      <formula>MATCH(A3,INDIRECT("'Cross Play'!D2:D"),0)</formula>
    </cfRule>
  </conditionalFormatting>
  <conditionalFormatting sqref="I3:I590">
    <cfRule type="colorScale" priority="13">
      <colorScale>
        <cfvo type="min"/>
        <cfvo type="percentile" val="50"/>
        <cfvo type="max"/>
        <color rgb="FFB6D7A8"/>
        <color rgb="FFFFE599"/>
        <color rgb="FFEA9999"/>
      </colorScale>
    </cfRule>
  </conditionalFormatting>
  <conditionalFormatting sqref="G3:G590">
    <cfRule type="expression" dxfId="9" priority="14">
      <formula>MATCH(A3,INDIRECT("'Xbox Game Studios'!A:A"),0)</formula>
    </cfRule>
  </conditionalFormatting>
  <conditionalFormatting sqref="G3:G590">
    <cfRule type="expression" dxfId="9" priority="15">
      <formula>MATCH(A3,INDIRECT("'EA Play'!A:A"),0)</formula>
    </cfRule>
  </conditionalFormatting>
  <conditionalFormatting sqref="G3:G590">
    <cfRule type="expression" dxfId="10" priority="16">
      <formula>AND(D3="Active",OR(AND(G3&gt;11,G3&lt;13),AND(G3&gt;23,G3&lt;25),AND(G3&gt;35,G3&lt;37)),)</formula>
    </cfRule>
  </conditionalFormatting>
  <conditionalFormatting sqref="B1">
    <cfRule type="cellIs" dxfId="4" priority="17" operator="equal">
      <formula>"Xbox"</formula>
    </cfRule>
  </conditionalFormatting>
  <conditionalFormatting sqref="J2:J590">
    <cfRule type="cellIs" dxfId="8" priority="18" operator="between">
      <formula>90</formula>
      <formula>100</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fitToPage="1"/>
  </sheetPr>
  <sheetViews>
    <sheetView workbookViewId="0"/>
  </sheetViews>
  <sheetFormatPr customHeight="1" defaultColWidth="12.63" defaultRowHeight="15.75" outlineLevelCol="2"/>
  <cols>
    <col customWidth="1" min="1" max="1" width="17.13"/>
    <col customWidth="1" min="2" max="3" width="44.13"/>
  </cols>
  <sheetData>
    <row r="1">
      <c r="A1" s="135" t="s">
        <v>502</v>
      </c>
      <c r="B1" s="136" t="s">
        <v>503</v>
      </c>
      <c r="C1" s="137" t="s">
        <v>504</v>
      </c>
    </row>
    <row r="2">
      <c r="A2" s="138" t="s">
        <v>505</v>
      </c>
      <c r="B2" s="139" t="s">
        <v>6</v>
      </c>
      <c r="C2" s="140" t="s">
        <v>506</v>
      </c>
    </row>
    <row r="3">
      <c r="A3" s="141" t="s">
        <v>507</v>
      </c>
      <c r="B3" s="142" t="s">
        <v>508</v>
      </c>
      <c r="C3" s="143" t="s">
        <v>509</v>
      </c>
    </row>
    <row r="4">
      <c r="A4" s="144" t="s">
        <v>511</v>
      </c>
      <c r="B4" s="144" t="s">
        <v>512</v>
      </c>
      <c r="C4" s="144" t="s">
        <v>513</v>
      </c>
    </row>
    <row r="5">
      <c r="A5" s="145" t="s">
        <v>514</v>
      </c>
      <c r="B5" s="146" t="s">
        <v>515</v>
      </c>
      <c r="C5" s="147" t="s">
        <v>516</v>
      </c>
    </row>
    <row r="6">
      <c r="A6" s="148" t="s">
        <v>517</v>
      </c>
      <c r="B6" s="146" t="s">
        <v>518</v>
      </c>
      <c r="C6" s="147" t="s">
        <v>519</v>
      </c>
    </row>
    <row r="7">
      <c r="A7" s="148" t="s">
        <v>520</v>
      </c>
      <c r="B7" s="146" t="s">
        <v>521</v>
      </c>
      <c r="C7" s="147" t="s">
        <v>522</v>
      </c>
    </row>
    <row r="8">
      <c r="A8" s="148" t="s">
        <v>523</v>
      </c>
      <c r="B8" s="146" t="s">
        <v>524</v>
      </c>
      <c r="C8" s="149" t="s">
        <v>525</v>
      </c>
    </row>
    <row r="9">
      <c r="A9" s="148" t="s">
        <v>526</v>
      </c>
      <c r="B9" s="146" t="s">
        <v>527</v>
      </c>
      <c r="C9" s="150" t="s">
        <v>528</v>
      </c>
    </row>
    <row r="10">
      <c r="A10" s="148" t="s">
        <v>529</v>
      </c>
      <c r="B10" s="146" t="s">
        <v>530</v>
      </c>
      <c r="C10" s="147" t="s">
        <v>531</v>
      </c>
    </row>
    <row r="11">
      <c r="A11" s="148" t="s">
        <v>532</v>
      </c>
      <c r="B11" s="146" t="s">
        <v>533</v>
      </c>
      <c r="C11" s="150" t="s">
        <v>534</v>
      </c>
    </row>
    <row r="12">
      <c r="A12" s="148" t="s">
        <v>535</v>
      </c>
      <c r="B12" s="146" t="s">
        <v>536</v>
      </c>
      <c r="C12" s="147" t="s">
        <v>537</v>
      </c>
    </row>
    <row r="13">
      <c r="A13" s="148" t="s">
        <v>538</v>
      </c>
      <c r="B13" s="146" t="s">
        <v>539</v>
      </c>
      <c r="C13" s="147" t="s">
        <v>537</v>
      </c>
    </row>
    <row r="14">
      <c r="A14" s="148" t="s">
        <v>540</v>
      </c>
      <c r="B14" s="151" t="s">
        <v>541</v>
      </c>
      <c r="C14" s="149" t="s">
        <v>543</v>
      </c>
    </row>
    <row r="15">
      <c r="A15" s="148" t="s">
        <v>544</v>
      </c>
      <c r="B15" s="146" t="s">
        <v>545</v>
      </c>
      <c r="C15" s="149" t="s">
        <v>546</v>
      </c>
    </row>
    <row r="16">
      <c r="A16" s="148" t="s">
        <v>547</v>
      </c>
      <c r="B16" s="151" t="s">
        <v>548</v>
      </c>
      <c r="C16" s="149" t="s">
        <v>549</v>
      </c>
    </row>
    <row r="17">
      <c r="A17" s="148" t="s">
        <v>547</v>
      </c>
      <c r="B17" s="146" t="s">
        <v>550</v>
      </c>
      <c r="C17" s="149" t="s">
        <v>551</v>
      </c>
    </row>
    <row r="18">
      <c r="A18" s="148" t="s">
        <v>547</v>
      </c>
      <c r="B18" s="146" t="s">
        <v>552</v>
      </c>
      <c r="C18" s="149" t="s">
        <v>549</v>
      </c>
    </row>
    <row r="19">
      <c r="A19" s="148" t="s">
        <v>547</v>
      </c>
      <c r="B19" s="146" t="s">
        <v>553</v>
      </c>
      <c r="C19" s="149" t="s">
        <v>549</v>
      </c>
    </row>
    <row r="20">
      <c r="A20" s="148" t="s">
        <v>554</v>
      </c>
      <c r="B20" s="146" t="s">
        <v>555</v>
      </c>
      <c r="C20" s="149" t="s">
        <v>549</v>
      </c>
    </row>
    <row r="21">
      <c r="A21" s="148" t="s">
        <v>554</v>
      </c>
      <c r="B21" s="146" t="s">
        <v>556</v>
      </c>
      <c r="C21" s="149" t="s">
        <v>549</v>
      </c>
    </row>
    <row r="22">
      <c r="A22" s="148" t="s">
        <v>554</v>
      </c>
      <c r="B22" s="146" t="s">
        <v>557</v>
      </c>
      <c r="C22" s="149" t="s">
        <v>549</v>
      </c>
    </row>
    <row r="23">
      <c r="A23" s="148" t="s">
        <v>554</v>
      </c>
      <c r="B23" s="151" t="s">
        <v>558</v>
      </c>
      <c r="C23" s="149" t="s">
        <v>549</v>
      </c>
    </row>
    <row r="24">
      <c r="A24" s="148" t="s">
        <v>554</v>
      </c>
      <c r="B24" s="146" t="s">
        <v>559</v>
      </c>
      <c r="C24" s="149" t="s">
        <v>549</v>
      </c>
    </row>
    <row r="25">
      <c r="A25" s="148" t="s">
        <v>560</v>
      </c>
      <c r="B25" s="146" t="s">
        <v>561</v>
      </c>
      <c r="C25" s="147" t="s">
        <v>562</v>
      </c>
    </row>
    <row r="26">
      <c r="A26" s="148" t="s">
        <v>563</v>
      </c>
      <c r="B26" s="146" t="s">
        <v>564</v>
      </c>
      <c r="C26" s="147" t="s">
        <v>537</v>
      </c>
    </row>
    <row r="27">
      <c r="A27" s="152" t="s">
        <v>565</v>
      </c>
      <c r="B27" s="146" t="s">
        <v>566</v>
      </c>
      <c r="C27" s="149" t="s">
        <v>5</v>
      </c>
    </row>
    <row r="28">
      <c r="A28" s="148" t="s">
        <v>567</v>
      </c>
      <c r="B28" s="146" t="s">
        <v>568</v>
      </c>
      <c r="C28" s="150" t="s">
        <v>569</v>
      </c>
    </row>
    <row r="29">
      <c r="A29" s="148" t="s">
        <v>570</v>
      </c>
      <c r="B29" s="146" t="s">
        <v>571</v>
      </c>
      <c r="C29" s="149" t="s">
        <v>572</v>
      </c>
    </row>
    <row r="30">
      <c r="A30" s="148" t="s">
        <v>573</v>
      </c>
      <c r="B30" s="146" t="s">
        <v>574</v>
      </c>
      <c r="C30" s="153" t="s">
        <v>575</v>
      </c>
    </row>
    <row r="31">
      <c r="A31" s="148" t="s">
        <v>573</v>
      </c>
      <c r="B31" s="146" t="s">
        <v>576</v>
      </c>
      <c r="C31" s="149" t="s">
        <v>549</v>
      </c>
    </row>
    <row r="32">
      <c r="A32" s="148" t="s">
        <v>573</v>
      </c>
      <c r="B32" s="146" t="s">
        <v>577</v>
      </c>
      <c r="C32" s="149" t="s">
        <v>578</v>
      </c>
    </row>
    <row r="33">
      <c r="A33" s="154" t="s">
        <v>554</v>
      </c>
      <c r="B33" s="155" t="s">
        <v>580</v>
      </c>
      <c r="C33" s="149" t="s">
        <v>5</v>
      </c>
    </row>
    <row r="34">
      <c r="A34" s="154" t="s">
        <v>581</v>
      </c>
      <c r="B34" s="146" t="s">
        <v>582</v>
      </c>
      <c r="C34" s="149" t="s">
        <v>583</v>
      </c>
    </row>
    <row r="35">
      <c r="A35" s="154" t="s">
        <v>554</v>
      </c>
      <c r="B35" s="146" t="s">
        <v>584</v>
      </c>
      <c r="C35" s="149" t="s">
        <v>5</v>
      </c>
    </row>
    <row r="36">
      <c r="A36" s="154" t="s">
        <v>554</v>
      </c>
      <c r="B36" s="146" t="s">
        <v>585</v>
      </c>
      <c r="C36" s="149" t="s">
        <v>5</v>
      </c>
    </row>
    <row r="37">
      <c r="A37" s="154" t="s">
        <v>586</v>
      </c>
      <c r="B37" s="146" t="s">
        <v>587</v>
      </c>
      <c r="C37" s="150" t="s">
        <v>588</v>
      </c>
    </row>
    <row r="38">
      <c r="A38" s="154" t="s">
        <v>589</v>
      </c>
      <c r="B38" s="146" t="s">
        <v>590</v>
      </c>
      <c r="C38" s="149" t="s">
        <v>5</v>
      </c>
    </row>
    <row r="39">
      <c r="A39" s="154" t="s">
        <v>591</v>
      </c>
      <c r="B39" s="151" t="s">
        <v>592</v>
      </c>
      <c r="C39" s="149" t="s">
        <v>5</v>
      </c>
    </row>
    <row r="40">
      <c r="A40" s="154" t="s">
        <v>591</v>
      </c>
      <c r="B40" s="146" t="s">
        <v>593</v>
      </c>
      <c r="C40" s="153" t="s">
        <v>594</v>
      </c>
    </row>
    <row r="41">
      <c r="A41" s="154" t="s">
        <v>595</v>
      </c>
      <c r="B41" s="146" t="s">
        <v>596</v>
      </c>
      <c r="C41" s="149" t="s">
        <v>597</v>
      </c>
    </row>
    <row r="42">
      <c r="A42" s="154" t="s">
        <v>554</v>
      </c>
      <c r="B42" s="155" t="s">
        <v>599</v>
      </c>
      <c r="C42" s="149" t="s">
        <v>600</v>
      </c>
    </row>
    <row r="43">
      <c r="A43" s="154" t="s">
        <v>601</v>
      </c>
      <c r="B43" s="155" t="s">
        <v>602</v>
      </c>
      <c r="C43" s="149" t="s">
        <v>5</v>
      </c>
    </row>
    <row r="44">
      <c r="A44" s="154" t="s">
        <v>601</v>
      </c>
      <c r="B44" s="146" t="s">
        <v>604</v>
      </c>
      <c r="C44" s="149" t="s">
        <v>605</v>
      </c>
    </row>
    <row r="45">
      <c r="A45" s="154" t="s">
        <v>601</v>
      </c>
      <c r="B45" s="156" t="s">
        <v>606</v>
      </c>
      <c r="C45" s="149" t="s">
        <v>605</v>
      </c>
    </row>
    <row r="46">
      <c r="A46" s="154" t="s">
        <v>601</v>
      </c>
      <c r="B46" s="146" t="s">
        <v>607</v>
      </c>
      <c r="C46" s="153" t="s">
        <v>608</v>
      </c>
    </row>
    <row r="47">
      <c r="A47" s="154" t="s">
        <v>601</v>
      </c>
      <c r="B47" s="146" t="s">
        <v>609</v>
      </c>
      <c r="C47" s="147" t="s">
        <v>610</v>
      </c>
    </row>
    <row r="48">
      <c r="A48" s="154" t="s">
        <v>611</v>
      </c>
      <c r="B48" s="151" t="s">
        <v>612</v>
      </c>
      <c r="C48" s="150" t="s">
        <v>613</v>
      </c>
    </row>
    <row r="49">
      <c r="A49" s="154" t="s">
        <v>611</v>
      </c>
      <c r="B49" s="146" t="s">
        <v>614</v>
      </c>
      <c r="C49" s="149" t="s">
        <v>600</v>
      </c>
    </row>
    <row r="50">
      <c r="A50" s="154" t="s">
        <v>615</v>
      </c>
      <c r="B50" s="157" t="s">
        <v>616</v>
      </c>
      <c r="C50" s="149" t="s">
        <v>618</v>
      </c>
    </row>
    <row r="51">
      <c r="A51" s="154" t="s">
        <v>619</v>
      </c>
      <c r="B51" s="151" t="s">
        <v>620</v>
      </c>
      <c r="C51" s="149" t="s">
        <v>621</v>
      </c>
    </row>
    <row r="52">
      <c r="A52" s="154" t="s">
        <v>611</v>
      </c>
      <c r="B52" s="151" t="s">
        <v>622</v>
      </c>
      <c r="C52" s="153" t="s">
        <v>623</v>
      </c>
    </row>
    <row r="53">
      <c r="A53" s="154" t="s">
        <v>611</v>
      </c>
      <c r="B53" s="155" t="s">
        <v>624</v>
      </c>
      <c r="C53" s="149" t="s">
        <v>626</v>
      </c>
    </row>
    <row r="54">
      <c r="A54" s="154" t="s">
        <v>627</v>
      </c>
      <c r="B54" s="151" t="s">
        <v>628</v>
      </c>
      <c r="C54" s="153" t="s">
        <v>629</v>
      </c>
    </row>
    <row r="55">
      <c r="A55" s="154" t="s">
        <v>630</v>
      </c>
      <c r="B55" s="146" t="s">
        <v>631</v>
      </c>
      <c r="C55" s="149" t="s">
        <v>618</v>
      </c>
    </row>
    <row r="56">
      <c r="A56" s="154" t="s">
        <v>632</v>
      </c>
      <c r="B56" s="146" t="s">
        <v>633</v>
      </c>
      <c r="C56" s="149" t="s">
        <v>634</v>
      </c>
    </row>
    <row r="57">
      <c r="A57" s="154" t="s">
        <v>635</v>
      </c>
      <c r="B57" s="146" t="s">
        <v>636</v>
      </c>
      <c r="C57" s="149" t="s">
        <v>605</v>
      </c>
    </row>
    <row r="58">
      <c r="A58" s="154" t="s">
        <v>637</v>
      </c>
      <c r="B58" s="146" t="s">
        <v>638</v>
      </c>
      <c r="C58" s="158" t="s">
        <v>639</v>
      </c>
    </row>
    <row r="59">
      <c r="A59" s="154" t="s">
        <v>641</v>
      </c>
      <c r="B59" s="156" t="s">
        <v>642</v>
      </c>
      <c r="C59" s="149" t="s">
        <v>605</v>
      </c>
    </row>
    <row r="60">
      <c r="A60" s="154" t="s">
        <v>643</v>
      </c>
      <c r="B60" s="151" t="s">
        <v>644</v>
      </c>
      <c r="C60" s="149" t="s">
        <v>626</v>
      </c>
    </row>
    <row r="61">
      <c r="A61" s="154" t="s">
        <v>645</v>
      </c>
      <c r="B61" s="146" t="s">
        <v>646</v>
      </c>
      <c r="C61" s="147" t="s">
        <v>647</v>
      </c>
    </row>
    <row r="62">
      <c r="A62" s="154" t="s">
        <v>648</v>
      </c>
      <c r="B62" s="146" t="s">
        <v>649</v>
      </c>
      <c r="C62" s="153" t="s">
        <v>650</v>
      </c>
    </row>
    <row r="63">
      <c r="A63" s="154" t="s">
        <v>651</v>
      </c>
      <c r="B63" s="146" t="s">
        <v>652</v>
      </c>
      <c r="C63" s="149" t="s">
        <v>653</v>
      </c>
    </row>
    <row r="64">
      <c r="A64" s="154" t="s">
        <v>654</v>
      </c>
      <c r="B64" s="146" t="s">
        <v>655</v>
      </c>
      <c r="C64" s="153" t="s">
        <v>656</v>
      </c>
    </row>
    <row r="65">
      <c r="A65" s="154" t="s">
        <v>657</v>
      </c>
      <c r="B65" s="159" t="s">
        <v>659</v>
      </c>
      <c r="C65" s="149" t="s">
        <v>660</v>
      </c>
    </row>
    <row r="66">
      <c r="A66" s="154" t="s">
        <v>661</v>
      </c>
      <c r="B66" s="146" t="s">
        <v>662</v>
      </c>
      <c r="C66" s="149" t="s">
        <v>663</v>
      </c>
    </row>
    <row r="67">
      <c r="A67" s="154" t="s">
        <v>595</v>
      </c>
      <c r="B67" s="151" t="s">
        <v>664</v>
      </c>
      <c r="C67" s="149" t="s">
        <v>665</v>
      </c>
    </row>
    <row r="68">
      <c r="A68" s="154" t="s">
        <v>666</v>
      </c>
      <c r="B68" s="146" t="s">
        <v>667</v>
      </c>
      <c r="C68" s="149" t="s">
        <v>668</v>
      </c>
    </row>
    <row r="69">
      <c r="A69" s="154" t="s">
        <v>669</v>
      </c>
      <c r="B69" s="151" t="s">
        <v>670</v>
      </c>
      <c r="C69" s="149" t="s">
        <v>671</v>
      </c>
    </row>
    <row r="70">
      <c r="A70" s="154" t="s">
        <v>672</v>
      </c>
      <c r="B70" s="151" t="s">
        <v>673</v>
      </c>
      <c r="C70" s="153" t="s">
        <v>656</v>
      </c>
    </row>
    <row r="71">
      <c r="A71" s="154" t="s">
        <v>674</v>
      </c>
      <c r="B71" s="146" t="s">
        <v>675</v>
      </c>
      <c r="C71" s="149" t="s">
        <v>676</v>
      </c>
    </row>
    <row r="72">
      <c r="A72" s="154" t="s">
        <v>677</v>
      </c>
      <c r="B72" s="151" t="s">
        <v>678</v>
      </c>
      <c r="C72" s="149" t="s">
        <v>679</v>
      </c>
    </row>
    <row r="73">
      <c r="A73" s="154" t="s">
        <v>680</v>
      </c>
      <c r="B73" s="146" t="s">
        <v>681</v>
      </c>
      <c r="C73" s="147" t="s">
        <v>682</v>
      </c>
    </row>
    <row r="74">
      <c r="A74" s="154" t="s">
        <v>683</v>
      </c>
      <c r="B74" s="146" t="s">
        <v>684</v>
      </c>
      <c r="C74" s="147" t="s">
        <v>685</v>
      </c>
    </row>
    <row r="75">
      <c r="A75" s="154" t="s">
        <v>686</v>
      </c>
      <c r="B75" s="155" t="s">
        <v>687</v>
      </c>
      <c r="C75" s="149" t="s">
        <v>605</v>
      </c>
    </row>
    <row r="76">
      <c r="A76" s="154" t="s">
        <v>688</v>
      </c>
      <c r="B76" s="146" t="s">
        <v>689</v>
      </c>
      <c r="C76" s="147" t="s">
        <v>690</v>
      </c>
    </row>
    <row r="77">
      <c r="A77" s="154" t="s">
        <v>691</v>
      </c>
      <c r="B77" s="151" t="s">
        <v>692</v>
      </c>
      <c r="C77" s="147" t="s">
        <v>690</v>
      </c>
    </row>
    <row r="78">
      <c r="A78" s="154" t="s">
        <v>688</v>
      </c>
      <c r="B78" s="146" t="s">
        <v>693</v>
      </c>
      <c r="C78" s="147" t="s">
        <v>694</v>
      </c>
    </row>
    <row r="79">
      <c r="A79" s="154" t="s">
        <v>695</v>
      </c>
      <c r="B79" s="146" t="s">
        <v>697</v>
      </c>
      <c r="C79" s="147" t="s">
        <v>690</v>
      </c>
    </row>
    <row r="80">
      <c r="A80" s="154" t="s">
        <v>698</v>
      </c>
      <c r="B80" s="146" t="s">
        <v>699</v>
      </c>
      <c r="C80" s="149" t="s">
        <v>605</v>
      </c>
    </row>
    <row r="81">
      <c r="A81" s="154" t="s">
        <v>700</v>
      </c>
      <c r="B81" s="146" t="s">
        <v>701</v>
      </c>
      <c r="C81" s="147" t="s">
        <v>690</v>
      </c>
    </row>
    <row r="82">
      <c r="A82" s="154" t="s">
        <v>702</v>
      </c>
      <c r="B82" s="146" t="s">
        <v>703</v>
      </c>
      <c r="C82" s="149" t="s">
        <v>605</v>
      </c>
    </row>
    <row r="83">
      <c r="A83" s="154" t="s">
        <v>688</v>
      </c>
      <c r="B83" s="155" t="s">
        <v>704</v>
      </c>
      <c r="C83" s="149" t="s">
        <v>605</v>
      </c>
    </row>
    <row r="84">
      <c r="A84" s="154" t="s">
        <v>635</v>
      </c>
      <c r="B84" s="146" t="s">
        <v>705</v>
      </c>
      <c r="C84" s="150" t="s">
        <v>706</v>
      </c>
    </row>
    <row r="85">
      <c r="A85" s="154" t="s">
        <v>707</v>
      </c>
      <c r="B85" s="146" t="s">
        <v>708</v>
      </c>
      <c r="C85" s="149" t="s">
        <v>5</v>
      </c>
    </row>
    <row r="86">
      <c r="A86" s="154" t="s">
        <v>709</v>
      </c>
      <c r="B86" s="146" t="s">
        <v>710</v>
      </c>
      <c r="C86" s="149" t="s">
        <v>605</v>
      </c>
    </row>
    <row r="87">
      <c r="A87" s="154" t="s">
        <v>688</v>
      </c>
      <c r="B87" s="151" t="s">
        <v>711</v>
      </c>
      <c r="C87" s="149" t="s">
        <v>712</v>
      </c>
    </row>
    <row r="88">
      <c r="A88" s="154" t="s">
        <v>637</v>
      </c>
      <c r="B88" s="146" t="s">
        <v>713</v>
      </c>
      <c r="C88" s="149" t="s">
        <v>605</v>
      </c>
    </row>
    <row r="89">
      <c r="A89" s="154" t="s">
        <v>688</v>
      </c>
      <c r="B89" s="146" t="s">
        <v>714</v>
      </c>
      <c r="C89" s="149" t="s">
        <v>715</v>
      </c>
    </row>
    <row r="90">
      <c r="A90" s="154" t="s">
        <v>716</v>
      </c>
      <c r="B90" s="146" t="s">
        <v>717</v>
      </c>
      <c r="C90" s="149" t="s">
        <v>605</v>
      </c>
    </row>
    <row r="91">
      <c r="A91" s="154" t="s">
        <v>718</v>
      </c>
      <c r="B91" s="146" t="s">
        <v>719</v>
      </c>
      <c r="C91" s="147" t="s">
        <v>720</v>
      </c>
    </row>
    <row r="92">
      <c r="A92" s="154" t="s">
        <v>721</v>
      </c>
      <c r="B92" s="146" t="s">
        <v>722</v>
      </c>
      <c r="C92" s="150" t="s">
        <v>723</v>
      </c>
    </row>
    <row r="93">
      <c r="A93" s="154" t="s">
        <v>688</v>
      </c>
      <c r="B93" s="145" t="s">
        <v>724</v>
      </c>
      <c r="C93" s="147" t="s">
        <v>725</v>
      </c>
    </row>
    <row r="94">
      <c r="A94" s="154" t="s">
        <v>726</v>
      </c>
      <c r="B94" s="146" t="s">
        <v>727</v>
      </c>
      <c r="C94" s="149" t="s">
        <v>605</v>
      </c>
    </row>
    <row r="95">
      <c r="A95" s="154" t="s">
        <v>726</v>
      </c>
      <c r="B95" s="146" t="s">
        <v>728</v>
      </c>
      <c r="C95" s="149" t="s">
        <v>605</v>
      </c>
    </row>
    <row r="96">
      <c r="A96" s="154" t="s">
        <v>729</v>
      </c>
      <c r="B96" s="146" t="s">
        <v>730</v>
      </c>
      <c r="C96" s="149" t="s">
        <v>5</v>
      </c>
    </row>
    <row r="97">
      <c r="A97" s="154" t="s">
        <v>731</v>
      </c>
      <c r="B97" s="146" t="s">
        <v>732</v>
      </c>
      <c r="C97" s="147" t="s">
        <v>733</v>
      </c>
    </row>
    <row r="98">
      <c r="A98" s="154" t="s">
        <v>734</v>
      </c>
      <c r="B98" s="151" t="s">
        <v>735</v>
      </c>
      <c r="C98" s="147" t="s">
        <v>690</v>
      </c>
    </row>
    <row r="99">
      <c r="A99" s="154" t="s">
        <v>736</v>
      </c>
      <c r="B99" s="146" t="s">
        <v>737</v>
      </c>
      <c r="C99" s="149" t="s">
        <v>605</v>
      </c>
    </row>
    <row r="100">
      <c r="A100" s="154" t="s">
        <v>736</v>
      </c>
      <c r="B100" s="146" t="s">
        <v>738</v>
      </c>
      <c r="C100" s="149" t="s">
        <v>605</v>
      </c>
    </row>
    <row r="101">
      <c r="A101" s="154" t="s">
        <v>736</v>
      </c>
      <c r="B101" s="146" t="s">
        <v>739</v>
      </c>
      <c r="C101" s="149" t="s">
        <v>605</v>
      </c>
    </row>
    <row r="102">
      <c r="A102" s="154" t="s">
        <v>736</v>
      </c>
      <c r="B102" s="146" t="s">
        <v>740</v>
      </c>
      <c r="C102" s="149" t="s">
        <v>605</v>
      </c>
    </row>
    <row r="103">
      <c r="A103" s="154" t="s">
        <v>736</v>
      </c>
      <c r="B103" s="146" t="s">
        <v>741</v>
      </c>
      <c r="C103" s="149" t="s">
        <v>605</v>
      </c>
    </row>
    <row r="104">
      <c r="A104" s="154" t="s">
        <v>736</v>
      </c>
      <c r="B104" s="146" t="s">
        <v>742</v>
      </c>
      <c r="C104" s="149" t="s">
        <v>605</v>
      </c>
    </row>
    <row r="105">
      <c r="A105" s="154" t="s">
        <v>736</v>
      </c>
      <c r="B105" s="146" t="s">
        <v>743</v>
      </c>
      <c r="C105" s="149" t="s">
        <v>744</v>
      </c>
    </row>
    <row r="106">
      <c r="A106" s="154" t="s">
        <v>745</v>
      </c>
      <c r="B106" s="146" t="s">
        <v>747</v>
      </c>
      <c r="C106" s="149" t="s">
        <v>748</v>
      </c>
    </row>
    <row r="107">
      <c r="A107" s="154" t="s">
        <v>707</v>
      </c>
      <c r="B107" s="146" t="s">
        <v>749</v>
      </c>
      <c r="C107" s="149" t="s">
        <v>605</v>
      </c>
    </row>
    <row r="108">
      <c r="A108" s="154" t="s">
        <v>750</v>
      </c>
      <c r="B108" s="151" t="s">
        <v>751</v>
      </c>
      <c r="C108" s="149" t="s">
        <v>752</v>
      </c>
    </row>
    <row r="109">
      <c r="A109" s="154" t="s">
        <v>753</v>
      </c>
      <c r="B109" s="151" t="s">
        <v>754</v>
      </c>
      <c r="C109" s="147" t="s">
        <v>755</v>
      </c>
    </row>
    <row r="110">
      <c r="A110" s="154" t="s">
        <v>756</v>
      </c>
      <c r="B110" s="146" t="s">
        <v>757</v>
      </c>
      <c r="C110" s="147" t="s">
        <v>690</v>
      </c>
    </row>
    <row r="111">
      <c r="A111" s="154" t="s">
        <v>688</v>
      </c>
      <c r="B111" s="146" t="s">
        <v>758</v>
      </c>
      <c r="C111" s="147" t="s">
        <v>759</v>
      </c>
    </row>
    <row r="112">
      <c r="A112" s="154" t="s">
        <v>688</v>
      </c>
      <c r="B112" s="146" t="s">
        <v>760</v>
      </c>
      <c r="C112" s="149" t="s">
        <v>605</v>
      </c>
    </row>
    <row r="113">
      <c r="A113" s="145" t="s">
        <v>761</v>
      </c>
      <c r="B113" s="146" t="s">
        <v>762</v>
      </c>
      <c r="C113" s="149" t="s">
        <v>5</v>
      </c>
    </row>
    <row r="114">
      <c r="A114" s="154" t="s">
        <v>763</v>
      </c>
      <c r="B114" s="155" t="s">
        <v>764</v>
      </c>
      <c r="C114" s="147" t="s">
        <v>765</v>
      </c>
    </row>
    <row r="115">
      <c r="A115" s="154" t="s">
        <v>766</v>
      </c>
      <c r="B115" s="146" t="s">
        <v>767</v>
      </c>
      <c r="C115" s="147" t="s">
        <v>759</v>
      </c>
    </row>
    <row r="116">
      <c r="A116" s="154" t="s">
        <v>766</v>
      </c>
      <c r="B116" s="146" t="s">
        <v>768</v>
      </c>
      <c r="C116" s="147" t="s">
        <v>769</v>
      </c>
    </row>
    <row r="117">
      <c r="A117" s="154" t="s">
        <v>770</v>
      </c>
      <c r="B117" s="146" t="s">
        <v>771</v>
      </c>
      <c r="C117" s="147" t="s">
        <v>759</v>
      </c>
    </row>
    <row r="118">
      <c r="A118" s="154" t="s">
        <v>750</v>
      </c>
      <c r="B118" s="146" t="s">
        <v>772</v>
      </c>
      <c r="C118" s="147" t="s">
        <v>690</v>
      </c>
    </row>
    <row r="119">
      <c r="A119" s="154" t="s">
        <v>750</v>
      </c>
      <c r="B119" s="146" t="s">
        <v>774</v>
      </c>
      <c r="C119" s="149" t="s">
        <v>775</v>
      </c>
    </row>
    <row r="120">
      <c r="A120" s="154" t="s">
        <v>776</v>
      </c>
      <c r="B120" s="146" t="s">
        <v>777</v>
      </c>
      <c r="C120" s="149" t="s">
        <v>605</v>
      </c>
    </row>
    <row r="121">
      <c r="A121" s="154" t="s">
        <v>778</v>
      </c>
      <c r="B121" s="146" t="s">
        <v>779</v>
      </c>
      <c r="C121" s="149" t="s">
        <v>748</v>
      </c>
    </row>
    <row r="122">
      <c r="A122" s="154" t="s">
        <v>780</v>
      </c>
      <c r="B122" s="146" t="s">
        <v>781</v>
      </c>
      <c r="C122" s="149" t="s">
        <v>5</v>
      </c>
    </row>
    <row r="123">
      <c r="A123" s="154" t="s">
        <v>756</v>
      </c>
      <c r="B123" s="146" t="s">
        <v>782</v>
      </c>
      <c r="C123" s="149" t="s">
        <v>605</v>
      </c>
    </row>
    <row r="124">
      <c r="A124" s="154" t="s">
        <v>756</v>
      </c>
      <c r="B124" s="146" t="s">
        <v>783</v>
      </c>
      <c r="C124" s="149" t="s">
        <v>605</v>
      </c>
    </row>
    <row r="125">
      <c r="A125" s="154" t="s">
        <v>529</v>
      </c>
      <c r="B125" s="146" t="s">
        <v>784</v>
      </c>
      <c r="C125" s="149" t="s">
        <v>605</v>
      </c>
    </row>
    <row r="126">
      <c r="A126" s="154" t="s">
        <v>761</v>
      </c>
      <c r="B126" s="146" t="s">
        <v>785</v>
      </c>
      <c r="C126" s="147" t="s">
        <v>786</v>
      </c>
    </row>
    <row r="127">
      <c r="A127" s="154" t="s">
        <v>695</v>
      </c>
      <c r="B127" s="146" t="s">
        <v>787</v>
      </c>
      <c r="C127" s="149" t="s">
        <v>5</v>
      </c>
    </row>
    <row r="128">
      <c r="A128" s="154" t="s">
        <v>788</v>
      </c>
      <c r="B128" s="146" t="s">
        <v>789</v>
      </c>
      <c r="C128" s="149" t="s">
        <v>790</v>
      </c>
    </row>
    <row r="129">
      <c r="A129" s="154" t="s">
        <v>791</v>
      </c>
      <c r="B129" s="146" t="s">
        <v>792</v>
      </c>
      <c r="C129" s="149" t="s">
        <v>5</v>
      </c>
    </row>
    <row r="130">
      <c r="A130" s="154" t="s">
        <v>793</v>
      </c>
      <c r="B130" s="146" t="s">
        <v>794</v>
      </c>
      <c r="C130" s="147" t="s">
        <v>795</v>
      </c>
    </row>
    <row r="131">
      <c r="A131" s="154" t="s">
        <v>796</v>
      </c>
      <c r="B131" s="151" t="s">
        <v>797</v>
      </c>
      <c r="C131" s="149" t="s">
        <v>798</v>
      </c>
    </row>
    <row r="132">
      <c r="A132" s="154" t="s">
        <v>799</v>
      </c>
      <c r="B132" s="151" t="s">
        <v>800</v>
      </c>
      <c r="C132" s="149" t="s">
        <v>801</v>
      </c>
    </row>
    <row r="133">
      <c r="A133" s="154" t="s">
        <v>756</v>
      </c>
      <c r="B133" s="146" t="s">
        <v>802</v>
      </c>
      <c r="C133" s="149" t="s">
        <v>5</v>
      </c>
    </row>
    <row r="134">
      <c r="A134" s="154" t="s">
        <v>799</v>
      </c>
      <c r="B134" s="146" t="s">
        <v>803</v>
      </c>
      <c r="C134" s="149" t="s">
        <v>605</v>
      </c>
    </row>
    <row r="135">
      <c r="A135" s="154" t="s">
        <v>688</v>
      </c>
      <c r="B135" s="146" t="s">
        <v>804</v>
      </c>
      <c r="C135" s="147" t="s">
        <v>805</v>
      </c>
    </row>
    <row r="136">
      <c r="A136" s="154" t="s">
        <v>806</v>
      </c>
      <c r="B136" s="155" t="s">
        <v>807</v>
      </c>
      <c r="C136" s="147" t="s">
        <v>808</v>
      </c>
    </row>
    <row r="137">
      <c r="A137" s="154" t="s">
        <v>809</v>
      </c>
      <c r="B137" s="146" t="s">
        <v>810</v>
      </c>
      <c r="C137" s="149" t="s">
        <v>5</v>
      </c>
    </row>
    <row r="138">
      <c r="A138" s="154" t="s">
        <v>756</v>
      </c>
      <c r="B138" s="146" t="s">
        <v>811</v>
      </c>
      <c r="C138" s="149" t="s">
        <v>812</v>
      </c>
    </row>
    <row r="139">
      <c r="A139" s="154" t="s">
        <v>788</v>
      </c>
      <c r="B139" s="146" t="s">
        <v>813</v>
      </c>
      <c r="C139" s="149" t="s">
        <v>6</v>
      </c>
    </row>
    <row r="140">
      <c r="A140" s="154" t="s">
        <v>814</v>
      </c>
      <c r="B140" s="146" t="s">
        <v>815</v>
      </c>
      <c r="C140" s="149" t="s">
        <v>6</v>
      </c>
    </row>
    <row r="141">
      <c r="A141" s="154" t="s">
        <v>688</v>
      </c>
      <c r="B141" s="146" t="s">
        <v>816</v>
      </c>
      <c r="C141" s="149" t="s">
        <v>817</v>
      </c>
    </row>
    <row r="142">
      <c r="A142" s="154" t="s">
        <v>818</v>
      </c>
      <c r="B142" s="146" t="s">
        <v>819</v>
      </c>
      <c r="C142" s="149" t="s">
        <v>5</v>
      </c>
    </row>
    <row r="143">
      <c r="A143" s="154" t="s">
        <v>820</v>
      </c>
      <c r="B143" s="155" t="s">
        <v>821</v>
      </c>
      <c r="C143" s="149" t="s">
        <v>605</v>
      </c>
    </row>
    <row r="144">
      <c r="A144" s="154" t="s">
        <v>823</v>
      </c>
      <c r="B144" s="146" t="s">
        <v>824</v>
      </c>
      <c r="C144" s="149" t="s">
        <v>825</v>
      </c>
    </row>
    <row r="145">
      <c r="A145" s="154" t="s">
        <v>721</v>
      </c>
      <c r="B145" s="146" t="s">
        <v>826</v>
      </c>
      <c r="C145" s="147" t="s">
        <v>827</v>
      </c>
    </row>
    <row r="146">
      <c r="A146" s="154" t="s">
        <v>828</v>
      </c>
      <c r="B146" s="151" t="s">
        <v>829</v>
      </c>
      <c r="C146" s="150" t="s">
        <v>830</v>
      </c>
    </row>
    <row r="147">
      <c r="A147" s="154" t="s">
        <v>831</v>
      </c>
      <c r="B147" s="151" t="s">
        <v>832</v>
      </c>
      <c r="C147" s="149" t="s">
        <v>605</v>
      </c>
    </row>
    <row r="148">
      <c r="A148" s="154" t="s">
        <v>688</v>
      </c>
      <c r="B148" s="146" t="s">
        <v>833</v>
      </c>
      <c r="C148" s="147" t="s">
        <v>834</v>
      </c>
    </row>
    <row r="149">
      <c r="A149" s="154" t="s">
        <v>835</v>
      </c>
      <c r="B149" s="151" t="s">
        <v>836</v>
      </c>
      <c r="C149" s="149" t="s">
        <v>605</v>
      </c>
    </row>
    <row r="150">
      <c r="A150" s="154" t="s">
        <v>835</v>
      </c>
      <c r="B150" s="151" t="s">
        <v>837</v>
      </c>
      <c r="C150" s="149" t="s">
        <v>605</v>
      </c>
    </row>
    <row r="151">
      <c r="A151" s="154" t="s">
        <v>835</v>
      </c>
      <c r="B151" s="151" t="s">
        <v>838</v>
      </c>
      <c r="C151" s="149" t="s">
        <v>839</v>
      </c>
    </row>
    <row r="152">
      <c r="A152" s="154" t="s">
        <v>840</v>
      </c>
      <c r="B152" s="146" t="s">
        <v>841</v>
      </c>
      <c r="C152" s="147" t="s">
        <v>842</v>
      </c>
    </row>
    <row r="153">
      <c r="A153" s="154" t="s">
        <v>688</v>
      </c>
      <c r="B153" s="151" t="s">
        <v>843</v>
      </c>
      <c r="C153" s="149" t="s">
        <v>605</v>
      </c>
    </row>
    <row r="154">
      <c r="A154" s="154" t="s">
        <v>688</v>
      </c>
      <c r="B154" s="161" t="s">
        <v>844</v>
      </c>
      <c r="C154" s="149" t="s">
        <v>846</v>
      </c>
    </row>
    <row r="155">
      <c r="A155" s="154" t="s">
        <v>847</v>
      </c>
      <c r="B155" s="146" t="s">
        <v>848</v>
      </c>
      <c r="C155" s="149" t="s">
        <v>849</v>
      </c>
    </row>
    <row r="156">
      <c r="A156" s="154" t="s">
        <v>847</v>
      </c>
      <c r="B156" s="146" t="s">
        <v>850</v>
      </c>
      <c r="C156" s="149" t="s">
        <v>851</v>
      </c>
    </row>
    <row r="157">
      <c r="A157" s="154" t="s">
        <v>852</v>
      </c>
      <c r="B157" s="146" t="s">
        <v>853</v>
      </c>
      <c r="C157" s="149" t="s">
        <v>605</v>
      </c>
    </row>
    <row r="158">
      <c r="A158" s="154" t="s">
        <v>854</v>
      </c>
      <c r="B158" s="146" t="s">
        <v>855</v>
      </c>
      <c r="C158" s="147" t="s">
        <v>856</v>
      </c>
    </row>
    <row r="159">
      <c r="A159" s="154" t="s">
        <v>835</v>
      </c>
      <c r="B159" s="146" t="s">
        <v>857</v>
      </c>
      <c r="C159" s="149" t="s">
        <v>858</v>
      </c>
    </row>
    <row r="160">
      <c r="A160" s="154" t="s">
        <v>859</v>
      </c>
      <c r="B160" s="151" t="s">
        <v>860</v>
      </c>
      <c r="C160" s="149" t="s">
        <v>605</v>
      </c>
    </row>
    <row r="161">
      <c r="A161" s="162" t="s">
        <v>565</v>
      </c>
      <c r="B161" s="156" t="s">
        <v>861</v>
      </c>
      <c r="C161" s="147" t="s">
        <v>862</v>
      </c>
    </row>
    <row r="162">
      <c r="A162" s="154" t="s">
        <v>863</v>
      </c>
      <c r="B162" s="146" t="s">
        <v>864</v>
      </c>
      <c r="C162" s="149" t="s">
        <v>865</v>
      </c>
    </row>
    <row r="163">
      <c r="A163" s="154" t="s">
        <v>866</v>
      </c>
      <c r="B163" s="146" t="s">
        <v>867</v>
      </c>
      <c r="C163" s="149" t="s">
        <v>605</v>
      </c>
    </row>
    <row r="164">
      <c r="A164" s="154" t="s">
        <v>868</v>
      </c>
      <c r="B164" s="151" t="s">
        <v>869</v>
      </c>
      <c r="C164" s="149" t="s">
        <v>870</v>
      </c>
    </row>
    <row r="165">
      <c r="A165" s="154" t="s">
        <v>871</v>
      </c>
      <c r="B165" s="151" t="s">
        <v>872</v>
      </c>
      <c r="C165" s="149" t="s">
        <v>605</v>
      </c>
    </row>
    <row r="166">
      <c r="A166" s="154" t="s">
        <v>873</v>
      </c>
      <c r="B166" s="146" t="s">
        <v>874</v>
      </c>
      <c r="C166" s="149" t="s">
        <v>875</v>
      </c>
    </row>
    <row r="167">
      <c r="A167" s="154" t="s">
        <v>876</v>
      </c>
      <c r="B167" s="146" t="s">
        <v>878</v>
      </c>
      <c r="C167" s="150" t="s">
        <v>879</v>
      </c>
    </row>
    <row r="168">
      <c r="A168" s="154" t="s">
        <v>880</v>
      </c>
      <c r="B168" s="146" t="s">
        <v>881</v>
      </c>
      <c r="C168" s="149" t="s">
        <v>605</v>
      </c>
    </row>
    <row r="169">
      <c r="A169" s="154" t="s">
        <v>880</v>
      </c>
      <c r="B169" s="146" t="s">
        <v>882</v>
      </c>
      <c r="C169" s="149" t="s">
        <v>605</v>
      </c>
    </row>
    <row r="170">
      <c r="A170" s="154" t="s">
        <v>880</v>
      </c>
      <c r="B170" s="151" t="s">
        <v>883</v>
      </c>
      <c r="C170" s="149" t="s">
        <v>605</v>
      </c>
    </row>
    <row r="171">
      <c r="A171" s="154" t="s">
        <v>880</v>
      </c>
      <c r="B171" s="146" t="s">
        <v>884</v>
      </c>
      <c r="C171" s="149" t="s">
        <v>605</v>
      </c>
    </row>
    <row r="172">
      <c r="A172" s="154" t="s">
        <v>880</v>
      </c>
      <c r="B172" s="146" t="s">
        <v>885</v>
      </c>
      <c r="C172" s="149" t="s">
        <v>886</v>
      </c>
    </row>
    <row r="173">
      <c r="A173" s="154" t="s">
        <v>880</v>
      </c>
      <c r="B173" s="146" t="s">
        <v>887</v>
      </c>
      <c r="C173" s="147" t="s">
        <v>888</v>
      </c>
    </row>
    <row r="174">
      <c r="A174" s="154" t="s">
        <v>880</v>
      </c>
      <c r="B174" s="146" t="s">
        <v>889</v>
      </c>
      <c r="C174" s="149" t="s">
        <v>890</v>
      </c>
    </row>
    <row r="175">
      <c r="A175" s="154" t="s">
        <v>880</v>
      </c>
      <c r="B175" s="146" t="s">
        <v>891</v>
      </c>
      <c r="C175" s="149" t="s">
        <v>605</v>
      </c>
    </row>
    <row r="176">
      <c r="A176" s="154" t="s">
        <v>892</v>
      </c>
      <c r="B176" s="146" t="s">
        <v>893</v>
      </c>
      <c r="C176" s="150" t="s">
        <v>879</v>
      </c>
    </row>
    <row r="177">
      <c r="A177" s="154" t="s">
        <v>866</v>
      </c>
      <c r="B177" s="146" t="s">
        <v>894</v>
      </c>
      <c r="C177" s="150" t="s">
        <v>879</v>
      </c>
    </row>
    <row r="178">
      <c r="A178" s="154" t="s">
        <v>895</v>
      </c>
      <c r="B178" s="146" t="s">
        <v>896</v>
      </c>
      <c r="C178" s="149" t="s">
        <v>605</v>
      </c>
    </row>
    <row r="179">
      <c r="A179" s="154" t="s">
        <v>895</v>
      </c>
      <c r="B179" s="159" t="s">
        <v>898</v>
      </c>
      <c r="C179" s="149" t="s">
        <v>605</v>
      </c>
    </row>
    <row r="180">
      <c r="A180" s="154" t="s">
        <v>871</v>
      </c>
      <c r="B180" s="146" t="s">
        <v>899</v>
      </c>
      <c r="C180" s="149" t="s">
        <v>605</v>
      </c>
    </row>
    <row r="181">
      <c r="A181" s="154" t="s">
        <v>871</v>
      </c>
      <c r="B181" s="146" t="s">
        <v>900</v>
      </c>
      <c r="C181" s="149" t="s">
        <v>605</v>
      </c>
    </row>
    <row r="182">
      <c r="A182" s="145" t="s">
        <v>901</v>
      </c>
      <c r="B182" s="146" t="s">
        <v>902</v>
      </c>
      <c r="C182" s="149" t="s">
        <v>605</v>
      </c>
    </row>
    <row r="183">
      <c r="A183" s="154" t="s">
        <v>901</v>
      </c>
      <c r="B183" s="151" t="s">
        <v>903</v>
      </c>
      <c r="C183" s="149" t="s">
        <v>879</v>
      </c>
    </row>
    <row r="184">
      <c r="A184" s="154" t="s">
        <v>892</v>
      </c>
      <c r="B184" s="151" t="s">
        <v>904</v>
      </c>
      <c r="C184" s="149" t="s">
        <v>905</v>
      </c>
    </row>
    <row r="185">
      <c r="A185" s="154" t="s">
        <v>750</v>
      </c>
      <c r="B185" s="163" t="s">
        <v>906</v>
      </c>
      <c r="C185" s="149" t="s">
        <v>907</v>
      </c>
    </row>
    <row r="186">
      <c r="A186" s="154" t="s">
        <v>750</v>
      </c>
      <c r="B186" s="146" t="s">
        <v>908</v>
      </c>
      <c r="C186" s="149" t="s">
        <v>605</v>
      </c>
    </row>
    <row r="187">
      <c r="A187" s="154" t="s">
        <v>909</v>
      </c>
      <c r="B187" s="146" t="s">
        <v>910</v>
      </c>
      <c r="C187" s="149" t="s">
        <v>605</v>
      </c>
    </row>
    <row r="188">
      <c r="A188" s="154" t="s">
        <v>688</v>
      </c>
      <c r="B188" s="146" t="s">
        <v>911</v>
      </c>
      <c r="C188" s="150" t="s">
        <v>912</v>
      </c>
    </row>
    <row r="189">
      <c r="A189" s="154" t="s">
        <v>688</v>
      </c>
      <c r="B189" s="151" t="s">
        <v>913</v>
      </c>
      <c r="C189" s="147" t="s">
        <v>914</v>
      </c>
    </row>
    <row r="190">
      <c r="A190" s="154" t="s">
        <v>915</v>
      </c>
      <c r="B190" s="159" t="s">
        <v>916</v>
      </c>
      <c r="C190" s="147" t="s">
        <v>918</v>
      </c>
    </row>
    <row r="191">
      <c r="A191" s="154" t="s">
        <v>873</v>
      </c>
      <c r="B191" s="146" t="s">
        <v>919</v>
      </c>
      <c r="C191" s="149" t="s">
        <v>605</v>
      </c>
    </row>
    <row r="192">
      <c r="A192" s="154" t="s">
        <v>871</v>
      </c>
      <c r="B192" s="146" t="s">
        <v>920</v>
      </c>
      <c r="C192" s="149" t="s">
        <v>605</v>
      </c>
    </row>
    <row r="193">
      <c r="A193" s="154" t="s">
        <v>921</v>
      </c>
      <c r="B193" s="146" t="s">
        <v>922</v>
      </c>
      <c r="C193" s="149" t="s">
        <v>923</v>
      </c>
    </row>
    <row r="194">
      <c r="A194" s="154" t="s">
        <v>871</v>
      </c>
      <c r="B194" s="146" t="s">
        <v>924</v>
      </c>
      <c r="C194" s="147" t="s">
        <v>925</v>
      </c>
    </row>
    <row r="195">
      <c r="A195" s="154" t="s">
        <v>871</v>
      </c>
      <c r="B195" s="146" t="s">
        <v>926</v>
      </c>
      <c r="C195" s="149" t="s">
        <v>605</v>
      </c>
    </row>
    <row r="196">
      <c r="A196" s="154" t="s">
        <v>871</v>
      </c>
      <c r="B196" s="146" t="s">
        <v>927</v>
      </c>
      <c r="C196" s="147" t="s">
        <v>928</v>
      </c>
    </row>
    <row r="197">
      <c r="A197" s="154" t="s">
        <v>929</v>
      </c>
      <c r="B197" s="151" t="s">
        <v>930</v>
      </c>
      <c r="C197" s="149" t="s">
        <v>605</v>
      </c>
    </row>
    <row r="198">
      <c r="A198" s="154" t="s">
        <v>929</v>
      </c>
      <c r="B198" s="151" t="s">
        <v>931</v>
      </c>
      <c r="C198" s="149" t="s">
        <v>932</v>
      </c>
    </row>
    <row r="199">
      <c r="A199" s="154" t="s">
        <v>929</v>
      </c>
      <c r="B199" s="146" t="s">
        <v>933</v>
      </c>
      <c r="C199" s="147" t="s">
        <v>934</v>
      </c>
    </row>
    <row r="200">
      <c r="A200" s="154" t="s">
        <v>806</v>
      </c>
      <c r="B200" s="146" t="s">
        <v>935</v>
      </c>
      <c r="C200" s="147" t="s">
        <v>936</v>
      </c>
    </row>
    <row r="201">
      <c r="A201" s="154" t="s">
        <v>859</v>
      </c>
      <c r="B201" s="146" t="s">
        <v>937</v>
      </c>
      <c r="C201" s="147" t="s">
        <v>938</v>
      </c>
    </row>
    <row r="202">
      <c r="A202" s="154" t="s">
        <v>939</v>
      </c>
      <c r="B202" s="146" t="s">
        <v>940</v>
      </c>
      <c r="C202" s="149" t="s">
        <v>605</v>
      </c>
    </row>
    <row r="203">
      <c r="A203" s="154" t="s">
        <v>941</v>
      </c>
      <c r="B203" s="146" t="s">
        <v>942</v>
      </c>
      <c r="C203" s="149" t="s">
        <v>943</v>
      </c>
    </row>
    <row r="204">
      <c r="A204" s="154" t="s">
        <v>941</v>
      </c>
      <c r="B204" s="146" t="s">
        <v>944</v>
      </c>
      <c r="C204" s="149" t="s">
        <v>605</v>
      </c>
    </row>
    <row r="205">
      <c r="A205" s="154" t="s">
        <v>941</v>
      </c>
      <c r="B205" s="146" t="s">
        <v>945</v>
      </c>
      <c r="C205" s="149" t="s">
        <v>605</v>
      </c>
    </row>
    <row r="206">
      <c r="A206" s="154" t="s">
        <v>871</v>
      </c>
      <c r="B206" s="155" t="s">
        <v>946</v>
      </c>
      <c r="C206" s="147" t="s">
        <v>948</v>
      </c>
    </row>
    <row r="207">
      <c r="A207" s="154" t="s">
        <v>847</v>
      </c>
      <c r="B207" s="146" t="s">
        <v>949</v>
      </c>
      <c r="C207" s="149" t="s">
        <v>950</v>
      </c>
    </row>
    <row r="208">
      <c r="A208" s="154" t="s">
        <v>847</v>
      </c>
      <c r="B208" s="146" t="s">
        <v>951</v>
      </c>
      <c r="C208" s="149" t="s">
        <v>605</v>
      </c>
    </row>
    <row r="209">
      <c r="A209" s="154" t="s">
        <v>952</v>
      </c>
      <c r="B209" s="146" t="s">
        <v>953</v>
      </c>
      <c r="C209" s="147" t="s">
        <v>954</v>
      </c>
    </row>
    <row r="210">
      <c r="A210" s="154" t="s">
        <v>847</v>
      </c>
      <c r="B210" s="146" t="s">
        <v>955</v>
      </c>
      <c r="C210" s="149" t="s">
        <v>605</v>
      </c>
    </row>
    <row r="211">
      <c r="A211" s="154" t="s">
        <v>700</v>
      </c>
      <c r="B211" s="151" t="s">
        <v>956</v>
      </c>
      <c r="C211" s="149" t="s">
        <v>957</v>
      </c>
    </row>
    <row r="212">
      <c r="A212" s="154" t="s">
        <v>958</v>
      </c>
      <c r="B212" s="146" t="s">
        <v>959</v>
      </c>
      <c r="C212" s="149" t="s">
        <v>960</v>
      </c>
    </row>
    <row r="213">
      <c r="A213" s="154" t="s">
        <v>750</v>
      </c>
      <c r="B213" s="146" t="s">
        <v>961</v>
      </c>
      <c r="C213" s="147" t="s">
        <v>962</v>
      </c>
    </row>
    <row r="214">
      <c r="A214" s="154" t="s">
        <v>847</v>
      </c>
      <c r="B214" s="146" t="s">
        <v>963</v>
      </c>
      <c r="C214" s="149" t="s">
        <v>549</v>
      </c>
    </row>
    <row r="215">
      <c r="A215" s="154" t="s">
        <v>871</v>
      </c>
      <c r="B215" s="155" t="s">
        <v>964</v>
      </c>
      <c r="C215" s="149" t="s">
        <v>605</v>
      </c>
    </row>
    <row r="216">
      <c r="A216" s="154" t="s">
        <v>965</v>
      </c>
      <c r="B216" s="155" t="s">
        <v>966</v>
      </c>
      <c r="C216" s="149" t="s">
        <v>605</v>
      </c>
    </row>
    <row r="217">
      <c r="A217" s="154" t="s">
        <v>847</v>
      </c>
      <c r="B217" s="146" t="s">
        <v>968</v>
      </c>
      <c r="C217" s="149" t="s">
        <v>605</v>
      </c>
    </row>
    <row r="218">
      <c r="A218" s="154" t="s">
        <v>847</v>
      </c>
      <c r="B218" s="146" t="s">
        <v>969</v>
      </c>
      <c r="C218" s="149" t="s">
        <v>605</v>
      </c>
    </row>
    <row r="219">
      <c r="A219" s="154" t="s">
        <v>892</v>
      </c>
      <c r="B219" s="146" t="s">
        <v>970</v>
      </c>
      <c r="C219" s="149" t="s">
        <v>605</v>
      </c>
    </row>
    <row r="220">
      <c r="A220" s="154" t="s">
        <v>892</v>
      </c>
      <c r="B220" s="146" t="s">
        <v>971</v>
      </c>
      <c r="C220" s="149" t="s">
        <v>605</v>
      </c>
    </row>
    <row r="221">
      <c r="A221" s="154" t="s">
        <v>892</v>
      </c>
      <c r="B221" s="146" t="s">
        <v>972</v>
      </c>
      <c r="C221" s="149" t="s">
        <v>973</v>
      </c>
    </row>
    <row r="222">
      <c r="A222" s="154" t="s">
        <v>892</v>
      </c>
      <c r="B222" s="157" t="s">
        <v>974</v>
      </c>
      <c r="C222" s="149" t="s">
        <v>597</v>
      </c>
    </row>
    <row r="223">
      <c r="A223" s="154" t="s">
        <v>892</v>
      </c>
      <c r="B223" s="146" t="s">
        <v>975</v>
      </c>
      <c r="C223" s="149" t="s">
        <v>605</v>
      </c>
    </row>
    <row r="224">
      <c r="A224" s="154" t="s">
        <v>976</v>
      </c>
      <c r="B224" s="146" t="s">
        <v>977</v>
      </c>
      <c r="C224" s="149" t="s">
        <v>605</v>
      </c>
    </row>
    <row r="225">
      <c r="A225" s="154" t="s">
        <v>892</v>
      </c>
      <c r="B225" s="155" t="s">
        <v>978</v>
      </c>
      <c r="C225" s="149" t="s">
        <v>979</v>
      </c>
    </row>
    <row r="226">
      <c r="A226" s="154" t="s">
        <v>892</v>
      </c>
      <c r="B226" s="155" t="s">
        <v>980</v>
      </c>
      <c r="C226" s="149" t="s">
        <v>5</v>
      </c>
    </row>
    <row r="227">
      <c r="A227" s="154" t="s">
        <v>982</v>
      </c>
      <c r="B227" s="159" t="s">
        <v>983</v>
      </c>
      <c r="C227" s="149" t="s">
        <v>605</v>
      </c>
    </row>
    <row r="228">
      <c r="A228" s="154" t="s">
        <v>982</v>
      </c>
      <c r="B228" s="155" t="s">
        <v>984</v>
      </c>
      <c r="C228" s="149" t="s">
        <v>605</v>
      </c>
    </row>
    <row r="229">
      <c r="A229" s="154" t="s">
        <v>982</v>
      </c>
      <c r="B229" s="155" t="s">
        <v>986</v>
      </c>
      <c r="C229" s="149" t="s">
        <v>605</v>
      </c>
    </row>
    <row r="230">
      <c r="A230" s="154" t="s">
        <v>892</v>
      </c>
      <c r="B230" s="157" t="s">
        <v>988</v>
      </c>
      <c r="C230" s="149" t="s">
        <v>605</v>
      </c>
    </row>
    <row r="231">
      <c r="A231" s="154" t="s">
        <v>750</v>
      </c>
      <c r="B231" s="155" t="s">
        <v>989</v>
      </c>
      <c r="C231" s="149" t="s">
        <v>605</v>
      </c>
    </row>
    <row r="232">
      <c r="A232" s="154" t="s">
        <v>990</v>
      </c>
      <c r="B232" s="151" t="s">
        <v>991</v>
      </c>
      <c r="C232" s="150" t="s">
        <v>992</v>
      </c>
    </row>
    <row r="233">
      <c r="A233" s="154" t="s">
        <v>993</v>
      </c>
      <c r="B233" s="146" t="s">
        <v>994</v>
      </c>
      <c r="C233" s="149" t="s">
        <v>995</v>
      </c>
    </row>
    <row r="234">
      <c r="A234" s="154" t="s">
        <v>993</v>
      </c>
      <c r="B234" s="146" t="s">
        <v>997</v>
      </c>
      <c r="C234" s="149" t="s">
        <v>998</v>
      </c>
    </row>
    <row r="235">
      <c r="A235" s="154" t="s">
        <v>993</v>
      </c>
      <c r="B235" s="146" t="s">
        <v>999</v>
      </c>
      <c r="C235" s="149" t="s">
        <v>1000</v>
      </c>
    </row>
    <row r="236">
      <c r="A236" s="154" t="s">
        <v>993</v>
      </c>
      <c r="B236" s="151" t="s">
        <v>1001</v>
      </c>
      <c r="C236" s="149" t="s">
        <v>1002</v>
      </c>
    </row>
    <row r="237">
      <c r="A237" s="154" t="s">
        <v>707</v>
      </c>
      <c r="B237" s="151" t="s">
        <v>1003</v>
      </c>
      <c r="C237" s="149" t="s">
        <v>605</v>
      </c>
    </row>
    <row r="238">
      <c r="A238" s="154" t="s">
        <v>1004</v>
      </c>
      <c r="B238" s="155" t="s">
        <v>1005</v>
      </c>
      <c r="C238" s="149" t="s">
        <v>605</v>
      </c>
    </row>
    <row r="239">
      <c r="A239" s="154" t="s">
        <v>1006</v>
      </c>
      <c r="B239" s="151" t="s">
        <v>1007</v>
      </c>
      <c r="C239" s="149" t="s">
        <v>1008</v>
      </c>
    </row>
    <row r="240">
      <c r="A240" s="154" t="s">
        <v>750</v>
      </c>
      <c r="B240" s="146" t="s">
        <v>1009</v>
      </c>
      <c r="C240" s="149" t="s">
        <v>1010</v>
      </c>
    </row>
    <row r="241">
      <c r="A241" s="154" t="s">
        <v>1011</v>
      </c>
      <c r="B241" s="151" t="s">
        <v>1012</v>
      </c>
      <c r="C241" s="149" t="s">
        <v>1013</v>
      </c>
    </row>
    <row r="242">
      <c r="A242" s="154" t="s">
        <v>1014</v>
      </c>
      <c r="B242" s="146" t="s">
        <v>1015</v>
      </c>
      <c r="C242" s="150" t="s">
        <v>1016</v>
      </c>
    </row>
    <row r="243">
      <c r="A243" s="154" t="s">
        <v>1014</v>
      </c>
      <c r="B243" s="146" t="s">
        <v>1017</v>
      </c>
      <c r="C243" s="149" t="s">
        <v>1018</v>
      </c>
    </row>
    <row r="244">
      <c r="A244" s="154" t="s">
        <v>750</v>
      </c>
      <c r="B244" s="151" t="s">
        <v>1019</v>
      </c>
      <c r="C244" s="149" t="s">
        <v>605</v>
      </c>
    </row>
    <row r="245">
      <c r="A245" s="154" t="s">
        <v>750</v>
      </c>
      <c r="B245" s="151" t="s">
        <v>1020</v>
      </c>
      <c r="C245" s="147" t="s">
        <v>1021</v>
      </c>
    </row>
    <row r="246">
      <c r="A246" s="154" t="s">
        <v>1022</v>
      </c>
      <c r="B246" s="151" t="s">
        <v>1023</v>
      </c>
      <c r="C246" s="150" t="s">
        <v>1024</v>
      </c>
    </row>
    <row r="247">
      <c r="A247" s="154" t="s">
        <v>750</v>
      </c>
      <c r="B247" s="146" t="s">
        <v>1025</v>
      </c>
      <c r="C247" s="149" t="s">
        <v>6</v>
      </c>
    </row>
    <row r="248">
      <c r="A248" s="154" t="s">
        <v>892</v>
      </c>
      <c r="B248" s="146" t="s">
        <v>1026</v>
      </c>
      <c r="C248" s="149" t="s">
        <v>1027</v>
      </c>
    </row>
    <row r="249">
      <c r="A249" s="154" t="s">
        <v>892</v>
      </c>
      <c r="B249" s="155" t="s">
        <v>1029</v>
      </c>
      <c r="C249" s="149" t="s">
        <v>605</v>
      </c>
    </row>
    <row r="250">
      <c r="A250" s="154" t="s">
        <v>892</v>
      </c>
      <c r="B250" s="146" t="s">
        <v>1030</v>
      </c>
      <c r="C250" s="149" t="s">
        <v>605</v>
      </c>
    </row>
    <row r="251">
      <c r="A251" s="154" t="s">
        <v>750</v>
      </c>
      <c r="B251" s="146" t="s">
        <v>1031</v>
      </c>
      <c r="C251" s="149" t="s">
        <v>1032</v>
      </c>
    </row>
    <row r="252">
      <c r="A252" s="154" t="s">
        <v>1022</v>
      </c>
      <c r="B252" s="146" t="s">
        <v>1033</v>
      </c>
      <c r="C252" s="149" t="s">
        <v>605</v>
      </c>
    </row>
    <row r="253">
      <c r="A253" s="154" t="s">
        <v>892</v>
      </c>
      <c r="B253" s="146" t="s">
        <v>1034</v>
      </c>
      <c r="C253" s="149" t="s">
        <v>605</v>
      </c>
    </row>
    <row r="254">
      <c r="A254" s="154" t="s">
        <v>1035</v>
      </c>
      <c r="B254" s="146" t="s">
        <v>1036</v>
      </c>
      <c r="C254" s="149" t="s">
        <v>1037</v>
      </c>
    </row>
    <row r="255">
      <c r="A255" s="154" t="s">
        <v>669</v>
      </c>
      <c r="B255" s="151" t="s">
        <v>1038</v>
      </c>
      <c r="C255" s="149" t="s">
        <v>1039</v>
      </c>
    </row>
    <row r="256">
      <c r="A256" s="154" t="s">
        <v>669</v>
      </c>
      <c r="B256" s="159" t="s">
        <v>1040</v>
      </c>
      <c r="C256" s="149" t="s">
        <v>1042</v>
      </c>
    </row>
    <row r="257">
      <c r="A257" s="154" t="s">
        <v>1043</v>
      </c>
      <c r="B257" s="146" t="s">
        <v>1044</v>
      </c>
      <c r="C257" s="149" t="s">
        <v>6</v>
      </c>
    </row>
    <row r="258">
      <c r="A258" s="154" t="s">
        <v>1045</v>
      </c>
      <c r="B258" s="151" t="s">
        <v>1046</v>
      </c>
      <c r="C258" s="149" t="s">
        <v>1047</v>
      </c>
    </row>
    <row r="259">
      <c r="A259" s="154" t="s">
        <v>1048</v>
      </c>
      <c r="B259" s="146" t="s">
        <v>1049</v>
      </c>
      <c r="C259" s="149" t="s">
        <v>605</v>
      </c>
    </row>
    <row r="260">
      <c r="A260" s="154" t="s">
        <v>892</v>
      </c>
      <c r="B260" s="146" t="s">
        <v>1050</v>
      </c>
      <c r="C260" s="149" t="s">
        <v>1051</v>
      </c>
    </row>
    <row r="261">
      <c r="A261" s="154" t="s">
        <v>1052</v>
      </c>
      <c r="B261" s="146" t="s">
        <v>1053</v>
      </c>
      <c r="C261" s="149" t="s">
        <v>1054</v>
      </c>
    </row>
    <row r="262">
      <c r="A262" s="154" t="s">
        <v>1052</v>
      </c>
      <c r="B262" s="146" t="s">
        <v>1055</v>
      </c>
      <c r="C262" s="147" t="s">
        <v>1056</v>
      </c>
    </row>
    <row r="263">
      <c r="A263" s="154" t="s">
        <v>707</v>
      </c>
      <c r="B263" s="146" t="s">
        <v>1057</v>
      </c>
      <c r="C263" s="149" t="s">
        <v>1058</v>
      </c>
    </row>
    <row r="264">
      <c r="A264" s="154" t="s">
        <v>892</v>
      </c>
      <c r="B264" s="146" t="s">
        <v>1059</v>
      </c>
      <c r="C264" s="149" t="s">
        <v>605</v>
      </c>
    </row>
    <row r="265">
      <c r="A265" s="154" t="s">
        <v>892</v>
      </c>
      <c r="B265" s="155" t="s">
        <v>1060</v>
      </c>
      <c r="C265" s="149" t="s">
        <v>605</v>
      </c>
    </row>
    <row r="266">
      <c r="A266" s="154" t="s">
        <v>892</v>
      </c>
      <c r="B266" s="155" t="s">
        <v>1061</v>
      </c>
      <c r="C266" s="149" t="s">
        <v>1063</v>
      </c>
    </row>
    <row r="267">
      <c r="A267" s="154" t="s">
        <v>871</v>
      </c>
      <c r="B267" s="146" t="s">
        <v>1064</v>
      </c>
      <c r="C267" s="149" t="s">
        <v>605</v>
      </c>
    </row>
    <row r="268">
      <c r="A268" s="154" t="s">
        <v>871</v>
      </c>
      <c r="B268" s="151" t="s">
        <v>1065</v>
      </c>
      <c r="C268" s="147" t="s">
        <v>1066</v>
      </c>
    </row>
    <row r="269">
      <c r="A269" s="154" t="s">
        <v>1067</v>
      </c>
      <c r="B269" s="146" t="s">
        <v>1068</v>
      </c>
      <c r="C269" s="149" t="s">
        <v>605</v>
      </c>
    </row>
    <row r="270">
      <c r="A270" s="154" t="s">
        <v>750</v>
      </c>
      <c r="B270" s="146" t="s">
        <v>1069</v>
      </c>
      <c r="C270" s="147" t="s">
        <v>1070</v>
      </c>
    </row>
    <row r="271">
      <c r="A271" s="154" t="s">
        <v>1071</v>
      </c>
      <c r="B271" s="157" t="s">
        <v>1072</v>
      </c>
      <c r="C271" s="149" t="s">
        <v>5</v>
      </c>
    </row>
    <row r="272">
      <c r="A272" s="154" t="s">
        <v>895</v>
      </c>
      <c r="B272" s="151" t="s">
        <v>1074</v>
      </c>
      <c r="C272" s="149" t="s">
        <v>605</v>
      </c>
    </row>
    <row r="273">
      <c r="A273" s="154" t="s">
        <v>895</v>
      </c>
      <c r="B273" s="155" t="s">
        <v>1075</v>
      </c>
      <c r="C273" s="149" t="s">
        <v>605</v>
      </c>
    </row>
    <row r="274">
      <c r="A274" s="154" t="s">
        <v>895</v>
      </c>
      <c r="B274" s="155" t="s">
        <v>1076</v>
      </c>
      <c r="C274" s="149" t="s">
        <v>605</v>
      </c>
    </row>
    <row r="275">
      <c r="A275" s="154" t="s">
        <v>895</v>
      </c>
      <c r="B275" s="155" t="s">
        <v>1077</v>
      </c>
      <c r="C275" s="149" t="s">
        <v>5</v>
      </c>
    </row>
    <row r="276">
      <c r="A276" s="154" t="s">
        <v>895</v>
      </c>
      <c r="B276" s="155" t="s">
        <v>1079</v>
      </c>
      <c r="C276" s="149" t="s">
        <v>5</v>
      </c>
    </row>
    <row r="277">
      <c r="A277" s="154" t="s">
        <v>895</v>
      </c>
      <c r="B277" s="155" t="s">
        <v>1080</v>
      </c>
      <c r="C277" s="149" t="s">
        <v>5</v>
      </c>
    </row>
    <row r="278">
      <c r="A278" s="154" t="s">
        <v>892</v>
      </c>
      <c r="B278" s="155" t="s">
        <v>1082</v>
      </c>
      <c r="C278" s="149" t="s">
        <v>605</v>
      </c>
    </row>
    <row r="279">
      <c r="A279" s="154" t="s">
        <v>1083</v>
      </c>
      <c r="B279" s="146" t="s">
        <v>1084</v>
      </c>
      <c r="C279" s="149" t="s">
        <v>605</v>
      </c>
    </row>
    <row r="280">
      <c r="A280" s="154" t="s">
        <v>892</v>
      </c>
      <c r="B280" s="146" t="s">
        <v>1085</v>
      </c>
      <c r="C280" s="149" t="s">
        <v>605</v>
      </c>
    </row>
    <row r="281">
      <c r="A281" s="154" t="s">
        <v>761</v>
      </c>
      <c r="B281" s="145" t="s">
        <v>1086</v>
      </c>
      <c r="C281" s="149" t="s">
        <v>1087</v>
      </c>
    </row>
    <row r="282">
      <c r="A282" s="154" t="s">
        <v>1088</v>
      </c>
      <c r="B282" s="146" t="s">
        <v>1089</v>
      </c>
      <c r="C282" s="149" t="s">
        <v>1090</v>
      </c>
    </row>
    <row r="283">
      <c r="A283" s="154" t="s">
        <v>895</v>
      </c>
      <c r="B283" s="151" t="s">
        <v>1091</v>
      </c>
      <c r="C283" s="149" t="s">
        <v>605</v>
      </c>
    </row>
    <row r="284">
      <c r="A284" s="154" t="s">
        <v>695</v>
      </c>
      <c r="B284" s="159" t="s">
        <v>1092</v>
      </c>
      <c r="C284" s="149" t="s">
        <v>1094</v>
      </c>
    </row>
    <row r="285">
      <c r="A285" s="154" t="s">
        <v>892</v>
      </c>
      <c r="B285" s="146" t="s">
        <v>1095</v>
      </c>
      <c r="C285" s="149" t="s">
        <v>605</v>
      </c>
    </row>
    <row r="286" ht="52.5" customHeight="1">
      <c r="A286" s="154" t="s">
        <v>669</v>
      </c>
      <c r="B286" s="166" t="s">
        <v>1096</v>
      </c>
      <c r="C286" s="147" t="s">
        <v>1098</v>
      </c>
    </row>
    <row r="287">
      <c r="A287" s="154" t="s">
        <v>892</v>
      </c>
      <c r="B287" s="157" t="s">
        <v>1099</v>
      </c>
      <c r="C287" s="149" t="s">
        <v>605</v>
      </c>
    </row>
    <row r="288">
      <c r="A288" s="154" t="s">
        <v>1100</v>
      </c>
      <c r="B288" s="155" t="s">
        <v>1101</v>
      </c>
      <c r="C288" s="147" t="s">
        <v>1103</v>
      </c>
    </row>
    <row r="289">
      <c r="A289" s="154" t="s">
        <v>892</v>
      </c>
      <c r="B289" s="169" t="s">
        <v>1104</v>
      </c>
      <c r="C289" s="149" t="s">
        <v>1105</v>
      </c>
    </row>
    <row r="290">
      <c r="A290" s="154" t="s">
        <v>892</v>
      </c>
      <c r="B290" s="146" t="s">
        <v>1106</v>
      </c>
      <c r="C290" s="149" t="s">
        <v>605</v>
      </c>
    </row>
    <row r="291">
      <c r="A291" s="154" t="s">
        <v>892</v>
      </c>
      <c r="B291" s="146" t="s">
        <v>1107</v>
      </c>
      <c r="C291" s="149" t="s">
        <v>605</v>
      </c>
    </row>
    <row r="292">
      <c r="A292" s="154" t="s">
        <v>688</v>
      </c>
      <c r="B292" s="146" t="s">
        <v>1108</v>
      </c>
      <c r="C292" s="147" t="s">
        <v>1109</v>
      </c>
    </row>
    <row r="293">
      <c r="A293" s="154" t="s">
        <v>1100</v>
      </c>
      <c r="B293" s="146" t="s">
        <v>1110</v>
      </c>
      <c r="C293" s="149" t="s">
        <v>605</v>
      </c>
    </row>
    <row r="294">
      <c r="A294" s="154" t="s">
        <v>1100</v>
      </c>
      <c r="B294" s="155" t="s">
        <v>1111</v>
      </c>
      <c r="C294" s="149" t="s">
        <v>605</v>
      </c>
    </row>
    <row r="295">
      <c r="A295" s="154" t="s">
        <v>892</v>
      </c>
      <c r="B295" s="155" t="s">
        <v>1113</v>
      </c>
      <c r="C295" s="149" t="s">
        <v>1115</v>
      </c>
    </row>
    <row r="296">
      <c r="A296" s="154" t="s">
        <v>892</v>
      </c>
      <c r="B296" s="155" t="s">
        <v>1116</v>
      </c>
      <c r="C296" s="149" t="s">
        <v>605</v>
      </c>
    </row>
    <row r="297">
      <c r="A297" s="154" t="s">
        <v>892</v>
      </c>
      <c r="B297" s="146" t="s">
        <v>1117</v>
      </c>
      <c r="C297" s="149" t="s">
        <v>605</v>
      </c>
    </row>
    <row r="298">
      <c r="A298" s="154" t="s">
        <v>892</v>
      </c>
      <c r="B298" s="159" t="s">
        <v>1118</v>
      </c>
      <c r="C298" s="149" t="s">
        <v>605</v>
      </c>
    </row>
    <row r="299">
      <c r="A299" s="154" t="s">
        <v>871</v>
      </c>
      <c r="B299" s="151" t="s">
        <v>1120</v>
      </c>
      <c r="C299" s="147" t="s">
        <v>1121</v>
      </c>
    </row>
    <row r="300">
      <c r="A300" s="154" t="s">
        <v>1122</v>
      </c>
      <c r="B300" s="146" t="s">
        <v>1123</v>
      </c>
      <c r="C300" s="149" t="s">
        <v>605</v>
      </c>
    </row>
    <row r="301">
      <c r="A301" s="154" t="s">
        <v>1124</v>
      </c>
      <c r="B301" s="146" t="s">
        <v>1125</v>
      </c>
      <c r="C301" s="149" t="s">
        <v>605</v>
      </c>
    </row>
    <row r="302">
      <c r="A302" s="154" t="s">
        <v>892</v>
      </c>
      <c r="B302" s="146" t="s">
        <v>1126</v>
      </c>
      <c r="C302" s="149" t="s">
        <v>605</v>
      </c>
    </row>
    <row r="303">
      <c r="A303" s="154" t="s">
        <v>892</v>
      </c>
      <c r="B303" s="146" t="s">
        <v>1127</v>
      </c>
      <c r="C303" s="149" t="s">
        <v>605</v>
      </c>
    </row>
    <row r="304">
      <c r="A304" s="154" t="s">
        <v>1128</v>
      </c>
      <c r="B304" s="146" t="s">
        <v>1129</v>
      </c>
      <c r="C304" s="149" t="s">
        <v>605</v>
      </c>
    </row>
    <row r="305">
      <c r="A305" s="154" t="s">
        <v>892</v>
      </c>
      <c r="B305" s="146" t="s">
        <v>1130</v>
      </c>
      <c r="C305" s="149" t="s">
        <v>605</v>
      </c>
    </row>
    <row r="306">
      <c r="A306" s="154" t="s">
        <v>892</v>
      </c>
      <c r="B306" s="146" t="s">
        <v>1131</v>
      </c>
      <c r="C306" s="149" t="s">
        <v>605</v>
      </c>
    </row>
    <row r="307">
      <c r="A307" s="154" t="s">
        <v>847</v>
      </c>
      <c r="B307" s="146" t="s">
        <v>1132</v>
      </c>
      <c r="C307" s="149" t="s">
        <v>605</v>
      </c>
    </row>
    <row r="308">
      <c r="A308" s="154" t="s">
        <v>847</v>
      </c>
      <c r="B308" s="146" t="s">
        <v>1133</v>
      </c>
      <c r="C308" s="149" t="s">
        <v>605</v>
      </c>
    </row>
    <row r="309">
      <c r="A309" s="154" t="s">
        <v>892</v>
      </c>
      <c r="B309" s="146" t="s">
        <v>1134</v>
      </c>
      <c r="C309" s="149" t="s">
        <v>605</v>
      </c>
    </row>
    <row r="310">
      <c r="A310" s="154" t="s">
        <v>1135</v>
      </c>
      <c r="B310" s="151" t="s">
        <v>1136</v>
      </c>
      <c r="C310" s="150" t="s">
        <v>1137</v>
      </c>
    </row>
    <row r="311">
      <c r="A311" s="154" t="s">
        <v>1135</v>
      </c>
      <c r="B311" s="146" t="s">
        <v>1138</v>
      </c>
      <c r="C311" s="150" t="s">
        <v>1139</v>
      </c>
    </row>
    <row r="312">
      <c r="A312" s="154" t="s">
        <v>1135</v>
      </c>
      <c r="B312" s="146" t="s">
        <v>1140</v>
      </c>
      <c r="C312" s="150" t="s">
        <v>1142</v>
      </c>
    </row>
    <row r="313">
      <c r="A313" s="154" t="s">
        <v>1143</v>
      </c>
      <c r="B313" s="146" t="s">
        <v>1144</v>
      </c>
      <c r="C313" s="149" t="s">
        <v>1145</v>
      </c>
    </row>
    <row r="314">
      <c r="A314" s="154" t="s">
        <v>1146</v>
      </c>
      <c r="B314" s="146" t="s">
        <v>1147</v>
      </c>
      <c r="C314" s="149" t="s">
        <v>605</v>
      </c>
    </row>
    <row r="315">
      <c r="A315" s="154" t="s">
        <v>1146</v>
      </c>
      <c r="B315" s="146" t="s">
        <v>1148</v>
      </c>
      <c r="C315" s="149" t="s">
        <v>1149</v>
      </c>
    </row>
    <row r="316">
      <c r="A316" s="154" t="s">
        <v>750</v>
      </c>
      <c r="B316" s="146" t="s">
        <v>1150</v>
      </c>
      <c r="C316" s="149" t="s">
        <v>1151</v>
      </c>
    </row>
    <row r="317">
      <c r="A317" s="154" t="s">
        <v>1152</v>
      </c>
      <c r="B317" s="151" t="s">
        <v>1153</v>
      </c>
      <c r="C317" s="149" t="s">
        <v>605</v>
      </c>
    </row>
    <row r="318">
      <c r="A318" s="154" t="s">
        <v>1152</v>
      </c>
      <c r="B318" s="174" t="s">
        <v>1154</v>
      </c>
      <c r="C318" s="149" t="s">
        <v>1155</v>
      </c>
    </row>
    <row r="319">
      <c r="A319" s="154" t="s">
        <v>750</v>
      </c>
      <c r="B319" s="146" t="s">
        <v>1156</v>
      </c>
      <c r="C319" s="149" t="s">
        <v>1157</v>
      </c>
    </row>
    <row r="320">
      <c r="A320" s="154" t="s">
        <v>982</v>
      </c>
      <c r="B320" s="155" t="s">
        <v>1159</v>
      </c>
      <c r="C320" s="149" t="s">
        <v>605</v>
      </c>
    </row>
    <row r="321">
      <c r="A321" s="154" t="s">
        <v>1160</v>
      </c>
      <c r="B321" s="146" t="s">
        <v>1161</v>
      </c>
      <c r="C321" s="147" t="s">
        <v>1162</v>
      </c>
    </row>
    <row r="322">
      <c r="A322" s="154" t="s">
        <v>1163</v>
      </c>
      <c r="B322" s="146" t="s">
        <v>1164</v>
      </c>
      <c r="C322" s="149" t="s">
        <v>1165</v>
      </c>
    </row>
    <row r="323">
      <c r="A323" s="154" t="s">
        <v>1166</v>
      </c>
      <c r="B323" s="146" t="s">
        <v>1167</v>
      </c>
      <c r="C323" s="149" t="s">
        <v>605</v>
      </c>
    </row>
    <row r="324">
      <c r="A324" s="154" t="s">
        <v>1166</v>
      </c>
      <c r="B324" s="146" t="s">
        <v>1169</v>
      </c>
      <c r="C324" s="149" t="s">
        <v>605</v>
      </c>
    </row>
    <row r="325">
      <c r="A325" s="154" t="s">
        <v>1170</v>
      </c>
      <c r="B325" s="146" t="s">
        <v>1171</v>
      </c>
      <c r="C325" s="147" t="s">
        <v>1172</v>
      </c>
    </row>
    <row r="326">
      <c r="A326" s="154" t="s">
        <v>1173</v>
      </c>
      <c r="B326" s="146" t="s">
        <v>1174</v>
      </c>
      <c r="C326" s="149" t="s">
        <v>5</v>
      </c>
    </row>
    <row r="327">
      <c r="A327" s="154" t="s">
        <v>1176</v>
      </c>
      <c r="B327" s="146" t="s">
        <v>1177</v>
      </c>
      <c r="C327" s="149" t="s">
        <v>605</v>
      </c>
    </row>
    <row r="328">
      <c r="A328" s="154" t="s">
        <v>1100</v>
      </c>
      <c r="B328" s="146" t="s">
        <v>1178</v>
      </c>
      <c r="C328" s="149" t="s">
        <v>605</v>
      </c>
    </row>
    <row r="329">
      <c r="A329" s="154" t="s">
        <v>1179</v>
      </c>
      <c r="B329" s="151" t="s">
        <v>1180</v>
      </c>
      <c r="C329" s="147" t="s">
        <v>1181</v>
      </c>
    </row>
    <row r="330">
      <c r="A330" s="154" t="s">
        <v>1143</v>
      </c>
      <c r="B330" s="146" t="s">
        <v>1182</v>
      </c>
      <c r="C330" s="149" t="s">
        <v>605</v>
      </c>
    </row>
    <row r="331">
      <c r="A331" s="154" t="s">
        <v>750</v>
      </c>
      <c r="B331" s="146" t="s">
        <v>1183</v>
      </c>
      <c r="C331" s="149" t="s">
        <v>1184</v>
      </c>
    </row>
    <row r="332">
      <c r="A332" s="154" t="s">
        <v>750</v>
      </c>
      <c r="B332" s="146" t="s">
        <v>1185</v>
      </c>
      <c r="C332" s="149" t="s">
        <v>1186</v>
      </c>
    </row>
    <row r="333">
      <c r="A333" s="154" t="s">
        <v>1187</v>
      </c>
      <c r="B333" s="151" t="s">
        <v>1188</v>
      </c>
      <c r="C333" s="149" t="s">
        <v>1189</v>
      </c>
    </row>
    <row r="334">
      <c r="A334" s="154" t="s">
        <v>1190</v>
      </c>
      <c r="B334" s="146" t="s">
        <v>1192</v>
      </c>
      <c r="C334" s="149" t="s">
        <v>1193</v>
      </c>
    </row>
    <row r="335">
      <c r="A335" s="154" t="s">
        <v>1170</v>
      </c>
      <c r="B335" s="146" t="s">
        <v>1194</v>
      </c>
      <c r="C335" s="149" t="s">
        <v>605</v>
      </c>
    </row>
    <row r="336">
      <c r="A336" s="154" t="s">
        <v>1195</v>
      </c>
      <c r="B336" s="146" t="s">
        <v>1196</v>
      </c>
      <c r="C336" s="149" t="s">
        <v>605</v>
      </c>
    </row>
    <row r="337">
      <c r="A337" s="154" t="s">
        <v>1197</v>
      </c>
      <c r="B337" s="146" t="s">
        <v>1198</v>
      </c>
      <c r="C337" s="147" t="s">
        <v>1199</v>
      </c>
    </row>
    <row r="338">
      <c r="A338" s="154" t="s">
        <v>892</v>
      </c>
      <c r="B338" s="146" t="s">
        <v>1200</v>
      </c>
      <c r="C338" s="149" t="s">
        <v>605</v>
      </c>
    </row>
    <row r="339">
      <c r="A339" s="154" t="s">
        <v>847</v>
      </c>
      <c r="B339" s="151" t="s">
        <v>1201</v>
      </c>
      <c r="C339" s="149" t="s">
        <v>605</v>
      </c>
    </row>
    <row r="340">
      <c r="A340" s="154" t="s">
        <v>750</v>
      </c>
      <c r="B340" s="146" t="s">
        <v>1202</v>
      </c>
      <c r="C340" s="149" t="s">
        <v>605</v>
      </c>
    </row>
    <row r="341">
      <c r="A341" s="154" t="s">
        <v>1203</v>
      </c>
      <c r="B341" s="146" t="s">
        <v>1204</v>
      </c>
      <c r="C341" s="150" t="s">
        <v>1205</v>
      </c>
    </row>
    <row r="342">
      <c r="A342" s="154" t="s">
        <v>750</v>
      </c>
      <c r="B342" s="151" t="s">
        <v>1206</v>
      </c>
      <c r="C342" s="149" t="s">
        <v>605</v>
      </c>
    </row>
    <row r="343">
      <c r="A343" s="154" t="s">
        <v>750</v>
      </c>
      <c r="B343" s="146" t="s">
        <v>1207</v>
      </c>
      <c r="C343" s="150" t="s">
        <v>1208</v>
      </c>
    </row>
    <row r="344">
      <c r="A344" s="154" t="s">
        <v>1100</v>
      </c>
      <c r="B344" s="146" t="s">
        <v>1209</v>
      </c>
      <c r="C344" s="149" t="s">
        <v>605</v>
      </c>
    </row>
    <row r="345">
      <c r="A345" s="154" t="s">
        <v>1100</v>
      </c>
      <c r="B345" s="145" t="s">
        <v>1210</v>
      </c>
      <c r="C345" s="149" t="s">
        <v>605</v>
      </c>
    </row>
    <row r="346">
      <c r="A346" s="154" t="s">
        <v>1211</v>
      </c>
      <c r="B346" s="146" t="s">
        <v>1212</v>
      </c>
      <c r="C346" s="149" t="s">
        <v>605</v>
      </c>
    </row>
    <row r="347">
      <c r="A347" s="154" t="s">
        <v>892</v>
      </c>
      <c r="B347" s="146" t="s">
        <v>1213</v>
      </c>
      <c r="C347" s="149" t="s">
        <v>605</v>
      </c>
    </row>
    <row r="348">
      <c r="A348" s="154" t="s">
        <v>892</v>
      </c>
      <c r="B348" s="145" t="s">
        <v>1214</v>
      </c>
      <c r="C348" s="149" t="s">
        <v>605</v>
      </c>
    </row>
    <row r="349">
      <c r="A349" s="154" t="s">
        <v>1215</v>
      </c>
      <c r="B349" s="146" t="s">
        <v>1216</v>
      </c>
      <c r="C349" s="149" t="s">
        <v>1217</v>
      </c>
    </row>
    <row r="350">
      <c r="A350" s="154" t="s">
        <v>1218</v>
      </c>
      <c r="B350" s="146" t="s">
        <v>1220</v>
      </c>
      <c r="C350" s="149" t="s">
        <v>1221</v>
      </c>
    </row>
    <row r="351">
      <c r="A351" s="154" t="s">
        <v>1223</v>
      </c>
      <c r="B351" s="146" t="s">
        <v>1224</v>
      </c>
      <c r="C351" s="149" t="s">
        <v>1225</v>
      </c>
    </row>
    <row r="352">
      <c r="A352" s="154" t="s">
        <v>1223</v>
      </c>
      <c r="B352" s="151" t="s">
        <v>1226</v>
      </c>
      <c r="C352" s="149" t="s">
        <v>605</v>
      </c>
    </row>
    <row r="353">
      <c r="A353" s="154" t="s">
        <v>1227</v>
      </c>
      <c r="B353" s="146" t="s">
        <v>1228</v>
      </c>
      <c r="C353" s="149" t="s">
        <v>605</v>
      </c>
    </row>
    <row r="354">
      <c r="A354" s="154" t="s">
        <v>1229</v>
      </c>
      <c r="B354" s="146" t="s">
        <v>1230</v>
      </c>
      <c r="C354" s="149" t="s">
        <v>605</v>
      </c>
    </row>
    <row r="355">
      <c r="A355" s="154" t="s">
        <v>1231</v>
      </c>
      <c r="B355" s="146" t="s">
        <v>1232</v>
      </c>
      <c r="C355" s="150" t="s">
        <v>1233</v>
      </c>
    </row>
    <row r="356">
      <c r="A356" s="154" t="s">
        <v>1234</v>
      </c>
      <c r="B356" s="151" t="s">
        <v>1235</v>
      </c>
      <c r="C356" s="150" t="s">
        <v>1236</v>
      </c>
    </row>
    <row r="357">
      <c r="A357" s="154" t="s">
        <v>1100</v>
      </c>
      <c r="B357" s="146" t="s">
        <v>1237</v>
      </c>
      <c r="C357" s="149" t="s">
        <v>1238</v>
      </c>
    </row>
    <row r="358">
      <c r="A358" s="154" t="s">
        <v>1239</v>
      </c>
      <c r="B358" s="155" t="s">
        <v>1240</v>
      </c>
      <c r="C358" s="150" t="s">
        <v>1236</v>
      </c>
    </row>
    <row r="359">
      <c r="A359" s="154" t="s">
        <v>1223</v>
      </c>
      <c r="B359" s="151" t="s">
        <v>1242</v>
      </c>
      <c r="C359" s="149" t="s">
        <v>1243</v>
      </c>
    </row>
    <row r="360">
      <c r="A360" s="154" t="s">
        <v>1244</v>
      </c>
      <c r="B360" s="146" t="s">
        <v>1245</v>
      </c>
      <c r="C360" s="149" t="s">
        <v>605</v>
      </c>
    </row>
    <row r="361">
      <c r="A361" s="154" t="s">
        <v>1244</v>
      </c>
      <c r="B361" s="146" t="s">
        <v>1246</v>
      </c>
      <c r="C361" s="149" t="s">
        <v>605</v>
      </c>
    </row>
    <row r="362">
      <c r="A362" s="154" t="s">
        <v>1247</v>
      </c>
      <c r="B362" s="146" t="s">
        <v>1248</v>
      </c>
      <c r="C362" s="150" t="s">
        <v>1236</v>
      </c>
    </row>
    <row r="363">
      <c r="A363" s="154" t="s">
        <v>1249</v>
      </c>
      <c r="B363" s="155" t="s">
        <v>1250</v>
      </c>
      <c r="C363" s="149" t="s">
        <v>605</v>
      </c>
    </row>
    <row r="364">
      <c r="A364" s="154" t="s">
        <v>1251</v>
      </c>
      <c r="B364" s="146" t="s">
        <v>1252</v>
      </c>
      <c r="C364" s="149" t="s">
        <v>605</v>
      </c>
    </row>
    <row r="365">
      <c r="A365" s="154" t="s">
        <v>1253</v>
      </c>
      <c r="B365" s="151" t="s">
        <v>1254</v>
      </c>
      <c r="C365" s="149" t="s">
        <v>1255</v>
      </c>
    </row>
    <row r="366">
      <c r="A366" s="154" t="s">
        <v>1257</v>
      </c>
      <c r="B366" s="151" t="s">
        <v>1258</v>
      </c>
      <c r="C366" s="150" t="s">
        <v>1259</v>
      </c>
    </row>
    <row r="367">
      <c r="A367" s="154" t="s">
        <v>1260</v>
      </c>
      <c r="B367" s="146" t="s">
        <v>1261</v>
      </c>
      <c r="C367" s="149" t="s">
        <v>605</v>
      </c>
    </row>
    <row r="368">
      <c r="A368" s="154" t="s">
        <v>1262</v>
      </c>
      <c r="B368" s="146" t="s">
        <v>1263</v>
      </c>
      <c r="C368" s="149" t="s">
        <v>1264</v>
      </c>
    </row>
    <row r="369">
      <c r="A369" s="154" t="s">
        <v>1262</v>
      </c>
      <c r="B369" s="151" t="s">
        <v>1265</v>
      </c>
      <c r="C369" s="150" t="s">
        <v>1266</v>
      </c>
    </row>
    <row r="370">
      <c r="A370" s="154" t="s">
        <v>1100</v>
      </c>
      <c r="B370" s="146" t="s">
        <v>1267</v>
      </c>
      <c r="C370" s="149" t="s">
        <v>605</v>
      </c>
    </row>
    <row r="371">
      <c r="A371" s="154" t="s">
        <v>1218</v>
      </c>
      <c r="B371" s="155" t="s">
        <v>1268</v>
      </c>
      <c r="C371" s="149" t="s">
        <v>605</v>
      </c>
    </row>
    <row r="372">
      <c r="A372" s="154" t="s">
        <v>1197</v>
      </c>
      <c r="B372" s="151" t="s">
        <v>1270</v>
      </c>
      <c r="C372" s="149" t="s">
        <v>1271</v>
      </c>
    </row>
    <row r="373">
      <c r="A373" s="154" t="s">
        <v>750</v>
      </c>
      <c r="B373" s="146" t="s">
        <v>1272</v>
      </c>
      <c r="C373" s="149" t="s">
        <v>605</v>
      </c>
    </row>
    <row r="374">
      <c r="A374" s="182" t="s">
        <v>761</v>
      </c>
      <c r="B374" s="183" t="s">
        <v>1273</v>
      </c>
      <c r="C374" s="149" t="s">
        <v>1274</v>
      </c>
    </row>
    <row r="375">
      <c r="A375" s="183" t="s">
        <v>1275</v>
      </c>
      <c r="B375" s="183" t="s">
        <v>1276</v>
      </c>
      <c r="C375" s="149" t="s">
        <v>1277</v>
      </c>
    </row>
    <row r="376">
      <c r="A376" s="183" t="s">
        <v>1278</v>
      </c>
      <c r="B376" s="183" t="s">
        <v>1279</v>
      </c>
      <c r="C376" s="150" t="s">
        <v>1281</v>
      </c>
    </row>
    <row r="377">
      <c r="A377" s="183" t="s">
        <v>1282</v>
      </c>
      <c r="B377" s="183" t="s">
        <v>1283</v>
      </c>
      <c r="C377" s="149" t="s">
        <v>5</v>
      </c>
    </row>
    <row r="378">
      <c r="A378" s="183" t="s">
        <v>1284</v>
      </c>
      <c r="B378" s="183" t="s">
        <v>1285</v>
      </c>
      <c r="C378" s="150" t="s">
        <v>1286</v>
      </c>
    </row>
    <row r="379">
      <c r="A379" s="183" t="s">
        <v>1287</v>
      </c>
      <c r="B379" s="183" t="s">
        <v>1288</v>
      </c>
      <c r="C379" s="149" t="s">
        <v>1289</v>
      </c>
    </row>
    <row r="380">
      <c r="A380" s="183" t="s">
        <v>1290</v>
      </c>
      <c r="B380" s="183" t="s">
        <v>1291</v>
      </c>
      <c r="C380" s="149" t="s">
        <v>605</v>
      </c>
    </row>
    <row r="381">
      <c r="A381" s="183" t="s">
        <v>1292</v>
      </c>
      <c r="B381" s="183" t="s">
        <v>1293</v>
      </c>
      <c r="C381" s="149" t="s">
        <v>605</v>
      </c>
    </row>
    <row r="382">
      <c r="A382" s="183" t="s">
        <v>1294</v>
      </c>
      <c r="B382" s="183" t="s">
        <v>1295</v>
      </c>
      <c r="C382" s="150" t="s">
        <v>1296</v>
      </c>
    </row>
    <row r="383">
      <c r="A383" s="183" t="s">
        <v>688</v>
      </c>
      <c r="B383" s="183" t="s">
        <v>1297</v>
      </c>
      <c r="C383" s="149" t="s">
        <v>605</v>
      </c>
    </row>
    <row r="384">
      <c r="A384" s="183" t="s">
        <v>1299</v>
      </c>
      <c r="B384" s="183" t="s">
        <v>1300</v>
      </c>
      <c r="C384" s="149" t="s">
        <v>605</v>
      </c>
    </row>
    <row r="385">
      <c r="A385" s="183" t="s">
        <v>688</v>
      </c>
      <c r="B385" s="183" t="s">
        <v>1301</v>
      </c>
      <c r="C385" s="149" t="s">
        <v>605</v>
      </c>
    </row>
    <row r="386">
      <c r="A386" s="183" t="s">
        <v>1302</v>
      </c>
      <c r="B386" s="183" t="s">
        <v>1303</v>
      </c>
      <c r="C386" s="147" t="s">
        <v>1304</v>
      </c>
    </row>
    <row r="387">
      <c r="A387" s="183" t="s">
        <v>1305</v>
      </c>
      <c r="B387" s="183" t="s">
        <v>1306</v>
      </c>
      <c r="C387" s="149" t="s">
        <v>1307</v>
      </c>
    </row>
    <row r="388">
      <c r="A388" s="183" t="s">
        <v>688</v>
      </c>
      <c r="B388" s="183" t="s">
        <v>1308</v>
      </c>
      <c r="C388" s="149" t="s">
        <v>1309</v>
      </c>
    </row>
    <row r="389">
      <c r="A389" s="183" t="s">
        <v>1310</v>
      </c>
      <c r="B389" s="183" t="s">
        <v>1311</v>
      </c>
      <c r="C389" s="149" t="s">
        <v>605</v>
      </c>
    </row>
    <row r="390">
      <c r="A390" s="183" t="s">
        <v>1312</v>
      </c>
      <c r="B390" s="183" t="s">
        <v>1313</v>
      </c>
      <c r="C390" s="149" t="s">
        <v>1314</v>
      </c>
    </row>
    <row r="391">
      <c r="A391" s="183" t="s">
        <v>1315</v>
      </c>
      <c r="B391" s="183" t="s">
        <v>1316</v>
      </c>
      <c r="C391" s="149" t="s">
        <v>1317</v>
      </c>
    </row>
    <row r="392">
      <c r="A392" s="183" t="s">
        <v>1318</v>
      </c>
      <c r="B392" s="183" t="s">
        <v>1319</v>
      </c>
      <c r="C392" s="149" t="s">
        <v>605</v>
      </c>
    </row>
    <row r="393">
      <c r="A393" s="183" t="s">
        <v>1320</v>
      </c>
      <c r="B393" s="183" t="s">
        <v>1321</v>
      </c>
      <c r="C393" s="149" t="s">
        <v>605</v>
      </c>
    </row>
    <row r="394">
      <c r="A394" s="183" t="s">
        <v>1322</v>
      </c>
      <c r="B394" s="183" t="s">
        <v>1323</v>
      </c>
      <c r="C394" s="149" t="s">
        <v>1324</v>
      </c>
    </row>
    <row r="395">
      <c r="A395" s="183" t="s">
        <v>1325</v>
      </c>
      <c r="B395" s="183" t="s">
        <v>1326</v>
      </c>
      <c r="C395" s="149" t="s">
        <v>605</v>
      </c>
    </row>
    <row r="396">
      <c r="A396" s="183" t="s">
        <v>1322</v>
      </c>
      <c r="B396" s="183" t="s">
        <v>1327</v>
      </c>
      <c r="C396" s="149" t="s">
        <v>605</v>
      </c>
    </row>
    <row r="397">
      <c r="A397" s="183" t="s">
        <v>1320</v>
      </c>
      <c r="B397" s="183" t="s">
        <v>1328</v>
      </c>
      <c r="C397" s="149" t="s">
        <v>605</v>
      </c>
    </row>
    <row r="398">
      <c r="A398" s="183" t="s">
        <v>1329</v>
      </c>
      <c r="B398" s="183" t="s">
        <v>1330</v>
      </c>
      <c r="C398" s="149" t="s">
        <v>605</v>
      </c>
    </row>
    <row r="399">
      <c r="A399" s="183" t="s">
        <v>1253</v>
      </c>
      <c r="B399" s="183" t="s">
        <v>1332</v>
      </c>
      <c r="C399" s="149" t="s">
        <v>1333</v>
      </c>
    </row>
    <row r="400">
      <c r="A400" s="183" t="s">
        <v>1253</v>
      </c>
      <c r="B400" s="183" t="s">
        <v>1334</v>
      </c>
      <c r="C400" s="149" t="s">
        <v>605</v>
      </c>
    </row>
    <row r="401">
      <c r="A401" s="183" t="s">
        <v>1329</v>
      </c>
      <c r="B401" s="183" t="s">
        <v>1335</v>
      </c>
      <c r="C401" s="149" t="s">
        <v>605</v>
      </c>
    </row>
    <row r="402">
      <c r="A402" s="183" t="s">
        <v>1336</v>
      </c>
      <c r="B402" s="183" t="s">
        <v>1337</v>
      </c>
      <c r="C402" s="149" t="s">
        <v>1338</v>
      </c>
    </row>
    <row r="403">
      <c r="A403" s="183" t="s">
        <v>1320</v>
      </c>
      <c r="B403" s="183" t="s">
        <v>1339</v>
      </c>
      <c r="C403" s="149" t="s">
        <v>1340</v>
      </c>
    </row>
    <row r="404">
      <c r="A404" s="183" t="s">
        <v>1329</v>
      </c>
      <c r="B404" s="183" t="s">
        <v>1341</v>
      </c>
      <c r="C404" s="149" t="s">
        <v>605</v>
      </c>
    </row>
    <row r="405">
      <c r="A405" s="183" t="s">
        <v>1342</v>
      </c>
      <c r="B405" s="183" t="s">
        <v>1343</v>
      </c>
      <c r="C405" s="149" t="s">
        <v>605</v>
      </c>
    </row>
    <row r="406">
      <c r="A406" s="183"/>
      <c r="B406" s="183"/>
      <c r="C406" s="185"/>
    </row>
    <row r="407">
      <c r="A407" s="183"/>
      <c r="B407" s="183"/>
      <c r="C407" s="185"/>
    </row>
    <row r="408">
      <c r="A408" s="183"/>
      <c r="B408" s="183"/>
      <c r="C408" s="185"/>
    </row>
    <row r="409">
      <c r="A409" s="183"/>
      <c r="B409" s="183"/>
      <c r="C409" s="185"/>
    </row>
    <row r="410">
      <c r="A410" s="183"/>
      <c r="B410" s="183"/>
      <c r="C410" s="185"/>
    </row>
    <row r="411">
      <c r="A411" s="183"/>
      <c r="B411" s="183"/>
      <c r="C411" s="185"/>
    </row>
    <row r="412">
      <c r="A412" s="183"/>
      <c r="B412" s="183"/>
      <c r="C412" s="185"/>
    </row>
  </sheetData>
  <conditionalFormatting sqref="B283 B318 B345 B348">
    <cfRule type="expression" dxfId="6" priority="1">
      <formula>MATCH(B283,INDIRECT("'Xbox Game Studios'!A:A"),0)</formula>
    </cfRule>
  </conditionalFormatting>
  <conditionalFormatting sqref="B283 B345 B348">
    <cfRule type="expression" dxfId="5" priority="2">
      <formula>MATCH(B283,INDIRECT("'EA Play'!A:A"),0)</formula>
    </cfRule>
  </conditionalFormatting>
  <conditionalFormatting sqref="B283 B318 B345 B348">
    <cfRule type="expression" dxfId="13" priority="3">
      <formula>$D283="Coming Soon"</formula>
    </cfRule>
  </conditionalFormatting>
  <conditionalFormatting sqref="B283 B318 B345 B348">
    <cfRule type="expression" dxfId="10" priority="4">
      <formula>$D283="Leaving Soon"</formula>
    </cfRule>
  </conditionalFormatting>
  <conditionalFormatting sqref="A185:A186">
    <cfRule type="expression" dxfId="7" priority="5">
      <formula>$D182="Removed"</formula>
    </cfRule>
  </conditionalFormatting>
  <conditionalFormatting sqref="A1">
    <cfRule type="cellIs" dxfId="8" priority="6" operator="between">
      <formula>90</formula>
      <formula>100</formula>
    </cfRule>
  </conditionalFormatting>
  <conditionalFormatting sqref="A1:A2 A4:A112 B4:C4 B113 A114:A181 A183:A184 A186:A373 B283 B318 B345 B348 B374 A375:A412">
    <cfRule type="expression" dxfId="7" priority="7">
      <formula>$D1="Removed"</formula>
    </cfRule>
  </conditionalFormatting>
  <hyperlinks>
    <hyperlink r:id="rId1" ref="B33"/>
    <hyperlink r:id="rId2" ref="B42"/>
    <hyperlink r:id="rId3" ref="B43"/>
    <hyperlink r:id="rId4" ref="B50"/>
    <hyperlink r:id="rId5" ref="B53"/>
    <hyperlink r:id="rId6" ref="C58"/>
    <hyperlink r:id="rId7" ref="B65"/>
    <hyperlink r:id="rId8" ref="B75"/>
    <hyperlink r:id="rId9" ref="B83"/>
    <hyperlink r:id="rId10" ref="B114"/>
    <hyperlink r:id="rId11" ref="B136"/>
    <hyperlink r:id="rId12" ref="B143"/>
    <hyperlink r:id="rId13" ref="B154"/>
    <hyperlink r:id="rId14" ref="B179"/>
    <hyperlink r:id="rId15" ref="B190"/>
    <hyperlink r:id="rId16" ref="B206"/>
    <hyperlink r:id="rId17" ref="B215"/>
    <hyperlink r:id="rId18" ref="B216"/>
    <hyperlink r:id="rId19" ref="B222"/>
    <hyperlink r:id="rId20" ref="B225"/>
    <hyperlink r:id="rId21" ref="B226"/>
    <hyperlink r:id="rId22" ref="B227"/>
    <hyperlink r:id="rId23" ref="B228"/>
    <hyperlink r:id="rId24" ref="B229"/>
    <hyperlink r:id="rId25" ref="B230"/>
    <hyperlink r:id="rId26" ref="B231"/>
    <hyperlink r:id="rId27" ref="B238"/>
    <hyperlink r:id="rId28" ref="B249"/>
    <hyperlink r:id="rId29" ref="B256"/>
    <hyperlink r:id="rId30" ref="B265"/>
    <hyperlink r:id="rId31" ref="B266"/>
    <hyperlink r:id="rId32" ref="B271"/>
    <hyperlink r:id="rId33" location="!" ref="B273"/>
    <hyperlink r:id="rId34" ref="B274"/>
    <hyperlink r:id="rId35" ref="B275"/>
    <hyperlink r:id="rId36" ref="B276"/>
    <hyperlink r:id="rId37" ref="B277"/>
    <hyperlink r:id="rId38" ref="B278"/>
    <hyperlink r:id="rId39" ref="B284"/>
    <hyperlink r:id="rId40" ref="B286"/>
    <hyperlink r:id="rId41" ref="B287"/>
    <hyperlink r:id="rId42" ref="B288"/>
    <hyperlink r:id="rId43" ref="B289"/>
    <hyperlink r:id="rId44" ref="B294"/>
    <hyperlink r:id="rId45" ref="B295"/>
    <hyperlink r:id="rId46" ref="B296"/>
    <hyperlink r:id="rId47" ref="B298"/>
    <hyperlink r:id="rId48" ref="B320"/>
    <hyperlink r:id="rId49" ref="B358"/>
    <hyperlink r:id="rId50" ref="B363"/>
    <hyperlink r:id="rId51" ref="B371"/>
  </hyperlinks>
  <printOptions gridLines="1" horizontalCentered="1"/>
  <pageMargins bottom="0.75" footer="0.0" header="0.0" left="0.7" right="0.7" top="0.75"/>
  <pageSetup fitToHeight="0" paperSize="9" cellComments="atEnd" orientation="landscape" pageOrder="overThenDown"/>
  <drawing r:id="rId5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CE8B2"/>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2"/>
  <cols>
    <col customWidth="1" min="1" max="1" width="44.5"/>
    <col customWidth="1" min="2" max="2" width="26.88"/>
    <col customWidth="1" min="3" max="3" width="8.13"/>
    <col customWidth="1" min="4" max="4" width="6.63"/>
    <col customWidth="1" min="5" max="5" width="28.63"/>
    <col customWidth="1" min="6" max="6" width="33.25"/>
    <col customWidth="1" min="7" max="8" width="4.75"/>
    <col customWidth="1" min="9" max="9" width="6.38"/>
    <col customWidth="1" min="10" max="10" width="33.25"/>
  </cols>
  <sheetData>
    <row r="1">
      <c r="A1" s="9" t="s">
        <v>1348</v>
      </c>
      <c r="B1" s="8" t="s">
        <v>1350</v>
      </c>
      <c r="C1" s="7" t="s">
        <v>5</v>
      </c>
      <c r="D1" s="7"/>
      <c r="E1" s="7" t="s">
        <v>1351</v>
      </c>
      <c r="F1" s="7" t="s">
        <v>1350</v>
      </c>
      <c r="G1" s="7" t="s">
        <v>1352</v>
      </c>
      <c r="H1" s="7" t="s">
        <v>1353</v>
      </c>
      <c r="I1" s="7" t="s">
        <v>1354</v>
      </c>
      <c r="J1" s="7"/>
    </row>
    <row r="2">
      <c r="A2" s="188" t="s">
        <v>34</v>
      </c>
      <c r="B2" s="188" t="s">
        <v>1355</v>
      </c>
      <c r="C2" s="190">
        <f>VLOOKUP(A2,'Master List'!A:E,5,)</f>
        <v>46301</v>
      </c>
      <c r="F2" s="191" t="s">
        <v>1356</v>
      </c>
      <c r="G2" s="191">
        <f t="shared" ref="G2:G47" si="1">COUNTIF(B:B,F2)</f>
        <v>17</v>
      </c>
      <c r="H2" s="191">
        <v>2000.0</v>
      </c>
      <c r="I2" s="191">
        <v>2019.0</v>
      </c>
      <c r="J2" s="191" t="s">
        <v>1358</v>
      </c>
    </row>
    <row r="3">
      <c r="A3" s="17" t="s">
        <v>40</v>
      </c>
      <c r="B3" s="188" t="s">
        <v>1359</v>
      </c>
      <c r="C3" s="192">
        <f>VLOOKUP(A3,'Master List'!A:E,5,)</f>
        <v>46294</v>
      </c>
      <c r="E3" s="191"/>
      <c r="F3" s="191" t="s">
        <v>1361</v>
      </c>
      <c r="G3" s="191">
        <f t="shared" si="1"/>
        <v>1</v>
      </c>
      <c r="H3" s="191">
        <v>2001.0</v>
      </c>
      <c r="I3" s="191"/>
      <c r="J3" s="191"/>
    </row>
    <row r="4">
      <c r="A4" s="193" t="s">
        <v>70</v>
      </c>
      <c r="B4" s="193" t="s">
        <v>1363</v>
      </c>
      <c r="C4" s="192">
        <f>VLOOKUP(A4,'Master List'!A:E,5,)</f>
        <v>46231</v>
      </c>
      <c r="E4" s="194"/>
      <c r="F4" s="191" t="s">
        <v>1364</v>
      </c>
      <c r="G4" s="191">
        <f t="shared" si="1"/>
        <v>16</v>
      </c>
      <c r="H4" s="191">
        <v>2002.0</v>
      </c>
      <c r="I4" s="191"/>
      <c r="J4" s="191"/>
    </row>
    <row r="5">
      <c r="A5" s="188" t="s">
        <v>92</v>
      </c>
      <c r="B5" s="188" t="s">
        <v>1365</v>
      </c>
      <c r="C5" s="190">
        <f>VLOOKUP(A5,'Master List'!A:E,5,)</f>
        <v>46190</v>
      </c>
      <c r="E5" s="194"/>
      <c r="F5" s="191" t="s">
        <v>1366</v>
      </c>
      <c r="G5" s="191">
        <f t="shared" si="1"/>
        <v>3</v>
      </c>
      <c r="H5" s="191">
        <v>2006.0</v>
      </c>
      <c r="I5" s="191">
        <v>2016.0</v>
      </c>
      <c r="J5" s="191"/>
    </row>
    <row r="6">
      <c r="A6" s="188" t="s">
        <v>116</v>
      </c>
      <c r="B6" s="195" t="s">
        <v>1367</v>
      </c>
      <c r="C6" s="190">
        <f>VLOOKUP(A6,'Master List'!A:E,5,)</f>
        <v>46169</v>
      </c>
      <c r="E6" s="194"/>
      <c r="F6" s="191" t="s">
        <v>1363</v>
      </c>
      <c r="G6" s="191">
        <f t="shared" si="1"/>
        <v>14</v>
      </c>
      <c r="H6" s="191">
        <v>2007.0</v>
      </c>
      <c r="I6" s="191"/>
      <c r="J6" s="191"/>
    </row>
    <row r="7">
      <c r="A7" s="188" t="s">
        <v>123</v>
      </c>
      <c r="B7" s="188" t="s">
        <v>1369</v>
      </c>
      <c r="C7" s="190">
        <f>VLOOKUP(A7,'Master List'!A:E,5,)</f>
        <v>46161</v>
      </c>
      <c r="E7" s="194"/>
      <c r="F7" s="191" t="s">
        <v>1355</v>
      </c>
      <c r="G7" s="191">
        <f t="shared" si="1"/>
        <v>10</v>
      </c>
      <c r="H7" s="191">
        <v>2007.0</v>
      </c>
      <c r="I7" s="191"/>
      <c r="J7" s="191"/>
    </row>
    <row r="8">
      <c r="A8" s="17" t="s">
        <v>147</v>
      </c>
      <c r="B8" s="17" t="s">
        <v>1370</v>
      </c>
      <c r="C8" s="190">
        <f>VLOOKUP(A8,'Master List'!A:E,5,)</f>
        <v>46135</v>
      </c>
      <c r="F8" s="191" t="s">
        <v>1371</v>
      </c>
      <c r="G8" s="191">
        <f t="shared" si="1"/>
        <v>1</v>
      </c>
      <c r="H8" s="191">
        <v>2009.0</v>
      </c>
      <c r="I8" s="191">
        <v>2016.0</v>
      </c>
      <c r="J8" s="182" t="s">
        <v>1373</v>
      </c>
    </row>
    <row r="9">
      <c r="A9" s="193" t="s">
        <v>149</v>
      </c>
      <c r="B9" s="17" t="s">
        <v>1374</v>
      </c>
      <c r="C9" s="192">
        <f>VLOOKUP(A9,'Master List'!A:E,5,)</f>
        <v>46129</v>
      </c>
      <c r="E9" s="194"/>
      <c r="F9" s="191" t="s">
        <v>1375</v>
      </c>
      <c r="G9" s="191">
        <f t="shared" si="1"/>
        <v>1</v>
      </c>
      <c r="H9" s="191">
        <v>2012.0</v>
      </c>
      <c r="I9" s="191">
        <v>2016.0</v>
      </c>
    </row>
    <row r="10">
      <c r="A10" s="188" t="s">
        <v>179</v>
      </c>
      <c r="B10" s="196" t="s">
        <v>1376</v>
      </c>
      <c r="C10" s="190">
        <f>VLOOKUP(A10,'Master List'!A:E,5,)</f>
        <v>46072</v>
      </c>
      <c r="E10" s="191"/>
      <c r="F10" s="191" t="s">
        <v>1359</v>
      </c>
      <c r="G10" s="191">
        <f t="shared" si="1"/>
        <v>5</v>
      </c>
      <c r="H10" s="191">
        <v>2014.0</v>
      </c>
      <c r="I10" s="191"/>
      <c r="J10" s="191"/>
    </row>
    <row r="11">
      <c r="A11" s="188" t="s">
        <v>181</v>
      </c>
      <c r="B11" s="196" t="s">
        <v>1379</v>
      </c>
      <c r="C11" s="190">
        <f>VLOOKUP(A11,'Master List'!A:E,5,)</f>
        <v>46072</v>
      </c>
      <c r="E11" s="191"/>
      <c r="F11" s="191" t="s">
        <v>1380</v>
      </c>
      <c r="G11" s="191">
        <f t="shared" si="1"/>
        <v>3</v>
      </c>
      <c r="H11" s="191">
        <v>2018.0</v>
      </c>
      <c r="I11" s="191">
        <v>2026.0</v>
      </c>
      <c r="J11" s="191" t="s">
        <v>1382</v>
      </c>
    </row>
    <row r="12">
      <c r="A12" s="188" t="s">
        <v>183</v>
      </c>
      <c r="B12" s="196" t="s">
        <v>1379</v>
      </c>
      <c r="C12" s="190">
        <f>VLOOKUP(A12,'Master List'!A:E,5,)</f>
        <v>46072</v>
      </c>
      <c r="E12" s="194"/>
      <c r="F12" s="191" t="s">
        <v>1383</v>
      </c>
      <c r="G12" s="191">
        <f t="shared" si="1"/>
        <v>0</v>
      </c>
      <c r="H12" s="191">
        <v>2018.0</v>
      </c>
      <c r="I12" s="191"/>
      <c r="J12" s="191"/>
    </row>
    <row r="13">
      <c r="A13" s="188" t="s">
        <v>185</v>
      </c>
      <c r="B13" s="196" t="s">
        <v>1379</v>
      </c>
      <c r="C13" s="190">
        <f>VLOOKUP(A13,'Master List'!A:E,5,)</f>
        <v>46072</v>
      </c>
      <c r="E13" s="191"/>
      <c r="F13" s="191" t="s">
        <v>1384</v>
      </c>
      <c r="G13" s="191">
        <f t="shared" si="1"/>
        <v>6</v>
      </c>
      <c r="H13" s="191">
        <v>2018.0</v>
      </c>
      <c r="I13" s="191"/>
      <c r="J13" s="191"/>
    </row>
    <row r="14">
      <c r="A14" s="188" t="s">
        <v>186</v>
      </c>
      <c r="B14" s="196" t="s">
        <v>1379</v>
      </c>
      <c r="C14" s="190">
        <f>VLOOKUP(A14,'Master List'!A:E,5,)</f>
        <v>46072</v>
      </c>
      <c r="E14" s="191"/>
      <c r="F14" s="191" t="s">
        <v>1386</v>
      </c>
      <c r="G14" s="191">
        <f t="shared" si="1"/>
        <v>4</v>
      </c>
      <c r="H14" s="191">
        <v>2018.0</v>
      </c>
      <c r="I14" s="197">
        <v>2026.0</v>
      </c>
      <c r="J14" s="197" t="s">
        <v>1387</v>
      </c>
    </row>
    <row r="15">
      <c r="A15" s="188" t="s">
        <v>195</v>
      </c>
      <c r="B15" s="188" t="s">
        <v>1388</v>
      </c>
      <c r="C15" s="190">
        <f>VLOOKUP(A15,'Master List'!A:E,5,)</f>
        <v>46064</v>
      </c>
      <c r="E15" s="191"/>
      <c r="F15" s="191" t="s">
        <v>1367</v>
      </c>
      <c r="G15" s="191">
        <f t="shared" si="1"/>
        <v>10</v>
      </c>
      <c r="H15" s="191">
        <v>2018.0</v>
      </c>
      <c r="I15" s="191"/>
      <c r="J15" s="191"/>
    </row>
    <row r="16">
      <c r="A16" s="188" t="s">
        <v>237</v>
      </c>
      <c r="B16" s="188" t="s">
        <v>1390</v>
      </c>
      <c r="C16" s="190">
        <f>VLOOKUP(A16,'Master List'!A:E,5,)</f>
        <v>45975</v>
      </c>
      <c r="E16" s="191"/>
      <c r="F16" s="191" t="s">
        <v>1369</v>
      </c>
      <c r="G16" s="191">
        <f t="shared" si="1"/>
        <v>4</v>
      </c>
      <c r="H16" s="191">
        <v>2018.0</v>
      </c>
      <c r="I16" s="191"/>
      <c r="J16" s="191"/>
    </row>
    <row r="17">
      <c r="A17" s="199" t="s">
        <v>250</v>
      </c>
      <c r="B17" s="195" t="s">
        <v>1367</v>
      </c>
      <c r="C17" s="190">
        <f>VLOOKUP(A17,'Master List'!A:E,5,)</f>
        <v>45959</v>
      </c>
      <c r="E17" s="191"/>
      <c r="F17" s="191" t="s">
        <v>1392</v>
      </c>
      <c r="G17" s="191">
        <f t="shared" si="1"/>
        <v>2</v>
      </c>
      <c r="H17" s="191">
        <v>2018.0</v>
      </c>
      <c r="I17" s="197">
        <v>2026.0</v>
      </c>
      <c r="J17" s="197" t="s">
        <v>1387</v>
      </c>
    </row>
    <row r="18">
      <c r="A18" s="199" t="s">
        <v>255</v>
      </c>
      <c r="B18" s="200" t="s">
        <v>1393</v>
      </c>
      <c r="C18" s="190">
        <f>VLOOKUP(A18,'Master List'!A:E,5,)</f>
        <v>45951</v>
      </c>
      <c r="F18" s="191" t="s">
        <v>1393</v>
      </c>
      <c r="G18" s="191">
        <f t="shared" si="1"/>
        <v>6</v>
      </c>
      <c r="H18" s="191">
        <v>2019.0</v>
      </c>
      <c r="J18" s="182" t="s">
        <v>1395</v>
      </c>
    </row>
    <row r="19">
      <c r="A19" s="188" t="s">
        <v>257</v>
      </c>
      <c r="B19" s="196" t="s">
        <v>1376</v>
      </c>
      <c r="C19" s="190">
        <f>VLOOKUP(A19,'Master List'!A:E,5,)</f>
        <v>45945</v>
      </c>
      <c r="E19" s="191"/>
      <c r="F19" s="191" t="s">
        <v>1370</v>
      </c>
      <c r="G19" s="191">
        <f t="shared" si="1"/>
        <v>14</v>
      </c>
      <c r="H19" s="191">
        <v>2019.0</v>
      </c>
      <c r="I19" s="191">
        <v>2026.0</v>
      </c>
      <c r="J19" s="191" t="s">
        <v>1382</v>
      </c>
    </row>
    <row r="20">
      <c r="A20" s="188" t="s">
        <v>259</v>
      </c>
      <c r="B20" s="196" t="s">
        <v>1376</v>
      </c>
      <c r="C20" s="190">
        <f>VLOOKUP(A20,'Master List'!A:E,5,)</f>
        <v>45945</v>
      </c>
      <c r="E20" s="191"/>
      <c r="F20" s="191" t="s">
        <v>1397</v>
      </c>
      <c r="G20" s="191">
        <f t="shared" si="1"/>
        <v>5</v>
      </c>
      <c r="H20" s="191">
        <v>2019.0</v>
      </c>
      <c r="I20" s="191"/>
      <c r="J20" s="191"/>
    </row>
    <row r="21">
      <c r="A21" s="188" t="s">
        <v>260</v>
      </c>
      <c r="B21" s="196" t="s">
        <v>1379</v>
      </c>
      <c r="C21" s="190">
        <f>VLOOKUP(A21,'Master List'!A:E,5,)</f>
        <v>45945</v>
      </c>
      <c r="E21" s="191" t="s">
        <v>1399</v>
      </c>
      <c r="F21" s="191" t="s">
        <v>1400</v>
      </c>
      <c r="G21" s="191">
        <f t="shared" si="1"/>
        <v>9</v>
      </c>
      <c r="H21" s="191">
        <v>2021.0</v>
      </c>
      <c r="I21" s="191"/>
      <c r="J21" s="191"/>
    </row>
    <row r="22">
      <c r="A22" s="188" t="s">
        <v>261</v>
      </c>
      <c r="B22" s="196" t="s">
        <v>1376</v>
      </c>
      <c r="C22" s="190">
        <f>VLOOKUP(A22,'Master List'!A:E,5,)</f>
        <v>45945</v>
      </c>
      <c r="E22" s="191" t="s">
        <v>1399</v>
      </c>
      <c r="F22" s="191" t="s">
        <v>1401</v>
      </c>
      <c r="G22" s="191">
        <f t="shared" si="1"/>
        <v>1</v>
      </c>
      <c r="H22" s="191">
        <v>2021.0</v>
      </c>
      <c r="I22" s="191"/>
      <c r="J22" s="191"/>
    </row>
    <row r="23">
      <c r="A23" s="188" t="s">
        <v>337</v>
      </c>
      <c r="B23" s="188" t="s">
        <v>1355</v>
      </c>
      <c r="C23" s="190">
        <f>VLOOKUP(A23,'Master List'!A:E,5,)</f>
        <v>45895</v>
      </c>
      <c r="E23" s="191" t="s">
        <v>1399</v>
      </c>
      <c r="F23" s="191" t="s">
        <v>1403</v>
      </c>
      <c r="G23" s="191">
        <f t="shared" si="1"/>
        <v>8</v>
      </c>
      <c r="H23" s="191">
        <v>2021.0</v>
      </c>
      <c r="I23" s="205"/>
      <c r="J23" s="205" t="s">
        <v>1405</v>
      </c>
    </row>
    <row r="24">
      <c r="A24" s="188" t="s">
        <v>343</v>
      </c>
      <c r="B24" s="196" t="s">
        <v>1406</v>
      </c>
      <c r="C24" s="190">
        <f>VLOOKUP(A24,'Master List'!A:E,5,)</f>
        <v>45883</v>
      </c>
      <c r="E24" s="191" t="s">
        <v>1399</v>
      </c>
      <c r="F24" s="191" t="s">
        <v>1407</v>
      </c>
      <c r="G24" s="191">
        <f t="shared" si="1"/>
        <v>16</v>
      </c>
      <c r="H24" s="191">
        <v>2021.0</v>
      </c>
      <c r="I24" s="191"/>
      <c r="J24" s="191"/>
    </row>
    <row r="25">
      <c r="A25" s="188" t="s">
        <v>345</v>
      </c>
      <c r="B25" s="196" t="s">
        <v>1379</v>
      </c>
      <c r="C25" s="190">
        <f>VLOOKUP(A25,'Master List'!A:E,5,)</f>
        <v>45883</v>
      </c>
      <c r="E25" s="191" t="s">
        <v>1399</v>
      </c>
      <c r="F25" s="191" t="s">
        <v>1408</v>
      </c>
      <c r="G25" s="191">
        <f t="shared" si="1"/>
        <v>3</v>
      </c>
      <c r="H25" s="191">
        <v>2021.0</v>
      </c>
      <c r="I25" s="191"/>
      <c r="J25" s="191"/>
    </row>
    <row r="26">
      <c r="A26" s="188" t="s">
        <v>346</v>
      </c>
      <c r="B26" s="196" t="s">
        <v>1406</v>
      </c>
      <c r="C26" s="190">
        <f>VLOOKUP(A26,'Master List'!A:E,5,)</f>
        <v>45883</v>
      </c>
      <c r="E26" s="191" t="s">
        <v>1399</v>
      </c>
      <c r="F26" s="191" t="s">
        <v>1409</v>
      </c>
      <c r="G26" s="191">
        <f t="shared" si="1"/>
        <v>0</v>
      </c>
      <c r="H26" s="191">
        <v>2021.0</v>
      </c>
      <c r="I26" s="191"/>
      <c r="J26" s="191"/>
    </row>
    <row r="27">
      <c r="A27" s="188" t="s">
        <v>348</v>
      </c>
      <c r="B27" s="196" t="s">
        <v>1379</v>
      </c>
      <c r="C27" s="190">
        <f>VLOOKUP(A27,'Master List'!A:E,5,)</f>
        <v>45883</v>
      </c>
      <c r="E27" s="191" t="s">
        <v>1399</v>
      </c>
      <c r="F27" s="191" t="s">
        <v>1411</v>
      </c>
      <c r="G27" s="191">
        <f t="shared" si="1"/>
        <v>5</v>
      </c>
      <c r="H27" s="191">
        <v>2021.0</v>
      </c>
      <c r="I27" s="191"/>
      <c r="J27" s="191"/>
    </row>
    <row r="28">
      <c r="A28" s="188" t="s">
        <v>349</v>
      </c>
      <c r="B28" s="196" t="s">
        <v>1412</v>
      </c>
      <c r="C28" s="190">
        <f>VLOOKUP(A28,'Master List'!A:E,5,)</f>
        <v>45883</v>
      </c>
      <c r="E28" s="191" t="s">
        <v>1399</v>
      </c>
      <c r="F28" s="191" t="s">
        <v>1415</v>
      </c>
      <c r="G28" s="191">
        <f t="shared" si="1"/>
        <v>3</v>
      </c>
      <c r="H28" s="191">
        <v>2021.0</v>
      </c>
      <c r="I28" s="206">
        <v>2024.0</v>
      </c>
      <c r="J28" s="191" t="s">
        <v>1416</v>
      </c>
    </row>
    <row r="29">
      <c r="A29" s="188" t="s">
        <v>350</v>
      </c>
      <c r="B29" s="196" t="s">
        <v>1379</v>
      </c>
      <c r="C29" s="190">
        <f>VLOOKUP(A29,'Master List'!A:E,5,)</f>
        <v>45883</v>
      </c>
      <c r="E29" s="191" t="s">
        <v>1399</v>
      </c>
      <c r="F29" s="191" t="s">
        <v>1418</v>
      </c>
      <c r="G29" s="191">
        <f t="shared" si="1"/>
        <v>0</v>
      </c>
      <c r="H29" s="191">
        <v>2021.0</v>
      </c>
      <c r="I29" s="191">
        <v>2024.0</v>
      </c>
      <c r="J29" s="191" t="s">
        <v>1419</v>
      </c>
    </row>
    <row r="30">
      <c r="A30" s="188" t="s">
        <v>351</v>
      </c>
      <c r="B30" s="196" t="s">
        <v>1412</v>
      </c>
      <c r="C30" s="190">
        <f>VLOOKUP(A30,'Master List'!A:E,5,)</f>
        <v>45883</v>
      </c>
      <c r="E30" s="191" t="s">
        <v>1399</v>
      </c>
      <c r="F30" s="191" t="s">
        <v>1420</v>
      </c>
      <c r="G30" s="191">
        <f t="shared" si="1"/>
        <v>0</v>
      </c>
      <c r="H30" s="191">
        <v>2021.0</v>
      </c>
      <c r="I30" s="191">
        <v>2024.0</v>
      </c>
      <c r="J30" s="191" t="s">
        <v>1422</v>
      </c>
    </row>
    <row r="31">
      <c r="A31" s="188" t="s">
        <v>353</v>
      </c>
      <c r="B31" s="188" t="s">
        <v>1423</v>
      </c>
      <c r="C31" s="190">
        <f>VLOOKUP(A31,'Master List'!A:E,5,)</f>
        <v>45876</v>
      </c>
      <c r="E31" s="191" t="s">
        <v>1424</v>
      </c>
      <c r="F31" s="191" t="s">
        <v>1374</v>
      </c>
      <c r="G31" s="191">
        <f t="shared" si="1"/>
        <v>2</v>
      </c>
      <c r="H31" s="191">
        <v>2023.0</v>
      </c>
      <c r="I31" s="191"/>
      <c r="J31" s="191"/>
    </row>
    <row r="32">
      <c r="A32" s="188" t="s">
        <v>356</v>
      </c>
      <c r="B32" s="195" t="s">
        <v>1367</v>
      </c>
      <c r="C32" s="190">
        <f>VLOOKUP(A32,'Master List'!A:E,5,)</f>
        <v>45867</v>
      </c>
      <c r="E32" s="191" t="s">
        <v>1424</v>
      </c>
      <c r="F32" s="191" t="s">
        <v>1390</v>
      </c>
      <c r="G32" s="191">
        <f t="shared" si="1"/>
        <v>2</v>
      </c>
      <c r="H32" s="191">
        <v>2023.0</v>
      </c>
      <c r="I32" s="191"/>
      <c r="J32" s="191"/>
    </row>
    <row r="33">
      <c r="A33" s="188" t="s">
        <v>361</v>
      </c>
      <c r="B33" s="196" t="s">
        <v>1406</v>
      </c>
      <c r="C33" s="190">
        <f>VLOOKUP(A33,'Master List'!A:E,5,)</f>
        <v>45859</v>
      </c>
      <c r="E33" s="191" t="s">
        <v>1424</v>
      </c>
      <c r="F33" s="191" t="s">
        <v>1423</v>
      </c>
      <c r="G33" s="191">
        <f t="shared" si="1"/>
        <v>1</v>
      </c>
      <c r="H33" s="191">
        <v>2023.0</v>
      </c>
      <c r="I33" s="191"/>
      <c r="J33" s="191"/>
    </row>
    <row r="34">
      <c r="A34" s="188" t="s">
        <v>363</v>
      </c>
      <c r="B34" s="196" t="s">
        <v>1406</v>
      </c>
      <c r="C34" s="190">
        <f>VLOOKUP(A34,'Master List'!A:E,5,)</f>
        <v>45859</v>
      </c>
      <c r="E34" s="191" t="s">
        <v>1424</v>
      </c>
      <c r="F34" s="191" t="s">
        <v>1427</v>
      </c>
      <c r="G34" s="191">
        <f t="shared" si="1"/>
        <v>0</v>
      </c>
      <c r="H34" s="191">
        <v>2023.0</v>
      </c>
      <c r="I34" s="191"/>
      <c r="J34" s="191"/>
    </row>
    <row r="35">
      <c r="A35" s="188" t="s">
        <v>364</v>
      </c>
      <c r="B35" s="196" t="s">
        <v>1406</v>
      </c>
      <c r="C35" s="190">
        <f>VLOOKUP(A35,'Master List'!A:E,5,)</f>
        <v>45859</v>
      </c>
      <c r="E35" s="191" t="s">
        <v>1424</v>
      </c>
      <c r="F35" s="191" t="s">
        <v>1365</v>
      </c>
      <c r="G35" s="191">
        <f t="shared" si="1"/>
        <v>3</v>
      </c>
      <c r="H35" s="191">
        <v>2023.0</v>
      </c>
      <c r="I35" s="191"/>
      <c r="J35" s="191"/>
    </row>
    <row r="36">
      <c r="A36" s="188" t="s">
        <v>365</v>
      </c>
      <c r="B36" s="196" t="s">
        <v>1412</v>
      </c>
      <c r="C36" s="190">
        <f>VLOOKUP(A36,'Master List'!A:E,5,)</f>
        <v>45859</v>
      </c>
      <c r="E36" s="191" t="s">
        <v>1424</v>
      </c>
      <c r="F36" s="191" t="s">
        <v>1428</v>
      </c>
      <c r="G36" s="191">
        <f t="shared" si="1"/>
        <v>2</v>
      </c>
      <c r="H36" s="191">
        <v>2023.0</v>
      </c>
      <c r="I36" s="191">
        <v>2024.0</v>
      </c>
      <c r="J36" s="191" t="s">
        <v>1382</v>
      </c>
    </row>
    <row r="37">
      <c r="A37" s="188" t="s">
        <v>366</v>
      </c>
      <c r="B37" s="196" t="s">
        <v>1412</v>
      </c>
      <c r="C37" s="190">
        <f>VLOOKUP(A37,'Master List'!A:E,5,)</f>
        <v>45859</v>
      </c>
      <c r="E37" s="191" t="s">
        <v>1424</v>
      </c>
      <c r="F37" s="191" t="s">
        <v>1430</v>
      </c>
      <c r="G37" s="191">
        <f t="shared" si="1"/>
        <v>1</v>
      </c>
      <c r="H37" s="191">
        <v>2023.0</v>
      </c>
      <c r="I37" s="191"/>
      <c r="J37" s="191"/>
    </row>
    <row r="38">
      <c r="A38" s="188" t="s">
        <v>367</v>
      </c>
      <c r="B38" s="196" t="s">
        <v>1379</v>
      </c>
      <c r="C38" s="190">
        <f>VLOOKUP(A38,'Master List'!A:E,5,)</f>
        <v>45859</v>
      </c>
      <c r="E38" s="191" t="s">
        <v>1424</v>
      </c>
      <c r="F38" s="191" t="s">
        <v>1432</v>
      </c>
      <c r="G38" s="191">
        <f t="shared" si="1"/>
        <v>0</v>
      </c>
      <c r="H38" s="191">
        <v>2023.0</v>
      </c>
      <c r="I38" s="191"/>
      <c r="J38" s="191" t="s">
        <v>1433</v>
      </c>
    </row>
    <row r="39">
      <c r="A39" s="188" t="s">
        <v>368</v>
      </c>
      <c r="B39" s="196" t="s">
        <v>1412</v>
      </c>
      <c r="C39" s="190">
        <f>VLOOKUP(A39,'Master List'!A:E,5,)</f>
        <v>45859</v>
      </c>
      <c r="E39" s="191" t="s">
        <v>1424</v>
      </c>
      <c r="F39" s="191" t="s">
        <v>1434</v>
      </c>
      <c r="G39" s="191">
        <f t="shared" si="1"/>
        <v>0</v>
      </c>
      <c r="H39" s="191">
        <v>2023.0</v>
      </c>
      <c r="I39" s="191"/>
      <c r="J39" s="191" t="s">
        <v>1433</v>
      </c>
    </row>
    <row r="40">
      <c r="A40" s="188" t="s">
        <v>376</v>
      </c>
      <c r="B40" s="196" t="s">
        <v>1379</v>
      </c>
      <c r="C40" s="190">
        <f>VLOOKUP(A40,'Master List'!A:E,5,)</f>
        <v>45839</v>
      </c>
      <c r="E40" s="191" t="s">
        <v>1424</v>
      </c>
      <c r="F40" s="191" t="s">
        <v>1436</v>
      </c>
      <c r="G40" s="191">
        <f t="shared" si="1"/>
        <v>0</v>
      </c>
      <c r="H40" s="191">
        <v>2023.0</v>
      </c>
      <c r="I40" s="191"/>
      <c r="J40" s="191"/>
    </row>
    <row r="41">
      <c r="A41" s="188" t="s">
        <v>377</v>
      </c>
      <c r="B41" s="196" t="s">
        <v>1406</v>
      </c>
      <c r="C41" s="190">
        <f>VLOOKUP(A41,'Master List'!A:E,5,)</f>
        <v>45839</v>
      </c>
      <c r="E41" s="191" t="s">
        <v>1424</v>
      </c>
      <c r="F41" s="191" t="s">
        <v>1388</v>
      </c>
      <c r="G41" s="191">
        <f t="shared" si="1"/>
        <v>12</v>
      </c>
      <c r="H41" s="191">
        <v>2023.0</v>
      </c>
      <c r="I41" s="191"/>
      <c r="J41" s="191"/>
    </row>
    <row r="42">
      <c r="A42" s="188" t="s">
        <v>378</v>
      </c>
      <c r="B42" s="196" t="s">
        <v>1379</v>
      </c>
      <c r="C42" s="190">
        <f>VLOOKUP(A42,'Master List'!A:E,5,)</f>
        <v>45839</v>
      </c>
      <c r="E42" s="191" t="s">
        <v>1424</v>
      </c>
      <c r="F42" s="191" t="s">
        <v>1437</v>
      </c>
      <c r="G42" s="191">
        <f t="shared" si="1"/>
        <v>0</v>
      </c>
      <c r="H42" s="191">
        <v>2023.0</v>
      </c>
      <c r="I42" s="191"/>
      <c r="J42" s="191" t="s">
        <v>1433</v>
      </c>
    </row>
    <row r="43">
      <c r="A43" s="188" t="s">
        <v>379</v>
      </c>
      <c r="B43" s="196" t="s">
        <v>1439</v>
      </c>
      <c r="C43" s="190">
        <f>VLOOKUP(A43,'Master List'!A:E,5,)</f>
        <v>45839</v>
      </c>
      <c r="E43" s="182" t="s">
        <v>1440</v>
      </c>
      <c r="F43" s="191" t="s">
        <v>1379</v>
      </c>
      <c r="G43" s="191">
        <f t="shared" si="1"/>
        <v>48</v>
      </c>
      <c r="H43" s="191">
        <v>2023.0</v>
      </c>
      <c r="I43" s="191"/>
      <c r="J43" s="191" t="s">
        <v>1441</v>
      </c>
    </row>
    <row r="44">
      <c r="A44" s="188" t="s">
        <v>380</v>
      </c>
      <c r="B44" s="196" t="s">
        <v>1439</v>
      </c>
      <c r="C44" s="190">
        <f>VLOOKUP(A44,'Master List'!A:E,5,)</f>
        <v>45839</v>
      </c>
      <c r="E44" s="182" t="s">
        <v>1440</v>
      </c>
      <c r="F44" s="191" t="s">
        <v>1412</v>
      </c>
      <c r="G44" s="191">
        <f t="shared" si="1"/>
        <v>8</v>
      </c>
      <c r="H44" s="191">
        <v>2025.0</v>
      </c>
      <c r="I44" s="191"/>
      <c r="J44" s="191" t="s">
        <v>1442</v>
      </c>
    </row>
    <row r="45">
      <c r="A45" s="199" t="s">
        <v>381</v>
      </c>
      <c r="B45" s="188" t="s">
        <v>1365</v>
      </c>
      <c r="C45" s="190">
        <f>VLOOKUP(A45,'Master List'!A:E,5,)</f>
        <v>45838</v>
      </c>
      <c r="E45" s="182" t="s">
        <v>1440</v>
      </c>
      <c r="F45" s="191" t="s">
        <v>1439</v>
      </c>
      <c r="G45" s="191">
        <f t="shared" si="1"/>
        <v>10</v>
      </c>
      <c r="H45" s="191">
        <v>1986.0</v>
      </c>
      <c r="I45" s="191">
        <v>1986.0</v>
      </c>
      <c r="J45" s="191" t="s">
        <v>1444</v>
      </c>
    </row>
    <row r="46">
      <c r="A46" s="199" t="s">
        <v>382</v>
      </c>
      <c r="B46" s="188" t="s">
        <v>1388</v>
      </c>
      <c r="C46" s="190">
        <f>VLOOKUP(A46,'Master List'!A:E,5,)</f>
        <v>45834</v>
      </c>
      <c r="E46" s="182" t="s">
        <v>1440</v>
      </c>
      <c r="F46" s="191" t="s">
        <v>1376</v>
      </c>
      <c r="G46" s="191">
        <f t="shared" si="1"/>
        <v>6</v>
      </c>
      <c r="H46" s="191">
        <v>1986.0</v>
      </c>
      <c r="I46" s="191">
        <v>1986.0</v>
      </c>
      <c r="J46" s="191" t="s">
        <v>1445</v>
      </c>
    </row>
    <row r="47">
      <c r="A47" s="199" t="s">
        <v>383</v>
      </c>
      <c r="B47" s="188" t="s">
        <v>1388</v>
      </c>
      <c r="C47" s="190">
        <f>VLOOKUP(A47,'Master List'!A:E,5,)</f>
        <v>45834</v>
      </c>
      <c r="E47" s="182" t="s">
        <v>1440</v>
      </c>
      <c r="F47" s="191" t="s">
        <v>1406</v>
      </c>
      <c r="G47" s="191">
        <f t="shared" si="1"/>
        <v>16</v>
      </c>
      <c r="H47" s="191">
        <v>2008.0</v>
      </c>
      <c r="I47" s="191">
        <v>2008.0</v>
      </c>
      <c r="J47" s="191" t="s">
        <v>1448</v>
      </c>
    </row>
    <row r="48">
      <c r="A48" s="199" t="s">
        <v>384</v>
      </c>
      <c r="B48" s="188" t="s">
        <v>1388</v>
      </c>
      <c r="C48" s="190">
        <f>VLOOKUP(A48,'Master List'!A:E,5,)</f>
        <v>45834</v>
      </c>
    </row>
    <row r="49">
      <c r="A49" s="188" t="s">
        <v>374</v>
      </c>
      <c r="B49" s="188" t="s">
        <v>1388</v>
      </c>
      <c r="C49" s="190">
        <v>45792.0</v>
      </c>
    </row>
    <row r="50">
      <c r="A50" s="188" t="s">
        <v>387</v>
      </c>
      <c r="B50" s="188" t="s">
        <v>1428</v>
      </c>
      <c r="C50" s="190">
        <v>45792.0</v>
      </c>
    </row>
    <row r="51">
      <c r="A51" s="188" t="s">
        <v>401</v>
      </c>
      <c r="B51" s="196" t="s">
        <v>1379</v>
      </c>
      <c r="C51" s="190">
        <v>45792.0</v>
      </c>
    </row>
    <row r="52">
      <c r="A52" s="188" t="s">
        <v>403</v>
      </c>
      <c r="B52" s="196" t="s">
        <v>1439</v>
      </c>
      <c r="C52" s="190">
        <v>45792.0</v>
      </c>
    </row>
    <row r="53">
      <c r="A53" s="188" t="s">
        <v>404</v>
      </c>
      <c r="B53" s="196" t="s">
        <v>1439</v>
      </c>
      <c r="C53" s="190">
        <v>45792.0</v>
      </c>
    </row>
    <row r="54">
      <c r="A54" s="188" t="s">
        <v>405</v>
      </c>
      <c r="B54" s="196" t="s">
        <v>1379</v>
      </c>
      <c r="C54" s="190">
        <v>45792.0</v>
      </c>
    </row>
    <row r="55">
      <c r="A55" s="188" t="s">
        <v>406</v>
      </c>
      <c r="B55" s="196" t="s">
        <v>1379</v>
      </c>
      <c r="C55" s="190">
        <v>45792.0</v>
      </c>
    </row>
    <row r="56">
      <c r="A56" s="188" t="s">
        <v>407</v>
      </c>
      <c r="B56" s="196" t="s">
        <v>1379</v>
      </c>
      <c r="C56" s="190">
        <v>45792.0</v>
      </c>
    </row>
    <row r="57">
      <c r="A57" s="188" t="s">
        <v>408</v>
      </c>
      <c r="B57" s="196" t="s">
        <v>1379</v>
      </c>
      <c r="C57" s="190">
        <v>45792.0</v>
      </c>
    </row>
    <row r="58">
      <c r="A58" s="188" t="s">
        <v>409</v>
      </c>
      <c r="B58" s="196" t="s">
        <v>1379</v>
      </c>
      <c r="C58" s="190">
        <v>45792.0</v>
      </c>
    </row>
    <row r="59">
      <c r="A59" s="188" t="s">
        <v>410</v>
      </c>
      <c r="B59" s="196" t="s">
        <v>1379</v>
      </c>
      <c r="C59" s="190">
        <v>45792.0</v>
      </c>
    </row>
    <row r="60">
      <c r="A60" s="188" t="s">
        <v>411</v>
      </c>
      <c r="B60" s="196" t="s">
        <v>1406</v>
      </c>
      <c r="C60" s="190">
        <v>45792.0</v>
      </c>
      <c r="E60" s="209" t="s">
        <v>1450</v>
      </c>
      <c r="F60" s="210"/>
      <c r="G60" s="210"/>
      <c r="H60" s="210"/>
      <c r="I60" s="210"/>
      <c r="J60" s="191"/>
    </row>
    <row r="61">
      <c r="A61" s="188" t="s">
        <v>413</v>
      </c>
      <c r="B61" s="196" t="s">
        <v>1379</v>
      </c>
      <c r="C61" s="190">
        <v>45792.0</v>
      </c>
      <c r="E61" s="211" t="s">
        <v>1451</v>
      </c>
      <c r="F61" s="194"/>
      <c r="G61" s="194"/>
      <c r="H61" s="194"/>
      <c r="I61" s="194"/>
      <c r="J61" s="194"/>
    </row>
    <row r="62">
      <c r="A62" s="188" t="s">
        <v>414</v>
      </c>
      <c r="B62" s="196" t="s">
        <v>1379</v>
      </c>
      <c r="C62" s="190">
        <v>45792.0</v>
      </c>
      <c r="E62" s="211" t="s">
        <v>1452</v>
      </c>
      <c r="F62" s="194"/>
      <c r="G62" s="194"/>
      <c r="H62" s="194"/>
      <c r="I62" s="194"/>
      <c r="J62" s="194"/>
    </row>
    <row r="63">
      <c r="A63" s="188" t="s">
        <v>415</v>
      </c>
      <c r="B63" s="196" t="s">
        <v>1379</v>
      </c>
      <c r="C63" s="190">
        <v>45792.0</v>
      </c>
      <c r="E63" s="213" t="s">
        <v>1453</v>
      </c>
      <c r="F63" s="194"/>
      <c r="G63" s="194"/>
      <c r="H63" s="194"/>
      <c r="I63" s="194"/>
      <c r="J63" s="194"/>
    </row>
    <row r="64">
      <c r="A64" s="188" t="s">
        <v>416</v>
      </c>
      <c r="B64" s="196" t="s">
        <v>1406</v>
      </c>
      <c r="C64" s="190">
        <v>45792.0</v>
      </c>
      <c r="E64" s="215" t="s">
        <v>1455</v>
      </c>
      <c r="F64" s="191"/>
      <c r="G64" s="191"/>
      <c r="H64" s="191"/>
      <c r="I64" s="191"/>
      <c r="J64" s="191"/>
    </row>
    <row r="65">
      <c r="A65" s="188" t="s">
        <v>418</v>
      </c>
      <c r="B65" s="196" t="s">
        <v>1439</v>
      </c>
      <c r="C65" s="190">
        <v>45792.0</v>
      </c>
      <c r="E65" s="215" t="s">
        <v>1457</v>
      </c>
      <c r="F65" s="191"/>
      <c r="G65" s="191"/>
      <c r="H65" s="191"/>
      <c r="I65" s="191"/>
      <c r="J65" s="191"/>
    </row>
    <row r="66">
      <c r="A66" s="188" t="s">
        <v>419</v>
      </c>
      <c r="B66" s="196" t="s">
        <v>1379</v>
      </c>
      <c r="C66" s="190">
        <v>45792.0</v>
      </c>
      <c r="E66" s="215" t="s">
        <v>1459</v>
      </c>
      <c r="F66" s="194"/>
      <c r="G66" s="194"/>
      <c r="H66" s="194"/>
      <c r="I66" s="194"/>
      <c r="J66" s="194"/>
    </row>
    <row r="67">
      <c r="A67" s="188" t="s">
        <v>420</v>
      </c>
      <c r="B67" s="196" t="s">
        <v>1379</v>
      </c>
      <c r="C67" s="190">
        <v>45792.0</v>
      </c>
      <c r="E67" s="191" t="s">
        <v>1460</v>
      </c>
      <c r="F67" s="194"/>
      <c r="G67" s="194"/>
      <c r="H67" s="194"/>
      <c r="I67" s="194"/>
      <c r="J67" s="194"/>
    </row>
    <row r="68">
      <c r="A68" s="188" t="s">
        <v>421</v>
      </c>
      <c r="B68" s="196" t="s">
        <v>1439</v>
      </c>
      <c r="C68" s="190">
        <v>45792.0</v>
      </c>
      <c r="E68" s="213" t="s">
        <v>1461</v>
      </c>
      <c r="F68" s="191"/>
      <c r="G68" s="191"/>
      <c r="H68" s="191"/>
      <c r="I68" s="191"/>
      <c r="J68" s="191"/>
    </row>
    <row r="69">
      <c r="A69" s="188" t="s">
        <v>422</v>
      </c>
      <c r="B69" s="196" t="s">
        <v>1379</v>
      </c>
      <c r="C69" s="190">
        <v>45792.0</v>
      </c>
      <c r="E69" s="213" t="s">
        <v>1464</v>
      </c>
      <c r="F69" s="194"/>
      <c r="G69" s="194"/>
      <c r="H69" s="194"/>
      <c r="I69" s="194"/>
      <c r="J69" s="194"/>
    </row>
    <row r="70">
      <c r="A70" s="188" t="s">
        <v>423</v>
      </c>
      <c r="B70" s="196" t="s">
        <v>1379</v>
      </c>
      <c r="C70" s="190">
        <v>45792.0</v>
      </c>
      <c r="E70" s="213" t="s">
        <v>1465</v>
      </c>
      <c r="F70" s="194"/>
      <c r="G70" s="194"/>
      <c r="H70" s="194"/>
      <c r="I70" s="194"/>
      <c r="J70" s="194"/>
    </row>
    <row r="71">
      <c r="A71" s="188" t="s">
        <v>424</v>
      </c>
      <c r="B71" s="196" t="s">
        <v>1379</v>
      </c>
      <c r="C71" s="190">
        <v>45792.0</v>
      </c>
      <c r="E71" s="191" t="s">
        <v>1467</v>
      </c>
      <c r="F71" s="194"/>
      <c r="G71" s="194"/>
      <c r="H71" s="194"/>
      <c r="I71" s="194"/>
      <c r="J71" s="194"/>
    </row>
    <row r="72">
      <c r="A72" s="188" t="s">
        <v>425</v>
      </c>
      <c r="B72" s="196" t="s">
        <v>1439</v>
      </c>
      <c r="C72" s="190">
        <v>45792.0</v>
      </c>
      <c r="E72" s="213" t="s">
        <v>1468</v>
      </c>
      <c r="F72" s="194"/>
      <c r="G72" s="194"/>
      <c r="H72" s="194"/>
      <c r="I72" s="194"/>
      <c r="J72" s="194"/>
    </row>
    <row r="73">
      <c r="A73" s="188" t="s">
        <v>426</v>
      </c>
      <c r="B73" s="196" t="s">
        <v>1439</v>
      </c>
      <c r="C73" s="190">
        <v>45792.0</v>
      </c>
      <c r="E73" s="213" t="s">
        <v>1469</v>
      </c>
      <c r="F73" s="194"/>
      <c r="G73" s="194"/>
      <c r="H73" s="194"/>
      <c r="I73" s="194"/>
      <c r="J73" s="194"/>
    </row>
    <row r="74">
      <c r="A74" s="188" t="s">
        <v>427</v>
      </c>
      <c r="B74" s="196" t="s">
        <v>1379</v>
      </c>
      <c r="C74" s="190">
        <v>45792.0</v>
      </c>
      <c r="E74" s="213" t="s">
        <v>1471</v>
      </c>
      <c r="F74" s="194"/>
      <c r="G74" s="194"/>
      <c r="H74" s="194"/>
      <c r="I74" s="194"/>
      <c r="J74" s="194"/>
    </row>
    <row r="75">
      <c r="A75" s="188" t="s">
        <v>428</v>
      </c>
      <c r="B75" s="196" t="s">
        <v>1406</v>
      </c>
      <c r="C75" s="190">
        <v>45792.0</v>
      </c>
      <c r="E75" s="213" t="s">
        <v>1473</v>
      </c>
      <c r="F75" s="191"/>
      <c r="G75" s="191"/>
      <c r="H75" s="191"/>
      <c r="I75" s="191"/>
      <c r="J75" s="191"/>
    </row>
    <row r="76">
      <c r="A76" s="188" t="s">
        <v>429</v>
      </c>
      <c r="B76" s="196" t="s">
        <v>1379</v>
      </c>
      <c r="C76" s="190">
        <v>45792.0</v>
      </c>
      <c r="E76" s="213" t="s">
        <v>1475</v>
      </c>
      <c r="F76" s="191"/>
      <c r="G76" s="191"/>
      <c r="H76" s="191"/>
      <c r="I76" s="191"/>
      <c r="J76" s="191"/>
    </row>
    <row r="77">
      <c r="A77" s="188" t="s">
        <v>430</v>
      </c>
      <c r="B77" s="196" t="s">
        <v>1379</v>
      </c>
      <c r="C77" s="190">
        <v>45792.0</v>
      </c>
      <c r="E77" s="215" t="s">
        <v>1476</v>
      </c>
      <c r="F77" s="191"/>
      <c r="G77" s="191"/>
      <c r="H77" s="191"/>
      <c r="I77" s="191"/>
      <c r="J77" s="191"/>
    </row>
    <row r="78">
      <c r="A78" s="188" t="s">
        <v>431</v>
      </c>
      <c r="B78" s="196" t="s">
        <v>1379</v>
      </c>
      <c r="C78" s="190">
        <v>45792.0</v>
      </c>
      <c r="E78" s="213" t="s">
        <v>1478</v>
      </c>
      <c r="F78" s="191"/>
      <c r="G78" s="191"/>
      <c r="H78" s="191"/>
      <c r="I78" s="191"/>
      <c r="J78" s="191"/>
    </row>
    <row r="79">
      <c r="A79" s="188" t="s">
        <v>432</v>
      </c>
      <c r="B79" s="196" t="s">
        <v>1379</v>
      </c>
      <c r="C79" s="190">
        <v>45792.0</v>
      </c>
      <c r="E79" s="191" t="s">
        <v>1479</v>
      </c>
      <c r="F79" s="191"/>
      <c r="G79" s="191"/>
      <c r="H79" s="191"/>
      <c r="I79" s="191"/>
      <c r="J79" s="191"/>
    </row>
    <row r="80">
      <c r="A80" s="188" t="s">
        <v>433</v>
      </c>
      <c r="B80" s="196" t="s">
        <v>1379</v>
      </c>
      <c r="C80" s="190">
        <v>45792.0</v>
      </c>
      <c r="E80" s="213" t="s">
        <v>1480</v>
      </c>
      <c r="F80" s="191"/>
      <c r="G80" s="191"/>
      <c r="H80" s="191"/>
      <c r="I80" s="191"/>
      <c r="J80" s="191"/>
    </row>
    <row r="81">
      <c r="A81" s="188" t="s">
        <v>434</v>
      </c>
      <c r="B81" s="196" t="s">
        <v>1379</v>
      </c>
      <c r="C81" s="190">
        <v>45792.0</v>
      </c>
      <c r="E81" s="213" t="s">
        <v>1482</v>
      </c>
      <c r="F81" s="194"/>
      <c r="G81" s="194"/>
      <c r="H81" s="194"/>
      <c r="I81" s="194"/>
      <c r="J81" s="194"/>
    </row>
    <row r="82">
      <c r="A82" s="188" t="s">
        <v>435</v>
      </c>
      <c r="B82" s="196" t="s">
        <v>1379</v>
      </c>
      <c r="C82" s="190">
        <v>45792.0</v>
      </c>
      <c r="E82" s="191" t="s">
        <v>1483</v>
      </c>
      <c r="F82" s="191"/>
      <c r="G82" s="191"/>
      <c r="H82" s="191"/>
      <c r="I82" s="191"/>
      <c r="J82" s="191"/>
    </row>
    <row r="83">
      <c r="A83" s="188" t="s">
        <v>437</v>
      </c>
      <c r="B83" s="196" t="s">
        <v>1379</v>
      </c>
      <c r="C83" s="190">
        <v>45792.0</v>
      </c>
      <c r="J83" s="191"/>
    </row>
    <row r="84">
      <c r="A84" s="188" t="s">
        <v>439</v>
      </c>
      <c r="B84" s="196" t="s">
        <v>1379</v>
      </c>
      <c r="C84" s="190">
        <v>45792.0</v>
      </c>
      <c r="E84" s="191"/>
      <c r="F84" s="191"/>
      <c r="G84" s="191"/>
      <c r="H84" s="191"/>
      <c r="I84" s="191"/>
      <c r="J84" s="191"/>
    </row>
    <row r="85">
      <c r="A85" s="188" t="s">
        <v>440</v>
      </c>
      <c r="B85" s="196" t="s">
        <v>1379</v>
      </c>
      <c r="C85" s="190">
        <v>45792.0</v>
      </c>
      <c r="E85" s="191"/>
      <c r="F85" s="191"/>
      <c r="G85" s="191"/>
      <c r="H85" s="191"/>
      <c r="I85" s="191"/>
      <c r="J85" s="191"/>
    </row>
    <row r="86">
      <c r="A86" s="188" t="s">
        <v>441</v>
      </c>
      <c r="B86" s="196" t="s">
        <v>1379</v>
      </c>
      <c r="C86" s="190">
        <v>45792.0</v>
      </c>
      <c r="E86" s="191"/>
      <c r="F86" s="191"/>
      <c r="G86" s="191"/>
      <c r="H86" s="191"/>
      <c r="I86" s="191"/>
      <c r="J86" s="191"/>
    </row>
    <row r="87">
      <c r="A87" s="188" t="s">
        <v>442</v>
      </c>
      <c r="B87" s="196" t="s">
        <v>1406</v>
      </c>
      <c r="C87" s="190">
        <v>45792.0</v>
      </c>
      <c r="E87" s="191"/>
      <c r="F87" s="191"/>
      <c r="G87" s="191"/>
      <c r="H87" s="191"/>
      <c r="I87" s="191"/>
      <c r="J87" s="191"/>
    </row>
    <row r="88">
      <c r="A88" s="188" t="s">
        <v>444</v>
      </c>
      <c r="B88" s="196" t="s">
        <v>1379</v>
      </c>
      <c r="C88" s="190">
        <v>45792.0</v>
      </c>
      <c r="E88" s="191"/>
      <c r="F88" s="191"/>
      <c r="G88" s="191"/>
      <c r="H88" s="191"/>
      <c r="I88" s="191"/>
      <c r="J88" s="191"/>
    </row>
    <row r="89">
      <c r="A89" s="188" t="s">
        <v>445</v>
      </c>
      <c r="B89" s="196" t="s">
        <v>1406</v>
      </c>
      <c r="C89" s="190">
        <v>45792.0</v>
      </c>
      <c r="E89" s="191"/>
      <c r="F89" s="191"/>
      <c r="G89" s="191"/>
      <c r="H89" s="191"/>
      <c r="I89" s="191"/>
      <c r="J89" s="191"/>
    </row>
    <row r="90">
      <c r="A90" s="188" t="s">
        <v>446</v>
      </c>
      <c r="B90" s="196" t="s">
        <v>1439</v>
      </c>
      <c r="C90" s="190">
        <v>45792.0</v>
      </c>
      <c r="E90" s="191"/>
      <c r="F90" s="191"/>
      <c r="G90" s="191"/>
      <c r="H90" s="191"/>
      <c r="I90" s="191"/>
      <c r="J90" s="191"/>
    </row>
    <row r="91">
      <c r="A91" s="188" t="s">
        <v>447</v>
      </c>
      <c r="B91" s="196" t="s">
        <v>1379</v>
      </c>
      <c r="C91" s="190">
        <v>45792.0</v>
      </c>
      <c r="E91" s="191"/>
      <c r="F91" s="191"/>
      <c r="G91" s="191"/>
      <c r="H91" s="191"/>
      <c r="I91" s="191"/>
      <c r="J91" s="191"/>
    </row>
    <row r="92">
      <c r="A92" s="188" t="s">
        <v>448</v>
      </c>
      <c r="B92" s="196" t="s">
        <v>1379</v>
      </c>
      <c r="C92" s="190">
        <v>45792.0</v>
      </c>
      <c r="E92" s="191"/>
      <c r="F92" s="191"/>
      <c r="G92" s="191"/>
      <c r="H92" s="191"/>
      <c r="I92" s="191"/>
      <c r="J92" s="191"/>
    </row>
    <row r="93">
      <c r="A93" s="188" t="s">
        <v>449</v>
      </c>
      <c r="B93" s="196" t="s">
        <v>1379</v>
      </c>
      <c r="C93" s="190">
        <v>45792.0</v>
      </c>
      <c r="E93" s="191"/>
      <c r="F93" s="191"/>
      <c r="G93" s="191"/>
      <c r="H93" s="191"/>
      <c r="I93" s="191"/>
      <c r="J93" s="191"/>
    </row>
    <row r="94">
      <c r="A94" s="188" t="s">
        <v>450</v>
      </c>
      <c r="B94" s="196" t="s">
        <v>1379</v>
      </c>
      <c r="C94" s="190">
        <v>45792.0</v>
      </c>
      <c r="E94" s="191"/>
      <c r="F94" s="191"/>
      <c r="G94" s="191"/>
      <c r="H94" s="191"/>
      <c r="I94" s="191"/>
      <c r="J94" s="191"/>
    </row>
    <row r="95">
      <c r="A95" s="188" t="s">
        <v>451</v>
      </c>
      <c r="B95" s="196" t="s">
        <v>1406</v>
      </c>
      <c r="C95" s="190">
        <v>45792.0</v>
      </c>
      <c r="E95" s="191"/>
      <c r="F95" s="191"/>
      <c r="G95" s="191"/>
      <c r="H95" s="191"/>
      <c r="I95" s="191"/>
      <c r="J95" s="191"/>
    </row>
    <row r="96">
      <c r="A96" s="188" t="s">
        <v>452</v>
      </c>
      <c r="B96" s="196" t="s">
        <v>1406</v>
      </c>
      <c r="C96" s="190">
        <v>45792.0</v>
      </c>
      <c r="E96" s="191"/>
      <c r="F96" s="191"/>
      <c r="G96" s="191"/>
      <c r="H96" s="191"/>
      <c r="I96" s="191"/>
      <c r="J96" s="191"/>
    </row>
    <row r="97">
      <c r="A97" s="188" t="s">
        <v>453</v>
      </c>
      <c r="B97" s="196" t="s">
        <v>1412</v>
      </c>
      <c r="C97" s="190">
        <v>45792.0</v>
      </c>
      <c r="E97" s="191"/>
      <c r="F97" s="191"/>
      <c r="G97" s="191"/>
      <c r="H97" s="191"/>
      <c r="I97" s="191"/>
      <c r="J97" s="191"/>
    </row>
    <row r="98">
      <c r="A98" s="188" t="s">
        <v>454</v>
      </c>
      <c r="B98" s="196" t="s">
        <v>1379</v>
      </c>
      <c r="C98" s="190">
        <v>45792.0</v>
      </c>
      <c r="E98" s="191"/>
      <c r="F98" s="191"/>
      <c r="G98" s="191"/>
      <c r="H98" s="191"/>
      <c r="I98" s="191"/>
      <c r="J98" s="191"/>
    </row>
    <row r="99">
      <c r="A99" s="188" t="s">
        <v>455</v>
      </c>
      <c r="B99" s="196" t="s">
        <v>1439</v>
      </c>
      <c r="C99" s="190">
        <v>45792.0</v>
      </c>
      <c r="E99" s="191"/>
      <c r="F99" s="191"/>
      <c r="G99" s="191"/>
      <c r="H99" s="191"/>
      <c r="I99" s="191"/>
      <c r="J99" s="191"/>
    </row>
    <row r="100">
      <c r="A100" s="188" t="s">
        <v>456</v>
      </c>
      <c r="B100" s="196" t="s">
        <v>1379</v>
      </c>
      <c r="C100" s="190">
        <v>45792.0</v>
      </c>
      <c r="E100" s="191"/>
      <c r="F100" s="191"/>
      <c r="G100" s="191"/>
      <c r="H100" s="191"/>
      <c r="I100" s="191"/>
      <c r="J100" s="191"/>
    </row>
    <row r="101">
      <c r="A101" s="188" t="s">
        <v>457</v>
      </c>
      <c r="B101" s="196" t="s">
        <v>1406</v>
      </c>
      <c r="C101" s="190">
        <v>45792.0</v>
      </c>
      <c r="E101" s="191"/>
      <c r="F101" s="191"/>
      <c r="G101" s="191"/>
      <c r="H101" s="191"/>
      <c r="I101" s="191"/>
      <c r="J101" s="191"/>
    </row>
    <row r="102">
      <c r="A102" s="188" t="s">
        <v>458</v>
      </c>
      <c r="B102" s="196" t="s">
        <v>1406</v>
      </c>
      <c r="C102" s="190">
        <v>45792.0</v>
      </c>
      <c r="E102" s="191"/>
      <c r="F102" s="191"/>
      <c r="G102" s="191"/>
      <c r="H102" s="191"/>
      <c r="I102" s="191"/>
      <c r="J102" s="191"/>
    </row>
    <row r="103">
      <c r="A103" s="188" t="s">
        <v>459</v>
      </c>
      <c r="B103" s="196" t="s">
        <v>1412</v>
      </c>
      <c r="C103" s="190">
        <v>45792.0</v>
      </c>
      <c r="E103" s="191"/>
      <c r="F103" s="191"/>
      <c r="G103" s="191"/>
      <c r="H103" s="191"/>
      <c r="I103" s="191"/>
      <c r="J103" s="191"/>
    </row>
    <row r="104">
      <c r="A104" s="188" t="s">
        <v>460</v>
      </c>
      <c r="B104" s="196" t="s">
        <v>1379</v>
      </c>
      <c r="C104" s="190">
        <v>45792.0</v>
      </c>
      <c r="E104" s="191"/>
      <c r="F104" s="191"/>
      <c r="G104" s="191"/>
      <c r="H104" s="191"/>
      <c r="I104" s="191"/>
      <c r="J104" s="191"/>
    </row>
    <row r="105">
      <c r="A105" s="188" t="s">
        <v>461</v>
      </c>
      <c r="B105" s="196" t="s">
        <v>1406</v>
      </c>
      <c r="C105" s="190">
        <v>45792.0</v>
      </c>
      <c r="E105" s="191"/>
      <c r="F105" s="191"/>
      <c r="G105" s="191"/>
      <c r="H105" s="191"/>
      <c r="I105" s="191"/>
      <c r="J105" s="191"/>
    </row>
    <row r="106">
      <c r="A106" s="188" t="s">
        <v>462</v>
      </c>
      <c r="B106" s="196" t="s">
        <v>1379</v>
      </c>
      <c r="C106" s="190">
        <v>45792.0</v>
      </c>
      <c r="E106" s="191"/>
      <c r="F106" s="191"/>
      <c r="G106" s="191"/>
      <c r="H106" s="191"/>
      <c r="I106" s="191"/>
      <c r="J106" s="191"/>
    </row>
    <row r="107">
      <c r="A107" s="188" t="s">
        <v>463</v>
      </c>
      <c r="B107" s="196" t="s">
        <v>1412</v>
      </c>
      <c r="C107" s="190">
        <v>45792.0</v>
      </c>
      <c r="E107" s="191"/>
      <c r="F107" s="191"/>
      <c r="G107" s="191"/>
      <c r="H107" s="191"/>
      <c r="I107" s="191"/>
      <c r="J107" s="191"/>
    </row>
    <row r="108">
      <c r="A108" s="188" t="s">
        <v>464</v>
      </c>
      <c r="B108" s="196" t="s">
        <v>1379</v>
      </c>
      <c r="C108" s="190">
        <v>45792.0</v>
      </c>
      <c r="E108" s="191"/>
      <c r="F108" s="191"/>
      <c r="G108" s="191"/>
      <c r="H108" s="191"/>
      <c r="I108" s="191"/>
      <c r="J108" s="191"/>
    </row>
    <row r="109">
      <c r="A109" s="188" t="s">
        <v>1487</v>
      </c>
      <c r="B109" s="196" t="s">
        <v>1376</v>
      </c>
      <c r="C109" s="190">
        <v>45792.0</v>
      </c>
      <c r="J109" s="191"/>
    </row>
    <row r="110">
      <c r="A110" s="188" t="s">
        <v>466</v>
      </c>
      <c r="B110" s="196" t="s">
        <v>1376</v>
      </c>
      <c r="C110" s="190">
        <v>45792.0</v>
      </c>
      <c r="J110" s="191"/>
    </row>
    <row r="111">
      <c r="A111" s="188" t="s">
        <v>468</v>
      </c>
      <c r="B111" s="188" t="s">
        <v>1407</v>
      </c>
      <c r="C111" s="190">
        <v>45792.0</v>
      </c>
      <c r="J111" s="191"/>
    </row>
    <row r="112">
      <c r="A112" s="188" t="s">
        <v>475</v>
      </c>
      <c r="B112" s="17" t="s">
        <v>1374</v>
      </c>
      <c r="C112" s="190">
        <f>VLOOKUP(A112,'Master List'!A:E,5,)</f>
        <v>45778</v>
      </c>
      <c r="J112" s="191"/>
    </row>
    <row r="113">
      <c r="A113" s="188" t="s">
        <v>480</v>
      </c>
      <c r="B113" s="188" t="s">
        <v>1400</v>
      </c>
      <c r="C113" s="190">
        <f>VLOOKUP(A113,'Master List'!A:E,5,)</f>
        <v>45769</v>
      </c>
      <c r="E113" s="191"/>
      <c r="F113" s="191"/>
      <c r="G113" s="191"/>
      <c r="H113" s="191"/>
      <c r="I113" s="191"/>
      <c r="J113" s="191"/>
    </row>
    <row r="114">
      <c r="A114" s="188" t="s">
        <v>486</v>
      </c>
      <c r="B114" s="188" t="s">
        <v>1388</v>
      </c>
      <c r="C114" s="190">
        <f>VLOOKUP(A114,'Master List'!A:E,5,)</f>
        <v>45755</v>
      </c>
      <c r="E114" s="191"/>
      <c r="F114" s="191"/>
      <c r="G114" s="191"/>
      <c r="H114" s="191"/>
      <c r="I114" s="191"/>
      <c r="J114" s="191"/>
    </row>
    <row r="115">
      <c r="A115" s="188" t="s">
        <v>487</v>
      </c>
      <c r="B115" s="188" t="s">
        <v>1380</v>
      </c>
      <c r="C115" s="190">
        <f>VLOOKUP(A115,'Master List'!A:E,5,)</f>
        <v>45755</v>
      </c>
      <c r="E115" s="191"/>
      <c r="F115" s="191"/>
      <c r="G115" s="191"/>
      <c r="H115" s="191"/>
      <c r="I115" s="191"/>
      <c r="J115" s="191"/>
    </row>
    <row r="116">
      <c r="A116" s="188" t="s">
        <v>489</v>
      </c>
      <c r="B116" s="188" t="s">
        <v>1388</v>
      </c>
      <c r="C116" s="190">
        <f>VLOOKUP(A116,'Master List'!A:E,5,)</f>
        <v>45741</v>
      </c>
      <c r="E116" s="191"/>
      <c r="F116" s="191"/>
      <c r="G116" s="191"/>
      <c r="H116" s="191"/>
      <c r="I116" s="191"/>
      <c r="J116" s="191"/>
    </row>
    <row r="117">
      <c r="A117" s="188" t="s">
        <v>497</v>
      </c>
      <c r="B117" s="195" t="s">
        <v>1367</v>
      </c>
      <c r="C117" s="190">
        <f>VLOOKUP(A117,'Master List'!A:E,5,)</f>
        <v>45706</v>
      </c>
      <c r="E117" s="191"/>
      <c r="F117" s="191"/>
      <c r="G117" s="191"/>
      <c r="H117" s="191"/>
      <c r="I117" s="191"/>
      <c r="J117" s="191"/>
    </row>
    <row r="118">
      <c r="A118" s="188" t="s">
        <v>579</v>
      </c>
      <c r="B118" s="188" t="s">
        <v>1388</v>
      </c>
      <c r="C118" s="190">
        <f>VLOOKUP(A118,'Master List'!A:E,5,)</f>
        <v>45671</v>
      </c>
      <c r="E118" s="191"/>
      <c r="F118" s="191"/>
      <c r="G118" s="191"/>
      <c r="H118" s="191"/>
      <c r="I118" s="191"/>
      <c r="J118" s="191"/>
    </row>
    <row r="119">
      <c r="A119" s="188" t="s">
        <v>625</v>
      </c>
      <c r="B119" s="188" t="s">
        <v>1411</v>
      </c>
      <c r="C119" s="190">
        <f>VLOOKUP(A119,'Master List'!A:E,5,)</f>
        <v>45635</v>
      </c>
      <c r="E119" s="191"/>
      <c r="F119" s="191"/>
      <c r="G119" s="191"/>
      <c r="H119" s="191"/>
      <c r="I119" s="191"/>
      <c r="J119" s="191"/>
    </row>
    <row r="120">
      <c r="A120" s="188" t="s">
        <v>746</v>
      </c>
      <c r="B120" s="188" t="s">
        <v>1430</v>
      </c>
      <c r="C120" s="190">
        <f>VLOOKUP(A120,'Master List'!A:E,5,)</f>
        <v>45630</v>
      </c>
      <c r="E120" s="191"/>
      <c r="F120" s="191"/>
      <c r="G120" s="191"/>
      <c r="H120" s="191"/>
      <c r="I120" s="191"/>
      <c r="J120" s="191"/>
    </row>
    <row r="121">
      <c r="A121" s="188" t="s">
        <v>897</v>
      </c>
      <c r="B121" s="200" t="s">
        <v>1393</v>
      </c>
      <c r="C121" s="190">
        <f>VLOOKUP(A121,'Master List'!A:E,5,)</f>
        <v>45615</v>
      </c>
      <c r="E121" s="191"/>
      <c r="F121" s="191"/>
      <c r="G121" s="191"/>
      <c r="H121" s="191"/>
      <c r="I121" s="191"/>
      <c r="J121" s="191"/>
    </row>
    <row r="122">
      <c r="A122" s="188" t="s">
        <v>917</v>
      </c>
      <c r="B122" s="200" t="s">
        <v>1356</v>
      </c>
      <c r="C122" s="190">
        <f>VLOOKUP(A122,'Master List'!A:E,5,)</f>
        <v>45608</v>
      </c>
      <c r="E122" s="191"/>
      <c r="F122" s="191"/>
      <c r="G122" s="191"/>
      <c r="H122" s="191"/>
      <c r="I122" s="191"/>
      <c r="J122" s="191"/>
    </row>
    <row r="123">
      <c r="A123" s="188" t="s">
        <v>947</v>
      </c>
      <c r="B123" s="188" t="s">
        <v>1388</v>
      </c>
      <c r="C123" s="217">
        <f>VLOOKUP(A123,'Master List'!A:E,5,)</f>
        <v>45601</v>
      </c>
      <c r="E123" s="191"/>
      <c r="F123" s="191"/>
      <c r="G123" s="191"/>
      <c r="H123" s="191"/>
      <c r="I123" s="191"/>
      <c r="J123" s="191"/>
    </row>
    <row r="124">
      <c r="A124" s="188" t="s">
        <v>967</v>
      </c>
      <c r="B124" s="188" t="s">
        <v>1388</v>
      </c>
      <c r="C124" s="217">
        <f>VLOOKUP(A124,'Master List'!A:E,5,)</f>
        <v>45601</v>
      </c>
      <c r="E124" s="191"/>
      <c r="F124" s="191"/>
      <c r="G124" s="191"/>
      <c r="H124" s="191"/>
      <c r="I124" s="191"/>
      <c r="J124" s="191"/>
    </row>
    <row r="125">
      <c r="A125" s="188" t="s">
        <v>981</v>
      </c>
      <c r="B125" s="188" t="s">
        <v>1390</v>
      </c>
      <c r="C125" s="217">
        <f>VLOOKUP(A125,'Master List'!A:E,5,)</f>
        <v>45590</v>
      </c>
      <c r="E125" s="191"/>
      <c r="F125" s="191"/>
      <c r="G125" s="191"/>
      <c r="H125" s="191"/>
      <c r="I125" s="191"/>
      <c r="J125" s="191"/>
    </row>
    <row r="126">
      <c r="A126" s="188" t="s">
        <v>1078</v>
      </c>
      <c r="B126" s="188" t="s">
        <v>1388</v>
      </c>
      <c r="C126" s="190">
        <f>VLOOKUP(A126,'Master List'!A:E,5,)</f>
        <v>45552</v>
      </c>
      <c r="E126" s="191"/>
      <c r="F126" s="191"/>
      <c r="G126" s="191"/>
      <c r="H126" s="191"/>
      <c r="I126" s="191"/>
      <c r="J126" s="191"/>
    </row>
    <row r="127">
      <c r="A127" s="188" t="s">
        <v>1093</v>
      </c>
      <c r="B127" s="188" t="s">
        <v>1397</v>
      </c>
      <c r="C127" s="190">
        <f>VLOOKUP(A127,'Master List'!A:E,5,)</f>
        <v>45539</v>
      </c>
      <c r="E127" s="191"/>
      <c r="F127" s="191"/>
      <c r="G127" s="191"/>
      <c r="H127" s="191"/>
      <c r="I127" s="191"/>
      <c r="J127" s="191"/>
    </row>
    <row r="128">
      <c r="A128" s="188" t="s">
        <v>1102</v>
      </c>
      <c r="B128" s="188" t="s">
        <v>1407</v>
      </c>
      <c r="C128" s="190">
        <f>VLOOKUP(A128,'Master List'!A:E,5,)</f>
        <v>45512</v>
      </c>
      <c r="E128" s="191"/>
      <c r="F128" s="191"/>
      <c r="G128" s="191"/>
      <c r="H128" s="191"/>
      <c r="I128" s="191"/>
      <c r="J128" s="191"/>
    </row>
    <row r="129">
      <c r="A129" s="188" t="s">
        <v>1114</v>
      </c>
      <c r="B129" s="188" t="s">
        <v>1428</v>
      </c>
      <c r="C129" s="190">
        <f>VLOOKUP(A129,'Master List'!A:E,5,)</f>
        <v>45512</v>
      </c>
      <c r="E129" s="191"/>
      <c r="F129" s="191"/>
      <c r="G129" s="191"/>
      <c r="H129" s="191"/>
      <c r="I129" s="191"/>
      <c r="J129" s="191"/>
    </row>
    <row r="130">
      <c r="A130" s="188" t="s">
        <v>1119</v>
      </c>
      <c r="B130" s="188" t="s">
        <v>1365</v>
      </c>
      <c r="C130" s="217">
        <f>VLOOKUP(A130,'Master List'!A:E,5,)</f>
        <v>45497</v>
      </c>
      <c r="E130" s="191"/>
      <c r="F130" s="191"/>
      <c r="G130" s="191"/>
      <c r="H130" s="191"/>
      <c r="I130" s="191"/>
      <c r="J130" s="191"/>
    </row>
    <row r="131">
      <c r="A131" s="188" t="s">
        <v>1241</v>
      </c>
      <c r="B131" s="195" t="s">
        <v>1386</v>
      </c>
      <c r="C131" s="190">
        <f>VLOOKUP(A131,'Master List'!A:E,5,)</f>
        <v>45433</v>
      </c>
      <c r="E131" s="191"/>
      <c r="F131" s="191"/>
      <c r="G131" s="191"/>
      <c r="H131" s="191"/>
      <c r="I131" s="191"/>
      <c r="J131" s="191"/>
    </row>
    <row r="132">
      <c r="A132" s="188" t="s">
        <v>1481</v>
      </c>
      <c r="B132" s="188" t="s">
        <v>1369</v>
      </c>
      <c r="C132" s="190">
        <f>VLOOKUP(A132,'Master List'!A:E,5,)</f>
        <v>45209</v>
      </c>
      <c r="E132" s="191"/>
      <c r="F132" s="191"/>
      <c r="G132" s="191"/>
      <c r="H132" s="191"/>
      <c r="I132" s="191"/>
      <c r="J132" s="191"/>
    </row>
    <row r="133">
      <c r="A133" s="188" t="s">
        <v>1484</v>
      </c>
      <c r="B133" s="188" t="s">
        <v>1400</v>
      </c>
      <c r="C133" s="190">
        <f>VLOOKUP(A133,'Master List'!A:E,5,)</f>
        <v>45175</v>
      </c>
      <c r="E133" s="191"/>
      <c r="F133" s="191"/>
      <c r="G133" s="191"/>
      <c r="H133" s="191"/>
      <c r="I133" s="191"/>
      <c r="J133" s="191"/>
    </row>
    <row r="134">
      <c r="A134" s="188" t="s">
        <v>1492</v>
      </c>
      <c r="B134" s="188" t="s">
        <v>1370</v>
      </c>
      <c r="C134" s="190">
        <f>VLOOKUP(A134,'Master List'!A:E,5,)</f>
        <v>45125</v>
      </c>
      <c r="E134" s="191"/>
      <c r="F134" s="191"/>
      <c r="G134" s="191"/>
      <c r="H134" s="191"/>
      <c r="I134" s="191"/>
      <c r="J134" s="191"/>
    </row>
    <row r="135">
      <c r="A135" s="188" t="s">
        <v>1496</v>
      </c>
      <c r="B135" s="188" t="s">
        <v>1370</v>
      </c>
      <c r="C135" s="217">
        <f>VLOOKUP(A135,'Master List'!A:E,5,)</f>
        <v>45085</v>
      </c>
      <c r="E135" s="191"/>
      <c r="F135" s="191"/>
      <c r="G135" s="191"/>
      <c r="H135" s="191"/>
      <c r="I135" s="191"/>
      <c r="J135" s="191"/>
    </row>
    <row r="136">
      <c r="A136" s="188" t="s">
        <v>1500</v>
      </c>
      <c r="B136" s="188" t="s">
        <v>1370</v>
      </c>
      <c r="C136" s="217">
        <f>VLOOKUP(A136,'Master List'!A:E,5,)</f>
        <v>45071</v>
      </c>
      <c r="E136" s="191"/>
      <c r="F136" s="191"/>
      <c r="G136" s="191"/>
      <c r="H136" s="191"/>
      <c r="I136" s="191"/>
      <c r="J136" s="191"/>
    </row>
    <row r="137">
      <c r="A137" s="188" t="s">
        <v>1503</v>
      </c>
      <c r="B137" s="188" t="s">
        <v>1403</v>
      </c>
      <c r="C137" s="190">
        <f>VLOOKUP(A137,'Master List'!A:E,5,)</f>
        <v>45048</v>
      </c>
      <c r="E137" s="191"/>
      <c r="F137" s="191"/>
      <c r="G137" s="191"/>
      <c r="H137" s="191"/>
      <c r="I137" s="191"/>
      <c r="J137" s="191"/>
    </row>
    <row r="138">
      <c r="A138" s="188" t="s">
        <v>1505</v>
      </c>
      <c r="B138" s="188" t="s">
        <v>1359</v>
      </c>
      <c r="C138" s="190">
        <f>VLOOKUP(A138,'Master List'!A:E,5,)</f>
        <v>45034</v>
      </c>
      <c r="E138" s="191"/>
      <c r="F138" s="191"/>
      <c r="G138" s="191"/>
      <c r="H138" s="191"/>
      <c r="I138" s="191"/>
      <c r="J138" s="191"/>
    </row>
    <row r="139">
      <c r="A139" s="188" t="s">
        <v>1506</v>
      </c>
      <c r="B139" s="188" t="s">
        <v>1415</v>
      </c>
      <c r="C139" s="190">
        <f>VLOOKUP(A139,'Master List'!A:E,5,)</f>
        <v>45028</v>
      </c>
      <c r="E139" s="191"/>
      <c r="F139" s="191"/>
      <c r="G139" s="191"/>
      <c r="H139" s="191"/>
      <c r="I139" s="191"/>
      <c r="J139" s="191"/>
    </row>
    <row r="140">
      <c r="A140" s="188" t="s">
        <v>1508</v>
      </c>
      <c r="B140" s="188" t="s">
        <v>1364</v>
      </c>
      <c r="C140" s="190">
        <f>VLOOKUP(A140,'Master List'!A:E,5,)</f>
        <v>44953</v>
      </c>
      <c r="E140" s="191"/>
      <c r="F140" s="191"/>
      <c r="G140" s="191"/>
      <c r="H140" s="191"/>
      <c r="I140" s="191"/>
      <c r="J140" s="191"/>
    </row>
    <row r="141">
      <c r="A141" s="188" t="s">
        <v>1509</v>
      </c>
      <c r="B141" s="188" t="s">
        <v>1403</v>
      </c>
      <c r="C141" s="190">
        <f>VLOOKUP(A141,'Master List'!A:E,5,)</f>
        <v>44951</v>
      </c>
      <c r="E141" s="191"/>
      <c r="F141" s="191"/>
      <c r="G141" s="191"/>
      <c r="H141" s="191"/>
      <c r="I141" s="191"/>
      <c r="J141" s="191"/>
    </row>
    <row r="142">
      <c r="A142" s="188" t="s">
        <v>1511</v>
      </c>
      <c r="B142" s="195" t="s">
        <v>1367</v>
      </c>
      <c r="C142" s="190">
        <f>VLOOKUP(A142,'Master List'!A:E,5,)</f>
        <v>44880</v>
      </c>
    </row>
    <row r="143">
      <c r="A143" s="188" t="s">
        <v>1512</v>
      </c>
      <c r="B143" s="188" t="s">
        <v>1370</v>
      </c>
      <c r="C143" s="190">
        <f>VLOOKUP(A143,'Master List'!A:E,5,)</f>
        <v>44845</v>
      </c>
    </row>
    <row r="144">
      <c r="A144" s="188" t="s">
        <v>1515</v>
      </c>
      <c r="B144" s="188" t="s">
        <v>1403</v>
      </c>
      <c r="C144" s="190">
        <f>VLOOKUP(A144,'Master List'!A:E,5,)</f>
        <v>44824</v>
      </c>
    </row>
    <row r="145">
      <c r="A145" s="188" t="s">
        <v>1516</v>
      </c>
      <c r="B145" s="188" t="s">
        <v>1400</v>
      </c>
      <c r="C145" s="190">
        <f>VLOOKUP(A145,'Master List'!A:E,5,)</f>
        <v>44791</v>
      </c>
    </row>
    <row r="146">
      <c r="A146" s="188" t="s">
        <v>1389</v>
      </c>
      <c r="B146" s="188" t="s">
        <v>1388</v>
      </c>
      <c r="C146" s="217">
        <f>VLOOKUP(A146,'Master List'!A:E,5,)</f>
        <v>45379</v>
      </c>
    </row>
    <row r="147">
      <c r="A147" s="188" t="s">
        <v>1394</v>
      </c>
      <c r="B147" s="188" t="s">
        <v>1359</v>
      </c>
      <c r="C147" s="217">
        <f>VLOOKUP(A147,'Master List'!A:E,5,)</f>
        <v>45368</v>
      </c>
    </row>
    <row r="148">
      <c r="A148" s="188" t="s">
        <v>1518</v>
      </c>
      <c r="B148" s="188" t="s">
        <v>1407</v>
      </c>
      <c r="C148" s="190">
        <f>VLOOKUP(A148,'Master List'!A:E,5,)</f>
        <v>44791</v>
      </c>
    </row>
    <row r="149">
      <c r="A149" s="188" t="s">
        <v>1520</v>
      </c>
      <c r="B149" s="188" t="s">
        <v>1407</v>
      </c>
      <c r="C149" s="190">
        <f>VLOOKUP(A149,'Master List'!A:E,5,)</f>
        <v>44791</v>
      </c>
    </row>
    <row r="150">
      <c r="A150" s="188" t="s">
        <v>1521</v>
      </c>
      <c r="B150" s="188" t="s">
        <v>1407</v>
      </c>
      <c r="C150" s="190">
        <f>VLOOKUP(A150,'Master List'!A:E,5,)</f>
        <v>44791</v>
      </c>
    </row>
    <row r="151">
      <c r="A151" s="188" t="s">
        <v>1522</v>
      </c>
      <c r="B151" s="200" t="s">
        <v>1393</v>
      </c>
      <c r="C151" s="190">
        <f>VLOOKUP(A151,'Master List'!A:E,5,)</f>
        <v>44761</v>
      </c>
    </row>
    <row r="152">
      <c r="A152" s="188" t="s">
        <v>1523</v>
      </c>
      <c r="B152" s="188" t="s">
        <v>1380</v>
      </c>
      <c r="C152" s="190">
        <f>VLOOKUP(A152,'Master List'!A:E,5,)</f>
        <v>44595</v>
      </c>
    </row>
    <row r="153">
      <c r="A153" s="188" t="s">
        <v>1524</v>
      </c>
      <c r="B153" s="188" t="s">
        <v>1370</v>
      </c>
      <c r="C153" s="190">
        <f>VLOOKUP(A153,'Master List'!A:E,5,)</f>
        <v>44546</v>
      </c>
    </row>
    <row r="154">
      <c r="A154" s="188" t="s">
        <v>1525</v>
      </c>
      <c r="B154" s="188" t="s">
        <v>1363</v>
      </c>
      <c r="C154" s="190">
        <f>VLOOKUP(A154,'Master List'!A:E,5,)</f>
        <v>44538</v>
      </c>
    </row>
    <row r="155">
      <c r="A155" s="188" t="s">
        <v>1526</v>
      </c>
      <c r="B155" s="188" t="s">
        <v>1369</v>
      </c>
      <c r="C155" s="190">
        <f>VLOOKUP(A155,'Master List'!A:E,5,)</f>
        <v>44509</v>
      </c>
    </row>
    <row r="156">
      <c r="A156" s="188" t="s">
        <v>1528</v>
      </c>
      <c r="B156" s="191" t="s">
        <v>1397</v>
      </c>
      <c r="C156" s="190">
        <f>VLOOKUP(A156,'Master List'!A:E,5,)</f>
        <v>44497</v>
      </c>
    </row>
    <row r="157">
      <c r="A157" s="188" t="s">
        <v>1530</v>
      </c>
      <c r="B157" s="188" t="s">
        <v>1370</v>
      </c>
      <c r="C157" s="190">
        <f>VLOOKUP(A157,'Master List'!A:E,5,)</f>
        <v>44433</v>
      </c>
    </row>
    <row r="158">
      <c r="A158" s="188" t="s">
        <v>1531</v>
      </c>
      <c r="B158" s="188" t="s">
        <v>1407</v>
      </c>
      <c r="C158" s="190">
        <f>VLOOKUP(A158,'Master List'!A:E,5,)</f>
        <v>44427</v>
      </c>
    </row>
    <row r="159">
      <c r="A159" s="188" t="s">
        <v>1533</v>
      </c>
      <c r="B159" s="188" t="s">
        <v>1407</v>
      </c>
      <c r="C159" s="190">
        <f>VLOOKUP(A159,'Master List'!A:E,5,)</f>
        <v>44427</v>
      </c>
    </row>
    <row r="160">
      <c r="A160" s="188" t="s">
        <v>1535</v>
      </c>
      <c r="B160" s="188" t="s">
        <v>1407</v>
      </c>
      <c r="C160" s="190">
        <f>VLOOKUP(A160,'Master List'!A:E,5,)</f>
        <v>44427</v>
      </c>
    </row>
    <row r="161">
      <c r="A161" s="188" t="s">
        <v>1536</v>
      </c>
      <c r="B161" s="200" t="s">
        <v>1356</v>
      </c>
      <c r="C161" s="190">
        <f>VLOOKUP(A161,'Master List'!A:E,5,)</f>
        <v>44425</v>
      </c>
    </row>
    <row r="162">
      <c r="A162" s="188" t="s">
        <v>1537</v>
      </c>
      <c r="B162" s="200" t="s">
        <v>1356</v>
      </c>
      <c r="C162" s="190">
        <f>VLOOKUP(A162,'Master List'!A:E,5,)</f>
        <v>44403</v>
      </c>
    </row>
    <row r="163">
      <c r="A163" s="188" t="s">
        <v>1538</v>
      </c>
      <c r="B163" s="200" t="s">
        <v>1356</v>
      </c>
      <c r="C163" s="190">
        <f>VLOOKUP(A163,'Master List'!A:E,5,)</f>
        <v>44399</v>
      </c>
    </row>
    <row r="164">
      <c r="A164" s="188" t="s">
        <v>1539</v>
      </c>
      <c r="B164" s="188" t="s">
        <v>1403</v>
      </c>
      <c r="C164" s="190">
        <f>VLOOKUP(A164,'Master List'!A:E,5,)</f>
        <v>44360</v>
      </c>
    </row>
    <row r="165">
      <c r="A165" s="188" t="s">
        <v>1541</v>
      </c>
      <c r="B165" s="188" t="s">
        <v>1403</v>
      </c>
      <c r="C165" s="190">
        <f>VLOOKUP(A165,'Master List'!A:E,5,)</f>
        <v>44360</v>
      </c>
    </row>
    <row r="166">
      <c r="A166" s="188" t="s">
        <v>1542</v>
      </c>
      <c r="B166" s="191" t="s">
        <v>1408</v>
      </c>
      <c r="C166" s="190">
        <f>VLOOKUP(A166,'Master List'!A:E,5,)</f>
        <v>44360</v>
      </c>
    </row>
    <row r="167">
      <c r="A167" s="188" t="s">
        <v>1543</v>
      </c>
      <c r="B167" s="191" t="s">
        <v>1408</v>
      </c>
      <c r="C167" s="190">
        <f>VLOOKUP(A167,'Master List'!A:E,5,)</f>
        <v>44360</v>
      </c>
    </row>
    <row r="168">
      <c r="A168" s="188" t="s">
        <v>1544</v>
      </c>
      <c r="B168" s="191" t="s">
        <v>1408</v>
      </c>
      <c r="C168" s="190">
        <f>VLOOKUP(A168,'Master List'!A:E,5,)</f>
        <v>44360</v>
      </c>
    </row>
    <row r="169">
      <c r="A169" s="188" t="s">
        <v>1545</v>
      </c>
      <c r="B169" s="188" t="s">
        <v>1415</v>
      </c>
      <c r="C169" s="190">
        <f>VLOOKUP(A169,'Master List'!A:E,5,)</f>
        <v>44360</v>
      </c>
    </row>
    <row r="170">
      <c r="A170" s="188" t="s">
        <v>1547</v>
      </c>
      <c r="B170" s="191" t="s">
        <v>1370</v>
      </c>
      <c r="C170" s="190">
        <f>VLOOKUP(A170,'Master List'!A:E,5,)</f>
        <v>44329</v>
      </c>
    </row>
    <row r="171">
      <c r="A171" s="188" t="s">
        <v>1548</v>
      </c>
      <c r="B171" s="188" t="s">
        <v>1403</v>
      </c>
      <c r="C171" s="190">
        <f>VLOOKUP(A171,'Master List'!A:E,5,)</f>
        <v>44267</v>
      </c>
    </row>
    <row r="172">
      <c r="A172" s="188" t="s">
        <v>1549</v>
      </c>
      <c r="B172" s="188" t="s">
        <v>1407</v>
      </c>
      <c r="C172" s="190">
        <f>VLOOKUP(A172,'Master List'!A:E,5,)</f>
        <v>44267</v>
      </c>
    </row>
    <row r="173">
      <c r="A173" s="199" t="s">
        <v>1551</v>
      </c>
      <c r="B173" s="188" t="s">
        <v>1407</v>
      </c>
      <c r="C173" s="190">
        <f>VLOOKUP(A173,'Master List'!A:E,5,)</f>
        <v>44267</v>
      </c>
    </row>
    <row r="174">
      <c r="A174" s="199" t="s">
        <v>1553</v>
      </c>
      <c r="B174" s="188" t="s">
        <v>1407</v>
      </c>
      <c r="C174" s="190">
        <f>VLOOKUP(A174,'Master List'!A:E,5,)</f>
        <v>44267</v>
      </c>
    </row>
    <row r="175">
      <c r="A175" s="199" t="s">
        <v>1554</v>
      </c>
      <c r="B175" s="188" t="s">
        <v>1407</v>
      </c>
      <c r="C175" s="190">
        <f>VLOOKUP(A175,'Master List'!A:E,5,)</f>
        <v>44267</v>
      </c>
    </row>
    <row r="176">
      <c r="A176" s="220" t="s">
        <v>1556</v>
      </c>
      <c r="B176" s="188" t="s">
        <v>1415</v>
      </c>
      <c r="C176" s="190">
        <f>VLOOKUP(A176,'Master List'!A:E,5,)</f>
        <v>44267</v>
      </c>
    </row>
    <row r="177">
      <c r="A177" s="220" t="s">
        <v>1558</v>
      </c>
      <c r="B177" s="188" t="s">
        <v>1400</v>
      </c>
      <c r="C177" s="190">
        <f>VLOOKUP(A177,'Master List'!A:E,5,)</f>
        <v>44267</v>
      </c>
    </row>
    <row r="178">
      <c r="A178" s="188" t="s">
        <v>1559</v>
      </c>
      <c r="B178" s="188" t="s">
        <v>1411</v>
      </c>
      <c r="C178" s="190">
        <f>VLOOKUP(A178,'Master List'!A:E,5,)</f>
        <v>44267</v>
      </c>
    </row>
    <row r="179">
      <c r="A179" s="188" t="s">
        <v>1560</v>
      </c>
      <c r="B179" s="195" t="s">
        <v>1367</v>
      </c>
      <c r="C179" s="190">
        <f>VLOOKUP(A179,'Master List'!A:E,5,)</f>
        <v>44245</v>
      </c>
    </row>
    <row r="180">
      <c r="A180" s="188" t="s">
        <v>1561</v>
      </c>
      <c r="B180" s="188" t="s">
        <v>1400</v>
      </c>
      <c r="C180" s="190">
        <f>VLOOKUP(A180,'Master List'!A:E,5,)</f>
        <v>44180</v>
      </c>
    </row>
    <row r="181">
      <c r="A181" s="188" t="s">
        <v>1564</v>
      </c>
      <c r="B181" s="188" t="s">
        <v>1363</v>
      </c>
      <c r="C181" s="190">
        <f>VLOOKUP(A181,'Master List'!A:E,5,)</f>
        <v>44152</v>
      </c>
    </row>
    <row r="182">
      <c r="A182" s="220" t="s">
        <v>1565</v>
      </c>
      <c r="B182" s="188" t="s">
        <v>1370</v>
      </c>
      <c r="C182" s="190">
        <f>VLOOKUP(A182,'Master List'!A:E,5,)</f>
        <v>44140</v>
      </c>
    </row>
    <row r="183">
      <c r="A183" s="195" t="s">
        <v>1566</v>
      </c>
      <c r="B183" s="188" t="s">
        <v>1370</v>
      </c>
      <c r="C183" s="190">
        <f>VLOOKUP(A183,'Master List'!A:E,5,)</f>
        <v>44133</v>
      </c>
    </row>
    <row r="184">
      <c r="A184" s="195" t="s">
        <v>1568</v>
      </c>
      <c r="B184" s="188" t="s">
        <v>1370</v>
      </c>
      <c r="C184" s="190">
        <f>VLOOKUP(A184,'Master List'!A:E,5,)</f>
        <v>44133</v>
      </c>
    </row>
    <row r="185">
      <c r="A185" s="188" t="s">
        <v>1569</v>
      </c>
      <c r="B185" s="188" t="s">
        <v>1370</v>
      </c>
      <c r="C185" s="190">
        <f>VLOOKUP(A185,'Master List'!A:E,5,)</f>
        <v>44133</v>
      </c>
    </row>
    <row r="186">
      <c r="A186" s="188" t="s">
        <v>1571</v>
      </c>
      <c r="B186" s="191" t="s">
        <v>1397</v>
      </c>
      <c r="C186" s="190">
        <f>VLOOKUP(A186,'Master List'!A:E,5,)</f>
        <v>44119</v>
      </c>
    </row>
    <row r="187">
      <c r="A187" s="220" t="s">
        <v>1572</v>
      </c>
      <c r="B187" s="188" t="s">
        <v>1370</v>
      </c>
      <c r="C187" s="190">
        <f>VLOOKUP(A187,'Master List'!A:E,5,)</f>
        <v>44112</v>
      </c>
    </row>
    <row r="188">
      <c r="A188" s="188" t="s">
        <v>1574</v>
      </c>
      <c r="B188" s="188" t="s">
        <v>1361</v>
      </c>
      <c r="C188" s="190">
        <f>VLOOKUP(A188,'Master List'!A:E,5,)</f>
        <v>44112</v>
      </c>
    </row>
    <row r="189">
      <c r="A189" s="188" t="s">
        <v>1575</v>
      </c>
      <c r="B189" s="188" t="s">
        <v>1407</v>
      </c>
      <c r="C189" s="190">
        <f>VLOOKUP(A189,'Master List'!A:E,5,)</f>
        <v>44105</v>
      </c>
    </row>
    <row r="190">
      <c r="A190" s="220" t="s">
        <v>1577</v>
      </c>
      <c r="B190" s="188" t="s">
        <v>1363</v>
      </c>
      <c r="C190" s="190">
        <f>VLOOKUP(A190,'Master List'!A:E,5,)</f>
        <v>44096</v>
      </c>
    </row>
    <row r="191">
      <c r="A191" s="188" t="s">
        <v>1578</v>
      </c>
      <c r="B191" s="200" t="s">
        <v>1356</v>
      </c>
      <c r="C191" s="217">
        <f>VLOOKUP(A191,'Master List'!A:E,5,)</f>
        <v>44063</v>
      </c>
    </row>
    <row r="192">
      <c r="A192" s="195" t="s">
        <v>1579</v>
      </c>
      <c r="B192" s="188" t="s">
        <v>1384</v>
      </c>
      <c r="C192" s="217">
        <f>VLOOKUP(A192,'Master List'!A:E,5,)</f>
        <v>44071</v>
      </c>
    </row>
    <row r="193">
      <c r="A193" s="188" t="s">
        <v>1580</v>
      </c>
      <c r="B193" s="200" t="s">
        <v>1393</v>
      </c>
      <c r="C193" s="217">
        <f>VLOOKUP(A193,'Master List'!A:E,5,)</f>
        <v>44070</v>
      </c>
    </row>
    <row r="194">
      <c r="A194" s="188" t="s">
        <v>1582</v>
      </c>
      <c r="B194" s="188" t="s">
        <v>1364</v>
      </c>
      <c r="C194" s="217">
        <f>VLOOKUP(A194,'Master List'!A:E,5,)</f>
        <v>44063</v>
      </c>
    </row>
    <row r="195">
      <c r="A195" s="188" t="s">
        <v>1584</v>
      </c>
      <c r="B195" s="200" t="s">
        <v>1393</v>
      </c>
      <c r="C195" s="217">
        <f>VLOOKUP(A195,'Master List'!A:E,5,)</f>
        <v>44061</v>
      </c>
    </row>
    <row r="196">
      <c r="A196" s="188" t="s">
        <v>1585</v>
      </c>
      <c r="B196" s="195" t="s">
        <v>1367</v>
      </c>
      <c r="C196" s="217">
        <f>VLOOKUP(A196,'Master List'!A:E,5,)</f>
        <v>44040</v>
      </c>
    </row>
    <row r="197">
      <c r="A197" s="188" t="s">
        <v>1587</v>
      </c>
      <c r="B197" s="188" t="s">
        <v>1363</v>
      </c>
      <c r="C197" s="217">
        <f>VLOOKUP(A197,'Master List'!A:E,5,)</f>
        <v>44026</v>
      </c>
    </row>
    <row r="198">
      <c r="A198" s="188" t="s">
        <v>1589</v>
      </c>
      <c r="B198" s="188" t="s">
        <v>1400</v>
      </c>
      <c r="C198" s="217">
        <f>VLOOKUP(A198,'Master List'!A:E,5,)</f>
        <v>44021</v>
      </c>
    </row>
    <row r="199">
      <c r="A199" s="188" t="s">
        <v>1590</v>
      </c>
      <c r="B199" s="188" t="s">
        <v>1384</v>
      </c>
      <c r="C199" s="217">
        <f>VLOOKUP(A199,'Master List'!A:E,5,)</f>
        <v>44000</v>
      </c>
    </row>
    <row r="200">
      <c r="A200" s="188" t="s">
        <v>1591</v>
      </c>
      <c r="B200" s="188" t="s">
        <v>1359</v>
      </c>
      <c r="C200" s="217">
        <f>VLOOKUP(A200,'Master List'!A:E,5,)</f>
        <v>43977</v>
      </c>
    </row>
    <row r="201">
      <c r="A201" s="188" t="s">
        <v>1592</v>
      </c>
      <c r="B201" s="188" t="s">
        <v>1363</v>
      </c>
      <c r="C201" s="217">
        <f>VLOOKUP(A201,'Master List'!A:E,5,)</f>
        <v>43963</v>
      </c>
    </row>
    <row r="202">
      <c r="A202" s="195" t="s">
        <v>1594</v>
      </c>
      <c r="B202" s="188" t="s">
        <v>1355</v>
      </c>
      <c r="C202" s="217">
        <f>VLOOKUP(A202,'Master List'!A:E,5,)</f>
        <v>43949</v>
      </c>
    </row>
    <row r="203">
      <c r="A203" s="195" t="s">
        <v>1596</v>
      </c>
      <c r="B203" s="195" t="s">
        <v>1386</v>
      </c>
      <c r="C203" s="217">
        <f>VLOOKUP(A203,'Master List'!A:E,5,)</f>
        <v>43914</v>
      </c>
    </row>
    <row r="204">
      <c r="A204" s="195" t="s">
        <v>1597</v>
      </c>
      <c r="B204" s="200" t="s">
        <v>1393</v>
      </c>
      <c r="C204" s="217">
        <f>VLOOKUP(A204,'Master List'!A:E,5,)</f>
        <v>43901</v>
      </c>
    </row>
    <row r="205">
      <c r="A205" s="188" t="s">
        <v>1599</v>
      </c>
      <c r="B205" s="188" t="s">
        <v>1363</v>
      </c>
      <c r="C205" s="217">
        <f>VLOOKUP(A205,'Master List'!A:E,5,)</f>
        <v>43893</v>
      </c>
    </row>
    <row r="206">
      <c r="A206" s="195" t="s">
        <v>1600</v>
      </c>
      <c r="B206" s="188" t="s">
        <v>1384</v>
      </c>
      <c r="C206" s="217">
        <f>VLOOKUP(A206,'Master List'!A:E,5,)</f>
        <v>43886</v>
      </c>
    </row>
    <row r="207">
      <c r="A207" s="195" t="s">
        <v>1602</v>
      </c>
      <c r="B207" s="188" t="s">
        <v>1411</v>
      </c>
      <c r="C207" s="217">
        <f>VLOOKUP(A207,'Master List'!A:E,5,)</f>
        <v>43867</v>
      </c>
    </row>
    <row r="208">
      <c r="A208" s="188" t="s">
        <v>1603</v>
      </c>
      <c r="B208" s="195" t="s">
        <v>1367</v>
      </c>
      <c r="C208" s="217">
        <f>VLOOKUP(A208,'Master List'!A:E,5,)</f>
        <v>43818</v>
      </c>
    </row>
    <row r="209">
      <c r="A209" s="188" t="s">
        <v>1604</v>
      </c>
      <c r="B209" s="188" t="s">
        <v>1363</v>
      </c>
      <c r="C209" s="217">
        <f>VLOOKUP(A209,'Master List'!A:E,5,)</f>
        <v>43802</v>
      </c>
    </row>
    <row r="210">
      <c r="A210" s="195" t="s">
        <v>1606</v>
      </c>
      <c r="B210" s="191" t="s">
        <v>1397</v>
      </c>
      <c r="C210" s="217">
        <f>VLOOKUP(A210,'Master List'!A:E,5,)</f>
        <v>43783</v>
      </c>
    </row>
    <row r="211">
      <c r="A211" s="188" t="s">
        <v>1608</v>
      </c>
      <c r="B211" s="188" t="s">
        <v>1407</v>
      </c>
      <c r="C211" s="217">
        <f>VLOOKUP(A211,'Master List'!A:E,5,)</f>
        <v>43783</v>
      </c>
    </row>
    <row r="212">
      <c r="A212" s="195" t="s">
        <v>1609</v>
      </c>
      <c r="B212" s="195" t="s">
        <v>1367</v>
      </c>
      <c r="C212" s="217">
        <f>VLOOKUP(A212,'Master List'!A:E,5,)</f>
        <v>43763</v>
      </c>
    </row>
    <row r="213">
      <c r="A213" s="188" t="s">
        <v>1611</v>
      </c>
      <c r="B213" s="188" t="s">
        <v>1367</v>
      </c>
      <c r="C213" s="217">
        <f>VLOOKUP(A213,'Master List'!A:E,5,)</f>
        <v>43755</v>
      </c>
    </row>
    <row r="214">
      <c r="A214" s="188" t="s">
        <v>1612</v>
      </c>
      <c r="B214" s="188" t="s">
        <v>1403</v>
      </c>
      <c r="C214" s="217">
        <f>VLOOKUP(A214,'Master List'!A:E,5,)</f>
        <v>43741</v>
      </c>
    </row>
    <row r="215">
      <c r="A215" s="17" t="s">
        <v>1614</v>
      </c>
      <c r="B215" s="188" t="s">
        <v>1355</v>
      </c>
      <c r="C215" s="217">
        <f>VLOOKUP(A215,'Master List'!A:E,5,)</f>
        <v>43718</v>
      </c>
    </row>
    <row r="216">
      <c r="A216" s="188" t="s">
        <v>1615</v>
      </c>
      <c r="B216" s="188" t="s">
        <v>1384</v>
      </c>
      <c r="C216" s="217">
        <f>VLOOKUP(A216,'Master List'!A:E,5,)</f>
        <v>43704</v>
      </c>
    </row>
    <row r="217">
      <c r="A217" s="188" t="s">
        <v>1618</v>
      </c>
      <c r="B217" s="191" t="s">
        <v>1397</v>
      </c>
      <c r="C217" s="217">
        <f>VLOOKUP(A217,'Master List'!A:E,5,)</f>
        <v>43696</v>
      </c>
    </row>
    <row r="218">
      <c r="A218" s="188" t="s">
        <v>1620</v>
      </c>
      <c r="B218" s="188" t="s">
        <v>1384</v>
      </c>
      <c r="C218" s="217">
        <f>VLOOKUP(A218,'Master List'!A:E,5,)</f>
        <v>43690</v>
      </c>
    </row>
    <row r="219">
      <c r="A219" s="195" t="s">
        <v>1621</v>
      </c>
      <c r="B219" s="195" t="s">
        <v>1364</v>
      </c>
      <c r="C219" s="217">
        <f>VLOOKUP(A219,'Master List'!A:E,5,)</f>
        <v>43671</v>
      </c>
    </row>
    <row r="220">
      <c r="A220" s="195" t="s">
        <v>1622</v>
      </c>
      <c r="B220" s="195" t="s">
        <v>1364</v>
      </c>
      <c r="C220" s="217">
        <f>VLOOKUP(A220,'Master List'!A:E,5,)</f>
        <v>43671</v>
      </c>
    </row>
    <row r="221">
      <c r="A221" s="188" t="s">
        <v>1624</v>
      </c>
      <c r="B221" s="195" t="s">
        <v>1364</v>
      </c>
      <c r="C221" s="217">
        <f>VLOOKUP(A221,'Master List'!A:E,5,)</f>
        <v>43671</v>
      </c>
    </row>
    <row r="222">
      <c r="A222" s="195" t="s">
        <v>1625</v>
      </c>
      <c r="B222" s="195" t="s">
        <v>1364</v>
      </c>
      <c r="C222" s="217">
        <f>VLOOKUP(A222,'Master List'!A:E,5,)</f>
        <v>43636</v>
      </c>
    </row>
    <row r="223">
      <c r="A223" s="195" t="s">
        <v>1626</v>
      </c>
      <c r="B223" s="188" t="s">
        <v>1364</v>
      </c>
      <c r="C223" s="217">
        <f>VLOOKUP(A223,'Master List'!A:E,5,)</f>
        <v>43636</v>
      </c>
    </row>
    <row r="224">
      <c r="A224" s="195" t="s">
        <v>1628</v>
      </c>
      <c r="B224" s="188" t="s">
        <v>1363</v>
      </c>
      <c r="C224" s="217">
        <f>VLOOKUP(A224,'Master List'!A:E,5,)</f>
        <v>43625</v>
      </c>
    </row>
    <row r="225">
      <c r="A225" s="195" t="s">
        <v>1630</v>
      </c>
      <c r="B225" s="200" t="s">
        <v>1356</v>
      </c>
      <c r="C225" s="217">
        <f>VLOOKUP(A225,'Master List'!A:E,5,)</f>
        <v>43625</v>
      </c>
    </row>
    <row r="226">
      <c r="A226" s="199" t="s">
        <v>1631</v>
      </c>
      <c r="B226" s="188" t="s">
        <v>1411</v>
      </c>
      <c r="C226" s="217">
        <f>VLOOKUP(A226,'Master List'!A:E,5,)</f>
        <v>43587</v>
      </c>
    </row>
    <row r="227">
      <c r="A227" s="188" t="s">
        <v>1633</v>
      </c>
      <c r="B227" s="188" t="s">
        <v>1403</v>
      </c>
      <c r="C227" s="217">
        <f>VLOOKUP(A227,'Master List'!A:E,5,)</f>
        <v>43566</v>
      </c>
    </row>
    <row r="228">
      <c r="A228" s="195" t="s">
        <v>1634</v>
      </c>
      <c r="B228" s="188" t="s">
        <v>1359</v>
      </c>
      <c r="C228" s="217">
        <f>VLOOKUP(A228,'Master List'!A:E,5,)</f>
        <v>43559</v>
      </c>
    </row>
    <row r="229">
      <c r="A229" s="195" t="s">
        <v>1635</v>
      </c>
      <c r="B229" s="195" t="s">
        <v>1364</v>
      </c>
      <c r="C229" s="217">
        <f>VLOOKUP(A229,'Master List'!A:E,5,)</f>
        <v>43179</v>
      </c>
    </row>
    <row r="230">
      <c r="A230" s="188" t="s">
        <v>1636</v>
      </c>
      <c r="B230" s="188" t="s">
        <v>1400</v>
      </c>
      <c r="C230" s="217">
        <f>VLOOKUP(A230,'Master List'!A:E,5,)</f>
        <v>43538</v>
      </c>
    </row>
    <row r="231">
      <c r="A231" s="195" t="s">
        <v>1637</v>
      </c>
      <c r="B231" s="200" t="s">
        <v>1356</v>
      </c>
      <c r="C231" s="217">
        <f>VLOOKUP(A231,'Master List'!A:E,5,)</f>
        <v>43511</v>
      </c>
    </row>
    <row r="232">
      <c r="A232" s="195" t="s">
        <v>1443</v>
      </c>
      <c r="B232" s="195" t="s">
        <v>1380</v>
      </c>
      <c r="C232" s="217">
        <f>VLOOKUP(A232,'Master List'!A:E,5,)</f>
        <v>45302</v>
      </c>
    </row>
    <row r="233">
      <c r="A233" s="195" t="s">
        <v>1638</v>
      </c>
      <c r="B233" s="200" t="s">
        <v>1356</v>
      </c>
      <c r="C233" s="217">
        <f>VLOOKUP(A233,'Master List'!A:E,5,)</f>
        <v>43454</v>
      </c>
    </row>
    <row r="234">
      <c r="A234" s="188" t="s">
        <v>1639</v>
      </c>
      <c r="B234" s="195" t="s">
        <v>1386</v>
      </c>
      <c r="C234" s="217">
        <f>VLOOKUP(A234,'Master List'!A:E,5,)</f>
        <v>43451</v>
      </c>
    </row>
    <row r="235">
      <c r="A235" s="195" t="s">
        <v>1640</v>
      </c>
      <c r="B235" s="188" t="s">
        <v>1369</v>
      </c>
      <c r="C235" s="217">
        <f>VLOOKUP(A235,'Master List'!A:E,5,)</f>
        <v>43375</v>
      </c>
    </row>
    <row r="236">
      <c r="A236" s="188" t="s">
        <v>1641</v>
      </c>
      <c r="B236" s="188" t="s">
        <v>1411</v>
      </c>
      <c r="C236" s="217">
        <f>VLOOKUP(A236,'Master List'!A:E,5,)</f>
        <v>43374</v>
      </c>
    </row>
    <row r="237">
      <c r="A237" s="195" t="s">
        <v>1643</v>
      </c>
      <c r="B237" s="188" t="s">
        <v>1363</v>
      </c>
      <c r="C237" s="217">
        <f>VLOOKUP(A237,'Master List'!A:E,5,)</f>
        <v>43344</v>
      </c>
    </row>
    <row r="238">
      <c r="A238" s="195" t="s">
        <v>1645</v>
      </c>
      <c r="B238" s="200" t="s">
        <v>1356</v>
      </c>
      <c r="C238" s="217">
        <f>VLOOKUP(A238,'Master List'!A:E,5,)</f>
        <v>43344</v>
      </c>
    </row>
    <row r="239">
      <c r="A239" s="188" t="s">
        <v>1646</v>
      </c>
      <c r="B239" s="188" t="s">
        <v>1407</v>
      </c>
      <c r="C239" s="217">
        <f>VLOOKUP(A239,'Master List'!A:E,5,)</f>
        <v>43322</v>
      </c>
    </row>
    <row r="240">
      <c r="A240" s="188" t="s">
        <v>1647</v>
      </c>
      <c r="B240" s="188" t="s">
        <v>1407</v>
      </c>
      <c r="C240" s="217">
        <f>VLOOKUP(A240,'Master List'!A:E,5,)</f>
        <v>43313</v>
      </c>
    </row>
    <row r="241">
      <c r="A241" s="195" t="s">
        <v>1649</v>
      </c>
      <c r="B241" s="200" t="s">
        <v>1356</v>
      </c>
      <c r="C241" s="217">
        <f>VLOOKUP(A241,'Master List'!A:E,5,)</f>
        <v>43313</v>
      </c>
    </row>
    <row r="242">
      <c r="A242" s="188" t="s">
        <v>1650</v>
      </c>
      <c r="B242" s="188" t="s">
        <v>1400</v>
      </c>
      <c r="C242" s="217">
        <f>VLOOKUP(A242,'Master List'!A:E,5,)</f>
        <v>43282</v>
      </c>
    </row>
    <row r="243">
      <c r="A243" s="188" t="s">
        <v>1652</v>
      </c>
      <c r="B243" s="188" t="s">
        <v>1400</v>
      </c>
      <c r="C243" s="217">
        <f>VLOOKUP(A243,'Master List'!A:E,5,)</f>
        <v>43282</v>
      </c>
    </row>
    <row r="244">
      <c r="A244" s="188" t="s">
        <v>1653</v>
      </c>
      <c r="B244" s="188" t="s">
        <v>1401</v>
      </c>
      <c r="C244" s="217">
        <f>VLOOKUP(A244,'Master List'!A:E,5,)</f>
        <v>43261</v>
      </c>
    </row>
    <row r="245">
      <c r="A245" s="195" t="s">
        <v>1655</v>
      </c>
      <c r="B245" s="200" t="s">
        <v>1356</v>
      </c>
      <c r="C245" s="217">
        <f>VLOOKUP(A245,'Master List'!A:E,5,)</f>
        <v>43252</v>
      </c>
    </row>
    <row r="246">
      <c r="A246" s="188" t="s">
        <v>1656</v>
      </c>
      <c r="B246" s="200" t="s">
        <v>1356</v>
      </c>
      <c r="C246" s="217">
        <f>VLOOKUP(A246,'Master List'!A:E,5,)</f>
        <v>44682</v>
      </c>
    </row>
    <row r="247">
      <c r="A247" s="188" t="s">
        <v>1658</v>
      </c>
      <c r="B247" s="188" t="s">
        <v>1384</v>
      </c>
      <c r="C247" s="217">
        <f>VLOOKUP(A247,'Master List'!A:E,5,)</f>
        <v>43252</v>
      </c>
    </row>
    <row r="248">
      <c r="A248" s="195" t="s">
        <v>1659</v>
      </c>
      <c r="B248" s="188" t="s">
        <v>1392</v>
      </c>
      <c r="C248" s="217">
        <f>VLOOKUP(A248,'Master List'!A:E,5,)</f>
        <v>43242</v>
      </c>
    </row>
    <row r="249">
      <c r="A249" s="188" t="s">
        <v>1660</v>
      </c>
      <c r="B249" s="200" t="s">
        <v>1356</v>
      </c>
      <c r="C249" s="217">
        <f>VLOOKUP(A249,'Master List'!A:E,5,)</f>
        <v>43160</v>
      </c>
    </row>
    <row r="250">
      <c r="A250" s="195" t="s">
        <v>1661</v>
      </c>
      <c r="B250" s="188" t="s">
        <v>1366</v>
      </c>
      <c r="C250" s="217">
        <f>VLOOKUP(A250,'Master List'!A:E,5,)</f>
        <v>43132</v>
      </c>
    </row>
    <row r="251">
      <c r="A251" s="195" t="s">
        <v>1663</v>
      </c>
      <c r="B251" s="188" t="s">
        <v>1363</v>
      </c>
      <c r="C251" s="217">
        <f>VLOOKUP(A251,'Master List'!A:E,5,)</f>
        <v>43132</v>
      </c>
    </row>
    <row r="252">
      <c r="A252" s="195" t="s">
        <v>1664</v>
      </c>
      <c r="B252" s="200" t="s">
        <v>1356</v>
      </c>
      <c r="C252" s="217">
        <f>VLOOKUP(A252,'Master List'!A:E,5,)</f>
        <v>43101</v>
      </c>
    </row>
    <row r="253">
      <c r="A253" s="195" t="s">
        <v>1666</v>
      </c>
      <c r="B253" s="188" t="s">
        <v>1355</v>
      </c>
      <c r="C253" s="217">
        <f>VLOOKUP(A253,'Master List'!A:E,5,)</f>
        <v>43070</v>
      </c>
    </row>
    <row r="254">
      <c r="A254" s="195" t="s">
        <v>1667</v>
      </c>
      <c r="B254" s="188" t="s">
        <v>1363</v>
      </c>
      <c r="C254" s="217">
        <f>VLOOKUP(A254,'Master List'!A:E,5,)</f>
        <v>43040</v>
      </c>
    </row>
    <row r="255">
      <c r="A255" s="188" t="s">
        <v>1669</v>
      </c>
      <c r="B255" s="188" t="s">
        <v>1370</v>
      </c>
      <c r="C255" s="217">
        <f>VLOOKUP(A255,'Master List'!A:E,5,)</f>
        <v>43009</v>
      </c>
    </row>
    <row r="256">
      <c r="A256" s="195" t="s">
        <v>1671</v>
      </c>
      <c r="B256" s="188" t="s">
        <v>1392</v>
      </c>
      <c r="C256" s="217">
        <f>VLOOKUP(A256,'Master List'!A:E,5,)</f>
        <v>43009</v>
      </c>
    </row>
    <row r="257">
      <c r="A257" s="195" t="s">
        <v>1672</v>
      </c>
      <c r="B257" s="188" t="s">
        <v>1366</v>
      </c>
      <c r="C257" s="217">
        <f>VLOOKUP(A257,'Master List'!A:E,5,)</f>
        <v>42979</v>
      </c>
    </row>
    <row r="258">
      <c r="A258" s="188" t="s">
        <v>1673</v>
      </c>
      <c r="B258" s="200" t="s">
        <v>1356</v>
      </c>
      <c r="C258" s="217">
        <f>VLOOKUP(A258,'Master List'!A:E,5,)</f>
        <v>42976</v>
      </c>
    </row>
    <row r="259">
      <c r="A259" s="195" t="s">
        <v>1675</v>
      </c>
      <c r="B259" s="195" t="s">
        <v>1364</v>
      </c>
      <c r="C259" s="217">
        <f>VLOOKUP(A259,'Master List'!A:E,5,)</f>
        <v>42887</v>
      </c>
    </row>
    <row r="260">
      <c r="A260" s="195" t="s">
        <v>1677</v>
      </c>
      <c r="B260" s="195" t="s">
        <v>1364</v>
      </c>
      <c r="C260" s="217">
        <f>VLOOKUP(A260,'Master List'!A:E,5,)</f>
        <v>42887</v>
      </c>
    </row>
    <row r="261">
      <c r="A261" s="195" t="s">
        <v>1678</v>
      </c>
      <c r="B261" s="195" t="s">
        <v>1364</v>
      </c>
      <c r="C261" s="217">
        <f>VLOOKUP(A261,'Master List'!A:E,5,)</f>
        <v>42887</v>
      </c>
    </row>
    <row r="262">
      <c r="A262" s="195" t="s">
        <v>1679</v>
      </c>
      <c r="B262" s="188" t="s">
        <v>1366</v>
      </c>
      <c r="C262" s="217">
        <f>VLOOKUP(A262,'Master List'!A:E,5,)</f>
        <v>42887</v>
      </c>
    </row>
    <row r="263">
      <c r="A263" s="195" t="s">
        <v>1680</v>
      </c>
      <c r="B263" s="195" t="s">
        <v>1386</v>
      </c>
      <c r="C263" s="217">
        <f>VLOOKUP(A263,'Master List'!A:E,5,)</f>
        <v>42887</v>
      </c>
    </row>
    <row r="264">
      <c r="A264" s="195" t="s">
        <v>1681</v>
      </c>
      <c r="B264" s="188" t="s">
        <v>1355</v>
      </c>
      <c r="C264" s="217">
        <f>VLOOKUP(A264,'Master List'!A:E,5,)</f>
        <v>42887</v>
      </c>
    </row>
    <row r="265">
      <c r="A265" s="195" t="s">
        <v>1683</v>
      </c>
      <c r="B265" s="188" t="s">
        <v>1355</v>
      </c>
      <c r="C265" s="217">
        <f>VLOOKUP(A265,'Master List'!A:E,5,)</f>
        <v>42887</v>
      </c>
    </row>
    <row r="266">
      <c r="A266" s="195" t="s">
        <v>1684</v>
      </c>
      <c r="B266" s="188" t="s">
        <v>1355</v>
      </c>
      <c r="C266" s="217">
        <f>VLOOKUP(A266,'Master List'!A:E,5,)</f>
        <v>42887</v>
      </c>
    </row>
    <row r="267">
      <c r="A267" s="195" t="s">
        <v>1685</v>
      </c>
      <c r="B267" s="188" t="s">
        <v>1355</v>
      </c>
      <c r="C267" s="217">
        <f>VLOOKUP(A267,'Master List'!A:E,5,)</f>
        <v>42887</v>
      </c>
    </row>
    <row r="268">
      <c r="A268" s="195" t="s">
        <v>1687</v>
      </c>
      <c r="B268" s="188" t="s">
        <v>1355</v>
      </c>
      <c r="C268" s="217">
        <f>VLOOKUP(A268,'Master List'!A:E,5,)</f>
        <v>42887</v>
      </c>
    </row>
    <row r="269">
      <c r="A269" s="195" t="s">
        <v>1690</v>
      </c>
      <c r="B269" s="188" t="s">
        <v>1363</v>
      </c>
      <c r="C269" s="217">
        <f>VLOOKUP(A269,'Master List'!A:E,5,)</f>
        <v>42887</v>
      </c>
    </row>
    <row r="270">
      <c r="A270" s="195" t="s">
        <v>1692</v>
      </c>
      <c r="B270" s="188" t="s">
        <v>1363</v>
      </c>
      <c r="C270" s="217">
        <f>VLOOKUP(A270,'Master List'!A:E,5,)</f>
        <v>42887</v>
      </c>
    </row>
    <row r="271">
      <c r="A271" s="220" t="s">
        <v>1693</v>
      </c>
      <c r="B271" s="188" t="s">
        <v>1364</v>
      </c>
      <c r="C271" s="217">
        <f>VLOOKUP(A271,'Master List'!A:E,5,)</f>
        <v>42887</v>
      </c>
    </row>
    <row r="272">
      <c r="A272" s="195" t="s">
        <v>1694</v>
      </c>
      <c r="B272" s="188" t="s">
        <v>1695</v>
      </c>
      <c r="C272" s="217">
        <f>VLOOKUP(A272,'Master List'!A:E,5,)</f>
        <v>42887</v>
      </c>
    </row>
    <row r="273">
      <c r="A273" s="195" t="s">
        <v>1696</v>
      </c>
      <c r="B273" s="188" t="s">
        <v>1364</v>
      </c>
      <c r="C273" s="217">
        <f>VLOOKUP(A273,'Master List'!A:E,5,)</f>
        <v>42887</v>
      </c>
    </row>
    <row r="274">
      <c r="A274" s="195" t="s">
        <v>1698</v>
      </c>
      <c r="B274" s="188" t="s">
        <v>1375</v>
      </c>
      <c r="C274" s="217">
        <f>VLOOKUP(A274,'Master List'!A:E,5,)</f>
        <v>42887</v>
      </c>
    </row>
    <row r="275">
      <c r="A275" s="195" t="s">
        <v>1700</v>
      </c>
      <c r="B275" s="195" t="s">
        <v>1364</v>
      </c>
      <c r="C275" s="217">
        <f>VLOOKUP(A275,'Master List'!A:E,5,)</f>
        <v>42887</v>
      </c>
    </row>
    <row r="276">
      <c r="A276" s="195" t="s">
        <v>1701</v>
      </c>
      <c r="B276" s="200" t="s">
        <v>1356</v>
      </c>
      <c r="C276" s="217">
        <f>VLOOKUP(A276,'Master List'!A:E,5,)</f>
        <v>42887</v>
      </c>
    </row>
    <row r="277">
      <c r="A277" s="188" t="s">
        <v>1703</v>
      </c>
      <c r="B277" s="200" t="s">
        <v>1356</v>
      </c>
      <c r="C277" s="217">
        <f>VLOOKUP(A277,'Master List'!A:E,5,)</f>
        <v>42887</v>
      </c>
    </row>
    <row r="278">
      <c r="A278" s="195" t="s">
        <v>1704</v>
      </c>
      <c r="B278" s="195" t="s">
        <v>1364</v>
      </c>
      <c r="C278" s="217">
        <f>VLOOKUP(A278,'Master List'!A:E,5,)</f>
        <v>42887</v>
      </c>
    </row>
    <row r="279">
      <c r="A279" s="195" t="s">
        <v>1705</v>
      </c>
      <c r="B279" s="195" t="s">
        <v>1364</v>
      </c>
      <c r="C279" s="217">
        <f>VLOOKUP(A279,'Master List'!A:E,5,)</f>
        <v>42887</v>
      </c>
    </row>
  </sheetData>
  <autoFilter ref="$A$1:$J$276"/>
  <conditionalFormatting sqref="A1:J1">
    <cfRule type="expression" dxfId="7" priority="1">
      <formula>$K1="Removed"</formula>
    </cfRule>
  </conditionalFormatting>
  <hyperlinks>
    <hyperlink r:id="rId1" ref="E63"/>
    <hyperlink r:id="rId2" ref="E64"/>
    <hyperlink r:id="rId3" ref="E65"/>
    <hyperlink r:id="rId4" ref="E66"/>
    <hyperlink r:id="rId5" ref="E68"/>
    <hyperlink r:id="rId6" ref="E69"/>
    <hyperlink r:id="rId7" ref="E70"/>
    <hyperlink r:id="rId8" ref="E72"/>
    <hyperlink r:id="rId9" ref="E73"/>
    <hyperlink r:id="rId10" ref="E74"/>
    <hyperlink r:id="rId11" ref="E75"/>
    <hyperlink r:id="rId12" location="Windows_version" ref="E76"/>
    <hyperlink r:id="rId13" ref="E77"/>
    <hyperlink r:id="rId14" ref="E78"/>
    <hyperlink r:id="rId15" ref="E80"/>
    <hyperlink r:id="rId16" ref="E81"/>
  </hyperlinks>
  <drawing r:id="rId1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2"/>
  <cols>
    <col customWidth="1" min="1" max="1" width="48.75"/>
    <col customWidth="1" min="2" max="2" width="9.38"/>
    <col customWidth="1" min="3" max="3" width="12.13"/>
    <col customWidth="1" min="4" max="4" width="11.25"/>
    <col customWidth="1" min="5" max="5" width="11.5"/>
    <col customWidth="1" min="6" max="6" width="17.38"/>
    <col customWidth="1" min="7" max="7" width="9.63"/>
    <col customWidth="1" min="8" max="8" width="11.5"/>
    <col customWidth="1" min="9" max="9" width="7.75"/>
    <col customWidth="1" min="10" max="10" width="11.88"/>
    <col customWidth="1" min="11" max="11" width="12.63"/>
    <col customWidth="1" min="12" max="12" width="42.25"/>
    <col customWidth="1" min="13" max="14" width="16.25"/>
  </cols>
  <sheetData>
    <row r="1">
      <c r="A1" s="2" t="s">
        <v>1709</v>
      </c>
      <c r="B1" s="6">
        <f>COUNTA(A3:A926)</f>
        <v>62</v>
      </c>
      <c r="C1" s="2"/>
      <c r="D1" s="2"/>
      <c r="E1" s="2"/>
      <c r="F1" s="2"/>
      <c r="G1" s="2"/>
      <c r="H1" s="2"/>
      <c r="I1" s="2"/>
      <c r="J1" s="2"/>
      <c r="K1" s="2"/>
      <c r="L1" s="2"/>
      <c r="M1" s="2"/>
      <c r="N1" s="2"/>
    </row>
    <row r="2">
      <c r="A2" s="1" t="s">
        <v>0</v>
      </c>
      <c r="B2" s="8" t="s">
        <v>2</v>
      </c>
      <c r="C2" s="9" t="s">
        <v>3</v>
      </c>
      <c r="D2" s="8" t="s">
        <v>4</v>
      </c>
      <c r="E2" s="8" t="s">
        <v>5</v>
      </c>
      <c r="F2" s="9" t="s">
        <v>6</v>
      </c>
      <c r="G2" s="11" t="s">
        <v>7</v>
      </c>
      <c r="H2" s="7" t="s">
        <v>8</v>
      </c>
      <c r="I2" s="7" t="s">
        <v>9</v>
      </c>
      <c r="J2" s="7" t="s">
        <v>10</v>
      </c>
      <c r="K2" s="7" t="s">
        <v>11</v>
      </c>
      <c r="L2" s="7" t="s">
        <v>12</v>
      </c>
      <c r="M2" s="7" t="s">
        <v>26</v>
      </c>
      <c r="N2" s="43" t="s">
        <v>27</v>
      </c>
    </row>
    <row r="3">
      <c r="A3" s="17" t="str">
        <f>IFERROR(__xludf.DUMMYFUNCTION("SORT(FILTER('Master List'!A2:N926, REGEXMATCH('Master List'!N2:N926, ""Returning title:"") ), 5, false)"),"Persona 5 Royal")</f>
        <v>Persona 5 Royal</v>
      </c>
      <c r="B3" s="20" t="str">
        <f>IFERROR(__xludf.DUMMYFUNCTION("""COMPUTED_VALUE"""),"Xbox / PC")</f>
        <v>Xbox / PC</v>
      </c>
      <c r="C3" s="21" t="str">
        <f>IFERROR(__xludf.DUMMYFUNCTION("""COMPUTED_VALUE"""),"Touch Controls")</f>
        <v>Touch Controls</v>
      </c>
      <c r="D3" s="21" t="str">
        <f>IFERROR(__xludf.DUMMYFUNCTION("""COMPUTED_VALUE"""),"Active")</f>
        <v>Active</v>
      </c>
      <c r="E3" s="23">
        <f>IFERROR(__xludf.DUMMYFUNCTION("""COMPUTED_VALUE"""),46182.0)</f>
        <v>46182</v>
      </c>
      <c r="F3" s="24"/>
      <c r="G3" s="27">
        <f>IFERROR(__xludf.DUMMYFUNCTION("""COMPUTED_VALUE"""),3.9000000000000004)</f>
        <v>3.9</v>
      </c>
      <c r="H3" s="23">
        <f>IFERROR(__xludf.DUMMYFUNCTION("""COMPUTED_VALUE"""),43921.0)</f>
        <v>43921</v>
      </c>
      <c r="I3" s="27">
        <f>IFERROR(__xludf.DUMMYFUNCTION("""COMPUTED_VALUE"""),6.191666666666666)</f>
        <v>6.191666667</v>
      </c>
      <c r="J3" s="29">
        <f>IFERROR(__xludf.DUMMYFUNCTION("""COMPUTED_VALUE"""),95.0)</f>
        <v>95</v>
      </c>
      <c r="K3" s="29">
        <f>IFERROR(__xludf.DUMMYFUNCTION("""COMPUTED_VALUE"""),101.0)</f>
        <v>101</v>
      </c>
      <c r="L3" s="31" t="str">
        <f>IFERROR(__xludf.DUMMYFUNCTION("""COMPUTED_VALUE"""),"RPG")</f>
        <v>RPG</v>
      </c>
      <c r="M3" s="31"/>
      <c r="N3" s="31" t="str">
        <f>IFERROR(__xludf.DUMMYFUNCTION("""COMPUTED_VALUE"""),"Returning title: Added 10/21/22, left 10/31/23")</f>
        <v>Returning title: Added 10/21/22, left 10/31/23</v>
      </c>
    </row>
    <row r="4">
      <c r="A4" s="17" t="str">
        <f>IFERROR(__xludf.DUMMYFUNCTION("""COMPUTED_VALUE"""),"Wo Long: Fallen Dynasty")</f>
        <v>Wo Long: Fallen Dynasty</v>
      </c>
      <c r="B4" s="20" t="str">
        <f>IFERROR(__xludf.DUMMYFUNCTION("""COMPUTED_VALUE"""),"Xbox / PC")</f>
        <v>Xbox / PC</v>
      </c>
      <c r="C4" s="21" t="str">
        <f>IFERROR(__xludf.DUMMYFUNCTION("""COMPUTED_VALUE"""),"Yes")</f>
        <v>Yes</v>
      </c>
      <c r="D4" s="21" t="str">
        <f>IFERROR(__xludf.DUMMYFUNCTION("""COMPUTED_VALUE"""),"Active")</f>
        <v>Active</v>
      </c>
      <c r="E4" s="23">
        <f>IFERROR(__xludf.DUMMYFUNCTION("""COMPUTED_VALUE"""),46180.0)</f>
        <v>46180</v>
      </c>
      <c r="F4" s="24"/>
      <c r="G4" s="27">
        <f>IFERROR(__xludf.DUMMYFUNCTION("""COMPUTED_VALUE"""),3.966666666666667)</f>
        <v>3.966666667</v>
      </c>
      <c r="H4" s="23">
        <f>IFERROR(__xludf.DUMMYFUNCTION("""COMPUTED_VALUE"""),44988.0)</f>
        <v>44988</v>
      </c>
      <c r="I4" s="27">
        <f>IFERROR(__xludf.DUMMYFUNCTION("""COMPUTED_VALUE"""),3.261111111111111)</f>
        <v>3.261111111</v>
      </c>
      <c r="J4" s="29">
        <f>IFERROR(__xludf.DUMMYFUNCTION("""COMPUTED_VALUE"""),80.0)</f>
        <v>80</v>
      </c>
      <c r="K4" s="29">
        <f>IFERROR(__xludf.DUMMYFUNCTION("""COMPUTED_VALUE"""),29.0)</f>
        <v>29</v>
      </c>
      <c r="L4" s="31" t="str">
        <f>IFERROR(__xludf.DUMMYFUNCTION("""COMPUTED_VALUE"""),"Action")</f>
        <v>Action</v>
      </c>
      <c r="M4" s="31"/>
      <c r="N4" s="31" t="str">
        <f>IFERROR(__xludf.DUMMYFUNCTION("""COMPUTED_VALUE"""),"Returning title: Added 3/3/23, left 2/28/25")</f>
        <v>Returning title: Added 3/3/23, left 2/28/25</v>
      </c>
    </row>
    <row r="5">
      <c r="A5" s="17" t="str">
        <f>IFERROR(__xludf.DUMMYFUNCTION("""COMPUTED_VALUE"""),"My Friend Peppa Pig")</f>
        <v>My Friend Peppa Pig</v>
      </c>
      <c r="B5" s="20" t="str">
        <f>IFERROR(__xludf.DUMMYFUNCTION("""COMPUTED_VALUE"""),"Xbox / PC")</f>
        <v>Xbox / PC</v>
      </c>
      <c r="C5" s="21" t="str">
        <f>IFERROR(__xludf.DUMMYFUNCTION("""COMPUTED_VALUE"""),"Touch Controls")</f>
        <v>Touch Controls</v>
      </c>
      <c r="D5" s="21" t="str">
        <f>IFERROR(__xludf.DUMMYFUNCTION("""COMPUTED_VALUE"""),"Active")</f>
        <v>Active</v>
      </c>
      <c r="E5" s="23">
        <f>IFERROR(__xludf.DUMMYFUNCTION("""COMPUTED_VALUE"""),46162.0)</f>
        <v>46162</v>
      </c>
      <c r="F5" s="24"/>
      <c r="G5" s="27">
        <f>IFERROR(__xludf.DUMMYFUNCTION("""COMPUTED_VALUE"""),4.533333333333333)</f>
        <v>4.533333333</v>
      </c>
      <c r="H5" s="23">
        <f>IFERROR(__xludf.DUMMYFUNCTION("""COMPUTED_VALUE"""),44491.0)</f>
        <v>44491</v>
      </c>
      <c r="I5" s="27">
        <f>IFERROR(__xludf.DUMMYFUNCTION("""COMPUTED_VALUE"""),4.5777777777777775)</f>
        <v>4.577777778</v>
      </c>
      <c r="J5" s="29">
        <f>IFERROR(__xludf.DUMMYFUNCTION("""COMPUTED_VALUE"""),67.0)</f>
        <v>67</v>
      </c>
      <c r="K5" s="29">
        <f>IFERROR(__xludf.DUMMYFUNCTION("""COMPUTED_VALUE"""),3.0)</f>
        <v>3</v>
      </c>
      <c r="L5" s="31" t="str">
        <f>IFERROR(__xludf.DUMMYFUNCTION("""COMPUTED_VALUE"""),"Action-Adventure")</f>
        <v>Action-Adventure</v>
      </c>
      <c r="M5" s="31"/>
      <c r="N5" s="31" t="str">
        <f>IFERROR(__xludf.DUMMYFUNCTION("""COMPUTED_VALUE"""),"Returning title: joined 7/14/22, left 6/30/25")</f>
        <v>Returning title: joined 7/14/22, left 6/30/25</v>
      </c>
    </row>
    <row r="6">
      <c r="A6" s="17" t="str">
        <f>IFERROR(__xludf.DUMMYFUNCTION("""COMPUTED_VALUE"""),"Elite Dangerous")</f>
        <v>Elite Dangerous</v>
      </c>
      <c r="B6" s="20" t="str">
        <f>IFERROR(__xludf.DUMMYFUNCTION("""COMPUTED_VALUE"""),"Xbox")</f>
        <v>Xbox</v>
      </c>
      <c r="C6" s="21" t="str">
        <f>IFERROR(__xludf.DUMMYFUNCTION("""COMPUTED_VALUE"""),"Yes")</f>
        <v>Yes</v>
      </c>
      <c r="D6" s="21" t="str">
        <f>IFERROR(__xludf.DUMMYFUNCTION("""COMPUTED_VALUE"""),"Active")</f>
        <v>Active</v>
      </c>
      <c r="E6" s="23">
        <f>IFERROR(__xludf.DUMMYFUNCTION("""COMPUTED_VALUE"""),46154.0)</f>
        <v>46154</v>
      </c>
      <c r="F6" s="24"/>
      <c r="G6" s="27">
        <f>IFERROR(__xludf.DUMMYFUNCTION("""COMPUTED_VALUE"""),4.800000000000001)</f>
        <v>4.8</v>
      </c>
      <c r="H6" s="23">
        <f>IFERROR(__xludf.DUMMYFUNCTION("""COMPUTED_VALUE"""),41989.0)</f>
        <v>41989</v>
      </c>
      <c r="I6" s="27">
        <f>IFERROR(__xludf.DUMMYFUNCTION("""COMPUTED_VALUE"""),11.405555555555555)</f>
        <v>11.40555556</v>
      </c>
      <c r="J6" s="29">
        <f>IFERROR(__xludf.DUMMYFUNCTION("""COMPUTED_VALUE"""),80.0)</f>
        <v>80</v>
      </c>
      <c r="K6" s="29">
        <f>IFERROR(__xludf.DUMMYFUNCTION("""COMPUTED_VALUE"""),113.0)</f>
        <v>113</v>
      </c>
      <c r="L6" s="31" t="str">
        <f>IFERROR(__xludf.DUMMYFUNCTION("""COMPUTED_VALUE"""),"Space Simulation")</f>
        <v>Space Simulation</v>
      </c>
      <c r="M6" s="31"/>
      <c r="N6" s="31" t="str">
        <f>IFERROR(__xludf.DUMMYFUNCTION("""COMPUTED_VALUE"""),"Returning title: Joined 2/25/21, left 8/31/22")</f>
        <v>Returning title: Joined 2/25/21, left 8/31/22</v>
      </c>
    </row>
    <row r="7">
      <c r="A7" s="17" t="str">
        <f>IFERROR(__xludf.DUMMYFUNCTION("""COMPUTED_VALUE"""),"Ben 10: Power Trip")</f>
        <v>Ben 10: Power Trip</v>
      </c>
      <c r="B7" s="20" t="str">
        <f>IFERROR(__xludf.DUMMYFUNCTION("""COMPUTED_VALUE"""),"Xbox / PC")</f>
        <v>Xbox / PC</v>
      </c>
      <c r="C7" s="21" t="str">
        <f>IFERROR(__xludf.DUMMYFUNCTION("""COMPUTED_VALUE"""),"Touch Controls")</f>
        <v>Touch Controls</v>
      </c>
      <c r="D7" s="21" t="str">
        <f>IFERROR(__xludf.DUMMYFUNCTION("""COMPUTED_VALUE"""),"Active")</f>
        <v>Active</v>
      </c>
      <c r="E7" s="23">
        <f>IFERROR(__xludf.DUMMYFUNCTION("""COMPUTED_VALUE"""),46148.0)</f>
        <v>46148</v>
      </c>
      <c r="F7" s="24"/>
      <c r="G7" s="27">
        <f>IFERROR(__xludf.DUMMYFUNCTION("""COMPUTED_VALUE"""),5.0)</f>
        <v>5</v>
      </c>
      <c r="H7" s="23">
        <f>IFERROR(__xludf.DUMMYFUNCTION("""COMPUTED_VALUE"""),44113.0)</f>
        <v>44113</v>
      </c>
      <c r="I7" s="27">
        <f>IFERROR(__xludf.DUMMYFUNCTION("""COMPUTED_VALUE"""),5.575)</f>
        <v>5.575</v>
      </c>
      <c r="J7" s="29">
        <f>IFERROR(__xludf.DUMMYFUNCTION("""COMPUTED_VALUE"""),70.0)</f>
        <v>70</v>
      </c>
      <c r="K7" s="29">
        <f>IFERROR(__xludf.DUMMYFUNCTION("""COMPUTED_VALUE"""),5.0)</f>
        <v>5</v>
      </c>
      <c r="L7" s="31" t="str">
        <f>IFERROR(__xludf.DUMMYFUNCTION("""COMPUTED_VALUE"""),"Action-Adventure")</f>
        <v>Action-Adventure</v>
      </c>
      <c r="M7" s="31"/>
      <c r="N7" s="31" t="str">
        <f>IFERROR(__xludf.DUMMYFUNCTION("""COMPUTED_VALUE"""),"Returning title: Originally joined 12/16/21, left 8/31/25")</f>
        <v>Returning title: Originally joined 12/16/21, left 8/31/25</v>
      </c>
    </row>
    <row r="8">
      <c r="A8" s="17" t="str">
        <f>IFERROR(__xludf.DUMMYFUNCTION("""COMPUTED_VALUE"""),"Resident Evil 7: Biohazard")</f>
        <v>Resident Evil 7: Biohazard</v>
      </c>
      <c r="B8" s="20" t="str">
        <f>IFERROR(__xludf.DUMMYFUNCTION("""COMPUTED_VALUE"""),"Xbox / PC")</f>
        <v>Xbox / PC</v>
      </c>
      <c r="C8" s="21" t="str">
        <f>IFERROR(__xludf.DUMMYFUNCTION("""COMPUTED_VALUE"""),"Yes")</f>
        <v>Yes</v>
      </c>
      <c r="D8" s="21" t="str">
        <f>IFERROR(__xludf.DUMMYFUNCTION("""COMPUTED_VALUE"""),"Active")</f>
        <v>Active</v>
      </c>
      <c r="E8" s="23">
        <f>IFERROR(__xludf.DUMMYFUNCTION("""COMPUTED_VALUE"""),46112.0)</f>
        <v>46112</v>
      </c>
      <c r="F8" s="24"/>
      <c r="G8" s="27">
        <f>IFERROR(__xludf.DUMMYFUNCTION("""COMPUTED_VALUE"""),6.200000000000001)</f>
        <v>6.2</v>
      </c>
      <c r="H8" s="23">
        <f>IFERROR(__xludf.DUMMYFUNCTION("""COMPUTED_VALUE"""),42759.0)</f>
        <v>42759</v>
      </c>
      <c r="I8" s="27">
        <f>IFERROR(__xludf.DUMMYFUNCTION("""COMPUTED_VALUE"""),9.183333333333334)</f>
        <v>9.183333333</v>
      </c>
      <c r="J8" s="29">
        <f>IFERROR(__xludf.DUMMYFUNCTION("""COMPUTED_VALUE"""),86.0)</f>
        <v>86</v>
      </c>
      <c r="K8" s="29">
        <f>IFERROR(__xludf.DUMMYFUNCTION("""COMPUTED_VALUE"""),9.0)</f>
        <v>9</v>
      </c>
      <c r="L8" s="31" t="str">
        <f>IFERROR(__xludf.DUMMYFUNCTION("""COMPUTED_VALUE"""),"Action-Adventure")</f>
        <v>Action-Adventure</v>
      </c>
      <c r="M8" s="31"/>
      <c r="N8" s="31" t="str">
        <f>IFERROR(__xludf.DUMMYFUNCTION("""COMPUTED_VALUE"""),"Returning title: Joined 9/3/20, left 5/31/22")</f>
        <v>Returning title: Joined 9/3/20, left 5/31/22</v>
      </c>
    </row>
    <row r="9">
      <c r="A9" s="17" t="str">
        <f>IFERROR(__xludf.DUMMYFUNCTION("""COMPUTED_VALUE"""),"The Long Dark")</f>
        <v>The Long Dark</v>
      </c>
      <c r="B9" s="20" t="str">
        <f>IFERROR(__xludf.DUMMYFUNCTION("""COMPUTED_VALUE"""),"Xbox / PC")</f>
        <v>Xbox / PC</v>
      </c>
      <c r="C9" s="21" t="str">
        <f>IFERROR(__xludf.DUMMYFUNCTION("""COMPUTED_VALUE"""),"Yes")</f>
        <v>Yes</v>
      </c>
      <c r="D9" s="21" t="str">
        <f>IFERROR(__xludf.DUMMYFUNCTION("""COMPUTED_VALUE"""),"Active")</f>
        <v>Active</v>
      </c>
      <c r="E9" s="23">
        <f>IFERROR(__xludf.DUMMYFUNCTION("""COMPUTED_VALUE"""),46111.0)</f>
        <v>46111</v>
      </c>
      <c r="F9" s="24"/>
      <c r="G9" s="27">
        <f>IFERROR(__xludf.DUMMYFUNCTION("""COMPUTED_VALUE"""),6.200000000000001)</f>
        <v>6.2</v>
      </c>
      <c r="H9" s="23">
        <f>IFERROR(__xludf.DUMMYFUNCTION("""COMPUTED_VALUE"""),42948.0)</f>
        <v>42948</v>
      </c>
      <c r="I9" s="27">
        <f>IFERROR(__xludf.DUMMYFUNCTION("""COMPUTED_VALUE"""),8.66388888888889)</f>
        <v>8.663888889</v>
      </c>
      <c r="J9" s="29">
        <f>IFERROR(__xludf.DUMMYFUNCTION("""COMPUTED_VALUE"""),77.0)</f>
        <v>77</v>
      </c>
      <c r="K9" s="29">
        <f>IFERROR(__xludf.DUMMYFUNCTION("""COMPUTED_VALUE"""),20.0)</f>
        <v>20</v>
      </c>
      <c r="L9" s="31" t="str">
        <f>IFERROR(__xludf.DUMMYFUNCTION("""COMPUTED_VALUE"""),"Action-Adventure")</f>
        <v>Action-Adventure</v>
      </c>
      <c r="M9" s="31"/>
      <c r="N9" s="31" t="str">
        <f>IFERROR(__xludf.DUMMYFUNCTION("""COMPUTED_VALUE"""),"Returning title: Joined 4/16/20, left 4/15/23")</f>
        <v>Returning title: Joined 4/16/20, left 4/15/23</v>
      </c>
    </row>
    <row r="10">
      <c r="A10" s="17" t="str">
        <f>IFERROR(__xludf.DUMMYFUNCTION("""COMPUTED_VALUE"""),"Kingdom Come: Deliverance")</f>
        <v>Kingdom Come: Deliverance</v>
      </c>
      <c r="B10" s="20" t="str">
        <f>IFERROR(__xludf.DUMMYFUNCTION("""COMPUTED_VALUE"""),"Xbox / PC")</f>
        <v>Xbox / PC</v>
      </c>
      <c r="C10" s="21" t="str">
        <f>IFERROR(__xludf.DUMMYFUNCTION("""COMPUTED_VALUE"""),"Yes")</f>
        <v>Yes</v>
      </c>
      <c r="D10" s="21" t="str">
        <f>IFERROR(__xludf.DUMMYFUNCTION("""COMPUTED_VALUE"""),"Active")</f>
        <v>Active</v>
      </c>
      <c r="E10" s="23">
        <f>IFERROR(__xludf.DUMMYFUNCTION("""COMPUTED_VALUE"""),46066.0)</f>
        <v>46066</v>
      </c>
      <c r="F10" s="24"/>
      <c r="G10" s="27">
        <f>IFERROR(__xludf.DUMMYFUNCTION("""COMPUTED_VALUE"""),7.7666666666666675)</f>
        <v>7.766666667</v>
      </c>
      <c r="H10" s="23">
        <f>IFERROR(__xludf.DUMMYFUNCTION("""COMPUTED_VALUE"""),43144.0)</f>
        <v>43144</v>
      </c>
      <c r="I10" s="27">
        <f>IFERROR(__xludf.DUMMYFUNCTION("""COMPUTED_VALUE"""),8.0)</f>
        <v>8</v>
      </c>
      <c r="J10" s="29">
        <f>IFERROR(__xludf.DUMMYFUNCTION("""COMPUTED_VALUE"""),78.0)</f>
        <v>78</v>
      </c>
      <c r="K10" s="29">
        <f>IFERROR(__xludf.DUMMYFUNCTION("""COMPUTED_VALUE"""),50.0)</f>
        <v>50</v>
      </c>
      <c r="L10" s="31" t="str">
        <f>IFERROR(__xludf.DUMMYFUNCTION("""COMPUTED_VALUE"""),"Action-Adventure")</f>
        <v>Action-Adventure</v>
      </c>
      <c r="M10" s="31"/>
      <c r="N10" s="31" t="str">
        <f>IFERROR(__xludf.DUMMYFUNCTION("""COMPUTED_VALUE"""),"Returning title: Joined 8/22/19, left 8/14/20")</f>
        <v>Returning title: Joined 8/22/19, left 8/14/20</v>
      </c>
    </row>
    <row r="11">
      <c r="A11" s="17" t="str">
        <f>IFERROR(__xludf.DUMMYFUNCTION("""COMPUTED_VALUE"""),"Evil West")</f>
        <v>Evil West</v>
      </c>
      <c r="B11" s="20" t="str">
        <f>IFERROR(__xludf.DUMMYFUNCTION("""COMPUTED_VALUE"""),"Xbox / PC")</f>
        <v>Xbox / PC</v>
      </c>
      <c r="C11" s="21" t="str">
        <f>IFERROR(__xludf.DUMMYFUNCTION("""COMPUTED_VALUE"""),"Yes")</f>
        <v>Yes</v>
      </c>
      <c r="D11" s="21" t="str">
        <f>IFERROR(__xludf.DUMMYFUNCTION("""COMPUTED_VALUE"""),"Leaving Soon")</f>
        <v>Leaving Soon</v>
      </c>
      <c r="E11" s="23">
        <f>IFERROR(__xludf.DUMMYFUNCTION("""COMPUTED_VALUE"""),45951.0)</f>
        <v>45951</v>
      </c>
      <c r="F11" s="24">
        <f>IFERROR(__xludf.DUMMYFUNCTION("""COMPUTED_VALUE"""),46310.0)</f>
        <v>46310</v>
      </c>
      <c r="G11" s="27">
        <f>IFERROR(__xludf.DUMMYFUNCTION("""COMPUTED_VALUE"""),11.799999999999999)</f>
        <v>11.8</v>
      </c>
      <c r="H11" s="23">
        <f>IFERROR(__xludf.DUMMYFUNCTION("""COMPUTED_VALUE"""),44887.0)</f>
        <v>44887</v>
      </c>
      <c r="I11" s="27">
        <f>IFERROR(__xludf.DUMMYFUNCTION("""COMPUTED_VALUE"""),2.9138888888888888)</f>
        <v>2.913888889</v>
      </c>
      <c r="J11" s="29">
        <f>IFERROR(__xludf.DUMMYFUNCTION("""COMPUTED_VALUE"""),73.0)</f>
        <v>73</v>
      </c>
      <c r="K11" s="29">
        <f>IFERROR(__xludf.DUMMYFUNCTION("""COMPUTED_VALUE"""),11.0)</f>
        <v>11</v>
      </c>
      <c r="L11" s="31" t="str">
        <f>IFERROR(__xludf.DUMMYFUNCTION("""COMPUTED_VALUE"""),"Shooter")</f>
        <v>Shooter</v>
      </c>
      <c r="M11" s="31"/>
      <c r="N11" s="31" t="str">
        <f>IFERROR(__xludf.DUMMYFUNCTION("""COMPUTED_VALUE"""),"Returning title: Joined 3/21/24, left 3/15/25")</f>
        <v>Returning title: Joined 3/21/24, left 3/15/25</v>
      </c>
    </row>
    <row r="12">
      <c r="A12" s="17" t="str">
        <f>IFERROR(__xludf.DUMMYFUNCTION("""COMPUTED_VALUE"""),"Steep")</f>
        <v>Steep</v>
      </c>
      <c r="B12" s="20" t="str">
        <f>IFERROR(__xludf.DUMMYFUNCTION("""COMPUTED_VALUE"""),"Xbox / PC")</f>
        <v>Xbox / PC</v>
      </c>
      <c r="C12" s="21" t="str">
        <f>IFERROR(__xludf.DUMMYFUNCTION("""COMPUTED_VALUE"""),"Touch Controls")</f>
        <v>Touch Controls</v>
      </c>
      <c r="D12" s="21" t="str">
        <f>IFERROR(__xludf.DUMMYFUNCTION("""COMPUTED_VALUE"""),"Active")</f>
        <v>Active</v>
      </c>
      <c r="E12" s="23">
        <f>IFERROR(__xludf.DUMMYFUNCTION("""COMPUTED_VALUE"""),45931.0)</f>
        <v>45931</v>
      </c>
      <c r="F12" s="24"/>
      <c r="G12" s="27">
        <f>IFERROR(__xludf.DUMMYFUNCTION("""COMPUTED_VALUE"""),12.166666666666666)</f>
        <v>12.16666667</v>
      </c>
      <c r="H12" s="23">
        <f>IFERROR(__xludf.DUMMYFUNCTION("""COMPUTED_VALUE"""),42703.0)</f>
        <v>42703</v>
      </c>
      <c r="I12" s="27">
        <f>IFERROR(__xludf.DUMMYFUNCTION("""COMPUTED_VALUE"""),8.838888888888889)</f>
        <v>8.838888889</v>
      </c>
      <c r="J12" s="29">
        <f>IFERROR(__xludf.DUMMYFUNCTION("""COMPUTED_VALUE"""),71.0)</f>
        <v>71</v>
      </c>
      <c r="K12" s="29">
        <f>IFERROR(__xludf.DUMMYFUNCTION("""COMPUTED_VALUE"""),12.0)</f>
        <v>12</v>
      </c>
      <c r="L12" s="31" t="str">
        <f>IFERROR(__xludf.DUMMYFUNCTION("""COMPUTED_VALUE"""),"Sports")</f>
        <v>Sports</v>
      </c>
      <c r="M12" s="31" t="str">
        <f>IFERROR(__xludf.DUMMYFUNCTION("""COMPUTED_VALUE"""),"FPS Boost S Only")</f>
        <v>FPS Boost S Only</v>
      </c>
      <c r="N12" s="31" t="str">
        <f>IFERROR(__xludf.DUMMYFUNCTION("""COMPUTED_VALUE"""),"Returning title: Joined 5/6/21, left 5/15/22. Ubisoft games joining with price increase")</f>
        <v>Returning title: Joined 5/6/21, left 5/15/22. Ubisoft games joining with price increase</v>
      </c>
    </row>
    <row r="13">
      <c r="A13" s="17" t="str">
        <f>IFERROR(__xludf.DUMMYFUNCTION("""COMPUTED_VALUE"""),"Tom Clancy's The Division")</f>
        <v>Tom Clancy's The Division</v>
      </c>
      <c r="B13" s="20" t="str">
        <f>IFERROR(__xludf.DUMMYFUNCTION("""COMPUTED_VALUE"""),"Xbox / PC")</f>
        <v>Xbox / PC</v>
      </c>
      <c r="C13" s="21" t="str">
        <f>IFERROR(__xludf.DUMMYFUNCTION("""COMPUTED_VALUE"""),"Yes")</f>
        <v>Yes</v>
      </c>
      <c r="D13" s="21" t="str">
        <f>IFERROR(__xludf.DUMMYFUNCTION("""COMPUTED_VALUE"""),"Active")</f>
        <v>Active</v>
      </c>
      <c r="E13" s="23">
        <f>IFERROR(__xludf.DUMMYFUNCTION("""COMPUTED_VALUE"""),45931.0)</f>
        <v>45931</v>
      </c>
      <c r="F13" s="24"/>
      <c r="G13" s="27">
        <f>IFERROR(__xludf.DUMMYFUNCTION("""COMPUTED_VALUE"""),12.166666666666666)</f>
        <v>12.16666667</v>
      </c>
      <c r="H13" s="23">
        <f>IFERROR(__xludf.DUMMYFUNCTION("""COMPUTED_VALUE"""),42437.0)</f>
        <v>42437</v>
      </c>
      <c r="I13" s="27">
        <f>IFERROR(__xludf.DUMMYFUNCTION("""COMPUTED_VALUE"""),9.563888888888888)</f>
        <v>9.563888889</v>
      </c>
      <c r="J13" s="29">
        <f>IFERROR(__xludf.DUMMYFUNCTION("""COMPUTED_VALUE"""),80.0)</f>
        <v>80</v>
      </c>
      <c r="K13" s="29">
        <f>IFERROR(__xludf.DUMMYFUNCTION("""COMPUTED_VALUE"""),24.0)</f>
        <v>24</v>
      </c>
      <c r="L13" s="31" t="str">
        <f>IFERROR(__xludf.DUMMYFUNCTION("""COMPUTED_VALUE"""),"Shooter")</f>
        <v>Shooter</v>
      </c>
      <c r="M13" s="31"/>
      <c r="N13" s="31" t="str">
        <f>IFERROR(__xludf.DUMMYFUNCTION("""COMPUTED_VALUE"""),"Returning title: Joined 12/1/19, left 6/10/18. Ubisoft games joining with price increase")</f>
        <v>Returning title: Joined 12/1/19, left 6/10/18. Ubisoft games joining with price increase</v>
      </c>
    </row>
    <row r="14">
      <c r="A14" s="17" t="str">
        <f>IFERROR(__xludf.DUMMYFUNCTION("""COMPUTED_VALUE"""),"Hades")</f>
        <v>Hades</v>
      </c>
      <c r="B14" s="20" t="str">
        <f>IFERROR(__xludf.DUMMYFUNCTION("""COMPUTED_VALUE"""),"Xbox / PC")</f>
        <v>Xbox / PC</v>
      </c>
      <c r="C14" s="21" t="str">
        <f>IFERROR(__xludf.DUMMYFUNCTION("""COMPUTED_VALUE"""),"Touch Controls")</f>
        <v>Touch Controls</v>
      </c>
      <c r="D14" s="21" t="str">
        <f>IFERROR(__xludf.DUMMYFUNCTION("""COMPUTED_VALUE"""),"Active")</f>
        <v>Active</v>
      </c>
      <c r="E14" s="23">
        <f>IFERROR(__xludf.DUMMYFUNCTION("""COMPUTED_VALUE"""),45919.0)</f>
        <v>45919</v>
      </c>
      <c r="F14" s="24"/>
      <c r="G14" s="27">
        <f>IFERROR(__xludf.DUMMYFUNCTION("""COMPUTED_VALUE"""),12.566666666666666)</f>
        <v>12.56666667</v>
      </c>
      <c r="H14" s="23">
        <f>IFERROR(__xludf.DUMMYFUNCTION("""COMPUTED_VALUE"""),43441.0)</f>
        <v>43441</v>
      </c>
      <c r="I14" s="27">
        <f>IFERROR(__xludf.DUMMYFUNCTION("""COMPUTED_VALUE"""),6.783333333333333)</f>
        <v>6.783333333</v>
      </c>
      <c r="J14" s="29">
        <f>IFERROR(__xludf.DUMMYFUNCTION("""COMPUTED_VALUE"""),93.5)</f>
        <v>93.5</v>
      </c>
      <c r="K14" s="29">
        <f>IFERROR(__xludf.DUMMYFUNCTION("""COMPUTED_VALUE"""),21.0)</f>
        <v>21</v>
      </c>
      <c r="L14" s="31" t="str">
        <f>IFERROR(__xludf.DUMMYFUNCTION("""COMPUTED_VALUE"""),"RPG")</f>
        <v>RPG</v>
      </c>
      <c r="M14" s="31" t="str">
        <f>IFERROR(__xludf.DUMMYFUNCTION("""COMPUTED_VALUE"""),"Optimized")</f>
        <v>Optimized</v>
      </c>
      <c r="N14" s="31" t="str">
        <f>IFERROR(__xludf.DUMMYFUNCTION("""COMPUTED_VALUE"""),"Game Pass Essential (10/1/25). Returning title: Joined 8/13/21, left 8/31/22")</f>
        <v>Game Pass Essential (10/1/25). Returning title: Joined 8/13/21, left 8/31/22</v>
      </c>
    </row>
    <row r="15">
      <c r="A15" s="17" t="str">
        <f>IFERROR(__xludf.DUMMYFUNCTION("""COMPUTED_VALUE"""),"PAW Patrol World")</f>
        <v>PAW Patrol World</v>
      </c>
      <c r="B15" s="20" t="str">
        <f>IFERROR(__xludf.DUMMYFUNCTION("""COMPUTED_VALUE"""),"Xbox / PC")</f>
        <v>Xbox / PC</v>
      </c>
      <c r="C15" s="21" t="str">
        <f>IFERROR(__xludf.DUMMYFUNCTION("""COMPUTED_VALUE"""),"Yes")</f>
        <v>Yes</v>
      </c>
      <c r="D15" s="21" t="str">
        <f>IFERROR(__xludf.DUMMYFUNCTION("""COMPUTED_VALUE"""),"Removed")</f>
        <v>Removed</v>
      </c>
      <c r="E15" s="23">
        <f>IFERROR(__xludf.DUMMYFUNCTION("""COMPUTED_VALUE"""),45910.0)</f>
        <v>45910</v>
      </c>
      <c r="F15" s="24">
        <f>IFERROR(__xludf.DUMMYFUNCTION("""COMPUTED_VALUE"""),46053.0)</f>
        <v>46053</v>
      </c>
      <c r="G15" s="27">
        <f>IFERROR(__xludf.DUMMYFUNCTION("""COMPUTED_VALUE"""),4.666666666666667)</f>
        <v>4.666666667</v>
      </c>
      <c r="H15" s="23">
        <f>IFERROR(__xludf.DUMMYFUNCTION("""COMPUTED_VALUE"""),45198.0)</f>
        <v>45198</v>
      </c>
      <c r="I15" s="27">
        <f>IFERROR(__xludf.DUMMYFUNCTION("""COMPUTED_VALUE"""),1.9472222222222222)</f>
        <v>1.947222222</v>
      </c>
      <c r="J15" s="29">
        <f>IFERROR(__xludf.DUMMYFUNCTION("""COMPUTED_VALUE"""),79.0)</f>
        <v>79</v>
      </c>
      <c r="K15" s="29">
        <f>IFERROR(__xludf.DUMMYFUNCTION("""COMPUTED_VALUE"""),7.0)</f>
        <v>7</v>
      </c>
      <c r="L15" s="31" t="str">
        <f>IFERROR(__xludf.DUMMYFUNCTION("""COMPUTED_VALUE"""),"Action-Adventure")</f>
        <v>Action-Adventure</v>
      </c>
      <c r="M15" s="31"/>
      <c r="N15" s="31" t="str">
        <f>IFERROR(__xludf.DUMMYFUNCTION("""COMPUTED_VALUE"""),"Returning title: Joined 3/7/24, left 2/28/25")</f>
        <v>Returning title: Joined 3/7/24, left 2/28/25</v>
      </c>
    </row>
    <row r="16">
      <c r="A16" s="17" t="str">
        <f>IFERROR(__xludf.DUMMYFUNCTION("""COMPUTED_VALUE"""),"Persona 4: Golden")</f>
        <v>Persona 4: Golden</v>
      </c>
      <c r="B16" s="20" t="str">
        <f>IFERROR(__xludf.DUMMYFUNCTION("""COMPUTED_VALUE"""),"Xbox / PC")</f>
        <v>Xbox / PC</v>
      </c>
      <c r="C16" s="21" t="str">
        <f>IFERROR(__xludf.DUMMYFUNCTION("""COMPUTED_VALUE"""),"Yes")</f>
        <v>Yes</v>
      </c>
      <c r="D16" s="21" t="str">
        <f>IFERROR(__xludf.DUMMYFUNCTION("""COMPUTED_VALUE"""),"Removed")</f>
        <v>Removed</v>
      </c>
      <c r="E16" s="23">
        <f>IFERROR(__xludf.DUMMYFUNCTION("""COMPUTED_VALUE"""),45889.0)</f>
        <v>45889</v>
      </c>
      <c r="F16" s="24">
        <f>IFERROR(__xludf.DUMMYFUNCTION("""COMPUTED_VALUE"""),46173.0)</f>
        <v>46173</v>
      </c>
      <c r="G16" s="27">
        <f>IFERROR(__xludf.DUMMYFUNCTION("""COMPUTED_VALUE"""),9.333333333333334)</f>
        <v>9.333333333</v>
      </c>
      <c r="H16" s="23">
        <f>IFERROR(__xludf.DUMMYFUNCTION("""COMPUTED_VALUE"""),41074.0)</f>
        <v>41074</v>
      </c>
      <c r="I16" s="27">
        <f>IFERROR(__xludf.DUMMYFUNCTION("""COMPUTED_VALUE"""),13.183333333333334)</f>
        <v>13.18333333</v>
      </c>
      <c r="J16" s="29">
        <f>IFERROR(__xludf.DUMMYFUNCTION("""COMPUTED_VALUE"""),90.0)</f>
        <v>90</v>
      </c>
      <c r="K16" s="29">
        <f>IFERROR(__xludf.DUMMYFUNCTION("""COMPUTED_VALUE"""),68.5)</f>
        <v>68.5</v>
      </c>
      <c r="L16" s="31" t="str">
        <f>IFERROR(__xludf.DUMMYFUNCTION("""COMPUTED_VALUE"""),"RPG")</f>
        <v>RPG</v>
      </c>
      <c r="M16" s="31"/>
      <c r="N16" s="31" t="str">
        <f>IFERROR(__xludf.DUMMYFUNCTION("""COMPUTED_VALUE"""),"Returning title: Joined 1/19/23, left 1/15/24")</f>
        <v>Returning title: Joined 1/19/23, left 1/15/24</v>
      </c>
    </row>
    <row r="17">
      <c r="A17" s="17" t="str">
        <f>IFERROR(__xludf.DUMMYFUNCTION("""COMPUTED_VALUE"""),"Aliens: Fireteam Elite")</f>
        <v>Aliens: Fireteam Elite</v>
      </c>
      <c r="B17" s="20" t="str">
        <f>IFERROR(__xludf.DUMMYFUNCTION("""COMPUTED_VALUE"""),"Xbox / PC")</f>
        <v>Xbox / PC</v>
      </c>
      <c r="C17" s="21" t="str">
        <f>IFERROR(__xludf.DUMMYFUNCTION("""COMPUTED_VALUE"""),"Yes")</f>
        <v>Yes</v>
      </c>
      <c r="D17" s="21" t="str">
        <f>IFERROR(__xludf.DUMMYFUNCTION("""COMPUTED_VALUE"""),"Removed")</f>
        <v>Removed</v>
      </c>
      <c r="E17" s="23">
        <f>IFERROR(__xludf.DUMMYFUNCTION("""COMPUTED_VALUE"""),45881.0)</f>
        <v>45881</v>
      </c>
      <c r="F17" s="24">
        <f>IFERROR(__xludf.DUMMYFUNCTION("""COMPUTED_VALUE"""),46249.0)</f>
        <v>46249</v>
      </c>
      <c r="G17" s="27">
        <f>IFERROR(__xludf.DUMMYFUNCTION("""COMPUTED_VALUE"""),12.1)</f>
        <v>12.1</v>
      </c>
      <c r="H17" s="23">
        <f>IFERROR(__xludf.DUMMYFUNCTION("""COMPUTED_VALUE"""),44803.0)</f>
        <v>44803</v>
      </c>
      <c r="I17" s="27">
        <f>IFERROR(__xludf.DUMMYFUNCTION("""COMPUTED_VALUE"""),2.95)</f>
        <v>2.95</v>
      </c>
      <c r="J17" s="29">
        <f>IFERROR(__xludf.DUMMYFUNCTION("""COMPUTED_VALUE"""),69.0)</f>
        <v>69</v>
      </c>
      <c r="K17" s="29">
        <f>IFERROR(__xludf.DUMMYFUNCTION("""COMPUTED_VALUE"""),9.0)</f>
        <v>9</v>
      </c>
      <c r="L17" s="31" t="str">
        <f>IFERROR(__xludf.DUMMYFUNCTION("""COMPUTED_VALUE"""),"Shooter")</f>
        <v>Shooter</v>
      </c>
      <c r="M17" s="31"/>
      <c r="N17" s="31" t="str">
        <f>IFERROR(__xludf.DUMMYFUNCTION("""COMPUTED_VALUE"""),"Handheld Optimized. Returning title: Originally joined 12/14/21, left 12/15/22")</f>
        <v>Handheld Optimized. Returning title: Originally joined 12/14/21, left 12/15/22</v>
      </c>
    </row>
    <row r="18">
      <c r="A18" s="17" t="str">
        <f>IFERROR(__xludf.DUMMYFUNCTION("""COMPUTED_VALUE"""),"High on Life")</f>
        <v>High on Life</v>
      </c>
      <c r="B18" s="20" t="str">
        <f>IFERROR(__xludf.DUMMYFUNCTION("""COMPUTED_VALUE"""),"Xbox / PC")</f>
        <v>Xbox / PC</v>
      </c>
      <c r="C18" s="21" t="str">
        <f>IFERROR(__xludf.DUMMYFUNCTION("""COMPUTED_VALUE"""),"M+KB")</f>
        <v>M+KB</v>
      </c>
      <c r="D18" s="21" t="str">
        <f>IFERROR(__xludf.DUMMYFUNCTION("""COMPUTED_VALUE"""),"Active")</f>
        <v>Active</v>
      </c>
      <c r="E18" s="23">
        <f>IFERROR(__xludf.DUMMYFUNCTION("""COMPUTED_VALUE"""),45853.0)</f>
        <v>45853</v>
      </c>
      <c r="F18" s="24"/>
      <c r="G18" s="27">
        <f>IFERROR(__xludf.DUMMYFUNCTION("""COMPUTED_VALUE"""),14.700000000000001)</f>
        <v>14.7</v>
      </c>
      <c r="H18" s="23">
        <f>IFERROR(__xludf.DUMMYFUNCTION("""COMPUTED_VALUE"""),44908.0)</f>
        <v>44908</v>
      </c>
      <c r="I18" s="27">
        <f>IFERROR(__xludf.DUMMYFUNCTION("""COMPUTED_VALUE"""),2.588888888888889)</f>
        <v>2.588888889</v>
      </c>
      <c r="J18" s="29">
        <f>IFERROR(__xludf.DUMMYFUNCTION("""COMPUTED_VALUE"""),67.0)</f>
        <v>67</v>
      </c>
      <c r="K18" s="29">
        <f>IFERROR(__xludf.DUMMYFUNCTION("""COMPUTED_VALUE"""),9.0)</f>
        <v>9</v>
      </c>
      <c r="L18" s="31" t="str">
        <f>IFERROR(__xludf.DUMMYFUNCTION("""COMPUTED_VALUE"""),"Shooter")</f>
        <v>Shooter</v>
      </c>
      <c r="M18" s="31"/>
      <c r="N18" s="31" t="str">
        <f>IFERROR(__xludf.DUMMYFUNCTION("""COMPUTED_VALUE"""),"Returning title: Joined 12/12/22, left 6/15/24")</f>
        <v>Returning title: Joined 12/12/22, left 6/15/24</v>
      </c>
    </row>
    <row r="19">
      <c r="A19" s="17" t="str">
        <f>IFERROR(__xludf.DUMMYFUNCTION("""COMPUTED_VALUE"""),"The Ascent")</f>
        <v>The Ascent</v>
      </c>
      <c r="B19" s="20" t="str">
        <f>IFERROR(__xludf.DUMMYFUNCTION("""COMPUTED_VALUE"""),"Xbox / PC")</f>
        <v>Xbox / PC</v>
      </c>
      <c r="C19" s="21" t="str">
        <f>IFERROR(__xludf.DUMMYFUNCTION("""COMPUTED_VALUE"""),"Touch Controls")</f>
        <v>Touch Controls</v>
      </c>
      <c r="D19" s="21" t="str">
        <f>IFERROR(__xludf.DUMMYFUNCTION("""COMPUTED_VALUE"""),"Removed")</f>
        <v>Removed</v>
      </c>
      <c r="E19" s="23">
        <f>IFERROR(__xludf.DUMMYFUNCTION("""COMPUTED_VALUE"""),45846.0)</f>
        <v>45846</v>
      </c>
      <c r="F19" s="24">
        <f>IFERROR(__xludf.DUMMYFUNCTION("""COMPUTED_VALUE"""),46037.0)</f>
        <v>46037</v>
      </c>
      <c r="G19" s="27">
        <f>IFERROR(__xludf.DUMMYFUNCTION("""COMPUTED_VALUE"""),6.233333333333334)</f>
        <v>6.233333333</v>
      </c>
      <c r="H19" s="23">
        <f>IFERROR(__xludf.DUMMYFUNCTION("""COMPUTED_VALUE"""),44406.0)</f>
        <v>44406</v>
      </c>
      <c r="I19" s="27">
        <f>IFERROR(__xludf.DUMMYFUNCTION("""COMPUTED_VALUE"""),3.941666666666667)</f>
        <v>3.941666667</v>
      </c>
      <c r="J19" s="29">
        <f>IFERROR(__xludf.DUMMYFUNCTION("""COMPUTED_VALUE"""),69.5)</f>
        <v>69.5</v>
      </c>
      <c r="K19" s="29">
        <f>IFERROR(__xludf.DUMMYFUNCTION("""COMPUTED_VALUE"""),9.0)</f>
        <v>9</v>
      </c>
      <c r="L19" s="31" t="str">
        <f>IFERROR(__xludf.DUMMYFUNCTION("""COMPUTED_VALUE"""),"RPG")</f>
        <v>RPG</v>
      </c>
      <c r="M19" s="31" t="str">
        <f>IFERROR(__xludf.DUMMYFUNCTION("""COMPUTED_VALUE"""),"Optimized")</f>
        <v>Optimized</v>
      </c>
      <c r="N19" s="31" t="str">
        <f>IFERROR(__xludf.DUMMYFUNCTION("""COMPUTED_VALUE"""),"Returning title: Joined 7/29/21, left 7/31/23")</f>
        <v>Returning title: Joined 7/29/21, left 7/31/23</v>
      </c>
    </row>
    <row r="20">
      <c r="A20" s="17" t="str">
        <f>IFERROR(__xludf.DUMMYFUNCTION("""COMPUTED_VALUE"""),"Rise of the Tomb Raider")</f>
        <v>Rise of the Tomb Raider</v>
      </c>
      <c r="B20" s="20" t="str">
        <f>IFERROR(__xludf.DUMMYFUNCTION("""COMPUTED_VALUE"""),"Xbox / PC")</f>
        <v>Xbox / PC</v>
      </c>
      <c r="C20" s="21" t="str">
        <f>IFERROR(__xludf.DUMMYFUNCTION("""COMPUTED_VALUE"""),"Yes")</f>
        <v>Yes</v>
      </c>
      <c r="D20" s="21" t="str">
        <f>IFERROR(__xludf.DUMMYFUNCTION("""COMPUTED_VALUE"""),"Removed")</f>
        <v>Removed</v>
      </c>
      <c r="E20" s="23">
        <f>IFERROR(__xludf.DUMMYFUNCTION("""COMPUTED_VALUE"""),45839.0)</f>
        <v>45839</v>
      </c>
      <c r="F20" s="24">
        <f>IFERROR(__xludf.DUMMYFUNCTION("""COMPUTED_VALUE"""),46203.0)</f>
        <v>46203</v>
      </c>
      <c r="G20" s="27">
        <f>IFERROR(__xludf.DUMMYFUNCTION("""COMPUTED_VALUE"""),11.966666666666667)</f>
        <v>11.96666667</v>
      </c>
      <c r="H20" s="23">
        <f>IFERROR(__xludf.DUMMYFUNCTION("""COMPUTED_VALUE"""),42318.0)</f>
        <v>42318</v>
      </c>
      <c r="I20" s="27">
        <f>IFERROR(__xludf.DUMMYFUNCTION("""COMPUTED_VALUE"""),9.641666666666667)</f>
        <v>9.641666667</v>
      </c>
      <c r="J20" s="29">
        <f>IFERROR(__xludf.DUMMYFUNCTION("""COMPUTED_VALUE"""),86.0)</f>
        <v>86</v>
      </c>
      <c r="K20" s="29">
        <f>IFERROR(__xludf.DUMMYFUNCTION("""COMPUTED_VALUE"""),13.5)</f>
        <v>13.5</v>
      </c>
      <c r="L20" s="31" t="str">
        <f>IFERROR(__xludf.DUMMYFUNCTION("""COMPUTED_VALUE"""),"Action-Adventure")</f>
        <v>Action-Adventure</v>
      </c>
      <c r="M20" s="31"/>
      <c r="N20" s="31" t="str">
        <f>IFERROR(__xludf.DUMMYFUNCTION("""COMPUTED_VALUE"""),"Returning title: Joined 12/5/23, left 12/15/24. Joined 3/1/18, left 5/15/20")</f>
        <v>Returning title: Joined 12/5/23, left 12/15/24. Joined 3/1/18, left 5/15/20</v>
      </c>
    </row>
    <row r="21">
      <c r="A21" s="17" t="str">
        <f>IFERROR(__xludf.DUMMYFUNCTION("""COMPUTED_VALUE"""),"Warhammer: Vermintide 2")</f>
        <v>Warhammer: Vermintide 2</v>
      </c>
      <c r="B21" s="20" t="str">
        <f>IFERROR(__xludf.DUMMYFUNCTION("""COMPUTED_VALUE"""),"Xbox")</f>
        <v>Xbox</v>
      </c>
      <c r="C21" s="21" t="str">
        <f>IFERROR(__xludf.DUMMYFUNCTION("""COMPUTED_VALUE"""),"Yes")</f>
        <v>Yes</v>
      </c>
      <c r="D21" s="21" t="str">
        <f>IFERROR(__xludf.DUMMYFUNCTION("""COMPUTED_VALUE"""),"Active")</f>
        <v>Active</v>
      </c>
      <c r="E21" s="23">
        <f>IFERROR(__xludf.DUMMYFUNCTION("""COMPUTED_VALUE"""),45790.0)</f>
        <v>45790</v>
      </c>
      <c r="F21" s="24"/>
      <c r="G21" s="27">
        <f>IFERROR(__xludf.DUMMYFUNCTION("""COMPUTED_VALUE"""),16.766666666666666)</f>
        <v>16.76666667</v>
      </c>
      <c r="H21" s="23">
        <f>IFERROR(__xludf.DUMMYFUNCTION("""COMPUTED_VALUE"""),43167.0)</f>
        <v>43167</v>
      </c>
      <c r="I21" s="27">
        <f>IFERROR(__xludf.DUMMYFUNCTION("""COMPUTED_VALUE"""),7.180555555555555)</f>
        <v>7.180555556</v>
      </c>
      <c r="J21" s="29">
        <f>IFERROR(__xludf.DUMMYFUNCTION("""COMPUTED_VALUE"""),83.0)</f>
        <v>83</v>
      </c>
      <c r="K21" s="29">
        <f>IFERROR(__xludf.DUMMYFUNCTION("""COMPUTED_VALUE"""),20.0)</f>
        <v>20</v>
      </c>
      <c r="L21" s="31" t="str">
        <f>IFERROR(__xludf.DUMMYFUNCTION("""COMPUTED_VALUE"""),"Shooter")</f>
        <v>Shooter</v>
      </c>
      <c r="M21" s="31" t="str">
        <f>IFERROR(__xludf.DUMMYFUNCTION("""COMPUTED_VALUE"""),"Optimized")</f>
        <v>Optimized</v>
      </c>
      <c r="N21" s="31" t="str">
        <f>IFERROR(__xludf.DUMMYFUNCTION("""COMPUTED_VALUE"""),"Game Pass Essential (4/8/26). Returning title: joined 9/24/20, left 9/30/21. Left 7/1/19")</f>
        <v>Game Pass Essential (4/8/26). Returning title: joined 9/24/20, left 9/30/21. Left 7/1/19</v>
      </c>
    </row>
    <row r="22">
      <c r="A22" s="17" t="str">
        <f>IFERROR(__xludf.DUMMYFUNCTION("""COMPUTED_VALUE"""),"Grand Theft Auto V")</f>
        <v>Grand Theft Auto V</v>
      </c>
      <c r="B22" s="20" t="str">
        <f>IFERROR(__xludf.DUMMYFUNCTION("""COMPUTED_VALUE"""),"Xbox / PC")</f>
        <v>Xbox / PC</v>
      </c>
      <c r="C22" s="21" t="str">
        <f>IFERROR(__xludf.DUMMYFUNCTION("""COMPUTED_VALUE"""),"Yes")</f>
        <v>Yes</v>
      </c>
      <c r="D22" s="21" t="str">
        <f>IFERROR(__xludf.DUMMYFUNCTION("""COMPUTED_VALUE"""),"Removed")</f>
        <v>Removed</v>
      </c>
      <c r="E22" s="23">
        <f>IFERROR(__xludf.DUMMYFUNCTION("""COMPUTED_VALUE"""),45762.0)</f>
        <v>45762</v>
      </c>
      <c r="F22" s="24">
        <f>IFERROR(__xludf.DUMMYFUNCTION("""COMPUTED_VALUE"""),46127.0)</f>
        <v>46127</v>
      </c>
      <c r="G22" s="27">
        <f>IFERROR(__xludf.DUMMYFUNCTION("""COMPUTED_VALUE"""),12.0)</f>
        <v>12</v>
      </c>
      <c r="H22" s="23">
        <f>IFERROR(__xludf.DUMMYFUNCTION("""COMPUTED_VALUE"""),41534.0)</f>
        <v>41534</v>
      </c>
      <c r="I22" s="27">
        <f>IFERROR(__xludf.DUMMYFUNCTION("""COMPUTED_VALUE"""),11.577777777777778)</f>
        <v>11.57777778</v>
      </c>
      <c r="J22" s="29">
        <f>IFERROR(__xludf.DUMMYFUNCTION("""COMPUTED_VALUE"""),97.0)</f>
        <v>97</v>
      </c>
      <c r="K22" s="29">
        <f>IFERROR(__xludf.DUMMYFUNCTION("""COMPUTED_VALUE"""),31.5)</f>
        <v>31.5</v>
      </c>
      <c r="L22" s="31" t="str">
        <f>IFERROR(__xludf.DUMMYFUNCTION("""COMPUTED_VALUE"""),"Racing")</f>
        <v>Racing</v>
      </c>
      <c r="M22" s="31"/>
      <c r="N22" s="31" t="str">
        <f>IFERROR(__xludf.DUMMYFUNCTION("""COMPUTED_VALUE"""),"Returning title: returned 7/5/23, removed 1/5/24, returned 4/8/21, removed 8/8/21, joined 1/30/20, Removed 5/30/20,")</f>
        <v>Returning title: returned 7/5/23, removed 1/5/24, returned 4/8/21, removed 8/8/21, joined 1/30/20, Removed 5/30/20,</v>
      </c>
    </row>
    <row r="23">
      <c r="A23" s="17" t="str">
        <f>IFERROR(__xludf.DUMMYFUNCTION("""COMPUTED_VALUE"""),"Enter the Gungeon")</f>
        <v>Enter the Gungeon</v>
      </c>
      <c r="B23" s="20" t="str">
        <f>IFERROR(__xludf.DUMMYFUNCTION("""COMPUTED_VALUE"""),"Xbox / PC")</f>
        <v>Xbox / PC</v>
      </c>
      <c r="C23" s="21" t="str">
        <f>IFERROR(__xludf.DUMMYFUNCTION("""COMPUTED_VALUE"""),"Touch Controls")</f>
        <v>Touch Controls</v>
      </c>
      <c r="D23" s="21" t="str">
        <f>IFERROR(__xludf.DUMMYFUNCTION("""COMPUTED_VALUE"""),"Removed")</f>
        <v>Removed</v>
      </c>
      <c r="E23" s="23">
        <f>IFERROR(__xludf.DUMMYFUNCTION("""COMPUTED_VALUE"""),45727.0)</f>
        <v>45727</v>
      </c>
      <c r="F23" s="24">
        <f>IFERROR(__xludf.DUMMYFUNCTION("""COMPUTED_VALUE"""),46096.0)</f>
        <v>46096</v>
      </c>
      <c r="G23" s="27">
        <f>IFERROR(__xludf.DUMMYFUNCTION("""COMPUTED_VALUE"""),12.133333333333333)</f>
        <v>12.13333333</v>
      </c>
      <c r="H23" s="23">
        <f>IFERROR(__xludf.DUMMYFUNCTION("""COMPUTED_VALUE"""),42465.0)</f>
        <v>42465</v>
      </c>
      <c r="I23" s="27">
        <f>IFERROR(__xludf.DUMMYFUNCTION("""COMPUTED_VALUE"""),8.933333333333334)</f>
        <v>8.933333333</v>
      </c>
      <c r="J23" s="29">
        <f>IFERROR(__xludf.DUMMYFUNCTION("""COMPUTED_VALUE"""),85.0)</f>
        <v>85</v>
      </c>
      <c r="K23" s="29">
        <f>IFERROR(__xludf.DUMMYFUNCTION("""COMPUTED_VALUE"""),18.5)</f>
        <v>18.5</v>
      </c>
      <c r="L23" s="31" t="str">
        <f>IFERROR(__xludf.DUMMYFUNCTION("""COMPUTED_VALUE"""),"Action-Adventure")</f>
        <v>Action-Adventure</v>
      </c>
      <c r="M23" s="31"/>
      <c r="N23" s="31" t="str">
        <f>IFERROR(__xludf.DUMMYFUNCTION("""COMPUTED_VALUE"""),"Returning title: Originally joined 9/12/19, left 5/15/22")</f>
        <v>Returning title: Originally joined 9/12/19, left 5/15/22</v>
      </c>
    </row>
    <row r="24">
      <c r="A24" s="17" t="str">
        <f>IFERROR(__xludf.DUMMYFUNCTION("""COMPUTED_VALUE"""),"Monster Train")</f>
        <v>Monster Train</v>
      </c>
      <c r="B24" s="20" t="str">
        <f>IFERROR(__xludf.DUMMYFUNCTION("""COMPUTED_VALUE"""),"Xbox / PC")</f>
        <v>Xbox / PC</v>
      </c>
      <c r="C24" s="21" t="str">
        <f>IFERROR(__xludf.DUMMYFUNCTION("""COMPUTED_VALUE"""),"Touch Controls")</f>
        <v>Touch Controls</v>
      </c>
      <c r="D24" s="21" t="str">
        <f>IFERROR(__xludf.DUMMYFUNCTION("""COMPUTED_VALUE"""),"Removed")</f>
        <v>Removed</v>
      </c>
      <c r="E24" s="23">
        <f>IFERROR(__xludf.DUMMYFUNCTION("""COMPUTED_VALUE"""),45720.0)</f>
        <v>45720</v>
      </c>
      <c r="F24" s="24">
        <f>IFERROR(__xludf.DUMMYFUNCTION("""COMPUTED_VALUE"""),46081.0)</f>
        <v>46081</v>
      </c>
      <c r="G24" s="27">
        <f>IFERROR(__xludf.DUMMYFUNCTION("""COMPUTED_VALUE"""),11.799999999999999)</f>
        <v>11.8</v>
      </c>
      <c r="H24" s="23">
        <f>IFERROR(__xludf.DUMMYFUNCTION("""COMPUTED_VALUE"""),43972.0)</f>
        <v>43972</v>
      </c>
      <c r="I24" s="27">
        <f>IFERROR(__xludf.DUMMYFUNCTION("""COMPUTED_VALUE"""),4.786111111111111)</f>
        <v>4.786111111</v>
      </c>
      <c r="J24" s="29">
        <f>IFERROR(__xludf.DUMMYFUNCTION("""COMPUTED_VALUE"""),85.0)</f>
        <v>85</v>
      </c>
      <c r="K24" s="29">
        <f>IFERROR(__xludf.DUMMYFUNCTION("""COMPUTED_VALUE"""),1.5)</f>
        <v>1.5</v>
      </c>
      <c r="L24" s="31" t="str">
        <f>IFERROR(__xludf.DUMMYFUNCTION("""COMPUTED_VALUE"""),"Strategy")</f>
        <v>Strategy</v>
      </c>
      <c r="M24" s="31"/>
      <c r="N24" s="31" t="str">
        <f>IFERROR(__xludf.DUMMYFUNCTION("""COMPUTED_VALUE"""),"Returning title: Originally joined 12/7/20, left 12/31/23")</f>
        <v>Returning title: Originally joined 12/7/20, left 12/31/23</v>
      </c>
    </row>
    <row r="25">
      <c r="A25" s="17" t="str">
        <f>IFERROR(__xludf.DUMMYFUNCTION("""COMPUTED_VALUE"""),"Kingdom: Two Crowns")</f>
        <v>Kingdom: Two Crowns</v>
      </c>
      <c r="B25" s="20" t="str">
        <f>IFERROR(__xludf.DUMMYFUNCTION("""COMPUTED_VALUE"""),"Xbox / PC")</f>
        <v>Xbox / PC</v>
      </c>
      <c r="C25" s="21" t="str">
        <f>IFERROR(__xludf.DUMMYFUNCTION("""COMPUTED_VALUE"""),"Yes")</f>
        <v>Yes</v>
      </c>
      <c r="D25" s="21" t="str">
        <f>IFERROR(__xludf.DUMMYFUNCTION("""COMPUTED_VALUE"""),"Active")</f>
        <v>Active</v>
      </c>
      <c r="E25" s="23">
        <f>IFERROR(__xludf.DUMMYFUNCTION("""COMPUTED_VALUE"""),45701.0)</f>
        <v>45701</v>
      </c>
      <c r="F25" s="24"/>
      <c r="G25" s="27">
        <f>IFERROR(__xludf.DUMMYFUNCTION("""COMPUTED_VALUE"""),19.766666666666666)</f>
        <v>19.76666667</v>
      </c>
      <c r="H25" s="23">
        <f>IFERROR(__xludf.DUMMYFUNCTION("""COMPUTED_VALUE"""),43445.0)</f>
        <v>43445</v>
      </c>
      <c r="I25" s="27">
        <f>IFERROR(__xludf.DUMMYFUNCTION("""COMPUTED_VALUE"""),6.1722222222222225)</f>
        <v>6.172222222</v>
      </c>
      <c r="J25" s="29">
        <f>IFERROR(__xludf.DUMMYFUNCTION("""COMPUTED_VALUE"""),84.0)</f>
        <v>84</v>
      </c>
      <c r="K25" s="29">
        <f>IFERROR(__xludf.DUMMYFUNCTION("""COMPUTED_VALUE"""),28.5)</f>
        <v>28.5</v>
      </c>
      <c r="L25" s="31" t="str">
        <f>IFERROR(__xludf.DUMMYFUNCTION("""COMPUTED_VALUE"""),"Strategy")</f>
        <v>Strategy</v>
      </c>
      <c r="M25" s="31"/>
      <c r="N25" s="31" t="str">
        <f>IFERROR(__xludf.DUMMYFUNCTION("""COMPUTED_VALUE"""),"Returning title: Originally joined 12/11/18, left 11/15/19 (console only). Joins PC 6/11/25")</f>
        <v>Returning title: Originally joined 12/11/18, left 11/15/19 (console only). Joins PC 6/11/25</v>
      </c>
    </row>
    <row r="26">
      <c r="A26" s="17" t="str">
        <f>IFERROR(__xludf.DUMMYFUNCTION("""COMPUTED_VALUE"""),"Road 96")</f>
        <v>Road 96</v>
      </c>
      <c r="B26" s="20" t="str">
        <f>IFERROR(__xludf.DUMMYFUNCTION("""COMPUTED_VALUE"""),"Xbox / PC")</f>
        <v>Xbox / PC</v>
      </c>
      <c r="C26" s="21" t="str">
        <f>IFERROR(__xludf.DUMMYFUNCTION("""COMPUTED_VALUE"""),"Touch Controls")</f>
        <v>Touch Controls</v>
      </c>
      <c r="D26" s="21" t="str">
        <f>IFERROR(__xludf.DUMMYFUNCTION("""COMPUTED_VALUE"""),"Removed")</f>
        <v>Removed</v>
      </c>
      <c r="E26" s="23">
        <f>IFERROR(__xludf.DUMMYFUNCTION("""COMPUTED_VALUE"""),45664.0)</f>
        <v>45664</v>
      </c>
      <c r="F26" s="24">
        <f>IFERROR(__xludf.DUMMYFUNCTION("""COMPUTED_VALUE"""),46037.0)</f>
        <v>46037</v>
      </c>
      <c r="G26" s="27">
        <f>IFERROR(__xludf.DUMMYFUNCTION("""COMPUTED_VALUE"""),12.266666666666666)</f>
        <v>12.26666667</v>
      </c>
      <c r="H26" s="23">
        <f>IFERROR(__xludf.DUMMYFUNCTION("""COMPUTED_VALUE"""),44424.0)</f>
        <v>44424</v>
      </c>
      <c r="I26" s="27">
        <f>IFERROR(__xludf.DUMMYFUNCTION("""COMPUTED_VALUE"""),3.3916666666666666)</f>
        <v>3.391666667</v>
      </c>
      <c r="J26" s="29">
        <f>IFERROR(__xludf.DUMMYFUNCTION("""COMPUTED_VALUE"""),79.0)</f>
        <v>79</v>
      </c>
      <c r="K26" s="29">
        <f>IFERROR(__xludf.DUMMYFUNCTION("""COMPUTED_VALUE"""),7.5)</f>
        <v>7.5</v>
      </c>
      <c r="L26" s="31" t="str">
        <f>IFERROR(__xludf.DUMMYFUNCTION("""COMPUTED_VALUE"""),"Adventure")</f>
        <v>Adventure</v>
      </c>
      <c r="M26" s="31"/>
      <c r="N26" s="31" t="str">
        <f>IFERROR(__xludf.DUMMYFUNCTION("""COMPUTED_VALUE"""),"Returning title: Originally joined 7/7/22, left 6/30/23")</f>
        <v>Returning title: Originally joined 7/7/22, left 6/30/23</v>
      </c>
    </row>
    <row r="27">
      <c r="A27" s="17" t="str">
        <f>IFERROR(__xludf.DUMMYFUNCTION("""COMPUTED_VALUE"""),"Carrion")</f>
        <v>Carrion</v>
      </c>
      <c r="B27" s="20" t="str">
        <f>IFERROR(__xludf.DUMMYFUNCTION("""COMPUTED_VALUE"""),"Xbox / PC")</f>
        <v>Xbox / PC</v>
      </c>
      <c r="C27" s="21" t="str">
        <f>IFERROR(__xludf.DUMMYFUNCTION("""COMPUTED_VALUE"""),"Yes")</f>
        <v>Yes</v>
      </c>
      <c r="D27" s="21" t="str">
        <f>IFERROR(__xludf.DUMMYFUNCTION("""COMPUTED_VALUE"""),"Removed")</f>
        <v>Removed</v>
      </c>
      <c r="E27" s="23">
        <f>IFERROR(__xludf.DUMMYFUNCTION("""COMPUTED_VALUE"""),45659.0)</f>
        <v>45659</v>
      </c>
      <c r="F27" s="24">
        <f>IFERROR(__xludf.DUMMYFUNCTION("""COMPUTED_VALUE"""),46022.0)</f>
        <v>46022</v>
      </c>
      <c r="G27" s="27">
        <f>IFERROR(__xludf.DUMMYFUNCTION("""COMPUTED_VALUE"""),11.933333333333334)</f>
        <v>11.93333333</v>
      </c>
      <c r="H27" s="23">
        <f>IFERROR(__xludf.DUMMYFUNCTION("""COMPUTED_VALUE"""),44035.0)</f>
        <v>44035</v>
      </c>
      <c r="I27" s="27">
        <f>IFERROR(__xludf.DUMMYFUNCTION("""COMPUTED_VALUE"""),4.441666666666666)</f>
        <v>4.441666667</v>
      </c>
      <c r="J27" s="29">
        <f>IFERROR(__xludf.DUMMYFUNCTION("""COMPUTED_VALUE"""),76.0)</f>
        <v>76</v>
      </c>
      <c r="K27" s="29">
        <f>IFERROR(__xludf.DUMMYFUNCTION("""COMPUTED_VALUE"""),4.0)</f>
        <v>4</v>
      </c>
      <c r="L27" s="31" t="str">
        <f>IFERROR(__xludf.DUMMYFUNCTION("""COMPUTED_VALUE"""),"Action")</f>
        <v>Action</v>
      </c>
      <c r="M27" s="31"/>
      <c r="N27" s="31" t="str">
        <f>IFERROR(__xludf.DUMMYFUNCTION("""COMPUTED_VALUE"""),"Returning title: Originally joined 7/23/20, left 7/15/22")</f>
        <v>Returning title: Originally joined 7/23/20, left 7/15/22</v>
      </c>
    </row>
    <row r="28">
      <c r="A28" s="17" t="str">
        <f>IFERROR(__xludf.DUMMYFUNCTION("""COMPUTED_VALUE"""),"Ashen")</f>
        <v>Ashen</v>
      </c>
      <c r="B28" s="20" t="str">
        <f>IFERROR(__xludf.DUMMYFUNCTION("""COMPUTED_VALUE"""),"Xbox / PC")</f>
        <v>Xbox / PC</v>
      </c>
      <c r="C28" s="21"/>
      <c r="D28" s="21" t="str">
        <f>IFERROR(__xludf.DUMMYFUNCTION("""COMPUTED_VALUE"""),"Removed")</f>
        <v>Removed</v>
      </c>
      <c r="E28" s="23">
        <f>IFERROR(__xludf.DUMMYFUNCTION("""COMPUTED_VALUE"""),45594.0)</f>
        <v>45594</v>
      </c>
      <c r="F28" s="24">
        <f>IFERROR(__xludf.DUMMYFUNCTION("""COMPUTED_VALUE"""),46127.0)</f>
        <v>46127</v>
      </c>
      <c r="G28" s="27">
        <f>IFERROR(__xludf.DUMMYFUNCTION("""COMPUTED_VALUE"""),17.53333333333333)</f>
        <v>17.53333333</v>
      </c>
      <c r="H28" s="23">
        <f>IFERROR(__xludf.DUMMYFUNCTION("""COMPUTED_VALUE"""),43441.0)</f>
        <v>43441</v>
      </c>
      <c r="I28" s="27">
        <f>IFERROR(__xludf.DUMMYFUNCTION("""COMPUTED_VALUE"""),5.894444444444445)</f>
        <v>5.894444444</v>
      </c>
      <c r="J28" s="29">
        <f>IFERROR(__xludf.DUMMYFUNCTION("""COMPUTED_VALUE"""),78.0)</f>
        <v>78</v>
      </c>
      <c r="K28" s="29">
        <f>IFERROR(__xludf.DUMMYFUNCTION("""COMPUTED_VALUE"""),15.5)</f>
        <v>15.5</v>
      </c>
      <c r="L28" s="31" t="str">
        <f>IFERROR(__xludf.DUMMYFUNCTION("""COMPUTED_VALUE"""),"RPG")</f>
        <v>RPG</v>
      </c>
      <c r="M28" s="31"/>
      <c r="N28" s="31" t="str">
        <f>IFERROR(__xludf.DUMMYFUNCTION("""COMPUTED_VALUE"""),"Returning title: Originally joined 12/31/18, left 12/1/19")</f>
        <v>Returning title: Originally joined 12/31/18, left 12/1/19</v>
      </c>
    </row>
    <row r="29">
      <c r="A29" s="17" t="str">
        <f>IFERROR(__xludf.DUMMYFUNCTION("""COMPUTED_VALUE"""),"Donut County")</f>
        <v>Donut County</v>
      </c>
      <c r="B29" s="20" t="str">
        <f>IFERROR(__xludf.DUMMYFUNCTION("""COMPUTED_VALUE"""),"Xbox / PC")</f>
        <v>Xbox / PC</v>
      </c>
      <c r="C29" s="21" t="str">
        <f>IFERROR(__xludf.DUMMYFUNCTION("""COMPUTED_VALUE"""),"Touch Controls")</f>
        <v>Touch Controls</v>
      </c>
      <c r="D29" s="21" t="str">
        <f>IFERROR(__xludf.DUMMYFUNCTION("""COMPUTED_VALUE"""),"Leaving Soon")</f>
        <v>Leaving Soon</v>
      </c>
      <c r="E29" s="23">
        <f>IFERROR(__xludf.DUMMYFUNCTION("""COMPUTED_VALUE"""),45582.0)</f>
        <v>45582</v>
      </c>
      <c r="F29" s="24">
        <f>IFERROR(__xludf.DUMMYFUNCTION("""COMPUTED_VALUE"""),46310.0)</f>
        <v>46310</v>
      </c>
      <c r="G29" s="27">
        <f>IFERROR(__xludf.DUMMYFUNCTION("""COMPUTED_VALUE"""),23.933333333333334)</f>
        <v>23.93333333</v>
      </c>
      <c r="H29" s="23">
        <f>IFERROR(__xludf.DUMMYFUNCTION("""COMPUTED_VALUE"""),43340.0)</f>
        <v>43340</v>
      </c>
      <c r="I29" s="27">
        <f>IFERROR(__xludf.DUMMYFUNCTION("""COMPUTED_VALUE"""),6.136111111111111)</f>
        <v>6.136111111</v>
      </c>
      <c r="J29" s="29">
        <f>IFERROR(__xludf.DUMMYFUNCTION("""COMPUTED_VALUE"""),82.0)</f>
        <v>82</v>
      </c>
      <c r="K29" s="29">
        <f>IFERROR(__xludf.DUMMYFUNCTION("""COMPUTED_VALUE"""),2.0)</f>
        <v>2</v>
      </c>
      <c r="L29" s="31" t="str">
        <f>IFERROR(__xludf.DUMMYFUNCTION("""COMPUTED_VALUE"""),"Action")</f>
        <v>Action</v>
      </c>
      <c r="M29" s="31"/>
      <c r="N29" s="31" t="str">
        <f>IFERROR(__xludf.DUMMYFUNCTION("""COMPUTED_VALUE"""),"Returning title: Originally joined 1/21/21, left 1/31/23, Official PC Mod Support")</f>
        <v>Returning title: Originally joined 1/21/21, left 1/31/23, Official PC Mod Support</v>
      </c>
    </row>
    <row r="30">
      <c r="A30" s="17" t="str">
        <f>IFERROR(__xludf.DUMMYFUNCTION("""COMPUTED_VALUE"""),"Journey to the Savage Planet")</f>
        <v>Journey to the Savage Planet</v>
      </c>
      <c r="B30" s="20" t="str">
        <f>IFERROR(__xludf.DUMMYFUNCTION("""COMPUTED_VALUE"""),"Xbox / PC")</f>
        <v>Xbox / PC</v>
      </c>
      <c r="C30" s="21" t="str">
        <f>IFERROR(__xludf.DUMMYFUNCTION("""COMPUTED_VALUE"""),"Yes")</f>
        <v>Yes</v>
      </c>
      <c r="D30" s="21" t="str">
        <f>IFERROR(__xludf.DUMMYFUNCTION("""COMPUTED_VALUE"""),"Removed")</f>
        <v>Removed</v>
      </c>
      <c r="E30" s="23">
        <f>IFERROR(__xludf.DUMMYFUNCTION("""COMPUTED_VALUE"""),45476.0)</f>
        <v>45476</v>
      </c>
      <c r="F30" s="24">
        <f>IFERROR(__xludf.DUMMYFUNCTION("""COMPUTED_VALUE"""),45838.0)</f>
        <v>45838</v>
      </c>
      <c r="G30" s="27">
        <f>IFERROR(__xludf.DUMMYFUNCTION("""COMPUTED_VALUE"""),11.9)</f>
        <v>11.9</v>
      </c>
      <c r="H30" s="23">
        <f>IFERROR(__xludf.DUMMYFUNCTION("""COMPUTED_VALUE"""),43858.0)</f>
        <v>43858</v>
      </c>
      <c r="I30" s="27">
        <f>IFERROR(__xludf.DUMMYFUNCTION("""COMPUTED_VALUE"""),4.430555555555555)</f>
        <v>4.430555556</v>
      </c>
      <c r="J30" s="29">
        <f>IFERROR(__xludf.DUMMYFUNCTION("""COMPUTED_VALUE"""),76.0)</f>
        <v>76</v>
      </c>
      <c r="K30" s="29">
        <f>IFERROR(__xludf.DUMMYFUNCTION("""COMPUTED_VALUE"""),7.0)</f>
        <v>7</v>
      </c>
      <c r="L30" s="31" t="str">
        <f>IFERROR(__xludf.DUMMYFUNCTION("""COMPUTED_VALUE"""),"Shooter")</f>
        <v>Shooter</v>
      </c>
      <c r="M30" s="31"/>
      <c r="N30" s="31" t="str">
        <f>IFERROR(__xludf.DUMMYFUNCTION("""COMPUTED_VALUE"""),"Returning title: Added 4/9/20, left 3/31/21 (xbox and cloud)")</f>
        <v>Returning title: Added 4/9/20, left 3/31/21 (xbox and cloud)</v>
      </c>
    </row>
    <row r="31">
      <c r="A31" s="17" t="str">
        <f>IFERROR(__xludf.DUMMYFUNCTION("""COMPUTED_VALUE"""),"SteamWorld Dig 2")</f>
        <v>SteamWorld Dig 2</v>
      </c>
      <c r="B31" s="20" t="str">
        <f>IFERROR(__xludf.DUMMYFUNCTION("""COMPUTED_VALUE"""),"Xbox / PC")</f>
        <v>Xbox / PC</v>
      </c>
      <c r="C31" s="21"/>
      <c r="D31" s="21" t="str">
        <f>IFERROR(__xludf.DUMMYFUNCTION("""COMPUTED_VALUE"""),"Removed")</f>
        <v>Removed</v>
      </c>
      <c r="E31" s="23">
        <f>IFERROR(__xludf.DUMMYFUNCTION("""COMPUTED_VALUE"""),45469.0)</f>
        <v>45469</v>
      </c>
      <c r="F31" s="24">
        <f>IFERROR(__xludf.DUMMYFUNCTION("""COMPUTED_VALUE"""),45838.0)</f>
        <v>45838</v>
      </c>
      <c r="G31" s="27">
        <f>IFERROR(__xludf.DUMMYFUNCTION("""COMPUTED_VALUE"""),12.133333333333333)</f>
        <v>12.13333333</v>
      </c>
      <c r="H31" s="23">
        <f>IFERROR(__xludf.DUMMYFUNCTION("""COMPUTED_VALUE"""),42999.0)</f>
        <v>42999</v>
      </c>
      <c r="I31" s="27">
        <f>IFERROR(__xludf.DUMMYFUNCTION("""COMPUTED_VALUE"""),6.763888888888889)</f>
        <v>6.763888889</v>
      </c>
      <c r="J31" s="29">
        <f>IFERROR(__xludf.DUMMYFUNCTION("""COMPUTED_VALUE"""),88.0)</f>
        <v>88</v>
      </c>
      <c r="K31" s="29">
        <f>IFERROR(__xludf.DUMMYFUNCTION("""COMPUTED_VALUE"""),8.0)</f>
        <v>8</v>
      </c>
      <c r="L31" s="31" t="str">
        <f>IFERROR(__xludf.DUMMYFUNCTION("""COMPUTED_VALUE"""),"Metroidvania")</f>
        <v>Metroidvania</v>
      </c>
      <c r="M31" s="31"/>
      <c r="N31" s="31" t="str">
        <f>IFERROR(__xludf.DUMMYFUNCTION("""COMPUTED_VALUE"""),"Returning title: Originally joined 6/9/19, left 6/30/20")</f>
        <v>Returning title: Originally joined 6/9/19, left 6/30/20</v>
      </c>
    </row>
    <row r="32">
      <c r="A32" s="17" t="str">
        <f>IFERROR(__xludf.DUMMYFUNCTION("""COMPUTED_VALUE"""),"Octopath Traveler")</f>
        <v>Octopath Traveler</v>
      </c>
      <c r="B32" s="20" t="str">
        <f>IFERROR(__xludf.DUMMYFUNCTION("""COMPUTED_VALUE"""),"Xbox / PC")</f>
        <v>Xbox / PC</v>
      </c>
      <c r="C32" s="21" t="str">
        <f>IFERROR(__xludf.DUMMYFUNCTION("""COMPUTED_VALUE"""),"Touch Controls")</f>
        <v>Touch Controls</v>
      </c>
      <c r="D32" s="21" t="str">
        <f>IFERROR(__xludf.DUMMYFUNCTION("""COMPUTED_VALUE"""),"Removed")</f>
        <v>Removed</v>
      </c>
      <c r="E32" s="23">
        <f>IFERROR(__xludf.DUMMYFUNCTION("""COMPUTED_VALUE"""),45449.0)</f>
        <v>45449</v>
      </c>
      <c r="F32" s="24">
        <f>IFERROR(__xludf.DUMMYFUNCTION("""COMPUTED_VALUE"""),45991.0)</f>
        <v>45991</v>
      </c>
      <c r="G32" s="27">
        <f>IFERROR(__xludf.DUMMYFUNCTION("""COMPUTED_VALUE"""),17.8)</f>
        <v>17.8</v>
      </c>
      <c r="H32" s="23">
        <f>IFERROR(__xludf.DUMMYFUNCTION("""COMPUTED_VALUE"""),43293.0)</f>
        <v>43293</v>
      </c>
      <c r="I32" s="27">
        <f>IFERROR(__xludf.DUMMYFUNCTION("""COMPUTED_VALUE"""),5.9)</f>
        <v>5.9</v>
      </c>
      <c r="J32" s="29">
        <f>IFERROR(__xludf.DUMMYFUNCTION("""COMPUTED_VALUE"""),83.0)</f>
        <v>83</v>
      </c>
      <c r="K32" s="29">
        <f>IFERROR(__xludf.DUMMYFUNCTION("""COMPUTED_VALUE"""),61.0)</f>
        <v>61</v>
      </c>
      <c r="L32" s="31" t="str">
        <f>IFERROR(__xludf.DUMMYFUNCTION("""COMPUTED_VALUE"""),"RPG")</f>
        <v>RPG</v>
      </c>
      <c r="M32" s="31"/>
      <c r="N32" s="31" t="str">
        <f>IFERROR(__xludf.DUMMYFUNCTION("""COMPUTED_VALUE"""),"Returning title: Originally joined 3/25/21, left 2/28/23")</f>
        <v>Returning title: Originally joined 3/25/21, left 2/28/23</v>
      </c>
    </row>
    <row r="33">
      <c r="A33" s="17" t="str">
        <f>IFERROR(__xludf.DUMMYFUNCTION("""COMPUTED_VALUE"""),"Brothers: A Tale of Two Sons")</f>
        <v>Brothers: A Tale of Two Sons</v>
      </c>
      <c r="B33" s="20" t="str">
        <f>IFERROR(__xludf.DUMMYFUNCTION("""COMPUTED_VALUE"""),"Xbox / PC")</f>
        <v>Xbox / PC</v>
      </c>
      <c r="C33" s="21" t="str">
        <f>IFERROR(__xludf.DUMMYFUNCTION("""COMPUTED_VALUE"""),"Yes")</f>
        <v>Yes</v>
      </c>
      <c r="D33" s="21" t="str">
        <f>IFERROR(__xludf.DUMMYFUNCTION("""COMPUTED_VALUE"""),"Removed")</f>
        <v>Removed</v>
      </c>
      <c r="E33" s="23">
        <f>IFERROR(__xludf.DUMMYFUNCTION("""COMPUTED_VALUE"""),45426.0)</f>
        <v>45426</v>
      </c>
      <c r="F33" s="24">
        <f>IFERROR(__xludf.DUMMYFUNCTION("""COMPUTED_VALUE"""),45792.0)</f>
        <v>45792</v>
      </c>
      <c r="G33" s="27">
        <f>IFERROR(__xludf.DUMMYFUNCTION("""COMPUTED_VALUE"""),12.033333333333333)</f>
        <v>12.03333333</v>
      </c>
      <c r="H33" s="23">
        <f>IFERROR(__xludf.DUMMYFUNCTION("""COMPUTED_VALUE"""),41493.0)</f>
        <v>41493</v>
      </c>
      <c r="I33" s="27">
        <f>IFERROR(__xludf.DUMMYFUNCTION("""COMPUTED_VALUE"""),10.769444444444444)</f>
        <v>10.76944444</v>
      </c>
      <c r="J33" s="29">
        <f>IFERROR(__xludf.DUMMYFUNCTION("""COMPUTED_VALUE"""),81.0)</f>
        <v>81</v>
      </c>
      <c r="K33" s="29">
        <f>IFERROR(__xludf.DUMMYFUNCTION("""COMPUTED_VALUE"""),3.0)</f>
        <v>3</v>
      </c>
      <c r="L33" s="31" t="str">
        <f>IFERROR(__xludf.DUMMYFUNCTION("""COMPUTED_VALUE"""),"Action-Adventure")</f>
        <v>Action-Adventure</v>
      </c>
      <c r="M33" s="31"/>
      <c r="N33" s="31" t="str">
        <f>IFERROR(__xludf.DUMMYFUNCTION("""COMPUTED_VALUE"""),"Returning title: Added 6/1/17, left 5/31/20")</f>
        <v>Returning title: Added 6/1/17, left 5/31/20</v>
      </c>
    </row>
    <row r="34">
      <c r="A34" s="17" t="str">
        <f>IFERROR(__xludf.DUMMYFUNCTION("""COMPUTED_VALUE"""),"Tomb Raider: Definitive Edition")</f>
        <v>Tomb Raider: Definitive Edition</v>
      </c>
      <c r="B34" s="20" t="str">
        <f>IFERROR(__xludf.DUMMYFUNCTION("""COMPUTED_VALUE"""),"Xbox / PC")</f>
        <v>Xbox / PC</v>
      </c>
      <c r="C34" s="21" t="str">
        <f>IFERROR(__xludf.DUMMYFUNCTION("""COMPUTED_VALUE"""),"Yes")</f>
        <v>Yes</v>
      </c>
      <c r="D34" s="21" t="str">
        <f>IFERROR(__xludf.DUMMYFUNCTION("""COMPUTED_VALUE"""),"Removed")</f>
        <v>Removed</v>
      </c>
      <c r="E34" s="23">
        <f>IFERROR(__xludf.DUMMYFUNCTION("""COMPUTED_VALUE"""),45414.0)</f>
        <v>45414</v>
      </c>
      <c r="F34" s="24">
        <f>IFERROR(__xludf.DUMMYFUNCTION("""COMPUTED_VALUE"""),46203.0)</f>
        <v>46203</v>
      </c>
      <c r="G34" s="27">
        <f>IFERROR(__xludf.DUMMYFUNCTION("""COMPUTED_VALUE"""),25.93333333333333)</f>
        <v>25.93333333</v>
      </c>
      <c r="H34" s="23">
        <f>IFERROR(__xludf.DUMMYFUNCTION("""COMPUTED_VALUE"""),41338.0)</f>
        <v>41338</v>
      </c>
      <c r="I34" s="27">
        <f>IFERROR(__xludf.DUMMYFUNCTION("""COMPUTED_VALUE"""),11.158333333333333)</f>
        <v>11.15833333</v>
      </c>
      <c r="J34" s="29">
        <f>IFERROR(__xludf.DUMMYFUNCTION("""COMPUTED_VALUE"""),86.0)</f>
        <v>86</v>
      </c>
      <c r="K34" s="29">
        <f>IFERROR(__xludf.DUMMYFUNCTION("""COMPUTED_VALUE"""),11.5)</f>
        <v>11.5</v>
      </c>
      <c r="L34" s="31" t="str">
        <f>IFERROR(__xludf.DUMMYFUNCTION("""COMPUTED_VALUE"""),"Shooter")</f>
        <v>Shooter</v>
      </c>
      <c r="M34" s="31" t="str">
        <f>IFERROR(__xludf.DUMMYFUNCTION("""COMPUTED_VALUE"""),"FPS Boost")</f>
        <v>FPS Boost</v>
      </c>
      <c r="N34" s="31" t="str">
        <f>IFERROR(__xludf.DUMMYFUNCTION("""COMPUTED_VALUE"""),"Returning title: Added 1/1/19, left 1/15/20 (console only)")</f>
        <v>Returning title: Added 1/1/19, left 1/15/20 (console only)</v>
      </c>
    </row>
    <row r="35">
      <c r="A35" s="17" t="str">
        <f>IFERROR(__xludf.DUMMYFUNCTION("""COMPUTED_VALUE"""),"Shadow of the Tomb Raider: Definitive Edition")</f>
        <v>Shadow of the Tomb Raider: Definitive Edition</v>
      </c>
      <c r="B35" s="20" t="str">
        <f>IFERROR(__xludf.DUMMYFUNCTION("""COMPUTED_VALUE"""),"Xbox / PC")</f>
        <v>Xbox / PC</v>
      </c>
      <c r="C35" s="21" t="str">
        <f>IFERROR(__xludf.DUMMYFUNCTION("""COMPUTED_VALUE"""),"Yes")</f>
        <v>Yes</v>
      </c>
      <c r="D35" s="21" t="str">
        <f>IFERROR(__xludf.DUMMYFUNCTION("""COMPUTED_VALUE"""),"Removed")</f>
        <v>Removed</v>
      </c>
      <c r="E35" s="23">
        <f>IFERROR(__xludf.DUMMYFUNCTION("""COMPUTED_VALUE"""),45393.0)</f>
        <v>45393</v>
      </c>
      <c r="F35" s="24">
        <f>IFERROR(__xludf.DUMMYFUNCTION("""COMPUTED_VALUE"""),46218.0)</f>
        <v>46218</v>
      </c>
      <c r="G35" s="27">
        <f>IFERROR(__xludf.DUMMYFUNCTION("""COMPUTED_VALUE"""),27.133333333333333)</f>
        <v>27.13333333</v>
      </c>
      <c r="H35" s="23">
        <f>IFERROR(__xludf.DUMMYFUNCTION("""COMPUTED_VALUE"""),43357.0)</f>
        <v>43357</v>
      </c>
      <c r="I35" s="27">
        <f>IFERROR(__xludf.DUMMYFUNCTION("""COMPUTED_VALUE"""),5.575)</f>
        <v>5.575</v>
      </c>
      <c r="J35" s="29">
        <f>IFERROR(__xludf.DUMMYFUNCTION("""COMPUTED_VALUE"""),82.0)</f>
        <v>82</v>
      </c>
      <c r="K35" s="29">
        <f>IFERROR(__xludf.DUMMYFUNCTION("""COMPUTED_VALUE"""),13.0)</f>
        <v>13</v>
      </c>
      <c r="L35" s="31" t="str">
        <f>IFERROR(__xludf.DUMMYFUNCTION("""COMPUTED_VALUE"""),"Action-Adventure")</f>
        <v>Action-Adventure</v>
      </c>
      <c r="M35" s="31"/>
      <c r="N35" s="31" t="str">
        <f>IFERROR(__xludf.DUMMYFUNCTION("""COMPUTED_VALUE"""),"Returning title: Added 2/1/19, left 2/15/20 (base game only)")</f>
        <v>Returning title: Added 2/1/19, left 2/15/20 (base game only)</v>
      </c>
    </row>
    <row r="36">
      <c r="A36" s="17" t="str">
        <f>IFERROR(__xludf.DUMMYFUNCTION("""COMPUTED_VALUE"""),"Kona")</f>
        <v>Kona</v>
      </c>
      <c r="B36" s="20" t="str">
        <f>IFERROR(__xludf.DUMMYFUNCTION("""COMPUTED_VALUE"""),"Xbox")</f>
        <v>Xbox</v>
      </c>
      <c r="C36" s="21" t="str">
        <f>IFERROR(__xludf.DUMMYFUNCTION("""COMPUTED_VALUE"""),"Yes")</f>
        <v>Yes</v>
      </c>
      <c r="D36" s="21" t="str">
        <f>IFERROR(__xludf.DUMMYFUNCTION("""COMPUTED_VALUE"""),"Removed")</f>
        <v>Removed</v>
      </c>
      <c r="E36" s="23">
        <f>IFERROR(__xludf.DUMMYFUNCTION("""COMPUTED_VALUE"""),45391.0)</f>
        <v>45391</v>
      </c>
      <c r="F36" s="24">
        <f>IFERROR(__xludf.DUMMYFUNCTION("""COMPUTED_VALUE"""),45762.0)</f>
        <v>45762</v>
      </c>
      <c r="G36" s="27">
        <f>IFERROR(__xludf.DUMMYFUNCTION("""COMPUTED_VALUE"""),12.2)</f>
        <v>12.2</v>
      </c>
      <c r="H36" s="23">
        <f>IFERROR(__xludf.DUMMYFUNCTION("""COMPUTED_VALUE"""),42439.0)</f>
        <v>42439</v>
      </c>
      <c r="I36" s="27">
        <f>IFERROR(__xludf.DUMMYFUNCTION("""COMPUTED_VALUE"""),8.080555555555556)</f>
        <v>8.080555556</v>
      </c>
      <c r="J36" s="29">
        <f>IFERROR(__xludf.DUMMYFUNCTION("""COMPUTED_VALUE"""),71.0)</f>
        <v>71</v>
      </c>
      <c r="K36" s="29">
        <f>IFERROR(__xludf.DUMMYFUNCTION("""COMPUTED_VALUE"""),5.5)</f>
        <v>5.5</v>
      </c>
      <c r="L36" s="31" t="str">
        <f>IFERROR(__xludf.DUMMYFUNCTION("""COMPUTED_VALUE"""),"Adventure")</f>
        <v>Adventure</v>
      </c>
      <c r="M36" s="31"/>
      <c r="N36" s="31" t="str">
        <f>IFERROR(__xludf.DUMMYFUNCTION("""COMPUTED_VALUE"""),"Returning title: Added 3/19/20, left 3/15/21")</f>
        <v>Returning title: Added 3/19/20, left 3/15/21</v>
      </c>
    </row>
    <row r="37">
      <c r="A37" s="17" t="str">
        <f>IFERROR(__xludf.DUMMYFUNCTION("""COMPUTED_VALUE"""),"Superhot: Mind Control Delete")</f>
        <v>Superhot: Mind Control Delete</v>
      </c>
      <c r="B37" s="20" t="str">
        <f>IFERROR(__xludf.DUMMYFUNCTION("""COMPUTED_VALUE"""),"Xbox / PC")</f>
        <v>Xbox / PC</v>
      </c>
      <c r="C37" s="21" t="str">
        <f>IFERROR(__xludf.DUMMYFUNCTION("""COMPUTED_VALUE"""),"Yes")</f>
        <v>Yes</v>
      </c>
      <c r="D37" s="21" t="str">
        <f>IFERROR(__xludf.DUMMYFUNCTION("""COMPUTED_VALUE"""),"Active")</f>
        <v>Active</v>
      </c>
      <c r="E37" s="23">
        <f>IFERROR(__xludf.DUMMYFUNCTION("""COMPUTED_VALUE"""),45384.0)</f>
        <v>45384</v>
      </c>
      <c r="F37" s="24"/>
      <c r="G37" s="27">
        <f>IFERROR(__xludf.DUMMYFUNCTION("""COMPUTED_VALUE"""),30.133333333333333)</f>
        <v>30.13333333</v>
      </c>
      <c r="H37" s="23">
        <f>IFERROR(__xludf.DUMMYFUNCTION("""COMPUTED_VALUE"""),44028.0)</f>
        <v>44028</v>
      </c>
      <c r="I37" s="27">
        <f>IFERROR(__xludf.DUMMYFUNCTION("""COMPUTED_VALUE"""),3.7111111111111112)</f>
        <v>3.711111111</v>
      </c>
      <c r="J37" s="29">
        <f>IFERROR(__xludf.DUMMYFUNCTION("""COMPUTED_VALUE"""),82.0)</f>
        <v>82</v>
      </c>
      <c r="K37" s="29">
        <f>IFERROR(__xludf.DUMMYFUNCTION("""COMPUTED_VALUE"""),5.5)</f>
        <v>5.5</v>
      </c>
      <c r="L37" s="31" t="str">
        <f>IFERROR(__xludf.DUMMYFUNCTION("""COMPUTED_VALUE"""),"Shooter")</f>
        <v>Shooter</v>
      </c>
      <c r="M37" s="31" t="str">
        <f>IFERROR(__xludf.DUMMYFUNCTION("""COMPUTED_VALUE"""),"Optimized")</f>
        <v>Optimized</v>
      </c>
      <c r="N37" s="31" t="str">
        <f>IFERROR(__xludf.DUMMYFUNCTION("""COMPUTED_VALUE"""),"Game Pass Essential (4/23/24), Returning title: Added 12/10/20, left 5/31/22")</f>
        <v>Game Pass Essential (4/23/24), Returning title: Added 12/10/20, left 5/31/22</v>
      </c>
    </row>
    <row r="38">
      <c r="A38" s="17" t="str">
        <f>IFERROR(__xludf.DUMMYFUNCTION("""COMPUTED_VALUE"""),"Control: Ultimate Edition")</f>
        <v>Control: Ultimate Edition</v>
      </c>
      <c r="B38" s="20" t="str">
        <f>IFERROR(__xludf.DUMMYFUNCTION("""COMPUTED_VALUE"""),"Xbox / PC")</f>
        <v>Xbox / PC</v>
      </c>
      <c r="C38" s="21" t="str">
        <f>IFERROR(__xludf.DUMMYFUNCTION("""COMPUTED_VALUE"""),"Yes")</f>
        <v>Yes</v>
      </c>
      <c r="D38" s="21" t="str">
        <f>IFERROR(__xludf.DUMMYFUNCTION("""COMPUTED_VALUE"""),"Active")</f>
        <v>Active</v>
      </c>
      <c r="E38" s="23">
        <f>IFERROR(__xludf.DUMMYFUNCTION("""COMPUTED_VALUE"""),45364.0)</f>
        <v>45364</v>
      </c>
      <c r="F38" s="24"/>
      <c r="G38" s="27">
        <f>IFERROR(__xludf.DUMMYFUNCTION("""COMPUTED_VALUE"""),30.76666666666667)</f>
        <v>30.76666667</v>
      </c>
      <c r="H38" s="23">
        <f>IFERROR(__xludf.DUMMYFUNCTION("""COMPUTED_VALUE"""),44229.0)</f>
        <v>44229</v>
      </c>
      <c r="I38" s="27">
        <f>IFERROR(__xludf.DUMMYFUNCTION("""COMPUTED_VALUE"""),3.113888888888889)</f>
        <v>3.113888889</v>
      </c>
      <c r="J38" s="29">
        <f>IFERROR(__xludf.DUMMYFUNCTION("""COMPUTED_VALUE"""),85.0)</f>
        <v>85</v>
      </c>
      <c r="K38" s="29">
        <f>IFERROR(__xludf.DUMMYFUNCTION("""COMPUTED_VALUE"""),13.0)</f>
        <v>13</v>
      </c>
      <c r="L38" s="31" t="str">
        <f>IFERROR(__xludf.DUMMYFUNCTION("""COMPUTED_VALUE"""),"Action")</f>
        <v>Action</v>
      </c>
      <c r="M38" s="31"/>
      <c r="N38" s="31" t="str">
        <f>IFERROR(__xludf.DUMMYFUNCTION("""COMPUTED_VALUE"""),"Returning title: Joined 12/3/20, left 2/15/22 (base game)")</f>
        <v>Returning title: Joined 12/3/20, left 2/15/22 (base game)</v>
      </c>
    </row>
    <row r="39">
      <c r="A39" s="17" t="str">
        <f>IFERROR(__xludf.DUMMYFUNCTION("""COMPUTED_VALUE"""),"Indivisible")</f>
        <v>Indivisible</v>
      </c>
      <c r="B39" s="20" t="str">
        <f>IFERROR(__xludf.DUMMYFUNCTION("""COMPUTED_VALUE"""),"Xbox / PC")</f>
        <v>Xbox / PC</v>
      </c>
      <c r="C39" s="21" t="str">
        <f>IFERROR(__xludf.DUMMYFUNCTION("""COMPUTED_VALUE"""),"Yes")</f>
        <v>Yes</v>
      </c>
      <c r="D39" s="21" t="str">
        <f>IFERROR(__xludf.DUMMYFUNCTION("""COMPUTED_VALUE"""),"Removed")</f>
        <v>Removed</v>
      </c>
      <c r="E39" s="23">
        <f>IFERROR(__xludf.DUMMYFUNCTION("""COMPUTED_VALUE"""),45350.0)</f>
        <v>45350</v>
      </c>
      <c r="F39" s="24">
        <f>IFERROR(__xludf.DUMMYFUNCTION("""COMPUTED_VALUE"""),45703.0)</f>
        <v>45703</v>
      </c>
      <c r="G39" s="27">
        <f>IFERROR(__xludf.DUMMYFUNCTION("""COMPUTED_VALUE"""),11.566666666666666)</f>
        <v>11.56666667</v>
      </c>
      <c r="H39" s="23">
        <f>IFERROR(__xludf.DUMMYFUNCTION("""COMPUTED_VALUE"""),43746.0)</f>
        <v>43746</v>
      </c>
      <c r="I39" s="27">
        <f>IFERROR(__xludf.DUMMYFUNCTION("""COMPUTED_VALUE"""),4.388888888888889)</f>
        <v>4.388888889</v>
      </c>
      <c r="J39" s="29">
        <f>IFERROR(__xludf.DUMMYFUNCTION("""COMPUTED_VALUE"""),82.0)</f>
        <v>82</v>
      </c>
      <c r="K39" s="29">
        <f>IFERROR(__xludf.DUMMYFUNCTION("""COMPUTED_VALUE"""),18.5)</f>
        <v>18.5</v>
      </c>
      <c r="L39" s="31" t="str">
        <f>IFERROR(__xludf.DUMMYFUNCTION("""COMPUTED_VALUE"""),"RPG")</f>
        <v>RPG</v>
      </c>
      <c r="M39" s="31"/>
      <c r="N39" s="31" t="str">
        <f>IFERROR(__xludf.DUMMYFUNCTION("""COMPUTED_VALUE"""),"Returning title: Added 1/23/20, left 1/29/21")</f>
        <v>Returning title: Added 1/23/20, left 1/29/21</v>
      </c>
    </row>
    <row r="40">
      <c r="A40" s="17" t="str">
        <f>IFERROR(__xludf.DUMMYFUNCTION("""COMPUTED_VALUE"""),"Maneater")</f>
        <v>Maneater</v>
      </c>
      <c r="B40" s="20" t="str">
        <f>IFERROR(__xludf.DUMMYFUNCTION("""COMPUTED_VALUE"""),"Xbox / PC")</f>
        <v>Xbox / PC</v>
      </c>
      <c r="C40" s="21" t="str">
        <f>IFERROR(__xludf.DUMMYFUNCTION("""COMPUTED_VALUE"""),"Yes")</f>
        <v>Yes</v>
      </c>
      <c r="D40" s="21" t="str">
        <f>IFERROR(__xludf.DUMMYFUNCTION("""COMPUTED_VALUE"""),"Removed")</f>
        <v>Removed</v>
      </c>
      <c r="E40" s="23">
        <f>IFERROR(__xludf.DUMMYFUNCTION("""COMPUTED_VALUE"""),45349.0)</f>
        <v>45349</v>
      </c>
      <c r="F40" s="24">
        <f>IFERROR(__xludf.DUMMYFUNCTION("""COMPUTED_VALUE"""),45716.0)</f>
        <v>45716</v>
      </c>
      <c r="G40" s="27">
        <f>IFERROR(__xludf.DUMMYFUNCTION("""COMPUTED_VALUE"""),12.033333333333333)</f>
        <v>12.03333333</v>
      </c>
      <c r="H40" s="23">
        <f>IFERROR(__xludf.DUMMYFUNCTION("""COMPUTED_VALUE"""),43973.0)</f>
        <v>43973</v>
      </c>
      <c r="I40" s="27">
        <f>IFERROR(__xludf.DUMMYFUNCTION("""COMPUTED_VALUE"""),3.763888888888889)</f>
        <v>3.763888889</v>
      </c>
      <c r="J40" s="29">
        <f>IFERROR(__xludf.DUMMYFUNCTION("""COMPUTED_VALUE"""),70.5)</f>
        <v>70.5</v>
      </c>
      <c r="K40" s="29">
        <f>IFERROR(__xludf.DUMMYFUNCTION("""COMPUTED_VALUE"""),8.0)</f>
        <v>8</v>
      </c>
      <c r="L40" s="31" t="str">
        <f>IFERROR(__xludf.DUMMYFUNCTION("""COMPUTED_VALUE"""),"RPG")</f>
        <v>RPG</v>
      </c>
      <c r="M40" s="31" t="str">
        <f>IFERROR(__xludf.DUMMYFUNCTION("""COMPUTED_VALUE"""),"Optimized")</f>
        <v>Optimized</v>
      </c>
      <c r="N40" s="31" t="str">
        <f>IFERROR(__xludf.DUMMYFUNCTION("""COMPUTED_VALUE"""),"Returning title: Added 5/25/21, left 6/15/23")</f>
        <v>Returning title: Added 5/25/21, left 6/15/23</v>
      </c>
    </row>
    <row r="41">
      <c r="A41" s="17" t="str">
        <f>IFERROR(__xludf.DUMMYFUNCTION("""COMPUTED_VALUE"""),"Bloodstained: Ritual of the Night")</f>
        <v>Bloodstained: Ritual of the Night</v>
      </c>
      <c r="B41" s="20" t="str">
        <f>IFERROR(__xludf.DUMMYFUNCTION("""COMPUTED_VALUE"""),"Xbox / PC")</f>
        <v>Xbox / PC</v>
      </c>
      <c r="C41" s="21" t="str">
        <f>IFERROR(__xludf.DUMMYFUNCTION("""COMPUTED_VALUE"""),"Yes")</f>
        <v>Yes</v>
      </c>
      <c r="D41" s="21" t="str">
        <f>IFERROR(__xludf.DUMMYFUNCTION("""COMPUTED_VALUE"""),"Removed")</f>
        <v>Removed</v>
      </c>
      <c r="E41" s="23">
        <f>IFERROR(__xludf.DUMMYFUNCTION("""COMPUTED_VALUE"""),45336.0)</f>
        <v>45336</v>
      </c>
      <c r="F41" s="24">
        <f>IFERROR(__xludf.DUMMYFUNCTION("""COMPUTED_VALUE"""),45703.0)</f>
        <v>45703</v>
      </c>
      <c r="G41" s="27">
        <f>IFERROR(__xludf.DUMMYFUNCTION("""COMPUTED_VALUE"""),12.033333333333333)</f>
        <v>12.03333333</v>
      </c>
      <c r="H41" s="23">
        <f>IFERROR(__xludf.DUMMYFUNCTION("""COMPUTED_VALUE"""),43634.0)</f>
        <v>43634</v>
      </c>
      <c r="I41" s="27">
        <f>IFERROR(__xludf.DUMMYFUNCTION("""COMPUTED_VALUE"""),4.655555555555556)</f>
        <v>4.655555556</v>
      </c>
      <c r="J41" s="29">
        <f>IFERROR(__xludf.DUMMYFUNCTION("""COMPUTED_VALUE"""),84.0)</f>
        <v>84</v>
      </c>
      <c r="K41" s="29">
        <f>IFERROR(__xludf.DUMMYFUNCTION("""COMPUTED_VALUE"""),13.5)</f>
        <v>13.5</v>
      </c>
      <c r="L41" s="31" t="str">
        <f>IFERROR(__xludf.DUMMYFUNCTION("""COMPUTED_VALUE"""),"Platformer")</f>
        <v>Platformer</v>
      </c>
      <c r="M41" s="31"/>
      <c r="N41" s="31" t="str">
        <f>IFERROR(__xludf.DUMMYFUNCTION("""COMPUTED_VALUE"""),"Returning title: Added 9/19/19, left 3/15/21")</f>
        <v>Returning title: Added 9/19/19, left 3/15/21</v>
      </c>
    </row>
    <row r="42">
      <c r="A42" s="17" t="str">
        <f>IFERROR(__xludf.DUMMYFUNCTION("""COMPUTED_VALUE"""),"We Happy Few")</f>
        <v>We Happy Few</v>
      </c>
      <c r="B42" s="20" t="str">
        <f>IFERROR(__xludf.DUMMYFUNCTION("""COMPUTED_VALUE"""),"Xbox / PC")</f>
        <v>Xbox / PC</v>
      </c>
      <c r="C42" s="21" t="str">
        <f>IFERROR(__xludf.DUMMYFUNCTION("""COMPUTED_VALUE"""),"Yes")</f>
        <v>Yes</v>
      </c>
      <c r="D42" s="21" t="str">
        <f>IFERROR(__xludf.DUMMYFUNCTION("""COMPUTED_VALUE"""),"Active")</f>
        <v>Active</v>
      </c>
      <c r="E42" s="23">
        <f>IFERROR(__xludf.DUMMYFUNCTION("""COMPUTED_VALUE"""),45302.0)</f>
        <v>45302</v>
      </c>
      <c r="F42" s="24"/>
      <c r="G42" s="27">
        <f>IFERROR(__xludf.DUMMYFUNCTION("""COMPUTED_VALUE"""),32.833333333333336)</f>
        <v>32.83333333</v>
      </c>
      <c r="H42" s="23">
        <f>IFERROR(__xludf.DUMMYFUNCTION("""COMPUTED_VALUE"""),43322.0)</f>
        <v>43322</v>
      </c>
      <c r="I42" s="27">
        <f>IFERROR(__xludf.DUMMYFUNCTION("""COMPUTED_VALUE"""),5.419444444444444)</f>
        <v>5.419444444</v>
      </c>
      <c r="J42" s="29">
        <f>IFERROR(__xludf.DUMMYFUNCTION("""COMPUTED_VALUE"""),64.0)</f>
        <v>64</v>
      </c>
      <c r="K42" s="29">
        <f>IFERROR(__xludf.DUMMYFUNCTION("""COMPUTED_VALUE"""),21.0)</f>
        <v>21</v>
      </c>
      <c r="L42" s="31" t="str">
        <f>IFERROR(__xludf.DUMMYFUNCTION("""COMPUTED_VALUE"""),"Shooter")</f>
        <v>Shooter</v>
      </c>
      <c r="M42" s="31" t="str">
        <f>IFERROR(__xludf.DUMMYFUNCTION("""COMPUTED_VALUE"""),"Optimized")</f>
        <v>Optimized</v>
      </c>
      <c r="N42" s="31" t="str">
        <f>IFERROR(__xludf.DUMMYFUNCTION("""COMPUTED_VALUE"""),"Returning title: Added 1/17/19, left 1/15/23")</f>
        <v>Returning title: Added 1/17/19, left 1/15/23</v>
      </c>
    </row>
    <row r="43">
      <c r="A43" s="17" t="str">
        <f>IFERROR(__xludf.DUMMYFUNCTION("""COMPUTED_VALUE"""),"World War Z: Aftermath")</f>
        <v>World War Z: Aftermath</v>
      </c>
      <c r="B43" s="20" t="str">
        <f>IFERROR(__xludf.DUMMYFUNCTION("""COMPUTED_VALUE"""),"Xbox / PC")</f>
        <v>Xbox / PC</v>
      </c>
      <c r="C43" s="21" t="str">
        <f>IFERROR(__xludf.DUMMYFUNCTION("""COMPUTED_VALUE"""),"Yes")</f>
        <v>Yes</v>
      </c>
      <c r="D43" s="21" t="str">
        <f>IFERROR(__xludf.DUMMYFUNCTION("""COMPUTED_VALUE"""),"Active")</f>
        <v>Active</v>
      </c>
      <c r="E43" s="23">
        <f>IFERROR(__xludf.DUMMYFUNCTION("""COMPUTED_VALUE"""),45265.0)</f>
        <v>45265</v>
      </c>
      <c r="F43" s="24"/>
      <c r="G43" s="27">
        <f>IFERROR(__xludf.DUMMYFUNCTION("""COMPUTED_VALUE"""),34.03333333333333)</f>
        <v>34.03333333</v>
      </c>
      <c r="H43" s="23">
        <f>IFERROR(__xludf.DUMMYFUNCTION("""COMPUTED_VALUE"""),43571.0)</f>
        <v>43571</v>
      </c>
      <c r="I43" s="27">
        <f>IFERROR(__xludf.DUMMYFUNCTION("""COMPUTED_VALUE"""),4.636111111111111)</f>
        <v>4.636111111</v>
      </c>
      <c r="J43" s="29">
        <f>IFERROR(__xludf.DUMMYFUNCTION("""COMPUTED_VALUE"""),73.0)</f>
        <v>73</v>
      </c>
      <c r="K43" s="29">
        <f>IFERROR(__xludf.DUMMYFUNCTION("""COMPUTED_VALUE"""),7.0)</f>
        <v>7</v>
      </c>
      <c r="L43" s="31" t="str">
        <f>IFERROR(__xludf.DUMMYFUNCTION("""COMPUTED_VALUE"""),"Action")</f>
        <v>Action</v>
      </c>
      <c r="M43" s="31"/>
      <c r="N43" s="31" t="str">
        <f>IFERROR(__xludf.DUMMYFUNCTION("""COMPUTED_VALUE"""),"Game Pass Essential (12/3/25), Returning title: Joined 10/10/19, left 8/31/22 (original game)")</f>
        <v>Game Pass Essential (12/3/25), Returning title: Joined 10/10/19, left 8/31/22 (original game)</v>
      </c>
    </row>
    <row r="44">
      <c r="A44" s="17" t="str">
        <f>IFERROR(__xludf.DUMMYFUNCTION("""COMPUTED_VALUE"""),"Remnant: From the Ashes")</f>
        <v>Remnant: From the Ashes</v>
      </c>
      <c r="B44" s="20" t="str">
        <f>IFERROR(__xludf.DUMMYFUNCTION("""COMPUTED_VALUE"""),"Xbox / PC")</f>
        <v>Xbox / PC</v>
      </c>
      <c r="C44" s="21" t="str">
        <f>IFERROR(__xludf.DUMMYFUNCTION("""COMPUTED_VALUE"""),"Yes")</f>
        <v>Yes</v>
      </c>
      <c r="D44" s="21" t="str">
        <f>IFERROR(__xludf.DUMMYFUNCTION("""COMPUTED_VALUE"""),"Removed")</f>
        <v>Removed</v>
      </c>
      <c r="E44" s="23">
        <f>IFERROR(__xludf.DUMMYFUNCTION("""COMPUTED_VALUE"""),45259.0)</f>
        <v>45259</v>
      </c>
      <c r="F44" s="24">
        <f>IFERROR(__xludf.DUMMYFUNCTION("""COMPUTED_VALUE"""),45626.0)</f>
        <v>45626</v>
      </c>
      <c r="G44" s="27">
        <f>IFERROR(__xludf.DUMMYFUNCTION("""COMPUTED_VALUE"""),12.033333333333333)</f>
        <v>12.03333333</v>
      </c>
      <c r="H44" s="23">
        <f>IFERROR(__xludf.DUMMYFUNCTION("""COMPUTED_VALUE"""),43697.0)</f>
        <v>43697</v>
      </c>
      <c r="I44" s="27">
        <f>IFERROR(__xludf.DUMMYFUNCTION("""COMPUTED_VALUE"""),4.275)</f>
        <v>4.275</v>
      </c>
      <c r="J44" s="29">
        <f>IFERROR(__xludf.DUMMYFUNCTION("""COMPUTED_VALUE"""),81.0)</f>
        <v>81</v>
      </c>
      <c r="K44" s="29">
        <f>IFERROR(__xludf.DUMMYFUNCTION("""COMPUTED_VALUE"""),13.5)</f>
        <v>13.5</v>
      </c>
      <c r="L44" s="31" t="str">
        <f>IFERROR(__xludf.DUMMYFUNCTION("""COMPUTED_VALUE"""),"Shooter")</f>
        <v>Shooter</v>
      </c>
      <c r="M44" s="31"/>
      <c r="N44" s="31" t="str">
        <f>IFERROR(__xludf.DUMMYFUNCTION("""COMPUTED_VALUE"""),"Returning title: Joined 11/14/19, left 5/15/22")</f>
        <v>Returning title: Joined 11/14/19, left 5/15/22</v>
      </c>
    </row>
    <row r="45">
      <c r="A45" s="17" t="str">
        <f>IFERROR(__xludf.DUMMYFUNCTION("""COMPUTED_VALUE"""),"Spiritfarer")</f>
        <v>Spiritfarer</v>
      </c>
      <c r="B45" s="20" t="str">
        <f>IFERROR(__xludf.DUMMYFUNCTION("""COMPUTED_VALUE"""),"Xbox / PC")</f>
        <v>Xbox / PC</v>
      </c>
      <c r="C45" s="21" t="str">
        <f>IFERROR(__xludf.DUMMYFUNCTION("""COMPUTED_VALUE"""),"Touch Controls")</f>
        <v>Touch Controls</v>
      </c>
      <c r="D45" s="21" t="str">
        <f>IFERROR(__xludf.DUMMYFUNCTION("""COMPUTED_VALUE"""),"Removed")</f>
        <v>Removed</v>
      </c>
      <c r="E45" s="23">
        <f>IFERROR(__xludf.DUMMYFUNCTION("""COMPUTED_VALUE"""),45182.0)</f>
        <v>45182</v>
      </c>
      <c r="F45" s="24">
        <f>IFERROR(__xludf.DUMMYFUNCTION("""COMPUTED_VALUE"""),46280.0)</f>
        <v>46280</v>
      </c>
      <c r="G45" s="27">
        <f>IFERROR(__xludf.DUMMYFUNCTION("""COMPUTED_VALUE"""),36.06666666666666)</f>
        <v>36.06666667</v>
      </c>
      <c r="H45" s="23">
        <f>IFERROR(__xludf.DUMMYFUNCTION("""COMPUTED_VALUE"""),44061.0)</f>
        <v>44061</v>
      </c>
      <c r="I45" s="27">
        <f>IFERROR(__xludf.DUMMYFUNCTION("""COMPUTED_VALUE"""),3.0694444444444446)</f>
        <v>3.069444444</v>
      </c>
      <c r="J45" s="29">
        <f>IFERROR(__xludf.DUMMYFUNCTION("""COMPUTED_VALUE"""),86.0)</f>
        <v>86</v>
      </c>
      <c r="K45" s="29">
        <f>IFERROR(__xludf.DUMMYFUNCTION("""COMPUTED_VALUE"""),21.0)</f>
        <v>21</v>
      </c>
      <c r="L45" s="31" t="str">
        <f>IFERROR(__xludf.DUMMYFUNCTION("""COMPUTED_VALUE"""),"Adventure")</f>
        <v>Adventure</v>
      </c>
      <c r="M45" s="31"/>
      <c r="N45" s="31" t="str">
        <f>IFERROR(__xludf.DUMMYFUNCTION("""COMPUTED_VALUE"""),"Game Pass Essential launch title (9/14/23), Returning title: Joined 8/18/20, left 8/31/22")</f>
        <v>Game Pass Essential launch title (9/14/23), Returning title: Joined 8/18/20, left 8/31/22</v>
      </c>
    </row>
    <row r="46">
      <c r="A46" s="17" t="str">
        <f>IFERROR(__xludf.DUMMYFUNCTION("""COMPUTED_VALUE"""),"GRIS")</f>
        <v>GRIS</v>
      </c>
      <c r="B46" s="20" t="str">
        <f>IFERROR(__xludf.DUMMYFUNCTION("""COMPUTED_VALUE"""),"Xbox / PC")</f>
        <v>Xbox / PC</v>
      </c>
      <c r="C46" s="21" t="str">
        <f>IFERROR(__xludf.DUMMYFUNCTION("""COMPUTED_VALUE"""),"Yes")</f>
        <v>Yes</v>
      </c>
      <c r="D46" s="21" t="str">
        <f>IFERROR(__xludf.DUMMYFUNCTION("""COMPUTED_VALUE"""),"Removed")</f>
        <v>Removed</v>
      </c>
      <c r="E46" s="23">
        <f>IFERROR(__xludf.DUMMYFUNCTION("""COMPUTED_VALUE"""),45174.0)</f>
        <v>45174</v>
      </c>
      <c r="F46" s="24">
        <f>IFERROR(__xludf.DUMMYFUNCTION("""COMPUTED_VALUE"""),45716.0)</f>
        <v>45716</v>
      </c>
      <c r="G46" s="27">
        <f>IFERROR(__xludf.DUMMYFUNCTION("""COMPUTED_VALUE"""),17.766666666666666)</f>
        <v>17.76666667</v>
      </c>
      <c r="H46" s="23">
        <f>IFERROR(__xludf.DUMMYFUNCTION("""COMPUTED_VALUE"""),43465.0)</f>
        <v>43465</v>
      </c>
      <c r="I46" s="27">
        <f>IFERROR(__xludf.DUMMYFUNCTION("""COMPUTED_VALUE"""),4.680555555555555)</f>
        <v>4.680555556</v>
      </c>
      <c r="J46" s="29">
        <f>IFERROR(__xludf.DUMMYFUNCTION("""COMPUTED_VALUE"""),84.0)</f>
        <v>84</v>
      </c>
      <c r="K46" s="29">
        <f>IFERROR(__xludf.DUMMYFUNCTION("""COMPUTED_VALUE"""),3.5)</f>
        <v>3.5</v>
      </c>
      <c r="L46" s="31" t="str">
        <f>IFERROR(__xludf.DUMMYFUNCTION("""COMPUTED_VALUE"""),"Platformer")</f>
        <v>Platformer</v>
      </c>
      <c r="M46" s="31"/>
      <c r="N46" s="31" t="str">
        <f>IFERROR(__xludf.DUMMYFUNCTION("""COMPUTED_VALUE"""),"Returning title: Joined 1/16/20, left 1/29/21")</f>
        <v>Returning title: Joined 1/16/20, left 1/29/21</v>
      </c>
    </row>
    <row r="47">
      <c r="A47" s="17" t="str">
        <f>IFERROR(__xludf.DUMMYFUNCTION("""COMPUTED_VALUE"""),"Firewatch")</f>
        <v>Firewatch</v>
      </c>
      <c r="B47" s="20" t="str">
        <f>IFERROR(__xludf.DUMMYFUNCTION("""COMPUTED_VALUE"""),"Xbox / PC")</f>
        <v>Xbox / PC</v>
      </c>
      <c r="C47" s="21" t="str">
        <f>IFERROR(__xludf.DUMMYFUNCTION("""COMPUTED_VALUE"""),"Touch Controls")</f>
        <v>Touch Controls</v>
      </c>
      <c r="D47" s="21" t="str">
        <f>IFERROR(__xludf.DUMMYFUNCTION("""COMPUTED_VALUE"""),"Removed")</f>
        <v>Removed</v>
      </c>
      <c r="E47" s="23">
        <f>IFERROR(__xludf.DUMMYFUNCTION("""COMPUTED_VALUE"""),45155.0)</f>
        <v>45155</v>
      </c>
      <c r="F47" s="24">
        <f>IFERROR(__xludf.DUMMYFUNCTION("""COMPUTED_VALUE"""),46249.0)</f>
        <v>46249</v>
      </c>
      <c r="G47" s="27">
        <f>IFERROR(__xludf.DUMMYFUNCTION("""COMPUTED_VALUE"""),35.93333333333334)</f>
        <v>35.93333333</v>
      </c>
      <c r="H47" s="23">
        <f>IFERROR(__xludf.DUMMYFUNCTION("""COMPUTED_VALUE"""),42409.0)</f>
        <v>42409</v>
      </c>
      <c r="I47" s="27">
        <f>IFERROR(__xludf.DUMMYFUNCTION("""COMPUTED_VALUE"""),7.522222222222222)</f>
        <v>7.522222222</v>
      </c>
      <c r="J47" s="29">
        <f>IFERROR(__xludf.DUMMYFUNCTION("""COMPUTED_VALUE"""),83.0)</f>
        <v>83</v>
      </c>
      <c r="K47" s="29">
        <f>IFERROR(__xludf.DUMMYFUNCTION("""COMPUTED_VALUE"""),4.0)</f>
        <v>4</v>
      </c>
      <c r="L47" s="31" t="str">
        <f>IFERROR(__xludf.DUMMYFUNCTION("""COMPUTED_VALUE"""),"Adventure")</f>
        <v>Adventure</v>
      </c>
      <c r="M47" s="31"/>
      <c r="N47" s="31" t="str">
        <f>IFERROR(__xludf.DUMMYFUNCTION("""COMPUTED_VALUE"""),"Game Pass Essential launch title (9/14/23), Returning title: Joined 2/16/21, left 12/15/22")</f>
        <v>Game Pass Essential launch title (9/14/23), Returning title: Joined 2/16/21, left 12/15/22</v>
      </c>
    </row>
    <row r="48">
      <c r="A48" s="17" t="str">
        <f>IFERROR(__xludf.DUMMYFUNCTION("""COMPUTED_VALUE"""),"Limbo")</f>
        <v>Limbo</v>
      </c>
      <c r="B48" s="20" t="str">
        <f>IFERROR(__xludf.DUMMYFUNCTION("""COMPUTED_VALUE"""),"Xbox / PC")</f>
        <v>Xbox / PC</v>
      </c>
      <c r="C48" s="21" t="str">
        <f>IFERROR(__xludf.DUMMYFUNCTION("""COMPUTED_VALUE"""),"Yes")</f>
        <v>Yes</v>
      </c>
      <c r="D48" s="21" t="str">
        <f>IFERROR(__xludf.DUMMYFUNCTION("""COMPUTED_VALUE"""),"Active")</f>
        <v>Active</v>
      </c>
      <c r="E48" s="23">
        <f>IFERROR(__xludf.DUMMYFUNCTION("""COMPUTED_VALUE"""),45147.0)</f>
        <v>45147</v>
      </c>
      <c r="F48" s="24"/>
      <c r="G48" s="27">
        <f>IFERROR(__xludf.DUMMYFUNCTION("""COMPUTED_VALUE"""),37.9)</f>
        <v>37.9</v>
      </c>
      <c r="H48" s="23">
        <f>IFERROR(__xludf.DUMMYFUNCTION("""COMPUTED_VALUE"""),40380.0)</f>
        <v>40380</v>
      </c>
      <c r="I48" s="27">
        <f>IFERROR(__xludf.DUMMYFUNCTION("""COMPUTED_VALUE"""),13.05)</f>
        <v>13.05</v>
      </c>
      <c r="J48" s="29">
        <f>IFERROR(__xludf.DUMMYFUNCTION("""COMPUTED_VALUE"""),85.0)</f>
        <v>85</v>
      </c>
      <c r="K48" s="29">
        <f>IFERROR(__xludf.DUMMYFUNCTION("""COMPUTED_VALUE"""),3.5)</f>
        <v>3.5</v>
      </c>
      <c r="L48" s="31" t="str">
        <f>IFERROR(__xludf.DUMMYFUNCTION("""COMPUTED_VALUE"""),"Platformer")</f>
        <v>Platformer</v>
      </c>
      <c r="M48" s="31"/>
      <c r="N48" s="31" t="str">
        <f>IFERROR(__xludf.DUMMYFUNCTION("""COMPUTED_VALUE"""),"Game Pass Essential launch title (9/14/23), Returning title: Joined 8/1/17, left 6/15/22")</f>
        <v>Game Pass Essential launch title (9/14/23), Returning title: Joined 8/1/17, left 6/15/22</v>
      </c>
    </row>
    <row r="49">
      <c r="A49" s="17" t="str">
        <f>IFERROR(__xludf.DUMMYFUNCTION("""COMPUTED_VALUE"""),"Celeste")</f>
        <v>Celeste</v>
      </c>
      <c r="B49" s="20" t="str">
        <f>IFERROR(__xludf.DUMMYFUNCTION("""COMPUTED_VALUE"""),"Xbox / PC")</f>
        <v>Xbox / PC</v>
      </c>
      <c r="C49" s="21" t="str">
        <f>IFERROR(__xludf.DUMMYFUNCTION("""COMPUTED_VALUE"""),"Touch Controls")</f>
        <v>Touch Controls</v>
      </c>
      <c r="D49" s="21" t="str">
        <f>IFERROR(__xludf.DUMMYFUNCTION("""COMPUTED_VALUE"""),"Removed")</f>
        <v>Removed</v>
      </c>
      <c r="E49" s="23">
        <f>IFERROR(__xludf.DUMMYFUNCTION("""COMPUTED_VALUE"""),45139.0)</f>
        <v>45139</v>
      </c>
      <c r="F49" s="24">
        <f>IFERROR(__xludf.DUMMYFUNCTION("""COMPUTED_VALUE"""),46234.0)</f>
        <v>46234</v>
      </c>
      <c r="G49" s="27">
        <f>IFERROR(__xludf.DUMMYFUNCTION("""COMPUTED_VALUE"""),35.96666666666667)</f>
        <v>35.96666667</v>
      </c>
      <c r="H49" s="23">
        <f>IFERROR(__xludf.DUMMYFUNCTION("""COMPUTED_VALUE"""),43125.0)</f>
        <v>43125</v>
      </c>
      <c r="I49" s="27">
        <f>IFERROR(__xludf.DUMMYFUNCTION("""COMPUTED_VALUE"""),5.516666666666667)</f>
        <v>5.516666667</v>
      </c>
      <c r="J49" s="29">
        <f>IFERROR(__xludf.DUMMYFUNCTION("""COMPUTED_VALUE"""),91.0)</f>
        <v>91</v>
      </c>
      <c r="K49" s="29">
        <f>IFERROR(__xludf.DUMMYFUNCTION("""COMPUTED_VALUE"""),8.0)</f>
        <v>8</v>
      </c>
      <c r="L49" s="31" t="str">
        <f>IFERROR(__xludf.DUMMYFUNCTION("""COMPUTED_VALUE"""),"Platformer")</f>
        <v>Platformer</v>
      </c>
      <c r="M49" s="31"/>
      <c r="N49" s="31" t="str">
        <f>IFERROR(__xludf.DUMMYFUNCTION("""COMPUTED_VALUE"""),"Game Pass Essential launch title (9/14/23), Returning title: Joined 11/5/20, left 10/31/21")</f>
        <v>Game Pass Essential launch title (9/14/23), Returning title: Joined 11/5/20, left 10/31/21</v>
      </c>
    </row>
    <row r="50">
      <c r="A50" s="17" t="str">
        <f>IFERROR(__xludf.DUMMYFUNCTION("""COMPUTED_VALUE"""),"Stacking")</f>
        <v>Stacking</v>
      </c>
      <c r="B50" s="20" t="str">
        <f>IFERROR(__xludf.DUMMYFUNCTION("""COMPUTED_VALUE"""),"Xbox")</f>
        <v>Xbox</v>
      </c>
      <c r="C50" s="21" t="str">
        <f>IFERROR(__xludf.DUMMYFUNCTION("""COMPUTED_VALUE"""),"Yes")</f>
        <v>Yes</v>
      </c>
      <c r="D50" s="21" t="str">
        <f>IFERROR(__xludf.DUMMYFUNCTION("""COMPUTED_VALUE"""),"Active")</f>
        <v>Active</v>
      </c>
      <c r="E50" s="23">
        <f>IFERROR(__xludf.DUMMYFUNCTION("""COMPUTED_VALUE"""),45085.0)</f>
        <v>45085</v>
      </c>
      <c r="F50" s="24"/>
      <c r="G50" s="27">
        <f>IFERROR(__xludf.DUMMYFUNCTION("""COMPUTED_VALUE"""),39.93333333333334)</f>
        <v>39.93333333</v>
      </c>
      <c r="H50" s="23">
        <f>IFERROR(__xludf.DUMMYFUNCTION("""COMPUTED_VALUE"""),40582.0)</f>
        <v>40582</v>
      </c>
      <c r="I50" s="27">
        <f>IFERROR(__xludf.DUMMYFUNCTION("""COMPUTED_VALUE"""),12.333333333333334)</f>
        <v>12.33333333</v>
      </c>
      <c r="J50" s="29">
        <f>IFERROR(__xludf.DUMMYFUNCTION("""COMPUTED_VALUE"""),82.0)</f>
        <v>82</v>
      </c>
      <c r="K50" s="29">
        <f>IFERROR(__xludf.DUMMYFUNCTION("""COMPUTED_VALUE"""),4.0)</f>
        <v>4</v>
      </c>
      <c r="L50" s="31" t="str">
        <f>IFERROR(__xludf.DUMMYFUNCTION("""COMPUTED_VALUE"""),"Adventure")</f>
        <v>Adventure</v>
      </c>
      <c r="M50" s="31"/>
      <c r="N50" s="31" t="str">
        <f>IFERROR(__xludf.DUMMYFUNCTION("""COMPUTED_VALUE"""),"Returning title: Joined 6/1/17, left 1/15/19")</f>
        <v>Returning title: Joined 6/1/17, left 1/15/19</v>
      </c>
    </row>
    <row r="51">
      <c r="A51" s="17" t="str">
        <f>IFERROR(__xludf.DUMMYFUNCTION("""COMPUTED_VALUE"""),"Hypnospace Outlaw")</f>
        <v>Hypnospace Outlaw</v>
      </c>
      <c r="B51" s="20" t="str">
        <f>IFERROR(__xludf.DUMMYFUNCTION("""COMPUTED_VALUE"""),"Xbox / PC")</f>
        <v>Xbox / PC</v>
      </c>
      <c r="C51" s="21" t="str">
        <f>IFERROR(__xludf.DUMMYFUNCTION("""COMPUTED_VALUE"""),"Yes")</f>
        <v>Yes</v>
      </c>
      <c r="D51" s="21" t="str">
        <f>IFERROR(__xludf.DUMMYFUNCTION("""COMPUTED_VALUE"""),"Removed")</f>
        <v>Removed</v>
      </c>
      <c r="E51" s="23">
        <f>IFERROR(__xludf.DUMMYFUNCTION("""COMPUTED_VALUE"""),45083.0)</f>
        <v>45083</v>
      </c>
      <c r="F51" s="24">
        <f>IFERROR(__xludf.DUMMYFUNCTION("""COMPUTED_VALUE"""),45823.0)</f>
        <v>45823</v>
      </c>
      <c r="G51" s="27">
        <f>IFERROR(__xludf.DUMMYFUNCTION("""COMPUTED_VALUE"""),24.299999999999997)</f>
        <v>24.3</v>
      </c>
      <c r="H51" s="23">
        <f>IFERROR(__xludf.DUMMYFUNCTION("""COMPUTED_VALUE"""),43536.0)</f>
        <v>43536</v>
      </c>
      <c r="I51" s="27">
        <f>IFERROR(__xludf.DUMMYFUNCTION("""COMPUTED_VALUE"""),4.233333333333333)</f>
        <v>4.233333333</v>
      </c>
      <c r="J51" s="29">
        <f>IFERROR(__xludf.DUMMYFUNCTION("""COMPUTED_VALUE"""),82.0)</f>
        <v>82</v>
      </c>
      <c r="K51" s="29">
        <f>IFERROR(__xludf.DUMMYFUNCTION("""COMPUTED_VALUE"""),5.5)</f>
        <v>5.5</v>
      </c>
      <c r="L51" s="31" t="str">
        <f>IFERROR(__xludf.DUMMYFUNCTION("""COMPUTED_VALUE"""),"Adventure")</f>
        <v>Adventure</v>
      </c>
      <c r="M51" s="31"/>
      <c r="N51" s="31" t="str">
        <f>IFERROR(__xludf.DUMMYFUNCTION("""COMPUTED_VALUE"""),"Returning title: Joined 18/27/20, left 2/28/22")</f>
        <v>Returning title: Joined 18/27/20, left 2/28/22</v>
      </c>
    </row>
    <row r="52">
      <c r="A52" s="17" t="str">
        <f>IFERROR(__xludf.DUMMYFUNCTION("""COMPUTED_VALUE"""),"Massive Chalice")</f>
        <v>Massive Chalice</v>
      </c>
      <c r="B52" s="20" t="str">
        <f>IFERROR(__xludf.DUMMYFUNCTION("""COMPUTED_VALUE"""),"Xbox")</f>
        <v>Xbox</v>
      </c>
      <c r="C52" s="21" t="str">
        <f>IFERROR(__xludf.DUMMYFUNCTION("""COMPUTED_VALUE"""),"Yes")</f>
        <v>Yes</v>
      </c>
      <c r="D52" s="21" t="str">
        <f>IFERROR(__xludf.DUMMYFUNCTION("""COMPUTED_VALUE"""),"Active")</f>
        <v>Active</v>
      </c>
      <c r="E52" s="23">
        <f>IFERROR(__xludf.DUMMYFUNCTION("""COMPUTED_VALUE"""),45071.0)</f>
        <v>45071</v>
      </c>
      <c r="F52" s="24"/>
      <c r="G52" s="27">
        <f>IFERROR(__xludf.DUMMYFUNCTION("""COMPUTED_VALUE"""),40.36666666666667)</f>
        <v>40.36666667</v>
      </c>
      <c r="H52" s="23">
        <f>IFERROR(__xludf.DUMMYFUNCTION("""COMPUTED_VALUE"""),42156.0)</f>
        <v>42156</v>
      </c>
      <c r="I52" s="27">
        <f>IFERROR(__xludf.DUMMYFUNCTION("""COMPUTED_VALUE"""),7.983333333333333)</f>
        <v>7.983333333</v>
      </c>
      <c r="J52" s="29">
        <f>IFERROR(__xludf.DUMMYFUNCTION("""COMPUTED_VALUE"""),72.0)</f>
        <v>72</v>
      </c>
      <c r="K52" s="29">
        <f>IFERROR(__xludf.DUMMYFUNCTION("""COMPUTED_VALUE"""),15.5)</f>
        <v>15.5</v>
      </c>
      <c r="L52" s="31" t="str">
        <f>IFERROR(__xludf.DUMMYFUNCTION("""COMPUTED_VALUE"""),"RPG")</f>
        <v>RPG</v>
      </c>
      <c r="M52" s="31"/>
      <c r="N52" s="31" t="str">
        <f>IFERROR(__xludf.DUMMYFUNCTION("""COMPUTED_VALUE"""),"Returning title: Joined 6/1/17, left 2/1/19")</f>
        <v>Returning title: Joined 6/1/17, left 2/1/19</v>
      </c>
    </row>
    <row r="53">
      <c r="A53" s="17" t="str">
        <f>IFERROR(__xludf.DUMMYFUNCTION("""COMPUTED_VALUE"""),"Besiege")</f>
        <v>Besiege</v>
      </c>
      <c r="B53" s="20" t="str">
        <f>IFERROR(__xludf.DUMMYFUNCTION("""COMPUTED_VALUE"""),"Xbox / PC")</f>
        <v>Xbox / PC</v>
      </c>
      <c r="C53" s="21" t="str">
        <f>IFERROR(__xludf.DUMMYFUNCTION("""COMPUTED_VALUE"""),"Touch Controls")</f>
        <v>Touch Controls</v>
      </c>
      <c r="D53" s="21" t="str">
        <f>IFERROR(__xludf.DUMMYFUNCTION("""COMPUTED_VALUE"""),"Removed")</f>
        <v>Removed</v>
      </c>
      <c r="E53" s="23">
        <f>IFERROR(__xludf.DUMMYFUNCTION("""COMPUTED_VALUE"""),45047.0)</f>
        <v>45047</v>
      </c>
      <c r="F53" s="24">
        <f>IFERROR(__xludf.DUMMYFUNCTION("""COMPUTED_VALUE"""),45412.0)</f>
        <v>45412</v>
      </c>
      <c r="G53" s="27">
        <f>IFERROR(__xludf.DUMMYFUNCTION("""COMPUTED_VALUE"""),11.966666666666667)</f>
        <v>11.96666667</v>
      </c>
      <c r="H53" s="23">
        <f>IFERROR(__xludf.DUMMYFUNCTION("""COMPUTED_VALUE"""),44602.0)</f>
        <v>44602</v>
      </c>
      <c r="I53" s="27">
        <f>IFERROR(__xludf.DUMMYFUNCTION("""COMPUTED_VALUE"""),1.225)</f>
        <v>1.225</v>
      </c>
      <c r="J53" s="29">
        <f>IFERROR(__xludf.DUMMYFUNCTION("""COMPUTED_VALUE"""),88.33333333333333)</f>
        <v>88.33333333</v>
      </c>
      <c r="K53" s="29">
        <f>IFERROR(__xludf.DUMMYFUNCTION("""COMPUTED_VALUE"""),5.0)</f>
        <v>5</v>
      </c>
      <c r="L53" s="31" t="str">
        <f>IFERROR(__xludf.DUMMYFUNCTION("""COMPUTED_VALUE"""),"Simulation")</f>
        <v>Simulation</v>
      </c>
      <c r="M53" s="31"/>
      <c r="N53" s="31" t="str">
        <f>IFERROR(__xludf.DUMMYFUNCTION("""COMPUTED_VALUE"""),"Returning title: Joined 2/10/22, left 2/15/23 while in game preview, rejoins post full release")</f>
        <v>Returning title: Joined 2/10/22, left 2/15/23 while in game preview, rejoins post full release</v>
      </c>
    </row>
    <row r="54">
      <c r="A54" s="17" t="str">
        <f>IFERROR(__xludf.DUMMYFUNCTION("""COMPUTED_VALUE"""),"Iron Brigade")</f>
        <v>Iron Brigade</v>
      </c>
      <c r="B54" s="20" t="str">
        <f>IFERROR(__xludf.DUMMYFUNCTION("""COMPUTED_VALUE"""),"Xbox")</f>
        <v>Xbox</v>
      </c>
      <c r="C54" s="21"/>
      <c r="D54" s="21" t="str">
        <f>IFERROR(__xludf.DUMMYFUNCTION("""COMPUTED_VALUE"""),"Active")</f>
        <v>Active</v>
      </c>
      <c r="E54" s="23">
        <f>IFERROR(__xludf.DUMMYFUNCTION("""COMPUTED_VALUE"""),45022.0)</f>
        <v>45022</v>
      </c>
      <c r="F54" s="24"/>
      <c r="G54" s="27">
        <f>IFERROR(__xludf.DUMMYFUNCTION("""COMPUTED_VALUE"""),42.0)</f>
        <v>42</v>
      </c>
      <c r="H54" s="23">
        <f>IFERROR(__xludf.DUMMYFUNCTION("""COMPUTED_VALUE"""),40716.0)</f>
        <v>40716</v>
      </c>
      <c r="I54" s="27">
        <f>IFERROR(__xludf.DUMMYFUNCTION("""COMPUTED_VALUE"""),11.78888888888889)</f>
        <v>11.78888889</v>
      </c>
      <c r="J54" s="29">
        <f>IFERROR(__xludf.DUMMYFUNCTION("""COMPUTED_VALUE"""),82.0)</f>
        <v>82</v>
      </c>
      <c r="K54" s="29">
        <f>IFERROR(__xludf.DUMMYFUNCTION("""COMPUTED_VALUE"""),6.5)</f>
        <v>6.5</v>
      </c>
      <c r="L54" s="31" t="str">
        <f>IFERROR(__xludf.DUMMYFUNCTION("""COMPUTED_VALUE"""),"Shooter")</f>
        <v>Shooter</v>
      </c>
      <c r="M54" s="31"/>
      <c r="N54" s="31" t="str">
        <f>IFERROR(__xludf.DUMMYFUNCTION("""COMPUTED_VALUE"""),"Returning title: Originally joined 6/1/17, left 7/15/19")</f>
        <v>Returning title: Originally joined 6/1/17, left 7/15/19</v>
      </c>
    </row>
    <row r="55">
      <c r="A55" s="17" t="str">
        <f>IFERROR(__xludf.DUMMYFUNCTION("""COMPUTED_VALUE"""),"Goat Simulator")</f>
        <v>Goat Simulator</v>
      </c>
      <c r="B55" s="20" t="str">
        <f>IFERROR(__xludf.DUMMYFUNCTION("""COMPUTED_VALUE"""),"Xbox / PC")</f>
        <v>Xbox / PC</v>
      </c>
      <c r="C55" s="21" t="str">
        <f>IFERROR(__xludf.DUMMYFUNCTION("""COMPUTED_VALUE"""),"Yes")</f>
        <v>Yes</v>
      </c>
      <c r="D55" s="21" t="str">
        <f>IFERROR(__xludf.DUMMYFUNCTION("""COMPUTED_VALUE"""),"Removed")</f>
        <v>Removed</v>
      </c>
      <c r="E55" s="23">
        <f>IFERROR(__xludf.DUMMYFUNCTION("""COMPUTED_VALUE"""),45020.0)</f>
        <v>45020</v>
      </c>
      <c r="F55" s="24">
        <f>IFERROR(__xludf.DUMMYFUNCTION("""COMPUTED_VALUE"""),45611.0)</f>
        <v>45611</v>
      </c>
      <c r="G55" s="27">
        <f>IFERROR(__xludf.DUMMYFUNCTION("""COMPUTED_VALUE"""),19.366666666666667)</f>
        <v>19.36666667</v>
      </c>
      <c r="H55" s="23">
        <f>IFERROR(__xludf.DUMMYFUNCTION("""COMPUTED_VALUE"""),41730.0)</f>
        <v>41730</v>
      </c>
      <c r="I55" s="27">
        <f>IFERROR(__xludf.DUMMYFUNCTION("""COMPUTED_VALUE"""),9.008333333333333)</f>
        <v>9.008333333</v>
      </c>
      <c r="J55" s="29">
        <f>IFERROR(__xludf.DUMMYFUNCTION("""COMPUTED_VALUE"""),58.0)</f>
        <v>58</v>
      </c>
      <c r="K55" s="29">
        <f>IFERROR(__xludf.DUMMYFUNCTION("""COMPUTED_VALUE"""),2.0)</f>
        <v>2</v>
      </c>
      <c r="L55" s="31" t="str">
        <f>IFERROR(__xludf.DUMMYFUNCTION("""COMPUTED_VALUE"""),"Simulation")</f>
        <v>Simulation</v>
      </c>
      <c r="M55" s="31"/>
      <c r="N55" s="31" t="str">
        <f>IFERROR(__xludf.DUMMYFUNCTION("""COMPUTED_VALUE"""),"Game Pass Essential (12/4/24), Returning title: Joined 6/27/19, left 3/215/23")</f>
        <v>Game Pass Essential (12/4/24), Returning title: Joined 6/27/19, left 3/215/23</v>
      </c>
    </row>
    <row r="56">
      <c r="A56" s="17" t="str">
        <f>IFERROR(__xludf.DUMMYFUNCTION("""COMPUTED_VALUE"""),"Darkest Dungeon")</f>
        <v>Darkest Dungeon</v>
      </c>
      <c r="B56" s="20" t="str">
        <f>IFERROR(__xludf.DUMMYFUNCTION("""COMPUTED_VALUE"""),"Xbox / PC")</f>
        <v>Xbox / PC</v>
      </c>
      <c r="C56" s="21" t="str">
        <f>IFERROR(__xludf.DUMMYFUNCTION("""COMPUTED_VALUE"""),"Yes")</f>
        <v>Yes</v>
      </c>
      <c r="D56" s="21" t="str">
        <f>IFERROR(__xludf.DUMMYFUNCTION("""COMPUTED_VALUE"""),"Removed")</f>
        <v>Removed</v>
      </c>
      <c r="E56" s="23">
        <f>IFERROR(__xludf.DUMMYFUNCTION("""COMPUTED_VALUE"""),44959.0)</f>
        <v>44959</v>
      </c>
      <c r="F56" s="24">
        <f>IFERROR(__xludf.DUMMYFUNCTION("""COMPUTED_VALUE"""),45688.0)</f>
        <v>45688</v>
      </c>
      <c r="G56" s="27">
        <f>IFERROR(__xludf.DUMMYFUNCTION("""COMPUTED_VALUE"""),23.933333333333334)</f>
        <v>23.93333333</v>
      </c>
      <c r="H56" s="23">
        <f>IFERROR(__xludf.DUMMYFUNCTION("""COMPUTED_VALUE"""),42388.0)</f>
        <v>42388</v>
      </c>
      <c r="I56" s="27">
        <f>IFERROR(__xludf.DUMMYFUNCTION("""COMPUTED_VALUE"""),7.036111111111111)</f>
        <v>7.036111111</v>
      </c>
      <c r="J56" s="29">
        <f>IFERROR(__xludf.DUMMYFUNCTION("""COMPUTED_VALUE"""),84.0)</f>
        <v>84</v>
      </c>
      <c r="K56" s="29">
        <f>IFERROR(__xludf.DUMMYFUNCTION("""COMPUTED_VALUE"""),56.0)</f>
        <v>56</v>
      </c>
      <c r="L56" s="31" t="str">
        <f>IFERROR(__xludf.DUMMYFUNCTION("""COMPUTED_VALUE"""),"RPG")</f>
        <v>RPG</v>
      </c>
      <c r="M56" s="31"/>
      <c r="N56" s="31" t="str">
        <f>IFERROR(__xludf.DUMMYFUNCTION("""COMPUTED_VALUE"""),"Returning title: Originally joined 6/10/21, left 6/15/22")</f>
        <v>Returning title: Originally joined 6/10/21, left 6/15/22</v>
      </c>
    </row>
    <row r="57">
      <c r="A57" s="17" t="str">
        <f>IFERROR(__xludf.DUMMYFUNCTION("""COMPUTED_VALUE"""),"Mortal Shell: Enhanced Edition")</f>
        <v>Mortal Shell: Enhanced Edition</v>
      </c>
      <c r="B57" s="20" t="str">
        <f>IFERROR(__xludf.DUMMYFUNCTION("""COMPUTED_VALUE"""),"Xbox / PC")</f>
        <v>Xbox / PC</v>
      </c>
      <c r="C57" s="21" t="str">
        <f>IFERROR(__xludf.DUMMYFUNCTION("""COMPUTED_VALUE"""),"Yes")</f>
        <v>Yes</v>
      </c>
      <c r="D57" s="21" t="str">
        <f>IFERROR(__xludf.DUMMYFUNCTION("""COMPUTED_VALUE"""),"Removed")</f>
        <v>Removed</v>
      </c>
      <c r="E57" s="23">
        <f>IFERROR(__xludf.DUMMYFUNCTION("""COMPUTED_VALUE"""),44931.0)</f>
        <v>44931</v>
      </c>
      <c r="F57" s="24">
        <f>IFERROR(__xludf.DUMMYFUNCTION("""COMPUTED_VALUE"""),45092.0)</f>
        <v>45092</v>
      </c>
      <c r="G57" s="27">
        <f>IFERROR(__xludf.DUMMYFUNCTION("""COMPUTED_VALUE"""),5.333333333333333)</f>
        <v>5.333333333</v>
      </c>
      <c r="H57" s="23">
        <f>IFERROR(__xludf.DUMMYFUNCTION("""COMPUTED_VALUE"""),44061.0)</f>
        <v>44061</v>
      </c>
      <c r="I57" s="27">
        <f>IFERROR(__xludf.DUMMYFUNCTION("""COMPUTED_VALUE"""),2.3805555555555555)</f>
        <v>2.380555556</v>
      </c>
      <c r="J57" s="29">
        <f>IFERROR(__xludf.DUMMYFUNCTION("""COMPUTED_VALUE"""),76.0)</f>
        <v>76</v>
      </c>
      <c r="K57" s="29">
        <f>IFERROR(__xludf.DUMMYFUNCTION("""COMPUTED_VALUE"""),10.0)</f>
        <v>10</v>
      </c>
      <c r="L57" s="31" t="str">
        <f>IFERROR(__xludf.DUMMYFUNCTION("""COMPUTED_VALUE"""),"RPG")</f>
        <v>RPG</v>
      </c>
      <c r="M57" s="31"/>
      <c r="N57" s="31" t="str">
        <f>IFERROR(__xludf.DUMMYFUNCTION("""COMPUTED_VALUE"""),"Returning title: Joined 11/23/21, left 11/30/22")</f>
        <v>Returning title: Joined 11/23/21, left 11/30/22</v>
      </c>
    </row>
    <row r="58">
      <c r="A58" s="17" t="str">
        <f>IFERROR(__xludf.DUMMYFUNCTION("""COMPUTED_VALUE"""),"Opus Magnum")</f>
        <v>Opus Magnum</v>
      </c>
      <c r="B58" s="20" t="str">
        <f>IFERROR(__xludf.DUMMYFUNCTION("""COMPUTED_VALUE"""),"PC")</f>
        <v>PC</v>
      </c>
      <c r="C58" s="21"/>
      <c r="D58" s="21" t="str">
        <f>IFERROR(__xludf.DUMMYFUNCTION("""COMPUTED_VALUE"""),"Removed")</f>
        <v>Removed</v>
      </c>
      <c r="E58" s="23">
        <f>IFERROR(__xludf.DUMMYFUNCTION("""COMPUTED_VALUE"""),44810.0)</f>
        <v>44810</v>
      </c>
      <c r="F58" s="24">
        <f>IFERROR(__xludf.DUMMYFUNCTION("""COMPUTED_VALUE"""),45275.0)</f>
        <v>45275</v>
      </c>
      <c r="G58" s="27">
        <f>IFERROR(__xludf.DUMMYFUNCTION("""COMPUTED_VALUE"""),15.299999999999999)</f>
        <v>15.3</v>
      </c>
      <c r="H58" s="23">
        <f>IFERROR(__xludf.DUMMYFUNCTION("""COMPUTED_VALUE"""),43076.0)</f>
        <v>43076</v>
      </c>
      <c r="I58" s="27">
        <f>IFERROR(__xludf.DUMMYFUNCTION("""COMPUTED_VALUE"""),4.747222222222222)</f>
        <v>4.747222222</v>
      </c>
      <c r="J58" s="29">
        <f>IFERROR(__xludf.DUMMYFUNCTION("""COMPUTED_VALUE"""),90.0)</f>
        <v>90</v>
      </c>
      <c r="K58" s="29">
        <f>IFERROR(__xludf.DUMMYFUNCTION("""COMPUTED_VALUE"""),15.0)</f>
        <v>15</v>
      </c>
      <c r="L58" s="31" t="str">
        <f>IFERROR(__xludf.DUMMYFUNCTION("""COMPUTED_VALUE"""),"Puzzle")</f>
        <v>Puzzle</v>
      </c>
      <c r="M58" s="31"/>
      <c r="N58" s="31" t="str">
        <f>IFERROR(__xludf.DUMMYFUNCTION("""COMPUTED_VALUE"""),"Returning title: Joined 6/9/19, left 5/31/20")</f>
        <v>Returning title: Joined 6/9/19, left 5/31/20</v>
      </c>
    </row>
    <row r="59">
      <c r="A59" s="17" t="str">
        <f>IFERROR(__xludf.DUMMYFUNCTION("""COMPUTED_VALUE"""),"Yakuza 0")</f>
        <v>Yakuza 0</v>
      </c>
      <c r="B59" s="20" t="str">
        <f>IFERROR(__xludf.DUMMYFUNCTION("""COMPUTED_VALUE"""),"Xbox / PC")</f>
        <v>Xbox / PC</v>
      </c>
      <c r="C59" s="21" t="str">
        <f>IFERROR(__xludf.DUMMYFUNCTION("""COMPUTED_VALUE"""),"Touch Controls")</f>
        <v>Touch Controls</v>
      </c>
      <c r="D59" s="21" t="str">
        <f>IFERROR(__xludf.DUMMYFUNCTION("""COMPUTED_VALUE"""),"Removed")</f>
        <v>Removed</v>
      </c>
      <c r="E59" s="23">
        <f>IFERROR(__xludf.DUMMYFUNCTION("""COMPUTED_VALUE"""),44747.0)</f>
        <v>44747</v>
      </c>
      <c r="F59" s="24">
        <f>IFERROR(__xludf.DUMMYFUNCTION("""COMPUTED_VALUE"""),45747.0)</f>
        <v>45747</v>
      </c>
      <c r="G59" s="27">
        <f>IFERROR(__xludf.DUMMYFUNCTION("""COMPUTED_VALUE"""),32.833333333333336)</f>
        <v>32.83333333</v>
      </c>
      <c r="H59" s="23">
        <f>IFERROR(__xludf.DUMMYFUNCTION("""COMPUTED_VALUE"""),42075.0)</f>
        <v>42075</v>
      </c>
      <c r="I59" s="27">
        <f>IFERROR(__xludf.DUMMYFUNCTION("""COMPUTED_VALUE"""),7.313888888888889)</f>
        <v>7.313888889</v>
      </c>
      <c r="J59" s="29">
        <f>IFERROR(__xludf.DUMMYFUNCTION("""COMPUTED_VALUE"""),85.0)</f>
        <v>85</v>
      </c>
      <c r="K59" s="29">
        <f>IFERROR(__xludf.DUMMYFUNCTION("""COMPUTED_VALUE"""),31.0)</f>
        <v>31</v>
      </c>
      <c r="L59" s="31" t="str">
        <f>IFERROR(__xludf.DUMMYFUNCTION("""COMPUTED_VALUE"""),"RPG")</f>
        <v>RPG</v>
      </c>
      <c r="M59" s="31"/>
      <c r="N59" s="31" t="str">
        <f>IFERROR(__xludf.DUMMYFUNCTION("""COMPUTED_VALUE"""),"Returning title: Originally joined 2/26/20, left 12/31/21")</f>
        <v>Returning title: Originally joined 2/26/20, left 12/31/21</v>
      </c>
    </row>
    <row r="60">
      <c r="A60" s="17" t="str">
        <f>IFERROR(__xludf.DUMMYFUNCTION("""COMPUTED_VALUE"""),"Yakuza Kiwami")</f>
        <v>Yakuza Kiwami</v>
      </c>
      <c r="B60" s="20" t="str">
        <f>IFERROR(__xludf.DUMMYFUNCTION("""COMPUTED_VALUE"""),"Xbox / PC")</f>
        <v>Xbox / PC</v>
      </c>
      <c r="C60" s="21" t="str">
        <f>IFERROR(__xludf.DUMMYFUNCTION("""COMPUTED_VALUE"""),"Touch Controls")</f>
        <v>Touch Controls</v>
      </c>
      <c r="D60" s="21" t="str">
        <f>IFERROR(__xludf.DUMMYFUNCTION("""COMPUTED_VALUE"""),"Removed")</f>
        <v>Removed</v>
      </c>
      <c r="E60" s="23">
        <f>IFERROR(__xludf.DUMMYFUNCTION("""COMPUTED_VALUE"""),44747.0)</f>
        <v>44747</v>
      </c>
      <c r="F60" s="24">
        <f>IFERROR(__xludf.DUMMYFUNCTION("""COMPUTED_VALUE"""),45747.0)</f>
        <v>45747</v>
      </c>
      <c r="G60" s="27">
        <f>IFERROR(__xludf.DUMMYFUNCTION("""COMPUTED_VALUE"""),32.833333333333336)</f>
        <v>32.83333333</v>
      </c>
      <c r="H60" s="23">
        <f>IFERROR(__xludf.DUMMYFUNCTION("""COMPUTED_VALUE"""),42390.0)</f>
        <v>42390</v>
      </c>
      <c r="I60" s="27">
        <f>IFERROR(__xludf.DUMMYFUNCTION("""COMPUTED_VALUE"""),6.455555555555556)</f>
        <v>6.455555556</v>
      </c>
      <c r="J60" s="29">
        <f>IFERROR(__xludf.DUMMYFUNCTION("""COMPUTED_VALUE"""),80.0)</f>
        <v>80</v>
      </c>
      <c r="K60" s="29">
        <f>IFERROR(__xludf.DUMMYFUNCTION("""COMPUTED_VALUE"""),18.0)</f>
        <v>18</v>
      </c>
      <c r="L60" s="31" t="str">
        <f>IFERROR(__xludf.DUMMYFUNCTION("""COMPUTED_VALUE"""),"Action-Adventure")</f>
        <v>Action-Adventure</v>
      </c>
      <c r="M60" s="31"/>
      <c r="N60" s="31" t="str">
        <f>IFERROR(__xludf.DUMMYFUNCTION("""COMPUTED_VALUE"""),"Returning title: Originally joined 4/22/20, left 12/31/21")</f>
        <v>Returning title: Originally joined 4/22/20, left 12/31/21</v>
      </c>
    </row>
    <row r="61">
      <c r="A61" s="17" t="str">
        <f>IFERROR(__xludf.DUMMYFUNCTION("""COMPUTED_VALUE"""),"Yakuza Kiwami 2")</f>
        <v>Yakuza Kiwami 2</v>
      </c>
      <c r="B61" s="20" t="str">
        <f>IFERROR(__xludf.DUMMYFUNCTION("""COMPUTED_VALUE"""),"Xbox / PC")</f>
        <v>Xbox / PC</v>
      </c>
      <c r="C61" s="21" t="str">
        <f>IFERROR(__xludf.DUMMYFUNCTION("""COMPUTED_VALUE"""),"Touch Controls")</f>
        <v>Touch Controls</v>
      </c>
      <c r="D61" s="21" t="str">
        <f>IFERROR(__xludf.DUMMYFUNCTION("""COMPUTED_VALUE"""),"Removed")</f>
        <v>Removed</v>
      </c>
      <c r="E61" s="23">
        <f>IFERROR(__xludf.DUMMYFUNCTION("""COMPUTED_VALUE"""),44747.0)</f>
        <v>44747</v>
      </c>
      <c r="F61" s="24">
        <f>IFERROR(__xludf.DUMMYFUNCTION("""COMPUTED_VALUE"""),45747.0)</f>
        <v>45747</v>
      </c>
      <c r="G61" s="27">
        <f>IFERROR(__xludf.DUMMYFUNCTION("""COMPUTED_VALUE"""),32.833333333333336)</f>
        <v>32.83333333</v>
      </c>
      <c r="H61" s="23">
        <f>IFERROR(__xludf.DUMMYFUNCTION("""COMPUTED_VALUE"""),43076.0)</f>
        <v>43076</v>
      </c>
      <c r="I61" s="27">
        <f>IFERROR(__xludf.DUMMYFUNCTION("""COMPUTED_VALUE"""),4.5777777777777775)</f>
        <v>4.577777778</v>
      </c>
      <c r="J61" s="29">
        <f>IFERROR(__xludf.DUMMYFUNCTION("""COMPUTED_VALUE"""),82.0)</f>
        <v>82</v>
      </c>
      <c r="K61" s="29">
        <f>IFERROR(__xludf.DUMMYFUNCTION("""COMPUTED_VALUE"""),18.5)</f>
        <v>18.5</v>
      </c>
      <c r="L61" s="31" t="str">
        <f>IFERROR(__xludf.DUMMYFUNCTION("""COMPUTED_VALUE"""),"Action-Adventure")</f>
        <v>Action-Adventure</v>
      </c>
      <c r="M61" s="31"/>
      <c r="N61" s="31" t="str">
        <f>IFERROR(__xludf.DUMMYFUNCTION("""COMPUTED_VALUE"""),"Returning title: Originally joined 7/30/20, left 12/31/21")</f>
        <v>Returning title: Originally joined 7/30/20, left 12/31/21</v>
      </c>
    </row>
    <row r="62">
      <c r="A62" s="17" t="str">
        <f>IFERROR(__xludf.DUMMYFUNCTION("""COMPUTED_VALUE"""),"Outer Wilds")</f>
        <v>Outer Wilds</v>
      </c>
      <c r="B62" s="20" t="str">
        <f>IFERROR(__xludf.DUMMYFUNCTION("""COMPUTED_VALUE"""),"Xbox / PC")</f>
        <v>Xbox / PC</v>
      </c>
      <c r="C62" s="21" t="str">
        <f>IFERROR(__xludf.DUMMYFUNCTION("""COMPUTED_VALUE"""),"Yes")</f>
        <v>Yes</v>
      </c>
      <c r="D62" s="21" t="str">
        <f>IFERROR(__xludf.DUMMYFUNCTION("""COMPUTED_VALUE"""),"Removed")</f>
        <v>Removed</v>
      </c>
      <c r="E62" s="23">
        <f>IFERROR(__xludf.DUMMYFUNCTION("""COMPUTED_VALUE"""),44567.0)</f>
        <v>44567</v>
      </c>
      <c r="F62" s="24">
        <f>IFERROR(__xludf.DUMMYFUNCTION("""COMPUTED_VALUE"""),44926.0)</f>
        <v>44926</v>
      </c>
      <c r="G62" s="27">
        <f>IFERROR(__xludf.DUMMYFUNCTION("""COMPUTED_VALUE"""),11.799999999999999)</f>
        <v>11.8</v>
      </c>
      <c r="H62" s="23">
        <f>IFERROR(__xludf.DUMMYFUNCTION("""COMPUTED_VALUE"""),43614.0)</f>
        <v>43614</v>
      </c>
      <c r="I62" s="27">
        <f>IFERROR(__xludf.DUMMYFUNCTION("""COMPUTED_VALUE"""),2.602777777777778)</f>
        <v>2.602777778</v>
      </c>
      <c r="J62" s="29">
        <f>IFERROR(__xludf.DUMMYFUNCTION("""COMPUTED_VALUE"""),85.0)</f>
        <v>85</v>
      </c>
      <c r="K62" s="29">
        <f>IFERROR(__xludf.DUMMYFUNCTION("""COMPUTED_VALUE"""),15.0)</f>
        <v>15</v>
      </c>
      <c r="L62" s="31" t="str">
        <f>IFERROR(__xludf.DUMMYFUNCTION("""COMPUTED_VALUE"""),"Adventure")</f>
        <v>Adventure</v>
      </c>
      <c r="M62" s="31"/>
      <c r="N62" s="31" t="str">
        <f>IFERROR(__xludf.DUMMYFUNCTION("""COMPUTED_VALUE"""),"Returning title: Added 5/30/19, left 6/30/21")</f>
        <v>Returning title: Added 5/30/19, left 6/30/21</v>
      </c>
    </row>
    <row r="63">
      <c r="A63" s="17" t="str">
        <f>IFERROR(__xludf.DUMMYFUNCTION("""COMPUTED_VALUE"""),"My Friend Pedro")</f>
        <v>My Friend Pedro</v>
      </c>
      <c r="B63" s="20" t="str">
        <f>IFERROR(__xludf.DUMMYFUNCTION("""COMPUTED_VALUE"""),"Xbox / PC")</f>
        <v>Xbox / PC</v>
      </c>
      <c r="C63" s="21" t="str">
        <f>IFERROR(__xludf.DUMMYFUNCTION("""COMPUTED_VALUE"""),"Yes")</f>
        <v>Yes</v>
      </c>
      <c r="D63" s="21" t="str">
        <f>IFERROR(__xludf.DUMMYFUNCTION("""COMPUTED_VALUE"""),"Removed")</f>
        <v>Removed</v>
      </c>
      <c r="E63" s="23">
        <f>IFERROR(__xludf.DUMMYFUNCTION("""COMPUTED_VALUE"""),44518.0)</f>
        <v>44518</v>
      </c>
      <c r="F63" s="24">
        <f>IFERROR(__xludf.DUMMYFUNCTION("""COMPUTED_VALUE"""),45061.0)</f>
        <v>45061</v>
      </c>
      <c r="G63" s="27">
        <f>IFERROR(__xludf.DUMMYFUNCTION("""COMPUTED_VALUE"""),17.9)</f>
        <v>17.9</v>
      </c>
      <c r="H63" s="23">
        <f>IFERROR(__xludf.DUMMYFUNCTION("""COMPUTED_VALUE"""),43636.0)</f>
        <v>43636</v>
      </c>
      <c r="I63" s="27">
        <f>IFERROR(__xludf.DUMMYFUNCTION("""COMPUTED_VALUE"""),2.411111111111111)</f>
        <v>2.411111111</v>
      </c>
      <c r="J63" s="29">
        <f>IFERROR(__xludf.DUMMYFUNCTION("""COMPUTED_VALUE"""),80.0)</f>
        <v>80</v>
      </c>
      <c r="K63" s="29">
        <f>IFERROR(__xludf.DUMMYFUNCTION("""COMPUTED_VALUE"""),4.0)</f>
        <v>4</v>
      </c>
      <c r="L63" s="31" t="str">
        <f>IFERROR(__xludf.DUMMYFUNCTION("""COMPUTED_VALUE"""),"Action")</f>
        <v>Action</v>
      </c>
      <c r="M63" s="31" t="str">
        <f>IFERROR(__xludf.DUMMYFUNCTION("""COMPUTED_VALUE"""),"FPS Boost")</f>
        <v>FPS Boost</v>
      </c>
      <c r="N63" s="31" t="str">
        <f>IFERROR(__xludf.DUMMYFUNCTION("""COMPUTED_VALUE"""),"Returning title: Joined 12/5/19, left 1/15/21")</f>
        <v>Returning title: Joined 12/5/19, left 1/15/21</v>
      </c>
    </row>
    <row r="64">
      <c r="A64" s="17" t="str">
        <f>IFERROR(__xludf.DUMMYFUNCTION("""COMPUTED_VALUE"""),"Mutant Year Zero: Road to Eden")</f>
        <v>Mutant Year Zero: Road to Eden</v>
      </c>
      <c r="B64" s="20" t="str">
        <f>IFERROR(__xludf.DUMMYFUNCTION("""COMPUTED_VALUE"""),"PC")</f>
        <v>PC</v>
      </c>
      <c r="C64" s="21"/>
      <c r="D64" s="21" t="str">
        <f>IFERROR(__xludf.DUMMYFUNCTION("""COMPUTED_VALUE"""),"Removed")</f>
        <v>Removed</v>
      </c>
      <c r="E64" s="23">
        <f>IFERROR(__xludf.DUMMYFUNCTION("""COMPUTED_VALUE"""),44273.0)</f>
        <v>44273</v>
      </c>
      <c r="F64" s="24">
        <f>IFERROR(__xludf.DUMMYFUNCTION("""COMPUTED_VALUE"""),44284.0)</f>
        <v>44284</v>
      </c>
      <c r="G64" s="27">
        <f>IFERROR(__xludf.DUMMYFUNCTION("""COMPUTED_VALUE"""),0.36666666666666664)</f>
        <v>0.3666666667</v>
      </c>
      <c r="H64" s="23">
        <f>IFERROR(__xludf.DUMMYFUNCTION("""COMPUTED_VALUE"""),43438.0)</f>
        <v>43438</v>
      </c>
      <c r="I64" s="27">
        <f>IFERROR(__xludf.DUMMYFUNCTION("""COMPUTED_VALUE"""),2.2888888888888888)</f>
        <v>2.288888889</v>
      </c>
      <c r="J64" s="29">
        <f>IFERROR(__xludf.DUMMYFUNCTION("""COMPUTED_VALUE"""),78.0)</f>
        <v>78</v>
      </c>
      <c r="K64" s="29">
        <f>IFERROR(__xludf.DUMMYFUNCTION("""COMPUTED_VALUE"""),13.0)</f>
        <v>13</v>
      </c>
      <c r="L64" s="31" t="str">
        <f>IFERROR(__xludf.DUMMYFUNCTION("""COMPUTED_VALUE"""),"Strategy")</f>
        <v>Strategy</v>
      </c>
      <c r="M64" s="31"/>
      <c r="N64" s="31" t="str">
        <f>IFERROR(__xludf.DUMMYFUNCTION("""COMPUTED_VALUE"""),"Returning title: Joined 12/4/18, left 12/15/20 (console and PC)")</f>
        <v>Returning title: Joined 12/4/18, left 12/15/20 (console and PC)</v>
      </c>
    </row>
    <row r="65">
      <c r="A65" s="17"/>
      <c r="B65" s="20"/>
      <c r="C65" s="21"/>
      <c r="D65" s="21"/>
      <c r="E65" s="23"/>
      <c r="F65" s="24"/>
      <c r="G65" s="27"/>
      <c r="H65" s="23"/>
      <c r="I65" s="27"/>
      <c r="J65" s="29"/>
      <c r="K65" s="129"/>
      <c r="L65" s="31"/>
      <c r="M65" s="31"/>
      <c r="N65" s="31"/>
    </row>
    <row r="66">
      <c r="A66" s="17"/>
      <c r="B66" s="20"/>
      <c r="C66" s="21"/>
      <c r="D66" s="21"/>
      <c r="E66" s="23"/>
      <c r="F66" s="24"/>
      <c r="G66" s="27"/>
      <c r="H66" s="23"/>
      <c r="I66" s="27"/>
      <c r="J66" s="29"/>
      <c r="K66" s="129"/>
      <c r="L66" s="31"/>
      <c r="M66" s="31"/>
      <c r="N66" s="31"/>
    </row>
    <row r="67">
      <c r="A67" s="17"/>
      <c r="B67" s="20"/>
      <c r="C67" s="21"/>
      <c r="D67" s="21"/>
      <c r="E67" s="23"/>
      <c r="F67" s="24"/>
      <c r="G67" s="27"/>
      <c r="H67" s="23"/>
      <c r="I67" s="27"/>
      <c r="J67" s="29"/>
      <c r="K67" s="129"/>
      <c r="L67" s="31"/>
      <c r="M67" s="31"/>
      <c r="N67" s="31"/>
    </row>
    <row r="68">
      <c r="A68" s="17"/>
      <c r="B68" s="20"/>
      <c r="C68" s="21"/>
      <c r="D68" s="21"/>
      <c r="E68" s="23"/>
      <c r="F68" s="24"/>
      <c r="G68" s="27"/>
      <c r="H68" s="23"/>
      <c r="I68" s="27"/>
      <c r="J68" s="29"/>
      <c r="K68" s="129"/>
      <c r="L68" s="31"/>
      <c r="M68" s="31"/>
      <c r="N68" s="31"/>
    </row>
    <row r="69">
      <c r="A69" s="17"/>
      <c r="B69" s="20"/>
      <c r="C69" s="21"/>
      <c r="D69" s="21"/>
      <c r="E69" s="23"/>
      <c r="F69" s="24"/>
      <c r="G69" s="27"/>
      <c r="H69" s="23"/>
      <c r="I69" s="27"/>
      <c r="J69" s="29"/>
      <c r="K69" s="129"/>
      <c r="L69" s="31"/>
      <c r="M69" s="31"/>
      <c r="N69" s="31"/>
    </row>
    <row r="70">
      <c r="A70" s="17"/>
      <c r="B70" s="20"/>
      <c r="C70" s="21"/>
      <c r="D70" s="21"/>
      <c r="E70" s="23"/>
      <c r="F70" s="24"/>
      <c r="G70" s="27"/>
      <c r="H70" s="23"/>
      <c r="I70" s="27"/>
      <c r="J70" s="29"/>
      <c r="K70" s="129"/>
      <c r="L70" s="31"/>
      <c r="M70" s="31"/>
      <c r="N70" s="31"/>
    </row>
    <row r="71">
      <c r="A71" s="17"/>
      <c r="B71" s="20"/>
      <c r="C71" s="21"/>
      <c r="D71" s="21"/>
      <c r="E71" s="23"/>
      <c r="F71" s="24"/>
      <c r="G71" s="27"/>
      <c r="H71" s="23"/>
      <c r="I71" s="27"/>
      <c r="J71" s="29"/>
      <c r="K71" s="129"/>
      <c r="L71" s="31"/>
      <c r="M71" s="31"/>
      <c r="N71" s="31"/>
    </row>
    <row r="72">
      <c r="A72" s="17"/>
      <c r="B72" s="20"/>
      <c r="C72" s="21"/>
      <c r="D72" s="21"/>
      <c r="E72" s="23"/>
      <c r="F72" s="24"/>
      <c r="G72" s="27"/>
      <c r="H72" s="23"/>
      <c r="I72" s="27"/>
      <c r="J72" s="29"/>
      <c r="K72" s="129"/>
      <c r="L72" s="31"/>
      <c r="M72" s="31"/>
      <c r="N72" s="31"/>
    </row>
    <row r="73">
      <c r="A73" s="17"/>
      <c r="B73" s="20"/>
      <c r="C73" s="21"/>
      <c r="D73" s="21"/>
      <c r="E73" s="23"/>
      <c r="F73" s="24"/>
      <c r="G73" s="27"/>
      <c r="H73" s="23"/>
      <c r="I73" s="27"/>
      <c r="J73" s="29"/>
      <c r="K73" s="129"/>
      <c r="L73" s="31"/>
      <c r="M73" s="31"/>
      <c r="N73" s="31"/>
    </row>
    <row r="74">
      <c r="A74" s="17"/>
      <c r="B74" s="20"/>
      <c r="C74" s="21"/>
      <c r="D74" s="21"/>
      <c r="E74" s="23"/>
      <c r="F74" s="24"/>
      <c r="G74" s="27"/>
      <c r="H74" s="23"/>
      <c r="I74" s="27"/>
      <c r="J74" s="29"/>
      <c r="K74" s="129"/>
      <c r="L74" s="31"/>
      <c r="M74" s="31"/>
      <c r="N74" s="31"/>
    </row>
    <row r="75">
      <c r="A75" s="17"/>
      <c r="B75" s="20"/>
      <c r="C75" s="21"/>
      <c r="D75" s="21"/>
      <c r="E75" s="23"/>
      <c r="F75" s="24"/>
      <c r="G75" s="27"/>
      <c r="H75" s="23"/>
      <c r="I75" s="27"/>
      <c r="J75" s="29"/>
      <c r="K75" s="129"/>
      <c r="L75" s="31"/>
      <c r="M75" s="31"/>
      <c r="N75" s="31"/>
    </row>
    <row r="76">
      <c r="A76" s="17"/>
      <c r="B76" s="20"/>
      <c r="C76" s="21"/>
      <c r="D76" s="21"/>
      <c r="E76" s="23"/>
      <c r="F76" s="24"/>
      <c r="G76" s="27"/>
      <c r="H76" s="23"/>
      <c r="I76" s="27"/>
      <c r="J76" s="29"/>
      <c r="K76" s="129"/>
      <c r="L76" s="31"/>
      <c r="M76" s="31"/>
      <c r="N76" s="31"/>
    </row>
    <row r="77">
      <c r="A77" s="17"/>
      <c r="B77" s="20"/>
      <c r="C77" s="21"/>
      <c r="D77" s="21"/>
      <c r="E77" s="23"/>
      <c r="F77" s="24"/>
      <c r="G77" s="27"/>
      <c r="H77" s="23"/>
      <c r="I77" s="27"/>
      <c r="J77" s="29"/>
      <c r="K77" s="129"/>
      <c r="L77" s="31"/>
      <c r="M77" s="31"/>
      <c r="N77" s="31"/>
    </row>
    <row r="78">
      <c r="A78" s="17"/>
      <c r="B78" s="20"/>
      <c r="C78" s="21"/>
      <c r="D78" s="21"/>
      <c r="E78" s="23"/>
      <c r="F78" s="24"/>
      <c r="G78" s="27"/>
      <c r="H78" s="23"/>
      <c r="I78" s="27"/>
      <c r="J78" s="29"/>
      <c r="K78" s="129"/>
      <c r="L78" s="31"/>
      <c r="M78" s="31"/>
      <c r="N78" s="31"/>
    </row>
    <row r="79">
      <c r="A79" s="17"/>
      <c r="B79" s="20"/>
      <c r="C79" s="21"/>
      <c r="D79" s="21"/>
      <c r="E79" s="23"/>
      <c r="F79" s="24"/>
      <c r="G79" s="27"/>
      <c r="H79" s="23"/>
      <c r="I79" s="27"/>
      <c r="J79" s="29"/>
      <c r="K79" s="129"/>
      <c r="L79" s="31"/>
      <c r="M79" s="31"/>
      <c r="N79" s="31"/>
    </row>
    <row r="80">
      <c r="A80" s="17"/>
      <c r="B80" s="20"/>
      <c r="C80" s="21"/>
      <c r="D80" s="21"/>
      <c r="E80" s="23"/>
      <c r="F80" s="24"/>
      <c r="G80" s="27"/>
      <c r="H80" s="23"/>
      <c r="I80" s="27"/>
      <c r="J80" s="29"/>
      <c r="K80" s="129"/>
      <c r="L80" s="31"/>
      <c r="M80" s="31"/>
      <c r="N80" s="31"/>
    </row>
    <row r="81">
      <c r="A81" s="17"/>
      <c r="B81" s="20"/>
      <c r="C81" s="21"/>
      <c r="D81" s="21"/>
      <c r="E81" s="23"/>
      <c r="F81" s="24"/>
      <c r="G81" s="27"/>
      <c r="H81" s="23"/>
      <c r="I81" s="27"/>
      <c r="J81" s="29"/>
      <c r="K81" s="129"/>
      <c r="L81" s="31"/>
      <c r="M81" s="31"/>
      <c r="N81" s="31"/>
    </row>
    <row r="82">
      <c r="A82" s="17"/>
      <c r="B82" s="20"/>
      <c r="C82" s="21"/>
      <c r="D82" s="21"/>
      <c r="E82" s="23"/>
      <c r="F82" s="24"/>
      <c r="G82" s="27"/>
      <c r="H82" s="23"/>
      <c r="I82" s="27"/>
      <c r="J82" s="29"/>
      <c r="K82" s="129"/>
      <c r="L82" s="31"/>
      <c r="M82" s="31"/>
      <c r="N82" s="31"/>
    </row>
    <row r="83">
      <c r="A83" s="17"/>
      <c r="B83" s="20"/>
      <c r="C83" s="21"/>
      <c r="D83" s="21"/>
      <c r="E83" s="23"/>
      <c r="F83" s="24"/>
      <c r="G83" s="27"/>
      <c r="H83" s="23"/>
      <c r="I83" s="27"/>
      <c r="J83" s="29"/>
      <c r="K83" s="129"/>
      <c r="L83" s="31"/>
      <c r="M83" s="31"/>
      <c r="N83" s="31"/>
    </row>
    <row r="84">
      <c r="A84" s="17"/>
      <c r="B84" s="20"/>
      <c r="C84" s="21"/>
      <c r="D84" s="21"/>
      <c r="E84" s="23"/>
      <c r="F84" s="24"/>
      <c r="G84" s="27"/>
      <c r="H84" s="23"/>
      <c r="I84" s="27"/>
      <c r="J84" s="29"/>
      <c r="K84" s="129"/>
      <c r="L84" s="31"/>
      <c r="M84" s="31"/>
      <c r="N84" s="31"/>
    </row>
    <row r="85">
      <c r="A85" s="17"/>
      <c r="B85" s="20"/>
      <c r="C85" s="21"/>
      <c r="D85" s="21"/>
      <c r="E85" s="23"/>
      <c r="F85" s="24"/>
      <c r="G85" s="27"/>
      <c r="H85" s="23"/>
      <c r="I85" s="27"/>
      <c r="J85" s="29"/>
      <c r="K85" s="129"/>
      <c r="L85" s="31"/>
      <c r="M85" s="31"/>
      <c r="N85" s="31"/>
    </row>
    <row r="86">
      <c r="A86" s="17"/>
      <c r="B86" s="20"/>
      <c r="C86" s="21"/>
      <c r="D86" s="21"/>
      <c r="E86" s="23"/>
      <c r="F86" s="24"/>
      <c r="G86" s="27"/>
      <c r="H86" s="23"/>
      <c r="I86" s="27"/>
      <c r="J86" s="29"/>
      <c r="K86" s="129"/>
      <c r="L86" s="31"/>
      <c r="M86" s="31"/>
      <c r="N86" s="31"/>
    </row>
    <row r="87">
      <c r="A87" s="17"/>
      <c r="B87" s="20"/>
      <c r="C87" s="21"/>
      <c r="D87" s="21"/>
      <c r="E87" s="23"/>
      <c r="F87" s="24"/>
      <c r="G87" s="27"/>
      <c r="H87" s="23"/>
      <c r="I87" s="27"/>
      <c r="J87" s="29"/>
      <c r="K87" s="129"/>
      <c r="L87" s="31"/>
      <c r="M87" s="31"/>
      <c r="N87" s="31"/>
    </row>
    <row r="88">
      <c r="A88" s="17"/>
      <c r="B88" s="20"/>
      <c r="C88" s="21"/>
      <c r="D88" s="21"/>
      <c r="E88" s="23"/>
      <c r="F88" s="24"/>
      <c r="G88" s="27"/>
      <c r="H88" s="23"/>
      <c r="I88" s="27"/>
      <c r="J88" s="29"/>
      <c r="K88" s="129"/>
      <c r="L88" s="31"/>
      <c r="M88" s="31"/>
      <c r="N88" s="31"/>
    </row>
    <row r="89">
      <c r="A89" s="17"/>
      <c r="B89" s="20"/>
      <c r="C89" s="21"/>
      <c r="D89" s="21"/>
      <c r="E89" s="23"/>
      <c r="F89" s="24"/>
      <c r="G89" s="27"/>
      <c r="H89" s="23"/>
      <c r="I89" s="27"/>
      <c r="J89" s="29"/>
      <c r="K89" s="129"/>
      <c r="L89" s="31"/>
      <c r="M89" s="31"/>
      <c r="N89" s="31"/>
    </row>
    <row r="90">
      <c r="A90" s="17"/>
      <c r="B90" s="20"/>
      <c r="C90" s="21"/>
      <c r="D90" s="21"/>
      <c r="E90" s="23"/>
      <c r="F90" s="24"/>
      <c r="G90" s="27"/>
      <c r="H90" s="23"/>
      <c r="I90" s="27"/>
      <c r="J90" s="29"/>
      <c r="K90" s="129"/>
      <c r="L90" s="31"/>
      <c r="M90" s="31"/>
      <c r="N90" s="31"/>
    </row>
    <row r="91">
      <c r="A91" s="17"/>
      <c r="B91" s="20"/>
      <c r="C91" s="21"/>
      <c r="D91" s="21"/>
      <c r="E91" s="23"/>
      <c r="F91" s="24"/>
      <c r="G91" s="27"/>
      <c r="H91" s="23"/>
      <c r="I91" s="27"/>
      <c r="J91" s="29"/>
      <c r="K91" s="129"/>
      <c r="L91" s="31"/>
      <c r="M91" s="31"/>
      <c r="N91" s="31"/>
    </row>
    <row r="92">
      <c r="A92" s="17"/>
      <c r="B92" s="20"/>
      <c r="C92" s="21"/>
      <c r="D92" s="21"/>
      <c r="E92" s="23"/>
      <c r="F92" s="24"/>
      <c r="G92" s="27"/>
      <c r="H92" s="23"/>
      <c r="I92" s="27"/>
      <c r="J92" s="29"/>
      <c r="K92" s="129"/>
      <c r="L92" s="31"/>
      <c r="M92" s="31"/>
      <c r="N92" s="31"/>
    </row>
    <row r="93">
      <c r="A93" s="17"/>
      <c r="B93" s="20"/>
      <c r="C93" s="21"/>
      <c r="D93" s="21"/>
      <c r="E93" s="23"/>
      <c r="F93" s="24"/>
      <c r="G93" s="27"/>
      <c r="H93" s="23"/>
      <c r="I93" s="27"/>
      <c r="J93" s="29"/>
      <c r="K93" s="129"/>
      <c r="L93" s="31"/>
      <c r="M93" s="31"/>
      <c r="N93" s="31"/>
    </row>
    <row r="94">
      <c r="A94" s="17"/>
      <c r="B94" s="20"/>
      <c r="C94" s="21"/>
      <c r="D94" s="21"/>
      <c r="E94" s="23"/>
      <c r="F94" s="24"/>
      <c r="G94" s="27"/>
      <c r="H94" s="23"/>
      <c r="I94" s="27"/>
      <c r="J94" s="29"/>
      <c r="K94" s="129"/>
      <c r="L94" s="31"/>
      <c r="M94" s="31"/>
      <c r="N94" s="31"/>
    </row>
    <row r="95">
      <c r="A95" s="17"/>
      <c r="B95" s="20"/>
      <c r="C95" s="21"/>
      <c r="D95" s="21"/>
      <c r="E95" s="23"/>
      <c r="F95" s="24"/>
      <c r="G95" s="27"/>
      <c r="H95" s="23"/>
      <c r="I95" s="27"/>
      <c r="J95" s="29"/>
      <c r="K95" s="129"/>
      <c r="L95" s="31"/>
      <c r="M95" s="31"/>
      <c r="N95" s="31"/>
    </row>
    <row r="96">
      <c r="A96" s="17"/>
      <c r="B96" s="20"/>
      <c r="C96" s="21"/>
      <c r="D96" s="21"/>
      <c r="E96" s="23"/>
      <c r="F96" s="24"/>
      <c r="G96" s="27"/>
      <c r="H96" s="23"/>
      <c r="I96" s="27"/>
      <c r="J96" s="29"/>
      <c r="K96" s="129"/>
      <c r="L96" s="31"/>
      <c r="M96" s="31"/>
      <c r="N96" s="31"/>
    </row>
    <row r="97">
      <c r="A97" s="17"/>
      <c r="B97" s="20"/>
      <c r="C97" s="21"/>
      <c r="D97" s="21"/>
      <c r="E97" s="23"/>
      <c r="F97" s="24"/>
      <c r="G97" s="27"/>
      <c r="H97" s="23"/>
      <c r="I97" s="27"/>
      <c r="J97" s="29"/>
      <c r="K97" s="129"/>
      <c r="L97" s="31"/>
      <c r="M97" s="31"/>
      <c r="N97" s="31"/>
    </row>
    <row r="98">
      <c r="A98" s="17"/>
      <c r="B98" s="20"/>
      <c r="C98" s="21"/>
      <c r="D98" s="21"/>
      <c r="E98" s="23"/>
      <c r="F98" s="24"/>
      <c r="G98" s="27"/>
      <c r="H98" s="23"/>
      <c r="I98" s="27"/>
      <c r="J98" s="29"/>
      <c r="K98" s="129"/>
      <c r="L98" s="31"/>
      <c r="M98" s="31"/>
      <c r="N98" s="31"/>
    </row>
    <row r="99">
      <c r="A99" s="17"/>
      <c r="B99" s="20"/>
      <c r="C99" s="21"/>
      <c r="D99" s="21"/>
      <c r="E99" s="23"/>
      <c r="F99" s="24"/>
      <c r="G99" s="27"/>
      <c r="H99" s="23"/>
      <c r="I99" s="27"/>
      <c r="J99" s="29"/>
      <c r="K99" s="129"/>
      <c r="L99" s="31"/>
      <c r="M99" s="31"/>
      <c r="N99" s="31"/>
    </row>
    <row r="100">
      <c r="A100" s="17"/>
      <c r="B100" s="20"/>
      <c r="C100" s="21"/>
      <c r="D100" s="21"/>
      <c r="E100" s="23"/>
      <c r="F100" s="24"/>
      <c r="G100" s="27"/>
      <c r="H100" s="23"/>
      <c r="I100" s="27"/>
      <c r="J100" s="29"/>
      <c r="K100" s="129"/>
      <c r="L100" s="31"/>
      <c r="M100" s="31"/>
      <c r="N100" s="31"/>
    </row>
    <row r="101">
      <c r="A101" s="17"/>
      <c r="B101" s="20"/>
      <c r="C101" s="21"/>
      <c r="D101" s="21"/>
      <c r="E101" s="23"/>
      <c r="F101" s="24"/>
      <c r="G101" s="27"/>
      <c r="H101" s="23"/>
      <c r="I101" s="27"/>
      <c r="J101" s="29"/>
      <c r="K101" s="129"/>
      <c r="L101" s="31"/>
      <c r="M101" s="31"/>
      <c r="N101" s="31"/>
    </row>
    <row r="102">
      <c r="A102" s="17"/>
      <c r="B102" s="20"/>
      <c r="C102" s="21"/>
      <c r="D102" s="21"/>
      <c r="E102" s="23"/>
      <c r="F102" s="24"/>
      <c r="G102" s="27"/>
      <c r="H102" s="23"/>
      <c r="I102" s="27"/>
      <c r="J102" s="29"/>
      <c r="K102" s="129"/>
      <c r="L102" s="31"/>
      <c r="M102" s="31"/>
      <c r="N102" s="31"/>
    </row>
    <row r="103">
      <c r="A103" s="17"/>
      <c r="B103" s="20"/>
      <c r="C103" s="21"/>
      <c r="D103" s="21"/>
      <c r="E103" s="23"/>
      <c r="F103" s="24"/>
      <c r="G103" s="27"/>
      <c r="H103" s="23"/>
      <c r="I103" s="27"/>
      <c r="J103" s="29"/>
      <c r="K103" s="129"/>
      <c r="L103" s="31"/>
      <c r="M103" s="31"/>
      <c r="N103" s="31"/>
    </row>
    <row r="104">
      <c r="A104" s="17"/>
      <c r="B104" s="20"/>
      <c r="C104" s="21"/>
      <c r="D104" s="21"/>
      <c r="E104" s="23"/>
      <c r="F104" s="24"/>
      <c r="G104" s="27"/>
      <c r="H104" s="23"/>
      <c r="I104" s="27"/>
      <c r="J104" s="29"/>
      <c r="K104" s="129"/>
      <c r="L104" s="31"/>
      <c r="M104" s="31"/>
      <c r="N104" s="31"/>
    </row>
    <row r="105">
      <c r="A105" s="17"/>
      <c r="B105" s="20"/>
      <c r="C105" s="21"/>
      <c r="D105" s="21"/>
      <c r="E105" s="23"/>
      <c r="F105" s="24"/>
      <c r="G105" s="27"/>
      <c r="H105" s="23"/>
      <c r="I105" s="27"/>
      <c r="J105" s="29"/>
      <c r="K105" s="129"/>
      <c r="L105" s="31"/>
      <c r="M105" s="31"/>
      <c r="N105" s="31"/>
    </row>
    <row r="106">
      <c r="A106" s="17"/>
      <c r="B106" s="20"/>
      <c r="C106" s="21"/>
      <c r="D106" s="21"/>
      <c r="E106" s="23"/>
      <c r="F106" s="24"/>
      <c r="G106" s="27"/>
      <c r="H106" s="23"/>
      <c r="I106" s="27"/>
      <c r="J106" s="29"/>
      <c r="K106" s="129"/>
      <c r="L106" s="31"/>
      <c r="M106" s="31"/>
      <c r="N106" s="31"/>
    </row>
    <row r="107">
      <c r="A107" s="17"/>
      <c r="B107" s="20"/>
      <c r="C107" s="21"/>
      <c r="D107" s="21"/>
      <c r="E107" s="23"/>
      <c r="F107" s="24"/>
      <c r="G107" s="27"/>
      <c r="H107" s="23"/>
      <c r="I107" s="27"/>
      <c r="J107" s="29"/>
      <c r="K107" s="129"/>
      <c r="L107" s="31"/>
      <c r="M107" s="31"/>
      <c r="N107" s="31"/>
    </row>
    <row r="108">
      <c r="A108" s="17"/>
      <c r="B108" s="20"/>
      <c r="C108" s="21"/>
      <c r="D108" s="21"/>
      <c r="E108" s="23"/>
      <c r="F108" s="24"/>
      <c r="G108" s="27"/>
      <c r="H108" s="23"/>
      <c r="I108" s="27"/>
      <c r="J108" s="29"/>
      <c r="K108" s="129"/>
      <c r="L108" s="31"/>
      <c r="M108" s="31"/>
      <c r="N108" s="31"/>
    </row>
    <row r="109">
      <c r="A109" s="17"/>
      <c r="B109" s="20"/>
      <c r="C109" s="21"/>
      <c r="D109" s="21"/>
      <c r="E109" s="23"/>
      <c r="F109" s="24"/>
      <c r="G109" s="27"/>
      <c r="H109" s="23"/>
      <c r="I109" s="27"/>
      <c r="J109" s="29"/>
      <c r="K109" s="129"/>
      <c r="L109" s="31"/>
      <c r="M109" s="31"/>
      <c r="N109" s="31"/>
    </row>
    <row r="110">
      <c r="A110" s="17"/>
      <c r="B110" s="20"/>
      <c r="C110" s="21"/>
      <c r="D110" s="21"/>
      <c r="E110" s="23"/>
      <c r="F110" s="24"/>
      <c r="G110" s="27"/>
      <c r="H110" s="23"/>
      <c r="I110" s="27"/>
      <c r="J110" s="29"/>
      <c r="K110" s="129"/>
      <c r="L110" s="31"/>
      <c r="M110" s="31"/>
      <c r="N110" s="31"/>
    </row>
    <row r="111">
      <c r="A111" s="17"/>
      <c r="B111" s="20"/>
      <c r="C111" s="21"/>
      <c r="D111" s="21"/>
      <c r="E111" s="23"/>
      <c r="F111" s="24"/>
      <c r="G111" s="27"/>
      <c r="H111" s="23"/>
      <c r="I111" s="27"/>
      <c r="J111" s="29"/>
      <c r="K111" s="129"/>
      <c r="L111" s="31"/>
      <c r="M111" s="31"/>
      <c r="N111" s="31"/>
    </row>
    <row r="112">
      <c r="A112" s="17"/>
      <c r="B112" s="20"/>
      <c r="C112" s="21"/>
      <c r="D112" s="21"/>
      <c r="E112" s="23"/>
      <c r="F112" s="24"/>
      <c r="G112" s="27"/>
      <c r="H112" s="23"/>
      <c r="I112" s="27"/>
      <c r="J112" s="29"/>
      <c r="K112" s="129"/>
      <c r="L112" s="31"/>
      <c r="M112" s="31"/>
      <c r="N112" s="31"/>
    </row>
    <row r="113">
      <c r="A113" s="17"/>
      <c r="B113" s="20"/>
      <c r="C113" s="21"/>
      <c r="D113" s="21"/>
      <c r="E113" s="23"/>
      <c r="F113" s="24"/>
      <c r="G113" s="27"/>
      <c r="H113" s="23"/>
      <c r="I113" s="27"/>
      <c r="J113" s="29"/>
      <c r="K113" s="129"/>
      <c r="L113" s="31"/>
      <c r="M113" s="31"/>
      <c r="N113" s="31"/>
    </row>
    <row r="114">
      <c r="A114" s="17"/>
      <c r="B114" s="20"/>
      <c r="C114" s="21"/>
      <c r="D114" s="21"/>
      <c r="E114" s="23"/>
      <c r="F114" s="24"/>
      <c r="G114" s="27"/>
      <c r="H114" s="23"/>
      <c r="I114" s="27"/>
      <c r="J114" s="29"/>
      <c r="K114" s="129"/>
      <c r="L114" s="31"/>
      <c r="M114" s="31"/>
      <c r="N114" s="31"/>
    </row>
    <row r="115">
      <c r="A115" s="17"/>
      <c r="B115" s="20"/>
      <c r="C115" s="21"/>
      <c r="D115" s="21"/>
      <c r="E115" s="23"/>
      <c r="F115" s="24"/>
      <c r="G115" s="27"/>
      <c r="H115" s="23"/>
      <c r="I115" s="27"/>
      <c r="J115" s="29"/>
      <c r="K115" s="129"/>
      <c r="L115" s="31"/>
      <c r="M115" s="31"/>
      <c r="N115" s="31"/>
    </row>
    <row r="116">
      <c r="A116" s="17"/>
      <c r="B116" s="20"/>
      <c r="C116" s="21"/>
      <c r="D116" s="21"/>
      <c r="E116" s="23"/>
      <c r="F116" s="24"/>
      <c r="G116" s="27"/>
      <c r="H116" s="23"/>
      <c r="I116" s="27"/>
      <c r="J116" s="29"/>
      <c r="K116" s="129"/>
      <c r="L116" s="31"/>
      <c r="M116" s="31"/>
      <c r="N116" s="31"/>
    </row>
    <row r="117">
      <c r="A117" s="17"/>
      <c r="B117" s="20"/>
      <c r="C117" s="21"/>
      <c r="D117" s="21"/>
      <c r="E117" s="23"/>
      <c r="F117" s="24"/>
      <c r="G117" s="27"/>
      <c r="H117" s="23"/>
      <c r="I117" s="27"/>
      <c r="J117" s="29"/>
      <c r="K117" s="129"/>
      <c r="L117" s="31"/>
      <c r="M117" s="31"/>
      <c r="N117" s="31"/>
    </row>
    <row r="118">
      <c r="A118" s="17"/>
      <c r="B118" s="20"/>
      <c r="C118" s="21"/>
      <c r="D118" s="21"/>
      <c r="E118" s="23"/>
      <c r="F118" s="24"/>
      <c r="G118" s="27"/>
      <c r="H118" s="23"/>
      <c r="I118" s="27"/>
      <c r="J118" s="29"/>
      <c r="K118" s="129"/>
      <c r="L118" s="31"/>
      <c r="M118" s="31"/>
      <c r="N118" s="31"/>
    </row>
    <row r="119">
      <c r="A119" s="17"/>
      <c r="B119" s="20"/>
      <c r="C119" s="21"/>
      <c r="D119" s="21"/>
      <c r="E119" s="23"/>
      <c r="F119" s="24"/>
      <c r="G119" s="27"/>
      <c r="H119" s="23"/>
      <c r="I119" s="27"/>
      <c r="J119" s="29"/>
      <c r="K119" s="129"/>
      <c r="L119" s="31"/>
      <c r="M119" s="31"/>
      <c r="N119" s="31"/>
    </row>
    <row r="120">
      <c r="A120" s="17"/>
      <c r="B120" s="20"/>
      <c r="C120" s="21"/>
      <c r="D120" s="21"/>
      <c r="E120" s="23"/>
      <c r="F120" s="24"/>
      <c r="G120" s="27"/>
      <c r="H120" s="23"/>
      <c r="I120" s="27"/>
      <c r="J120" s="29"/>
      <c r="K120" s="129"/>
      <c r="L120" s="31"/>
      <c r="M120" s="31"/>
      <c r="N120" s="31"/>
    </row>
    <row r="121">
      <c r="A121" s="17"/>
      <c r="B121" s="20"/>
      <c r="C121" s="21"/>
      <c r="D121" s="21"/>
      <c r="E121" s="23"/>
      <c r="F121" s="24"/>
      <c r="G121" s="27"/>
      <c r="H121" s="23"/>
      <c r="I121" s="27"/>
      <c r="J121" s="29"/>
      <c r="K121" s="129"/>
      <c r="L121" s="31"/>
      <c r="M121" s="31"/>
      <c r="N121" s="31"/>
    </row>
    <row r="122">
      <c r="A122" s="17"/>
      <c r="B122" s="20"/>
      <c r="C122" s="21"/>
      <c r="D122" s="21"/>
      <c r="E122" s="23"/>
      <c r="F122" s="24"/>
      <c r="G122" s="27"/>
      <c r="H122" s="23"/>
      <c r="I122" s="27"/>
      <c r="J122" s="29"/>
      <c r="K122" s="129"/>
      <c r="L122" s="31"/>
      <c r="M122" s="31"/>
      <c r="N122" s="31"/>
    </row>
    <row r="123">
      <c r="A123" s="17"/>
      <c r="B123" s="20"/>
      <c r="C123" s="21"/>
      <c r="D123" s="21"/>
      <c r="E123" s="23"/>
      <c r="F123" s="24"/>
      <c r="G123" s="27"/>
      <c r="H123" s="23"/>
      <c r="I123" s="27"/>
      <c r="J123" s="29"/>
      <c r="K123" s="129"/>
      <c r="L123" s="31"/>
      <c r="M123" s="31"/>
      <c r="N123" s="31"/>
    </row>
    <row r="124">
      <c r="A124" s="17"/>
      <c r="B124" s="20"/>
      <c r="C124" s="21"/>
      <c r="D124" s="21"/>
      <c r="E124" s="23"/>
      <c r="F124" s="24"/>
      <c r="G124" s="27"/>
      <c r="H124" s="23"/>
      <c r="I124" s="27"/>
      <c r="J124" s="29"/>
      <c r="K124" s="129"/>
      <c r="L124" s="31"/>
      <c r="M124" s="31"/>
      <c r="N124" s="31"/>
    </row>
    <row r="125">
      <c r="A125" s="17"/>
      <c r="B125" s="20"/>
      <c r="C125" s="21"/>
      <c r="D125" s="21"/>
      <c r="E125" s="23"/>
      <c r="F125" s="24"/>
      <c r="G125" s="27"/>
      <c r="H125" s="23"/>
      <c r="I125" s="27"/>
      <c r="J125" s="29"/>
      <c r="K125" s="129"/>
      <c r="L125" s="31"/>
      <c r="M125" s="31"/>
      <c r="N125" s="31"/>
    </row>
    <row r="126">
      <c r="A126" s="17"/>
      <c r="B126" s="20"/>
      <c r="C126" s="21"/>
      <c r="D126" s="21"/>
      <c r="E126" s="23"/>
      <c r="F126" s="24"/>
      <c r="G126" s="27"/>
      <c r="H126" s="23"/>
      <c r="I126" s="27"/>
      <c r="J126" s="29"/>
      <c r="K126" s="129"/>
      <c r="L126" s="31"/>
      <c r="M126" s="31"/>
      <c r="N126" s="31"/>
    </row>
    <row r="127">
      <c r="A127" s="17"/>
      <c r="B127" s="20"/>
      <c r="C127" s="21"/>
      <c r="D127" s="21"/>
      <c r="E127" s="23"/>
      <c r="F127" s="24"/>
      <c r="G127" s="27"/>
      <c r="H127" s="23"/>
      <c r="I127" s="27"/>
      <c r="J127" s="29"/>
      <c r="K127" s="129"/>
      <c r="L127" s="31"/>
      <c r="M127" s="31"/>
      <c r="N127" s="31"/>
    </row>
    <row r="128">
      <c r="A128" s="17"/>
      <c r="B128" s="20"/>
      <c r="C128" s="21"/>
      <c r="D128" s="21"/>
      <c r="E128" s="23"/>
      <c r="F128" s="24"/>
      <c r="G128" s="27"/>
      <c r="H128" s="23"/>
      <c r="I128" s="27"/>
      <c r="J128" s="29"/>
      <c r="K128" s="129"/>
      <c r="L128" s="31"/>
      <c r="M128" s="31"/>
      <c r="N128" s="31"/>
    </row>
    <row r="129">
      <c r="A129" s="17"/>
      <c r="B129" s="20"/>
      <c r="C129" s="21"/>
      <c r="D129" s="21"/>
      <c r="E129" s="23"/>
      <c r="F129" s="24"/>
      <c r="G129" s="27"/>
      <c r="H129" s="23"/>
      <c r="I129" s="27"/>
      <c r="J129" s="29"/>
      <c r="K129" s="129"/>
      <c r="L129" s="31"/>
      <c r="M129" s="31"/>
      <c r="N129" s="31"/>
    </row>
    <row r="130">
      <c r="A130" s="17"/>
      <c r="B130" s="20"/>
      <c r="C130" s="21"/>
      <c r="D130" s="21"/>
      <c r="E130" s="23"/>
      <c r="F130" s="24"/>
      <c r="G130" s="27"/>
      <c r="H130" s="23"/>
      <c r="I130" s="27"/>
      <c r="J130" s="29"/>
      <c r="K130" s="129"/>
      <c r="L130" s="31"/>
      <c r="M130" s="31"/>
      <c r="N130" s="31"/>
    </row>
    <row r="131">
      <c r="A131" s="17"/>
      <c r="B131" s="20"/>
      <c r="C131" s="21"/>
      <c r="D131" s="21"/>
      <c r="E131" s="23"/>
      <c r="F131" s="24"/>
      <c r="G131" s="27"/>
      <c r="H131" s="23"/>
      <c r="I131" s="27"/>
      <c r="J131" s="29"/>
      <c r="K131" s="129"/>
      <c r="L131" s="31"/>
      <c r="M131" s="31"/>
      <c r="N131" s="31"/>
    </row>
    <row r="132">
      <c r="A132" s="17"/>
      <c r="B132" s="20"/>
      <c r="C132" s="21"/>
      <c r="D132" s="21"/>
      <c r="E132" s="23"/>
      <c r="F132" s="24"/>
      <c r="G132" s="27"/>
      <c r="H132" s="23"/>
      <c r="I132" s="27"/>
      <c r="J132" s="29"/>
      <c r="K132" s="129"/>
      <c r="L132" s="31"/>
      <c r="M132" s="31"/>
      <c r="N132" s="31"/>
    </row>
    <row r="133">
      <c r="A133" s="17"/>
      <c r="B133" s="20"/>
      <c r="C133" s="21"/>
      <c r="D133" s="21"/>
      <c r="E133" s="23"/>
      <c r="F133" s="24"/>
      <c r="G133" s="27"/>
      <c r="H133" s="23"/>
      <c r="I133" s="27"/>
      <c r="J133" s="29"/>
      <c r="K133" s="129"/>
      <c r="L133" s="31"/>
      <c r="M133" s="31"/>
      <c r="N133" s="31"/>
    </row>
    <row r="134">
      <c r="A134" s="17"/>
      <c r="B134" s="20"/>
      <c r="C134" s="21"/>
      <c r="D134" s="21"/>
      <c r="E134" s="23"/>
      <c r="F134" s="24"/>
      <c r="G134" s="27"/>
      <c r="H134" s="23"/>
      <c r="I134" s="27"/>
      <c r="J134" s="29"/>
      <c r="K134" s="129"/>
      <c r="L134" s="31"/>
      <c r="M134" s="31"/>
      <c r="N134" s="31"/>
    </row>
    <row r="135">
      <c r="A135" s="17"/>
      <c r="B135" s="20"/>
      <c r="C135" s="21"/>
      <c r="D135" s="21"/>
      <c r="E135" s="23"/>
      <c r="F135" s="24"/>
      <c r="G135" s="27"/>
      <c r="H135" s="23"/>
      <c r="I135" s="27"/>
      <c r="J135" s="29"/>
      <c r="K135" s="129"/>
      <c r="L135" s="31"/>
      <c r="M135" s="31"/>
      <c r="N135" s="31"/>
    </row>
    <row r="136">
      <c r="A136" s="17"/>
      <c r="B136" s="20"/>
      <c r="C136" s="21"/>
      <c r="D136" s="21"/>
      <c r="E136" s="23"/>
      <c r="F136" s="24"/>
      <c r="G136" s="27"/>
      <c r="H136" s="23"/>
      <c r="I136" s="27"/>
      <c r="J136" s="29"/>
      <c r="K136" s="129"/>
      <c r="L136" s="31"/>
      <c r="M136" s="31"/>
      <c r="N136" s="31"/>
    </row>
    <row r="137">
      <c r="A137" s="17"/>
      <c r="B137" s="20"/>
      <c r="C137" s="21"/>
      <c r="D137" s="21"/>
      <c r="E137" s="23"/>
      <c r="F137" s="24"/>
      <c r="G137" s="27"/>
      <c r="H137" s="23"/>
      <c r="I137" s="27"/>
      <c r="J137" s="29"/>
      <c r="K137" s="129"/>
      <c r="L137" s="31"/>
      <c r="M137" s="31"/>
      <c r="N137" s="31"/>
    </row>
    <row r="138">
      <c r="A138" s="17"/>
      <c r="B138" s="20"/>
      <c r="C138" s="21"/>
      <c r="D138" s="21"/>
      <c r="E138" s="23"/>
      <c r="F138" s="24"/>
      <c r="G138" s="27"/>
      <c r="H138" s="23"/>
      <c r="I138" s="27"/>
      <c r="J138" s="29"/>
      <c r="K138" s="129"/>
      <c r="L138" s="31"/>
      <c r="M138" s="31"/>
      <c r="N138" s="31"/>
    </row>
    <row r="139">
      <c r="A139" s="17"/>
      <c r="B139" s="20"/>
      <c r="C139" s="21"/>
      <c r="D139" s="21"/>
      <c r="E139" s="23"/>
      <c r="F139" s="24"/>
      <c r="G139" s="27"/>
      <c r="H139" s="23"/>
      <c r="I139" s="27"/>
      <c r="J139" s="29"/>
      <c r="K139" s="129"/>
      <c r="L139" s="31"/>
      <c r="M139" s="31"/>
      <c r="N139" s="31"/>
    </row>
    <row r="140">
      <c r="A140" s="17"/>
      <c r="B140" s="20"/>
      <c r="C140" s="21"/>
      <c r="D140" s="21"/>
      <c r="E140" s="23"/>
      <c r="F140" s="24"/>
      <c r="G140" s="27"/>
      <c r="H140" s="23"/>
      <c r="I140" s="27"/>
      <c r="J140" s="29"/>
      <c r="K140" s="129"/>
      <c r="L140" s="31"/>
      <c r="M140" s="31"/>
      <c r="N140" s="31"/>
    </row>
    <row r="141">
      <c r="A141" s="17"/>
      <c r="B141" s="20"/>
      <c r="C141" s="21"/>
      <c r="D141" s="21"/>
      <c r="E141" s="23"/>
      <c r="F141" s="24"/>
      <c r="G141" s="27"/>
      <c r="H141" s="23"/>
      <c r="I141" s="27"/>
      <c r="J141" s="29"/>
      <c r="K141" s="129"/>
      <c r="L141" s="31"/>
      <c r="M141" s="31"/>
      <c r="N141" s="31"/>
    </row>
    <row r="142">
      <c r="A142" s="17"/>
      <c r="B142" s="20"/>
      <c r="C142" s="21"/>
      <c r="D142" s="21"/>
      <c r="E142" s="23"/>
      <c r="F142" s="24"/>
      <c r="G142" s="27"/>
      <c r="H142" s="23"/>
      <c r="I142" s="27"/>
      <c r="J142" s="29"/>
      <c r="K142" s="129"/>
      <c r="L142" s="31"/>
      <c r="M142" s="31"/>
      <c r="N142" s="31"/>
    </row>
    <row r="143">
      <c r="A143" s="17"/>
      <c r="B143" s="20"/>
      <c r="C143" s="21"/>
      <c r="D143" s="21"/>
      <c r="E143" s="23"/>
      <c r="F143" s="24"/>
      <c r="G143" s="27"/>
      <c r="H143" s="23"/>
      <c r="I143" s="27"/>
      <c r="J143" s="29"/>
      <c r="K143" s="129"/>
      <c r="L143" s="31"/>
      <c r="M143" s="31"/>
      <c r="N143" s="31"/>
    </row>
    <row r="144">
      <c r="A144" s="17"/>
      <c r="B144" s="20"/>
      <c r="C144" s="21"/>
      <c r="D144" s="21"/>
      <c r="E144" s="23"/>
      <c r="F144" s="24"/>
      <c r="G144" s="27"/>
      <c r="H144" s="23"/>
      <c r="I144" s="27"/>
      <c r="J144" s="29"/>
      <c r="K144" s="129"/>
      <c r="L144" s="31"/>
      <c r="M144" s="31"/>
      <c r="N144" s="31"/>
    </row>
    <row r="145">
      <c r="A145" s="17"/>
      <c r="B145" s="20"/>
      <c r="C145" s="21"/>
      <c r="D145" s="21"/>
      <c r="E145" s="23"/>
      <c r="F145" s="24"/>
      <c r="G145" s="27"/>
      <c r="H145" s="23"/>
      <c r="I145" s="27"/>
      <c r="J145" s="29"/>
      <c r="K145" s="129"/>
      <c r="L145" s="31"/>
      <c r="M145" s="31"/>
      <c r="N145" s="31"/>
    </row>
    <row r="146">
      <c r="A146" s="17"/>
      <c r="B146" s="20"/>
      <c r="C146" s="21"/>
      <c r="D146" s="21"/>
      <c r="E146" s="23"/>
      <c r="F146" s="24"/>
      <c r="G146" s="27"/>
      <c r="H146" s="23"/>
      <c r="I146" s="27"/>
      <c r="J146" s="29"/>
      <c r="K146" s="129"/>
      <c r="L146" s="31"/>
      <c r="M146" s="31"/>
      <c r="N146" s="31"/>
    </row>
    <row r="147">
      <c r="A147" s="17"/>
      <c r="B147" s="20"/>
      <c r="C147" s="21"/>
      <c r="D147" s="21"/>
      <c r="E147" s="23"/>
      <c r="F147" s="24"/>
      <c r="G147" s="27"/>
      <c r="H147" s="23"/>
      <c r="I147" s="27"/>
      <c r="J147" s="29"/>
      <c r="K147" s="129"/>
      <c r="L147" s="31"/>
      <c r="M147" s="31"/>
      <c r="N147" s="31"/>
    </row>
    <row r="148">
      <c r="A148" s="17"/>
      <c r="B148" s="20"/>
      <c r="C148" s="21"/>
      <c r="D148" s="21"/>
      <c r="E148" s="23"/>
      <c r="F148" s="24"/>
      <c r="G148" s="27"/>
      <c r="H148" s="23"/>
      <c r="I148" s="27"/>
      <c r="J148" s="29"/>
      <c r="K148" s="129"/>
      <c r="L148" s="31"/>
      <c r="M148" s="31"/>
      <c r="N148" s="31"/>
    </row>
    <row r="149">
      <c r="A149" s="17"/>
      <c r="B149" s="20"/>
      <c r="C149" s="21"/>
      <c r="D149" s="21"/>
      <c r="E149" s="23"/>
      <c r="F149" s="24"/>
      <c r="G149" s="27"/>
      <c r="H149" s="23"/>
      <c r="I149" s="27"/>
      <c r="J149" s="29"/>
      <c r="K149" s="129"/>
      <c r="L149" s="31"/>
      <c r="M149" s="31"/>
      <c r="N149" s="31"/>
    </row>
    <row r="150">
      <c r="A150" s="17"/>
      <c r="B150" s="20"/>
      <c r="C150" s="21"/>
      <c r="D150" s="21"/>
      <c r="E150" s="23"/>
      <c r="F150" s="24"/>
      <c r="G150" s="27"/>
      <c r="H150" s="23"/>
      <c r="I150" s="27"/>
      <c r="J150" s="29"/>
      <c r="K150" s="129"/>
      <c r="L150" s="31"/>
      <c r="M150" s="31"/>
      <c r="N150" s="31"/>
    </row>
    <row r="151">
      <c r="A151" s="17"/>
      <c r="B151" s="20"/>
      <c r="C151" s="21"/>
      <c r="D151" s="21"/>
      <c r="E151" s="23"/>
      <c r="F151" s="24"/>
      <c r="G151" s="27"/>
      <c r="H151" s="23"/>
      <c r="I151" s="27"/>
      <c r="J151" s="29"/>
      <c r="K151" s="129"/>
      <c r="L151" s="31"/>
      <c r="M151" s="31"/>
      <c r="N151" s="31"/>
    </row>
    <row r="152">
      <c r="A152" s="17"/>
      <c r="B152" s="20"/>
      <c r="C152" s="21"/>
      <c r="D152" s="21"/>
      <c r="E152" s="23"/>
      <c r="F152" s="24"/>
      <c r="G152" s="27"/>
      <c r="H152" s="23"/>
      <c r="I152" s="27"/>
      <c r="J152" s="29"/>
      <c r="K152" s="129"/>
      <c r="L152" s="31"/>
      <c r="M152" s="31"/>
      <c r="N152" s="31"/>
    </row>
    <row r="153">
      <c r="A153" s="17"/>
      <c r="B153" s="20"/>
      <c r="C153" s="21"/>
      <c r="D153" s="21"/>
      <c r="E153" s="23"/>
      <c r="F153" s="24"/>
      <c r="G153" s="27"/>
      <c r="H153" s="23"/>
      <c r="I153" s="27"/>
      <c r="J153" s="29"/>
      <c r="K153" s="129"/>
      <c r="L153" s="31"/>
      <c r="M153" s="31"/>
      <c r="N153" s="31"/>
    </row>
    <row r="154">
      <c r="A154" s="17"/>
      <c r="B154" s="20"/>
      <c r="C154" s="21"/>
      <c r="D154" s="21"/>
      <c r="E154" s="23"/>
      <c r="F154" s="24"/>
      <c r="G154" s="27"/>
      <c r="H154" s="23"/>
      <c r="I154" s="27"/>
      <c r="J154" s="29"/>
      <c r="K154" s="129"/>
      <c r="L154" s="31"/>
      <c r="M154" s="31"/>
      <c r="N154" s="31"/>
    </row>
    <row r="155">
      <c r="A155" s="17"/>
      <c r="B155" s="20"/>
      <c r="C155" s="21"/>
      <c r="D155" s="21"/>
      <c r="E155" s="23"/>
      <c r="F155" s="24"/>
      <c r="G155" s="27"/>
      <c r="H155" s="23"/>
      <c r="I155" s="27"/>
      <c r="J155" s="29"/>
      <c r="K155" s="129"/>
      <c r="L155" s="31"/>
      <c r="M155" s="31"/>
      <c r="N155" s="31"/>
    </row>
    <row r="156">
      <c r="A156" s="17"/>
      <c r="B156" s="20"/>
      <c r="C156" s="21"/>
      <c r="D156" s="21"/>
      <c r="E156" s="23"/>
      <c r="F156" s="24"/>
      <c r="G156" s="27"/>
      <c r="H156" s="23"/>
      <c r="I156" s="27"/>
      <c r="J156" s="29"/>
      <c r="K156" s="129"/>
      <c r="L156" s="31"/>
      <c r="M156" s="31"/>
      <c r="N156" s="31"/>
    </row>
    <row r="157">
      <c r="A157" s="17"/>
      <c r="B157" s="20"/>
      <c r="C157" s="21"/>
      <c r="D157" s="21"/>
      <c r="E157" s="23"/>
      <c r="F157" s="24"/>
      <c r="G157" s="27"/>
      <c r="H157" s="23"/>
      <c r="I157" s="27"/>
      <c r="J157" s="29"/>
      <c r="K157" s="129"/>
      <c r="L157" s="31"/>
      <c r="M157" s="31"/>
      <c r="N157" s="31"/>
    </row>
    <row r="158">
      <c r="A158" s="17"/>
      <c r="B158" s="20"/>
      <c r="C158" s="21"/>
      <c r="D158" s="21"/>
      <c r="E158" s="23"/>
      <c r="F158" s="24"/>
      <c r="G158" s="27"/>
      <c r="H158" s="23"/>
      <c r="I158" s="27"/>
      <c r="J158" s="29"/>
      <c r="K158" s="129"/>
      <c r="L158" s="31"/>
      <c r="M158" s="31"/>
      <c r="N158" s="31"/>
    </row>
    <row r="159">
      <c r="A159" s="17"/>
      <c r="B159" s="20"/>
      <c r="C159" s="21"/>
      <c r="D159" s="21"/>
      <c r="E159" s="23"/>
      <c r="F159" s="24"/>
      <c r="G159" s="27"/>
      <c r="H159" s="23"/>
      <c r="I159" s="27"/>
      <c r="J159" s="29"/>
      <c r="K159" s="129"/>
      <c r="L159" s="31"/>
      <c r="M159" s="31"/>
      <c r="N159" s="31"/>
    </row>
    <row r="160">
      <c r="A160" s="17"/>
      <c r="B160" s="20"/>
      <c r="C160" s="21"/>
      <c r="D160" s="21"/>
      <c r="E160" s="23"/>
      <c r="F160" s="24"/>
      <c r="G160" s="27"/>
      <c r="H160" s="23"/>
      <c r="I160" s="27"/>
      <c r="J160" s="29"/>
      <c r="K160" s="129"/>
      <c r="L160" s="31"/>
      <c r="M160" s="31"/>
      <c r="N160" s="31"/>
    </row>
    <row r="161">
      <c r="A161" s="17"/>
      <c r="B161" s="20"/>
      <c r="C161" s="21"/>
      <c r="D161" s="21"/>
      <c r="E161" s="23"/>
      <c r="F161" s="24"/>
      <c r="G161" s="27"/>
      <c r="H161" s="23"/>
      <c r="I161" s="27"/>
      <c r="J161" s="29"/>
      <c r="K161" s="129"/>
      <c r="L161" s="31"/>
      <c r="M161" s="31"/>
      <c r="N161" s="31"/>
    </row>
    <row r="162">
      <c r="A162" s="17"/>
      <c r="B162" s="20"/>
      <c r="C162" s="21"/>
      <c r="D162" s="21"/>
      <c r="E162" s="23"/>
      <c r="F162" s="24"/>
      <c r="G162" s="27"/>
      <c r="H162" s="23"/>
      <c r="I162" s="27"/>
      <c r="J162" s="29"/>
      <c r="K162" s="129"/>
      <c r="L162" s="31"/>
      <c r="M162" s="31"/>
      <c r="N162" s="31"/>
    </row>
    <row r="163">
      <c r="A163" s="17"/>
      <c r="B163" s="20"/>
      <c r="C163" s="21"/>
      <c r="D163" s="21"/>
      <c r="E163" s="23"/>
      <c r="F163" s="24"/>
      <c r="G163" s="27"/>
      <c r="H163" s="23"/>
      <c r="I163" s="27"/>
      <c r="J163" s="29"/>
      <c r="K163" s="129"/>
      <c r="L163" s="31"/>
      <c r="M163" s="31"/>
      <c r="N163" s="31"/>
    </row>
    <row r="164">
      <c r="A164" s="17"/>
      <c r="B164" s="20"/>
      <c r="C164" s="21"/>
      <c r="D164" s="21"/>
      <c r="E164" s="23"/>
      <c r="F164" s="24"/>
      <c r="G164" s="27"/>
      <c r="H164" s="23"/>
      <c r="I164" s="27"/>
      <c r="J164" s="29"/>
      <c r="K164" s="129"/>
      <c r="L164" s="31"/>
      <c r="M164" s="31"/>
      <c r="N164" s="31"/>
    </row>
    <row r="165">
      <c r="A165" s="17"/>
      <c r="B165" s="20"/>
      <c r="C165" s="21"/>
      <c r="D165" s="21"/>
      <c r="E165" s="23"/>
      <c r="F165" s="24"/>
      <c r="G165" s="27"/>
      <c r="H165" s="23"/>
      <c r="I165" s="27"/>
      <c r="J165" s="29"/>
      <c r="K165" s="129"/>
      <c r="L165" s="31"/>
      <c r="M165" s="31"/>
      <c r="N165" s="31"/>
    </row>
    <row r="166">
      <c r="A166" s="17"/>
      <c r="B166" s="20"/>
      <c r="C166" s="21"/>
      <c r="D166" s="21"/>
      <c r="E166" s="23"/>
      <c r="F166" s="24"/>
      <c r="G166" s="27"/>
      <c r="H166" s="23"/>
      <c r="I166" s="27"/>
      <c r="J166" s="29"/>
      <c r="K166" s="129"/>
      <c r="L166" s="31"/>
      <c r="M166" s="31"/>
      <c r="N166" s="31"/>
    </row>
    <row r="167">
      <c r="A167" s="17"/>
      <c r="B167" s="20"/>
      <c r="C167" s="21"/>
      <c r="D167" s="21"/>
      <c r="E167" s="23"/>
      <c r="F167" s="24"/>
      <c r="G167" s="27"/>
      <c r="H167" s="23"/>
      <c r="I167" s="27"/>
      <c r="J167" s="29"/>
      <c r="K167" s="129"/>
      <c r="L167" s="31"/>
      <c r="M167" s="31"/>
      <c r="N167" s="31"/>
    </row>
    <row r="168">
      <c r="A168" s="17"/>
      <c r="B168" s="20"/>
      <c r="C168" s="21"/>
      <c r="D168" s="21"/>
      <c r="E168" s="23"/>
      <c r="F168" s="24"/>
      <c r="G168" s="27"/>
      <c r="H168" s="23"/>
      <c r="I168" s="27"/>
      <c r="J168" s="29"/>
      <c r="K168" s="129"/>
      <c r="L168" s="31"/>
      <c r="M168" s="31"/>
      <c r="N168" s="31"/>
    </row>
    <row r="169">
      <c r="A169" s="17"/>
      <c r="B169" s="20"/>
      <c r="C169" s="21"/>
      <c r="D169" s="21"/>
      <c r="E169" s="23"/>
      <c r="F169" s="24"/>
      <c r="G169" s="27"/>
      <c r="H169" s="23"/>
      <c r="I169" s="27"/>
      <c r="J169" s="29"/>
      <c r="K169" s="129"/>
      <c r="L169" s="31"/>
      <c r="M169" s="31"/>
      <c r="N169" s="31"/>
    </row>
    <row r="170">
      <c r="A170" s="17"/>
      <c r="B170" s="20"/>
      <c r="C170" s="21"/>
      <c r="D170" s="21"/>
      <c r="E170" s="23"/>
      <c r="F170" s="24"/>
      <c r="G170" s="27"/>
      <c r="H170" s="23"/>
      <c r="I170" s="27"/>
      <c r="J170" s="29"/>
      <c r="K170" s="129"/>
      <c r="L170" s="31"/>
      <c r="M170" s="31"/>
      <c r="N170" s="31"/>
    </row>
    <row r="171">
      <c r="A171" s="17"/>
      <c r="B171" s="20"/>
      <c r="C171" s="21"/>
      <c r="D171" s="21"/>
      <c r="E171" s="23"/>
      <c r="F171" s="24"/>
      <c r="G171" s="27"/>
      <c r="H171" s="23"/>
      <c r="I171" s="27"/>
      <c r="J171" s="29"/>
      <c r="K171" s="129"/>
      <c r="L171" s="31"/>
      <c r="M171" s="31"/>
      <c r="N171" s="31"/>
    </row>
    <row r="172">
      <c r="A172" s="17"/>
      <c r="B172" s="20"/>
      <c r="C172" s="21"/>
      <c r="D172" s="21"/>
      <c r="E172" s="23"/>
      <c r="F172" s="24"/>
      <c r="G172" s="27"/>
      <c r="H172" s="23"/>
      <c r="I172" s="27"/>
      <c r="J172" s="29"/>
      <c r="K172" s="129"/>
      <c r="L172" s="31"/>
      <c r="M172" s="31"/>
      <c r="N172" s="31"/>
    </row>
    <row r="173">
      <c r="A173" s="17"/>
      <c r="B173" s="20"/>
      <c r="C173" s="21"/>
      <c r="D173" s="21"/>
      <c r="E173" s="23"/>
      <c r="F173" s="24"/>
      <c r="G173" s="27"/>
      <c r="H173" s="23"/>
      <c r="I173" s="27"/>
      <c r="J173" s="29"/>
      <c r="K173" s="129"/>
      <c r="L173" s="31"/>
      <c r="M173" s="31"/>
      <c r="N173" s="31"/>
    </row>
    <row r="174">
      <c r="A174" s="17"/>
      <c r="B174" s="20"/>
      <c r="C174" s="21"/>
      <c r="D174" s="21"/>
      <c r="E174" s="23"/>
      <c r="F174" s="24"/>
      <c r="G174" s="27"/>
      <c r="H174" s="23"/>
      <c r="I174" s="27"/>
      <c r="J174" s="29"/>
      <c r="K174" s="129"/>
      <c r="L174" s="31"/>
      <c r="M174" s="31"/>
      <c r="N174" s="31"/>
    </row>
    <row r="175">
      <c r="A175" s="17"/>
      <c r="B175" s="20"/>
      <c r="C175" s="21"/>
      <c r="D175" s="21"/>
      <c r="E175" s="23"/>
      <c r="F175" s="24"/>
      <c r="G175" s="27"/>
      <c r="H175" s="23"/>
      <c r="I175" s="27"/>
      <c r="J175" s="29"/>
      <c r="K175" s="129"/>
      <c r="L175" s="31"/>
      <c r="M175" s="31"/>
      <c r="N175" s="31"/>
    </row>
    <row r="176">
      <c r="A176" s="17"/>
      <c r="B176" s="20"/>
      <c r="C176" s="21"/>
      <c r="D176" s="21"/>
      <c r="E176" s="23"/>
      <c r="F176" s="24"/>
      <c r="G176" s="27"/>
      <c r="H176" s="23"/>
      <c r="I176" s="27"/>
      <c r="J176" s="29"/>
      <c r="K176" s="129"/>
      <c r="L176" s="31"/>
      <c r="M176" s="31"/>
      <c r="N176" s="31"/>
    </row>
    <row r="177">
      <c r="A177" s="17"/>
      <c r="B177" s="20"/>
      <c r="C177" s="21"/>
      <c r="D177" s="21"/>
      <c r="E177" s="23"/>
      <c r="F177" s="24"/>
      <c r="G177" s="27"/>
      <c r="H177" s="23"/>
      <c r="I177" s="27"/>
      <c r="J177" s="29"/>
      <c r="K177" s="129"/>
      <c r="L177" s="31"/>
      <c r="M177" s="31"/>
      <c r="N177" s="31"/>
    </row>
    <row r="178">
      <c r="A178" s="17"/>
      <c r="B178" s="20"/>
      <c r="C178" s="21"/>
      <c r="D178" s="21"/>
      <c r="E178" s="23"/>
      <c r="F178" s="24"/>
      <c r="G178" s="27"/>
      <c r="H178" s="23"/>
      <c r="I178" s="27"/>
      <c r="J178" s="29"/>
      <c r="K178" s="129"/>
      <c r="L178" s="31"/>
      <c r="M178" s="31"/>
      <c r="N178" s="31"/>
    </row>
    <row r="179">
      <c r="A179" s="17"/>
      <c r="B179" s="20"/>
      <c r="C179" s="21"/>
      <c r="D179" s="21"/>
      <c r="E179" s="23"/>
      <c r="F179" s="24"/>
      <c r="G179" s="27"/>
      <c r="H179" s="23"/>
      <c r="I179" s="27"/>
      <c r="J179" s="29"/>
      <c r="K179" s="129"/>
      <c r="L179" s="31"/>
      <c r="M179" s="31"/>
      <c r="N179" s="31"/>
    </row>
    <row r="180">
      <c r="A180" s="17"/>
      <c r="B180" s="20"/>
      <c r="C180" s="21"/>
      <c r="D180" s="21"/>
      <c r="E180" s="23"/>
      <c r="F180" s="24"/>
      <c r="G180" s="27"/>
      <c r="H180" s="23"/>
      <c r="I180" s="27"/>
      <c r="J180" s="29"/>
      <c r="K180" s="129"/>
      <c r="L180" s="31"/>
      <c r="M180" s="31"/>
      <c r="N180" s="31"/>
    </row>
    <row r="181">
      <c r="A181" s="17"/>
      <c r="B181" s="20"/>
      <c r="C181" s="21"/>
      <c r="D181" s="21"/>
      <c r="E181" s="23"/>
      <c r="F181" s="24"/>
      <c r="G181" s="27"/>
      <c r="H181" s="23"/>
      <c r="I181" s="27"/>
      <c r="J181" s="29"/>
      <c r="K181" s="129"/>
      <c r="L181" s="31"/>
      <c r="M181" s="31"/>
      <c r="N181" s="31"/>
    </row>
    <row r="182">
      <c r="A182" s="17"/>
      <c r="B182" s="20"/>
      <c r="C182" s="21"/>
      <c r="D182" s="21"/>
      <c r="E182" s="23"/>
      <c r="F182" s="24"/>
      <c r="G182" s="27"/>
      <c r="H182" s="23"/>
      <c r="I182" s="27"/>
      <c r="J182" s="29"/>
      <c r="K182" s="129"/>
      <c r="L182" s="31"/>
      <c r="M182" s="31"/>
      <c r="N182" s="31"/>
    </row>
    <row r="183">
      <c r="A183" s="17"/>
      <c r="B183" s="20"/>
      <c r="C183" s="21"/>
      <c r="D183" s="21"/>
      <c r="E183" s="23"/>
      <c r="F183" s="24"/>
      <c r="G183" s="27"/>
      <c r="H183" s="23"/>
      <c r="I183" s="27"/>
      <c r="J183" s="29"/>
      <c r="K183" s="129"/>
      <c r="L183" s="31"/>
      <c r="M183" s="31"/>
      <c r="N183" s="31"/>
    </row>
    <row r="184">
      <c r="A184" s="17"/>
      <c r="B184" s="20"/>
      <c r="C184" s="21"/>
      <c r="D184" s="21"/>
      <c r="E184" s="23"/>
      <c r="F184" s="24"/>
      <c r="G184" s="27"/>
      <c r="H184" s="23"/>
      <c r="I184" s="27"/>
      <c r="J184" s="29"/>
      <c r="K184" s="129"/>
      <c r="L184" s="31"/>
      <c r="M184" s="31"/>
      <c r="N184" s="31"/>
    </row>
    <row r="185">
      <c r="A185" s="17"/>
      <c r="B185" s="20"/>
      <c r="C185" s="21"/>
      <c r="D185" s="21"/>
      <c r="E185" s="23"/>
      <c r="F185" s="24"/>
      <c r="G185" s="27"/>
      <c r="H185" s="23"/>
      <c r="I185" s="27"/>
      <c r="J185" s="29"/>
      <c r="K185" s="129"/>
      <c r="L185" s="31"/>
      <c r="M185" s="31"/>
      <c r="N185" s="31"/>
    </row>
    <row r="186">
      <c r="A186" s="17"/>
      <c r="B186" s="20"/>
      <c r="C186" s="21"/>
      <c r="D186" s="21"/>
      <c r="E186" s="23"/>
      <c r="F186" s="24"/>
      <c r="G186" s="27"/>
      <c r="H186" s="23"/>
      <c r="I186" s="27"/>
      <c r="J186" s="29"/>
      <c r="K186" s="129"/>
      <c r="L186" s="31"/>
      <c r="M186" s="31"/>
      <c r="N186" s="31"/>
    </row>
    <row r="187">
      <c r="A187" s="17"/>
      <c r="B187" s="20"/>
      <c r="C187" s="21"/>
      <c r="D187" s="21"/>
      <c r="E187" s="23"/>
      <c r="F187" s="24"/>
      <c r="G187" s="27"/>
      <c r="H187" s="23"/>
      <c r="I187" s="27"/>
      <c r="J187" s="29"/>
      <c r="K187" s="129"/>
      <c r="L187" s="31"/>
      <c r="M187" s="31"/>
      <c r="N187" s="31"/>
    </row>
    <row r="188">
      <c r="A188" s="17"/>
      <c r="B188" s="20"/>
      <c r="C188" s="21"/>
      <c r="D188" s="21"/>
      <c r="E188" s="23"/>
      <c r="F188" s="24"/>
      <c r="G188" s="27"/>
      <c r="H188" s="23"/>
      <c r="I188" s="27"/>
      <c r="J188" s="29"/>
      <c r="K188" s="129"/>
      <c r="L188" s="31"/>
      <c r="M188" s="31"/>
      <c r="N188" s="31"/>
    </row>
    <row r="189">
      <c r="A189" s="17"/>
      <c r="B189" s="20"/>
      <c r="C189" s="21"/>
      <c r="D189" s="21"/>
      <c r="E189" s="23"/>
      <c r="F189" s="24"/>
      <c r="G189" s="27"/>
      <c r="H189" s="23"/>
      <c r="I189" s="27"/>
      <c r="J189" s="29"/>
      <c r="K189" s="129"/>
      <c r="L189" s="31"/>
      <c r="M189" s="31"/>
      <c r="N189" s="31"/>
    </row>
    <row r="190">
      <c r="A190" s="17"/>
      <c r="B190" s="20"/>
      <c r="C190" s="21"/>
      <c r="D190" s="21"/>
      <c r="E190" s="23"/>
      <c r="F190" s="24"/>
      <c r="G190" s="27"/>
      <c r="H190" s="23"/>
      <c r="I190" s="27"/>
      <c r="J190" s="29"/>
      <c r="K190" s="129"/>
      <c r="L190" s="31"/>
      <c r="M190" s="31"/>
      <c r="N190" s="31"/>
    </row>
    <row r="191">
      <c r="A191" s="17"/>
      <c r="B191" s="20"/>
      <c r="C191" s="21"/>
      <c r="D191" s="21"/>
      <c r="E191" s="23"/>
      <c r="F191" s="24"/>
      <c r="G191" s="27"/>
      <c r="H191" s="23"/>
      <c r="I191" s="27"/>
      <c r="J191" s="29"/>
      <c r="K191" s="129"/>
      <c r="L191" s="31"/>
      <c r="M191" s="31"/>
      <c r="N191" s="31"/>
    </row>
    <row r="192">
      <c r="A192" s="17"/>
      <c r="B192" s="20"/>
      <c r="C192" s="21"/>
      <c r="D192" s="21"/>
      <c r="E192" s="23"/>
      <c r="F192" s="24"/>
      <c r="G192" s="27"/>
      <c r="H192" s="23"/>
      <c r="I192" s="27"/>
      <c r="J192" s="29"/>
      <c r="K192" s="129"/>
      <c r="L192" s="31"/>
      <c r="M192" s="31"/>
      <c r="N192" s="31"/>
    </row>
    <row r="193">
      <c r="A193" s="17"/>
      <c r="B193" s="20"/>
      <c r="C193" s="21"/>
      <c r="D193" s="21"/>
      <c r="E193" s="23"/>
      <c r="F193" s="24"/>
      <c r="G193" s="27"/>
      <c r="H193" s="23"/>
      <c r="I193" s="27"/>
      <c r="J193" s="29"/>
      <c r="K193" s="129"/>
      <c r="L193" s="31"/>
      <c r="M193" s="31"/>
      <c r="N193" s="31"/>
    </row>
    <row r="194">
      <c r="A194" s="17"/>
      <c r="B194" s="20"/>
      <c r="C194" s="21"/>
      <c r="D194" s="21"/>
      <c r="E194" s="23"/>
      <c r="F194" s="24"/>
      <c r="G194" s="27"/>
      <c r="H194" s="23"/>
      <c r="I194" s="27"/>
      <c r="J194" s="29"/>
      <c r="K194" s="129"/>
      <c r="L194" s="31"/>
      <c r="M194" s="31"/>
      <c r="N194" s="31"/>
    </row>
    <row r="195">
      <c r="A195" s="17"/>
      <c r="B195" s="20"/>
      <c r="C195" s="21"/>
      <c r="D195" s="21"/>
      <c r="E195" s="23"/>
      <c r="F195" s="24"/>
      <c r="G195" s="27"/>
      <c r="H195" s="23"/>
      <c r="I195" s="27"/>
      <c r="J195" s="29"/>
      <c r="K195" s="129"/>
      <c r="L195" s="31"/>
      <c r="M195" s="31"/>
      <c r="N195" s="31"/>
    </row>
    <row r="196">
      <c r="A196" s="17"/>
      <c r="B196" s="20"/>
      <c r="C196" s="21"/>
      <c r="D196" s="21"/>
      <c r="E196" s="23"/>
      <c r="F196" s="24"/>
      <c r="G196" s="27"/>
      <c r="H196" s="23"/>
      <c r="I196" s="27"/>
      <c r="J196" s="29"/>
      <c r="K196" s="129"/>
      <c r="L196" s="31"/>
      <c r="M196" s="31"/>
      <c r="N196" s="31"/>
    </row>
    <row r="197">
      <c r="A197" s="17"/>
      <c r="B197" s="20"/>
      <c r="C197" s="21"/>
      <c r="D197" s="21"/>
      <c r="E197" s="23"/>
      <c r="F197" s="24"/>
      <c r="G197" s="27"/>
      <c r="H197" s="23"/>
      <c r="I197" s="27"/>
      <c r="J197" s="29"/>
      <c r="K197" s="129"/>
      <c r="L197" s="31"/>
      <c r="M197" s="31"/>
      <c r="N197" s="31"/>
    </row>
    <row r="198">
      <c r="A198" s="17"/>
      <c r="B198" s="20"/>
      <c r="C198" s="21"/>
      <c r="D198" s="21"/>
      <c r="E198" s="23"/>
      <c r="F198" s="24"/>
      <c r="G198" s="27"/>
      <c r="H198" s="23"/>
      <c r="I198" s="27"/>
      <c r="J198" s="29"/>
      <c r="K198" s="129"/>
      <c r="L198" s="31"/>
      <c r="M198" s="31"/>
      <c r="N198" s="31"/>
    </row>
    <row r="199">
      <c r="A199" s="17"/>
      <c r="B199" s="20"/>
      <c r="C199" s="21"/>
      <c r="D199" s="21"/>
      <c r="E199" s="23"/>
      <c r="F199" s="24"/>
      <c r="G199" s="27"/>
      <c r="H199" s="23"/>
      <c r="I199" s="27"/>
      <c r="J199" s="29"/>
      <c r="K199" s="129"/>
      <c r="L199" s="31"/>
      <c r="M199" s="31"/>
      <c r="N199" s="31"/>
    </row>
    <row r="200">
      <c r="A200" s="17"/>
      <c r="B200" s="20"/>
      <c r="C200" s="21"/>
      <c r="D200" s="21"/>
      <c r="E200" s="23"/>
      <c r="F200" s="24"/>
      <c r="G200" s="27"/>
      <c r="H200" s="23"/>
      <c r="I200" s="27"/>
      <c r="J200" s="29"/>
      <c r="K200" s="129"/>
      <c r="L200" s="31"/>
      <c r="M200" s="31"/>
      <c r="N200" s="31"/>
    </row>
    <row r="201">
      <c r="A201" s="17"/>
      <c r="B201" s="20"/>
      <c r="C201" s="21"/>
      <c r="D201" s="21"/>
      <c r="E201" s="23"/>
      <c r="F201" s="24"/>
      <c r="G201" s="27"/>
      <c r="H201" s="23"/>
      <c r="I201" s="27"/>
      <c r="J201" s="29"/>
      <c r="K201" s="129"/>
      <c r="L201" s="31"/>
      <c r="M201" s="31"/>
      <c r="N201" s="31"/>
    </row>
    <row r="202">
      <c r="A202" s="17"/>
      <c r="B202" s="20"/>
      <c r="C202" s="21"/>
      <c r="D202" s="21"/>
      <c r="E202" s="23"/>
      <c r="F202" s="24"/>
      <c r="G202" s="27"/>
      <c r="H202" s="23"/>
      <c r="I202" s="27"/>
      <c r="J202" s="29"/>
      <c r="K202" s="129"/>
      <c r="L202" s="31"/>
      <c r="M202" s="31"/>
      <c r="N202" s="31"/>
    </row>
    <row r="203">
      <c r="A203" s="17"/>
      <c r="B203" s="20"/>
      <c r="C203" s="21"/>
      <c r="D203" s="21"/>
      <c r="E203" s="23"/>
      <c r="F203" s="24"/>
      <c r="G203" s="27"/>
      <c r="H203" s="23"/>
      <c r="I203" s="27"/>
      <c r="J203" s="29"/>
      <c r="K203" s="129"/>
      <c r="L203" s="31"/>
      <c r="M203" s="31"/>
      <c r="N203" s="31"/>
    </row>
    <row r="204">
      <c r="A204" s="17"/>
      <c r="B204" s="20"/>
      <c r="C204" s="21"/>
      <c r="D204" s="21"/>
      <c r="E204" s="23"/>
      <c r="F204" s="24"/>
      <c r="G204" s="27"/>
      <c r="H204" s="23"/>
      <c r="I204" s="27"/>
      <c r="J204" s="29"/>
      <c r="K204" s="129"/>
      <c r="L204" s="31"/>
      <c r="M204" s="31"/>
      <c r="N204" s="31"/>
    </row>
    <row r="205">
      <c r="A205" s="17"/>
      <c r="B205" s="20"/>
      <c r="C205" s="21"/>
      <c r="D205" s="21"/>
      <c r="E205" s="23"/>
      <c r="F205" s="24"/>
      <c r="G205" s="27"/>
      <c r="H205" s="23"/>
      <c r="I205" s="27"/>
      <c r="J205" s="29"/>
      <c r="K205" s="129"/>
      <c r="L205" s="31"/>
      <c r="M205" s="31"/>
      <c r="N205" s="31"/>
    </row>
    <row r="206">
      <c r="A206" s="17"/>
      <c r="B206" s="20"/>
      <c r="C206" s="21"/>
      <c r="D206" s="21"/>
      <c r="E206" s="23"/>
      <c r="F206" s="24"/>
      <c r="G206" s="27"/>
      <c r="H206" s="23"/>
      <c r="I206" s="27"/>
      <c r="J206" s="29"/>
      <c r="K206" s="129"/>
      <c r="L206" s="31"/>
      <c r="M206" s="31"/>
      <c r="N206" s="31"/>
    </row>
    <row r="207">
      <c r="A207" s="17"/>
      <c r="B207" s="20"/>
      <c r="C207" s="21"/>
      <c r="D207" s="21"/>
      <c r="E207" s="23"/>
      <c r="F207" s="24"/>
      <c r="G207" s="27"/>
      <c r="H207" s="23"/>
      <c r="I207" s="27"/>
      <c r="J207" s="29"/>
      <c r="K207" s="129"/>
      <c r="L207" s="31"/>
      <c r="M207" s="31"/>
      <c r="N207" s="31"/>
    </row>
    <row r="208">
      <c r="A208" s="17"/>
      <c r="B208" s="20"/>
      <c r="C208" s="21"/>
      <c r="D208" s="21"/>
      <c r="E208" s="23"/>
      <c r="F208" s="24"/>
      <c r="G208" s="27"/>
      <c r="H208" s="23"/>
      <c r="I208" s="27"/>
      <c r="J208" s="29"/>
      <c r="K208" s="129"/>
      <c r="L208" s="31"/>
      <c r="M208" s="31"/>
      <c r="N208" s="31"/>
    </row>
    <row r="209">
      <c r="A209" s="17"/>
      <c r="B209" s="20"/>
      <c r="C209" s="21"/>
      <c r="D209" s="21"/>
      <c r="E209" s="23"/>
      <c r="F209" s="24"/>
      <c r="G209" s="27"/>
      <c r="H209" s="23"/>
      <c r="I209" s="27"/>
      <c r="J209" s="29"/>
      <c r="K209" s="129"/>
      <c r="L209" s="31"/>
      <c r="M209" s="31"/>
      <c r="N209" s="31"/>
    </row>
    <row r="210">
      <c r="A210" s="17"/>
      <c r="B210" s="20"/>
      <c r="C210" s="21"/>
      <c r="D210" s="21"/>
      <c r="E210" s="23"/>
      <c r="F210" s="24"/>
      <c r="G210" s="27"/>
      <c r="H210" s="23"/>
      <c r="I210" s="27"/>
      <c r="J210" s="29"/>
      <c r="K210" s="129"/>
      <c r="L210" s="31"/>
      <c r="M210" s="31"/>
      <c r="N210" s="31"/>
    </row>
    <row r="211">
      <c r="A211" s="17"/>
      <c r="B211" s="20"/>
      <c r="C211" s="21"/>
      <c r="D211" s="21"/>
      <c r="E211" s="23"/>
      <c r="F211" s="24"/>
      <c r="G211" s="27"/>
      <c r="H211" s="23"/>
      <c r="I211" s="27"/>
      <c r="J211" s="29"/>
      <c r="K211" s="129"/>
      <c r="L211" s="31"/>
      <c r="M211" s="31"/>
      <c r="N211" s="31"/>
    </row>
    <row r="212">
      <c r="A212" s="17"/>
      <c r="B212" s="20"/>
      <c r="C212" s="21"/>
      <c r="D212" s="21"/>
      <c r="E212" s="23"/>
      <c r="F212" s="24"/>
      <c r="G212" s="27"/>
      <c r="H212" s="23"/>
      <c r="I212" s="27"/>
      <c r="J212" s="29"/>
      <c r="K212" s="129"/>
      <c r="L212" s="31"/>
      <c r="M212" s="31"/>
      <c r="N212" s="31"/>
    </row>
    <row r="213">
      <c r="A213" s="17"/>
      <c r="B213" s="20"/>
      <c r="C213" s="21"/>
      <c r="D213" s="21"/>
      <c r="E213" s="23"/>
      <c r="F213" s="24"/>
      <c r="G213" s="27"/>
      <c r="H213" s="23"/>
      <c r="I213" s="27"/>
      <c r="J213" s="29"/>
      <c r="K213" s="129"/>
      <c r="L213" s="31"/>
      <c r="M213" s="31"/>
      <c r="N213" s="31"/>
    </row>
    <row r="214">
      <c r="A214" s="17"/>
      <c r="B214" s="20"/>
      <c r="C214" s="21"/>
      <c r="D214" s="21"/>
      <c r="E214" s="23"/>
      <c r="F214" s="24"/>
      <c r="G214" s="27"/>
      <c r="H214" s="23"/>
      <c r="I214" s="27"/>
      <c r="J214" s="29"/>
      <c r="K214" s="129"/>
      <c r="L214" s="31"/>
      <c r="M214" s="31"/>
      <c r="N214" s="31"/>
    </row>
    <row r="215">
      <c r="A215" s="17"/>
      <c r="B215" s="20"/>
      <c r="C215" s="21"/>
      <c r="D215" s="21"/>
      <c r="E215" s="23"/>
      <c r="F215" s="24"/>
      <c r="G215" s="27"/>
      <c r="H215" s="23"/>
      <c r="I215" s="27"/>
      <c r="J215" s="29"/>
      <c r="K215" s="129"/>
      <c r="L215" s="31"/>
      <c r="M215" s="31"/>
      <c r="N215" s="31"/>
    </row>
    <row r="216">
      <c r="A216" s="17"/>
      <c r="B216" s="20"/>
      <c r="C216" s="21"/>
      <c r="D216" s="21"/>
      <c r="E216" s="23"/>
      <c r="F216" s="24"/>
      <c r="G216" s="27"/>
      <c r="H216" s="23"/>
      <c r="I216" s="27"/>
      <c r="J216" s="29"/>
      <c r="K216" s="129"/>
      <c r="L216" s="31"/>
      <c r="M216" s="31"/>
      <c r="N216" s="31"/>
    </row>
    <row r="217">
      <c r="A217" s="17"/>
      <c r="B217" s="20"/>
      <c r="C217" s="21"/>
      <c r="D217" s="21"/>
      <c r="E217" s="23"/>
      <c r="F217" s="24"/>
      <c r="G217" s="27"/>
      <c r="H217" s="23"/>
      <c r="I217" s="27"/>
      <c r="J217" s="29"/>
      <c r="K217" s="129"/>
      <c r="L217" s="31"/>
      <c r="M217" s="31"/>
      <c r="N217" s="31"/>
    </row>
    <row r="218">
      <c r="A218" s="17"/>
      <c r="B218" s="20"/>
      <c r="C218" s="21"/>
      <c r="D218" s="21"/>
      <c r="E218" s="23"/>
      <c r="F218" s="24"/>
      <c r="G218" s="27"/>
      <c r="H218" s="23"/>
      <c r="I218" s="27"/>
      <c r="J218" s="29"/>
      <c r="K218" s="129"/>
      <c r="L218" s="31"/>
      <c r="M218" s="31"/>
      <c r="N218" s="31"/>
    </row>
    <row r="219">
      <c r="A219" s="17"/>
      <c r="B219" s="20"/>
      <c r="C219" s="21"/>
      <c r="D219" s="21"/>
      <c r="E219" s="23"/>
      <c r="F219" s="24"/>
      <c r="G219" s="27"/>
      <c r="H219" s="23"/>
      <c r="I219" s="27"/>
      <c r="J219" s="29"/>
      <c r="K219" s="129"/>
      <c r="L219" s="31"/>
      <c r="M219" s="31"/>
      <c r="N219" s="31"/>
    </row>
    <row r="220">
      <c r="A220" s="17"/>
      <c r="B220" s="20"/>
      <c r="C220" s="21"/>
      <c r="D220" s="21"/>
      <c r="E220" s="23"/>
      <c r="F220" s="24"/>
      <c r="G220" s="27"/>
      <c r="H220" s="23"/>
      <c r="I220" s="27"/>
      <c r="J220" s="29"/>
      <c r="K220" s="129"/>
      <c r="L220" s="31"/>
      <c r="M220" s="31"/>
      <c r="N220" s="31"/>
    </row>
    <row r="221">
      <c r="A221" s="17"/>
      <c r="B221" s="20"/>
      <c r="C221" s="21"/>
      <c r="D221" s="21"/>
      <c r="E221" s="23"/>
      <c r="F221" s="24"/>
      <c r="G221" s="27"/>
      <c r="H221" s="23"/>
      <c r="I221" s="27"/>
      <c r="J221" s="29"/>
      <c r="K221" s="129"/>
      <c r="L221" s="31"/>
      <c r="M221" s="31"/>
      <c r="N221" s="31"/>
    </row>
    <row r="222">
      <c r="A222" s="17"/>
      <c r="B222" s="20"/>
      <c r="C222" s="21"/>
      <c r="D222" s="21"/>
      <c r="E222" s="23"/>
      <c r="F222" s="24"/>
      <c r="G222" s="27"/>
      <c r="H222" s="23"/>
      <c r="I222" s="27"/>
      <c r="J222" s="29"/>
      <c r="K222" s="129"/>
      <c r="L222" s="31"/>
      <c r="M222" s="31"/>
      <c r="N222" s="31"/>
    </row>
    <row r="223">
      <c r="A223" s="17"/>
      <c r="B223" s="20"/>
      <c r="C223" s="21"/>
      <c r="D223" s="21"/>
      <c r="E223" s="23"/>
      <c r="F223" s="24"/>
      <c r="G223" s="27"/>
      <c r="H223" s="23"/>
      <c r="I223" s="27"/>
      <c r="J223" s="29"/>
      <c r="K223" s="129"/>
      <c r="L223" s="31"/>
      <c r="M223" s="31"/>
      <c r="N223" s="31"/>
    </row>
    <row r="224">
      <c r="A224" s="17"/>
      <c r="B224" s="20"/>
      <c r="C224" s="21"/>
      <c r="D224" s="21"/>
      <c r="E224" s="23"/>
      <c r="F224" s="24"/>
      <c r="G224" s="27"/>
      <c r="H224" s="23"/>
      <c r="I224" s="27"/>
      <c r="J224" s="29"/>
      <c r="K224" s="129"/>
      <c r="L224" s="31"/>
      <c r="M224" s="31"/>
      <c r="N224" s="31"/>
    </row>
    <row r="225">
      <c r="A225" s="17"/>
      <c r="B225" s="20"/>
      <c r="C225" s="21"/>
      <c r="D225" s="21"/>
      <c r="E225" s="23"/>
      <c r="F225" s="24"/>
      <c r="G225" s="27"/>
      <c r="H225" s="23"/>
      <c r="I225" s="27"/>
      <c r="J225" s="29"/>
      <c r="K225" s="129"/>
      <c r="L225" s="31"/>
      <c r="M225" s="31"/>
      <c r="N225" s="31"/>
    </row>
    <row r="226">
      <c r="A226" s="17"/>
      <c r="B226" s="20"/>
      <c r="C226" s="21"/>
      <c r="D226" s="21"/>
      <c r="E226" s="23"/>
      <c r="F226" s="24"/>
      <c r="G226" s="27"/>
      <c r="H226" s="23"/>
      <c r="I226" s="27"/>
      <c r="J226" s="29"/>
      <c r="K226" s="129"/>
      <c r="L226" s="31"/>
      <c r="M226" s="31"/>
      <c r="N226" s="31"/>
    </row>
    <row r="227">
      <c r="A227" s="17"/>
      <c r="B227" s="20"/>
      <c r="C227" s="21"/>
      <c r="D227" s="21"/>
      <c r="E227" s="23"/>
      <c r="F227" s="24"/>
      <c r="G227" s="27"/>
      <c r="H227" s="23"/>
      <c r="I227" s="27"/>
      <c r="J227" s="29"/>
      <c r="K227" s="129"/>
      <c r="L227" s="31"/>
      <c r="M227" s="31"/>
      <c r="N227" s="31"/>
    </row>
    <row r="228">
      <c r="A228" s="17"/>
      <c r="B228" s="20"/>
      <c r="C228" s="21"/>
      <c r="D228" s="21"/>
      <c r="E228" s="23"/>
      <c r="F228" s="24"/>
      <c r="G228" s="27"/>
      <c r="H228" s="23"/>
      <c r="I228" s="27"/>
      <c r="J228" s="29"/>
      <c r="K228" s="129"/>
      <c r="L228" s="31"/>
      <c r="M228" s="31"/>
      <c r="N228" s="31"/>
    </row>
    <row r="229">
      <c r="A229" s="17"/>
      <c r="B229" s="20"/>
      <c r="C229" s="21"/>
      <c r="D229" s="21"/>
      <c r="E229" s="23"/>
      <c r="F229" s="24"/>
      <c r="G229" s="27"/>
      <c r="H229" s="23"/>
      <c r="I229" s="27"/>
      <c r="J229" s="29"/>
      <c r="K229" s="129"/>
      <c r="L229" s="31"/>
      <c r="M229" s="31"/>
      <c r="N229" s="31"/>
    </row>
    <row r="230">
      <c r="A230" s="17"/>
      <c r="B230" s="20"/>
      <c r="C230" s="21"/>
      <c r="D230" s="21"/>
      <c r="E230" s="23"/>
      <c r="F230" s="24"/>
      <c r="G230" s="27"/>
      <c r="H230" s="23"/>
      <c r="I230" s="27"/>
      <c r="J230" s="29"/>
      <c r="K230" s="129"/>
      <c r="L230" s="31"/>
      <c r="M230" s="31"/>
      <c r="N230" s="31"/>
    </row>
    <row r="231">
      <c r="A231" s="17"/>
      <c r="B231" s="20"/>
      <c r="C231" s="21"/>
      <c r="D231" s="21"/>
      <c r="E231" s="23"/>
      <c r="F231" s="24"/>
      <c r="G231" s="27"/>
      <c r="H231" s="23"/>
      <c r="I231" s="27"/>
      <c r="J231" s="29"/>
      <c r="K231" s="129"/>
      <c r="L231" s="31"/>
      <c r="M231" s="31"/>
      <c r="N231" s="31"/>
    </row>
    <row r="232">
      <c r="A232" s="17"/>
      <c r="B232" s="20"/>
      <c r="C232" s="21"/>
      <c r="D232" s="21"/>
      <c r="E232" s="23"/>
      <c r="F232" s="24"/>
      <c r="G232" s="27"/>
      <c r="H232" s="23"/>
      <c r="I232" s="27"/>
      <c r="J232" s="29"/>
      <c r="K232" s="129"/>
      <c r="L232" s="31"/>
      <c r="M232" s="31"/>
      <c r="N232" s="31"/>
    </row>
    <row r="233">
      <c r="A233" s="17"/>
      <c r="B233" s="20"/>
      <c r="C233" s="21"/>
      <c r="D233" s="21"/>
      <c r="E233" s="23"/>
      <c r="F233" s="24"/>
      <c r="G233" s="27"/>
      <c r="H233" s="23"/>
      <c r="I233" s="27"/>
      <c r="J233" s="29"/>
      <c r="K233" s="129"/>
      <c r="L233" s="31"/>
      <c r="M233" s="31"/>
      <c r="N233" s="31"/>
    </row>
    <row r="234">
      <c r="A234" s="17"/>
      <c r="B234" s="20"/>
      <c r="C234" s="21"/>
      <c r="D234" s="21"/>
      <c r="E234" s="23"/>
      <c r="F234" s="24"/>
      <c r="G234" s="27"/>
      <c r="H234" s="23"/>
      <c r="I234" s="27"/>
      <c r="J234" s="29"/>
      <c r="K234" s="129"/>
      <c r="L234" s="31"/>
      <c r="M234" s="31"/>
      <c r="N234" s="31"/>
    </row>
    <row r="235">
      <c r="A235" s="17"/>
      <c r="B235" s="20"/>
      <c r="C235" s="21"/>
      <c r="D235" s="21"/>
      <c r="E235" s="23"/>
      <c r="F235" s="24"/>
      <c r="G235" s="27"/>
      <c r="H235" s="23"/>
      <c r="I235" s="27"/>
      <c r="J235" s="29"/>
      <c r="K235" s="129"/>
      <c r="L235" s="31"/>
      <c r="M235" s="31"/>
      <c r="N235" s="31"/>
    </row>
    <row r="236">
      <c r="A236" s="17"/>
      <c r="B236" s="20"/>
      <c r="C236" s="21"/>
      <c r="D236" s="21"/>
      <c r="E236" s="23"/>
      <c r="F236" s="24"/>
      <c r="G236" s="27"/>
      <c r="H236" s="23"/>
      <c r="I236" s="27"/>
      <c r="J236" s="29"/>
      <c r="K236" s="129"/>
      <c r="L236" s="31"/>
      <c r="M236" s="31"/>
      <c r="N236" s="31"/>
    </row>
    <row r="237">
      <c r="A237" s="17"/>
      <c r="B237" s="20"/>
      <c r="C237" s="21"/>
      <c r="D237" s="21"/>
      <c r="E237" s="23"/>
      <c r="F237" s="24"/>
      <c r="G237" s="27"/>
      <c r="H237" s="23"/>
      <c r="I237" s="27"/>
      <c r="J237" s="29"/>
      <c r="K237" s="129"/>
      <c r="L237" s="31"/>
      <c r="M237" s="31"/>
      <c r="N237" s="31"/>
    </row>
    <row r="238">
      <c r="A238" s="17"/>
      <c r="B238" s="20"/>
      <c r="C238" s="21"/>
      <c r="D238" s="21"/>
      <c r="E238" s="23"/>
      <c r="F238" s="24"/>
      <c r="G238" s="27"/>
      <c r="H238" s="23"/>
      <c r="I238" s="27"/>
      <c r="J238" s="29"/>
      <c r="K238" s="129"/>
      <c r="L238" s="31"/>
      <c r="M238" s="31"/>
      <c r="N238" s="31"/>
    </row>
    <row r="239">
      <c r="A239" s="17"/>
      <c r="B239" s="20"/>
      <c r="C239" s="21"/>
      <c r="D239" s="21"/>
      <c r="E239" s="23"/>
      <c r="F239" s="24"/>
      <c r="G239" s="27"/>
      <c r="H239" s="23"/>
      <c r="I239" s="27"/>
      <c r="J239" s="29"/>
      <c r="K239" s="129"/>
      <c r="L239" s="31"/>
      <c r="M239" s="31"/>
      <c r="N239" s="31"/>
    </row>
    <row r="240">
      <c r="A240" s="17"/>
      <c r="B240" s="20"/>
      <c r="C240" s="21"/>
      <c r="D240" s="21"/>
      <c r="E240" s="23"/>
      <c r="F240" s="24"/>
      <c r="G240" s="27"/>
      <c r="H240" s="23"/>
      <c r="I240" s="27"/>
      <c r="J240" s="29"/>
      <c r="K240" s="129"/>
      <c r="L240" s="31"/>
      <c r="M240" s="31"/>
      <c r="N240" s="31"/>
    </row>
    <row r="241">
      <c r="A241" s="17"/>
      <c r="B241" s="20"/>
      <c r="C241" s="21"/>
      <c r="D241" s="21"/>
      <c r="E241" s="23"/>
      <c r="F241" s="24"/>
      <c r="G241" s="27"/>
      <c r="H241" s="23"/>
      <c r="I241" s="27"/>
      <c r="J241" s="29"/>
      <c r="K241" s="129"/>
      <c r="L241" s="31"/>
      <c r="M241" s="31"/>
      <c r="N241" s="31"/>
    </row>
    <row r="242">
      <c r="A242" s="17"/>
      <c r="B242" s="20"/>
      <c r="C242" s="21"/>
      <c r="D242" s="21"/>
      <c r="E242" s="23"/>
      <c r="F242" s="24"/>
      <c r="G242" s="27"/>
      <c r="H242" s="23"/>
      <c r="I242" s="27"/>
      <c r="J242" s="29"/>
      <c r="K242" s="129"/>
      <c r="L242" s="31"/>
      <c r="M242" s="31"/>
      <c r="N242" s="31"/>
    </row>
    <row r="243">
      <c r="A243" s="17"/>
      <c r="B243" s="20"/>
      <c r="C243" s="21"/>
      <c r="D243" s="21"/>
      <c r="E243" s="23"/>
      <c r="F243" s="24"/>
      <c r="G243" s="27"/>
      <c r="H243" s="23"/>
      <c r="I243" s="27"/>
      <c r="J243" s="29"/>
      <c r="K243" s="129"/>
      <c r="L243" s="31"/>
      <c r="M243" s="31"/>
      <c r="N243" s="31"/>
    </row>
    <row r="244">
      <c r="A244" s="17"/>
      <c r="B244" s="20"/>
      <c r="C244" s="21"/>
      <c r="D244" s="21"/>
      <c r="E244" s="23"/>
      <c r="F244" s="24"/>
      <c r="G244" s="27"/>
      <c r="H244" s="23"/>
      <c r="I244" s="27"/>
      <c r="J244" s="29"/>
      <c r="K244" s="129"/>
      <c r="L244" s="31"/>
      <c r="M244" s="31"/>
      <c r="N244" s="31"/>
    </row>
    <row r="245">
      <c r="A245" s="17"/>
      <c r="B245" s="20"/>
      <c r="C245" s="21"/>
      <c r="D245" s="21"/>
      <c r="E245" s="23"/>
      <c r="F245" s="24"/>
      <c r="G245" s="27"/>
      <c r="H245" s="23"/>
      <c r="I245" s="27"/>
      <c r="J245" s="29"/>
      <c r="K245" s="129"/>
      <c r="L245" s="31"/>
      <c r="M245" s="31"/>
      <c r="N245" s="31"/>
    </row>
    <row r="246">
      <c r="A246" s="17"/>
      <c r="B246" s="20"/>
      <c r="C246" s="21"/>
      <c r="D246" s="21"/>
      <c r="E246" s="23"/>
      <c r="F246" s="24"/>
      <c r="G246" s="27"/>
      <c r="H246" s="23"/>
      <c r="I246" s="27"/>
      <c r="J246" s="29"/>
      <c r="K246" s="129"/>
      <c r="L246" s="31"/>
      <c r="M246" s="31"/>
      <c r="N246" s="31"/>
    </row>
    <row r="247">
      <c r="A247" s="17"/>
      <c r="B247" s="20"/>
      <c r="C247" s="21"/>
      <c r="D247" s="21"/>
      <c r="E247" s="23"/>
      <c r="F247" s="24"/>
      <c r="G247" s="27"/>
      <c r="H247" s="23"/>
      <c r="I247" s="27"/>
      <c r="J247" s="29"/>
      <c r="K247" s="129"/>
      <c r="L247" s="31"/>
      <c r="M247" s="31"/>
      <c r="N247" s="31"/>
    </row>
    <row r="248">
      <c r="A248" s="17"/>
      <c r="B248" s="20"/>
      <c r="C248" s="21"/>
      <c r="D248" s="21"/>
      <c r="E248" s="23"/>
      <c r="F248" s="24"/>
      <c r="G248" s="27"/>
      <c r="H248" s="23"/>
      <c r="I248" s="27"/>
      <c r="J248" s="29"/>
      <c r="K248" s="129"/>
      <c r="L248" s="31"/>
      <c r="M248" s="31"/>
      <c r="N248" s="31"/>
    </row>
    <row r="249">
      <c r="A249" s="17"/>
      <c r="B249" s="20"/>
      <c r="C249" s="21"/>
      <c r="D249" s="21"/>
      <c r="E249" s="23"/>
      <c r="F249" s="24"/>
      <c r="G249" s="27"/>
      <c r="H249" s="23"/>
      <c r="I249" s="27"/>
      <c r="J249" s="29"/>
      <c r="K249" s="129"/>
      <c r="L249" s="31"/>
      <c r="M249" s="31"/>
      <c r="N249" s="31"/>
    </row>
    <row r="250">
      <c r="A250" s="17"/>
      <c r="B250" s="20"/>
      <c r="C250" s="21"/>
      <c r="D250" s="21"/>
      <c r="E250" s="23"/>
      <c r="F250" s="24"/>
      <c r="G250" s="27"/>
      <c r="H250" s="23"/>
      <c r="I250" s="27"/>
      <c r="J250" s="29"/>
      <c r="K250" s="129"/>
      <c r="L250" s="31"/>
      <c r="M250" s="31"/>
      <c r="N250" s="31"/>
    </row>
    <row r="251">
      <c r="A251" s="17"/>
      <c r="B251" s="20"/>
      <c r="C251" s="21"/>
      <c r="D251" s="21"/>
      <c r="E251" s="23"/>
      <c r="F251" s="24"/>
      <c r="G251" s="27"/>
      <c r="H251" s="23"/>
      <c r="I251" s="27"/>
      <c r="J251" s="29"/>
      <c r="K251" s="129"/>
      <c r="L251" s="31"/>
      <c r="M251" s="31"/>
      <c r="N251" s="31"/>
    </row>
    <row r="252">
      <c r="A252" s="17"/>
      <c r="B252" s="20"/>
      <c r="C252" s="21"/>
      <c r="D252" s="21"/>
      <c r="E252" s="23"/>
      <c r="F252" s="24"/>
      <c r="G252" s="27"/>
      <c r="H252" s="23"/>
      <c r="I252" s="27"/>
      <c r="J252" s="29"/>
      <c r="K252" s="129"/>
      <c r="L252" s="31"/>
      <c r="M252" s="31"/>
      <c r="N252" s="31"/>
    </row>
    <row r="253">
      <c r="A253" s="17"/>
      <c r="B253" s="20"/>
      <c r="C253" s="21"/>
      <c r="D253" s="21"/>
      <c r="E253" s="23"/>
      <c r="F253" s="24"/>
      <c r="G253" s="27"/>
      <c r="H253" s="23"/>
      <c r="I253" s="27"/>
      <c r="J253" s="29"/>
      <c r="K253" s="129"/>
      <c r="L253" s="31"/>
      <c r="M253" s="31"/>
      <c r="N253" s="31"/>
    </row>
    <row r="254">
      <c r="A254" s="17"/>
      <c r="B254" s="20"/>
      <c r="C254" s="21"/>
      <c r="D254" s="21"/>
      <c r="E254" s="23"/>
      <c r="F254" s="24"/>
      <c r="G254" s="27"/>
      <c r="H254" s="23"/>
      <c r="I254" s="27"/>
      <c r="J254" s="29"/>
      <c r="K254" s="129"/>
      <c r="L254" s="31"/>
      <c r="M254" s="31"/>
      <c r="N254" s="31"/>
    </row>
    <row r="255">
      <c r="A255" s="17"/>
      <c r="B255" s="20"/>
      <c r="C255" s="21"/>
      <c r="D255" s="21"/>
      <c r="E255" s="23"/>
      <c r="F255" s="24"/>
      <c r="G255" s="27"/>
      <c r="H255" s="23"/>
      <c r="I255" s="27"/>
      <c r="J255" s="29"/>
      <c r="K255" s="129"/>
      <c r="L255" s="31"/>
      <c r="M255" s="31"/>
      <c r="N255" s="31"/>
    </row>
    <row r="256">
      <c r="A256" s="17"/>
      <c r="B256" s="20"/>
      <c r="C256" s="21"/>
      <c r="D256" s="21"/>
      <c r="E256" s="23"/>
      <c r="F256" s="24"/>
      <c r="G256" s="27"/>
      <c r="H256" s="23"/>
      <c r="I256" s="27"/>
      <c r="J256" s="29"/>
      <c r="K256" s="129"/>
      <c r="L256" s="31"/>
      <c r="M256" s="31"/>
      <c r="N256" s="31"/>
    </row>
    <row r="257">
      <c r="A257" s="17"/>
      <c r="B257" s="20"/>
      <c r="C257" s="21"/>
      <c r="D257" s="21"/>
      <c r="E257" s="23"/>
      <c r="F257" s="24"/>
      <c r="G257" s="27"/>
      <c r="H257" s="23"/>
      <c r="I257" s="27"/>
      <c r="J257" s="29"/>
      <c r="K257" s="129"/>
      <c r="L257" s="31"/>
      <c r="M257" s="31"/>
      <c r="N257" s="31"/>
    </row>
    <row r="258">
      <c r="A258" s="17"/>
      <c r="B258" s="20"/>
      <c r="C258" s="21"/>
      <c r="D258" s="21"/>
      <c r="E258" s="23"/>
      <c r="F258" s="24"/>
      <c r="G258" s="27"/>
      <c r="H258" s="23"/>
      <c r="I258" s="27"/>
      <c r="J258" s="29"/>
      <c r="K258" s="129"/>
      <c r="L258" s="31"/>
      <c r="M258" s="31"/>
      <c r="N258" s="31"/>
    </row>
    <row r="259">
      <c r="A259" s="17"/>
      <c r="B259" s="20"/>
      <c r="C259" s="21"/>
      <c r="D259" s="21"/>
      <c r="E259" s="23"/>
      <c r="F259" s="24"/>
      <c r="G259" s="27"/>
      <c r="H259" s="23"/>
      <c r="I259" s="27"/>
      <c r="J259" s="29"/>
      <c r="K259" s="129"/>
      <c r="L259" s="31"/>
      <c r="M259" s="31"/>
      <c r="N259" s="31"/>
    </row>
    <row r="260">
      <c r="A260" s="17"/>
      <c r="B260" s="20"/>
      <c r="C260" s="21"/>
      <c r="D260" s="21"/>
      <c r="E260" s="23"/>
      <c r="F260" s="24"/>
      <c r="G260" s="27"/>
      <c r="H260" s="23"/>
      <c r="I260" s="27"/>
      <c r="J260" s="29"/>
      <c r="K260" s="129"/>
      <c r="L260" s="31"/>
      <c r="M260" s="31"/>
      <c r="N260" s="31"/>
    </row>
    <row r="261">
      <c r="A261" s="17"/>
      <c r="B261" s="20"/>
      <c r="C261" s="21"/>
      <c r="D261" s="21"/>
      <c r="E261" s="23"/>
      <c r="F261" s="24"/>
      <c r="G261" s="27"/>
      <c r="H261" s="23"/>
      <c r="I261" s="27"/>
      <c r="J261" s="29"/>
      <c r="K261" s="129"/>
      <c r="L261" s="31"/>
      <c r="M261" s="31"/>
      <c r="N261" s="31"/>
    </row>
    <row r="262">
      <c r="A262" s="17"/>
      <c r="B262" s="20"/>
      <c r="C262" s="21"/>
      <c r="D262" s="21"/>
      <c r="E262" s="23"/>
      <c r="F262" s="24"/>
      <c r="G262" s="27"/>
      <c r="H262" s="23"/>
      <c r="I262" s="27"/>
      <c r="J262" s="29"/>
      <c r="K262" s="129"/>
      <c r="L262" s="31"/>
      <c r="M262" s="31"/>
      <c r="N262" s="31"/>
    </row>
    <row r="263">
      <c r="A263" s="17"/>
      <c r="B263" s="20"/>
      <c r="C263" s="21"/>
      <c r="D263" s="21"/>
      <c r="E263" s="23"/>
      <c r="F263" s="24"/>
      <c r="G263" s="27"/>
      <c r="H263" s="23"/>
      <c r="I263" s="27"/>
      <c r="J263" s="29"/>
      <c r="K263" s="129"/>
      <c r="L263" s="31"/>
      <c r="M263" s="31"/>
      <c r="N263" s="31"/>
    </row>
    <row r="264">
      <c r="A264" s="17"/>
      <c r="B264" s="20"/>
      <c r="C264" s="21"/>
      <c r="D264" s="21"/>
      <c r="E264" s="23"/>
      <c r="F264" s="24"/>
      <c r="G264" s="27"/>
      <c r="H264" s="23"/>
      <c r="I264" s="27"/>
      <c r="J264" s="29"/>
      <c r="K264" s="129"/>
      <c r="L264" s="31"/>
      <c r="M264" s="31"/>
      <c r="N264" s="31"/>
    </row>
    <row r="265">
      <c r="A265" s="17"/>
      <c r="B265" s="20"/>
      <c r="C265" s="21"/>
      <c r="D265" s="21"/>
      <c r="E265" s="23"/>
      <c r="F265" s="24"/>
      <c r="G265" s="27"/>
      <c r="H265" s="23"/>
      <c r="I265" s="27"/>
      <c r="J265" s="29"/>
      <c r="K265" s="129"/>
      <c r="L265" s="31"/>
      <c r="M265" s="31"/>
      <c r="N265" s="31"/>
    </row>
    <row r="266">
      <c r="A266" s="17"/>
      <c r="B266" s="20"/>
      <c r="C266" s="21"/>
      <c r="D266" s="21"/>
      <c r="E266" s="23"/>
      <c r="F266" s="24"/>
      <c r="G266" s="27"/>
      <c r="H266" s="23"/>
      <c r="I266" s="27"/>
      <c r="J266" s="29"/>
      <c r="K266" s="129"/>
      <c r="L266" s="31"/>
      <c r="M266" s="31"/>
      <c r="N266" s="31"/>
    </row>
    <row r="267">
      <c r="A267" s="17"/>
      <c r="B267" s="20"/>
      <c r="C267" s="21"/>
      <c r="D267" s="21"/>
      <c r="E267" s="23"/>
      <c r="F267" s="24"/>
      <c r="G267" s="27"/>
      <c r="H267" s="23"/>
      <c r="I267" s="27"/>
      <c r="J267" s="29"/>
      <c r="K267" s="129"/>
      <c r="L267" s="31"/>
      <c r="M267" s="31"/>
      <c r="N267" s="31"/>
    </row>
    <row r="268">
      <c r="A268" s="17"/>
      <c r="B268" s="20"/>
      <c r="C268" s="21"/>
      <c r="D268" s="21"/>
      <c r="E268" s="23"/>
      <c r="F268" s="24"/>
      <c r="G268" s="27"/>
      <c r="H268" s="23"/>
      <c r="I268" s="27"/>
      <c r="J268" s="29"/>
      <c r="K268" s="129"/>
      <c r="L268" s="31"/>
      <c r="M268" s="31"/>
      <c r="N268" s="31"/>
    </row>
    <row r="269">
      <c r="A269" s="17"/>
      <c r="B269" s="20"/>
      <c r="C269" s="21"/>
      <c r="D269" s="21"/>
      <c r="E269" s="23"/>
      <c r="F269" s="24"/>
      <c r="G269" s="27"/>
      <c r="H269" s="23"/>
      <c r="I269" s="27"/>
      <c r="J269" s="29"/>
      <c r="K269" s="129"/>
      <c r="L269" s="31"/>
      <c r="M269" s="31"/>
      <c r="N269" s="31"/>
    </row>
    <row r="270">
      <c r="A270" s="17"/>
      <c r="B270" s="20"/>
      <c r="C270" s="21"/>
      <c r="D270" s="21"/>
      <c r="E270" s="23"/>
      <c r="F270" s="24"/>
      <c r="G270" s="27"/>
      <c r="H270" s="23"/>
      <c r="I270" s="27"/>
      <c r="J270" s="29"/>
      <c r="K270" s="129"/>
      <c r="L270" s="31"/>
      <c r="M270" s="31"/>
      <c r="N270" s="31"/>
    </row>
    <row r="271">
      <c r="A271" s="17"/>
      <c r="B271" s="20"/>
      <c r="C271" s="21"/>
      <c r="D271" s="21"/>
      <c r="E271" s="23"/>
      <c r="F271" s="24"/>
      <c r="G271" s="27"/>
      <c r="H271" s="23"/>
      <c r="I271" s="27"/>
      <c r="J271" s="29"/>
      <c r="K271" s="129"/>
      <c r="L271" s="31"/>
      <c r="M271" s="31"/>
      <c r="N271" s="31"/>
    </row>
    <row r="272">
      <c r="A272" s="17"/>
      <c r="B272" s="20"/>
      <c r="C272" s="21"/>
      <c r="D272" s="21"/>
      <c r="E272" s="23"/>
      <c r="F272" s="24"/>
      <c r="G272" s="27"/>
      <c r="H272" s="23"/>
      <c r="I272" s="27"/>
      <c r="J272" s="29"/>
      <c r="K272" s="129"/>
      <c r="L272" s="31"/>
      <c r="M272" s="31"/>
      <c r="N272" s="31"/>
    </row>
    <row r="273">
      <c r="A273" s="17"/>
      <c r="B273" s="20"/>
      <c r="C273" s="21"/>
      <c r="D273" s="21"/>
      <c r="E273" s="23"/>
      <c r="F273" s="24"/>
      <c r="G273" s="27"/>
      <c r="H273" s="23"/>
      <c r="I273" s="27"/>
      <c r="J273" s="29"/>
      <c r="K273" s="129"/>
      <c r="L273" s="31"/>
      <c r="M273" s="31"/>
      <c r="N273" s="31"/>
    </row>
    <row r="274">
      <c r="A274" s="17"/>
      <c r="B274" s="20"/>
      <c r="C274" s="21"/>
      <c r="D274" s="21"/>
      <c r="E274" s="23"/>
      <c r="F274" s="24"/>
      <c r="G274" s="27"/>
      <c r="H274" s="23"/>
      <c r="I274" s="27"/>
      <c r="J274" s="29"/>
      <c r="K274" s="129"/>
      <c r="L274" s="31"/>
      <c r="M274" s="31"/>
      <c r="N274" s="31"/>
    </row>
    <row r="275">
      <c r="A275" s="17"/>
      <c r="B275" s="20"/>
      <c r="C275" s="21"/>
      <c r="D275" s="21"/>
      <c r="E275" s="23"/>
      <c r="F275" s="24"/>
      <c r="G275" s="27"/>
      <c r="H275" s="23"/>
      <c r="I275" s="27"/>
      <c r="J275" s="29"/>
      <c r="K275" s="129"/>
      <c r="L275" s="31"/>
      <c r="M275" s="31"/>
      <c r="N275" s="31"/>
    </row>
    <row r="276">
      <c r="A276" s="17"/>
      <c r="B276" s="20"/>
      <c r="C276" s="21"/>
      <c r="D276" s="21"/>
      <c r="E276" s="23"/>
      <c r="F276" s="24"/>
      <c r="G276" s="27"/>
      <c r="H276" s="23"/>
      <c r="I276" s="27"/>
      <c r="J276" s="29"/>
      <c r="K276" s="129"/>
      <c r="L276" s="31"/>
      <c r="M276" s="31"/>
      <c r="N276" s="31"/>
    </row>
    <row r="277">
      <c r="A277" s="17"/>
      <c r="B277" s="20"/>
      <c r="C277" s="21"/>
      <c r="D277" s="21"/>
      <c r="E277" s="23"/>
      <c r="F277" s="24"/>
      <c r="G277" s="27"/>
      <c r="H277" s="23"/>
      <c r="I277" s="27"/>
      <c r="J277" s="29"/>
      <c r="K277" s="129"/>
      <c r="L277" s="31"/>
      <c r="M277" s="31"/>
      <c r="N277" s="31"/>
    </row>
    <row r="278">
      <c r="A278" s="17"/>
      <c r="B278" s="20"/>
      <c r="C278" s="21"/>
      <c r="D278" s="21"/>
      <c r="E278" s="23"/>
      <c r="F278" s="24"/>
      <c r="G278" s="27"/>
      <c r="H278" s="23"/>
      <c r="I278" s="27"/>
      <c r="J278" s="29"/>
      <c r="K278" s="129"/>
      <c r="L278" s="31"/>
      <c r="M278" s="31"/>
      <c r="N278" s="31"/>
    </row>
    <row r="279">
      <c r="A279" s="17"/>
      <c r="B279" s="20"/>
      <c r="C279" s="21"/>
      <c r="D279" s="21"/>
      <c r="E279" s="23"/>
      <c r="F279" s="24"/>
      <c r="G279" s="27"/>
      <c r="H279" s="23"/>
      <c r="I279" s="27"/>
      <c r="J279" s="29"/>
      <c r="K279" s="129"/>
      <c r="L279" s="31"/>
      <c r="M279" s="31"/>
      <c r="N279" s="31"/>
    </row>
    <row r="280">
      <c r="A280" s="17"/>
      <c r="B280" s="20"/>
      <c r="C280" s="21"/>
      <c r="D280" s="21"/>
      <c r="E280" s="23"/>
      <c r="F280" s="24"/>
      <c r="G280" s="27"/>
      <c r="H280" s="23"/>
      <c r="I280" s="27"/>
      <c r="J280" s="29"/>
      <c r="K280" s="129"/>
      <c r="L280" s="31"/>
      <c r="M280" s="31"/>
      <c r="N280" s="31"/>
    </row>
    <row r="281">
      <c r="A281" s="17"/>
      <c r="B281" s="20"/>
      <c r="C281" s="21"/>
      <c r="D281" s="21"/>
      <c r="E281" s="23"/>
      <c r="F281" s="24"/>
      <c r="G281" s="27"/>
      <c r="H281" s="23"/>
      <c r="I281" s="27"/>
      <c r="J281" s="29"/>
      <c r="K281" s="129"/>
      <c r="L281" s="31"/>
      <c r="M281" s="31"/>
      <c r="N281" s="31"/>
    </row>
    <row r="282">
      <c r="A282" s="17"/>
      <c r="B282" s="20"/>
      <c r="C282" s="21"/>
      <c r="D282" s="21"/>
      <c r="E282" s="23"/>
      <c r="F282" s="24"/>
      <c r="G282" s="27"/>
      <c r="H282" s="23"/>
      <c r="I282" s="27"/>
      <c r="J282" s="29"/>
      <c r="K282" s="129"/>
      <c r="L282" s="31"/>
      <c r="M282" s="31"/>
      <c r="N282" s="31"/>
    </row>
    <row r="283">
      <c r="A283" s="17"/>
      <c r="B283" s="20"/>
      <c r="C283" s="21"/>
      <c r="D283" s="21"/>
      <c r="E283" s="23"/>
      <c r="F283" s="24"/>
      <c r="G283" s="27"/>
      <c r="H283" s="23"/>
      <c r="I283" s="27"/>
      <c r="J283" s="29"/>
      <c r="K283" s="129"/>
      <c r="L283" s="31"/>
      <c r="M283" s="31"/>
      <c r="N283" s="31"/>
    </row>
    <row r="284">
      <c r="A284" s="17"/>
      <c r="B284" s="20"/>
      <c r="C284" s="21"/>
      <c r="D284" s="21"/>
      <c r="E284" s="23"/>
      <c r="F284" s="24"/>
      <c r="G284" s="27"/>
      <c r="H284" s="23"/>
      <c r="I284" s="27"/>
      <c r="J284" s="29"/>
      <c r="K284" s="129"/>
      <c r="L284" s="31"/>
      <c r="M284" s="31"/>
      <c r="N284" s="31"/>
    </row>
    <row r="285">
      <c r="A285" s="17"/>
      <c r="B285" s="20"/>
      <c r="C285" s="21"/>
      <c r="D285" s="21"/>
      <c r="E285" s="23"/>
      <c r="F285" s="24"/>
      <c r="G285" s="27"/>
      <c r="H285" s="23"/>
      <c r="I285" s="27"/>
      <c r="J285" s="29"/>
      <c r="K285" s="129"/>
      <c r="L285" s="31"/>
      <c r="M285" s="31"/>
      <c r="N285" s="31"/>
    </row>
    <row r="286">
      <c r="A286" s="17"/>
      <c r="B286" s="20"/>
      <c r="C286" s="21"/>
      <c r="D286" s="21"/>
      <c r="E286" s="23"/>
      <c r="F286" s="24"/>
      <c r="G286" s="27"/>
      <c r="H286" s="23"/>
      <c r="I286" s="27"/>
      <c r="J286" s="29"/>
      <c r="K286" s="129"/>
      <c r="L286" s="31"/>
      <c r="M286" s="31"/>
      <c r="N286" s="31"/>
    </row>
    <row r="287">
      <c r="A287" s="17"/>
      <c r="B287" s="20"/>
      <c r="C287" s="21"/>
      <c r="D287" s="21"/>
      <c r="E287" s="23"/>
      <c r="F287" s="24"/>
      <c r="G287" s="27"/>
      <c r="H287" s="23"/>
      <c r="I287" s="27"/>
      <c r="J287" s="29"/>
      <c r="K287" s="129"/>
      <c r="L287" s="31"/>
      <c r="M287" s="31"/>
      <c r="N287" s="31"/>
    </row>
    <row r="288">
      <c r="A288" s="17"/>
      <c r="B288" s="20"/>
      <c r="C288" s="21"/>
      <c r="D288" s="21"/>
      <c r="E288" s="23"/>
      <c r="F288" s="24"/>
      <c r="G288" s="27"/>
      <c r="H288" s="23"/>
      <c r="I288" s="27"/>
      <c r="J288" s="29"/>
      <c r="K288" s="129"/>
      <c r="L288" s="31"/>
      <c r="M288" s="31"/>
      <c r="N288" s="31"/>
    </row>
    <row r="289">
      <c r="A289" s="17"/>
      <c r="B289" s="20"/>
      <c r="C289" s="21"/>
      <c r="D289" s="21"/>
      <c r="E289" s="23"/>
      <c r="F289" s="24"/>
      <c r="G289" s="27"/>
      <c r="H289" s="23"/>
      <c r="I289" s="27"/>
      <c r="J289" s="29"/>
      <c r="K289" s="129"/>
      <c r="L289" s="31"/>
      <c r="M289" s="31"/>
      <c r="N289" s="31"/>
    </row>
    <row r="290">
      <c r="A290" s="17"/>
      <c r="B290" s="20"/>
      <c r="C290" s="21"/>
      <c r="D290" s="21"/>
      <c r="E290" s="23"/>
      <c r="F290" s="24"/>
      <c r="G290" s="27"/>
      <c r="H290" s="23"/>
      <c r="I290" s="27"/>
      <c r="J290" s="29"/>
      <c r="K290" s="129"/>
      <c r="L290" s="31"/>
      <c r="M290" s="31"/>
      <c r="N290" s="31"/>
    </row>
    <row r="291">
      <c r="A291" s="17"/>
      <c r="B291" s="20"/>
      <c r="C291" s="21"/>
      <c r="D291" s="21"/>
      <c r="E291" s="23"/>
      <c r="F291" s="24"/>
      <c r="G291" s="27"/>
      <c r="H291" s="23"/>
      <c r="I291" s="27"/>
      <c r="J291" s="29"/>
      <c r="K291" s="129"/>
      <c r="L291" s="31"/>
      <c r="M291" s="31"/>
      <c r="N291" s="31"/>
    </row>
    <row r="292">
      <c r="A292" s="17"/>
      <c r="B292" s="20"/>
      <c r="C292" s="21"/>
      <c r="D292" s="21"/>
      <c r="E292" s="23"/>
      <c r="F292" s="24"/>
      <c r="G292" s="27"/>
      <c r="H292" s="23"/>
      <c r="I292" s="27"/>
      <c r="J292" s="29"/>
      <c r="K292" s="129"/>
      <c r="L292" s="31"/>
      <c r="M292" s="31"/>
      <c r="N292" s="31"/>
    </row>
    <row r="293">
      <c r="A293" s="17"/>
      <c r="B293" s="20"/>
      <c r="C293" s="21"/>
      <c r="D293" s="21"/>
      <c r="E293" s="23"/>
      <c r="F293" s="24"/>
      <c r="G293" s="27"/>
      <c r="H293" s="23"/>
      <c r="I293" s="27"/>
      <c r="J293" s="29"/>
      <c r="K293" s="129"/>
      <c r="L293" s="31"/>
      <c r="M293" s="31"/>
      <c r="N293" s="31"/>
    </row>
    <row r="294">
      <c r="A294" s="17"/>
      <c r="B294" s="20"/>
      <c r="C294" s="21"/>
      <c r="D294" s="21"/>
      <c r="E294" s="23"/>
      <c r="F294" s="24"/>
      <c r="G294" s="27"/>
      <c r="H294" s="23"/>
      <c r="I294" s="27"/>
      <c r="J294" s="29"/>
      <c r="K294" s="129"/>
      <c r="L294" s="31"/>
      <c r="M294" s="31"/>
      <c r="N294" s="31"/>
    </row>
    <row r="295">
      <c r="A295" s="17"/>
      <c r="B295" s="20"/>
      <c r="C295" s="21"/>
      <c r="D295" s="21"/>
      <c r="E295" s="23"/>
      <c r="F295" s="24"/>
      <c r="G295" s="27"/>
      <c r="H295" s="23"/>
      <c r="I295" s="27"/>
      <c r="J295" s="29"/>
      <c r="K295" s="129"/>
      <c r="L295" s="31"/>
      <c r="M295" s="31"/>
      <c r="N295" s="31"/>
    </row>
    <row r="296">
      <c r="A296" s="17"/>
      <c r="B296" s="20"/>
      <c r="C296" s="21"/>
      <c r="D296" s="21"/>
      <c r="E296" s="23"/>
      <c r="F296" s="24"/>
      <c r="G296" s="27"/>
      <c r="H296" s="23"/>
      <c r="I296" s="27"/>
      <c r="J296" s="29"/>
      <c r="K296" s="129"/>
      <c r="L296" s="31"/>
      <c r="M296" s="31"/>
      <c r="N296" s="31"/>
    </row>
    <row r="297">
      <c r="A297" s="17"/>
      <c r="B297" s="20"/>
      <c r="C297" s="21"/>
      <c r="D297" s="21"/>
      <c r="E297" s="23"/>
      <c r="F297" s="24"/>
      <c r="G297" s="27"/>
      <c r="H297" s="23"/>
      <c r="I297" s="27"/>
      <c r="J297" s="29"/>
      <c r="K297" s="129"/>
      <c r="L297" s="31"/>
      <c r="M297" s="31"/>
      <c r="N297" s="31"/>
    </row>
    <row r="298">
      <c r="A298" s="17"/>
      <c r="B298" s="20"/>
      <c r="C298" s="21"/>
      <c r="D298" s="21"/>
      <c r="E298" s="23"/>
      <c r="F298" s="24"/>
      <c r="G298" s="27"/>
      <c r="H298" s="23"/>
      <c r="I298" s="27"/>
      <c r="J298" s="29"/>
      <c r="K298" s="129"/>
      <c r="L298" s="31"/>
      <c r="M298" s="31"/>
      <c r="N298" s="31"/>
    </row>
    <row r="299" ht="13.5" customHeight="1">
      <c r="A299" s="17"/>
      <c r="B299" s="20"/>
      <c r="C299" s="21"/>
      <c r="D299" s="21"/>
      <c r="E299" s="23"/>
      <c r="F299" s="24"/>
      <c r="G299" s="27"/>
      <c r="H299" s="23"/>
      <c r="I299" s="27"/>
      <c r="J299" s="29"/>
      <c r="K299" s="129"/>
      <c r="L299" s="31"/>
      <c r="M299" s="31"/>
      <c r="N299" s="31"/>
    </row>
    <row r="300">
      <c r="A300" s="17"/>
      <c r="B300" s="20"/>
      <c r="C300" s="21"/>
      <c r="D300" s="21"/>
      <c r="E300" s="23"/>
      <c r="F300" s="24"/>
      <c r="G300" s="27"/>
      <c r="H300" s="23"/>
      <c r="I300" s="27"/>
      <c r="J300" s="29"/>
      <c r="K300" s="129"/>
      <c r="L300" s="31"/>
      <c r="M300" s="31"/>
      <c r="N300" s="31"/>
    </row>
    <row r="301">
      <c r="A301" s="17"/>
      <c r="B301" s="20"/>
      <c r="C301" s="21"/>
      <c r="D301" s="21"/>
      <c r="E301" s="23"/>
      <c r="F301" s="24"/>
      <c r="G301" s="27"/>
      <c r="H301" s="23"/>
      <c r="I301" s="27"/>
      <c r="J301" s="29"/>
      <c r="K301" s="129"/>
      <c r="L301" s="31"/>
      <c r="M301" s="31"/>
      <c r="N301" s="31"/>
    </row>
    <row r="302">
      <c r="A302" s="17"/>
      <c r="B302" s="20"/>
      <c r="C302" s="21"/>
      <c r="D302" s="21"/>
      <c r="E302" s="23"/>
      <c r="F302" s="24"/>
      <c r="G302" s="27"/>
      <c r="H302" s="23"/>
      <c r="I302" s="27"/>
      <c r="J302" s="29"/>
      <c r="K302" s="129"/>
      <c r="L302" s="31"/>
      <c r="M302" s="31"/>
      <c r="N302" s="31"/>
    </row>
    <row r="303">
      <c r="A303" s="17"/>
      <c r="B303" s="20"/>
      <c r="C303" s="21"/>
      <c r="D303" s="21"/>
      <c r="E303" s="23"/>
      <c r="F303" s="24"/>
      <c r="G303" s="27"/>
      <c r="H303" s="23"/>
      <c r="I303" s="27"/>
      <c r="J303" s="29"/>
      <c r="K303" s="129"/>
      <c r="L303" s="31"/>
      <c r="M303" s="31"/>
      <c r="N303" s="31"/>
    </row>
    <row r="304">
      <c r="A304" s="17"/>
      <c r="B304" s="20"/>
      <c r="C304" s="21"/>
      <c r="D304" s="21"/>
      <c r="E304" s="23"/>
      <c r="F304" s="24"/>
      <c r="G304" s="27"/>
      <c r="H304" s="23"/>
      <c r="I304" s="27"/>
      <c r="J304" s="29"/>
      <c r="K304" s="129"/>
      <c r="L304" s="31"/>
      <c r="M304" s="31"/>
      <c r="N304" s="31"/>
    </row>
    <row r="305">
      <c r="A305" s="17"/>
      <c r="B305" s="20"/>
      <c r="C305" s="21"/>
      <c r="D305" s="21"/>
      <c r="E305" s="23"/>
      <c r="F305" s="24"/>
      <c r="G305" s="27"/>
      <c r="H305" s="23"/>
      <c r="I305" s="27"/>
      <c r="J305" s="29"/>
      <c r="K305" s="129"/>
      <c r="L305" s="31"/>
      <c r="M305" s="31"/>
      <c r="N305" s="31"/>
    </row>
    <row r="306">
      <c r="A306" s="17"/>
      <c r="B306" s="20"/>
      <c r="C306" s="21"/>
      <c r="D306" s="21"/>
      <c r="E306" s="23"/>
      <c r="F306" s="24"/>
      <c r="G306" s="27"/>
      <c r="H306" s="23"/>
      <c r="I306" s="27"/>
      <c r="J306" s="29"/>
      <c r="K306" s="129"/>
      <c r="L306" s="31"/>
      <c r="M306" s="31"/>
      <c r="N306" s="31"/>
    </row>
    <row r="307">
      <c r="A307" s="17"/>
      <c r="B307" s="20"/>
      <c r="C307" s="21"/>
      <c r="D307" s="21"/>
      <c r="E307" s="23"/>
      <c r="F307" s="24"/>
      <c r="G307" s="27"/>
      <c r="H307" s="23"/>
      <c r="I307" s="27"/>
      <c r="J307" s="29"/>
      <c r="K307" s="129"/>
      <c r="L307" s="31"/>
      <c r="M307" s="31"/>
      <c r="N307" s="31"/>
    </row>
    <row r="308">
      <c r="A308" s="17"/>
      <c r="B308" s="20"/>
      <c r="C308" s="21"/>
      <c r="D308" s="21"/>
      <c r="E308" s="23"/>
      <c r="F308" s="24"/>
      <c r="G308" s="27"/>
      <c r="H308" s="23"/>
      <c r="I308" s="27"/>
      <c r="J308" s="29"/>
      <c r="K308" s="129"/>
      <c r="L308" s="31"/>
      <c r="M308" s="31"/>
      <c r="N308" s="31"/>
    </row>
    <row r="309">
      <c r="A309" s="17"/>
      <c r="B309" s="20"/>
      <c r="C309" s="21"/>
      <c r="D309" s="21"/>
      <c r="E309" s="23"/>
      <c r="F309" s="24"/>
      <c r="G309" s="27"/>
      <c r="H309" s="23"/>
      <c r="I309" s="27"/>
      <c r="J309" s="29"/>
      <c r="K309" s="129"/>
      <c r="L309" s="31"/>
      <c r="M309" s="31"/>
      <c r="N309" s="31"/>
    </row>
    <row r="310">
      <c r="A310" s="17"/>
      <c r="B310" s="20"/>
      <c r="C310" s="21"/>
      <c r="D310" s="21"/>
      <c r="E310" s="23"/>
      <c r="F310" s="24"/>
      <c r="G310" s="27"/>
      <c r="H310" s="23"/>
      <c r="I310" s="27"/>
      <c r="J310" s="29"/>
      <c r="K310" s="129"/>
      <c r="L310" s="31"/>
      <c r="M310" s="31"/>
      <c r="N310" s="31"/>
    </row>
    <row r="311">
      <c r="A311" s="17"/>
      <c r="B311" s="20"/>
      <c r="C311" s="21"/>
      <c r="D311" s="21"/>
      <c r="E311" s="23"/>
      <c r="F311" s="24"/>
      <c r="G311" s="27"/>
      <c r="H311" s="23"/>
      <c r="I311" s="27"/>
      <c r="J311" s="29"/>
      <c r="K311" s="129"/>
      <c r="L311" s="31"/>
      <c r="M311" s="31"/>
      <c r="N311" s="31"/>
    </row>
    <row r="312">
      <c r="A312" s="17"/>
      <c r="B312" s="20"/>
      <c r="C312" s="21"/>
      <c r="D312" s="21"/>
      <c r="E312" s="23"/>
      <c r="F312" s="24"/>
      <c r="G312" s="27"/>
      <c r="H312" s="23"/>
      <c r="I312" s="27"/>
      <c r="J312" s="29"/>
      <c r="K312" s="129"/>
      <c r="L312" s="31"/>
      <c r="M312" s="31"/>
      <c r="N312" s="31"/>
    </row>
    <row r="313">
      <c r="A313" s="17"/>
      <c r="B313" s="20"/>
      <c r="C313" s="21"/>
      <c r="D313" s="21"/>
      <c r="E313" s="23"/>
      <c r="F313" s="24"/>
      <c r="G313" s="27"/>
      <c r="H313" s="23"/>
      <c r="I313" s="27"/>
      <c r="J313" s="29"/>
      <c r="K313" s="129"/>
      <c r="L313" s="31"/>
      <c r="M313" s="31"/>
      <c r="N313" s="31"/>
    </row>
    <row r="314">
      <c r="A314" s="17"/>
      <c r="B314" s="20"/>
      <c r="C314" s="21"/>
      <c r="D314" s="21"/>
      <c r="E314" s="23"/>
      <c r="F314" s="24"/>
      <c r="G314" s="27"/>
      <c r="H314" s="23"/>
      <c r="I314" s="27"/>
      <c r="J314" s="29"/>
      <c r="K314" s="129"/>
      <c r="L314" s="31"/>
      <c r="M314" s="31"/>
      <c r="N314" s="31"/>
    </row>
    <row r="315">
      <c r="A315" s="17"/>
      <c r="B315" s="20"/>
      <c r="C315" s="21"/>
      <c r="D315" s="21"/>
      <c r="E315" s="23"/>
      <c r="F315" s="24"/>
      <c r="G315" s="27"/>
      <c r="H315" s="23"/>
      <c r="I315" s="27"/>
      <c r="J315" s="29"/>
      <c r="K315" s="129"/>
      <c r="L315" s="31"/>
      <c r="M315" s="31"/>
      <c r="N315" s="31"/>
    </row>
    <row r="316">
      <c r="A316" s="17"/>
      <c r="B316" s="20"/>
      <c r="C316" s="21"/>
      <c r="D316" s="21"/>
      <c r="E316" s="23"/>
      <c r="F316" s="24"/>
      <c r="G316" s="27"/>
      <c r="H316" s="23"/>
      <c r="I316" s="27"/>
      <c r="J316" s="29"/>
      <c r="K316" s="129"/>
      <c r="L316" s="31"/>
      <c r="M316" s="31"/>
      <c r="N316" s="31"/>
    </row>
    <row r="317">
      <c r="A317" s="17"/>
      <c r="B317" s="20"/>
      <c r="C317" s="21"/>
      <c r="D317" s="21"/>
      <c r="E317" s="23"/>
      <c r="F317" s="24"/>
      <c r="G317" s="27"/>
      <c r="H317" s="23"/>
      <c r="I317" s="27"/>
      <c r="J317" s="29"/>
      <c r="K317" s="129"/>
      <c r="L317" s="31"/>
      <c r="M317" s="31"/>
      <c r="N317" s="31"/>
    </row>
    <row r="318">
      <c r="A318" s="17"/>
      <c r="B318" s="20"/>
      <c r="C318" s="21"/>
      <c r="D318" s="21"/>
      <c r="E318" s="23"/>
      <c r="F318" s="24"/>
      <c r="G318" s="27"/>
      <c r="H318" s="23"/>
      <c r="I318" s="27"/>
      <c r="J318" s="29"/>
      <c r="K318" s="129"/>
      <c r="L318" s="31"/>
      <c r="M318" s="31"/>
      <c r="N318" s="31"/>
    </row>
    <row r="319">
      <c r="A319" s="17"/>
      <c r="B319" s="20"/>
      <c r="C319" s="21"/>
      <c r="D319" s="21"/>
      <c r="E319" s="23"/>
      <c r="F319" s="24"/>
      <c r="G319" s="27"/>
      <c r="H319" s="23"/>
      <c r="I319" s="27"/>
      <c r="J319" s="29"/>
      <c r="K319" s="129"/>
      <c r="L319" s="31"/>
      <c r="M319" s="31"/>
      <c r="N319" s="31"/>
    </row>
    <row r="320">
      <c r="A320" s="17"/>
      <c r="B320" s="20"/>
      <c r="C320" s="21"/>
      <c r="D320" s="21"/>
      <c r="E320" s="23"/>
      <c r="F320" s="24"/>
      <c r="G320" s="27"/>
      <c r="H320" s="23"/>
      <c r="I320" s="27"/>
      <c r="J320" s="29"/>
      <c r="K320" s="129"/>
      <c r="L320" s="31"/>
      <c r="M320" s="31"/>
      <c r="N320" s="31"/>
    </row>
    <row r="321">
      <c r="A321" s="17"/>
      <c r="B321" s="20"/>
      <c r="C321" s="21"/>
      <c r="D321" s="21"/>
      <c r="E321" s="23"/>
      <c r="F321" s="24"/>
      <c r="G321" s="27"/>
      <c r="H321" s="23"/>
      <c r="I321" s="27"/>
      <c r="J321" s="29"/>
      <c r="K321" s="129"/>
      <c r="L321" s="31"/>
      <c r="M321" s="31"/>
      <c r="N321" s="31"/>
    </row>
    <row r="322">
      <c r="A322" s="17"/>
      <c r="B322" s="20"/>
      <c r="C322" s="21"/>
      <c r="D322" s="21"/>
      <c r="E322" s="23"/>
      <c r="F322" s="24"/>
      <c r="G322" s="27"/>
      <c r="H322" s="23"/>
      <c r="I322" s="27"/>
      <c r="J322" s="29"/>
      <c r="K322" s="129"/>
      <c r="L322" s="31"/>
      <c r="M322" s="31"/>
      <c r="N322" s="31"/>
    </row>
    <row r="323">
      <c r="A323" s="17"/>
      <c r="B323" s="20"/>
      <c r="C323" s="21"/>
      <c r="D323" s="21"/>
      <c r="E323" s="23"/>
      <c r="F323" s="24"/>
      <c r="G323" s="27"/>
      <c r="H323" s="23"/>
      <c r="I323" s="27"/>
      <c r="J323" s="29"/>
      <c r="K323" s="129"/>
      <c r="L323" s="31"/>
      <c r="M323" s="31"/>
      <c r="N323" s="31"/>
    </row>
    <row r="324">
      <c r="A324" s="17"/>
      <c r="B324" s="20"/>
      <c r="C324" s="21"/>
      <c r="D324" s="21"/>
      <c r="E324" s="23"/>
      <c r="F324" s="24"/>
      <c r="G324" s="27"/>
      <c r="H324" s="23"/>
      <c r="I324" s="27"/>
      <c r="J324" s="29"/>
      <c r="K324" s="129"/>
      <c r="L324" s="31"/>
      <c r="M324" s="31"/>
      <c r="N324" s="31"/>
    </row>
    <row r="325">
      <c r="A325" s="17"/>
      <c r="B325" s="20"/>
      <c r="C325" s="21"/>
      <c r="D325" s="21"/>
      <c r="E325" s="23"/>
      <c r="F325" s="24"/>
      <c r="G325" s="27"/>
      <c r="H325" s="23"/>
      <c r="I325" s="27"/>
      <c r="J325" s="29"/>
      <c r="K325" s="129"/>
      <c r="L325" s="31"/>
      <c r="M325" s="31"/>
      <c r="N325" s="31"/>
    </row>
    <row r="326">
      <c r="A326" s="17"/>
      <c r="B326" s="20"/>
      <c r="C326" s="21"/>
      <c r="D326" s="21"/>
      <c r="E326" s="23"/>
      <c r="F326" s="24"/>
      <c r="G326" s="27"/>
      <c r="H326" s="23"/>
      <c r="I326" s="27"/>
      <c r="J326" s="29"/>
      <c r="K326" s="129"/>
      <c r="L326" s="31"/>
      <c r="M326" s="31"/>
      <c r="N326" s="31"/>
    </row>
    <row r="327">
      <c r="A327" s="17"/>
      <c r="B327" s="20"/>
      <c r="C327" s="21"/>
      <c r="D327" s="21"/>
      <c r="E327" s="23"/>
      <c r="F327" s="24"/>
      <c r="G327" s="27"/>
      <c r="H327" s="23"/>
      <c r="I327" s="27"/>
      <c r="J327" s="29"/>
      <c r="K327" s="129"/>
      <c r="L327" s="31"/>
      <c r="M327" s="31"/>
      <c r="N327" s="31"/>
    </row>
    <row r="328">
      <c r="A328" s="17"/>
      <c r="B328" s="20"/>
      <c r="C328" s="21"/>
      <c r="D328" s="21"/>
      <c r="E328" s="23"/>
      <c r="F328" s="24"/>
      <c r="G328" s="27"/>
      <c r="H328" s="23"/>
      <c r="I328" s="27"/>
      <c r="J328" s="29"/>
      <c r="K328" s="129"/>
      <c r="L328" s="31"/>
      <c r="M328" s="31"/>
      <c r="N328" s="31"/>
    </row>
    <row r="329">
      <c r="A329" s="17"/>
      <c r="B329" s="20"/>
      <c r="C329" s="21"/>
      <c r="D329" s="21"/>
      <c r="E329" s="23"/>
      <c r="F329" s="24"/>
      <c r="G329" s="27"/>
      <c r="H329" s="23"/>
      <c r="I329" s="27"/>
      <c r="J329" s="29"/>
      <c r="K329" s="129"/>
      <c r="L329" s="31"/>
      <c r="M329" s="31"/>
      <c r="N329" s="31"/>
    </row>
    <row r="330">
      <c r="A330" s="17"/>
      <c r="B330" s="20"/>
      <c r="C330" s="21"/>
      <c r="D330" s="21"/>
      <c r="E330" s="23"/>
      <c r="F330" s="24"/>
      <c r="G330" s="27"/>
      <c r="H330" s="23"/>
      <c r="I330" s="27"/>
      <c r="J330" s="29"/>
      <c r="K330" s="129"/>
      <c r="L330" s="31"/>
      <c r="M330" s="31"/>
      <c r="N330" s="31"/>
    </row>
    <row r="331">
      <c r="A331" s="17"/>
      <c r="B331" s="20"/>
      <c r="C331" s="21"/>
      <c r="D331" s="21"/>
      <c r="E331" s="23"/>
      <c r="F331" s="24"/>
      <c r="G331" s="27"/>
      <c r="H331" s="23"/>
      <c r="I331" s="27"/>
      <c r="J331" s="29"/>
      <c r="K331" s="129"/>
      <c r="L331" s="31"/>
      <c r="M331" s="31"/>
      <c r="N331" s="31"/>
    </row>
    <row r="332">
      <c r="A332" s="17"/>
      <c r="B332" s="20"/>
      <c r="C332" s="21"/>
      <c r="D332" s="21"/>
      <c r="E332" s="23"/>
      <c r="F332" s="24"/>
      <c r="G332" s="27"/>
      <c r="H332" s="23"/>
      <c r="I332" s="27"/>
      <c r="J332" s="29"/>
      <c r="K332" s="129"/>
      <c r="L332" s="31"/>
      <c r="M332" s="31"/>
      <c r="N332" s="31"/>
    </row>
    <row r="333">
      <c r="A333" s="17"/>
      <c r="B333" s="20"/>
      <c r="C333" s="21"/>
      <c r="D333" s="21"/>
      <c r="E333" s="23"/>
      <c r="F333" s="24"/>
      <c r="G333" s="27"/>
      <c r="H333" s="23"/>
      <c r="I333" s="27"/>
      <c r="J333" s="29"/>
      <c r="K333" s="129"/>
      <c r="L333" s="31"/>
      <c r="M333" s="31"/>
      <c r="N333" s="31"/>
    </row>
    <row r="334">
      <c r="A334" s="17"/>
      <c r="B334" s="20"/>
      <c r="C334" s="21"/>
      <c r="D334" s="21"/>
      <c r="E334" s="23"/>
      <c r="F334" s="24"/>
      <c r="G334" s="27"/>
      <c r="H334" s="23"/>
      <c r="I334" s="27"/>
      <c r="J334" s="29"/>
      <c r="K334" s="129"/>
      <c r="L334" s="31"/>
      <c r="M334" s="31"/>
      <c r="N334" s="31"/>
    </row>
    <row r="335">
      <c r="A335" s="17"/>
      <c r="B335" s="20"/>
      <c r="C335" s="21"/>
      <c r="D335" s="21"/>
      <c r="E335" s="23"/>
      <c r="F335" s="24"/>
      <c r="G335" s="27"/>
      <c r="H335" s="23"/>
      <c r="I335" s="27"/>
      <c r="J335" s="29"/>
      <c r="K335" s="129"/>
      <c r="L335" s="31"/>
      <c r="M335" s="31"/>
      <c r="N335" s="31"/>
    </row>
    <row r="336">
      <c r="A336" s="17"/>
      <c r="B336" s="20"/>
      <c r="C336" s="21"/>
      <c r="D336" s="21"/>
      <c r="E336" s="23"/>
      <c r="F336" s="24"/>
      <c r="G336" s="27"/>
      <c r="H336" s="23"/>
      <c r="I336" s="27"/>
      <c r="J336" s="29"/>
      <c r="K336" s="129"/>
      <c r="L336" s="31"/>
      <c r="M336" s="31"/>
      <c r="N336" s="31"/>
    </row>
    <row r="337">
      <c r="A337" s="17"/>
      <c r="B337" s="20"/>
      <c r="C337" s="21"/>
      <c r="D337" s="21"/>
      <c r="E337" s="23"/>
      <c r="F337" s="24"/>
      <c r="G337" s="27"/>
      <c r="H337" s="23"/>
      <c r="I337" s="27"/>
      <c r="J337" s="29"/>
      <c r="K337" s="129"/>
      <c r="L337" s="31"/>
      <c r="M337" s="31"/>
      <c r="N337" s="31"/>
    </row>
    <row r="338">
      <c r="A338" s="17"/>
      <c r="B338" s="20"/>
      <c r="C338" s="21"/>
      <c r="D338" s="21"/>
      <c r="E338" s="23"/>
      <c r="F338" s="24"/>
      <c r="G338" s="27"/>
      <c r="H338" s="23"/>
      <c r="I338" s="27"/>
      <c r="J338" s="29"/>
      <c r="K338" s="129"/>
      <c r="L338" s="31"/>
      <c r="M338" s="31"/>
      <c r="N338" s="31"/>
    </row>
    <row r="339">
      <c r="A339" s="17"/>
      <c r="B339" s="20"/>
      <c r="C339" s="21"/>
      <c r="D339" s="21"/>
      <c r="E339" s="23"/>
      <c r="F339" s="24"/>
      <c r="G339" s="27"/>
      <c r="H339" s="23"/>
      <c r="I339" s="27"/>
      <c r="J339" s="29"/>
      <c r="K339" s="129"/>
      <c r="L339" s="31"/>
      <c r="M339" s="31"/>
      <c r="N339" s="31"/>
    </row>
    <row r="340">
      <c r="A340" s="17"/>
      <c r="B340" s="20"/>
      <c r="C340" s="21"/>
      <c r="D340" s="21"/>
      <c r="E340" s="23"/>
      <c r="F340" s="24"/>
      <c r="G340" s="27"/>
      <c r="H340" s="23"/>
      <c r="I340" s="27"/>
      <c r="J340" s="29"/>
      <c r="K340" s="129"/>
      <c r="L340" s="31"/>
      <c r="M340" s="31"/>
      <c r="N340" s="31"/>
    </row>
    <row r="341">
      <c r="A341" s="17"/>
      <c r="B341" s="20"/>
      <c r="C341" s="21"/>
      <c r="D341" s="21"/>
      <c r="E341" s="23"/>
      <c r="F341" s="24"/>
      <c r="G341" s="27"/>
      <c r="H341" s="23"/>
      <c r="I341" s="27"/>
      <c r="J341" s="29"/>
      <c r="K341" s="129"/>
      <c r="L341" s="31"/>
      <c r="M341" s="31"/>
      <c r="N341" s="31"/>
    </row>
    <row r="342">
      <c r="A342" s="17"/>
      <c r="B342" s="20"/>
      <c r="C342" s="21"/>
      <c r="D342" s="21"/>
      <c r="E342" s="23"/>
      <c r="F342" s="24"/>
      <c r="G342" s="27"/>
      <c r="H342" s="23"/>
      <c r="I342" s="27"/>
      <c r="J342" s="29"/>
      <c r="K342" s="129"/>
      <c r="L342" s="31"/>
      <c r="M342" s="31"/>
      <c r="N342" s="31"/>
    </row>
    <row r="343">
      <c r="A343" s="17"/>
      <c r="B343" s="20"/>
      <c r="C343" s="21"/>
      <c r="D343" s="21"/>
      <c r="E343" s="23"/>
      <c r="F343" s="24"/>
      <c r="G343" s="27"/>
      <c r="H343" s="23"/>
      <c r="I343" s="27"/>
      <c r="J343" s="29"/>
      <c r="K343" s="129"/>
      <c r="L343" s="31"/>
      <c r="M343" s="31"/>
      <c r="N343" s="31"/>
    </row>
    <row r="344">
      <c r="A344" s="17"/>
      <c r="B344" s="20"/>
      <c r="C344" s="21"/>
      <c r="D344" s="21"/>
      <c r="E344" s="23"/>
      <c r="F344" s="24"/>
      <c r="G344" s="27"/>
      <c r="H344" s="23"/>
      <c r="I344" s="27"/>
      <c r="J344" s="29"/>
      <c r="K344" s="129"/>
      <c r="L344" s="31"/>
      <c r="M344" s="31"/>
      <c r="N344" s="31"/>
    </row>
    <row r="345">
      <c r="A345" s="17"/>
      <c r="B345" s="20"/>
      <c r="C345" s="21"/>
      <c r="D345" s="21"/>
      <c r="E345" s="23"/>
      <c r="F345" s="24"/>
      <c r="G345" s="27"/>
      <c r="H345" s="23"/>
      <c r="I345" s="27"/>
      <c r="J345" s="29"/>
      <c r="K345" s="129"/>
      <c r="L345" s="31"/>
      <c r="M345" s="31"/>
      <c r="N345" s="31"/>
    </row>
    <row r="346">
      <c r="A346" s="17"/>
      <c r="B346" s="20"/>
      <c r="C346" s="21"/>
      <c r="D346" s="21"/>
      <c r="E346" s="23"/>
      <c r="F346" s="24"/>
      <c r="G346" s="27"/>
      <c r="H346" s="23"/>
      <c r="I346" s="27"/>
      <c r="J346" s="29"/>
      <c r="K346" s="129"/>
      <c r="L346" s="31"/>
      <c r="M346" s="31"/>
      <c r="N346" s="31"/>
    </row>
    <row r="347">
      <c r="A347" s="17"/>
      <c r="B347" s="20"/>
      <c r="C347" s="21"/>
      <c r="D347" s="21"/>
      <c r="E347" s="23"/>
      <c r="F347" s="24"/>
      <c r="G347" s="27"/>
      <c r="H347" s="23"/>
      <c r="I347" s="27"/>
      <c r="J347" s="29"/>
      <c r="K347" s="129"/>
      <c r="L347" s="31"/>
      <c r="M347" s="31"/>
      <c r="N347" s="31"/>
    </row>
    <row r="348">
      <c r="A348" s="17"/>
      <c r="B348" s="20"/>
      <c r="C348" s="21"/>
      <c r="D348" s="21"/>
      <c r="E348" s="23"/>
      <c r="F348" s="24"/>
      <c r="G348" s="27"/>
      <c r="H348" s="23"/>
      <c r="I348" s="27"/>
      <c r="J348" s="29"/>
      <c r="K348" s="129"/>
      <c r="L348" s="31"/>
      <c r="M348" s="31"/>
      <c r="N348" s="31"/>
    </row>
    <row r="349">
      <c r="A349" s="17"/>
      <c r="B349" s="20"/>
      <c r="C349" s="21"/>
      <c r="D349" s="21"/>
      <c r="E349" s="23"/>
      <c r="F349" s="24"/>
      <c r="G349" s="27"/>
      <c r="H349" s="23"/>
      <c r="I349" s="27"/>
      <c r="J349" s="29"/>
      <c r="K349" s="129"/>
      <c r="L349" s="31"/>
      <c r="M349" s="31"/>
      <c r="N349" s="31"/>
    </row>
    <row r="350">
      <c r="A350" s="17"/>
      <c r="B350" s="20"/>
      <c r="C350" s="21"/>
      <c r="D350" s="21"/>
      <c r="E350" s="23"/>
      <c r="F350" s="24"/>
      <c r="G350" s="27"/>
      <c r="H350" s="23"/>
      <c r="I350" s="27"/>
      <c r="J350" s="29"/>
      <c r="K350" s="129"/>
      <c r="L350" s="31"/>
      <c r="M350" s="31"/>
      <c r="N350" s="31"/>
    </row>
    <row r="351">
      <c r="A351" s="17"/>
      <c r="B351" s="20"/>
      <c r="C351" s="21"/>
      <c r="D351" s="21"/>
      <c r="E351" s="23"/>
      <c r="F351" s="24"/>
      <c r="G351" s="27"/>
      <c r="H351" s="23"/>
      <c r="I351" s="27"/>
      <c r="J351" s="29"/>
      <c r="K351" s="129"/>
      <c r="L351" s="31"/>
      <c r="M351" s="31"/>
      <c r="N351" s="31"/>
    </row>
    <row r="352">
      <c r="A352" s="17"/>
      <c r="B352" s="20"/>
      <c r="C352" s="21"/>
      <c r="D352" s="21"/>
      <c r="E352" s="23"/>
      <c r="F352" s="24"/>
      <c r="G352" s="27"/>
      <c r="H352" s="23"/>
      <c r="I352" s="27"/>
      <c r="J352" s="29"/>
      <c r="K352" s="129"/>
      <c r="L352" s="31"/>
      <c r="M352" s="31"/>
      <c r="N352" s="31"/>
    </row>
    <row r="353">
      <c r="A353" s="17"/>
      <c r="B353" s="20"/>
      <c r="C353" s="21"/>
      <c r="D353" s="21"/>
      <c r="E353" s="23"/>
      <c r="F353" s="24"/>
      <c r="G353" s="27"/>
      <c r="H353" s="23"/>
      <c r="I353" s="27"/>
      <c r="J353" s="29"/>
      <c r="K353" s="129"/>
      <c r="L353" s="31"/>
      <c r="M353" s="31"/>
      <c r="N353" s="31"/>
    </row>
    <row r="354">
      <c r="A354" s="17"/>
      <c r="B354" s="20"/>
      <c r="C354" s="21"/>
      <c r="D354" s="21"/>
      <c r="E354" s="23"/>
      <c r="F354" s="24"/>
      <c r="G354" s="27"/>
      <c r="H354" s="23"/>
      <c r="I354" s="27"/>
      <c r="J354" s="29"/>
      <c r="K354" s="129"/>
      <c r="L354" s="31"/>
      <c r="M354" s="31"/>
      <c r="N354" s="31"/>
    </row>
    <row r="355">
      <c r="A355" s="17"/>
      <c r="B355" s="20"/>
      <c r="C355" s="21"/>
      <c r="D355" s="21"/>
      <c r="E355" s="23"/>
      <c r="F355" s="24"/>
      <c r="G355" s="27"/>
      <c r="H355" s="23"/>
      <c r="I355" s="27"/>
      <c r="J355" s="29"/>
      <c r="K355" s="129"/>
      <c r="L355" s="31"/>
      <c r="M355" s="31"/>
      <c r="N355" s="31"/>
    </row>
    <row r="356">
      <c r="A356" s="17"/>
      <c r="B356" s="20"/>
      <c r="C356" s="21"/>
      <c r="D356" s="21"/>
      <c r="E356" s="23"/>
      <c r="F356" s="24"/>
      <c r="G356" s="27"/>
      <c r="H356" s="23"/>
      <c r="I356" s="27"/>
      <c r="J356" s="29"/>
      <c r="K356" s="129"/>
      <c r="L356" s="31"/>
      <c r="M356" s="31"/>
      <c r="N356" s="31"/>
    </row>
    <row r="357">
      <c r="A357" s="17"/>
      <c r="B357" s="20"/>
      <c r="C357" s="21"/>
      <c r="D357" s="21"/>
      <c r="E357" s="23"/>
      <c r="F357" s="24"/>
      <c r="G357" s="27"/>
      <c r="H357" s="23"/>
      <c r="I357" s="27"/>
      <c r="J357" s="29"/>
      <c r="K357" s="129"/>
      <c r="L357" s="31"/>
      <c r="M357" s="31"/>
      <c r="N357" s="31"/>
    </row>
    <row r="358">
      <c r="A358" s="17"/>
      <c r="B358" s="20"/>
      <c r="C358" s="21"/>
      <c r="D358" s="21"/>
      <c r="E358" s="23"/>
      <c r="F358" s="24"/>
      <c r="G358" s="27"/>
      <c r="H358" s="23"/>
      <c r="I358" s="27"/>
      <c r="J358" s="29"/>
      <c r="K358" s="129"/>
      <c r="L358" s="31"/>
      <c r="M358" s="31"/>
      <c r="N358" s="31"/>
    </row>
    <row r="359">
      <c r="A359" s="17"/>
      <c r="B359" s="20"/>
      <c r="C359" s="21"/>
      <c r="D359" s="21"/>
      <c r="E359" s="23"/>
      <c r="F359" s="24"/>
      <c r="G359" s="27"/>
      <c r="H359" s="23"/>
      <c r="I359" s="27"/>
      <c r="J359" s="29"/>
      <c r="K359" s="129"/>
      <c r="L359" s="31"/>
      <c r="M359" s="31"/>
      <c r="N359" s="31"/>
    </row>
    <row r="360">
      <c r="A360" s="17"/>
      <c r="B360" s="20"/>
      <c r="C360" s="21"/>
      <c r="D360" s="21"/>
      <c r="E360" s="23"/>
      <c r="F360" s="24"/>
      <c r="G360" s="27"/>
      <c r="H360" s="23"/>
      <c r="I360" s="27"/>
      <c r="J360" s="29"/>
      <c r="K360" s="129"/>
      <c r="L360" s="31"/>
      <c r="M360" s="31"/>
      <c r="N360" s="31"/>
    </row>
    <row r="361">
      <c r="A361" s="17"/>
      <c r="B361" s="20"/>
      <c r="C361" s="21"/>
      <c r="D361" s="21"/>
      <c r="E361" s="23"/>
      <c r="F361" s="24"/>
      <c r="G361" s="27"/>
      <c r="H361" s="23"/>
      <c r="I361" s="27"/>
      <c r="J361" s="29"/>
      <c r="K361" s="129"/>
      <c r="L361" s="31"/>
      <c r="M361" s="31"/>
      <c r="N361" s="31"/>
    </row>
    <row r="362">
      <c r="A362" s="17"/>
      <c r="B362" s="20"/>
      <c r="C362" s="21"/>
      <c r="D362" s="21"/>
      <c r="E362" s="23"/>
      <c r="F362" s="24"/>
      <c r="G362" s="27"/>
      <c r="H362" s="23"/>
      <c r="I362" s="27"/>
      <c r="J362" s="29"/>
      <c r="K362" s="129"/>
      <c r="L362" s="31"/>
      <c r="M362" s="31"/>
      <c r="N362" s="31"/>
    </row>
    <row r="363">
      <c r="A363" s="17"/>
      <c r="B363" s="20"/>
      <c r="C363" s="21"/>
      <c r="D363" s="21"/>
      <c r="E363" s="23"/>
      <c r="F363" s="24"/>
      <c r="G363" s="27"/>
      <c r="H363" s="23"/>
      <c r="I363" s="27"/>
      <c r="J363" s="29"/>
      <c r="K363" s="129"/>
      <c r="L363" s="31"/>
      <c r="M363" s="31"/>
      <c r="N363" s="31"/>
    </row>
    <row r="364">
      <c r="A364" s="17"/>
      <c r="B364" s="20"/>
      <c r="C364" s="21"/>
      <c r="D364" s="21"/>
      <c r="E364" s="23"/>
      <c r="F364" s="24"/>
      <c r="G364" s="27"/>
      <c r="H364" s="23"/>
      <c r="I364" s="27"/>
      <c r="J364" s="29"/>
      <c r="K364" s="129"/>
      <c r="L364" s="31"/>
      <c r="M364" s="31"/>
      <c r="N364" s="31"/>
    </row>
    <row r="365">
      <c r="A365" s="17"/>
      <c r="B365" s="20"/>
      <c r="C365" s="21"/>
      <c r="D365" s="21"/>
      <c r="E365" s="23"/>
      <c r="F365" s="24"/>
      <c r="G365" s="27"/>
      <c r="H365" s="23"/>
      <c r="I365" s="27"/>
      <c r="J365" s="29"/>
      <c r="K365" s="129"/>
      <c r="L365" s="31"/>
      <c r="M365" s="31"/>
      <c r="N365" s="31"/>
    </row>
    <row r="366">
      <c r="A366" s="17"/>
      <c r="B366" s="20"/>
      <c r="C366" s="21"/>
      <c r="D366" s="21"/>
      <c r="E366" s="23"/>
      <c r="F366" s="24"/>
      <c r="G366" s="27"/>
      <c r="H366" s="23"/>
      <c r="I366" s="27"/>
      <c r="J366" s="29"/>
      <c r="K366" s="129"/>
      <c r="L366" s="31"/>
      <c r="M366" s="31"/>
      <c r="N366" s="31"/>
    </row>
    <row r="367">
      <c r="A367" s="17"/>
      <c r="B367" s="20"/>
      <c r="C367" s="21"/>
      <c r="D367" s="21"/>
      <c r="E367" s="23"/>
      <c r="F367" s="24"/>
      <c r="G367" s="27"/>
      <c r="H367" s="23"/>
      <c r="I367" s="27"/>
      <c r="J367" s="29"/>
      <c r="K367" s="129"/>
      <c r="L367" s="31"/>
      <c r="M367" s="31"/>
      <c r="N367" s="31"/>
    </row>
    <row r="368">
      <c r="A368" s="17"/>
      <c r="B368" s="20"/>
      <c r="C368" s="21"/>
      <c r="D368" s="21"/>
      <c r="E368" s="23"/>
      <c r="F368" s="24"/>
      <c r="G368" s="27"/>
      <c r="H368" s="23"/>
      <c r="I368" s="27"/>
      <c r="J368" s="29"/>
      <c r="K368" s="129"/>
      <c r="L368" s="31"/>
      <c r="M368" s="31"/>
      <c r="N368" s="31"/>
    </row>
    <row r="369">
      <c r="A369" s="17"/>
      <c r="B369" s="20"/>
      <c r="C369" s="21"/>
      <c r="D369" s="21"/>
      <c r="E369" s="23"/>
      <c r="F369" s="24"/>
      <c r="G369" s="27"/>
      <c r="H369" s="23"/>
      <c r="I369" s="27"/>
      <c r="J369" s="29"/>
      <c r="K369" s="129"/>
      <c r="L369" s="31"/>
      <c r="M369" s="31"/>
      <c r="N369" s="31"/>
    </row>
    <row r="370">
      <c r="A370" s="17"/>
      <c r="B370" s="20"/>
      <c r="C370" s="21"/>
      <c r="D370" s="21"/>
      <c r="E370" s="23"/>
      <c r="F370" s="24"/>
      <c r="G370" s="27"/>
      <c r="H370" s="23"/>
      <c r="I370" s="27"/>
      <c r="J370" s="29"/>
      <c r="K370" s="129"/>
      <c r="L370" s="31"/>
      <c r="M370" s="31"/>
      <c r="N370" s="31"/>
    </row>
    <row r="371">
      <c r="A371" s="17"/>
      <c r="B371" s="20"/>
      <c r="C371" s="21"/>
      <c r="D371" s="21"/>
      <c r="E371" s="23"/>
      <c r="F371" s="24"/>
      <c r="G371" s="27"/>
      <c r="H371" s="23"/>
      <c r="I371" s="27"/>
      <c r="J371" s="29"/>
      <c r="K371" s="129"/>
      <c r="L371" s="31"/>
      <c r="M371" s="31"/>
      <c r="N371" s="31"/>
    </row>
    <row r="372">
      <c r="A372" s="17"/>
      <c r="B372" s="20"/>
      <c r="C372" s="21"/>
      <c r="D372" s="21"/>
      <c r="E372" s="23"/>
      <c r="F372" s="24"/>
      <c r="G372" s="27"/>
      <c r="H372" s="23"/>
      <c r="I372" s="27"/>
      <c r="J372" s="29"/>
      <c r="K372" s="129"/>
      <c r="L372" s="31"/>
      <c r="M372" s="31"/>
      <c r="N372" s="31"/>
    </row>
    <row r="373">
      <c r="A373" s="17"/>
      <c r="B373" s="20"/>
      <c r="C373" s="21"/>
      <c r="D373" s="21"/>
      <c r="E373" s="23"/>
      <c r="F373" s="24"/>
      <c r="G373" s="27"/>
      <c r="H373" s="23"/>
      <c r="I373" s="27"/>
      <c r="J373" s="29"/>
      <c r="K373" s="129"/>
      <c r="L373" s="31"/>
      <c r="M373" s="31"/>
      <c r="N373" s="31"/>
    </row>
    <row r="374">
      <c r="A374" s="17"/>
      <c r="B374" s="20"/>
      <c r="C374" s="21"/>
      <c r="D374" s="21"/>
      <c r="E374" s="23"/>
      <c r="F374" s="24"/>
      <c r="G374" s="27"/>
      <c r="H374" s="23"/>
      <c r="I374" s="27"/>
      <c r="J374" s="29"/>
      <c r="K374" s="129"/>
      <c r="L374" s="31"/>
      <c r="M374" s="31"/>
      <c r="N374" s="31"/>
    </row>
    <row r="375">
      <c r="A375" s="17"/>
      <c r="B375" s="20"/>
      <c r="C375" s="21"/>
      <c r="D375" s="21"/>
      <c r="E375" s="23"/>
      <c r="F375" s="24"/>
      <c r="G375" s="27"/>
      <c r="H375" s="23"/>
      <c r="I375" s="27"/>
      <c r="J375" s="29"/>
      <c r="K375" s="129"/>
      <c r="L375" s="31"/>
      <c r="M375" s="31"/>
      <c r="N375" s="31"/>
    </row>
    <row r="376">
      <c r="A376" s="17"/>
      <c r="B376" s="20"/>
      <c r="C376" s="21"/>
      <c r="D376" s="21"/>
      <c r="E376" s="23"/>
      <c r="F376" s="24"/>
      <c r="G376" s="27"/>
      <c r="H376" s="23"/>
      <c r="I376" s="27"/>
      <c r="J376" s="29"/>
      <c r="K376" s="129"/>
      <c r="L376" s="31"/>
      <c r="M376" s="31"/>
      <c r="N376" s="31"/>
    </row>
    <row r="377">
      <c r="A377" s="17"/>
      <c r="B377" s="20"/>
      <c r="C377" s="21"/>
      <c r="D377" s="21"/>
      <c r="E377" s="23"/>
      <c r="F377" s="24"/>
      <c r="G377" s="27"/>
      <c r="H377" s="23"/>
      <c r="I377" s="27"/>
      <c r="J377" s="29"/>
      <c r="K377" s="129"/>
      <c r="L377" s="31"/>
      <c r="M377" s="31"/>
      <c r="N377" s="31"/>
    </row>
    <row r="378">
      <c r="A378" s="17"/>
      <c r="B378" s="20"/>
      <c r="C378" s="21"/>
      <c r="D378" s="21"/>
      <c r="E378" s="23"/>
      <c r="F378" s="24"/>
      <c r="G378" s="27"/>
      <c r="H378" s="23"/>
      <c r="I378" s="27"/>
      <c r="J378" s="29"/>
      <c r="K378" s="129"/>
      <c r="L378" s="31"/>
      <c r="M378" s="31"/>
      <c r="N378" s="31"/>
    </row>
    <row r="379">
      <c r="A379" s="17"/>
      <c r="B379" s="20"/>
      <c r="C379" s="21"/>
      <c r="D379" s="21"/>
      <c r="E379" s="23"/>
      <c r="F379" s="24"/>
      <c r="G379" s="27"/>
      <c r="H379" s="23"/>
      <c r="I379" s="27"/>
      <c r="J379" s="29"/>
      <c r="K379" s="129"/>
      <c r="L379" s="31"/>
      <c r="M379" s="31"/>
      <c r="N379" s="31"/>
    </row>
    <row r="380">
      <c r="A380" s="17"/>
      <c r="B380" s="20"/>
      <c r="C380" s="21"/>
      <c r="D380" s="21"/>
      <c r="E380" s="23"/>
      <c r="F380" s="24"/>
      <c r="G380" s="27"/>
      <c r="H380" s="23"/>
      <c r="I380" s="27"/>
      <c r="J380" s="29"/>
      <c r="K380" s="129"/>
      <c r="L380" s="31"/>
      <c r="M380" s="31"/>
      <c r="N380" s="31"/>
    </row>
    <row r="381">
      <c r="A381" s="17"/>
      <c r="B381" s="20"/>
      <c r="C381" s="21"/>
      <c r="D381" s="21"/>
      <c r="E381" s="23"/>
      <c r="F381" s="24"/>
      <c r="G381" s="27"/>
      <c r="H381" s="23"/>
      <c r="I381" s="27"/>
      <c r="J381" s="29"/>
      <c r="K381" s="129"/>
      <c r="L381" s="31"/>
      <c r="M381" s="31"/>
      <c r="N381" s="31"/>
    </row>
    <row r="382">
      <c r="A382" s="17"/>
      <c r="B382" s="20"/>
      <c r="C382" s="21"/>
      <c r="D382" s="21"/>
      <c r="E382" s="23"/>
      <c r="F382" s="24"/>
      <c r="G382" s="27"/>
      <c r="H382" s="23"/>
      <c r="I382" s="27"/>
      <c r="J382" s="29"/>
      <c r="K382" s="129"/>
      <c r="L382" s="31"/>
      <c r="M382" s="31"/>
      <c r="N382" s="31"/>
    </row>
    <row r="383">
      <c r="A383" s="17"/>
      <c r="B383" s="20"/>
      <c r="C383" s="21"/>
      <c r="D383" s="21"/>
      <c r="E383" s="23"/>
      <c r="F383" s="24"/>
      <c r="G383" s="27"/>
      <c r="H383" s="23"/>
      <c r="I383" s="27"/>
      <c r="J383" s="29"/>
      <c r="K383" s="129"/>
      <c r="L383" s="31"/>
      <c r="M383" s="31"/>
      <c r="N383" s="31"/>
    </row>
    <row r="384">
      <c r="A384" s="17"/>
      <c r="B384" s="20"/>
      <c r="C384" s="21"/>
      <c r="D384" s="21"/>
      <c r="E384" s="23"/>
      <c r="F384" s="24"/>
      <c r="G384" s="27"/>
      <c r="H384" s="23"/>
      <c r="I384" s="27"/>
      <c r="J384" s="29"/>
      <c r="K384" s="129"/>
      <c r="L384" s="31"/>
      <c r="M384" s="31"/>
      <c r="N384" s="31"/>
    </row>
    <row r="385">
      <c r="A385" s="17"/>
      <c r="B385" s="20"/>
      <c r="C385" s="21"/>
      <c r="D385" s="21"/>
      <c r="E385" s="23"/>
      <c r="F385" s="24"/>
      <c r="G385" s="27"/>
      <c r="H385" s="23"/>
      <c r="I385" s="27"/>
      <c r="J385" s="29"/>
      <c r="K385" s="129"/>
      <c r="L385" s="31"/>
      <c r="M385" s="31"/>
      <c r="N385" s="31"/>
    </row>
    <row r="386">
      <c r="A386" s="17"/>
      <c r="B386" s="20"/>
      <c r="C386" s="21"/>
      <c r="D386" s="21"/>
      <c r="E386" s="23"/>
      <c r="F386" s="24"/>
      <c r="G386" s="27"/>
      <c r="H386" s="23"/>
      <c r="I386" s="27"/>
      <c r="J386" s="29"/>
      <c r="K386" s="129"/>
      <c r="L386" s="31"/>
      <c r="M386" s="31"/>
      <c r="N386" s="31"/>
    </row>
    <row r="387">
      <c r="A387" s="17"/>
      <c r="B387" s="20"/>
      <c r="C387" s="21"/>
      <c r="D387" s="21"/>
      <c r="E387" s="23"/>
      <c r="F387" s="24"/>
      <c r="G387" s="27"/>
      <c r="H387" s="23"/>
      <c r="I387" s="27"/>
      <c r="J387" s="29"/>
      <c r="K387" s="129"/>
      <c r="L387" s="31"/>
      <c r="M387" s="31"/>
      <c r="N387" s="31"/>
    </row>
    <row r="388">
      <c r="A388" s="17"/>
      <c r="B388" s="20"/>
      <c r="C388" s="21"/>
      <c r="D388" s="21"/>
      <c r="E388" s="23"/>
      <c r="F388" s="24"/>
      <c r="G388" s="27"/>
      <c r="H388" s="23"/>
      <c r="I388" s="27"/>
      <c r="J388" s="29"/>
      <c r="K388" s="129"/>
      <c r="L388" s="31"/>
      <c r="M388" s="31"/>
      <c r="N388" s="31"/>
    </row>
    <row r="389">
      <c r="A389" s="17"/>
      <c r="B389" s="20"/>
      <c r="C389" s="21"/>
      <c r="D389" s="21"/>
      <c r="E389" s="23"/>
      <c r="F389" s="24"/>
      <c r="G389" s="27"/>
      <c r="H389" s="23"/>
      <c r="I389" s="27"/>
      <c r="J389" s="29"/>
      <c r="K389" s="129"/>
      <c r="L389" s="31"/>
      <c r="M389" s="31"/>
      <c r="N389" s="31"/>
    </row>
    <row r="390">
      <c r="A390" s="17"/>
      <c r="B390" s="20"/>
      <c r="C390" s="21"/>
      <c r="D390" s="21"/>
      <c r="E390" s="23"/>
      <c r="F390" s="24"/>
      <c r="G390" s="27"/>
      <c r="H390" s="23"/>
      <c r="I390" s="27"/>
      <c r="J390" s="29"/>
      <c r="K390" s="129"/>
      <c r="L390" s="31"/>
      <c r="M390" s="31"/>
      <c r="N390" s="31"/>
    </row>
    <row r="391">
      <c r="A391" s="17"/>
      <c r="B391" s="20"/>
      <c r="C391" s="21"/>
      <c r="D391" s="21"/>
      <c r="E391" s="23"/>
      <c r="F391" s="24"/>
      <c r="G391" s="27"/>
      <c r="H391" s="23"/>
      <c r="I391" s="27"/>
      <c r="J391" s="29"/>
      <c r="K391" s="129"/>
      <c r="L391" s="31"/>
      <c r="M391" s="31"/>
      <c r="N391" s="31"/>
    </row>
    <row r="392">
      <c r="A392" s="17"/>
      <c r="B392" s="20"/>
      <c r="C392" s="21"/>
      <c r="D392" s="21"/>
      <c r="E392" s="23"/>
      <c r="F392" s="24"/>
      <c r="G392" s="27"/>
      <c r="H392" s="23"/>
      <c r="I392" s="27"/>
      <c r="J392" s="29"/>
      <c r="K392" s="129"/>
      <c r="L392" s="31"/>
      <c r="M392" s="31"/>
      <c r="N392" s="31"/>
    </row>
    <row r="393">
      <c r="A393" s="17"/>
      <c r="B393" s="20"/>
      <c r="C393" s="21"/>
      <c r="D393" s="21"/>
      <c r="E393" s="23"/>
      <c r="F393" s="24"/>
      <c r="G393" s="27"/>
      <c r="H393" s="23"/>
      <c r="I393" s="27"/>
      <c r="J393" s="29"/>
      <c r="K393" s="129"/>
      <c r="L393" s="31"/>
      <c r="M393" s="31"/>
      <c r="N393" s="31"/>
    </row>
    <row r="394">
      <c r="A394" s="17"/>
      <c r="B394" s="20"/>
      <c r="C394" s="21"/>
      <c r="D394" s="21"/>
      <c r="E394" s="23"/>
      <c r="F394" s="24"/>
      <c r="G394" s="27"/>
      <c r="H394" s="23"/>
      <c r="I394" s="27"/>
      <c r="J394" s="29"/>
      <c r="K394" s="129"/>
      <c r="L394" s="31"/>
      <c r="M394" s="31"/>
      <c r="N394" s="31"/>
    </row>
    <row r="395">
      <c r="A395" s="17"/>
      <c r="B395" s="20"/>
      <c r="C395" s="21"/>
      <c r="D395" s="21"/>
      <c r="E395" s="23"/>
      <c r="F395" s="24"/>
      <c r="G395" s="27"/>
      <c r="H395" s="23"/>
      <c r="I395" s="27"/>
      <c r="J395" s="29"/>
      <c r="K395" s="129"/>
      <c r="L395" s="31"/>
      <c r="M395" s="31"/>
      <c r="N395" s="31"/>
    </row>
    <row r="396">
      <c r="A396" s="17"/>
      <c r="B396" s="20"/>
      <c r="C396" s="21"/>
      <c r="D396" s="21"/>
      <c r="E396" s="23"/>
      <c r="F396" s="24"/>
      <c r="G396" s="27"/>
      <c r="H396" s="23"/>
      <c r="I396" s="27"/>
      <c r="J396" s="29"/>
      <c r="K396" s="129"/>
      <c r="L396" s="31"/>
      <c r="M396" s="31"/>
      <c r="N396" s="31"/>
    </row>
    <row r="397">
      <c r="A397" s="17"/>
      <c r="B397" s="20"/>
      <c r="C397" s="21"/>
      <c r="D397" s="21"/>
      <c r="E397" s="23"/>
      <c r="F397" s="24"/>
      <c r="G397" s="27"/>
      <c r="H397" s="23"/>
      <c r="I397" s="27"/>
      <c r="J397" s="29"/>
      <c r="K397" s="129"/>
      <c r="L397" s="31"/>
      <c r="M397" s="31"/>
      <c r="N397" s="31"/>
    </row>
    <row r="398">
      <c r="A398" s="17"/>
      <c r="B398" s="20"/>
      <c r="C398" s="21"/>
      <c r="D398" s="21"/>
      <c r="E398" s="23"/>
      <c r="F398" s="24"/>
      <c r="G398" s="27"/>
      <c r="H398" s="23"/>
      <c r="I398" s="27"/>
      <c r="J398" s="29"/>
      <c r="K398" s="129"/>
      <c r="L398" s="31"/>
      <c r="M398" s="31"/>
      <c r="N398" s="31"/>
    </row>
    <row r="399">
      <c r="A399" s="17"/>
      <c r="B399" s="20"/>
      <c r="C399" s="21"/>
      <c r="D399" s="21"/>
      <c r="E399" s="23"/>
      <c r="F399" s="24"/>
      <c r="G399" s="27"/>
      <c r="H399" s="23"/>
      <c r="I399" s="27"/>
      <c r="J399" s="29"/>
      <c r="K399" s="129"/>
      <c r="L399" s="31"/>
      <c r="M399" s="31"/>
      <c r="N399" s="31"/>
    </row>
    <row r="400">
      <c r="A400" s="17"/>
      <c r="B400" s="20"/>
      <c r="C400" s="21"/>
      <c r="D400" s="21"/>
      <c r="E400" s="23"/>
      <c r="F400" s="24"/>
      <c r="G400" s="27"/>
      <c r="H400" s="23"/>
      <c r="I400" s="27"/>
      <c r="J400" s="29"/>
      <c r="K400" s="129"/>
      <c r="L400" s="31"/>
      <c r="M400" s="31"/>
      <c r="N400" s="31"/>
    </row>
    <row r="401">
      <c r="A401" s="17"/>
      <c r="B401" s="20"/>
      <c r="C401" s="21"/>
      <c r="D401" s="21"/>
      <c r="E401" s="23"/>
      <c r="F401" s="24"/>
      <c r="G401" s="27"/>
      <c r="H401" s="23"/>
      <c r="I401" s="27"/>
      <c r="J401" s="29"/>
      <c r="K401" s="129"/>
      <c r="L401" s="31"/>
      <c r="M401" s="31"/>
      <c r="N401" s="31"/>
    </row>
    <row r="402">
      <c r="A402" s="17"/>
      <c r="B402" s="20"/>
      <c r="C402" s="21"/>
      <c r="D402" s="21"/>
      <c r="E402" s="23"/>
      <c r="F402" s="24"/>
      <c r="G402" s="27"/>
      <c r="H402" s="23"/>
      <c r="I402" s="27"/>
      <c r="J402" s="29"/>
      <c r="K402" s="129"/>
      <c r="L402" s="31"/>
      <c r="M402" s="31"/>
      <c r="N402" s="31"/>
    </row>
    <row r="403">
      <c r="A403" s="17"/>
      <c r="B403" s="20"/>
      <c r="C403" s="21"/>
      <c r="D403" s="21"/>
      <c r="E403" s="23"/>
      <c r="F403" s="24"/>
      <c r="G403" s="27"/>
      <c r="H403" s="23"/>
      <c r="I403" s="27"/>
      <c r="J403" s="29"/>
      <c r="K403" s="129"/>
      <c r="L403" s="31"/>
      <c r="M403" s="31"/>
      <c r="N403" s="31"/>
    </row>
    <row r="404">
      <c r="A404" s="17"/>
      <c r="B404" s="20"/>
      <c r="C404" s="21"/>
      <c r="D404" s="21"/>
      <c r="E404" s="23"/>
      <c r="F404" s="24"/>
      <c r="G404" s="27"/>
      <c r="H404" s="23"/>
      <c r="I404" s="27"/>
      <c r="J404" s="29"/>
      <c r="K404" s="129"/>
      <c r="L404" s="31"/>
      <c r="M404" s="31"/>
      <c r="N404" s="31"/>
    </row>
    <row r="405">
      <c r="A405" s="17"/>
      <c r="B405" s="20"/>
      <c r="C405" s="21"/>
      <c r="D405" s="21"/>
      <c r="E405" s="23"/>
      <c r="F405" s="24"/>
      <c r="G405" s="27"/>
      <c r="H405" s="23"/>
      <c r="I405" s="27"/>
      <c r="J405" s="29"/>
      <c r="K405" s="129"/>
      <c r="L405" s="31"/>
      <c r="M405" s="31"/>
      <c r="N405" s="31"/>
    </row>
    <row r="406">
      <c r="A406" s="17"/>
      <c r="B406" s="20"/>
      <c r="C406" s="21"/>
      <c r="D406" s="21"/>
      <c r="E406" s="23"/>
      <c r="F406" s="24"/>
      <c r="G406" s="27"/>
      <c r="H406" s="23"/>
      <c r="I406" s="27"/>
      <c r="J406" s="29"/>
      <c r="K406" s="129"/>
      <c r="L406" s="31"/>
      <c r="M406" s="31"/>
      <c r="N406" s="31"/>
    </row>
    <row r="407">
      <c r="A407" s="17"/>
      <c r="B407" s="20"/>
      <c r="C407" s="21"/>
      <c r="D407" s="21"/>
      <c r="E407" s="23"/>
      <c r="F407" s="24"/>
      <c r="G407" s="27"/>
      <c r="H407" s="23"/>
      <c r="I407" s="27"/>
      <c r="J407" s="29"/>
      <c r="K407" s="129"/>
      <c r="L407" s="31"/>
      <c r="M407" s="31"/>
      <c r="N407" s="31"/>
    </row>
    <row r="408">
      <c r="A408" s="17"/>
      <c r="B408" s="20"/>
      <c r="C408" s="21"/>
      <c r="D408" s="21"/>
      <c r="E408" s="23"/>
      <c r="F408" s="24"/>
      <c r="G408" s="27"/>
      <c r="H408" s="23"/>
      <c r="I408" s="27"/>
      <c r="J408" s="29"/>
      <c r="K408" s="129"/>
      <c r="L408" s="31"/>
      <c r="M408" s="31"/>
      <c r="N408" s="31"/>
    </row>
    <row r="409">
      <c r="A409" s="17"/>
      <c r="B409" s="20"/>
      <c r="C409" s="21"/>
      <c r="D409" s="21"/>
      <c r="E409" s="23"/>
      <c r="F409" s="24"/>
      <c r="G409" s="27"/>
      <c r="H409" s="23"/>
      <c r="I409" s="27"/>
      <c r="J409" s="29"/>
      <c r="K409" s="129"/>
      <c r="L409" s="31"/>
      <c r="M409" s="31"/>
      <c r="N409" s="31"/>
    </row>
    <row r="410">
      <c r="A410" s="17"/>
      <c r="B410" s="20"/>
      <c r="C410" s="21"/>
      <c r="D410" s="21"/>
      <c r="E410" s="23"/>
      <c r="F410" s="24"/>
      <c r="G410" s="27"/>
      <c r="H410" s="23"/>
      <c r="I410" s="27"/>
      <c r="J410" s="29"/>
      <c r="K410" s="129"/>
      <c r="L410" s="31"/>
      <c r="M410" s="31"/>
      <c r="N410" s="31"/>
    </row>
    <row r="411">
      <c r="A411" s="17"/>
      <c r="B411" s="20"/>
      <c r="C411" s="21"/>
      <c r="D411" s="21"/>
      <c r="E411" s="23"/>
      <c r="F411" s="24"/>
      <c r="G411" s="27"/>
      <c r="H411" s="23"/>
      <c r="I411" s="27"/>
      <c r="J411" s="29"/>
      <c r="K411" s="129"/>
      <c r="L411" s="31"/>
      <c r="M411" s="31"/>
      <c r="N411" s="31"/>
    </row>
    <row r="412">
      <c r="A412" s="17"/>
      <c r="B412" s="20"/>
      <c r="C412" s="21"/>
      <c r="D412" s="21"/>
      <c r="E412" s="23"/>
      <c r="F412" s="24"/>
      <c r="G412" s="27"/>
      <c r="H412" s="23"/>
      <c r="I412" s="27"/>
      <c r="J412" s="29"/>
      <c r="K412" s="129"/>
      <c r="L412" s="31"/>
      <c r="M412" s="31"/>
      <c r="N412" s="31"/>
    </row>
    <row r="413">
      <c r="A413" s="17"/>
      <c r="B413" s="20"/>
      <c r="C413" s="21"/>
      <c r="D413" s="21"/>
      <c r="E413" s="23"/>
      <c r="F413" s="24"/>
      <c r="G413" s="27"/>
      <c r="H413" s="23"/>
      <c r="I413" s="27"/>
      <c r="J413" s="29"/>
      <c r="K413" s="129"/>
      <c r="L413" s="31"/>
      <c r="M413" s="31"/>
      <c r="N413" s="31"/>
    </row>
    <row r="414">
      <c r="A414" s="17"/>
      <c r="B414" s="20"/>
      <c r="C414" s="21"/>
      <c r="D414" s="21"/>
      <c r="E414" s="23"/>
      <c r="F414" s="24"/>
      <c r="G414" s="27"/>
      <c r="H414" s="23"/>
      <c r="I414" s="27"/>
      <c r="J414" s="29"/>
      <c r="K414" s="129"/>
      <c r="L414" s="31"/>
      <c r="M414" s="31"/>
      <c r="N414" s="31"/>
    </row>
    <row r="415">
      <c r="A415" s="17"/>
      <c r="B415" s="20"/>
      <c r="C415" s="21"/>
      <c r="D415" s="21"/>
      <c r="E415" s="23"/>
      <c r="F415" s="24"/>
      <c r="G415" s="27"/>
      <c r="H415" s="23"/>
      <c r="I415" s="27"/>
      <c r="J415" s="29"/>
      <c r="K415" s="129"/>
      <c r="L415" s="31"/>
      <c r="M415" s="31"/>
      <c r="N415" s="31"/>
    </row>
    <row r="416">
      <c r="A416" s="17"/>
      <c r="B416" s="20"/>
      <c r="C416" s="21"/>
      <c r="D416" s="21"/>
      <c r="E416" s="23"/>
      <c r="F416" s="24"/>
      <c r="G416" s="27"/>
      <c r="H416" s="23"/>
      <c r="I416" s="27"/>
      <c r="J416" s="29"/>
      <c r="K416" s="129"/>
      <c r="L416" s="31"/>
      <c r="M416" s="31"/>
      <c r="N416" s="31"/>
    </row>
    <row r="417">
      <c r="A417" s="17"/>
      <c r="B417" s="20"/>
      <c r="C417" s="21"/>
      <c r="D417" s="21"/>
      <c r="E417" s="23"/>
      <c r="F417" s="24"/>
      <c r="G417" s="27"/>
      <c r="H417" s="23"/>
      <c r="I417" s="27"/>
      <c r="J417" s="29"/>
      <c r="K417" s="129"/>
      <c r="L417" s="31"/>
      <c r="M417" s="31"/>
      <c r="N417" s="31"/>
    </row>
    <row r="418">
      <c r="A418" s="17"/>
      <c r="B418" s="20"/>
      <c r="C418" s="21"/>
      <c r="D418" s="21"/>
      <c r="E418" s="23"/>
      <c r="F418" s="24"/>
      <c r="G418" s="27"/>
      <c r="H418" s="23"/>
      <c r="I418" s="27"/>
      <c r="J418" s="29"/>
      <c r="K418" s="129"/>
      <c r="L418" s="31"/>
      <c r="M418" s="31"/>
      <c r="N418" s="31"/>
    </row>
    <row r="419">
      <c r="A419" s="17"/>
      <c r="B419" s="20"/>
      <c r="C419" s="21"/>
      <c r="D419" s="21"/>
      <c r="E419" s="23"/>
      <c r="F419" s="24"/>
      <c r="G419" s="27"/>
      <c r="H419" s="23"/>
      <c r="I419" s="27"/>
      <c r="J419" s="29"/>
      <c r="K419" s="129"/>
      <c r="L419" s="31"/>
      <c r="M419" s="31"/>
      <c r="N419" s="31"/>
    </row>
    <row r="420">
      <c r="A420" s="17"/>
      <c r="B420" s="20"/>
      <c r="C420" s="21"/>
      <c r="D420" s="21"/>
      <c r="E420" s="23"/>
      <c r="F420" s="24"/>
      <c r="G420" s="27"/>
      <c r="H420" s="23"/>
      <c r="I420" s="27"/>
      <c r="J420" s="29"/>
      <c r="K420" s="129"/>
      <c r="L420" s="31"/>
      <c r="M420" s="31"/>
      <c r="N420" s="31"/>
    </row>
    <row r="421">
      <c r="A421" s="17"/>
      <c r="B421" s="20"/>
      <c r="C421" s="21"/>
      <c r="D421" s="21"/>
      <c r="E421" s="23"/>
      <c r="F421" s="24"/>
      <c r="G421" s="27"/>
      <c r="H421" s="23"/>
      <c r="I421" s="27"/>
      <c r="J421" s="29"/>
      <c r="K421" s="129"/>
      <c r="L421" s="31"/>
      <c r="M421" s="31"/>
      <c r="N421" s="31"/>
    </row>
    <row r="422">
      <c r="A422" s="17"/>
      <c r="B422" s="20"/>
      <c r="C422" s="21"/>
      <c r="D422" s="21"/>
      <c r="E422" s="23"/>
      <c r="F422" s="24"/>
      <c r="G422" s="27"/>
      <c r="H422" s="23"/>
      <c r="I422" s="27"/>
      <c r="J422" s="29"/>
      <c r="K422" s="129"/>
      <c r="L422" s="31"/>
      <c r="M422" s="31"/>
      <c r="N422" s="31"/>
    </row>
    <row r="423">
      <c r="A423" s="17"/>
      <c r="B423" s="20"/>
      <c r="C423" s="21"/>
      <c r="D423" s="21"/>
      <c r="E423" s="23"/>
      <c r="F423" s="24"/>
      <c r="G423" s="27"/>
      <c r="H423" s="23"/>
      <c r="I423" s="27"/>
      <c r="J423" s="29"/>
      <c r="K423" s="129"/>
      <c r="L423" s="31"/>
      <c r="M423" s="31"/>
      <c r="N423" s="31"/>
    </row>
    <row r="424">
      <c r="A424" s="17"/>
      <c r="B424" s="20"/>
      <c r="C424" s="21"/>
      <c r="D424" s="21"/>
      <c r="E424" s="23"/>
      <c r="F424" s="24"/>
      <c r="G424" s="27"/>
      <c r="H424" s="23"/>
      <c r="I424" s="27"/>
      <c r="J424" s="29"/>
      <c r="K424" s="129"/>
      <c r="L424" s="31"/>
      <c r="M424" s="31"/>
      <c r="N424" s="31"/>
    </row>
    <row r="425">
      <c r="A425" s="17"/>
      <c r="B425" s="20"/>
      <c r="C425" s="21"/>
      <c r="D425" s="21"/>
      <c r="E425" s="23"/>
      <c r="F425" s="24"/>
      <c r="G425" s="27"/>
      <c r="H425" s="23"/>
      <c r="I425" s="27"/>
      <c r="J425" s="29"/>
      <c r="K425" s="129"/>
      <c r="L425" s="31"/>
      <c r="M425" s="31"/>
      <c r="N425" s="31"/>
    </row>
    <row r="426">
      <c r="A426" s="17"/>
      <c r="B426" s="20"/>
      <c r="C426" s="21"/>
      <c r="D426" s="21"/>
      <c r="E426" s="23"/>
      <c r="F426" s="24"/>
      <c r="G426" s="27"/>
      <c r="H426" s="23"/>
      <c r="I426" s="27"/>
      <c r="J426" s="29"/>
      <c r="K426" s="129"/>
      <c r="L426" s="31"/>
      <c r="M426" s="31"/>
      <c r="N426" s="31"/>
    </row>
    <row r="427">
      <c r="A427" s="17"/>
      <c r="B427" s="20"/>
      <c r="C427" s="21"/>
      <c r="D427" s="21"/>
      <c r="E427" s="23"/>
      <c r="F427" s="24"/>
      <c r="G427" s="27"/>
      <c r="H427" s="23"/>
      <c r="I427" s="27"/>
      <c r="J427" s="29"/>
      <c r="K427" s="129"/>
      <c r="L427" s="31"/>
      <c r="M427" s="31"/>
      <c r="N427" s="31"/>
    </row>
    <row r="428">
      <c r="A428" s="17"/>
      <c r="B428" s="20"/>
      <c r="C428" s="21"/>
      <c r="D428" s="21"/>
      <c r="E428" s="23"/>
      <c r="F428" s="24"/>
      <c r="G428" s="27"/>
      <c r="H428" s="23"/>
      <c r="I428" s="27"/>
      <c r="J428" s="29"/>
      <c r="K428" s="129"/>
      <c r="L428" s="31"/>
      <c r="M428" s="31"/>
      <c r="N428" s="31"/>
    </row>
    <row r="429">
      <c r="A429" s="17"/>
      <c r="B429" s="20"/>
      <c r="C429" s="21"/>
      <c r="D429" s="21"/>
      <c r="E429" s="23"/>
      <c r="F429" s="24"/>
      <c r="G429" s="27"/>
      <c r="H429" s="23"/>
      <c r="I429" s="27"/>
      <c r="J429" s="29"/>
      <c r="K429" s="129"/>
      <c r="L429" s="31"/>
      <c r="M429" s="31"/>
      <c r="N429" s="31"/>
    </row>
    <row r="430">
      <c r="A430" s="17"/>
      <c r="B430" s="20"/>
      <c r="C430" s="21"/>
      <c r="D430" s="21"/>
      <c r="E430" s="23"/>
      <c r="F430" s="24"/>
      <c r="G430" s="27"/>
      <c r="H430" s="23"/>
      <c r="I430" s="27"/>
      <c r="J430" s="29"/>
      <c r="K430" s="129"/>
      <c r="L430" s="31"/>
      <c r="M430" s="31"/>
      <c r="N430" s="31"/>
    </row>
    <row r="431">
      <c r="A431" s="17"/>
      <c r="B431" s="20"/>
      <c r="C431" s="21"/>
      <c r="D431" s="21"/>
      <c r="E431" s="23"/>
      <c r="F431" s="24"/>
      <c r="G431" s="27"/>
      <c r="H431" s="23"/>
      <c r="I431" s="27"/>
      <c r="J431" s="29"/>
      <c r="K431" s="129"/>
      <c r="L431" s="31"/>
      <c r="M431" s="31"/>
      <c r="N431" s="31"/>
    </row>
    <row r="432">
      <c r="A432" s="17"/>
      <c r="B432" s="20"/>
      <c r="C432" s="21"/>
      <c r="D432" s="21"/>
      <c r="E432" s="23"/>
      <c r="F432" s="24"/>
      <c r="G432" s="27"/>
      <c r="H432" s="23"/>
      <c r="I432" s="27"/>
      <c r="J432" s="29"/>
      <c r="K432" s="129"/>
      <c r="L432" s="31"/>
      <c r="M432" s="31"/>
      <c r="N432" s="31"/>
    </row>
    <row r="433">
      <c r="A433" s="17"/>
      <c r="B433" s="20"/>
      <c r="C433" s="21"/>
      <c r="D433" s="21"/>
      <c r="E433" s="23"/>
      <c r="F433" s="24"/>
      <c r="G433" s="27"/>
      <c r="H433" s="23"/>
      <c r="I433" s="27"/>
      <c r="J433" s="29"/>
      <c r="K433" s="129"/>
      <c r="L433" s="31"/>
      <c r="M433" s="31"/>
      <c r="N433" s="31"/>
    </row>
    <row r="434">
      <c r="A434" s="17"/>
      <c r="B434" s="20"/>
      <c r="C434" s="21"/>
      <c r="D434" s="21"/>
      <c r="E434" s="23"/>
      <c r="F434" s="24"/>
      <c r="G434" s="27"/>
      <c r="H434" s="23"/>
      <c r="I434" s="27"/>
      <c r="J434" s="29"/>
      <c r="K434" s="129"/>
      <c r="L434" s="31"/>
      <c r="M434" s="31"/>
      <c r="N434" s="31"/>
    </row>
    <row r="435">
      <c r="A435" s="17"/>
      <c r="B435" s="20"/>
      <c r="C435" s="21"/>
      <c r="D435" s="21"/>
      <c r="E435" s="23"/>
      <c r="F435" s="24"/>
      <c r="G435" s="27"/>
      <c r="H435" s="23"/>
      <c r="I435" s="27"/>
      <c r="J435" s="29"/>
      <c r="K435" s="129"/>
      <c r="L435" s="31"/>
      <c r="M435" s="31"/>
      <c r="N435" s="31"/>
    </row>
    <row r="436">
      <c r="A436" s="17"/>
      <c r="B436" s="20"/>
      <c r="C436" s="21"/>
      <c r="D436" s="21"/>
      <c r="E436" s="23"/>
      <c r="F436" s="24"/>
      <c r="G436" s="27"/>
      <c r="H436" s="23"/>
      <c r="I436" s="27"/>
      <c r="J436" s="29"/>
      <c r="K436" s="129"/>
      <c r="L436" s="31"/>
      <c r="M436" s="31"/>
      <c r="N436" s="31"/>
    </row>
    <row r="437">
      <c r="A437" s="17"/>
      <c r="B437" s="20"/>
      <c r="C437" s="21"/>
      <c r="D437" s="21"/>
      <c r="E437" s="23"/>
      <c r="F437" s="24"/>
      <c r="G437" s="27"/>
      <c r="H437" s="23"/>
      <c r="I437" s="27"/>
      <c r="J437" s="29"/>
      <c r="K437" s="129"/>
      <c r="L437" s="31"/>
      <c r="M437" s="31"/>
      <c r="N437" s="31"/>
    </row>
    <row r="438">
      <c r="A438" s="17"/>
      <c r="B438" s="20"/>
      <c r="C438" s="21"/>
      <c r="D438" s="21"/>
      <c r="E438" s="23"/>
      <c r="F438" s="24"/>
      <c r="G438" s="27"/>
      <c r="H438" s="23"/>
      <c r="I438" s="27"/>
      <c r="J438" s="29"/>
      <c r="K438" s="129"/>
      <c r="L438" s="31"/>
      <c r="M438" s="31"/>
      <c r="N438" s="31"/>
    </row>
    <row r="439">
      <c r="A439" s="17"/>
      <c r="B439" s="20"/>
      <c r="C439" s="21"/>
      <c r="D439" s="21"/>
      <c r="E439" s="23"/>
      <c r="F439" s="24"/>
      <c r="G439" s="27"/>
      <c r="H439" s="23"/>
      <c r="I439" s="27"/>
      <c r="J439" s="29"/>
      <c r="K439" s="129"/>
      <c r="L439" s="31"/>
      <c r="M439" s="31"/>
      <c r="N439" s="31"/>
    </row>
    <row r="440">
      <c r="A440" s="17"/>
      <c r="B440" s="20"/>
      <c r="C440" s="21"/>
      <c r="D440" s="21"/>
      <c r="E440" s="23"/>
      <c r="F440" s="24"/>
      <c r="G440" s="27"/>
      <c r="H440" s="23"/>
      <c r="I440" s="27"/>
      <c r="J440" s="29"/>
      <c r="K440" s="129"/>
      <c r="L440" s="31"/>
      <c r="M440" s="31"/>
      <c r="N440" s="31"/>
    </row>
    <row r="441">
      <c r="A441" s="17"/>
      <c r="B441" s="20"/>
      <c r="C441" s="21"/>
      <c r="D441" s="21"/>
      <c r="E441" s="23"/>
      <c r="F441" s="24"/>
      <c r="G441" s="27"/>
      <c r="H441" s="23"/>
      <c r="I441" s="27"/>
      <c r="J441" s="29"/>
      <c r="K441" s="129"/>
      <c r="L441" s="31"/>
      <c r="M441" s="31"/>
      <c r="N441" s="31"/>
    </row>
    <row r="442">
      <c r="A442" s="17"/>
      <c r="B442" s="20"/>
      <c r="C442" s="21"/>
      <c r="D442" s="21"/>
      <c r="E442" s="23"/>
      <c r="F442" s="24"/>
      <c r="G442" s="27"/>
      <c r="H442" s="23"/>
      <c r="I442" s="27"/>
      <c r="J442" s="29"/>
      <c r="K442" s="129"/>
      <c r="L442" s="31"/>
      <c r="M442" s="31"/>
      <c r="N442" s="31"/>
    </row>
    <row r="443">
      <c r="A443" s="17"/>
      <c r="B443" s="20"/>
      <c r="C443" s="21"/>
      <c r="D443" s="21"/>
      <c r="E443" s="23"/>
      <c r="F443" s="24"/>
      <c r="G443" s="27"/>
      <c r="H443" s="23"/>
      <c r="I443" s="27"/>
      <c r="J443" s="29"/>
      <c r="K443" s="129"/>
      <c r="L443" s="31"/>
      <c r="M443" s="31"/>
      <c r="N443" s="31"/>
    </row>
    <row r="444">
      <c r="A444" s="17"/>
      <c r="B444" s="20"/>
      <c r="C444" s="21"/>
      <c r="D444" s="21"/>
      <c r="E444" s="23"/>
      <c r="F444" s="24"/>
      <c r="G444" s="27"/>
      <c r="H444" s="23"/>
      <c r="I444" s="27"/>
      <c r="J444" s="29"/>
      <c r="K444" s="129"/>
      <c r="L444" s="31"/>
      <c r="M444" s="31"/>
      <c r="N444" s="31"/>
    </row>
    <row r="445">
      <c r="A445" s="17"/>
      <c r="B445" s="20"/>
      <c r="C445" s="21"/>
      <c r="D445" s="21"/>
      <c r="E445" s="23"/>
      <c r="F445" s="24"/>
      <c r="G445" s="27"/>
      <c r="H445" s="23"/>
      <c r="I445" s="27"/>
      <c r="J445" s="29"/>
      <c r="K445" s="129"/>
      <c r="L445" s="31"/>
      <c r="M445" s="31"/>
      <c r="N445" s="31"/>
    </row>
    <row r="446">
      <c r="A446" s="17"/>
      <c r="B446" s="20"/>
      <c r="C446" s="21"/>
      <c r="D446" s="21"/>
      <c r="E446" s="23"/>
      <c r="F446" s="24"/>
      <c r="G446" s="27"/>
      <c r="H446" s="23"/>
      <c r="I446" s="27"/>
      <c r="J446" s="29"/>
      <c r="K446" s="129"/>
      <c r="L446" s="31"/>
      <c r="M446" s="31"/>
      <c r="N446" s="31"/>
    </row>
    <row r="447">
      <c r="A447" s="17"/>
      <c r="B447" s="20"/>
      <c r="C447" s="21"/>
      <c r="D447" s="21"/>
      <c r="E447" s="23"/>
      <c r="F447" s="24"/>
      <c r="G447" s="27"/>
      <c r="H447" s="23"/>
      <c r="I447" s="27"/>
      <c r="J447" s="29"/>
      <c r="K447" s="129"/>
      <c r="L447" s="31"/>
      <c r="M447" s="31"/>
      <c r="N447" s="31"/>
    </row>
    <row r="448">
      <c r="A448" s="17"/>
      <c r="B448" s="20"/>
      <c r="C448" s="21"/>
      <c r="D448" s="21"/>
      <c r="E448" s="23"/>
      <c r="F448" s="24"/>
      <c r="G448" s="27"/>
      <c r="H448" s="23"/>
      <c r="I448" s="27"/>
      <c r="J448" s="29"/>
      <c r="K448" s="129"/>
      <c r="L448" s="31"/>
      <c r="M448" s="31"/>
      <c r="N448" s="31"/>
    </row>
    <row r="449">
      <c r="A449" s="17"/>
      <c r="B449" s="20"/>
      <c r="C449" s="21"/>
      <c r="D449" s="21"/>
      <c r="E449" s="23"/>
      <c r="F449" s="24"/>
      <c r="G449" s="27"/>
      <c r="H449" s="23"/>
      <c r="I449" s="27"/>
      <c r="J449" s="29"/>
      <c r="K449" s="129"/>
      <c r="L449" s="31"/>
      <c r="M449" s="31"/>
      <c r="N449" s="31"/>
    </row>
    <row r="450">
      <c r="A450" s="17"/>
      <c r="B450" s="20"/>
      <c r="C450" s="21"/>
      <c r="D450" s="21"/>
      <c r="E450" s="23"/>
      <c r="F450" s="24"/>
      <c r="G450" s="27"/>
      <c r="H450" s="23"/>
      <c r="I450" s="27"/>
      <c r="J450" s="29"/>
      <c r="K450" s="129"/>
      <c r="L450" s="31"/>
      <c r="M450" s="31"/>
      <c r="N450" s="31"/>
    </row>
    <row r="451">
      <c r="A451" s="17"/>
      <c r="B451" s="20"/>
      <c r="C451" s="21"/>
      <c r="D451" s="21"/>
      <c r="E451" s="23"/>
      <c r="F451" s="24"/>
      <c r="G451" s="27"/>
      <c r="H451" s="23"/>
      <c r="I451" s="27"/>
      <c r="J451" s="29"/>
      <c r="K451" s="129"/>
      <c r="L451" s="31"/>
      <c r="M451" s="31"/>
      <c r="N451" s="31"/>
    </row>
    <row r="452">
      <c r="A452" s="17"/>
      <c r="B452" s="20"/>
      <c r="C452" s="21"/>
      <c r="D452" s="21"/>
      <c r="E452" s="23"/>
      <c r="F452" s="24"/>
      <c r="G452" s="27"/>
      <c r="H452" s="23"/>
      <c r="I452" s="27"/>
      <c r="J452" s="29"/>
      <c r="K452" s="129"/>
      <c r="L452" s="31"/>
      <c r="M452" s="31"/>
      <c r="N452" s="31"/>
    </row>
    <row r="453">
      <c r="A453" s="17"/>
      <c r="B453" s="20"/>
      <c r="C453" s="21"/>
      <c r="D453" s="21"/>
      <c r="E453" s="23"/>
      <c r="F453" s="24"/>
      <c r="G453" s="27"/>
      <c r="H453" s="23"/>
      <c r="I453" s="27"/>
      <c r="J453" s="29"/>
      <c r="K453" s="129"/>
      <c r="L453" s="31"/>
      <c r="M453" s="31"/>
      <c r="N453" s="31"/>
    </row>
    <row r="454">
      <c r="A454" s="17"/>
      <c r="B454" s="20"/>
      <c r="C454" s="21"/>
      <c r="D454" s="21"/>
      <c r="E454" s="23"/>
      <c r="F454" s="24"/>
      <c r="G454" s="27"/>
      <c r="H454" s="23"/>
      <c r="I454" s="27"/>
      <c r="J454" s="29"/>
      <c r="K454" s="129"/>
      <c r="L454" s="31"/>
      <c r="M454" s="31"/>
      <c r="N454" s="31"/>
    </row>
    <row r="455">
      <c r="A455" s="17"/>
      <c r="B455" s="20"/>
      <c r="C455" s="21"/>
      <c r="D455" s="21"/>
      <c r="E455" s="23"/>
      <c r="F455" s="24"/>
      <c r="G455" s="27"/>
      <c r="H455" s="23"/>
      <c r="I455" s="27"/>
      <c r="J455" s="29"/>
      <c r="K455" s="129"/>
      <c r="L455" s="31"/>
      <c r="M455" s="31"/>
      <c r="N455" s="31"/>
    </row>
    <row r="456">
      <c r="A456" s="17"/>
      <c r="B456" s="20"/>
      <c r="C456" s="21"/>
      <c r="D456" s="21"/>
      <c r="E456" s="23"/>
      <c r="F456" s="24"/>
      <c r="G456" s="27"/>
      <c r="H456" s="23"/>
      <c r="I456" s="27"/>
      <c r="J456" s="29"/>
      <c r="K456" s="129"/>
      <c r="L456" s="31"/>
      <c r="M456" s="31"/>
      <c r="N456" s="31"/>
    </row>
    <row r="457">
      <c r="A457" s="17"/>
      <c r="B457" s="20"/>
      <c r="C457" s="21"/>
      <c r="D457" s="21"/>
      <c r="E457" s="23"/>
      <c r="F457" s="24"/>
      <c r="G457" s="27"/>
      <c r="H457" s="23"/>
      <c r="I457" s="27"/>
      <c r="J457" s="29"/>
      <c r="K457" s="129"/>
      <c r="L457" s="31"/>
      <c r="M457" s="31"/>
      <c r="N457" s="31"/>
    </row>
    <row r="458">
      <c r="A458" s="17"/>
      <c r="B458" s="20"/>
      <c r="C458" s="21"/>
      <c r="D458" s="21"/>
      <c r="E458" s="23"/>
      <c r="F458" s="24"/>
      <c r="G458" s="27"/>
      <c r="H458" s="23"/>
      <c r="I458" s="27"/>
      <c r="J458" s="29"/>
      <c r="K458" s="129"/>
      <c r="L458" s="31"/>
      <c r="M458" s="31"/>
      <c r="N458" s="31"/>
    </row>
    <row r="459">
      <c r="A459" s="17"/>
      <c r="B459" s="20"/>
      <c r="C459" s="21"/>
      <c r="D459" s="21"/>
      <c r="E459" s="23"/>
      <c r="F459" s="24"/>
      <c r="G459" s="27"/>
      <c r="H459" s="23"/>
      <c r="I459" s="27"/>
      <c r="J459" s="29"/>
      <c r="K459" s="129"/>
      <c r="L459" s="31"/>
      <c r="M459" s="31"/>
      <c r="N459" s="31"/>
    </row>
    <row r="460">
      <c r="A460" s="17"/>
      <c r="B460" s="20"/>
      <c r="C460" s="21"/>
      <c r="D460" s="21"/>
      <c r="E460" s="23"/>
      <c r="F460" s="24"/>
      <c r="G460" s="27"/>
      <c r="H460" s="23"/>
      <c r="I460" s="27"/>
      <c r="J460" s="29"/>
      <c r="K460" s="129"/>
      <c r="L460" s="31"/>
      <c r="M460" s="31"/>
      <c r="N460" s="31"/>
    </row>
    <row r="461">
      <c r="A461" s="17"/>
      <c r="B461" s="20"/>
      <c r="C461" s="21"/>
      <c r="D461" s="21"/>
      <c r="E461" s="23"/>
      <c r="F461" s="24"/>
      <c r="G461" s="27"/>
      <c r="H461" s="23"/>
      <c r="I461" s="27"/>
      <c r="J461" s="29"/>
      <c r="K461" s="129"/>
      <c r="L461" s="31"/>
      <c r="M461" s="31"/>
      <c r="N461" s="31"/>
    </row>
    <row r="462">
      <c r="A462" s="17"/>
      <c r="B462" s="20"/>
      <c r="C462" s="21"/>
      <c r="D462" s="21"/>
      <c r="E462" s="23"/>
      <c r="F462" s="24"/>
      <c r="G462" s="27"/>
      <c r="H462" s="23"/>
      <c r="I462" s="27"/>
      <c r="J462" s="29"/>
      <c r="K462" s="129"/>
      <c r="L462" s="31"/>
      <c r="M462" s="31"/>
      <c r="N462" s="31"/>
    </row>
    <row r="463">
      <c r="A463" s="17"/>
      <c r="B463" s="20"/>
      <c r="C463" s="21"/>
      <c r="D463" s="21"/>
      <c r="E463" s="23"/>
      <c r="F463" s="24"/>
      <c r="G463" s="27"/>
      <c r="H463" s="23"/>
      <c r="I463" s="27"/>
      <c r="J463" s="29"/>
      <c r="K463" s="129"/>
      <c r="L463" s="31"/>
      <c r="M463" s="31"/>
      <c r="N463" s="31"/>
    </row>
    <row r="464">
      <c r="A464" s="17"/>
      <c r="B464" s="20"/>
      <c r="C464" s="21"/>
      <c r="D464" s="21"/>
      <c r="E464" s="23"/>
      <c r="F464" s="24"/>
      <c r="G464" s="27"/>
      <c r="H464" s="23"/>
      <c r="I464" s="27"/>
      <c r="J464" s="29"/>
      <c r="K464" s="129"/>
      <c r="L464" s="31"/>
      <c r="M464" s="31"/>
      <c r="N464" s="31"/>
    </row>
    <row r="465">
      <c r="A465" s="17"/>
      <c r="B465" s="20"/>
      <c r="C465" s="21"/>
      <c r="D465" s="21"/>
      <c r="E465" s="23"/>
      <c r="F465" s="24"/>
      <c r="G465" s="27"/>
      <c r="H465" s="23"/>
      <c r="I465" s="27"/>
      <c r="J465" s="29"/>
      <c r="K465" s="129"/>
      <c r="L465" s="31"/>
      <c r="M465" s="31"/>
      <c r="N465" s="31"/>
    </row>
    <row r="466">
      <c r="A466" s="17"/>
      <c r="B466" s="20"/>
      <c r="C466" s="21"/>
      <c r="D466" s="21"/>
      <c r="E466" s="23"/>
      <c r="F466" s="24"/>
      <c r="G466" s="27"/>
      <c r="H466" s="23"/>
      <c r="I466" s="27"/>
      <c r="J466" s="29"/>
      <c r="K466" s="129"/>
      <c r="L466" s="31"/>
      <c r="M466" s="31"/>
      <c r="N466" s="31"/>
    </row>
    <row r="467">
      <c r="A467" s="17"/>
      <c r="B467" s="20"/>
      <c r="C467" s="21"/>
      <c r="D467" s="21"/>
      <c r="E467" s="23"/>
      <c r="F467" s="24"/>
      <c r="G467" s="27"/>
      <c r="H467" s="23"/>
      <c r="I467" s="27"/>
      <c r="J467" s="29"/>
      <c r="K467" s="129"/>
      <c r="L467" s="31"/>
      <c r="M467" s="31"/>
      <c r="N467" s="31"/>
    </row>
    <row r="468">
      <c r="A468" s="17"/>
      <c r="B468" s="20"/>
      <c r="C468" s="21"/>
      <c r="D468" s="21"/>
      <c r="E468" s="23"/>
      <c r="F468" s="24"/>
      <c r="G468" s="27"/>
      <c r="H468" s="23"/>
      <c r="I468" s="27"/>
      <c r="J468" s="29"/>
      <c r="K468" s="129"/>
      <c r="L468" s="31"/>
      <c r="M468" s="31"/>
      <c r="N468" s="31"/>
    </row>
    <row r="469">
      <c r="A469" s="17"/>
      <c r="B469" s="20"/>
      <c r="C469" s="21"/>
      <c r="D469" s="21"/>
      <c r="E469" s="23"/>
      <c r="F469" s="24"/>
      <c r="G469" s="27"/>
      <c r="H469" s="23"/>
      <c r="I469" s="27"/>
      <c r="J469" s="29"/>
      <c r="K469" s="129"/>
      <c r="L469" s="31"/>
      <c r="M469" s="31"/>
      <c r="N469" s="31"/>
    </row>
    <row r="470">
      <c r="A470" s="17"/>
      <c r="B470" s="20"/>
      <c r="C470" s="21"/>
      <c r="D470" s="21"/>
      <c r="E470" s="23"/>
      <c r="F470" s="24"/>
      <c r="G470" s="27"/>
      <c r="H470" s="23"/>
      <c r="I470" s="27"/>
      <c r="J470" s="29"/>
      <c r="K470" s="129"/>
      <c r="L470" s="31"/>
      <c r="M470" s="31"/>
      <c r="N470" s="31"/>
    </row>
    <row r="471">
      <c r="A471" s="17"/>
      <c r="B471" s="20"/>
      <c r="C471" s="21"/>
      <c r="D471" s="21"/>
      <c r="E471" s="23"/>
      <c r="F471" s="24"/>
      <c r="G471" s="27"/>
      <c r="H471" s="23"/>
      <c r="I471" s="27"/>
      <c r="J471" s="29"/>
      <c r="K471" s="129"/>
      <c r="L471" s="31"/>
      <c r="M471" s="31"/>
      <c r="N471" s="31"/>
    </row>
    <row r="472">
      <c r="A472" s="17"/>
      <c r="B472" s="20"/>
      <c r="C472" s="21"/>
      <c r="D472" s="21"/>
      <c r="E472" s="23"/>
      <c r="F472" s="24"/>
      <c r="G472" s="27"/>
      <c r="H472" s="23"/>
      <c r="I472" s="27"/>
      <c r="J472" s="29"/>
      <c r="K472" s="129"/>
      <c r="L472" s="31"/>
      <c r="M472" s="31"/>
      <c r="N472" s="31"/>
    </row>
    <row r="473">
      <c r="A473" s="17"/>
      <c r="B473" s="20"/>
      <c r="C473" s="21"/>
      <c r="D473" s="21"/>
      <c r="E473" s="23"/>
      <c r="F473" s="24"/>
      <c r="G473" s="27"/>
      <c r="H473" s="23"/>
      <c r="I473" s="27"/>
      <c r="J473" s="29"/>
      <c r="K473" s="129"/>
      <c r="L473" s="31"/>
      <c r="M473" s="31"/>
      <c r="N473" s="31"/>
    </row>
    <row r="474">
      <c r="A474" s="17"/>
      <c r="B474" s="20"/>
      <c r="C474" s="21"/>
      <c r="D474" s="21"/>
      <c r="E474" s="23"/>
      <c r="F474" s="24"/>
      <c r="G474" s="27"/>
      <c r="H474" s="23"/>
      <c r="I474" s="27"/>
      <c r="J474" s="29"/>
      <c r="K474" s="129"/>
      <c r="L474" s="31"/>
      <c r="M474" s="31"/>
      <c r="N474" s="31"/>
    </row>
    <row r="475">
      <c r="A475" s="17"/>
      <c r="B475" s="20"/>
      <c r="C475" s="21"/>
      <c r="D475" s="21"/>
      <c r="E475" s="23"/>
      <c r="F475" s="24"/>
      <c r="G475" s="27"/>
      <c r="H475" s="23"/>
      <c r="I475" s="27"/>
      <c r="J475" s="29"/>
      <c r="K475" s="129"/>
      <c r="L475" s="31"/>
      <c r="M475" s="31"/>
      <c r="N475" s="31"/>
    </row>
    <row r="476">
      <c r="A476" s="17"/>
      <c r="B476" s="20"/>
      <c r="C476" s="21"/>
      <c r="D476" s="21"/>
      <c r="E476" s="23"/>
      <c r="F476" s="24"/>
      <c r="G476" s="27"/>
      <c r="H476" s="23"/>
      <c r="I476" s="27"/>
      <c r="J476" s="29"/>
      <c r="K476" s="129"/>
      <c r="L476" s="31"/>
      <c r="M476" s="31"/>
      <c r="N476" s="31"/>
    </row>
    <row r="477">
      <c r="A477" s="17"/>
      <c r="B477" s="20"/>
      <c r="C477" s="21"/>
      <c r="D477" s="21"/>
      <c r="E477" s="23"/>
      <c r="F477" s="24"/>
      <c r="G477" s="27"/>
      <c r="H477" s="23"/>
      <c r="I477" s="27"/>
      <c r="J477" s="29"/>
      <c r="K477" s="129"/>
      <c r="L477" s="31"/>
      <c r="M477" s="31"/>
      <c r="N477" s="31"/>
    </row>
    <row r="478">
      <c r="A478" s="17"/>
      <c r="B478" s="20"/>
      <c r="C478" s="21"/>
      <c r="D478" s="21"/>
      <c r="E478" s="23"/>
      <c r="F478" s="24"/>
      <c r="G478" s="27"/>
      <c r="H478" s="23"/>
      <c r="I478" s="27"/>
      <c r="J478" s="29"/>
      <c r="K478" s="129"/>
      <c r="L478" s="31"/>
      <c r="M478" s="31"/>
      <c r="N478" s="31"/>
    </row>
    <row r="479">
      <c r="A479" s="17"/>
      <c r="B479" s="20"/>
      <c r="C479" s="21"/>
      <c r="D479" s="21"/>
      <c r="E479" s="23"/>
      <c r="F479" s="24"/>
      <c r="G479" s="27"/>
      <c r="H479" s="23"/>
      <c r="I479" s="27"/>
      <c r="J479" s="29"/>
      <c r="K479" s="129"/>
      <c r="L479" s="31"/>
      <c r="M479" s="31"/>
      <c r="N479" s="31"/>
    </row>
    <row r="480">
      <c r="A480" s="17"/>
      <c r="B480" s="20"/>
      <c r="C480" s="21"/>
      <c r="D480" s="21"/>
      <c r="E480" s="23"/>
      <c r="F480" s="24"/>
      <c r="G480" s="27"/>
      <c r="H480" s="23"/>
      <c r="I480" s="27"/>
      <c r="J480" s="29"/>
      <c r="K480" s="129"/>
      <c r="L480" s="31"/>
      <c r="M480" s="31"/>
      <c r="N480" s="31"/>
    </row>
    <row r="481">
      <c r="A481" s="17"/>
      <c r="B481" s="20"/>
      <c r="C481" s="21"/>
      <c r="D481" s="21"/>
      <c r="E481" s="23"/>
      <c r="F481" s="24"/>
      <c r="G481" s="27"/>
      <c r="H481" s="23"/>
      <c r="I481" s="27"/>
      <c r="J481" s="29"/>
      <c r="K481" s="129"/>
      <c r="L481" s="31"/>
      <c r="M481" s="31"/>
      <c r="N481" s="31"/>
    </row>
    <row r="482">
      <c r="A482" s="17"/>
      <c r="B482" s="20"/>
      <c r="C482" s="21"/>
      <c r="D482" s="21"/>
      <c r="E482" s="23"/>
      <c r="F482" s="24"/>
      <c r="G482" s="27"/>
      <c r="H482" s="23"/>
      <c r="I482" s="27"/>
      <c r="J482" s="29"/>
      <c r="K482" s="129"/>
      <c r="L482" s="31"/>
      <c r="M482" s="31"/>
      <c r="N482" s="31"/>
    </row>
    <row r="483">
      <c r="A483" s="17"/>
      <c r="B483" s="20"/>
      <c r="C483" s="21"/>
      <c r="D483" s="21"/>
      <c r="E483" s="23"/>
      <c r="F483" s="24"/>
      <c r="G483" s="27"/>
      <c r="H483" s="23"/>
      <c r="I483" s="27"/>
      <c r="J483" s="29"/>
      <c r="K483" s="129"/>
      <c r="L483" s="31"/>
      <c r="M483" s="31"/>
      <c r="N483" s="31"/>
    </row>
    <row r="484">
      <c r="A484" s="17"/>
      <c r="B484" s="20"/>
      <c r="C484" s="21"/>
      <c r="D484" s="21"/>
      <c r="E484" s="23"/>
      <c r="F484" s="24"/>
      <c r="G484" s="27"/>
      <c r="H484" s="23"/>
      <c r="I484" s="27"/>
      <c r="J484" s="29"/>
      <c r="K484" s="129"/>
      <c r="L484" s="31"/>
      <c r="M484" s="31"/>
      <c r="N484" s="31"/>
    </row>
    <row r="485">
      <c r="A485" s="17"/>
      <c r="B485" s="20"/>
      <c r="C485" s="21"/>
      <c r="D485" s="21"/>
      <c r="E485" s="23"/>
      <c r="F485" s="24"/>
      <c r="G485" s="27"/>
      <c r="H485" s="23"/>
      <c r="I485" s="27"/>
      <c r="J485" s="29"/>
      <c r="K485" s="129"/>
      <c r="L485" s="31"/>
      <c r="M485" s="31"/>
      <c r="N485" s="31"/>
    </row>
    <row r="486">
      <c r="A486" s="17"/>
      <c r="B486" s="20"/>
      <c r="C486" s="21"/>
      <c r="D486" s="21"/>
      <c r="E486" s="23"/>
      <c r="F486" s="24"/>
      <c r="G486" s="27"/>
      <c r="H486" s="23"/>
      <c r="I486" s="27"/>
      <c r="J486" s="29"/>
      <c r="K486" s="129"/>
      <c r="L486" s="31"/>
      <c r="M486" s="31"/>
      <c r="N486" s="31"/>
    </row>
    <row r="487">
      <c r="A487" s="17"/>
      <c r="B487" s="20"/>
      <c r="C487" s="21"/>
      <c r="D487" s="21"/>
      <c r="E487" s="23"/>
      <c r="F487" s="24"/>
      <c r="G487" s="27"/>
      <c r="H487" s="23"/>
      <c r="I487" s="27"/>
      <c r="J487" s="29"/>
      <c r="K487" s="129"/>
      <c r="L487" s="31"/>
      <c r="M487" s="31"/>
      <c r="N487" s="31"/>
    </row>
    <row r="488">
      <c r="A488" s="12"/>
      <c r="B488" s="13"/>
      <c r="C488" s="14"/>
      <c r="D488" s="14"/>
      <c r="E488" s="15"/>
      <c r="F488" s="16"/>
      <c r="G488" s="18"/>
      <c r="H488" s="15"/>
      <c r="I488" s="18"/>
      <c r="J488" s="22"/>
      <c r="K488" s="108"/>
      <c r="L488" s="26"/>
      <c r="M488" s="26"/>
      <c r="N488" s="26"/>
    </row>
    <row r="489">
      <c r="A489" s="12"/>
      <c r="B489" s="13"/>
      <c r="C489" s="14"/>
      <c r="D489" s="14"/>
      <c r="E489" s="15"/>
      <c r="F489" s="16"/>
      <c r="G489" s="18"/>
      <c r="H489" s="15"/>
      <c r="I489" s="18"/>
      <c r="J489" s="22"/>
      <c r="K489" s="108"/>
      <c r="L489" s="26"/>
      <c r="M489" s="26"/>
      <c r="N489" s="26"/>
    </row>
    <row r="490">
      <c r="A490" s="12"/>
      <c r="B490" s="13"/>
      <c r="C490" s="14"/>
      <c r="D490" s="14"/>
      <c r="E490" s="15"/>
      <c r="F490" s="16"/>
      <c r="G490" s="18"/>
      <c r="H490" s="15"/>
      <c r="I490" s="18"/>
      <c r="J490" s="22"/>
      <c r="K490" s="108"/>
      <c r="L490" s="26"/>
      <c r="M490" s="26"/>
      <c r="N490" s="26"/>
    </row>
    <row r="491">
      <c r="A491" s="12"/>
      <c r="B491" s="13"/>
      <c r="C491" s="14"/>
      <c r="D491" s="14"/>
      <c r="E491" s="15"/>
      <c r="F491" s="16"/>
      <c r="G491" s="18"/>
      <c r="H491" s="15"/>
      <c r="I491" s="18"/>
      <c r="J491" s="22"/>
      <c r="K491" s="108"/>
      <c r="L491" s="26"/>
      <c r="M491" s="26"/>
      <c r="N491" s="26"/>
    </row>
    <row r="492">
      <c r="A492" s="12"/>
      <c r="B492" s="13"/>
      <c r="C492" s="14"/>
      <c r="D492" s="14"/>
      <c r="E492" s="15"/>
      <c r="F492" s="16"/>
      <c r="G492" s="18"/>
      <c r="H492" s="15"/>
      <c r="I492" s="18"/>
      <c r="J492" s="22"/>
      <c r="K492" s="108"/>
      <c r="L492" s="26"/>
      <c r="M492" s="26"/>
      <c r="N492" s="26"/>
    </row>
    <row r="493">
      <c r="A493" s="12"/>
      <c r="B493" s="13"/>
      <c r="C493" s="14"/>
      <c r="D493" s="14"/>
      <c r="E493" s="15"/>
      <c r="F493" s="16"/>
      <c r="G493" s="18"/>
      <c r="H493" s="15"/>
      <c r="I493" s="18"/>
      <c r="J493" s="22"/>
      <c r="K493" s="108"/>
      <c r="L493" s="26"/>
      <c r="M493" s="26"/>
      <c r="N493" s="26"/>
    </row>
    <row r="494">
      <c r="A494" s="12"/>
      <c r="B494" s="13"/>
      <c r="C494" s="14"/>
      <c r="D494" s="14"/>
      <c r="E494" s="15"/>
      <c r="F494" s="16"/>
      <c r="G494" s="18"/>
      <c r="H494" s="15"/>
      <c r="I494" s="18"/>
      <c r="J494" s="22"/>
      <c r="K494" s="108"/>
      <c r="L494" s="26"/>
      <c r="M494" s="26"/>
      <c r="N494" s="26"/>
    </row>
    <row r="495">
      <c r="A495" s="12"/>
      <c r="B495" s="13"/>
      <c r="C495" s="14"/>
      <c r="D495" s="14"/>
      <c r="E495" s="15"/>
      <c r="F495" s="16"/>
      <c r="G495" s="18"/>
      <c r="H495" s="15"/>
      <c r="I495" s="18"/>
      <c r="J495" s="22"/>
      <c r="K495" s="108"/>
      <c r="L495" s="26"/>
      <c r="M495" s="26"/>
      <c r="N495" s="26"/>
    </row>
    <row r="496">
      <c r="A496" s="12"/>
      <c r="B496" s="13"/>
      <c r="C496" s="14"/>
      <c r="D496" s="14"/>
      <c r="E496" s="15"/>
      <c r="F496" s="16"/>
      <c r="G496" s="18"/>
      <c r="H496" s="15"/>
      <c r="I496" s="18"/>
      <c r="J496" s="22"/>
      <c r="K496" s="108"/>
      <c r="L496" s="26"/>
      <c r="M496" s="26"/>
      <c r="N496" s="26"/>
    </row>
    <row r="497">
      <c r="A497" s="12"/>
      <c r="B497" s="13"/>
      <c r="C497" s="14"/>
      <c r="D497" s="14"/>
      <c r="E497" s="15"/>
      <c r="F497" s="16"/>
      <c r="G497" s="18"/>
      <c r="H497" s="15"/>
      <c r="I497" s="18"/>
      <c r="J497" s="22"/>
      <c r="K497" s="108"/>
      <c r="L497" s="26"/>
      <c r="M497" s="26"/>
      <c r="N497" s="26"/>
    </row>
    <row r="498">
      <c r="A498" s="12"/>
      <c r="B498" s="13"/>
      <c r="C498" s="14"/>
      <c r="D498" s="14"/>
      <c r="E498" s="15"/>
      <c r="F498" s="16"/>
      <c r="G498" s="18"/>
      <c r="H498" s="15"/>
      <c r="I498" s="18"/>
      <c r="J498" s="22"/>
      <c r="K498" s="108"/>
      <c r="L498" s="26"/>
      <c r="M498" s="26"/>
      <c r="N498" s="26"/>
    </row>
    <row r="499">
      <c r="A499" s="12"/>
      <c r="B499" s="13"/>
      <c r="C499" s="14"/>
      <c r="D499" s="14"/>
      <c r="E499" s="15"/>
      <c r="F499" s="16"/>
      <c r="G499" s="18"/>
      <c r="H499" s="15"/>
      <c r="I499" s="18"/>
      <c r="J499" s="22"/>
      <c r="K499" s="108"/>
      <c r="L499" s="26"/>
      <c r="M499" s="26"/>
      <c r="N499" s="26"/>
    </row>
    <row r="500">
      <c r="A500" s="12"/>
      <c r="B500" s="13"/>
      <c r="C500" s="14"/>
      <c r="D500" s="14"/>
      <c r="E500" s="15"/>
      <c r="F500" s="16"/>
      <c r="G500" s="18"/>
      <c r="H500" s="15"/>
      <c r="I500" s="18"/>
      <c r="J500" s="22"/>
      <c r="K500" s="108"/>
      <c r="L500" s="26"/>
      <c r="M500" s="26"/>
      <c r="N500" s="26"/>
    </row>
    <row r="501">
      <c r="A501" s="12"/>
      <c r="B501" s="13"/>
      <c r="C501" s="14"/>
      <c r="D501" s="14"/>
      <c r="E501" s="15"/>
      <c r="F501" s="16"/>
      <c r="G501" s="18"/>
      <c r="H501" s="15"/>
      <c r="I501" s="18"/>
      <c r="J501" s="22"/>
      <c r="K501" s="108"/>
      <c r="L501" s="26"/>
      <c r="M501" s="26"/>
      <c r="N501" s="26"/>
    </row>
    <row r="502">
      <c r="A502" s="12"/>
      <c r="B502" s="13"/>
      <c r="C502" s="14"/>
      <c r="D502" s="14"/>
      <c r="E502" s="15"/>
      <c r="F502" s="16"/>
      <c r="G502" s="18"/>
      <c r="H502" s="15"/>
      <c r="I502" s="18"/>
      <c r="J502" s="22"/>
      <c r="K502" s="108"/>
      <c r="L502" s="26"/>
      <c r="M502" s="26"/>
      <c r="N502" s="26"/>
    </row>
    <row r="503">
      <c r="A503" s="12"/>
      <c r="B503" s="13"/>
      <c r="C503" s="14"/>
      <c r="D503" s="14"/>
      <c r="E503" s="15"/>
      <c r="F503" s="16"/>
      <c r="G503" s="18"/>
      <c r="H503" s="15"/>
      <c r="I503" s="18"/>
      <c r="J503" s="22"/>
      <c r="K503" s="108"/>
      <c r="L503" s="26"/>
      <c r="M503" s="26"/>
      <c r="N503" s="26"/>
    </row>
    <row r="504">
      <c r="A504" s="12"/>
      <c r="B504" s="13"/>
      <c r="C504" s="14"/>
      <c r="D504" s="14"/>
      <c r="E504" s="15"/>
      <c r="F504" s="16"/>
      <c r="G504" s="18"/>
      <c r="H504" s="15"/>
      <c r="I504" s="18"/>
      <c r="J504" s="22"/>
      <c r="K504" s="108"/>
      <c r="L504" s="26"/>
      <c r="M504" s="26"/>
      <c r="N504" s="26"/>
    </row>
    <row r="505">
      <c r="A505" s="12"/>
      <c r="B505" s="13"/>
      <c r="C505" s="14"/>
      <c r="D505" s="14"/>
      <c r="E505" s="15"/>
      <c r="F505" s="16"/>
      <c r="G505" s="18"/>
      <c r="H505" s="15"/>
      <c r="I505" s="18"/>
      <c r="J505" s="22"/>
      <c r="K505" s="108"/>
      <c r="L505" s="26"/>
      <c r="M505" s="26"/>
      <c r="N505" s="26"/>
    </row>
    <row r="506">
      <c r="A506" s="12"/>
      <c r="B506" s="13"/>
      <c r="C506" s="14"/>
      <c r="D506" s="14"/>
      <c r="E506" s="15"/>
      <c r="F506" s="16"/>
      <c r="G506" s="18"/>
      <c r="H506" s="15"/>
      <c r="I506" s="18"/>
      <c r="J506" s="22"/>
      <c r="K506" s="108"/>
      <c r="L506" s="26"/>
      <c r="M506" s="26"/>
      <c r="N506" s="26"/>
    </row>
    <row r="507">
      <c r="A507" s="12"/>
      <c r="B507" s="13"/>
      <c r="C507" s="14"/>
      <c r="D507" s="14"/>
      <c r="E507" s="15"/>
      <c r="F507" s="16"/>
      <c r="G507" s="18"/>
      <c r="H507" s="15"/>
      <c r="I507" s="18"/>
      <c r="J507" s="22"/>
      <c r="K507" s="108"/>
      <c r="L507" s="26"/>
      <c r="M507" s="26"/>
      <c r="N507" s="26"/>
    </row>
    <row r="508">
      <c r="A508" s="12"/>
      <c r="B508" s="13"/>
      <c r="C508" s="14"/>
      <c r="D508" s="14"/>
      <c r="E508" s="15"/>
      <c r="F508" s="16"/>
      <c r="G508" s="18"/>
      <c r="H508" s="15"/>
      <c r="I508" s="18"/>
      <c r="J508" s="22"/>
      <c r="K508" s="108"/>
      <c r="L508" s="26"/>
      <c r="M508" s="26"/>
      <c r="N508" s="26"/>
    </row>
    <row r="509">
      <c r="A509" s="12"/>
      <c r="B509" s="13"/>
      <c r="C509" s="14"/>
      <c r="D509" s="14"/>
      <c r="E509" s="15"/>
      <c r="F509" s="16"/>
      <c r="G509" s="18"/>
      <c r="H509" s="15"/>
      <c r="I509" s="18"/>
      <c r="J509" s="22"/>
      <c r="K509" s="108"/>
      <c r="L509" s="26"/>
      <c r="M509" s="26"/>
      <c r="N509" s="26"/>
    </row>
    <row r="510">
      <c r="A510" s="12"/>
      <c r="B510" s="13"/>
      <c r="C510" s="14"/>
      <c r="D510" s="14"/>
      <c r="E510" s="15"/>
      <c r="F510" s="16"/>
      <c r="G510" s="18"/>
      <c r="H510" s="15"/>
      <c r="I510" s="18"/>
      <c r="J510" s="22"/>
      <c r="K510" s="108"/>
      <c r="L510" s="26"/>
      <c r="M510" s="26"/>
      <c r="N510" s="26"/>
    </row>
    <row r="511">
      <c r="A511" s="12"/>
      <c r="B511" s="13"/>
      <c r="C511" s="14"/>
      <c r="D511" s="14"/>
      <c r="E511" s="15"/>
      <c r="F511" s="16"/>
      <c r="G511" s="18"/>
      <c r="H511" s="15"/>
      <c r="I511" s="18"/>
      <c r="J511" s="22"/>
      <c r="K511" s="108"/>
      <c r="L511" s="26"/>
      <c r="M511" s="26"/>
      <c r="N511" s="26"/>
    </row>
    <row r="512">
      <c r="A512" s="12"/>
      <c r="B512" s="13"/>
      <c r="C512" s="14"/>
      <c r="D512" s="14"/>
      <c r="E512" s="15"/>
      <c r="F512" s="16"/>
      <c r="G512" s="18"/>
      <c r="H512" s="15"/>
      <c r="I512" s="18"/>
      <c r="J512" s="22"/>
      <c r="K512" s="108"/>
      <c r="L512" s="26"/>
      <c r="M512" s="26"/>
      <c r="N512" s="26"/>
    </row>
    <row r="513">
      <c r="A513" s="12"/>
      <c r="B513" s="13"/>
      <c r="C513" s="14"/>
      <c r="D513" s="14"/>
      <c r="E513" s="15"/>
      <c r="F513" s="16"/>
      <c r="G513" s="18"/>
      <c r="H513" s="15"/>
      <c r="I513" s="18"/>
      <c r="J513" s="22"/>
      <c r="K513" s="108"/>
      <c r="L513" s="26"/>
      <c r="M513" s="26"/>
      <c r="N513" s="26"/>
    </row>
    <row r="514">
      <c r="A514" s="12"/>
      <c r="B514" s="13"/>
      <c r="C514" s="14"/>
      <c r="D514" s="14"/>
      <c r="E514" s="15"/>
      <c r="F514" s="16"/>
      <c r="G514" s="18"/>
      <c r="H514" s="15"/>
      <c r="I514" s="18"/>
      <c r="J514" s="22"/>
      <c r="K514" s="108"/>
      <c r="L514" s="26"/>
      <c r="M514" s="26"/>
      <c r="N514" s="26"/>
    </row>
    <row r="515">
      <c r="A515" s="12"/>
      <c r="B515" s="13"/>
      <c r="C515" s="14"/>
      <c r="D515" s="14"/>
      <c r="E515" s="15"/>
      <c r="F515" s="16"/>
      <c r="G515" s="18"/>
      <c r="H515" s="15"/>
      <c r="I515" s="18"/>
      <c r="J515" s="22"/>
      <c r="K515" s="108"/>
      <c r="L515" s="26"/>
      <c r="M515" s="26"/>
      <c r="N515" s="26"/>
    </row>
    <row r="516">
      <c r="A516" s="12"/>
      <c r="B516" s="13"/>
      <c r="C516" s="14"/>
      <c r="D516" s="14"/>
      <c r="E516" s="15"/>
      <c r="F516" s="16"/>
      <c r="G516" s="18"/>
      <c r="H516" s="15"/>
      <c r="I516" s="18"/>
      <c r="J516" s="22"/>
      <c r="K516" s="108"/>
      <c r="L516" s="26"/>
      <c r="M516" s="26"/>
      <c r="N516" s="26"/>
    </row>
    <row r="517">
      <c r="A517" s="12"/>
      <c r="B517" s="13"/>
      <c r="C517" s="14"/>
      <c r="D517" s="14"/>
      <c r="E517" s="15"/>
      <c r="F517" s="16"/>
      <c r="G517" s="18"/>
      <c r="H517" s="15"/>
      <c r="I517" s="18"/>
      <c r="J517" s="22"/>
      <c r="K517" s="108"/>
      <c r="L517" s="26"/>
      <c r="M517" s="26"/>
      <c r="N517" s="26"/>
    </row>
    <row r="518">
      <c r="A518" s="12"/>
      <c r="B518" s="13"/>
      <c r="C518" s="14"/>
      <c r="D518" s="14"/>
      <c r="E518" s="15"/>
      <c r="F518" s="16"/>
      <c r="G518" s="18"/>
      <c r="H518" s="15"/>
      <c r="I518" s="18"/>
      <c r="J518" s="22"/>
      <c r="K518" s="108"/>
      <c r="L518" s="26"/>
      <c r="M518" s="26"/>
      <c r="N518" s="26"/>
    </row>
    <row r="519">
      <c r="A519" s="12"/>
      <c r="B519" s="13"/>
      <c r="C519" s="14"/>
      <c r="D519" s="14"/>
      <c r="E519" s="15"/>
      <c r="F519" s="16"/>
      <c r="G519" s="18"/>
      <c r="H519" s="15"/>
      <c r="I519" s="18"/>
      <c r="J519" s="22"/>
      <c r="K519" s="108"/>
      <c r="L519" s="26"/>
      <c r="M519" s="26"/>
      <c r="N519" s="26"/>
    </row>
    <row r="520">
      <c r="A520" s="12"/>
      <c r="B520" s="13"/>
      <c r="C520" s="14"/>
      <c r="D520" s="14"/>
      <c r="E520" s="15"/>
      <c r="F520" s="16"/>
      <c r="G520" s="18"/>
      <c r="H520" s="15"/>
      <c r="I520" s="18"/>
      <c r="J520" s="22"/>
      <c r="K520" s="108"/>
      <c r="L520" s="26"/>
      <c r="M520" s="26"/>
      <c r="N520" s="26"/>
    </row>
    <row r="521">
      <c r="A521" s="12"/>
      <c r="B521" s="13"/>
      <c r="C521" s="14"/>
      <c r="D521" s="14"/>
      <c r="E521" s="15"/>
      <c r="F521" s="16"/>
      <c r="G521" s="18"/>
      <c r="H521" s="15"/>
      <c r="I521" s="18"/>
      <c r="J521" s="22"/>
      <c r="K521" s="108"/>
      <c r="L521" s="26"/>
      <c r="M521" s="26"/>
      <c r="N521" s="26"/>
    </row>
    <row r="522">
      <c r="A522" s="12"/>
      <c r="B522" s="13"/>
      <c r="C522" s="14"/>
      <c r="D522" s="14"/>
      <c r="E522" s="15"/>
      <c r="F522" s="16"/>
      <c r="G522" s="18"/>
      <c r="H522" s="15"/>
      <c r="I522" s="18"/>
      <c r="J522" s="22"/>
      <c r="K522" s="108"/>
      <c r="L522" s="26"/>
      <c r="M522" s="26"/>
      <c r="N522" s="26"/>
    </row>
    <row r="523">
      <c r="A523" s="12"/>
      <c r="B523" s="13"/>
      <c r="C523" s="14"/>
      <c r="D523" s="14"/>
      <c r="E523" s="15"/>
      <c r="F523" s="16"/>
      <c r="G523" s="18"/>
      <c r="H523" s="15"/>
      <c r="I523" s="18"/>
      <c r="J523" s="22"/>
      <c r="K523" s="108"/>
      <c r="L523" s="26"/>
      <c r="M523" s="26"/>
      <c r="N523" s="26"/>
    </row>
    <row r="524">
      <c r="A524" s="12"/>
      <c r="B524" s="13"/>
      <c r="C524" s="14"/>
      <c r="D524" s="14"/>
      <c r="E524" s="15"/>
      <c r="F524" s="16"/>
      <c r="G524" s="18"/>
      <c r="H524" s="15"/>
      <c r="I524" s="18"/>
      <c r="J524" s="22"/>
      <c r="K524" s="108"/>
      <c r="L524" s="26"/>
      <c r="M524" s="26"/>
      <c r="N524" s="26"/>
    </row>
    <row r="525">
      <c r="A525" s="12"/>
      <c r="B525" s="13"/>
      <c r="C525" s="14"/>
      <c r="D525" s="14"/>
      <c r="E525" s="15"/>
      <c r="F525" s="16"/>
      <c r="G525" s="18"/>
      <c r="H525" s="15"/>
      <c r="I525" s="18"/>
      <c r="J525" s="22"/>
      <c r="K525" s="108"/>
      <c r="L525" s="26"/>
      <c r="M525" s="26"/>
      <c r="N525" s="26"/>
    </row>
    <row r="526">
      <c r="A526" s="12"/>
      <c r="B526" s="13"/>
      <c r="C526" s="14"/>
      <c r="D526" s="14"/>
      <c r="E526" s="15"/>
      <c r="F526" s="16"/>
      <c r="G526" s="18"/>
      <c r="H526" s="15"/>
      <c r="I526" s="18"/>
      <c r="J526" s="22"/>
      <c r="K526" s="108"/>
      <c r="L526" s="26"/>
      <c r="M526" s="26"/>
      <c r="N526" s="26"/>
    </row>
    <row r="527">
      <c r="A527" s="12"/>
      <c r="B527" s="13"/>
      <c r="C527" s="14"/>
      <c r="D527" s="14"/>
      <c r="E527" s="15"/>
      <c r="F527" s="16"/>
      <c r="G527" s="18"/>
      <c r="H527" s="15"/>
      <c r="I527" s="18"/>
      <c r="J527" s="22"/>
      <c r="K527" s="108"/>
      <c r="L527" s="26"/>
      <c r="M527" s="26"/>
      <c r="N527" s="26"/>
    </row>
    <row r="528">
      <c r="A528" s="12"/>
      <c r="B528" s="13"/>
      <c r="C528" s="14"/>
      <c r="D528" s="14"/>
      <c r="E528" s="15"/>
      <c r="F528" s="16"/>
      <c r="G528" s="18"/>
      <c r="H528" s="15"/>
      <c r="I528" s="18"/>
      <c r="J528" s="22"/>
      <c r="K528" s="108"/>
      <c r="L528" s="26"/>
      <c r="M528" s="26"/>
      <c r="N528" s="26"/>
    </row>
    <row r="529">
      <c r="A529" s="12"/>
      <c r="B529" s="13"/>
      <c r="C529" s="14"/>
      <c r="D529" s="14"/>
      <c r="E529" s="15"/>
      <c r="F529" s="16"/>
      <c r="G529" s="18"/>
      <c r="H529" s="15"/>
      <c r="I529" s="18"/>
      <c r="J529" s="22"/>
      <c r="K529" s="108"/>
      <c r="L529" s="26"/>
      <c r="M529" s="26"/>
      <c r="N529" s="26"/>
    </row>
    <row r="530">
      <c r="A530" s="12"/>
      <c r="B530" s="13"/>
      <c r="C530" s="14"/>
      <c r="D530" s="14"/>
      <c r="E530" s="15"/>
      <c r="F530" s="16"/>
      <c r="G530" s="18"/>
      <c r="H530" s="15"/>
      <c r="I530" s="18"/>
      <c r="J530" s="22"/>
      <c r="K530" s="108"/>
      <c r="L530" s="26"/>
      <c r="M530" s="26"/>
      <c r="N530" s="26"/>
    </row>
    <row r="531">
      <c r="A531" s="12"/>
      <c r="B531" s="13"/>
      <c r="C531" s="14"/>
      <c r="D531" s="14"/>
      <c r="E531" s="15"/>
      <c r="F531" s="16"/>
      <c r="G531" s="18"/>
      <c r="H531" s="15"/>
      <c r="I531" s="18"/>
      <c r="J531" s="22"/>
      <c r="K531" s="108"/>
      <c r="L531" s="26"/>
      <c r="M531" s="26"/>
      <c r="N531" s="26"/>
    </row>
    <row r="532">
      <c r="A532" s="12"/>
      <c r="B532" s="13"/>
      <c r="C532" s="14"/>
      <c r="D532" s="14"/>
      <c r="E532" s="15"/>
      <c r="F532" s="16"/>
      <c r="G532" s="18"/>
      <c r="H532" s="15"/>
      <c r="I532" s="18"/>
      <c r="J532" s="22"/>
      <c r="K532" s="108"/>
      <c r="L532" s="26"/>
      <c r="M532" s="26"/>
      <c r="N532" s="26"/>
    </row>
    <row r="533">
      <c r="A533" s="12"/>
      <c r="B533" s="13"/>
      <c r="C533" s="14"/>
      <c r="D533" s="14"/>
      <c r="E533" s="15"/>
      <c r="F533" s="16"/>
      <c r="G533" s="18"/>
      <c r="H533" s="15"/>
      <c r="I533" s="18"/>
      <c r="J533" s="22"/>
      <c r="K533" s="108"/>
      <c r="L533" s="26"/>
      <c r="M533" s="26"/>
      <c r="N533" s="26"/>
    </row>
    <row r="534">
      <c r="A534" s="12"/>
      <c r="B534" s="13"/>
      <c r="C534" s="14"/>
      <c r="D534" s="14"/>
      <c r="E534" s="15"/>
      <c r="F534" s="16"/>
      <c r="G534" s="18"/>
      <c r="H534" s="15"/>
      <c r="I534" s="18"/>
      <c r="J534" s="22"/>
      <c r="K534" s="108"/>
      <c r="L534" s="26"/>
      <c r="M534" s="26"/>
      <c r="N534" s="26"/>
    </row>
    <row r="535">
      <c r="A535" s="12"/>
      <c r="B535" s="13"/>
      <c r="C535" s="14"/>
      <c r="D535" s="14"/>
      <c r="E535" s="15"/>
      <c r="F535" s="16"/>
      <c r="G535" s="18"/>
      <c r="H535" s="15"/>
      <c r="I535" s="18"/>
      <c r="J535" s="22"/>
      <c r="K535" s="108"/>
      <c r="L535" s="26"/>
      <c r="M535" s="26"/>
      <c r="N535" s="26"/>
    </row>
    <row r="536">
      <c r="A536" s="12"/>
      <c r="B536" s="13"/>
      <c r="C536" s="14"/>
      <c r="D536" s="14"/>
      <c r="E536" s="15"/>
      <c r="F536" s="16"/>
      <c r="G536" s="18"/>
      <c r="H536" s="15"/>
      <c r="I536" s="18"/>
      <c r="J536" s="22"/>
      <c r="K536" s="108"/>
      <c r="L536" s="26"/>
      <c r="M536" s="26"/>
      <c r="N536" s="26"/>
    </row>
    <row r="537">
      <c r="A537" s="12"/>
      <c r="B537" s="13"/>
      <c r="C537" s="14"/>
      <c r="D537" s="14"/>
      <c r="E537" s="15"/>
      <c r="F537" s="16"/>
      <c r="G537" s="18"/>
      <c r="H537" s="15"/>
      <c r="I537" s="18"/>
      <c r="J537" s="22"/>
      <c r="K537" s="108"/>
      <c r="L537" s="26"/>
      <c r="M537" s="26"/>
      <c r="N537" s="26"/>
    </row>
    <row r="538">
      <c r="A538" s="12"/>
      <c r="B538" s="13"/>
      <c r="C538" s="14"/>
      <c r="D538" s="14"/>
      <c r="E538" s="15"/>
      <c r="F538" s="16"/>
      <c r="G538" s="18"/>
      <c r="H538" s="15"/>
      <c r="I538" s="18"/>
      <c r="J538" s="22"/>
      <c r="K538" s="108"/>
      <c r="L538" s="26"/>
      <c r="M538" s="26"/>
      <c r="N538" s="26"/>
    </row>
    <row r="539">
      <c r="A539" s="12"/>
      <c r="B539" s="13"/>
      <c r="C539" s="14"/>
      <c r="D539" s="14"/>
      <c r="E539" s="15"/>
      <c r="F539" s="16"/>
      <c r="G539" s="18"/>
      <c r="H539" s="15"/>
      <c r="I539" s="18"/>
      <c r="J539" s="22"/>
      <c r="K539" s="108"/>
      <c r="L539" s="26"/>
      <c r="M539" s="26"/>
      <c r="N539" s="26"/>
    </row>
    <row r="540">
      <c r="A540" s="12"/>
      <c r="B540" s="13"/>
      <c r="C540" s="14"/>
      <c r="D540" s="14"/>
      <c r="E540" s="15"/>
      <c r="F540" s="16"/>
      <c r="G540" s="18"/>
      <c r="H540" s="15"/>
      <c r="I540" s="18"/>
      <c r="J540" s="22"/>
      <c r="K540" s="108"/>
      <c r="L540" s="26"/>
      <c r="M540" s="26"/>
      <c r="N540" s="26"/>
    </row>
    <row r="541">
      <c r="A541" s="12"/>
      <c r="B541" s="13"/>
      <c r="C541" s="14"/>
      <c r="D541" s="14"/>
      <c r="E541" s="15"/>
      <c r="F541" s="16"/>
      <c r="G541" s="18"/>
      <c r="H541" s="15"/>
      <c r="I541" s="18"/>
      <c r="J541" s="22"/>
      <c r="K541" s="108"/>
      <c r="L541" s="26"/>
      <c r="M541" s="26"/>
      <c r="N541" s="26"/>
    </row>
    <row r="542">
      <c r="A542" s="12"/>
      <c r="B542" s="13"/>
      <c r="C542" s="14"/>
      <c r="D542" s="14"/>
      <c r="E542" s="15"/>
      <c r="F542" s="16"/>
      <c r="G542" s="18"/>
      <c r="H542" s="15"/>
      <c r="I542" s="18"/>
      <c r="J542" s="22"/>
      <c r="K542" s="108"/>
      <c r="L542" s="26"/>
      <c r="M542" s="26"/>
      <c r="N542" s="26"/>
    </row>
    <row r="543">
      <c r="A543" s="12"/>
      <c r="B543" s="13"/>
      <c r="C543" s="14"/>
      <c r="D543" s="14"/>
      <c r="E543" s="15"/>
      <c r="F543" s="16"/>
      <c r="G543" s="18"/>
      <c r="H543" s="15"/>
      <c r="I543" s="18"/>
      <c r="J543" s="22"/>
      <c r="K543" s="108"/>
      <c r="L543" s="26"/>
      <c r="M543" s="26"/>
      <c r="N543" s="26"/>
    </row>
    <row r="544">
      <c r="A544" s="12"/>
      <c r="B544" s="13"/>
      <c r="C544" s="14"/>
      <c r="D544" s="14"/>
      <c r="E544" s="15"/>
      <c r="F544" s="16"/>
      <c r="G544" s="18"/>
      <c r="H544" s="15"/>
      <c r="I544" s="18"/>
      <c r="J544" s="22"/>
      <c r="K544" s="108"/>
      <c r="L544" s="26"/>
      <c r="M544" s="26"/>
      <c r="N544" s="26"/>
    </row>
    <row r="545">
      <c r="A545" s="12"/>
      <c r="B545" s="13"/>
      <c r="C545" s="14"/>
      <c r="D545" s="14"/>
      <c r="E545" s="15"/>
      <c r="F545" s="16"/>
      <c r="G545" s="18"/>
      <c r="H545" s="15"/>
      <c r="I545" s="18"/>
      <c r="J545" s="22"/>
      <c r="K545" s="108"/>
      <c r="L545" s="26"/>
      <c r="M545" s="26"/>
      <c r="N545" s="26"/>
    </row>
    <row r="546">
      <c r="A546" s="12"/>
      <c r="B546" s="13"/>
      <c r="C546" s="14"/>
      <c r="D546" s="14"/>
      <c r="E546" s="15"/>
      <c r="F546" s="16"/>
      <c r="G546" s="18"/>
      <c r="H546" s="15"/>
      <c r="I546" s="18"/>
      <c r="J546" s="22"/>
      <c r="K546" s="108"/>
      <c r="L546" s="26"/>
      <c r="M546" s="26"/>
      <c r="N546" s="26"/>
    </row>
    <row r="547">
      <c r="A547" s="12"/>
      <c r="B547" s="13"/>
      <c r="C547" s="14"/>
      <c r="D547" s="14"/>
      <c r="E547" s="15"/>
      <c r="F547" s="16"/>
      <c r="G547" s="18"/>
      <c r="H547" s="15"/>
      <c r="I547" s="18"/>
      <c r="J547" s="22"/>
      <c r="K547" s="108"/>
      <c r="L547" s="26"/>
      <c r="M547" s="26"/>
      <c r="N547" s="26"/>
    </row>
    <row r="548">
      <c r="A548" s="12"/>
      <c r="B548" s="13"/>
      <c r="C548" s="14"/>
      <c r="D548" s="14"/>
      <c r="E548" s="15"/>
      <c r="F548" s="16"/>
      <c r="G548" s="18"/>
      <c r="H548" s="15"/>
      <c r="I548" s="18"/>
      <c r="J548" s="22"/>
      <c r="K548" s="108"/>
      <c r="L548" s="26"/>
      <c r="M548" s="26"/>
      <c r="N548" s="26"/>
    </row>
    <row r="549">
      <c r="A549" s="12"/>
      <c r="B549" s="13"/>
      <c r="C549" s="14"/>
      <c r="D549" s="14"/>
      <c r="E549" s="15"/>
      <c r="F549" s="16"/>
      <c r="G549" s="18"/>
      <c r="H549" s="15"/>
      <c r="I549" s="18"/>
      <c r="J549" s="22"/>
      <c r="K549" s="108"/>
      <c r="L549" s="26"/>
      <c r="M549" s="26"/>
      <c r="N549" s="26"/>
    </row>
    <row r="550">
      <c r="A550" s="12"/>
      <c r="B550" s="13"/>
      <c r="C550" s="14"/>
      <c r="D550" s="14"/>
      <c r="E550" s="15"/>
      <c r="F550" s="16"/>
      <c r="G550" s="18"/>
      <c r="H550" s="15"/>
      <c r="I550" s="18"/>
      <c r="J550" s="22"/>
      <c r="K550" s="108"/>
      <c r="L550" s="26"/>
      <c r="M550" s="26"/>
      <c r="N550" s="26"/>
    </row>
    <row r="551">
      <c r="A551" s="12"/>
      <c r="B551" s="13"/>
      <c r="C551" s="14"/>
      <c r="D551" s="14"/>
      <c r="E551" s="15"/>
      <c r="F551" s="16"/>
      <c r="G551" s="18"/>
      <c r="H551" s="15"/>
      <c r="I551" s="18"/>
      <c r="J551" s="22"/>
      <c r="K551" s="108"/>
      <c r="L551" s="26"/>
      <c r="M551" s="26"/>
      <c r="N551" s="26"/>
    </row>
    <row r="552">
      <c r="A552" s="12"/>
      <c r="B552" s="13"/>
      <c r="C552" s="14"/>
      <c r="D552" s="14"/>
      <c r="E552" s="15"/>
      <c r="F552" s="16"/>
      <c r="G552" s="18"/>
      <c r="H552" s="15"/>
      <c r="I552" s="18"/>
      <c r="J552" s="22"/>
      <c r="K552" s="108"/>
      <c r="L552" s="26"/>
      <c r="M552" s="26"/>
      <c r="N552" s="26"/>
    </row>
    <row r="553">
      <c r="A553" s="12"/>
      <c r="B553" s="13"/>
      <c r="C553" s="14"/>
      <c r="D553" s="14"/>
      <c r="E553" s="15"/>
      <c r="F553" s="16"/>
      <c r="G553" s="18"/>
      <c r="H553" s="15"/>
      <c r="I553" s="18"/>
      <c r="J553" s="22"/>
      <c r="K553" s="108"/>
      <c r="L553" s="26"/>
      <c r="M553" s="26"/>
      <c r="N553" s="26"/>
    </row>
    <row r="554">
      <c r="A554" s="12"/>
      <c r="B554" s="13"/>
      <c r="C554" s="14"/>
      <c r="D554" s="14"/>
      <c r="E554" s="15"/>
      <c r="F554" s="16"/>
      <c r="G554" s="18"/>
      <c r="H554" s="15"/>
      <c r="I554" s="18"/>
      <c r="J554" s="22"/>
      <c r="K554" s="108"/>
      <c r="L554" s="26"/>
      <c r="M554" s="26"/>
      <c r="N554" s="26"/>
    </row>
    <row r="555">
      <c r="A555" s="12"/>
      <c r="B555" s="13"/>
      <c r="C555" s="14"/>
      <c r="D555" s="14"/>
      <c r="E555" s="15"/>
      <c r="F555" s="16"/>
      <c r="G555" s="18"/>
      <c r="H555" s="15"/>
      <c r="I555" s="18"/>
      <c r="J555" s="22"/>
      <c r="K555" s="108"/>
      <c r="L555" s="26"/>
      <c r="M555" s="26"/>
      <c r="N555" s="26"/>
    </row>
    <row r="556">
      <c r="A556" s="12"/>
      <c r="B556" s="13"/>
      <c r="C556" s="14"/>
      <c r="D556" s="14"/>
      <c r="E556" s="15"/>
      <c r="F556" s="16"/>
      <c r="G556" s="18"/>
      <c r="H556" s="15"/>
      <c r="I556" s="18"/>
      <c r="J556" s="22"/>
      <c r="K556" s="108"/>
      <c r="L556" s="26"/>
      <c r="M556" s="26"/>
      <c r="N556" s="26"/>
    </row>
    <row r="557">
      <c r="A557" s="12"/>
      <c r="B557" s="13"/>
      <c r="C557" s="14"/>
      <c r="D557" s="14"/>
      <c r="E557" s="15"/>
      <c r="F557" s="16"/>
      <c r="G557" s="18"/>
      <c r="H557" s="15"/>
      <c r="I557" s="18"/>
      <c r="J557" s="22"/>
      <c r="K557" s="108"/>
      <c r="L557" s="26"/>
      <c r="M557" s="26"/>
      <c r="N557" s="26"/>
    </row>
    <row r="558">
      <c r="A558" s="12"/>
      <c r="B558" s="13"/>
      <c r="C558" s="14"/>
      <c r="D558" s="14"/>
      <c r="E558" s="15"/>
      <c r="F558" s="16"/>
      <c r="G558" s="18"/>
      <c r="H558" s="15"/>
      <c r="I558" s="18"/>
      <c r="J558" s="22"/>
      <c r="K558" s="108"/>
      <c r="L558" s="26"/>
      <c r="M558" s="26"/>
      <c r="N558" s="26"/>
    </row>
    <row r="559">
      <c r="A559" s="12"/>
      <c r="B559" s="13"/>
      <c r="C559" s="14"/>
      <c r="D559" s="14"/>
      <c r="E559" s="15"/>
      <c r="F559" s="16"/>
      <c r="G559" s="18"/>
      <c r="H559" s="15"/>
      <c r="I559" s="18"/>
      <c r="J559" s="22"/>
      <c r="K559" s="108"/>
      <c r="L559" s="26"/>
      <c r="M559" s="26"/>
      <c r="N559" s="26"/>
    </row>
    <row r="560">
      <c r="A560" s="12"/>
      <c r="B560" s="13"/>
      <c r="C560" s="14"/>
      <c r="D560" s="14"/>
      <c r="E560" s="15"/>
      <c r="F560" s="16"/>
      <c r="G560" s="18"/>
      <c r="H560" s="15"/>
      <c r="I560" s="18"/>
      <c r="J560" s="22"/>
      <c r="K560" s="108"/>
      <c r="L560" s="26"/>
      <c r="M560" s="26"/>
      <c r="N560" s="26"/>
    </row>
    <row r="561">
      <c r="A561" s="12"/>
      <c r="B561" s="13"/>
      <c r="C561" s="14"/>
      <c r="D561" s="14"/>
      <c r="E561" s="15"/>
      <c r="F561" s="16"/>
      <c r="G561" s="18"/>
      <c r="H561" s="15"/>
      <c r="I561" s="18"/>
      <c r="J561" s="22"/>
      <c r="K561" s="108"/>
      <c r="L561" s="26"/>
      <c r="M561" s="26"/>
      <c r="N561" s="26"/>
    </row>
    <row r="562">
      <c r="A562" s="12"/>
      <c r="B562" s="13"/>
      <c r="C562" s="14"/>
      <c r="D562" s="14"/>
      <c r="E562" s="15"/>
      <c r="F562" s="16"/>
      <c r="G562" s="18"/>
      <c r="H562" s="15"/>
      <c r="I562" s="18"/>
      <c r="J562" s="22"/>
      <c r="K562" s="108"/>
      <c r="L562" s="26"/>
      <c r="M562" s="26"/>
      <c r="N562" s="26"/>
    </row>
    <row r="563">
      <c r="A563" s="12"/>
      <c r="B563" s="13"/>
      <c r="C563" s="14"/>
      <c r="D563" s="14"/>
      <c r="E563" s="15"/>
      <c r="F563" s="16"/>
      <c r="G563" s="18"/>
      <c r="H563" s="15"/>
      <c r="I563" s="18"/>
      <c r="J563" s="22"/>
      <c r="K563" s="108"/>
      <c r="L563" s="26"/>
      <c r="M563" s="26"/>
      <c r="N563" s="26"/>
    </row>
    <row r="564">
      <c r="A564" s="12"/>
      <c r="B564" s="13"/>
      <c r="C564" s="14"/>
      <c r="D564" s="14"/>
      <c r="E564" s="15"/>
      <c r="F564" s="16"/>
      <c r="G564" s="18"/>
      <c r="H564" s="15"/>
      <c r="I564" s="18"/>
      <c r="J564" s="22"/>
      <c r="K564" s="108"/>
      <c r="L564" s="26"/>
      <c r="M564" s="26"/>
      <c r="N564" s="26"/>
    </row>
    <row r="565">
      <c r="A565" s="12"/>
      <c r="B565" s="13"/>
      <c r="C565" s="14"/>
      <c r="D565" s="14"/>
      <c r="E565" s="15"/>
      <c r="F565" s="16"/>
      <c r="G565" s="18"/>
      <c r="H565" s="15"/>
      <c r="I565" s="18"/>
      <c r="J565" s="22"/>
      <c r="K565" s="108"/>
      <c r="L565" s="26"/>
      <c r="M565" s="26"/>
      <c r="N565" s="26"/>
    </row>
    <row r="566">
      <c r="A566" s="12"/>
      <c r="B566" s="13"/>
      <c r="C566" s="14"/>
      <c r="D566" s="14"/>
      <c r="E566" s="15"/>
      <c r="F566" s="16"/>
      <c r="G566" s="18"/>
      <c r="H566" s="15"/>
      <c r="I566" s="18"/>
      <c r="J566" s="22"/>
      <c r="K566" s="108"/>
      <c r="L566" s="26"/>
      <c r="M566" s="26"/>
      <c r="N566" s="26"/>
    </row>
    <row r="567">
      <c r="A567" s="12"/>
      <c r="B567" s="13"/>
      <c r="C567" s="14"/>
      <c r="D567" s="14"/>
      <c r="E567" s="15"/>
      <c r="F567" s="16"/>
      <c r="G567" s="18"/>
      <c r="H567" s="15"/>
      <c r="I567" s="18"/>
      <c r="J567" s="22"/>
      <c r="K567" s="108"/>
      <c r="L567" s="26"/>
      <c r="M567" s="26"/>
      <c r="N567" s="26"/>
    </row>
    <row r="568">
      <c r="A568" s="12"/>
      <c r="B568" s="13"/>
      <c r="C568" s="14"/>
      <c r="D568" s="14"/>
      <c r="E568" s="15"/>
      <c r="F568" s="16"/>
      <c r="G568" s="18"/>
      <c r="H568" s="15"/>
      <c r="I568" s="18"/>
      <c r="J568" s="22"/>
      <c r="K568" s="108"/>
      <c r="L568" s="26"/>
      <c r="M568" s="26"/>
      <c r="N568" s="26"/>
    </row>
    <row r="569">
      <c r="A569" s="12"/>
      <c r="B569" s="13"/>
      <c r="C569" s="14"/>
      <c r="D569" s="14"/>
      <c r="E569" s="15"/>
      <c r="F569" s="16"/>
      <c r="G569" s="18"/>
      <c r="H569" s="15"/>
      <c r="I569" s="18"/>
      <c r="J569" s="22"/>
      <c r="K569" s="108"/>
      <c r="L569" s="26"/>
      <c r="M569" s="26"/>
      <c r="N569" s="26"/>
    </row>
    <row r="570">
      <c r="A570" s="12"/>
      <c r="B570" s="13"/>
      <c r="C570" s="14"/>
      <c r="D570" s="14"/>
      <c r="E570" s="15"/>
      <c r="F570" s="16"/>
      <c r="G570" s="18"/>
      <c r="H570" s="15"/>
      <c r="I570" s="18"/>
      <c r="J570" s="22"/>
      <c r="K570" s="108"/>
      <c r="L570" s="26"/>
      <c r="M570" s="26"/>
      <c r="N570" s="26"/>
    </row>
    <row r="571">
      <c r="A571" s="12"/>
      <c r="B571" s="13"/>
      <c r="C571" s="14"/>
      <c r="D571" s="14"/>
      <c r="E571" s="15"/>
      <c r="F571" s="16"/>
      <c r="G571" s="18"/>
      <c r="H571" s="15"/>
      <c r="I571" s="18"/>
      <c r="J571" s="22"/>
      <c r="K571" s="108"/>
      <c r="L571" s="26"/>
      <c r="M571" s="26"/>
      <c r="N571" s="26"/>
    </row>
    <row r="572">
      <c r="A572" s="12"/>
      <c r="B572" s="13"/>
      <c r="C572" s="14"/>
      <c r="D572" s="14"/>
      <c r="E572" s="15"/>
      <c r="F572" s="16"/>
      <c r="G572" s="18"/>
      <c r="H572" s="15"/>
      <c r="I572" s="18"/>
      <c r="J572" s="22"/>
      <c r="K572" s="108"/>
      <c r="L572" s="26"/>
      <c r="M572" s="26"/>
      <c r="N572" s="26"/>
    </row>
    <row r="573">
      <c r="A573" s="12"/>
      <c r="B573" s="13"/>
      <c r="C573" s="14"/>
      <c r="D573" s="14"/>
      <c r="E573" s="15"/>
      <c r="F573" s="16"/>
      <c r="G573" s="18"/>
      <c r="H573" s="15"/>
      <c r="I573" s="18"/>
      <c r="J573" s="22"/>
      <c r="K573" s="108"/>
      <c r="L573" s="26"/>
      <c r="M573" s="26"/>
      <c r="N573" s="26"/>
    </row>
    <row r="574">
      <c r="A574" s="12"/>
      <c r="B574" s="13"/>
      <c r="C574" s="14"/>
      <c r="D574" s="14"/>
      <c r="E574" s="15"/>
      <c r="F574" s="16"/>
      <c r="G574" s="18"/>
      <c r="H574" s="15"/>
      <c r="I574" s="18"/>
      <c r="J574" s="22"/>
      <c r="K574" s="108"/>
      <c r="L574" s="26"/>
      <c r="M574" s="26"/>
      <c r="N574" s="26"/>
    </row>
    <row r="575">
      <c r="A575" s="12"/>
      <c r="B575" s="13"/>
      <c r="C575" s="14"/>
      <c r="D575" s="14"/>
      <c r="E575" s="15"/>
      <c r="F575" s="16"/>
      <c r="G575" s="18"/>
      <c r="H575" s="15"/>
      <c r="I575" s="18"/>
      <c r="J575" s="22"/>
      <c r="K575" s="108"/>
      <c r="L575" s="26"/>
      <c r="M575" s="26"/>
      <c r="N575" s="26"/>
    </row>
    <row r="576">
      <c r="A576" s="12"/>
      <c r="B576" s="13"/>
      <c r="C576" s="14"/>
      <c r="D576" s="14"/>
      <c r="E576" s="15"/>
      <c r="F576" s="16"/>
      <c r="G576" s="18"/>
      <c r="H576" s="15"/>
      <c r="I576" s="18"/>
      <c r="J576" s="22"/>
      <c r="K576" s="108"/>
      <c r="L576" s="26"/>
      <c r="M576" s="26"/>
      <c r="N576" s="26"/>
    </row>
    <row r="577">
      <c r="A577" s="12"/>
      <c r="B577" s="13"/>
      <c r="C577" s="14"/>
      <c r="D577" s="14"/>
      <c r="E577" s="15"/>
      <c r="F577" s="16"/>
      <c r="G577" s="18"/>
      <c r="H577" s="15"/>
      <c r="I577" s="18"/>
      <c r="J577" s="22"/>
      <c r="K577" s="108"/>
      <c r="L577" s="26"/>
      <c r="M577" s="26"/>
      <c r="N577" s="26"/>
    </row>
    <row r="578">
      <c r="A578" s="12"/>
      <c r="B578" s="13"/>
      <c r="C578" s="14"/>
      <c r="D578" s="14"/>
      <c r="E578" s="15"/>
      <c r="F578" s="16"/>
      <c r="G578" s="18"/>
      <c r="H578" s="15"/>
      <c r="I578" s="18"/>
      <c r="J578" s="22"/>
      <c r="K578" s="108"/>
      <c r="L578" s="26"/>
      <c r="M578" s="26"/>
      <c r="N578" s="26"/>
    </row>
    <row r="579">
      <c r="A579" s="12"/>
      <c r="B579" s="13"/>
      <c r="C579" s="14"/>
      <c r="D579" s="14"/>
      <c r="E579" s="15"/>
      <c r="F579" s="16"/>
      <c r="G579" s="18"/>
      <c r="H579" s="15"/>
      <c r="I579" s="18"/>
      <c r="J579" s="22"/>
      <c r="K579" s="108"/>
      <c r="L579" s="26"/>
      <c r="M579" s="26"/>
      <c r="N579" s="26"/>
    </row>
    <row r="580">
      <c r="A580" s="12"/>
      <c r="B580" s="13"/>
      <c r="C580" s="14"/>
      <c r="D580" s="14"/>
      <c r="E580" s="15"/>
      <c r="F580" s="16"/>
      <c r="G580" s="18"/>
      <c r="H580" s="15"/>
      <c r="I580" s="18"/>
      <c r="J580" s="22"/>
      <c r="K580" s="108"/>
      <c r="L580" s="26"/>
      <c r="M580" s="26"/>
      <c r="N580" s="26"/>
    </row>
    <row r="581">
      <c r="A581" s="12"/>
      <c r="B581" s="13"/>
      <c r="C581" s="14"/>
      <c r="D581" s="14"/>
      <c r="E581" s="15"/>
      <c r="F581" s="16"/>
      <c r="G581" s="18"/>
      <c r="H581" s="15"/>
      <c r="I581" s="18"/>
      <c r="J581" s="22"/>
      <c r="K581" s="108"/>
      <c r="L581" s="26"/>
      <c r="M581" s="26"/>
      <c r="N581" s="26"/>
    </row>
    <row r="582">
      <c r="A582" s="12"/>
      <c r="B582" s="13"/>
      <c r="C582" s="14"/>
      <c r="D582" s="14"/>
      <c r="E582" s="15"/>
      <c r="F582" s="16"/>
      <c r="G582" s="18"/>
      <c r="H582" s="15"/>
      <c r="I582" s="18"/>
      <c r="J582" s="22"/>
      <c r="K582" s="108"/>
      <c r="L582" s="26"/>
      <c r="M582" s="26"/>
      <c r="N582" s="26"/>
    </row>
    <row r="583">
      <c r="A583" s="12"/>
      <c r="B583" s="13"/>
      <c r="C583" s="14"/>
      <c r="D583" s="14"/>
      <c r="E583" s="15"/>
      <c r="F583" s="16"/>
      <c r="G583" s="18"/>
      <c r="H583" s="15"/>
      <c r="I583" s="18"/>
      <c r="J583" s="22"/>
      <c r="K583" s="108"/>
      <c r="L583" s="26"/>
      <c r="M583" s="26"/>
      <c r="N583" s="26"/>
    </row>
    <row r="584">
      <c r="A584" s="12"/>
      <c r="B584" s="13"/>
      <c r="C584" s="14"/>
      <c r="D584" s="14"/>
      <c r="E584" s="15"/>
      <c r="F584" s="16"/>
      <c r="G584" s="18"/>
      <c r="H584" s="15"/>
      <c r="I584" s="18"/>
      <c r="J584" s="22"/>
      <c r="K584" s="108"/>
      <c r="L584" s="26"/>
      <c r="M584" s="26"/>
      <c r="N584" s="26"/>
    </row>
    <row r="585">
      <c r="A585" s="12"/>
      <c r="B585" s="13"/>
      <c r="C585" s="14"/>
      <c r="D585" s="14"/>
      <c r="E585" s="15"/>
      <c r="F585" s="16"/>
      <c r="G585" s="18"/>
      <c r="H585" s="15"/>
      <c r="I585" s="18"/>
      <c r="J585" s="22"/>
      <c r="K585" s="108"/>
      <c r="L585" s="26"/>
      <c r="M585" s="26"/>
      <c r="N585" s="26"/>
    </row>
    <row r="586">
      <c r="A586" s="12"/>
      <c r="B586" s="13"/>
      <c r="C586" s="14"/>
      <c r="D586" s="14"/>
      <c r="E586" s="15"/>
      <c r="F586" s="16"/>
      <c r="G586" s="18"/>
      <c r="H586" s="15"/>
      <c r="I586" s="18"/>
      <c r="J586" s="22"/>
      <c r="K586" s="108"/>
      <c r="L586" s="26"/>
      <c r="M586" s="26"/>
      <c r="N586" s="26"/>
    </row>
    <row r="587">
      <c r="A587" s="12"/>
      <c r="B587" s="13"/>
      <c r="C587" s="14"/>
      <c r="D587" s="14"/>
      <c r="E587" s="15"/>
      <c r="F587" s="16"/>
      <c r="G587" s="18"/>
      <c r="H587" s="15"/>
      <c r="I587" s="18"/>
      <c r="J587" s="22"/>
      <c r="K587" s="108"/>
      <c r="L587" s="26"/>
      <c r="M587" s="26"/>
      <c r="N587" s="26"/>
    </row>
    <row r="588">
      <c r="A588" s="12"/>
      <c r="B588" s="13"/>
      <c r="C588" s="14"/>
      <c r="D588" s="14"/>
      <c r="E588" s="15"/>
      <c r="F588" s="16"/>
      <c r="G588" s="18"/>
      <c r="H588" s="15"/>
      <c r="I588" s="18"/>
      <c r="J588" s="22"/>
      <c r="K588" s="108"/>
      <c r="L588" s="26"/>
      <c r="M588" s="26"/>
      <c r="N588" s="26"/>
    </row>
    <row r="589">
      <c r="A589" s="12"/>
      <c r="B589" s="13"/>
      <c r="C589" s="14"/>
      <c r="D589" s="14"/>
      <c r="E589" s="15"/>
      <c r="F589" s="16"/>
      <c r="G589" s="18"/>
      <c r="H589" s="15"/>
      <c r="I589" s="18"/>
      <c r="J589" s="22"/>
      <c r="K589" s="108"/>
      <c r="L589" s="26"/>
      <c r="M589" s="26"/>
      <c r="N589" s="26"/>
    </row>
    <row r="590">
      <c r="A590" s="12"/>
      <c r="B590" s="13"/>
      <c r="C590" s="14"/>
      <c r="D590" s="14"/>
      <c r="E590" s="15"/>
      <c r="F590" s="16"/>
      <c r="G590" s="18"/>
      <c r="H590" s="15"/>
      <c r="I590" s="18"/>
      <c r="J590" s="22"/>
      <c r="K590" s="108"/>
      <c r="L590" s="26"/>
      <c r="M590" s="26"/>
      <c r="N590" s="26"/>
    </row>
    <row r="591">
      <c r="A591" s="12"/>
      <c r="B591" s="13"/>
      <c r="C591" s="14"/>
      <c r="D591" s="14"/>
      <c r="E591" s="15"/>
      <c r="F591" s="16"/>
      <c r="G591" s="18"/>
      <c r="H591" s="15"/>
      <c r="I591" s="18"/>
      <c r="J591" s="22"/>
      <c r="K591" s="108"/>
      <c r="L591" s="26"/>
      <c r="M591" s="26"/>
      <c r="N591" s="26"/>
    </row>
    <row r="592">
      <c r="A592" s="12"/>
      <c r="B592" s="13"/>
      <c r="C592" s="14"/>
      <c r="D592" s="14"/>
      <c r="E592" s="15"/>
      <c r="F592" s="16"/>
      <c r="G592" s="18"/>
      <c r="H592" s="15"/>
      <c r="I592" s="18"/>
      <c r="J592" s="22"/>
      <c r="K592" s="108"/>
      <c r="L592" s="26"/>
      <c r="M592" s="26"/>
      <c r="N592" s="26"/>
    </row>
    <row r="593">
      <c r="A593" s="12"/>
      <c r="B593" s="13"/>
      <c r="C593" s="14"/>
      <c r="D593" s="14"/>
      <c r="E593" s="15"/>
      <c r="F593" s="16"/>
      <c r="G593" s="18"/>
      <c r="H593" s="15"/>
      <c r="I593" s="18"/>
      <c r="J593" s="22"/>
      <c r="K593" s="108"/>
      <c r="L593" s="26"/>
      <c r="M593" s="26"/>
      <c r="N593" s="26"/>
    </row>
    <row r="594">
      <c r="A594" s="12"/>
      <c r="B594" s="13"/>
      <c r="C594" s="14"/>
      <c r="D594" s="14"/>
      <c r="E594" s="15"/>
      <c r="F594" s="16"/>
      <c r="G594" s="18"/>
      <c r="H594" s="15"/>
      <c r="I594" s="18"/>
      <c r="J594" s="22"/>
      <c r="K594" s="108"/>
      <c r="L594" s="26"/>
      <c r="M594" s="26"/>
      <c r="N594" s="26"/>
    </row>
    <row r="595">
      <c r="A595" s="12"/>
      <c r="B595" s="13"/>
      <c r="C595" s="14"/>
      <c r="D595" s="14"/>
      <c r="E595" s="15"/>
      <c r="F595" s="16"/>
      <c r="G595" s="18"/>
      <c r="H595" s="15"/>
      <c r="I595" s="18"/>
      <c r="J595" s="22"/>
      <c r="K595" s="108"/>
      <c r="L595" s="26"/>
      <c r="M595" s="26"/>
      <c r="N595" s="26"/>
    </row>
    <row r="596">
      <c r="A596" s="12"/>
      <c r="B596" s="13"/>
      <c r="C596" s="14"/>
      <c r="D596" s="14"/>
      <c r="E596" s="15"/>
      <c r="F596" s="16"/>
      <c r="G596" s="18"/>
      <c r="H596" s="15"/>
      <c r="I596" s="18"/>
      <c r="J596" s="22"/>
      <c r="K596" s="108"/>
      <c r="L596" s="26"/>
      <c r="M596" s="26"/>
      <c r="N596" s="26"/>
    </row>
    <row r="597">
      <c r="A597" s="12"/>
      <c r="B597" s="13"/>
      <c r="C597" s="14"/>
      <c r="D597" s="14"/>
      <c r="E597" s="15"/>
      <c r="F597" s="16"/>
      <c r="G597" s="18"/>
      <c r="H597" s="15"/>
      <c r="I597" s="18"/>
      <c r="J597" s="22"/>
      <c r="K597" s="108"/>
      <c r="L597" s="26"/>
      <c r="M597" s="26"/>
      <c r="N597" s="26"/>
    </row>
    <row r="598">
      <c r="A598" s="12"/>
      <c r="B598" s="13"/>
      <c r="C598" s="14"/>
      <c r="D598" s="14"/>
      <c r="E598" s="15"/>
      <c r="F598" s="16"/>
      <c r="G598" s="18"/>
      <c r="H598" s="15"/>
      <c r="I598" s="18"/>
      <c r="J598" s="22"/>
      <c r="K598" s="108"/>
      <c r="L598" s="26"/>
      <c r="M598" s="26"/>
      <c r="N598" s="26"/>
    </row>
    <row r="599">
      <c r="A599" s="12"/>
      <c r="B599" s="13"/>
      <c r="C599" s="14"/>
      <c r="D599" s="14"/>
      <c r="E599" s="15"/>
      <c r="F599" s="16"/>
      <c r="G599" s="18"/>
      <c r="H599" s="15"/>
      <c r="I599" s="18"/>
      <c r="J599" s="22"/>
      <c r="K599" s="108"/>
      <c r="L599" s="26"/>
      <c r="M599" s="26"/>
      <c r="N599" s="26"/>
    </row>
    <row r="600">
      <c r="A600" s="12"/>
      <c r="B600" s="13"/>
      <c r="C600" s="14"/>
      <c r="D600" s="14"/>
      <c r="E600" s="15"/>
      <c r="F600" s="16"/>
      <c r="G600" s="18"/>
      <c r="H600" s="15"/>
      <c r="I600" s="18"/>
      <c r="J600" s="22"/>
      <c r="K600" s="108"/>
      <c r="L600" s="26"/>
      <c r="M600" s="26"/>
      <c r="N600" s="26"/>
    </row>
    <row r="601">
      <c r="A601" s="12"/>
      <c r="B601" s="13"/>
      <c r="C601" s="14"/>
      <c r="D601" s="14"/>
      <c r="E601" s="15"/>
      <c r="F601" s="16"/>
      <c r="G601" s="18"/>
      <c r="H601" s="15"/>
      <c r="I601" s="18"/>
      <c r="J601" s="22"/>
      <c r="K601" s="108"/>
      <c r="L601" s="26"/>
      <c r="M601" s="26"/>
      <c r="N601" s="26"/>
    </row>
    <row r="602">
      <c r="A602" s="12"/>
      <c r="B602" s="13"/>
      <c r="C602" s="14"/>
      <c r="D602" s="14"/>
      <c r="E602" s="15"/>
      <c r="F602" s="16"/>
      <c r="G602" s="18"/>
      <c r="H602" s="15"/>
      <c r="I602" s="18"/>
      <c r="J602" s="22"/>
      <c r="K602" s="108"/>
      <c r="L602" s="26"/>
      <c r="M602" s="26"/>
      <c r="N602" s="26"/>
    </row>
    <row r="603">
      <c r="A603" s="12"/>
      <c r="B603" s="13"/>
      <c r="C603" s="14"/>
      <c r="D603" s="14"/>
      <c r="E603" s="15"/>
      <c r="F603" s="16"/>
      <c r="G603" s="18"/>
      <c r="H603" s="15"/>
      <c r="I603" s="18"/>
      <c r="J603" s="22"/>
      <c r="K603" s="108"/>
      <c r="L603" s="26"/>
      <c r="M603" s="26"/>
      <c r="N603" s="26"/>
    </row>
    <row r="604">
      <c r="A604" s="12"/>
      <c r="B604" s="13"/>
      <c r="C604" s="14"/>
      <c r="D604" s="14"/>
      <c r="E604" s="15"/>
      <c r="F604" s="16"/>
      <c r="G604" s="18"/>
      <c r="H604" s="15"/>
      <c r="I604" s="18"/>
      <c r="J604" s="22"/>
      <c r="K604" s="108"/>
      <c r="L604" s="26"/>
      <c r="M604" s="26"/>
      <c r="N604" s="26"/>
    </row>
    <row r="605">
      <c r="A605" s="12"/>
      <c r="B605" s="13"/>
      <c r="C605" s="14"/>
      <c r="D605" s="14"/>
      <c r="E605" s="15"/>
      <c r="F605" s="16"/>
      <c r="G605" s="18"/>
      <c r="H605" s="15"/>
      <c r="I605" s="18"/>
      <c r="J605" s="22"/>
      <c r="K605" s="108"/>
      <c r="L605" s="26"/>
      <c r="M605" s="26"/>
      <c r="N605" s="26"/>
    </row>
    <row r="606">
      <c r="A606" s="12"/>
      <c r="B606" s="13"/>
      <c r="C606" s="14"/>
      <c r="D606" s="14"/>
      <c r="E606" s="15"/>
      <c r="F606" s="16"/>
      <c r="G606" s="18"/>
      <c r="H606" s="15"/>
      <c r="I606" s="18"/>
      <c r="J606" s="22"/>
      <c r="K606" s="108"/>
      <c r="L606" s="26"/>
      <c r="M606" s="26"/>
      <c r="N606" s="26"/>
    </row>
    <row r="607">
      <c r="A607" s="12"/>
      <c r="B607" s="13"/>
      <c r="C607" s="14"/>
      <c r="D607" s="14"/>
      <c r="E607" s="15"/>
      <c r="F607" s="16"/>
      <c r="G607" s="18"/>
      <c r="H607" s="15"/>
      <c r="I607" s="18"/>
      <c r="J607" s="22"/>
      <c r="K607" s="108"/>
      <c r="L607" s="26"/>
      <c r="M607" s="26"/>
      <c r="N607" s="26"/>
    </row>
    <row r="608">
      <c r="A608" s="12"/>
      <c r="B608" s="13"/>
      <c r="C608" s="14"/>
      <c r="D608" s="14"/>
      <c r="E608" s="15"/>
      <c r="F608" s="16"/>
      <c r="G608" s="18"/>
      <c r="H608" s="15"/>
      <c r="I608" s="18"/>
      <c r="J608" s="22"/>
      <c r="K608" s="108"/>
      <c r="L608" s="26"/>
      <c r="M608" s="26"/>
      <c r="N608" s="26"/>
    </row>
    <row r="609">
      <c r="A609" s="12"/>
      <c r="B609" s="13"/>
      <c r="C609" s="14"/>
      <c r="D609" s="14"/>
      <c r="E609" s="15"/>
      <c r="F609" s="16"/>
      <c r="G609" s="18"/>
      <c r="H609" s="15"/>
      <c r="I609" s="18"/>
      <c r="J609" s="22"/>
      <c r="K609" s="108"/>
      <c r="L609" s="26"/>
      <c r="M609" s="26"/>
      <c r="N609" s="26"/>
    </row>
    <row r="610">
      <c r="A610" s="12"/>
      <c r="B610" s="13"/>
      <c r="C610" s="14"/>
      <c r="D610" s="14"/>
      <c r="E610" s="15"/>
      <c r="F610" s="16"/>
      <c r="G610" s="18"/>
      <c r="H610" s="15"/>
      <c r="I610" s="18"/>
      <c r="J610" s="22"/>
      <c r="K610" s="108"/>
      <c r="L610" s="26"/>
      <c r="M610" s="26"/>
      <c r="N610" s="26"/>
    </row>
    <row r="611">
      <c r="A611" s="12"/>
      <c r="B611" s="13"/>
      <c r="C611" s="14"/>
      <c r="D611" s="14"/>
      <c r="E611" s="15"/>
      <c r="F611" s="16"/>
      <c r="G611" s="18"/>
      <c r="H611" s="15"/>
      <c r="I611" s="18"/>
      <c r="J611" s="22"/>
      <c r="K611" s="108"/>
      <c r="L611" s="26"/>
      <c r="M611" s="26"/>
      <c r="N611" s="26"/>
    </row>
    <row r="612">
      <c r="A612" s="12"/>
      <c r="B612" s="13"/>
      <c r="C612" s="14"/>
      <c r="D612" s="14"/>
      <c r="E612" s="15"/>
      <c r="F612" s="16"/>
      <c r="G612" s="18"/>
      <c r="H612" s="15"/>
      <c r="I612" s="18"/>
      <c r="J612" s="22"/>
      <c r="K612" s="108"/>
      <c r="L612" s="26"/>
      <c r="M612" s="26"/>
      <c r="N612" s="26"/>
    </row>
    <row r="613">
      <c r="A613" s="12"/>
      <c r="B613" s="13"/>
      <c r="C613" s="14"/>
      <c r="D613" s="14"/>
      <c r="E613" s="15"/>
      <c r="F613" s="16"/>
      <c r="G613" s="18"/>
      <c r="H613" s="15"/>
      <c r="I613" s="18"/>
      <c r="J613" s="22"/>
      <c r="K613" s="108"/>
      <c r="L613" s="26"/>
      <c r="M613" s="26"/>
      <c r="N613" s="26"/>
    </row>
    <row r="614">
      <c r="A614" s="12"/>
      <c r="B614" s="13"/>
      <c r="C614" s="14"/>
      <c r="D614" s="14"/>
      <c r="E614" s="15"/>
      <c r="F614" s="16"/>
      <c r="G614" s="18"/>
      <c r="H614" s="15"/>
      <c r="I614" s="18"/>
      <c r="J614" s="22"/>
      <c r="K614" s="108"/>
      <c r="L614" s="26"/>
      <c r="M614" s="26"/>
      <c r="N614" s="26"/>
    </row>
    <row r="615">
      <c r="A615" s="12"/>
      <c r="B615" s="13"/>
      <c r="C615" s="14"/>
      <c r="D615" s="14"/>
      <c r="E615" s="15"/>
      <c r="F615" s="16"/>
      <c r="G615" s="18"/>
      <c r="H615" s="15"/>
      <c r="I615" s="18"/>
      <c r="J615" s="22"/>
      <c r="K615" s="108"/>
      <c r="L615" s="26"/>
      <c r="M615" s="26"/>
      <c r="N615" s="26"/>
    </row>
    <row r="616">
      <c r="A616" s="12"/>
      <c r="B616" s="13"/>
      <c r="C616" s="14"/>
      <c r="D616" s="14"/>
      <c r="E616" s="15"/>
      <c r="F616" s="16"/>
      <c r="G616" s="18"/>
      <c r="H616" s="15"/>
      <c r="I616" s="18"/>
      <c r="J616" s="22"/>
      <c r="K616" s="108"/>
      <c r="L616" s="26"/>
      <c r="M616" s="26"/>
      <c r="N616" s="26"/>
    </row>
    <row r="617">
      <c r="A617" s="12"/>
      <c r="B617" s="13"/>
      <c r="C617" s="14"/>
      <c r="D617" s="14"/>
      <c r="E617" s="15"/>
      <c r="F617" s="16"/>
      <c r="G617" s="18"/>
      <c r="H617" s="15"/>
      <c r="I617" s="18"/>
      <c r="J617" s="22"/>
      <c r="K617" s="108"/>
      <c r="L617" s="26"/>
      <c r="M617" s="26"/>
      <c r="N617" s="26"/>
    </row>
    <row r="618">
      <c r="A618" s="12"/>
      <c r="B618" s="13"/>
      <c r="C618" s="14"/>
      <c r="D618" s="14"/>
      <c r="E618" s="15"/>
      <c r="F618" s="16"/>
      <c r="G618" s="18"/>
      <c r="H618" s="15"/>
      <c r="I618" s="18"/>
      <c r="J618" s="22"/>
      <c r="K618" s="108"/>
      <c r="L618" s="26"/>
      <c r="M618" s="26"/>
      <c r="N618" s="26"/>
    </row>
    <row r="619">
      <c r="A619" s="12"/>
      <c r="B619" s="13"/>
      <c r="C619" s="14"/>
      <c r="D619" s="14"/>
      <c r="E619" s="15"/>
      <c r="F619" s="16"/>
      <c r="G619" s="18"/>
      <c r="H619" s="15"/>
      <c r="I619" s="18"/>
      <c r="J619" s="22"/>
      <c r="K619" s="108"/>
      <c r="L619" s="26"/>
      <c r="M619" s="26"/>
      <c r="N619" s="26"/>
    </row>
    <row r="620">
      <c r="A620" s="12"/>
      <c r="B620" s="13"/>
      <c r="C620" s="14"/>
      <c r="D620" s="14"/>
      <c r="E620" s="15"/>
      <c r="F620" s="16"/>
      <c r="G620" s="18"/>
      <c r="H620" s="15"/>
      <c r="I620" s="18"/>
      <c r="J620" s="22"/>
      <c r="K620" s="108"/>
      <c r="L620" s="26"/>
      <c r="M620" s="26"/>
      <c r="N620" s="26"/>
    </row>
    <row r="621">
      <c r="A621" s="12"/>
      <c r="B621" s="13"/>
      <c r="C621" s="14"/>
      <c r="D621" s="14"/>
      <c r="E621" s="15"/>
      <c r="F621" s="16"/>
      <c r="G621" s="18"/>
      <c r="H621" s="15"/>
      <c r="I621" s="18"/>
      <c r="J621" s="22"/>
      <c r="K621" s="108"/>
      <c r="L621" s="26"/>
      <c r="M621" s="26"/>
      <c r="N621" s="26"/>
    </row>
    <row r="622">
      <c r="A622" s="12"/>
      <c r="B622" s="13"/>
      <c r="C622" s="14"/>
      <c r="D622" s="14"/>
      <c r="E622" s="15"/>
      <c r="F622" s="16"/>
      <c r="G622" s="18"/>
      <c r="H622" s="15"/>
      <c r="I622" s="18"/>
      <c r="J622" s="22"/>
      <c r="K622" s="108"/>
      <c r="L622" s="26"/>
      <c r="M622" s="26"/>
      <c r="N622" s="26"/>
    </row>
    <row r="623">
      <c r="A623" s="12"/>
      <c r="B623" s="13"/>
      <c r="C623" s="14"/>
      <c r="D623" s="14"/>
      <c r="E623" s="15"/>
      <c r="F623" s="16"/>
      <c r="G623" s="18"/>
      <c r="H623" s="15"/>
      <c r="I623" s="18"/>
      <c r="J623" s="22"/>
      <c r="K623" s="108"/>
      <c r="L623" s="26"/>
      <c r="M623" s="26"/>
      <c r="N623" s="26"/>
    </row>
    <row r="624">
      <c r="A624" s="12"/>
      <c r="B624" s="13"/>
      <c r="C624" s="14"/>
      <c r="D624" s="14"/>
      <c r="E624" s="15"/>
      <c r="F624" s="16"/>
      <c r="G624" s="18"/>
      <c r="H624" s="15"/>
      <c r="I624" s="18"/>
      <c r="J624" s="22"/>
      <c r="K624" s="108"/>
      <c r="L624" s="26"/>
      <c r="M624" s="26"/>
      <c r="N624" s="26"/>
    </row>
    <row r="625">
      <c r="A625" s="12"/>
      <c r="B625" s="13"/>
      <c r="C625" s="14"/>
      <c r="D625" s="14"/>
      <c r="E625" s="15"/>
      <c r="F625" s="16"/>
      <c r="G625" s="18"/>
      <c r="H625" s="15"/>
      <c r="I625" s="18"/>
      <c r="J625" s="22"/>
      <c r="K625" s="108"/>
      <c r="L625" s="26"/>
      <c r="M625" s="26"/>
      <c r="N625" s="26"/>
    </row>
    <row r="626">
      <c r="A626" s="12"/>
      <c r="B626" s="13"/>
      <c r="C626" s="14"/>
      <c r="D626" s="14"/>
      <c r="E626" s="15"/>
      <c r="F626" s="16"/>
      <c r="G626" s="18"/>
      <c r="H626" s="15"/>
      <c r="I626" s="18"/>
      <c r="J626" s="22"/>
      <c r="K626" s="108"/>
      <c r="L626" s="26"/>
      <c r="M626" s="26"/>
      <c r="N626" s="26"/>
    </row>
    <row r="627">
      <c r="A627" s="12"/>
      <c r="B627" s="13"/>
      <c r="C627" s="14"/>
      <c r="D627" s="14"/>
      <c r="E627" s="15"/>
      <c r="F627" s="16"/>
      <c r="G627" s="18"/>
      <c r="H627" s="15"/>
      <c r="I627" s="18"/>
      <c r="J627" s="22"/>
      <c r="K627" s="108"/>
      <c r="L627" s="26"/>
      <c r="M627" s="26"/>
      <c r="N627" s="26"/>
    </row>
    <row r="628">
      <c r="A628" s="12"/>
      <c r="B628" s="13"/>
      <c r="C628" s="14"/>
      <c r="D628" s="14"/>
      <c r="E628" s="15"/>
      <c r="F628" s="16"/>
      <c r="G628" s="18"/>
      <c r="H628" s="15"/>
      <c r="I628" s="18"/>
      <c r="J628" s="22"/>
      <c r="K628" s="108"/>
      <c r="L628" s="26"/>
      <c r="M628" s="26"/>
      <c r="N628" s="26"/>
    </row>
    <row r="629">
      <c r="A629" s="12"/>
      <c r="B629" s="13"/>
      <c r="C629" s="14"/>
      <c r="D629" s="14"/>
      <c r="E629" s="15"/>
      <c r="F629" s="16"/>
      <c r="G629" s="18"/>
      <c r="H629" s="15"/>
      <c r="I629" s="18"/>
      <c r="J629" s="22"/>
      <c r="K629" s="108"/>
      <c r="L629" s="26"/>
      <c r="M629" s="26"/>
      <c r="N629" s="26"/>
    </row>
    <row r="630">
      <c r="A630" s="12"/>
      <c r="B630" s="13"/>
      <c r="C630" s="14"/>
      <c r="D630" s="14"/>
      <c r="E630" s="15"/>
      <c r="F630" s="16"/>
      <c r="G630" s="18"/>
      <c r="H630" s="15"/>
      <c r="I630" s="18"/>
      <c r="J630" s="22"/>
      <c r="K630" s="108"/>
      <c r="L630" s="26"/>
      <c r="M630" s="26"/>
      <c r="N630" s="26"/>
    </row>
    <row r="631">
      <c r="A631" s="12"/>
      <c r="B631" s="13"/>
      <c r="C631" s="14"/>
      <c r="D631" s="14"/>
      <c r="E631" s="15"/>
      <c r="F631" s="16"/>
      <c r="G631" s="18"/>
      <c r="H631" s="15"/>
      <c r="I631" s="18"/>
      <c r="J631" s="22"/>
      <c r="K631" s="108"/>
      <c r="L631" s="26"/>
      <c r="M631" s="26"/>
      <c r="N631" s="26"/>
    </row>
    <row r="632">
      <c r="A632" s="12"/>
      <c r="B632" s="13"/>
      <c r="C632" s="14"/>
      <c r="D632" s="14"/>
      <c r="E632" s="15"/>
      <c r="F632" s="16"/>
      <c r="G632" s="18"/>
      <c r="H632" s="15"/>
      <c r="I632" s="18"/>
      <c r="J632" s="22"/>
      <c r="K632" s="108"/>
      <c r="L632" s="26"/>
      <c r="M632" s="26"/>
      <c r="N632" s="26"/>
    </row>
    <row r="633">
      <c r="A633" s="12"/>
      <c r="B633" s="13"/>
      <c r="C633" s="14"/>
      <c r="D633" s="14"/>
      <c r="E633" s="15"/>
      <c r="F633" s="16"/>
      <c r="G633" s="18"/>
      <c r="H633" s="15"/>
      <c r="I633" s="18"/>
      <c r="J633" s="22"/>
      <c r="K633" s="108"/>
      <c r="L633" s="26"/>
      <c r="M633" s="26"/>
      <c r="N633" s="26"/>
    </row>
    <row r="634">
      <c r="A634" s="12"/>
      <c r="B634" s="13"/>
      <c r="C634" s="14"/>
      <c r="D634" s="14"/>
      <c r="E634" s="15"/>
      <c r="F634" s="16"/>
      <c r="G634" s="18"/>
      <c r="H634" s="15"/>
      <c r="I634" s="18"/>
      <c r="J634" s="22"/>
      <c r="K634" s="108"/>
      <c r="L634" s="26"/>
      <c r="M634" s="26"/>
      <c r="N634" s="26"/>
    </row>
    <row r="635">
      <c r="A635" s="12"/>
      <c r="B635" s="13"/>
      <c r="C635" s="14"/>
      <c r="D635" s="14"/>
      <c r="E635" s="15"/>
      <c r="F635" s="16"/>
      <c r="G635" s="18"/>
      <c r="H635" s="15"/>
      <c r="I635" s="18"/>
      <c r="J635" s="22"/>
      <c r="K635" s="108"/>
      <c r="L635" s="26"/>
      <c r="M635" s="26"/>
      <c r="N635" s="26"/>
    </row>
    <row r="636">
      <c r="A636" s="12"/>
      <c r="B636" s="13"/>
      <c r="C636" s="14"/>
      <c r="D636" s="14"/>
      <c r="E636" s="15"/>
      <c r="F636" s="16"/>
      <c r="G636" s="18"/>
      <c r="H636" s="15"/>
      <c r="I636" s="18"/>
      <c r="J636" s="22"/>
      <c r="K636" s="108"/>
      <c r="L636" s="26"/>
      <c r="M636" s="26"/>
      <c r="N636" s="26"/>
    </row>
    <row r="637">
      <c r="A637" s="12"/>
      <c r="B637" s="13"/>
      <c r="C637" s="14"/>
      <c r="D637" s="14"/>
      <c r="E637" s="15"/>
      <c r="F637" s="16"/>
      <c r="G637" s="18"/>
      <c r="H637" s="15"/>
      <c r="I637" s="18"/>
      <c r="J637" s="22"/>
      <c r="K637" s="108"/>
      <c r="L637" s="26"/>
      <c r="M637" s="26"/>
      <c r="N637" s="26"/>
    </row>
    <row r="638">
      <c r="A638" s="12"/>
      <c r="B638" s="13"/>
      <c r="C638" s="14"/>
      <c r="D638" s="14"/>
      <c r="E638" s="15"/>
      <c r="F638" s="16"/>
      <c r="G638" s="18"/>
      <c r="H638" s="15"/>
      <c r="I638" s="18"/>
      <c r="J638" s="22"/>
      <c r="K638" s="108"/>
      <c r="L638" s="26"/>
      <c r="M638" s="26"/>
      <c r="N638" s="26"/>
    </row>
    <row r="639">
      <c r="A639" s="12"/>
      <c r="B639" s="13"/>
      <c r="C639" s="14"/>
      <c r="D639" s="14"/>
      <c r="E639" s="15"/>
      <c r="F639" s="16"/>
      <c r="G639" s="18"/>
      <c r="H639" s="15"/>
      <c r="I639" s="18"/>
      <c r="J639" s="22"/>
      <c r="K639" s="108"/>
      <c r="L639" s="26"/>
      <c r="M639" s="26"/>
      <c r="N639" s="26"/>
    </row>
    <row r="640">
      <c r="A640" s="12"/>
      <c r="B640" s="13"/>
      <c r="C640" s="14"/>
      <c r="D640" s="14"/>
      <c r="E640" s="15"/>
      <c r="F640" s="16"/>
      <c r="G640" s="18"/>
      <c r="H640" s="15"/>
      <c r="I640" s="18"/>
      <c r="J640" s="22"/>
      <c r="K640" s="108"/>
      <c r="L640" s="26"/>
      <c r="M640" s="26"/>
      <c r="N640" s="26"/>
    </row>
    <row r="641">
      <c r="A641" s="12"/>
      <c r="B641" s="13"/>
      <c r="C641" s="14"/>
      <c r="D641" s="14"/>
      <c r="E641" s="15"/>
      <c r="F641" s="16"/>
      <c r="G641" s="18"/>
      <c r="H641" s="15"/>
      <c r="I641" s="18"/>
      <c r="J641" s="22"/>
      <c r="K641" s="108"/>
      <c r="L641" s="26"/>
      <c r="M641" s="26"/>
      <c r="N641" s="26"/>
    </row>
    <row r="642">
      <c r="A642" s="12"/>
      <c r="B642" s="13"/>
      <c r="C642" s="14"/>
      <c r="D642" s="14"/>
      <c r="E642" s="15"/>
      <c r="F642" s="16"/>
      <c r="G642" s="18"/>
      <c r="H642" s="15"/>
      <c r="I642" s="18"/>
      <c r="J642" s="22"/>
      <c r="K642" s="108"/>
      <c r="L642" s="26"/>
      <c r="M642" s="26"/>
      <c r="N642" s="26"/>
    </row>
    <row r="643">
      <c r="A643" s="12"/>
      <c r="B643" s="13"/>
      <c r="C643" s="14"/>
      <c r="D643" s="14"/>
      <c r="E643" s="15"/>
      <c r="F643" s="16"/>
      <c r="G643" s="18"/>
      <c r="H643" s="15"/>
      <c r="I643" s="18"/>
      <c r="J643" s="22"/>
      <c r="K643" s="108"/>
      <c r="L643" s="26"/>
      <c r="M643" s="26"/>
      <c r="N643" s="26"/>
    </row>
    <row r="644">
      <c r="A644" s="12"/>
      <c r="B644" s="13"/>
      <c r="C644" s="14"/>
      <c r="D644" s="14"/>
      <c r="E644" s="15"/>
      <c r="F644" s="16"/>
      <c r="G644" s="18"/>
      <c r="H644" s="15"/>
      <c r="I644" s="18"/>
      <c r="J644" s="22"/>
      <c r="K644" s="108"/>
      <c r="L644" s="26"/>
      <c r="M644" s="26"/>
      <c r="N644" s="26"/>
    </row>
    <row r="645">
      <c r="A645" s="12"/>
      <c r="B645" s="13"/>
      <c r="C645" s="14"/>
      <c r="D645" s="14"/>
      <c r="E645" s="15"/>
      <c r="F645" s="16"/>
      <c r="G645" s="18"/>
      <c r="H645" s="15"/>
      <c r="I645" s="18"/>
      <c r="J645" s="22"/>
      <c r="K645" s="108"/>
      <c r="L645" s="26"/>
      <c r="M645" s="26"/>
      <c r="N645" s="26"/>
    </row>
    <row r="646">
      <c r="A646" s="12"/>
      <c r="B646" s="13"/>
      <c r="C646" s="14"/>
      <c r="D646" s="14"/>
      <c r="E646" s="15"/>
      <c r="F646" s="16"/>
      <c r="G646" s="18"/>
      <c r="H646" s="15"/>
      <c r="I646" s="18"/>
      <c r="J646" s="22"/>
      <c r="K646" s="108"/>
      <c r="L646" s="26"/>
      <c r="M646" s="26"/>
      <c r="N646" s="26"/>
    </row>
    <row r="647">
      <c r="A647" s="12"/>
      <c r="B647" s="13"/>
      <c r="C647" s="14"/>
      <c r="D647" s="14"/>
      <c r="E647" s="15"/>
      <c r="F647" s="16"/>
      <c r="G647" s="18"/>
      <c r="H647" s="15"/>
      <c r="I647" s="18"/>
      <c r="J647" s="22"/>
      <c r="K647" s="108"/>
      <c r="L647" s="26"/>
      <c r="M647" s="26"/>
      <c r="N647" s="26"/>
    </row>
    <row r="648">
      <c r="A648" s="12"/>
      <c r="B648" s="13"/>
      <c r="C648" s="14"/>
      <c r="D648" s="14"/>
      <c r="E648" s="15"/>
      <c r="F648" s="16"/>
      <c r="G648" s="18"/>
      <c r="H648" s="15"/>
      <c r="I648" s="18"/>
      <c r="J648" s="22"/>
      <c r="K648" s="108"/>
      <c r="L648" s="26"/>
      <c r="M648" s="26"/>
      <c r="N648" s="26"/>
    </row>
    <row r="649">
      <c r="A649" s="12"/>
      <c r="B649" s="13"/>
      <c r="C649" s="14"/>
      <c r="D649" s="14"/>
      <c r="E649" s="15"/>
      <c r="F649" s="16"/>
      <c r="G649" s="18"/>
      <c r="H649" s="15"/>
      <c r="I649" s="18"/>
      <c r="J649" s="22"/>
      <c r="K649" s="108"/>
      <c r="L649" s="26"/>
      <c r="M649" s="26"/>
      <c r="N649" s="26"/>
    </row>
    <row r="650">
      <c r="A650" s="12"/>
      <c r="B650" s="13"/>
      <c r="C650" s="14"/>
      <c r="D650" s="14"/>
      <c r="E650" s="15"/>
      <c r="F650" s="16"/>
      <c r="G650" s="18"/>
      <c r="H650" s="15"/>
      <c r="I650" s="18"/>
      <c r="J650" s="22"/>
      <c r="K650" s="108"/>
      <c r="L650" s="26"/>
      <c r="M650" s="26"/>
      <c r="N650" s="26"/>
    </row>
    <row r="651">
      <c r="A651" s="12"/>
      <c r="B651" s="13"/>
      <c r="C651" s="14"/>
      <c r="D651" s="14"/>
      <c r="E651" s="15"/>
      <c r="F651" s="16"/>
      <c r="G651" s="18"/>
      <c r="H651" s="15"/>
      <c r="I651" s="18"/>
      <c r="J651" s="22"/>
      <c r="K651" s="108"/>
      <c r="L651" s="26"/>
      <c r="M651" s="26"/>
      <c r="N651" s="26"/>
    </row>
    <row r="652">
      <c r="A652" s="12"/>
      <c r="B652" s="13"/>
      <c r="C652" s="14"/>
      <c r="D652" s="14"/>
      <c r="E652" s="15"/>
      <c r="F652" s="16"/>
      <c r="G652" s="18"/>
      <c r="H652" s="15"/>
      <c r="I652" s="18"/>
      <c r="J652" s="22"/>
      <c r="K652" s="108"/>
      <c r="L652" s="26"/>
      <c r="M652" s="26"/>
      <c r="N652" s="26"/>
    </row>
    <row r="653">
      <c r="A653" s="12"/>
      <c r="B653" s="13"/>
      <c r="C653" s="14"/>
      <c r="D653" s="14"/>
      <c r="E653" s="15"/>
      <c r="F653" s="16"/>
      <c r="G653" s="18"/>
      <c r="H653" s="15"/>
      <c r="I653" s="18"/>
      <c r="J653" s="22"/>
      <c r="K653" s="108"/>
      <c r="L653" s="26"/>
      <c r="M653" s="26"/>
      <c r="N653" s="26"/>
    </row>
    <row r="654">
      <c r="A654" s="12"/>
      <c r="B654" s="13"/>
      <c r="C654" s="14"/>
      <c r="D654" s="14"/>
      <c r="E654" s="15"/>
      <c r="F654" s="16"/>
      <c r="G654" s="18"/>
      <c r="H654" s="15"/>
      <c r="I654" s="18"/>
      <c r="J654" s="22"/>
      <c r="K654" s="108"/>
      <c r="L654" s="26"/>
      <c r="M654" s="26"/>
      <c r="N654" s="26"/>
    </row>
    <row r="655">
      <c r="A655" s="12"/>
      <c r="B655" s="13"/>
      <c r="C655" s="14"/>
      <c r="D655" s="14"/>
      <c r="E655" s="15"/>
      <c r="F655" s="16"/>
      <c r="G655" s="18"/>
      <c r="H655" s="15"/>
      <c r="I655" s="18"/>
      <c r="J655" s="22"/>
      <c r="K655" s="108"/>
      <c r="L655" s="26"/>
      <c r="M655" s="26"/>
      <c r="N655" s="26"/>
    </row>
    <row r="656">
      <c r="A656" s="12"/>
      <c r="B656" s="13"/>
      <c r="C656" s="14"/>
      <c r="D656" s="14"/>
      <c r="E656" s="15"/>
      <c r="F656" s="16"/>
      <c r="G656" s="18"/>
      <c r="H656" s="15"/>
      <c r="I656" s="18"/>
      <c r="J656" s="22"/>
      <c r="K656" s="108"/>
      <c r="L656" s="26"/>
      <c r="M656" s="26"/>
      <c r="N656" s="26"/>
    </row>
    <row r="657">
      <c r="A657" s="12"/>
      <c r="B657" s="13"/>
      <c r="C657" s="14"/>
      <c r="D657" s="14"/>
      <c r="E657" s="15"/>
      <c r="F657" s="16"/>
      <c r="G657" s="18"/>
      <c r="H657" s="15"/>
      <c r="I657" s="18"/>
      <c r="J657" s="22"/>
      <c r="K657" s="108"/>
      <c r="L657" s="26"/>
      <c r="M657" s="26"/>
      <c r="N657" s="26"/>
    </row>
    <row r="658">
      <c r="A658" s="12"/>
      <c r="B658" s="13"/>
      <c r="C658" s="14"/>
      <c r="D658" s="14"/>
      <c r="E658" s="15"/>
      <c r="F658" s="16"/>
      <c r="G658" s="18"/>
      <c r="H658" s="15"/>
      <c r="I658" s="18"/>
      <c r="J658" s="22"/>
      <c r="K658" s="108"/>
      <c r="L658" s="26"/>
      <c r="M658" s="26"/>
      <c r="N658" s="26"/>
    </row>
    <row r="659">
      <c r="A659" s="12"/>
      <c r="B659" s="13"/>
      <c r="C659" s="14"/>
      <c r="D659" s="14"/>
      <c r="E659" s="15"/>
      <c r="F659" s="16"/>
      <c r="G659" s="18"/>
      <c r="H659" s="15"/>
      <c r="I659" s="18"/>
      <c r="J659" s="22"/>
      <c r="K659" s="108"/>
      <c r="L659" s="26"/>
      <c r="M659" s="26"/>
      <c r="N659" s="26"/>
    </row>
    <row r="660">
      <c r="A660" s="12"/>
      <c r="B660" s="13"/>
      <c r="C660" s="14"/>
      <c r="D660" s="14"/>
      <c r="E660" s="15"/>
      <c r="F660" s="16"/>
      <c r="G660" s="18"/>
      <c r="H660" s="15"/>
      <c r="I660" s="18"/>
      <c r="J660" s="22"/>
      <c r="K660" s="108"/>
      <c r="L660" s="26"/>
      <c r="M660" s="26"/>
      <c r="N660" s="26"/>
    </row>
    <row r="661">
      <c r="A661" s="12"/>
      <c r="B661" s="13"/>
      <c r="C661" s="14"/>
      <c r="D661" s="14"/>
      <c r="E661" s="15"/>
      <c r="F661" s="16"/>
      <c r="G661" s="18"/>
      <c r="H661" s="15"/>
      <c r="I661" s="18"/>
      <c r="J661" s="22"/>
      <c r="K661" s="108"/>
      <c r="L661" s="26"/>
      <c r="M661" s="26"/>
      <c r="N661" s="26"/>
    </row>
    <row r="662">
      <c r="A662" s="12"/>
      <c r="B662" s="13"/>
      <c r="C662" s="14"/>
      <c r="D662" s="14"/>
      <c r="E662" s="15"/>
      <c r="F662" s="16"/>
      <c r="G662" s="18"/>
      <c r="H662" s="15"/>
      <c r="I662" s="18"/>
      <c r="J662" s="22"/>
      <c r="K662" s="108"/>
      <c r="L662" s="26"/>
      <c r="M662" s="26"/>
      <c r="N662" s="26"/>
    </row>
    <row r="663">
      <c r="A663" s="12"/>
      <c r="B663" s="13"/>
      <c r="C663" s="14"/>
      <c r="D663" s="14"/>
      <c r="E663" s="15"/>
      <c r="F663" s="16"/>
      <c r="G663" s="18"/>
      <c r="H663" s="15"/>
      <c r="I663" s="18"/>
      <c r="J663" s="22"/>
      <c r="K663" s="108"/>
      <c r="L663" s="26"/>
      <c r="M663" s="26"/>
      <c r="N663" s="26"/>
    </row>
    <row r="664">
      <c r="A664" s="12"/>
      <c r="B664" s="13"/>
      <c r="C664" s="14"/>
      <c r="D664" s="14"/>
      <c r="E664" s="15"/>
      <c r="F664" s="16"/>
      <c r="G664" s="18"/>
      <c r="H664" s="15"/>
      <c r="I664" s="18"/>
      <c r="J664" s="22"/>
      <c r="K664" s="108"/>
      <c r="L664" s="26"/>
      <c r="M664" s="26"/>
      <c r="N664" s="26"/>
    </row>
    <row r="665">
      <c r="A665" s="12"/>
      <c r="B665" s="13"/>
      <c r="C665" s="14"/>
      <c r="D665" s="14"/>
      <c r="E665" s="15"/>
      <c r="F665" s="16"/>
      <c r="G665" s="18"/>
      <c r="H665" s="15"/>
      <c r="I665" s="18"/>
      <c r="J665" s="22"/>
      <c r="K665" s="108"/>
      <c r="L665" s="26"/>
      <c r="M665" s="26"/>
      <c r="N665" s="26"/>
    </row>
    <row r="666">
      <c r="A666" s="12"/>
      <c r="B666" s="13"/>
      <c r="C666" s="14"/>
      <c r="D666" s="14"/>
      <c r="E666" s="15"/>
      <c r="F666" s="16"/>
      <c r="G666" s="18"/>
      <c r="H666" s="15"/>
      <c r="I666" s="18"/>
      <c r="J666" s="22"/>
      <c r="K666" s="108"/>
      <c r="L666" s="26"/>
      <c r="M666" s="26"/>
      <c r="N666" s="26"/>
    </row>
    <row r="667">
      <c r="A667" s="12"/>
      <c r="B667" s="13"/>
      <c r="C667" s="14"/>
      <c r="D667" s="14"/>
      <c r="E667" s="15"/>
      <c r="F667" s="16"/>
      <c r="G667" s="18"/>
      <c r="H667" s="15"/>
      <c r="I667" s="18"/>
      <c r="J667" s="22"/>
      <c r="K667" s="108"/>
      <c r="L667" s="26"/>
      <c r="M667" s="26"/>
      <c r="N667" s="26"/>
    </row>
    <row r="668">
      <c r="A668" s="12"/>
      <c r="B668" s="13"/>
      <c r="C668" s="14"/>
      <c r="D668" s="14"/>
      <c r="E668" s="15"/>
      <c r="F668" s="16"/>
      <c r="G668" s="18"/>
      <c r="H668" s="15"/>
      <c r="I668" s="18"/>
      <c r="J668" s="22"/>
      <c r="K668" s="108"/>
      <c r="L668" s="26"/>
      <c r="M668" s="26"/>
      <c r="N668" s="26"/>
    </row>
    <row r="669">
      <c r="A669" s="12"/>
      <c r="B669" s="13"/>
      <c r="C669" s="14"/>
      <c r="D669" s="14"/>
      <c r="E669" s="15"/>
      <c r="F669" s="16"/>
      <c r="G669" s="18"/>
      <c r="H669" s="15"/>
      <c r="I669" s="18"/>
      <c r="J669" s="22"/>
      <c r="K669" s="108"/>
      <c r="L669" s="26"/>
      <c r="M669" s="26"/>
      <c r="N669" s="26"/>
    </row>
    <row r="670">
      <c r="A670" s="12"/>
      <c r="B670" s="13"/>
      <c r="C670" s="14"/>
      <c r="D670" s="14"/>
      <c r="E670" s="15"/>
      <c r="F670" s="16"/>
      <c r="G670" s="18"/>
      <c r="H670" s="15"/>
      <c r="I670" s="18"/>
      <c r="J670" s="22"/>
      <c r="K670" s="108"/>
      <c r="L670" s="26"/>
      <c r="M670" s="26"/>
      <c r="N670" s="26"/>
    </row>
    <row r="671">
      <c r="A671" s="12"/>
      <c r="B671" s="13"/>
      <c r="C671" s="14"/>
      <c r="D671" s="14"/>
      <c r="E671" s="15"/>
      <c r="F671" s="16"/>
      <c r="G671" s="18"/>
      <c r="H671" s="15"/>
      <c r="I671" s="18"/>
      <c r="J671" s="22"/>
      <c r="K671" s="108"/>
      <c r="L671" s="26"/>
      <c r="M671" s="26"/>
      <c r="N671" s="26"/>
    </row>
    <row r="672">
      <c r="A672" s="12"/>
      <c r="B672" s="13"/>
      <c r="C672" s="14"/>
      <c r="D672" s="14"/>
      <c r="E672" s="15"/>
      <c r="F672" s="16"/>
      <c r="G672" s="18"/>
      <c r="H672" s="15"/>
      <c r="I672" s="18"/>
      <c r="J672" s="22"/>
      <c r="K672" s="108"/>
      <c r="L672" s="26"/>
      <c r="M672" s="26"/>
      <c r="N672" s="26"/>
    </row>
    <row r="673">
      <c r="A673" s="12"/>
      <c r="B673" s="13"/>
      <c r="C673" s="14"/>
      <c r="D673" s="14"/>
      <c r="E673" s="15"/>
      <c r="F673" s="16"/>
      <c r="G673" s="18"/>
      <c r="H673" s="15"/>
      <c r="I673" s="18"/>
      <c r="J673" s="22"/>
      <c r="K673" s="108"/>
      <c r="L673" s="26"/>
      <c r="M673" s="26"/>
      <c r="N673" s="26"/>
    </row>
    <row r="674">
      <c r="A674" s="12"/>
      <c r="B674" s="13"/>
      <c r="C674" s="14"/>
      <c r="D674" s="14"/>
      <c r="E674" s="15"/>
      <c r="F674" s="16"/>
      <c r="G674" s="18"/>
      <c r="H674" s="15"/>
      <c r="I674" s="18"/>
      <c r="J674" s="22"/>
      <c r="K674" s="108"/>
      <c r="L674" s="26"/>
      <c r="M674" s="26"/>
      <c r="N674" s="26"/>
    </row>
    <row r="675">
      <c r="A675" s="12"/>
      <c r="B675" s="13"/>
      <c r="C675" s="14"/>
      <c r="D675" s="14"/>
      <c r="E675" s="15"/>
      <c r="F675" s="16"/>
      <c r="G675" s="18"/>
      <c r="H675" s="15"/>
      <c r="I675" s="18"/>
      <c r="J675" s="22"/>
      <c r="K675" s="108"/>
      <c r="L675" s="26"/>
      <c r="M675" s="26"/>
      <c r="N675" s="26"/>
    </row>
    <row r="676">
      <c r="A676" s="12"/>
      <c r="B676" s="13"/>
      <c r="C676" s="14"/>
      <c r="D676" s="14"/>
      <c r="E676" s="15"/>
      <c r="F676" s="16"/>
      <c r="G676" s="18"/>
      <c r="H676" s="15"/>
      <c r="I676" s="18"/>
      <c r="J676" s="22"/>
      <c r="K676" s="108"/>
      <c r="L676" s="26"/>
      <c r="M676" s="26"/>
      <c r="N676" s="26"/>
    </row>
    <row r="677">
      <c r="A677" s="12"/>
      <c r="B677" s="13"/>
      <c r="C677" s="14"/>
      <c r="D677" s="14"/>
      <c r="E677" s="15"/>
      <c r="F677" s="16"/>
      <c r="G677" s="18"/>
      <c r="H677" s="15"/>
      <c r="I677" s="18"/>
      <c r="J677" s="22"/>
      <c r="K677" s="108"/>
      <c r="L677" s="26"/>
      <c r="M677" s="26"/>
      <c r="N677" s="26"/>
    </row>
    <row r="678">
      <c r="A678" s="12"/>
      <c r="B678" s="13"/>
      <c r="C678" s="14"/>
      <c r="D678" s="14"/>
      <c r="E678" s="15"/>
      <c r="F678" s="16"/>
      <c r="G678" s="18"/>
      <c r="H678" s="15"/>
      <c r="I678" s="18"/>
      <c r="J678" s="22"/>
      <c r="K678" s="108"/>
      <c r="L678" s="26"/>
      <c r="M678" s="26"/>
      <c r="N678" s="26"/>
    </row>
    <row r="679">
      <c r="A679" s="12"/>
      <c r="B679" s="13"/>
      <c r="C679" s="14"/>
      <c r="D679" s="14"/>
      <c r="E679" s="15"/>
      <c r="F679" s="16"/>
      <c r="G679" s="18"/>
      <c r="H679" s="15"/>
      <c r="I679" s="18"/>
      <c r="J679" s="22"/>
      <c r="K679" s="108"/>
      <c r="L679" s="26"/>
      <c r="M679" s="26"/>
      <c r="N679" s="26"/>
    </row>
    <row r="680">
      <c r="A680" s="12"/>
      <c r="B680" s="13"/>
      <c r="C680" s="14"/>
      <c r="D680" s="14"/>
      <c r="E680" s="15"/>
      <c r="F680" s="16"/>
      <c r="G680" s="18"/>
      <c r="H680" s="15"/>
      <c r="I680" s="18"/>
      <c r="J680" s="22"/>
      <c r="K680" s="108"/>
      <c r="L680" s="26"/>
      <c r="M680" s="26"/>
      <c r="N680" s="26"/>
    </row>
    <row r="681">
      <c r="A681" s="12"/>
      <c r="B681" s="13"/>
      <c r="C681" s="14"/>
      <c r="D681" s="14"/>
      <c r="E681" s="15"/>
      <c r="F681" s="16"/>
      <c r="G681" s="18"/>
      <c r="H681" s="15"/>
      <c r="I681" s="18"/>
      <c r="J681" s="22"/>
      <c r="K681" s="108"/>
      <c r="L681" s="26"/>
      <c r="M681" s="26"/>
      <c r="N681" s="26"/>
    </row>
    <row r="682">
      <c r="A682" s="12"/>
      <c r="B682" s="13"/>
      <c r="C682" s="14"/>
      <c r="D682" s="14"/>
      <c r="E682" s="15"/>
      <c r="F682" s="16"/>
      <c r="G682" s="18"/>
      <c r="H682" s="15"/>
      <c r="I682" s="18"/>
      <c r="J682" s="22"/>
      <c r="K682" s="108"/>
      <c r="L682" s="26"/>
      <c r="M682" s="26"/>
      <c r="N682" s="26"/>
    </row>
    <row r="683">
      <c r="A683" s="12"/>
      <c r="B683" s="13"/>
      <c r="C683" s="14"/>
      <c r="D683" s="14"/>
      <c r="E683" s="15"/>
      <c r="F683" s="16"/>
      <c r="G683" s="18"/>
      <c r="H683" s="15"/>
      <c r="I683" s="18"/>
      <c r="J683" s="22"/>
      <c r="K683" s="108"/>
      <c r="L683" s="26"/>
      <c r="M683" s="26"/>
      <c r="N683" s="26"/>
    </row>
    <row r="684">
      <c r="A684" s="12"/>
      <c r="B684" s="13"/>
      <c r="C684" s="14"/>
      <c r="D684" s="14"/>
      <c r="E684" s="15"/>
      <c r="F684" s="16"/>
      <c r="G684" s="18"/>
      <c r="H684" s="15"/>
      <c r="I684" s="18"/>
      <c r="J684" s="22"/>
      <c r="K684" s="108"/>
      <c r="L684" s="26"/>
      <c r="M684" s="26"/>
      <c r="N684" s="26"/>
    </row>
    <row r="685">
      <c r="A685" s="12"/>
      <c r="B685" s="13"/>
      <c r="C685" s="14"/>
      <c r="D685" s="14"/>
      <c r="E685" s="15"/>
      <c r="F685" s="16"/>
      <c r="G685" s="18"/>
      <c r="H685" s="15"/>
      <c r="I685" s="18"/>
      <c r="J685" s="22"/>
      <c r="K685" s="108"/>
      <c r="L685" s="26"/>
      <c r="M685" s="26"/>
      <c r="N685" s="26"/>
    </row>
    <row r="686">
      <c r="A686" s="12"/>
      <c r="B686" s="13"/>
      <c r="C686" s="14"/>
      <c r="D686" s="14"/>
      <c r="E686" s="15"/>
      <c r="F686" s="16"/>
      <c r="G686" s="18"/>
      <c r="H686" s="15"/>
      <c r="I686" s="18"/>
      <c r="J686" s="22"/>
      <c r="K686" s="108"/>
      <c r="L686" s="26"/>
      <c r="M686" s="26"/>
      <c r="N686" s="26"/>
    </row>
    <row r="687">
      <c r="A687" s="12"/>
      <c r="B687" s="13"/>
      <c r="C687" s="14"/>
      <c r="D687" s="14"/>
      <c r="E687" s="15"/>
      <c r="F687" s="16"/>
      <c r="G687" s="18"/>
      <c r="H687" s="15"/>
      <c r="I687" s="18"/>
      <c r="J687" s="22"/>
      <c r="K687" s="108"/>
      <c r="L687" s="26"/>
      <c r="M687" s="26"/>
      <c r="N687" s="26"/>
    </row>
    <row r="688">
      <c r="A688" s="12"/>
      <c r="B688" s="13"/>
      <c r="C688" s="14"/>
      <c r="D688" s="14"/>
      <c r="E688" s="15"/>
      <c r="F688" s="16"/>
      <c r="G688" s="18"/>
      <c r="H688" s="15"/>
      <c r="I688" s="18"/>
      <c r="J688" s="22"/>
      <c r="K688" s="108"/>
      <c r="L688" s="26"/>
      <c r="M688" s="26"/>
      <c r="N688" s="26"/>
    </row>
    <row r="689">
      <c r="A689" s="12"/>
      <c r="B689" s="13"/>
      <c r="C689" s="14"/>
      <c r="D689" s="14"/>
      <c r="E689" s="15"/>
      <c r="F689" s="16"/>
      <c r="G689" s="18"/>
      <c r="H689" s="15"/>
      <c r="I689" s="18"/>
      <c r="J689" s="22"/>
      <c r="K689" s="108"/>
      <c r="L689" s="26"/>
      <c r="M689" s="26"/>
      <c r="N689" s="26"/>
    </row>
    <row r="690">
      <c r="A690" s="12"/>
      <c r="B690" s="13"/>
      <c r="C690" s="14"/>
      <c r="D690" s="14"/>
      <c r="E690" s="15"/>
      <c r="F690" s="16"/>
      <c r="G690" s="18"/>
      <c r="H690" s="15"/>
      <c r="I690" s="18"/>
      <c r="J690" s="22"/>
      <c r="K690" s="108"/>
      <c r="L690" s="26"/>
      <c r="M690" s="26"/>
      <c r="N690" s="26"/>
    </row>
    <row r="691">
      <c r="A691" s="12"/>
      <c r="B691" s="13"/>
      <c r="C691" s="14"/>
      <c r="D691" s="14"/>
      <c r="E691" s="15"/>
      <c r="F691" s="16"/>
      <c r="G691" s="18"/>
      <c r="H691" s="15"/>
      <c r="I691" s="18"/>
      <c r="J691" s="22"/>
      <c r="K691" s="108"/>
      <c r="L691" s="26"/>
      <c r="M691" s="26"/>
      <c r="N691" s="26"/>
    </row>
    <row r="692">
      <c r="A692" s="12"/>
      <c r="B692" s="13"/>
      <c r="C692" s="14"/>
      <c r="D692" s="14"/>
      <c r="E692" s="15"/>
      <c r="F692" s="16"/>
      <c r="G692" s="18"/>
      <c r="H692" s="15"/>
      <c r="I692" s="18"/>
      <c r="J692" s="22"/>
      <c r="K692" s="108"/>
      <c r="L692" s="26"/>
      <c r="M692" s="26"/>
      <c r="N692" s="26"/>
    </row>
    <row r="693">
      <c r="A693" s="12"/>
      <c r="B693" s="13"/>
      <c r="C693" s="14"/>
      <c r="D693" s="14"/>
      <c r="E693" s="15"/>
      <c r="F693" s="16"/>
      <c r="G693" s="18"/>
      <c r="H693" s="15"/>
      <c r="I693" s="18"/>
      <c r="J693" s="22"/>
      <c r="K693" s="108"/>
      <c r="L693" s="26"/>
      <c r="M693" s="26"/>
      <c r="N693" s="26"/>
    </row>
    <row r="694">
      <c r="A694" s="12"/>
      <c r="B694" s="13"/>
      <c r="C694" s="14"/>
      <c r="D694" s="14"/>
      <c r="E694" s="15"/>
      <c r="F694" s="16"/>
      <c r="G694" s="18"/>
      <c r="H694" s="15"/>
      <c r="I694" s="18"/>
      <c r="J694" s="22"/>
      <c r="K694" s="108"/>
      <c r="L694" s="26"/>
      <c r="M694" s="26"/>
      <c r="N694" s="26"/>
    </row>
    <row r="695">
      <c r="A695" s="12"/>
      <c r="B695" s="13"/>
      <c r="C695" s="14"/>
      <c r="D695" s="14"/>
      <c r="E695" s="15"/>
      <c r="F695" s="16"/>
      <c r="G695" s="18"/>
      <c r="H695" s="15"/>
      <c r="I695" s="18"/>
      <c r="J695" s="22"/>
      <c r="K695" s="108"/>
      <c r="L695" s="26"/>
      <c r="M695" s="26"/>
      <c r="N695" s="26"/>
    </row>
    <row r="696">
      <c r="A696" s="12"/>
      <c r="B696" s="13"/>
      <c r="C696" s="14"/>
      <c r="D696" s="14"/>
      <c r="E696" s="15"/>
      <c r="F696" s="16"/>
      <c r="G696" s="18"/>
      <c r="H696" s="15"/>
      <c r="I696" s="18"/>
      <c r="J696" s="22"/>
      <c r="K696" s="108"/>
      <c r="L696" s="26"/>
      <c r="M696" s="26"/>
      <c r="N696" s="26"/>
    </row>
    <row r="697">
      <c r="A697" s="12"/>
      <c r="B697" s="13"/>
      <c r="C697" s="14"/>
      <c r="D697" s="14"/>
      <c r="E697" s="15"/>
      <c r="F697" s="16"/>
      <c r="G697" s="18"/>
      <c r="H697" s="15"/>
      <c r="I697" s="18"/>
      <c r="J697" s="22"/>
      <c r="K697" s="108"/>
      <c r="L697" s="26"/>
      <c r="M697" s="26"/>
      <c r="N697" s="26"/>
    </row>
    <row r="698">
      <c r="A698" s="12"/>
      <c r="B698" s="13"/>
      <c r="C698" s="14"/>
      <c r="D698" s="14"/>
      <c r="E698" s="15"/>
      <c r="F698" s="16"/>
      <c r="G698" s="18"/>
      <c r="H698" s="15"/>
      <c r="I698" s="18"/>
      <c r="J698" s="22"/>
      <c r="K698" s="108"/>
      <c r="L698" s="26"/>
      <c r="M698" s="26"/>
      <c r="N698" s="26"/>
    </row>
    <row r="699">
      <c r="A699" s="12"/>
      <c r="B699" s="13"/>
      <c r="C699" s="14"/>
      <c r="D699" s="14"/>
      <c r="E699" s="15"/>
      <c r="F699" s="16"/>
      <c r="G699" s="18"/>
      <c r="H699" s="15"/>
      <c r="I699" s="18"/>
      <c r="J699" s="22"/>
      <c r="K699" s="108"/>
      <c r="L699" s="26"/>
      <c r="M699" s="26"/>
      <c r="N699" s="26"/>
    </row>
    <row r="700">
      <c r="A700" s="12"/>
      <c r="B700" s="13"/>
      <c r="C700" s="14"/>
      <c r="D700" s="14"/>
      <c r="E700" s="15"/>
      <c r="F700" s="16"/>
      <c r="G700" s="18"/>
      <c r="H700" s="15"/>
      <c r="I700" s="18"/>
      <c r="J700" s="22"/>
      <c r="K700" s="108"/>
      <c r="L700" s="26"/>
      <c r="M700" s="26"/>
      <c r="N700" s="26"/>
    </row>
    <row r="701">
      <c r="A701" s="12"/>
      <c r="B701" s="13"/>
      <c r="C701" s="14"/>
      <c r="D701" s="14"/>
      <c r="E701" s="15"/>
      <c r="F701" s="16"/>
      <c r="G701" s="18"/>
      <c r="H701" s="15"/>
      <c r="I701" s="18"/>
      <c r="J701" s="22"/>
      <c r="K701" s="108"/>
      <c r="L701" s="26"/>
      <c r="M701" s="26"/>
      <c r="N701" s="26"/>
    </row>
    <row r="702">
      <c r="A702" s="12"/>
      <c r="B702" s="13"/>
      <c r="C702" s="14"/>
      <c r="D702" s="14"/>
      <c r="E702" s="15"/>
      <c r="F702" s="16"/>
      <c r="G702" s="18"/>
      <c r="H702" s="15"/>
      <c r="I702" s="18"/>
      <c r="J702" s="22"/>
      <c r="K702" s="108"/>
      <c r="L702" s="26"/>
      <c r="M702" s="26"/>
      <c r="N702" s="26"/>
    </row>
    <row r="703">
      <c r="A703" s="12"/>
      <c r="B703" s="13"/>
      <c r="C703" s="14"/>
      <c r="D703" s="14"/>
      <c r="E703" s="15"/>
      <c r="F703" s="16"/>
      <c r="G703" s="18"/>
      <c r="H703" s="15"/>
      <c r="I703" s="18"/>
      <c r="J703" s="22"/>
      <c r="K703" s="108"/>
      <c r="L703" s="26"/>
      <c r="M703" s="26"/>
      <c r="N703" s="26"/>
    </row>
    <row r="704">
      <c r="A704" s="12"/>
      <c r="B704" s="13"/>
      <c r="C704" s="14"/>
      <c r="D704" s="14"/>
      <c r="E704" s="15"/>
      <c r="F704" s="16"/>
      <c r="G704" s="18"/>
      <c r="H704" s="15"/>
      <c r="I704" s="18"/>
      <c r="J704" s="22"/>
      <c r="K704" s="108"/>
      <c r="L704" s="26"/>
      <c r="M704" s="26"/>
      <c r="N704" s="26"/>
    </row>
    <row r="705">
      <c r="A705" s="12"/>
      <c r="B705" s="13"/>
      <c r="C705" s="14"/>
      <c r="D705" s="14"/>
      <c r="E705" s="15"/>
      <c r="F705" s="16"/>
      <c r="G705" s="18"/>
      <c r="H705" s="15"/>
      <c r="I705" s="18"/>
      <c r="J705" s="22"/>
      <c r="K705" s="108"/>
      <c r="L705" s="26"/>
      <c r="M705" s="26"/>
      <c r="N705" s="26"/>
    </row>
    <row r="706">
      <c r="A706" s="12"/>
      <c r="B706" s="13"/>
      <c r="C706" s="14"/>
      <c r="D706" s="14"/>
      <c r="E706" s="15"/>
      <c r="F706" s="16"/>
      <c r="G706" s="18"/>
      <c r="H706" s="15"/>
      <c r="I706" s="18"/>
      <c r="J706" s="22"/>
      <c r="K706" s="108"/>
      <c r="L706" s="26"/>
      <c r="M706" s="26"/>
      <c r="N706" s="26"/>
    </row>
    <row r="707">
      <c r="A707" s="12"/>
      <c r="B707" s="13"/>
      <c r="C707" s="14"/>
      <c r="D707" s="14"/>
      <c r="E707" s="15"/>
      <c r="F707" s="16"/>
      <c r="G707" s="18"/>
      <c r="H707" s="15"/>
      <c r="I707" s="18"/>
      <c r="J707" s="22"/>
      <c r="K707" s="108"/>
      <c r="L707" s="26"/>
      <c r="M707" s="26"/>
      <c r="N707" s="26"/>
    </row>
    <row r="708">
      <c r="A708" s="12"/>
      <c r="B708" s="13"/>
      <c r="C708" s="14"/>
      <c r="D708" s="14"/>
      <c r="E708" s="15"/>
      <c r="F708" s="16"/>
      <c r="G708" s="18"/>
      <c r="H708" s="15"/>
      <c r="I708" s="18"/>
      <c r="J708" s="22"/>
      <c r="K708" s="108"/>
      <c r="L708" s="26"/>
      <c r="M708" s="26"/>
      <c r="N708" s="26"/>
    </row>
    <row r="709">
      <c r="A709" s="12"/>
      <c r="B709" s="13"/>
      <c r="C709" s="14"/>
      <c r="D709" s="14"/>
      <c r="E709" s="15"/>
      <c r="F709" s="16"/>
      <c r="G709" s="18"/>
      <c r="H709" s="15"/>
      <c r="I709" s="18"/>
      <c r="J709" s="22"/>
      <c r="K709" s="108"/>
      <c r="L709" s="26"/>
      <c r="M709" s="26"/>
      <c r="N709" s="26"/>
    </row>
    <row r="710">
      <c r="A710" s="12"/>
      <c r="B710" s="13"/>
      <c r="C710" s="14"/>
      <c r="D710" s="14"/>
      <c r="E710" s="15"/>
      <c r="F710" s="16"/>
      <c r="G710" s="18"/>
      <c r="H710" s="15"/>
      <c r="I710" s="18"/>
      <c r="J710" s="22"/>
      <c r="K710" s="108"/>
      <c r="L710" s="26"/>
      <c r="M710" s="26"/>
      <c r="N710" s="26"/>
    </row>
    <row r="711">
      <c r="A711" s="12"/>
      <c r="B711" s="13"/>
      <c r="C711" s="14"/>
      <c r="D711" s="14"/>
      <c r="E711" s="15"/>
      <c r="F711" s="16"/>
      <c r="G711" s="18"/>
      <c r="H711" s="15"/>
      <c r="I711" s="18"/>
      <c r="J711" s="22"/>
      <c r="K711" s="108"/>
      <c r="L711" s="26"/>
      <c r="M711" s="26"/>
      <c r="N711" s="26"/>
    </row>
    <row r="712">
      <c r="A712" s="12"/>
      <c r="B712" s="13"/>
      <c r="C712" s="14"/>
      <c r="D712" s="14"/>
      <c r="E712" s="15"/>
      <c r="F712" s="16"/>
      <c r="G712" s="18"/>
      <c r="H712" s="15"/>
      <c r="I712" s="18"/>
      <c r="J712" s="22"/>
      <c r="K712" s="108"/>
      <c r="L712" s="26"/>
      <c r="M712" s="26"/>
      <c r="N712" s="26"/>
    </row>
    <row r="713">
      <c r="A713" s="12"/>
      <c r="B713" s="13"/>
      <c r="C713" s="14"/>
      <c r="D713" s="14"/>
      <c r="E713" s="15"/>
      <c r="F713" s="16"/>
      <c r="G713" s="18"/>
      <c r="H713" s="15"/>
      <c r="I713" s="18"/>
      <c r="J713" s="22"/>
      <c r="K713" s="108"/>
      <c r="L713" s="26"/>
      <c r="M713" s="26"/>
      <c r="N713" s="26"/>
    </row>
    <row r="714">
      <c r="A714" s="12"/>
      <c r="B714" s="13"/>
      <c r="C714" s="14"/>
      <c r="D714" s="14"/>
      <c r="E714" s="15"/>
      <c r="F714" s="16"/>
      <c r="G714" s="18"/>
      <c r="H714" s="15"/>
      <c r="I714" s="18"/>
      <c r="J714" s="22"/>
      <c r="K714" s="108"/>
      <c r="L714" s="26"/>
      <c r="M714" s="26"/>
      <c r="N714" s="26"/>
    </row>
    <row r="715">
      <c r="A715" s="12"/>
      <c r="B715" s="13"/>
      <c r="C715" s="14"/>
      <c r="D715" s="14"/>
      <c r="E715" s="15"/>
      <c r="F715" s="16"/>
      <c r="G715" s="18"/>
      <c r="H715" s="15"/>
      <c r="I715" s="18"/>
      <c r="J715" s="22"/>
      <c r="K715" s="108"/>
      <c r="L715" s="26"/>
      <c r="M715" s="26"/>
      <c r="N715" s="26"/>
    </row>
    <row r="716">
      <c r="A716" s="12"/>
      <c r="B716" s="13"/>
      <c r="C716" s="14"/>
      <c r="D716" s="14"/>
      <c r="E716" s="15"/>
      <c r="F716" s="16"/>
      <c r="G716" s="18"/>
      <c r="H716" s="15"/>
      <c r="I716" s="18"/>
      <c r="J716" s="22"/>
      <c r="K716" s="108"/>
      <c r="L716" s="26"/>
      <c r="M716" s="26"/>
      <c r="N716" s="26"/>
    </row>
    <row r="717">
      <c r="A717" s="12"/>
      <c r="B717" s="13"/>
      <c r="C717" s="14"/>
      <c r="D717" s="14"/>
      <c r="E717" s="15"/>
      <c r="F717" s="16"/>
      <c r="G717" s="18"/>
      <c r="H717" s="15"/>
      <c r="I717" s="18"/>
      <c r="J717" s="22"/>
      <c r="K717" s="108"/>
      <c r="L717" s="26"/>
      <c r="M717" s="26"/>
      <c r="N717" s="26"/>
    </row>
    <row r="718">
      <c r="A718" s="12"/>
      <c r="B718" s="13"/>
      <c r="C718" s="14"/>
      <c r="D718" s="14"/>
      <c r="E718" s="15"/>
      <c r="F718" s="16"/>
      <c r="G718" s="18"/>
      <c r="H718" s="15"/>
      <c r="I718" s="18"/>
      <c r="J718" s="22"/>
      <c r="K718" s="108"/>
      <c r="L718" s="26"/>
      <c r="M718" s="26"/>
      <c r="N718" s="26"/>
    </row>
    <row r="719">
      <c r="A719" s="12"/>
      <c r="B719" s="13"/>
      <c r="C719" s="14"/>
      <c r="D719" s="14"/>
      <c r="E719" s="15"/>
      <c r="F719" s="16"/>
      <c r="G719" s="18"/>
      <c r="H719" s="15"/>
      <c r="I719" s="18"/>
      <c r="J719" s="22"/>
      <c r="K719" s="108"/>
      <c r="L719" s="26"/>
      <c r="M719" s="26"/>
      <c r="N719" s="26"/>
    </row>
    <row r="720">
      <c r="A720" s="12"/>
      <c r="B720" s="13"/>
      <c r="C720" s="14"/>
      <c r="D720" s="14"/>
      <c r="E720" s="15"/>
      <c r="F720" s="16"/>
      <c r="G720" s="18"/>
      <c r="H720" s="15"/>
      <c r="I720" s="18"/>
      <c r="J720" s="22"/>
      <c r="K720" s="108"/>
      <c r="L720" s="26"/>
      <c r="M720" s="26"/>
      <c r="N720" s="26"/>
    </row>
    <row r="721">
      <c r="A721" s="12"/>
      <c r="B721" s="13"/>
      <c r="C721" s="14"/>
      <c r="D721" s="14"/>
      <c r="E721" s="15"/>
      <c r="F721" s="16"/>
      <c r="G721" s="18"/>
      <c r="H721" s="15"/>
      <c r="I721" s="18"/>
      <c r="J721" s="22"/>
      <c r="K721" s="108"/>
      <c r="L721" s="26"/>
      <c r="M721" s="26"/>
      <c r="N721" s="26"/>
    </row>
    <row r="722">
      <c r="A722" s="12"/>
      <c r="B722" s="13"/>
      <c r="C722" s="14"/>
      <c r="D722" s="14"/>
      <c r="E722" s="15"/>
      <c r="F722" s="16"/>
      <c r="G722" s="18"/>
      <c r="H722" s="15"/>
      <c r="I722" s="18"/>
      <c r="J722" s="22"/>
      <c r="K722" s="108"/>
      <c r="L722" s="26"/>
      <c r="M722" s="26"/>
      <c r="N722" s="26"/>
    </row>
    <row r="723">
      <c r="A723" s="12"/>
      <c r="B723" s="13"/>
      <c r="C723" s="14"/>
      <c r="D723" s="14"/>
      <c r="E723" s="15"/>
      <c r="F723" s="16"/>
      <c r="G723" s="18"/>
      <c r="H723" s="15"/>
      <c r="I723" s="18"/>
      <c r="J723" s="22"/>
      <c r="K723" s="108"/>
      <c r="L723" s="26"/>
      <c r="M723" s="26"/>
      <c r="N723" s="26"/>
    </row>
    <row r="724">
      <c r="A724" s="12"/>
      <c r="B724" s="13"/>
      <c r="C724" s="14"/>
      <c r="D724" s="14"/>
      <c r="E724" s="15"/>
      <c r="F724" s="16"/>
      <c r="G724" s="18"/>
      <c r="H724" s="15"/>
      <c r="I724" s="18"/>
      <c r="J724" s="22"/>
      <c r="K724" s="108"/>
      <c r="L724" s="26"/>
      <c r="M724" s="26"/>
      <c r="N724" s="26"/>
    </row>
    <row r="725">
      <c r="A725" s="12"/>
      <c r="B725" s="13"/>
      <c r="C725" s="14"/>
      <c r="D725" s="14"/>
      <c r="E725" s="15"/>
      <c r="F725" s="16"/>
      <c r="G725" s="18"/>
      <c r="H725" s="15"/>
      <c r="I725" s="18"/>
      <c r="J725" s="22"/>
      <c r="K725" s="108"/>
      <c r="L725" s="26"/>
      <c r="M725" s="26"/>
      <c r="N725" s="26"/>
    </row>
    <row r="726">
      <c r="A726" s="12"/>
      <c r="B726" s="13"/>
      <c r="C726" s="14"/>
      <c r="D726" s="14"/>
      <c r="E726" s="15"/>
      <c r="F726" s="16"/>
      <c r="G726" s="18"/>
      <c r="H726" s="15"/>
      <c r="I726" s="18"/>
      <c r="J726" s="22"/>
      <c r="K726" s="108"/>
      <c r="L726" s="26"/>
      <c r="M726" s="26"/>
      <c r="N726" s="26"/>
    </row>
    <row r="727">
      <c r="A727" s="12"/>
      <c r="B727" s="13"/>
      <c r="C727" s="14"/>
      <c r="D727" s="14"/>
      <c r="E727" s="15"/>
      <c r="F727" s="16"/>
      <c r="G727" s="18"/>
      <c r="H727" s="15"/>
      <c r="I727" s="18"/>
      <c r="J727" s="22"/>
      <c r="K727" s="108"/>
      <c r="L727" s="26"/>
      <c r="M727" s="26"/>
      <c r="N727" s="26"/>
    </row>
    <row r="728">
      <c r="A728" s="12"/>
      <c r="B728" s="13"/>
      <c r="C728" s="14"/>
      <c r="D728" s="14"/>
      <c r="E728" s="15"/>
      <c r="F728" s="16"/>
      <c r="G728" s="18"/>
      <c r="H728" s="15"/>
      <c r="I728" s="18"/>
      <c r="J728" s="22"/>
      <c r="K728" s="108"/>
      <c r="L728" s="26"/>
      <c r="M728" s="26"/>
      <c r="N728" s="26"/>
    </row>
    <row r="729">
      <c r="A729" s="12"/>
      <c r="B729" s="13"/>
      <c r="C729" s="14"/>
      <c r="D729" s="14"/>
      <c r="E729" s="15"/>
      <c r="F729" s="16"/>
      <c r="G729" s="18"/>
      <c r="H729" s="15"/>
      <c r="I729" s="18"/>
      <c r="J729" s="22"/>
      <c r="K729" s="108"/>
      <c r="L729" s="26"/>
      <c r="M729" s="26"/>
      <c r="N729" s="26"/>
    </row>
    <row r="730">
      <c r="A730" s="12"/>
      <c r="B730" s="13"/>
      <c r="C730" s="14"/>
      <c r="D730" s="14"/>
      <c r="E730" s="15"/>
      <c r="F730" s="16"/>
      <c r="G730" s="18"/>
      <c r="H730" s="15"/>
      <c r="I730" s="18"/>
      <c r="J730" s="22"/>
      <c r="K730" s="108"/>
      <c r="L730" s="26"/>
      <c r="M730" s="26"/>
      <c r="N730" s="26"/>
    </row>
    <row r="731">
      <c r="A731" s="12"/>
      <c r="B731" s="13"/>
      <c r="C731" s="14"/>
      <c r="D731" s="14"/>
      <c r="E731" s="15"/>
      <c r="F731" s="16"/>
      <c r="G731" s="18"/>
      <c r="H731" s="15"/>
      <c r="I731" s="18"/>
      <c r="J731" s="22"/>
      <c r="K731" s="108"/>
      <c r="L731" s="26"/>
      <c r="M731" s="26"/>
      <c r="N731" s="26"/>
    </row>
    <row r="732">
      <c r="A732" s="12"/>
      <c r="B732" s="13"/>
      <c r="C732" s="14"/>
      <c r="D732" s="14"/>
      <c r="E732" s="15"/>
      <c r="F732" s="16"/>
      <c r="G732" s="18"/>
      <c r="H732" s="15"/>
      <c r="I732" s="18"/>
      <c r="J732" s="22"/>
      <c r="K732" s="108"/>
      <c r="L732" s="26"/>
      <c r="M732" s="26"/>
      <c r="N732" s="26"/>
    </row>
    <row r="733">
      <c r="A733" s="12"/>
      <c r="B733" s="13"/>
      <c r="C733" s="14"/>
      <c r="D733" s="14"/>
      <c r="E733" s="15"/>
      <c r="F733" s="16"/>
      <c r="G733" s="18"/>
      <c r="H733" s="15"/>
      <c r="I733" s="18"/>
      <c r="J733" s="22"/>
      <c r="K733" s="108"/>
      <c r="L733" s="26"/>
      <c r="M733" s="26"/>
      <c r="N733" s="26"/>
    </row>
    <row r="734">
      <c r="A734" s="12"/>
      <c r="B734" s="13"/>
      <c r="C734" s="14"/>
      <c r="D734" s="14"/>
      <c r="E734" s="15"/>
      <c r="F734" s="16"/>
      <c r="G734" s="18"/>
      <c r="H734" s="15"/>
      <c r="I734" s="18"/>
      <c r="J734" s="22"/>
      <c r="K734" s="108"/>
      <c r="L734" s="26"/>
      <c r="M734" s="26"/>
      <c r="N734" s="26"/>
    </row>
    <row r="735">
      <c r="A735" s="12"/>
      <c r="B735" s="13"/>
      <c r="C735" s="14"/>
      <c r="D735" s="14"/>
      <c r="E735" s="15"/>
      <c r="F735" s="16"/>
      <c r="G735" s="18"/>
      <c r="H735" s="15"/>
      <c r="I735" s="18"/>
      <c r="J735" s="22"/>
      <c r="K735" s="108"/>
      <c r="L735" s="26"/>
      <c r="M735" s="26"/>
      <c r="N735" s="26"/>
    </row>
    <row r="736">
      <c r="A736" s="12"/>
      <c r="B736" s="13"/>
      <c r="C736" s="14"/>
      <c r="D736" s="14"/>
      <c r="E736" s="15"/>
      <c r="F736" s="16"/>
      <c r="G736" s="18"/>
      <c r="H736" s="15"/>
      <c r="I736" s="18"/>
      <c r="J736" s="22"/>
      <c r="K736" s="108"/>
      <c r="L736" s="26"/>
      <c r="M736" s="26"/>
      <c r="N736" s="26"/>
    </row>
    <row r="737">
      <c r="A737" s="12"/>
      <c r="B737" s="13"/>
      <c r="C737" s="14"/>
      <c r="D737" s="14"/>
      <c r="E737" s="15"/>
      <c r="F737" s="16"/>
      <c r="G737" s="18"/>
      <c r="H737" s="15"/>
      <c r="I737" s="18"/>
      <c r="J737" s="22"/>
      <c r="K737" s="108"/>
      <c r="L737" s="26"/>
      <c r="M737" s="26"/>
      <c r="N737" s="26"/>
    </row>
    <row r="738">
      <c r="A738" s="12"/>
      <c r="B738" s="13"/>
      <c r="C738" s="14"/>
      <c r="D738" s="14"/>
      <c r="E738" s="15"/>
      <c r="F738" s="16"/>
      <c r="G738" s="18"/>
      <c r="H738" s="15"/>
      <c r="I738" s="18"/>
      <c r="J738" s="22"/>
      <c r="K738" s="108"/>
      <c r="L738" s="26"/>
      <c r="M738" s="26"/>
      <c r="N738" s="26"/>
    </row>
    <row r="739">
      <c r="A739" s="12"/>
      <c r="B739" s="13"/>
      <c r="C739" s="14"/>
      <c r="D739" s="14"/>
      <c r="E739" s="15"/>
      <c r="F739" s="16"/>
      <c r="G739" s="18"/>
      <c r="H739" s="15"/>
      <c r="I739" s="18"/>
      <c r="J739" s="22"/>
      <c r="K739" s="108"/>
      <c r="L739" s="26"/>
      <c r="M739" s="26"/>
      <c r="N739" s="26"/>
    </row>
    <row r="740">
      <c r="A740" s="12"/>
      <c r="B740" s="13"/>
      <c r="C740" s="14"/>
      <c r="D740" s="14"/>
      <c r="E740" s="15"/>
      <c r="F740" s="16"/>
      <c r="G740" s="18"/>
      <c r="H740" s="15"/>
      <c r="I740" s="18"/>
      <c r="J740" s="22"/>
      <c r="K740" s="108"/>
      <c r="L740" s="26"/>
      <c r="M740" s="26"/>
      <c r="N740" s="26"/>
    </row>
    <row r="741">
      <c r="A741" s="12"/>
      <c r="B741" s="13"/>
      <c r="C741" s="14"/>
      <c r="D741" s="14"/>
      <c r="E741" s="15"/>
      <c r="F741" s="16"/>
      <c r="G741" s="18"/>
      <c r="H741" s="15"/>
      <c r="I741" s="18"/>
      <c r="J741" s="22"/>
      <c r="K741" s="108"/>
      <c r="L741" s="26"/>
      <c r="M741" s="26"/>
      <c r="N741" s="26"/>
    </row>
    <row r="742">
      <c r="A742" s="12"/>
      <c r="B742" s="13"/>
      <c r="C742" s="14"/>
      <c r="D742" s="14"/>
      <c r="E742" s="15"/>
      <c r="F742" s="16"/>
      <c r="G742" s="18"/>
      <c r="H742" s="15"/>
      <c r="I742" s="18"/>
      <c r="J742" s="22"/>
      <c r="K742" s="108"/>
      <c r="L742" s="26"/>
      <c r="M742" s="26"/>
      <c r="N742" s="26"/>
    </row>
    <row r="743">
      <c r="A743" s="12"/>
      <c r="B743" s="13"/>
      <c r="C743" s="14"/>
      <c r="D743" s="14"/>
      <c r="E743" s="15"/>
      <c r="F743" s="16"/>
      <c r="G743" s="18"/>
      <c r="H743" s="15"/>
      <c r="I743" s="18"/>
      <c r="J743" s="22"/>
      <c r="K743" s="108"/>
      <c r="L743" s="26"/>
      <c r="M743" s="26"/>
      <c r="N743" s="26"/>
    </row>
    <row r="744">
      <c r="A744" s="12"/>
      <c r="B744" s="13"/>
      <c r="C744" s="14"/>
      <c r="D744" s="14"/>
      <c r="E744" s="15"/>
      <c r="F744" s="16"/>
      <c r="G744" s="18"/>
      <c r="H744" s="15"/>
      <c r="I744" s="18"/>
      <c r="J744" s="22"/>
      <c r="K744" s="108"/>
      <c r="L744" s="26"/>
      <c r="M744" s="26"/>
      <c r="N744" s="26"/>
    </row>
    <row r="745">
      <c r="A745" s="12"/>
      <c r="B745" s="13"/>
      <c r="C745" s="14"/>
      <c r="D745" s="14"/>
      <c r="E745" s="15"/>
      <c r="F745" s="16"/>
      <c r="G745" s="18"/>
      <c r="H745" s="15"/>
      <c r="I745" s="18"/>
      <c r="J745" s="22"/>
      <c r="K745" s="108"/>
      <c r="L745" s="26"/>
      <c r="M745" s="26"/>
      <c r="N745" s="26"/>
    </row>
    <row r="746">
      <c r="A746" s="12"/>
      <c r="B746" s="13"/>
      <c r="C746" s="14"/>
      <c r="D746" s="14"/>
      <c r="E746" s="15"/>
      <c r="F746" s="16"/>
      <c r="G746" s="18"/>
      <c r="H746" s="15"/>
      <c r="I746" s="18"/>
      <c r="J746" s="22"/>
      <c r="K746" s="108"/>
      <c r="L746" s="26"/>
      <c r="M746" s="26"/>
      <c r="N746" s="26"/>
    </row>
    <row r="747">
      <c r="A747" s="12"/>
      <c r="B747" s="13"/>
      <c r="C747" s="14"/>
      <c r="D747" s="14"/>
      <c r="E747" s="15"/>
      <c r="F747" s="16"/>
      <c r="G747" s="18"/>
      <c r="H747" s="15"/>
      <c r="I747" s="18"/>
      <c r="J747" s="22"/>
      <c r="K747" s="108"/>
      <c r="L747" s="26"/>
      <c r="M747" s="26"/>
      <c r="N747" s="26"/>
    </row>
    <row r="748">
      <c r="A748" s="12"/>
      <c r="B748" s="13"/>
      <c r="C748" s="14"/>
      <c r="D748" s="14"/>
      <c r="E748" s="15"/>
      <c r="F748" s="16"/>
      <c r="G748" s="18"/>
      <c r="H748" s="15"/>
      <c r="I748" s="18"/>
      <c r="J748" s="22"/>
      <c r="K748" s="108"/>
      <c r="L748" s="26"/>
      <c r="M748" s="26"/>
      <c r="N748" s="26"/>
    </row>
    <row r="749">
      <c r="A749" s="12"/>
      <c r="B749" s="13"/>
      <c r="C749" s="14"/>
      <c r="D749" s="14"/>
      <c r="E749" s="15"/>
      <c r="F749" s="16"/>
      <c r="G749" s="18"/>
      <c r="H749" s="15"/>
      <c r="I749" s="18"/>
      <c r="J749" s="22"/>
      <c r="K749" s="108"/>
      <c r="L749" s="26"/>
      <c r="M749" s="26"/>
      <c r="N749" s="26"/>
    </row>
    <row r="750">
      <c r="A750" s="12"/>
      <c r="B750" s="13"/>
      <c r="C750" s="14"/>
      <c r="D750" s="14"/>
      <c r="E750" s="15"/>
      <c r="F750" s="16"/>
      <c r="G750" s="18"/>
      <c r="H750" s="15"/>
      <c r="I750" s="18"/>
      <c r="J750" s="22"/>
      <c r="K750" s="108"/>
      <c r="L750" s="26"/>
      <c r="M750" s="26"/>
      <c r="N750" s="26"/>
    </row>
    <row r="751">
      <c r="A751" s="12"/>
      <c r="B751" s="13"/>
      <c r="C751" s="14"/>
      <c r="D751" s="14"/>
      <c r="E751" s="15"/>
      <c r="F751" s="16"/>
      <c r="G751" s="18"/>
      <c r="H751" s="15"/>
      <c r="I751" s="18"/>
      <c r="J751" s="22"/>
      <c r="K751" s="108"/>
      <c r="L751" s="26"/>
      <c r="M751" s="26"/>
      <c r="N751" s="26"/>
    </row>
    <row r="752">
      <c r="A752" s="12"/>
      <c r="B752" s="13"/>
      <c r="C752" s="14"/>
      <c r="D752" s="14"/>
      <c r="E752" s="15"/>
      <c r="F752" s="16"/>
      <c r="G752" s="18"/>
      <c r="H752" s="15"/>
      <c r="I752" s="18"/>
      <c r="J752" s="22"/>
      <c r="K752" s="108"/>
      <c r="L752" s="26"/>
      <c r="M752" s="26"/>
      <c r="N752" s="26"/>
    </row>
    <row r="753">
      <c r="A753" s="12"/>
      <c r="B753" s="13"/>
      <c r="C753" s="14"/>
      <c r="D753" s="14"/>
      <c r="E753" s="15"/>
      <c r="F753" s="16"/>
      <c r="G753" s="18"/>
      <c r="H753" s="15"/>
      <c r="I753" s="18"/>
      <c r="J753" s="22"/>
      <c r="K753" s="108"/>
      <c r="L753" s="26"/>
      <c r="M753" s="26"/>
      <c r="N753" s="26"/>
    </row>
    <row r="754">
      <c r="A754" s="12"/>
      <c r="B754" s="13"/>
      <c r="C754" s="14"/>
      <c r="D754" s="14"/>
      <c r="E754" s="15"/>
      <c r="F754" s="16"/>
      <c r="G754" s="18"/>
      <c r="H754" s="15"/>
      <c r="I754" s="18"/>
      <c r="J754" s="22"/>
      <c r="K754" s="108"/>
      <c r="L754" s="26"/>
      <c r="M754" s="26"/>
      <c r="N754" s="26"/>
    </row>
    <row r="755">
      <c r="A755" s="12"/>
      <c r="B755" s="13"/>
      <c r="C755" s="14"/>
      <c r="D755" s="14"/>
      <c r="E755" s="15"/>
      <c r="F755" s="16"/>
      <c r="G755" s="18"/>
      <c r="H755" s="15"/>
      <c r="I755" s="18"/>
      <c r="J755" s="22"/>
      <c r="K755" s="108"/>
      <c r="L755" s="26"/>
      <c r="M755" s="26"/>
      <c r="N755" s="26"/>
    </row>
    <row r="756">
      <c r="A756" s="12"/>
      <c r="B756" s="13"/>
      <c r="C756" s="14"/>
      <c r="D756" s="14"/>
      <c r="E756" s="15"/>
      <c r="F756" s="16"/>
      <c r="G756" s="18"/>
      <c r="H756" s="15"/>
      <c r="I756" s="18"/>
      <c r="J756" s="22"/>
      <c r="K756" s="108"/>
      <c r="L756" s="26"/>
      <c r="M756" s="26"/>
      <c r="N756" s="26"/>
    </row>
    <row r="757">
      <c r="A757" s="12"/>
      <c r="B757" s="13"/>
      <c r="C757" s="14"/>
      <c r="D757" s="14"/>
      <c r="E757" s="15"/>
      <c r="F757" s="16"/>
      <c r="G757" s="18"/>
      <c r="H757" s="15"/>
      <c r="I757" s="18"/>
      <c r="J757" s="22"/>
      <c r="K757" s="108"/>
      <c r="L757" s="26"/>
      <c r="M757" s="26"/>
      <c r="N757" s="26"/>
    </row>
    <row r="758">
      <c r="A758" s="12"/>
      <c r="B758" s="13"/>
      <c r="C758" s="14"/>
      <c r="D758" s="14"/>
      <c r="E758" s="15"/>
      <c r="F758" s="16"/>
      <c r="G758" s="18"/>
      <c r="H758" s="15"/>
      <c r="I758" s="18"/>
      <c r="J758" s="22"/>
      <c r="K758" s="108"/>
      <c r="L758" s="26"/>
      <c r="M758" s="26"/>
      <c r="N758" s="26"/>
    </row>
    <row r="759">
      <c r="A759" s="12"/>
      <c r="B759" s="13"/>
      <c r="C759" s="14"/>
      <c r="D759" s="14"/>
      <c r="E759" s="15"/>
      <c r="F759" s="16"/>
      <c r="G759" s="18"/>
      <c r="H759" s="15"/>
      <c r="I759" s="18"/>
      <c r="J759" s="22"/>
      <c r="K759" s="108"/>
      <c r="L759" s="26"/>
      <c r="M759" s="26"/>
      <c r="N759" s="26"/>
    </row>
    <row r="760">
      <c r="A760" s="12"/>
      <c r="B760" s="13"/>
      <c r="C760" s="14"/>
      <c r="D760" s="14"/>
      <c r="E760" s="15"/>
      <c r="F760" s="16"/>
      <c r="G760" s="18"/>
      <c r="H760" s="15"/>
      <c r="I760" s="18"/>
      <c r="J760" s="22"/>
      <c r="K760" s="108"/>
      <c r="L760" s="26"/>
      <c r="M760" s="26"/>
      <c r="N760" s="26"/>
    </row>
    <row r="761">
      <c r="A761" s="12"/>
      <c r="B761" s="13"/>
      <c r="C761" s="14"/>
      <c r="D761" s="14"/>
      <c r="E761" s="15"/>
      <c r="F761" s="16"/>
      <c r="G761" s="18"/>
      <c r="H761" s="15"/>
      <c r="I761" s="18"/>
      <c r="J761" s="22"/>
      <c r="K761" s="108"/>
      <c r="L761" s="26"/>
      <c r="M761" s="26"/>
      <c r="N761" s="26"/>
    </row>
    <row r="762">
      <c r="A762" s="12"/>
      <c r="B762" s="13"/>
      <c r="C762" s="14"/>
      <c r="D762" s="14"/>
      <c r="E762" s="15"/>
      <c r="F762" s="16"/>
      <c r="G762" s="18"/>
      <c r="H762" s="15"/>
      <c r="I762" s="18"/>
      <c r="J762" s="22"/>
      <c r="K762" s="108"/>
      <c r="L762" s="26"/>
      <c r="M762" s="26"/>
      <c r="N762" s="26"/>
    </row>
    <row r="763">
      <c r="A763" s="12"/>
      <c r="B763" s="13"/>
      <c r="C763" s="14"/>
      <c r="D763" s="14"/>
      <c r="E763" s="15"/>
      <c r="F763" s="16"/>
      <c r="G763" s="18"/>
      <c r="H763" s="15"/>
      <c r="I763" s="18"/>
      <c r="J763" s="22"/>
      <c r="K763" s="108"/>
      <c r="L763" s="26"/>
      <c r="M763" s="26"/>
      <c r="N763" s="26"/>
    </row>
    <row r="764">
      <c r="A764" s="12"/>
      <c r="B764" s="13"/>
      <c r="C764" s="14"/>
      <c r="D764" s="14"/>
      <c r="E764" s="15"/>
      <c r="F764" s="16"/>
      <c r="G764" s="18"/>
      <c r="H764" s="15"/>
      <c r="I764" s="18"/>
      <c r="J764" s="22"/>
      <c r="K764" s="108"/>
      <c r="L764" s="26"/>
      <c r="M764" s="26"/>
      <c r="N764" s="26"/>
    </row>
    <row r="765">
      <c r="A765" s="12"/>
      <c r="B765" s="13"/>
      <c r="C765" s="14"/>
      <c r="D765" s="14"/>
      <c r="E765" s="15"/>
      <c r="F765" s="16"/>
      <c r="G765" s="18"/>
      <c r="H765" s="15"/>
      <c r="I765" s="18"/>
      <c r="J765" s="22"/>
      <c r="K765" s="108"/>
      <c r="L765" s="26"/>
      <c r="M765" s="26"/>
      <c r="N765" s="26"/>
    </row>
    <row r="766">
      <c r="A766" s="12"/>
      <c r="B766" s="13"/>
      <c r="C766" s="14"/>
      <c r="D766" s="14"/>
      <c r="E766" s="15"/>
      <c r="F766" s="16"/>
      <c r="G766" s="18"/>
      <c r="H766" s="15"/>
      <c r="I766" s="18"/>
      <c r="J766" s="22"/>
      <c r="K766" s="108"/>
      <c r="L766" s="26"/>
      <c r="M766" s="26"/>
      <c r="N766" s="26"/>
    </row>
    <row r="767">
      <c r="A767" s="12"/>
      <c r="B767" s="13"/>
      <c r="C767" s="14"/>
      <c r="D767" s="14"/>
      <c r="E767" s="15"/>
      <c r="F767" s="16"/>
      <c r="G767" s="18"/>
      <c r="H767" s="15"/>
      <c r="I767" s="18"/>
      <c r="J767" s="22"/>
      <c r="K767" s="108"/>
      <c r="L767" s="26"/>
      <c r="M767" s="26"/>
      <c r="N767" s="26"/>
    </row>
    <row r="768">
      <c r="A768" s="12"/>
      <c r="B768" s="13"/>
      <c r="C768" s="14"/>
      <c r="D768" s="14"/>
      <c r="E768" s="15"/>
      <c r="F768" s="16"/>
      <c r="G768" s="18"/>
      <c r="H768" s="15"/>
      <c r="I768" s="18"/>
      <c r="J768" s="22"/>
      <c r="K768" s="108"/>
      <c r="L768" s="26"/>
      <c r="M768" s="26"/>
      <c r="N768" s="26"/>
    </row>
    <row r="769">
      <c r="A769" s="12"/>
      <c r="B769" s="13"/>
      <c r="C769" s="14"/>
      <c r="D769" s="14"/>
      <c r="E769" s="15"/>
      <c r="F769" s="16"/>
      <c r="G769" s="18"/>
      <c r="H769" s="15"/>
      <c r="I769" s="18"/>
      <c r="J769" s="22"/>
      <c r="K769" s="108"/>
      <c r="L769" s="26"/>
      <c r="M769" s="26"/>
      <c r="N769" s="26"/>
    </row>
    <row r="770">
      <c r="A770" s="12"/>
      <c r="B770" s="13"/>
      <c r="C770" s="14"/>
      <c r="D770" s="14"/>
      <c r="E770" s="15"/>
      <c r="F770" s="16"/>
      <c r="G770" s="18"/>
      <c r="H770" s="15"/>
      <c r="I770" s="18"/>
      <c r="J770" s="22"/>
      <c r="K770" s="108"/>
      <c r="L770" s="26"/>
      <c r="M770" s="26"/>
      <c r="N770" s="26"/>
    </row>
    <row r="771">
      <c r="A771" s="12"/>
      <c r="B771" s="13"/>
      <c r="C771" s="14"/>
      <c r="D771" s="14"/>
      <c r="E771" s="15"/>
      <c r="F771" s="16"/>
      <c r="G771" s="18"/>
      <c r="H771" s="15"/>
      <c r="I771" s="18"/>
      <c r="J771" s="22"/>
      <c r="K771" s="108"/>
      <c r="L771" s="26"/>
      <c r="M771" s="26"/>
      <c r="N771" s="26"/>
    </row>
    <row r="772">
      <c r="A772" s="12"/>
      <c r="B772" s="13"/>
      <c r="C772" s="14"/>
      <c r="D772" s="14"/>
      <c r="E772" s="15"/>
      <c r="F772" s="16"/>
      <c r="G772" s="18"/>
      <c r="H772" s="15"/>
      <c r="I772" s="18"/>
      <c r="J772" s="22"/>
      <c r="K772" s="108"/>
      <c r="L772" s="26"/>
      <c r="M772" s="26"/>
      <c r="N772" s="26"/>
    </row>
    <row r="773">
      <c r="A773" s="12"/>
      <c r="B773" s="13"/>
      <c r="C773" s="14"/>
      <c r="D773" s="14"/>
      <c r="E773" s="15"/>
      <c r="F773" s="16"/>
      <c r="G773" s="18"/>
      <c r="H773" s="15"/>
      <c r="I773" s="18"/>
      <c r="J773" s="22"/>
      <c r="K773" s="108"/>
      <c r="L773" s="26"/>
      <c r="M773" s="26"/>
      <c r="N773" s="26"/>
    </row>
    <row r="774">
      <c r="A774" s="12"/>
      <c r="B774" s="13"/>
      <c r="C774" s="14"/>
      <c r="D774" s="14"/>
      <c r="E774" s="15"/>
      <c r="F774" s="16"/>
      <c r="G774" s="18"/>
      <c r="H774" s="15"/>
      <c r="I774" s="18"/>
      <c r="J774" s="22"/>
      <c r="K774" s="108"/>
      <c r="L774" s="26"/>
      <c r="M774" s="26"/>
      <c r="N774" s="26"/>
    </row>
    <row r="775">
      <c r="A775" s="12"/>
      <c r="B775" s="13"/>
      <c r="C775" s="14"/>
      <c r="D775" s="14"/>
      <c r="E775" s="15"/>
      <c r="F775" s="16"/>
      <c r="G775" s="18"/>
      <c r="H775" s="15"/>
      <c r="I775" s="18"/>
      <c r="J775" s="22"/>
      <c r="K775" s="108"/>
      <c r="L775" s="26"/>
      <c r="M775" s="26"/>
      <c r="N775" s="26"/>
    </row>
    <row r="776">
      <c r="A776" s="12"/>
      <c r="B776" s="13"/>
      <c r="C776" s="14"/>
      <c r="D776" s="14"/>
      <c r="E776" s="15"/>
      <c r="F776" s="16"/>
      <c r="G776" s="18"/>
      <c r="H776" s="15"/>
      <c r="I776" s="18"/>
      <c r="J776" s="22"/>
      <c r="K776" s="108"/>
      <c r="L776" s="26"/>
      <c r="M776" s="26"/>
      <c r="N776" s="26"/>
    </row>
    <row r="777">
      <c r="A777" s="12"/>
      <c r="B777" s="13"/>
      <c r="C777" s="14"/>
      <c r="D777" s="14"/>
      <c r="E777" s="15"/>
      <c r="F777" s="16"/>
      <c r="G777" s="18"/>
      <c r="H777" s="15"/>
      <c r="I777" s="18"/>
      <c r="J777" s="22"/>
      <c r="K777" s="108"/>
      <c r="L777" s="26"/>
      <c r="M777" s="26"/>
      <c r="N777" s="26"/>
    </row>
    <row r="778">
      <c r="A778" s="12"/>
      <c r="B778" s="13"/>
      <c r="C778" s="14"/>
      <c r="D778" s="14"/>
      <c r="E778" s="15"/>
      <c r="F778" s="16"/>
      <c r="G778" s="18"/>
      <c r="H778" s="15"/>
      <c r="I778" s="18"/>
      <c r="J778" s="22"/>
      <c r="K778" s="108"/>
      <c r="L778" s="26"/>
      <c r="M778" s="26"/>
      <c r="N778" s="26"/>
    </row>
    <row r="779">
      <c r="A779" s="12"/>
      <c r="B779" s="13"/>
      <c r="C779" s="14"/>
      <c r="D779" s="14"/>
      <c r="E779" s="15"/>
      <c r="F779" s="16"/>
      <c r="G779" s="18"/>
      <c r="H779" s="15"/>
      <c r="I779" s="18"/>
      <c r="J779" s="22"/>
      <c r="K779" s="108"/>
      <c r="L779" s="26"/>
      <c r="M779" s="26"/>
      <c r="N779" s="26"/>
    </row>
    <row r="780">
      <c r="A780" s="12"/>
      <c r="B780" s="13"/>
      <c r="C780" s="14"/>
      <c r="D780" s="14"/>
      <c r="E780" s="15"/>
      <c r="F780" s="16"/>
      <c r="G780" s="18"/>
      <c r="H780" s="15"/>
      <c r="I780" s="18"/>
      <c r="J780" s="22"/>
      <c r="K780" s="108"/>
      <c r="L780" s="26"/>
      <c r="M780" s="26"/>
      <c r="N780" s="26"/>
    </row>
    <row r="781">
      <c r="A781" s="12"/>
      <c r="B781" s="13"/>
      <c r="C781" s="14"/>
      <c r="D781" s="14"/>
      <c r="E781" s="15"/>
      <c r="F781" s="16"/>
      <c r="G781" s="18"/>
      <c r="H781" s="15"/>
      <c r="I781" s="18"/>
      <c r="J781" s="22"/>
      <c r="K781" s="108"/>
      <c r="L781" s="26"/>
      <c r="M781" s="26"/>
      <c r="N781" s="26"/>
    </row>
    <row r="782">
      <c r="A782" s="12"/>
      <c r="B782" s="13"/>
      <c r="C782" s="14"/>
      <c r="D782" s="14"/>
      <c r="E782" s="15"/>
      <c r="F782" s="16"/>
      <c r="G782" s="18"/>
      <c r="H782" s="15"/>
      <c r="I782" s="18"/>
      <c r="J782" s="22"/>
      <c r="K782" s="108"/>
      <c r="L782" s="26"/>
      <c r="M782" s="26"/>
      <c r="N782" s="26"/>
    </row>
    <row r="783">
      <c r="A783" s="12"/>
      <c r="B783" s="13"/>
      <c r="C783" s="14"/>
      <c r="D783" s="14"/>
      <c r="E783" s="15"/>
      <c r="F783" s="16"/>
      <c r="G783" s="18"/>
      <c r="H783" s="15"/>
      <c r="I783" s="18"/>
      <c r="J783" s="22"/>
      <c r="K783" s="108"/>
      <c r="L783" s="26"/>
      <c r="M783" s="26"/>
      <c r="N783" s="26"/>
    </row>
    <row r="784">
      <c r="A784" s="12"/>
      <c r="B784" s="13"/>
      <c r="C784" s="14"/>
      <c r="D784" s="14"/>
      <c r="E784" s="15"/>
      <c r="F784" s="16"/>
      <c r="G784" s="18"/>
      <c r="H784" s="15"/>
      <c r="I784" s="18"/>
      <c r="J784" s="22"/>
      <c r="K784" s="108"/>
      <c r="L784" s="26"/>
      <c r="M784" s="26"/>
      <c r="N784" s="26"/>
    </row>
    <row r="785">
      <c r="A785" s="12"/>
      <c r="B785" s="13"/>
      <c r="C785" s="14"/>
      <c r="D785" s="14"/>
      <c r="E785" s="15"/>
      <c r="F785" s="16"/>
      <c r="G785" s="18"/>
      <c r="H785" s="15"/>
      <c r="I785" s="18"/>
      <c r="J785" s="22"/>
      <c r="K785" s="108"/>
      <c r="L785" s="26"/>
      <c r="M785" s="26"/>
      <c r="N785" s="26"/>
    </row>
    <row r="786">
      <c r="A786" s="12"/>
      <c r="B786" s="13"/>
      <c r="C786" s="14"/>
      <c r="D786" s="14"/>
      <c r="E786" s="15"/>
      <c r="F786" s="16"/>
      <c r="G786" s="18"/>
      <c r="H786" s="15"/>
      <c r="I786" s="18"/>
      <c r="J786" s="22"/>
      <c r="K786" s="108"/>
      <c r="L786" s="26"/>
      <c r="M786" s="26"/>
      <c r="N786" s="26"/>
    </row>
    <row r="787">
      <c r="A787" s="12"/>
      <c r="B787" s="13"/>
      <c r="C787" s="14"/>
      <c r="D787" s="14"/>
      <c r="E787" s="15"/>
      <c r="F787" s="16"/>
      <c r="G787" s="18"/>
      <c r="H787" s="15"/>
      <c r="I787" s="18"/>
      <c r="J787" s="22"/>
      <c r="K787" s="108"/>
      <c r="L787" s="26"/>
      <c r="M787" s="26"/>
      <c r="N787" s="26"/>
    </row>
    <row r="788">
      <c r="A788" s="12"/>
      <c r="B788" s="13"/>
      <c r="C788" s="14"/>
      <c r="D788" s="14"/>
      <c r="E788" s="15"/>
      <c r="F788" s="16"/>
      <c r="G788" s="18"/>
      <c r="H788" s="15"/>
      <c r="I788" s="18"/>
      <c r="J788" s="22"/>
      <c r="K788" s="108"/>
      <c r="L788" s="26"/>
      <c r="M788" s="26"/>
      <c r="N788" s="26"/>
    </row>
    <row r="789">
      <c r="A789" s="12"/>
      <c r="B789" s="13"/>
      <c r="C789" s="14"/>
      <c r="D789" s="14"/>
      <c r="E789" s="15"/>
      <c r="F789" s="16"/>
      <c r="G789" s="18"/>
      <c r="H789" s="15"/>
      <c r="I789" s="18"/>
      <c r="J789" s="22"/>
      <c r="K789" s="108"/>
      <c r="L789" s="26"/>
      <c r="M789" s="26"/>
      <c r="N789" s="26"/>
    </row>
    <row r="790">
      <c r="A790" s="12"/>
      <c r="B790" s="13"/>
      <c r="C790" s="14"/>
      <c r="D790" s="14"/>
      <c r="E790" s="15"/>
      <c r="F790" s="16"/>
      <c r="G790" s="18"/>
      <c r="H790" s="15"/>
      <c r="I790" s="18"/>
      <c r="J790" s="22"/>
      <c r="K790" s="108"/>
      <c r="L790" s="26"/>
      <c r="M790" s="26"/>
      <c r="N790" s="26"/>
    </row>
    <row r="791">
      <c r="A791" s="12"/>
      <c r="B791" s="13"/>
      <c r="C791" s="14"/>
      <c r="D791" s="14"/>
      <c r="E791" s="15"/>
      <c r="F791" s="16"/>
      <c r="G791" s="18"/>
      <c r="H791" s="15"/>
      <c r="I791" s="18"/>
      <c r="J791" s="22"/>
      <c r="K791" s="108"/>
      <c r="L791" s="26"/>
      <c r="M791" s="26"/>
      <c r="N791" s="26"/>
    </row>
    <row r="792">
      <c r="A792" s="12"/>
      <c r="B792" s="13"/>
      <c r="C792" s="14"/>
      <c r="D792" s="14"/>
      <c r="E792" s="15"/>
      <c r="F792" s="16"/>
      <c r="G792" s="18"/>
      <c r="H792" s="15"/>
      <c r="I792" s="18"/>
      <c r="J792" s="22"/>
      <c r="K792" s="108"/>
      <c r="L792" s="26"/>
      <c r="M792" s="26"/>
      <c r="N792" s="26"/>
    </row>
    <row r="793">
      <c r="A793" s="12"/>
      <c r="B793" s="13"/>
      <c r="C793" s="14"/>
      <c r="D793" s="14"/>
      <c r="E793" s="15"/>
      <c r="F793" s="16"/>
      <c r="G793" s="18"/>
      <c r="H793" s="15"/>
      <c r="I793" s="18"/>
      <c r="J793" s="22"/>
      <c r="K793" s="108"/>
      <c r="L793" s="26"/>
      <c r="M793" s="26"/>
      <c r="N793" s="26"/>
    </row>
    <row r="794">
      <c r="A794" s="12"/>
      <c r="B794" s="13"/>
      <c r="C794" s="14"/>
      <c r="D794" s="14"/>
      <c r="E794" s="15"/>
      <c r="F794" s="16"/>
      <c r="G794" s="18"/>
      <c r="H794" s="15"/>
      <c r="I794" s="18"/>
      <c r="J794" s="22"/>
      <c r="K794" s="108"/>
      <c r="L794" s="26"/>
      <c r="M794" s="26"/>
      <c r="N794" s="26"/>
    </row>
    <row r="795">
      <c r="A795" s="12"/>
      <c r="B795" s="13"/>
      <c r="C795" s="14"/>
      <c r="D795" s="14"/>
      <c r="E795" s="15"/>
      <c r="F795" s="16"/>
      <c r="G795" s="18"/>
      <c r="H795" s="15"/>
      <c r="I795" s="18"/>
      <c r="J795" s="22"/>
      <c r="K795" s="108"/>
      <c r="L795" s="26"/>
      <c r="M795" s="26"/>
      <c r="N795" s="26"/>
    </row>
    <row r="796">
      <c r="A796" s="12"/>
      <c r="B796" s="13"/>
      <c r="C796" s="14"/>
      <c r="D796" s="14"/>
      <c r="E796" s="15"/>
      <c r="F796" s="16"/>
      <c r="G796" s="18"/>
      <c r="H796" s="15"/>
      <c r="I796" s="18"/>
      <c r="J796" s="22"/>
      <c r="K796" s="108"/>
      <c r="L796" s="26"/>
      <c r="M796" s="26"/>
      <c r="N796" s="26"/>
    </row>
    <row r="797">
      <c r="A797" s="12"/>
      <c r="B797" s="13"/>
      <c r="C797" s="14"/>
      <c r="D797" s="14"/>
      <c r="E797" s="15"/>
      <c r="F797" s="16"/>
      <c r="G797" s="18"/>
      <c r="H797" s="15"/>
      <c r="I797" s="18"/>
      <c r="J797" s="22"/>
      <c r="K797" s="108"/>
      <c r="L797" s="26"/>
      <c r="M797" s="26"/>
      <c r="N797" s="26"/>
    </row>
    <row r="798">
      <c r="A798" s="12"/>
      <c r="B798" s="13"/>
      <c r="C798" s="14"/>
      <c r="D798" s="14"/>
      <c r="E798" s="15"/>
      <c r="F798" s="16"/>
      <c r="G798" s="18"/>
      <c r="H798" s="15"/>
      <c r="I798" s="18"/>
      <c r="J798" s="22"/>
      <c r="K798" s="108"/>
      <c r="L798" s="26"/>
      <c r="M798" s="26"/>
      <c r="N798" s="26"/>
    </row>
    <row r="799">
      <c r="A799" s="12"/>
      <c r="B799" s="13"/>
      <c r="C799" s="14"/>
      <c r="D799" s="14"/>
      <c r="E799" s="15"/>
      <c r="F799" s="16"/>
      <c r="G799" s="18"/>
      <c r="H799" s="15"/>
      <c r="I799" s="18"/>
      <c r="J799" s="22"/>
      <c r="K799" s="108"/>
      <c r="L799" s="26"/>
      <c r="M799" s="26"/>
      <c r="N799" s="26"/>
    </row>
    <row r="800">
      <c r="A800" s="12"/>
      <c r="B800" s="13"/>
      <c r="C800" s="14"/>
      <c r="D800" s="14"/>
      <c r="E800" s="15"/>
      <c r="F800" s="16"/>
      <c r="G800" s="18"/>
      <c r="H800" s="15"/>
      <c r="I800" s="18"/>
      <c r="J800" s="22"/>
      <c r="K800" s="108"/>
      <c r="L800" s="26"/>
      <c r="M800" s="26"/>
      <c r="N800" s="26"/>
    </row>
    <row r="801">
      <c r="A801" s="12"/>
      <c r="B801" s="13"/>
      <c r="C801" s="14"/>
      <c r="D801" s="14"/>
      <c r="E801" s="15"/>
      <c r="F801" s="16"/>
      <c r="G801" s="18"/>
      <c r="H801" s="15"/>
      <c r="I801" s="18"/>
      <c r="J801" s="22"/>
      <c r="K801" s="108"/>
      <c r="L801" s="26"/>
      <c r="M801" s="26"/>
      <c r="N801" s="26"/>
    </row>
    <row r="802">
      <c r="A802" s="12"/>
      <c r="B802" s="13"/>
      <c r="C802" s="14"/>
      <c r="D802" s="14"/>
      <c r="E802" s="15"/>
      <c r="F802" s="16"/>
      <c r="G802" s="18"/>
      <c r="H802" s="15"/>
      <c r="I802" s="18"/>
      <c r="J802" s="22"/>
      <c r="K802" s="108"/>
      <c r="L802" s="26"/>
      <c r="M802" s="26"/>
      <c r="N802" s="26"/>
    </row>
    <row r="803">
      <c r="A803" s="12"/>
      <c r="B803" s="13"/>
      <c r="C803" s="14"/>
      <c r="D803" s="14"/>
      <c r="E803" s="15"/>
      <c r="F803" s="16"/>
      <c r="G803" s="18"/>
      <c r="H803" s="15"/>
      <c r="I803" s="18"/>
      <c r="J803" s="22"/>
      <c r="K803" s="108"/>
      <c r="L803" s="26"/>
      <c r="M803" s="26"/>
      <c r="N803" s="26"/>
    </row>
    <row r="804">
      <c r="A804" s="12"/>
      <c r="B804" s="13"/>
      <c r="C804" s="14"/>
      <c r="D804" s="14"/>
      <c r="E804" s="15"/>
      <c r="F804" s="16"/>
      <c r="G804" s="18"/>
      <c r="H804" s="15"/>
      <c r="I804" s="18"/>
      <c r="J804" s="22"/>
      <c r="K804" s="108"/>
      <c r="L804" s="26"/>
      <c r="M804" s="26"/>
      <c r="N804" s="26"/>
    </row>
    <row r="805">
      <c r="A805" s="12"/>
      <c r="B805" s="13"/>
      <c r="C805" s="14"/>
      <c r="D805" s="14"/>
      <c r="E805" s="15"/>
      <c r="F805" s="16"/>
      <c r="G805" s="18"/>
      <c r="H805" s="15"/>
      <c r="I805" s="18"/>
      <c r="J805" s="22"/>
      <c r="K805" s="108"/>
      <c r="L805" s="26"/>
      <c r="M805" s="26"/>
      <c r="N805" s="26"/>
    </row>
    <row r="806">
      <c r="A806" s="12"/>
      <c r="B806" s="13"/>
      <c r="C806" s="14"/>
      <c r="D806" s="14"/>
      <c r="E806" s="15"/>
      <c r="F806" s="16"/>
      <c r="G806" s="18"/>
      <c r="H806" s="15"/>
      <c r="I806" s="18"/>
      <c r="J806" s="22"/>
      <c r="K806" s="108"/>
      <c r="L806" s="26"/>
      <c r="M806" s="26"/>
      <c r="N806" s="26"/>
    </row>
    <row r="807">
      <c r="A807" s="12"/>
      <c r="B807" s="13"/>
      <c r="C807" s="14"/>
      <c r="D807" s="14"/>
      <c r="E807" s="15"/>
      <c r="F807" s="16"/>
      <c r="G807" s="18"/>
      <c r="H807" s="15"/>
      <c r="I807" s="18"/>
      <c r="J807" s="22"/>
      <c r="K807" s="108"/>
      <c r="L807" s="26"/>
      <c r="M807" s="26"/>
      <c r="N807" s="26"/>
    </row>
    <row r="808">
      <c r="A808" s="12"/>
      <c r="B808" s="13"/>
      <c r="C808" s="14"/>
      <c r="D808" s="14"/>
      <c r="E808" s="15"/>
      <c r="F808" s="16"/>
      <c r="G808" s="18"/>
      <c r="H808" s="15"/>
      <c r="I808" s="18"/>
      <c r="J808" s="22"/>
      <c r="K808" s="108"/>
      <c r="L808" s="26"/>
      <c r="M808" s="26"/>
      <c r="N808" s="26"/>
    </row>
    <row r="809">
      <c r="A809" s="12"/>
      <c r="B809" s="13"/>
      <c r="C809" s="14"/>
      <c r="D809" s="14"/>
      <c r="E809" s="15"/>
      <c r="F809" s="16"/>
      <c r="G809" s="18"/>
      <c r="H809" s="15"/>
      <c r="I809" s="18"/>
      <c r="J809" s="22"/>
      <c r="K809" s="108"/>
      <c r="L809" s="26"/>
      <c r="M809" s="26"/>
      <c r="N809" s="26"/>
    </row>
    <row r="810">
      <c r="A810" s="12"/>
      <c r="B810" s="13"/>
      <c r="C810" s="14"/>
      <c r="D810" s="14"/>
      <c r="E810" s="15"/>
      <c r="F810" s="16"/>
      <c r="G810" s="18"/>
      <c r="H810" s="15"/>
      <c r="I810" s="18"/>
      <c r="J810" s="22"/>
      <c r="K810" s="108"/>
      <c r="L810" s="26"/>
      <c r="M810" s="26"/>
      <c r="N810" s="26"/>
    </row>
    <row r="811">
      <c r="A811" s="12"/>
      <c r="B811" s="13"/>
      <c r="C811" s="14"/>
      <c r="D811" s="14"/>
      <c r="E811" s="15"/>
      <c r="F811" s="16"/>
      <c r="G811" s="18"/>
      <c r="H811" s="15"/>
      <c r="I811" s="18"/>
      <c r="J811" s="22"/>
      <c r="K811" s="108"/>
      <c r="L811" s="26"/>
      <c r="M811" s="26"/>
      <c r="N811" s="26"/>
    </row>
    <row r="812">
      <c r="A812" s="12"/>
      <c r="B812" s="13"/>
      <c r="C812" s="14"/>
      <c r="D812" s="14"/>
      <c r="E812" s="15"/>
      <c r="F812" s="16"/>
      <c r="G812" s="18"/>
      <c r="H812" s="15"/>
      <c r="I812" s="18"/>
      <c r="J812" s="22"/>
      <c r="K812" s="108"/>
      <c r="L812" s="26"/>
      <c r="M812" s="26"/>
      <c r="N812" s="26"/>
    </row>
    <row r="813">
      <c r="A813" s="12"/>
      <c r="B813" s="13"/>
      <c r="C813" s="14"/>
      <c r="D813" s="14"/>
      <c r="E813" s="15"/>
      <c r="F813" s="16"/>
      <c r="G813" s="18"/>
      <c r="H813" s="15"/>
      <c r="I813" s="18"/>
      <c r="J813" s="22"/>
      <c r="K813" s="108"/>
      <c r="L813" s="26"/>
      <c r="M813" s="26"/>
      <c r="N813" s="26"/>
    </row>
    <row r="814">
      <c r="A814" s="12"/>
      <c r="B814" s="13"/>
      <c r="C814" s="14"/>
      <c r="D814" s="14"/>
      <c r="E814" s="15"/>
      <c r="F814" s="16"/>
      <c r="G814" s="18"/>
      <c r="H814" s="15"/>
      <c r="I814" s="18"/>
      <c r="J814" s="22"/>
      <c r="K814" s="108"/>
      <c r="L814" s="26"/>
      <c r="M814" s="26"/>
      <c r="N814" s="26"/>
    </row>
    <row r="815">
      <c r="A815" s="12"/>
      <c r="B815" s="13"/>
      <c r="C815" s="14"/>
      <c r="D815" s="14"/>
      <c r="E815" s="15"/>
      <c r="F815" s="16"/>
      <c r="G815" s="18"/>
      <c r="H815" s="15"/>
      <c r="I815" s="18"/>
      <c r="J815" s="22"/>
      <c r="K815" s="108"/>
      <c r="L815" s="26"/>
      <c r="M815" s="26"/>
      <c r="N815" s="26"/>
    </row>
    <row r="816">
      <c r="A816" s="12"/>
      <c r="B816" s="13"/>
      <c r="C816" s="14"/>
      <c r="D816" s="14"/>
      <c r="E816" s="15"/>
      <c r="F816" s="16"/>
      <c r="G816" s="18"/>
      <c r="H816" s="15"/>
      <c r="I816" s="18"/>
      <c r="J816" s="22"/>
      <c r="K816" s="108"/>
      <c r="L816" s="26"/>
      <c r="M816" s="26"/>
      <c r="N816" s="26"/>
    </row>
    <row r="817">
      <c r="A817" s="12"/>
      <c r="B817" s="13"/>
      <c r="C817" s="14"/>
      <c r="D817" s="14"/>
      <c r="E817" s="15"/>
      <c r="F817" s="16"/>
      <c r="G817" s="18"/>
      <c r="H817" s="15"/>
      <c r="I817" s="18"/>
      <c r="J817" s="22"/>
      <c r="K817" s="108"/>
      <c r="L817" s="26"/>
      <c r="M817" s="26"/>
      <c r="N817" s="26"/>
    </row>
    <row r="818">
      <c r="A818" s="12"/>
      <c r="B818" s="13"/>
      <c r="C818" s="14"/>
      <c r="D818" s="14"/>
      <c r="E818" s="15"/>
      <c r="F818" s="16"/>
      <c r="G818" s="18"/>
      <c r="H818" s="15"/>
      <c r="I818" s="18"/>
      <c r="J818" s="22"/>
      <c r="K818" s="108"/>
      <c r="L818" s="26"/>
      <c r="M818" s="26"/>
      <c r="N818" s="26"/>
    </row>
    <row r="819">
      <c r="A819" s="12"/>
      <c r="B819" s="13"/>
      <c r="C819" s="14"/>
      <c r="D819" s="14"/>
      <c r="E819" s="15"/>
      <c r="F819" s="16"/>
      <c r="G819" s="18"/>
      <c r="H819" s="15"/>
      <c r="I819" s="18"/>
      <c r="J819" s="22"/>
      <c r="K819" s="108"/>
      <c r="L819" s="26"/>
      <c r="M819" s="26"/>
      <c r="N819" s="26"/>
    </row>
    <row r="820">
      <c r="A820" s="12"/>
      <c r="B820" s="13"/>
      <c r="C820" s="14"/>
      <c r="D820" s="14"/>
      <c r="E820" s="15"/>
      <c r="F820" s="16"/>
      <c r="G820" s="18"/>
      <c r="H820" s="15"/>
      <c r="I820" s="18"/>
      <c r="J820" s="22"/>
      <c r="K820" s="108"/>
      <c r="L820" s="26"/>
      <c r="M820" s="26"/>
      <c r="N820" s="26"/>
    </row>
    <row r="821">
      <c r="A821" s="12"/>
      <c r="B821" s="13"/>
      <c r="C821" s="14"/>
      <c r="D821" s="14"/>
      <c r="E821" s="15"/>
      <c r="F821" s="16"/>
      <c r="G821" s="18"/>
      <c r="H821" s="15"/>
      <c r="I821" s="18"/>
      <c r="J821" s="22"/>
      <c r="K821" s="108"/>
      <c r="L821" s="26"/>
      <c r="M821" s="26"/>
      <c r="N821" s="26"/>
    </row>
    <row r="822">
      <c r="A822" s="12"/>
      <c r="B822" s="13"/>
      <c r="C822" s="14"/>
      <c r="D822" s="14"/>
      <c r="E822" s="15"/>
      <c r="F822" s="16"/>
      <c r="G822" s="18"/>
      <c r="H822" s="15"/>
      <c r="I822" s="18"/>
      <c r="J822" s="22"/>
      <c r="K822" s="108"/>
      <c r="L822" s="26"/>
      <c r="M822" s="26"/>
      <c r="N822" s="26"/>
    </row>
    <row r="823">
      <c r="A823" s="12"/>
      <c r="B823" s="13"/>
      <c r="C823" s="14"/>
      <c r="D823" s="14"/>
      <c r="E823" s="15"/>
      <c r="F823" s="16"/>
      <c r="G823" s="18"/>
      <c r="H823" s="15"/>
      <c r="I823" s="18"/>
      <c r="J823" s="22"/>
      <c r="K823" s="108"/>
      <c r="L823" s="26"/>
      <c r="M823" s="26"/>
      <c r="N823" s="26"/>
    </row>
    <row r="824">
      <c r="A824" s="12"/>
      <c r="B824" s="13"/>
      <c r="C824" s="14"/>
      <c r="D824" s="14"/>
      <c r="E824" s="15"/>
      <c r="F824" s="16"/>
      <c r="G824" s="18"/>
      <c r="H824" s="15"/>
      <c r="I824" s="18"/>
      <c r="J824" s="22"/>
      <c r="K824" s="108"/>
      <c r="L824" s="26"/>
      <c r="M824" s="26"/>
      <c r="N824" s="26"/>
    </row>
    <row r="825">
      <c r="A825" s="12"/>
      <c r="B825" s="13"/>
      <c r="C825" s="14"/>
      <c r="D825" s="14"/>
      <c r="E825" s="15"/>
      <c r="F825" s="16"/>
      <c r="G825" s="18"/>
      <c r="H825" s="15"/>
      <c r="I825" s="18"/>
      <c r="J825" s="22"/>
      <c r="K825" s="108"/>
      <c r="L825" s="26"/>
      <c r="M825" s="26"/>
      <c r="N825" s="26"/>
    </row>
    <row r="826">
      <c r="A826" s="12"/>
      <c r="B826" s="13"/>
      <c r="C826" s="14"/>
      <c r="D826" s="14"/>
      <c r="E826" s="15"/>
      <c r="F826" s="16"/>
      <c r="G826" s="18"/>
      <c r="H826" s="15"/>
      <c r="I826" s="18"/>
      <c r="J826" s="22"/>
      <c r="K826" s="108"/>
      <c r="L826" s="26"/>
      <c r="M826" s="26"/>
      <c r="N826" s="26"/>
    </row>
    <row r="827">
      <c r="A827" s="12"/>
      <c r="B827" s="13"/>
      <c r="C827" s="14"/>
      <c r="D827" s="14"/>
      <c r="E827" s="15"/>
      <c r="F827" s="16"/>
      <c r="G827" s="18"/>
      <c r="H827" s="15"/>
      <c r="I827" s="18"/>
      <c r="J827" s="22"/>
      <c r="K827" s="108"/>
      <c r="L827" s="26"/>
      <c r="M827" s="26"/>
      <c r="N827" s="26"/>
    </row>
    <row r="828">
      <c r="A828" s="12"/>
      <c r="B828" s="13"/>
      <c r="C828" s="14"/>
      <c r="D828" s="14"/>
      <c r="E828" s="15"/>
      <c r="F828" s="16"/>
      <c r="G828" s="18"/>
      <c r="H828" s="15"/>
      <c r="I828" s="18"/>
      <c r="J828" s="22"/>
      <c r="K828" s="108"/>
      <c r="L828" s="26"/>
      <c r="M828" s="26"/>
      <c r="N828" s="26"/>
    </row>
    <row r="829">
      <c r="A829" s="12"/>
      <c r="B829" s="13"/>
      <c r="C829" s="14"/>
      <c r="D829" s="14"/>
      <c r="E829" s="15"/>
      <c r="F829" s="16"/>
      <c r="G829" s="18"/>
      <c r="H829" s="15"/>
      <c r="I829" s="18"/>
      <c r="J829" s="22"/>
      <c r="K829" s="108"/>
      <c r="L829" s="26"/>
      <c r="M829" s="26"/>
      <c r="N829" s="26"/>
    </row>
    <row r="830">
      <c r="A830" s="12"/>
      <c r="B830" s="13"/>
      <c r="C830" s="14"/>
      <c r="D830" s="14"/>
      <c r="E830" s="15"/>
      <c r="F830" s="16"/>
      <c r="G830" s="18"/>
      <c r="H830" s="15"/>
      <c r="I830" s="18"/>
      <c r="J830" s="22"/>
      <c r="K830" s="108"/>
      <c r="L830" s="26"/>
      <c r="M830" s="26"/>
      <c r="N830" s="26"/>
    </row>
    <row r="831">
      <c r="A831" s="12"/>
      <c r="B831" s="13"/>
      <c r="C831" s="14"/>
      <c r="D831" s="14"/>
      <c r="E831" s="15"/>
      <c r="F831" s="16"/>
      <c r="G831" s="18"/>
      <c r="H831" s="15"/>
      <c r="I831" s="18"/>
      <c r="J831" s="22"/>
      <c r="K831" s="108"/>
      <c r="L831" s="26"/>
      <c r="M831" s="26"/>
      <c r="N831" s="26"/>
    </row>
    <row r="832">
      <c r="A832" s="12"/>
      <c r="B832" s="13"/>
      <c r="C832" s="14"/>
      <c r="D832" s="14"/>
      <c r="E832" s="15"/>
      <c r="F832" s="16"/>
      <c r="G832" s="18"/>
      <c r="H832" s="15"/>
      <c r="I832" s="18"/>
      <c r="J832" s="22"/>
      <c r="K832" s="108"/>
      <c r="L832" s="26"/>
      <c r="M832" s="26"/>
      <c r="N832" s="26"/>
    </row>
    <row r="833">
      <c r="A833" s="12"/>
      <c r="B833" s="13"/>
      <c r="C833" s="14"/>
      <c r="D833" s="14"/>
      <c r="E833" s="15"/>
      <c r="F833" s="16"/>
      <c r="G833" s="18"/>
      <c r="H833" s="15"/>
      <c r="I833" s="18"/>
      <c r="J833" s="22"/>
      <c r="K833" s="108"/>
      <c r="L833" s="26"/>
      <c r="M833" s="26"/>
      <c r="N833" s="26"/>
    </row>
    <row r="834">
      <c r="A834" s="12"/>
      <c r="B834" s="13"/>
      <c r="C834" s="14"/>
      <c r="D834" s="14"/>
      <c r="E834" s="15"/>
      <c r="F834" s="16"/>
      <c r="G834" s="18"/>
      <c r="H834" s="15"/>
      <c r="I834" s="18"/>
      <c r="J834" s="22"/>
      <c r="K834" s="108"/>
      <c r="L834" s="26"/>
      <c r="M834" s="26"/>
      <c r="N834" s="26"/>
    </row>
    <row r="835">
      <c r="A835" s="12"/>
      <c r="B835" s="13"/>
      <c r="C835" s="14"/>
      <c r="D835" s="14"/>
      <c r="E835" s="15"/>
      <c r="F835" s="16"/>
      <c r="G835" s="18"/>
      <c r="H835" s="15"/>
      <c r="I835" s="18"/>
      <c r="J835" s="22"/>
      <c r="K835" s="108"/>
      <c r="L835" s="26"/>
      <c r="M835" s="26"/>
      <c r="N835" s="26"/>
    </row>
    <row r="836">
      <c r="A836" s="12"/>
      <c r="B836" s="13"/>
      <c r="C836" s="14"/>
      <c r="D836" s="14"/>
      <c r="E836" s="15"/>
      <c r="F836" s="16"/>
      <c r="G836" s="18"/>
      <c r="H836" s="15"/>
      <c r="I836" s="18"/>
      <c r="J836" s="22"/>
      <c r="K836" s="108"/>
      <c r="L836" s="26"/>
      <c r="M836" s="26"/>
      <c r="N836" s="26"/>
    </row>
    <row r="837">
      <c r="A837" s="12"/>
      <c r="B837" s="13"/>
      <c r="C837" s="14"/>
      <c r="D837" s="14"/>
      <c r="E837" s="15"/>
      <c r="F837" s="16"/>
      <c r="G837" s="18"/>
      <c r="H837" s="15"/>
      <c r="I837" s="18"/>
      <c r="J837" s="22"/>
      <c r="K837" s="108"/>
      <c r="L837" s="26"/>
      <c r="M837" s="26"/>
      <c r="N837" s="26"/>
    </row>
    <row r="838">
      <c r="A838" s="12"/>
      <c r="B838" s="13"/>
      <c r="C838" s="14"/>
      <c r="D838" s="14"/>
      <c r="E838" s="15"/>
      <c r="F838" s="16"/>
      <c r="G838" s="18"/>
      <c r="H838" s="15"/>
      <c r="I838" s="18"/>
      <c r="J838" s="22"/>
      <c r="K838" s="108"/>
      <c r="L838" s="26"/>
      <c r="M838" s="26"/>
      <c r="N838" s="26"/>
    </row>
    <row r="839">
      <c r="A839" s="12"/>
      <c r="B839" s="13"/>
      <c r="C839" s="14"/>
      <c r="D839" s="14"/>
      <c r="E839" s="15"/>
      <c r="F839" s="16"/>
      <c r="G839" s="18"/>
      <c r="H839" s="15"/>
      <c r="I839" s="18"/>
      <c r="J839" s="22"/>
      <c r="K839" s="108"/>
      <c r="L839" s="26"/>
      <c r="M839" s="26"/>
      <c r="N839" s="26"/>
    </row>
    <row r="840">
      <c r="A840" s="12"/>
      <c r="B840" s="13"/>
      <c r="C840" s="14"/>
      <c r="D840" s="14"/>
      <c r="E840" s="15"/>
      <c r="F840" s="16"/>
      <c r="G840" s="18"/>
      <c r="H840" s="15"/>
      <c r="I840" s="18"/>
      <c r="J840" s="22"/>
      <c r="K840" s="108"/>
      <c r="L840" s="26"/>
      <c r="M840" s="26"/>
      <c r="N840" s="26"/>
    </row>
    <row r="841">
      <c r="A841" s="12"/>
      <c r="B841" s="13"/>
      <c r="C841" s="14"/>
      <c r="D841" s="14"/>
      <c r="E841" s="15"/>
      <c r="F841" s="16"/>
      <c r="G841" s="18"/>
      <c r="H841" s="15"/>
      <c r="I841" s="18"/>
      <c r="J841" s="22"/>
      <c r="K841" s="108"/>
      <c r="L841" s="26"/>
      <c r="M841" s="26"/>
      <c r="N841" s="26"/>
    </row>
    <row r="842">
      <c r="A842" s="12"/>
      <c r="B842" s="13"/>
      <c r="C842" s="14"/>
      <c r="D842" s="14"/>
      <c r="E842" s="15"/>
      <c r="F842" s="16"/>
      <c r="G842" s="18"/>
      <c r="H842" s="15"/>
      <c r="I842" s="18"/>
      <c r="J842" s="22"/>
      <c r="K842" s="108"/>
      <c r="L842" s="26"/>
      <c r="M842" s="26"/>
      <c r="N842" s="26"/>
    </row>
    <row r="843">
      <c r="A843" s="12"/>
      <c r="B843" s="13"/>
      <c r="C843" s="14"/>
      <c r="D843" s="14"/>
      <c r="E843" s="15"/>
      <c r="F843" s="16"/>
      <c r="G843" s="18"/>
      <c r="H843" s="15"/>
      <c r="I843" s="18"/>
      <c r="J843" s="22"/>
      <c r="K843" s="108"/>
      <c r="L843" s="26"/>
      <c r="M843" s="26"/>
      <c r="N843" s="26"/>
    </row>
    <row r="844">
      <c r="A844" s="12"/>
      <c r="B844" s="13"/>
      <c r="C844" s="14"/>
      <c r="D844" s="14"/>
      <c r="E844" s="15"/>
      <c r="F844" s="16"/>
      <c r="G844" s="18"/>
      <c r="H844" s="15"/>
      <c r="I844" s="18"/>
      <c r="J844" s="22"/>
      <c r="K844" s="108"/>
      <c r="L844" s="26"/>
      <c r="M844" s="26"/>
      <c r="N844" s="26"/>
    </row>
    <row r="845">
      <c r="A845" s="12"/>
      <c r="B845" s="13"/>
      <c r="C845" s="14"/>
      <c r="D845" s="14"/>
      <c r="E845" s="15"/>
      <c r="F845" s="16"/>
      <c r="G845" s="18"/>
      <c r="H845" s="15"/>
      <c r="I845" s="18"/>
      <c r="J845" s="22"/>
      <c r="K845" s="108"/>
      <c r="L845" s="26"/>
      <c r="M845" s="26"/>
      <c r="N845" s="26"/>
    </row>
    <row r="846">
      <c r="A846" s="12"/>
      <c r="B846" s="13"/>
      <c r="C846" s="14"/>
      <c r="D846" s="14"/>
      <c r="E846" s="15"/>
      <c r="F846" s="16"/>
      <c r="G846" s="18"/>
      <c r="H846" s="15"/>
      <c r="I846" s="18"/>
      <c r="J846" s="22"/>
      <c r="K846" s="108"/>
      <c r="L846" s="26"/>
      <c r="M846" s="26"/>
      <c r="N846" s="26"/>
    </row>
    <row r="847">
      <c r="A847" s="12"/>
      <c r="B847" s="13"/>
      <c r="C847" s="14"/>
      <c r="D847" s="14"/>
      <c r="E847" s="15"/>
      <c r="F847" s="16"/>
      <c r="G847" s="18"/>
      <c r="H847" s="15"/>
      <c r="I847" s="18"/>
      <c r="J847" s="22"/>
      <c r="K847" s="108"/>
      <c r="L847" s="26"/>
      <c r="M847" s="26"/>
      <c r="N847" s="26"/>
    </row>
    <row r="848">
      <c r="A848" s="12"/>
      <c r="B848" s="13"/>
      <c r="C848" s="14"/>
      <c r="D848" s="14"/>
      <c r="E848" s="15"/>
      <c r="F848" s="16"/>
      <c r="G848" s="18"/>
      <c r="H848" s="15"/>
      <c r="I848" s="18"/>
      <c r="J848" s="22"/>
      <c r="K848" s="108"/>
      <c r="L848" s="26"/>
      <c r="M848" s="26"/>
      <c r="N848" s="26"/>
    </row>
    <row r="849">
      <c r="A849" s="12"/>
      <c r="B849" s="13"/>
      <c r="C849" s="14"/>
      <c r="D849" s="14"/>
      <c r="E849" s="15"/>
      <c r="F849" s="16"/>
      <c r="G849" s="18"/>
      <c r="H849" s="15"/>
      <c r="I849" s="18"/>
      <c r="J849" s="22"/>
      <c r="K849" s="108"/>
      <c r="L849" s="26"/>
      <c r="M849" s="26"/>
      <c r="N849" s="26"/>
    </row>
    <row r="850">
      <c r="A850" s="12"/>
      <c r="B850" s="13"/>
      <c r="C850" s="14"/>
      <c r="D850" s="14"/>
      <c r="E850" s="15"/>
      <c r="F850" s="16"/>
      <c r="G850" s="18"/>
      <c r="H850" s="15"/>
      <c r="I850" s="18"/>
      <c r="J850" s="22"/>
      <c r="K850" s="108"/>
      <c r="L850" s="26"/>
      <c r="M850" s="26"/>
      <c r="N850" s="26"/>
    </row>
    <row r="851">
      <c r="A851" s="12"/>
      <c r="B851" s="13"/>
      <c r="C851" s="14"/>
      <c r="D851" s="14"/>
      <c r="E851" s="15"/>
      <c r="F851" s="16"/>
      <c r="G851" s="18"/>
      <c r="H851" s="15"/>
      <c r="I851" s="18"/>
      <c r="J851" s="22"/>
      <c r="K851" s="108"/>
      <c r="L851" s="26"/>
      <c r="M851" s="26"/>
      <c r="N851" s="26"/>
    </row>
    <row r="852">
      <c r="A852" s="12"/>
      <c r="B852" s="13"/>
      <c r="C852" s="14"/>
      <c r="D852" s="14"/>
      <c r="E852" s="15"/>
      <c r="F852" s="16"/>
      <c r="G852" s="18"/>
      <c r="H852" s="15"/>
      <c r="I852" s="18"/>
      <c r="J852" s="22"/>
      <c r="K852" s="108"/>
      <c r="L852" s="26"/>
      <c r="M852" s="26"/>
      <c r="N852" s="26"/>
    </row>
    <row r="853">
      <c r="A853" s="12"/>
      <c r="B853" s="13"/>
      <c r="C853" s="14"/>
      <c r="D853" s="14"/>
      <c r="E853" s="15"/>
      <c r="F853" s="16"/>
      <c r="G853" s="18"/>
      <c r="H853" s="15"/>
      <c r="I853" s="18"/>
      <c r="J853" s="22"/>
      <c r="K853" s="108"/>
      <c r="L853" s="26"/>
      <c r="M853" s="26"/>
      <c r="N853" s="26"/>
    </row>
    <row r="854">
      <c r="A854" s="12"/>
      <c r="B854" s="13"/>
      <c r="C854" s="14"/>
      <c r="D854" s="14"/>
      <c r="E854" s="15"/>
      <c r="F854" s="16"/>
      <c r="G854" s="18"/>
      <c r="H854" s="15"/>
      <c r="I854" s="18"/>
      <c r="J854" s="22"/>
      <c r="K854" s="108"/>
      <c r="L854" s="26"/>
      <c r="M854" s="26"/>
      <c r="N854" s="26"/>
    </row>
    <row r="855">
      <c r="A855" s="12"/>
      <c r="B855" s="13"/>
      <c r="C855" s="14"/>
      <c r="D855" s="14"/>
      <c r="E855" s="15"/>
      <c r="F855" s="16"/>
      <c r="G855" s="18"/>
      <c r="H855" s="15"/>
      <c r="I855" s="18"/>
      <c r="J855" s="22"/>
      <c r="K855" s="108"/>
      <c r="L855" s="26"/>
      <c r="M855" s="26"/>
      <c r="N855" s="26"/>
    </row>
    <row r="856">
      <c r="A856" s="12"/>
      <c r="B856" s="13"/>
      <c r="C856" s="14"/>
      <c r="D856" s="14"/>
      <c r="E856" s="15"/>
      <c r="F856" s="16"/>
      <c r="G856" s="18"/>
      <c r="H856" s="15"/>
      <c r="I856" s="18"/>
      <c r="J856" s="22"/>
      <c r="K856" s="108"/>
      <c r="L856" s="26"/>
      <c r="M856" s="26"/>
      <c r="N856" s="26"/>
    </row>
    <row r="857">
      <c r="A857" s="12"/>
      <c r="B857" s="13"/>
      <c r="C857" s="14"/>
      <c r="D857" s="14"/>
      <c r="E857" s="15"/>
      <c r="F857" s="16"/>
      <c r="G857" s="18"/>
      <c r="H857" s="15"/>
      <c r="I857" s="18"/>
      <c r="J857" s="22"/>
      <c r="K857" s="108"/>
      <c r="L857" s="26"/>
      <c r="M857" s="26"/>
      <c r="N857" s="26"/>
    </row>
    <row r="858">
      <c r="A858" s="12"/>
      <c r="B858" s="13"/>
      <c r="C858" s="14"/>
      <c r="D858" s="14"/>
      <c r="E858" s="15"/>
      <c r="F858" s="16"/>
      <c r="G858" s="18"/>
      <c r="H858" s="15"/>
      <c r="I858" s="18"/>
      <c r="J858" s="22"/>
      <c r="K858" s="108"/>
      <c r="L858" s="26"/>
      <c r="M858" s="26"/>
      <c r="N858" s="26"/>
    </row>
    <row r="859">
      <c r="A859" s="12"/>
      <c r="B859" s="13"/>
      <c r="C859" s="14"/>
      <c r="D859" s="14"/>
      <c r="E859" s="15"/>
      <c r="F859" s="16"/>
      <c r="G859" s="18"/>
      <c r="H859" s="15"/>
      <c r="I859" s="18"/>
      <c r="J859" s="22"/>
      <c r="K859" s="108"/>
      <c r="L859" s="26"/>
      <c r="M859" s="26"/>
      <c r="N859" s="26"/>
    </row>
    <row r="860">
      <c r="A860" s="12"/>
      <c r="B860" s="13"/>
      <c r="C860" s="14"/>
      <c r="D860" s="14"/>
      <c r="E860" s="15"/>
      <c r="F860" s="16"/>
      <c r="G860" s="18"/>
      <c r="H860" s="15"/>
      <c r="I860" s="18"/>
      <c r="J860" s="22"/>
      <c r="K860" s="108"/>
      <c r="L860" s="26"/>
      <c r="M860" s="26"/>
      <c r="N860" s="26"/>
    </row>
    <row r="861">
      <c r="A861" s="12"/>
      <c r="B861" s="13"/>
      <c r="C861" s="14"/>
      <c r="D861" s="14"/>
      <c r="E861" s="15"/>
      <c r="F861" s="16"/>
      <c r="G861" s="18"/>
      <c r="H861" s="15"/>
      <c r="I861" s="18"/>
      <c r="J861" s="22"/>
      <c r="K861" s="108"/>
      <c r="L861" s="26"/>
      <c r="M861" s="26"/>
      <c r="N861" s="26"/>
    </row>
    <row r="862">
      <c r="A862" s="12"/>
      <c r="B862" s="13"/>
      <c r="C862" s="14"/>
      <c r="D862" s="14"/>
      <c r="E862" s="15"/>
      <c r="F862" s="16"/>
      <c r="G862" s="18"/>
      <c r="H862" s="15"/>
      <c r="I862" s="18"/>
      <c r="J862" s="22"/>
      <c r="K862" s="108"/>
      <c r="L862" s="26"/>
      <c r="M862" s="26"/>
      <c r="N862" s="26"/>
    </row>
    <row r="863">
      <c r="A863" s="12"/>
      <c r="B863" s="13"/>
      <c r="C863" s="14"/>
      <c r="D863" s="14"/>
      <c r="E863" s="15"/>
      <c r="F863" s="16"/>
      <c r="G863" s="18"/>
      <c r="H863" s="15"/>
      <c r="I863" s="18"/>
      <c r="J863" s="22"/>
      <c r="K863" s="108"/>
      <c r="L863" s="26"/>
      <c r="M863" s="26"/>
      <c r="N863" s="26"/>
    </row>
    <row r="864">
      <c r="A864" s="12"/>
      <c r="B864" s="13"/>
      <c r="C864" s="14"/>
      <c r="D864" s="14"/>
      <c r="E864" s="15"/>
      <c r="F864" s="16"/>
      <c r="G864" s="18"/>
      <c r="H864" s="15"/>
      <c r="I864" s="18"/>
      <c r="J864" s="22"/>
      <c r="K864" s="108"/>
      <c r="L864" s="26"/>
      <c r="M864" s="26"/>
      <c r="N864" s="26"/>
    </row>
    <row r="865">
      <c r="A865" s="12"/>
      <c r="B865" s="13"/>
      <c r="C865" s="14"/>
      <c r="D865" s="14"/>
      <c r="E865" s="15"/>
      <c r="F865" s="16"/>
      <c r="G865" s="18"/>
      <c r="H865" s="15"/>
      <c r="I865" s="18"/>
      <c r="J865" s="22"/>
      <c r="K865" s="108"/>
      <c r="L865" s="26"/>
      <c r="M865" s="26"/>
      <c r="N865" s="26"/>
    </row>
    <row r="866">
      <c r="A866" s="12"/>
      <c r="B866" s="13"/>
      <c r="C866" s="14"/>
      <c r="D866" s="14"/>
      <c r="E866" s="15"/>
      <c r="F866" s="16"/>
      <c r="G866" s="18"/>
      <c r="H866" s="15"/>
      <c r="I866" s="18"/>
      <c r="J866" s="22"/>
      <c r="K866" s="108"/>
      <c r="L866" s="26"/>
      <c r="M866" s="26"/>
      <c r="N866" s="26"/>
    </row>
    <row r="867">
      <c r="A867" s="12"/>
      <c r="B867" s="13"/>
      <c r="C867" s="14"/>
      <c r="D867" s="14"/>
      <c r="E867" s="15"/>
      <c r="F867" s="16"/>
      <c r="G867" s="18"/>
      <c r="H867" s="15"/>
      <c r="I867" s="18"/>
      <c r="J867" s="22"/>
      <c r="K867" s="108"/>
      <c r="L867" s="26"/>
      <c r="M867" s="26"/>
      <c r="N867" s="26"/>
    </row>
    <row r="868">
      <c r="A868" s="12"/>
      <c r="B868" s="13"/>
      <c r="C868" s="14"/>
      <c r="D868" s="14"/>
      <c r="E868" s="15"/>
      <c r="F868" s="16"/>
      <c r="G868" s="18"/>
      <c r="H868" s="15"/>
      <c r="I868" s="18"/>
      <c r="J868" s="22"/>
      <c r="K868" s="108"/>
      <c r="L868" s="26"/>
      <c r="M868" s="26"/>
      <c r="N868" s="26"/>
    </row>
    <row r="869">
      <c r="A869" s="12"/>
      <c r="B869" s="13"/>
      <c r="C869" s="14"/>
      <c r="D869" s="14"/>
      <c r="E869" s="15"/>
      <c r="F869" s="16"/>
      <c r="G869" s="18"/>
      <c r="H869" s="15"/>
      <c r="I869" s="18"/>
      <c r="J869" s="22"/>
      <c r="K869" s="108"/>
      <c r="L869" s="26"/>
      <c r="M869" s="26"/>
      <c r="N869" s="26"/>
    </row>
    <row r="870">
      <c r="A870" s="12"/>
      <c r="B870" s="13"/>
      <c r="C870" s="14"/>
      <c r="D870" s="14"/>
      <c r="E870" s="15"/>
      <c r="F870" s="16"/>
      <c r="G870" s="18"/>
      <c r="H870" s="15"/>
      <c r="I870" s="18"/>
      <c r="J870" s="22"/>
      <c r="K870" s="108"/>
      <c r="L870" s="26"/>
      <c r="M870" s="26"/>
      <c r="N870" s="26"/>
    </row>
    <row r="871">
      <c r="A871" s="12"/>
      <c r="B871" s="13"/>
      <c r="C871" s="14"/>
      <c r="D871" s="14"/>
      <c r="E871" s="15"/>
      <c r="F871" s="16"/>
      <c r="G871" s="18"/>
      <c r="H871" s="15"/>
      <c r="I871" s="18"/>
      <c r="J871" s="22"/>
      <c r="K871" s="108"/>
      <c r="L871" s="26"/>
      <c r="M871" s="26"/>
      <c r="N871" s="26"/>
    </row>
    <row r="872">
      <c r="A872" s="12"/>
      <c r="B872" s="13"/>
      <c r="C872" s="14"/>
      <c r="D872" s="14"/>
      <c r="E872" s="15"/>
      <c r="F872" s="16"/>
      <c r="G872" s="18"/>
      <c r="H872" s="15"/>
      <c r="I872" s="18"/>
      <c r="J872" s="22"/>
      <c r="K872" s="108"/>
      <c r="L872" s="26"/>
      <c r="M872" s="26"/>
      <c r="N872" s="26"/>
    </row>
    <row r="873">
      <c r="A873" s="12"/>
      <c r="B873" s="13"/>
      <c r="C873" s="14"/>
      <c r="D873" s="14"/>
      <c r="E873" s="15"/>
      <c r="F873" s="16"/>
      <c r="G873" s="18"/>
      <c r="H873" s="15"/>
      <c r="I873" s="18"/>
      <c r="J873" s="22"/>
      <c r="K873" s="108"/>
      <c r="L873" s="26"/>
      <c r="M873" s="26"/>
      <c r="N873" s="26"/>
    </row>
    <row r="874">
      <c r="A874" s="12"/>
      <c r="B874" s="13"/>
      <c r="C874" s="14"/>
      <c r="D874" s="14"/>
      <c r="E874" s="15"/>
      <c r="F874" s="16"/>
      <c r="G874" s="18"/>
      <c r="H874" s="15"/>
      <c r="I874" s="18"/>
      <c r="J874" s="22"/>
      <c r="K874" s="108"/>
      <c r="L874" s="26"/>
      <c r="M874" s="26"/>
      <c r="N874" s="26"/>
    </row>
    <row r="875">
      <c r="A875" s="12"/>
      <c r="B875" s="13"/>
      <c r="C875" s="14"/>
      <c r="D875" s="14"/>
      <c r="E875" s="15"/>
      <c r="F875" s="16"/>
      <c r="G875" s="18"/>
      <c r="H875" s="15"/>
      <c r="I875" s="18"/>
      <c r="J875" s="22"/>
      <c r="K875" s="108"/>
      <c r="L875" s="26"/>
      <c r="M875" s="26"/>
      <c r="N875" s="26"/>
    </row>
    <row r="876">
      <c r="A876" s="12"/>
      <c r="B876" s="13"/>
      <c r="C876" s="14"/>
      <c r="D876" s="14"/>
      <c r="E876" s="15"/>
      <c r="F876" s="16"/>
      <c r="G876" s="18"/>
      <c r="H876" s="15"/>
      <c r="I876" s="18"/>
      <c r="J876" s="22"/>
      <c r="K876" s="108"/>
      <c r="L876" s="26"/>
      <c r="M876" s="26"/>
      <c r="N876" s="26"/>
    </row>
    <row r="877">
      <c r="A877" s="12"/>
      <c r="B877" s="13"/>
      <c r="C877" s="14"/>
      <c r="D877" s="14"/>
      <c r="E877" s="15"/>
      <c r="F877" s="16"/>
      <c r="G877" s="18"/>
      <c r="H877" s="15"/>
      <c r="I877" s="18"/>
      <c r="J877" s="22"/>
      <c r="K877" s="108"/>
      <c r="L877" s="26"/>
      <c r="M877" s="26"/>
      <c r="N877" s="26"/>
    </row>
    <row r="878">
      <c r="A878" s="12"/>
      <c r="B878" s="13"/>
      <c r="C878" s="14"/>
      <c r="D878" s="14"/>
      <c r="E878" s="15"/>
      <c r="F878" s="16"/>
      <c r="G878" s="18"/>
      <c r="H878" s="15"/>
      <c r="I878" s="18"/>
      <c r="J878" s="22"/>
      <c r="K878" s="108"/>
      <c r="L878" s="26"/>
      <c r="M878" s="26"/>
      <c r="N878" s="26"/>
    </row>
    <row r="879">
      <c r="A879" s="12"/>
      <c r="B879" s="13"/>
      <c r="C879" s="14"/>
      <c r="D879" s="14"/>
      <c r="E879" s="15"/>
      <c r="F879" s="16"/>
      <c r="G879" s="18"/>
      <c r="H879" s="15"/>
      <c r="I879" s="18"/>
      <c r="J879" s="22"/>
      <c r="K879" s="108"/>
      <c r="L879" s="26"/>
      <c r="M879" s="26"/>
      <c r="N879" s="26"/>
    </row>
    <row r="880">
      <c r="A880" s="12"/>
      <c r="B880" s="13"/>
      <c r="C880" s="14"/>
      <c r="D880" s="14"/>
      <c r="E880" s="15"/>
      <c r="F880" s="16"/>
      <c r="G880" s="18"/>
      <c r="H880" s="15"/>
      <c r="I880" s="18"/>
      <c r="J880" s="22"/>
      <c r="K880" s="108"/>
      <c r="L880" s="26"/>
      <c r="M880" s="26"/>
      <c r="N880" s="26"/>
    </row>
    <row r="881">
      <c r="A881" s="12"/>
      <c r="B881" s="13"/>
      <c r="C881" s="14"/>
      <c r="D881" s="14"/>
      <c r="E881" s="15"/>
      <c r="F881" s="16"/>
      <c r="G881" s="18"/>
      <c r="H881" s="15"/>
      <c r="I881" s="18"/>
      <c r="J881" s="22"/>
      <c r="K881" s="108"/>
      <c r="L881" s="26"/>
      <c r="M881" s="26"/>
      <c r="N881" s="26"/>
    </row>
    <row r="882">
      <c r="A882" s="12"/>
      <c r="B882" s="13"/>
      <c r="C882" s="14"/>
      <c r="D882" s="14"/>
      <c r="E882" s="15"/>
      <c r="F882" s="16"/>
      <c r="G882" s="18"/>
      <c r="H882" s="15"/>
      <c r="I882" s="18"/>
      <c r="J882" s="22"/>
      <c r="K882" s="108"/>
      <c r="L882" s="26"/>
      <c r="M882" s="26"/>
      <c r="N882" s="26"/>
    </row>
    <row r="883">
      <c r="A883" s="12"/>
      <c r="B883" s="13"/>
      <c r="C883" s="14"/>
      <c r="D883" s="14"/>
      <c r="E883" s="15"/>
      <c r="F883" s="16"/>
      <c r="G883" s="18"/>
      <c r="H883" s="15"/>
      <c r="I883" s="18"/>
      <c r="J883" s="22"/>
      <c r="K883" s="108"/>
      <c r="L883" s="26"/>
      <c r="M883" s="26"/>
      <c r="N883" s="26"/>
    </row>
    <row r="884">
      <c r="A884" s="12"/>
      <c r="B884" s="13"/>
      <c r="C884" s="14"/>
      <c r="D884" s="14"/>
      <c r="E884" s="15"/>
      <c r="F884" s="16"/>
      <c r="G884" s="18"/>
      <c r="H884" s="15"/>
      <c r="I884" s="18"/>
      <c r="J884" s="22"/>
      <c r="K884" s="108"/>
      <c r="L884" s="26"/>
      <c r="M884" s="26"/>
      <c r="N884" s="26"/>
    </row>
    <row r="885">
      <c r="A885" s="12"/>
      <c r="B885" s="13"/>
      <c r="C885" s="14"/>
      <c r="D885" s="14"/>
      <c r="E885" s="15"/>
      <c r="F885" s="16"/>
      <c r="G885" s="18"/>
      <c r="H885" s="15"/>
      <c r="I885" s="18"/>
      <c r="J885" s="22"/>
      <c r="K885" s="108"/>
      <c r="L885" s="26"/>
      <c r="M885" s="26"/>
      <c r="N885" s="26"/>
    </row>
    <row r="886">
      <c r="A886" s="12"/>
      <c r="B886" s="13"/>
      <c r="C886" s="14"/>
      <c r="D886" s="14"/>
      <c r="E886" s="15"/>
      <c r="F886" s="16"/>
      <c r="G886" s="18"/>
      <c r="H886" s="15"/>
      <c r="I886" s="18"/>
      <c r="J886" s="22"/>
      <c r="K886" s="108"/>
      <c r="L886" s="26"/>
      <c r="M886" s="26"/>
      <c r="N886" s="26"/>
    </row>
    <row r="887">
      <c r="A887" s="12"/>
      <c r="B887" s="13"/>
      <c r="C887" s="14"/>
      <c r="D887" s="14"/>
      <c r="E887" s="15"/>
      <c r="F887" s="16"/>
      <c r="G887" s="18"/>
      <c r="H887" s="15"/>
      <c r="I887" s="18"/>
      <c r="J887" s="22"/>
      <c r="K887" s="108"/>
      <c r="L887" s="26"/>
      <c r="M887" s="26"/>
      <c r="N887" s="26"/>
    </row>
    <row r="888">
      <c r="A888" s="12"/>
      <c r="B888" s="13"/>
      <c r="C888" s="14"/>
      <c r="D888" s="14"/>
      <c r="E888" s="15"/>
      <c r="F888" s="16"/>
      <c r="G888" s="18"/>
      <c r="H888" s="15"/>
      <c r="I888" s="18"/>
      <c r="J888" s="22"/>
      <c r="K888" s="108"/>
      <c r="L888" s="26"/>
      <c r="M888" s="26"/>
      <c r="N888" s="26"/>
    </row>
    <row r="889">
      <c r="A889" s="12"/>
      <c r="B889" s="13"/>
      <c r="C889" s="14"/>
      <c r="D889" s="14"/>
      <c r="E889" s="15"/>
      <c r="F889" s="16"/>
      <c r="G889" s="18"/>
      <c r="H889" s="15"/>
      <c r="I889" s="18"/>
      <c r="J889" s="22"/>
      <c r="K889" s="108"/>
      <c r="L889" s="26"/>
      <c r="M889" s="26"/>
      <c r="N889" s="26"/>
    </row>
    <row r="890">
      <c r="A890" s="12"/>
      <c r="B890" s="13"/>
      <c r="C890" s="14"/>
      <c r="D890" s="14"/>
      <c r="E890" s="15"/>
      <c r="F890" s="16"/>
      <c r="G890" s="18"/>
      <c r="H890" s="15"/>
      <c r="I890" s="18"/>
      <c r="J890" s="22"/>
      <c r="K890" s="108"/>
      <c r="L890" s="26"/>
      <c r="M890" s="26"/>
      <c r="N890" s="26"/>
    </row>
    <row r="891">
      <c r="A891" s="12"/>
      <c r="B891" s="13"/>
      <c r="C891" s="14"/>
      <c r="D891" s="14"/>
      <c r="E891" s="15"/>
      <c r="F891" s="16"/>
      <c r="G891" s="18"/>
      <c r="H891" s="15"/>
      <c r="I891" s="18"/>
      <c r="J891" s="22"/>
      <c r="K891" s="108"/>
      <c r="L891" s="26"/>
      <c r="M891" s="26"/>
      <c r="N891" s="26"/>
    </row>
    <row r="892">
      <c r="A892" s="12"/>
      <c r="B892" s="13"/>
      <c r="C892" s="14"/>
      <c r="D892" s="14"/>
      <c r="E892" s="15"/>
      <c r="F892" s="16"/>
      <c r="G892" s="18"/>
      <c r="H892" s="15"/>
      <c r="I892" s="18"/>
      <c r="J892" s="22"/>
      <c r="K892" s="108"/>
      <c r="L892" s="26"/>
      <c r="M892" s="26"/>
      <c r="N892" s="26"/>
    </row>
    <row r="893">
      <c r="A893" s="12"/>
      <c r="B893" s="13"/>
      <c r="C893" s="14"/>
      <c r="D893" s="14"/>
      <c r="E893" s="15"/>
      <c r="F893" s="16"/>
      <c r="G893" s="18"/>
      <c r="H893" s="15"/>
      <c r="I893" s="18"/>
      <c r="J893" s="22"/>
      <c r="K893" s="108"/>
      <c r="L893" s="26"/>
      <c r="M893" s="26"/>
      <c r="N893" s="26"/>
    </row>
    <row r="894">
      <c r="A894" s="12"/>
      <c r="B894" s="13"/>
      <c r="C894" s="14"/>
      <c r="D894" s="14"/>
      <c r="E894" s="15"/>
      <c r="F894" s="16"/>
      <c r="G894" s="18"/>
      <c r="H894" s="15"/>
      <c r="I894" s="18"/>
      <c r="J894" s="22"/>
      <c r="K894" s="108"/>
      <c r="L894" s="26"/>
      <c r="M894" s="26"/>
      <c r="N894" s="26"/>
    </row>
    <row r="895">
      <c r="A895" s="12"/>
      <c r="B895" s="13"/>
      <c r="C895" s="14"/>
      <c r="D895" s="14"/>
      <c r="E895" s="15"/>
      <c r="F895" s="16"/>
      <c r="G895" s="18"/>
      <c r="H895" s="15"/>
      <c r="I895" s="18"/>
      <c r="J895" s="22"/>
      <c r="K895" s="108"/>
      <c r="L895" s="26"/>
      <c r="M895" s="26"/>
      <c r="N895" s="26"/>
    </row>
    <row r="896">
      <c r="A896" s="12"/>
      <c r="B896" s="13"/>
      <c r="C896" s="14"/>
      <c r="D896" s="14"/>
      <c r="E896" s="15"/>
      <c r="F896" s="16"/>
      <c r="G896" s="18"/>
      <c r="H896" s="15"/>
      <c r="I896" s="18"/>
      <c r="J896" s="22"/>
      <c r="K896" s="108"/>
      <c r="L896" s="26"/>
      <c r="M896" s="26"/>
      <c r="N896" s="26"/>
    </row>
    <row r="897">
      <c r="A897" s="12"/>
      <c r="B897" s="13"/>
      <c r="C897" s="14"/>
      <c r="D897" s="14"/>
      <c r="E897" s="15"/>
      <c r="F897" s="16"/>
      <c r="G897" s="18"/>
      <c r="H897" s="15"/>
      <c r="I897" s="18"/>
      <c r="J897" s="22"/>
      <c r="K897" s="108"/>
      <c r="L897" s="26"/>
      <c r="M897" s="26"/>
      <c r="N897" s="26"/>
    </row>
    <row r="898">
      <c r="A898" s="12"/>
      <c r="B898" s="13"/>
      <c r="C898" s="14"/>
      <c r="D898" s="14"/>
      <c r="E898" s="15"/>
      <c r="F898" s="16"/>
      <c r="G898" s="18"/>
      <c r="H898" s="15"/>
      <c r="I898" s="18"/>
      <c r="J898" s="22"/>
      <c r="K898" s="108"/>
      <c r="L898" s="26"/>
      <c r="M898" s="26"/>
      <c r="N898" s="26"/>
    </row>
    <row r="899">
      <c r="A899" s="12"/>
      <c r="B899" s="13"/>
      <c r="C899" s="14"/>
      <c r="D899" s="14"/>
      <c r="E899" s="15"/>
      <c r="F899" s="16"/>
      <c r="G899" s="18"/>
      <c r="H899" s="15"/>
      <c r="I899" s="18"/>
      <c r="J899" s="22"/>
      <c r="K899" s="108"/>
      <c r="L899" s="26"/>
      <c r="M899" s="26"/>
      <c r="N899" s="26"/>
    </row>
    <row r="900">
      <c r="A900" s="12"/>
      <c r="B900" s="13"/>
      <c r="C900" s="14"/>
      <c r="D900" s="14"/>
      <c r="E900" s="15"/>
      <c r="F900" s="16"/>
      <c r="G900" s="18"/>
      <c r="H900" s="15"/>
      <c r="I900" s="18"/>
      <c r="J900" s="22"/>
      <c r="K900" s="108"/>
      <c r="L900" s="26"/>
      <c r="M900" s="26"/>
      <c r="N900" s="26"/>
    </row>
    <row r="901">
      <c r="A901" s="12"/>
      <c r="B901" s="13"/>
      <c r="C901" s="14"/>
      <c r="D901" s="14"/>
      <c r="E901" s="15"/>
      <c r="F901" s="16"/>
      <c r="G901" s="18"/>
      <c r="H901" s="15"/>
      <c r="I901" s="18"/>
      <c r="J901" s="22"/>
      <c r="K901" s="108"/>
      <c r="L901" s="26"/>
      <c r="M901" s="26"/>
      <c r="N901" s="26"/>
    </row>
    <row r="902">
      <c r="A902" s="12"/>
      <c r="B902" s="13"/>
      <c r="C902" s="14"/>
      <c r="D902" s="14"/>
      <c r="E902" s="15"/>
      <c r="F902" s="16"/>
      <c r="G902" s="18"/>
      <c r="H902" s="15"/>
      <c r="I902" s="18"/>
      <c r="J902" s="22"/>
      <c r="K902" s="108"/>
      <c r="L902" s="26"/>
      <c r="M902" s="26"/>
      <c r="N902" s="26"/>
    </row>
    <row r="903">
      <c r="A903" s="12"/>
      <c r="B903" s="13"/>
      <c r="C903" s="14"/>
      <c r="D903" s="14"/>
      <c r="E903" s="15"/>
      <c r="F903" s="16"/>
      <c r="G903" s="18"/>
      <c r="H903" s="15"/>
      <c r="I903" s="18"/>
      <c r="J903" s="22"/>
      <c r="K903" s="108"/>
      <c r="L903" s="26"/>
      <c r="M903" s="26"/>
      <c r="N903" s="26"/>
    </row>
    <row r="904">
      <c r="A904" s="12"/>
      <c r="B904" s="13"/>
      <c r="C904" s="14"/>
      <c r="D904" s="14"/>
      <c r="E904" s="15"/>
      <c r="F904" s="16"/>
      <c r="G904" s="18"/>
      <c r="H904" s="15"/>
      <c r="I904" s="18"/>
      <c r="J904" s="22"/>
      <c r="K904" s="108"/>
      <c r="L904" s="26"/>
      <c r="M904" s="26"/>
      <c r="N904" s="26"/>
    </row>
    <row r="905">
      <c r="A905" s="12"/>
      <c r="B905" s="13"/>
      <c r="C905" s="14"/>
      <c r="D905" s="14"/>
      <c r="E905" s="15"/>
      <c r="F905" s="16"/>
      <c r="G905" s="18"/>
      <c r="H905" s="15"/>
      <c r="I905" s="18"/>
      <c r="J905" s="22"/>
      <c r="K905" s="108"/>
      <c r="L905" s="26"/>
      <c r="M905" s="26"/>
      <c r="N905" s="26"/>
    </row>
    <row r="906">
      <c r="A906" s="12"/>
      <c r="B906" s="13"/>
      <c r="C906" s="14"/>
      <c r="D906" s="14"/>
      <c r="E906" s="15"/>
      <c r="F906" s="16"/>
      <c r="G906" s="18"/>
      <c r="H906" s="15"/>
      <c r="I906" s="18"/>
      <c r="J906" s="22"/>
      <c r="K906" s="108"/>
      <c r="L906" s="26"/>
      <c r="M906" s="26"/>
      <c r="N906" s="26"/>
    </row>
    <row r="907">
      <c r="A907" s="12"/>
      <c r="B907" s="13"/>
      <c r="C907" s="14"/>
      <c r="D907" s="14"/>
      <c r="E907" s="15"/>
      <c r="F907" s="16"/>
      <c r="G907" s="18"/>
      <c r="H907" s="15"/>
      <c r="I907" s="18"/>
      <c r="J907" s="22"/>
      <c r="K907" s="108"/>
      <c r="L907" s="26"/>
      <c r="M907" s="26"/>
      <c r="N907" s="26"/>
    </row>
    <row r="908">
      <c r="A908" s="12"/>
      <c r="B908" s="13"/>
      <c r="C908" s="14"/>
      <c r="D908" s="14"/>
      <c r="E908" s="15"/>
      <c r="F908" s="16"/>
      <c r="G908" s="18"/>
      <c r="H908" s="15"/>
      <c r="I908" s="18"/>
      <c r="J908" s="22"/>
      <c r="K908" s="108"/>
      <c r="L908" s="26"/>
      <c r="M908" s="26"/>
      <c r="N908" s="26"/>
    </row>
    <row r="909">
      <c r="A909" s="12"/>
      <c r="B909" s="13"/>
      <c r="C909" s="14"/>
      <c r="D909" s="14"/>
      <c r="E909" s="15"/>
      <c r="F909" s="16"/>
      <c r="G909" s="18"/>
      <c r="H909" s="15"/>
      <c r="I909" s="18"/>
      <c r="J909" s="22"/>
      <c r="K909" s="108"/>
      <c r="L909" s="26"/>
      <c r="M909" s="26"/>
      <c r="N909" s="26"/>
    </row>
    <row r="910">
      <c r="A910" s="12"/>
      <c r="B910" s="13"/>
      <c r="C910" s="14"/>
      <c r="D910" s="14"/>
      <c r="E910" s="15"/>
      <c r="F910" s="16"/>
      <c r="G910" s="18"/>
      <c r="H910" s="15"/>
      <c r="I910" s="18"/>
      <c r="J910" s="22"/>
      <c r="K910" s="108"/>
      <c r="L910" s="26"/>
      <c r="M910" s="26"/>
      <c r="N910" s="26"/>
    </row>
    <row r="911">
      <c r="A911" s="12"/>
      <c r="B911" s="13"/>
      <c r="C911" s="14"/>
      <c r="D911" s="14"/>
      <c r="E911" s="15"/>
      <c r="F911" s="16"/>
      <c r="G911" s="18"/>
      <c r="H911" s="15"/>
      <c r="I911" s="18"/>
      <c r="J911" s="22"/>
      <c r="K911" s="108"/>
      <c r="L911" s="26"/>
      <c r="M911" s="26"/>
      <c r="N911" s="26"/>
    </row>
    <row r="912">
      <c r="A912" s="12"/>
      <c r="B912" s="13"/>
      <c r="C912" s="14"/>
      <c r="D912" s="14"/>
      <c r="E912" s="15"/>
      <c r="F912" s="16"/>
      <c r="G912" s="18"/>
      <c r="H912" s="15"/>
      <c r="I912" s="18"/>
      <c r="J912" s="22"/>
      <c r="K912" s="108"/>
      <c r="L912" s="26"/>
      <c r="M912" s="26"/>
      <c r="N912" s="26"/>
    </row>
    <row r="913">
      <c r="A913" s="12"/>
      <c r="B913" s="13"/>
      <c r="C913" s="14"/>
      <c r="D913" s="14"/>
      <c r="E913" s="15"/>
      <c r="F913" s="16"/>
      <c r="G913" s="18"/>
      <c r="H913" s="15"/>
      <c r="I913" s="18"/>
      <c r="J913" s="22"/>
      <c r="K913" s="108"/>
      <c r="L913" s="26"/>
      <c r="M913" s="26"/>
      <c r="N913" s="26"/>
    </row>
    <row r="914">
      <c r="A914" s="12"/>
      <c r="B914" s="13"/>
      <c r="C914" s="14"/>
      <c r="D914" s="14"/>
      <c r="E914" s="15"/>
      <c r="F914" s="16"/>
      <c r="G914" s="18"/>
      <c r="H914" s="15"/>
      <c r="I914" s="18"/>
      <c r="J914" s="22"/>
      <c r="K914" s="108"/>
      <c r="L914" s="26"/>
      <c r="M914" s="26"/>
      <c r="N914" s="26"/>
    </row>
    <row r="915">
      <c r="A915" s="12"/>
      <c r="B915" s="13"/>
      <c r="C915" s="14"/>
      <c r="D915" s="14"/>
      <c r="E915" s="15"/>
      <c r="F915" s="16"/>
      <c r="G915" s="18"/>
      <c r="H915" s="15"/>
      <c r="I915" s="18"/>
      <c r="J915" s="22"/>
      <c r="K915" s="108"/>
      <c r="L915" s="26"/>
      <c r="M915" s="26"/>
      <c r="N915" s="26"/>
    </row>
    <row r="916">
      <c r="A916" s="12"/>
      <c r="B916" s="13"/>
      <c r="C916" s="14"/>
      <c r="D916" s="14"/>
      <c r="E916" s="15"/>
      <c r="F916" s="16"/>
      <c r="G916" s="18"/>
      <c r="H916" s="15"/>
      <c r="I916" s="18"/>
      <c r="J916" s="22"/>
      <c r="K916" s="108"/>
      <c r="L916" s="26"/>
      <c r="M916" s="26"/>
      <c r="N916" s="26"/>
    </row>
    <row r="917">
      <c r="A917" s="12"/>
      <c r="B917" s="13"/>
      <c r="C917" s="14"/>
      <c r="D917" s="14"/>
      <c r="E917" s="15"/>
      <c r="F917" s="16"/>
      <c r="G917" s="18"/>
      <c r="H917" s="15"/>
      <c r="I917" s="18"/>
      <c r="J917" s="22"/>
      <c r="K917" s="108"/>
      <c r="L917" s="26"/>
      <c r="M917" s="26"/>
      <c r="N917" s="26"/>
    </row>
    <row r="918">
      <c r="A918" s="12"/>
      <c r="B918" s="13"/>
      <c r="C918" s="14"/>
      <c r="D918" s="14"/>
      <c r="E918" s="15"/>
      <c r="F918" s="16"/>
      <c r="G918" s="18"/>
      <c r="H918" s="15"/>
      <c r="I918" s="18"/>
      <c r="J918" s="22"/>
      <c r="K918" s="108"/>
      <c r="L918" s="26"/>
      <c r="M918" s="26"/>
      <c r="N918" s="26"/>
    </row>
    <row r="919">
      <c r="A919" s="12"/>
      <c r="B919" s="13"/>
      <c r="C919" s="14"/>
      <c r="D919" s="14"/>
      <c r="E919" s="15"/>
      <c r="F919" s="16"/>
      <c r="G919" s="18"/>
      <c r="H919" s="15"/>
      <c r="I919" s="18"/>
      <c r="J919" s="22"/>
      <c r="K919" s="108"/>
      <c r="L919" s="26"/>
      <c r="M919" s="26"/>
      <c r="N919" s="26"/>
    </row>
    <row r="920">
      <c r="A920" s="12"/>
      <c r="B920" s="13"/>
      <c r="C920" s="14"/>
      <c r="D920" s="14"/>
      <c r="E920" s="15"/>
      <c r="F920" s="16"/>
      <c r="G920" s="18"/>
      <c r="H920" s="15"/>
      <c r="I920" s="18"/>
      <c r="J920" s="22"/>
      <c r="K920" s="108"/>
      <c r="L920" s="26"/>
      <c r="M920" s="26"/>
      <c r="N920" s="26"/>
    </row>
    <row r="921">
      <c r="A921" s="12"/>
      <c r="B921" s="13"/>
      <c r="C921" s="14"/>
      <c r="D921" s="14"/>
      <c r="E921" s="15"/>
      <c r="F921" s="16"/>
      <c r="G921" s="18"/>
      <c r="H921" s="15"/>
      <c r="I921" s="18"/>
      <c r="J921" s="22"/>
      <c r="K921" s="108"/>
      <c r="L921" s="26"/>
      <c r="M921" s="26"/>
      <c r="N921" s="26"/>
    </row>
    <row r="922">
      <c r="A922" s="12"/>
      <c r="B922" s="13"/>
      <c r="C922" s="14"/>
      <c r="D922" s="14"/>
      <c r="E922" s="15"/>
      <c r="F922" s="16"/>
      <c r="G922" s="18"/>
      <c r="H922" s="15"/>
      <c r="I922" s="18"/>
      <c r="J922" s="22"/>
      <c r="K922" s="108"/>
      <c r="L922" s="26"/>
      <c r="M922" s="26"/>
      <c r="N922" s="26"/>
    </row>
    <row r="923">
      <c r="A923" s="12"/>
      <c r="B923" s="13"/>
      <c r="C923" s="14"/>
      <c r="D923" s="14"/>
      <c r="E923" s="15"/>
      <c r="F923" s="16"/>
      <c r="G923" s="18"/>
      <c r="H923" s="15"/>
      <c r="I923" s="18"/>
      <c r="J923" s="22"/>
      <c r="K923" s="108"/>
      <c r="L923" s="26"/>
      <c r="M923" s="26"/>
      <c r="N923" s="26"/>
    </row>
    <row r="924">
      <c r="A924" s="12"/>
      <c r="B924" s="13"/>
      <c r="C924" s="14"/>
      <c r="D924" s="14"/>
      <c r="E924" s="15"/>
      <c r="F924" s="16"/>
      <c r="G924" s="18"/>
      <c r="H924" s="15"/>
      <c r="I924" s="18"/>
      <c r="J924" s="22"/>
      <c r="K924" s="108"/>
      <c r="L924" s="26"/>
      <c r="M924" s="26"/>
      <c r="N924" s="26"/>
    </row>
    <row r="925">
      <c r="A925" s="12"/>
      <c r="B925" s="13"/>
      <c r="C925" s="14"/>
      <c r="D925" s="14"/>
      <c r="E925" s="15"/>
      <c r="F925" s="16"/>
      <c r="G925" s="18"/>
      <c r="H925" s="15"/>
      <c r="I925" s="18"/>
      <c r="J925" s="22"/>
      <c r="K925" s="108"/>
      <c r="L925" s="26"/>
      <c r="M925" s="26"/>
      <c r="N925" s="26"/>
    </row>
    <row r="926">
      <c r="A926" s="12"/>
      <c r="B926" s="13"/>
      <c r="C926" s="14"/>
      <c r="D926" s="14"/>
      <c r="E926" s="15"/>
      <c r="F926" s="16"/>
      <c r="G926" s="18"/>
      <c r="H926" s="15"/>
      <c r="I926" s="18"/>
      <c r="J926" s="22"/>
      <c r="K926" s="108"/>
      <c r="L926" s="26"/>
      <c r="M926" s="26"/>
      <c r="N926" s="26"/>
    </row>
  </sheetData>
  <autoFilter ref="$A$2:$M$400"/>
  <conditionalFormatting sqref="E3:E926 I3:I926">
    <cfRule type="expression" dxfId="5" priority="1">
      <formula>AND($E3&lt;&gt;"",(($E3-$H3)/365*12)&lt;1)</formula>
    </cfRule>
  </conditionalFormatting>
  <conditionalFormatting sqref="A2:A926 D2:D926">
    <cfRule type="expression" dxfId="13" priority="2">
      <formula>$D2="Coming Soon"</formula>
    </cfRule>
  </conditionalFormatting>
  <conditionalFormatting sqref="A2:A926 D2:D926">
    <cfRule type="expression" dxfId="7" priority="3">
      <formula>$D2="Removed"</formula>
    </cfRule>
  </conditionalFormatting>
  <conditionalFormatting sqref="A2:A926">
    <cfRule type="expression" dxfId="6" priority="4">
      <formula>MATCH(A2,INDIRECT("'Xbox Game Studios'!A:A"),0)</formula>
    </cfRule>
  </conditionalFormatting>
  <conditionalFormatting sqref="A2:A926 D2:D926">
    <cfRule type="expression" dxfId="10" priority="5">
      <formula>$D2="Leaving Soon"</formula>
    </cfRule>
  </conditionalFormatting>
  <conditionalFormatting sqref="A2:A926 D2:D926">
    <cfRule type="expression" dxfId="5" priority="6">
      <formula>AND($D3&lt;&gt;"",(($D3-$G3)/365*12)&lt;1)</formula>
    </cfRule>
  </conditionalFormatting>
  <conditionalFormatting sqref="J2:J926">
    <cfRule type="cellIs" dxfId="5" priority="7" operator="between">
      <formula>75</formula>
      <formula>100</formula>
    </cfRule>
  </conditionalFormatting>
  <conditionalFormatting sqref="J2:J926">
    <cfRule type="cellIs" dxfId="6" priority="8" operator="between">
      <formula>50</formula>
      <formula>74</formula>
    </cfRule>
  </conditionalFormatting>
  <conditionalFormatting sqref="J2:J926">
    <cfRule type="cellIs" dxfId="7" priority="9" operator="between">
      <formula>1</formula>
      <formula>49</formula>
    </cfRule>
  </conditionalFormatting>
  <conditionalFormatting sqref="B3:B926">
    <cfRule type="expression" dxfId="14" priority="10">
      <formula>AND(MATCH(A3,INDIRECT("'Cross Play'!D2:D"),0),MATCH(A3,INDIRECT("'Cross Play'!A2:A"),0))</formula>
    </cfRule>
  </conditionalFormatting>
  <conditionalFormatting sqref="B3:B926">
    <cfRule type="expression" dxfId="15" priority="11">
      <formula>MATCH(A3,INDIRECT("'Cross Play'!A2:A"),0)</formula>
    </cfRule>
  </conditionalFormatting>
  <conditionalFormatting sqref="B3:B926">
    <cfRule type="expression" dxfId="16" priority="12">
      <formula>MATCH(A3,INDIRECT("'Cross Play'!D2:D"),0)</formula>
    </cfRule>
  </conditionalFormatting>
  <conditionalFormatting sqref="B1:B926">
    <cfRule type="cellIs" dxfId="4" priority="13" operator="equal">
      <formula>"Xbox"</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4C2F4"/>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2"/>
  <cols>
    <col customWidth="1" min="1" max="1" width="40.0"/>
    <col customWidth="1" min="2" max="2" width="8.5"/>
    <col customWidth="1" min="3" max="3" width="12.13"/>
    <col customWidth="1" min="4" max="4" width="6.13"/>
    <col customWidth="1" min="5" max="5" width="8.38"/>
    <col customWidth="1" min="6" max="6" width="8.5"/>
    <col customWidth="1" min="7" max="7" width="6.88"/>
    <col customWidth="1" min="8" max="8" width="13.88"/>
    <col customWidth="1" min="9" max="9" width="4.25"/>
    <col customWidth="1" min="10" max="10" width="8.75"/>
    <col customWidth="1" min="11" max="11" width="10.13"/>
    <col customWidth="1" min="12" max="12" width="33.75"/>
    <col customWidth="1" min="13" max="13" width="13.75"/>
    <col customWidth="1" min="14" max="14" width="64.5"/>
    <col customWidth="1" min="15" max="15" width="5.63"/>
    <col customWidth="1" min="16" max="16" width="81.75"/>
    <col customWidth="1" min="17" max="19" width="74.5"/>
  </cols>
  <sheetData>
    <row r="1">
      <c r="A1" s="10" t="s">
        <v>16</v>
      </c>
      <c r="B1" s="25">
        <f>COUNTIF(D2:D506,"Active")+COUNTIF(D2:D506,"Leaving Soon")</f>
        <v>88</v>
      </c>
      <c r="C1" s="10"/>
      <c r="D1" s="10"/>
      <c r="E1" s="10"/>
      <c r="F1" s="25"/>
      <c r="G1" s="10"/>
      <c r="H1" s="28"/>
      <c r="I1" s="10"/>
      <c r="J1" s="10"/>
      <c r="K1" s="10"/>
      <c r="L1" s="10"/>
      <c r="M1" s="32"/>
      <c r="N1" s="33"/>
      <c r="O1" s="32"/>
      <c r="P1" s="33"/>
      <c r="Q1" s="32" t="s">
        <v>25</v>
      </c>
      <c r="R1" s="10"/>
      <c r="S1" s="10"/>
    </row>
    <row r="2">
      <c r="A2" s="39" t="s">
        <v>0</v>
      </c>
      <c r="B2" s="41" t="s">
        <v>2</v>
      </c>
      <c r="C2" s="43" t="s">
        <v>3</v>
      </c>
      <c r="D2" s="41" t="s">
        <v>4</v>
      </c>
      <c r="E2" s="41" t="s">
        <v>5</v>
      </c>
      <c r="F2" s="43" t="s">
        <v>6</v>
      </c>
      <c r="G2" s="44" t="s">
        <v>7</v>
      </c>
      <c r="H2" s="45" t="s">
        <v>8</v>
      </c>
      <c r="I2" s="45" t="s">
        <v>9</v>
      </c>
      <c r="J2" s="45" t="s">
        <v>10</v>
      </c>
      <c r="K2" s="45" t="s">
        <v>11</v>
      </c>
      <c r="L2" s="45" t="s">
        <v>12</v>
      </c>
      <c r="M2" s="45" t="s">
        <v>26</v>
      </c>
      <c r="N2" s="43" t="s">
        <v>27</v>
      </c>
      <c r="O2" s="48" t="s">
        <v>28</v>
      </c>
      <c r="P2" s="48" t="s">
        <v>29</v>
      </c>
      <c r="Q2" s="48" t="s">
        <v>22</v>
      </c>
      <c r="R2" s="49"/>
      <c r="S2" s="49"/>
    </row>
    <row r="3">
      <c r="A3" s="55" t="str">
        <f>IFERROR(__xludf.DUMMYFUNCTION("SORT(FILTER('Master List'!A:Q, SEARCH(""Retro Classics"",'Master List'!N:N)),7,1)"),"Beyond Zork: The Coconut of Quendor")</f>
        <v>Beyond Zork: The Coconut of Quendor</v>
      </c>
      <c r="B3" s="55" t="str">
        <f>IFERROR(__xludf.DUMMYFUNCTION("""COMPUTED_VALUE"""),"Xbox / PC")</f>
        <v>Xbox / PC</v>
      </c>
      <c r="C3" s="55" t="str">
        <f>IFERROR(__xludf.DUMMYFUNCTION("""COMPUTED_VALUE"""),"Yes")</f>
        <v>Yes</v>
      </c>
      <c r="D3" s="56" t="str">
        <f>IFERROR(__xludf.DUMMYFUNCTION("""COMPUTED_VALUE"""),"Active")</f>
        <v>Active</v>
      </c>
      <c r="E3" s="57">
        <f>IFERROR(__xludf.DUMMYFUNCTION("""COMPUTED_VALUE"""),46072.0)</f>
        <v>46072</v>
      </c>
      <c r="F3" s="58"/>
      <c r="G3" s="60">
        <f>IFERROR(__xludf.DUMMYFUNCTION("""COMPUTED_VALUE"""),7.566666666666666)</f>
        <v>7.566666667</v>
      </c>
      <c r="H3" s="63">
        <f>IFERROR(__xludf.DUMMYFUNCTION("""COMPUTED_VALUE"""),32051.0)</f>
        <v>32051</v>
      </c>
      <c r="I3" s="60">
        <f>IFERROR(__xludf.DUMMYFUNCTION("""COMPUTED_VALUE"""),38.38333333333333)</f>
        <v>38.38333333</v>
      </c>
      <c r="J3" s="64">
        <f>IFERROR(__xludf.DUMMYFUNCTION("""COMPUTED_VALUE"""),84.0)</f>
        <v>84</v>
      </c>
      <c r="K3" s="64">
        <f>IFERROR(__xludf.DUMMYFUNCTION("""COMPUTED_VALUE"""),1.0)</f>
        <v>1</v>
      </c>
      <c r="L3" s="55" t="str">
        <f>IFERROR(__xludf.DUMMYFUNCTION("""COMPUTED_VALUE"""),"Action-Adventure")</f>
        <v>Action-Adventure</v>
      </c>
      <c r="M3" s="55"/>
      <c r="N3" s="55" t="str">
        <f>IFERROR(__xludf.DUMMYFUNCTION("""COMPUTED_VALUE"""),"Retro Classics: DOS")</f>
        <v>Retro Classics: DOS</v>
      </c>
      <c r="O3" s="55"/>
      <c r="P3" s="55"/>
      <c r="Q3" s="55"/>
      <c r="R3" s="66"/>
      <c r="S3" s="66"/>
    </row>
    <row r="4">
      <c r="A4" s="231" t="str">
        <f>IFERROR(__xludf.DUMMYFUNCTION("""COMPUTED_VALUE"""),"Kabobber")</f>
        <v>Kabobber</v>
      </c>
      <c r="B4" s="55" t="str">
        <f>IFERROR(__xludf.DUMMYFUNCTION("""COMPUTED_VALUE"""),"Xbox / PC")</f>
        <v>Xbox / PC</v>
      </c>
      <c r="C4" s="55" t="str">
        <f>IFERROR(__xludf.DUMMYFUNCTION("""COMPUTED_VALUE"""),"Yes")</f>
        <v>Yes</v>
      </c>
      <c r="D4" s="56" t="str">
        <f>IFERROR(__xludf.DUMMYFUNCTION("""COMPUTED_VALUE"""),"Active")</f>
        <v>Active</v>
      </c>
      <c r="E4" s="57">
        <f>IFERROR(__xludf.DUMMYFUNCTION("""COMPUTED_VALUE"""),46072.0)</f>
        <v>46072</v>
      </c>
      <c r="F4" s="58"/>
      <c r="G4" s="60">
        <f>IFERROR(__xludf.DUMMYFUNCTION("""COMPUTED_VALUE"""),7.566666666666666)</f>
        <v>7.566666667</v>
      </c>
      <c r="H4" s="63">
        <f>IFERROR(__xludf.DUMMYFUNCTION("""COMPUTED_VALUE"""),30317.0)</f>
        <v>30317</v>
      </c>
      <c r="I4" s="60">
        <f>IFERROR(__xludf.DUMMYFUNCTION("""COMPUTED_VALUE"""),43.13333333333333)</f>
        <v>43.13333333</v>
      </c>
      <c r="J4" s="64"/>
      <c r="K4" s="64"/>
      <c r="L4" s="55" t="str">
        <f>IFERROR(__xludf.DUMMYFUNCTION("""COMPUTED_VALUE"""),"Action")</f>
        <v>Action</v>
      </c>
      <c r="M4" s="55"/>
      <c r="N4" s="55" t="str">
        <f>IFERROR(__xludf.DUMMYFUNCTION("""COMPUTED_VALUE"""),"Retro Classics: Atari 2600")</f>
        <v>Retro Classics: Atari 2600</v>
      </c>
      <c r="O4" s="55"/>
      <c r="P4" s="55"/>
      <c r="Q4" s="55"/>
      <c r="R4" s="66"/>
      <c r="S4" s="66"/>
    </row>
    <row r="5">
      <c r="A5" s="55" t="str">
        <f>IFERROR(__xludf.DUMMYFUNCTION("""COMPUTED_VALUE"""),"Return to Zork")</f>
        <v>Return to Zork</v>
      </c>
      <c r="B5" s="55" t="str">
        <f>IFERROR(__xludf.DUMMYFUNCTION("""COMPUTED_VALUE"""),"Xbox / PC")</f>
        <v>Xbox / PC</v>
      </c>
      <c r="C5" s="55" t="str">
        <f>IFERROR(__xludf.DUMMYFUNCTION("""COMPUTED_VALUE"""),"Yes")</f>
        <v>Yes</v>
      </c>
      <c r="D5" s="56" t="str">
        <f>IFERROR(__xludf.DUMMYFUNCTION("""COMPUTED_VALUE"""),"Active")</f>
        <v>Active</v>
      </c>
      <c r="E5" s="57">
        <f>IFERROR(__xludf.DUMMYFUNCTION("""COMPUTED_VALUE"""),46072.0)</f>
        <v>46072</v>
      </c>
      <c r="F5" s="58"/>
      <c r="G5" s="60">
        <f>IFERROR(__xludf.DUMMYFUNCTION("""COMPUTED_VALUE"""),7.566666666666666)</f>
        <v>7.566666667</v>
      </c>
      <c r="H5" s="63">
        <f>IFERROR(__xludf.DUMMYFUNCTION("""COMPUTED_VALUE"""),34192.0)</f>
        <v>34192</v>
      </c>
      <c r="I5" s="60">
        <f>IFERROR(__xludf.DUMMYFUNCTION("""COMPUTED_VALUE"""),32.522222222222226)</f>
        <v>32.52222222</v>
      </c>
      <c r="J5" s="64"/>
      <c r="K5" s="64">
        <f>IFERROR(__xludf.DUMMYFUNCTION("""COMPUTED_VALUE"""),7.0)</f>
        <v>7</v>
      </c>
      <c r="L5" s="55" t="str">
        <f>IFERROR(__xludf.DUMMYFUNCTION("""COMPUTED_VALUE"""),"Point and Click")</f>
        <v>Point and Click</v>
      </c>
      <c r="M5" s="55"/>
      <c r="N5" s="55" t="str">
        <f>IFERROR(__xludf.DUMMYFUNCTION("""COMPUTED_VALUE"""),"Retro Classics: DOS")</f>
        <v>Retro Classics: DOS</v>
      </c>
      <c r="O5" s="55"/>
      <c r="P5" s="55"/>
      <c r="Q5" s="55"/>
      <c r="R5" s="66"/>
      <c r="S5" s="66"/>
    </row>
    <row r="6">
      <c r="A6" s="55" t="str">
        <f>IFERROR(__xludf.DUMMYFUNCTION("""COMPUTED_VALUE"""),"Seaquest")</f>
        <v>Seaquest</v>
      </c>
      <c r="B6" s="55" t="str">
        <f>IFERROR(__xludf.DUMMYFUNCTION("""COMPUTED_VALUE"""),"Xbox / PC")</f>
        <v>Xbox / PC</v>
      </c>
      <c r="C6" s="55" t="str">
        <f>IFERROR(__xludf.DUMMYFUNCTION("""COMPUTED_VALUE"""),"Yes")</f>
        <v>Yes</v>
      </c>
      <c r="D6" s="56" t="str">
        <f>IFERROR(__xludf.DUMMYFUNCTION("""COMPUTED_VALUE"""),"Active")</f>
        <v>Active</v>
      </c>
      <c r="E6" s="57">
        <f>IFERROR(__xludf.DUMMYFUNCTION("""COMPUTED_VALUE"""),46072.0)</f>
        <v>46072</v>
      </c>
      <c r="F6" s="58"/>
      <c r="G6" s="60">
        <f>IFERROR(__xludf.DUMMYFUNCTION("""COMPUTED_VALUE"""),7.566666666666666)</f>
        <v>7.566666667</v>
      </c>
      <c r="H6" s="63">
        <f>IFERROR(__xludf.DUMMYFUNCTION("""COMPUTED_VALUE"""),30348.0)</f>
        <v>30348</v>
      </c>
      <c r="I6" s="60">
        <f>IFERROR(__xludf.DUMMYFUNCTION("""COMPUTED_VALUE"""),43.05)</f>
        <v>43.05</v>
      </c>
      <c r="J6" s="64">
        <f>IFERROR(__xludf.DUMMYFUNCTION("""COMPUTED_VALUE"""),73.0)</f>
        <v>73</v>
      </c>
      <c r="K6" s="64"/>
      <c r="L6" s="55" t="str">
        <f>IFERROR(__xludf.DUMMYFUNCTION("""COMPUTED_VALUE"""),"Strategy")</f>
        <v>Strategy</v>
      </c>
      <c r="M6" s="55"/>
      <c r="N6" s="55" t="str">
        <f>IFERROR(__xludf.DUMMYFUNCTION("""COMPUTED_VALUE"""),"Retro Classics: Atari 2600")</f>
        <v>Retro Classics: Atari 2600</v>
      </c>
      <c r="O6" s="55"/>
      <c r="P6" s="55"/>
      <c r="Q6" s="55"/>
      <c r="R6" s="66"/>
      <c r="S6" s="66"/>
    </row>
    <row r="7">
      <c r="A7" s="55" t="str">
        <f>IFERROR(__xludf.DUMMYFUNCTION("""COMPUTED_VALUE"""),"Stampede")</f>
        <v>Stampede</v>
      </c>
      <c r="B7" s="55" t="str">
        <f>IFERROR(__xludf.DUMMYFUNCTION("""COMPUTED_VALUE"""),"Xbox / PC")</f>
        <v>Xbox / PC</v>
      </c>
      <c r="C7" s="55" t="str">
        <f>IFERROR(__xludf.DUMMYFUNCTION("""COMPUTED_VALUE"""),"Yes")</f>
        <v>Yes</v>
      </c>
      <c r="D7" s="56" t="str">
        <f>IFERROR(__xludf.DUMMYFUNCTION("""COMPUTED_VALUE"""),"Active")</f>
        <v>Active</v>
      </c>
      <c r="E7" s="57">
        <f>IFERROR(__xludf.DUMMYFUNCTION("""COMPUTED_VALUE"""),46072.0)</f>
        <v>46072</v>
      </c>
      <c r="F7" s="58"/>
      <c r="G7" s="60">
        <f>IFERROR(__xludf.DUMMYFUNCTION("""COMPUTED_VALUE"""),7.566666666666666)</f>
        <v>7.566666667</v>
      </c>
      <c r="H7" s="63">
        <f>IFERROR(__xludf.DUMMYFUNCTION("""COMPUTED_VALUE"""),29921.0)</f>
        <v>29921</v>
      </c>
      <c r="I7" s="60">
        <f>IFERROR(__xludf.DUMMYFUNCTION("""COMPUTED_VALUE"""),44.21666666666667)</f>
        <v>44.21666667</v>
      </c>
      <c r="J7" s="64">
        <f>IFERROR(__xludf.DUMMYFUNCTION("""COMPUTED_VALUE"""),83.0)</f>
        <v>83</v>
      </c>
      <c r="K7" s="64"/>
      <c r="L7" s="55" t="str">
        <f>IFERROR(__xludf.DUMMYFUNCTION("""COMPUTED_VALUE"""),"Action")</f>
        <v>Action</v>
      </c>
      <c r="M7" s="55"/>
      <c r="N7" s="55" t="str">
        <f>IFERROR(__xludf.DUMMYFUNCTION("""COMPUTED_VALUE"""),"Retro Classics: Atari 2600")</f>
        <v>Retro Classics: Atari 2600</v>
      </c>
      <c r="O7" s="55"/>
      <c r="P7" s="55"/>
      <c r="Q7" s="55"/>
      <c r="R7" s="66"/>
      <c r="S7" s="66"/>
    </row>
    <row r="8">
      <c r="A8" s="55" t="str">
        <f>IFERROR(__xludf.DUMMYFUNCTION("""COMPUTED_VALUE"""),"BattleTech: The Crescent Hawk's Inception")</f>
        <v>BattleTech: The Crescent Hawk's Inception</v>
      </c>
      <c r="B8" s="55" t="str">
        <f>IFERROR(__xludf.DUMMYFUNCTION("""COMPUTED_VALUE"""),"Xbox / PC")</f>
        <v>Xbox / PC</v>
      </c>
      <c r="C8" s="55" t="str">
        <f>IFERROR(__xludf.DUMMYFUNCTION("""COMPUTED_VALUE"""),"Yes")</f>
        <v>Yes</v>
      </c>
      <c r="D8" s="56" t="str">
        <f>IFERROR(__xludf.DUMMYFUNCTION("""COMPUTED_VALUE"""),"Active")</f>
        <v>Active</v>
      </c>
      <c r="E8" s="57">
        <f>IFERROR(__xludf.DUMMYFUNCTION("""COMPUTED_VALUE"""),45945.0)</f>
        <v>45945</v>
      </c>
      <c r="F8" s="58"/>
      <c r="G8" s="60">
        <f>IFERROR(__xludf.DUMMYFUNCTION("""COMPUTED_VALUE"""),11.7)</f>
        <v>11.7</v>
      </c>
      <c r="H8" s="63">
        <f>IFERROR(__xludf.DUMMYFUNCTION("""COMPUTED_VALUE"""),32813.0)</f>
        <v>32813</v>
      </c>
      <c r="I8" s="60">
        <f>IFERROR(__xludf.DUMMYFUNCTION("""COMPUTED_VALUE"""),35.955555555555556)</f>
        <v>35.95555556</v>
      </c>
      <c r="J8" s="64"/>
      <c r="K8" s="64">
        <f>IFERROR(__xludf.DUMMYFUNCTION("""COMPUTED_VALUE"""),8.0)</f>
        <v>8</v>
      </c>
      <c r="L8" s="55" t="str">
        <f>IFERROR(__xludf.DUMMYFUNCTION("""COMPUTED_VALUE"""),"RPG")</f>
        <v>RPG</v>
      </c>
      <c r="M8" s="55"/>
      <c r="N8" s="55" t="str">
        <f>IFERROR(__xludf.DUMMYFUNCTION("""COMPUTED_VALUE"""),"Retro Classics: Amagi")</f>
        <v>Retro Classics: Amagi</v>
      </c>
      <c r="O8" s="55"/>
      <c r="P8" s="55"/>
      <c r="Q8" s="55"/>
      <c r="R8" s="66"/>
      <c r="S8" s="66"/>
    </row>
    <row r="9">
      <c r="A9" s="55" t="str">
        <f>IFERROR(__xludf.DUMMYFUNCTION("""COMPUTED_VALUE"""),"BattleTech: The Crescent Hawk's Revenge")</f>
        <v>BattleTech: The Crescent Hawk's Revenge</v>
      </c>
      <c r="B9" s="55" t="str">
        <f>IFERROR(__xludf.DUMMYFUNCTION("""COMPUTED_VALUE"""),"Xbox / PC")</f>
        <v>Xbox / PC</v>
      </c>
      <c r="C9" s="55" t="str">
        <f>IFERROR(__xludf.DUMMYFUNCTION("""COMPUTED_VALUE"""),"Yes")</f>
        <v>Yes</v>
      </c>
      <c r="D9" s="56" t="str">
        <f>IFERROR(__xludf.DUMMYFUNCTION("""COMPUTED_VALUE"""),"Active")</f>
        <v>Active</v>
      </c>
      <c r="E9" s="57">
        <f>IFERROR(__xludf.DUMMYFUNCTION("""COMPUTED_VALUE"""),45945.0)</f>
        <v>45945</v>
      </c>
      <c r="F9" s="58"/>
      <c r="G9" s="60">
        <f>IFERROR(__xludf.DUMMYFUNCTION("""COMPUTED_VALUE"""),11.7)</f>
        <v>11.7</v>
      </c>
      <c r="H9" s="63">
        <f>IFERROR(__xludf.DUMMYFUNCTION("""COMPUTED_VALUE"""),32874.0)</f>
        <v>32874</v>
      </c>
      <c r="I9" s="60">
        <f>IFERROR(__xludf.DUMMYFUNCTION("""COMPUTED_VALUE"""),35.78888888888889)</f>
        <v>35.78888889</v>
      </c>
      <c r="J9" s="64">
        <f>IFERROR(__xludf.DUMMYFUNCTION("""COMPUTED_VALUE"""),69.0)</f>
        <v>69</v>
      </c>
      <c r="K9" s="64"/>
      <c r="L9" s="55" t="str">
        <f>IFERROR(__xludf.DUMMYFUNCTION("""COMPUTED_VALUE"""),"Strategy")</f>
        <v>Strategy</v>
      </c>
      <c r="M9" s="55"/>
      <c r="N9" s="55" t="str">
        <f>IFERROR(__xludf.DUMMYFUNCTION("""COMPUTED_VALUE"""),"Retro Classics: DOS")</f>
        <v>Retro Classics: DOS</v>
      </c>
      <c r="O9" s="55"/>
      <c r="P9" s="55"/>
      <c r="Q9" s="55"/>
      <c r="R9" s="66"/>
      <c r="S9" s="66"/>
    </row>
    <row r="10">
      <c r="A10" s="55" t="str">
        <f>IFERROR(__xludf.DUMMYFUNCTION("""COMPUTED_VALUE"""),"Ice Hockey")</f>
        <v>Ice Hockey</v>
      </c>
      <c r="B10" s="55" t="str">
        <f>IFERROR(__xludf.DUMMYFUNCTION("""COMPUTED_VALUE"""),"Xbox / PC")</f>
        <v>Xbox / PC</v>
      </c>
      <c r="C10" s="55" t="str">
        <f>IFERROR(__xludf.DUMMYFUNCTION("""COMPUTED_VALUE"""),"Yes")</f>
        <v>Yes</v>
      </c>
      <c r="D10" s="56" t="str">
        <f>IFERROR(__xludf.DUMMYFUNCTION("""COMPUTED_VALUE"""),"Active")</f>
        <v>Active</v>
      </c>
      <c r="E10" s="57">
        <f>IFERROR(__xludf.DUMMYFUNCTION("""COMPUTED_VALUE"""),45945.0)</f>
        <v>45945</v>
      </c>
      <c r="F10" s="58"/>
      <c r="G10" s="60">
        <f>IFERROR(__xludf.DUMMYFUNCTION("""COMPUTED_VALUE"""),11.7)</f>
        <v>11.7</v>
      </c>
      <c r="H10" s="63">
        <f>IFERROR(__xludf.DUMMYFUNCTION("""COMPUTED_VALUE"""),29921.0)</f>
        <v>29921</v>
      </c>
      <c r="I10" s="60">
        <f>IFERROR(__xludf.DUMMYFUNCTION("""COMPUTED_VALUE"""),43.87222222222222)</f>
        <v>43.87222222</v>
      </c>
      <c r="J10" s="64">
        <f>IFERROR(__xludf.DUMMYFUNCTION("""COMPUTED_VALUE"""),85.0)</f>
        <v>85</v>
      </c>
      <c r="K10" s="64">
        <f>IFERROR(__xludf.DUMMYFUNCTION("""COMPUTED_VALUE"""),1.0)</f>
        <v>1</v>
      </c>
      <c r="L10" s="55" t="str">
        <f>IFERROR(__xludf.DUMMYFUNCTION("""COMPUTED_VALUE"""),"Sports")</f>
        <v>Sports</v>
      </c>
      <c r="M10" s="55"/>
      <c r="N10" s="55" t="str">
        <f>IFERROR(__xludf.DUMMYFUNCTION("""COMPUTED_VALUE"""),"Retro Classics: Atari 2600")</f>
        <v>Retro Classics: Atari 2600</v>
      </c>
      <c r="O10" s="55"/>
      <c r="P10" s="55"/>
      <c r="Q10" s="55"/>
      <c r="R10" s="66"/>
      <c r="S10" s="66"/>
    </row>
    <row r="11">
      <c r="A11" s="55" t="str">
        <f>IFERROR(__xludf.DUMMYFUNCTION("""COMPUTED_VALUE"""),"Moonsweeper")</f>
        <v>Moonsweeper</v>
      </c>
      <c r="B11" s="55" t="str">
        <f>IFERROR(__xludf.DUMMYFUNCTION("""COMPUTED_VALUE"""),"Xbox / PC")</f>
        <v>Xbox / PC</v>
      </c>
      <c r="C11" s="55" t="str">
        <f>IFERROR(__xludf.DUMMYFUNCTION("""COMPUTED_VALUE"""),"Yes")</f>
        <v>Yes</v>
      </c>
      <c r="D11" s="56" t="str">
        <f>IFERROR(__xludf.DUMMYFUNCTION("""COMPUTED_VALUE"""),"Active")</f>
        <v>Active</v>
      </c>
      <c r="E11" s="57">
        <f>IFERROR(__xludf.DUMMYFUNCTION("""COMPUTED_VALUE"""),45945.0)</f>
        <v>45945</v>
      </c>
      <c r="F11" s="58"/>
      <c r="G11" s="60">
        <f>IFERROR(__xludf.DUMMYFUNCTION("""COMPUTED_VALUE"""),11.7)</f>
        <v>11.7</v>
      </c>
      <c r="H11" s="63">
        <f>IFERROR(__xludf.DUMMYFUNCTION("""COMPUTED_VALUE"""),30529.0)</f>
        <v>30529</v>
      </c>
      <c r="I11" s="60">
        <f>IFERROR(__xludf.DUMMYFUNCTION("""COMPUTED_VALUE"""),42.205555555555556)</f>
        <v>42.20555556</v>
      </c>
      <c r="J11" s="64">
        <f>IFERROR(__xludf.DUMMYFUNCTION("""COMPUTED_VALUE"""),81.0)</f>
        <v>81</v>
      </c>
      <c r="K11" s="64"/>
      <c r="L11" s="55" t="str">
        <f>IFERROR(__xludf.DUMMYFUNCTION("""COMPUTED_VALUE"""),"Action-Adventure")</f>
        <v>Action-Adventure</v>
      </c>
      <c r="M11" s="55"/>
      <c r="N11" s="55" t="str">
        <f>IFERROR(__xludf.DUMMYFUNCTION("""COMPUTED_VALUE"""),"Retro Classics: Atari 2600")</f>
        <v>Retro Classics: Atari 2600</v>
      </c>
      <c r="O11" s="55"/>
      <c r="P11" s="55"/>
      <c r="Q11" s="55"/>
      <c r="R11" s="66"/>
      <c r="S11" s="66"/>
    </row>
    <row r="12">
      <c r="A12" s="55" t="str">
        <f>IFERROR(__xludf.DUMMYFUNCTION("""COMPUTED_VALUE"""),"Caesar III")</f>
        <v>Caesar III</v>
      </c>
      <c r="B12" s="55" t="str">
        <f>IFERROR(__xludf.DUMMYFUNCTION("""COMPUTED_VALUE"""),"Xbox / PC")</f>
        <v>Xbox / PC</v>
      </c>
      <c r="C12" s="55" t="str">
        <f>IFERROR(__xludf.DUMMYFUNCTION("""COMPUTED_VALUE"""),"Yes")</f>
        <v>Yes</v>
      </c>
      <c r="D12" s="56" t="str">
        <f>IFERROR(__xludf.DUMMYFUNCTION("""COMPUTED_VALUE"""),"Active")</f>
        <v>Active</v>
      </c>
      <c r="E12" s="57">
        <f>IFERROR(__xludf.DUMMYFUNCTION("""COMPUTED_VALUE"""),45883.0)</f>
        <v>45883</v>
      </c>
      <c r="F12" s="58"/>
      <c r="G12" s="60">
        <f>IFERROR(__xludf.DUMMYFUNCTION("""COMPUTED_VALUE"""),13.733333333333333)</f>
        <v>13.73333333</v>
      </c>
      <c r="H12" s="63">
        <f>IFERROR(__xludf.DUMMYFUNCTION("""COMPUTED_VALUE"""),36068.0)</f>
        <v>36068</v>
      </c>
      <c r="I12" s="60">
        <f>IFERROR(__xludf.DUMMYFUNCTION("""COMPUTED_VALUE"""),26.872222222222224)</f>
        <v>26.87222222</v>
      </c>
      <c r="J12" s="64">
        <f>IFERROR(__xludf.DUMMYFUNCTION("""COMPUTED_VALUE"""),83.0)</f>
        <v>83</v>
      </c>
      <c r="K12" s="64">
        <f>IFERROR(__xludf.DUMMYFUNCTION("""COMPUTED_VALUE"""),35.0)</f>
        <v>35</v>
      </c>
      <c r="L12" s="55" t="str">
        <f>IFERROR(__xludf.DUMMYFUNCTION("""COMPUTED_VALUE"""),"Strategy")</f>
        <v>Strategy</v>
      </c>
      <c r="M12" s="55"/>
      <c r="N12" s="55" t="str">
        <f>IFERROR(__xludf.DUMMYFUNCTION("""COMPUTED_VALUE"""),"Retro Classics: Windows 9x")</f>
        <v>Retro Classics: Windows 9x</v>
      </c>
      <c r="O12" s="55"/>
      <c r="P12" s="55"/>
      <c r="Q12" s="55"/>
      <c r="R12" s="66"/>
      <c r="S12" s="66"/>
    </row>
    <row r="13">
      <c r="A13" s="55" t="str">
        <f>IFERROR(__xludf.DUMMYFUNCTION("""COMPUTED_VALUE"""),"Climber 5")</f>
        <v>Climber 5</v>
      </c>
      <c r="B13" s="55" t="str">
        <f>IFERROR(__xludf.DUMMYFUNCTION("""COMPUTED_VALUE"""),"Xbox / PC")</f>
        <v>Xbox / PC</v>
      </c>
      <c r="C13" s="55" t="str">
        <f>IFERROR(__xludf.DUMMYFUNCTION("""COMPUTED_VALUE"""),"Yes")</f>
        <v>Yes</v>
      </c>
      <c r="D13" s="56" t="str">
        <f>IFERROR(__xludf.DUMMYFUNCTION("""COMPUTED_VALUE"""),"Active")</f>
        <v>Active</v>
      </c>
      <c r="E13" s="57">
        <f>IFERROR(__xludf.DUMMYFUNCTION("""COMPUTED_VALUE"""),45883.0)</f>
        <v>45883</v>
      </c>
      <c r="F13" s="58"/>
      <c r="G13" s="60">
        <f>IFERROR(__xludf.DUMMYFUNCTION("""COMPUTED_VALUE"""),13.733333333333333)</f>
        <v>13.73333333</v>
      </c>
      <c r="H13" s="63">
        <f>IFERROR(__xludf.DUMMYFUNCTION("""COMPUTED_VALUE"""),31048.0)</f>
        <v>31048</v>
      </c>
      <c r="I13" s="60">
        <f>IFERROR(__xludf.DUMMYFUNCTION("""COMPUTED_VALUE"""),40.61944444444445)</f>
        <v>40.61944444</v>
      </c>
      <c r="J13" s="64">
        <f>IFERROR(__xludf.DUMMYFUNCTION("""COMPUTED_VALUE"""),80.0)</f>
        <v>80</v>
      </c>
      <c r="K13" s="64"/>
      <c r="L13" s="55" t="str">
        <f>IFERROR(__xludf.DUMMYFUNCTION("""COMPUTED_VALUE"""),"Action")</f>
        <v>Action</v>
      </c>
      <c r="M13" s="55"/>
      <c r="N13" s="55" t="str">
        <f>IFERROR(__xludf.DUMMYFUNCTION("""COMPUTED_VALUE"""),"Retro Classics: Atari 2600")</f>
        <v>Retro Classics: Atari 2600</v>
      </c>
      <c r="O13" s="55"/>
      <c r="P13" s="55"/>
      <c r="Q13" s="55"/>
      <c r="R13" s="66"/>
      <c r="S13" s="66"/>
    </row>
    <row r="14">
      <c r="A14" s="55" t="str">
        <f>IFERROR(__xludf.DUMMYFUNCTION("""COMPUTED_VALUE"""),"The Colonel's Bequest")</f>
        <v>The Colonel's Bequest</v>
      </c>
      <c r="B14" s="55" t="str">
        <f>IFERROR(__xludf.DUMMYFUNCTION("""COMPUTED_VALUE"""),"Xbox / PC")</f>
        <v>Xbox / PC</v>
      </c>
      <c r="C14" s="55" t="str">
        <f>IFERROR(__xludf.DUMMYFUNCTION("""COMPUTED_VALUE"""),"Yes")</f>
        <v>Yes</v>
      </c>
      <c r="D14" s="56" t="str">
        <f>IFERROR(__xludf.DUMMYFUNCTION("""COMPUTED_VALUE"""),"Active")</f>
        <v>Active</v>
      </c>
      <c r="E14" s="57">
        <f>IFERROR(__xludf.DUMMYFUNCTION("""COMPUTED_VALUE"""),45883.0)</f>
        <v>45883</v>
      </c>
      <c r="F14" s="58"/>
      <c r="G14" s="60">
        <f>IFERROR(__xludf.DUMMYFUNCTION("""COMPUTED_VALUE"""),13.733333333333333)</f>
        <v>13.73333333</v>
      </c>
      <c r="H14" s="63">
        <f>IFERROR(__xludf.DUMMYFUNCTION("""COMPUTED_VALUE"""),32782.0)</f>
        <v>32782</v>
      </c>
      <c r="I14" s="60">
        <f>IFERROR(__xludf.DUMMYFUNCTION("""COMPUTED_VALUE"""),35.86944444444445)</f>
        <v>35.86944444</v>
      </c>
      <c r="J14" s="64">
        <f>IFERROR(__xludf.DUMMYFUNCTION("""COMPUTED_VALUE"""),78.0)</f>
        <v>78</v>
      </c>
      <c r="K14" s="64">
        <f>IFERROR(__xludf.DUMMYFUNCTION("""COMPUTED_VALUE"""),3.5)</f>
        <v>3.5</v>
      </c>
      <c r="L14" s="55" t="str">
        <f>IFERROR(__xludf.DUMMYFUNCTION("""COMPUTED_VALUE"""),"Action-Adventure")</f>
        <v>Action-Adventure</v>
      </c>
      <c r="M14" s="55"/>
      <c r="N14" s="55" t="str">
        <f>IFERROR(__xludf.DUMMYFUNCTION("""COMPUTED_VALUE"""),"Retro Classics: Amiga")</f>
        <v>Retro Classics: Amiga</v>
      </c>
      <c r="O14" s="55"/>
      <c r="P14" s="55"/>
      <c r="Q14" s="55"/>
      <c r="R14" s="66"/>
      <c r="S14" s="66"/>
    </row>
    <row r="15">
      <c r="A15" s="55" t="str">
        <f>IFERROR(__xludf.DUMMYFUNCTION("""COMPUTED_VALUE"""),"Private Eye")</f>
        <v>Private Eye</v>
      </c>
      <c r="B15" s="55" t="str">
        <f>IFERROR(__xludf.DUMMYFUNCTION("""COMPUTED_VALUE"""),"Xbox / PC")</f>
        <v>Xbox / PC</v>
      </c>
      <c r="C15" s="55" t="str">
        <f>IFERROR(__xludf.DUMMYFUNCTION("""COMPUTED_VALUE"""),"Yes")</f>
        <v>Yes</v>
      </c>
      <c r="D15" s="56" t="str">
        <f>IFERROR(__xludf.DUMMYFUNCTION("""COMPUTED_VALUE"""),"Active")</f>
        <v>Active</v>
      </c>
      <c r="E15" s="57">
        <f>IFERROR(__xludf.DUMMYFUNCTION("""COMPUTED_VALUE"""),45883.0)</f>
        <v>45883</v>
      </c>
      <c r="F15" s="58"/>
      <c r="G15" s="60">
        <f>IFERROR(__xludf.DUMMYFUNCTION("""COMPUTED_VALUE"""),13.733333333333333)</f>
        <v>13.73333333</v>
      </c>
      <c r="H15" s="63">
        <f>IFERROR(__xludf.DUMMYFUNCTION("""COMPUTED_VALUE"""),30713.0)</f>
        <v>30713</v>
      </c>
      <c r="I15" s="60">
        <f>IFERROR(__xludf.DUMMYFUNCTION("""COMPUTED_VALUE"""),41.53611111111111)</f>
        <v>41.53611111</v>
      </c>
      <c r="J15" s="64">
        <f>IFERROR(__xludf.DUMMYFUNCTION("""COMPUTED_VALUE"""),45.0)</f>
        <v>45</v>
      </c>
      <c r="K15" s="64">
        <f>IFERROR(__xludf.DUMMYFUNCTION("""COMPUTED_VALUE"""),12.0)</f>
        <v>12</v>
      </c>
      <c r="L15" s="55" t="str">
        <f>IFERROR(__xludf.DUMMYFUNCTION("""COMPUTED_VALUE"""),"Action")</f>
        <v>Action</v>
      </c>
      <c r="M15" s="55"/>
      <c r="N15" s="55" t="str">
        <f>IFERROR(__xludf.DUMMYFUNCTION("""COMPUTED_VALUE"""),"Retro Classics: Atari 2600")</f>
        <v>Retro Classics: Atari 2600</v>
      </c>
      <c r="O15" s="55"/>
      <c r="P15" s="55"/>
      <c r="Q15" s="55"/>
      <c r="R15" s="66"/>
      <c r="S15" s="66"/>
    </row>
    <row r="16">
      <c r="A16" s="55" t="str">
        <f>IFERROR(__xludf.DUMMYFUNCTION("""COMPUTED_VALUE"""),"Oystron")</f>
        <v>Oystron</v>
      </c>
      <c r="B16" s="55" t="str">
        <f>IFERROR(__xludf.DUMMYFUNCTION("""COMPUTED_VALUE"""),"Xbox / PC")</f>
        <v>Xbox / PC</v>
      </c>
      <c r="C16" s="55" t="str">
        <f>IFERROR(__xludf.DUMMYFUNCTION("""COMPUTED_VALUE"""),"Yes")</f>
        <v>Yes</v>
      </c>
      <c r="D16" s="56" t="str">
        <f>IFERROR(__xludf.DUMMYFUNCTION("""COMPUTED_VALUE"""),"Active")</f>
        <v>Active</v>
      </c>
      <c r="E16" s="57">
        <f>IFERROR(__xludf.DUMMYFUNCTION("""COMPUTED_VALUE"""),45883.0)</f>
        <v>45883</v>
      </c>
      <c r="F16" s="58"/>
      <c r="G16" s="60">
        <f>IFERROR(__xludf.DUMMYFUNCTION("""COMPUTED_VALUE"""),13.733333333333333)</f>
        <v>13.73333333</v>
      </c>
      <c r="H16" s="63">
        <f>IFERROR(__xludf.DUMMYFUNCTION("""COMPUTED_VALUE"""),35431.0)</f>
        <v>35431</v>
      </c>
      <c r="I16" s="60">
        <f>IFERROR(__xludf.DUMMYFUNCTION("""COMPUTED_VALUE"""),28.619444444444444)</f>
        <v>28.61944444</v>
      </c>
      <c r="J16" s="64">
        <f>IFERROR(__xludf.DUMMYFUNCTION("""COMPUTED_VALUE"""),92.0)</f>
        <v>92</v>
      </c>
      <c r="K16" s="64"/>
      <c r="L16" s="55" t="str">
        <f>IFERROR(__xludf.DUMMYFUNCTION("""COMPUTED_VALUE"""),"Action")</f>
        <v>Action</v>
      </c>
      <c r="M16" s="55"/>
      <c r="N16" s="55" t="str">
        <f>IFERROR(__xludf.DUMMYFUNCTION("""COMPUTED_VALUE"""),"Retro Classics: Atari 2600")</f>
        <v>Retro Classics: Atari 2600</v>
      </c>
      <c r="O16" s="55"/>
      <c r="P16" s="55"/>
      <c r="Q16" s="55"/>
      <c r="R16" s="66"/>
      <c r="S16" s="66"/>
    </row>
    <row r="17">
      <c r="A17" s="55" t="str">
        <f>IFERROR(__xludf.DUMMYFUNCTION("""COMPUTED_VALUE"""),"Shootin' Gallery")</f>
        <v>Shootin' Gallery</v>
      </c>
      <c r="B17" s="55" t="str">
        <f>IFERROR(__xludf.DUMMYFUNCTION("""COMPUTED_VALUE"""),"Xbox / PC")</f>
        <v>Xbox / PC</v>
      </c>
      <c r="C17" s="55" t="str">
        <f>IFERROR(__xludf.DUMMYFUNCTION("""COMPUTED_VALUE"""),"Yes")</f>
        <v>Yes</v>
      </c>
      <c r="D17" s="56" t="str">
        <f>IFERROR(__xludf.DUMMYFUNCTION("""COMPUTED_VALUE"""),"Active")</f>
        <v>Active</v>
      </c>
      <c r="E17" s="57">
        <f>IFERROR(__xludf.DUMMYFUNCTION("""COMPUTED_VALUE"""),45883.0)</f>
        <v>45883</v>
      </c>
      <c r="F17" s="58"/>
      <c r="G17" s="60">
        <f>IFERROR(__xludf.DUMMYFUNCTION("""COMPUTED_VALUE"""),13.733333333333333)</f>
        <v>13.73333333</v>
      </c>
      <c r="H17" s="63">
        <f>IFERROR(__xludf.DUMMYFUNCTION("""COMPUTED_VALUE"""),30376.0)</f>
        <v>30376</v>
      </c>
      <c r="I17" s="60">
        <f>IFERROR(__xludf.DUMMYFUNCTION("""COMPUTED_VALUE"""),42.452777777777776)</f>
        <v>42.45277778</v>
      </c>
      <c r="J17" s="64">
        <f>IFERROR(__xludf.DUMMYFUNCTION("""COMPUTED_VALUE"""),76.0)</f>
        <v>76</v>
      </c>
      <c r="K17" s="64"/>
      <c r="L17" s="55" t="str">
        <f>IFERROR(__xludf.DUMMYFUNCTION("""COMPUTED_VALUE"""),"Shooter")</f>
        <v>Shooter</v>
      </c>
      <c r="M17" s="55"/>
      <c r="N17" s="55" t="str">
        <f>IFERROR(__xludf.DUMMYFUNCTION("""COMPUTED_VALUE"""),"Retro Classics: Atari 2600")</f>
        <v>Retro Classics: Atari 2600</v>
      </c>
      <c r="O17" s="55"/>
      <c r="P17" s="55"/>
      <c r="Q17" s="55"/>
      <c r="R17" s="66"/>
      <c r="S17" s="66"/>
    </row>
    <row r="18">
      <c r="A18" s="55" t="str">
        <f>IFERROR(__xludf.DUMMYFUNCTION("""COMPUTED_VALUE"""),"Wing War")</f>
        <v>Wing War</v>
      </c>
      <c r="B18" s="55" t="str">
        <f>IFERROR(__xludf.DUMMYFUNCTION("""COMPUTED_VALUE"""),"Xbox / PC")</f>
        <v>Xbox / PC</v>
      </c>
      <c r="C18" s="55" t="str">
        <f>IFERROR(__xludf.DUMMYFUNCTION("""COMPUTED_VALUE"""),"Yes")</f>
        <v>Yes</v>
      </c>
      <c r="D18" s="56" t="str">
        <f>IFERROR(__xludf.DUMMYFUNCTION("""COMPUTED_VALUE"""),"Active")</f>
        <v>Active</v>
      </c>
      <c r="E18" s="57">
        <f>IFERROR(__xludf.DUMMYFUNCTION("""COMPUTED_VALUE"""),45883.0)</f>
        <v>45883</v>
      </c>
      <c r="F18" s="58"/>
      <c r="G18" s="60">
        <f>IFERROR(__xludf.DUMMYFUNCTION("""COMPUTED_VALUE"""),13.733333333333333)</f>
        <v>13.73333333</v>
      </c>
      <c r="H18" s="63">
        <f>IFERROR(__xludf.DUMMYFUNCTION("""COMPUTED_VALUE"""),30681.0)</f>
        <v>30681</v>
      </c>
      <c r="I18" s="60">
        <f>IFERROR(__xludf.DUMMYFUNCTION("""COMPUTED_VALUE"""),41.62222222222222)</f>
        <v>41.62222222</v>
      </c>
      <c r="J18" s="64">
        <f>IFERROR(__xludf.DUMMYFUNCTION("""COMPUTED_VALUE"""),61.0)</f>
        <v>61</v>
      </c>
      <c r="K18" s="64"/>
      <c r="L18" s="55" t="str">
        <f>IFERROR(__xludf.DUMMYFUNCTION("""COMPUTED_VALUE"""),"Action")</f>
        <v>Action</v>
      </c>
      <c r="M18" s="55"/>
      <c r="N18" s="55" t="str">
        <f>IFERROR(__xludf.DUMMYFUNCTION("""COMPUTED_VALUE"""),"Retro Classics: Atari 2600")</f>
        <v>Retro Classics: Atari 2600</v>
      </c>
      <c r="O18" s="55"/>
      <c r="P18" s="55"/>
      <c r="Q18" s="55"/>
      <c r="R18" s="66"/>
      <c r="S18" s="66"/>
    </row>
    <row r="19">
      <c r="A19" s="55" t="str">
        <f>IFERROR(__xludf.DUMMYFUNCTION("""COMPUTED_VALUE"""),"Caesar")</f>
        <v>Caesar</v>
      </c>
      <c r="B19" s="55" t="str">
        <f>IFERROR(__xludf.DUMMYFUNCTION("""COMPUTED_VALUE"""),"Xbox / PC")</f>
        <v>Xbox / PC</v>
      </c>
      <c r="C19" s="55" t="str">
        <f>IFERROR(__xludf.DUMMYFUNCTION("""COMPUTED_VALUE"""),"Yes")</f>
        <v>Yes</v>
      </c>
      <c r="D19" s="56" t="str">
        <f>IFERROR(__xludf.DUMMYFUNCTION("""COMPUTED_VALUE"""),"Active")</f>
        <v>Active</v>
      </c>
      <c r="E19" s="57">
        <f>IFERROR(__xludf.DUMMYFUNCTION("""COMPUTED_VALUE"""),45859.0)</f>
        <v>45859</v>
      </c>
      <c r="F19" s="58"/>
      <c r="G19" s="60">
        <f>IFERROR(__xludf.DUMMYFUNCTION("""COMPUTED_VALUE"""),14.5)</f>
        <v>14.5</v>
      </c>
      <c r="H19" s="63">
        <f>IFERROR(__xludf.DUMMYFUNCTION("""COMPUTED_VALUE"""),33889.0)</f>
        <v>33889</v>
      </c>
      <c r="I19" s="60">
        <f>IFERROR(__xludf.DUMMYFUNCTION("""COMPUTED_VALUE"""),32.775)</f>
        <v>32.775</v>
      </c>
      <c r="J19" s="64">
        <f>IFERROR(__xludf.DUMMYFUNCTION("""COMPUTED_VALUE"""),72.0)</f>
        <v>72</v>
      </c>
      <c r="K19" s="64">
        <f>IFERROR(__xludf.DUMMYFUNCTION("""COMPUTED_VALUE"""),8.0)</f>
        <v>8</v>
      </c>
      <c r="L19" s="55" t="str">
        <f>IFERROR(__xludf.DUMMYFUNCTION("""COMPUTED_VALUE"""),"City‑building")</f>
        <v>City‑building</v>
      </c>
      <c r="M19" s="55"/>
      <c r="N19" s="55" t="str">
        <f>IFERROR(__xludf.DUMMYFUNCTION("""COMPUTED_VALUE"""),"Retro Classics: Amiga")</f>
        <v>Retro Classics: Amiga</v>
      </c>
      <c r="O19" s="55"/>
      <c r="P19" s="55"/>
      <c r="Q19" s="55"/>
      <c r="R19" s="66"/>
      <c r="S19" s="66"/>
    </row>
    <row r="20">
      <c r="A20" s="55" t="str">
        <f>IFERROR(__xludf.DUMMYFUNCTION("""COMPUTED_VALUE"""),"Conquests of Camelot: The Search for the Grail")</f>
        <v>Conquests of Camelot: The Search for the Grail</v>
      </c>
      <c r="B20" s="55" t="str">
        <f>IFERROR(__xludf.DUMMYFUNCTION("""COMPUTED_VALUE"""),"Xbox / PC")</f>
        <v>Xbox / PC</v>
      </c>
      <c r="C20" s="55" t="str">
        <f>IFERROR(__xludf.DUMMYFUNCTION("""COMPUTED_VALUE"""),"Yes")</f>
        <v>Yes</v>
      </c>
      <c r="D20" s="56" t="str">
        <f>IFERROR(__xludf.DUMMYFUNCTION("""COMPUTED_VALUE"""),"Active")</f>
        <v>Active</v>
      </c>
      <c r="E20" s="57">
        <f>IFERROR(__xludf.DUMMYFUNCTION("""COMPUTED_VALUE"""),45859.0)</f>
        <v>45859</v>
      </c>
      <c r="F20" s="58"/>
      <c r="G20" s="60">
        <f>IFERROR(__xludf.DUMMYFUNCTION("""COMPUTED_VALUE"""),14.5)</f>
        <v>14.5</v>
      </c>
      <c r="H20" s="63">
        <f>IFERROR(__xludf.DUMMYFUNCTION("""COMPUTED_VALUE"""),32933.0)</f>
        <v>32933</v>
      </c>
      <c r="I20" s="60">
        <f>IFERROR(__xludf.DUMMYFUNCTION("""COMPUTED_VALUE"""),35.388888888888886)</f>
        <v>35.38888889</v>
      </c>
      <c r="J20" s="64">
        <f>IFERROR(__xludf.DUMMYFUNCTION("""COMPUTED_VALUE"""),79.0)</f>
        <v>79</v>
      </c>
      <c r="K20" s="64">
        <f>IFERROR(__xludf.DUMMYFUNCTION("""COMPUTED_VALUE"""),4.0)</f>
        <v>4</v>
      </c>
      <c r="L20" s="55" t="str">
        <f>IFERROR(__xludf.DUMMYFUNCTION("""COMPUTED_VALUE"""),"Action-Adventure")</f>
        <v>Action-Adventure</v>
      </c>
      <c r="M20" s="55"/>
      <c r="N20" s="55" t="str">
        <f>IFERROR(__xludf.DUMMYFUNCTION("""COMPUTED_VALUE"""),"Retro Classics: Amiga")</f>
        <v>Retro Classics: Amiga</v>
      </c>
      <c r="O20" s="55"/>
      <c r="P20" s="55"/>
      <c r="Q20" s="55"/>
      <c r="R20" s="66"/>
      <c r="S20" s="66"/>
    </row>
    <row r="21">
      <c r="A21" s="55" t="str">
        <f>IFERROR(__xludf.DUMMYFUNCTION("""COMPUTED_VALUE"""),"Gabriel Knight: Sins of the Fathers")</f>
        <v>Gabriel Knight: Sins of the Fathers</v>
      </c>
      <c r="B21" s="55" t="str">
        <f>IFERROR(__xludf.DUMMYFUNCTION("""COMPUTED_VALUE"""),"Xbox / PC")</f>
        <v>Xbox / PC</v>
      </c>
      <c r="C21" s="55" t="str">
        <f>IFERROR(__xludf.DUMMYFUNCTION("""COMPUTED_VALUE"""),"Yes")</f>
        <v>Yes</v>
      </c>
      <c r="D21" s="56" t="str">
        <f>IFERROR(__xludf.DUMMYFUNCTION("""COMPUTED_VALUE"""),"Active")</f>
        <v>Active</v>
      </c>
      <c r="E21" s="57">
        <f>IFERROR(__xludf.DUMMYFUNCTION("""COMPUTED_VALUE"""),45859.0)</f>
        <v>45859</v>
      </c>
      <c r="F21" s="58"/>
      <c r="G21" s="60">
        <f>IFERROR(__xludf.DUMMYFUNCTION("""COMPUTED_VALUE"""),14.5)</f>
        <v>14.5</v>
      </c>
      <c r="H21" s="63">
        <f>IFERROR(__xludf.DUMMYFUNCTION("""COMPUTED_VALUE"""),34320.0)</f>
        <v>34320</v>
      </c>
      <c r="I21" s="60">
        <f>IFERROR(__xludf.DUMMYFUNCTION("""COMPUTED_VALUE"""),31.594444444444445)</f>
        <v>31.59444444</v>
      </c>
      <c r="J21" s="64">
        <f>IFERROR(__xludf.DUMMYFUNCTION("""COMPUTED_VALUE"""),89.0)</f>
        <v>89</v>
      </c>
      <c r="K21" s="64">
        <f>IFERROR(__xludf.DUMMYFUNCTION("""COMPUTED_VALUE"""),11.0)</f>
        <v>11</v>
      </c>
      <c r="L21" s="55" t="str">
        <f>IFERROR(__xludf.DUMMYFUNCTION("""COMPUTED_VALUE"""),"Action-Adventure")</f>
        <v>Action-Adventure</v>
      </c>
      <c r="M21" s="55"/>
      <c r="N21" s="55" t="str">
        <f>IFERROR(__xludf.DUMMYFUNCTION("""COMPUTED_VALUE"""),"Retro Classics: DOS")</f>
        <v>Retro Classics: DOS</v>
      </c>
      <c r="O21" s="55"/>
      <c r="P21" s="55"/>
      <c r="Q21" s="55"/>
      <c r="R21" s="66"/>
      <c r="S21" s="66"/>
    </row>
    <row r="22">
      <c r="A22" s="55" t="str">
        <f>IFERROR(__xludf.DUMMYFUNCTION("""COMPUTED_VALUE"""),"Hard Head")</f>
        <v>Hard Head</v>
      </c>
      <c r="B22" s="55" t="str">
        <f>IFERROR(__xludf.DUMMYFUNCTION("""COMPUTED_VALUE"""),"Xbox / PC")</f>
        <v>Xbox / PC</v>
      </c>
      <c r="C22" s="55" t="str">
        <f>IFERROR(__xludf.DUMMYFUNCTION("""COMPUTED_VALUE"""),"Yes")</f>
        <v>Yes</v>
      </c>
      <c r="D22" s="56" t="str">
        <f>IFERROR(__xludf.DUMMYFUNCTION("""COMPUTED_VALUE"""),"Active")</f>
        <v>Active</v>
      </c>
      <c r="E22" s="57">
        <f>IFERROR(__xludf.DUMMYFUNCTION("""COMPUTED_VALUE"""),45859.0)</f>
        <v>45859</v>
      </c>
      <c r="F22" s="58"/>
      <c r="G22" s="60">
        <f>IFERROR(__xludf.DUMMYFUNCTION("""COMPUTED_VALUE"""),14.5)</f>
        <v>14.5</v>
      </c>
      <c r="H22" s="63">
        <f>IFERROR(__xludf.DUMMYFUNCTION("""COMPUTED_VALUE"""),30682.0)</f>
        <v>30682</v>
      </c>
      <c r="I22" s="60">
        <f>IFERROR(__xludf.DUMMYFUNCTION("""COMPUTED_VALUE"""),41.55555555555556)</f>
        <v>41.55555556</v>
      </c>
      <c r="J22" s="64">
        <f>IFERROR(__xludf.DUMMYFUNCTION("""COMPUTED_VALUE"""),72.0)</f>
        <v>72</v>
      </c>
      <c r="K22" s="64"/>
      <c r="L22" s="55" t="str">
        <f>IFERROR(__xludf.DUMMYFUNCTION("""COMPUTED_VALUE"""),"Action")</f>
        <v>Action</v>
      </c>
      <c r="M22" s="55"/>
      <c r="N22" s="55" t="str">
        <f>IFERROR(__xludf.DUMMYFUNCTION("""COMPUTED_VALUE"""),"Retro Classics: Atari 2600")</f>
        <v>Retro Classics: Atari 2600</v>
      </c>
      <c r="O22" s="55"/>
      <c r="P22" s="55"/>
      <c r="Q22" s="55"/>
      <c r="R22" s="66"/>
      <c r="S22" s="66"/>
    </row>
    <row r="23">
      <c r="A23" s="55" t="str">
        <f>IFERROR(__xludf.DUMMYFUNCTION("""COMPUTED_VALUE"""),"Okie Dokie")</f>
        <v>Okie Dokie</v>
      </c>
      <c r="B23" s="55" t="str">
        <f>IFERROR(__xludf.DUMMYFUNCTION("""COMPUTED_VALUE"""),"Xbox / PC")</f>
        <v>Xbox / PC</v>
      </c>
      <c r="C23" s="55" t="str">
        <f>IFERROR(__xludf.DUMMYFUNCTION("""COMPUTED_VALUE"""),"Yes")</f>
        <v>Yes</v>
      </c>
      <c r="D23" s="56" t="str">
        <f>IFERROR(__xludf.DUMMYFUNCTION("""COMPUTED_VALUE"""),"Active")</f>
        <v>Active</v>
      </c>
      <c r="E23" s="57">
        <f>IFERROR(__xludf.DUMMYFUNCTION("""COMPUTED_VALUE"""),45859.0)</f>
        <v>45859</v>
      </c>
      <c r="F23" s="58"/>
      <c r="G23" s="60">
        <f>IFERROR(__xludf.DUMMYFUNCTION("""COMPUTED_VALUE"""),14.5)</f>
        <v>14.5</v>
      </c>
      <c r="H23" s="63">
        <f>IFERROR(__xludf.DUMMYFUNCTION("""COMPUTED_VALUE"""),31048.0)</f>
        <v>31048</v>
      </c>
      <c r="I23" s="60">
        <f>IFERROR(__xludf.DUMMYFUNCTION("""COMPUTED_VALUE"""),40.55555555555556)</f>
        <v>40.55555556</v>
      </c>
      <c r="J23" s="64"/>
      <c r="K23" s="64"/>
      <c r="L23" s="55" t="str">
        <f>IFERROR(__xludf.DUMMYFUNCTION("""COMPUTED_VALUE"""),"Puzzle")</f>
        <v>Puzzle</v>
      </c>
      <c r="M23" s="55"/>
      <c r="N23" s="55" t="str">
        <f>IFERROR(__xludf.DUMMYFUNCTION("""COMPUTED_VALUE"""),"Retro Classics: Atari 2600")</f>
        <v>Retro Classics: Atari 2600</v>
      </c>
      <c r="O23" s="55"/>
      <c r="P23" s="55"/>
      <c r="Q23" s="55"/>
      <c r="R23" s="66"/>
      <c r="S23" s="66"/>
    </row>
    <row r="24">
      <c r="A24" s="55" t="str">
        <f>IFERROR(__xludf.DUMMYFUNCTION("""COMPUTED_VALUE"""),"Skate Boardin'")</f>
        <v>Skate Boardin'</v>
      </c>
      <c r="B24" s="55" t="str">
        <f>IFERROR(__xludf.DUMMYFUNCTION("""COMPUTED_VALUE"""),"Xbox / PC")</f>
        <v>Xbox / PC</v>
      </c>
      <c r="C24" s="55" t="str">
        <f>IFERROR(__xludf.DUMMYFUNCTION("""COMPUTED_VALUE"""),"Yes")</f>
        <v>Yes</v>
      </c>
      <c r="D24" s="56" t="str">
        <f>IFERROR(__xludf.DUMMYFUNCTION("""COMPUTED_VALUE"""),"Active")</f>
        <v>Active</v>
      </c>
      <c r="E24" s="57">
        <f>IFERROR(__xludf.DUMMYFUNCTION("""COMPUTED_VALUE"""),45859.0)</f>
        <v>45859</v>
      </c>
      <c r="F24" s="58"/>
      <c r="G24" s="60">
        <f>IFERROR(__xludf.DUMMYFUNCTION("""COMPUTED_VALUE"""),14.5)</f>
        <v>14.5</v>
      </c>
      <c r="H24" s="63">
        <f>IFERROR(__xludf.DUMMYFUNCTION("""COMPUTED_VALUE"""),31972.0)</f>
        <v>31972</v>
      </c>
      <c r="I24" s="60">
        <f>IFERROR(__xludf.DUMMYFUNCTION("""COMPUTED_VALUE"""),38.019444444444446)</f>
        <v>38.01944444</v>
      </c>
      <c r="J24" s="64">
        <f>IFERROR(__xludf.DUMMYFUNCTION("""COMPUTED_VALUE"""),58.0)</f>
        <v>58</v>
      </c>
      <c r="K24" s="64">
        <f>IFERROR(__xludf.DUMMYFUNCTION("""COMPUTED_VALUE"""),1.0)</f>
        <v>1</v>
      </c>
      <c r="L24" s="55" t="str">
        <f>IFERROR(__xludf.DUMMYFUNCTION("""COMPUTED_VALUE"""),"Sports")</f>
        <v>Sports</v>
      </c>
      <c r="M24" s="55"/>
      <c r="N24" s="55" t="str">
        <f>IFERROR(__xludf.DUMMYFUNCTION("""COMPUTED_VALUE"""),"Retro Classics: Atari 2600")</f>
        <v>Retro Classics: Atari 2600</v>
      </c>
      <c r="O24" s="55"/>
      <c r="P24" s="55"/>
      <c r="Q24" s="55"/>
      <c r="R24" s="66"/>
      <c r="S24" s="66"/>
    </row>
    <row r="25">
      <c r="A25" s="55" t="str">
        <f>IFERROR(__xludf.DUMMYFUNCTION("""COMPUTED_VALUE"""),"Skeleton+")</f>
        <v>Skeleton+</v>
      </c>
      <c r="B25" s="55" t="str">
        <f>IFERROR(__xludf.DUMMYFUNCTION("""COMPUTED_VALUE"""),"Xbox / PC")</f>
        <v>Xbox / PC</v>
      </c>
      <c r="C25" s="55" t="str">
        <f>IFERROR(__xludf.DUMMYFUNCTION("""COMPUTED_VALUE"""),"Yes")</f>
        <v>Yes</v>
      </c>
      <c r="D25" s="56" t="str">
        <f>IFERROR(__xludf.DUMMYFUNCTION("""COMPUTED_VALUE"""),"Active")</f>
        <v>Active</v>
      </c>
      <c r="E25" s="57">
        <f>IFERROR(__xludf.DUMMYFUNCTION("""COMPUTED_VALUE"""),45859.0)</f>
        <v>45859</v>
      </c>
      <c r="F25" s="58"/>
      <c r="G25" s="60">
        <f>IFERROR(__xludf.DUMMYFUNCTION("""COMPUTED_VALUE"""),14.5)</f>
        <v>14.5</v>
      </c>
      <c r="H25" s="63">
        <f>IFERROR(__xludf.DUMMYFUNCTION("""COMPUTED_VALUE"""),37774.0)</f>
        <v>37774</v>
      </c>
      <c r="I25" s="60">
        <f>IFERROR(__xludf.DUMMYFUNCTION("""COMPUTED_VALUE"""),22.136111111111113)</f>
        <v>22.13611111</v>
      </c>
      <c r="J25" s="64">
        <f>IFERROR(__xludf.DUMMYFUNCTION("""COMPUTED_VALUE"""),75.0)</f>
        <v>75</v>
      </c>
      <c r="K25" s="64">
        <f>IFERROR(__xludf.DUMMYFUNCTION("""COMPUTED_VALUE"""),2.0)</f>
        <v>2</v>
      </c>
      <c r="L25" s="55" t="str">
        <f>IFERROR(__xludf.DUMMYFUNCTION("""COMPUTED_VALUE"""),"Action")</f>
        <v>Action</v>
      </c>
      <c r="M25" s="55"/>
      <c r="N25" s="55" t="str">
        <f>IFERROR(__xludf.DUMMYFUNCTION("""COMPUTED_VALUE"""),"Retro Classics: Atari 2600")</f>
        <v>Retro Classics: Atari 2600</v>
      </c>
      <c r="O25" s="55"/>
      <c r="P25" s="55"/>
      <c r="Q25" s="55"/>
      <c r="R25" s="66"/>
      <c r="S25" s="66"/>
    </row>
    <row r="26">
      <c r="A26" s="55" t="str">
        <f>IFERROR(__xludf.DUMMYFUNCTION("""COMPUTED_VALUE"""),"Cosmic Commuter")</f>
        <v>Cosmic Commuter</v>
      </c>
      <c r="B26" s="55" t="str">
        <f>IFERROR(__xludf.DUMMYFUNCTION("""COMPUTED_VALUE"""),"Xbox / PC")</f>
        <v>Xbox / PC</v>
      </c>
      <c r="C26" s="55" t="str">
        <f>IFERROR(__xludf.DUMMYFUNCTION("""COMPUTED_VALUE"""),"Yes")</f>
        <v>Yes</v>
      </c>
      <c r="D26" s="56" t="str">
        <f>IFERROR(__xludf.DUMMYFUNCTION("""COMPUTED_VALUE"""),"Active")</f>
        <v>Active</v>
      </c>
      <c r="E26" s="57">
        <f>IFERROR(__xludf.DUMMYFUNCTION("""COMPUTED_VALUE"""),45839.0)</f>
        <v>45839</v>
      </c>
      <c r="F26" s="58"/>
      <c r="G26" s="60">
        <f>IFERROR(__xludf.DUMMYFUNCTION("""COMPUTED_VALUE"""),15.166666666666666)</f>
        <v>15.16666667</v>
      </c>
      <c r="H26" s="63">
        <f>IFERROR(__xludf.DUMMYFUNCTION("""COMPUTED_VALUE"""),31048.0)</f>
        <v>31048</v>
      </c>
      <c r="I26" s="60">
        <f>IFERROR(__xludf.DUMMYFUNCTION("""COMPUTED_VALUE"""),40.5)</f>
        <v>40.5</v>
      </c>
      <c r="J26" s="64">
        <f>IFERROR(__xludf.DUMMYFUNCTION("""COMPUTED_VALUE"""),67.0)</f>
        <v>67</v>
      </c>
      <c r="K26" s="64"/>
      <c r="L26" s="55" t="str">
        <f>IFERROR(__xludf.DUMMYFUNCTION("""COMPUTED_VALUE"""),"Shooter")</f>
        <v>Shooter</v>
      </c>
      <c r="M26" s="55"/>
      <c r="N26" s="55" t="str">
        <f>IFERROR(__xludf.DUMMYFUNCTION("""COMPUTED_VALUE"""),"Retro Classics: Atari 2600")</f>
        <v>Retro Classics: Atari 2600</v>
      </c>
      <c r="O26" s="55"/>
      <c r="P26" s="55"/>
      <c r="Q26" s="55"/>
      <c r="R26" s="66"/>
      <c r="S26" s="66"/>
    </row>
    <row r="27">
      <c r="A27" s="55" t="str">
        <f>IFERROR(__xludf.DUMMYFUNCTION("""COMPUTED_VALUE"""),"Heart of China")</f>
        <v>Heart of China</v>
      </c>
      <c r="B27" s="55" t="str">
        <f>IFERROR(__xludf.DUMMYFUNCTION("""COMPUTED_VALUE"""),"Xbox / PC")</f>
        <v>Xbox / PC</v>
      </c>
      <c r="C27" s="55" t="str">
        <f>IFERROR(__xludf.DUMMYFUNCTION("""COMPUTED_VALUE"""),"Yes")</f>
        <v>Yes</v>
      </c>
      <c r="D27" s="56" t="str">
        <f>IFERROR(__xludf.DUMMYFUNCTION("""COMPUTED_VALUE"""),"Active")</f>
        <v>Active</v>
      </c>
      <c r="E27" s="57">
        <f>IFERROR(__xludf.DUMMYFUNCTION("""COMPUTED_VALUE"""),45839.0)</f>
        <v>45839</v>
      </c>
      <c r="F27" s="58"/>
      <c r="G27" s="60">
        <f>IFERROR(__xludf.DUMMYFUNCTION("""COMPUTED_VALUE"""),15.166666666666666)</f>
        <v>15.16666667</v>
      </c>
      <c r="H27" s="63">
        <f>IFERROR(__xludf.DUMMYFUNCTION("""COMPUTED_VALUE"""),33239.0)</f>
        <v>33239</v>
      </c>
      <c r="I27" s="60">
        <f>IFERROR(__xludf.DUMMYFUNCTION("""COMPUTED_VALUE"""),34.5)</f>
        <v>34.5</v>
      </c>
      <c r="J27" s="64"/>
      <c r="K27" s="64">
        <f>IFERROR(__xludf.DUMMYFUNCTION("""COMPUTED_VALUE"""),4.0)</f>
        <v>4</v>
      </c>
      <c r="L27" s="55" t="str">
        <f>IFERROR(__xludf.DUMMYFUNCTION("""COMPUTED_VALUE"""),"Adventure")</f>
        <v>Adventure</v>
      </c>
      <c r="M27" s="55"/>
      <c r="N27" s="55" t="str">
        <f>IFERROR(__xludf.DUMMYFUNCTION("""COMPUTED_VALUE"""),"Retro Classics: DOS")</f>
        <v>Retro Classics: DOS</v>
      </c>
      <c r="O27" s="55"/>
      <c r="P27" s="55"/>
      <c r="Q27" s="55"/>
      <c r="R27" s="66"/>
      <c r="S27" s="66"/>
    </row>
    <row r="28">
      <c r="A28" s="55" t="str">
        <f>IFERROR(__xludf.DUMMYFUNCTION("""COMPUTED_VALUE"""),"Skiing")</f>
        <v>Skiing</v>
      </c>
      <c r="B28" s="55" t="str">
        <f>IFERROR(__xludf.DUMMYFUNCTION("""COMPUTED_VALUE"""),"Xbox / PC")</f>
        <v>Xbox / PC</v>
      </c>
      <c r="C28" s="55" t="str">
        <f>IFERROR(__xludf.DUMMYFUNCTION("""COMPUTED_VALUE"""),"Yes")</f>
        <v>Yes</v>
      </c>
      <c r="D28" s="56" t="str">
        <f>IFERROR(__xludf.DUMMYFUNCTION("""COMPUTED_VALUE"""),"Active")</f>
        <v>Active</v>
      </c>
      <c r="E28" s="57">
        <f>IFERROR(__xludf.DUMMYFUNCTION("""COMPUTED_VALUE"""),45839.0)</f>
        <v>45839</v>
      </c>
      <c r="F28" s="58"/>
      <c r="G28" s="60">
        <f>IFERROR(__xludf.DUMMYFUNCTION("""COMPUTED_VALUE"""),15.166666666666666)</f>
        <v>15.16666667</v>
      </c>
      <c r="H28" s="63">
        <f>IFERROR(__xludf.DUMMYFUNCTION("""COMPUTED_VALUE"""),29556.0)</f>
        <v>29556</v>
      </c>
      <c r="I28" s="60">
        <f>IFERROR(__xludf.DUMMYFUNCTION("""COMPUTED_VALUE"""),44.583333333333336)</f>
        <v>44.58333333</v>
      </c>
      <c r="J28" s="64">
        <f>IFERROR(__xludf.DUMMYFUNCTION("""COMPUTED_VALUE"""),72.0)</f>
        <v>72</v>
      </c>
      <c r="K28" s="64">
        <f>IFERROR(__xludf.DUMMYFUNCTION("""COMPUTED_VALUE"""),1.0)</f>
        <v>1</v>
      </c>
      <c r="L28" s="55" t="str">
        <f>IFERROR(__xludf.DUMMYFUNCTION("""COMPUTED_VALUE"""),"Sports")</f>
        <v>Sports</v>
      </c>
      <c r="M28" s="55"/>
      <c r="N28" s="55" t="str">
        <f>IFERROR(__xludf.DUMMYFUNCTION("""COMPUTED_VALUE"""),"Retro Classics: Atari 2600")</f>
        <v>Retro Classics: Atari 2600</v>
      </c>
      <c r="O28" s="55"/>
      <c r="P28" s="55"/>
      <c r="Q28" s="55"/>
      <c r="R28" s="66"/>
      <c r="S28" s="66"/>
    </row>
    <row r="29">
      <c r="A29" s="55" t="str">
        <f>IFERROR(__xludf.DUMMYFUNCTION("""COMPUTED_VALUE"""),"Solar Storm")</f>
        <v>Solar Storm</v>
      </c>
      <c r="B29" s="55" t="str">
        <f>IFERROR(__xludf.DUMMYFUNCTION("""COMPUTED_VALUE"""),"Xbox / PC")</f>
        <v>Xbox / PC</v>
      </c>
      <c r="C29" s="55" t="str">
        <f>IFERROR(__xludf.DUMMYFUNCTION("""COMPUTED_VALUE"""),"Yes")</f>
        <v>Yes</v>
      </c>
      <c r="D29" s="56" t="str">
        <f>IFERROR(__xludf.DUMMYFUNCTION("""COMPUTED_VALUE"""),"Active")</f>
        <v>Active</v>
      </c>
      <c r="E29" s="57">
        <f>IFERROR(__xludf.DUMMYFUNCTION("""COMPUTED_VALUE"""),45839.0)</f>
        <v>45839</v>
      </c>
      <c r="F29" s="58"/>
      <c r="G29" s="60">
        <f>IFERROR(__xludf.DUMMYFUNCTION("""COMPUTED_VALUE"""),15.166666666666666)</f>
        <v>15.16666667</v>
      </c>
      <c r="H29" s="63">
        <f>IFERROR(__xludf.DUMMYFUNCTION("""COMPUTED_VALUE"""),30468.0)</f>
        <v>30468</v>
      </c>
      <c r="I29" s="60">
        <f>IFERROR(__xludf.DUMMYFUNCTION("""COMPUTED_VALUE"""),42.083333333333336)</f>
        <v>42.08333333</v>
      </c>
      <c r="J29" s="64">
        <f>IFERROR(__xludf.DUMMYFUNCTION("""COMPUTED_VALUE"""),71.0)</f>
        <v>71</v>
      </c>
      <c r="K29" s="64"/>
      <c r="L29" s="55" t="str">
        <f>IFERROR(__xludf.DUMMYFUNCTION("""COMPUTED_VALUE"""),"Action-Adventure")</f>
        <v>Action-Adventure</v>
      </c>
      <c r="M29" s="55"/>
      <c r="N29" s="55" t="str">
        <f>IFERROR(__xludf.DUMMYFUNCTION("""COMPUTED_VALUE"""),"Retro Classics: Atari 2600")</f>
        <v>Retro Classics: Atari 2600</v>
      </c>
      <c r="O29" s="55"/>
      <c r="P29" s="55"/>
      <c r="Q29" s="55"/>
      <c r="R29" s="66"/>
      <c r="S29" s="66"/>
    </row>
    <row r="30">
      <c r="A30" s="55" t="str">
        <f>IFERROR(__xludf.DUMMYFUNCTION("""COMPUTED_VALUE"""),"Subterranea")</f>
        <v>Subterranea</v>
      </c>
      <c r="B30" s="55" t="str">
        <f>IFERROR(__xludf.DUMMYFUNCTION("""COMPUTED_VALUE"""),"Xbox / PC")</f>
        <v>Xbox / PC</v>
      </c>
      <c r="C30" s="55" t="str">
        <f>IFERROR(__xludf.DUMMYFUNCTION("""COMPUTED_VALUE"""),"Yes")</f>
        <v>Yes</v>
      </c>
      <c r="D30" s="56" t="str">
        <f>IFERROR(__xludf.DUMMYFUNCTION("""COMPUTED_VALUE"""),"Active")</f>
        <v>Active</v>
      </c>
      <c r="E30" s="57">
        <f>IFERROR(__xludf.DUMMYFUNCTION("""COMPUTED_VALUE"""),45839.0)</f>
        <v>45839</v>
      </c>
      <c r="F30" s="58"/>
      <c r="G30" s="60">
        <f>IFERROR(__xludf.DUMMYFUNCTION("""COMPUTED_VALUE"""),15.166666666666666)</f>
        <v>15.16666667</v>
      </c>
      <c r="H30" s="63">
        <f>IFERROR(__xludf.DUMMYFUNCTION("""COMPUTED_VALUE"""),30317.0)</f>
        <v>30317</v>
      </c>
      <c r="I30" s="60">
        <f>IFERROR(__xludf.DUMMYFUNCTION("""COMPUTED_VALUE"""),42.5)</f>
        <v>42.5</v>
      </c>
      <c r="J30" s="64">
        <f>IFERROR(__xludf.DUMMYFUNCTION("""COMPUTED_VALUE"""),68.0)</f>
        <v>68</v>
      </c>
      <c r="K30" s="64"/>
      <c r="L30" s="55" t="str">
        <f>IFERROR(__xludf.DUMMYFUNCTION("""COMPUTED_VALUE"""),"Shooter")</f>
        <v>Shooter</v>
      </c>
      <c r="M30" s="55"/>
      <c r="N30" s="55" t="str">
        <f>IFERROR(__xludf.DUMMYFUNCTION("""COMPUTED_VALUE"""),"Retro Classics: Atari 2600")</f>
        <v>Retro Classics: Atari 2600</v>
      </c>
      <c r="O30" s="55"/>
      <c r="P30" s="55"/>
      <c r="Q30" s="55"/>
      <c r="R30" s="66"/>
      <c r="S30" s="66"/>
    </row>
    <row r="31">
      <c r="A31" s="55" t="str">
        <f>IFERROR(__xludf.DUMMYFUNCTION("""COMPUTED_VALUE"""),"Activision Prototype #1")</f>
        <v>Activision Prototype #1</v>
      </c>
      <c r="B31" s="55" t="str">
        <f>IFERROR(__xludf.DUMMYFUNCTION("""COMPUTED_VALUE"""),"Xbox / PC")</f>
        <v>Xbox / PC</v>
      </c>
      <c r="C31" s="55" t="str">
        <f>IFERROR(__xludf.DUMMYFUNCTION("""COMPUTED_VALUE"""),"Yes")</f>
        <v>Yes</v>
      </c>
      <c r="D31" s="56" t="str">
        <f>IFERROR(__xludf.DUMMYFUNCTION("""COMPUTED_VALUE"""),"Active")</f>
        <v>Active</v>
      </c>
      <c r="E31" s="57">
        <f>IFERROR(__xludf.DUMMYFUNCTION("""COMPUTED_VALUE"""),45798.0)</f>
        <v>45798</v>
      </c>
      <c r="F31" s="58"/>
      <c r="G31" s="60">
        <f>IFERROR(__xludf.DUMMYFUNCTION("""COMPUTED_VALUE"""),16.5)</f>
        <v>16.5</v>
      </c>
      <c r="H31" s="63">
        <f>IFERROR(__xludf.DUMMYFUNCTION("""COMPUTED_VALUE"""),30317.0)</f>
        <v>30317</v>
      </c>
      <c r="I31" s="60">
        <f>IFERROR(__xludf.DUMMYFUNCTION("""COMPUTED_VALUE"""),42.388888888888886)</f>
        <v>42.38888889</v>
      </c>
      <c r="J31" s="64"/>
      <c r="K31" s="64"/>
      <c r="L31" s="55" t="str">
        <f>IFERROR(__xludf.DUMMYFUNCTION("""COMPUTED_VALUE"""),"Action")</f>
        <v>Action</v>
      </c>
      <c r="M31" s="55"/>
      <c r="N31" s="55" t="str">
        <f>IFERROR(__xludf.DUMMYFUNCTION("""COMPUTED_VALUE"""),"Retro Classics: Atari 2600, Publisher")</f>
        <v>Retro Classics: Atari 2600, Publisher</v>
      </c>
      <c r="O31" s="55"/>
      <c r="P31" s="55"/>
      <c r="Q31" s="55"/>
      <c r="R31" s="66"/>
      <c r="S31" s="66"/>
    </row>
    <row r="32">
      <c r="A32" s="55" t="str">
        <f>IFERROR(__xludf.DUMMYFUNCTION("""COMPUTED_VALUE"""),"Atlantis")</f>
        <v>Atlantis</v>
      </c>
      <c r="B32" s="55" t="str">
        <f>IFERROR(__xludf.DUMMYFUNCTION("""COMPUTED_VALUE"""),"Xbox / PC")</f>
        <v>Xbox / PC</v>
      </c>
      <c r="C32" s="55" t="str">
        <f>IFERROR(__xludf.DUMMYFUNCTION("""COMPUTED_VALUE"""),"Yes")</f>
        <v>Yes</v>
      </c>
      <c r="D32" s="56" t="str">
        <f>IFERROR(__xludf.DUMMYFUNCTION("""COMPUTED_VALUE"""),"Active")</f>
        <v>Active</v>
      </c>
      <c r="E32" s="57">
        <f>IFERROR(__xludf.DUMMYFUNCTION("""COMPUTED_VALUE"""),45798.0)</f>
        <v>45798</v>
      </c>
      <c r="F32" s="58"/>
      <c r="G32" s="60">
        <f>IFERROR(__xludf.DUMMYFUNCTION("""COMPUTED_VALUE"""),16.5)</f>
        <v>16.5</v>
      </c>
      <c r="H32" s="63">
        <f>IFERROR(__xludf.DUMMYFUNCTION("""COMPUTED_VALUE"""),32255.0)</f>
        <v>32255</v>
      </c>
      <c r="I32" s="60">
        <f>IFERROR(__xludf.DUMMYFUNCTION("""COMPUTED_VALUE"""),37.080555555555556)</f>
        <v>37.08055556</v>
      </c>
      <c r="J32" s="64">
        <f>IFERROR(__xludf.DUMMYFUNCTION("""COMPUTED_VALUE"""),78.0)</f>
        <v>78</v>
      </c>
      <c r="K32" s="64"/>
      <c r="L32" s="55" t="str">
        <f>IFERROR(__xludf.DUMMYFUNCTION("""COMPUTED_VALUE"""),"Shooter")</f>
        <v>Shooter</v>
      </c>
      <c r="M32" s="55"/>
      <c r="N32" s="55" t="str">
        <f>IFERROR(__xludf.DUMMYFUNCTION("""COMPUTED_VALUE"""),"Retro Classics: Atari 2600")</f>
        <v>Retro Classics: Atari 2600</v>
      </c>
      <c r="O32" s="55"/>
      <c r="P32" s="55"/>
      <c r="Q32" s="55"/>
      <c r="R32" s="66"/>
      <c r="S32" s="66"/>
    </row>
    <row r="33">
      <c r="A33" s="55" t="str">
        <f>IFERROR(__xludf.DUMMYFUNCTION("""COMPUTED_VALUE"""),"Atlantis II")</f>
        <v>Atlantis II</v>
      </c>
      <c r="B33" s="55" t="str">
        <f>IFERROR(__xludf.DUMMYFUNCTION("""COMPUTED_VALUE"""),"Xbox / PC")</f>
        <v>Xbox / PC</v>
      </c>
      <c r="C33" s="55" t="str">
        <f>IFERROR(__xludf.DUMMYFUNCTION("""COMPUTED_VALUE"""),"Yes")</f>
        <v>Yes</v>
      </c>
      <c r="D33" s="56" t="str">
        <f>IFERROR(__xludf.DUMMYFUNCTION("""COMPUTED_VALUE"""),"Active")</f>
        <v>Active</v>
      </c>
      <c r="E33" s="57">
        <f>IFERROR(__xludf.DUMMYFUNCTION("""COMPUTED_VALUE"""),45798.0)</f>
        <v>45798</v>
      </c>
      <c r="F33" s="58"/>
      <c r="G33" s="60">
        <f>IFERROR(__xludf.DUMMYFUNCTION("""COMPUTED_VALUE"""),16.5)</f>
        <v>16.5</v>
      </c>
      <c r="H33" s="63">
        <f>IFERROR(__xludf.DUMMYFUNCTION("""COMPUTED_VALUE"""),32255.0)</f>
        <v>32255</v>
      </c>
      <c r="I33" s="60">
        <f>IFERROR(__xludf.DUMMYFUNCTION("""COMPUTED_VALUE"""),37.080555555555556)</f>
        <v>37.08055556</v>
      </c>
      <c r="J33" s="64">
        <f>IFERROR(__xludf.DUMMYFUNCTION("""COMPUTED_VALUE"""),72.0)</f>
        <v>72</v>
      </c>
      <c r="K33" s="64">
        <f>IFERROR(__xludf.DUMMYFUNCTION("""COMPUTED_VALUE"""),7.0)</f>
        <v>7</v>
      </c>
      <c r="L33" s="55" t="str">
        <f>IFERROR(__xludf.DUMMYFUNCTION("""COMPUTED_VALUE"""),"Shooter")</f>
        <v>Shooter</v>
      </c>
      <c r="M33" s="55"/>
      <c r="N33" s="55" t="str">
        <f>IFERROR(__xludf.DUMMYFUNCTION("""COMPUTED_VALUE"""),"Retro Classics: Atari 2600")</f>
        <v>Retro Classics: Atari 2600</v>
      </c>
      <c r="O33" s="55"/>
      <c r="P33" s="55"/>
      <c r="Q33" s="55"/>
      <c r="R33" s="66"/>
      <c r="S33" s="66"/>
    </row>
    <row r="34">
      <c r="A34" s="55" t="str">
        <f>IFERROR(__xludf.DUMMYFUNCTION("""COMPUTED_VALUE"""),"Barnstorming")</f>
        <v>Barnstorming</v>
      </c>
      <c r="B34" s="55" t="str">
        <f>IFERROR(__xludf.DUMMYFUNCTION("""COMPUTED_VALUE"""),"Xbox / PC")</f>
        <v>Xbox / PC</v>
      </c>
      <c r="C34" s="55" t="str">
        <f>IFERROR(__xludf.DUMMYFUNCTION("""COMPUTED_VALUE"""),"Yes")</f>
        <v>Yes</v>
      </c>
      <c r="D34" s="56" t="str">
        <f>IFERROR(__xludf.DUMMYFUNCTION("""COMPUTED_VALUE"""),"Active")</f>
        <v>Active</v>
      </c>
      <c r="E34" s="57">
        <f>IFERROR(__xludf.DUMMYFUNCTION("""COMPUTED_VALUE"""),45798.0)</f>
        <v>45798</v>
      </c>
      <c r="F34" s="58"/>
      <c r="G34" s="60">
        <f>IFERROR(__xludf.DUMMYFUNCTION("""COMPUTED_VALUE"""),16.5)</f>
        <v>16.5</v>
      </c>
      <c r="H34" s="63">
        <f>IFERROR(__xludf.DUMMYFUNCTION("""COMPUTED_VALUE"""),30011.0)</f>
        <v>30011</v>
      </c>
      <c r="I34" s="60">
        <f>IFERROR(__xludf.DUMMYFUNCTION("""COMPUTED_VALUE"""),43.22222222222222)</f>
        <v>43.22222222</v>
      </c>
      <c r="J34" s="64">
        <f>IFERROR(__xludf.DUMMYFUNCTION("""COMPUTED_VALUE"""),62.0)</f>
        <v>62</v>
      </c>
      <c r="K34" s="64"/>
      <c r="L34" s="55" t="str">
        <f>IFERROR(__xludf.DUMMYFUNCTION("""COMPUTED_VALUE"""),"Racing")</f>
        <v>Racing</v>
      </c>
      <c r="M34" s="55"/>
      <c r="N34" s="55" t="str">
        <f>IFERROR(__xludf.DUMMYFUNCTION("""COMPUTED_VALUE"""),"Retro Classics: Atari 2600")</f>
        <v>Retro Classics: Atari 2600</v>
      </c>
      <c r="O34" s="55"/>
      <c r="P34" s="55"/>
      <c r="Q34" s="55"/>
      <c r="R34" s="66"/>
      <c r="S34" s="66"/>
    </row>
    <row r="35">
      <c r="A35" s="55" t="str">
        <f>IFERROR(__xludf.DUMMYFUNCTION("""COMPUTED_VALUE"""),"Baseball")</f>
        <v>Baseball</v>
      </c>
      <c r="B35" s="55" t="str">
        <f>IFERROR(__xludf.DUMMYFUNCTION("""COMPUTED_VALUE"""),"Xbox / PC")</f>
        <v>Xbox / PC</v>
      </c>
      <c r="C35" s="55" t="str">
        <f>IFERROR(__xludf.DUMMYFUNCTION("""COMPUTED_VALUE"""),"Yes")</f>
        <v>Yes</v>
      </c>
      <c r="D35" s="56" t="str">
        <f>IFERROR(__xludf.DUMMYFUNCTION("""COMPUTED_VALUE"""),"Active")</f>
        <v>Active</v>
      </c>
      <c r="E35" s="57">
        <f>IFERROR(__xludf.DUMMYFUNCTION("""COMPUTED_VALUE"""),45798.0)</f>
        <v>45798</v>
      </c>
      <c r="F35" s="58"/>
      <c r="G35" s="60">
        <f>IFERROR(__xludf.DUMMYFUNCTION("""COMPUTED_VALUE"""),16.5)</f>
        <v>16.5</v>
      </c>
      <c r="H35" s="63">
        <f>IFERROR(__xludf.DUMMYFUNCTION("""COMPUTED_VALUE"""),32214.0)</f>
        <v>32214</v>
      </c>
      <c r="I35" s="60">
        <f>IFERROR(__xludf.DUMMYFUNCTION("""COMPUTED_VALUE"""),37.19166666666667)</f>
        <v>37.19166667</v>
      </c>
      <c r="J35" s="64">
        <f>IFERROR(__xludf.DUMMYFUNCTION("""COMPUTED_VALUE"""),62.0)</f>
        <v>62</v>
      </c>
      <c r="K35" s="64"/>
      <c r="L35" s="55" t="str">
        <f>IFERROR(__xludf.DUMMYFUNCTION("""COMPUTED_VALUE"""),"Sports")</f>
        <v>Sports</v>
      </c>
      <c r="M35" s="55"/>
      <c r="N35" s="55" t="str">
        <f>IFERROR(__xludf.DUMMYFUNCTION("""COMPUTED_VALUE"""),"Retro Classics: Atari 2600")</f>
        <v>Retro Classics: Atari 2600</v>
      </c>
      <c r="O35" s="55"/>
      <c r="P35" s="55"/>
      <c r="Q35" s="55"/>
      <c r="R35" s="66"/>
      <c r="S35" s="66"/>
    </row>
    <row r="36">
      <c r="A36" s="55" t="str">
        <f>IFERROR(__xludf.DUMMYFUNCTION("""COMPUTED_VALUE"""),"Beamrider")</f>
        <v>Beamrider</v>
      </c>
      <c r="B36" s="55" t="str">
        <f>IFERROR(__xludf.DUMMYFUNCTION("""COMPUTED_VALUE"""),"Xbox / PC")</f>
        <v>Xbox / PC</v>
      </c>
      <c r="C36" s="55" t="str">
        <f>IFERROR(__xludf.DUMMYFUNCTION("""COMPUTED_VALUE"""),"Yes")</f>
        <v>Yes</v>
      </c>
      <c r="D36" s="56" t="str">
        <f>IFERROR(__xludf.DUMMYFUNCTION("""COMPUTED_VALUE"""),"Active")</f>
        <v>Active</v>
      </c>
      <c r="E36" s="57">
        <f>IFERROR(__xludf.DUMMYFUNCTION("""COMPUTED_VALUE"""),45798.0)</f>
        <v>45798</v>
      </c>
      <c r="F36" s="58"/>
      <c r="G36" s="60">
        <f>IFERROR(__xludf.DUMMYFUNCTION("""COMPUTED_VALUE"""),16.5)</f>
        <v>16.5</v>
      </c>
      <c r="H36" s="63">
        <f>IFERROR(__xludf.DUMMYFUNCTION("""COMPUTED_VALUE"""),30705.0)</f>
        <v>30705</v>
      </c>
      <c r="I36" s="60">
        <f>IFERROR(__xludf.DUMMYFUNCTION("""COMPUTED_VALUE"""),41.325)</f>
        <v>41.325</v>
      </c>
      <c r="J36" s="64">
        <f>IFERROR(__xludf.DUMMYFUNCTION("""COMPUTED_VALUE"""),76.0)</f>
        <v>76</v>
      </c>
      <c r="K36" s="64"/>
      <c r="L36" s="55" t="str">
        <f>IFERROR(__xludf.DUMMYFUNCTION("""COMPUTED_VALUE"""),"Shooter")</f>
        <v>Shooter</v>
      </c>
      <c r="M36" s="55"/>
      <c r="N36" s="55" t="str">
        <f>IFERROR(__xludf.DUMMYFUNCTION("""COMPUTED_VALUE"""),"Retro Classics: Atari 2600")</f>
        <v>Retro Classics: Atari 2600</v>
      </c>
      <c r="O36" s="55"/>
      <c r="P36" s="55"/>
      <c r="Q36" s="55"/>
      <c r="R36" s="66"/>
      <c r="S36" s="66"/>
    </row>
    <row r="37">
      <c r="A37" s="55" t="str">
        <f>IFERROR(__xludf.DUMMYFUNCTION("""COMPUTED_VALUE"""),"Bloody Human Freeway")</f>
        <v>Bloody Human Freeway</v>
      </c>
      <c r="B37" s="55" t="str">
        <f>IFERROR(__xludf.DUMMYFUNCTION("""COMPUTED_VALUE"""),"Xbox / PC")</f>
        <v>Xbox / PC</v>
      </c>
      <c r="C37" s="55" t="str">
        <f>IFERROR(__xludf.DUMMYFUNCTION("""COMPUTED_VALUE"""),"Yes")</f>
        <v>Yes</v>
      </c>
      <c r="D37" s="56" t="str">
        <f>IFERROR(__xludf.DUMMYFUNCTION("""COMPUTED_VALUE"""),"Active")</f>
        <v>Active</v>
      </c>
      <c r="E37" s="57">
        <f>IFERROR(__xludf.DUMMYFUNCTION("""COMPUTED_VALUE"""),45798.0)</f>
        <v>45798</v>
      </c>
      <c r="F37" s="58"/>
      <c r="G37" s="60">
        <f>IFERROR(__xludf.DUMMYFUNCTION("""COMPUTED_VALUE"""),16.5)</f>
        <v>16.5</v>
      </c>
      <c r="H37" s="63">
        <f>IFERROR(__xludf.DUMMYFUNCTION("""COMPUTED_VALUE"""),29768.0)</f>
        <v>29768</v>
      </c>
      <c r="I37" s="60">
        <f>IFERROR(__xludf.DUMMYFUNCTION("""COMPUTED_VALUE"""),43.888888888888886)</f>
        <v>43.88888889</v>
      </c>
      <c r="J37" s="64">
        <f>IFERROR(__xludf.DUMMYFUNCTION("""COMPUTED_VALUE"""),55.0)</f>
        <v>55</v>
      </c>
      <c r="K37" s="64"/>
      <c r="L37" s="55" t="str">
        <f>IFERROR(__xludf.DUMMYFUNCTION("""COMPUTED_VALUE"""),"Action")</f>
        <v>Action</v>
      </c>
      <c r="M37" s="55"/>
      <c r="N37" s="55" t="str">
        <f>IFERROR(__xludf.DUMMYFUNCTION("""COMPUTED_VALUE"""),"Retro Classics: Atari 2600")</f>
        <v>Retro Classics: Atari 2600</v>
      </c>
      <c r="O37" s="55"/>
      <c r="P37" s="55"/>
      <c r="Q37" s="55"/>
      <c r="R37" s="66"/>
      <c r="S37" s="66"/>
    </row>
    <row r="38">
      <c r="A38" s="55" t="str">
        <f>IFERROR(__xludf.DUMMYFUNCTION("""COMPUTED_VALUE"""),"Boxing")</f>
        <v>Boxing</v>
      </c>
      <c r="B38" s="55" t="str">
        <f>IFERROR(__xludf.DUMMYFUNCTION("""COMPUTED_VALUE"""),"Xbox / PC")</f>
        <v>Xbox / PC</v>
      </c>
      <c r="C38" s="55" t="str">
        <f>IFERROR(__xludf.DUMMYFUNCTION("""COMPUTED_VALUE"""),"Yes")</f>
        <v>Yes</v>
      </c>
      <c r="D38" s="56" t="str">
        <f>IFERROR(__xludf.DUMMYFUNCTION("""COMPUTED_VALUE"""),"Active")</f>
        <v>Active</v>
      </c>
      <c r="E38" s="57">
        <f>IFERROR(__xludf.DUMMYFUNCTION("""COMPUTED_VALUE"""),45798.0)</f>
        <v>45798</v>
      </c>
      <c r="F38" s="58"/>
      <c r="G38" s="60">
        <f>IFERROR(__xludf.DUMMYFUNCTION("""COMPUTED_VALUE"""),16.5)</f>
        <v>16.5</v>
      </c>
      <c r="H38" s="63">
        <f>IFERROR(__xludf.DUMMYFUNCTION("""COMPUTED_VALUE"""),29403.0)</f>
        <v>29403</v>
      </c>
      <c r="I38" s="60">
        <f>IFERROR(__xludf.DUMMYFUNCTION("""COMPUTED_VALUE"""),44.888888888888886)</f>
        <v>44.88888889</v>
      </c>
      <c r="J38" s="64">
        <f>IFERROR(__xludf.DUMMYFUNCTION("""COMPUTED_VALUE"""),70.0)</f>
        <v>70</v>
      </c>
      <c r="K38" s="64"/>
      <c r="L38" s="55" t="str">
        <f>IFERROR(__xludf.DUMMYFUNCTION("""COMPUTED_VALUE"""),"Sports")</f>
        <v>Sports</v>
      </c>
      <c r="M38" s="55"/>
      <c r="N38" s="55" t="str">
        <f>IFERROR(__xludf.DUMMYFUNCTION("""COMPUTED_VALUE"""),"Retro Classics: Atari 2600")</f>
        <v>Retro Classics: Atari 2600</v>
      </c>
      <c r="O38" s="55"/>
      <c r="P38" s="55"/>
      <c r="Q38" s="55"/>
      <c r="R38" s="66"/>
      <c r="S38" s="66"/>
    </row>
    <row r="39">
      <c r="A39" s="55" t="str">
        <f>IFERROR(__xludf.DUMMYFUNCTION("""COMPUTED_VALUE"""),"Bridge")</f>
        <v>Bridge</v>
      </c>
      <c r="B39" s="55" t="str">
        <f>IFERROR(__xludf.DUMMYFUNCTION("""COMPUTED_VALUE"""),"Xbox / PC")</f>
        <v>Xbox / PC</v>
      </c>
      <c r="C39" s="55" t="str">
        <f>IFERROR(__xludf.DUMMYFUNCTION("""COMPUTED_VALUE"""),"Yes")</f>
        <v>Yes</v>
      </c>
      <c r="D39" s="56" t="str">
        <f>IFERROR(__xludf.DUMMYFUNCTION("""COMPUTED_VALUE"""),"Active")</f>
        <v>Active</v>
      </c>
      <c r="E39" s="57">
        <f>IFERROR(__xludf.DUMMYFUNCTION("""COMPUTED_VALUE"""),45798.0)</f>
        <v>45798</v>
      </c>
      <c r="F39" s="58"/>
      <c r="G39" s="60">
        <f>IFERROR(__xludf.DUMMYFUNCTION("""COMPUTED_VALUE"""),16.5)</f>
        <v>16.5</v>
      </c>
      <c r="H39" s="63">
        <f>IFERROR(__xludf.DUMMYFUNCTION("""COMPUTED_VALUE"""),29556.0)</f>
        <v>29556</v>
      </c>
      <c r="I39" s="60">
        <f>IFERROR(__xludf.DUMMYFUNCTION("""COMPUTED_VALUE"""),44.47222222222222)</f>
        <v>44.47222222</v>
      </c>
      <c r="J39" s="64">
        <f>IFERROR(__xludf.DUMMYFUNCTION("""COMPUTED_VALUE"""),68.0)</f>
        <v>68</v>
      </c>
      <c r="K39" s="64"/>
      <c r="L39" s="55" t="str">
        <f>IFERROR(__xludf.DUMMYFUNCTION("""COMPUTED_VALUE"""),"Strategy")</f>
        <v>Strategy</v>
      </c>
      <c r="M39" s="55"/>
      <c r="N39" s="55" t="str">
        <f>IFERROR(__xludf.DUMMYFUNCTION("""COMPUTED_VALUE"""),"Retro Classics: Atari 2600")</f>
        <v>Retro Classics: Atari 2600</v>
      </c>
      <c r="O39" s="55"/>
      <c r="P39" s="55"/>
      <c r="Q39" s="55"/>
      <c r="R39" s="66"/>
      <c r="S39" s="66"/>
    </row>
    <row r="40">
      <c r="A40" s="66" t="str">
        <f>IFERROR(__xludf.DUMMYFUNCTION("""COMPUTED_VALUE"""),"Caesar II")</f>
        <v>Caesar II</v>
      </c>
      <c r="B40" s="66" t="str">
        <f>IFERROR(__xludf.DUMMYFUNCTION("""COMPUTED_VALUE"""),"Xbox / PC")</f>
        <v>Xbox / PC</v>
      </c>
      <c r="C40" s="66" t="str">
        <f>IFERROR(__xludf.DUMMYFUNCTION("""COMPUTED_VALUE"""),"Yes")</f>
        <v>Yes</v>
      </c>
      <c r="D40" s="66" t="str">
        <f>IFERROR(__xludf.DUMMYFUNCTION("""COMPUTED_VALUE"""),"Active")</f>
        <v>Active</v>
      </c>
      <c r="E40" s="15">
        <f>IFERROR(__xludf.DUMMYFUNCTION("""COMPUTED_VALUE"""),45798.0)</f>
        <v>45798</v>
      </c>
      <c r="F40" s="66"/>
      <c r="G40" s="18">
        <f>IFERROR(__xludf.DUMMYFUNCTION("""COMPUTED_VALUE"""),16.5)</f>
        <v>16.5</v>
      </c>
      <c r="H40" s="15">
        <f>IFERROR(__xludf.DUMMYFUNCTION("""COMPUTED_VALUE"""),34956.0)</f>
        <v>34956</v>
      </c>
      <c r="I40" s="18">
        <f>IFERROR(__xludf.DUMMYFUNCTION("""COMPUTED_VALUE"""),29.68611111111111)</f>
        <v>29.68611111</v>
      </c>
      <c r="J40" s="22">
        <f>IFERROR(__xludf.DUMMYFUNCTION("""COMPUTED_VALUE"""),82.0)</f>
        <v>82</v>
      </c>
      <c r="K40" s="22">
        <f>IFERROR(__xludf.DUMMYFUNCTION("""COMPUTED_VALUE"""),7.0)</f>
        <v>7</v>
      </c>
      <c r="L40" s="66" t="str">
        <f>IFERROR(__xludf.DUMMYFUNCTION("""COMPUTED_VALUE"""),"Strategy")</f>
        <v>Strategy</v>
      </c>
      <c r="M40" s="66"/>
      <c r="N40" s="66" t="str">
        <f>IFERROR(__xludf.DUMMYFUNCTION("""COMPUTED_VALUE"""),"Retro Classics: DOS, Sierra Entertainment (defunct) publisher")</f>
        <v>Retro Classics: DOS, Sierra Entertainment (defunct) publisher</v>
      </c>
      <c r="O40" s="66"/>
      <c r="P40" s="66"/>
      <c r="Q40" s="66"/>
      <c r="R40" s="66"/>
      <c r="S40" s="66"/>
    </row>
    <row r="41">
      <c r="A41" s="66" t="str">
        <f>IFERROR(__xludf.DUMMYFUNCTION("""COMPUTED_VALUE"""),"Checkers")</f>
        <v>Checkers</v>
      </c>
      <c r="B41" s="66" t="str">
        <f>IFERROR(__xludf.DUMMYFUNCTION("""COMPUTED_VALUE"""),"Xbox / PC")</f>
        <v>Xbox / PC</v>
      </c>
      <c r="C41" s="66" t="str">
        <f>IFERROR(__xludf.DUMMYFUNCTION("""COMPUTED_VALUE"""),"Yes")</f>
        <v>Yes</v>
      </c>
      <c r="D41" s="66" t="str">
        <f>IFERROR(__xludf.DUMMYFUNCTION("""COMPUTED_VALUE"""),"Active")</f>
        <v>Active</v>
      </c>
      <c r="E41" s="15">
        <f>IFERROR(__xludf.DUMMYFUNCTION("""COMPUTED_VALUE"""),45798.0)</f>
        <v>45798</v>
      </c>
      <c r="F41" s="66"/>
      <c r="G41" s="18">
        <f>IFERROR(__xludf.DUMMYFUNCTION("""COMPUTED_VALUE"""),16.5)</f>
        <v>16.5</v>
      </c>
      <c r="H41" s="15">
        <f>IFERROR(__xludf.DUMMYFUNCTION("""COMPUTED_VALUE"""),29403.0)</f>
        <v>29403</v>
      </c>
      <c r="I41" s="18">
        <f>IFERROR(__xludf.DUMMYFUNCTION("""COMPUTED_VALUE"""),44.888888888888886)</f>
        <v>44.88888889</v>
      </c>
      <c r="J41" s="22">
        <f>IFERROR(__xludf.DUMMYFUNCTION("""COMPUTED_VALUE"""),58.0)</f>
        <v>58</v>
      </c>
      <c r="K41" s="22"/>
      <c r="L41" s="66" t="str">
        <f>IFERROR(__xludf.DUMMYFUNCTION("""COMPUTED_VALUE"""),"Strategy")</f>
        <v>Strategy</v>
      </c>
      <c r="M41" s="66"/>
      <c r="N41" s="66" t="str">
        <f>IFERROR(__xludf.DUMMYFUNCTION("""COMPUTED_VALUE"""),"Retro Classics: Atari 2600")</f>
        <v>Retro Classics: Atari 2600</v>
      </c>
      <c r="O41" s="66"/>
      <c r="P41" s="66"/>
      <c r="Q41" s="66"/>
      <c r="R41" s="66"/>
      <c r="S41" s="66"/>
    </row>
    <row r="42">
      <c r="A42" s="66" t="str">
        <f>IFERROR(__xludf.DUMMYFUNCTION("""COMPUTED_VALUE"""),"Chopper Command")</f>
        <v>Chopper Command</v>
      </c>
      <c r="B42" s="66" t="str">
        <f>IFERROR(__xludf.DUMMYFUNCTION("""COMPUTED_VALUE"""),"Xbox / PC")</f>
        <v>Xbox / PC</v>
      </c>
      <c r="C42" s="66" t="str">
        <f>IFERROR(__xludf.DUMMYFUNCTION("""COMPUTED_VALUE"""),"Yes")</f>
        <v>Yes</v>
      </c>
      <c r="D42" s="66" t="str">
        <f>IFERROR(__xludf.DUMMYFUNCTION("""COMPUTED_VALUE"""),"Active")</f>
        <v>Active</v>
      </c>
      <c r="E42" s="15">
        <f>IFERROR(__xludf.DUMMYFUNCTION("""COMPUTED_VALUE"""),45798.0)</f>
        <v>45798</v>
      </c>
      <c r="F42" s="66"/>
      <c r="G42" s="18">
        <f>IFERROR(__xludf.DUMMYFUNCTION("""COMPUTED_VALUE"""),16.5)</f>
        <v>16.5</v>
      </c>
      <c r="H42" s="15">
        <f>IFERROR(__xludf.DUMMYFUNCTION("""COMPUTED_VALUE"""),30072.0)</f>
        <v>30072</v>
      </c>
      <c r="I42" s="18">
        <f>IFERROR(__xludf.DUMMYFUNCTION("""COMPUTED_VALUE"""),43.05555555555556)</f>
        <v>43.05555556</v>
      </c>
      <c r="J42" s="22">
        <f>IFERROR(__xludf.DUMMYFUNCTION("""COMPUTED_VALUE"""),76.0)</f>
        <v>76</v>
      </c>
      <c r="K42" s="22"/>
      <c r="L42" s="66" t="str">
        <f>IFERROR(__xludf.DUMMYFUNCTION("""COMPUTED_VALUE"""),"Shooter")</f>
        <v>Shooter</v>
      </c>
      <c r="M42" s="66"/>
      <c r="N42" s="66" t="str">
        <f>IFERROR(__xludf.DUMMYFUNCTION("""COMPUTED_VALUE"""),"Retro Classics: Atari 2600")</f>
        <v>Retro Classics: Atari 2600</v>
      </c>
      <c r="O42" s="66"/>
      <c r="P42" s="66"/>
      <c r="Q42" s="66"/>
      <c r="R42" s="66"/>
      <c r="S42" s="66"/>
    </row>
    <row r="43">
      <c r="A43" s="66" t="str">
        <f>IFERROR(__xludf.DUMMYFUNCTION("""COMPUTED_VALUE"""),"Commando")</f>
        <v>Commando</v>
      </c>
      <c r="B43" s="66" t="str">
        <f>IFERROR(__xludf.DUMMYFUNCTION("""COMPUTED_VALUE"""),"Xbox / PC")</f>
        <v>Xbox / PC</v>
      </c>
      <c r="C43" s="66" t="str">
        <f>IFERROR(__xludf.DUMMYFUNCTION("""COMPUTED_VALUE"""),"Yes")</f>
        <v>Yes</v>
      </c>
      <c r="D43" s="66" t="str">
        <f>IFERROR(__xludf.DUMMYFUNCTION("""COMPUTED_VALUE"""),"Active")</f>
        <v>Active</v>
      </c>
      <c r="E43" s="15">
        <f>IFERROR(__xludf.DUMMYFUNCTION("""COMPUTED_VALUE"""),45798.0)</f>
        <v>45798</v>
      </c>
      <c r="F43" s="66"/>
      <c r="G43" s="18">
        <f>IFERROR(__xludf.DUMMYFUNCTION("""COMPUTED_VALUE"""),16.5)</f>
        <v>16.5</v>
      </c>
      <c r="H43" s="15">
        <f>IFERROR(__xludf.DUMMYFUNCTION("""COMPUTED_VALUE"""),30393.0)</f>
        <v>30393</v>
      </c>
      <c r="I43" s="18">
        <f>IFERROR(__xludf.DUMMYFUNCTION("""COMPUTED_VALUE"""),42.175)</f>
        <v>42.175</v>
      </c>
      <c r="J43" s="22">
        <f>IFERROR(__xludf.DUMMYFUNCTION("""COMPUTED_VALUE"""),56.0)</f>
        <v>56</v>
      </c>
      <c r="K43" s="22"/>
      <c r="L43" s="66" t="str">
        <f>IFERROR(__xludf.DUMMYFUNCTION("""COMPUTED_VALUE"""),"Shooter")</f>
        <v>Shooter</v>
      </c>
      <c r="M43" s="66"/>
      <c r="N43" s="66" t="str">
        <f>IFERROR(__xludf.DUMMYFUNCTION("""COMPUTED_VALUE"""),"Retro Classics: Atari 2600")</f>
        <v>Retro Classics: Atari 2600</v>
      </c>
      <c r="O43" s="66"/>
      <c r="P43" s="66"/>
      <c r="Q43" s="66"/>
      <c r="R43" s="66"/>
      <c r="S43" s="66"/>
    </row>
    <row r="44">
      <c r="A44" s="66" t="str">
        <f>IFERROR(__xludf.DUMMYFUNCTION("""COMPUTED_VALUE"""),"Conquests of the Longbow: The Legend of Robin Hood")</f>
        <v>Conquests of the Longbow: The Legend of Robin Hood</v>
      </c>
      <c r="B44" s="66" t="str">
        <f>IFERROR(__xludf.DUMMYFUNCTION("""COMPUTED_VALUE"""),"Xbox / PC")</f>
        <v>Xbox / PC</v>
      </c>
      <c r="C44" s="66" t="str">
        <f>IFERROR(__xludf.DUMMYFUNCTION("""COMPUTED_VALUE"""),"Yes")</f>
        <v>Yes</v>
      </c>
      <c r="D44" s="66" t="str">
        <f>IFERROR(__xludf.DUMMYFUNCTION("""COMPUTED_VALUE"""),"Active")</f>
        <v>Active</v>
      </c>
      <c r="E44" s="15">
        <f>IFERROR(__xludf.DUMMYFUNCTION("""COMPUTED_VALUE"""),45798.0)</f>
        <v>45798</v>
      </c>
      <c r="F44" s="66"/>
      <c r="G44" s="18">
        <f>IFERROR(__xludf.DUMMYFUNCTION("""COMPUTED_VALUE"""),16.5)</f>
        <v>16.5</v>
      </c>
      <c r="H44" s="15">
        <f>IFERROR(__xludf.DUMMYFUNCTION("""COMPUTED_VALUE"""),33616.0)</f>
        <v>33616</v>
      </c>
      <c r="I44" s="18">
        <f>IFERROR(__xludf.DUMMYFUNCTION("""COMPUTED_VALUE"""),33.355555555555554)</f>
        <v>33.35555556</v>
      </c>
      <c r="J44" s="22">
        <f>IFERROR(__xludf.DUMMYFUNCTION("""COMPUTED_VALUE"""),91.0)</f>
        <v>91</v>
      </c>
      <c r="K44" s="22">
        <f>IFERROR(__xludf.DUMMYFUNCTION("""COMPUTED_VALUE"""),6.0)</f>
        <v>6</v>
      </c>
      <c r="L44" s="66" t="str">
        <f>IFERROR(__xludf.DUMMYFUNCTION("""COMPUTED_VALUE"""),"Action‑Adventure")</f>
        <v>Action‑Adventure</v>
      </c>
      <c r="M44" s="66"/>
      <c r="N44" s="66" t="str">
        <f>IFERROR(__xludf.DUMMYFUNCTION("""COMPUTED_VALUE"""),"Retro Classics: DOS, Sierra Entertainment (defunct) publisher")</f>
        <v>Retro Classics: DOS, Sierra Entertainment (defunct) publisher</v>
      </c>
      <c r="O44" s="66"/>
      <c r="P44" s="66"/>
      <c r="Q44" s="66"/>
      <c r="R44" s="66"/>
      <c r="S44" s="66"/>
    </row>
    <row r="45">
      <c r="A45" s="66" t="str">
        <f>IFERROR(__xludf.DUMMYFUNCTION("""COMPUTED_VALUE"""),"Cosmic Ark")</f>
        <v>Cosmic Ark</v>
      </c>
      <c r="B45" s="66" t="str">
        <f>IFERROR(__xludf.DUMMYFUNCTION("""COMPUTED_VALUE"""),"Xbox / PC")</f>
        <v>Xbox / PC</v>
      </c>
      <c r="C45" s="66" t="str">
        <f>IFERROR(__xludf.DUMMYFUNCTION("""COMPUTED_VALUE"""),"Yes")</f>
        <v>Yes</v>
      </c>
      <c r="D45" s="66" t="str">
        <f>IFERROR(__xludf.DUMMYFUNCTION("""COMPUTED_VALUE"""),"Active")</f>
        <v>Active</v>
      </c>
      <c r="E45" s="15">
        <f>IFERROR(__xludf.DUMMYFUNCTION("""COMPUTED_VALUE"""),45798.0)</f>
        <v>45798</v>
      </c>
      <c r="F45" s="66"/>
      <c r="G45" s="18">
        <f>IFERROR(__xludf.DUMMYFUNCTION("""COMPUTED_VALUE"""),16.5)</f>
        <v>16.5</v>
      </c>
      <c r="H45" s="15">
        <f>IFERROR(__xludf.DUMMYFUNCTION("""COMPUTED_VALUE"""),30164.0)</f>
        <v>30164</v>
      </c>
      <c r="I45" s="18">
        <f>IFERROR(__xludf.DUMMYFUNCTION("""COMPUTED_VALUE"""),42.80555555555556)</f>
        <v>42.80555556</v>
      </c>
      <c r="J45" s="22">
        <f>IFERROR(__xludf.DUMMYFUNCTION("""COMPUTED_VALUE"""),71.0)</f>
        <v>71</v>
      </c>
      <c r="K45" s="22"/>
      <c r="L45" s="66" t="str">
        <f>IFERROR(__xludf.DUMMYFUNCTION("""COMPUTED_VALUE"""),"Action‑Adventure")</f>
        <v>Action‑Adventure</v>
      </c>
      <c r="M45" s="66"/>
      <c r="N45" s="66" t="str">
        <f>IFERROR(__xludf.DUMMYFUNCTION("""COMPUTED_VALUE"""),"Retro Classics: Atari 2600")</f>
        <v>Retro Classics: Atari 2600</v>
      </c>
      <c r="O45" s="66"/>
      <c r="P45" s="66"/>
      <c r="Q45" s="66"/>
      <c r="R45" s="66"/>
      <c r="S45" s="66"/>
    </row>
    <row r="46">
      <c r="A46" s="66" t="str">
        <f>IFERROR(__xludf.DUMMYFUNCTION("""COMPUTED_VALUE"""),"Crackpots")</f>
        <v>Crackpots</v>
      </c>
      <c r="B46" s="66" t="str">
        <f>IFERROR(__xludf.DUMMYFUNCTION("""COMPUTED_VALUE"""),"Xbox / PC")</f>
        <v>Xbox / PC</v>
      </c>
      <c r="C46" s="66" t="str">
        <f>IFERROR(__xludf.DUMMYFUNCTION("""COMPUTED_VALUE"""),"Yes")</f>
        <v>Yes</v>
      </c>
      <c r="D46" s="66" t="str">
        <f>IFERROR(__xludf.DUMMYFUNCTION("""COMPUTED_VALUE"""),"Active")</f>
        <v>Active</v>
      </c>
      <c r="E46" s="15">
        <f>IFERROR(__xludf.DUMMYFUNCTION("""COMPUTED_VALUE"""),45798.0)</f>
        <v>45798</v>
      </c>
      <c r="F46" s="66"/>
      <c r="G46" s="18">
        <f>IFERROR(__xludf.DUMMYFUNCTION("""COMPUTED_VALUE"""),16.5)</f>
        <v>16.5</v>
      </c>
      <c r="H46" s="15">
        <f>IFERROR(__xludf.DUMMYFUNCTION("""COMPUTED_VALUE"""),30452.0)</f>
        <v>30452</v>
      </c>
      <c r="I46" s="18">
        <f>IFERROR(__xludf.DUMMYFUNCTION("""COMPUTED_VALUE"""),42.013888888888886)</f>
        <v>42.01388889</v>
      </c>
      <c r="J46" s="22">
        <f>IFERROR(__xludf.DUMMYFUNCTION("""COMPUTED_VALUE"""),65.0)</f>
        <v>65</v>
      </c>
      <c r="K46" s="22">
        <f>IFERROR(__xludf.DUMMYFUNCTION("""COMPUTED_VALUE"""),2.0)</f>
        <v>2</v>
      </c>
      <c r="L46" s="66" t="str">
        <f>IFERROR(__xludf.DUMMYFUNCTION("""COMPUTED_VALUE"""),"Shooter")</f>
        <v>Shooter</v>
      </c>
      <c r="M46" s="66"/>
      <c r="N46" s="66" t="str">
        <f>IFERROR(__xludf.DUMMYFUNCTION("""COMPUTED_VALUE"""),"Retro Classics: Atari 2600")</f>
        <v>Retro Classics: Atari 2600</v>
      </c>
      <c r="O46" s="66"/>
      <c r="P46" s="66"/>
      <c r="Q46" s="66"/>
      <c r="R46" s="66"/>
      <c r="S46" s="66"/>
    </row>
    <row r="47">
      <c r="A47" s="66" t="str">
        <f>IFERROR(__xludf.DUMMYFUNCTION("""COMPUTED_VALUE"""),"Decathlon")</f>
        <v>Decathlon</v>
      </c>
      <c r="B47" s="66" t="str">
        <f>IFERROR(__xludf.DUMMYFUNCTION("""COMPUTED_VALUE"""),"Xbox / PC")</f>
        <v>Xbox / PC</v>
      </c>
      <c r="C47" s="66" t="str">
        <f>IFERROR(__xludf.DUMMYFUNCTION("""COMPUTED_VALUE"""),"Yes")</f>
        <v>Yes</v>
      </c>
      <c r="D47" s="66" t="str">
        <f>IFERROR(__xludf.DUMMYFUNCTION("""COMPUTED_VALUE"""),"Active")</f>
        <v>Active</v>
      </c>
      <c r="E47" s="15">
        <f>IFERROR(__xludf.DUMMYFUNCTION("""COMPUTED_VALUE"""),45798.0)</f>
        <v>45798</v>
      </c>
      <c r="F47" s="66"/>
      <c r="G47" s="18">
        <f>IFERROR(__xludf.DUMMYFUNCTION("""COMPUTED_VALUE"""),16.5)</f>
        <v>16.5</v>
      </c>
      <c r="H47" s="15">
        <f>IFERROR(__xludf.DUMMYFUNCTION("""COMPUTED_VALUE"""),30393.0)</f>
        <v>30393</v>
      </c>
      <c r="I47" s="18">
        <f>IFERROR(__xludf.DUMMYFUNCTION("""COMPUTED_VALUE"""),42.175)</f>
        <v>42.175</v>
      </c>
      <c r="J47" s="22">
        <f>IFERROR(__xludf.DUMMYFUNCTION("""COMPUTED_VALUE"""),65.0)</f>
        <v>65</v>
      </c>
      <c r="K47" s="22"/>
      <c r="L47" s="66" t="str">
        <f>IFERROR(__xludf.DUMMYFUNCTION("""COMPUTED_VALUE"""),"Sports")</f>
        <v>Sports</v>
      </c>
      <c r="M47" s="66"/>
      <c r="N47" s="66" t="str">
        <f>IFERROR(__xludf.DUMMYFUNCTION("""COMPUTED_VALUE"""),"Retro Classics: Atari 2600")</f>
        <v>Retro Classics: Atari 2600</v>
      </c>
      <c r="O47" s="66"/>
      <c r="P47" s="66"/>
      <c r="Q47" s="66"/>
      <c r="R47" s="66"/>
      <c r="S47" s="66"/>
    </row>
    <row r="48">
      <c r="A48" s="66" t="str">
        <f>IFERROR(__xludf.DUMMYFUNCTION("""COMPUTED_VALUE"""),"Demon Attack")</f>
        <v>Demon Attack</v>
      </c>
      <c r="B48" s="66" t="str">
        <f>IFERROR(__xludf.DUMMYFUNCTION("""COMPUTED_VALUE"""),"Xbox / PC")</f>
        <v>Xbox / PC</v>
      </c>
      <c r="C48" s="66" t="str">
        <f>IFERROR(__xludf.DUMMYFUNCTION("""COMPUTED_VALUE"""),"Yes")</f>
        <v>Yes</v>
      </c>
      <c r="D48" s="66" t="str">
        <f>IFERROR(__xludf.DUMMYFUNCTION("""COMPUTED_VALUE"""),"Active")</f>
        <v>Active</v>
      </c>
      <c r="E48" s="15">
        <f>IFERROR(__xludf.DUMMYFUNCTION("""COMPUTED_VALUE"""),45798.0)</f>
        <v>45798</v>
      </c>
      <c r="F48" s="66"/>
      <c r="G48" s="18">
        <f>IFERROR(__xludf.DUMMYFUNCTION("""COMPUTED_VALUE"""),16.5)</f>
        <v>16.5</v>
      </c>
      <c r="H48" s="15">
        <f>IFERROR(__xludf.DUMMYFUNCTION("""COMPUTED_VALUE"""),32255.0)</f>
        <v>32255</v>
      </c>
      <c r="I48" s="18">
        <f>IFERROR(__xludf.DUMMYFUNCTION("""COMPUTED_VALUE"""),37.080555555555556)</f>
        <v>37.08055556</v>
      </c>
      <c r="J48" s="22">
        <f>IFERROR(__xludf.DUMMYFUNCTION("""COMPUTED_VALUE"""),77.0)</f>
        <v>77</v>
      </c>
      <c r="K48" s="22"/>
      <c r="L48" s="66" t="str">
        <f>IFERROR(__xludf.DUMMYFUNCTION("""COMPUTED_VALUE"""),"Shooter")</f>
        <v>Shooter</v>
      </c>
      <c r="M48" s="66"/>
      <c r="N48" s="66" t="str">
        <f>IFERROR(__xludf.DUMMYFUNCTION("""COMPUTED_VALUE"""),"Retro Classics: Atari 2600")</f>
        <v>Retro Classics: Atari 2600</v>
      </c>
      <c r="O48" s="66"/>
      <c r="P48" s="66"/>
      <c r="Q48" s="66"/>
      <c r="R48" s="66"/>
      <c r="S48" s="66"/>
    </row>
    <row r="49">
      <c r="A49" s="66" t="str">
        <f>IFERROR(__xludf.DUMMYFUNCTION("""COMPUTED_VALUE"""),"Dolphin")</f>
        <v>Dolphin</v>
      </c>
      <c r="B49" s="66" t="str">
        <f>IFERROR(__xludf.DUMMYFUNCTION("""COMPUTED_VALUE"""),"Xbox / PC")</f>
        <v>Xbox / PC</v>
      </c>
      <c r="C49" s="66" t="str">
        <f>IFERROR(__xludf.DUMMYFUNCTION("""COMPUTED_VALUE"""),"Yes")</f>
        <v>Yes</v>
      </c>
      <c r="D49" s="66" t="str">
        <f>IFERROR(__xludf.DUMMYFUNCTION("""COMPUTED_VALUE"""),"Active")</f>
        <v>Active</v>
      </c>
      <c r="E49" s="15">
        <f>IFERROR(__xludf.DUMMYFUNCTION("""COMPUTED_VALUE"""),45798.0)</f>
        <v>45798</v>
      </c>
      <c r="F49" s="66"/>
      <c r="G49" s="18">
        <f>IFERROR(__xludf.DUMMYFUNCTION("""COMPUTED_VALUE"""),16.5)</f>
        <v>16.5</v>
      </c>
      <c r="H49" s="15">
        <f>IFERROR(__xludf.DUMMYFUNCTION("""COMPUTED_VALUE"""),30677.0)</f>
        <v>30677</v>
      </c>
      <c r="I49" s="18">
        <f>IFERROR(__xludf.DUMMYFUNCTION("""COMPUTED_VALUE"""),41.4)</f>
        <v>41.4</v>
      </c>
      <c r="J49" s="22">
        <f>IFERROR(__xludf.DUMMYFUNCTION("""COMPUTED_VALUE"""),65.0)</f>
        <v>65</v>
      </c>
      <c r="K49" s="22"/>
      <c r="L49" s="66" t="str">
        <f>IFERROR(__xludf.DUMMYFUNCTION("""COMPUTED_VALUE"""),"Action")</f>
        <v>Action</v>
      </c>
      <c r="M49" s="66"/>
      <c r="N49" s="66" t="str">
        <f>IFERROR(__xludf.DUMMYFUNCTION("""COMPUTED_VALUE"""),"Retro Classics: Atari 2600")</f>
        <v>Retro Classics: Atari 2600</v>
      </c>
      <c r="O49" s="66"/>
      <c r="P49" s="66"/>
      <c r="Q49" s="66"/>
      <c r="R49" s="66"/>
      <c r="S49" s="66"/>
    </row>
    <row r="50">
      <c r="A50" s="66" t="str">
        <f>IFERROR(__xludf.DUMMYFUNCTION("""COMPUTED_VALUE"""),"Dragster")</f>
        <v>Dragster</v>
      </c>
      <c r="B50" s="66" t="str">
        <f>IFERROR(__xludf.DUMMYFUNCTION("""COMPUTED_VALUE"""),"Xbox / PC")</f>
        <v>Xbox / PC</v>
      </c>
      <c r="C50" s="66" t="str">
        <f>IFERROR(__xludf.DUMMYFUNCTION("""COMPUTED_VALUE"""),"Yes")</f>
        <v>Yes</v>
      </c>
      <c r="D50" s="66" t="str">
        <f>IFERROR(__xludf.DUMMYFUNCTION("""COMPUTED_VALUE"""),"Active")</f>
        <v>Active</v>
      </c>
      <c r="E50" s="15">
        <f>IFERROR(__xludf.DUMMYFUNCTION("""COMPUTED_VALUE"""),45798.0)</f>
        <v>45798</v>
      </c>
      <c r="F50" s="66"/>
      <c r="G50" s="18">
        <f>IFERROR(__xludf.DUMMYFUNCTION("""COMPUTED_VALUE"""),16.5)</f>
        <v>16.5</v>
      </c>
      <c r="H50" s="15">
        <f>IFERROR(__xludf.DUMMYFUNCTION("""COMPUTED_VALUE"""),29403.0)</f>
        <v>29403</v>
      </c>
      <c r="I50" s="18">
        <f>IFERROR(__xludf.DUMMYFUNCTION("""COMPUTED_VALUE"""),44.888888888888886)</f>
        <v>44.88888889</v>
      </c>
      <c r="J50" s="22">
        <f>IFERROR(__xludf.DUMMYFUNCTION("""COMPUTED_VALUE"""),45.0)</f>
        <v>45</v>
      </c>
      <c r="K50" s="22"/>
      <c r="L50" s="66" t="str">
        <f>IFERROR(__xludf.DUMMYFUNCTION("""COMPUTED_VALUE"""),"Racing")</f>
        <v>Racing</v>
      </c>
      <c r="M50" s="66"/>
      <c r="N50" s="66" t="str">
        <f>IFERROR(__xludf.DUMMYFUNCTION("""COMPUTED_VALUE"""),"Retro Classics: Atari 2600")</f>
        <v>Retro Classics: Atari 2600</v>
      </c>
      <c r="O50" s="66"/>
      <c r="P50" s="66"/>
      <c r="Q50" s="66"/>
      <c r="R50" s="66"/>
      <c r="S50" s="66"/>
    </row>
    <row r="51">
      <c r="A51" s="66" t="str">
        <f>IFERROR(__xludf.DUMMYFUNCTION("""COMPUTED_VALUE"""),"Enduro")</f>
        <v>Enduro</v>
      </c>
      <c r="B51" s="66" t="str">
        <f>IFERROR(__xludf.DUMMYFUNCTION("""COMPUTED_VALUE"""),"Xbox / PC")</f>
        <v>Xbox / PC</v>
      </c>
      <c r="C51" s="66" t="str">
        <f>IFERROR(__xludf.DUMMYFUNCTION("""COMPUTED_VALUE"""),"Yes")</f>
        <v>Yes</v>
      </c>
      <c r="D51" s="66" t="str">
        <f>IFERROR(__xludf.DUMMYFUNCTION("""COMPUTED_VALUE"""),"Active")</f>
        <v>Active</v>
      </c>
      <c r="E51" s="15">
        <f>IFERROR(__xludf.DUMMYFUNCTION("""COMPUTED_VALUE"""),45798.0)</f>
        <v>45798</v>
      </c>
      <c r="F51" s="66"/>
      <c r="G51" s="18">
        <f>IFERROR(__xludf.DUMMYFUNCTION("""COMPUTED_VALUE"""),16.5)</f>
        <v>16.5</v>
      </c>
      <c r="H51" s="15">
        <f>IFERROR(__xludf.DUMMYFUNCTION("""COMPUTED_VALUE"""),30348.0)</f>
        <v>30348</v>
      </c>
      <c r="I51" s="18">
        <f>IFERROR(__xludf.DUMMYFUNCTION("""COMPUTED_VALUE"""),42.30555555555556)</f>
        <v>42.30555556</v>
      </c>
      <c r="J51" s="22">
        <f>IFERROR(__xludf.DUMMYFUNCTION("""COMPUTED_VALUE"""),76.0)</f>
        <v>76</v>
      </c>
      <c r="K51" s="22">
        <f>IFERROR(__xludf.DUMMYFUNCTION("""COMPUTED_VALUE"""),1.0)</f>
        <v>1</v>
      </c>
      <c r="L51" s="66" t="str">
        <f>IFERROR(__xludf.DUMMYFUNCTION("""COMPUTED_VALUE"""),"Racing")</f>
        <v>Racing</v>
      </c>
      <c r="M51" s="66"/>
      <c r="N51" s="66" t="str">
        <f>IFERROR(__xludf.DUMMYFUNCTION("""COMPUTED_VALUE"""),"Retro Classics: Atari 2600")</f>
        <v>Retro Classics: Atari 2600</v>
      </c>
      <c r="O51" s="66"/>
      <c r="P51" s="66"/>
      <c r="Q51" s="66"/>
      <c r="R51" s="66"/>
      <c r="S51" s="66"/>
    </row>
    <row r="52">
      <c r="A52" s="66" t="str">
        <f>IFERROR(__xludf.DUMMYFUNCTION("""COMPUTED_VALUE"""),"Fathom")</f>
        <v>Fathom</v>
      </c>
      <c r="B52" s="66" t="str">
        <f>IFERROR(__xludf.DUMMYFUNCTION("""COMPUTED_VALUE"""),"Xbox / PC")</f>
        <v>Xbox / PC</v>
      </c>
      <c r="C52" s="66" t="str">
        <f>IFERROR(__xludf.DUMMYFUNCTION("""COMPUTED_VALUE"""),"Yes")</f>
        <v>Yes</v>
      </c>
      <c r="D52" s="66" t="str">
        <f>IFERROR(__xludf.DUMMYFUNCTION("""COMPUTED_VALUE"""),"Active")</f>
        <v>Active</v>
      </c>
      <c r="E52" s="15">
        <f>IFERROR(__xludf.DUMMYFUNCTION("""COMPUTED_VALUE"""),45798.0)</f>
        <v>45798</v>
      </c>
      <c r="F52" s="66"/>
      <c r="G52" s="18">
        <f>IFERROR(__xludf.DUMMYFUNCTION("""COMPUTED_VALUE"""),16.5)</f>
        <v>16.5</v>
      </c>
      <c r="H52" s="15">
        <f>IFERROR(__xludf.DUMMYFUNCTION("""COMPUTED_VALUE"""),30529.0)</f>
        <v>30529</v>
      </c>
      <c r="I52" s="18">
        <f>IFERROR(__xludf.DUMMYFUNCTION("""COMPUTED_VALUE"""),41.80555555555556)</f>
        <v>41.80555556</v>
      </c>
      <c r="J52" s="22">
        <f>IFERROR(__xludf.DUMMYFUNCTION("""COMPUTED_VALUE"""),74.0)</f>
        <v>74</v>
      </c>
      <c r="K52" s="22"/>
      <c r="L52" s="66" t="str">
        <f>IFERROR(__xludf.DUMMYFUNCTION("""COMPUTED_VALUE"""),"Action‑Adventure")</f>
        <v>Action‑Adventure</v>
      </c>
      <c r="M52" s="66"/>
      <c r="N52" s="66" t="str">
        <f>IFERROR(__xludf.DUMMYFUNCTION("""COMPUTED_VALUE"""),"Retro Classics: Atari 2600")</f>
        <v>Retro Classics: Atari 2600</v>
      </c>
      <c r="O52" s="66"/>
      <c r="P52" s="66"/>
      <c r="Q52" s="66"/>
      <c r="R52" s="66"/>
      <c r="S52" s="66"/>
    </row>
    <row r="53">
      <c r="A53" s="66" t="str">
        <f>IFERROR(__xludf.DUMMYFUNCTION("""COMPUTED_VALUE"""),"Fire Fighter")</f>
        <v>Fire Fighter</v>
      </c>
      <c r="B53" s="66" t="str">
        <f>IFERROR(__xludf.DUMMYFUNCTION("""COMPUTED_VALUE"""),"Xbox / PC")</f>
        <v>Xbox / PC</v>
      </c>
      <c r="C53" s="66" t="str">
        <f>IFERROR(__xludf.DUMMYFUNCTION("""COMPUTED_VALUE"""),"Yes")</f>
        <v>Yes</v>
      </c>
      <c r="D53" s="66" t="str">
        <f>IFERROR(__xludf.DUMMYFUNCTION("""COMPUTED_VALUE"""),"Active")</f>
        <v>Active</v>
      </c>
      <c r="E53" s="15">
        <f>IFERROR(__xludf.DUMMYFUNCTION("""COMPUTED_VALUE"""),45798.0)</f>
        <v>45798</v>
      </c>
      <c r="F53" s="66"/>
      <c r="G53" s="18">
        <f>IFERROR(__xludf.DUMMYFUNCTION("""COMPUTED_VALUE"""),16.5)</f>
        <v>16.5</v>
      </c>
      <c r="H53" s="15">
        <f>IFERROR(__xludf.DUMMYFUNCTION("""COMPUTED_VALUE"""),30195.0)</f>
        <v>30195</v>
      </c>
      <c r="I53" s="18">
        <f>IFERROR(__xludf.DUMMYFUNCTION("""COMPUTED_VALUE"""),42.72222222222222)</f>
        <v>42.72222222</v>
      </c>
      <c r="J53" s="22">
        <f>IFERROR(__xludf.DUMMYFUNCTION("""COMPUTED_VALUE"""),63.0)</f>
        <v>63</v>
      </c>
      <c r="K53" s="22"/>
      <c r="L53" s="66" t="str">
        <f>IFERROR(__xludf.DUMMYFUNCTION("""COMPUTED_VALUE"""),"Action‑Adventure")</f>
        <v>Action‑Adventure</v>
      </c>
      <c r="M53" s="66"/>
      <c r="N53" s="66" t="str">
        <f>IFERROR(__xludf.DUMMYFUNCTION("""COMPUTED_VALUE"""),"Retro Classics: Atari 2600")</f>
        <v>Retro Classics: Atari 2600</v>
      </c>
      <c r="O53" s="66"/>
      <c r="P53" s="66"/>
      <c r="Q53" s="66"/>
      <c r="R53" s="66"/>
      <c r="S53" s="66"/>
    </row>
    <row r="54">
      <c r="A54" s="66" t="str">
        <f>IFERROR(__xludf.DUMMYFUNCTION("""COMPUTED_VALUE"""),"Fishing Derby")</f>
        <v>Fishing Derby</v>
      </c>
      <c r="B54" s="66" t="str">
        <f>IFERROR(__xludf.DUMMYFUNCTION("""COMPUTED_VALUE"""),"Xbox / PC")</f>
        <v>Xbox / PC</v>
      </c>
      <c r="C54" s="66" t="str">
        <f>IFERROR(__xludf.DUMMYFUNCTION("""COMPUTED_VALUE"""),"Yes")</f>
        <v>Yes</v>
      </c>
      <c r="D54" s="66" t="str">
        <f>IFERROR(__xludf.DUMMYFUNCTION("""COMPUTED_VALUE"""),"Active")</f>
        <v>Active</v>
      </c>
      <c r="E54" s="15">
        <f>IFERROR(__xludf.DUMMYFUNCTION("""COMPUTED_VALUE"""),45798.0)</f>
        <v>45798</v>
      </c>
      <c r="F54" s="66"/>
      <c r="G54" s="18">
        <f>IFERROR(__xludf.DUMMYFUNCTION("""COMPUTED_VALUE"""),16.5)</f>
        <v>16.5</v>
      </c>
      <c r="H54" s="15">
        <f>IFERROR(__xludf.DUMMYFUNCTION("""COMPUTED_VALUE"""),29403.0)</f>
        <v>29403</v>
      </c>
      <c r="I54" s="18">
        <f>IFERROR(__xludf.DUMMYFUNCTION("""COMPUTED_VALUE"""),44.888888888888886)</f>
        <v>44.88888889</v>
      </c>
      <c r="J54" s="22">
        <f>IFERROR(__xludf.DUMMYFUNCTION("""COMPUTED_VALUE"""),65.0)</f>
        <v>65</v>
      </c>
      <c r="K54" s="22"/>
      <c r="L54" s="66" t="str">
        <f>IFERROR(__xludf.DUMMYFUNCTION("""COMPUTED_VALUE"""),"Sports")</f>
        <v>Sports</v>
      </c>
      <c r="M54" s="66"/>
      <c r="N54" s="66" t="str">
        <f>IFERROR(__xludf.DUMMYFUNCTION("""COMPUTED_VALUE"""),"Retro Classics: Atari 2600")</f>
        <v>Retro Classics: Atari 2600</v>
      </c>
      <c r="O54" s="66"/>
      <c r="P54" s="66"/>
      <c r="Q54" s="66"/>
      <c r="R54" s="66"/>
      <c r="S54" s="66"/>
    </row>
    <row r="55">
      <c r="A55" s="66" t="str">
        <f>IFERROR(__xludf.DUMMYFUNCTION("""COMPUTED_VALUE"""),"Freddy Pharkas: Frontier Pharmacist")</f>
        <v>Freddy Pharkas: Frontier Pharmacist</v>
      </c>
      <c r="B55" s="66" t="str">
        <f>IFERROR(__xludf.DUMMYFUNCTION("""COMPUTED_VALUE"""),"Xbox / PC")</f>
        <v>Xbox / PC</v>
      </c>
      <c r="C55" s="66" t="str">
        <f>IFERROR(__xludf.DUMMYFUNCTION("""COMPUTED_VALUE"""),"Yes")</f>
        <v>Yes</v>
      </c>
      <c r="D55" s="66" t="str">
        <f>IFERROR(__xludf.DUMMYFUNCTION("""COMPUTED_VALUE"""),"Active")</f>
        <v>Active</v>
      </c>
      <c r="E55" s="15">
        <f>IFERROR(__xludf.DUMMYFUNCTION("""COMPUTED_VALUE"""),45798.0)</f>
        <v>45798</v>
      </c>
      <c r="F55" s="66"/>
      <c r="G55" s="18">
        <f>IFERROR(__xludf.DUMMYFUNCTION("""COMPUTED_VALUE"""),16.5)</f>
        <v>16.5</v>
      </c>
      <c r="H55" s="15">
        <f>IFERROR(__xludf.DUMMYFUNCTION("""COMPUTED_VALUE"""),34121.0)</f>
        <v>34121</v>
      </c>
      <c r="I55" s="18">
        <f>IFERROR(__xludf.DUMMYFUNCTION("""COMPUTED_VALUE"""),31.97222222222222)</f>
        <v>31.97222222</v>
      </c>
      <c r="J55" s="22">
        <f>IFERROR(__xludf.DUMMYFUNCTION("""COMPUTED_VALUE"""),90.0)</f>
        <v>90</v>
      </c>
      <c r="K55" s="22">
        <f>IFERROR(__xludf.DUMMYFUNCTION("""COMPUTED_VALUE"""),17.0)</f>
        <v>17</v>
      </c>
      <c r="L55" s="66" t="str">
        <f>IFERROR(__xludf.DUMMYFUNCTION("""COMPUTED_VALUE"""),"Adventure")</f>
        <v>Adventure</v>
      </c>
      <c r="M55" s="66"/>
      <c r="N55" s="66" t="str">
        <f>IFERROR(__xludf.DUMMYFUNCTION("""COMPUTED_VALUE"""),"Retro Classics: DOS, Sierra Entertainment (defunct) publisher")</f>
        <v>Retro Classics: DOS, Sierra Entertainment (defunct) publisher</v>
      </c>
      <c r="O55" s="66"/>
      <c r="P55" s="66"/>
      <c r="Q55" s="66"/>
      <c r="R55" s="66"/>
      <c r="S55" s="66"/>
    </row>
    <row r="56">
      <c r="A56" s="66" t="str">
        <f>IFERROR(__xludf.DUMMYFUNCTION("""COMPUTED_VALUE"""),"Freeway")</f>
        <v>Freeway</v>
      </c>
      <c r="B56" s="66" t="str">
        <f>IFERROR(__xludf.DUMMYFUNCTION("""COMPUTED_VALUE"""),"Xbox / PC")</f>
        <v>Xbox / PC</v>
      </c>
      <c r="C56" s="66" t="str">
        <f>IFERROR(__xludf.DUMMYFUNCTION("""COMPUTED_VALUE"""),"Yes")</f>
        <v>Yes</v>
      </c>
      <c r="D56" s="66" t="str">
        <f>IFERROR(__xludf.DUMMYFUNCTION("""COMPUTED_VALUE"""),"Active")</f>
        <v>Active</v>
      </c>
      <c r="E56" s="15">
        <f>IFERROR(__xludf.DUMMYFUNCTION("""COMPUTED_VALUE"""),45798.0)</f>
        <v>45798</v>
      </c>
      <c r="F56" s="66"/>
      <c r="G56" s="18">
        <f>IFERROR(__xludf.DUMMYFUNCTION("""COMPUTED_VALUE"""),16.5)</f>
        <v>16.5</v>
      </c>
      <c r="H56" s="15">
        <f>IFERROR(__xludf.DUMMYFUNCTION("""COMPUTED_VALUE"""),29768.0)</f>
        <v>29768</v>
      </c>
      <c r="I56" s="18">
        <f>IFERROR(__xludf.DUMMYFUNCTION("""COMPUTED_VALUE"""),43.888888888888886)</f>
        <v>43.88888889</v>
      </c>
      <c r="J56" s="22">
        <f>IFERROR(__xludf.DUMMYFUNCTION("""COMPUTED_VALUE"""),67.0)</f>
        <v>67</v>
      </c>
      <c r="K56" s="22"/>
      <c r="L56" s="66" t="str">
        <f>IFERROR(__xludf.DUMMYFUNCTION("""COMPUTED_VALUE"""),"Racing")</f>
        <v>Racing</v>
      </c>
      <c r="M56" s="66"/>
      <c r="N56" s="66" t="str">
        <f>IFERROR(__xludf.DUMMYFUNCTION("""COMPUTED_VALUE"""),"Retro Classics: Atari 2600")</f>
        <v>Retro Classics: Atari 2600</v>
      </c>
      <c r="O56" s="66"/>
      <c r="P56" s="66"/>
      <c r="Q56" s="66"/>
      <c r="R56" s="66"/>
      <c r="S56" s="66"/>
    </row>
    <row r="57">
      <c r="A57" s="66" t="str">
        <f>IFERROR(__xludf.DUMMYFUNCTION("""COMPUTED_VALUE"""),"Frostbite")</f>
        <v>Frostbite</v>
      </c>
      <c r="B57" s="66" t="str">
        <f>IFERROR(__xludf.DUMMYFUNCTION("""COMPUTED_VALUE"""),"Xbox / PC")</f>
        <v>Xbox / PC</v>
      </c>
      <c r="C57" s="66" t="str">
        <f>IFERROR(__xludf.DUMMYFUNCTION("""COMPUTED_VALUE"""),"Yes")</f>
        <v>Yes</v>
      </c>
      <c r="D57" s="66" t="str">
        <f>IFERROR(__xludf.DUMMYFUNCTION("""COMPUTED_VALUE"""),"Active")</f>
        <v>Active</v>
      </c>
      <c r="E57" s="15">
        <f>IFERROR(__xludf.DUMMYFUNCTION("""COMPUTED_VALUE"""),45798.0)</f>
        <v>45798</v>
      </c>
      <c r="F57" s="66"/>
      <c r="G57" s="18">
        <f>IFERROR(__xludf.DUMMYFUNCTION("""COMPUTED_VALUE"""),16.5)</f>
        <v>16.5</v>
      </c>
      <c r="H57" s="15">
        <f>IFERROR(__xludf.DUMMYFUNCTION("""COMPUTED_VALUE"""),30542.0)</f>
        <v>30542</v>
      </c>
      <c r="I57" s="18">
        <f>IFERROR(__xludf.DUMMYFUNCTION("""COMPUTED_VALUE"""),41.769444444444446)</f>
        <v>41.76944444</v>
      </c>
      <c r="J57" s="22">
        <f>IFERROR(__xludf.DUMMYFUNCTION("""COMPUTED_VALUE"""),72.0)</f>
        <v>72</v>
      </c>
      <c r="K57" s="22"/>
      <c r="L57" s="66" t="str">
        <f>IFERROR(__xludf.DUMMYFUNCTION("""COMPUTED_VALUE"""),"Action‑Adventure")</f>
        <v>Action‑Adventure</v>
      </c>
      <c r="M57" s="66"/>
      <c r="N57" s="66" t="str">
        <f>IFERROR(__xludf.DUMMYFUNCTION("""COMPUTED_VALUE"""),"Retro Classics: Atari 2600")</f>
        <v>Retro Classics: Atari 2600</v>
      </c>
      <c r="O57" s="66"/>
      <c r="P57" s="66"/>
      <c r="Q57" s="66"/>
      <c r="R57" s="66"/>
      <c r="S57" s="66"/>
    </row>
    <row r="58">
      <c r="A58" s="66" t="str">
        <f>IFERROR(__xludf.DUMMYFUNCTION("""COMPUTED_VALUE"""),"Grand Prix")</f>
        <v>Grand Prix</v>
      </c>
      <c r="B58" s="66" t="str">
        <f>IFERROR(__xludf.DUMMYFUNCTION("""COMPUTED_VALUE"""),"Xbox / PC")</f>
        <v>Xbox / PC</v>
      </c>
      <c r="C58" s="66" t="str">
        <f>IFERROR(__xludf.DUMMYFUNCTION("""COMPUTED_VALUE"""),"Yes")</f>
        <v>Yes</v>
      </c>
      <c r="D58" s="66" t="str">
        <f>IFERROR(__xludf.DUMMYFUNCTION("""COMPUTED_VALUE"""),"Active")</f>
        <v>Active</v>
      </c>
      <c r="E58" s="15">
        <f>IFERROR(__xludf.DUMMYFUNCTION("""COMPUTED_VALUE"""),45798.0)</f>
        <v>45798</v>
      </c>
      <c r="F58" s="66"/>
      <c r="G58" s="18">
        <f>IFERROR(__xludf.DUMMYFUNCTION("""COMPUTED_VALUE"""),16.5)</f>
        <v>16.5</v>
      </c>
      <c r="H58" s="15">
        <f>IFERROR(__xludf.DUMMYFUNCTION("""COMPUTED_VALUE"""),30011.0)</f>
        <v>30011</v>
      </c>
      <c r="I58" s="18">
        <f>IFERROR(__xludf.DUMMYFUNCTION("""COMPUTED_VALUE"""),43.22222222222222)</f>
        <v>43.22222222</v>
      </c>
      <c r="J58" s="22">
        <f>IFERROR(__xludf.DUMMYFUNCTION("""COMPUTED_VALUE"""),65.0)</f>
        <v>65</v>
      </c>
      <c r="K58" s="22"/>
      <c r="L58" s="66" t="str">
        <f>IFERROR(__xludf.DUMMYFUNCTION("""COMPUTED_VALUE"""),"Racing")</f>
        <v>Racing</v>
      </c>
      <c r="M58" s="66"/>
      <c r="N58" s="66" t="str">
        <f>IFERROR(__xludf.DUMMYFUNCTION("""COMPUTED_VALUE"""),"Retro Classics: Atari 2600")</f>
        <v>Retro Classics: Atari 2600</v>
      </c>
      <c r="O58" s="66"/>
      <c r="P58" s="66"/>
      <c r="Q58" s="66"/>
      <c r="R58" s="66"/>
      <c r="S58" s="66"/>
    </row>
    <row r="59">
      <c r="A59" s="66" t="str">
        <f>IFERROR(__xludf.DUMMYFUNCTION("""COMPUTED_VALUE"""),"H.E.R.O.")</f>
        <v>H.E.R.O.</v>
      </c>
      <c r="B59" s="66" t="str">
        <f>IFERROR(__xludf.DUMMYFUNCTION("""COMPUTED_VALUE"""),"Xbox / PC")</f>
        <v>Xbox / PC</v>
      </c>
      <c r="C59" s="66" t="str">
        <f>IFERROR(__xludf.DUMMYFUNCTION("""COMPUTED_VALUE"""),"Yes")</f>
        <v>Yes</v>
      </c>
      <c r="D59" s="66" t="str">
        <f>IFERROR(__xludf.DUMMYFUNCTION("""COMPUTED_VALUE"""),"Active")</f>
        <v>Active</v>
      </c>
      <c r="E59" s="15">
        <f>IFERROR(__xludf.DUMMYFUNCTION("""COMPUTED_VALUE"""),45798.0)</f>
        <v>45798</v>
      </c>
      <c r="F59" s="66"/>
      <c r="G59" s="18">
        <f>IFERROR(__xludf.DUMMYFUNCTION("""COMPUTED_VALUE"""),16.5)</f>
        <v>16.5</v>
      </c>
      <c r="H59" s="15">
        <f>IFERROR(__xludf.DUMMYFUNCTION("""COMPUTED_VALUE"""),30764.0)</f>
        <v>30764</v>
      </c>
      <c r="I59" s="18">
        <f>IFERROR(__xludf.DUMMYFUNCTION("""COMPUTED_VALUE"""),41.16111111111111)</f>
        <v>41.16111111</v>
      </c>
      <c r="J59" s="22">
        <f>IFERROR(__xludf.DUMMYFUNCTION("""COMPUTED_VALUE"""),83.0)</f>
        <v>83</v>
      </c>
      <c r="K59" s="22"/>
      <c r="L59" s="66" t="str">
        <f>IFERROR(__xludf.DUMMYFUNCTION("""COMPUTED_VALUE"""),"Action‑Adventure")</f>
        <v>Action‑Adventure</v>
      </c>
      <c r="M59" s="66"/>
      <c r="N59" s="66" t="str">
        <f>IFERROR(__xludf.DUMMYFUNCTION("""COMPUTED_VALUE"""),"Retro Classics: Atari 2600")</f>
        <v>Retro Classics: Atari 2600</v>
      </c>
      <c r="O59" s="66"/>
      <c r="P59" s="66"/>
      <c r="Q59" s="66"/>
      <c r="R59" s="66"/>
      <c r="S59" s="66"/>
    </row>
    <row r="60">
      <c r="A60" s="66" t="str">
        <f>IFERROR(__xludf.DUMMYFUNCTION("""COMPUTED_VALUE"""),"Kaboom!")</f>
        <v>Kaboom!</v>
      </c>
      <c r="B60" s="66" t="str">
        <f>IFERROR(__xludf.DUMMYFUNCTION("""COMPUTED_VALUE"""),"Xbox / PC")</f>
        <v>Xbox / PC</v>
      </c>
      <c r="C60" s="66" t="str">
        <f>IFERROR(__xludf.DUMMYFUNCTION("""COMPUTED_VALUE"""),"Yes")</f>
        <v>Yes</v>
      </c>
      <c r="D60" s="66" t="str">
        <f>IFERROR(__xludf.DUMMYFUNCTION("""COMPUTED_VALUE"""),"Active")</f>
        <v>Active</v>
      </c>
      <c r="E60" s="15">
        <f>IFERROR(__xludf.DUMMYFUNCTION("""COMPUTED_VALUE"""),45798.0)</f>
        <v>45798</v>
      </c>
      <c r="F60" s="66"/>
      <c r="G60" s="18">
        <f>IFERROR(__xludf.DUMMYFUNCTION("""COMPUTED_VALUE"""),16.5)</f>
        <v>16.5</v>
      </c>
      <c r="H60" s="15">
        <f>IFERROR(__xludf.DUMMYFUNCTION("""COMPUTED_VALUE"""),29768.0)</f>
        <v>29768</v>
      </c>
      <c r="I60" s="18">
        <f>IFERROR(__xludf.DUMMYFUNCTION("""COMPUTED_VALUE"""),43.888888888888886)</f>
        <v>43.88888889</v>
      </c>
      <c r="J60" s="22">
        <f>IFERROR(__xludf.DUMMYFUNCTION("""COMPUTED_VALUE"""),80.0)</f>
        <v>80</v>
      </c>
      <c r="K60" s="22"/>
      <c r="L60" s="66" t="str">
        <f>IFERROR(__xludf.DUMMYFUNCTION("""COMPUTED_VALUE"""),"Action‑Adventure")</f>
        <v>Action‑Adventure</v>
      </c>
      <c r="M60" s="66"/>
      <c r="N60" s="66" t="str">
        <f>IFERROR(__xludf.DUMMYFUNCTION("""COMPUTED_VALUE"""),"Retro Classics: Atari 2600")</f>
        <v>Retro Classics: Atari 2600</v>
      </c>
      <c r="O60" s="66"/>
      <c r="P60" s="66"/>
      <c r="Q60" s="66"/>
      <c r="R60" s="66"/>
      <c r="S60" s="66"/>
    </row>
    <row r="61">
      <c r="A61" s="66" t="str">
        <f>IFERROR(__xludf.DUMMYFUNCTION("""COMPUTED_VALUE"""),"Laser Blast")</f>
        <v>Laser Blast</v>
      </c>
      <c r="B61" s="66" t="str">
        <f>IFERROR(__xludf.DUMMYFUNCTION("""COMPUTED_VALUE"""),"Xbox / PC")</f>
        <v>Xbox / PC</v>
      </c>
      <c r="C61" s="66" t="str">
        <f>IFERROR(__xludf.DUMMYFUNCTION("""COMPUTED_VALUE"""),"Yes")</f>
        <v>Yes</v>
      </c>
      <c r="D61" s="66" t="str">
        <f>IFERROR(__xludf.DUMMYFUNCTION("""COMPUTED_VALUE"""),"Active")</f>
        <v>Active</v>
      </c>
      <c r="E61" s="15">
        <f>IFERROR(__xludf.DUMMYFUNCTION("""COMPUTED_VALUE"""),45798.0)</f>
        <v>45798</v>
      </c>
      <c r="F61" s="66"/>
      <c r="G61" s="18">
        <f>IFERROR(__xludf.DUMMYFUNCTION("""COMPUTED_VALUE"""),16.5)</f>
        <v>16.5</v>
      </c>
      <c r="H61" s="15">
        <f>IFERROR(__xludf.DUMMYFUNCTION("""COMPUTED_VALUE"""),29646.0)</f>
        <v>29646</v>
      </c>
      <c r="I61" s="18">
        <f>IFERROR(__xludf.DUMMYFUNCTION("""COMPUTED_VALUE"""),44.22222222222222)</f>
        <v>44.22222222</v>
      </c>
      <c r="J61" s="22">
        <f>IFERROR(__xludf.DUMMYFUNCTION("""COMPUTED_VALUE"""),55.0)</f>
        <v>55</v>
      </c>
      <c r="K61" s="22"/>
      <c r="L61" s="66" t="str">
        <f>IFERROR(__xludf.DUMMYFUNCTION("""COMPUTED_VALUE"""),"Shooter")</f>
        <v>Shooter</v>
      </c>
      <c r="M61" s="66"/>
      <c r="N61" s="66" t="str">
        <f>IFERROR(__xludf.DUMMYFUNCTION("""COMPUTED_VALUE"""),"Retro Classics: Atari 2600")</f>
        <v>Retro Classics: Atari 2600</v>
      </c>
      <c r="O61" s="66"/>
      <c r="P61" s="66"/>
      <c r="Q61" s="66"/>
      <c r="R61" s="66"/>
      <c r="S61" s="66"/>
    </row>
    <row r="62">
      <c r="A62" s="66" t="str">
        <f>IFERROR(__xludf.DUMMYFUNCTION("""COMPUTED_VALUE"""),"MechWarrior")</f>
        <v>MechWarrior</v>
      </c>
      <c r="B62" s="66" t="str">
        <f>IFERROR(__xludf.DUMMYFUNCTION("""COMPUTED_VALUE"""),"Xbox / PC")</f>
        <v>Xbox / PC</v>
      </c>
      <c r="C62" s="66" t="str">
        <f>IFERROR(__xludf.DUMMYFUNCTION("""COMPUTED_VALUE"""),"Yes")</f>
        <v>Yes</v>
      </c>
      <c r="D62" s="66" t="str">
        <f>IFERROR(__xludf.DUMMYFUNCTION("""COMPUTED_VALUE"""),"Active")</f>
        <v>Active</v>
      </c>
      <c r="E62" s="15">
        <f>IFERROR(__xludf.DUMMYFUNCTION("""COMPUTED_VALUE"""),45798.0)</f>
        <v>45798</v>
      </c>
      <c r="F62" s="66"/>
      <c r="G62" s="18">
        <f>IFERROR(__xludf.DUMMYFUNCTION("""COMPUTED_VALUE"""),16.5)</f>
        <v>16.5</v>
      </c>
      <c r="H62" s="15">
        <f>IFERROR(__xludf.DUMMYFUNCTION("""COMPUTED_VALUE"""),32843.0)</f>
        <v>32843</v>
      </c>
      <c r="I62" s="18">
        <f>IFERROR(__xludf.DUMMYFUNCTION("""COMPUTED_VALUE"""),35.47222222222222)</f>
        <v>35.47222222</v>
      </c>
      <c r="J62" s="22">
        <f>IFERROR(__xludf.DUMMYFUNCTION("""COMPUTED_VALUE"""),73.0)</f>
        <v>73</v>
      </c>
      <c r="K62" s="22">
        <f>IFERROR(__xludf.DUMMYFUNCTION("""COMPUTED_VALUE"""),12.0)</f>
        <v>12</v>
      </c>
      <c r="L62" s="66" t="str">
        <f>IFERROR(__xludf.DUMMYFUNCTION("""COMPUTED_VALUE"""),"Shooter")</f>
        <v>Shooter</v>
      </c>
      <c r="M62" s="66"/>
      <c r="N62" s="66" t="str">
        <f>IFERROR(__xludf.DUMMYFUNCTION("""COMPUTED_VALUE"""),"Retro Classics: SNES")</f>
        <v>Retro Classics: SNES</v>
      </c>
      <c r="O62" s="66"/>
      <c r="P62" s="66"/>
      <c r="Q62" s="66"/>
      <c r="R62" s="66"/>
      <c r="S62" s="66"/>
    </row>
    <row r="63">
      <c r="A63" s="66" t="str">
        <f>IFERROR(__xludf.DUMMYFUNCTION("""COMPUTED_VALUE"""),"MechWarrior 2: 31st Century Combat")</f>
        <v>MechWarrior 2: 31st Century Combat</v>
      </c>
      <c r="B63" s="66" t="str">
        <f>IFERROR(__xludf.DUMMYFUNCTION("""COMPUTED_VALUE"""),"Xbox / PC")</f>
        <v>Xbox / PC</v>
      </c>
      <c r="C63" s="66" t="str">
        <f>IFERROR(__xludf.DUMMYFUNCTION("""COMPUTED_VALUE"""),"Yes")</f>
        <v>Yes</v>
      </c>
      <c r="D63" s="66" t="str">
        <f>IFERROR(__xludf.DUMMYFUNCTION("""COMPUTED_VALUE"""),"Active")</f>
        <v>Active</v>
      </c>
      <c r="E63" s="15">
        <f>IFERROR(__xludf.DUMMYFUNCTION("""COMPUTED_VALUE"""),45798.0)</f>
        <v>45798</v>
      </c>
      <c r="F63" s="66"/>
      <c r="G63" s="18">
        <f>IFERROR(__xludf.DUMMYFUNCTION("""COMPUTED_VALUE"""),16.5)</f>
        <v>16.5</v>
      </c>
      <c r="H63" s="15">
        <f>IFERROR(__xludf.DUMMYFUNCTION("""COMPUTED_VALUE"""),34904.0)</f>
        <v>34904</v>
      </c>
      <c r="I63" s="18">
        <f>IFERROR(__xludf.DUMMYFUNCTION("""COMPUTED_VALUE"""),29.825)</f>
        <v>29.825</v>
      </c>
      <c r="J63" s="22">
        <f>IFERROR(__xludf.DUMMYFUNCTION("""COMPUTED_VALUE"""),87.0)</f>
        <v>87</v>
      </c>
      <c r="K63" s="22">
        <f>IFERROR(__xludf.DUMMYFUNCTION("""COMPUTED_VALUE"""),20.0)</f>
        <v>20</v>
      </c>
      <c r="L63" s="66" t="str">
        <f>IFERROR(__xludf.DUMMYFUNCTION("""COMPUTED_VALUE"""),"Shooter")</f>
        <v>Shooter</v>
      </c>
      <c r="M63" s="66"/>
      <c r="N63" s="66" t="str">
        <f>IFERROR(__xludf.DUMMYFUNCTION("""COMPUTED_VALUE"""),"Retro Classics: PSX")</f>
        <v>Retro Classics: PSX</v>
      </c>
      <c r="O63" s="66"/>
      <c r="P63" s="66"/>
      <c r="Q63" s="66"/>
      <c r="R63" s="66"/>
      <c r="S63" s="66"/>
    </row>
    <row r="64">
      <c r="A64" s="66" t="str">
        <f>IFERROR(__xludf.DUMMYFUNCTION("""COMPUTED_VALUE"""),"Megamania")</f>
        <v>Megamania</v>
      </c>
      <c r="B64" s="66" t="str">
        <f>IFERROR(__xludf.DUMMYFUNCTION("""COMPUTED_VALUE"""),"Xbox / PC")</f>
        <v>Xbox / PC</v>
      </c>
      <c r="C64" s="66" t="str">
        <f>IFERROR(__xludf.DUMMYFUNCTION("""COMPUTED_VALUE"""),"Yes")</f>
        <v>Yes</v>
      </c>
      <c r="D64" s="66" t="str">
        <f>IFERROR(__xludf.DUMMYFUNCTION("""COMPUTED_VALUE"""),"Active")</f>
        <v>Active</v>
      </c>
      <c r="E64" s="15">
        <f>IFERROR(__xludf.DUMMYFUNCTION("""COMPUTED_VALUE"""),45798.0)</f>
        <v>45798</v>
      </c>
      <c r="F64" s="66"/>
      <c r="G64" s="18">
        <f>IFERROR(__xludf.DUMMYFUNCTION("""COMPUTED_VALUE"""),16.5)</f>
        <v>16.5</v>
      </c>
      <c r="H64" s="15">
        <f>IFERROR(__xludf.DUMMYFUNCTION("""COMPUTED_VALUE"""),30050.0)</f>
        <v>30050</v>
      </c>
      <c r="I64" s="18">
        <f>IFERROR(__xludf.DUMMYFUNCTION("""COMPUTED_VALUE"""),43.11666666666667)</f>
        <v>43.11666667</v>
      </c>
      <c r="J64" s="22">
        <f>IFERROR(__xludf.DUMMYFUNCTION("""COMPUTED_VALUE"""),73.0)</f>
        <v>73</v>
      </c>
      <c r="K64" s="22"/>
      <c r="L64" s="66" t="str">
        <f>IFERROR(__xludf.DUMMYFUNCTION("""COMPUTED_VALUE"""),"Shooter")</f>
        <v>Shooter</v>
      </c>
      <c r="M64" s="66"/>
      <c r="N64" s="66" t="str">
        <f>IFERROR(__xludf.DUMMYFUNCTION("""COMPUTED_VALUE"""),"Retro Classics: Atari 2600")</f>
        <v>Retro Classics: Atari 2600</v>
      </c>
      <c r="O64" s="66"/>
      <c r="P64" s="66"/>
      <c r="Q64" s="66"/>
      <c r="R64" s="66"/>
      <c r="S64" s="66"/>
    </row>
    <row r="65">
      <c r="A65" s="66" t="str">
        <f>IFERROR(__xludf.DUMMYFUNCTION("""COMPUTED_VALUE"""),"Pitfall II: Lost Caverns")</f>
        <v>Pitfall II: Lost Caverns</v>
      </c>
      <c r="B65" s="66" t="str">
        <f>IFERROR(__xludf.DUMMYFUNCTION("""COMPUTED_VALUE"""),"Xbox / PC")</f>
        <v>Xbox / PC</v>
      </c>
      <c r="C65" s="66" t="str">
        <f>IFERROR(__xludf.DUMMYFUNCTION("""COMPUTED_VALUE"""),"Yes")</f>
        <v>Yes</v>
      </c>
      <c r="D65" s="66" t="str">
        <f>IFERROR(__xludf.DUMMYFUNCTION("""COMPUTED_VALUE"""),"Active")</f>
        <v>Active</v>
      </c>
      <c r="E65" s="15">
        <f>IFERROR(__xludf.DUMMYFUNCTION("""COMPUTED_VALUE"""),45798.0)</f>
        <v>45798</v>
      </c>
      <c r="F65" s="66"/>
      <c r="G65" s="18">
        <f>IFERROR(__xludf.DUMMYFUNCTION("""COMPUTED_VALUE"""),16.5)</f>
        <v>16.5</v>
      </c>
      <c r="H65" s="15">
        <f>IFERROR(__xludf.DUMMYFUNCTION("""COMPUTED_VALUE"""),30575.0)</f>
        <v>30575</v>
      </c>
      <c r="I65" s="18">
        <f>IFERROR(__xludf.DUMMYFUNCTION("""COMPUTED_VALUE"""),41.68055555555556)</f>
        <v>41.68055556</v>
      </c>
      <c r="J65" s="22">
        <f>IFERROR(__xludf.DUMMYFUNCTION("""COMPUTED_VALUE"""),82.0)</f>
        <v>82</v>
      </c>
      <c r="K65" s="22"/>
      <c r="L65" s="66" t="str">
        <f>IFERROR(__xludf.DUMMYFUNCTION("""COMPUTED_VALUE"""),"Platformer")</f>
        <v>Platformer</v>
      </c>
      <c r="M65" s="66"/>
      <c r="N65" s="66" t="str">
        <f>IFERROR(__xludf.DUMMYFUNCTION("""COMPUTED_VALUE"""),"Retro Classics: Atari 2600")</f>
        <v>Retro Classics: Atari 2600</v>
      </c>
      <c r="O65" s="66"/>
      <c r="P65" s="66"/>
      <c r="Q65" s="66"/>
      <c r="R65" s="66"/>
      <c r="S65" s="66"/>
    </row>
    <row r="66">
      <c r="A66" s="66" t="str">
        <f>IFERROR(__xludf.DUMMYFUNCTION("""COMPUTED_VALUE"""),"Pitfall!")</f>
        <v>Pitfall!</v>
      </c>
      <c r="B66" s="66" t="str">
        <f>IFERROR(__xludf.DUMMYFUNCTION("""COMPUTED_VALUE"""),"Xbox / PC")</f>
        <v>Xbox / PC</v>
      </c>
      <c r="C66" s="66" t="str">
        <f>IFERROR(__xludf.DUMMYFUNCTION("""COMPUTED_VALUE"""),"Yes")</f>
        <v>Yes</v>
      </c>
      <c r="D66" s="66" t="str">
        <f>IFERROR(__xludf.DUMMYFUNCTION("""COMPUTED_VALUE"""),"Active")</f>
        <v>Active</v>
      </c>
      <c r="E66" s="15">
        <f>IFERROR(__xludf.DUMMYFUNCTION("""COMPUTED_VALUE"""),45798.0)</f>
        <v>45798</v>
      </c>
      <c r="F66" s="66"/>
      <c r="G66" s="18">
        <f>IFERROR(__xludf.DUMMYFUNCTION("""COMPUTED_VALUE"""),16.5)</f>
        <v>16.5</v>
      </c>
      <c r="H66" s="15">
        <f>IFERROR(__xludf.DUMMYFUNCTION("""COMPUTED_VALUE"""),30061.0)</f>
        <v>30061</v>
      </c>
      <c r="I66" s="18">
        <f>IFERROR(__xludf.DUMMYFUNCTION("""COMPUTED_VALUE"""),43.08611111111111)</f>
        <v>43.08611111</v>
      </c>
      <c r="J66" s="22">
        <f>IFERROR(__xludf.DUMMYFUNCTION("""COMPUTED_VALUE"""),71.0)</f>
        <v>71</v>
      </c>
      <c r="K66" s="22">
        <f>IFERROR(__xludf.DUMMYFUNCTION("""COMPUTED_VALUE"""),1.0)</f>
        <v>1</v>
      </c>
      <c r="L66" s="66" t="str">
        <f>IFERROR(__xludf.DUMMYFUNCTION("""COMPUTED_VALUE"""),"Platformer")</f>
        <v>Platformer</v>
      </c>
      <c r="M66" s="66"/>
      <c r="N66" s="66" t="str">
        <f>IFERROR(__xludf.DUMMYFUNCTION("""COMPUTED_VALUE"""),"Retro Classics: Atari 2600")</f>
        <v>Retro Classics: Atari 2600</v>
      </c>
      <c r="O66" s="66"/>
      <c r="P66" s="66"/>
      <c r="Q66" s="66"/>
      <c r="R66" s="66"/>
      <c r="S66" s="66"/>
    </row>
    <row r="67">
      <c r="A67" s="66" t="str">
        <f>IFERROR(__xludf.DUMMYFUNCTION("""COMPUTED_VALUE"""),"Police Quest")</f>
        <v>Police Quest</v>
      </c>
      <c r="B67" s="66" t="str">
        <f>IFERROR(__xludf.DUMMYFUNCTION("""COMPUTED_VALUE"""),"Xbox / PC")</f>
        <v>Xbox / PC</v>
      </c>
      <c r="C67" s="66" t="str">
        <f>IFERROR(__xludf.DUMMYFUNCTION("""COMPUTED_VALUE"""),"Yes")</f>
        <v>Yes</v>
      </c>
      <c r="D67" s="66" t="str">
        <f>IFERROR(__xludf.DUMMYFUNCTION("""COMPUTED_VALUE"""),"Active")</f>
        <v>Active</v>
      </c>
      <c r="E67" s="15">
        <f>IFERROR(__xludf.DUMMYFUNCTION("""COMPUTED_VALUE"""),45798.0)</f>
        <v>45798</v>
      </c>
      <c r="F67" s="66"/>
      <c r="G67" s="18">
        <f>IFERROR(__xludf.DUMMYFUNCTION("""COMPUTED_VALUE"""),16.5)</f>
        <v>16.5</v>
      </c>
      <c r="H67" s="15">
        <f>IFERROR(__xludf.DUMMYFUNCTION("""COMPUTED_VALUE"""),31778.0)</f>
        <v>31778</v>
      </c>
      <c r="I67" s="18">
        <f>IFERROR(__xludf.DUMMYFUNCTION("""COMPUTED_VALUE"""),38.388888888888886)</f>
        <v>38.38888889</v>
      </c>
      <c r="J67" s="22">
        <f>IFERROR(__xludf.DUMMYFUNCTION("""COMPUTED_VALUE"""),77.0)</f>
        <v>77</v>
      </c>
      <c r="K67" s="22">
        <f>IFERROR(__xludf.DUMMYFUNCTION("""COMPUTED_VALUE"""),4.0)</f>
        <v>4</v>
      </c>
      <c r="L67" s="66" t="str">
        <f>IFERROR(__xludf.DUMMYFUNCTION("""COMPUTED_VALUE"""),"Adventure")</f>
        <v>Adventure</v>
      </c>
      <c r="M67" s="66"/>
      <c r="N67" s="66" t="str">
        <f>IFERROR(__xludf.DUMMYFUNCTION("""COMPUTED_VALUE"""),"Retro Classics: Amiga, Sierra Entertainment (defunct) publisher")</f>
        <v>Retro Classics: Amiga, Sierra Entertainment (defunct) publisher</v>
      </c>
      <c r="O67" s="66"/>
      <c r="P67" s="66"/>
      <c r="Q67" s="66"/>
      <c r="R67" s="66"/>
      <c r="S67" s="66"/>
    </row>
    <row r="68">
      <c r="A68" s="66" t="str">
        <f>IFERROR(__xludf.DUMMYFUNCTION("""COMPUTED_VALUE"""),"Pressure Cooker")</f>
        <v>Pressure Cooker</v>
      </c>
      <c r="B68" s="66" t="str">
        <f>IFERROR(__xludf.DUMMYFUNCTION("""COMPUTED_VALUE"""),"Xbox / PC")</f>
        <v>Xbox / PC</v>
      </c>
      <c r="C68" s="66" t="str">
        <f>IFERROR(__xludf.DUMMYFUNCTION("""COMPUTED_VALUE"""),"Yes")</f>
        <v>Yes</v>
      </c>
      <c r="D68" s="66" t="str">
        <f>IFERROR(__xludf.DUMMYFUNCTION("""COMPUTED_VALUE"""),"Active")</f>
        <v>Active</v>
      </c>
      <c r="E68" s="15">
        <f>IFERROR(__xludf.DUMMYFUNCTION("""COMPUTED_VALUE"""),45798.0)</f>
        <v>45798</v>
      </c>
      <c r="F68" s="66"/>
      <c r="G68" s="18">
        <f>IFERROR(__xludf.DUMMYFUNCTION("""COMPUTED_VALUE"""),16.5)</f>
        <v>16.5</v>
      </c>
      <c r="H68" s="15">
        <f>IFERROR(__xludf.DUMMYFUNCTION("""COMPUTED_VALUE"""),30369.0)</f>
        <v>30369</v>
      </c>
      <c r="I68" s="18">
        <f>IFERROR(__xludf.DUMMYFUNCTION("""COMPUTED_VALUE"""),42.24722222222222)</f>
        <v>42.24722222</v>
      </c>
      <c r="J68" s="22">
        <f>IFERROR(__xludf.DUMMYFUNCTION("""COMPUTED_VALUE"""),71.0)</f>
        <v>71</v>
      </c>
      <c r="K68" s="22"/>
      <c r="L68" s="66" t="str">
        <f>IFERROR(__xludf.DUMMYFUNCTION("""COMPUTED_VALUE"""),"Simulation")</f>
        <v>Simulation</v>
      </c>
      <c r="M68" s="66"/>
      <c r="N68" s="66" t="str">
        <f>IFERROR(__xludf.DUMMYFUNCTION("""COMPUTED_VALUE"""),"Retro Classics: Atari 2600")</f>
        <v>Retro Classics: Atari 2600</v>
      </c>
      <c r="O68" s="66"/>
      <c r="P68" s="66"/>
      <c r="Q68" s="66"/>
      <c r="R68" s="66"/>
      <c r="S68" s="66"/>
    </row>
    <row r="69">
      <c r="A69" s="66" t="str">
        <f>IFERROR(__xludf.DUMMYFUNCTION("""COMPUTED_VALUE"""),"Quest for Glory: So You Want to Be a Hero")</f>
        <v>Quest for Glory: So You Want to Be a Hero</v>
      </c>
      <c r="B69" s="66" t="str">
        <f>IFERROR(__xludf.DUMMYFUNCTION("""COMPUTED_VALUE"""),"Xbox / PC")</f>
        <v>Xbox / PC</v>
      </c>
      <c r="C69" s="66" t="str">
        <f>IFERROR(__xludf.DUMMYFUNCTION("""COMPUTED_VALUE"""),"Yes")</f>
        <v>Yes</v>
      </c>
      <c r="D69" s="66" t="str">
        <f>IFERROR(__xludf.DUMMYFUNCTION("""COMPUTED_VALUE"""),"Active")</f>
        <v>Active</v>
      </c>
      <c r="E69" s="15">
        <f>IFERROR(__xludf.DUMMYFUNCTION("""COMPUTED_VALUE"""),45798.0)</f>
        <v>45798</v>
      </c>
      <c r="F69" s="66"/>
      <c r="G69" s="18">
        <f>IFERROR(__xludf.DUMMYFUNCTION("""COMPUTED_VALUE"""),16.5)</f>
        <v>16.5</v>
      </c>
      <c r="H69" s="15">
        <f>IFERROR(__xludf.DUMMYFUNCTION("""COMPUTED_VALUE"""),32782.0)</f>
        <v>32782</v>
      </c>
      <c r="I69" s="18">
        <f>IFERROR(__xludf.DUMMYFUNCTION("""COMPUTED_VALUE"""),35.638888888888886)</f>
        <v>35.63888889</v>
      </c>
      <c r="J69" s="22">
        <f>IFERROR(__xludf.DUMMYFUNCTION("""COMPUTED_VALUE"""),88.0)</f>
        <v>88</v>
      </c>
      <c r="K69" s="22">
        <f>IFERROR(__xludf.DUMMYFUNCTION("""COMPUTED_VALUE"""),7.0)</f>
        <v>7</v>
      </c>
      <c r="L69" s="66" t="str">
        <f>IFERROR(__xludf.DUMMYFUNCTION("""COMPUTED_VALUE"""),"Action‑Adventure")</f>
        <v>Action‑Adventure</v>
      </c>
      <c r="M69" s="66"/>
      <c r="N69" s="66" t="str">
        <f>IFERROR(__xludf.DUMMYFUNCTION("""COMPUTED_VALUE"""),"Retro Classics: DOS, Sierra Entertainment (defunct) publisher")</f>
        <v>Retro Classics: DOS, Sierra Entertainment (defunct) publisher</v>
      </c>
      <c r="O69" s="66"/>
      <c r="P69" s="66"/>
      <c r="Q69" s="66"/>
      <c r="R69" s="66"/>
      <c r="S69" s="66"/>
    </row>
    <row r="70">
      <c r="A70" s="66" t="str">
        <f>IFERROR(__xludf.DUMMYFUNCTION("""COMPUTED_VALUE"""),"Riddle of the Sphinx")</f>
        <v>Riddle of the Sphinx</v>
      </c>
      <c r="B70" s="66" t="str">
        <f>IFERROR(__xludf.DUMMYFUNCTION("""COMPUTED_VALUE"""),"Xbox / PC")</f>
        <v>Xbox / PC</v>
      </c>
      <c r="C70" s="66" t="str">
        <f>IFERROR(__xludf.DUMMYFUNCTION("""COMPUTED_VALUE"""),"Yes")</f>
        <v>Yes</v>
      </c>
      <c r="D70" s="66" t="str">
        <f>IFERROR(__xludf.DUMMYFUNCTION("""COMPUTED_VALUE"""),"Active")</f>
        <v>Active</v>
      </c>
      <c r="E70" s="15">
        <f>IFERROR(__xludf.DUMMYFUNCTION("""COMPUTED_VALUE"""),45798.0)</f>
        <v>45798</v>
      </c>
      <c r="F70" s="66"/>
      <c r="G70" s="18">
        <f>IFERROR(__xludf.DUMMYFUNCTION("""COMPUTED_VALUE"""),16.5)</f>
        <v>16.5</v>
      </c>
      <c r="H70" s="15">
        <f>IFERROR(__xludf.DUMMYFUNCTION("""COMPUTED_VALUE"""),30195.0)</f>
        <v>30195</v>
      </c>
      <c r="I70" s="18">
        <f>IFERROR(__xludf.DUMMYFUNCTION("""COMPUTED_VALUE"""),42.72222222222222)</f>
        <v>42.72222222</v>
      </c>
      <c r="J70" s="22">
        <f>IFERROR(__xludf.DUMMYFUNCTION("""COMPUTED_VALUE"""),70.0)</f>
        <v>70</v>
      </c>
      <c r="K70" s="22"/>
      <c r="L70" s="66" t="str">
        <f>IFERROR(__xludf.DUMMYFUNCTION("""COMPUTED_VALUE"""),"Action‑Adventure")</f>
        <v>Action‑Adventure</v>
      </c>
      <c r="M70" s="66"/>
      <c r="N70" s="66" t="str">
        <f>IFERROR(__xludf.DUMMYFUNCTION("""COMPUTED_VALUE"""),"Retro Classics: Atari 2600")</f>
        <v>Retro Classics: Atari 2600</v>
      </c>
      <c r="O70" s="66"/>
      <c r="P70" s="66"/>
      <c r="Q70" s="66"/>
      <c r="R70" s="66"/>
      <c r="S70" s="66"/>
    </row>
    <row r="71">
      <c r="A71" s="66" t="str">
        <f>IFERROR(__xludf.DUMMYFUNCTION("""COMPUTED_VALUE"""),"River Raid")</f>
        <v>River Raid</v>
      </c>
      <c r="B71" s="66" t="str">
        <f>IFERROR(__xludf.DUMMYFUNCTION("""COMPUTED_VALUE"""),"Xbox / PC")</f>
        <v>Xbox / PC</v>
      </c>
      <c r="C71" s="66" t="str">
        <f>IFERROR(__xludf.DUMMYFUNCTION("""COMPUTED_VALUE"""),"Yes")</f>
        <v>Yes</v>
      </c>
      <c r="D71" s="66" t="str">
        <f>IFERROR(__xludf.DUMMYFUNCTION("""COMPUTED_VALUE"""),"Active")</f>
        <v>Active</v>
      </c>
      <c r="E71" s="15">
        <f>IFERROR(__xludf.DUMMYFUNCTION("""COMPUTED_VALUE"""),45798.0)</f>
        <v>45798</v>
      </c>
      <c r="F71" s="66"/>
      <c r="G71" s="18">
        <f>IFERROR(__xludf.DUMMYFUNCTION("""COMPUTED_VALUE"""),16.5)</f>
        <v>16.5</v>
      </c>
      <c r="H71" s="15">
        <f>IFERROR(__xludf.DUMMYFUNCTION("""COMPUTED_VALUE"""),30164.0)</f>
        <v>30164</v>
      </c>
      <c r="I71" s="18">
        <f>IFERROR(__xludf.DUMMYFUNCTION("""COMPUTED_VALUE"""),42.80555555555556)</f>
        <v>42.80555556</v>
      </c>
      <c r="J71" s="22">
        <f>IFERROR(__xludf.DUMMYFUNCTION("""COMPUTED_VALUE"""),78.0)</f>
        <v>78</v>
      </c>
      <c r="K71" s="22">
        <f>IFERROR(__xludf.DUMMYFUNCTION("""COMPUTED_VALUE"""),1.0)</f>
        <v>1</v>
      </c>
      <c r="L71" s="66" t="str">
        <f>IFERROR(__xludf.DUMMYFUNCTION("""COMPUTED_VALUE"""),"Shooter")</f>
        <v>Shooter</v>
      </c>
      <c r="M71" s="66"/>
      <c r="N71" s="66" t="str">
        <f>IFERROR(__xludf.DUMMYFUNCTION("""COMPUTED_VALUE"""),"Retro Classics: Atari 2600")</f>
        <v>Retro Classics: Atari 2600</v>
      </c>
      <c r="O71" s="66"/>
      <c r="P71" s="66"/>
      <c r="Q71" s="66"/>
      <c r="R71" s="66"/>
      <c r="S71" s="66"/>
    </row>
    <row r="72">
      <c r="A72" s="66" t="str">
        <f>IFERROR(__xludf.DUMMYFUNCTION("""COMPUTED_VALUE"""),"River Raid II")</f>
        <v>River Raid II</v>
      </c>
      <c r="B72" s="66" t="str">
        <f>IFERROR(__xludf.DUMMYFUNCTION("""COMPUTED_VALUE"""),"Xbox / PC")</f>
        <v>Xbox / PC</v>
      </c>
      <c r="C72" s="66" t="str">
        <f>IFERROR(__xludf.DUMMYFUNCTION("""COMPUTED_VALUE"""),"Yes")</f>
        <v>Yes</v>
      </c>
      <c r="D72" s="66" t="str">
        <f>IFERROR(__xludf.DUMMYFUNCTION("""COMPUTED_VALUE"""),"Active")</f>
        <v>Active</v>
      </c>
      <c r="E72" s="15">
        <f>IFERROR(__xludf.DUMMYFUNCTION("""COMPUTED_VALUE"""),45798.0)</f>
        <v>45798</v>
      </c>
      <c r="F72" s="66"/>
      <c r="G72" s="18">
        <f>IFERROR(__xludf.DUMMYFUNCTION("""COMPUTED_VALUE"""),16.5)</f>
        <v>16.5</v>
      </c>
      <c r="H72" s="15">
        <f>IFERROR(__xludf.DUMMYFUNCTION("""COMPUTED_VALUE"""),32352.0)</f>
        <v>32352</v>
      </c>
      <c r="I72" s="18">
        <f>IFERROR(__xludf.DUMMYFUNCTION("""COMPUTED_VALUE"""),36.81388888888889)</f>
        <v>36.81388889</v>
      </c>
      <c r="J72" s="22">
        <f>IFERROR(__xludf.DUMMYFUNCTION("""COMPUTED_VALUE"""),73.0)</f>
        <v>73</v>
      </c>
      <c r="K72" s="22"/>
      <c r="L72" s="66" t="str">
        <f>IFERROR(__xludf.DUMMYFUNCTION("""COMPUTED_VALUE"""),"Shooter")</f>
        <v>Shooter</v>
      </c>
      <c r="M72" s="66"/>
      <c r="N72" s="66" t="str">
        <f>IFERROR(__xludf.DUMMYFUNCTION("""COMPUTED_VALUE"""),"Retro Classics: Atari 2600")</f>
        <v>Retro Classics: Atari 2600</v>
      </c>
      <c r="O72" s="66"/>
      <c r="P72" s="66"/>
      <c r="Q72" s="66"/>
      <c r="R72" s="66"/>
      <c r="S72" s="66"/>
    </row>
    <row r="73">
      <c r="A73" s="66" t="str">
        <f>IFERROR(__xludf.DUMMYFUNCTION("""COMPUTED_VALUE"""),"Robot Tank")</f>
        <v>Robot Tank</v>
      </c>
      <c r="B73" s="66" t="str">
        <f>IFERROR(__xludf.DUMMYFUNCTION("""COMPUTED_VALUE"""),"Xbox / PC")</f>
        <v>Xbox / PC</v>
      </c>
      <c r="C73" s="66" t="str">
        <f>IFERROR(__xludf.DUMMYFUNCTION("""COMPUTED_VALUE"""),"Yes")</f>
        <v>Yes</v>
      </c>
      <c r="D73" s="66" t="str">
        <f>IFERROR(__xludf.DUMMYFUNCTION("""COMPUTED_VALUE"""),"Active")</f>
        <v>Active</v>
      </c>
      <c r="E73" s="15">
        <f>IFERROR(__xludf.DUMMYFUNCTION("""COMPUTED_VALUE"""),45798.0)</f>
        <v>45798</v>
      </c>
      <c r="F73" s="66"/>
      <c r="G73" s="18">
        <f>IFERROR(__xludf.DUMMYFUNCTION("""COMPUTED_VALUE"""),16.5)</f>
        <v>16.5</v>
      </c>
      <c r="H73" s="15">
        <f>IFERROR(__xludf.DUMMYFUNCTION("""COMPUTED_VALUE"""),30399.0)</f>
        <v>30399</v>
      </c>
      <c r="I73" s="18">
        <f>IFERROR(__xludf.DUMMYFUNCTION("""COMPUTED_VALUE"""),42.15833333333333)</f>
        <v>42.15833333</v>
      </c>
      <c r="J73" s="22">
        <f>IFERROR(__xludf.DUMMYFUNCTION("""COMPUTED_VALUE"""),73.0)</f>
        <v>73</v>
      </c>
      <c r="K73" s="22"/>
      <c r="L73" s="66" t="str">
        <f>IFERROR(__xludf.DUMMYFUNCTION("""COMPUTED_VALUE"""),"Shooter")</f>
        <v>Shooter</v>
      </c>
      <c r="M73" s="66"/>
      <c r="N73" s="66" t="str">
        <f>IFERROR(__xludf.DUMMYFUNCTION("""COMPUTED_VALUE"""),"Retro Classics: Atari 2600")</f>
        <v>Retro Classics: Atari 2600</v>
      </c>
      <c r="O73" s="66"/>
      <c r="P73" s="66"/>
      <c r="Q73" s="66"/>
      <c r="R73" s="66"/>
      <c r="S73" s="66"/>
    </row>
    <row r="74">
      <c r="A74" s="66" t="str">
        <f>IFERROR(__xludf.DUMMYFUNCTION("""COMPUTED_VALUE"""),"Sky Jinks")</f>
        <v>Sky Jinks</v>
      </c>
      <c r="B74" s="66" t="str">
        <f>IFERROR(__xludf.DUMMYFUNCTION("""COMPUTED_VALUE"""),"Xbox / PC")</f>
        <v>Xbox / PC</v>
      </c>
      <c r="C74" s="66" t="str">
        <f>IFERROR(__xludf.DUMMYFUNCTION("""COMPUTED_VALUE"""),"Yes")</f>
        <v>Yes</v>
      </c>
      <c r="D74" s="66" t="str">
        <f>IFERROR(__xludf.DUMMYFUNCTION("""COMPUTED_VALUE"""),"Active")</f>
        <v>Active</v>
      </c>
      <c r="E74" s="15">
        <f>IFERROR(__xludf.DUMMYFUNCTION("""COMPUTED_VALUE"""),45798.0)</f>
        <v>45798</v>
      </c>
      <c r="F74" s="66"/>
      <c r="G74" s="18">
        <f>IFERROR(__xludf.DUMMYFUNCTION("""COMPUTED_VALUE"""),16.5)</f>
        <v>16.5</v>
      </c>
      <c r="H74" s="15">
        <f>IFERROR(__xludf.DUMMYFUNCTION("""COMPUTED_VALUE"""),30256.0)</f>
        <v>30256</v>
      </c>
      <c r="I74" s="18">
        <f>IFERROR(__xludf.DUMMYFUNCTION("""COMPUTED_VALUE"""),42.55555555555556)</f>
        <v>42.55555556</v>
      </c>
      <c r="J74" s="22">
        <f>IFERROR(__xludf.DUMMYFUNCTION("""COMPUTED_VALUE"""),63.0)</f>
        <v>63</v>
      </c>
      <c r="K74" s="22"/>
      <c r="L74" s="66" t="str">
        <f>IFERROR(__xludf.DUMMYFUNCTION("""COMPUTED_VALUE"""),"Shooter")</f>
        <v>Shooter</v>
      </c>
      <c r="M74" s="66"/>
      <c r="N74" s="66" t="str">
        <f>IFERROR(__xludf.DUMMYFUNCTION("""COMPUTED_VALUE"""),"Retro Classics: Atari 2600")</f>
        <v>Retro Classics: Atari 2600</v>
      </c>
      <c r="O74" s="66"/>
      <c r="P74" s="66"/>
      <c r="Q74" s="66"/>
      <c r="R74" s="66"/>
      <c r="S74" s="66"/>
    </row>
    <row r="75">
      <c r="A75" s="66" t="str">
        <f>IFERROR(__xludf.DUMMYFUNCTION("""COMPUTED_VALUE"""),"Space Quest 2")</f>
        <v>Space Quest 2</v>
      </c>
      <c r="B75" s="66" t="str">
        <f>IFERROR(__xludf.DUMMYFUNCTION("""COMPUTED_VALUE"""),"Xbox / PC")</f>
        <v>Xbox / PC</v>
      </c>
      <c r="C75" s="66" t="str">
        <f>IFERROR(__xludf.DUMMYFUNCTION("""COMPUTED_VALUE"""),"Yes")</f>
        <v>Yes</v>
      </c>
      <c r="D75" s="66" t="str">
        <f>IFERROR(__xludf.DUMMYFUNCTION("""COMPUTED_VALUE"""),"Active")</f>
        <v>Active</v>
      </c>
      <c r="E75" s="15">
        <f>IFERROR(__xludf.DUMMYFUNCTION("""COMPUTED_VALUE"""),45798.0)</f>
        <v>45798</v>
      </c>
      <c r="F75" s="66"/>
      <c r="G75" s="18">
        <f>IFERROR(__xludf.DUMMYFUNCTION("""COMPUTED_VALUE"""),16.5)</f>
        <v>16.5</v>
      </c>
      <c r="H75" s="15">
        <f>IFERROR(__xludf.DUMMYFUNCTION("""COMPUTED_VALUE"""),32082.0)</f>
        <v>32082</v>
      </c>
      <c r="I75" s="18">
        <f>IFERROR(__xludf.DUMMYFUNCTION("""COMPUTED_VALUE"""),37.55555555555556)</f>
        <v>37.55555556</v>
      </c>
      <c r="J75" s="22">
        <f>IFERROR(__xludf.DUMMYFUNCTION("""COMPUTED_VALUE"""),83.0)</f>
        <v>83</v>
      </c>
      <c r="K75" s="22">
        <f>IFERROR(__xludf.DUMMYFUNCTION("""COMPUTED_VALUE"""),3.0)</f>
        <v>3</v>
      </c>
      <c r="L75" s="66" t="str">
        <f>IFERROR(__xludf.DUMMYFUNCTION("""COMPUTED_VALUE"""),"Action‑Adventure")</f>
        <v>Action‑Adventure</v>
      </c>
      <c r="M75" s="66"/>
      <c r="N75" s="66" t="str">
        <f>IFERROR(__xludf.DUMMYFUNCTION("""COMPUTED_VALUE"""),"Retro Classics: Amiga, Sierra Entertainment (defunct) publisher")</f>
        <v>Retro Classics: Amiga, Sierra Entertainment (defunct) publisher</v>
      </c>
      <c r="O75" s="66"/>
      <c r="P75" s="66"/>
      <c r="Q75" s="66"/>
      <c r="R75" s="66"/>
      <c r="S75" s="66"/>
    </row>
    <row r="76">
      <c r="A76" s="66" t="str">
        <f>IFERROR(__xludf.DUMMYFUNCTION("""COMPUTED_VALUE"""),"Space Quest 6")</f>
        <v>Space Quest 6</v>
      </c>
      <c r="B76" s="66" t="str">
        <f>IFERROR(__xludf.DUMMYFUNCTION("""COMPUTED_VALUE"""),"Xbox / PC")</f>
        <v>Xbox / PC</v>
      </c>
      <c r="C76" s="66" t="str">
        <f>IFERROR(__xludf.DUMMYFUNCTION("""COMPUTED_VALUE"""),"Yes")</f>
        <v>Yes</v>
      </c>
      <c r="D76" s="66" t="str">
        <f>IFERROR(__xludf.DUMMYFUNCTION("""COMPUTED_VALUE"""),"Active")</f>
        <v>Active</v>
      </c>
      <c r="E76" s="15">
        <f>IFERROR(__xludf.DUMMYFUNCTION("""COMPUTED_VALUE"""),45798.0)</f>
        <v>45798</v>
      </c>
      <c r="F76" s="66"/>
      <c r="G76" s="18">
        <f>IFERROR(__xludf.DUMMYFUNCTION("""COMPUTED_VALUE"""),16.5)</f>
        <v>16.5</v>
      </c>
      <c r="H76" s="15">
        <f>IFERROR(__xludf.DUMMYFUNCTION("""COMPUTED_VALUE"""),34891.0)</f>
        <v>34891</v>
      </c>
      <c r="I76" s="18">
        <f>IFERROR(__xludf.DUMMYFUNCTION("""COMPUTED_VALUE"""),29.86111111111111)</f>
        <v>29.86111111</v>
      </c>
      <c r="J76" s="22">
        <f>IFERROR(__xludf.DUMMYFUNCTION("""COMPUTED_VALUE"""),71.0)</f>
        <v>71</v>
      </c>
      <c r="K76" s="22">
        <f>IFERROR(__xludf.DUMMYFUNCTION("""COMPUTED_VALUE"""),4.0)</f>
        <v>4</v>
      </c>
      <c r="L76" s="66" t="str">
        <f>IFERROR(__xludf.DUMMYFUNCTION("""COMPUTED_VALUE"""),"Action‑Adventure")</f>
        <v>Action‑Adventure</v>
      </c>
      <c r="M76" s="66"/>
      <c r="N76" s="66" t="str">
        <f>IFERROR(__xludf.DUMMYFUNCTION("""COMPUTED_VALUE"""),"Retro Classics: DOS, Sierra Entertainment (defunct) publisher")</f>
        <v>Retro Classics: DOS, Sierra Entertainment (defunct) publisher</v>
      </c>
      <c r="O76" s="66"/>
      <c r="P76" s="66"/>
      <c r="Q76" s="66"/>
      <c r="R76" s="66"/>
      <c r="S76" s="66"/>
    </row>
    <row r="77">
      <c r="A77" s="66" t="str">
        <f>IFERROR(__xludf.DUMMYFUNCTION("""COMPUTED_VALUE"""),"Space Treat Deluxe")</f>
        <v>Space Treat Deluxe</v>
      </c>
      <c r="B77" s="66" t="str">
        <f>IFERROR(__xludf.DUMMYFUNCTION("""COMPUTED_VALUE"""),"Xbox / PC")</f>
        <v>Xbox / PC</v>
      </c>
      <c r="C77" s="66" t="str">
        <f>IFERROR(__xludf.DUMMYFUNCTION("""COMPUTED_VALUE"""),"Yes")</f>
        <v>Yes</v>
      </c>
      <c r="D77" s="66" t="str">
        <f>IFERROR(__xludf.DUMMYFUNCTION("""COMPUTED_VALUE"""),"Active")</f>
        <v>Active</v>
      </c>
      <c r="E77" s="15">
        <f>IFERROR(__xludf.DUMMYFUNCTION("""COMPUTED_VALUE"""),45798.0)</f>
        <v>45798</v>
      </c>
      <c r="F77" s="66"/>
      <c r="G77" s="18">
        <f>IFERROR(__xludf.DUMMYFUNCTION("""COMPUTED_VALUE"""),16.5)</f>
        <v>16.5</v>
      </c>
      <c r="H77" s="15">
        <f>IFERROR(__xludf.DUMMYFUNCTION("""COMPUTED_VALUE"""),37714.0)</f>
        <v>37714</v>
      </c>
      <c r="I77" s="18">
        <f>IFERROR(__xludf.DUMMYFUNCTION("""COMPUTED_VALUE"""),22.133333333333333)</f>
        <v>22.13333333</v>
      </c>
      <c r="J77" s="22"/>
      <c r="K77" s="22"/>
      <c r="L77" s="66" t="str">
        <f>IFERROR(__xludf.DUMMYFUNCTION("""COMPUTED_VALUE"""),"Action")</f>
        <v>Action</v>
      </c>
      <c r="M77" s="66"/>
      <c r="N77" s="66" t="str">
        <f>IFERROR(__xludf.DUMMYFUNCTION("""COMPUTED_VALUE"""),"Retro Classics: Atari 2600")</f>
        <v>Retro Classics: Atari 2600</v>
      </c>
      <c r="O77" s="66"/>
      <c r="P77" s="66"/>
      <c r="Q77" s="66"/>
      <c r="R77" s="66"/>
      <c r="S77" s="66"/>
    </row>
    <row r="78">
      <c r="A78" s="66" t="str">
        <f>IFERROR(__xludf.DUMMYFUNCTION("""COMPUTED_VALUE"""),"Spider Fighter")</f>
        <v>Spider Fighter</v>
      </c>
      <c r="B78" s="66" t="str">
        <f>IFERROR(__xludf.DUMMYFUNCTION("""COMPUTED_VALUE"""),"Xbox / PC")</f>
        <v>Xbox / PC</v>
      </c>
      <c r="C78" s="66" t="str">
        <f>IFERROR(__xludf.DUMMYFUNCTION("""COMPUTED_VALUE"""),"Yes")</f>
        <v>Yes</v>
      </c>
      <c r="D78" s="66" t="str">
        <f>IFERROR(__xludf.DUMMYFUNCTION("""COMPUTED_VALUE"""),"Active")</f>
        <v>Active</v>
      </c>
      <c r="E78" s="15">
        <f>IFERROR(__xludf.DUMMYFUNCTION("""COMPUTED_VALUE"""),45798.0)</f>
        <v>45798</v>
      </c>
      <c r="F78" s="66"/>
      <c r="G78" s="18">
        <f>IFERROR(__xludf.DUMMYFUNCTION("""COMPUTED_VALUE"""),16.5)</f>
        <v>16.5</v>
      </c>
      <c r="H78" s="15">
        <f>IFERROR(__xludf.DUMMYFUNCTION("""COMPUTED_VALUE"""),30317.0)</f>
        <v>30317</v>
      </c>
      <c r="I78" s="18">
        <f>IFERROR(__xludf.DUMMYFUNCTION("""COMPUTED_VALUE"""),42.388888888888886)</f>
        <v>42.38888889</v>
      </c>
      <c r="J78" s="22">
        <f>IFERROR(__xludf.DUMMYFUNCTION("""COMPUTED_VALUE"""),72.0)</f>
        <v>72</v>
      </c>
      <c r="K78" s="22"/>
      <c r="L78" s="66" t="str">
        <f>IFERROR(__xludf.DUMMYFUNCTION("""COMPUTED_VALUE"""),"Shooter")</f>
        <v>Shooter</v>
      </c>
      <c r="M78" s="66"/>
      <c r="N78" s="66" t="str">
        <f>IFERROR(__xludf.DUMMYFUNCTION("""COMPUTED_VALUE"""),"Retro Classics: Atari 2600")</f>
        <v>Retro Classics: Atari 2600</v>
      </c>
      <c r="O78" s="66"/>
      <c r="P78" s="66"/>
      <c r="Q78" s="66"/>
      <c r="R78" s="66"/>
      <c r="S78" s="66"/>
    </row>
    <row r="79">
      <c r="A79" s="66" t="str">
        <f>IFERROR(__xludf.DUMMYFUNCTION("""COMPUTED_VALUE"""),"Star Voyager")</f>
        <v>Star Voyager</v>
      </c>
      <c r="B79" s="66" t="str">
        <f>IFERROR(__xludf.DUMMYFUNCTION("""COMPUTED_VALUE"""),"Xbox / PC")</f>
        <v>Xbox / PC</v>
      </c>
      <c r="C79" s="66" t="str">
        <f>IFERROR(__xludf.DUMMYFUNCTION("""COMPUTED_VALUE"""),"Yes")</f>
        <v>Yes</v>
      </c>
      <c r="D79" s="66" t="str">
        <f>IFERROR(__xludf.DUMMYFUNCTION("""COMPUTED_VALUE"""),"Active")</f>
        <v>Active</v>
      </c>
      <c r="E79" s="15">
        <f>IFERROR(__xludf.DUMMYFUNCTION("""COMPUTED_VALUE"""),45798.0)</f>
        <v>45798</v>
      </c>
      <c r="F79" s="66"/>
      <c r="G79" s="18">
        <f>IFERROR(__xludf.DUMMYFUNCTION("""COMPUTED_VALUE"""),16.5)</f>
        <v>16.5</v>
      </c>
      <c r="H79" s="15">
        <f>IFERROR(__xludf.DUMMYFUNCTION("""COMPUTED_VALUE"""),30042.0)</f>
        <v>30042</v>
      </c>
      <c r="I79" s="18">
        <f>IFERROR(__xludf.DUMMYFUNCTION("""COMPUTED_VALUE"""),43.138888888888886)</f>
        <v>43.13888889</v>
      </c>
      <c r="J79" s="22">
        <f>IFERROR(__xludf.DUMMYFUNCTION("""COMPUTED_VALUE"""),59.0)</f>
        <v>59</v>
      </c>
      <c r="K79" s="22"/>
      <c r="L79" s="66" t="str">
        <f>IFERROR(__xludf.DUMMYFUNCTION("""COMPUTED_VALUE"""),"Shooter")</f>
        <v>Shooter</v>
      </c>
      <c r="M79" s="66"/>
      <c r="N79" s="66" t="str">
        <f>IFERROR(__xludf.DUMMYFUNCTION("""COMPUTED_VALUE"""),"Retro Classics: Atari 2600")</f>
        <v>Retro Classics: Atari 2600</v>
      </c>
      <c r="O79" s="66"/>
      <c r="P79" s="66"/>
      <c r="Q79" s="66"/>
      <c r="R79" s="66"/>
      <c r="S79" s="66"/>
    </row>
    <row r="80">
      <c r="A80" s="66" t="str">
        <f>IFERROR(__xludf.DUMMYFUNCTION("""COMPUTED_VALUE"""),"Tennis")</f>
        <v>Tennis</v>
      </c>
      <c r="B80" s="66" t="str">
        <f>IFERROR(__xludf.DUMMYFUNCTION("""COMPUTED_VALUE"""),"Xbox / PC")</f>
        <v>Xbox / PC</v>
      </c>
      <c r="C80" s="66" t="str">
        <f>IFERROR(__xludf.DUMMYFUNCTION("""COMPUTED_VALUE"""),"Yes")</f>
        <v>Yes</v>
      </c>
      <c r="D80" s="66" t="str">
        <f>IFERROR(__xludf.DUMMYFUNCTION("""COMPUTED_VALUE"""),"Active")</f>
        <v>Active</v>
      </c>
      <c r="E80" s="15">
        <f>IFERROR(__xludf.DUMMYFUNCTION("""COMPUTED_VALUE"""),45798.0)</f>
        <v>45798</v>
      </c>
      <c r="F80" s="66"/>
      <c r="G80" s="18">
        <f>IFERROR(__xludf.DUMMYFUNCTION("""COMPUTED_VALUE"""),16.5)</f>
        <v>16.5</v>
      </c>
      <c r="H80" s="15">
        <f>IFERROR(__xludf.DUMMYFUNCTION("""COMPUTED_VALUE"""),29646.0)</f>
        <v>29646</v>
      </c>
      <c r="I80" s="18">
        <f>IFERROR(__xludf.DUMMYFUNCTION("""COMPUTED_VALUE"""),44.22222222222222)</f>
        <v>44.22222222</v>
      </c>
      <c r="J80" s="22">
        <f>IFERROR(__xludf.DUMMYFUNCTION("""COMPUTED_VALUE"""),60.0)</f>
        <v>60</v>
      </c>
      <c r="K80" s="22"/>
      <c r="L80" s="66" t="str">
        <f>IFERROR(__xludf.DUMMYFUNCTION("""COMPUTED_VALUE"""),"Sports")</f>
        <v>Sports</v>
      </c>
      <c r="M80" s="66"/>
      <c r="N80" s="66" t="str">
        <f>IFERROR(__xludf.DUMMYFUNCTION("""COMPUTED_VALUE"""),"Retro Classics: Atari 2600")</f>
        <v>Retro Classics: Atari 2600</v>
      </c>
      <c r="O80" s="66"/>
      <c r="P80" s="66"/>
      <c r="Q80" s="66"/>
      <c r="R80" s="66"/>
      <c r="S80" s="66"/>
    </row>
    <row r="81">
      <c r="A81" s="66" t="str">
        <f>IFERROR(__xludf.DUMMYFUNCTION("""COMPUTED_VALUE"""),"The Adventures of Willy Beamish")</f>
        <v>The Adventures of Willy Beamish</v>
      </c>
      <c r="B81" s="66" t="str">
        <f>IFERROR(__xludf.DUMMYFUNCTION("""COMPUTED_VALUE"""),"Xbox / PC")</f>
        <v>Xbox / PC</v>
      </c>
      <c r="C81" s="66" t="str">
        <f>IFERROR(__xludf.DUMMYFUNCTION("""COMPUTED_VALUE"""),"Yes")</f>
        <v>Yes</v>
      </c>
      <c r="D81" s="66" t="str">
        <f>IFERROR(__xludf.DUMMYFUNCTION("""COMPUTED_VALUE"""),"Active")</f>
        <v>Active</v>
      </c>
      <c r="E81" s="15">
        <f>IFERROR(__xludf.DUMMYFUNCTION("""COMPUTED_VALUE"""),45798.0)</f>
        <v>45798</v>
      </c>
      <c r="F81" s="66"/>
      <c r="G81" s="18">
        <f>IFERROR(__xludf.DUMMYFUNCTION("""COMPUTED_VALUE"""),16.5)</f>
        <v>16.5</v>
      </c>
      <c r="H81" s="15">
        <f>IFERROR(__xludf.DUMMYFUNCTION("""COMPUTED_VALUE"""),33506.0)</f>
        <v>33506</v>
      </c>
      <c r="I81" s="18">
        <f>IFERROR(__xludf.DUMMYFUNCTION("""COMPUTED_VALUE"""),33.65555555555556)</f>
        <v>33.65555556</v>
      </c>
      <c r="J81" s="22">
        <f>IFERROR(__xludf.DUMMYFUNCTION("""COMPUTED_VALUE"""),71.0)</f>
        <v>71</v>
      </c>
      <c r="K81" s="22">
        <f>IFERROR(__xludf.DUMMYFUNCTION("""COMPUTED_VALUE"""),5.0)</f>
        <v>5</v>
      </c>
      <c r="L81" s="66" t="str">
        <f>IFERROR(__xludf.DUMMYFUNCTION("""COMPUTED_VALUE"""),"Action‑Adventure")</f>
        <v>Action‑Adventure</v>
      </c>
      <c r="M81" s="66"/>
      <c r="N81" s="66" t="str">
        <f>IFERROR(__xludf.DUMMYFUNCTION("""COMPUTED_VALUE"""),"Retro Classics: Amiga, Sierra Entertainment (defunct) publisher")</f>
        <v>Retro Classics: Amiga, Sierra Entertainment (defunct) publisher</v>
      </c>
      <c r="O81" s="66"/>
      <c r="P81" s="66"/>
      <c r="Q81" s="66"/>
      <c r="R81" s="66"/>
      <c r="S81" s="66"/>
    </row>
    <row r="82">
      <c r="A82" s="66" t="str">
        <f>IFERROR(__xludf.DUMMYFUNCTION("""COMPUTED_VALUE"""),"The Dagger of Amon Ra")</f>
        <v>The Dagger of Amon Ra</v>
      </c>
      <c r="B82" s="66" t="str">
        <f>IFERROR(__xludf.DUMMYFUNCTION("""COMPUTED_VALUE"""),"Xbox / PC")</f>
        <v>Xbox / PC</v>
      </c>
      <c r="C82" s="66" t="str">
        <f>IFERROR(__xludf.DUMMYFUNCTION("""COMPUTED_VALUE"""),"Yes")</f>
        <v>Yes</v>
      </c>
      <c r="D82" s="66" t="str">
        <f>IFERROR(__xludf.DUMMYFUNCTION("""COMPUTED_VALUE"""),"Active")</f>
        <v>Active</v>
      </c>
      <c r="E82" s="15">
        <f>IFERROR(__xludf.DUMMYFUNCTION("""COMPUTED_VALUE"""),45798.0)</f>
        <v>45798</v>
      </c>
      <c r="F82" s="66"/>
      <c r="G82" s="18">
        <f>IFERROR(__xludf.DUMMYFUNCTION("""COMPUTED_VALUE"""),16.5)</f>
        <v>16.5</v>
      </c>
      <c r="H82" s="15">
        <f>IFERROR(__xludf.DUMMYFUNCTION("""COMPUTED_VALUE"""),33604.0)</f>
        <v>33604</v>
      </c>
      <c r="I82" s="18">
        <f>IFERROR(__xludf.DUMMYFUNCTION("""COMPUTED_VALUE"""),33.388888888888886)</f>
        <v>33.38888889</v>
      </c>
      <c r="J82" s="22">
        <f>IFERROR(__xludf.DUMMYFUNCTION("""COMPUTED_VALUE"""),73.0)</f>
        <v>73</v>
      </c>
      <c r="K82" s="22">
        <f>IFERROR(__xludf.DUMMYFUNCTION("""COMPUTED_VALUE"""),4.0)</f>
        <v>4</v>
      </c>
      <c r="L82" s="66" t="str">
        <f>IFERROR(__xludf.DUMMYFUNCTION("""COMPUTED_VALUE"""),"Action‑Adventure")</f>
        <v>Action‑Adventure</v>
      </c>
      <c r="M82" s="66"/>
      <c r="N82" s="66" t="str">
        <f>IFERROR(__xludf.DUMMYFUNCTION("""COMPUTED_VALUE"""),"Retro Classics: DOS, Sierra Entertainment (defunct) publisher")</f>
        <v>Retro Classics: DOS, Sierra Entertainment (defunct) publisher</v>
      </c>
      <c r="O82" s="66"/>
      <c r="P82" s="66"/>
      <c r="Q82" s="66"/>
      <c r="R82" s="66"/>
      <c r="S82" s="66"/>
    </row>
    <row r="83">
      <c r="A83" s="66" t="str">
        <f>IFERROR(__xludf.DUMMYFUNCTION("""COMPUTED_VALUE"""),"Thwocker")</f>
        <v>Thwocker</v>
      </c>
      <c r="B83" s="66" t="str">
        <f>IFERROR(__xludf.DUMMYFUNCTION("""COMPUTED_VALUE"""),"Xbox / PC")</f>
        <v>Xbox / PC</v>
      </c>
      <c r="C83" s="66" t="str">
        <f>IFERROR(__xludf.DUMMYFUNCTION("""COMPUTED_VALUE"""),"Yes")</f>
        <v>Yes</v>
      </c>
      <c r="D83" s="66" t="str">
        <f>IFERROR(__xludf.DUMMYFUNCTION("""COMPUTED_VALUE"""),"Active")</f>
        <v>Active</v>
      </c>
      <c r="E83" s="15">
        <f>IFERROR(__xludf.DUMMYFUNCTION("""COMPUTED_VALUE"""),45798.0)</f>
        <v>45798</v>
      </c>
      <c r="F83" s="66"/>
      <c r="G83" s="18">
        <f>IFERROR(__xludf.DUMMYFUNCTION("""COMPUTED_VALUE"""),16.5)</f>
        <v>16.5</v>
      </c>
      <c r="H83" s="15">
        <f>IFERROR(__xludf.DUMMYFUNCTION("""COMPUTED_VALUE"""),30682.0)</f>
        <v>30682</v>
      </c>
      <c r="I83" s="18">
        <f>IFERROR(__xludf.DUMMYFUNCTION("""COMPUTED_VALUE"""),41.388888888888886)</f>
        <v>41.38888889</v>
      </c>
      <c r="J83" s="22"/>
      <c r="K83" s="22"/>
      <c r="L83" s="66" t="str">
        <f>IFERROR(__xludf.DUMMYFUNCTION("""COMPUTED_VALUE"""),"Action")</f>
        <v>Action</v>
      </c>
      <c r="M83" s="66"/>
      <c r="N83" s="66" t="str">
        <f>IFERROR(__xludf.DUMMYFUNCTION("""COMPUTED_VALUE"""),"Retro Classics: Atari 2600")</f>
        <v>Retro Classics: Atari 2600</v>
      </c>
      <c r="O83" s="66"/>
      <c r="P83" s="66"/>
      <c r="Q83" s="66"/>
      <c r="R83" s="66"/>
      <c r="S83" s="66"/>
    </row>
    <row r="84">
      <c r="A84" s="66" t="str">
        <f>IFERROR(__xludf.DUMMYFUNCTION("""COMPUTED_VALUE"""),"Title Match Pro Wrestling")</f>
        <v>Title Match Pro Wrestling</v>
      </c>
      <c r="B84" s="66" t="str">
        <f>IFERROR(__xludf.DUMMYFUNCTION("""COMPUTED_VALUE"""),"Xbox / PC")</f>
        <v>Xbox / PC</v>
      </c>
      <c r="C84" s="66" t="str">
        <f>IFERROR(__xludf.DUMMYFUNCTION("""COMPUTED_VALUE"""),"Yes")</f>
        <v>Yes</v>
      </c>
      <c r="D84" s="66" t="str">
        <f>IFERROR(__xludf.DUMMYFUNCTION("""COMPUTED_VALUE"""),"Active")</f>
        <v>Active</v>
      </c>
      <c r="E84" s="15">
        <f>IFERROR(__xludf.DUMMYFUNCTION("""COMPUTED_VALUE"""),45798.0)</f>
        <v>45798</v>
      </c>
      <c r="F84" s="66"/>
      <c r="G84" s="18">
        <f>IFERROR(__xludf.DUMMYFUNCTION("""COMPUTED_VALUE"""),16.5)</f>
        <v>16.5</v>
      </c>
      <c r="H84" s="15">
        <f>IFERROR(__xludf.DUMMYFUNCTION("""COMPUTED_VALUE"""),31972.0)</f>
        <v>31972</v>
      </c>
      <c r="I84" s="18">
        <f>IFERROR(__xludf.DUMMYFUNCTION("""COMPUTED_VALUE"""),37.852777777777774)</f>
        <v>37.85277778</v>
      </c>
      <c r="J84" s="22">
        <f>IFERROR(__xludf.DUMMYFUNCTION("""COMPUTED_VALUE"""),50.0)</f>
        <v>50</v>
      </c>
      <c r="K84" s="22"/>
      <c r="L84" s="66" t="str">
        <f>IFERROR(__xludf.DUMMYFUNCTION("""COMPUTED_VALUE"""),"Sports")</f>
        <v>Sports</v>
      </c>
      <c r="M84" s="66"/>
      <c r="N84" s="66" t="str">
        <f>IFERROR(__xludf.DUMMYFUNCTION("""COMPUTED_VALUE"""),"Retro Classics: Atari 2600")</f>
        <v>Retro Classics: Atari 2600</v>
      </c>
      <c r="O84" s="66"/>
      <c r="P84" s="66"/>
      <c r="Q84" s="66"/>
      <c r="R84" s="66"/>
      <c r="S84" s="66"/>
    </row>
    <row r="85">
      <c r="A85" s="66" t="str">
        <f>IFERROR(__xludf.DUMMYFUNCTION("""COMPUTED_VALUE"""),"Torin's Passage")</f>
        <v>Torin's Passage</v>
      </c>
      <c r="B85" s="66" t="str">
        <f>IFERROR(__xludf.DUMMYFUNCTION("""COMPUTED_VALUE"""),"Xbox / PC")</f>
        <v>Xbox / PC</v>
      </c>
      <c r="C85" s="66" t="str">
        <f>IFERROR(__xludf.DUMMYFUNCTION("""COMPUTED_VALUE"""),"Yes")</f>
        <v>Yes</v>
      </c>
      <c r="D85" s="66" t="str">
        <f>IFERROR(__xludf.DUMMYFUNCTION("""COMPUTED_VALUE"""),"Active")</f>
        <v>Active</v>
      </c>
      <c r="E85" s="15">
        <f>IFERROR(__xludf.DUMMYFUNCTION("""COMPUTED_VALUE"""),45798.0)</f>
        <v>45798</v>
      </c>
      <c r="F85" s="66"/>
      <c r="G85" s="18">
        <f>IFERROR(__xludf.DUMMYFUNCTION("""COMPUTED_VALUE"""),16.5)</f>
        <v>16.5</v>
      </c>
      <c r="H85" s="15">
        <f>IFERROR(__xludf.DUMMYFUNCTION("""COMPUTED_VALUE"""),35003.0)</f>
        <v>35003</v>
      </c>
      <c r="I85" s="18">
        <f>IFERROR(__xludf.DUMMYFUNCTION("""COMPUTED_VALUE"""),29.558333333333334)</f>
        <v>29.55833333</v>
      </c>
      <c r="J85" s="22"/>
      <c r="K85" s="22">
        <f>IFERROR(__xludf.DUMMYFUNCTION("""COMPUTED_VALUE"""),4.0)</f>
        <v>4</v>
      </c>
      <c r="L85" s="66" t="str">
        <f>IFERROR(__xludf.DUMMYFUNCTION("""COMPUTED_VALUE"""),"Action‑Adventure")</f>
        <v>Action‑Adventure</v>
      </c>
      <c r="M85" s="66"/>
      <c r="N85" s="66" t="str">
        <f>IFERROR(__xludf.DUMMYFUNCTION("""COMPUTED_VALUE"""),"Retro Classics: DOS, Sierra Entertainment (defunct) publisher")</f>
        <v>Retro Classics: DOS, Sierra Entertainment (defunct) publisher</v>
      </c>
      <c r="O85" s="66"/>
      <c r="P85" s="66"/>
      <c r="Q85" s="66"/>
      <c r="R85" s="66"/>
      <c r="S85" s="66"/>
    </row>
    <row r="86">
      <c r="A86" s="66" t="str">
        <f>IFERROR(__xludf.DUMMYFUNCTION("""COMPUTED_VALUE"""),"Trick Shot")</f>
        <v>Trick Shot</v>
      </c>
      <c r="B86" s="66" t="str">
        <f>IFERROR(__xludf.DUMMYFUNCTION("""COMPUTED_VALUE"""),"Xbox / PC")</f>
        <v>Xbox / PC</v>
      </c>
      <c r="C86" s="66" t="str">
        <f>IFERROR(__xludf.DUMMYFUNCTION("""COMPUTED_VALUE"""),"Yes")</f>
        <v>Yes</v>
      </c>
      <c r="D86" s="66" t="str">
        <f>IFERROR(__xludf.DUMMYFUNCTION("""COMPUTED_VALUE"""),"Active")</f>
        <v>Active</v>
      </c>
      <c r="E86" s="15">
        <f>IFERROR(__xludf.DUMMYFUNCTION("""COMPUTED_VALUE"""),45798.0)</f>
        <v>45798</v>
      </c>
      <c r="F86" s="66"/>
      <c r="G86" s="18">
        <f>IFERROR(__xludf.DUMMYFUNCTION("""COMPUTED_VALUE"""),16.5)</f>
        <v>16.5</v>
      </c>
      <c r="H86" s="15">
        <f>IFERROR(__xludf.DUMMYFUNCTION("""COMPUTED_VALUE"""),29952.0)</f>
        <v>29952</v>
      </c>
      <c r="I86" s="18">
        <f>IFERROR(__xludf.DUMMYFUNCTION("""COMPUTED_VALUE"""),43.388888888888886)</f>
        <v>43.38888889</v>
      </c>
      <c r="J86" s="22">
        <f>IFERROR(__xludf.DUMMYFUNCTION("""COMPUTED_VALUE"""),60.0)</f>
        <v>60</v>
      </c>
      <c r="K86" s="22"/>
      <c r="L86" s="66" t="str">
        <f>IFERROR(__xludf.DUMMYFUNCTION("""COMPUTED_VALUE"""),"Sports")</f>
        <v>Sports</v>
      </c>
      <c r="M86" s="66"/>
      <c r="N86" s="66" t="str">
        <f>IFERROR(__xludf.DUMMYFUNCTION("""COMPUTED_VALUE"""),"Retro Classics: Atari 2600")</f>
        <v>Retro Classics: Atari 2600</v>
      </c>
      <c r="O86" s="66"/>
      <c r="P86" s="66"/>
      <c r="Q86" s="66"/>
      <c r="R86" s="66"/>
      <c r="S86" s="66"/>
    </row>
    <row r="87">
      <c r="A87" s="66" t="str">
        <f>IFERROR(__xludf.DUMMYFUNCTION("""COMPUTED_VALUE"""),"Vault Assault")</f>
        <v>Vault Assault</v>
      </c>
      <c r="B87" s="66" t="str">
        <f>IFERROR(__xludf.DUMMYFUNCTION("""COMPUTED_VALUE"""),"Xbox / PC")</f>
        <v>Xbox / PC</v>
      </c>
      <c r="C87" s="66" t="str">
        <f>IFERROR(__xludf.DUMMYFUNCTION("""COMPUTED_VALUE"""),"Yes")</f>
        <v>Yes</v>
      </c>
      <c r="D87" s="66" t="str">
        <f>IFERROR(__xludf.DUMMYFUNCTION("""COMPUTED_VALUE"""),"Active")</f>
        <v>Active</v>
      </c>
      <c r="E87" s="15">
        <f>IFERROR(__xludf.DUMMYFUNCTION("""COMPUTED_VALUE"""),45798.0)</f>
        <v>45798</v>
      </c>
      <c r="F87" s="66"/>
      <c r="G87" s="18">
        <f>IFERROR(__xludf.DUMMYFUNCTION("""COMPUTED_VALUE"""),16.5)</f>
        <v>16.5</v>
      </c>
      <c r="H87" s="15">
        <f>IFERROR(__xludf.DUMMYFUNCTION("""COMPUTED_VALUE"""),37114.0)</f>
        <v>37114</v>
      </c>
      <c r="I87" s="18">
        <f>IFERROR(__xludf.DUMMYFUNCTION("""COMPUTED_VALUE"""),23.77777777777778)</f>
        <v>23.77777778</v>
      </c>
      <c r="J87" s="22"/>
      <c r="K87" s="22"/>
      <c r="L87" s="66" t="str">
        <f>IFERROR(__xludf.DUMMYFUNCTION("""COMPUTED_VALUE"""),"Shooter")</f>
        <v>Shooter</v>
      </c>
      <c r="M87" s="66"/>
      <c r="N87" s="66" t="str">
        <f>IFERROR(__xludf.DUMMYFUNCTION("""COMPUTED_VALUE"""),"Retro Classics: Atari 2600")</f>
        <v>Retro Classics: Atari 2600</v>
      </c>
      <c r="O87" s="66"/>
      <c r="P87" s="66"/>
      <c r="Q87" s="66"/>
      <c r="R87" s="66"/>
      <c r="S87" s="66"/>
    </row>
    <row r="88">
      <c r="A88" s="66" t="str">
        <f>IFERROR(__xludf.DUMMYFUNCTION("""COMPUTED_VALUE"""),"Venetian Blinds")</f>
        <v>Venetian Blinds</v>
      </c>
      <c r="B88" s="66" t="str">
        <f>IFERROR(__xludf.DUMMYFUNCTION("""COMPUTED_VALUE"""),"Xbox / PC")</f>
        <v>Xbox / PC</v>
      </c>
      <c r="C88" s="66" t="str">
        <f>IFERROR(__xludf.DUMMYFUNCTION("""COMPUTED_VALUE"""),"Yes")</f>
        <v>Yes</v>
      </c>
      <c r="D88" s="66" t="str">
        <f>IFERROR(__xludf.DUMMYFUNCTION("""COMPUTED_VALUE"""),"Active")</f>
        <v>Active</v>
      </c>
      <c r="E88" s="15">
        <f>IFERROR(__xludf.DUMMYFUNCTION("""COMPUTED_VALUE"""),45798.0)</f>
        <v>45798</v>
      </c>
      <c r="F88" s="66"/>
      <c r="G88" s="18">
        <f>IFERROR(__xludf.DUMMYFUNCTION("""COMPUTED_VALUE"""),16.5)</f>
        <v>16.5</v>
      </c>
      <c r="H88" s="15">
        <f>IFERROR(__xludf.DUMMYFUNCTION("""COMPUTED_VALUE"""),37622.0)</f>
        <v>37622</v>
      </c>
      <c r="I88" s="18">
        <f>IFERROR(__xludf.DUMMYFUNCTION("""COMPUTED_VALUE"""),22.38888888888889)</f>
        <v>22.38888889</v>
      </c>
      <c r="J88" s="22"/>
      <c r="K88" s="22"/>
      <c r="L88" s="66" t="str">
        <f>IFERROR(__xludf.DUMMYFUNCTION("""COMPUTED_VALUE"""),"Simulation")</f>
        <v>Simulation</v>
      </c>
      <c r="M88" s="66"/>
      <c r="N88" s="66" t="str">
        <f>IFERROR(__xludf.DUMMYFUNCTION("""COMPUTED_VALUE"""),"Retro Classics: Atari 2600")</f>
        <v>Retro Classics: Atari 2600</v>
      </c>
      <c r="O88" s="66"/>
      <c r="P88" s="66"/>
      <c r="Q88" s="66"/>
      <c r="R88" s="66"/>
      <c r="S88" s="66"/>
    </row>
    <row r="89">
      <c r="A89" s="66" t="str">
        <f>IFERROR(__xludf.DUMMYFUNCTION("""COMPUTED_VALUE"""),"Zork I: The Great Underground")</f>
        <v>Zork I: The Great Underground</v>
      </c>
      <c r="B89" s="66" t="str">
        <f>IFERROR(__xludf.DUMMYFUNCTION("""COMPUTED_VALUE"""),"Xbox / PC")</f>
        <v>Xbox / PC</v>
      </c>
      <c r="C89" s="66" t="str">
        <f>IFERROR(__xludf.DUMMYFUNCTION("""COMPUTED_VALUE"""),"Yes")</f>
        <v>Yes</v>
      </c>
      <c r="D89" s="66" t="str">
        <f>IFERROR(__xludf.DUMMYFUNCTION("""COMPUTED_VALUE"""),"Active")</f>
        <v>Active</v>
      </c>
      <c r="E89" s="15">
        <f>IFERROR(__xludf.DUMMYFUNCTION("""COMPUTED_VALUE"""),45798.0)</f>
        <v>45798</v>
      </c>
      <c r="F89" s="66"/>
      <c r="G89" s="18">
        <f>IFERROR(__xludf.DUMMYFUNCTION("""COMPUTED_VALUE"""),16.5)</f>
        <v>16.5</v>
      </c>
      <c r="H89" s="15">
        <f>IFERROR(__xludf.DUMMYFUNCTION("""COMPUTED_VALUE"""),29342.0)</f>
        <v>29342</v>
      </c>
      <c r="I89" s="18">
        <f>IFERROR(__xludf.DUMMYFUNCTION("""COMPUTED_VALUE"""),45.05555555555556)</f>
        <v>45.05555556</v>
      </c>
      <c r="J89" s="22">
        <f>IFERROR(__xludf.DUMMYFUNCTION("""COMPUTED_VALUE"""),86.0)</f>
        <v>86</v>
      </c>
      <c r="K89" s="22">
        <f>IFERROR(__xludf.DUMMYFUNCTION("""COMPUTED_VALUE"""),4.0)</f>
        <v>4</v>
      </c>
      <c r="L89" s="66" t="str">
        <f>IFERROR(__xludf.DUMMYFUNCTION("""COMPUTED_VALUE"""),"Action‑Adventure")</f>
        <v>Action‑Adventure</v>
      </c>
      <c r="M89" s="66"/>
      <c r="N89" s="66" t="str">
        <f>IFERROR(__xludf.DUMMYFUNCTION("""COMPUTED_VALUE"""),"Retro Classics: DOS")</f>
        <v>Retro Classics: DOS</v>
      </c>
      <c r="O89" s="66"/>
      <c r="P89" s="66"/>
      <c r="Q89" s="66"/>
      <c r="R89" s="66"/>
      <c r="S89" s="66"/>
    </row>
    <row r="90">
      <c r="A90" s="66" t="str">
        <f>IFERROR(__xludf.DUMMYFUNCTION("""COMPUTED_VALUE"""),"Zork Zero: The Revenge of Megaboz")</f>
        <v>Zork Zero: The Revenge of Megaboz</v>
      </c>
      <c r="B90" s="66" t="str">
        <f>IFERROR(__xludf.DUMMYFUNCTION("""COMPUTED_VALUE"""),"Xbox / PC")</f>
        <v>Xbox / PC</v>
      </c>
      <c r="C90" s="66" t="str">
        <f>IFERROR(__xludf.DUMMYFUNCTION("""COMPUTED_VALUE"""),"Yes")</f>
        <v>Yes</v>
      </c>
      <c r="D90" s="66" t="str">
        <f>IFERROR(__xludf.DUMMYFUNCTION("""COMPUTED_VALUE"""),"Active")</f>
        <v>Active</v>
      </c>
      <c r="E90" s="15">
        <f>IFERROR(__xludf.DUMMYFUNCTION("""COMPUTED_VALUE"""),45798.0)</f>
        <v>45798</v>
      </c>
      <c r="F90" s="66"/>
      <c r="G90" s="18">
        <f>IFERROR(__xludf.DUMMYFUNCTION("""COMPUTED_VALUE"""),16.5)</f>
        <v>16.5</v>
      </c>
      <c r="H90" s="15">
        <f>IFERROR(__xludf.DUMMYFUNCTION("""COMPUTED_VALUE"""),32435.0)</f>
        <v>32435</v>
      </c>
      <c r="I90" s="18">
        <f>IFERROR(__xludf.DUMMYFUNCTION("""COMPUTED_VALUE"""),36.58888888888889)</f>
        <v>36.58888889</v>
      </c>
      <c r="J90" s="22"/>
      <c r="K90" s="22">
        <f>IFERROR(__xludf.DUMMYFUNCTION("""COMPUTED_VALUE"""),7.0)</f>
        <v>7</v>
      </c>
      <c r="L90" s="66" t="str">
        <f>IFERROR(__xludf.DUMMYFUNCTION("""COMPUTED_VALUE"""),"Action‑Adventure")</f>
        <v>Action‑Adventure</v>
      </c>
      <c r="M90" s="66"/>
      <c r="N90" s="66" t="str">
        <f>IFERROR(__xludf.DUMMYFUNCTION("""COMPUTED_VALUE"""),"Retro Classics: DOS")</f>
        <v>Retro Classics: DOS</v>
      </c>
      <c r="O90" s="66"/>
      <c r="P90" s="66"/>
      <c r="Q90" s="66"/>
      <c r="R90" s="66"/>
      <c r="S90" s="66"/>
    </row>
    <row r="91">
      <c r="A91" s="66"/>
      <c r="B91" s="66"/>
      <c r="C91" s="66"/>
      <c r="D91" s="66"/>
      <c r="E91" s="15"/>
      <c r="F91" s="66"/>
      <c r="G91" s="18"/>
      <c r="H91" s="15"/>
      <c r="I91" s="18"/>
      <c r="J91" s="22"/>
      <c r="K91" s="108"/>
      <c r="L91" s="66"/>
      <c r="M91" s="66"/>
      <c r="N91" s="66"/>
      <c r="O91" s="66"/>
      <c r="P91" s="66"/>
      <c r="Q91" s="66"/>
      <c r="R91" s="66"/>
      <c r="S91" s="66"/>
    </row>
    <row r="92">
      <c r="A92" s="66"/>
      <c r="B92" s="66"/>
      <c r="C92" s="66"/>
      <c r="D92" s="66"/>
      <c r="E92" s="15"/>
      <c r="F92" s="66"/>
      <c r="G92" s="18"/>
      <c r="H92" s="15"/>
      <c r="I92" s="18"/>
      <c r="J92" s="22"/>
      <c r="K92" s="108"/>
      <c r="L92" s="66"/>
      <c r="M92" s="66"/>
      <c r="N92" s="66"/>
      <c r="O92" s="66"/>
      <c r="P92" s="66"/>
      <c r="Q92" s="66"/>
      <c r="R92" s="66"/>
      <c r="S92" s="66"/>
    </row>
    <row r="93">
      <c r="A93" s="66"/>
      <c r="B93" s="66"/>
      <c r="C93" s="66"/>
      <c r="D93" s="66"/>
      <c r="E93" s="15"/>
      <c r="F93" s="66"/>
      <c r="G93" s="18"/>
      <c r="H93" s="15"/>
      <c r="I93" s="18"/>
      <c r="J93" s="22"/>
      <c r="K93" s="108"/>
      <c r="L93" s="66"/>
      <c r="M93" s="66"/>
      <c r="N93" s="66"/>
      <c r="O93" s="66"/>
      <c r="P93" s="66"/>
      <c r="Q93" s="66"/>
      <c r="R93" s="66"/>
      <c r="S93" s="66"/>
    </row>
    <row r="94">
      <c r="A94" s="66"/>
      <c r="B94" s="66"/>
      <c r="C94" s="66"/>
      <c r="D94" s="66"/>
      <c r="E94" s="15"/>
      <c r="F94" s="66"/>
      <c r="G94" s="18"/>
      <c r="H94" s="15"/>
      <c r="I94" s="18"/>
      <c r="J94" s="22"/>
      <c r="K94" s="108"/>
      <c r="L94" s="66"/>
      <c r="M94" s="66"/>
      <c r="N94" s="66"/>
      <c r="O94" s="66"/>
      <c r="P94" s="66"/>
      <c r="Q94" s="66"/>
      <c r="R94" s="66"/>
      <c r="S94" s="66"/>
    </row>
    <row r="95">
      <c r="A95" s="66"/>
      <c r="B95" s="66"/>
      <c r="C95" s="66"/>
      <c r="D95" s="66"/>
      <c r="E95" s="15"/>
      <c r="F95" s="66"/>
      <c r="G95" s="18"/>
      <c r="H95" s="15"/>
      <c r="I95" s="18"/>
      <c r="J95" s="22"/>
      <c r="K95" s="108"/>
      <c r="L95" s="66"/>
      <c r="M95" s="66"/>
      <c r="N95" s="66"/>
      <c r="O95" s="66"/>
      <c r="P95" s="66"/>
      <c r="Q95" s="66"/>
      <c r="R95" s="66"/>
      <c r="S95" s="66"/>
    </row>
    <row r="96">
      <c r="A96" s="66"/>
      <c r="B96" s="66"/>
      <c r="C96" s="66"/>
      <c r="D96" s="66"/>
      <c r="E96" s="15"/>
      <c r="F96" s="66"/>
      <c r="G96" s="18"/>
      <c r="H96" s="15"/>
      <c r="I96" s="18"/>
      <c r="J96" s="22"/>
      <c r="K96" s="108"/>
      <c r="L96" s="66"/>
      <c r="M96" s="66"/>
      <c r="N96" s="66"/>
      <c r="O96" s="66"/>
      <c r="P96" s="66"/>
      <c r="Q96" s="66"/>
      <c r="R96" s="66"/>
      <c r="S96" s="66"/>
    </row>
    <row r="97">
      <c r="A97" s="66"/>
      <c r="B97" s="66"/>
      <c r="C97" s="66"/>
      <c r="D97" s="66"/>
      <c r="E97" s="15"/>
      <c r="F97" s="66"/>
      <c r="G97" s="18"/>
      <c r="H97" s="15"/>
      <c r="I97" s="18"/>
      <c r="J97" s="22"/>
      <c r="K97" s="108"/>
      <c r="L97" s="66"/>
      <c r="M97" s="66"/>
      <c r="N97" s="66"/>
      <c r="O97" s="66"/>
      <c r="P97" s="66"/>
      <c r="Q97" s="66"/>
      <c r="R97" s="66"/>
      <c r="S97" s="66"/>
    </row>
    <row r="98">
      <c r="A98" s="66"/>
      <c r="B98" s="66"/>
      <c r="C98" s="66"/>
      <c r="D98" s="66"/>
      <c r="E98" s="15"/>
      <c r="F98" s="66"/>
      <c r="G98" s="18"/>
      <c r="H98" s="15"/>
      <c r="I98" s="18"/>
      <c r="J98" s="22"/>
      <c r="K98" s="108"/>
      <c r="L98" s="66"/>
      <c r="M98" s="66"/>
      <c r="N98" s="66"/>
      <c r="O98" s="66"/>
      <c r="P98" s="66"/>
      <c r="Q98" s="66"/>
      <c r="R98" s="66"/>
      <c r="S98" s="66"/>
    </row>
    <row r="99">
      <c r="A99" s="66"/>
      <c r="B99" s="66"/>
      <c r="C99" s="66"/>
      <c r="D99" s="66"/>
      <c r="E99" s="15"/>
      <c r="F99" s="66"/>
      <c r="G99" s="18"/>
      <c r="H99" s="15"/>
      <c r="I99" s="18"/>
      <c r="J99" s="22"/>
      <c r="K99" s="108"/>
      <c r="L99" s="66"/>
      <c r="M99" s="66"/>
      <c r="N99" s="66"/>
      <c r="O99" s="66"/>
      <c r="P99" s="66"/>
      <c r="Q99" s="66"/>
      <c r="R99" s="66"/>
      <c r="S99" s="66"/>
    </row>
    <row r="100">
      <c r="A100" s="66"/>
      <c r="B100" s="66"/>
      <c r="C100" s="66"/>
      <c r="D100" s="66"/>
      <c r="E100" s="15"/>
      <c r="F100" s="66"/>
      <c r="G100" s="18"/>
      <c r="H100" s="15"/>
      <c r="I100" s="18"/>
      <c r="J100" s="22"/>
      <c r="K100" s="108"/>
      <c r="L100" s="66"/>
      <c r="M100" s="66"/>
      <c r="N100" s="66"/>
      <c r="O100" s="66"/>
      <c r="P100" s="66"/>
      <c r="Q100" s="66"/>
      <c r="R100" s="66"/>
      <c r="S100" s="66"/>
    </row>
    <row r="101">
      <c r="A101" s="66"/>
      <c r="B101" s="66"/>
      <c r="C101" s="66"/>
      <c r="D101" s="66"/>
      <c r="E101" s="15"/>
      <c r="F101" s="66"/>
      <c r="G101" s="18"/>
      <c r="H101" s="15"/>
      <c r="I101" s="18"/>
      <c r="J101" s="22"/>
      <c r="K101" s="108"/>
      <c r="L101" s="66"/>
      <c r="M101" s="66"/>
      <c r="N101" s="66"/>
      <c r="O101" s="66"/>
      <c r="P101" s="66"/>
      <c r="Q101" s="66"/>
      <c r="R101" s="66"/>
      <c r="S101" s="66"/>
    </row>
    <row r="102">
      <c r="A102" s="66"/>
      <c r="B102" s="66"/>
      <c r="C102" s="66"/>
      <c r="D102" s="66"/>
      <c r="E102" s="15"/>
      <c r="F102" s="66"/>
      <c r="G102" s="18"/>
      <c r="H102" s="15"/>
      <c r="I102" s="18"/>
      <c r="J102" s="22"/>
      <c r="K102" s="108"/>
      <c r="L102" s="66"/>
      <c r="M102" s="66"/>
      <c r="N102" s="66"/>
      <c r="O102" s="66"/>
      <c r="P102" s="66"/>
      <c r="Q102" s="66"/>
      <c r="R102" s="66"/>
      <c r="S102" s="66"/>
    </row>
    <row r="103">
      <c r="A103" s="66"/>
      <c r="B103" s="66"/>
      <c r="C103" s="66"/>
      <c r="D103" s="66"/>
      <c r="E103" s="15"/>
      <c r="F103" s="66"/>
      <c r="G103" s="18"/>
      <c r="H103" s="15"/>
      <c r="I103" s="18"/>
      <c r="J103" s="22"/>
      <c r="K103" s="108"/>
      <c r="L103" s="66"/>
      <c r="M103" s="66"/>
      <c r="N103" s="66"/>
      <c r="O103" s="66"/>
      <c r="P103" s="66"/>
      <c r="Q103" s="66"/>
      <c r="R103" s="66"/>
      <c r="S103" s="66"/>
    </row>
    <row r="104">
      <c r="A104" s="66"/>
      <c r="B104" s="66"/>
      <c r="C104" s="66"/>
      <c r="D104" s="66"/>
      <c r="E104" s="15"/>
      <c r="F104" s="66"/>
      <c r="G104" s="18"/>
      <c r="H104" s="15"/>
      <c r="I104" s="18"/>
      <c r="J104" s="22"/>
      <c r="K104" s="108"/>
      <c r="L104" s="66"/>
      <c r="M104" s="66"/>
      <c r="N104" s="66"/>
      <c r="O104" s="66"/>
      <c r="P104" s="66"/>
      <c r="Q104" s="66"/>
      <c r="R104" s="66"/>
      <c r="S104" s="66"/>
    </row>
    <row r="105">
      <c r="A105" s="66"/>
      <c r="B105" s="66"/>
      <c r="C105" s="66"/>
      <c r="D105" s="66"/>
      <c r="E105" s="15"/>
      <c r="F105" s="66"/>
      <c r="G105" s="18"/>
      <c r="H105" s="15"/>
      <c r="I105" s="18"/>
      <c r="J105" s="22"/>
      <c r="K105" s="108"/>
      <c r="L105" s="66"/>
      <c r="M105" s="66"/>
      <c r="N105" s="66"/>
      <c r="O105" s="66"/>
      <c r="P105" s="66"/>
      <c r="Q105" s="66"/>
      <c r="R105" s="66"/>
      <c r="S105" s="66"/>
    </row>
    <row r="106">
      <c r="A106" s="66"/>
      <c r="B106" s="66"/>
      <c r="C106" s="66"/>
      <c r="D106" s="66"/>
      <c r="E106" s="15"/>
      <c r="F106" s="66"/>
      <c r="G106" s="18"/>
      <c r="H106" s="15"/>
      <c r="I106" s="18"/>
      <c r="J106" s="22"/>
      <c r="K106" s="108"/>
      <c r="L106" s="66"/>
      <c r="M106" s="66"/>
      <c r="N106" s="66"/>
      <c r="O106" s="66"/>
      <c r="P106" s="66"/>
      <c r="Q106" s="66"/>
      <c r="R106" s="66"/>
      <c r="S106" s="66"/>
    </row>
    <row r="107">
      <c r="A107" s="66"/>
      <c r="B107" s="66"/>
      <c r="C107" s="66"/>
      <c r="D107" s="66"/>
      <c r="E107" s="15"/>
      <c r="F107" s="66"/>
      <c r="G107" s="18"/>
      <c r="H107" s="15"/>
      <c r="I107" s="18"/>
      <c r="J107" s="22"/>
      <c r="K107" s="108"/>
      <c r="L107" s="66"/>
      <c r="M107" s="66"/>
      <c r="N107" s="66"/>
      <c r="O107" s="66"/>
      <c r="P107" s="66"/>
      <c r="Q107" s="66"/>
      <c r="R107" s="66"/>
      <c r="S107" s="66"/>
    </row>
    <row r="108">
      <c r="A108" s="66"/>
      <c r="B108" s="66"/>
      <c r="C108" s="66"/>
      <c r="D108" s="66"/>
      <c r="E108" s="15"/>
      <c r="F108" s="66"/>
      <c r="G108" s="18"/>
      <c r="H108" s="15"/>
      <c r="I108" s="18"/>
      <c r="J108" s="22"/>
      <c r="K108" s="108"/>
      <c r="L108" s="66"/>
      <c r="M108" s="66"/>
      <c r="N108" s="66"/>
      <c r="O108" s="66"/>
      <c r="P108" s="66"/>
      <c r="Q108" s="66"/>
      <c r="R108" s="66"/>
      <c r="S108" s="66"/>
    </row>
    <row r="109">
      <c r="A109" s="66"/>
      <c r="B109" s="66"/>
      <c r="C109" s="66"/>
      <c r="D109" s="66"/>
      <c r="E109" s="15"/>
      <c r="F109" s="66"/>
      <c r="G109" s="18"/>
      <c r="H109" s="15"/>
      <c r="I109" s="18"/>
      <c r="J109" s="22"/>
      <c r="K109" s="108"/>
      <c r="L109" s="66"/>
      <c r="M109" s="66"/>
      <c r="N109" s="66"/>
      <c r="O109" s="66"/>
      <c r="P109" s="66"/>
      <c r="Q109" s="66"/>
      <c r="R109" s="66"/>
      <c r="S109" s="66"/>
    </row>
    <row r="110">
      <c r="A110" s="66"/>
      <c r="B110" s="66"/>
      <c r="C110" s="66"/>
      <c r="D110" s="66"/>
      <c r="E110" s="15"/>
      <c r="F110" s="66"/>
      <c r="G110" s="18"/>
      <c r="H110" s="15"/>
      <c r="I110" s="18"/>
      <c r="J110" s="22"/>
      <c r="K110" s="108"/>
      <c r="L110" s="66"/>
      <c r="M110" s="66"/>
      <c r="N110" s="66"/>
      <c r="O110" s="66"/>
      <c r="P110" s="66"/>
      <c r="Q110" s="66"/>
      <c r="R110" s="66"/>
      <c r="S110" s="66"/>
    </row>
    <row r="111">
      <c r="A111" s="66"/>
      <c r="B111" s="66"/>
      <c r="C111" s="66"/>
      <c r="D111" s="66"/>
      <c r="E111" s="15"/>
      <c r="F111" s="66"/>
      <c r="G111" s="18"/>
      <c r="H111" s="15"/>
      <c r="I111" s="18"/>
      <c r="J111" s="22"/>
      <c r="K111" s="108"/>
      <c r="L111" s="66"/>
      <c r="M111" s="66"/>
      <c r="N111" s="66"/>
      <c r="O111" s="66"/>
      <c r="P111" s="66"/>
      <c r="Q111" s="66"/>
      <c r="R111" s="66"/>
      <c r="S111" s="66"/>
    </row>
    <row r="112">
      <c r="A112" s="66"/>
      <c r="B112" s="66"/>
      <c r="C112" s="66"/>
      <c r="D112" s="66"/>
      <c r="E112" s="15"/>
      <c r="F112" s="66"/>
      <c r="G112" s="18"/>
      <c r="H112" s="15"/>
      <c r="I112" s="18"/>
      <c r="J112" s="22"/>
      <c r="K112" s="108"/>
      <c r="L112" s="66"/>
      <c r="M112" s="66"/>
      <c r="N112" s="66"/>
      <c r="O112" s="66"/>
      <c r="P112" s="66"/>
      <c r="Q112" s="66"/>
      <c r="R112" s="66"/>
      <c r="S112" s="66"/>
    </row>
    <row r="113">
      <c r="A113" s="66"/>
      <c r="B113" s="66"/>
      <c r="C113" s="66"/>
      <c r="D113" s="66"/>
      <c r="E113" s="15"/>
      <c r="F113" s="66"/>
      <c r="G113" s="18"/>
      <c r="H113" s="15"/>
      <c r="I113" s="18"/>
      <c r="J113" s="22"/>
      <c r="K113" s="108"/>
      <c r="L113" s="66"/>
      <c r="M113" s="66"/>
      <c r="N113" s="66"/>
      <c r="O113" s="66"/>
      <c r="P113" s="66"/>
      <c r="Q113" s="66"/>
      <c r="R113" s="66"/>
      <c r="S113" s="66"/>
    </row>
    <row r="114">
      <c r="A114" s="66"/>
      <c r="B114" s="66"/>
      <c r="C114" s="66"/>
      <c r="D114" s="66"/>
      <c r="E114" s="15"/>
      <c r="F114" s="66"/>
      <c r="G114" s="18"/>
      <c r="H114" s="15"/>
      <c r="I114" s="18"/>
      <c r="J114" s="22"/>
      <c r="K114" s="108"/>
      <c r="L114" s="66"/>
      <c r="M114" s="66"/>
      <c r="N114" s="66"/>
      <c r="O114" s="66"/>
      <c r="P114" s="66"/>
      <c r="Q114" s="66"/>
      <c r="R114" s="66"/>
      <c r="S114" s="66"/>
    </row>
    <row r="115">
      <c r="A115" s="66"/>
      <c r="B115" s="66"/>
      <c r="C115" s="66"/>
      <c r="D115" s="66"/>
      <c r="E115" s="15"/>
      <c r="F115" s="66"/>
      <c r="G115" s="18"/>
      <c r="H115" s="15"/>
      <c r="I115" s="18"/>
      <c r="J115" s="22"/>
      <c r="K115" s="108"/>
      <c r="L115" s="66"/>
      <c r="M115" s="66"/>
      <c r="N115" s="66"/>
      <c r="O115" s="66"/>
      <c r="P115" s="66"/>
      <c r="Q115" s="66"/>
      <c r="R115" s="66"/>
      <c r="S115" s="66"/>
    </row>
    <row r="116">
      <c r="A116" s="66"/>
      <c r="B116" s="66"/>
      <c r="C116" s="66"/>
      <c r="D116" s="66"/>
      <c r="E116" s="15"/>
      <c r="F116" s="66"/>
      <c r="G116" s="18"/>
      <c r="H116" s="15"/>
      <c r="I116" s="18"/>
      <c r="J116" s="22"/>
      <c r="K116" s="108"/>
      <c r="L116" s="66"/>
      <c r="M116" s="66"/>
      <c r="N116" s="66"/>
      <c r="O116" s="66"/>
      <c r="P116" s="66"/>
      <c r="Q116" s="66"/>
      <c r="R116" s="66"/>
      <c r="S116" s="66"/>
    </row>
    <row r="117">
      <c r="A117" s="66"/>
      <c r="B117" s="66"/>
      <c r="C117" s="66"/>
      <c r="D117" s="66"/>
      <c r="E117" s="15"/>
      <c r="F117" s="66"/>
      <c r="G117" s="18"/>
      <c r="H117" s="15"/>
      <c r="I117" s="18"/>
      <c r="J117" s="22"/>
      <c r="K117" s="108"/>
      <c r="L117" s="66"/>
      <c r="M117" s="66"/>
      <c r="N117" s="66"/>
      <c r="O117" s="66"/>
      <c r="P117" s="66"/>
      <c r="Q117" s="66"/>
      <c r="R117" s="66"/>
      <c r="S117" s="66"/>
    </row>
    <row r="118">
      <c r="A118" s="66"/>
      <c r="B118" s="66"/>
      <c r="C118" s="66"/>
      <c r="D118" s="66"/>
      <c r="E118" s="15"/>
      <c r="F118" s="66"/>
      <c r="G118" s="18"/>
      <c r="H118" s="15"/>
      <c r="I118" s="18"/>
      <c r="J118" s="22"/>
      <c r="K118" s="108"/>
      <c r="L118" s="66"/>
      <c r="M118" s="66"/>
      <c r="N118" s="66"/>
      <c r="O118" s="66"/>
      <c r="P118" s="66"/>
      <c r="Q118" s="66"/>
      <c r="R118" s="66"/>
      <c r="S118" s="66"/>
    </row>
    <row r="119">
      <c r="A119" s="66"/>
      <c r="B119" s="66"/>
      <c r="C119" s="66"/>
      <c r="D119" s="66"/>
      <c r="E119" s="15"/>
      <c r="F119" s="66"/>
      <c r="G119" s="18"/>
      <c r="H119" s="15"/>
      <c r="I119" s="18"/>
      <c r="J119" s="22"/>
      <c r="K119" s="108"/>
      <c r="L119" s="66"/>
      <c r="M119" s="66"/>
      <c r="N119" s="66"/>
      <c r="O119" s="66"/>
      <c r="P119" s="66"/>
      <c r="Q119" s="66"/>
      <c r="R119" s="66"/>
      <c r="S119" s="66"/>
    </row>
    <row r="120">
      <c r="A120" s="66"/>
      <c r="B120" s="66"/>
      <c r="C120" s="66"/>
      <c r="D120" s="66"/>
      <c r="E120" s="15"/>
      <c r="F120" s="66"/>
      <c r="G120" s="18"/>
      <c r="H120" s="15"/>
      <c r="I120" s="18"/>
      <c r="J120" s="22"/>
      <c r="K120" s="108"/>
      <c r="L120" s="66"/>
      <c r="M120" s="66"/>
      <c r="N120" s="66"/>
      <c r="O120" s="66"/>
      <c r="P120" s="66"/>
      <c r="Q120" s="66"/>
      <c r="R120" s="66"/>
      <c r="S120" s="66"/>
    </row>
    <row r="121">
      <c r="A121" s="66"/>
      <c r="B121" s="66"/>
      <c r="C121" s="66"/>
      <c r="D121" s="66"/>
      <c r="E121" s="15"/>
      <c r="F121" s="66"/>
      <c r="G121" s="18"/>
      <c r="H121" s="15"/>
      <c r="I121" s="18"/>
      <c r="J121" s="22"/>
      <c r="K121" s="108"/>
      <c r="L121" s="66"/>
      <c r="M121" s="66"/>
      <c r="N121" s="66"/>
      <c r="O121" s="66"/>
      <c r="P121" s="66"/>
      <c r="Q121" s="66"/>
      <c r="R121" s="66"/>
      <c r="S121" s="66"/>
    </row>
    <row r="122">
      <c r="A122" s="66"/>
      <c r="B122" s="66"/>
      <c r="C122" s="66"/>
      <c r="D122" s="66"/>
      <c r="E122" s="15"/>
      <c r="F122" s="66"/>
      <c r="G122" s="18"/>
      <c r="H122" s="15"/>
      <c r="I122" s="18"/>
      <c r="J122" s="22"/>
      <c r="K122" s="108"/>
      <c r="L122" s="66"/>
      <c r="M122" s="66"/>
      <c r="N122" s="66"/>
      <c r="O122" s="66"/>
      <c r="P122" s="66"/>
      <c r="Q122" s="66"/>
      <c r="R122" s="66"/>
      <c r="S122" s="66"/>
    </row>
    <row r="123">
      <c r="A123" s="66"/>
      <c r="B123" s="66"/>
      <c r="C123" s="66"/>
      <c r="D123" s="66"/>
      <c r="E123" s="15"/>
      <c r="F123" s="66"/>
      <c r="G123" s="18"/>
      <c r="H123" s="15"/>
      <c r="I123" s="18"/>
      <c r="J123" s="22"/>
      <c r="K123" s="108"/>
      <c r="L123" s="66"/>
      <c r="M123" s="66"/>
      <c r="N123" s="66"/>
      <c r="O123" s="66"/>
      <c r="P123" s="66"/>
      <c r="Q123" s="66"/>
      <c r="R123" s="66"/>
      <c r="S123" s="66"/>
    </row>
    <row r="124">
      <c r="A124" s="66"/>
      <c r="B124" s="66"/>
      <c r="C124" s="66"/>
      <c r="D124" s="66"/>
      <c r="E124" s="15"/>
      <c r="F124" s="66"/>
      <c r="G124" s="18"/>
      <c r="H124" s="15"/>
      <c r="I124" s="18"/>
      <c r="J124" s="22"/>
      <c r="K124" s="108"/>
      <c r="L124" s="66"/>
      <c r="M124" s="66"/>
      <c r="N124" s="66"/>
      <c r="O124" s="66"/>
      <c r="P124" s="66"/>
      <c r="Q124" s="66"/>
      <c r="R124" s="66"/>
      <c r="S124" s="66"/>
    </row>
    <row r="125">
      <c r="A125" s="66"/>
      <c r="B125" s="66"/>
      <c r="C125" s="66"/>
      <c r="D125" s="66"/>
      <c r="E125" s="15"/>
      <c r="F125" s="66"/>
      <c r="G125" s="18"/>
      <c r="H125" s="15"/>
      <c r="I125" s="18"/>
      <c r="J125" s="22"/>
      <c r="K125" s="108"/>
      <c r="L125" s="66"/>
      <c r="M125" s="66"/>
      <c r="N125" s="66"/>
      <c r="O125" s="66"/>
      <c r="P125" s="66"/>
      <c r="Q125" s="66"/>
      <c r="R125" s="66"/>
      <c r="S125" s="66"/>
    </row>
    <row r="126">
      <c r="A126" s="66"/>
      <c r="B126" s="66"/>
      <c r="C126" s="66"/>
      <c r="D126" s="66"/>
      <c r="E126" s="15"/>
      <c r="F126" s="66"/>
      <c r="G126" s="18"/>
      <c r="H126" s="15"/>
      <c r="I126" s="18"/>
      <c r="J126" s="22"/>
      <c r="K126" s="108"/>
      <c r="L126" s="66"/>
      <c r="M126" s="66"/>
      <c r="N126" s="66"/>
      <c r="O126" s="66"/>
      <c r="P126" s="66"/>
      <c r="Q126" s="66"/>
      <c r="R126" s="66"/>
      <c r="S126" s="66"/>
    </row>
    <row r="127">
      <c r="A127" s="66"/>
      <c r="B127" s="66"/>
      <c r="C127" s="66"/>
      <c r="D127" s="66"/>
      <c r="E127" s="15"/>
      <c r="F127" s="66"/>
      <c r="G127" s="18"/>
      <c r="H127" s="15"/>
      <c r="I127" s="18"/>
      <c r="J127" s="22"/>
      <c r="K127" s="108"/>
      <c r="L127" s="66"/>
      <c r="M127" s="66"/>
      <c r="N127" s="66"/>
      <c r="O127" s="66"/>
      <c r="P127" s="66"/>
      <c r="Q127" s="66"/>
      <c r="R127" s="66"/>
      <c r="S127" s="66"/>
    </row>
    <row r="128">
      <c r="A128" s="66"/>
      <c r="B128" s="66"/>
      <c r="C128" s="66"/>
      <c r="D128" s="66"/>
      <c r="E128" s="15"/>
      <c r="F128" s="66"/>
      <c r="G128" s="18"/>
      <c r="H128" s="15"/>
      <c r="I128" s="18"/>
      <c r="J128" s="22"/>
      <c r="K128" s="108"/>
      <c r="L128" s="66"/>
      <c r="M128" s="66"/>
      <c r="N128" s="66"/>
      <c r="O128" s="66"/>
      <c r="P128" s="66"/>
      <c r="Q128" s="66"/>
      <c r="R128" s="66"/>
      <c r="S128" s="66"/>
    </row>
    <row r="129">
      <c r="A129" s="66"/>
      <c r="B129" s="66"/>
      <c r="C129" s="66"/>
      <c r="D129" s="66"/>
      <c r="E129" s="15"/>
      <c r="F129" s="66"/>
      <c r="G129" s="18"/>
      <c r="H129" s="15"/>
      <c r="I129" s="18"/>
      <c r="J129" s="22"/>
      <c r="K129" s="108"/>
      <c r="L129" s="66"/>
      <c r="M129" s="66"/>
      <c r="N129" s="66"/>
      <c r="O129" s="66"/>
      <c r="P129" s="66"/>
      <c r="Q129" s="66"/>
      <c r="R129" s="66"/>
      <c r="S129" s="66"/>
    </row>
    <row r="130">
      <c r="A130" s="66"/>
      <c r="B130" s="66"/>
      <c r="C130" s="66"/>
      <c r="D130" s="66"/>
      <c r="E130" s="15"/>
      <c r="F130" s="66"/>
      <c r="G130" s="18"/>
      <c r="H130" s="15"/>
      <c r="I130" s="18"/>
      <c r="J130" s="22"/>
      <c r="K130" s="108"/>
      <c r="L130" s="66"/>
      <c r="M130" s="66"/>
      <c r="N130" s="66"/>
      <c r="O130" s="66"/>
      <c r="P130" s="66"/>
      <c r="Q130" s="66"/>
      <c r="R130" s="66"/>
      <c r="S130" s="66"/>
    </row>
    <row r="131">
      <c r="A131" s="66"/>
      <c r="B131" s="66"/>
      <c r="C131" s="66"/>
      <c r="D131" s="66"/>
      <c r="E131" s="15"/>
      <c r="F131" s="66"/>
      <c r="G131" s="18"/>
      <c r="H131" s="15"/>
      <c r="I131" s="18"/>
      <c r="J131" s="22"/>
      <c r="K131" s="108"/>
      <c r="L131" s="66"/>
      <c r="M131" s="66"/>
      <c r="N131" s="66"/>
      <c r="O131" s="66"/>
      <c r="P131" s="66"/>
      <c r="Q131" s="66"/>
      <c r="R131" s="66"/>
      <c r="S131" s="66"/>
    </row>
    <row r="132">
      <c r="A132" s="66"/>
      <c r="B132" s="66"/>
      <c r="C132" s="66"/>
      <c r="D132" s="66"/>
      <c r="E132" s="15"/>
      <c r="F132" s="66"/>
      <c r="G132" s="18"/>
      <c r="H132" s="15"/>
      <c r="I132" s="18"/>
      <c r="J132" s="22"/>
      <c r="K132" s="108"/>
      <c r="L132" s="66"/>
      <c r="M132" s="66"/>
      <c r="N132" s="66"/>
      <c r="O132" s="66"/>
      <c r="P132" s="66"/>
      <c r="Q132" s="66"/>
      <c r="R132" s="66"/>
      <c r="S132" s="66"/>
    </row>
    <row r="133">
      <c r="A133" s="66"/>
      <c r="B133" s="66"/>
      <c r="C133" s="66"/>
      <c r="D133" s="66"/>
      <c r="E133" s="15"/>
      <c r="F133" s="66"/>
      <c r="G133" s="18"/>
      <c r="H133" s="15"/>
      <c r="I133" s="18"/>
      <c r="J133" s="22"/>
      <c r="K133" s="108"/>
      <c r="L133" s="66"/>
      <c r="M133" s="66"/>
      <c r="N133" s="66"/>
      <c r="O133" s="66"/>
      <c r="P133" s="66"/>
      <c r="Q133" s="66"/>
      <c r="R133" s="66"/>
      <c r="S133" s="66"/>
    </row>
    <row r="134">
      <c r="A134" s="66"/>
      <c r="B134" s="66"/>
      <c r="C134" s="66"/>
      <c r="D134" s="66"/>
      <c r="E134" s="15"/>
      <c r="F134" s="66"/>
      <c r="G134" s="18"/>
      <c r="H134" s="15"/>
      <c r="I134" s="18"/>
      <c r="J134" s="22"/>
      <c r="K134" s="108"/>
      <c r="L134" s="66"/>
      <c r="M134" s="66"/>
      <c r="N134" s="66"/>
      <c r="O134" s="66"/>
      <c r="P134" s="66"/>
      <c r="Q134" s="66"/>
      <c r="R134" s="66"/>
      <c r="S134" s="66"/>
    </row>
    <row r="135">
      <c r="A135" s="66"/>
      <c r="B135" s="66"/>
      <c r="C135" s="66"/>
      <c r="D135" s="66"/>
      <c r="E135" s="15"/>
      <c r="F135" s="66"/>
      <c r="G135" s="18"/>
      <c r="H135" s="15"/>
      <c r="I135" s="18"/>
      <c r="J135" s="22"/>
      <c r="K135" s="108"/>
      <c r="L135" s="66"/>
      <c r="M135" s="66"/>
      <c r="N135" s="66"/>
      <c r="O135" s="66"/>
      <c r="P135" s="66"/>
      <c r="Q135" s="66"/>
      <c r="R135" s="66"/>
      <c r="S135" s="66"/>
    </row>
    <row r="136">
      <c r="A136" s="66"/>
      <c r="B136" s="66"/>
      <c r="C136" s="66"/>
      <c r="D136" s="66"/>
      <c r="E136" s="15"/>
      <c r="F136" s="66"/>
      <c r="G136" s="18"/>
      <c r="H136" s="15"/>
      <c r="I136" s="18"/>
      <c r="J136" s="22"/>
      <c r="K136" s="108"/>
      <c r="L136" s="66"/>
      <c r="M136" s="66"/>
      <c r="N136" s="66"/>
      <c r="O136" s="66"/>
      <c r="P136" s="66"/>
      <c r="Q136" s="66"/>
      <c r="R136" s="66"/>
      <c r="S136" s="66"/>
    </row>
    <row r="137">
      <c r="A137" s="66"/>
      <c r="B137" s="66"/>
      <c r="C137" s="66"/>
      <c r="D137" s="66"/>
      <c r="E137" s="15"/>
      <c r="F137" s="66"/>
      <c r="G137" s="18"/>
      <c r="H137" s="15"/>
      <c r="I137" s="18"/>
      <c r="J137" s="22"/>
      <c r="K137" s="108"/>
      <c r="L137" s="66"/>
      <c r="M137" s="66"/>
      <c r="N137" s="66"/>
      <c r="O137" s="66"/>
      <c r="P137" s="66"/>
      <c r="Q137" s="66"/>
      <c r="R137" s="66"/>
      <c r="S137" s="66"/>
    </row>
    <row r="138">
      <c r="A138" s="66"/>
      <c r="B138" s="66"/>
      <c r="C138" s="66"/>
      <c r="D138" s="66"/>
      <c r="E138" s="15"/>
      <c r="F138" s="66"/>
      <c r="G138" s="18"/>
      <c r="H138" s="15"/>
      <c r="I138" s="18"/>
      <c r="J138" s="22"/>
      <c r="K138" s="108"/>
      <c r="L138" s="66"/>
      <c r="M138" s="66"/>
      <c r="N138" s="66"/>
      <c r="O138" s="66"/>
      <c r="P138" s="66"/>
      <c r="Q138" s="66"/>
      <c r="R138" s="66"/>
      <c r="S138" s="66"/>
    </row>
    <row r="139">
      <c r="A139" s="66"/>
      <c r="B139" s="66"/>
      <c r="C139" s="66"/>
      <c r="D139" s="66"/>
      <c r="E139" s="15"/>
      <c r="F139" s="66"/>
      <c r="G139" s="18"/>
      <c r="H139" s="15"/>
      <c r="I139" s="18"/>
      <c r="J139" s="22"/>
      <c r="K139" s="108"/>
      <c r="L139" s="66"/>
      <c r="M139" s="66"/>
      <c r="N139" s="66"/>
      <c r="O139" s="66"/>
      <c r="P139" s="66"/>
      <c r="Q139" s="66"/>
      <c r="R139" s="66"/>
      <c r="S139" s="66"/>
    </row>
    <row r="140">
      <c r="A140" s="66"/>
      <c r="B140" s="66"/>
      <c r="C140" s="66"/>
      <c r="D140" s="66"/>
      <c r="E140" s="15"/>
      <c r="F140" s="66"/>
      <c r="G140" s="18"/>
      <c r="H140" s="15"/>
      <c r="I140" s="18"/>
      <c r="J140" s="22"/>
      <c r="K140" s="108"/>
      <c r="L140" s="66"/>
      <c r="M140" s="66"/>
      <c r="N140" s="66"/>
      <c r="O140" s="66"/>
      <c r="P140" s="66"/>
      <c r="Q140" s="66"/>
      <c r="R140" s="66"/>
      <c r="S140" s="66"/>
    </row>
    <row r="141">
      <c r="A141" s="66"/>
      <c r="B141" s="66"/>
      <c r="C141" s="66"/>
      <c r="D141" s="66"/>
      <c r="E141" s="15"/>
      <c r="F141" s="66"/>
      <c r="G141" s="18"/>
      <c r="H141" s="15"/>
      <c r="I141" s="18"/>
      <c r="J141" s="22"/>
      <c r="K141" s="108"/>
      <c r="L141" s="66"/>
      <c r="M141" s="66"/>
      <c r="N141" s="66"/>
      <c r="O141" s="66"/>
      <c r="P141" s="66"/>
      <c r="Q141" s="66"/>
      <c r="R141" s="66"/>
      <c r="S141" s="66"/>
    </row>
    <row r="142">
      <c r="A142" s="66"/>
      <c r="B142" s="66"/>
      <c r="C142" s="66"/>
      <c r="D142" s="66"/>
      <c r="E142" s="15"/>
      <c r="F142" s="66"/>
      <c r="G142" s="18"/>
      <c r="H142" s="15"/>
      <c r="I142" s="18"/>
      <c r="J142" s="22"/>
      <c r="K142" s="108"/>
      <c r="L142" s="66"/>
      <c r="M142" s="66"/>
      <c r="N142" s="66"/>
      <c r="O142" s="66"/>
      <c r="P142" s="66"/>
      <c r="Q142" s="66"/>
      <c r="R142" s="66"/>
      <c r="S142" s="66"/>
    </row>
    <row r="143">
      <c r="A143" s="66"/>
      <c r="B143" s="66"/>
      <c r="C143" s="66"/>
      <c r="D143" s="66"/>
      <c r="E143" s="15"/>
      <c r="F143" s="66"/>
      <c r="G143" s="18"/>
      <c r="H143" s="15"/>
      <c r="I143" s="18"/>
      <c r="J143" s="22"/>
      <c r="K143" s="108"/>
      <c r="L143" s="66"/>
      <c r="M143" s="66"/>
      <c r="N143" s="66"/>
      <c r="O143" s="66"/>
      <c r="P143" s="66"/>
      <c r="Q143" s="66"/>
      <c r="R143" s="66"/>
      <c r="S143" s="66"/>
    </row>
    <row r="144">
      <c r="A144" s="66"/>
      <c r="B144" s="66"/>
      <c r="C144" s="66"/>
      <c r="D144" s="66"/>
      <c r="E144" s="15"/>
      <c r="F144" s="66"/>
      <c r="G144" s="18"/>
      <c r="H144" s="15"/>
      <c r="I144" s="18"/>
      <c r="J144" s="22"/>
      <c r="K144" s="108"/>
      <c r="L144" s="66"/>
      <c r="M144" s="66"/>
      <c r="N144" s="66"/>
      <c r="O144" s="66"/>
      <c r="P144" s="66"/>
      <c r="Q144" s="66"/>
      <c r="R144" s="66"/>
      <c r="S144" s="66"/>
    </row>
    <row r="145">
      <c r="A145" s="66"/>
      <c r="B145" s="66"/>
      <c r="C145" s="66"/>
      <c r="D145" s="66"/>
      <c r="E145" s="15"/>
      <c r="F145" s="66"/>
      <c r="G145" s="18"/>
      <c r="H145" s="15"/>
      <c r="I145" s="18"/>
      <c r="J145" s="22"/>
      <c r="K145" s="108"/>
      <c r="L145" s="66"/>
      <c r="M145" s="66"/>
      <c r="N145" s="66"/>
      <c r="O145" s="66"/>
      <c r="P145" s="66"/>
      <c r="Q145" s="66"/>
      <c r="R145" s="66"/>
      <c r="S145" s="66"/>
    </row>
    <row r="146">
      <c r="A146" s="66"/>
      <c r="B146" s="66"/>
      <c r="C146" s="66"/>
      <c r="D146" s="66"/>
      <c r="E146" s="15"/>
      <c r="F146" s="66"/>
      <c r="G146" s="18"/>
      <c r="H146" s="15"/>
      <c r="I146" s="18"/>
      <c r="J146" s="22"/>
      <c r="K146" s="108"/>
      <c r="L146" s="66"/>
      <c r="M146" s="66"/>
      <c r="N146" s="66"/>
      <c r="O146" s="66"/>
      <c r="P146" s="66"/>
      <c r="Q146" s="66"/>
      <c r="R146" s="66"/>
      <c r="S146" s="66"/>
    </row>
    <row r="147">
      <c r="A147" s="66"/>
      <c r="B147" s="66"/>
      <c r="C147" s="66"/>
      <c r="D147" s="66"/>
      <c r="E147" s="15"/>
      <c r="F147" s="66"/>
      <c r="G147" s="18"/>
      <c r="H147" s="15"/>
      <c r="I147" s="18"/>
      <c r="J147" s="22"/>
      <c r="K147" s="108"/>
      <c r="L147" s="66"/>
      <c r="M147" s="66"/>
      <c r="N147" s="66"/>
      <c r="O147" s="66"/>
      <c r="P147" s="66"/>
      <c r="Q147" s="66"/>
      <c r="R147" s="66"/>
      <c r="S147" s="66"/>
    </row>
    <row r="148">
      <c r="A148" s="66"/>
      <c r="B148" s="66"/>
      <c r="C148" s="66"/>
      <c r="D148" s="66"/>
      <c r="E148" s="15"/>
      <c r="F148" s="66"/>
      <c r="G148" s="18"/>
      <c r="H148" s="15"/>
      <c r="I148" s="18"/>
      <c r="J148" s="22"/>
      <c r="K148" s="108"/>
      <c r="L148" s="66"/>
      <c r="M148" s="66"/>
      <c r="N148" s="66"/>
      <c r="O148" s="66"/>
      <c r="P148" s="66"/>
      <c r="Q148" s="66"/>
      <c r="R148" s="66"/>
      <c r="S148" s="66"/>
    </row>
    <row r="149">
      <c r="A149" s="66"/>
      <c r="B149" s="66"/>
      <c r="C149" s="66"/>
      <c r="D149" s="66"/>
      <c r="E149" s="15"/>
      <c r="F149" s="66"/>
      <c r="G149" s="18"/>
      <c r="H149" s="15"/>
      <c r="I149" s="18"/>
      <c r="J149" s="22"/>
      <c r="K149" s="108"/>
      <c r="L149" s="66"/>
      <c r="M149" s="66"/>
      <c r="N149" s="66"/>
      <c r="O149" s="66"/>
      <c r="P149" s="66"/>
      <c r="Q149" s="66"/>
      <c r="R149" s="66"/>
      <c r="S149" s="66"/>
    </row>
    <row r="150">
      <c r="A150" s="66"/>
      <c r="B150" s="66"/>
      <c r="C150" s="66"/>
      <c r="D150" s="66"/>
      <c r="E150" s="15"/>
      <c r="F150" s="66"/>
      <c r="G150" s="18"/>
      <c r="H150" s="15"/>
      <c r="I150" s="18"/>
      <c r="J150" s="22"/>
      <c r="K150" s="108"/>
      <c r="L150" s="66"/>
      <c r="M150" s="66"/>
      <c r="N150" s="66"/>
      <c r="O150" s="66"/>
      <c r="P150" s="66"/>
      <c r="Q150" s="66"/>
      <c r="R150" s="66"/>
      <c r="S150" s="66"/>
    </row>
    <row r="151">
      <c r="A151" s="66"/>
      <c r="B151" s="66"/>
      <c r="C151" s="66"/>
      <c r="D151" s="66"/>
      <c r="E151" s="15"/>
      <c r="F151" s="66"/>
      <c r="G151" s="18"/>
      <c r="H151" s="15"/>
      <c r="I151" s="18"/>
      <c r="J151" s="22"/>
      <c r="K151" s="108"/>
      <c r="L151" s="66"/>
      <c r="M151" s="66"/>
      <c r="N151" s="66"/>
      <c r="O151" s="66"/>
      <c r="P151" s="66"/>
      <c r="Q151" s="66"/>
      <c r="R151" s="66"/>
      <c r="S151" s="66"/>
    </row>
    <row r="152">
      <c r="A152" s="66"/>
      <c r="B152" s="66"/>
      <c r="C152" s="66"/>
      <c r="D152" s="66"/>
      <c r="E152" s="15"/>
      <c r="F152" s="66"/>
      <c r="G152" s="18"/>
      <c r="H152" s="15"/>
      <c r="I152" s="18"/>
      <c r="J152" s="22"/>
      <c r="K152" s="108"/>
      <c r="L152" s="66"/>
      <c r="M152" s="66"/>
      <c r="N152" s="66"/>
      <c r="O152" s="66"/>
      <c r="P152" s="66"/>
      <c r="Q152" s="66"/>
      <c r="R152" s="66"/>
      <c r="S152" s="66"/>
    </row>
    <row r="153">
      <c r="A153" s="66"/>
      <c r="B153" s="66"/>
      <c r="C153" s="66"/>
      <c r="D153" s="66"/>
      <c r="E153" s="15"/>
      <c r="F153" s="66"/>
      <c r="G153" s="18"/>
      <c r="H153" s="15"/>
      <c r="I153" s="18"/>
      <c r="J153" s="22"/>
      <c r="K153" s="108"/>
      <c r="L153" s="66"/>
      <c r="M153" s="66"/>
      <c r="N153" s="66"/>
      <c r="O153" s="66"/>
      <c r="P153" s="66"/>
      <c r="Q153" s="66"/>
      <c r="R153" s="66"/>
      <c r="S153" s="66"/>
    </row>
    <row r="154">
      <c r="A154" s="66"/>
      <c r="B154" s="66"/>
      <c r="C154" s="66"/>
      <c r="D154" s="66"/>
      <c r="E154" s="15"/>
      <c r="F154" s="66"/>
      <c r="G154" s="18"/>
      <c r="H154" s="15"/>
      <c r="I154" s="18"/>
      <c r="J154" s="22"/>
      <c r="K154" s="108"/>
      <c r="L154" s="66"/>
      <c r="M154" s="66"/>
      <c r="N154" s="66"/>
      <c r="O154" s="66"/>
      <c r="P154" s="66"/>
      <c r="Q154" s="66"/>
      <c r="R154" s="66"/>
      <c r="S154" s="66"/>
    </row>
    <row r="155">
      <c r="A155" s="66"/>
      <c r="B155" s="66"/>
      <c r="C155" s="66"/>
      <c r="D155" s="66"/>
      <c r="E155" s="15"/>
      <c r="F155" s="66"/>
      <c r="G155" s="18"/>
      <c r="H155" s="15"/>
      <c r="I155" s="18"/>
      <c r="J155" s="22"/>
      <c r="K155" s="108"/>
      <c r="L155" s="66"/>
      <c r="M155" s="66"/>
      <c r="N155" s="66"/>
      <c r="O155" s="66"/>
      <c r="P155" s="66"/>
      <c r="Q155" s="66"/>
      <c r="R155" s="66"/>
      <c r="S155" s="66"/>
    </row>
    <row r="156">
      <c r="A156" s="66"/>
      <c r="B156" s="66"/>
      <c r="C156" s="66"/>
      <c r="D156" s="66"/>
      <c r="E156" s="15"/>
      <c r="F156" s="66"/>
      <c r="G156" s="18"/>
      <c r="H156" s="15"/>
      <c r="I156" s="18"/>
      <c r="J156" s="22"/>
      <c r="K156" s="108"/>
      <c r="L156" s="66"/>
      <c r="M156" s="66"/>
      <c r="N156" s="66"/>
      <c r="O156" s="66"/>
      <c r="P156" s="66"/>
      <c r="Q156" s="66"/>
      <c r="R156" s="66"/>
      <c r="S156" s="66"/>
    </row>
    <row r="157">
      <c r="A157" s="66"/>
      <c r="B157" s="66"/>
      <c r="C157" s="66"/>
      <c r="D157" s="66"/>
      <c r="E157" s="15"/>
      <c r="F157" s="66"/>
      <c r="G157" s="18"/>
      <c r="H157" s="15"/>
      <c r="I157" s="18"/>
      <c r="J157" s="22"/>
      <c r="K157" s="108"/>
      <c r="L157" s="66"/>
      <c r="M157" s="66"/>
      <c r="N157" s="66"/>
      <c r="O157" s="66"/>
      <c r="P157" s="66"/>
      <c r="Q157" s="66"/>
      <c r="R157" s="66"/>
      <c r="S157" s="66"/>
    </row>
    <row r="158">
      <c r="A158" s="66"/>
      <c r="B158" s="66"/>
      <c r="C158" s="66"/>
      <c r="D158" s="66"/>
      <c r="E158" s="15"/>
      <c r="F158" s="66"/>
      <c r="G158" s="18"/>
      <c r="H158" s="15"/>
      <c r="I158" s="18"/>
      <c r="J158" s="22"/>
      <c r="K158" s="108"/>
      <c r="L158" s="66"/>
      <c r="M158" s="66"/>
      <c r="N158" s="66"/>
      <c r="O158" s="66"/>
      <c r="P158" s="66"/>
      <c r="Q158" s="66"/>
      <c r="R158" s="66"/>
      <c r="S158" s="66"/>
    </row>
    <row r="159">
      <c r="A159" s="66"/>
      <c r="B159" s="66"/>
      <c r="C159" s="66"/>
      <c r="D159" s="66"/>
      <c r="E159" s="15"/>
      <c r="F159" s="66"/>
      <c r="G159" s="18"/>
      <c r="H159" s="15"/>
      <c r="I159" s="18"/>
      <c r="J159" s="22"/>
      <c r="K159" s="108"/>
      <c r="L159" s="66"/>
      <c r="M159" s="66"/>
      <c r="N159" s="66"/>
      <c r="O159" s="66"/>
      <c r="P159" s="66"/>
      <c r="Q159" s="66"/>
      <c r="R159" s="66"/>
      <c r="S159" s="66"/>
    </row>
    <row r="160">
      <c r="A160" s="66"/>
      <c r="B160" s="66"/>
      <c r="C160" s="66"/>
      <c r="D160" s="66"/>
      <c r="E160" s="15"/>
      <c r="F160" s="66"/>
      <c r="G160" s="18"/>
      <c r="H160" s="15"/>
      <c r="I160" s="18"/>
      <c r="J160" s="22"/>
      <c r="K160" s="108"/>
      <c r="L160" s="66"/>
      <c r="M160" s="66"/>
      <c r="N160" s="66"/>
      <c r="O160" s="66"/>
      <c r="P160" s="66"/>
      <c r="Q160" s="66"/>
      <c r="R160" s="66"/>
      <c r="S160" s="66"/>
    </row>
    <row r="161">
      <c r="A161" s="66"/>
      <c r="B161" s="66"/>
      <c r="C161" s="66"/>
      <c r="D161" s="66"/>
      <c r="E161" s="15"/>
      <c r="F161" s="66"/>
      <c r="G161" s="18"/>
      <c r="H161" s="15"/>
      <c r="I161" s="18"/>
      <c r="J161" s="22"/>
      <c r="K161" s="108"/>
      <c r="L161" s="66"/>
      <c r="M161" s="66"/>
      <c r="N161" s="66"/>
      <c r="O161" s="66"/>
      <c r="P161" s="66"/>
      <c r="Q161" s="66"/>
      <c r="R161" s="66"/>
      <c r="S161" s="66"/>
    </row>
    <row r="162">
      <c r="A162" s="66"/>
      <c r="B162" s="66"/>
      <c r="C162" s="66"/>
      <c r="D162" s="66"/>
      <c r="E162" s="15"/>
      <c r="F162" s="66"/>
      <c r="G162" s="18"/>
      <c r="H162" s="15"/>
      <c r="I162" s="18"/>
      <c r="J162" s="22"/>
      <c r="K162" s="108"/>
      <c r="L162" s="66"/>
      <c r="M162" s="66"/>
      <c r="N162" s="66"/>
      <c r="O162" s="66"/>
      <c r="P162" s="66"/>
      <c r="Q162" s="66"/>
      <c r="R162" s="66"/>
      <c r="S162" s="66"/>
    </row>
    <row r="163">
      <c r="A163" s="66"/>
      <c r="B163" s="66"/>
      <c r="C163" s="66"/>
      <c r="D163" s="66"/>
      <c r="E163" s="15"/>
      <c r="F163" s="66"/>
      <c r="G163" s="18"/>
      <c r="H163" s="15"/>
      <c r="I163" s="18"/>
      <c r="J163" s="22"/>
      <c r="K163" s="108"/>
      <c r="L163" s="66"/>
      <c r="M163" s="66"/>
      <c r="N163" s="66"/>
      <c r="O163" s="66"/>
      <c r="P163" s="66"/>
      <c r="Q163" s="66"/>
      <c r="R163" s="66"/>
      <c r="S163" s="66"/>
    </row>
    <row r="164">
      <c r="A164" s="66"/>
      <c r="B164" s="66"/>
      <c r="C164" s="66"/>
      <c r="D164" s="66"/>
      <c r="E164" s="15"/>
      <c r="F164" s="66"/>
      <c r="G164" s="18"/>
      <c r="H164" s="15"/>
      <c r="I164" s="18"/>
      <c r="J164" s="22"/>
      <c r="K164" s="108"/>
      <c r="L164" s="66"/>
      <c r="M164" s="66"/>
      <c r="N164" s="66"/>
      <c r="O164" s="66"/>
      <c r="P164" s="66"/>
      <c r="Q164" s="66"/>
      <c r="R164" s="66"/>
      <c r="S164" s="66"/>
    </row>
    <row r="165">
      <c r="A165" s="66"/>
      <c r="B165" s="66"/>
      <c r="C165" s="66"/>
      <c r="D165" s="66"/>
      <c r="E165" s="15"/>
      <c r="F165" s="66"/>
      <c r="G165" s="18"/>
      <c r="H165" s="15"/>
      <c r="I165" s="18"/>
      <c r="J165" s="22"/>
      <c r="K165" s="108"/>
      <c r="L165" s="66"/>
      <c r="M165" s="66"/>
      <c r="N165" s="66"/>
      <c r="O165" s="66"/>
      <c r="P165" s="66"/>
      <c r="Q165" s="66"/>
      <c r="R165" s="66"/>
      <c r="S165" s="66"/>
    </row>
    <row r="166">
      <c r="A166" s="66"/>
      <c r="B166" s="66"/>
      <c r="C166" s="66"/>
      <c r="D166" s="66"/>
      <c r="E166" s="15"/>
      <c r="F166" s="66"/>
      <c r="G166" s="18"/>
      <c r="H166" s="15"/>
      <c r="I166" s="18"/>
      <c r="J166" s="22"/>
      <c r="K166" s="108"/>
      <c r="L166" s="66"/>
      <c r="M166" s="66"/>
      <c r="N166" s="66"/>
      <c r="O166" s="66"/>
      <c r="P166" s="66"/>
      <c r="Q166" s="66"/>
      <c r="R166" s="66"/>
      <c r="S166" s="66"/>
    </row>
    <row r="167">
      <c r="A167" s="66"/>
      <c r="B167" s="66"/>
      <c r="C167" s="66"/>
      <c r="D167" s="66"/>
      <c r="E167" s="15"/>
      <c r="F167" s="66"/>
      <c r="G167" s="18"/>
      <c r="H167" s="15"/>
      <c r="I167" s="18"/>
      <c r="J167" s="22"/>
      <c r="K167" s="108"/>
      <c r="L167" s="66"/>
      <c r="M167" s="66"/>
      <c r="N167" s="66"/>
      <c r="O167" s="66"/>
      <c r="P167" s="66"/>
      <c r="Q167" s="66"/>
      <c r="R167" s="66"/>
      <c r="S167" s="66"/>
    </row>
    <row r="168">
      <c r="A168" s="66"/>
      <c r="B168" s="66"/>
      <c r="C168" s="66"/>
      <c r="D168" s="66"/>
      <c r="E168" s="15"/>
      <c r="F168" s="66"/>
      <c r="G168" s="18"/>
      <c r="H168" s="15"/>
      <c r="I168" s="18"/>
      <c r="J168" s="22"/>
      <c r="K168" s="108"/>
      <c r="L168" s="66"/>
      <c r="M168" s="66"/>
      <c r="N168" s="66"/>
      <c r="O168" s="66"/>
      <c r="P168" s="66"/>
      <c r="Q168" s="66"/>
      <c r="R168" s="66"/>
      <c r="S168" s="66"/>
    </row>
    <row r="169">
      <c r="A169" s="66"/>
      <c r="B169" s="66"/>
      <c r="C169" s="66"/>
      <c r="D169" s="66"/>
      <c r="E169" s="15"/>
      <c r="F169" s="66"/>
      <c r="G169" s="18"/>
      <c r="H169" s="15"/>
      <c r="I169" s="18"/>
      <c r="J169" s="22"/>
      <c r="K169" s="108"/>
      <c r="L169" s="66"/>
      <c r="M169" s="66"/>
      <c r="N169" s="66"/>
      <c r="O169" s="66"/>
      <c r="P169" s="66"/>
      <c r="Q169" s="66"/>
      <c r="R169" s="66"/>
      <c r="S169" s="66"/>
    </row>
    <row r="170">
      <c r="A170" s="66"/>
      <c r="B170" s="66"/>
      <c r="C170" s="66"/>
      <c r="D170" s="66"/>
      <c r="E170" s="15"/>
      <c r="F170" s="66"/>
      <c r="G170" s="18"/>
      <c r="H170" s="15"/>
      <c r="I170" s="18"/>
      <c r="J170" s="22"/>
      <c r="K170" s="108"/>
      <c r="L170" s="66"/>
      <c r="M170" s="66"/>
      <c r="N170" s="66"/>
      <c r="O170" s="66"/>
      <c r="P170" s="66"/>
      <c r="Q170" s="66"/>
      <c r="R170" s="66"/>
      <c r="S170" s="66"/>
    </row>
    <row r="171">
      <c r="A171" s="66"/>
      <c r="B171" s="66"/>
      <c r="C171" s="66"/>
      <c r="D171" s="66"/>
      <c r="E171" s="15"/>
      <c r="F171" s="66"/>
      <c r="G171" s="18"/>
      <c r="H171" s="15"/>
      <c r="I171" s="18"/>
      <c r="J171" s="22"/>
      <c r="K171" s="108"/>
      <c r="L171" s="66"/>
      <c r="M171" s="66"/>
      <c r="N171" s="66"/>
      <c r="O171" s="66"/>
      <c r="P171" s="66"/>
      <c r="Q171" s="66"/>
      <c r="R171" s="66"/>
      <c r="S171" s="66"/>
    </row>
    <row r="172">
      <c r="A172" s="66"/>
      <c r="B172" s="66"/>
      <c r="C172" s="66"/>
      <c r="D172" s="66"/>
      <c r="E172" s="15"/>
      <c r="F172" s="66"/>
      <c r="G172" s="18"/>
      <c r="H172" s="15"/>
      <c r="I172" s="18"/>
      <c r="J172" s="22"/>
      <c r="K172" s="108"/>
      <c r="L172" s="66"/>
      <c r="M172" s="66"/>
      <c r="N172" s="66"/>
      <c r="O172" s="66"/>
      <c r="P172" s="66"/>
      <c r="Q172" s="66"/>
      <c r="R172" s="66"/>
      <c r="S172" s="66"/>
    </row>
    <row r="173">
      <c r="A173" s="66"/>
      <c r="B173" s="66"/>
      <c r="C173" s="66"/>
      <c r="D173" s="66"/>
      <c r="E173" s="15"/>
      <c r="F173" s="66"/>
      <c r="G173" s="18"/>
      <c r="H173" s="15"/>
      <c r="I173" s="18"/>
      <c r="J173" s="22"/>
      <c r="K173" s="108"/>
      <c r="L173" s="66"/>
      <c r="M173" s="66"/>
      <c r="N173" s="66"/>
      <c r="O173" s="66"/>
      <c r="P173" s="66"/>
      <c r="Q173" s="66"/>
      <c r="R173" s="66"/>
      <c r="S173" s="66"/>
    </row>
    <row r="174">
      <c r="A174" s="66"/>
      <c r="B174" s="66"/>
      <c r="C174" s="66"/>
      <c r="D174" s="66"/>
      <c r="E174" s="15"/>
      <c r="F174" s="66"/>
      <c r="G174" s="18"/>
      <c r="H174" s="15"/>
      <c r="I174" s="18"/>
      <c r="J174" s="22"/>
      <c r="K174" s="108"/>
      <c r="L174" s="66"/>
      <c r="M174" s="66"/>
      <c r="N174" s="66"/>
      <c r="O174" s="66"/>
      <c r="P174" s="66"/>
      <c r="Q174" s="66"/>
      <c r="R174" s="66"/>
      <c r="S174" s="66"/>
    </row>
    <row r="175">
      <c r="A175" s="66"/>
      <c r="B175" s="66"/>
      <c r="C175" s="66"/>
      <c r="D175" s="66"/>
      <c r="E175" s="15"/>
      <c r="F175" s="66"/>
      <c r="G175" s="18"/>
      <c r="H175" s="15"/>
      <c r="I175" s="18"/>
      <c r="J175" s="22"/>
      <c r="K175" s="108"/>
      <c r="L175" s="66"/>
      <c r="M175" s="66"/>
      <c r="N175" s="66"/>
      <c r="O175" s="66"/>
      <c r="P175" s="66"/>
      <c r="Q175" s="66"/>
      <c r="R175" s="66"/>
      <c r="S175" s="66"/>
    </row>
    <row r="176">
      <c r="A176" s="66"/>
      <c r="B176" s="66"/>
      <c r="C176" s="66"/>
      <c r="D176" s="66"/>
      <c r="E176" s="15"/>
      <c r="F176" s="66"/>
      <c r="G176" s="18"/>
      <c r="H176" s="15"/>
      <c r="I176" s="18"/>
      <c r="J176" s="22"/>
      <c r="K176" s="108"/>
      <c r="L176" s="66"/>
      <c r="M176" s="66"/>
      <c r="N176" s="66"/>
      <c r="O176" s="66"/>
      <c r="P176" s="66"/>
      <c r="Q176" s="66"/>
      <c r="R176" s="66"/>
      <c r="S176" s="66"/>
    </row>
    <row r="177">
      <c r="A177" s="66"/>
      <c r="B177" s="66"/>
      <c r="C177" s="66"/>
      <c r="D177" s="66"/>
      <c r="E177" s="15"/>
      <c r="F177" s="66"/>
      <c r="G177" s="18"/>
      <c r="H177" s="15"/>
      <c r="I177" s="18"/>
      <c r="J177" s="22"/>
      <c r="K177" s="108"/>
      <c r="L177" s="66"/>
      <c r="M177" s="66"/>
      <c r="N177" s="66"/>
      <c r="O177" s="66"/>
      <c r="P177" s="66"/>
      <c r="Q177" s="66"/>
      <c r="R177" s="66"/>
      <c r="S177" s="66"/>
    </row>
    <row r="178">
      <c r="A178" s="66"/>
      <c r="B178" s="66"/>
      <c r="C178" s="66"/>
      <c r="D178" s="66"/>
      <c r="E178" s="15"/>
      <c r="F178" s="66"/>
      <c r="G178" s="18"/>
      <c r="H178" s="15"/>
      <c r="I178" s="18"/>
      <c r="J178" s="22"/>
      <c r="K178" s="108"/>
      <c r="L178" s="66"/>
      <c r="M178" s="66"/>
      <c r="N178" s="66"/>
      <c r="O178" s="66"/>
      <c r="P178" s="66"/>
      <c r="Q178" s="66"/>
      <c r="R178" s="66"/>
      <c r="S178" s="66"/>
    </row>
    <row r="179">
      <c r="A179" s="66"/>
      <c r="B179" s="66"/>
      <c r="C179" s="66"/>
      <c r="D179" s="66"/>
      <c r="E179" s="15"/>
      <c r="F179" s="66"/>
      <c r="G179" s="18"/>
      <c r="H179" s="15"/>
      <c r="I179" s="18"/>
      <c r="J179" s="22"/>
      <c r="K179" s="108"/>
      <c r="L179" s="66"/>
      <c r="M179" s="66"/>
      <c r="N179" s="66"/>
      <c r="O179" s="66"/>
      <c r="P179" s="66"/>
      <c r="Q179" s="66"/>
      <c r="R179" s="66"/>
      <c r="S179" s="66"/>
    </row>
    <row r="180">
      <c r="A180" s="66"/>
      <c r="B180" s="66"/>
      <c r="C180" s="66"/>
      <c r="D180" s="66"/>
      <c r="E180" s="15"/>
      <c r="F180" s="66"/>
      <c r="G180" s="18"/>
      <c r="H180" s="15"/>
      <c r="I180" s="18"/>
      <c r="J180" s="22"/>
      <c r="K180" s="108"/>
      <c r="L180" s="66"/>
      <c r="M180" s="66"/>
      <c r="N180" s="66"/>
      <c r="O180" s="66"/>
      <c r="P180" s="66"/>
      <c r="Q180" s="66"/>
      <c r="R180" s="66"/>
      <c r="S180" s="66"/>
    </row>
    <row r="181">
      <c r="A181" s="66"/>
      <c r="B181" s="66"/>
      <c r="C181" s="66"/>
      <c r="D181" s="66"/>
      <c r="E181" s="15"/>
      <c r="F181" s="66"/>
      <c r="G181" s="18"/>
      <c r="H181" s="15"/>
      <c r="I181" s="18"/>
      <c r="J181" s="22"/>
      <c r="K181" s="108"/>
      <c r="L181" s="66"/>
      <c r="M181" s="66"/>
      <c r="N181" s="66"/>
      <c r="O181" s="66"/>
      <c r="P181" s="66"/>
      <c r="Q181" s="66"/>
      <c r="R181" s="66"/>
      <c r="S181" s="66"/>
    </row>
    <row r="182">
      <c r="A182" s="66"/>
      <c r="B182" s="66"/>
      <c r="C182" s="66"/>
      <c r="D182" s="66"/>
      <c r="E182" s="15"/>
      <c r="F182" s="66"/>
      <c r="G182" s="18"/>
      <c r="H182" s="15"/>
      <c r="I182" s="18"/>
      <c r="J182" s="22"/>
      <c r="K182" s="108"/>
      <c r="L182" s="66"/>
      <c r="M182" s="66"/>
      <c r="N182" s="66"/>
      <c r="O182" s="66"/>
      <c r="P182" s="66"/>
      <c r="Q182" s="66"/>
      <c r="R182" s="66"/>
      <c r="S182" s="66"/>
    </row>
    <row r="183">
      <c r="A183" s="66"/>
      <c r="B183" s="66"/>
      <c r="C183" s="66"/>
      <c r="D183" s="66"/>
      <c r="E183" s="15"/>
      <c r="F183" s="66"/>
      <c r="G183" s="18"/>
      <c r="H183" s="15"/>
      <c r="I183" s="18"/>
      <c r="J183" s="22"/>
      <c r="K183" s="108"/>
      <c r="L183" s="66"/>
      <c r="M183" s="66"/>
      <c r="N183" s="66"/>
      <c r="O183" s="66"/>
      <c r="P183" s="66"/>
      <c r="Q183" s="66"/>
      <c r="R183" s="66"/>
      <c r="S183" s="66"/>
    </row>
    <row r="184">
      <c r="A184" s="66"/>
      <c r="B184" s="66"/>
      <c r="C184" s="66"/>
      <c r="D184" s="66"/>
      <c r="E184" s="15"/>
      <c r="F184" s="66"/>
      <c r="G184" s="18"/>
      <c r="H184" s="15"/>
      <c r="I184" s="18"/>
      <c r="J184" s="22"/>
      <c r="K184" s="108"/>
      <c r="L184" s="66"/>
      <c r="M184" s="66"/>
      <c r="N184" s="66"/>
      <c r="O184" s="66"/>
      <c r="P184" s="66"/>
      <c r="Q184" s="66"/>
      <c r="R184" s="66"/>
      <c r="S184" s="66"/>
    </row>
    <row r="185">
      <c r="A185" s="66"/>
      <c r="B185" s="66"/>
      <c r="C185" s="66"/>
      <c r="D185" s="66"/>
      <c r="E185" s="15"/>
      <c r="F185" s="66"/>
      <c r="G185" s="18"/>
      <c r="H185" s="15"/>
      <c r="I185" s="18"/>
      <c r="J185" s="22"/>
      <c r="K185" s="108"/>
      <c r="L185" s="66"/>
      <c r="M185" s="66"/>
      <c r="N185" s="66"/>
      <c r="O185" s="66"/>
      <c r="P185" s="66"/>
      <c r="Q185" s="66"/>
      <c r="R185" s="66"/>
      <c r="S185" s="66"/>
    </row>
    <row r="186">
      <c r="A186" s="66"/>
      <c r="B186" s="66"/>
      <c r="C186" s="66"/>
      <c r="D186" s="66"/>
      <c r="E186" s="15"/>
      <c r="F186" s="66"/>
      <c r="G186" s="18"/>
      <c r="H186" s="15"/>
      <c r="I186" s="18"/>
      <c r="J186" s="22"/>
      <c r="K186" s="108"/>
      <c r="L186" s="66"/>
      <c r="M186" s="66"/>
      <c r="N186" s="66"/>
      <c r="O186" s="66"/>
      <c r="P186" s="66"/>
      <c r="Q186" s="66"/>
      <c r="R186" s="66"/>
      <c r="S186" s="66"/>
    </row>
    <row r="187">
      <c r="A187" s="66"/>
      <c r="B187" s="66"/>
      <c r="C187" s="66"/>
      <c r="D187" s="66"/>
      <c r="E187" s="15"/>
      <c r="F187" s="66"/>
      <c r="G187" s="18"/>
      <c r="H187" s="15"/>
      <c r="I187" s="18"/>
      <c r="J187" s="22"/>
      <c r="K187" s="108"/>
      <c r="L187" s="66"/>
      <c r="M187" s="66"/>
      <c r="N187" s="66"/>
      <c r="O187" s="66"/>
      <c r="P187" s="66"/>
      <c r="Q187" s="66"/>
      <c r="R187" s="66"/>
      <c r="S187" s="66"/>
    </row>
    <row r="188">
      <c r="A188" s="66"/>
      <c r="B188" s="66"/>
      <c r="C188" s="66"/>
      <c r="D188" s="66"/>
      <c r="E188" s="15"/>
      <c r="F188" s="66"/>
      <c r="G188" s="18"/>
      <c r="H188" s="15"/>
      <c r="I188" s="18"/>
      <c r="J188" s="22"/>
      <c r="K188" s="108"/>
      <c r="L188" s="66"/>
      <c r="M188" s="66"/>
      <c r="N188" s="66"/>
      <c r="O188" s="66"/>
      <c r="P188" s="66"/>
      <c r="Q188" s="66"/>
      <c r="R188" s="66"/>
      <c r="S188" s="66"/>
    </row>
    <row r="189">
      <c r="A189" s="66"/>
      <c r="B189" s="66"/>
      <c r="C189" s="66"/>
      <c r="D189" s="66"/>
      <c r="E189" s="15"/>
      <c r="F189" s="66"/>
      <c r="G189" s="18"/>
      <c r="H189" s="15"/>
      <c r="I189" s="18"/>
      <c r="J189" s="22"/>
      <c r="K189" s="108"/>
      <c r="L189" s="66"/>
      <c r="M189" s="66"/>
      <c r="N189" s="66"/>
      <c r="O189" s="66"/>
      <c r="P189" s="66"/>
      <c r="Q189" s="66"/>
      <c r="R189" s="66"/>
      <c r="S189" s="66"/>
    </row>
    <row r="190">
      <c r="A190" s="66"/>
      <c r="B190" s="66"/>
      <c r="C190" s="66"/>
      <c r="D190" s="66"/>
      <c r="E190" s="15"/>
      <c r="F190" s="66"/>
      <c r="G190" s="18"/>
      <c r="H190" s="15"/>
      <c r="I190" s="18"/>
      <c r="J190" s="22"/>
      <c r="K190" s="108"/>
      <c r="L190" s="66"/>
      <c r="M190" s="66"/>
      <c r="N190" s="66"/>
      <c r="O190" s="66"/>
      <c r="P190" s="66"/>
      <c r="Q190" s="66"/>
      <c r="R190" s="66"/>
      <c r="S190" s="66"/>
    </row>
    <row r="191">
      <c r="A191" s="66"/>
      <c r="B191" s="66"/>
      <c r="C191" s="66"/>
      <c r="D191" s="66"/>
      <c r="E191" s="15"/>
      <c r="F191" s="66"/>
      <c r="G191" s="18"/>
      <c r="H191" s="15"/>
      <c r="I191" s="18"/>
      <c r="J191" s="22"/>
      <c r="K191" s="108"/>
      <c r="L191" s="66"/>
      <c r="M191" s="66"/>
      <c r="N191" s="66"/>
      <c r="O191" s="66"/>
      <c r="P191" s="66"/>
      <c r="Q191" s="66"/>
      <c r="R191" s="66"/>
      <c r="S191" s="66"/>
    </row>
    <row r="192">
      <c r="A192" s="66"/>
      <c r="B192" s="66"/>
      <c r="C192" s="66"/>
      <c r="D192" s="66"/>
      <c r="E192" s="15"/>
      <c r="F192" s="66"/>
      <c r="G192" s="18"/>
      <c r="H192" s="15"/>
      <c r="I192" s="18"/>
      <c r="J192" s="22"/>
      <c r="K192" s="108"/>
      <c r="L192" s="66"/>
      <c r="M192" s="66"/>
      <c r="N192" s="66"/>
      <c r="O192" s="66"/>
      <c r="P192" s="66"/>
      <c r="Q192" s="66"/>
      <c r="R192" s="66"/>
      <c r="S192" s="66"/>
    </row>
    <row r="193">
      <c r="A193" s="66"/>
      <c r="B193" s="66"/>
      <c r="C193" s="66"/>
      <c r="D193" s="66"/>
      <c r="E193" s="15"/>
      <c r="F193" s="66"/>
      <c r="G193" s="18"/>
      <c r="H193" s="15"/>
      <c r="I193" s="18"/>
      <c r="J193" s="22"/>
      <c r="K193" s="108"/>
      <c r="L193" s="66"/>
      <c r="M193" s="66"/>
      <c r="N193" s="66"/>
      <c r="O193" s="66"/>
      <c r="P193" s="66"/>
      <c r="Q193" s="66"/>
      <c r="R193" s="66"/>
      <c r="S193" s="66"/>
    </row>
    <row r="194">
      <c r="A194" s="66"/>
      <c r="B194" s="66"/>
      <c r="C194" s="66"/>
      <c r="D194" s="66"/>
      <c r="E194" s="15"/>
      <c r="F194" s="66"/>
      <c r="G194" s="18"/>
      <c r="H194" s="15"/>
      <c r="I194" s="18"/>
      <c r="J194" s="22"/>
      <c r="K194" s="108"/>
      <c r="L194" s="66"/>
      <c r="M194" s="66"/>
      <c r="N194" s="66"/>
      <c r="O194" s="66"/>
      <c r="P194" s="66"/>
      <c r="Q194" s="66"/>
      <c r="R194" s="66"/>
      <c r="S194" s="66"/>
    </row>
    <row r="195">
      <c r="A195" s="66"/>
      <c r="B195" s="66"/>
      <c r="C195" s="66"/>
      <c r="D195" s="66"/>
      <c r="E195" s="15"/>
      <c r="F195" s="66"/>
      <c r="G195" s="18"/>
      <c r="H195" s="15"/>
      <c r="I195" s="18"/>
      <c r="J195" s="22"/>
      <c r="K195" s="108"/>
      <c r="L195" s="66"/>
      <c r="M195" s="66"/>
      <c r="N195" s="66"/>
      <c r="O195" s="66"/>
      <c r="P195" s="66"/>
      <c r="Q195" s="66"/>
      <c r="R195" s="66"/>
      <c r="S195" s="66"/>
    </row>
    <row r="196">
      <c r="A196" s="66"/>
      <c r="B196" s="66"/>
      <c r="C196" s="66"/>
      <c r="D196" s="66"/>
      <c r="E196" s="15"/>
      <c r="F196" s="66"/>
      <c r="G196" s="18"/>
      <c r="H196" s="15"/>
      <c r="I196" s="18"/>
      <c r="J196" s="22"/>
      <c r="K196" s="108"/>
      <c r="L196" s="66"/>
      <c r="M196" s="66"/>
      <c r="N196" s="66"/>
      <c r="O196" s="66"/>
      <c r="P196" s="66"/>
      <c r="Q196" s="66"/>
      <c r="R196" s="66"/>
      <c r="S196" s="66"/>
    </row>
    <row r="197">
      <c r="A197" s="66"/>
      <c r="B197" s="66"/>
      <c r="C197" s="66"/>
      <c r="D197" s="66"/>
      <c r="E197" s="15"/>
      <c r="F197" s="66"/>
      <c r="G197" s="18"/>
      <c r="H197" s="15"/>
      <c r="I197" s="18"/>
      <c r="J197" s="22"/>
      <c r="K197" s="108"/>
      <c r="L197" s="66"/>
      <c r="M197" s="66"/>
      <c r="N197" s="66"/>
      <c r="O197" s="66"/>
      <c r="P197" s="66"/>
      <c r="Q197" s="66"/>
      <c r="R197" s="66"/>
      <c r="S197" s="66"/>
    </row>
    <row r="198">
      <c r="A198" s="66"/>
      <c r="B198" s="66"/>
      <c r="C198" s="66"/>
      <c r="D198" s="66"/>
      <c r="E198" s="15"/>
      <c r="F198" s="66"/>
      <c r="G198" s="18"/>
      <c r="H198" s="15"/>
      <c r="I198" s="18"/>
      <c r="J198" s="22"/>
      <c r="K198" s="108"/>
      <c r="L198" s="66"/>
      <c r="M198" s="66"/>
      <c r="N198" s="66"/>
      <c r="O198" s="66"/>
      <c r="P198" s="66"/>
      <c r="Q198" s="66"/>
      <c r="R198" s="66"/>
      <c r="S198" s="66"/>
    </row>
    <row r="199">
      <c r="A199" s="66"/>
      <c r="B199" s="66"/>
      <c r="C199" s="66"/>
      <c r="D199" s="66"/>
      <c r="E199" s="15"/>
      <c r="F199" s="66"/>
      <c r="G199" s="18"/>
      <c r="H199" s="15"/>
      <c r="I199" s="18"/>
      <c r="J199" s="22"/>
      <c r="K199" s="108"/>
      <c r="L199" s="66"/>
      <c r="M199" s="66"/>
      <c r="N199" s="66"/>
      <c r="O199" s="66"/>
      <c r="P199" s="66"/>
      <c r="Q199" s="66"/>
      <c r="R199" s="66"/>
      <c r="S199" s="66"/>
    </row>
    <row r="200">
      <c r="A200" s="66"/>
      <c r="B200" s="66"/>
      <c r="C200" s="66"/>
      <c r="D200" s="66"/>
      <c r="E200" s="15"/>
      <c r="F200" s="66"/>
      <c r="G200" s="18"/>
      <c r="H200" s="15"/>
      <c r="I200" s="18"/>
      <c r="J200" s="22"/>
      <c r="K200" s="108"/>
      <c r="L200" s="66"/>
      <c r="M200" s="66"/>
      <c r="N200" s="66"/>
      <c r="O200" s="66"/>
      <c r="P200" s="66"/>
      <c r="Q200" s="66"/>
      <c r="R200" s="66"/>
      <c r="S200" s="66"/>
    </row>
    <row r="201">
      <c r="A201" s="66"/>
      <c r="B201" s="66"/>
      <c r="C201" s="66"/>
      <c r="D201" s="66"/>
      <c r="E201" s="15"/>
      <c r="F201" s="66"/>
      <c r="G201" s="18"/>
      <c r="H201" s="15"/>
      <c r="I201" s="18"/>
      <c r="J201" s="22"/>
      <c r="K201" s="108"/>
      <c r="L201" s="66"/>
      <c r="M201" s="66"/>
      <c r="N201" s="66"/>
      <c r="O201" s="66"/>
      <c r="P201" s="66"/>
      <c r="Q201" s="66"/>
      <c r="R201" s="66"/>
      <c r="S201" s="66"/>
    </row>
    <row r="202">
      <c r="A202" s="66"/>
      <c r="B202" s="66"/>
      <c r="C202" s="66"/>
      <c r="D202" s="66"/>
      <c r="E202" s="15"/>
      <c r="F202" s="66"/>
      <c r="G202" s="18"/>
      <c r="H202" s="15"/>
      <c r="I202" s="18"/>
      <c r="J202" s="22"/>
      <c r="K202" s="108"/>
      <c r="L202" s="66"/>
      <c r="M202" s="66"/>
      <c r="N202" s="66"/>
      <c r="O202" s="66"/>
      <c r="P202" s="66"/>
      <c r="Q202" s="66"/>
      <c r="R202" s="66"/>
      <c r="S202" s="66"/>
    </row>
    <row r="203">
      <c r="A203" s="66"/>
      <c r="B203" s="66"/>
      <c r="C203" s="66"/>
      <c r="D203" s="66"/>
      <c r="E203" s="15"/>
      <c r="F203" s="66"/>
      <c r="G203" s="18"/>
      <c r="H203" s="15"/>
      <c r="I203" s="18"/>
      <c r="J203" s="22"/>
      <c r="K203" s="108"/>
      <c r="L203" s="66"/>
      <c r="M203" s="66"/>
      <c r="N203" s="66"/>
      <c r="O203" s="66"/>
      <c r="P203" s="66"/>
      <c r="Q203" s="66"/>
      <c r="R203" s="66"/>
      <c r="S203" s="66"/>
    </row>
    <row r="204">
      <c r="A204" s="66"/>
      <c r="B204" s="66"/>
      <c r="C204" s="66"/>
      <c r="D204" s="66"/>
      <c r="E204" s="15"/>
      <c r="F204" s="66"/>
      <c r="G204" s="18"/>
      <c r="H204" s="15"/>
      <c r="I204" s="18"/>
      <c r="J204" s="22"/>
      <c r="K204" s="108"/>
      <c r="L204" s="66"/>
      <c r="M204" s="66"/>
      <c r="N204" s="66"/>
      <c r="O204" s="66"/>
      <c r="P204" s="66"/>
      <c r="Q204" s="66"/>
      <c r="R204" s="66"/>
      <c r="S204" s="66"/>
    </row>
    <row r="205">
      <c r="A205" s="66"/>
      <c r="B205" s="66"/>
      <c r="C205" s="66"/>
      <c r="D205" s="66"/>
      <c r="E205" s="15"/>
      <c r="F205" s="66"/>
      <c r="G205" s="18"/>
      <c r="H205" s="15"/>
      <c r="I205" s="18"/>
      <c r="J205" s="22"/>
      <c r="K205" s="108"/>
      <c r="L205" s="66"/>
      <c r="M205" s="66"/>
      <c r="N205" s="66"/>
      <c r="O205" s="66"/>
      <c r="P205" s="66"/>
      <c r="Q205" s="66"/>
      <c r="R205" s="66"/>
      <c r="S205" s="66"/>
    </row>
    <row r="206">
      <c r="A206" s="66"/>
      <c r="B206" s="66"/>
      <c r="C206" s="66"/>
      <c r="D206" s="66"/>
      <c r="E206" s="15"/>
      <c r="F206" s="66"/>
      <c r="G206" s="18"/>
      <c r="H206" s="15"/>
      <c r="I206" s="18"/>
      <c r="J206" s="22"/>
      <c r="K206" s="108"/>
      <c r="L206" s="66"/>
      <c r="M206" s="66"/>
      <c r="N206" s="66"/>
      <c r="O206" s="66"/>
      <c r="P206" s="66"/>
      <c r="Q206" s="66"/>
      <c r="R206" s="66"/>
      <c r="S206" s="66"/>
    </row>
    <row r="207">
      <c r="A207" s="66"/>
      <c r="B207" s="66"/>
      <c r="C207" s="66"/>
      <c r="D207" s="66"/>
      <c r="E207" s="15"/>
      <c r="F207" s="66"/>
      <c r="G207" s="18"/>
      <c r="H207" s="15"/>
      <c r="I207" s="18"/>
      <c r="J207" s="22"/>
      <c r="K207" s="108"/>
      <c r="L207" s="66"/>
      <c r="M207" s="66"/>
      <c r="N207" s="66"/>
      <c r="O207" s="66"/>
      <c r="P207" s="66"/>
      <c r="Q207" s="66"/>
      <c r="R207" s="66"/>
      <c r="S207" s="66"/>
    </row>
    <row r="208">
      <c r="A208" s="66"/>
      <c r="B208" s="66"/>
      <c r="C208" s="66"/>
      <c r="D208" s="66"/>
      <c r="E208" s="15"/>
      <c r="F208" s="66"/>
      <c r="G208" s="18"/>
      <c r="H208" s="15"/>
      <c r="I208" s="18"/>
      <c r="J208" s="22"/>
      <c r="K208" s="108"/>
      <c r="L208" s="66"/>
      <c r="M208" s="66"/>
      <c r="N208" s="66"/>
      <c r="O208" s="66"/>
      <c r="P208" s="66"/>
      <c r="Q208" s="66"/>
      <c r="R208" s="66"/>
      <c r="S208" s="66"/>
    </row>
    <row r="209">
      <c r="A209" s="66"/>
      <c r="B209" s="66"/>
      <c r="C209" s="66"/>
      <c r="D209" s="66"/>
      <c r="E209" s="15"/>
      <c r="F209" s="66"/>
      <c r="G209" s="18"/>
      <c r="H209" s="15"/>
      <c r="I209" s="18"/>
      <c r="J209" s="22"/>
      <c r="K209" s="108"/>
      <c r="L209" s="66"/>
      <c r="M209" s="66"/>
      <c r="N209" s="66"/>
      <c r="O209" s="66"/>
      <c r="P209" s="66"/>
      <c r="Q209" s="66"/>
      <c r="R209" s="66"/>
      <c r="S209" s="66"/>
    </row>
    <row r="210">
      <c r="A210" s="66"/>
      <c r="B210" s="66"/>
      <c r="C210" s="66"/>
      <c r="D210" s="66"/>
      <c r="E210" s="15"/>
      <c r="F210" s="66"/>
      <c r="G210" s="18"/>
      <c r="H210" s="15"/>
      <c r="I210" s="18"/>
      <c r="J210" s="22"/>
      <c r="K210" s="108"/>
      <c r="L210" s="66"/>
      <c r="M210" s="66"/>
      <c r="N210" s="66"/>
      <c r="O210" s="66"/>
      <c r="P210" s="66"/>
      <c r="Q210" s="66"/>
      <c r="R210" s="66"/>
      <c r="S210" s="66"/>
    </row>
    <row r="211">
      <c r="A211" s="66"/>
      <c r="B211" s="66"/>
      <c r="C211" s="66"/>
      <c r="D211" s="66"/>
      <c r="E211" s="15"/>
      <c r="F211" s="66"/>
      <c r="G211" s="18"/>
      <c r="H211" s="15"/>
      <c r="I211" s="18"/>
      <c r="J211" s="22"/>
      <c r="K211" s="108"/>
      <c r="L211" s="66"/>
      <c r="M211" s="66"/>
      <c r="N211" s="66"/>
      <c r="O211" s="66"/>
      <c r="P211" s="66"/>
      <c r="Q211" s="66"/>
      <c r="R211" s="66"/>
      <c r="S211" s="66"/>
    </row>
    <row r="212">
      <c r="A212" s="66"/>
      <c r="B212" s="66"/>
      <c r="C212" s="66"/>
      <c r="D212" s="66"/>
      <c r="E212" s="15"/>
      <c r="F212" s="66"/>
      <c r="G212" s="18"/>
      <c r="H212" s="15"/>
      <c r="I212" s="18"/>
      <c r="J212" s="22"/>
      <c r="K212" s="108"/>
      <c r="L212" s="66"/>
      <c r="M212" s="66"/>
      <c r="N212" s="66"/>
      <c r="O212" s="66"/>
      <c r="P212" s="66"/>
      <c r="Q212" s="66"/>
      <c r="R212" s="66"/>
      <c r="S212" s="66"/>
    </row>
    <row r="213">
      <c r="A213" s="66"/>
      <c r="B213" s="66"/>
      <c r="C213" s="66"/>
      <c r="D213" s="66"/>
      <c r="E213" s="15"/>
      <c r="F213" s="66"/>
      <c r="G213" s="18"/>
      <c r="H213" s="15"/>
      <c r="I213" s="18"/>
      <c r="J213" s="22"/>
      <c r="K213" s="108"/>
      <c r="L213" s="66"/>
      <c r="M213" s="66"/>
      <c r="N213" s="66"/>
      <c r="O213" s="66"/>
      <c r="P213" s="66"/>
      <c r="Q213" s="66"/>
      <c r="R213" s="66"/>
      <c r="S213" s="66"/>
    </row>
    <row r="214">
      <c r="A214" s="66"/>
      <c r="B214" s="66"/>
      <c r="C214" s="66"/>
      <c r="D214" s="66"/>
      <c r="E214" s="15"/>
      <c r="F214" s="66"/>
      <c r="G214" s="18"/>
      <c r="H214" s="15"/>
      <c r="I214" s="18"/>
      <c r="J214" s="22"/>
      <c r="K214" s="108"/>
      <c r="L214" s="66"/>
      <c r="M214" s="66"/>
      <c r="N214" s="66"/>
      <c r="O214" s="66"/>
      <c r="P214" s="66"/>
      <c r="Q214" s="66"/>
      <c r="R214" s="66"/>
      <c r="S214" s="66"/>
    </row>
    <row r="215">
      <c r="A215" s="66"/>
      <c r="B215" s="66"/>
      <c r="C215" s="66"/>
      <c r="D215" s="66"/>
      <c r="E215" s="15"/>
      <c r="F215" s="66"/>
      <c r="G215" s="18"/>
      <c r="H215" s="15"/>
      <c r="I215" s="18"/>
      <c r="J215" s="22"/>
      <c r="K215" s="108"/>
      <c r="L215" s="66"/>
      <c r="M215" s="66"/>
      <c r="N215" s="66"/>
      <c r="O215" s="66"/>
      <c r="P215" s="66"/>
      <c r="Q215" s="66"/>
      <c r="R215" s="66"/>
      <c r="S215" s="66"/>
    </row>
    <row r="216">
      <c r="A216" s="66"/>
      <c r="B216" s="66"/>
      <c r="C216" s="66"/>
      <c r="D216" s="66"/>
      <c r="E216" s="15"/>
      <c r="F216" s="66"/>
      <c r="G216" s="18"/>
      <c r="H216" s="15"/>
      <c r="I216" s="18"/>
      <c r="J216" s="22"/>
      <c r="K216" s="108"/>
      <c r="L216" s="66"/>
      <c r="M216" s="66"/>
      <c r="N216" s="66"/>
      <c r="O216" s="66"/>
      <c r="P216" s="66"/>
      <c r="Q216" s="66"/>
      <c r="R216" s="66"/>
      <c r="S216" s="66"/>
    </row>
    <row r="217">
      <c r="A217" s="66"/>
      <c r="B217" s="66"/>
      <c r="C217" s="66"/>
      <c r="D217" s="66"/>
      <c r="E217" s="15"/>
      <c r="F217" s="66"/>
      <c r="G217" s="18"/>
      <c r="H217" s="15"/>
      <c r="I217" s="18"/>
      <c r="J217" s="22"/>
      <c r="K217" s="108"/>
      <c r="L217" s="66"/>
      <c r="M217" s="66"/>
      <c r="N217" s="66"/>
      <c r="O217" s="66"/>
      <c r="P217" s="66"/>
      <c r="Q217" s="66"/>
      <c r="R217" s="66"/>
      <c r="S217" s="66"/>
    </row>
    <row r="218">
      <c r="A218" s="66"/>
      <c r="B218" s="66"/>
      <c r="C218" s="66"/>
      <c r="D218" s="66"/>
      <c r="E218" s="15"/>
      <c r="F218" s="66"/>
      <c r="G218" s="18"/>
      <c r="H218" s="15"/>
      <c r="I218" s="18"/>
      <c r="J218" s="22"/>
      <c r="K218" s="108"/>
      <c r="L218" s="66"/>
      <c r="M218" s="66"/>
      <c r="N218" s="66"/>
      <c r="O218" s="66"/>
      <c r="P218" s="66"/>
      <c r="Q218" s="66"/>
      <c r="R218" s="66"/>
      <c r="S218" s="66"/>
    </row>
    <row r="219">
      <c r="A219" s="66"/>
      <c r="B219" s="66"/>
      <c r="C219" s="66"/>
      <c r="D219" s="66"/>
      <c r="E219" s="15"/>
      <c r="F219" s="66"/>
      <c r="G219" s="18"/>
      <c r="H219" s="15"/>
      <c r="I219" s="18"/>
      <c r="J219" s="22"/>
      <c r="K219" s="108"/>
      <c r="L219" s="66"/>
      <c r="M219" s="66"/>
      <c r="N219" s="66"/>
      <c r="O219" s="66"/>
      <c r="P219" s="66"/>
      <c r="Q219" s="66"/>
      <c r="R219" s="66"/>
      <c r="S219" s="66"/>
    </row>
    <row r="220">
      <c r="A220" s="66"/>
      <c r="B220" s="66"/>
      <c r="C220" s="66"/>
      <c r="D220" s="66"/>
      <c r="E220" s="15"/>
      <c r="F220" s="66"/>
      <c r="G220" s="18"/>
      <c r="H220" s="15"/>
      <c r="I220" s="18"/>
      <c r="J220" s="22"/>
      <c r="K220" s="108"/>
      <c r="L220" s="66"/>
      <c r="M220" s="66"/>
      <c r="N220" s="66"/>
      <c r="O220" s="66"/>
      <c r="P220" s="66"/>
      <c r="Q220" s="66"/>
      <c r="R220" s="66"/>
      <c r="S220" s="66"/>
    </row>
    <row r="221">
      <c r="A221" s="66"/>
      <c r="B221" s="66"/>
      <c r="C221" s="66"/>
      <c r="D221" s="66"/>
      <c r="E221" s="15"/>
      <c r="F221" s="66"/>
      <c r="G221" s="18"/>
      <c r="H221" s="15"/>
      <c r="I221" s="18"/>
      <c r="J221" s="22"/>
      <c r="K221" s="108"/>
      <c r="L221" s="66"/>
      <c r="M221" s="66"/>
      <c r="N221" s="66"/>
      <c r="O221" s="66"/>
      <c r="P221" s="66"/>
      <c r="Q221" s="66"/>
      <c r="R221" s="66"/>
      <c r="S221" s="66"/>
    </row>
    <row r="222">
      <c r="A222" s="66"/>
      <c r="B222" s="66"/>
      <c r="C222" s="66"/>
      <c r="D222" s="66"/>
      <c r="E222" s="15"/>
      <c r="F222" s="66"/>
      <c r="G222" s="18"/>
      <c r="H222" s="15"/>
      <c r="I222" s="18"/>
      <c r="J222" s="22"/>
      <c r="K222" s="108"/>
      <c r="L222" s="66"/>
      <c r="M222" s="66"/>
      <c r="N222" s="66"/>
      <c r="O222" s="66"/>
      <c r="P222" s="66"/>
      <c r="Q222" s="66"/>
      <c r="R222" s="66"/>
      <c r="S222" s="66"/>
    </row>
    <row r="223">
      <c r="A223" s="66"/>
      <c r="B223" s="66"/>
      <c r="C223" s="66"/>
      <c r="D223" s="66"/>
      <c r="E223" s="15"/>
      <c r="F223" s="66"/>
      <c r="G223" s="18"/>
      <c r="H223" s="15"/>
      <c r="I223" s="18"/>
      <c r="J223" s="22"/>
      <c r="K223" s="108"/>
      <c r="L223" s="66"/>
      <c r="M223" s="66"/>
      <c r="N223" s="66"/>
      <c r="O223" s="66"/>
      <c r="P223" s="66"/>
      <c r="Q223" s="66"/>
      <c r="R223" s="66"/>
      <c r="S223" s="66"/>
    </row>
    <row r="224">
      <c r="A224" s="66"/>
      <c r="B224" s="66"/>
      <c r="C224" s="66"/>
      <c r="D224" s="66"/>
      <c r="E224" s="15"/>
      <c r="F224" s="66"/>
      <c r="G224" s="18"/>
      <c r="H224" s="15"/>
      <c r="I224" s="18"/>
      <c r="J224" s="22"/>
      <c r="K224" s="108"/>
      <c r="L224" s="66"/>
      <c r="M224" s="66"/>
      <c r="N224" s="66"/>
      <c r="O224" s="66"/>
      <c r="P224" s="66"/>
      <c r="Q224" s="66"/>
      <c r="R224" s="66"/>
      <c r="S224" s="66"/>
    </row>
    <row r="225">
      <c r="A225" s="66"/>
      <c r="B225" s="66"/>
      <c r="C225" s="66"/>
      <c r="D225" s="66"/>
      <c r="E225" s="15"/>
      <c r="F225" s="66"/>
      <c r="G225" s="18"/>
      <c r="H225" s="15"/>
      <c r="I225" s="18"/>
      <c r="J225" s="22"/>
      <c r="K225" s="108"/>
      <c r="L225" s="66"/>
      <c r="M225" s="66"/>
      <c r="N225" s="66"/>
      <c r="O225" s="66"/>
      <c r="P225" s="66"/>
      <c r="Q225" s="66"/>
      <c r="R225" s="66"/>
      <c r="S225" s="66"/>
    </row>
    <row r="226">
      <c r="A226" s="66"/>
      <c r="B226" s="66"/>
      <c r="C226" s="66"/>
      <c r="D226" s="66"/>
      <c r="E226" s="15"/>
      <c r="F226" s="66"/>
      <c r="G226" s="18"/>
      <c r="H226" s="15"/>
      <c r="I226" s="18"/>
      <c r="J226" s="22"/>
      <c r="K226" s="108"/>
      <c r="L226" s="66"/>
      <c r="M226" s="66"/>
      <c r="N226" s="66"/>
      <c r="O226" s="66"/>
      <c r="P226" s="66"/>
      <c r="Q226" s="66"/>
      <c r="R226" s="66"/>
      <c r="S226" s="66"/>
    </row>
    <row r="227">
      <c r="A227" s="66"/>
      <c r="B227" s="66"/>
      <c r="C227" s="66"/>
      <c r="D227" s="66"/>
      <c r="E227" s="15"/>
      <c r="F227" s="66"/>
      <c r="G227" s="18"/>
      <c r="H227" s="15"/>
      <c r="I227" s="18"/>
      <c r="J227" s="22"/>
      <c r="K227" s="108"/>
      <c r="L227" s="66"/>
      <c r="M227" s="66"/>
      <c r="N227" s="66"/>
      <c r="O227" s="66"/>
      <c r="P227" s="66"/>
      <c r="Q227" s="66"/>
      <c r="R227" s="66"/>
      <c r="S227" s="66"/>
    </row>
    <row r="228">
      <c r="A228" s="66"/>
      <c r="B228" s="66"/>
      <c r="C228" s="66"/>
      <c r="D228" s="66"/>
      <c r="E228" s="15"/>
      <c r="F228" s="66"/>
      <c r="G228" s="18"/>
      <c r="H228" s="15"/>
      <c r="I228" s="18"/>
      <c r="J228" s="22"/>
      <c r="K228" s="108"/>
      <c r="L228" s="66"/>
      <c r="M228" s="66"/>
      <c r="N228" s="66"/>
      <c r="O228" s="66"/>
      <c r="P228" s="66"/>
      <c r="Q228" s="66"/>
      <c r="R228" s="66"/>
      <c r="S228" s="66"/>
    </row>
    <row r="229">
      <c r="A229" s="66"/>
      <c r="B229" s="66"/>
      <c r="C229" s="66"/>
      <c r="D229" s="66"/>
      <c r="E229" s="15"/>
      <c r="F229" s="66"/>
      <c r="G229" s="18"/>
      <c r="H229" s="15"/>
      <c r="I229" s="18"/>
      <c r="J229" s="22"/>
      <c r="K229" s="108"/>
      <c r="L229" s="66"/>
      <c r="M229" s="66"/>
      <c r="N229" s="66"/>
      <c r="O229" s="66"/>
      <c r="P229" s="66"/>
      <c r="Q229" s="66"/>
      <c r="R229" s="66"/>
      <c r="S229" s="66"/>
    </row>
    <row r="230">
      <c r="A230" s="66"/>
      <c r="B230" s="66"/>
      <c r="C230" s="66"/>
      <c r="D230" s="66"/>
      <c r="E230" s="15"/>
      <c r="F230" s="66"/>
      <c r="G230" s="18"/>
      <c r="H230" s="15"/>
      <c r="I230" s="18"/>
      <c r="J230" s="22"/>
      <c r="K230" s="108"/>
      <c r="L230" s="66"/>
      <c r="M230" s="66"/>
      <c r="N230" s="66"/>
      <c r="O230" s="66"/>
      <c r="P230" s="66"/>
      <c r="Q230" s="66"/>
      <c r="R230" s="66"/>
      <c r="S230" s="66"/>
    </row>
    <row r="231">
      <c r="A231" s="66"/>
      <c r="B231" s="66"/>
      <c r="C231" s="66"/>
      <c r="D231" s="66"/>
      <c r="E231" s="15"/>
      <c r="F231" s="66"/>
      <c r="G231" s="18"/>
      <c r="H231" s="15"/>
      <c r="I231" s="18"/>
      <c r="J231" s="22"/>
      <c r="K231" s="108"/>
      <c r="L231" s="66"/>
      <c r="M231" s="66"/>
      <c r="N231" s="66"/>
      <c r="O231" s="66"/>
      <c r="P231" s="66"/>
      <c r="Q231" s="66"/>
      <c r="R231" s="66"/>
      <c r="S231" s="66"/>
    </row>
    <row r="232">
      <c r="A232" s="66"/>
      <c r="B232" s="66"/>
      <c r="C232" s="66"/>
      <c r="D232" s="66"/>
      <c r="E232" s="15"/>
      <c r="F232" s="66"/>
      <c r="G232" s="18"/>
      <c r="H232" s="15"/>
      <c r="I232" s="18"/>
      <c r="J232" s="22"/>
      <c r="K232" s="108"/>
      <c r="L232" s="66"/>
      <c r="M232" s="66"/>
      <c r="N232" s="66"/>
      <c r="O232" s="66"/>
      <c r="P232" s="66"/>
      <c r="Q232" s="66"/>
      <c r="R232" s="66"/>
      <c r="S232" s="66"/>
    </row>
    <row r="233">
      <c r="A233" s="66"/>
      <c r="B233" s="66"/>
      <c r="C233" s="66"/>
      <c r="D233" s="66"/>
      <c r="E233" s="15"/>
      <c r="F233" s="66"/>
      <c r="G233" s="18"/>
      <c r="H233" s="15"/>
      <c r="I233" s="18"/>
      <c r="J233" s="22"/>
      <c r="K233" s="108"/>
      <c r="L233" s="66"/>
      <c r="M233" s="66"/>
      <c r="N233" s="66"/>
      <c r="O233" s="66"/>
      <c r="P233" s="66"/>
      <c r="Q233" s="66"/>
      <c r="R233" s="66"/>
      <c r="S233" s="66"/>
    </row>
    <row r="234">
      <c r="A234" s="66"/>
      <c r="B234" s="66"/>
      <c r="C234" s="66"/>
      <c r="D234" s="66"/>
      <c r="E234" s="15"/>
      <c r="F234" s="66"/>
      <c r="G234" s="18"/>
      <c r="H234" s="15"/>
      <c r="I234" s="18"/>
      <c r="J234" s="22"/>
      <c r="K234" s="108"/>
      <c r="L234" s="66"/>
      <c r="M234" s="66"/>
      <c r="N234" s="66"/>
      <c r="O234" s="66"/>
      <c r="P234" s="66"/>
      <c r="Q234" s="66"/>
      <c r="R234" s="66"/>
      <c r="S234" s="66"/>
    </row>
    <row r="235">
      <c r="A235" s="66"/>
      <c r="B235" s="66"/>
      <c r="C235" s="66"/>
      <c r="D235" s="66"/>
      <c r="E235" s="15"/>
      <c r="F235" s="66"/>
      <c r="G235" s="18"/>
      <c r="H235" s="15"/>
      <c r="I235" s="18"/>
      <c r="J235" s="22"/>
      <c r="K235" s="108"/>
      <c r="L235" s="66"/>
      <c r="M235" s="66"/>
      <c r="N235" s="66"/>
      <c r="O235" s="66"/>
      <c r="P235" s="66"/>
      <c r="Q235" s="66"/>
      <c r="R235" s="66"/>
      <c r="S235" s="66"/>
    </row>
    <row r="236">
      <c r="A236" s="66"/>
      <c r="B236" s="66"/>
      <c r="C236" s="66"/>
      <c r="D236" s="66"/>
      <c r="E236" s="15"/>
      <c r="F236" s="66"/>
      <c r="G236" s="18"/>
      <c r="H236" s="15"/>
      <c r="I236" s="18"/>
      <c r="J236" s="22"/>
      <c r="K236" s="108"/>
      <c r="L236" s="66"/>
      <c r="M236" s="66"/>
      <c r="N236" s="66"/>
      <c r="O236" s="66"/>
      <c r="P236" s="66"/>
      <c r="Q236" s="66"/>
      <c r="R236" s="66"/>
      <c r="S236" s="66"/>
    </row>
    <row r="237">
      <c r="A237" s="66"/>
      <c r="B237" s="66"/>
      <c r="C237" s="66"/>
      <c r="D237" s="66"/>
      <c r="E237" s="15"/>
      <c r="F237" s="66"/>
      <c r="G237" s="18"/>
      <c r="H237" s="15"/>
      <c r="I237" s="18"/>
      <c r="J237" s="22"/>
      <c r="K237" s="108"/>
      <c r="L237" s="66"/>
      <c r="M237" s="66"/>
      <c r="N237" s="66"/>
      <c r="O237" s="66"/>
      <c r="P237" s="66"/>
      <c r="Q237" s="66"/>
      <c r="R237" s="66"/>
      <c r="S237" s="66"/>
    </row>
    <row r="238">
      <c r="A238" s="66"/>
      <c r="B238" s="66"/>
      <c r="C238" s="66"/>
      <c r="D238" s="66"/>
      <c r="E238" s="15"/>
      <c r="F238" s="66"/>
      <c r="G238" s="18"/>
      <c r="H238" s="15"/>
      <c r="I238" s="18"/>
      <c r="J238" s="22"/>
      <c r="K238" s="108"/>
      <c r="L238" s="66"/>
      <c r="M238" s="66"/>
      <c r="N238" s="66"/>
      <c r="O238" s="66"/>
      <c r="P238" s="66"/>
      <c r="Q238" s="66"/>
      <c r="R238" s="66"/>
      <c r="S238" s="66"/>
    </row>
    <row r="239">
      <c r="A239" s="66"/>
      <c r="B239" s="66"/>
      <c r="C239" s="66"/>
      <c r="D239" s="66"/>
      <c r="E239" s="15"/>
      <c r="F239" s="66"/>
      <c r="G239" s="18"/>
      <c r="H239" s="15"/>
      <c r="I239" s="18"/>
      <c r="J239" s="22"/>
      <c r="K239" s="108"/>
      <c r="L239" s="66"/>
      <c r="M239" s="66"/>
      <c r="N239" s="66"/>
      <c r="O239" s="66"/>
      <c r="P239" s="66"/>
      <c r="Q239" s="66"/>
      <c r="R239" s="66"/>
      <c r="S239" s="66"/>
    </row>
    <row r="240">
      <c r="A240" s="66"/>
      <c r="B240" s="66"/>
      <c r="C240" s="66"/>
      <c r="D240" s="66"/>
      <c r="E240" s="15"/>
      <c r="F240" s="66"/>
      <c r="G240" s="18"/>
      <c r="H240" s="15"/>
      <c r="I240" s="18"/>
      <c r="J240" s="22"/>
      <c r="K240" s="108"/>
      <c r="L240" s="66"/>
      <c r="M240" s="66"/>
      <c r="N240" s="66"/>
      <c r="O240" s="66"/>
      <c r="P240" s="66"/>
      <c r="Q240" s="66"/>
      <c r="R240" s="66"/>
      <c r="S240" s="66"/>
    </row>
    <row r="241">
      <c r="A241" s="66"/>
      <c r="B241" s="66"/>
      <c r="C241" s="66"/>
      <c r="D241" s="66"/>
      <c r="E241" s="15"/>
      <c r="F241" s="66"/>
      <c r="G241" s="18"/>
      <c r="H241" s="15"/>
      <c r="I241" s="18"/>
      <c r="J241" s="22"/>
      <c r="K241" s="108"/>
      <c r="L241" s="66"/>
      <c r="M241" s="66"/>
      <c r="N241" s="66"/>
      <c r="O241" s="66"/>
      <c r="P241" s="66"/>
      <c r="Q241" s="66"/>
      <c r="R241" s="66"/>
      <c r="S241" s="66"/>
    </row>
    <row r="242">
      <c r="A242" s="66"/>
      <c r="B242" s="66"/>
      <c r="C242" s="66"/>
      <c r="D242" s="66"/>
      <c r="E242" s="15"/>
      <c r="F242" s="66"/>
      <c r="G242" s="18"/>
      <c r="H242" s="15"/>
      <c r="I242" s="18"/>
      <c r="J242" s="22"/>
      <c r="K242" s="108"/>
      <c r="L242" s="66"/>
      <c r="M242" s="66"/>
      <c r="N242" s="66"/>
      <c r="O242" s="66"/>
      <c r="P242" s="66"/>
      <c r="Q242" s="66"/>
      <c r="R242" s="66"/>
      <c r="S242" s="66"/>
    </row>
    <row r="243">
      <c r="A243" s="66"/>
      <c r="B243" s="66"/>
      <c r="C243" s="66"/>
      <c r="D243" s="66"/>
      <c r="E243" s="15"/>
      <c r="F243" s="66"/>
      <c r="G243" s="18"/>
      <c r="H243" s="15"/>
      <c r="I243" s="18"/>
      <c r="J243" s="22"/>
      <c r="K243" s="108"/>
      <c r="L243" s="66"/>
      <c r="M243" s="66"/>
      <c r="N243" s="66"/>
      <c r="O243" s="66"/>
      <c r="P243" s="66"/>
      <c r="Q243" s="66"/>
      <c r="R243" s="66"/>
      <c r="S243" s="66"/>
    </row>
    <row r="244">
      <c r="A244" s="66"/>
      <c r="B244" s="66"/>
      <c r="C244" s="66"/>
      <c r="D244" s="66"/>
      <c r="E244" s="15"/>
      <c r="F244" s="66"/>
      <c r="G244" s="18"/>
      <c r="H244" s="15"/>
      <c r="I244" s="18"/>
      <c r="J244" s="22"/>
      <c r="K244" s="108"/>
      <c r="L244" s="66"/>
      <c r="M244" s="66"/>
      <c r="N244" s="66"/>
      <c r="O244" s="66"/>
      <c r="P244" s="66"/>
      <c r="Q244" s="66"/>
      <c r="R244" s="66"/>
      <c r="S244" s="66"/>
    </row>
    <row r="245">
      <c r="A245" s="66"/>
      <c r="B245" s="66"/>
      <c r="C245" s="66"/>
      <c r="D245" s="66"/>
      <c r="E245" s="15"/>
      <c r="F245" s="66"/>
      <c r="G245" s="18"/>
      <c r="H245" s="15"/>
      <c r="I245" s="18"/>
      <c r="J245" s="22"/>
      <c r="K245" s="108"/>
      <c r="L245" s="66"/>
      <c r="M245" s="66"/>
      <c r="N245" s="66"/>
      <c r="O245" s="66"/>
      <c r="P245" s="66"/>
      <c r="Q245" s="66"/>
      <c r="R245" s="66"/>
      <c r="S245" s="66"/>
    </row>
    <row r="246">
      <c r="A246" s="66"/>
      <c r="B246" s="66"/>
      <c r="C246" s="66"/>
      <c r="D246" s="66"/>
      <c r="E246" s="15"/>
      <c r="F246" s="66"/>
      <c r="G246" s="18"/>
      <c r="H246" s="15"/>
      <c r="I246" s="18"/>
      <c r="J246" s="22"/>
      <c r="K246" s="108"/>
      <c r="L246" s="66"/>
      <c r="M246" s="66"/>
      <c r="N246" s="66"/>
      <c r="O246" s="66"/>
      <c r="P246" s="66"/>
      <c r="Q246" s="66"/>
      <c r="R246" s="66"/>
      <c r="S246" s="66"/>
    </row>
    <row r="247">
      <c r="A247" s="66"/>
      <c r="B247" s="66"/>
      <c r="C247" s="66"/>
      <c r="D247" s="66"/>
      <c r="E247" s="15"/>
      <c r="F247" s="66"/>
      <c r="G247" s="18"/>
      <c r="H247" s="15"/>
      <c r="I247" s="18"/>
      <c r="J247" s="22"/>
      <c r="K247" s="108"/>
      <c r="L247" s="66"/>
      <c r="M247" s="66"/>
      <c r="N247" s="66"/>
      <c r="O247" s="66"/>
      <c r="P247" s="66"/>
      <c r="Q247" s="66"/>
      <c r="R247" s="66"/>
      <c r="S247" s="66"/>
    </row>
    <row r="248">
      <c r="A248" s="66"/>
      <c r="B248" s="66"/>
      <c r="C248" s="66"/>
      <c r="D248" s="66"/>
      <c r="E248" s="15"/>
      <c r="F248" s="66"/>
      <c r="G248" s="18"/>
      <c r="H248" s="15"/>
      <c r="I248" s="18"/>
      <c r="J248" s="22"/>
      <c r="K248" s="108"/>
      <c r="L248" s="66"/>
      <c r="M248" s="66"/>
      <c r="N248" s="66"/>
      <c r="O248" s="66"/>
      <c r="P248" s="66"/>
      <c r="Q248" s="66"/>
      <c r="R248" s="66"/>
      <c r="S248" s="66"/>
    </row>
    <row r="249">
      <c r="A249" s="66"/>
      <c r="B249" s="66"/>
      <c r="C249" s="66"/>
      <c r="D249" s="66"/>
      <c r="E249" s="15"/>
      <c r="F249" s="66"/>
      <c r="G249" s="18"/>
      <c r="H249" s="15"/>
      <c r="I249" s="18"/>
      <c r="J249" s="22"/>
      <c r="K249" s="108"/>
      <c r="L249" s="66"/>
      <c r="M249" s="66"/>
      <c r="N249" s="66"/>
      <c r="O249" s="66"/>
      <c r="P249" s="66"/>
      <c r="Q249" s="66"/>
      <c r="R249" s="66"/>
      <c r="S249" s="66"/>
    </row>
    <row r="250">
      <c r="A250" s="66"/>
      <c r="B250" s="66"/>
      <c r="C250" s="66"/>
      <c r="D250" s="66"/>
      <c r="E250" s="15"/>
      <c r="F250" s="66"/>
      <c r="G250" s="18"/>
      <c r="H250" s="15"/>
      <c r="I250" s="18"/>
      <c r="J250" s="22"/>
      <c r="K250" s="108"/>
      <c r="L250" s="66"/>
      <c r="M250" s="66"/>
      <c r="N250" s="66"/>
      <c r="O250" s="66"/>
      <c r="P250" s="66"/>
      <c r="Q250" s="66"/>
      <c r="R250" s="66"/>
      <c r="S250" s="66"/>
    </row>
    <row r="251">
      <c r="A251" s="66"/>
      <c r="B251" s="66"/>
      <c r="C251" s="66"/>
      <c r="D251" s="66"/>
      <c r="E251" s="15"/>
      <c r="F251" s="66"/>
      <c r="G251" s="18"/>
      <c r="H251" s="15"/>
      <c r="I251" s="18"/>
      <c r="J251" s="22"/>
      <c r="K251" s="108"/>
      <c r="L251" s="66"/>
      <c r="M251" s="66"/>
      <c r="N251" s="66"/>
      <c r="O251" s="66"/>
      <c r="P251" s="66"/>
      <c r="Q251" s="66"/>
      <c r="R251" s="66"/>
      <c r="S251" s="66"/>
    </row>
    <row r="252">
      <c r="A252" s="66"/>
      <c r="B252" s="66"/>
      <c r="C252" s="66"/>
      <c r="D252" s="66"/>
      <c r="E252" s="15"/>
      <c r="F252" s="66"/>
      <c r="G252" s="18"/>
      <c r="H252" s="15"/>
      <c r="I252" s="18"/>
      <c r="J252" s="22"/>
      <c r="K252" s="108"/>
      <c r="L252" s="66"/>
      <c r="M252" s="66"/>
      <c r="N252" s="66"/>
      <c r="O252" s="66"/>
      <c r="P252" s="66"/>
      <c r="Q252" s="66"/>
      <c r="R252" s="66"/>
      <c r="S252" s="66"/>
    </row>
    <row r="253">
      <c r="A253" s="66"/>
      <c r="B253" s="66"/>
      <c r="C253" s="66"/>
      <c r="D253" s="66"/>
      <c r="E253" s="15"/>
      <c r="F253" s="66"/>
      <c r="G253" s="18"/>
      <c r="H253" s="15"/>
      <c r="I253" s="18"/>
      <c r="J253" s="22"/>
      <c r="K253" s="108"/>
      <c r="L253" s="66"/>
      <c r="M253" s="66"/>
      <c r="N253" s="66"/>
      <c r="O253" s="66"/>
      <c r="P253" s="66"/>
      <c r="Q253" s="66"/>
      <c r="R253" s="66"/>
      <c r="S253" s="66"/>
    </row>
    <row r="254">
      <c r="A254" s="66"/>
      <c r="B254" s="66"/>
      <c r="C254" s="66"/>
      <c r="D254" s="66"/>
      <c r="E254" s="15"/>
      <c r="F254" s="66"/>
      <c r="G254" s="18"/>
      <c r="H254" s="15"/>
      <c r="I254" s="18"/>
      <c r="J254" s="22"/>
      <c r="K254" s="108"/>
      <c r="L254" s="66"/>
      <c r="M254" s="66"/>
      <c r="N254" s="66"/>
      <c r="O254" s="66"/>
      <c r="P254" s="66"/>
      <c r="Q254" s="66"/>
      <c r="R254" s="66"/>
      <c r="S254" s="66"/>
    </row>
    <row r="255">
      <c r="A255" s="66"/>
      <c r="B255" s="66"/>
      <c r="C255" s="66"/>
      <c r="D255" s="66"/>
      <c r="E255" s="15"/>
      <c r="F255" s="66"/>
      <c r="G255" s="18"/>
      <c r="H255" s="15"/>
      <c r="I255" s="18"/>
      <c r="J255" s="22"/>
      <c r="K255" s="108"/>
      <c r="L255" s="66"/>
      <c r="M255" s="66"/>
      <c r="N255" s="66"/>
      <c r="O255" s="66"/>
      <c r="P255" s="66"/>
      <c r="Q255" s="66"/>
      <c r="R255" s="66"/>
      <c r="S255" s="66"/>
    </row>
    <row r="256">
      <c r="A256" s="66"/>
      <c r="B256" s="66"/>
      <c r="C256" s="66"/>
      <c r="D256" s="66"/>
      <c r="E256" s="15"/>
      <c r="F256" s="66"/>
      <c r="G256" s="18"/>
      <c r="H256" s="15"/>
      <c r="I256" s="18"/>
      <c r="J256" s="22"/>
      <c r="K256" s="108"/>
      <c r="L256" s="66"/>
      <c r="M256" s="66"/>
      <c r="N256" s="66"/>
      <c r="O256" s="66"/>
      <c r="P256" s="66"/>
      <c r="Q256" s="66"/>
      <c r="R256" s="66"/>
      <c r="S256" s="66"/>
    </row>
    <row r="257">
      <c r="A257" s="66"/>
      <c r="B257" s="66"/>
      <c r="C257" s="66"/>
      <c r="D257" s="66"/>
      <c r="E257" s="15"/>
      <c r="F257" s="66"/>
      <c r="G257" s="18"/>
      <c r="H257" s="15"/>
      <c r="I257" s="18"/>
      <c r="J257" s="22"/>
      <c r="K257" s="108"/>
      <c r="L257" s="66"/>
      <c r="M257" s="66"/>
      <c r="N257" s="66"/>
      <c r="O257" s="66"/>
      <c r="P257" s="66"/>
      <c r="Q257" s="66"/>
      <c r="R257" s="66"/>
      <c r="S257" s="66"/>
    </row>
    <row r="258">
      <c r="A258" s="66"/>
      <c r="B258" s="66"/>
      <c r="C258" s="66"/>
      <c r="D258" s="66"/>
      <c r="E258" s="15"/>
      <c r="F258" s="66"/>
      <c r="G258" s="18"/>
      <c r="H258" s="15"/>
      <c r="I258" s="18"/>
      <c r="J258" s="22"/>
      <c r="K258" s="108"/>
      <c r="L258" s="66"/>
      <c r="M258" s="66"/>
      <c r="N258" s="66"/>
      <c r="O258" s="66"/>
      <c r="P258" s="66"/>
      <c r="Q258" s="66"/>
      <c r="R258" s="66"/>
      <c r="S258" s="66"/>
    </row>
    <row r="259">
      <c r="A259" s="66"/>
      <c r="B259" s="66"/>
      <c r="C259" s="66"/>
      <c r="D259" s="66"/>
      <c r="E259" s="15"/>
      <c r="F259" s="66"/>
      <c r="G259" s="18"/>
      <c r="H259" s="15"/>
      <c r="I259" s="18"/>
      <c r="J259" s="22"/>
      <c r="K259" s="108"/>
      <c r="L259" s="66"/>
      <c r="M259" s="66"/>
      <c r="N259" s="66"/>
      <c r="O259" s="66"/>
      <c r="P259" s="66"/>
      <c r="Q259" s="66"/>
      <c r="R259" s="66"/>
      <c r="S259" s="66"/>
    </row>
    <row r="260">
      <c r="A260" s="66"/>
      <c r="B260" s="66"/>
      <c r="C260" s="66"/>
      <c r="D260" s="66"/>
      <c r="E260" s="15"/>
      <c r="F260" s="66"/>
      <c r="G260" s="18"/>
      <c r="H260" s="15"/>
      <c r="I260" s="18"/>
      <c r="J260" s="22"/>
      <c r="K260" s="108"/>
      <c r="L260" s="66"/>
      <c r="M260" s="66"/>
      <c r="N260" s="66"/>
      <c r="O260" s="66"/>
      <c r="P260" s="66"/>
      <c r="Q260" s="66"/>
      <c r="R260" s="66"/>
      <c r="S260" s="66"/>
    </row>
    <row r="261">
      <c r="A261" s="66"/>
      <c r="B261" s="66"/>
      <c r="C261" s="66"/>
      <c r="D261" s="66"/>
      <c r="E261" s="15"/>
      <c r="F261" s="66"/>
      <c r="G261" s="18"/>
      <c r="H261" s="15"/>
      <c r="I261" s="18"/>
      <c r="J261" s="22"/>
      <c r="K261" s="108"/>
      <c r="L261" s="66"/>
      <c r="M261" s="66"/>
      <c r="N261" s="66"/>
      <c r="O261" s="66"/>
      <c r="P261" s="66"/>
      <c r="Q261" s="66"/>
      <c r="R261" s="66"/>
      <c r="S261" s="66"/>
    </row>
    <row r="262">
      <c r="A262" s="66"/>
      <c r="B262" s="66"/>
      <c r="C262" s="66"/>
      <c r="D262" s="66"/>
      <c r="E262" s="15"/>
      <c r="F262" s="66"/>
      <c r="G262" s="18"/>
      <c r="H262" s="15"/>
      <c r="I262" s="18"/>
      <c r="J262" s="22"/>
      <c r="K262" s="108"/>
      <c r="L262" s="66"/>
      <c r="M262" s="66"/>
      <c r="N262" s="66"/>
      <c r="O262" s="66"/>
      <c r="P262" s="66"/>
      <c r="Q262" s="66"/>
      <c r="R262" s="66"/>
      <c r="S262" s="66"/>
    </row>
    <row r="263">
      <c r="A263" s="66"/>
      <c r="B263" s="66"/>
      <c r="C263" s="66"/>
      <c r="D263" s="66"/>
      <c r="E263" s="15"/>
      <c r="F263" s="66"/>
      <c r="G263" s="18"/>
      <c r="H263" s="15"/>
      <c r="I263" s="18"/>
      <c r="J263" s="22"/>
      <c r="K263" s="108"/>
      <c r="L263" s="66"/>
      <c r="M263" s="66"/>
      <c r="N263" s="66"/>
      <c r="O263" s="66"/>
      <c r="P263" s="66"/>
      <c r="Q263" s="66"/>
      <c r="R263" s="66"/>
      <c r="S263" s="66"/>
    </row>
    <row r="264">
      <c r="A264" s="66"/>
      <c r="B264" s="66"/>
      <c r="C264" s="66"/>
      <c r="D264" s="66"/>
      <c r="E264" s="15"/>
      <c r="F264" s="66"/>
      <c r="G264" s="18"/>
      <c r="H264" s="15"/>
      <c r="I264" s="18"/>
      <c r="J264" s="22"/>
      <c r="K264" s="108"/>
      <c r="L264" s="66"/>
      <c r="M264" s="66"/>
      <c r="N264" s="66"/>
      <c r="O264" s="66"/>
      <c r="P264" s="66"/>
      <c r="Q264" s="66"/>
      <c r="R264" s="66"/>
      <c r="S264" s="66"/>
    </row>
    <row r="265">
      <c r="A265" s="66"/>
      <c r="B265" s="66"/>
      <c r="C265" s="66"/>
      <c r="D265" s="66"/>
      <c r="E265" s="15"/>
      <c r="F265" s="66"/>
      <c r="G265" s="18"/>
      <c r="H265" s="15"/>
      <c r="I265" s="18"/>
      <c r="J265" s="22"/>
      <c r="K265" s="108"/>
      <c r="L265" s="66"/>
      <c r="M265" s="66"/>
      <c r="N265" s="66"/>
      <c r="O265" s="66"/>
      <c r="P265" s="66"/>
      <c r="Q265" s="66"/>
      <c r="R265" s="66"/>
      <c r="S265" s="66"/>
    </row>
    <row r="266">
      <c r="A266" s="66"/>
      <c r="B266" s="66"/>
      <c r="C266" s="66"/>
      <c r="D266" s="66"/>
      <c r="E266" s="15"/>
      <c r="F266" s="66"/>
      <c r="G266" s="18"/>
      <c r="H266" s="15"/>
      <c r="I266" s="18"/>
      <c r="J266" s="22"/>
      <c r="K266" s="108"/>
      <c r="L266" s="66"/>
      <c r="M266" s="66"/>
      <c r="N266" s="66"/>
      <c r="O266" s="66"/>
      <c r="P266" s="66"/>
      <c r="Q266" s="66"/>
      <c r="R266" s="66"/>
      <c r="S266" s="66"/>
    </row>
    <row r="267">
      <c r="A267" s="66"/>
      <c r="B267" s="66"/>
      <c r="C267" s="66"/>
      <c r="D267" s="66"/>
      <c r="E267" s="15"/>
      <c r="F267" s="66"/>
      <c r="G267" s="18"/>
      <c r="H267" s="15"/>
      <c r="I267" s="18"/>
      <c r="J267" s="22"/>
      <c r="K267" s="108"/>
      <c r="L267" s="66"/>
      <c r="M267" s="66"/>
      <c r="N267" s="66"/>
      <c r="O267" s="66"/>
      <c r="P267" s="66"/>
      <c r="Q267" s="66"/>
      <c r="R267" s="66"/>
      <c r="S267" s="66"/>
    </row>
    <row r="268">
      <c r="A268" s="66"/>
      <c r="B268" s="66"/>
      <c r="C268" s="66"/>
      <c r="D268" s="66"/>
      <c r="E268" s="15"/>
      <c r="F268" s="66"/>
      <c r="G268" s="18"/>
      <c r="H268" s="15"/>
      <c r="I268" s="18"/>
      <c r="J268" s="22"/>
      <c r="K268" s="108"/>
      <c r="L268" s="66"/>
      <c r="M268" s="66"/>
      <c r="N268" s="66"/>
      <c r="O268" s="66"/>
      <c r="P268" s="66"/>
      <c r="Q268" s="66"/>
      <c r="R268" s="66"/>
      <c r="S268" s="66"/>
    </row>
    <row r="269">
      <c r="A269" s="66"/>
      <c r="B269" s="66"/>
      <c r="C269" s="66"/>
      <c r="D269" s="66"/>
      <c r="E269" s="15"/>
      <c r="F269" s="66"/>
      <c r="G269" s="18"/>
      <c r="H269" s="15"/>
      <c r="I269" s="18"/>
      <c r="J269" s="22"/>
      <c r="K269" s="108"/>
      <c r="L269" s="66"/>
      <c r="M269" s="66"/>
      <c r="N269" s="66"/>
      <c r="O269" s="66"/>
      <c r="P269" s="66"/>
      <c r="Q269" s="66"/>
      <c r="R269" s="66"/>
      <c r="S269" s="66"/>
    </row>
    <row r="270">
      <c r="A270" s="66"/>
      <c r="B270" s="66"/>
      <c r="C270" s="66"/>
      <c r="D270" s="66"/>
      <c r="E270" s="15"/>
      <c r="F270" s="66"/>
      <c r="G270" s="18"/>
      <c r="H270" s="15"/>
      <c r="I270" s="18"/>
      <c r="J270" s="22"/>
      <c r="K270" s="108"/>
      <c r="L270" s="66"/>
      <c r="M270" s="66"/>
      <c r="N270" s="66"/>
      <c r="O270" s="66"/>
      <c r="P270" s="66"/>
      <c r="Q270" s="66"/>
      <c r="R270" s="66"/>
      <c r="S270" s="66"/>
    </row>
    <row r="271">
      <c r="A271" s="66"/>
      <c r="B271" s="66"/>
      <c r="C271" s="66"/>
      <c r="D271" s="66"/>
      <c r="E271" s="15"/>
      <c r="F271" s="66"/>
      <c r="G271" s="18"/>
      <c r="H271" s="15"/>
      <c r="I271" s="18"/>
      <c r="J271" s="22"/>
      <c r="K271" s="108"/>
      <c r="L271" s="66"/>
      <c r="M271" s="66"/>
      <c r="N271" s="66"/>
      <c r="O271" s="66"/>
      <c r="P271" s="66"/>
      <c r="Q271" s="66"/>
      <c r="R271" s="66"/>
      <c r="S271" s="66"/>
    </row>
    <row r="272">
      <c r="A272" s="66"/>
      <c r="B272" s="66"/>
      <c r="C272" s="66"/>
      <c r="D272" s="66"/>
      <c r="E272" s="15"/>
      <c r="F272" s="66"/>
      <c r="G272" s="18"/>
      <c r="H272" s="15"/>
      <c r="I272" s="18"/>
      <c r="J272" s="22"/>
      <c r="K272" s="108"/>
      <c r="L272" s="66"/>
      <c r="M272" s="66"/>
      <c r="N272" s="66"/>
      <c r="O272" s="66"/>
      <c r="P272" s="66"/>
      <c r="Q272" s="66"/>
      <c r="R272" s="66"/>
      <c r="S272" s="66"/>
    </row>
    <row r="273">
      <c r="A273" s="66"/>
      <c r="B273" s="66"/>
      <c r="C273" s="66"/>
      <c r="D273" s="66"/>
      <c r="E273" s="15"/>
      <c r="F273" s="66"/>
      <c r="G273" s="18"/>
      <c r="H273" s="15"/>
      <c r="I273" s="18"/>
      <c r="J273" s="22"/>
      <c r="K273" s="108"/>
      <c r="L273" s="66"/>
      <c r="M273" s="66"/>
      <c r="N273" s="66"/>
      <c r="O273" s="66"/>
      <c r="P273" s="66"/>
      <c r="Q273" s="66"/>
      <c r="R273" s="66"/>
      <c r="S273" s="66"/>
    </row>
    <row r="274">
      <c r="A274" s="66"/>
      <c r="B274" s="66"/>
      <c r="C274" s="66"/>
      <c r="D274" s="66"/>
      <c r="E274" s="15"/>
      <c r="F274" s="66"/>
      <c r="G274" s="18"/>
      <c r="H274" s="15"/>
      <c r="I274" s="18"/>
      <c r="J274" s="22"/>
      <c r="K274" s="108"/>
      <c r="L274" s="66"/>
      <c r="M274" s="66"/>
      <c r="N274" s="66"/>
      <c r="O274" s="66"/>
      <c r="P274" s="66"/>
      <c r="Q274" s="66"/>
      <c r="R274" s="66"/>
      <c r="S274" s="66"/>
    </row>
    <row r="275">
      <c r="A275" s="66"/>
      <c r="B275" s="66"/>
      <c r="C275" s="66"/>
      <c r="D275" s="66"/>
      <c r="E275" s="15"/>
      <c r="F275" s="66"/>
      <c r="G275" s="18"/>
      <c r="H275" s="15"/>
      <c r="I275" s="18"/>
      <c r="J275" s="22"/>
      <c r="K275" s="108"/>
      <c r="L275" s="66"/>
      <c r="M275" s="66"/>
      <c r="N275" s="66"/>
      <c r="O275" s="66"/>
      <c r="P275" s="66"/>
      <c r="Q275" s="66"/>
      <c r="R275" s="66"/>
      <c r="S275" s="66"/>
    </row>
    <row r="276">
      <c r="A276" s="66"/>
      <c r="B276" s="66"/>
      <c r="C276" s="66"/>
      <c r="D276" s="66"/>
      <c r="E276" s="15"/>
      <c r="F276" s="66"/>
      <c r="G276" s="18"/>
      <c r="H276" s="15"/>
      <c r="I276" s="18"/>
      <c r="J276" s="22"/>
      <c r="K276" s="108"/>
      <c r="L276" s="66"/>
      <c r="M276" s="66"/>
      <c r="N276" s="66"/>
      <c r="O276" s="66"/>
      <c r="P276" s="66"/>
      <c r="Q276" s="66"/>
      <c r="R276" s="66"/>
      <c r="S276" s="66"/>
    </row>
    <row r="277">
      <c r="A277" s="66"/>
      <c r="B277" s="66"/>
      <c r="C277" s="66"/>
      <c r="D277" s="66"/>
      <c r="E277" s="15"/>
      <c r="F277" s="66"/>
      <c r="G277" s="18"/>
      <c r="H277" s="15"/>
      <c r="I277" s="18"/>
      <c r="J277" s="22"/>
      <c r="K277" s="108"/>
      <c r="L277" s="66"/>
      <c r="M277" s="66"/>
      <c r="N277" s="66"/>
      <c r="O277" s="66"/>
      <c r="P277" s="66"/>
      <c r="Q277" s="66"/>
      <c r="R277" s="66"/>
      <c r="S277" s="66"/>
    </row>
    <row r="278">
      <c r="A278" s="66"/>
      <c r="B278" s="66"/>
      <c r="C278" s="66"/>
      <c r="D278" s="66"/>
      <c r="E278" s="15"/>
      <c r="F278" s="66"/>
      <c r="G278" s="18"/>
      <c r="H278" s="15"/>
      <c r="I278" s="18"/>
      <c r="J278" s="22"/>
      <c r="K278" s="108"/>
      <c r="L278" s="66"/>
      <c r="M278" s="66"/>
      <c r="N278" s="66"/>
      <c r="O278" s="66"/>
      <c r="P278" s="66"/>
      <c r="Q278" s="66"/>
      <c r="R278" s="66"/>
      <c r="S278" s="66"/>
    </row>
    <row r="279">
      <c r="A279" s="66"/>
      <c r="B279" s="66"/>
      <c r="C279" s="66"/>
      <c r="D279" s="66"/>
      <c r="E279" s="15"/>
      <c r="F279" s="66"/>
      <c r="G279" s="18"/>
      <c r="H279" s="15"/>
      <c r="I279" s="18"/>
      <c r="J279" s="22"/>
      <c r="K279" s="108"/>
      <c r="L279" s="66"/>
      <c r="M279" s="66"/>
      <c r="N279" s="66"/>
      <c r="O279" s="66"/>
      <c r="P279" s="66"/>
      <c r="Q279" s="66"/>
      <c r="R279" s="66"/>
      <c r="S279" s="66"/>
    </row>
    <row r="280">
      <c r="A280" s="66"/>
      <c r="B280" s="66"/>
      <c r="C280" s="66"/>
      <c r="D280" s="66"/>
      <c r="E280" s="15"/>
      <c r="F280" s="66"/>
      <c r="G280" s="18"/>
      <c r="H280" s="15"/>
      <c r="I280" s="18"/>
      <c r="J280" s="22"/>
      <c r="K280" s="108"/>
      <c r="L280" s="66"/>
      <c r="M280" s="66"/>
      <c r="N280" s="66"/>
      <c r="O280" s="66"/>
      <c r="P280" s="66"/>
      <c r="Q280" s="66"/>
      <c r="R280" s="66"/>
      <c r="S280" s="66"/>
    </row>
    <row r="281">
      <c r="A281" s="66"/>
      <c r="B281" s="66"/>
      <c r="C281" s="66"/>
      <c r="D281" s="66"/>
      <c r="E281" s="15"/>
      <c r="F281" s="66"/>
      <c r="G281" s="18"/>
      <c r="H281" s="15"/>
      <c r="I281" s="18"/>
      <c r="J281" s="22"/>
      <c r="K281" s="108"/>
      <c r="L281" s="66"/>
      <c r="M281" s="66"/>
      <c r="N281" s="66"/>
      <c r="O281" s="66"/>
      <c r="P281" s="66"/>
      <c r="Q281" s="66"/>
      <c r="R281" s="66"/>
      <c r="S281" s="66"/>
    </row>
    <row r="282">
      <c r="A282" s="66"/>
      <c r="B282" s="66"/>
      <c r="C282" s="66"/>
      <c r="D282" s="66"/>
      <c r="E282" s="15"/>
      <c r="F282" s="66"/>
      <c r="G282" s="18"/>
      <c r="H282" s="15"/>
      <c r="I282" s="18"/>
      <c r="J282" s="22"/>
      <c r="K282" s="108"/>
      <c r="L282" s="66"/>
      <c r="M282" s="66"/>
      <c r="N282" s="66"/>
      <c r="O282" s="66"/>
      <c r="P282" s="66"/>
      <c r="Q282" s="66"/>
      <c r="R282" s="66"/>
      <c r="S282" s="66"/>
    </row>
    <row r="283">
      <c r="A283" s="66"/>
      <c r="B283" s="66"/>
      <c r="C283" s="66"/>
      <c r="D283" s="66"/>
      <c r="E283" s="15"/>
      <c r="F283" s="66"/>
      <c r="G283" s="18"/>
      <c r="H283" s="15"/>
      <c r="I283" s="18"/>
      <c r="J283" s="22"/>
      <c r="K283" s="108"/>
      <c r="L283" s="66"/>
      <c r="M283" s="66"/>
      <c r="N283" s="66"/>
      <c r="O283" s="66"/>
      <c r="P283" s="66"/>
      <c r="Q283" s="66"/>
      <c r="R283" s="66"/>
      <c r="S283" s="66"/>
    </row>
    <row r="284">
      <c r="A284" s="66"/>
      <c r="B284" s="66"/>
      <c r="C284" s="66"/>
      <c r="D284" s="66"/>
      <c r="E284" s="15"/>
      <c r="F284" s="66"/>
      <c r="G284" s="18"/>
      <c r="H284" s="15"/>
      <c r="I284" s="18"/>
      <c r="J284" s="22"/>
      <c r="K284" s="108"/>
      <c r="L284" s="66"/>
      <c r="M284" s="66"/>
      <c r="N284" s="66"/>
      <c r="O284" s="66"/>
      <c r="P284" s="66"/>
      <c r="Q284" s="66"/>
      <c r="R284" s="66"/>
      <c r="S284" s="66"/>
    </row>
    <row r="285">
      <c r="A285" s="66"/>
      <c r="B285" s="66"/>
      <c r="C285" s="66"/>
      <c r="D285" s="66"/>
      <c r="E285" s="15"/>
      <c r="F285" s="66"/>
      <c r="G285" s="18"/>
      <c r="H285" s="15"/>
      <c r="I285" s="18"/>
      <c r="J285" s="22"/>
      <c r="K285" s="108"/>
      <c r="L285" s="66"/>
      <c r="M285" s="66"/>
      <c r="N285" s="66"/>
      <c r="O285" s="66"/>
      <c r="P285" s="66"/>
      <c r="Q285" s="66"/>
      <c r="R285" s="66"/>
      <c r="S285" s="66"/>
    </row>
    <row r="286">
      <c r="A286" s="66"/>
      <c r="B286" s="66"/>
      <c r="C286" s="66"/>
      <c r="D286" s="66"/>
      <c r="E286" s="15"/>
      <c r="F286" s="66"/>
      <c r="G286" s="18"/>
      <c r="H286" s="15"/>
      <c r="I286" s="18"/>
      <c r="J286" s="22"/>
      <c r="K286" s="108"/>
      <c r="L286" s="66"/>
      <c r="M286" s="66"/>
      <c r="N286" s="66"/>
      <c r="O286" s="66"/>
      <c r="P286" s="66"/>
      <c r="Q286" s="66"/>
      <c r="R286" s="66"/>
      <c r="S286" s="66"/>
    </row>
    <row r="287">
      <c r="A287" s="66"/>
      <c r="B287" s="66"/>
      <c r="C287" s="66"/>
      <c r="D287" s="66"/>
      <c r="E287" s="15"/>
      <c r="F287" s="66"/>
      <c r="G287" s="18"/>
      <c r="H287" s="15"/>
      <c r="I287" s="18"/>
      <c r="J287" s="22"/>
      <c r="K287" s="108"/>
      <c r="L287" s="66"/>
      <c r="M287" s="66"/>
      <c r="N287" s="66"/>
      <c r="O287" s="66"/>
      <c r="P287" s="66"/>
      <c r="Q287" s="66"/>
      <c r="R287" s="66"/>
      <c r="S287" s="66"/>
    </row>
    <row r="288">
      <c r="A288" s="66"/>
      <c r="B288" s="66"/>
      <c r="C288" s="66"/>
      <c r="D288" s="66"/>
      <c r="E288" s="15"/>
      <c r="F288" s="66"/>
      <c r="G288" s="18"/>
      <c r="H288" s="15"/>
      <c r="I288" s="18"/>
      <c r="J288" s="22"/>
      <c r="K288" s="108"/>
      <c r="L288" s="66"/>
      <c r="M288" s="66"/>
      <c r="N288" s="66"/>
      <c r="O288" s="66"/>
      <c r="P288" s="66"/>
      <c r="Q288" s="66"/>
      <c r="R288" s="66"/>
      <c r="S288" s="66"/>
    </row>
    <row r="289">
      <c r="A289" s="66"/>
      <c r="B289" s="66"/>
      <c r="C289" s="66"/>
      <c r="D289" s="66"/>
      <c r="E289" s="15"/>
      <c r="F289" s="66"/>
      <c r="G289" s="18"/>
      <c r="H289" s="15"/>
      <c r="I289" s="18"/>
      <c r="J289" s="22"/>
      <c r="K289" s="108"/>
      <c r="L289" s="66"/>
      <c r="M289" s="66"/>
      <c r="N289" s="66"/>
      <c r="O289" s="66"/>
      <c r="P289" s="66"/>
      <c r="Q289" s="66"/>
      <c r="R289" s="66"/>
      <c r="S289" s="66"/>
    </row>
    <row r="290">
      <c r="A290" s="66"/>
      <c r="B290" s="66"/>
      <c r="C290" s="66"/>
      <c r="D290" s="66"/>
      <c r="E290" s="15"/>
      <c r="F290" s="66"/>
      <c r="G290" s="18"/>
      <c r="H290" s="15"/>
      <c r="I290" s="18"/>
      <c r="J290" s="22"/>
      <c r="K290" s="108"/>
      <c r="L290" s="66"/>
      <c r="M290" s="66"/>
      <c r="N290" s="66"/>
      <c r="O290" s="66"/>
      <c r="P290" s="66"/>
      <c r="Q290" s="66"/>
      <c r="R290" s="66"/>
      <c r="S290" s="66"/>
    </row>
    <row r="291">
      <c r="A291" s="66"/>
      <c r="B291" s="66"/>
      <c r="C291" s="66"/>
      <c r="D291" s="66"/>
      <c r="E291" s="15"/>
      <c r="F291" s="66"/>
      <c r="G291" s="18"/>
      <c r="H291" s="15"/>
      <c r="I291" s="18"/>
      <c r="J291" s="22"/>
      <c r="K291" s="108"/>
      <c r="L291" s="66"/>
      <c r="M291" s="66"/>
      <c r="N291" s="66"/>
      <c r="O291" s="66"/>
      <c r="P291" s="66"/>
      <c r="Q291" s="66"/>
      <c r="R291" s="66"/>
      <c r="S291" s="66"/>
    </row>
    <row r="292">
      <c r="A292" s="66"/>
      <c r="B292" s="66"/>
      <c r="C292" s="66"/>
      <c r="D292" s="66"/>
      <c r="E292" s="15"/>
      <c r="F292" s="66"/>
      <c r="G292" s="18"/>
      <c r="H292" s="15"/>
      <c r="I292" s="18"/>
      <c r="J292" s="22"/>
      <c r="K292" s="108"/>
      <c r="L292" s="66"/>
      <c r="M292" s="66"/>
      <c r="N292" s="66"/>
      <c r="O292" s="66"/>
      <c r="P292" s="66"/>
      <c r="Q292" s="66"/>
      <c r="R292" s="66"/>
      <c r="S292" s="66"/>
    </row>
    <row r="293">
      <c r="A293" s="66"/>
      <c r="B293" s="66"/>
      <c r="C293" s="66"/>
      <c r="D293" s="66"/>
      <c r="E293" s="15"/>
      <c r="F293" s="66"/>
      <c r="G293" s="18"/>
      <c r="H293" s="15"/>
      <c r="I293" s="18"/>
      <c r="J293" s="22"/>
      <c r="K293" s="108"/>
      <c r="L293" s="66"/>
      <c r="M293" s="66"/>
      <c r="N293" s="66"/>
      <c r="O293" s="66"/>
      <c r="P293" s="66"/>
      <c r="Q293" s="66"/>
      <c r="R293" s="66"/>
      <c r="S293" s="66"/>
    </row>
    <row r="294">
      <c r="A294" s="66"/>
      <c r="B294" s="66"/>
      <c r="C294" s="66"/>
      <c r="D294" s="66"/>
      <c r="E294" s="15"/>
      <c r="F294" s="66"/>
      <c r="G294" s="18"/>
      <c r="H294" s="15"/>
      <c r="I294" s="18"/>
      <c r="J294" s="22"/>
      <c r="K294" s="108"/>
      <c r="L294" s="66"/>
      <c r="M294" s="66"/>
      <c r="N294" s="66"/>
      <c r="O294" s="66"/>
      <c r="P294" s="66"/>
      <c r="Q294" s="66"/>
      <c r="R294" s="66"/>
      <c r="S294" s="66"/>
    </row>
    <row r="295">
      <c r="A295" s="66"/>
      <c r="B295" s="66"/>
      <c r="C295" s="66"/>
      <c r="D295" s="66"/>
      <c r="E295" s="15"/>
      <c r="F295" s="66"/>
      <c r="G295" s="18"/>
      <c r="H295" s="15"/>
      <c r="I295" s="18"/>
      <c r="J295" s="22"/>
      <c r="K295" s="108"/>
      <c r="L295" s="66"/>
      <c r="M295" s="66"/>
      <c r="N295" s="66"/>
      <c r="O295" s="66"/>
      <c r="P295" s="66"/>
      <c r="Q295" s="66"/>
      <c r="R295" s="66"/>
      <c r="S295" s="66"/>
    </row>
    <row r="296">
      <c r="A296" s="66"/>
      <c r="B296" s="66"/>
      <c r="C296" s="66"/>
      <c r="D296" s="66"/>
      <c r="E296" s="15"/>
      <c r="F296" s="66"/>
      <c r="G296" s="18"/>
      <c r="H296" s="15"/>
      <c r="I296" s="18"/>
      <c r="J296" s="22"/>
      <c r="K296" s="108"/>
      <c r="L296" s="66"/>
      <c r="M296" s="66"/>
      <c r="N296" s="66"/>
      <c r="O296" s="66"/>
      <c r="P296" s="66"/>
      <c r="Q296" s="66"/>
      <c r="R296" s="66"/>
      <c r="S296" s="66"/>
    </row>
    <row r="297">
      <c r="A297" s="66"/>
      <c r="B297" s="66"/>
      <c r="C297" s="66"/>
      <c r="D297" s="66"/>
      <c r="E297" s="15"/>
      <c r="F297" s="66"/>
      <c r="G297" s="18"/>
      <c r="H297" s="15"/>
      <c r="I297" s="18"/>
      <c r="J297" s="22"/>
      <c r="K297" s="108"/>
      <c r="L297" s="66"/>
      <c r="M297" s="66"/>
      <c r="N297" s="66"/>
      <c r="O297" s="66"/>
      <c r="P297" s="66"/>
      <c r="Q297" s="66"/>
      <c r="R297" s="66"/>
      <c r="S297" s="66"/>
    </row>
    <row r="298">
      <c r="A298" s="66"/>
      <c r="B298" s="66"/>
      <c r="C298" s="66"/>
      <c r="D298" s="66"/>
      <c r="E298" s="15"/>
      <c r="F298" s="66"/>
      <c r="G298" s="18"/>
      <c r="H298" s="15"/>
      <c r="I298" s="18"/>
      <c r="J298" s="22"/>
      <c r="K298" s="108"/>
      <c r="L298" s="66"/>
      <c r="M298" s="66"/>
      <c r="N298" s="66"/>
      <c r="O298" s="66"/>
      <c r="P298" s="66"/>
      <c r="Q298" s="66"/>
      <c r="R298" s="66"/>
      <c r="S298" s="66"/>
    </row>
    <row r="299">
      <c r="A299" s="66"/>
      <c r="B299" s="66"/>
      <c r="C299" s="66"/>
      <c r="D299" s="66"/>
      <c r="E299" s="15"/>
      <c r="F299" s="66"/>
      <c r="G299" s="18"/>
      <c r="H299" s="15"/>
      <c r="I299" s="18"/>
      <c r="J299" s="22"/>
      <c r="K299" s="108"/>
      <c r="L299" s="66"/>
      <c r="M299" s="66"/>
      <c r="N299" s="66"/>
      <c r="O299" s="66"/>
      <c r="P299" s="66"/>
      <c r="Q299" s="66"/>
      <c r="R299" s="66"/>
      <c r="S299" s="66"/>
    </row>
    <row r="300">
      <c r="A300" s="66"/>
      <c r="B300" s="66"/>
      <c r="C300" s="66"/>
      <c r="D300" s="66"/>
      <c r="E300" s="15"/>
      <c r="F300" s="66"/>
      <c r="G300" s="18"/>
      <c r="H300" s="15"/>
      <c r="I300" s="18"/>
      <c r="J300" s="22"/>
      <c r="K300" s="108"/>
      <c r="L300" s="66"/>
      <c r="M300" s="66"/>
      <c r="N300" s="66"/>
      <c r="O300" s="66"/>
      <c r="P300" s="66"/>
      <c r="Q300" s="66"/>
      <c r="R300" s="66"/>
      <c r="S300" s="66"/>
    </row>
    <row r="301">
      <c r="A301" s="66"/>
      <c r="B301" s="66"/>
      <c r="C301" s="66"/>
      <c r="D301" s="66"/>
      <c r="E301" s="15"/>
      <c r="F301" s="66"/>
      <c r="G301" s="18"/>
      <c r="H301" s="15"/>
      <c r="I301" s="18"/>
      <c r="J301" s="22"/>
      <c r="K301" s="108"/>
      <c r="L301" s="66"/>
      <c r="M301" s="66"/>
      <c r="N301" s="66"/>
      <c r="O301" s="66"/>
      <c r="P301" s="66"/>
      <c r="Q301" s="66"/>
      <c r="R301" s="66"/>
      <c r="S301" s="66"/>
    </row>
    <row r="302">
      <c r="A302" s="66"/>
      <c r="B302" s="66"/>
      <c r="C302" s="66"/>
      <c r="D302" s="66"/>
      <c r="E302" s="15"/>
      <c r="F302" s="66"/>
      <c r="G302" s="18"/>
      <c r="H302" s="15"/>
      <c r="I302" s="18"/>
      <c r="J302" s="22"/>
      <c r="K302" s="108"/>
      <c r="L302" s="66"/>
      <c r="M302" s="66"/>
      <c r="N302" s="66"/>
      <c r="O302" s="66"/>
      <c r="P302" s="66"/>
      <c r="Q302" s="66"/>
      <c r="R302" s="66"/>
      <c r="S302" s="66"/>
    </row>
    <row r="303">
      <c r="A303" s="66"/>
      <c r="B303" s="66"/>
      <c r="C303" s="66"/>
      <c r="D303" s="66"/>
      <c r="E303" s="15"/>
      <c r="F303" s="66"/>
      <c r="G303" s="18"/>
      <c r="H303" s="15"/>
      <c r="I303" s="18"/>
      <c r="J303" s="22"/>
      <c r="K303" s="108"/>
      <c r="L303" s="66"/>
      <c r="M303" s="66"/>
      <c r="N303" s="66"/>
      <c r="O303" s="66"/>
      <c r="P303" s="66"/>
      <c r="Q303" s="66"/>
      <c r="R303" s="66"/>
      <c r="S303" s="66"/>
    </row>
    <row r="304">
      <c r="A304" s="66"/>
      <c r="B304" s="66"/>
      <c r="C304" s="66"/>
      <c r="D304" s="66"/>
      <c r="E304" s="15"/>
      <c r="F304" s="66"/>
      <c r="G304" s="18"/>
      <c r="H304" s="15"/>
      <c r="I304" s="18"/>
      <c r="J304" s="22"/>
      <c r="K304" s="108"/>
      <c r="L304" s="66"/>
      <c r="M304" s="66"/>
      <c r="N304" s="66"/>
      <c r="O304" s="66"/>
      <c r="P304" s="66"/>
      <c r="Q304" s="66"/>
      <c r="R304" s="66"/>
      <c r="S304" s="66"/>
    </row>
    <row r="305">
      <c r="A305" s="66"/>
      <c r="B305" s="66"/>
      <c r="C305" s="66"/>
      <c r="D305" s="66"/>
      <c r="E305" s="15"/>
      <c r="F305" s="66"/>
      <c r="G305" s="18"/>
      <c r="H305" s="15"/>
      <c r="I305" s="18"/>
      <c r="J305" s="22"/>
      <c r="K305" s="108"/>
      <c r="L305" s="66"/>
      <c r="M305" s="66"/>
      <c r="N305" s="66"/>
      <c r="O305" s="66"/>
      <c r="P305" s="66"/>
      <c r="Q305" s="66"/>
      <c r="R305" s="66"/>
      <c r="S305" s="66"/>
    </row>
    <row r="306">
      <c r="A306" s="66"/>
      <c r="B306" s="66"/>
      <c r="C306" s="66"/>
      <c r="D306" s="66"/>
      <c r="E306" s="15"/>
      <c r="F306" s="66"/>
      <c r="G306" s="18"/>
      <c r="H306" s="15"/>
      <c r="I306" s="18"/>
      <c r="J306" s="22"/>
      <c r="K306" s="108"/>
      <c r="L306" s="66"/>
      <c r="M306" s="66"/>
      <c r="N306" s="66"/>
      <c r="O306" s="66"/>
      <c r="P306" s="66"/>
      <c r="Q306" s="66"/>
      <c r="R306" s="66"/>
      <c r="S306" s="66"/>
    </row>
    <row r="307">
      <c r="A307" s="66"/>
      <c r="B307" s="66"/>
      <c r="C307" s="66"/>
      <c r="D307" s="66"/>
      <c r="E307" s="15"/>
      <c r="F307" s="66"/>
      <c r="G307" s="18"/>
      <c r="H307" s="15"/>
      <c r="I307" s="18"/>
      <c r="J307" s="22"/>
      <c r="K307" s="108"/>
      <c r="L307" s="66"/>
      <c r="M307" s="66"/>
      <c r="N307" s="66"/>
      <c r="O307" s="66"/>
      <c r="P307" s="66"/>
      <c r="Q307" s="66"/>
      <c r="R307" s="66"/>
      <c r="S307" s="66"/>
    </row>
    <row r="308">
      <c r="A308" s="66"/>
      <c r="B308" s="66"/>
      <c r="C308" s="66"/>
      <c r="D308" s="66"/>
      <c r="E308" s="15"/>
      <c r="F308" s="66"/>
      <c r="G308" s="18"/>
      <c r="H308" s="15"/>
      <c r="I308" s="18"/>
      <c r="J308" s="22"/>
      <c r="K308" s="108"/>
      <c r="L308" s="66"/>
      <c r="M308" s="66"/>
      <c r="N308" s="66"/>
      <c r="O308" s="66"/>
      <c r="P308" s="66"/>
      <c r="Q308" s="66"/>
      <c r="R308" s="66"/>
      <c r="S308" s="66"/>
    </row>
    <row r="309">
      <c r="A309" s="66"/>
      <c r="B309" s="66"/>
      <c r="C309" s="66"/>
      <c r="D309" s="66"/>
      <c r="E309" s="15"/>
      <c r="F309" s="66"/>
      <c r="G309" s="18"/>
      <c r="H309" s="15"/>
      <c r="I309" s="18"/>
      <c r="J309" s="22"/>
      <c r="K309" s="108"/>
      <c r="L309" s="66"/>
      <c r="M309" s="66"/>
      <c r="N309" s="66"/>
      <c r="O309" s="66"/>
      <c r="P309" s="66"/>
      <c r="Q309" s="66"/>
      <c r="R309" s="66"/>
      <c r="S309" s="66"/>
    </row>
    <row r="310">
      <c r="A310" s="66"/>
      <c r="B310" s="66"/>
      <c r="C310" s="66"/>
      <c r="D310" s="66"/>
      <c r="E310" s="15"/>
      <c r="F310" s="66"/>
      <c r="G310" s="18"/>
      <c r="H310" s="15"/>
      <c r="I310" s="18"/>
      <c r="J310" s="22"/>
      <c r="K310" s="108"/>
      <c r="L310" s="66"/>
      <c r="M310" s="66"/>
      <c r="N310" s="66"/>
      <c r="O310" s="66"/>
      <c r="P310" s="66"/>
      <c r="Q310" s="66"/>
      <c r="R310" s="66"/>
      <c r="S310" s="66"/>
    </row>
    <row r="311">
      <c r="A311" s="66"/>
      <c r="B311" s="66"/>
      <c r="C311" s="66"/>
      <c r="D311" s="66"/>
      <c r="E311" s="15"/>
      <c r="F311" s="66"/>
      <c r="G311" s="18"/>
      <c r="H311" s="15"/>
      <c r="I311" s="18"/>
      <c r="J311" s="22"/>
      <c r="K311" s="108"/>
      <c r="L311" s="66"/>
      <c r="M311" s="66"/>
      <c r="N311" s="66"/>
      <c r="O311" s="66"/>
      <c r="P311" s="66"/>
      <c r="Q311" s="66"/>
      <c r="R311" s="66"/>
      <c r="S311" s="66"/>
    </row>
    <row r="312">
      <c r="A312" s="66"/>
      <c r="B312" s="66"/>
      <c r="C312" s="66"/>
      <c r="D312" s="66"/>
      <c r="E312" s="15"/>
      <c r="F312" s="66"/>
      <c r="G312" s="18"/>
      <c r="H312" s="15"/>
      <c r="I312" s="18"/>
      <c r="J312" s="22"/>
      <c r="K312" s="108"/>
      <c r="L312" s="66"/>
      <c r="M312" s="66"/>
      <c r="N312" s="66"/>
      <c r="O312" s="66"/>
      <c r="P312" s="66"/>
      <c r="Q312" s="66"/>
      <c r="R312" s="66"/>
      <c r="S312" s="66"/>
    </row>
    <row r="313">
      <c r="A313" s="66"/>
      <c r="B313" s="66"/>
      <c r="C313" s="66"/>
      <c r="D313" s="66"/>
      <c r="E313" s="15"/>
      <c r="F313" s="66"/>
      <c r="G313" s="18"/>
      <c r="H313" s="15"/>
      <c r="I313" s="18"/>
      <c r="J313" s="22"/>
      <c r="K313" s="108"/>
      <c r="L313" s="66"/>
      <c r="M313" s="66"/>
      <c r="N313" s="66"/>
      <c r="O313" s="66"/>
      <c r="P313" s="66"/>
      <c r="Q313" s="66"/>
      <c r="R313" s="66"/>
      <c r="S313" s="66"/>
    </row>
    <row r="314">
      <c r="A314" s="66"/>
      <c r="B314" s="66"/>
      <c r="C314" s="66"/>
      <c r="D314" s="66"/>
      <c r="E314" s="15"/>
      <c r="F314" s="66"/>
      <c r="G314" s="18"/>
      <c r="H314" s="15"/>
      <c r="I314" s="18"/>
      <c r="J314" s="22"/>
      <c r="K314" s="108"/>
      <c r="L314" s="66"/>
      <c r="M314" s="66"/>
      <c r="N314" s="66"/>
      <c r="O314" s="66"/>
      <c r="P314" s="66"/>
      <c r="Q314" s="66"/>
      <c r="R314" s="66"/>
      <c r="S314" s="66"/>
    </row>
    <row r="315">
      <c r="A315" s="66"/>
      <c r="B315" s="66"/>
      <c r="C315" s="66"/>
      <c r="D315" s="66"/>
      <c r="E315" s="15"/>
      <c r="F315" s="66"/>
      <c r="G315" s="18"/>
      <c r="H315" s="15"/>
      <c r="I315" s="18"/>
      <c r="J315" s="22"/>
      <c r="K315" s="108"/>
      <c r="L315" s="66"/>
      <c r="M315" s="66"/>
      <c r="N315" s="66"/>
      <c r="O315" s="66"/>
      <c r="P315" s="66"/>
      <c r="Q315" s="66"/>
      <c r="R315" s="66"/>
      <c r="S315" s="66"/>
    </row>
    <row r="316">
      <c r="A316" s="66"/>
      <c r="B316" s="66"/>
      <c r="C316" s="66"/>
      <c r="D316" s="66"/>
      <c r="E316" s="15"/>
      <c r="F316" s="66"/>
      <c r="G316" s="18"/>
      <c r="H316" s="15"/>
      <c r="I316" s="18"/>
      <c r="J316" s="22"/>
      <c r="K316" s="108"/>
      <c r="L316" s="66"/>
      <c r="M316" s="66"/>
      <c r="N316" s="66"/>
      <c r="O316" s="66"/>
      <c r="P316" s="66"/>
      <c r="Q316" s="66"/>
      <c r="R316" s="66"/>
      <c r="S316" s="66"/>
    </row>
    <row r="317">
      <c r="A317" s="66"/>
      <c r="B317" s="66"/>
      <c r="C317" s="66"/>
      <c r="D317" s="66"/>
      <c r="E317" s="15"/>
      <c r="F317" s="66"/>
      <c r="G317" s="18"/>
      <c r="H317" s="15"/>
      <c r="I317" s="18"/>
      <c r="J317" s="22"/>
      <c r="K317" s="108"/>
      <c r="L317" s="66"/>
      <c r="M317" s="66"/>
      <c r="N317" s="66"/>
      <c r="O317" s="66"/>
      <c r="P317" s="66"/>
      <c r="Q317" s="66"/>
      <c r="R317" s="66"/>
      <c r="S317" s="66"/>
    </row>
    <row r="318">
      <c r="A318" s="66"/>
      <c r="B318" s="66"/>
      <c r="C318" s="66"/>
      <c r="D318" s="66"/>
      <c r="E318" s="15"/>
      <c r="F318" s="66"/>
      <c r="G318" s="18"/>
      <c r="H318" s="15"/>
      <c r="I318" s="18"/>
      <c r="J318" s="22"/>
      <c r="K318" s="108"/>
      <c r="L318" s="66"/>
      <c r="M318" s="66"/>
      <c r="N318" s="66"/>
      <c r="O318" s="66"/>
      <c r="P318" s="66"/>
      <c r="Q318" s="66"/>
      <c r="R318" s="66"/>
      <c r="S318" s="66"/>
    </row>
    <row r="319">
      <c r="A319" s="66"/>
      <c r="B319" s="66"/>
      <c r="C319" s="66"/>
      <c r="D319" s="66"/>
      <c r="E319" s="15"/>
      <c r="F319" s="66"/>
      <c r="G319" s="18"/>
      <c r="H319" s="15"/>
      <c r="I319" s="18"/>
      <c r="J319" s="22"/>
      <c r="K319" s="108"/>
      <c r="L319" s="66"/>
      <c r="M319" s="66"/>
      <c r="N319" s="66"/>
      <c r="O319" s="66"/>
      <c r="P319" s="66"/>
      <c r="Q319" s="66"/>
      <c r="R319" s="66"/>
      <c r="S319" s="66"/>
    </row>
    <row r="320">
      <c r="A320" s="66"/>
      <c r="B320" s="66"/>
      <c r="C320" s="66"/>
      <c r="D320" s="66"/>
      <c r="E320" s="15"/>
      <c r="F320" s="66"/>
      <c r="G320" s="18"/>
      <c r="H320" s="15"/>
      <c r="I320" s="18"/>
      <c r="J320" s="22"/>
      <c r="K320" s="108"/>
      <c r="L320" s="66"/>
      <c r="M320" s="66"/>
      <c r="N320" s="66"/>
      <c r="O320" s="66"/>
      <c r="P320" s="66"/>
      <c r="Q320" s="66"/>
      <c r="R320" s="66"/>
      <c r="S320" s="66"/>
    </row>
    <row r="321">
      <c r="A321" s="66"/>
      <c r="B321" s="66"/>
      <c r="C321" s="66"/>
      <c r="D321" s="66"/>
      <c r="E321" s="15"/>
      <c r="F321" s="66"/>
      <c r="G321" s="18"/>
      <c r="H321" s="15"/>
      <c r="I321" s="18"/>
      <c r="J321" s="22"/>
      <c r="K321" s="108"/>
      <c r="L321" s="66"/>
      <c r="M321" s="66"/>
      <c r="N321" s="66"/>
      <c r="O321" s="66"/>
      <c r="P321" s="66"/>
      <c r="Q321" s="66"/>
      <c r="R321" s="66"/>
      <c r="S321" s="66"/>
    </row>
    <row r="322">
      <c r="A322" s="66"/>
      <c r="B322" s="66"/>
      <c r="C322" s="66"/>
      <c r="D322" s="66"/>
      <c r="E322" s="15"/>
      <c r="F322" s="66"/>
      <c r="G322" s="18"/>
      <c r="H322" s="15"/>
      <c r="I322" s="18"/>
      <c r="J322" s="22"/>
      <c r="K322" s="108"/>
      <c r="L322" s="66"/>
      <c r="M322" s="66"/>
      <c r="N322" s="66"/>
      <c r="O322" s="66"/>
      <c r="P322" s="66"/>
      <c r="Q322" s="66"/>
      <c r="R322" s="66"/>
      <c r="S322" s="66"/>
    </row>
    <row r="323">
      <c r="A323" s="66"/>
      <c r="B323" s="66"/>
      <c r="C323" s="66"/>
      <c r="D323" s="66"/>
      <c r="E323" s="15"/>
      <c r="F323" s="66"/>
      <c r="G323" s="18"/>
      <c r="H323" s="15"/>
      <c r="I323" s="18"/>
      <c r="J323" s="22"/>
      <c r="K323" s="108"/>
      <c r="L323" s="66"/>
      <c r="M323" s="66"/>
      <c r="N323" s="66"/>
      <c r="O323" s="66"/>
      <c r="P323" s="66"/>
      <c r="Q323" s="66"/>
      <c r="R323" s="66"/>
      <c r="S323" s="66"/>
    </row>
    <row r="324">
      <c r="A324" s="66"/>
      <c r="B324" s="66"/>
      <c r="C324" s="66"/>
      <c r="D324" s="66"/>
      <c r="E324" s="15"/>
      <c r="F324" s="66"/>
      <c r="G324" s="18"/>
      <c r="H324" s="15"/>
      <c r="I324" s="18"/>
      <c r="J324" s="22"/>
      <c r="K324" s="108"/>
      <c r="L324" s="66"/>
      <c r="M324" s="66"/>
      <c r="N324" s="66"/>
      <c r="O324" s="66"/>
      <c r="P324" s="66"/>
      <c r="Q324" s="66"/>
      <c r="R324" s="66"/>
      <c r="S324" s="66"/>
    </row>
    <row r="325">
      <c r="A325" s="66"/>
      <c r="B325" s="66"/>
      <c r="C325" s="66"/>
      <c r="D325" s="66"/>
      <c r="E325" s="15"/>
      <c r="F325" s="66"/>
      <c r="G325" s="18"/>
      <c r="H325" s="15"/>
      <c r="I325" s="18"/>
      <c r="J325" s="22"/>
      <c r="K325" s="108"/>
      <c r="L325" s="66"/>
      <c r="M325" s="66"/>
      <c r="N325" s="66"/>
      <c r="O325" s="66"/>
      <c r="P325" s="66"/>
      <c r="Q325" s="66"/>
      <c r="R325" s="66"/>
      <c r="S325" s="66"/>
    </row>
    <row r="326">
      <c r="A326" s="66"/>
      <c r="B326" s="66"/>
      <c r="C326" s="66"/>
      <c r="D326" s="66"/>
      <c r="E326" s="15"/>
      <c r="F326" s="66"/>
      <c r="G326" s="18"/>
      <c r="H326" s="15"/>
      <c r="I326" s="18"/>
      <c r="J326" s="22"/>
      <c r="K326" s="108"/>
      <c r="L326" s="66"/>
      <c r="M326" s="66"/>
      <c r="N326" s="66"/>
      <c r="O326" s="66"/>
      <c r="P326" s="66"/>
      <c r="Q326" s="66"/>
      <c r="R326" s="66"/>
      <c r="S326" s="66"/>
    </row>
    <row r="327">
      <c r="A327" s="66"/>
      <c r="B327" s="66"/>
      <c r="C327" s="66"/>
      <c r="D327" s="66"/>
      <c r="E327" s="15"/>
      <c r="F327" s="66"/>
      <c r="G327" s="18"/>
      <c r="H327" s="15"/>
      <c r="I327" s="18"/>
      <c r="J327" s="22"/>
      <c r="K327" s="108"/>
      <c r="L327" s="66"/>
      <c r="M327" s="66"/>
      <c r="N327" s="66"/>
      <c r="O327" s="66"/>
      <c r="P327" s="66"/>
      <c r="Q327" s="66"/>
      <c r="R327" s="66"/>
      <c r="S327" s="66"/>
    </row>
    <row r="328">
      <c r="A328" s="66"/>
      <c r="B328" s="66"/>
      <c r="C328" s="66"/>
      <c r="D328" s="66"/>
      <c r="E328" s="15"/>
      <c r="F328" s="66"/>
      <c r="G328" s="18"/>
      <c r="H328" s="15"/>
      <c r="I328" s="18"/>
      <c r="J328" s="22"/>
      <c r="K328" s="108"/>
      <c r="L328" s="66"/>
      <c r="M328" s="66"/>
      <c r="N328" s="66"/>
      <c r="O328" s="66"/>
      <c r="P328" s="66"/>
      <c r="Q328" s="66"/>
      <c r="R328" s="66"/>
      <c r="S328" s="66"/>
    </row>
    <row r="329">
      <c r="A329" s="66"/>
      <c r="B329" s="66"/>
      <c r="C329" s="66"/>
      <c r="D329" s="66"/>
      <c r="E329" s="15"/>
      <c r="F329" s="66"/>
      <c r="G329" s="18"/>
      <c r="H329" s="15"/>
      <c r="I329" s="18"/>
      <c r="J329" s="22"/>
      <c r="K329" s="108"/>
      <c r="L329" s="66"/>
      <c r="M329" s="66"/>
      <c r="N329" s="66"/>
      <c r="O329" s="66"/>
      <c r="P329" s="66"/>
      <c r="Q329" s="66"/>
      <c r="R329" s="66"/>
      <c r="S329" s="66"/>
    </row>
    <row r="330">
      <c r="A330" s="66"/>
      <c r="B330" s="66"/>
      <c r="C330" s="66"/>
      <c r="D330" s="66"/>
      <c r="E330" s="15"/>
      <c r="F330" s="66"/>
      <c r="G330" s="18"/>
      <c r="H330" s="15"/>
      <c r="I330" s="18"/>
      <c r="J330" s="22"/>
      <c r="K330" s="108"/>
      <c r="L330" s="66"/>
      <c r="M330" s="66"/>
      <c r="N330" s="66"/>
      <c r="O330" s="66"/>
      <c r="P330" s="66"/>
      <c r="Q330" s="66"/>
      <c r="R330" s="66"/>
      <c r="S330" s="66"/>
    </row>
    <row r="331">
      <c r="A331" s="66"/>
      <c r="B331" s="66"/>
      <c r="C331" s="66"/>
      <c r="D331" s="66"/>
      <c r="E331" s="15"/>
      <c r="F331" s="66"/>
      <c r="G331" s="18"/>
      <c r="H331" s="15"/>
      <c r="I331" s="18"/>
      <c r="J331" s="22"/>
      <c r="K331" s="108"/>
      <c r="L331" s="66"/>
      <c r="M331" s="66"/>
      <c r="N331" s="66"/>
      <c r="O331" s="66"/>
      <c r="P331" s="66"/>
      <c r="Q331" s="66"/>
      <c r="R331" s="66"/>
      <c r="S331" s="66"/>
    </row>
    <row r="332">
      <c r="A332" s="66"/>
      <c r="B332" s="66"/>
      <c r="C332" s="66"/>
      <c r="D332" s="66"/>
      <c r="E332" s="15"/>
      <c r="F332" s="66"/>
      <c r="G332" s="18"/>
      <c r="H332" s="15"/>
      <c r="I332" s="18"/>
      <c r="J332" s="22"/>
      <c r="K332" s="108"/>
      <c r="L332" s="66"/>
      <c r="M332" s="66"/>
      <c r="N332" s="66"/>
      <c r="O332" s="66"/>
      <c r="P332" s="66"/>
      <c r="Q332" s="66"/>
      <c r="R332" s="66"/>
      <c r="S332" s="66"/>
    </row>
    <row r="333">
      <c r="A333" s="66"/>
      <c r="B333" s="66"/>
      <c r="C333" s="66"/>
      <c r="D333" s="66"/>
      <c r="E333" s="15"/>
      <c r="F333" s="66"/>
      <c r="G333" s="18"/>
      <c r="H333" s="15"/>
      <c r="I333" s="18"/>
      <c r="J333" s="22"/>
      <c r="K333" s="108"/>
      <c r="L333" s="66"/>
      <c r="M333" s="66"/>
      <c r="N333" s="66"/>
      <c r="O333" s="66"/>
      <c r="P333" s="66"/>
      <c r="Q333" s="66"/>
      <c r="R333" s="66"/>
      <c r="S333" s="66"/>
    </row>
    <row r="334">
      <c r="A334" s="66"/>
      <c r="B334" s="66"/>
      <c r="C334" s="66"/>
      <c r="D334" s="66"/>
      <c r="E334" s="15"/>
      <c r="F334" s="66"/>
      <c r="G334" s="18"/>
      <c r="H334" s="15"/>
      <c r="I334" s="18"/>
      <c r="J334" s="22"/>
      <c r="K334" s="108"/>
      <c r="L334" s="66"/>
      <c r="M334" s="66"/>
      <c r="N334" s="66"/>
      <c r="O334" s="66"/>
      <c r="P334" s="66"/>
      <c r="Q334" s="66"/>
      <c r="R334" s="66"/>
      <c r="S334" s="66"/>
    </row>
    <row r="335">
      <c r="A335" s="66"/>
      <c r="B335" s="66"/>
      <c r="C335" s="66"/>
      <c r="D335" s="66"/>
      <c r="E335" s="15"/>
      <c r="F335" s="66"/>
      <c r="G335" s="18"/>
      <c r="H335" s="15"/>
      <c r="I335" s="18"/>
      <c r="J335" s="22"/>
      <c r="K335" s="108"/>
      <c r="L335" s="66"/>
      <c r="M335" s="66"/>
      <c r="N335" s="66"/>
      <c r="O335" s="66"/>
      <c r="P335" s="66"/>
      <c r="Q335" s="66"/>
      <c r="R335" s="66"/>
      <c r="S335" s="66"/>
    </row>
    <row r="336">
      <c r="A336" s="66"/>
      <c r="B336" s="66"/>
      <c r="C336" s="66"/>
      <c r="D336" s="66"/>
      <c r="E336" s="15"/>
      <c r="F336" s="66"/>
      <c r="G336" s="18"/>
      <c r="H336" s="15"/>
      <c r="I336" s="18"/>
      <c r="J336" s="22"/>
      <c r="K336" s="108"/>
      <c r="L336" s="66"/>
      <c r="M336" s="66"/>
      <c r="N336" s="66"/>
      <c r="O336" s="66"/>
      <c r="P336" s="66"/>
      <c r="Q336" s="66"/>
      <c r="R336" s="66"/>
      <c r="S336" s="66"/>
    </row>
    <row r="337">
      <c r="A337" s="66"/>
      <c r="B337" s="66"/>
      <c r="C337" s="66"/>
      <c r="D337" s="66"/>
      <c r="E337" s="15"/>
      <c r="F337" s="66"/>
      <c r="G337" s="18"/>
      <c r="H337" s="15"/>
      <c r="I337" s="18"/>
      <c r="J337" s="22"/>
      <c r="K337" s="108"/>
      <c r="L337" s="66"/>
      <c r="M337" s="66"/>
      <c r="N337" s="66"/>
      <c r="O337" s="66"/>
      <c r="P337" s="66"/>
      <c r="Q337" s="66"/>
      <c r="R337" s="66"/>
      <c r="S337" s="66"/>
    </row>
    <row r="338">
      <c r="A338" s="66"/>
      <c r="B338" s="66"/>
      <c r="C338" s="66"/>
      <c r="D338" s="66"/>
      <c r="E338" s="15"/>
      <c r="F338" s="66"/>
      <c r="G338" s="18"/>
      <c r="H338" s="15"/>
      <c r="I338" s="18"/>
      <c r="J338" s="22"/>
      <c r="K338" s="108"/>
      <c r="L338" s="66"/>
      <c r="M338" s="66"/>
      <c r="N338" s="66"/>
      <c r="O338" s="66"/>
      <c r="P338" s="66"/>
      <c r="Q338" s="66"/>
      <c r="R338" s="66"/>
      <c r="S338" s="66"/>
    </row>
    <row r="339">
      <c r="A339" s="66"/>
      <c r="B339" s="66"/>
      <c r="C339" s="66"/>
      <c r="D339" s="66"/>
      <c r="E339" s="15"/>
      <c r="F339" s="66"/>
      <c r="G339" s="18"/>
      <c r="H339" s="15"/>
      <c r="I339" s="18"/>
      <c r="J339" s="22"/>
      <c r="K339" s="108"/>
      <c r="L339" s="66"/>
      <c r="M339" s="66"/>
      <c r="N339" s="66"/>
      <c r="O339" s="66"/>
      <c r="P339" s="66"/>
      <c r="Q339" s="66"/>
      <c r="R339" s="66"/>
      <c r="S339" s="66"/>
    </row>
    <row r="340">
      <c r="A340" s="66"/>
      <c r="B340" s="66"/>
      <c r="C340" s="66"/>
      <c r="D340" s="66"/>
      <c r="E340" s="15"/>
      <c r="F340" s="66"/>
      <c r="G340" s="18"/>
      <c r="H340" s="15"/>
      <c r="I340" s="18"/>
      <c r="J340" s="22"/>
      <c r="K340" s="108"/>
      <c r="L340" s="66"/>
      <c r="M340" s="66"/>
      <c r="N340" s="66"/>
      <c r="O340" s="66"/>
      <c r="P340" s="66"/>
      <c r="Q340" s="66"/>
      <c r="R340" s="66"/>
      <c r="S340" s="66"/>
    </row>
    <row r="341">
      <c r="A341" s="66"/>
      <c r="B341" s="66"/>
      <c r="C341" s="66"/>
      <c r="D341" s="66"/>
      <c r="E341" s="15"/>
      <c r="F341" s="66"/>
      <c r="G341" s="18"/>
      <c r="H341" s="15"/>
      <c r="I341" s="18"/>
      <c r="J341" s="22"/>
      <c r="K341" s="108"/>
      <c r="L341" s="66"/>
      <c r="M341" s="66"/>
      <c r="N341" s="66"/>
      <c r="O341" s="66"/>
      <c r="P341" s="66"/>
      <c r="Q341" s="66"/>
      <c r="R341" s="66"/>
      <c r="S341" s="66"/>
    </row>
    <row r="342">
      <c r="A342" s="66"/>
      <c r="B342" s="66"/>
      <c r="C342" s="66"/>
      <c r="D342" s="66"/>
      <c r="E342" s="15"/>
      <c r="F342" s="66"/>
      <c r="G342" s="18"/>
      <c r="H342" s="15"/>
      <c r="I342" s="18"/>
      <c r="J342" s="22"/>
      <c r="K342" s="108"/>
      <c r="L342" s="66"/>
      <c r="M342" s="66"/>
      <c r="N342" s="66"/>
      <c r="O342" s="66"/>
      <c r="P342" s="66"/>
      <c r="Q342" s="66"/>
      <c r="R342" s="66"/>
      <c r="S342" s="66"/>
    </row>
    <row r="343">
      <c r="A343" s="66"/>
      <c r="B343" s="66"/>
      <c r="C343" s="66"/>
      <c r="D343" s="66"/>
      <c r="E343" s="15"/>
      <c r="F343" s="66"/>
      <c r="G343" s="18"/>
      <c r="H343" s="15"/>
      <c r="I343" s="18"/>
      <c r="J343" s="22"/>
      <c r="K343" s="108"/>
      <c r="L343" s="66"/>
      <c r="M343" s="66"/>
      <c r="N343" s="66"/>
      <c r="O343" s="66"/>
      <c r="P343" s="66"/>
      <c r="Q343" s="66"/>
      <c r="R343" s="66"/>
      <c r="S343" s="66"/>
    </row>
    <row r="344">
      <c r="A344" s="66"/>
      <c r="B344" s="66"/>
      <c r="C344" s="66"/>
      <c r="D344" s="66"/>
      <c r="E344" s="15"/>
      <c r="F344" s="66"/>
      <c r="G344" s="18"/>
      <c r="H344" s="15"/>
      <c r="I344" s="18"/>
      <c r="J344" s="22"/>
      <c r="K344" s="108"/>
      <c r="L344" s="66"/>
      <c r="M344" s="66"/>
      <c r="N344" s="66"/>
      <c r="O344" s="66"/>
      <c r="P344" s="66"/>
      <c r="Q344" s="66"/>
      <c r="R344" s="66"/>
      <c r="S344" s="66"/>
    </row>
    <row r="345">
      <c r="A345" s="66"/>
      <c r="B345" s="66"/>
      <c r="C345" s="66"/>
      <c r="D345" s="66"/>
      <c r="E345" s="15"/>
      <c r="F345" s="66"/>
      <c r="G345" s="18"/>
      <c r="H345" s="15"/>
      <c r="I345" s="18"/>
      <c r="J345" s="22"/>
      <c r="K345" s="108"/>
      <c r="L345" s="66"/>
      <c r="M345" s="66"/>
      <c r="N345" s="66"/>
      <c r="O345" s="66"/>
      <c r="P345" s="66"/>
      <c r="Q345" s="66"/>
      <c r="R345" s="66"/>
      <c r="S345" s="66"/>
    </row>
    <row r="346">
      <c r="A346" s="66"/>
      <c r="B346" s="66"/>
      <c r="C346" s="66"/>
      <c r="D346" s="66"/>
      <c r="E346" s="15"/>
      <c r="F346" s="66"/>
      <c r="G346" s="18"/>
      <c r="H346" s="15"/>
      <c r="I346" s="18"/>
      <c r="J346" s="22"/>
      <c r="K346" s="108"/>
      <c r="L346" s="66"/>
      <c r="M346" s="66"/>
      <c r="N346" s="66"/>
      <c r="O346" s="66"/>
      <c r="P346" s="66"/>
      <c r="Q346" s="66"/>
      <c r="R346" s="66"/>
      <c r="S346" s="66"/>
    </row>
    <row r="347">
      <c r="A347" s="66"/>
      <c r="B347" s="66"/>
      <c r="C347" s="66"/>
      <c r="D347" s="66"/>
      <c r="E347" s="15"/>
      <c r="F347" s="66"/>
      <c r="G347" s="18"/>
      <c r="H347" s="15"/>
      <c r="I347" s="18"/>
      <c r="J347" s="22"/>
      <c r="K347" s="108"/>
      <c r="L347" s="66"/>
      <c r="M347" s="66"/>
      <c r="N347" s="66"/>
      <c r="O347" s="66"/>
      <c r="P347" s="66"/>
      <c r="Q347" s="66"/>
      <c r="R347" s="66"/>
      <c r="S347" s="66"/>
    </row>
    <row r="348">
      <c r="A348" s="66"/>
      <c r="B348" s="66"/>
      <c r="C348" s="66"/>
      <c r="D348" s="66"/>
      <c r="E348" s="15"/>
      <c r="F348" s="66"/>
      <c r="G348" s="18"/>
      <c r="H348" s="15"/>
      <c r="I348" s="18"/>
      <c r="J348" s="22"/>
      <c r="K348" s="108"/>
      <c r="L348" s="66"/>
      <c r="M348" s="66"/>
      <c r="N348" s="66"/>
      <c r="O348" s="66"/>
      <c r="P348" s="66"/>
      <c r="Q348" s="66"/>
      <c r="R348" s="66"/>
      <c r="S348" s="66"/>
    </row>
    <row r="349">
      <c r="A349" s="66"/>
      <c r="B349" s="66"/>
      <c r="C349" s="66"/>
      <c r="D349" s="66"/>
      <c r="E349" s="15"/>
      <c r="F349" s="66"/>
      <c r="G349" s="18"/>
      <c r="H349" s="15"/>
      <c r="I349" s="18"/>
      <c r="J349" s="22"/>
      <c r="K349" s="108"/>
      <c r="L349" s="66"/>
      <c r="M349" s="66"/>
      <c r="N349" s="66"/>
      <c r="O349" s="66"/>
      <c r="P349" s="66"/>
      <c r="Q349" s="66"/>
      <c r="R349" s="66"/>
      <c r="S349" s="66"/>
    </row>
    <row r="350">
      <c r="A350" s="66"/>
      <c r="B350" s="66"/>
      <c r="C350" s="66"/>
      <c r="D350" s="66"/>
      <c r="E350" s="15"/>
      <c r="F350" s="66"/>
      <c r="G350" s="18"/>
      <c r="H350" s="15"/>
      <c r="I350" s="18"/>
      <c r="J350" s="22"/>
      <c r="K350" s="108"/>
      <c r="L350" s="66"/>
      <c r="M350" s="66"/>
      <c r="N350" s="66"/>
      <c r="O350" s="66"/>
      <c r="P350" s="66"/>
      <c r="Q350" s="66"/>
      <c r="R350" s="66"/>
      <c r="S350" s="66"/>
    </row>
    <row r="351">
      <c r="A351" s="66"/>
      <c r="B351" s="66"/>
      <c r="C351" s="66"/>
      <c r="D351" s="66"/>
      <c r="E351" s="15"/>
      <c r="F351" s="66"/>
      <c r="G351" s="18"/>
      <c r="H351" s="15"/>
      <c r="I351" s="18"/>
      <c r="J351" s="22"/>
      <c r="K351" s="108"/>
      <c r="L351" s="66"/>
      <c r="M351" s="66"/>
      <c r="N351" s="66"/>
      <c r="O351" s="66"/>
      <c r="P351" s="66"/>
      <c r="Q351" s="66"/>
      <c r="R351" s="66"/>
      <c r="S351" s="66"/>
    </row>
    <row r="352">
      <c r="A352" s="66"/>
      <c r="B352" s="66"/>
      <c r="C352" s="66"/>
      <c r="D352" s="66"/>
      <c r="E352" s="15"/>
      <c r="F352" s="66"/>
      <c r="G352" s="18"/>
      <c r="H352" s="15"/>
      <c r="I352" s="18"/>
      <c r="J352" s="22"/>
      <c r="K352" s="108"/>
      <c r="L352" s="66"/>
      <c r="M352" s="66"/>
      <c r="N352" s="66"/>
      <c r="O352" s="66"/>
      <c r="P352" s="66"/>
      <c r="Q352" s="66"/>
      <c r="R352" s="66"/>
      <c r="S352" s="66"/>
    </row>
    <row r="353">
      <c r="A353" s="66"/>
      <c r="B353" s="66"/>
      <c r="C353" s="66"/>
      <c r="D353" s="66"/>
      <c r="E353" s="15"/>
      <c r="F353" s="66"/>
      <c r="G353" s="18"/>
      <c r="H353" s="15"/>
      <c r="I353" s="18"/>
      <c r="J353" s="22"/>
      <c r="K353" s="108"/>
      <c r="L353" s="66"/>
      <c r="M353" s="66"/>
      <c r="N353" s="66"/>
      <c r="O353" s="66"/>
      <c r="P353" s="66"/>
      <c r="Q353" s="66"/>
      <c r="R353" s="66"/>
      <c r="S353" s="66"/>
    </row>
    <row r="354">
      <c r="A354" s="66"/>
      <c r="B354" s="66"/>
      <c r="C354" s="66"/>
      <c r="D354" s="66"/>
      <c r="E354" s="15"/>
      <c r="F354" s="66"/>
      <c r="G354" s="18"/>
      <c r="H354" s="15"/>
      <c r="I354" s="18"/>
      <c r="J354" s="22"/>
      <c r="K354" s="108"/>
      <c r="L354" s="66"/>
      <c r="M354" s="66"/>
      <c r="N354" s="66"/>
      <c r="O354" s="66"/>
      <c r="P354" s="66"/>
      <c r="Q354" s="66"/>
      <c r="R354" s="66"/>
      <c r="S354" s="66"/>
    </row>
    <row r="355">
      <c r="A355" s="66"/>
      <c r="B355" s="66"/>
      <c r="C355" s="66"/>
      <c r="D355" s="66"/>
      <c r="E355" s="15"/>
      <c r="F355" s="66"/>
      <c r="G355" s="18"/>
      <c r="H355" s="15"/>
      <c r="I355" s="18"/>
      <c r="J355" s="22"/>
      <c r="K355" s="108"/>
      <c r="L355" s="66"/>
      <c r="M355" s="66"/>
      <c r="N355" s="66"/>
      <c r="O355" s="66"/>
      <c r="P355" s="66"/>
      <c r="Q355" s="66"/>
      <c r="R355" s="66"/>
      <c r="S355" s="66"/>
    </row>
    <row r="356">
      <c r="A356" s="66"/>
      <c r="B356" s="66"/>
      <c r="C356" s="66"/>
      <c r="D356" s="66"/>
      <c r="E356" s="15"/>
      <c r="F356" s="66"/>
      <c r="G356" s="18"/>
      <c r="H356" s="15"/>
      <c r="I356" s="18"/>
      <c r="J356" s="22"/>
      <c r="K356" s="108"/>
      <c r="L356" s="66"/>
      <c r="M356" s="66"/>
      <c r="N356" s="66"/>
      <c r="O356" s="66"/>
      <c r="P356" s="66"/>
      <c r="Q356" s="66"/>
      <c r="R356" s="66"/>
      <c r="S356" s="66"/>
    </row>
    <row r="357">
      <c r="A357" s="66"/>
      <c r="B357" s="66"/>
      <c r="C357" s="66"/>
      <c r="D357" s="66"/>
      <c r="E357" s="15"/>
      <c r="F357" s="66"/>
      <c r="G357" s="18"/>
      <c r="H357" s="15"/>
      <c r="I357" s="18"/>
      <c r="J357" s="22"/>
      <c r="K357" s="108"/>
      <c r="L357" s="66"/>
      <c r="M357" s="66"/>
      <c r="N357" s="66"/>
      <c r="O357" s="66"/>
      <c r="P357" s="66"/>
      <c r="Q357" s="66"/>
      <c r="R357" s="66"/>
      <c r="S357" s="66"/>
    </row>
    <row r="358">
      <c r="A358" s="66"/>
      <c r="B358" s="66"/>
      <c r="C358" s="66"/>
      <c r="D358" s="66"/>
      <c r="E358" s="15"/>
      <c r="F358" s="66"/>
      <c r="G358" s="18"/>
      <c r="H358" s="15"/>
      <c r="I358" s="18"/>
      <c r="J358" s="22"/>
      <c r="K358" s="108"/>
      <c r="L358" s="66"/>
      <c r="M358" s="66"/>
      <c r="N358" s="66"/>
      <c r="O358" s="66"/>
      <c r="P358" s="66"/>
      <c r="Q358" s="66"/>
      <c r="R358" s="66"/>
      <c r="S358" s="66"/>
    </row>
    <row r="359">
      <c r="A359" s="66"/>
      <c r="B359" s="66"/>
      <c r="C359" s="66"/>
      <c r="D359" s="66"/>
      <c r="E359" s="15"/>
      <c r="F359" s="66"/>
      <c r="G359" s="18"/>
      <c r="H359" s="15"/>
      <c r="I359" s="18"/>
      <c r="J359" s="22"/>
      <c r="K359" s="108"/>
      <c r="L359" s="66"/>
      <c r="M359" s="66"/>
      <c r="N359" s="66"/>
      <c r="O359" s="66"/>
      <c r="P359" s="66"/>
      <c r="Q359" s="66"/>
      <c r="R359" s="66"/>
      <c r="S359" s="66"/>
    </row>
    <row r="360">
      <c r="A360" s="66"/>
      <c r="B360" s="66"/>
      <c r="C360" s="66"/>
      <c r="D360" s="66"/>
      <c r="E360" s="15"/>
      <c r="F360" s="66"/>
      <c r="G360" s="18"/>
      <c r="H360" s="15"/>
      <c r="I360" s="18"/>
      <c r="J360" s="22"/>
      <c r="K360" s="108"/>
      <c r="L360" s="66"/>
      <c r="M360" s="66"/>
      <c r="N360" s="66"/>
      <c r="O360" s="66"/>
      <c r="P360" s="66"/>
      <c r="Q360" s="66"/>
      <c r="R360" s="66"/>
      <c r="S360" s="66"/>
    </row>
    <row r="361">
      <c r="A361" s="66"/>
      <c r="B361" s="66"/>
      <c r="C361" s="66"/>
      <c r="D361" s="66"/>
      <c r="E361" s="15"/>
      <c r="F361" s="66"/>
      <c r="G361" s="18"/>
      <c r="H361" s="15"/>
      <c r="I361" s="18"/>
      <c r="J361" s="22"/>
      <c r="K361" s="108"/>
      <c r="L361" s="66"/>
      <c r="M361" s="66"/>
      <c r="N361" s="66"/>
      <c r="O361" s="66"/>
      <c r="P361" s="66"/>
      <c r="Q361" s="66"/>
      <c r="R361" s="66"/>
      <c r="S361" s="66"/>
    </row>
    <row r="362">
      <c r="A362" s="66"/>
      <c r="B362" s="66"/>
      <c r="C362" s="66"/>
      <c r="D362" s="66"/>
      <c r="E362" s="15"/>
      <c r="F362" s="66"/>
      <c r="G362" s="18"/>
      <c r="H362" s="15"/>
      <c r="I362" s="18"/>
      <c r="J362" s="22"/>
      <c r="K362" s="108"/>
      <c r="L362" s="66"/>
      <c r="M362" s="66"/>
      <c r="N362" s="66"/>
      <c r="O362" s="66"/>
      <c r="P362" s="66"/>
      <c r="Q362" s="66"/>
      <c r="R362" s="66"/>
      <c r="S362" s="66"/>
    </row>
    <row r="363">
      <c r="A363" s="66"/>
      <c r="B363" s="66"/>
      <c r="C363" s="66"/>
      <c r="D363" s="66"/>
      <c r="E363" s="15"/>
      <c r="F363" s="66"/>
      <c r="G363" s="18"/>
      <c r="H363" s="15"/>
      <c r="I363" s="18"/>
      <c r="J363" s="22"/>
      <c r="K363" s="108"/>
      <c r="L363" s="66"/>
      <c r="M363" s="66"/>
      <c r="N363" s="66"/>
      <c r="O363" s="66"/>
      <c r="P363" s="66"/>
      <c r="Q363" s="66"/>
      <c r="R363" s="66"/>
      <c r="S363" s="66"/>
    </row>
    <row r="364">
      <c r="A364" s="66"/>
      <c r="B364" s="66"/>
      <c r="C364" s="66"/>
      <c r="D364" s="66"/>
      <c r="E364" s="15"/>
      <c r="F364" s="66"/>
      <c r="G364" s="18"/>
      <c r="H364" s="15"/>
      <c r="I364" s="18"/>
      <c r="J364" s="22"/>
      <c r="K364" s="108"/>
      <c r="L364" s="66"/>
      <c r="M364" s="66"/>
      <c r="N364" s="66"/>
      <c r="O364" s="66"/>
      <c r="P364" s="66"/>
      <c r="Q364" s="66"/>
      <c r="R364" s="66"/>
      <c r="S364" s="66"/>
    </row>
    <row r="365">
      <c r="A365" s="66"/>
      <c r="B365" s="66"/>
      <c r="C365" s="66"/>
      <c r="D365" s="66"/>
      <c r="E365" s="15"/>
      <c r="F365" s="66"/>
      <c r="G365" s="18"/>
      <c r="H365" s="15"/>
      <c r="I365" s="18"/>
      <c r="J365" s="22"/>
      <c r="K365" s="108"/>
      <c r="L365" s="66"/>
      <c r="M365" s="66"/>
      <c r="N365" s="66"/>
      <c r="O365" s="66"/>
      <c r="P365" s="66"/>
      <c r="Q365" s="66"/>
      <c r="R365" s="66"/>
      <c r="S365" s="66"/>
    </row>
    <row r="366">
      <c r="A366" s="66"/>
      <c r="B366" s="66"/>
      <c r="C366" s="66"/>
      <c r="D366" s="66"/>
      <c r="E366" s="15"/>
      <c r="F366" s="66"/>
      <c r="G366" s="18"/>
      <c r="H366" s="15"/>
      <c r="I366" s="18"/>
      <c r="J366" s="22"/>
      <c r="K366" s="108"/>
      <c r="L366" s="66"/>
      <c r="M366" s="66"/>
      <c r="N366" s="66"/>
      <c r="O366" s="66"/>
      <c r="P366" s="66"/>
      <c r="Q366" s="66"/>
      <c r="R366" s="66"/>
      <c r="S366" s="66"/>
    </row>
    <row r="367">
      <c r="A367" s="66"/>
      <c r="B367" s="66"/>
      <c r="C367" s="66"/>
      <c r="D367" s="66"/>
      <c r="E367" s="15"/>
      <c r="F367" s="66"/>
      <c r="G367" s="18"/>
      <c r="H367" s="15"/>
      <c r="I367" s="18"/>
      <c r="J367" s="22"/>
      <c r="K367" s="108"/>
      <c r="L367" s="66"/>
      <c r="M367" s="66"/>
      <c r="N367" s="66"/>
      <c r="O367" s="66"/>
      <c r="P367" s="66"/>
      <c r="Q367" s="66"/>
      <c r="R367" s="66"/>
      <c r="S367" s="66"/>
    </row>
    <row r="368">
      <c r="A368" s="66"/>
      <c r="B368" s="66"/>
      <c r="C368" s="66"/>
      <c r="D368" s="66"/>
      <c r="E368" s="15"/>
      <c r="F368" s="66"/>
      <c r="G368" s="18"/>
      <c r="H368" s="15"/>
      <c r="I368" s="18"/>
      <c r="J368" s="22"/>
      <c r="K368" s="108"/>
      <c r="L368" s="66"/>
      <c r="M368" s="66"/>
      <c r="N368" s="66"/>
      <c r="O368" s="66"/>
      <c r="P368" s="66"/>
      <c r="Q368" s="66"/>
      <c r="R368" s="66"/>
      <c r="S368" s="66"/>
    </row>
    <row r="369">
      <c r="A369" s="66"/>
      <c r="B369" s="66"/>
      <c r="C369" s="66"/>
      <c r="D369" s="66"/>
      <c r="E369" s="15"/>
      <c r="F369" s="66"/>
      <c r="G369" s="18"/>
      <c r="H369" s="15"/>
      <c r="I369" s="18"/>
      <c r="J369" s="22"/>
      <c r="K369" s="108"/>
      <c r="L369" s="66"/>
      <c r="M369" s="66"/>
      <c r="N369" s="66"/>
      <c r="O369" s="66"/>
      <c r="P369" s="66"/>
      <c r="Q369" s="66"/>
      <c r="R369" s="66"/>
      <c r="S369" s="66"/>
    </row>
    <row r="370">
      <c r="A370" s="66"/>
      <c r="B370" s="66"/>
      <c r="C370" s="66"/>
      <c r="D370" s="66"/>
      <c r="E370" s="15"/>
      <c r="F370" s="66"/>
      <c r="G370" s="18"/>
      <c r="H370" s="15"/>
      <c r="I370" s="18"/>
      <c r="J370" s="22"/>
      <c r="K370" s="108"/>
      <c r="L370" s="66"/>
      <c r="M370" s="66"/>
      <c r="N370" s="66"/>
      <c r="O370" s="66"/>
      <c r="P370" s="66"/>
      <c r="Q370" s="66"/>
      <c r="R370" s="66"/>
      <c r="S370" s="66"/>
    </row>
    <row r="371">
      <c r="A371" s="66"/>
      <c r="B371" s="66"/>
      <c r="C371" s="66"/>
      <c r="D371" s="66"/>
      <c r="E371" s="15"/>
      <c r="F371" s="66"/>
      <c r="G371" s="18"/>
      <c r="H371" s="15"/>
      <c r="I371" s="18"/>
      <c r="J371" s="22"/>
      <c r="K371" s="108"/>
      <c r="L371" s="66"/>
      <c r="M371" s="66"/>
      <c r="N371" s="66"/>
      <c r="O371" s="66"/>
      <c r="P371" s="66"/>
      <c r="Q371" s="66"/>
      <c r="R371" s="66"/>
      <c r="S371" s="66"/>
    </row>
    <row r="372">
      <c r="A372" s="66"/>
      <c r="B372" s="66"/>
      <c r="C372" s="66"/>
      <c r="D372" s="66"/>
      <c r="E372" s="15"/>
      <c r="F372" s="66"/>
      <c r="G372" s="18"/>
      <c r="H372" s="15"/>
      <c r="I372" s="18"/>
      <c r="J372" s="22"/>
      <c r="K372" s="108"/>
      <c r="L372" s="66"/>
      <c r="M372" s="66"/>
      <c r="N372" s="66"/>
      <c r="O372" s="66"/>
      <c r="P372" s="66"/>
      <c r="Q372" s="66"/>
      <c r="R372" s="66"/>
      <c r="S372" s="66"/>
    </row>
    <row r="373">
      <c r="A373" s="66"/>
      <c r="B373" s="66"/>
      <c r="C373" s="66"/>
      <c r="D373" s="66"/>
      <c r="E373" s="15"/>
      <c r="F373" s="66"/>
      <c r="G373" s="18"/>
      <c r="H373" s="15"/>
      <c r="I373" s="18"/>
      <c r="J373" s="22"/>
      <c r="K373" s="108"/>
      <c r="L373" s="66"/>
      <c r="M373" s="66"/>
      <c r="N373" s="66"/>
      <c r="O373" s="66"/>
      <c r="P373" s="66"/>
      <c r="Q373" s="66"/>
      <c r="R373" s="66"/>
      <c r="S373" s="66"/>
    </row>
    <row r="374">
      <c r="A374" s="66"/>
      <c r="B374" s="66"/>
      <c r="C374" s="66"/>
      <c r="D374" s="66"/>
      <c r="E374" s="15"/>
      <c r="F374" s="66"/>
      <c r="G374" s="18"/>
      <c r="H374" s="15"/>
      <c r="I374" s="18"/>
      <c r="J374" s="22"/>
      <c r="K374" s="108"/>
      <c r="L374" s="66"/>
      <c r="M374" s="66"/>
      <c r="N374" s="66"/>
      <c r="O374" s="66"/>
      <c r="P374" s="66"/>
      <c r="Q374" s="66"/>
      <c r="R374" s="66"/>
      <c r="S374" s="66"/>
    </row>
    <row r="375">
      <c r="A375" s="66"/>
      <c r="B375" s="66"/>
      <c r="C375" s="66"/>
      <c r="D375" s="66"/>
      <c r="E375" s="15"/>
      <c r="F375" s="66"/>
      <c r="G375" s="18"/>
      <c r="H375" s="15"/>
      <c r="I375" s="18"/>
      <c r="J375" s="22"/>
      <c r="K375" s="108"/>
      <c r="L375" s="66"/>
      <c r="M375" s="66"/>
      <c r="N375" s="66"/>
      <c r="O375" s="66"/>
      <c r="P375" s="66"/>
      <c r="Q375" s="66"/>
      <c r="R375" s="66"/>
      <c r="S375" s="66"/>
    </row>
    <row r="376">
      <c r="A376" s="66"/>
      <c r="B376" s="66"/>
      <c r="C376" s="66"/>
      <c r="D376" s="66"/>
      <c r="E376" s="15"/>
      <c r="F376" s="66"/>
      <c r="G376" s="18"/>
      <c r="H376" s="15"/>
      <c r="I376" s="18"/>
      <c r="J376" s="22"/>
      <c r="K376" s="108"/>
      <c r="L376" s="66"/>
      <c r="M376" s="66"/>
      <c r="N376" s="66"/>
      <c r="O376" s="66"/>
      <c r="P376" s="66"/>
      <c r="Q376" s="66"/>
      <c r="R376" s="66"/>
      <c r="S376" s="66"/>
    </row>
    <row r="377">
      <c r="A377" s="66"/>
      <c r="B377" s="66"/>
      <c r="C377" s="66"/>
      <c r="D377" s="66"/>
      <c r="E377" s="15"/>
      <c r="F377" s="66"/>
      <c r="G377" s="18"/>
      <c r="H377" s="15"/>
      <c r="I377" s="18"/>
      <c r="J377" s="22"/>
      <c r="K377" s="108"/>
      <c r="L377" s="66"/>
      <c r="M377" s="66"/>
      <c r="N377" s="66"/>
      <c r="O377" s="66"/>
      <c r="P377" s="66"/>
      <c r="Q377" s="66"/>
      <c r="R377" s="66"/>
      <c r="S377" s="66"/>
    </row>
    <row r="378">
      <c r="A378" s="66"/>
      <c r="B378" s="66"/>
      <c r="C378" s="66"/>
      <c r="D378" s="66"/>
      <c r="E378" s="15"/>
      <c r="F378" s="66"/>
      <c r="G378" s="18"/>
      <c r="H378" s="15"/>
      <c r="I378" s="18"/>
      <c r="J378" s="22"/>
      <c r="K378" s="108"/>
      <c r="L378" s="66"/>
      <c r="M378" s="66"/>
      <c r="N378" s="66"/>
      <c r="O378" s="66"/>
      <c r="P378" s="66"/>
      <c r="Q378" s="66"/>
      <c r="R378" s="66"/>
      <c r="S378" s="66"/>
    </row>
    <row r="379">
      <c r="A379" s="66"/>
      <c r="B379" s="66"/>
      <c r="C379" s="66"/>
      <c r="D379" s="66"/>
      <c r="E379" s="15"/>
      <c r="F379" s="66"/>
      <c r="G379" s="18"/>
      <c r="H379" s="15"/>
      <c r="I379" s="18"/>
      <c r="J379" s="22"/>
      <c r="K379" s="108"/>
      <c r="L379" s="66"/>
      <c r="M379" s="66"/>
      <c r="N379" s="66"/>
      <c r="O379" s="66"/>
      <c r="P379" s="66"/>
      <c r="Q379" s="66"/>
      <c r="R379" s="66"/>
      <c r="S379" s="66"/>
    </row>
    <row r="380">
      <c r="A380" s="66"/>
      <c r="B380" s="66"/>
      <c r="C380" s="66"/>
      <c r="D380" s="66"/>
      <c r="E380" s="15"/>
      <c r="F380" s="66"/>
      <c r="G380" s="18"/>
      <c r="H380" s="15"/>
      <c r="I380" s="18"/>
      <c r="J380" s="22"/>
      <c r="K380" s="108"/>
      <c r="L380" s="66"/>
      <c r="M380" s="66"/>
      <c r="N380" s="66"/>
      <c r="O380" s="66"/>
      <c r="P380" s="66"/>
      <c r="Q380" s="66"/>
      <c r="R380" s="66"/>
      <c r="S380" s="66"/>
    </row>
    <row r="381">
      <c r="A381" s="66"/>
      <c r="B381" s="66"/>
      <c r="C381" s="66"/>
      <c r="D381" s="66"/>
      <c r="E381" s="15"/>
      <c r="F381" s="66"/>
      <c r="G381" s="18"/>
      <c r="H381" s="15"/>
      <c r="I381" s="18"/>
      <c r="J381" s="22"/>
      <c r="K381" s="108"/>
      <c r="L381" s="66"/>
      <c r="M381" s="66"/>
      <c r="N381" s="66"/>
      <c r="O381" s="66"/>
      <c r="P381" s="66"/>
      <c r="Q381" s="66"/>
      <c r="R381" s="66"/>
      <c r="S381" s="66"/>
    </row>
    <row r="382">
      <c r="A382" s="66"/>
      <c r="B382" s="66"/>
      <c r="C382" s="66"/>
      <c r="D382" s="66"/>
      <c r="E382" s="15"/>
      <c r="F382" s="66"/>
      <c r="G382" s="18"/>
      <c r="H382" s="15"/>
      <c r="I382" s="18"/>
      <c r="J382" s="22"/>
      <c r="K382" s="108"/>
      <c r="L382" s="66"/>
      <c r="M382" s="66"/>
      <c r="N382" s="66"/>
      <c r="O382" s="66"/>
      <c r="P382" s="66"/>
      <c r="Q382" s="66"/>
      <c r="R382" s="66"/>
      <c r="S382" s="66"/>
    </row>
    <row r="383">
      <c r="A383" s="66"/>
      <c r="B383" s="66"/>
      <c r="C383" s="66"/>
      <c r="D383" s="66"/>
      <c r="E383" s="15"/>
      <c r="F383" s="66"/>
      <c r="G383" s="18"/>
      <c r="H383" s="15"/>
      <c r="I383" s="18"/>
      <c r="J383" s="22"/>
      <c r="K383" s="108"/>
      <c r="L383" s="66"/>
      <c r="M383" s="66"/>
      <c r="N383" s="66"/>
      <c r="O383" s="66"/>
      <c r="P383" s="66"/>
      <c r="Q383" s="66"/>
      <c r="R383" s="66"/>
      <c r="S383" s="66"/>
    </row>
    <row r="384">
      <c r="A384" s="66"/>
      <c r="B384" s="66"/>
      <c r="C384" s="66"/>
      <c r="D384" s="66"/>
      <c r="E384" s="15"/>
      <c r="F384" s="66"/>
      <c r="G384" s="18"/>
      <c r="H384" s="15"/>
      <c r="I384" s="18"/>
      <c r="J384" s="22"/>
      <c r="K384" s="108"/>
      <c r="L384" s="66"/>
      <c r="M384" s="66"/>
      <c r="N384" s="66"/>
      <c r="O384" s="66"/>
      <c r="P384" s="66"/>
      <c r="Q384" s="66"/>
      <c r="R384" s="66"/>
      <c r="S384" s="66"/>
    </row>
    <row r="385">
      <c r="A385" s="66"/>
      <c r="B385" s="66"/>
      <c r="C385" s="66"/>
      <c r="D385" s="66"/>
      <c r="E385" s="15"/>
      <c r="F385" s="66"/>
      <c r="G385" s="18"/>
      <c r="H385" s="15"/>
      <c r="I385" s="18"/>
      <c r="J385" s="22"/>
      <c r="K385" s="108"/>
      <c r="L385" s="66"/>
      <c r="M385" s="66"/>
      <c r="N385" s="66"/>
      <c r="O385" s="66"/>
      <c r="P385" s="66"/>
      <c r="Q385" s="66"/>
      <c r="R385" s="66"/>
      <c r="S385" s="66"/>
    </row>
    <row r="386">
      <c r="A386" s="66"/>
      <c r="B386" s="66"/>
      <c r="C386" s="66"/>
      <c r="D386" s="66"/>
      <c r="E386" s="15"/>
      <c r="F386" s="66"/>
      <c r="G386" s="18"/>
      <c r="H386" s="15"/>
      <c r="I386" s="18"/>
      <c r="J386" s="22"/>
      <c r="K386" s="108"/>
      <c r="L386" s="66"/>
      <c r="M386" s="66"/>
      <c r="N386" s="66"/>
      <c r="O386" s="66"/>
      <c r="P386" s="66"/>
      <c r="Q386" s="66"/>
      <c r="R386" s="66"/>
      <c r="S386" s="66"/>
    </row>
    <row r="387">
      <c r="A387" s="66"/>
      <c r="B387" s="66"/>
      <c r="C387" s="66"/>
      <c r="D387" s="66"/>
      <c r="E387" s="15"/>
      <c r="F387" s="66"/>
      <c r="G387" s="18"/>
      <c r="H387" s="15"/>
      <c r="I387" s="18"/>
      <c r="J387" s="22"/>
      <c r="K387" s="108"/>
      <c r="L387" s="66"/>
      <c r="M387" s="66"/>
      <c r="N387" s="66"/>
      <c r="O387" s="66"/>
      <c r="P387" s="66"/>
      <c r="Q387" s="66"/>
      <c r="R387" s="66"/>
      <c r="S387" s="66"/>
    </row>
    <row r="388">
      <c r="A388" s="66"/>
      <c r="B388" s="66"/>
      <c r="C388" s="66"/>
      <c r="D388" s="66"/>
      <c r="E388" s="15"/>
      <c r="F388" s="66"/>
      <c r="G388" s="18"/>
      <c r="H388" s="15"/>
      <c r="I388" s="18"/>
      <c r="J388" s="22"/>
      <c r="K388" s="108"/>
      <c r="L388" s="66"/>
      <c r="M388" s="66"/>
      <c r="N388" s="66"/>
      <c r="O388" s="66"/>
      <c r="P388" s="66"/>
      <c r="Q388" s="66"/>
      <c r="R388" s="66"/>
      <c r="S388" s="66"/>
    </row>
    <row r="389">
      <c r="A389" s="66"/>
      <c r="B389" s="66"/>
      <c r="C389" s="66"/>
      <c r="D389" s="66"/>
      <c r="E389" s="15"/>
      <c r="F389" s="66"/>
      <c r="G389" s="18"/>
      <c r="H389" s="15"/>
      <c r="I389" s="18"/>
      <c r="J389" s="22"/>
      <c r="K389" s="108"/>
      <c r="L389" s="66"/>
      <c r="M389" s="66"/>
      <c r="N389" s="66"/>
      <c r="O389" s="66"/>
      <c r="P389" s="66"/>
      <c r="Q389" s="66"/>
      <c r="R389" s="66"/>
      <c r="S389" s="66"/>
    </row>
    <row r="390">
      <c r="A390" s="66"/>
      <c r="B390" s="66"/>
      <c r="C390" s="66"/>
      <c r="D390" s="66"/>
      <c r="E390" s="15"/>
      <c r="F390" s="66"/>
      <c r="G390" s="18"/>
      <c r="H390" s="15"/>
      <c r="I390" s="18"/>
      <c r="J390" s="22"/>
      <c r="K390" s="108"/>
      <c r="L390" s="66"/>
      <c r="M390" s="66"/>
      <c r="N390" s="66"/>
      <c r="O390" s="66"/>
      <c r="P390" s="66"/>
      <c r="Q390" s="66"/>
      <c r="R390" s="66"/>
      <c r="S390" s="66"/>
    </row>
    <row r="391">
      <c r="A391" s="66"/>
      <c r="B391" s="66"/>
      <c r="C391" s="66"/>
      <c r="D391" s="66"/>
      <c r="E391" s="15"/>
      <c r="F391" s="66"/>
      <c r="G391" s="18"/>
      <c r="H391" s="15"/>
      <c r="I391" s="18"/>
      <c r="J391" s="22"/>
      <c r="K391" s="108"/>
      <c r="L391" s="66"/>
      <c r="M391" s="66"/>
      <c r="N391" s="66"/>
      <c r="O391" s="66"/>
      <c r="P391" s="66"/>
      <c r="Q391" s="66"/>
      <c r="R391" s="66"/>
      <c r="S391" s="66"/>
    </row>
    <row r="392">
      <c r="A392" s="66"/>
      <c r="B392" s="66"/>
      <c r="C392" s="66"/>
      <c r="D392" s="66"/>
      <c r="E392" s="15"/>
      <c r="F392" s="66"/>
      <c r="G392" s="18"/>
      <c r="H392" s="15"/>
      <c r="I392" s="18"/>
      <c r="J392" s="22"/>
      <c r="K392" s="108"/>
      <c r="L392" s="66"/>
      <c r="M392" s="66"/>
      <c r="N392" s="66"/>
      <c r="O392" s="66"/>
      <c r="P392" s="66"/>
      <c r="Q392" s="66"/>
      <c r="R392" s="66"/>
      <c r="S392" s="66"/>
    </row>
    <row r="393">
      <c r="A393" s="66"/>
      <c r="B393" s="66"/>
      <c r="C393" s="66"/>
      <c r="D393" s="66"/>
      <c r="E393" s="15"/>
      <c r="F393" s="66"/>
      <c r="G393" s="18"/>
      <c r="H393" s="15"/>
      <c r="I393" s="18"/>
      <c r="J393" s="22"/>
      <c r="K393" s="108"/>
      <c r="L393" s="66"/>
      <c r="M393" s="66"/>
      <c r="N393" s="66"/>
      <c r="O393" s="66"/>
      <c r="P393" s="66"/>
      <c r="Q393" s="66"/>
      <c r="R393" s="66"/>
      <c r="S393" s="66"/>
    </row>
    <row r="394">
      <c r="A394" s="66"/>
      <c r="B394" s="66"/>
      <c r="C394" s="66"/>
      <c r="D394" s="66"/>
      <c r="E394" s="15"/>
      <c r="F394" s="66"/>
      <c r="G394" s="18"/>
      <c r="H394" s="15"/>
      <c r="I394" s="18"/>
      <c r="J394" s="22"/>
      <c r="K394" s="108"/>
      <c r="L394" s="66"/>
      <c r="M394" s="66"/>
      <c r="N394" s="66"/>
      <c r="O394" s="66"/>
      <c r="P394" s="66"/>
      <c r="Q394" s="66"/>
      <c r="R394" s="66"/>
      <c r="S394" s="66"/>
    </row>
    <row r="395">
      <c r="A395" s="66"/>
      <c r="B395" s="66"/>
      <c r="C395" s="66"/>
      <c r="D395" s="66"/>
      <c r="E395" s="15"/>
      <c r="F395" s="66"/>
      <c r="G395" s="18"/>
      <c r="H395" s="15"/>
      <c r="I395" s="18"/>
      <c r="J395" s="22"/>
      <c r="K395" s="108"/>
      <c r="L395" s="66"/>
      <c r="M395" s="66"/>
      <c r="N395" s="66"/>
      <c r="O395" s="66"/>
      <c r="P395" s="66"/>
      <c r="Q395" s="66"/>
      <c r="R395" s="66"/>
      <c r="S395" s="66"/>
    </row>
    <row r="396">
      <c r="A396" s="66"/>
      <c r="B396" s="66"/>
      <c r="C396" s="66"/>
      <c r="D396" s="66"/>
      <c r="E396" s="15"/>
      <c r="F396" s="66"/>
      <c r="G396" s="18"/>
      <c r="H396" s="15"/>
      <c r="I396" s="18"/>
      <c r="J396" s="22"/>
      <c r="K396" s="108"/>
      <c r="L396" s="66"/>
      <c r="M396" s="66"/>
      <c r="N396" s="66"/>
      <c r="O396" s="66"/>
      <c r="P396" s="66"/>
      <c r="Q396" s="66"/>
      <c r="R396" s="66"/>
      <c r="S396" s="66"/>
    </row>
    <row r="397">
      <c r="A397" s="66"/>
      <c r="B397" s="66"/>
      <c r="C397" s="66"/>
      <c r="D397" s="66"/>
      <c r="E397" s="15"/>
      <c r="F397" s="66"/>
      <c r="G397" s="18"/>
      <c r="H397" s="15"/>
      <c r="I397" s="18"/>
      <c r="J397" s="22"/>
      <c r="K397" s="108"/>
      <c r="L397" s="66"/>
      <c r="M397" s="66"/>
      <c r="N397" s="66"/>
      <c r="O397" s="66"/>
      <c r="P397" s="66"/>
      <c r="Q397" s="66"/>
      <c r="R397" s="66"/>
      <c r="S397" s="66"/>
    </row>
    <row r="398">
      <c r="A398" s="66"/>
      <c r="B398" s="66"/>
      <c r="C398" s="66"/>
      <c r="D398" s="66"/>
      <c r="E398" s="15"/>
      <c r="F398" s="66"/>
      <c r="G398" s="18"/>
      <c r="H398" s="15"/>
      <c r="I398" s="18"/>
      <c r="J398" s="22"/>
      <c r="K398" s="108"/>
      <c r="L398" s="66"/>
      <c r="M398" s="66"/>
      <c r="N398" s="66"/>
      <c r="O398" s="66"/>
      <c r="P398" s="66"/>
      <c r="Q398" s="66"/>
      <c r="R398" s="66"/>
      <c r="S398" s="66"/>
    </row>
    <row r="399">
      <c r="A399" s="66"/>
      <c r="B399" s="66"/>
      <c r="C399" s="66"/>
      <c r="D399" s="66"/>
      <c r="E399" s="15"/>
      <c r="F399" s="66"/>
      <c r="G399" s="18"/>
      <c r="H399" s="15"/>
      <c r="I399" s="18"/>
      <c r="J399" s="22"/>
      <c r="K399" s="108"/>
      <c r="L399" s="66"/>
      <c r="M399" s="66"/>
      <c r="N399" s="66"/>
      <c r="O399" s="66"/>
      <c r="P399" s="66"/>
      <c r="Q399" s="66"/>
      <c r="R399" s="66"/>
      <c r="S399" s="66"/>
    </row>
    <row r="400">
      <c r="A400" s="66"/>
      <c r="B400" s="66"/>
      <c r="C400" s="66"/>
      <c r="D400" s="66"/>
      <c r="E400" s="15"/>
      <c r="F400" s="66"/>
      <c r="G400" s="18"/>
      <c r="H400" s="15"/>
      <c r="I400" s="18"/>
      <c r="J400" s="22"/>
      <c r="K400" s="108"/>
      <c r="L400" s="66"/>
      <c r="M400" s="66"/>
      <c r="N400" s="66"/>
      <c r="O400" s="66"/>
      <c r="P400" s="66"/>
      <c r="Q400" s="66"/>
      <c r="R400" s="66"/>
      <c r="S400" s="66"/>
    </row>
    <row r="401">
      <c r="A401" s="66"/>
      <c r="B401" s="66"/>
      <c r="C401" s="66"/>
      <c r="D401" s="66"/>
      <c r="E401" s="15"/>
      <c r="F401" s="66"/>
      <c r="G401" s="18"/>
      <c r="H401" s="15"/>
      <c r="I401" s="18"/>
      <c r="J401" s="22"/>
      <c r="K401" s="108"/>
      <c r="L401" s="66"/>
      <c r="M401" s="66"/>
      <c r="N401" s="66"/>
      <c r="O401" s="66"/>
      <c r="P401" s="66"/>
      <c r="Q401" s="66"/>
      <c r="R401" s="66"/>
      <c r="S401" s="66"/>
    </row>
    <row r="402">
      <c r="A402" s="66"/>
      <c r="B402" s="66"/>
      <c r="C402" s="66"/>
      <c r="D402" s="66"/>
      <c r="E402" s="15"/>
      <c r="F402" s="66"/>
      <c r="G402" s="18"/>
      <c r="H402" s="15"/>
      <c r="I402" s="18"/>
      <c r="J402" s="22"/>
      <c r="K402" s="108"/>
      <c r="L402" s="66"/>
      <c r="M402" s="66"/>
      <c r="N402" s="66"/>
      <c r="O402" s="66"/>
      <c r="P402" s="66"/>
      <c r="Q402" s="66"/>
      <c r="R402" s="66"/>
      <c r="S402" s="66"/>
    </row>
    <row r="403">
      <c r="A403" s="66"/>
      <c r="B403" s="66"/>
      <c r="C403" s="66"/>
      <c r="D403" s="66"/>
      <c r="E403" s="15"/>
      <c r="F403" s="66"/>
      <c r="G403" s="18"/>
      <c r="H403" s="15"/>
      <c r="I403" s="18"/>
      <c r="J403" s="22"/>
      <c r="K403" s="108"/>
      <c r="L403" s="66"/>
      <c r="M403" s="66"/>
      <c r="N403" s="66"/>
      <c r="O403" s="66"/>
      <c r="P403" s="66"/>
      <c r="Q403" s="66"/>
      <c r="R403" s="66"/>
      <c r="S403" s="66"/>
    </row>
    <row r="404">
      <c r="A404" s="66"/>
      <c r="B404" s="66"/>
      <c r="C404" s="66"/>
      <c r="D404" s="66"/>
      <c r="E404" s="15"/>
      <c r="F404" s="66"/>
      <c r="G404" s="18"/>
      <c r="H404" s="15"/>
      <c r="I404" s="18"/>
      <c r="J404" s="22"/>
      <c r="K404" s="108"/>
      <c r="L404" s="66"/>
      <c r="M404" s="66"/>
      <c r="N404" s="66"/>
      <c r="O404" s="66"/>
      <c r="P404" s="66"/>
      <c r="Q404" s="66"/>
      <c r="R404" s="66"/>
      <c r="S404" s="66"/>
    </row>
    <row r="405">
      <c r="A405" s="66"/>
      <c r="B405" s="66"/>
      <c r="C405" s="66"/>
      <c r="D405" s="66"/>
      <c r="E405" s="15"/>
      <c r="F405" s="66"/>
      <c r="G405" s="18"/>
      <c r="H405" s="15"/>
      <c r="I405" s="18"/>
      <c r="J405" s="22"/>
      <c r="K405" s="108"/>
      <c r="L405" s="66"/>
      <c r="M405" s="66"/>
      <c r="N405" s="66"/>
      <c r="O405" s="66"/>
      <c r="P405" s="66"/>
      <c r="Q405" s="66"/>
      <c r="R405" s="66"/>
      <c r="S405" s="66"/>
    </row>
    <row r="406">
      <c r="A406" s="66"/>
      <c r="B406" s="66"/>
      <c r="C406" s="66"/>
      <c r="D406" s="66"/>
      <c r="E406" s="15"/>
      <c r="F406" s="66"/>
      <c r="G406" s="18"/>
      <c r="H406" s="15"/>
      <c r="I406" s="18"/>
      <c r="J406" s="22"/>
      <c r="K406" s="108"/>
      <c r="L406" s="66"/>
      <c r="M406" s="66"/>
      <c r="N406" s="66"/>
      <c r="O406" s="66"/>
      <c r="P406" s="66"/>
      <c r="Q406" s="66"/>
      <c r="R406" s="66"/>
      <c r="S406" s="66"/>
    </row>
    <row r="407">
      <c r="A407" s="66"/>
      <c r="B407" s="66"/>
      <c r="C407" s="66"/>
      <c r="D407" s="66"/>
      <c r="E407" s="15"/>
      <c r="F407" s="66"/>
      <c r="G407" s="18"/>
      <c r="H407" s="15"/>
      <c r="I407" s="18"/>
      <c r="J407" s="22"/>
      <c r="K407" s="108"/>
      <c r="L407" s="66"/>
      <c r="M407" s="66"/>
      <c r="N407" s="66"/>
      <c r="O407" s="66"/>
      <c r="P407" s="66"/>
      <c r="Q407" s="66"/>
      <c r="R407" s="66"/>
      <c r="S407" s="66"/>
    </row>
    <row r="408">
      <c r="A408" s="66"/>
      <c r="B408" s="66"/>
      <c r="C408" s="66"/>
      <c r="D408" s="66"/>
      <c r="E408" s="15"/>
      <c r="F408" s="66"/>
      <c r="G408" s="18"/>
      <c r="H408" s="15"/>
      <c r="I408" s="18"/>
      <c r="J408" s="22"/>
      <c r="K408" s="108"/>
      <c r="L408" s="66"/>
      <c r="M408" s="66"/>
      <c r="N408" s="66"/>
      <c r="O408" s="66"/>
      <c r="P408" s="66"/>
      <c r="Q408" s="66"/>
      <c r="R408" s="66"/>
      <c r="S408" s="66"/>
    </row>
    <row r="409">
      <c r="A409" s="66"/>
      <c r="B409" s="66"/>
      <c r="C409" s="66"/>
      <c r="D409" s="66"/>
      <c r="E409" s="15"/>
      <c r="F409" s="66"/>
      <c r="G409" s="18"/>
      <c r="H409" s="15"/>
      <c r="I409" s="18"/>
      <c r="J409" s="22"/>
      <c r="K409" s="108"/>
      <c r="L409" s="66"/>
      <c r="M409" s="66"/>
      <c r="N409" s="66"/>
      <c r="O409" s="66"/>
      <c r="P409" s="66"/>
      <c r="Q409" s="66"/>
      <c r="R409" s="66"/>
      <c r="S409" s="66"/>
    </row>
    <row r="410">
      <c r="A410" s="66"/>
      <c r="B410" s="66"/>
      <c r="C410" s="66"/>
      <c r="D410" s="66"/>
      <c r="E410" s="15"/>
      <c r="F410" s="66"/>
      <c r="G410" s="18"/>
      <c r="H410" s="15"/>
      <c r="I410" s="18"/>
      <c r="J410" s="22"/>
      <c r="K410" s="108"/>
      <c r="L410" s="66"/>
      <c r="M410" s="66"/>
      <c r="N410" s="66"/>
      <c r="O410" s="66"/>
      <c r="P410" s="66"/>
      <c r="Q410" s="66"/>
      <c r="R410" s="66"/>
      <c r="S410" s="66"/>
    </row>
    <row r="411">
      <c r="A411" s="66"/>
      <c r="B411" s="66"/>
      <c r="C411" s="66"/>
      <c r="D411" s="66"/>
      <c r="E411" s="15"/>
      <c r="F411" s="66"/>
      <c r="G411" s="18"/>
      <c r="H411" s="15"/>
      <c r="I411" s="18"/>
      <c r="J411" s="22"/>
      <c r="K411" s="108"/>
      <c r="L411" s="66"/>
      <c r="M411" s="66"/>
      <c r="N411" s="66"/>
      <c r="O411" s="66"/>
      <c r="P411" s="66"/>
      <c r="Q411" s="66"/>
      <c r="R411" s="66"/>
      <c r="S411" s="66"/>
    </row>
    <row r="412">
      <c r="A412" s="66"/>
      <c r="B412" s="66"/>
      <c r="C412" s="66"/>
      <c r="D412" s="66"/>
      <c r="E412" s="15"/>
      <c r="F412" s="66"/>
      <c r="G412" s="18"/>
      <c r="H412" s="15"/>
      <c r="I412" s="18"/>
      <c r="J412" s="22"/>
      <c r="K412" s="108"/>
      <c r="L412" s="66"/>
      <c r="M412" s="66"/>
      <c r="N412" s="66"/>
      <c r="O412" s="66"/>
      <c r="P412" s="66"/>
      <c r="Q412" s="66"/>
      <c r="R412" s="66"/>
      <c r="S412" s="66"/>
    </row>
    <row r="413">
      <c r="A413" s="66"/>
      <c r="B413" s="66"/>
      <c r="C413" s="66"/>
      <c r="D413" s="66"/>
      <c r="E413" s="15"/>
      <c r="F413" s="66"/>
      <c r="G413" s="18"/>
      <c r="H413" s="15"/>
      <c r="I413" s="18"/>
      <c r="J413" s="22"/>
      <c r="K413" s="108"/>
      <c r="L413" s="66"/>
      <c r="M413" s="66"/>
      <c r="N413" s="66"/>
      <c r="O413" s="66"/>
      <c r="P413" s="66"/>
      <c r="Q413" s="66"/>
      <c r="R413" s="66"/>
      <c r="S413" s="66"/>
    </row>
    <row r="414">
      <c r="A414" s="66"/>
      <c r="B414" s="66"/>
      <c r="C414" s="66"/>
      <c r="D414" s="66"/>
      <c r="E414" s="15"/>
      <c r="F414" s="66"/>
      <c r="G414" s="18"/>
      <c r="H414" s="15"/>
      <c r="I414" s="18"/>
      <c r="J414" s="22"/>
      <c r="K414" s="108"/>
      <c r="L414" s="66"/>
      <c r="M414" s="66"/>
      <c r="N414" s="66"/>
      <c r="O414" s="66"/>
      <c r="P414" s="66"/>
      <c r="Q414" s="66"/>
      <c r="R414" s="66"/>
      <c r="S414" s="66"/>
    </row>
    <row r="415">
      <c r="A415" s="66"/>
      <c r="B415" s="66"/>
      <c r="C415" s="66"/>
      <c r="D415" s="66"/>
      <c r="E415" s="15"/>
      <c r="F415" s="66"/>
      <c r="G415" s="18"/>
      <c r="H415" s="15"/>
      <c r="I415" s="18"/>
      <c r="J415" s="22"/>
      <c r="K415" s="108"/>
      <c r="L415" s="66"/>
      <c r="M415" s="66"/>
      <c r="N415" s="66"/>
      <c r="O415" s="66"/>
      <c r="P415" s="66"/>
      <c r="Q415" s="66"/>
      <c r="R415" s="66"/>
      <c r="S415" s="66"/>
    </row>
    <row r="416">
      <c r="A416" s="66"/>
      <c r="B416" s="66"/>
      <c r="C416" s="66"/>
      <c r="D416" s="66"/>
      <c r="E416" s="15"/>
      <c r="F416" s="66"/>
      <c r="G416" s="18"/>
      <c r="H416" s="15"/>
      <c r="I416" s="18"/>
      <c r="J416" s="22"/>
      <c r="K416" s="108"/>
      <c r="L416" s="66"/>
      <c r="M416" s="66"/>
      <c r="N416" s="66"/>
      <c r="O416" s="66"/>
      <c r="P416" s="66"/>
      <c r="Q416" s="66"/>
      <c r="R416" s="66"/>
      <c r="S416" s="66"/>
    </row>
    <row r="417">
      <c r="A417" s="66"/>
      <c r="B417" s="66"/>
      <c r="C417" s="66"/>
      <c r="D417" s="66"/>
      <c r="E417" s="15"/>
      <c r="F417" s="66"/>
      <c r="G417" s="18"/>
      <c r="H417" s="15"/>
      <c r="I417" s="18"/>
      <c r="J417" s="22"/>
      <c r="K417" s="108"/>
      <c r="L417" s="66"/>
      <c r="M417" s="66"/>
      <c r="N417" s="66"/>
      <c r="O417" s="66"/>
      <c r="P417" s="66"/>
      <c r="Q417" s="66"/>
      <c r="R417" s="66"/>
      <c r="S417" s="66"/>
    </row>
    <row r="418">
      <c r="A418" s="66"/>
      <c r="B418" s="66"/>
      <c r="C418" s="66"/>
      <c r="D418" s="66"/>
      <c r="E418" s="15"/>
      <c r="F418" s="66"/>
      <c r="G418" s="18"/>
      <c r="H418" s="15"/>
      <c r="I418" s="18"/>
      <c r="J418" s="22"/>
      <c r="K418" s="108"/>
      <c r="L418" s="66"/>
      <c r="M418" s="66"/>
      <c r="N418" s="66"/>
      <c r="O418" s="66"/>
      <c r="P418" s="66"/>
      <c r="Q418" s="66"/>
      <c r="R418" s="66"/>
      <c r="S418" s="66"/>
    </row>
    <row r="419">
      <c r="A419" s="66"/>
      <c r="B419" s="66"/>
      <c r="C419" s="66"/>
      <c r="D419" s="66"/>
      <c r="E419" s="15"/>
      <c r="F419" s="66"/>
      <c r="G419" s="18"/>
      <c r="H419" s="15"/>
      <c r="I419" s="18"/>
      <c r="J419" s="22"/>
      <c r="K419" s="108"/>
      <c r="L419" s="66"/>
      <c r="M419" s="66"/>
      <c r="N419" s="66"/>
      <c r="O419" s="66"/>
      <c r="P419" s="66"/>
      <c r="Q419" s="66"/>
      <c r="R419" s="66"/>
      <c r="S419" s="66"/>
    </row>
    <row r="420">
      <c r="A420" s="66"/>
      <c r="B420" s="66"/>
      <c r="C420" s="66"/>
      <c r="D420" s="66"/>
      <c r="E420" s="15"/>
      <c r="F420" s="66"/>
      <c r="G420" s="18"/>
      <c r="H420" s="15"/>
      <c r="I420" s="18"/>
      <c r="J420" s="22"/>
      <c r="K420" s="108"/>
      <c r="L420" s="66"/>
      <c r="M420" s="66"/>
      <c r="N420" s="66"/>
      <c r="O420" s="66"/>
      <c r="P420" s="66"/>
      <c r="Q420" s="66"/>
      <c r="R420" s="66"/>
      <c r="S420" s="66"/>
    </row>
    <row r="421">
      <c r="A421" s="66"/>
      <c r="B421" s="66"/>
      <c r="C421" s="66"/>
      <c r="D421" s="66"/>
      <c r="E421" s="15"/>
      <c r="F421" s="66"/>
      <c r="G421" s="18"/>
      <c r="H421" s="15"/>
      <c r="I421" s="18"/>
      <c r="J421" s="22"/>
      <c r="K421" s="108"/>
      <c r="L421" s="66"/>
      <c r="M421" s="66"/>
      <c r="N421" s="66"/>
      <c r="O421" s="66"/>
      <c r="P421" s="66"/>
      <c r="Q421" s="66"/>
      <c r="R421" s="66"/>
      <c r="S421" s="66"/>
    </row>
    <row r="422">
      <c r="A422" s="66"/>
      <c r="B422" s="66"/>
      <c r="C422" s="66"/>
      <c r="D422" s="66"/>
      <c r="E422" s="15"/>
      <c r="F422" s="66"/>
      <c r="G422" s="18"/>
      <c r="H422" s="15"/>
      <c r="I422" s="18"/>
      <c r="J422" s="22"/>
      <c r="K422" s="108"/>
      <c r="L422" s="66"/>
      <c r="M422" s="66"/>
      <c r="N422" s="66"/>
      <c r="O422" s="66"/>
      <c r="P422" s="66"/>
      <c r="Q422" s="66"/>
      <c r="R422" s="66"/>
      <c r="S422" s="66"/>
    </row>
    <row r="423">
      <c r="A423" s="66"/>
      <c r="B423" s="66"/>
      <c r="C423" s="66"/>
      <c r="D423" s="66"/>
      <c r="E423" s="15"/>
      <c r="F423" s="66"/>
      <c r="G423" s="18"/>
      <c r="H423" s="15"/>
      <c r="I423" s="18"/>
      <c r="J423" s="22"/>
      <c r="K423" s="108"/>
      <c r="L423" s="66"/>
      <c r="M423" s="66"/>
      <c r="N423" s="66"/>
      <c r="O423" s="66"/>
      <c r="P423" s="66"/>
      <c r="Q423" s="66"/>
      <c r="R423" s="66"/>
      <c r="S423" s="66"/>
    </row>
    <row r="424">
      <c r="A424" s="66"/>
      <c r="B424" s="66"/>
      <c r="C424" s="66"/>
      <c r="D424" s="66"/>
      <c r="E424" s="15"/>
      <c r="F424" s="66"/>
      <c r="G424" s="18"/>
      <c r="H424" s="15"/>
      <c r="I424" s="18"/>
      <c r="J424" s="22"/>
      <c r="K424" s="108"/>
      <c r="L424" s="66"/>
      <c r="M424" s="66"/>
      <c r="N424" s="66"/>
      <c r="O424" s="66"/>
      <c r="P424" s="66"/>
      <c r="Q424" s="66"/>
      <c r="R424" s="66"/>
      <c r="S424" s="66"/>
    </row>
    <row r="425">
      <c r="A425" s="66"/>
      <c r="B425" s="66"/>
      <c r="C425" s="66"/>
      <c r="D425" s="66"/>
      <c r="E425" s="15"/>
      <c r="F425" s="66"/>
      <c r="G425" s="18"/>
      <c r="H425" s="15"/>
      <c r="I425" s="18"/>
      <c r="J425" s="22"/>
      <c r="K425" s="108"/>
      <c r="L425" s="66"/>
      <c r="M425" s="66"/>
      <c r="N425" s="66"/>
      <c r="O425" s="66"/>
      <c r="P425" s="66"/>
      <c r="Q425" s="66"/>
      <c r="R425" s="66"/>
      <c r="S425" s="66"/>
    </row>
    <row r="426">
      <c r="A426" s="66"/>
      <c r="B426" s="66"/>
      <c r="C426" s="66"/>
      <c r="D426" s="66"/>
      <c r="E426" s="15"/>
      <c r="F426" s="66"/>
      <c r="G426" s="18"/>
      <c r="H426" s="15"/>
      <c r="I426" s="18"/>
      <c r="J426" s="22"/>
      <c r="K426" s="108"/>
      <c r="L426" s="66"/>
      <c r="M426" s="66"/>
      <c r="N426" s="66"/>
      <c r="O426" s="66"/>
      <c r="P426" s="66"/>
      <c r="Q426" s="66"/>
      <c r="R426" s="66"/>
      <c r="S426" s="66"/>
    </row>
    <row r="427">
      <c r="A427" s="66"/>
      <c r="B427" s="66"/>
      <c r="C427" s="66"/>
      <c r="D427" s="66"/>
      <c r="E427" s="15"/>
      <c r="F427" s="66"/>
      <c r="G427" s="18"/>
      <c r="H427" s="15"/>
      <c r="I427" s="18"/>
      <c r="J427" s="22"/>
      <c r="K427" s="108"/>
      <c r="L427" s="66"/>
      <c r="M427" s="66"/>
      <c r="N427" s="66"/>
      <c r="O427" s="66"/>
      <c r="P427" s="66"/>
      <c r="Q427" s="66"/>
      <c r="R427" s="66"/>
      <c r="S427" s="66"/>
    </row>
    <row r="428">
      <c r="A428" s="66"/>
      <c r="B428" s="66"/>
      <c r="C428" s="66"/>
      <c r="D428" s="66"/>
      <c r="E428" s="15"/>
      <c r="F428" s="66"/>
      <c r="G428" s="18"/>
      <c r="H428" s="15"/>
      <c r="I428" s="18"/>
      <c r="J428" s="22"/>
      <c r="K428" s="108"/>
      <c r="L428" s="66"/>
      <c r="M428" s="66"/>
      <c r="N428" s="66"/>
      <c r="O428" s="66"/>
      <c r="P428" s="66"/>
      <c r="Q428" s="66"/>
      <c r="R428" s="66"/>
      <c r="S428" s="66"/>
    </row>
    <row r="429">
      <c r="A429" s="66"/>
      <c r="B429" s="66"/>
      <c r="C429" s="66"/>
      <c r="D429" s="66"/>
      <c r="E429" s="15"/>
      <c r="F429" s="66"/>
      <c r="G429" s="18"/>
      <c r="H429" s="15"/>
      <c r="I429" s="18"/>
      <c r="J429" s="22"/>
      <c r="K429" s="108"/>
      <c r="L429" s="66"/>
      <c r="M429" s="66"/>
      <c r="N429" s="66"/>
      <c r="O429" s="66"/>
      <c r="P429" s="66"/>
      <c r="Q429" s="66"/>
      <c r="R429" s="66"/>
      <c r="S429" s="66"/>
    </row>
    <row r="430">
      <c r="A430" s="66"/>
      <c r="B430" s="66"/>
      <c r="C430" s="66"/>
      <c r="D430" s="66"/>
      <c r="E430" s="15"/>
      <c r="F430" s="66"/>
      <c r="G430" s="18"/>
      <c r="H430" s="15"/>
      <c r="I430" s="18"/>
      <c r="J430" s="22"/>
      <c r="K430" s="108"/>
      <c r="L430" s="66"/>
      <c r="M430" s="66"/>
      <c r="N430" s="66"/>
      <c r="O430" s="66"/>
      <c r="P430" s="66"/>
      <c r="Q430" s="66"/>
      <c r="R430" s="66"/>
      <c r="S430" s="66"/>
    </row>
    <row r="431">
      <c r="A431" s="66"/>
      <c r="B431" s="66"/>
      <c r="C431" s="66"/>
      <c r="D431" s="66"/>
      <c r="E431" s="15"/>
      <c r="F431" s="66"/>
      <c r="G431" s="18"/>
      <c r="H431" s="15"/>
      <c r="I431" s="18"/>
      <c r="J431" s="22"/>
      <c r="K431" s="108"/>
      <c r="L431" s="66"/>
      <c r="M431" s="66"/>
      <c r="N431" s="66"/>
      <c r="O431" s="66"/>
      <c r="P431" s="66"/>
      <c r="Q431" s="66"/>
      <c r="R431" s="66"/>
      <c r="S431" s="66"/>
    </row>
    <row r="432">
      <c r="A432" s="66"/>
      <c r="B432" s="66"/>
      <c r="C432" s="66"/>
      <c r="D432" s="66"/>
      <c r="E432" s="15"/>
      <c r="F432" s="66"/>
      <c r="G432" s="18"/>
      <c r="H432" s="15"/>
      <c r="I432" s="18"/>
      <c r="J432" s="22"/>
      <c r="K432" s="108"/>
      <c r="L432" s="66"/>
      <c r="M432" s="66"/>
      <c r="N432" s="66"/>
      <c r="O432" s="66"/>
      <c r="P432" s="66"/>
      <c r="Q432" s="66"/>
      <c r="R432" s="66"/>
      <c r="S432" s="66"/>
    </row>
    <row r="433">
      <c r="A433" s="66"/>
      <c r="B433" s="66"/>
      <c r="C433" s="66"/>
      <c r="D433" s="66"/>
      <c r="E433" s="15"/>
      <c r="F433" s="66"/>
      <c r="G433" s="18"/>
      <c r="H433" s="15"/>
      <c r="I433" s="18"/>
      <c r="J433" s="22"/>
      <c r="K433" s="108"/>
      <c r="L433" s="66"/>
      <c r="M433" s="66"/>
      <c r="N433" s="66"/>
      <c r="O433" s="66"/>
      <c r="P433" s="66"/>
      <c r="Q433" s="66"/>
      <c r="R433" s="66"/>
      <c r="S433" s="66"/>
    </row>
    <row r="434">
      <c r="A434" s="66"/>
      <c r="B434" s="66"/>
      <c r="C434" s="66"/>
      <c r="D434" s="66"/>
      <c r="E434" s="15"/>
      <c r="F434" s="66"/>
      <c r="G434" s="18"/>
      <c r="H434" s="15"/>
      <c r="I434" s="18"/>
      <c r="J434" s="22"/>
      <c r="K434" s="108"/>
      <c r="L434" s="66"/>
      <c r="M434" s="66"/>
      <c r="N434" s="66"/>
      <c r="O434" s="66"/>
      <c r="P434" s="66"/>
      <c r="Q434" s="66"/>
      <c r="R434" s="66"/>
      <c r="S434" s="66"/>
    </row>
    <row r="435">
      <c r="A435" s="66"/>
      <c r="B435" s="66"/>
      <c r="C435" s="66"/>
      <c r="D435" s="66"/>
      <c r="E435" s="15"/>
      <c r="F435" s="66"/>
      <c r="G435" s="18"/>
      <c r="H435" s="15"/>
      <c r="I435" s="18"/>
      <c r="J435" s="22"/>
      <c r="K435" s="108"/>
      <c r="L435" s="66"/>
      <c r="M435" s="66"/>
      <c r="N435" s="66"/>
      <c r="O435" s="66"/>
      <c r="P435" s="66"/>
      <c r="Q435" s="66"/>
      <c r="R435" s="66"/>
      <c r="S435" s="66"/>
    </row>
    <row r="436">
      <c r="A436" s="66"/>
      <c r="B436" s="66"/>
      <c r="C436" s="66"/>
      <c r="D436" s="66"/>
      <c r="E436" s="15"/>
      <c r="F436" s="66"/>
      <c r="G436" s="18"/>
      <c r="H436" s="15"/>
      <c r="I436" s="18"/>
      <c r="J436" s="22"/>
      <c r="K436" s="108"/>
      <c r="L436" s="66"/>
      <c r="M436" s="66"/>
      <c r="N436" s="66"/>
      <c r="O436" s="66"/>
      <c r="P436" s="66"/>
      <c r="Q436" s="66"/>
      <c r="R436" s="66"/>
      <c r="S436" s="66"/>
    </row>
    <row r="437">
      <c r="A437" s="66"/>
      <c r="B437" s="66"/>
      <c r="C437" s="66"/>
      <c r="D437" s="66"/>
      <c r="E437" s="15"/>
      <c r="F437" s="66"/>
      <c r="G437" s="18"/>
      <c r="H437" s="15"/>
      <c r="I437" s="18"/>
      <c r="J437" s="22"/>
      <c r="K437" s="108"/>
      <c r="L437" s="66"/>
      <c r="M437" s="66"/>
      <c r="N437" s="66"/>
      <c r="O437" s="66"/>
      <c r="P437" s="66"/>
      <c r="Q437" s="66"/>
      <c r="R437" s="66"/>
      <c r="S437" s="66"/>
    </row>
    <row r="438">
      <c r="A438" s="66"/>
      <c r="B438" s="66"/>
      <c r="C438" s="66"/>
      <c r="D438" s="66"/>
      <c r="E438" s="15"/>
      <c r="F438" s="66"/>
      <c r="G438" s="18"/>
      <c r="H438" s="15"/>
      <c r="I438" s="18"/>
      <c r="J438" s="22"/>
      <c r="K438" s="108"/>
      <c r="L438" s="66"/>
      <c r="M438" s="66"/>
      <c r="N438" s="66"/>
      <c r="O438" s="66"/>
      <c r="P438" s="66"/>
      <c r="Q438" s="66"/>
      <c r="R438" s="66"/>
      <c r="S438" s="66"/>
    </row>
    <row r="439">
      <c r="A439" s="66"/>
      <c r="B439" s="66"/>
      <c r="C439" s="66"/>
      <c r="D439" s="66"/>
      <c r="E439" s="15"/>
      <c r="F439" s="66"/>
      <c r="G439" s="18"/>
      <c r="H439" s="15"/>
      <c r="I439" s="18"/>
      <c r="J439" s="22"/>
      <c r="K439" s="108"/>
      <c r="L439" s="66"/>
      <c r="M439" s="66"/>
      <c r="N439" s="66"/>
      <c r="O439" s="66"/>
      <c r="P439" s="66"/>
      <c r="Q439" s="66"/>
      <c r="R439" s="66"/>
      <c r="S439" s="66"/>
    </row>
    <row r="440">
      <c r="A440" s="66"/>
      <c r="B440" s="66"/>
      <c r="C440" s="66"/>
      <c r="D440" s="66"/>
      <c r="E440" s="15"/>
      <c r="F440" s="66"/>
      <c r="G440" s="18"/>
      <c r="H440" s="15"/>
      <c r="I440" s="18"/>
      <c r="J440" s="22"/>
      <c r="K440" s="108"/>
      <c r="L440" s="66"/>
      <c r="M440" s="66"/>
      <c r="N440" s="66"/>
      <c r="O440" s="66"/>
      <c r="P440" s="66"/>
      <c r="Q440" s="66"/>
      <c r="R440" s="66"/>
      <c r="S440" s="66"/>
    </row>
    <row r="441">
      <c r="A441" s="66"/>
      <c r="B441" s="66"/>
      <c r="C441" s="66"/>
      <c r="D441" s="66"/>
      <c r="E441" s="15"/>
      <c r="F441" s="66"/>
      <c r="G441" s="18"/>
      <c r="H441" s="15"/>
      <c r="I441" s="18"/>
      <c r="J441" s="22"/>
      <c r="K441" s="108"/>
      <c r="L441" s="66"/>
      <c r="M441" s="66"/>
      <c r="N441" s="66"/>
      <c r="O441" s="66"/>
      <c r="P441" s="66"/>
      <c r="Q441" s="66"/>
      <c r="R441" s="66"/>
      <c r="S441" s="66"/>
    </row>
    <row r="442">
      <c r="A442" s="66"/>
      <c r="B442" s="66"/>
      <c r="C442" s="66"/>
      <c r="D442" s="66"/>
      <c r="E442" s="15"/>
      <c r="F442" s="66"/>
      <c r="G442" s="18"/>
      <c r="H442" s="15"/>
      <c r="I442" s="18"/>
      <c r="J442" s="22"/>
      <c r="K442" s="108"/>
      <c r="L442" s="66"/>
      <c r="M442" s="66"/>
      <c r="N442" s="66"/>
      <c r="O442" s="66"/>
      <c r="P442" s="66"/>
      <c r="Q442" s="66"/>
      <c r="R442" s="66"/>
      <c r="S442" s="66"/>
    </row>
    <row r="443">
      <c r="A443" s="66"/>
      <c r="B443" s="66"/>
      <c r="C443" s="66"/>
      <c r="D443" s="66"/>
      <c r="E443" s="15"/>
      <c r="F443" s="66"/>
      <c r="G443" s="18"/>
      <c r="H443" s="15"/>
      <c r="I443" s="18"/>
      <c r="J443" s="22"/>
      <c r="K443" s="108"/>
      <c r="L443" s="66"/>
      <c r="M443" s="66"/>
      <c r="N443" s="66"/>
      <c r="O443" s="66"/>
      <c r="P443" s="66"/>
      <c r="Q443" s="66"/>
      <c r="R443" s="66"/>
      <c r="S443" s="66"/>
    </row>
    <row r="444">
      <c r="A444" s="66"/>
      <c r="B444" s="66"/>
      <c r="C444" s="66"/>
      <c r="D444" s="66"/>
      <c r="E444" s="15"/>
      <c r="F444" s="66"/>
      <c r="G444" s="18"/>
      <c r="H444" s="15"/>
      <c r="I444" s="18"/>
      <c r="J444" s="22"/>
      <c r="K444" s="108"/>
      <c r="L444" s="66"/>
      <c r="M444" s="66"/>
      <c r="N444" s="66"/>
      <c r="O444" s="66"/>
      <c r="P444" s="66"/>
      <c r="Q444" s="66"/>
      <c r="R444" s="66"/>
      <c r="S444" s="66"/>
    </row>
    <row r="445">
      <c r="A445" s="66"/>
      <c r="B445" s="66"/>
      <c r="C445" s="66"/>
      <c r="D445" s="66"/>
      <c r="E445" s="15"/>
      <c r="F445" s="66"/>
      <c r="G445" s="18"/>
      <c r="H445" s="15"/>
      <c r="I445" s="18"/>
      <c r="J445" s="22"/>
      <c r="K445" s="108"/>
      <c r="L445" s="66"/>
      <c r="M445" s="66"/>
      <c r="N445" s="66"/>
      <c r="O445" s="66"/>
      <c r="P445" s="66"/>
      <c r="Q445" s="66"/>
      <c r="R445" s="66"/>
      <c r="S445" s="66"/>
    </row>
    <row r="446">
      <c r="A446" s="66"/>
      <c r="B446" s="66"/>
      <c r="C446" s="66"/>
      <c r="D446" s="66"/>
      <c r="E446" s="15"/>
      <c r="F446" s="66"/>
      <c r="G446" s="18"/>
      <c r="H446" s="15"/>
      <c r="I446" s="18"/>
      <c r="J446" s="22"/>
      <c r="K446" s="108"/>
      <c r="L446" s="66"/>
      <c r="M446" s="66"/>
      <c r="N446" s="66"/>
      <c r="O446" s="66"/>
      <c r="P446" s="66"/>
      <c r="Q446" s="66"/>
      <c r="R446" s="66"/>
      <c r="S446" s="66"/>
    </row>
    <row r="447">
      <c r="A447" s="66"/>
      <c r="B447" s="66"/>
      <c r="C447" s="66"/>
      <c r="D447" s="66"/>
      <c r="E447" s="15"/>
      <c r="F447" s="66"/>
      <c r="G447" s="18"/>
      <c r="H447" s="15"/>
      <c r="I447" s="18"/>
      <c r="J447" s="22"/>
      <c r="K447" s="108"/>
      <c r="L447" s="66"/>
      <c r="M447" s="66"/>
      <c r="N447" s="66"/>
      <c r="O447" s="66"/>
      <c r="P447" s="66"/>
      <c r="Q447" s="66"/>
      <c r="R447" s="66"/>
      <c r="S447" s="66"/>
    </row>
    <row r="448">
      <c r="A448" s="66"/>
      <c r="B448" s="66"/>
      <c r="C448" s="66"/>
      <c r="D448" s="66"/>
      <c r="E448" s="15"/>
      <c r="F448" s="66"/>
      <c r="G448" s="18"/>
      <c r="H448" s="15"/>
      <c r="I448" s="18"/>
      <c r="J448" s="22"/>
      <c r="K448" s="108"/>
      <c r="L448" s="66"/>
      <c r="M448" s="66"/>
      <c r="N448" s="66"/>
      <c r="O448" s="66"/>
      <c r="P448" s="66"/>
      <c r="Q448" s="66"/>
      <c r="R448" s="66"/>
      <c r="S448" s="66"/>
    </row>
    <row r="449">
      <c r="A449" s="66"/>
      <c r="B449" s="66"/>
      <c r="C449" s="66"/>
      <c r="D449" s="66"/>
      <c r="E449" s="15"/>
      <c r="F449" s="66"/>
      <c r="G449" s="18"/>
      <c r="H449" s="15"/>
      <c r="I449" s="18"/>
      <c r="J449" s="22"/>
      <c r="K449" s="108"/>
      <c r="L449" s="66"/>
      <c r="M449" s="66"/>
      <c r="N449" s="66"/>
      <c r="O449" s="66"/>
      <c r="P449" s="66"/>
      <c r="Q449" s="66"/>
      <c r="R449" s="66"/>
      <c r="S449" s="66"/>
    </row>
    <row r="450">
      <c r="A450" s="66"/>
      <c r="B450" s="66"/>
      <c r="C450" s="66"/>
      <c r="D450" s="66"/>
      <c r="E450" s="15"/>
      <c r="F450" s="66"/>
      <c r="G450" s="18"/>
      <c r="H450" s="15"/>
      <c r="I450" s="18"/>
      <c r="J450" s="22"/>
      <c r="K450" s="108"/>
      <c r="L450" s="66"/>
      <c r="M450" s="66"/>
      <c r="N450" s="66"/>
      <c r="O450" s="66"/>
      <c r="P450" s="66"/>
      <c r="Q450" s="66"/>
      <c r="R450" s="66"/>
      <c r="S450" s="66"/>
    </row>
    <row r="451">
      <c r="A451" s="66"/>
      <c r="B451" s="66"/>
      <c r="C451" s="66"/>
      <c r="D451" s="66"/>
      <c r="E451" s="15"/>
      <c r="F451" s="66"/>
      <c r="G451" s="18"/>
      <c r="H451" s="15"/>
      <c r="I451" s="18"/>
      <c r="J451" s="22"/>
      <c r="K451" s="108"/>
      <c r="L451" s="66"/>
      <c r="M451" s="66"/>
      <c r="N451" s="66"/>
      <c r="O451" s="66"/>
      <c r="P451" s="66"/>
      <c r="Q451" s="66"/>
      <c r="R451" s="66"/>
      <c r="S451" s="66"/>
    </row>
    <row r="452">
      <c r="A452" s="66"/>
      <c r="B452" s="66"/>
      <c r="C452" s="66"/>
      <c r="D452" s="66"/>
      <c r="E452" s="15"/>
      <c r="F452" s="66"/>
      <c r="G452" s="18"/>
      <c r="H452" s="15"/>
      <c r="I452" s="18"/>
      <c r="J452" s="22"/>
      <c r="K452" s="108"/>
      <c r="L452" s="66"/>
      <c r="M452" s="66"/>
      <c r="N452" s="66"/>
      <c r="O452" s="66"/>
      <c r="P452" s="66"/>
      <c r="Q452" s="66"/>
      <c r="R452" s="66"/>
      <c r="S452" s="66"/>
    </row>
    <row r="453">
      <c r="A453" s="66"/>
      <c r="B453" s="66"/>
      <c r="C453" s="66"/>
      <c r="D453" s="66"/>
      <c r="E453" s="15"/>
      <c r="F453" s="66"/>
      <c r="G453" s="18"/>
      <c r="H453" s="15"/>
      <c r="I453" s="18"/>
      <c r="J453" s="22"/>
      <c r="K453" s="108"/>
      <c r="L453" s="66"/>
      <c r="M453" s="66"/>
      <c r="N453" s="66"/>
      <c r="O453" s="66"/>
      <c r="P453" s="66"/>
      <c r="Q453" s="66"/>
      <c r="R453" s="66"/>
      <c r="S453" s="66"/>
    </row>
    <row r="454">
      <c r="A454" s="66"/>
      <c r="B454" s="66"/>
      <c r="C454" s="66"/>
      <c r="D454" s="66"/>
      <c r="E454" s="15"/>
      <c r="F454" s="66"/>
      <c r="G454" s="18"/>
      <c r="H454" s="15"/>
      <c r="I454" s="18"/>
      <c r="J454" s="22"/>
      <c r="K454" s="108"/>
      <c r="L454" s="66"/>
      <c r="M454" s="66"/>
      <c r="N454" s="66"/>
      <c r="O454" s="66"/>
      <c r="P454" s="66"/>
      <c r="Q454" s="66"/>
      <c r="R454" s="66"/>
      <c r="S454" s="66"/>
    </row>
    <row r="455">
      <c r="A455" s="66"/>
      <c r="B455" s="66"/>
      <c r="C455" s="66"/>
      <c r="D455" s="66"/>
      <c r="E455" s="15"/>
      <c r="F455" s="66"/>
      <c r="G455" s="18"/>
      <c r="H455" s="15"/>
      <c r="I455" s="18"/>
      <c r="J455" s="22"/>
      <c r="K455" s="108"/>
      <c r="L455" s="66"/>
      <c r="M455" s="66"/>
      <c r="N455" s="66"/>
      <c r="O455" s="66"/>
      <c r="P455" s="66"/>
      <c r="Q455" s="66"/>
      <c r="R455" s="66"/>
      <c r="S455" s="66"/>
    </row>
    <row r="456">
      <c r="A456" s="66"/>
      <c r="B456" s="66"/>
      <c r="C456" s="66"/>
      <c r="D456" s="66"/>
      <c r="E456" s="15"/>
      <c r="F456" s="66"/>
      <c r="G456" s="18"/>
      <c r="H456" s="15"/>
      <c r="I456" s="18"/>
      <c r="J456" s="22"/>
      <c r="K456" s="108"/>
      <c r="L456" s="66"/>
      <c r="M456" s="66"/>
      <c r="N456" s="66"/>
      <c r="O456" s="66"/>
      <c r="P456" s="66"/>
      <c r="Q456" s="66"/>
      <c r="R456" s="66"/>
      <c r="S456" s="66"/>
    </row>
    <row r="457">
      <c r="A457" s="66"/>
      <c r="B457" s="66"/>
      <c r="C457" s="66"/>
      <c r="D457" s="66"/>
      <c r="E457" s="15"/>
      <c r="F457" s="66"/>
      <c r="G457" s="18"/>
      <c r="H457" s="15"/>
      <c r="I457" s="18"/>
      <c r="J457" s="22"/>
      <c r="K457" s="108"/>
      <c r="L457" s="66"/>
      <c r="M457" s="66"/>
      <c r="N457" s="66"/>
      <c r="O457" s="66"/>
      <c r="P457" s="66"/>
      <c r="Q457" s="66"/>
      <c r="R457" s="66"/>
      <c r="S457" s="66"/>
    </row>
    <row r="458">
      <c r="A458" s="66"/>
      <c r="B458" s="66"/>
      <c r="C458" s="66"/>
      <c r="D458" s="66"/>
      <c r="E458" s="15"/>
      <c r="F458" s="66"/>
      <c r="G458" s="18"/>
      <c r="H458" s="15"/>
      <c r="I458" s="18"/>
      <c r="J458" s="22"/>
      <c r="K458" s="108"/>
      <c r="L458" s="66"/>
      <c r="M458" s="66"/>
      <c r="N458" s="66"/>
      <c r="O458" s="66"/>
      <c r="P458" s="66"/>
      <c r="Q458" s="66"/>
      <c r="R458" s="66"/>
      <c r="S458" s="66"/>
    </row>
    <row r="459">
      <c r="A459" s="66"/>
      <c r="B459" s="66"/>
      <c r="C459" s="66"/>
      <c r="D459" s="66"/>
      <c r="E459" s="15"/>
      <c r="F459" s="66"/>
      <c r="G459" s="18"/>
      <c r="H459" s="15"/>
      <c r="I459" s="18"/>
      <c r="J459" s="22"/>
      <c r="K459" s="108"/>
      <c r="L459" s="66"/>
      <c r="M459" s="66"/>
      <c r="N459" s="66"/>
      <c r="O459" s="66"/>
      <c r="P459" s="66"/>
      <c r="Q459" s="66"/>
      <c r="R459" s="66"/>
      <c r="S459" s="66"/>
    </row>
    <row r="460">
      <c r="A460" s="66"/>
      <c r="B460" s="66"/>
      <c r="C460" s="66"/>
      <c r="D460" s="66"/>
      <c r="E460" s="15"/>
      <c r="F460" s="66"/>
      <c r="G460" s="18"/>
      <c r="H460" s="15"/>
      <c r="I460" s="18"/>
      <c r="J460" s="22"/>
      <c r="K460" s="108"/>
      <c r="L460" s="66"/>
      <c r="M460" s="66"/>
      <c r="N460" s="66"/>
      <c r="O460" s="66"/>
      <c r="P460" s="66"/>
      <c r="Q460" s="66"/>
      <c r="R460" s="66"/>
      <c r="S460" s="66"/>
    </row>
    <row r="461">
      <c r="A461" s="66"/>
      <c r="B461" s="66"/>
      <c r="C461" s="66"/>
      <c r="D461" s="66"/>
      <c r="E461" s="15"/>
      <c r="F461" s="66"/>
      <c r="G461" s="18"/>
      <c r="H461" s="15"/>
      <c r="I461" s="18"/>
      <c r="J461" s="22"/>
      <c r="K461" s="108"/>
      <c r="L461" s="66"/>
      <c r="M461" s="66"/>
      <c r="N461" s="66"/>
      <c r="O461" s="66"/>
      <c r="P461" s="66"/>
      <c r="Q461" s="66"/>
      <c r="R461" s="66"/>
      <c r="S461" s="66"/>
    </row>
    <row r="462">
      <c r="A462" s="66"/>
      <c r="B462" s="66"/>
      <c r="C462" s="66"/>
      <c r="D462" s="66"/>
      <c r="E462" s="15"/>
      <c r="F462" s="66"/>
      <c r="G462" s="18"/>
      <c r="H462" s="15"/>
      <c r="I462" s="18"/>
      <c r="J462" s="22"/>
      <c r="K462" s="108"/>
      <c r="L462" s="66"/>
      <c r="M462" s="66"/>
      <c r="N462" s="66"/>
      <c r="O462" s="66"/>
      <c r="P462" s="66"/>
      <c r="Q462" s="66"/>
      <c r="R462" s="66"/>
      <c r="S462" s="66"/>
    </row>
    <row r="463">
      <c r="A463" s="66"/>
      <c r="B463" s="66"/>
      <c r="C463" s="66"/>
      <c r="D463" s="66"/>
      <c r="E463" s="15"/>
      <c r="F463" s="66"/>
      <c r="G463" s="18"/>
      <c r="H463" s="15"/>
      <c r="I463" s="18"/>
      <c r="J463" s="22"/>
      <c r="K463" s="108"/>
      <c r="L463" s="66"/>
      <c r="M463" s="66"/>
      <c r="N463" s="66"/>
      <c r="O463" s="66"/>
      <c r="P463" s="66"/>
      <c r="Q463" s="66"/>
      <c r="R463" s="66"/>
      <c r="S463" s="66"/>
    </row>
    <row r="464">
      <c r="A464" s="66"/>
      <c r="B464" s="66"/>
      <c r="C464" s="66"/>
      <c r="D464" s="66"/>
      <c r="E464" s="15"/>
      <c r="F464" s="66"/>
      <c r="G464" s="18"/>
      <c r="H464" s="15"/>
      <c r="I464" s="18"/>
      <c r="J464" s="22"/>
      <c r="K464" s="108"/>
      <c r="L464" s="66"/>
      <c r="M464" s="66"/>
      <c r="N464" s="66"/>
      <c r="O464" s="66"/>
      <c r="P464" s="66"/>
      <c r="Q464" s="66"/>
      <c r="R464" s="66"/>
      <c r="S464" s="66"/>
    </row>
    <row r="465">
      <c r="A465" s="66"/>
      <c r="B465" s="66"/>
      <c r="C465" s="66"/>
      <c r="D465" s="66"/>
      <c r="E465" s="15"/>
      <c r="F465" s="66"/>
      <c r="G465" s="18"/>
      <c r="H465" s="15"/>
      <c r="I465" s="18"/>
      <c r="J465" s="22"/>
      <c r="K465" s="108"/>
      <c r="L465" s="66"/>
      <c r="M465" s="66"/>
      <c r="N465" s="66"/>
      <c r="O465" s="66"/>
      <c r="P465" s="66"/>
      <c r="Q465" s="66"/>
      <c r="R465" s="66"/>
      <c r="S465" s="66"/>
    </row>
    <row r="466">
      <c r="A466" s="66"/>
      <c r="B466" s="66"/>
      <c r="C466" s="66"/>
      <c r="D466" s="66"/>
      <c r="E466" s="15"/>
      <c r="F466" s="66"/>
      <c r="G466" s="18"/>
      <c r="H466" s="15"/>
      <c r="I466" s="18"/>
      <c r="J466" s="22"/>
      <c r="K466" s="108"/>
      <c r="L466" s="66"/>
      <c r="M466" s="66"/>
      <c r="N466" s="66"/>
      <c r="O466" s="66"/>
      <c r="P466" s="66"/>
      <c r="Q466" s="66"/>
      <c r="R466" s="66"/>
      <c r="S466" s="66"/>
    </row>
    <row r="467">
      <c r="A467" s="66"/>
      <c r="B467" s="66"/>
      <c r="C467" s="66"/>
      <c r="D467" s="66"/>
      <c r="E467" s="15"/>
      <c r="F467" s="66"/>
      <c r="G467" s="18"/>
      <c r="H467" s="15"/>
      <c r="I467" s="18"/>
      <c r="J467" s="22"/>
      <c r="K467" s="108"/>
      <c r="L467" s="66"/>
      <c r="M467" s="66"/>
      <c r="N467" s="66"/>
      <c r="O467" s="66"/>
      <c r="P467" s="66"/>
      <c r="Q467" s="66"/>
      <c r="R467" s="66"/>
      <c r="S467" s="66"/>
    </row>
    <row r="468">
      <c r="A468" s="66"/>
      <c r="B468" s="66"/>
      <c r="C468" s="66"/>
      <c r="D468" s="66"/>
      <c r="E468" s="15"/>
      <c r="F468" s="66"/>
      <c r="G468" s="18"/>
      <c r="H468" s="15"/>
      <c r="I468" s="18"/>
      <c r="J468" s="22"/>
      <c r="K468" s="108"/>
      <c r="L468" s="66"/>
      <c r="M468" s="66"/>
      <c r="N468" s="66"/>
      <c r="O468" s="66"/>
      <c r="P468" s="66"/>
      <c r="Q468" s="66"/>
      <c r="R468" s="66"/>
      <c r="S468" s="66"/>
    </row>
    <row r="469">
      <c r="A469" s="66"/>
      <c r="B469" s="66"/>
      <c r="C469" s="66"/>
      <c r="D469" s="66"/>
      <c r="E469" s="15"/>
      <c r="F469" s="66"/>
      <c r="G469" s="18"/>
      <c r="H469" s="15"/>
      <c r="I469" s="18"/>
      <c r="J469" s="22"/>
      <c r="K469" s="108"/>
      <c r="L469" s="66"/>
      <c r="M469" s="66"/>
      <c r="N469" s="66"/>
      <c r="O469" s="66"/>
      <c r="P469" s="66"/>
      <c r="Q469" s="66"/>
      <c r="R469" s="66"/>
      <c r="S469" s="66"/>
    </row>
    <row r="470">
      <c r="A470" s="66"/>
      <c r="B470" s="66"/>
      <c r="C470" s="66"/>
      <c r="D470" s="66"/>
      <c r="E470" s="15"/>
      <c r="F470" s="66"/>
      <c r="G470" s="18"/>
      <c r="H470" s="15"/>
      <c r="I470" s="18"/>
      <c r="J470" s="22"/>
      <c r="K470" s="108"/>
      <c r="L470" s="66"/>
      <c r="M470" s="66"/>
      <c r="N470" s="66"/>
      <c r="O470" s="66"/>
      <c r="P470" s="66"/>
      <c r="Q470" s="66"/>
      <c r="R470" s="66"/>
      <c r="S470" s="66"/>
    </row>
    <row r="471">
      <c r="A471" s="66"/>
      <c r="B471" s="66"/>
      <c r="C471" s="66"/>
      <c r="D471" s="66"/>
      <c r="E471" s="15"/>
      <c r="F471" s="66"/>
      <c r="G471" s="18"/>
      <c r="H471" s="15"/>
      <c r="I471" s="18"/>
      <c r="J471" s="22"/>
      <c r="K471" s="108"/>
      <c r="L471" s="66"/>
      <c r="M471" s="66"/>
      <c r="N471" s="66"/>
      <c r="O471" s="66"/>
      <c r="P471" s="66"/>
      <c r="Q471" s="66"/>
      <c r="R471" s="66"/>
      <c r="S471" s="66"/>
    </row>
    <row r="472">
      <c r="A472" s="66"/>
      <c r="B472" s="66"/>
      <c r="C472" s="66"/>
      <c r="D472" s="66"/>
      <c r="E472" s="15"/>
      <c r="F472" s="66"/>
      <c r="G472" s="18"/>
      <c r="H472" s="15"/>
      <c r="I472" s="18"/>
      <c r="J472" s="22"/>
      <c r="K472" s="108"/>
      <c r="L472" s="66"/>
      <c r="M472" s="66"/>
      <c r="N472" s="66"/>
      <c r="O472" s="66"/>
      <c r="P472" s="66"/>
      <c r="Q472" s="66"/>
      <c r="R472" s="66"/>
      <c r="S472" s="66"/>
    </row>
    <row r="473">
      <c r="A473" s="66"/>
      <c r="B473" s="66"/>
      <c r="C473" s="66"/>
      <c r="D473" s="66"/>
      <c r="E473" s="15"/>
      <c r="F473" s="66"/>
      <c r="G473" s="18"/>
      <c r="H473" s="15"/>
      <c r="I473" s="18"/>
      <c r="J473" s="22"/>
      <c r="K473" s="108"/>
      <c r="L473" s="66"/>
      <c r="M473" s="66"/>
      <c r="N473" s="66"/>
      <c r="O473" s="66"/>
      <c r="P473" s="66"/>
      <c r="Q473" s="66"/>
      <c r="R473" s="66"/>
      <c r="S473" s="66"/>
    </row>
    <row r="474">
      <c r="A474" s="66"/>
      <c r="B474" s="66"/>
      <c r="C474" s="66"/>
      <c r="D474" s="66"/>
      <c r="E474" s="15"/>
      <c r="F474" s="66"/>
      <c r="G474" s="18"/>
      <c r="H474" s="15"/>
      <c r="I474" s="18"/>
      <c r="J474" s="22"/>
      <c r="K474" s="108"/>
      <c r="L474" s="66"/>
      <c r="M474" s="66"/>
      <c r="N474" s="66"/>
      <c r="O474" s="66"/>
      <c r="P474" s="66"/>
      <c r="Q474" s="66"/>
      <c r="R474" s="66"/>
      <c r="S474" s="66"/>
    </row>
    <row r="475">
      <c r="A475" s="66"/>
      <c r="B475" s="66"/>
      <c r="C475" s="66"/>
      <c r="D475" s="66"/>
      <c r="E475" s="15"/>
      <c r="F475" s="66"/>
      <c r="G475" s="18"/>
      <c r="H475" s="15"/>
      <c r="I475" s="18"/>
      <c r="J475" s="22"/>
      <c r="K475" s="108"/>
      <c r="L475" s="66"/>
      <c r="M475" s="66"/>
      <c r="N475" s="66"/>
      <c r="O475" s="66"/>
      <c r="P475" s="66"/>
      <c r="Q475" s="66"/>
      <c r="R475" s="66"/>
      <c r="S475" s="66"/>
    </row>
    <row r="476">
      <c r="A476" s="66"/>
      <c r="B476" s="66"/>
      <c r="C476" s="66"/>
      <c r="D476" s="66"/>
      <c r="E476" s="15"/>
      <c r="F476" s="66"/>
      <c r="G476" s="18"/>
      <c r="H476" s="15"/>
      <c r="I476" s="18"/>
      <c r="J476" s="22"/>
      <c r="K476" s="108"/>
      <c r="L476" s="66"/>
      <c r="M476" s="66"/>
      <c r="N476" s="66"/>
      <c r="O476" s="66"/>
      <c r="P476" s="66"/>
      <c r="Q476" s="66"/>
      <c r="R476" s="66"/>
      <c r="S476" s="66"/>
    </row>
    <row r="477">
      <c r="A477" s="66"/>
      <c r="B477" s="66"/>
      <c r="C477" s="66"/>
      <c r="D477" s="66"/>
      <c r="E477" s="15"/>
      <c r="F477" s="66"/>
      <c r="G477" s="18"/>
      <c r="H477" s="15"/>
      <c r="I477" s="18"/>
      <c r="J477" s="22"/>
      <c r="K477" s="108"/>
      <c r="L477" s="66"/>
      <c r="M477" s="66"/>
      <c r="N477" s="66"/>
      <c r="O477" s="66"/>
      <c r="P477" s="66"/>
      <c r="Q477" s="66"/>
      <c r="R477" s="66"/>
      <c r="S477" s="66"/>
    </row>
    <row r="478">
      <c r="A478" s="66"/>
      <c r="B478" s="66"/>
      <c r="C478" s="66"/>
      <c r="D478" s="66"/>
      <c r="E478" s="15"/>
      <c r="F478" s="66"/>
      <c r="G478" s="18"/>
      <c r="H478" s="15"/>
      <c r="I478" s="18"/>
      <c r="J478" s="22"/>
      <c r="K478" s="108"/>
      <c r="L478" s="66"/>
      <c r="M478" s="66"/>
      <c r="N478" s="66"/>
      <c r="O478" s="66"/>
      <c r="P478" s="66"/>
      <c r="Q478" s="66"/>
      <c r="R478" s="66"/>
      <c r="S478" s="66"/>
    </row>
    <row r="479">
      <c r="A479" s="66"/>
      <c r="B479" s="66"/>
      <c r="C479" s="66"/>
      <c r="D479" s="66"/>
      <c r="E479" s="15"/>
      <c r="F479" s="66"/>
      <c r="G479" s="18"/>
      <c r="H479" s="15"/>
      <c r="I479" s="18"/>
      <c r="J479" s="22"/>
      <c r="K479" s="108"/>
      <c r="L479" s="66"/>
      <c r="M479" s="66"/>
      <c r="N479" s="66"/>
      <c r="O479" s="66"/>
      <c r="P479" s="66"/>
      <c r="Q479" s="66"/>
      <c r="R479" s="66"/>
      <c r="S479" s="66"/>
    </row>
    <row r="480">
      <c r="A480" s="66"/>
      <c r="B480" s="66"/>
      <c r="C480" s="66"/>
      <c r="D480" s="66"/>
      <c r="E480" s="15"/>
      <c r="F480" s="66"/>
      <c r="G480" s="18"/>
      <c r="H480" s="15"/>
      <c r="I480" s="18"/>
      <c r="J480" s="22"/>
      <c r="K480" s="108"/>
      <c r="L480" s="66"/>
      <c r="M480" s="66"/>
      <c r="N480" s="66"/>
      <c r="O480" s="66"/>
      <c r="P480" s="66"/>
      <c r="Q480" s="66"/>
      <c r="R480" s="66"/>
      <c r="S480" s="66"/>
    </row>
    <row r="481">
      <c r="A481" s="66"/>
      <c r="B481" s="66"/>
      <c r="C481" s="66"/>
      <c r="D481" s="66"/>
      <c r="E481" s="15"/>
      <c r="F481" s="66"/>
      <c r="G481" s="18"/>
      <c r="H481" s="15"/>
      <c r="I481" s="18"/>
      <c r="J481" s="22"/>
      <c r="K481" s="108"/>
      <c r="L481" s="66"/>
      <c r="M481" s="66"/>
      <c r="N481" s="66"/>
      <c r="O481" s="66"/>
      <c r="P481" s="66"/>
      <c r="Q481" s="66"/>
      <c r="R481" s="66"/>
      <c r="S481" s="66"/>
    </row>
    <row r="482">
      <c r="A482" s="66"/>
      <c r="B482" s="66"/>
      <c r="C482" s="66"/>
      <c r="D482" s="66"/>
      <c r="E482" s="15"/>
      <c r="F482" s="66"/>
      <c r="G482" s="18"/>
      <c r="H482" s="15"/>
      <c r="I482" s="18"/>
      <c r="J482" s="22"/>
      <c r="K482" s="108"/>
      <c r="L482" s="66"/>
      <c r="M482" s="66"/>
      <c r="N482" s="66"/>
      <c r="O482" s="66"/>
      <c r="P482" s="66"/>
      <c r="Q482" s="66"/>
      <c r="R482" s="66"/>
      <c r="S482" s="66"/>
    </row>
    <row r="483">
      <c r="A483" s="66"/>
      <c r="B483" s="66"/>
      <c r="C483" s="66"/>
      <c r="D483" s="66"/>
      <c r="E483" s="15"/>
      <c r="F483" s="66"/>
      <c r="G483" s="18"/>
      <c r="H483" s="15"/>
      <c r="I483" s="18"/>
      <c r="J483" s="22"/>
      <c r="K483" s="108"/>
      <c r="L483" s="66"/>
      <c r="M483" s="66"/>
      <c r="N483" s="66"/>
      <c r="O483" s="66"/>
      <c r="P483" s="66"/>
      <c r="Q483" s="66"/>
      <c r="R483" s="66"/>
      <c r="S483" s="66"/>
    </row>
    <row r="484">
      <c r="A484" s="66"/>
      <c r="B484" s="66"/>
      <c r="C484" s="66"/>
      <c r="D484" s="66"/>
      <c r="E484" s="15"/>
      <c r="F484" s="66"/>
      <c r="G484" s="18"/>
      <c r="H484" s="15"/>
      <c r="I484" s="18"/>
      <c r="J484" s="22"/>
      <c r="K484" s="108"/>
      <c r="L484" s="66"/>
      <c r="M484" s="66"/>
      <c r="N484" s="66"/>
      <c r="O484" s="66"/>
      <c r="P484" s="66"/>
      <c r="Q484" s="66"/>
      <c r="R484" s="66"/>
      <c r="S484" s="66"/>
    </row>
    <row r="485">
      <c r="A485" s="66"/>
      <c r="B485" s="66"/>
      <c r="C485" s="66"/>
      <c r="D485" s="66"/>
      <c r="E485" s="15"/>
      <c r="F485" s="66"/>
      <c r="G485" s="18"/>
      <c r="H485" s="15"/>
      <c r="I485" s="18"/>
      <c r="J485" s="22"/>
      <c r="K485" s="108"/>
      <c r="L485" s="66"/>
      <c r="M485" s="66"/>
      <c r="N485" s="66"/>
      <c r="O485" s="66"/>
      <c r="P485" s="66"/>
      <c r="Q485" s="66"/>
      <c r="R485" s="66"/>
      <c r="S485" s="66"/>
    </row>
    <row r="486">
      <c r="A486" s="66"/>
      <c r="B486" s="66"/>
      <c r="C486" s="66"/>
      <c r="D486" s="66"/>
      <c r="E486" s="15"/>
      <c r="F486" s="66"/>
      <c r="G486" s="18"/>
      <c r="H486" s="15"/>
      <c r="I486" s="18"/>
      <c r="J486" s="22"/>
      <c r="K486" s="108"/>
      <c r="L486" s="66"/>
      <c r="M486" s="66"/>
      <c r="N486" s="66"/>
      <c r="O486" s="66"/>
      <c r="P486" s="66"/>
      <c r="Q486" s="66"/>
      <c r="R486" s="66"/>
      <c r="S486" s="66"/>
    </row>
    <row r="487">
      <c r="A487" s="66"/>
      <c r="B487" s="66"/>
      <c r="C487" s="66"/>
      <c r="D487" s="66"/>
      <c r="E487" s="15"/>
      <c r="F487" s="66"/>
      <c r="G487" s="18"/>
      <c r="H487" s="15"/>
      <c r="I487" s="18"/>
      <c r="J487" s="22"/>
      <c r="K487" s="108"/>
      <c r="L487" s="66"/>
      <c r="M487" s="66"/>
      <c r="N487" s="66"/>
      <c r="O487" s="66"/>
      <c r="P487" s="66"/>
      <c r="Q487" s="66"/>
      <c r="R487" s="66"/>
      <c r="S487" s="66"/>
    </row>
    <row r="488">
      <c r="A488" s="66"/>
      <c r="B488" s="66"/>
      <c r="C488" s="66"/>
      <c r="D488" s="66"/>
      <c r="E488" s="15"/>
      <c r="F488" s="66"/>
      <c r="G488" s="18"/>
      <c r="H488" s="15"/>
      <c r="I488" s="18"/>
      <c r="J488" s="22"/>
      <c r="K488" s="108"/>
      <c r="L488" s="66"/>
      <c r="M488" s="66"/>
      <c r="N488" s="66"/>
      <c r="O488" s="66"/>
      <c r="P488" s="66"/>
      <c r="Q488" s="66"/>
      <c r="R488" s="66"/>
      <c r="S488" s="66"/>
    </row>
    <row r="489">
      <c r="A489" s="66"/>
      <c r="B489" s="66"/>
      <c r="C489" s="66"/>
      <c r="D489" s="66"/>
      <c r="E489" s="15"/>
      <c r="F489" s="66"/>
      <c r="G489" s="18"/>
      <c r="H489" s="15"/>
      <c r="I489" s="18"/>
      <c r="J489" s="22"/>
      <c r="K489" s="108"/>
      <c r="L489" s="66"/>
      <c r="M489" s="66"/>
      <c r="N489" s="66"/>
      <c r="O489" s="66"/>
      <c r="P489" s="66"/>
      <c r="Q489" s="66"/>
      <c r="R489" s="66"/>
      <c r="S489" s="66"/>
    </row>
    <row r="490">
      <c r="A490" s="66"/>
      <c r="B490" s="66"/>
      <c r="C490" s="66"/>
      <c r="D490" s="66"/>
      <c r="E490" s="15"/>
      <c r="F490" s="66"/>
      <c r="G490" s="18"/>
      <c r="H490" s="15"/>
      <c r="I490" s="18"/>
      <c r="J490" s="22"/>
      <c r="K490" s="108"/>
      <c r="L490" s="66"/>
      <c r="M490" s="66"/>
      <c r="N490" s="66"/>
      <c r="O490" s="66"/>
      <c r="P490" s="66"/>
      <c r="Q490" s="66"/>
      <c r="R490" s="66"/>
      <c r="S490" s="66"/>
    </row>
    <row r="491">
      <c r="A491" s="66"/>
      <c r="B491" s="66"/>
      <c r="C491" s="66"/>
      <c r="D491" s="66"/>
      <c r="E491" s="15"/>
      <c r="F491" s="66"/>
      <c r="G491" s="18"/>
      <c r="H491" s="15"/>
      <c r="I491" s="18"/>
      <c r="J491" s="22"/>
      <c r="K491" s="108"/>
      <c r="L491" s="66"/>
      <c r="M491" s="66"/>
      <c r="N491" s="66"/>
      <c r="O491" s="66"/>
      <c r="P491" s="66"/>
      <c r="Q491" s="66"/>
      <c r="R491" s="66"/>
      <c r="S491" s="66"/>
    </row>
    <row r="492">
      <c r="A492" s="66"/>
      <c r="B492" s="66"/>
      <c r="C492" s="66"/>
      <c r="D492" s="66"/>
      <c r="E492" s="15"/>
      <c r="F492" s="66"/>
      <c r="G492" s="18"/>
      <c r="H492" s="15"/>
      <c r="I492" s="18"/>
      <c r="J492" s="22"/>
      <c r="K492" s="108"/>
      <c r="L492" s="66"/>
      <c r="M492" s="66"/>
      <c r="N492" s="66"/>
      <c r="O492" s="66"/>
      <c r="P492" s="66"/>
      <c r="Q492" s="66"/>
      <c r="R492" s="66"/>
      <c r="S492" s="66"/>
    </row>
    <row r="493">
      <c r="A493" s="66"/>
      <c r="B493" s="66"/>
      <c r="C493" s="66"/>
      <c r="D493" s="66"/>
      <c r="E493" s="15"/>
      <c r="F493" s="66"/>
      <c r="G493" s="18"/>
      <c r="H493" s="15"/>
      <c r="I493" s="18"/>
      <c r="J493" s="22"/>
      <c r="K493" s="108"/>
      <c r="L493" s="66"/>
      <c r="M493" s="66"/>
      <c r="N493" s="66"/>
      <c r="O493" s="66"/>
      <c r="P493" s="66"/>
      <c r="Q493" s="66"/>
      <c r="R493" s="66"/>
      <c r="S493" s="66"/>
    </row>
    <row r="494">
      <c r="A494" s="66"/>
      <c r="B494" s="66"/>
      <c r="C494" s="66"/>
      <c r="D494" s="66"/>
      <c r="E494" s="15"/>
      <c r="F494" s="66"/>
      <c r="G494" s="18"/>
      <c r="H494" s="15"/>
      <c r="I494" s="18"/>
      <c r="J494" s="22"/>
      <c r="K494" s="108"/>
      <c r="L494" s="66"/>
      <c r="M494" s="66"/>
      <c r="N494" s="66"/>
      <c r="O494" s="66"/>
      <c r="P494" s="66"/>
      <c r="Q494" s="66"/>
      <c r="R494" s="66"/>
      <c r="S494" s="66"/>
    </row>
    <row r="495">
      <c r="A495" s="66"/>
      <c r="B495" s="66"/>
      <c r="C495" s="66"/>
      <c r="D495" s="66"/>
      <c r="E495" s="15"/>
      <c r="F495" s="66"/>
      <c r="G495" s="18"/>
      <c r="H495" s="15"/>
      <c r="I495" s="18"/>
      <c r="J495" s="22"/>
      <c r="K495" s="108"/>
      <c r="L495" s="66"/>
      <c r="M495" s="66"/>
      <c r="N495" s="66"/>
      <c r="O495" s="66"/>
      <c r="P495" s="66"/>
      <c r="Q495" s="66"/>
      <c r="R495" s="66"/>
      <c r="S495" s="66"/>
    </row>
    <row r="496">
      <c r="A496" s="66"/>
      <c r="B496" s="66"/>
      <c r="C496" s="66"/>
      <c r="D496" s="66"/>
      <c r="E496" s="15"/>
      <c r="F496" s="66"/>
      <c r="G496" s="18"/>
      <c r="H496" s="15"/>
      <c r="I496" s="18"/>
      <c r="J496" s="22"/>
      <c r="K496" s="108"/>
      <c r="L496" s="66"/>
      <c r="M496" s="66"/>
      <c r="N496" s="66"/>
      <c r="O496" s="66"/>
      <c r="P496" s="66"/>
      <c r="Q496" s="66"/>
      <c r="R496" s="66"/>
      <c r="S496" s="66"/>
    </row>
    <row r="497">
      <c r="A497" s="66"/>
      <c r="B497" s="66"/>
      <c r="C497" s="66"/>
      <c r="D497" s="66"/>
      <c r="E497" s="15"/>
      <c r="F497" s="66"/>
      <c r="G497" s="18"/>
      <c r="H497" s="15"/>
      <c r="I497" s="18"/>
      <c r="J497" s="22"/>
      <c r="K497" s="108"/>
      <c r="L497" s="66"/>
      <c r="M497" s="66"/>
      <c r="N497" s="66"/>
      <c r="O497" s="66"/>
      <c r="P497" s="66"/>
      <c r="Q497" s="66"/>
      <c r="R497" s="66"/>
      <c r="S497" s="66"/>
    </row>
    <row r="498">
      <c r="A498" s="66"/>
      <c r="B498" s="66"/>
      <c r="C498" s="66"/>
      <c r="D498" s="66"/>
      <c r="E498" s="15"/>
      <c r="F498" s="66"/>
      <c r="G498" s="18"/>
      <c r="H498" s="15"/>
      <c r="I498" s="18"/>
      <c r="J498" s="22"/>
      <c r="K498" s="108"/>
      <c r="L498" s="66"/>
      <c r="M498" s="66"/>
      <c r="N498" s="66"/>
      <c r="O498" s="66"/>
      <c r="P498" s="66"/>
      <c r="Q498" s="66"/>
      <c r="R498" s="66"/>
      <c r="S498" s="66"/>
    </row>
    <row r="499">
      <c r="A499" s="66"/>
      <c r="B499" s="66"/>
      <c r="C499" s="66"/>
      <c r="D499" s="66"/>
      <c r="E499" s="15"/>
      <c r="F499" s="66"/>
      <c r="G499" s="18"/>
      <c r="H499" s="15"/>
      <c r="I499" s="18"/>
      <c r="J499" s="22"/>
      <c r="K499" s="108"/>
      <c r="L499" s="66"/>
      <c r="M499" s="66"/>
      <c r="N499" s="66"/>
      <c r="O499" s="66"/>
      <c r="P499" s="66"/>
      <c r="Q499" s="66"/>
      <c r="R499" s="66"/>
      <c r="S499" s="66"/>
    </row>
    <row r="500">
      <c r="A500" s="66"/>
      <c r="B500" s="66"/>
      <c r="C500" s="66"/>
      <c r="D500" s="66"/>
      <c r="E500" s="15"/>
      <c r="F500" s="66"/>
      <c r="G500" s="18"/>
      <c r="H500" s="15"/>
      <c r="I500" s="18"/>
      <c r="J500" s="22"/>
      <c r="K500" s="108"/>
      <c r="L500" s="66"/>
      <c r="M500" s="66"/>
      <c r="N500" s="66"/>
      <c r="O500" s="66"/>
      <c r="P500" s="66"/>
      <c r="Q500" s="66"/>
      <c r="R500" s="66"/>
      <c r="S500" s="66"/>
    </row>
    <row r="501">
      <c r="A501" s="66"/>
      <c r="B501" s="66"/>
      <c r="C501" s="66"/>
      <c r="D501" s="66"/>
      <c r="E501" s="15"/>
      <c r="F501" s="66"/>
      <c r="G501" s="18"/>
      <c r="H501" s="15"/>
      <c r="I501" s="18"/>
      <c r="J501" s="22"/>
      <c r="K501" s="108"/>
      <c r="L501" s="66"/>
      <c r="M501" s="66"/>
      <c r="N501" s="66"/>
      <c r="O501" s="66"/>
      <c r="P501" s="66"/>
      <c r="Q501" s="66"/>
      <c r="R501" s="66"/>
      <c r="S501" s="66"/>
    </row>
    <row r="502">
      <c r="A502" s="66"/>
      <c r="B502" s="66"/>
      <c r="C502" s="66"/>
      <c r="D502" s="66"/>
      <c r="E502" s="15"/>
      <c r="F502" s="66"/>
      <c r="G502" s="18"/>
      <c r="H502" s="15"/>
      <c r="I502" s="18"/>
      <c r="J502" s="22"/>
      <c r="K502" s="108"/>
      <c r="L502" s="66"/>
      <c r="M502" s="66"/>
      <c r="N502" s="66"/>
      <c r="O502" s="66"/>
      <c r="P502" s="66"/>
      <c r="Q502" s="66"/>
      <c r="R502" s="66"/>
      <c r="S502" s="66"/>
    </row>
    <row r="503">
      <c r="A503" s="66"/>
      <c r="B503" s="66"/>
      <c r="C503" s="66"/>
      <c r="D503" s="66"/>
      <c r="E503" s="15"/>
      <c r="F503" s="66"/>
      <c r="G503" s="18"/>
      <c r="H503" s="15"/>
      <c r="I503" s="18"/>
      <c r="J503" s="22"/>
      <c r="K503" s="108"/>
      <c r="L503" s="66"/>
      <c r="M503" s="66"/>
      <c r="N503" s="66"/>
      <c r="O503" s="66"/>
      <c r="P503" s="66"/>
      <c r="Q503" s="66"/>
      <c r="R503" s="66"/>
      <c r="S503" s="66"/>
    </row>
    <row r="504">
      <c r="A504" s="66"/>
      <c r="B504" s="66"/>
      <c r="C504" s="66"/>
      <c r="D504" s="66"/>
      <c r="E504" s="15"/>
      <c r="F504" s="66"/>
      <c r="G504" s="18"/>
      <c r="H504" s="15"/>
      <c r="I504" s="18"/>
      <c r="J504" s="22"/>
      <c r="K504" s="108"/>
      <c r="L504" s="66"/>
      <c r="M504" s="66"/>
      <c r="N504" s="66"/>
      <c r="O504" s="66"/>
      <c r="P504" s="66"/>
      <c r="Q504" s="66"/>
      <c r="R504" s="66"/>
      <c r="S504" s="66"/>
    </row>
    <row r="505">
      <c r="A505" s="66"/>
      <c r="B505" s="66"/>
      <c r="C505" s="66"/>
      <c r="D505" s="66"/>
      <c r="E505" s="15"/>
      <c r="F505" s="66"/>
      <c r="G505" s="18"/>
      <c r="H505" s="15"/>
      <c r="I505" s="18"/>
      <c r="J505" s="22"/>
      <c r="K505" s="108"/>
      <c r="L505" s="66"/>
      <c r="M505" s="66"/>
      <c r="N505" s="66"/>
      <c r="O505" s="66"/>
      <c r="P505" s="66"/>
      <c r="Q505" s="66"/>
      <c r="R505" s="66"/>
      <c r="S505" s="66"/>
    </row>
    <row r="506">
      <c r="A506" s="66"/>
      <c r="B506" s="66"/>
      <c r="C506" s="66"/>
      <c r="D506" s="66"/>
      <c r="E506" s="15"/>
      <c r="F506" s="66"/>
      <c r="G506" s="18"/>
      <c r="H506" s="15"/>
      <c r="I506" s="18"/>
      <c r="J506" s="22"/>
      <c r="K506" s="108"/>
      <c r="L506" s="66"/>
      <c r="M506" s="66"/>
      <c r="N506" s="66"/>
      <c r="O506" s="66"/>
      <c r="P506" s="66"/>
      <c r="Q506" s="66"/>
      <c r="R506" s="66"/>
      <c r="S506" s="66"/>
    </row>
  </sheetData>
  <conditionalFormatting sqref="E3:E39 I3:I39">
    <cfRule type="expression" dxfId="4" priority="1">
      <formula>AND($E3&lt;&gt;"",(($E3-$H3)/365*12)&lt;1)</formula>
    </cfRule>
  </conditionalFormatting>
  <conditionalFormatting sqref="J3:J39">
    <cfRule type="cellIs" dxfId="5" priority="2" operator="between">
      <formula>75</formula>
      <formula>90</formula>
    </cfRule>
  </conditionalFormatting>
  <conditionalFormatting sqref="J3:J39">
    <cfRule type="cellIs" dxfId="6" priority="3" operator="between">
      <formula>50</formula>
      <formula>75</formula>
    </cfRule>
  </conditionalFormatting>
  <conditionalFormatting sqref="J3:J39">
    <cfRule type="cellIs" dxfId="7" priority="4" operator="between">
      <formula>1</formula>
      <formula>50</formula>
    </cfRule>
  </conditionalFormatting>
  <conditionalFormatting sqref="I3:I39">
    <cfRule type="colorScale" priority="5">
      <colorScale>
        <cfvo type="min"/>
        <cfvo type="percentile" val="50"/>
        <cfvo type="max"/>
        <color rgb="FFB6D7A8"/>
        <color rgb="FFFFE599"/>
        <color rgb="FFEA9999"/>
      </colorScale>
    </cfRule>
  </conditionalFormatting>
  <conditionalFormatting sqref="J3:J39">
    <cfRule type="cellIs" dxfId="8" priority="6" operator="between">
      <formula>90</formula>
      <formula>100</formula>
    </cfRule>
  </conditionalFormatting>
  <conditionalFormatting sqref="G3:G39">
    <cfRule type="expression" dxfId="9" priority="7">
      <formula>MATCH(A3,INDIRECT("'Xbox Game Studios'!A:A"),0)</formula>
    </cfRule>
  </conditionalFormatting>
  <conditionalFormatting sqref="G3:G39">
    <cfRule type="expression" dxfId="9" priority="8">
      <formula>MATCH(A3,INDIRECT("'EA Play'!A:A"),0)</formula>
    </cfRule>
  </conditionalFormatting>
  <conditionalFormatting sqref="G3:G39">
    <cfRule type="expression" dxfId="10" priority="9">
      <formula>AND(D3="Active",OR(AND(G3&gt;10.5,G3&lt;13),AND(G3&gt;22.5,G3&lt;25),AND(G3&gt;34.5,G3&lt;37),AND(G3&gt;46.5,G3&lt;49),AND(G3&gt;58.5,G3&lt;61)),)</formula>
    </cfRule>
  </conditionalFormatting>
  <conditionalFormatting sqref="B1">
    <cfRule type="cellIs" dxfId="4" priority="10" operator="equal">
      <formula>"Xbox"</formula>
    </cfRule>
  </conditionalFormatting>
  <conditionalFormatting sqref="J2:K39 L2 O2">
    <cfRule type="containsBlanks" dxfId="11" priority="11">
      <formula>LEN(TRIM(J2))=0</formula>
    </cfRule>
  </conditionalFormatting>
  <conditionalFormatting sqref="O2">
    <cfRule type="containsText" dxfId="11" priority="12" operator="containsText" text="RP">
      <formula>NOT(ISERROR(SEARCH(("RP"),(O2))))</formula>
    </cfRule>
  </conditionalFormatting>
  <conditionalFormatting sqref="O2">
    <cfRule type="containsText" dxfId="12" priority="13" operator="containsText" text="NR">
      <formula>NOT(ISERROR(SEARCH(("NR"),(O2))))</formula>
    </cfRule>
  </conditionalFormatting>
  <conditionalFormatting sqref="A1:A2 D1:D39">
    <cfRule type="expression" dxfId="13" priority="14">
      <formula>$D1="Coming Soon"</formula>
    </cfRule>
  </conditionalFormatting>
  <conditionalFormatting sqref="A1:A2 D1:D39">
    <cfRule type="expression" dxfId="7" priority="15">
      <formula>$D1="Removed"</formula>
    </cfRule>
  </conditionalFormatting>
  <conditionalFormatting sqref="A1:A2 D1:D39">
    <cfRule type="expression" dxfId="10" priority="16">
      <formula>$D1="Leaving Soon"</formula>
    </cfRule>
  </conditionalFormatting>
  <conditionalFormatting sqref="J1:J506">
    <cfRule type="cellIs" dxfId="5" priority="17" operator="between">
      <formula>75</formula>
      <formula>100</formula>
    </cfRule>
  </conditionalFormatting>
  <conditionalFormatting sqref="J1:J506">
    <cfRule type="cellIs" dxfId="6" priority="18" operator="between">
      <formula>50</formula>
      <formula>74</formula>
    </cfRule>
  </conditionalFormatting>
  <conditionalFormatting sqref="J1:J506">
    <cfRule type="cellIs" dxfId="7" priority="19" operator="between">
      <formula>1</formula>
      <formula>49</formula>
    </cfRule>
  </conditionalFormatting>
  <conditionalFormatting sqref="A1:A2 C1:C2">
    <cfRule type="expression" dxfId="7" priority="20">
      <formula>$C1="Removed"</formula>
    </cfRule>
  </conditionalFormatting>
  <conditionalFormatting sqref="A1:A2">
    <cfRule type="expression" dxfId="6" priority="21">
      <formula>MATCH(A1,INDIRECT("'Xbox Game Studios'!A:A"),0)</formula>
    </cfRule>
  </conditionalFormatting>
  <conditionalFormatting sqref="A1:A2 C1:C2">
    <cfRule type="expression" dxfId="10" priority="22">
      <formula>$C1="Leaving Soon"</formula>
    </cfRule>
  </conditionalFormatting>
  <drawing r:id="rId1"/>
  <tableParts count="2">
    <tablePart r:id="rId4"/>
    <tablePart r:id="rId5"/>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4C2F4"/>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2"/>
  <cols>
    <col customWidth="1" min="1" max="1" width="40.0"/>
    <col customWidth="1" min="2" max="2" width="8.5"/>
    <col customWidth="1" min="3" max="3" width="9.88"/>
    <col customWidth="1" min="4" max="4" width="6.13"/>
    <col customWidth="1" min="5" max="5" width="8.38"/>
    <col customWidth="1" min="6" max="6" width="8.5"/>
    <col customWidth="1" min="7" max="7" width="6.88"/>
    <col customWidth="1" min="8" max="8" width="13.88"/>
    <col customWidth="1" min="9" max="9" width="4.25"/>
    <col customWidth="1" min="10" max="10" width="8.75"/>
    <col customWidth="1" min="11" max="11" width="10.13"/>
    <col customWidth="1" min="12" max="12" width="16.13"/>
    <col customWidth="1" min="13" max="13" width="13.75"/>
    <col customWidth="1" min="14" max="14" width="23.25"/>
    <col customWidth="1" min="15" max="15" width="5.63"/>
    <col customWidth="1" min="16" max="16" width="13.38"/>
    <col customWidth="1" min="17" max="17" width="15.25"/>
    <col customWidth="1" min="18" max="18" width="14.38"/>
    <col customWidth="1" min="19" max="19" width="8.13"/>
    <col customWidth="1" min="20" max="20" width="10.25"/>
  </cols>
  <sheetData>
    <row r="1">
      <c r="A1" s="10" t="s">
        <v>16</v>
      </c>
      <c r="B1" s="25">
        <f>COUNTIF(D2:D2747,"Active")+COUNTIF(D2:D2747,"Leaving Soon")</f>
        <v>559</v>
      </c>
      <c r="C1" s="232" t="s">
        <v>1907</v>
      </c>
      <c r="D1" s="10"/>
      <c r="E1" s="10"/>
      <c r="F1" s="25"/>
      <c r="G1" s="10"/>
      <c r="H1" s="28"/>
      <c r="I1" s="10"/>
      <c r="J1" s="10"/>
      <c r="K1" s="10"/>
      <c r="L1" s="10"/>
      <c r="M1" s="32"/>
      <c r="N1" s="33"/>
      <c r="O1" s="32"/>
      <c r="P1" s="33"/>
      <c r="Q1" s="32"/>
      <c r="R1" s="10"/>
      <c r="S1" s="10"/>
      <c r="T1" s="10"/>
    </row>
    <row r="2">
      <c r="A2" s="39" t="s">
        <v>0</v>
      </c>
      <c r="B2" s="41" t="s">
        <v>2</v>
      </c>
      <c r="C2" s="43" t="s">
        <v>3</v>
      </c>
      <c r="D2" s="41" t="s">
        <v>4</v>
      </c>
      <c r="E2" s="41" t="s">
        <v>5</v>
      </c>
      <c r="F2" s="43" t="s">
        <v>6</v>
      </c>
      <c r="G2" s="44" t="s">
        <v>7</v>
      </c>
      <c r="H2" s="45" t="s">
        <v>8</v>
      </c>
      <c r="I2" s="45" t="s">
        <v>9</v>
      </c>
      <c r="J2" s="45" t="s">
        <v>10</v>
      </c>
      <c r="K2" s="45" t="s">
        <v>11</v>
      </c>
      <c r="L2" s="45" t="s">
        <v>30</v>
      </c>
      <c r="M2" s="45" t="s">
        <v>31</v>
      </c>
      <c r="N2" s="43" t="s">
        <v>27</v>
      </c>
      <c r="O2" s="233" t="s">
        <v>28</v>
      </c>
      <c r="P2" s="48" t="s">
        <v>29</v>
      </c>
      <c r="Q2" s="48" t="s">
        <v>32</v>
      </c>
      <c r="R2" s="43" t="s">
        <v>4</v>
      </c>
      <c r="S2" s="41" t="s">
        <v>5</v>
      </c>
      <c r="T2" s="45" t="s">
        <v>33</v>
      </c>
    </row>
    <row r="3">
      <c r="A3" s="55" t="str">
        <f>IFERROR(__xludf.DUMMYFUNCTION("SORT(FILTER('Master List'!A24:T2747, NOT(REGEXMATCH('Master List'!R24:R2747, ""Removed"")), NOT(ISBLANK('Master List'!S24:S2747))),19,0)"),"Keeper (2025)")</f>
        <v>Keeper (2025)</v>
      </c>
      <c r="B3" s="55" t="str">
        <f>IFERROR(__xludf.DUMMYFUNCTION("""COMPUTED_VALUE"""),"Xbox / PC")</f>
        <v>Xbox / PC</v>
      </c>
      <c r="C3" s="55" t="str">
        <f>IFERROR(__xludf.DUMMYFUNCTION("""COMPUTED_VALUE"""),"Yes")</f>
        <v>Yes</v>
      </c>
      <c r="D3" s="56" t="str">
        <f>IFERROR(__xludf.DUMMYFUNCTION("""COMPUTED_VALUE"""),"Active")</f>
        <v>Active</v>
      </c>
      <c r="E3" s="57">
        <f>IFERROR(__xludf.DUMMYFUNCTION("""COMPUTED_VALUE"""),45947.0)</f>
        <v>45947</v>
      </c>
      <c r="F3" s="58"/>
      <c r="G3" s="60">
        <f>IFERROR(__xludf.DUMMYFUNCTION("""COMPUTED_VALUE"""),11.633333333333333)</f>
        <v>11.63333333</v>
      </c>
      <c r="H3" s="63">
        <f>IFERROR(__xludf.DUMMYFUNCTION("""COMPUTED_VALUE"""),45947.0)</f>
        <v>45947</v>
      </c>
      <c r="I3" s="60">
        <f>IFERROR(__xludf.DUMMYFUNCTION("""COMPUTED_VALUE"""),0.0)</f>
        <v>0</v>
      </c>
      <c r="J3" s="64">
        <f>IFERROR(__xludf.DUMMYFUNCTION("""COMPUTED_VALUE"""),80.0)</f>
        <v>80</v>
      </c>
      <c r="K3" s="64">
        <f>IFERROR(__xludf.DUMMYFUNCTION("""COMPUTED_VALUE"""),5.0)</f>
        <v>5</v>
      </c>
      <c r="L3" s="55" t="str">
        <f>IFERROR(__xludf.DUMMYFUNCTION("""COMPUTED_VALUE"""),"Action-Adventure")</f>
        <v>Action-Adventure</v>
      </c>
      <c r="M3" s="55" t="str">
        <f>IFERROR(__xludf.DUMMYFUNCTION("""COMPUTED_VALUE"""),"Exclusive")</f>
        <v>Exclusive</v>
      </c>
      <c r="N3" s="55"/>
      <c r="O3" s="55"/>
      <c r="P3" s="55"/>
      <c r="Q3" s="55"/>
      <c r="R3" s="56" t="str">
        <f>IFERROR(__xludf.DUMMYFUNCTION("""COMPUTED_VALUE"""),"Active")</f>
        <v>Active</v>
      </c>
      <c r="S3" s="57">
        <f>IFERROR(__xludf.DUMMYFUNCTION("""COMPUTED_VALUE"""),46297.0)</f>
        <v>46297</v>
      </c>
      <c r="T3" s="60">
        <f>IFERROR(__xludf.DUMMYFUNCTION("""COMPUTED_VALUE"""),11.5)</f>
        <v>11.5</v>
      </c>
    </row>
    <row r="4">
      <c r="A4" s="231" t="str">
        <f>IFERROR(__xludf.DUMMYFUNCTION("""COMPUTED_VALUE"""),"Call of Duty: Black Ops 6")</f>
        <v>Call of Duty: Black Ops 6</v>
      </c>
      <c r="B4" s="55" t="str">
        <f>IFERROR(__xludf.DUMMYFUNCTION("""COMPUTED_VALUE"""),"Xbox / PC")</f>
        <v>Xbox / PC</v>
      </c>
      <c r="C4" s="55" t="str">
        <f>IFERROR(__xludf.DUMMYFUNCTION("""COMPUTED_VALUE"""),"Yes")</f>
        <v>Yes</v>
      </c>
      <c r="D4" s="56" t="str">
        <f>IFERROR(__xludf.DUMMYFUNCTION("""COMPUTED_VALUE"""),"Active")</f>
        <v>Active</v>
      </c>
      <c r="E4" s="57">
        <f>IFERROR(__xludf.DUMMYFUNCTION("""COMPUTED_VALUE"""),45590.0)</f>
        <v>45590</v>
      </c>
      <c r="F4" s="58"/>
      <c r="G4" s="60">
        <f>IFERROR(__xludf.DUMMYFUNCTION("""COMPUTED_VALUE"""),23.366666666666667)</f>
        <v>23.36666667</v>
      </c>
      <c r="H4" s="63">
        <f>IFERROR(__xludf.DUMMYFUNCTION("""COMPUTED_VALUE"""),45590.0)</f>
        <v>45590</v>
      </c>
      <c r="I4" s="60">
        <f>IFERROR(__xludf.DUMMYFUNCTION("""COMPUTED_VALUE"""),0.0)</f>
        <v>0</v>
      </c>
      <c r="J4" s="64">
        <f>IFERROR(__xludf.DUMMYFUNCTION("""COMPUTED_VALUE"""),83.0)</f>
        <v>83</v>
      </c>
      <c r="K4" s="64">
        <f>IFERROR(__xludf.DUMMYFUNCTION("""COMPUTED_VALUE"""),9.0)</f>
        <v>9</v>
      </c>
      <c r="L4" s="55" t="str">
        <f>IFERROR(__xludf.DUMMYFUNCTION("""COMPUTED_VALUE"""),"Shooter")</f>
        <v>Shooter</v>
      </c>
      <c r="M4" s="55"/>
      <c r="N4" s="55" t="str">
        <f>IFERROR(__xludf.DUMMYFUNCTION("""COMPUTED_VALUE"""),"GP standard only users only have campaign access")</f>
        <v>GP standard only users only have campaign access</v>
      </c>
      <c r="O4" s="55"/>
      <c r="P4" s="55"/>
      <c r="Q4" s="55"/>
      <c r="R4" s="56" t="str">
        <f>IFERROR(__xludf.DUMMYFUNCTION("""COMPUTED_VALUE"""),"Active")</f>
        <v>Active</v>
      </c>
      <c r="S4" s="57">
        <f>IFERROR(__xludf.DUMMYFUNCTION("""COMPUTED_VALUE"""),46290.0)</f>
        <v>46290</v>
      </c>
      <c r="T4" s="60">
        <f>IFERROR(__xludf.DUMMYFUNCTION("""COMPUTED_VALUE"""),23.0)</f>
        <v>23</v>
      </c>
    </row>
    <row r="5">
      <c r="A5" s="55" t="str">
        <f>IFERROR(__xludf.DUMMYFUNCTION("""COMPUTED_VALUE"""),"Ninja Gaiden 4")</f>
        <v>Ninja Gaiden 4</v>
      </c>
      <c r="B5" s="55" t="str">
        <f>IFERROR(__xludf.DUMMYFUNCTION("""COMPUTED_VALUE"""),"Xbox / PC")</f>
        <v>Xbox / PC</v>
      </c>
      <c r="C5" s="55" t="str">
        <f>IFERROR(__xludf.DUMMYFUNCTION("""COMPUTED_VALUE"""),"Yes")</f>
        <v>Yes</v>
      </c>
      <c r="D5" s="56" t="str">
        <f>IFERROR(__xludf.DUMMYFUNCTION("""COMPUTED_VALUE"""),"Active")</f>
        <v>Active</v>
      </c>
      <c r="E5" s="57">
        <f>IFERROR(__xludf.DUMMYFUNCTION("""COMPUTED_VALUE"""),45951.0)</f>
        <v>45951</v>
      </c>
      <c r="F5" s="58"/>
      <c r="G5" s="60">
        <f>IFERROR(__xludf.DUMMYFUNCTION("""COMPUTED_VALUE"""),11.5)</f>
        <v>11.5</v>
      </c>
      <c r="H5" s="63">
        <f>IFERROR(__xludf.DUMMYFUNCTION("""COMPUTED_VALUE"""),45951.0)</f>
        <v>45951</v>
      </c>
      <c r="I5" s="60">
        <f>IFERROR(__xludf.DUMMYFUNCTION("""COMPUTED_VALUE"""),0.0)</f>
        <v>0</v>
      </c>
      <c r="J5" s="64">
        <f>IFERROR(__xludf.DUMMYFUNCTION("""COMPUTED_VALUE"""),82.0)</f>
        <v>82</v>
      </c>
      <c r="K5" s="64">
        <f>IFERROR(__xludf.DUMMYFUNCTION("""COMPUTED_VALUE"""),12.0)</f>
        <v>12</v>
      </c>
      <c r="L5" s="55" t="str">
        <f>IFERROR(__xludf.DUMMYFUNCTION("""COMPUTED_VALUE"""),"Action-Adventure")</f>
        <v>Action-Adventure</v>
      </c>
      <c r="M5" s="55" t="str">
        <f>IFERROR(__xludf.DUMMYFUNCTION("""COMPUTED_VALUE"""),"Exclusive")</f>
        <v>Exclusive</v>
      </c>
      <c r="N5" s="55"/>
      <c r="O5" s="55"/>
      <c r="P5" s="55"/>
      <c r="Q5" s="55"/>
      <c r="R5" s="56" t="str">
        <f>IFERROR(__xludf.DUMMYFUNCTION("""COMPUTED_VALUE"""),"Active")</f>
        <v>Active</v>
      </c>
      <c r="S5" s="57">
        <f>IFERROR(__xludf.DUMMYFUNCTION("""COMPUTED_VALUE"""),46282.0)</f>
        <v>46282</v>
      </c>
      <c r="T5" s="60">
        <f>IFERROR(__xludf.DUMMYFUNCTION("""COMPUTED_VALUE"""),10.866666666666667)</f>
        <v>10.86666667</v>
      </c>
    </row>
    <row r="6">
      <c r="A6" s="55" t="str">
        <f>IFERROR(__xludf.DUMMYFUNCTION("""COMPUTED_VALUE"""),"Planet of Lana II: Children of the Leaf")</f>
        <v>Planet of Lana II: Children of the Leaf</v>
      </c>
      <c r="B6" s="55" t="str">
        <f>IFERROR(__xludf.DUMMYFUNCTION("""COMPUTED_VALUE"""),"Xbox / PC")</f>
        <v>Xbox / PC</v>
      </c>
      <c r="C6" s="55" t="str">
        <f>IFERROR(__xludf.DUMMYFUNCTION("""COMPUTED_VALUE"""),"Yes")</f>
        <v>Yes</v>
      </c>
      <c r="D6" s="56" t="str">
        <f>IFERROR(__xludf.DUMMYFUNCTION("""COMPUTED_VALUE"""),"Active")</f>
        <v>Active</v>
      </c>
      <c r="E6" s="57">
        <f>IFERROR(__xludf.DUMMYFUNCTION("""COMPUTED_VALUE"""),46086.0)</f>
        <v>46086</v>
      </c>
      <c r="F6" s="58"/>
      <c r="G6" s="60">
        <f>IFERROR(__xludf.DUMMYFUNCTION("""COMPUTED_VALUE"""),7.033333333333333)</f>
        <v>7.033333333</v>
      </c>
      <c r="H6" s="63">
        <f>IFERROR(__xludf.DUMMYFUNCTION("""COMPUTED_VALUE"""),46086.0)</f>
        <v>46086</v>
      </c>
      <c r="I6" s="60">
        <f>IFERROR(__xludf.DUMMYFUNCTION("""COMPUTED_VALUE"""),0.0)</f>
        <v>0</v>
      </c>
      <c r="J6" s="64">
        <f>IFERROR(__xludf.DUMMYFUNCTION("""COMPUTED_VALUE"""),83.0)</f>
        <v>83</v>
      </c>
      <c r="K6" s="64">
        <f>IFERROR(__xludf.DUMMYFUNCTION("""COMPUTED_VALUE"""),6.0)</f>
        <v>6</v>
      </c>
      <c r="L6" s="55" t="str">
        <f>IFERROR(__xludf.DUMMYFUNCTION("""COMPUTED_VALUE"""),"Action-Adventure")</f>
        <v>Action-Adventure</v>
      </c>
      <c r="M6" s="55" t="str">
        <f>IFERROR(__xludf.DUMMYFUNCTION("""COMPUTED_VALUE"""),"Exclusive")</f>
        <v>Exclusive</v>
      </c>
      <c r="N6" s="55" t="str">
        <f>IFERROR(__xludf.DUMMYFUNCTION("""COMPUTED_VALUE"""),"Handheld Optimized")</f>
        <v>Handheld Optimized</v>
      </c>
      <c r="O6" s="55"/>
      <c r="P6" s="55"/>
      <c r="Q6" s="55"/>
      <c r="R6" s="56" t="str">
        <f>IFERROR(__xludf.DUMMYFUNCTION("""COMPUTED_VALUE"""),"Active")</f>
        <v>Active</v>
      </c>
      <c r="S6" s="57">
        <f>IFERROR(__xludf.DUMMYFUNCTION("""COMPUTED_VALUE"""),46281.0)</f>
        <v>46281</v>
      </c>
      <c r="T6" s="60">
        <f>IFERROR(__xludf.DUMMYFUNCTION("""COMPUTED_VALUE"""),6.366666666666667)</f>
        <v>6.366666667</v>
      </c>
    </row>
    <row r="7">
      <c r="A7" s="55" t="str">
        <f>IFERROR(__xludf.DUMMYFUNCTION("""COMPUTED_VALUE"""),"Ultimate Sheep Raccoon")</f>
        <v>Ultimate Sheep Raccoon</v>
      </c>
      <c r="B7" s="55" t="str">
        <f>IFERROR(__xludf.DUMMYFUNCTION("""COMPUTED_VALUE"""),"Xbox / PC")</f>
        <v>Xbox / PC</v>
      </c>
      <c r="C7" s="55" t="str">
        <f>IFERROR(__xludf.DUMMYFUNCTION("""COMPUTED_VALUE"""),"Yes")</f>
        <v>Yes</v>
      </c>
      <c r="D7" s="56" t="str">
        <f>IFERROR(__xludf.DUMMYFUNCTION("""COMPUTED_VALUE"""),"Active")</f>
        <v>Active</v>
      </c>
      <c r="E7" s="57">
        <f>IFERROR(__xludf.DUMMYFUNCTION("""COMPUTED_VALUE"""),46000.0)</f>
        <v>46000</v>
      </c>
      <c r="F7" s="58"/>
      <c r="G7" s="60">
        <f>IFERROR(__xludf.DUMMYFUNCTION("""COMPUTED_VALUE"""),9.899999999999999)</f>
        <v>9.9</v>
      </c>
      <c r="H7" s="63">
        <f>IFERROR(__xludf.DUMMYFUNCTION("""COMPUTED_VALUE"""),46000.0)</f>
        <v>46000</v>
      </c>
      <c r="I7" s="60">
        <f>IFERROR(__xludf.DUMMYFUNCTION("""COMPUTED_VALUE"""),0.0)</f>
        <v>0</v>
      </c>
      <c r="J7" s="64">
        <f>IFERROR(__xludf.DUMMYFUNCTION("""COMPUTED_VALUE"""),80.0)</f>
        <v>80</v>
      </c>
      <c r="K7" s="64"/>
      <c r="L7" s="55" t="str">
        <f>IFERROR(__xludf.DUMMYFUNCTION("""COMPUTED_VALUE"""),"Racing")</f>
        <v>Racing</v>
      </c>
      <c r="M7" s="55"/>
      <c r="N7" s="55" t="str">
        <f>IFERROR(__xludf.DUMMYFUNCTION("""COMPUTED_VALUE"""),"Handheld Optimized")</f>
        <v>Handheld Optimized</v>
      </c>
      <c r="O7" s="55"/>
      <c r="P7" s="55"/>
      <c r="Q7" s="55"/>
      <c r="R7" s="56" t="str">
        <f>IFERROR(__xludf.DUMMYFUNCTION("""COMPUTED_VALUE"""),"Active")</f>
        <v>Active</v>
      </c>
      <c r="S7" s="57">
        <f>IFERROR(__xludf.DUMMYFUNCTION("""COMPUTED_VALUE"""),46281.0)</f>
        <v>46281</v>
      </c>
      <c r="T7" s="60">
        <f>IFERROR(__xludf.DUMMYFUNCTION("""COMPUTED_VALUE"""),9.233333333333334)</f>
        <v>9.233333333</v>
      </c>
    </row>
    <row r="8">
      <c r="A8" s="55" t="str">
        <f>IFERROR(__xludf.DUMMYFUNCTION("""COMPUTED_VALUE"""),"ROUTINE")</f>
        <v>ROUTINE</v>
      </c>
      <c r="B8" s="55" t="str">
        <f>IFERROR(__xludf.DUMMYFUNCTION("""COMPUTED_VALUE"""),"Xbox / PC")</f>
        <v>Xbox / PC</v>
      </c>
      <c r="C8" s="55" t="str">
        <f>IFERROR(__xludf.DUMMYFUNCTION("""COMPUTED_VALUE"""),"Yes")</f>
        <v>Yes</v>
      </c>
      <c r="D8" s="56" t="str">
        <f>IFERROR(__xludf.DUMMYFUNCTION("""COMPUTED_VALUE"""),"Active")</f>
        <v>Active</v>
      </c>
      <c r="E8" s="57">
        <f>IFERROR(__xludf.DUMMYFUNCTION("""COMPUTED_VALUE"""),45995.0)</f>
        <v>45995</v>
      </c>
      <c r="F8" s="58"/>
      <c r="G8" s="60">
        <f>IFERROR(__xludf.DUMMYFUNCTION("""COMPUTED_VALUE"""),10.066666666666666)</f>
        <v>10.06666667</v>
      </c>
      <c r="H8" s="63">
        <f>IFERROR(__xludf.DUMMYFUNCTION("""COMPUTED_VALUE"""),45995.0)</f>
        <v>45995</v>
      </c>
      <c r="I8" s="60">
        <f>IFERROR(__xludf.DUMMYFUNCTION("""COMPUTED_VALUE"""),0.0)</f>
        <v>0</v>
      </c>
      <c r="J8" s="64">
        <f>IFERROR(__xludf.DUMMYFUNCTION("""COMPUTED_VALUE"""),79.0)</f>
        <v>79</v>
      </c>
      <c r="K8" s="64">
        <f>IFERROR(__xludf.DUMMYFUNCTION("""COMPUTED_VALUE"""),6.0)</f>
        <v>6</v>
      </c>
      <c r="L8" s="55" t="str">
        <f>IFERROR(__xludf.DUMMYFUNCTION("""COMPUTED_VALUE"""),"Action-Adventure")</f>
        <v>Action-Adventure</v>
      </c>
      <c r="M8" s="55"/>
      <c r="N8" s="55" t="str">
        <f>IFERROR(__xludf.DUMMYFUNCTION("""COMPUTED_VALUE"""),"Handheld Optimized")</f>
        <v>Handheld Optimized</v>
      </c>
      <c r="O8" s="55"/>
      <c r="P8" s="55"/>
      <c r="Q8" s="55"/>
      <c r="R8" s="56" t="str">
        <f>IFERROR(__xludf.DUMMYFUNCTION("""COMPUTED_VALUE"""),"Active")</f>
        <v>Active</v>
      </c>
      <c r="S8" s="57">
        <f>IFERROR(__xludf.DUMMYFUNCTION("""COMPUTED_VALUE"""),46281.0)</f>
        <v>46281</v>
      </c>
      <c r="T8" s="60">
        <f>IFERROR(__xludf.DUMMYFUNCTION("""COMPUTED_VALUE"""),9.4)</f>
        <v>9.4</v>
      </c>
    </row>
    <row r="9">
      <c r="A9" s="55" t="str">
        <f>IFERROR(__xludf.DUMMYFUNCTION("""COMPUTED_VALUE"""),"Marvel Cosmic Invasion")</f>
        <v>Marvel Cosmic Invasion</v>
      </c>
      <c r="B9" s="55" t="str">
        <f>IFERROR(__xludf.DUMMYFUNCTION("""COMPUTED_VALUE"""),"Xbox / PC")</f>
        <v>Xbox / PC</v>
      </c>
      <c r="C9" s="55" t="str">
        <f>IFERROR(__xludf.DUMMYFUNCTION("""COMPUTED_VALUE"""),"Yes")</f>
        <v>Yes</v>
      </c>
      <c r="D9" s="56" t="str">
        <f>IFERROR(__xludf.DUMMYFUNCTION("""COMPUTED_VALUE"""),"Active")</f>
        <v>Active</v>
      </c>
      <c r="E9" s="57">
        <f>IFERROR(__xludf.DUMMYFUNCTION("""COMPUTED_VALUE"""),45992.0)</f>
        <v>45992</v>
      </c>
      <c r="F9" s="58"/>
      <c r="G9" s="60">
        <f>IFERROR(__xludf.DUMMYFUNCTION("""COMPUTED_VALUE"""),10.166666666666666)</f>
        <v>10.16666667</v>
      </c>
      <c r="H9" s="63">
        <f>IFERROR(__xludf.DUMMYFUNCTION("""COMPUTED_VALUE"""),45992.0)</f>
        <v>45992</v>
      </c>
      <c r="I9" s="60">
        <f>IFERROR(__xludf.DUMMYFUNCTION("""COMPUTED_VALUE"""),0.0)</f>
        <v>0</v>
      </c>
      <c r="J9" s="64">
        <f>IFERROR(__xludf.DUMMYFUNCTION("""COMPUTED_VALUE"""),81.0)</f>
        <v>81</v>
      </c>
      <c r="K9" s="64">
        <f>IFERROR(__xludf.DUMMYFUNCTION("""COMPUTED_VALUE"""),4.0)</f>
        <v>4</v>
      </c>
      <c r="L9" s="55" t="str">
        <f>IFERROR(__xludf.DUMMYFUNCTION("""COMPUTED_VALUE"""),"Beat ’em up")</f>
        <v>Beat ’em up</v>
      </c>
      <c r="M9" s="55"/>
      <c r="N9" s="55" t="str">
        <f>IFERROR(__xludf.DUMMYFUNCTION("""COMPUTED_VALUE"""),"Handheld Optimized")</f>
        <v>Handheld Optimized</v>
      </c>
      <c r="O9" s="55"/>
      <c r="P9" s="55"/>
      <c r="Q9" s="55"/>
      <c r="R9" s="56" t="str">
        <f>IFERROR(__xludf.DUMMYFUNCTION("""COMPUTED_VALUE"""),"Active")</f>
        <v>Active</v>
      </c>
      <c r="S9" s="57">
        <f>IFERROR(__xludf.DUMMYFUNCTION("""COMPUTED_VALUE"""),46281.0)</f>
        <v>46281</v>
      </c>
      <c r="T9" s="60">
        <f>IFERROR(__xludf.DUMMYFUNCTION("""COMPUTED_VALUE"""),9.5)</f>
        <v>9.5</v>
      </c>
    </row>
    <row r="10">
      <c r="A10" s="55" t="str">
        <f>IFERROR(__xludf.DUMMYFUNCTION("""COMPUTED_VALUE"""),"Dice A Million")</f>
        <v>Dice A Million</v>
      </c>
      <c r="B10" s="55" t="str">
        <f>IFERROR(__xludf.DUMMYFUNCTION("""COMPUTED_VALUE"""),"Xbox / PC")</f>
        <v>Xbox / PC</v>
      </c>
      <c r="C10" s="55" t="str">
        <f>IFERROR(__xludf.DUMMYFUNCTION("""COMPUTED_VALUE"""),"Yes")</f>
        <v>Yes</v>
      </c>
      <c r="D10" s="56" t="str">
        <f>IFERROR(__xludf.DUMMYFUNCTION("""COMPUTED_VALUE"""),"Active")</f>
        <v>Active</v>
      </c>
      <c r="E10" s="57">
        <f>IFERROR(__xludf.DUMMYFUNCTION("""COMPUTED_VALUE"""),46078.0)</f>
        <v>46078</v>
      </c>
      <c r="F10" s="58"/>
      <c r="G10" s="60">
        <f>IFERROR(__xludf.DUMMYFUNCTION("""COMPUTED_VALUE"""),7.366666666666667)</f>
        <v>7.366666667</v>
      </c>
      <c r="H10" s="63">
        <f>IFERROR(__xludf.DUMMYFUNCTION("""COMPUTED_VALUE"""),46078.0)</f>
        <v>46078</v>
      </c>
      <c r="I10" s="60">
        <f>IFERROR(__xludf.DUMMYFUNCTION("""COMPUTED_VALUE"""),0.0)</f>
        <v>0</v>
      </c>
      <c r="J10" s="64">
        <f>IFERROR(__xludf.DUMMYFUNCTION("""COMPUTED_VALUE"""),85.0)</f>
        <v>85</v>
      </c>
      <c r="K10" s="64">
        <f>IFERROR(__xludf.DUMMYFUNCTION("""COMPUTED_VALUE"""),5.0)</f>
        <v>5</v>
      </c>
      <c r="L10" s="55" t="str">
        <f>IFERROR(__xludf.DUMMYFUNCTION("""COMPUTED_VALUE"""),"Strategy")</f>
        <v>Strategy</v>
      </c>
      <c r="M10" s="55" t="str">
        <f>IFERROR(__xludf.DUMMYFUNCTION("""COMPUTED_VALUE"""),"Exclusive")</f>
        <v>Exclusive</v>
      </c>
      <c r="N10" s="55" t="str">
        <f>IFERROR(__xludf.DUMMYFUNCTION("""COMPUTED_VALUE"""),"Joins console and cloud on 9/4/26")</f>
        <v>Joins console and cloud on 9/4/26</v>
      </c>
      <c r="O10" s="55"/>
      <c r="P10" s="55"/>
      <c r="Q10" s="55"/>
      <c r="R10" s="56" t="str">
        <f>IFERROR(__xludf.DUMMYFUNCTION("""COMPUTED_VALUE"""),"Active")</f>
        <v>Active</v>
      </c>
      <c r="S10" s="57">
        <f>IFERROR(__xludf.DUMMYFUNCTION("""COMPUTED_VALUE"""),46269.0)</f>
        <v>46269</v>
      </c>
      <c r="T10" s="60">
        <f>IFERROR(__xludf.DUMMYFUNCTION("""COMPUTED_VALUE"""),6.300000000000001)</f>
        <v>6.3</v>
      </c>
    </row>
    <row r="11">
      <c r="A11" s="55" t="str">
        <f>IFERROR(__xludf.DUMMYFUNCTION("""COMPUTED_VALUE"""),"Moonlighter 2: The Endless Vault (Game Preview)")</f>
        <v>Moonlighter 2: The Endless Vault (Game Preview)</v>
      </c>
      <c r="B11" s="55" t="str">
        <f>IFERROR(__xludf.DUMMYFUNCTION("""COMPUTED_VALUE"""),"PC")</f>
        <v>PC</v>
      </c>
      <c r="C11" s="55"/>
      <c r="D11" s="56" t="str">
        <f>IFERROR(__xludf.DUMMYFUNCTION("""COMPUTED_VALUE"""),"Active")</f>
        <v>Active</v>
      </c>
      <c r="E11" s="57">
        <f>IFERROR(__xludf.DUMMYFUNCTION("""COMPUTED_VALUE"""),45980.0)</f>
        <v>45980</v>
      </c>
      <c r="F11" s="58"/>
      <c r="G11" s="60">
        <f>IFERROR(__xludf.DUMMYFUNCTION("""COMPUTED_VALUE"""),10.566666666666666)</f>
        <v>10.56666667</v>
      </c>
      <c r="H11" s="63">
        <f>IFERROR(__xludf.DUMMYFUNCTION("""COMPUTED_VALUE"""),45980.0)</f>
        <v>45980</v>
      </c>
      <c r="I11" s="60">
        <f>IFERROR(__xludf.DUMMYFUNCTION("""COMPUTED_VALUE"""),0.0)</f>
        <v>0</v>
      </c>
      <c r="J11" s="64"/>
      <c r="K11" s="64">
        <f>IFERROR(__xludf.DUMMYFUNCTION("""COMPUTED_VALUE"""),13.0)</f>
        <v>13</v>
      </c>
      <c r="L11" s="55" t="str">
        <f>IFERROR(__xludf.DUMMYFUNCTION("""COMPUTED_VALUE"""),"Action-Adventure")</f>
        <v>Action-Adventure</v>
      </c>
      <c r="M11" s="55"/>
      <c r="N11" s="55"/>
      <c r="O11" s="55"/>
      <c r="P11" s="55"/>
      <c r="Q11" s="55"/>
      <c r="R11" s="56" t="str">
        <f>IFERROR(__xludf.DUMMYFUNCTION("""COMPUTED_VALUE"""),"Active")</f>
        <v>Active</v>
      </c>
      <c r="S11" s="57">
        <f>IFERROR(__xludf.DUMMYFUNCTION("""COMPUTED_VALUE"""),46267.0)</f>
        <v>46267</v>
      </c>
      <c r="T11" s="60">
        <f>IFERROR(__xludf.DUMMYFUNCTION("""COMPUTED_VALUE"""),9.433333333333334)</f>
        <v>9.433333333</v>
      </c>
    </row>
    <row r="12">
      <c r="A12" s="55" t="str">
        <f>IFERROR(__xludf.DUMMYFUNCTION("""COMPUTED_VALUE"""),"Young Suns")</f>
        <v>Young Suns</v>
      </c>
      <c r="B12" s="55" t="str">
        <f>IFERROR(__xludf.DUMMYFUNCTION("""COMPUTED_VALUE"""),"Xbox / PC")</f>
        <v>Xbox / PC</v>
      </c>
      <c r="C12" s="55" t="str">
        <f>IFERROR(__xludf.DUMMYFUNCTION("""COMPUTED_VALUE"""),"Yes")</f>
        <v>Yes</v>
      </c>
      <c r="D12" s="56" t="str">
        <f>IFERROR(__xludf.DUMMYFUNCTION("""COMPUTED_VALUE"""),"Active")</f>
        <v>Active</v>
      </c>
      <c r="E12" s="57">
        <f>IFERROR(__xludf.DUMMYFUNCTION("""COMPUTED_VALUE"""),45986.0)</f>
        <v>45986</v>
      </c>
      <c r="F12" s="58"/>
      <c r="G12" s="60">
        <f>IFERROR(__xludf.DUMMYFUNCTION("""COMPUTED_VALUE"""),10.366666666666667)</f>
        <v>10.36666667</v>
      </c>
      <c r="H12" s="63">
        <f>IFERROR(__xludf.DUMMYFUNCTION("""COMPUTED_VALUE"""),45986.0)</f>
        <v>45986</v>
      </c>
      <c r="I12" s="60">
        <f>IFERROR(__xludf.DUMMYFUNCTION("""COMPUTED_VALUE"""),0.0)</f>
        <v>0</v>
      </c>
      <c r="J12" s="64"/>
      <c r="K12" s="64">
        <f>IFERROR(__xludf.DUMMYFUNCTION("""COMPUTED_VALUE"""),2.0)</f>
        <v>2</v>
      </c>
      <c r="L12" s="55" t="str">
        <f>IFERROR(__xludf.DUMMYFUNCTION("""COMPUTED_VALUE"""),"Virtual Life")</f>
        <v>Virtual Life</v>
      </c>
      <c r="M12" s="55"/>
      <c r="N12" s="55"/>
      <c r="O12" s="55"/>
      <c r="P12" s="55"/>
      <c r="Q12" s="55"/>
      <c r="R12" s="56" t="str">
        <f>IFERROR(__xludf.DUMMYFUNCTION("""COMPUTED_VALUE"""),"Active")</f>
        <v>Active</v>
      </c>
      <c r="S12" s="57">
        <f>IFERROR(__xludf.DUMMYFUNCTION("""COMPUTED_VALUE"""),46265.0)</f>
        <v>46265</v>
      </c>
      <c r="T12" s="60">
        <f>IFERROR(__xludf.DUMMYFUNCTION("""COMPUTED_VALUE"""),9.166666666666666)</f>
        <v>9.166666667</v>
      </c>
    </row>
    <row r="13">
      <c r="A13" s="55" t="str">
        <f>IFERROR(__xludf.DUMMYFUNCTION("""COMPUTED_VALUE"""),"Aerial_Knight's DropShot")</f>
        <v>Aerial_Knight's DropShot</v>
      </c>
      <c r="B13" s="55" t="str">
        <f>IFERROR(__xludf.DUMMYFUNCTION("""COMPUTED_VALUE"""),"Xbox / PC")</f>
        <v>Xbox / PC</v>
      </c>
      <c r="C13" s="55" t="str">
        <f>IFERROR(__xludf.DUMMYFUNCTION("""COMPUTED_VALUE"""),"Yes")</f>
        <v>Yes</v>
      </c>
      <c r="D13" s="56" t="str">
        <f>IFERROR(__xludf.DUMMYFUNCTION("""COMPUTED_VALUE"""),"Active")</f>
        <v>Active</v>
      </c>
      <c r="E13" s="57">
        <f>IFERROR(__xludf.DUMMYFUNCTION("""COMPUTED_VALUE"""),46070.0)</f>
        <v>46070</v>
      </c>
      <c r="F13" s="58"/>
      <c r="G13" s="60">
        <f>IFERROR(__xludf.DUMMYFUNCTION("""COMPUTED_VALUE"""),7.633333333333333)</f>
        <v>7.633333333</v>
      </c>
      <c r="H13" s="63">
        <f>IFERROR(__xludf.DUMMYFUNCTION("""COMPUTED_VALUE"""),45337.0)</f>
        <v>45337</v>
      </c>
      <c r="I13" s="60">
        <f>IFERROR(__xludf.DUMMYFUNCTION("""COMPUTED_VALUE"""),2.0055555555555555)</f>
        <v>2.005555556</v>
      </c>
      <c r="J13" s="64">
        <f>IFERROR(__xludf.DUMMYFUNCTION("""COMPUTED_VALUE"""),60.0)</f>
        <v>60</v>
      </c>
      <c r="K13" s="64">
        <f>IFERROR(__xludf.DUMMYFUNCTION("""COMPUTED_VALUE"""),2.0)</f>
        <v>2</v>
      </c>
      <c r="L13" s="55" t="str">
        <f>IFERROR(__xludf.DUMMYFUNCTION("""COMPUTED_VALUE"""),"Action-Adventure")</f>
        <v>Action-Adventure</v>
      </c>
      <c r="M13" s="55" t="str">
        <f>IFERROR(__xludf.DUMMYFUNCTION("""COMPUTED_VALUE"""),"Exclusive")</f>
        <v>Exclusive</v>
      </c>
      <c r="N13" s="55" t="str">
        <f>IFERROR(__xludf.DUMMYFUNCTION("""COMPUTED_VALUE"""),"Handheld Optimized")</f>
        <v>Handheld Optimized</v>
      </c>
      <c r="O13" s="55"/>
      <c r="P13" s="55"/>
      <c r="Q13" s="55"/>
      <c r="R13" s="56" t="str">
        <f>IFERROR(__xludf.DUMMYFUNCTION("""COMPUTED_VALUE"""),"Active")</f>
        <v>Active</v>
      </c>
      <c r="S13" s="57">
        <f>IFERROR(__xludf.DUMMYFUNCTION("""COMPUTED_VALUE"""),46259.0)</f>
        <v>46259</v>
      </c>
      <c r="T13" s="60">
        <f>IFERROR(__xludf.DUMMYFUNCTION("""COMPUTED_VALUE"""),6.2666666666666675)</f>
        <v>6.266666667</v>
      </c>
    </row>
    <row r="14">
      <c r="A14" s="55" t="str">
        <f>IFERROR(__xludf.DUMMYFUNCTION("""COMPUTED_VALUE"""),"Starsand Island")</f>
        <v>Starsand Island</v>
      </c>
      <c r="B14" s="55" t="str">
        <f>IFERROR(__xludf.DUMMYFUNCTION("""COMPUTED_VALUE"""),"Xbox / PC")</f>
        <v>Xbox / PC</v>
      </c>
      <c r="C14" s="55" t="str">
        <f>IFERROR(__xludf.DUMMYFUNCTION("""COMPUTED_VALUE"""),"Yes")</f>
        <v>Yes</v>
      </c>
      <c r="D14" s="56" t="str">
        <f>IFERROR(__xludf.DUMMYFUNCTION("""COMPUTED_VALUE"""),"Active")</f>
        <v>Active</v>
      </c>
      <c r="E14" s="57">
        <f>IFERROR(__xludf.DUMMYFUNCTION("""COMPUTED_VALUE"""),46064.0)</f>
        <v>46064</v>
      </c>
      <c r="F14" s="58"/>
      <c r="G14" s="60">
        <f>IFERROR(__xludf.DUMMYFUNCTION("""COMPUTED_VALUE"""),7.833333333333334)</f>
        <v>7.833333333</v>
      </c>
      <c r="H14" s="63">
        <f>IFERROR(__xludf.DUMMYFUNCTION("""COMPUTED_VALUE"""),46065.0)</f>
        <v>46065</v>
      </c>
      <c r="I14" s="60">
        <f>IFERROR(__xludf.DUMMYFUNCTION("""COMPUTED_VALUE"""),-0.002777777777777778)</f>
        <v>-0.002777777778</v>
      </c>
      <c r="J14" s="64">
        <f>IFERROR(__xludf.DUMMYFUNCTION("""COMPUTED_VALUE"""),90.0)</f>
        <v>90</v>
      </c>
      <c r="K14" s="64">
        <f>IFERROR(__xludf.DUMMYFUNCTION("""COMPUTED_VALUE"""),66.0)</f>
        <v>66</v>
      </c>
      <c r="L14" s="55" t="str">
        <f>IFERROR(__xludf.DUMMYFUNCTION("""COMPUTED_VALUE"""),"Action-Adventure")</f>
        <v>Action-Adventure</v>
      </c>
      <c r="M14" s="55" t="str">
        <f>IFERROR(__xludf.DUMMYFUNCTION("""COMPUTED_VALUE"""),"Exclusive")</f>
        <v>Exclusive</v>
      </c>
      <c r="N14" s="55"/>
      <c r="O14" s="55"/>
      <c r="P14" s="55"/>
      <c r="Q14" s="55"/>
      <c r="R14" s="56" t="str">
        <f>IFERROR(__xludf.DUMMYFUNCTION("""COMPUTED_VALUE"""),"Active")</f>
        <v>Active</v>
      </c>
      <c r="S14" s="57">
        <f>IFERROR(__xludf.DUMMYFUNCTION("""COMPUTED_VALUE"""),46254.0)</f>
        <v>46254</v>
      </c>
      <c r="T14" s="60">
        <f>IFERROR(__xludf.DUMMYFUNCTION("""COMPUTED_VALUE"""),6.300000000000001)</f>
        <v>6.3</v>
      </c>
    </row>
    <row r="15">
      <c r="A15" s="55" t="str">
        <f>IFERROR(__xludf.DUMMYFUNCTION("""COMPUTED_VALUE"""),"BlazBlue Entropy Effect X")</f>
        <v>BlazBlue Entropy Effect X</v>
      </c>
      <c r="B15" s="55" t="str">
        <f>IFERROR(__xludf.DUMMYFUNCTION("""COMPUTED_VALUE"""),"Xbox / PC")</f>
        <v>Xbox / PC</v>
      </c>
      <c r="C15" s="55" t="str">
        <f>IFERROR(__xludf.DUMMYFUNCTION("""COMPUTED_VALUE"""),"Yes")</f>
        <v>Yes</v>
      </c>
      <c r="D15" s="56" t="str">
        <f>IFERROR(__xludf.DUMMYFUNCTION("""COMPUTED_VALUE"""),"Active")</f>
        <v>Active</v>
      </c>
      <c r="E15" s="57">
        <f>IFERROR(__xludf.DUMMYFUNCTION("""COMPUTED_VALUE"""),46065.0)</f>
        <v>46065</v>
      </c>
      <c r="F15" s="58"/>
      <c r="G15" s="60">
        <f>IFERROR(__xludf.DUMMYFUNCTION("""COMPUTED_VALUE"""),7.800000000000001)</f>
        <v>7.8</v>
      </c>
      <c r="H15" s="63">
        <f>IFERROR(__xludf.DUMMYFUNCTION("""COMPUTED_VALUE"""),46065.0)</f>
        <v>46065</v>
      </c>
      <c r="I15" s="60">
        <f>IFERROR(__xludf.DUMMYFUNCTION("""COMPUTED_VALUE"""),0.0)</f>
        <v>0</v>
      </c>
      <c r="J15" s="64">
        <f>IFERROR(__xludf.DUMMYFUNCTION("""COMPUTED_VALUE"""),83.0)</f>
        <v>83</v>
      </c>
      <c r="K15" s="64">
        <f>IFERROR(__xludf.DUMMYFUNCTION("""COMPUTED_VALUE"""),13.0)</f>
        <v>13</v>
      </c>
      <c r="L15" s="55" t="str">
        <f>IFERROR(__xludf.DUMMYFUNCTION("""COMPUTED_VALUE"""),"Action-Adventure")</f>
        <v>Action-Adventure</v>
      </c>
      <c r="M15" s="55" t="str">
        <f>IFERROR(__xludf.DUMMYFUNCTION("""COMPUTED_VALUE"""),"Exclusive")</f>
        <v>Exclusive</v>
      </c>
      <c r="N15" s="55"/>
      <c r="O15" s="55"/>
      <c r="P15" s="55"/>
      <c r="Q15" s="55"/>
      <c r="R15" s="56" t="str">
        <f>IFERROR(__xludf.DUMMYFUNCTION("""COMPUTED_VALUE"""),"Active")</f>
        <v>Active</v>
      </c>
      <c r="S15" s="57">
        <f>IFERROR(__xludf.DUMMYFUNCTION("""COMPUTED_VALUE"""),46253.0)</f>
        <v>46253</v>
      </c>
      <c r="T15" s="60">
        <f>IFERROR(__xludf.DUMMYFUNCTION("""COMPUTED_VALUE"""),6.233333333333334)</f>
        <v>6.233333333</v>
      </c>
    </row>
    <row r="16">
      <c r="A16" s="55" t="str">
        <f>IFERROR(__xludf.DUMMYFUNCTION("""COMPUTED_VALUE"""),"Relooted")</f>
        <v>Relooted</v>
      </c>
      <c r="B16" s="55" t="str">
        <f>IFERROR(__xludf.DUMMYFUNCTION("""COMPUTED_VALUE"""),"Xbox / PC")</f>
        <v>Xbox / PC</v>
      </c>
      <c r="C16" s="55" t="str">
        <f>IFERROR(__xludf.DUMMYFUNCTION("""COMPUTED_VALUE"""),"Yes")</f>
        <v>Yes</v>
      </c>
      <c r="D16" s="56" t="str">
        <f>IFERROR(__xludf.DUMMYFUNCTION("""COMPUTED_VALUE"""),"Active")</f>
        <v>Active</v>
      </c>
      <c r="E16" s="57">
        <f>IFERROR(__xludf.DUMMYFUNCTION("""COMPUTED_VALUE"""),46063.0)</f>
        <v>46063</v>
      </c>
      <c r="F16" s="58"/>
      <c r="G16" s="60">
        <f>IFERROR(__xludf.DUMMYFUNCTION("""COMPUTED_VALUE"""),7.866666666666667)</f>
        <v>7.866666667</v>
      </c>
      <c r="H16" s="63">
        <f>IFERROR(__xludf.DUMMYFUNCTION("""COMPUTED_VALUE"""),46063.0)</f>
        <v>46063</v>
      </c>
      <c r="I16" s="60">
        <f>IFERROR(__xludf.DUMMYFUNCTION("""COMPUTED_VALUE"""),0.0)</f>
        <v>0</v>
      </c>
      <c r="J16" s="64">
        <f>IFERROR(__xludf.DUMMYFUNCTION("""COMPUTED_VALUE"""),76.0)</f>
        <v>76</v>
      </c>
      <c r="K16" s="64">
        <f>IFERROR(__xludf.DUMMYFUNCTION("""COMPUTED_VALUE"""),6.0)</f>
        <v>6</v>
      </c>
      <c r="L16" s="55" t="str">
        <f>IFERROR(__xludf.DUMMYFUNCTION("""COMPUTED_VALUE"""),"Action-Adventure")</f>
        <v>Action-Adventure</v>
      </c>
      <c r="M16" s="55" t="str">
        <f>IFERROR(__xludf.DUMMYFUNCTION("""COMPUTED_VALUE"""),"Exclusive")</f>
        <v>Exclusive</v>
      </c>
      <c r="N16" s="55"/>
      <c r="O16" s="55"/>
      <c r="P16" s="55"/>
      <c r="Q16" s="55"/>
      <c r="R16" s="56" t="str">
        <f>IFERROR(__xludf.DUMMYFUNCTION("""COMPUTED_VALUE"""),"Active")</f>
        <v>Active</v>
      </c>
      <c r="S16" s="57">
        <f>IFERROR(__xludf.DUMMYFUNCTION("""COMPUTED_VALUE"""),46253.0)</f>
        <v>46253</v>
      </c>
      <c r="T16" s="60">
        <f>IFERROR(__xludf.DUMMYFUNCTION("""COMPUTED_VALUE"""),6.300000000000001)</f>
        <v>6.3</v>
      </c>
    </row>
    <row r="17">
      <c r="A17" s="55" t="str">
        <f>IFERROR(__xludf.DUMMYFUNCTION("""COMPUTED_VALUE"""),"Egging On")</f>
        <v>Egging On</v>
      </c>
      <c r="B17" s="55" t="str">
        <f>IFERROR(__xludf.DUMMYFUNCTION("""COMPUTED_VALUE"""),"Xbox / PC")</f>
        <v>Xbox / PC</v>
      </c>
      <c r="C17" s="55" t="str">
        <f>IFERROR(__xludf.DUMMYFUNCTION("""COMPUTED_VALUE"""),"Yes")</f>
        <v>Yes</v>
      </c>
      <c r="D17" s="56" t="str">
        <f>IFERROR(__xludf.DUMMYFUNCTION("""COMPUTED_VALUE"""),"Active")</f>
        <v>Active</v>
      </c>
      <c r="E17" s="57">
        <f>IFERROR(__xludf.DUMMYFUNCTION("""COMPUTED_VALUE"""),45967.0)</f>
        <v>45967</v>
      </c>
      <c r="F17" s="58"/>
      <c r="G17" s="60">
        <f>IFERROR(__xludf.DUMMYFUNCTION("""COMPUTED_VALUE"""),11.0)</f>
        <v>11</v>
      </c>
      <c r="H17" s="63">
        <f>IFERROR(__xludf.DUMMYFUNCTION("""COMPUTED_VALUE"""),45967.0)</f>
        <v>45967</v>
      </c>
      <c r="I17" s="60">
        <f>IFERROR(__xludf.DUMMYFUNCTION("""COMPUTED_VALUE"""),0.0)</f>
        <v>0</v>
      </c>
      <c r="J17" s="64">
        <f>IFERROR(__xludf.DUMMYFUNCTION("""COMPUTED_VALUE"""),80.0)</f>
        <v>80</v>
      </c>
      <c r="K17" s="64">
        <f>IFERROR(__xludf.DUMMYFUNCTION("""COMPUTED_VALUE"""),8.0)</f>
        <v>8</v>
      </c>
      <c r="L17" s="55" t="str">
        <f>IFERROR(__xludf.DUMMYFUNCTION("""COMPUTED_VALUE"""),"Platformer")</f>
        <v>Platformer</v>
      </c>
      <c r="M17" s="55" t="str">
        <f>IFERROR(__xludf.DUMMYFUNCTION("""COMPUTED_VALUE"""),"Exclusive")</f>
        <v>Exclusive</v>
      </c>
      <c r="N17" s="55"/>
      <c r="O17" s="55"/>
      <c r="P17" s="55"/>
      <c r="Q17" s="55"/>
      <c r="R17" s="56" t="str">
        <f>IFERROR(__xludf.DUMMYFUNCTION("""COMPUTED_VALUE"""),"Active")</f>
        <v>Active</v>
      </c>
      <c r="S17" s="57">
        <f>IFERROR(__xludf.DUMMYFUNCTION("""COMPUTED_VALUE"""),46252.0)</f>
        <v>46252</v>
      </c>
      <c r="T17" s="60">
        <f>IFERROR(__xludf.DUMMYFUNCTION("""COMPUTED_VALUE"""),9.4)</f>
        <v>9.4</v>
      </c>
    </row>
    <row r="18">
      <c r="A18" s="55" t="str">
        <f>IFERROR(__xludf.DUMMYFUNCTION("""COMPUTED_VALUE"""),"MIO: Memories in Orbit")</f>
        <v>MIO: Memories in Orbit</v>
      </c>
      <c r="B18" s="55" t="str">
        <f>IFERROR(__xludf.DUMMYFUNCTION("""COMPUTED_VALUE"""),"Xbox / PC")</f>
        <v>Xbox / PC</v>
      </c>
      <c r="C18" s="55" t="str">
        <f>IFERROR(__xludf.DUMMYFUNCTION("""COMPUTED_VALUE"""),"Yes")</f>
        <v>Yes</v>
      </c>
      <c r="D18" s="56" t="str">
        <f>IFERROR(__xludf.DUMMYFUNCTION("""COMPUTED_VALUE"""),"Active")</f>
        <v>Active</v>
      </c>
      <c r="E18" s="57">
        <f>IFERROR(__xludf.DUMMYFUNCTION("""COMPUTED_VALUE"""),46042.0)</f>
        <v>46042</v>
      </c>
      <c r="F18" s="58"/>
      <c r="G18" s="60">
        <f>IFERROR(__xludf.DUMMYFUNCTION("""COMPUTED_VALUE"""),8.533333333333333)</f>
        <v>8.533333333</v>
      </c>
      <c r="H18" s="63">
        <f>IFERROR(__xludf.DUMMYFUNCTION("""COMPUTED_VALUE"""),46042.0)</f>
        <v>46042</v>
      </c>
      <c r="I18" s="60">
        <f>IFERROR(__xludf.DUMMYFUNCTION("""COMPUTED_VALUE"""),0.0)</f>
        <v>0</v>
      </c>
      <c r="J18" s="64">
        <f>IFERROR(__xludf.DUMMYFUNCTION("""COMPUTED_VALUE"""),83.0)</f>
        <v>83</v>
      </c>
      <c r="K18" s="64">
        <f>IFERROR(__xludf.DUMMYFUNCTION("""COMPUTED_VALUE"""),16.0)</f>
        <v>16</v>
      </c>
      <c r="L18" s="55" t="str">
        <f>IFERROR(__xludf.DUMMYFUNCTION("""COMPUTED_VALUE"""),"Action-Adventure")</f>
        <v>Action-Adventure</v>
      </c>
      <c r="M18" s="55" t="str">
        <f>IFERROR(__xludf.DUMMYFUNCTION("""COMPUTED_VALUE"""),"Exclusive")</f>
        <v>Exclusive</v>
      </c>
      <c r="N18" s="55" t="str">
        <f>IFERROR(__xludf.DUMMYFUNCTION("""COMPUTED_VALUE"""),"Handheld Optimized")</f>
        <v>Handheld Optimized</v>
      </c>
      <c r="O18" s="55"/>
      <c r="P18" s="55"/>
      <c r="Q18" s="55"/>
      <c r="R18" s="56" t="str">
        <f>IFERROR(__xludf.DUMMYFUNCTION("""COMPUTED_VALUE"""),"Active")</f>
        <v>Active</v>
      </c>
      <c r="S18" s="57">
        <f>IFERROR(__xludf.DUMMYFUNCTION("""COMPUTED_VALUE"""),46247.0)</f>
        <v>46247</v>
      </c>
      <c r="T18" s="60">
        <f>IFERROR(__xludf.DUMMYFUNCTION("""COMPUTED_VALUE"""),6.766666666666667)</f>
        <v>6.766666667</v>
      </c>
    </row>
    <row r="19">
      <c r="A19" s="55" t="str">
        <f>IFERROR(__xludf.DUMMYFUNCTION("""COMPUTED_VALUE"""),"Ball x Pit")</f>
        <v>Ball x Pit</v>
      </c>
      <c r="B19" s="55" t="str">
        <f>IFERROR(__xludf.DUMMYFUNCTION("""COMPUTED_VALUE"""),"Xbox / PC")</f>
        <v>Xbox / PC</v>
      </c>
      <c r="C19" s="55" t="str">
        <f>IFERROR(__xludf.DUMMYFUNCTION("""COMPUTED_VALUE"""),"Yes")</f>
        <v>Yes</v>
      </c>
      <c r="D19" s="56" t="str">
        <f>IFERROR(__xludf.DUMMYFUNCTION("""COMPUTED_VALUE"""),"Active")</f>
        <v>Active</v>
      </c>
      <c r="E19" s="57">
        <f>IFERROR(__xludf.DUMMYFUNCTION("""COMPUTED_VALUE"""),45945.0)</f>
        <v>45945</v>
      </c>
      <c r="F19" s="58"/>
      <c r="G19" s="60">
        <f>IFERROR(__xludf.DUMMYFUNCTION("""COMPUTED_VALUE"""),11.7)</f>
        <v>11.7</v>
      </c>
      <c r="H19" s="63">
        <f>IFERROR(__xludf.DUMMYFUNCTION("""COMPUTED_VALUE"""),45945.0)</f>
        <v>45945</v>
      </c>
      <c r="I19" s="60">
        <f>IFERROR(__xludf.DUMMYFUNCTION("""COMPUTED_VALUE"""),0.0)</f>
        <v>0</v>
      </c>
      <c r="J19" s="64">
        <f>IFERROR(__xludf.DUMMYFUNCTION("""COMPUTED_VALUE"""),84.0)</f>
        <v>84</v>
      </c>
      <c r="K19" s="64">
        <f>IFERROR(__xludf.DUMMYFUNCTION("""COMPUTED_VALUE"""),19.0)</f>
        <v>19</v>
      </c>
      <c r="L19" s="55" t="str">
        <f>IFERROR(__xludf.DUMMYFUNCTION("""COMPUTED_VALUE"""),"Shoot-'Em-Up")</f>
        <v>Shoot-'Em-Up</v>
      </c>
      <c r="M19" s="55"/>
      <c r="N19" s="55"/>
      <c r="O19" s="55"/>
      <c r="P19" s="55"/>
      <c r="Q19" s="55"/>
      <c r="R19" s="56" t="str">
        <f>IFERROR(__xludf.DUMMYFUNCTION("""COMPUTED_VALUE"""),"Active")</f>
        <v>Active</v>
      </c>
      <c r="S19" s="57">
        <f>IFERROR(__xludf.DUMMYFUNCTION("""COMPUTED_VALUE"""),46246.0)</f>
        <v>46246</v>
      </c>
      <c r="T19" s="60">
        <f>IFERROR(__xludf.DUMMYFUNCTION("""COMPUTED_VALUE"""),9.899999999999999)</f>
        <v>9.9</v>
      </c>
    </row>
    <row r="20">
      <c r="A20" s="55" t="str">
        <f>IFERROR(__xludf.DUMMYFUNCTION("""COMPUTED_VALUE"""),"Bounty Star: The Morose Tale of Graveyard Clem")</f>
        <v>Bounty Star: The Morose Tale of Graveyard Clem</v>
      </c>
      <c r="B20" s="55" t="str">
        <f>IFERROR(__xludf.DUMMYFUNCTION("""COMPUTED_VALUE"""),"Xbox / PC")</f>
        <v>Xbox / PC</v>
      </c>
      <c r="C20" s="55" t="str">
        <f>IFERROR(__xludf.DUMMYFUNCTION("""COMPUTED_VALUE"""),"Yes")</f>
        <v>Yes</v>
      </c>
      <c r="D20" s="56" t="str">
        <f>IFERROR(__xludf.DUMMYFUNCTION("""COMPUTED_VALUE"""),"Active")</f>
        <v>Active</v>
      </c>
      <c r="E20" s="57">
        <f>IFERROR(__xludf.DUMMYFUNCTION("""COMPUTED_VALUE"""),45953.0)</f>
        <v>45953</v>
      </c>
      <c r="F20" s="58"/>
      <c r="G20" s="60">
        <f>IFERROR(__xludf.DUMMYFUNCTION("""COMPUTED_VALUE"""),11.433333333333334)</f>
        <v>11.43333333</v>
      </c>
      <c r="H20" s="63">
        <f>IFERROR(__xludf.DUMMYFUNCTION("""COMPUTED_VALUE"""),45953.0)</f>
        <v>45953</v>
      </c>
      <c r="I20" s="60">
        <f>IFERROR(__xludf.DUMMYFUNCTION("""COMPUTED_VALUE"""),0.0)</f>
        <v>0</v>
      </c>
      <c r="J20" s="64">
        <f>IFERROR(__xludf.DUMMYFUNCTION("""COMPUTED_VALUE"""),74.0)</f>
        <v>74</v>
      </c>
      <c r="K20" s="64">
        <f>IFERROR(__xludf.DUMMYFUNCTION("""COMPUTED_VALUE"""),13.0)</f>
        <v>13</v>
      </c>
      <c r="L20" s="55" t="str">
        <f>IFERROR(__xludf.DUMMYFUNCTION("""COMPUTED_VALUE"""),"Shooter")</f>
        <v>Shooter</v>
      </c>
      <c r="M20" s="55" t="str">
        <f>IFERROR(__xludf.DUMMYFUNCTION("""COMPUTED_VALUE"""),"Exclusive")</f>
        <v>Exclusive</v>
      </c>
      <c r="N20" s="55"/>
      <c r="O20" s="55"/>
      <c r="P20" s="55"/>
      <c r="Q20" s="55"/>
      <c r="R20" s="56" t="str">
        <f>IFERROR(__xludf.DUMMYFUNCTION("""COMPUTED_VALUE"""),"Active")</f>
        <v>Active</v>
      </c>
      <c r="S20" s="57">
        <f>IFERROR(__xludf.DUMMYFUNCTION("""COMPUTED_VALUE"""),46245.0)</f>
        <v>46245</v>
      </c>
      <c r="T20" s="60">
        <f>IFERROR(__xludf.DUMMYFUNCTION("""COMPUTED_VALUE"""),9.600000000000001)</f>
        <v>9.6</v>
      </c>
    </row>
    <row r="21">
      <c r="A21" s="55" t="str">
        <f>IFERROR(__xludf.DUMMYFUNCTION("""COMPUTED_VALUE"""),"Grounded 2 (Game Preview)")</f>
        <v>Grounded 2 (Game Preview)</v>
      </c>
      <c r="B21" s="55" t="str">
        <f>IFERROR(__xludf.DUMMYFUNCTION("""COMPUTED_VALUE"""),"Xbox / PC")</f>
        <v>Xbox / PC</v>
      </c>
      <c r="C21" s="55" t="str">
        <f>IFERROR(__xludf.DUMMYFUNCTION("""COMPUTED_VALUE"""),"Yes")</f>
        <v>Yes</v>
      </c>
      <c r="D21" s="56" t="str">
        <f>IFERROR(__xludf.DUMMYFUNCTION("""COMPUTED_VALUE"""),"Active")</f>
        <v>Active</v>
      </c>
      <c r="E21" s="57">
        <f>IFERROR(__xludf.DUMMYFUNCTION("""COMPUTED_VALUE"""),45867.0)</f>
        <v>45867</v>
      </c>
      <c r="F21" s="58"/>
      <c r="G21" s="60">
        <f>IFERROR(__xludf.DUMMYFUNCTION("""COMPUTED_VALUE"""),14.233333333333334)</f>
        <v>14.23333333</v>
      </c>
      <c r="H21" s="63">
        <f>IFERROR(__xludf.DUMMYFUNCTION("""COMPUTED_VALUE"""),45867.0)</f>
        <v>45867</v>
      </c>
      <c r="I21" s="60">
        <f>IFERROR(__xludf.DUMMYFUNCTION("""COMPUTED_VALUE"""),0.0)</f>
        <v>0</v>
      </c>
      <c r="J21" s="64"/>
      <c r="K21" s="64">
        <f>IFERROR(__xludf.DUMMYFUNCTION("""COMPUTED_VALUE"""),14.0)</f>
        <v>14</v>
      </c>
      <c r="L21" s="55" t="str">
        <f>IFERROR(__xludf.DUMMYFUNCTION("""COMPUTED_VALUE"""),"Sandbox")</f>
        <v>Sandbox</v>
      </c>
      <c r="M21" s="55" t="str">
        <f>IFERROR(__xludf.DUMMYFUNCTION("""COMPUTED_VALUE"""),"Exclusive")</f>
        <v>Exclusive</v>
      </c>
      <c r="N21" s="55"/>
      <c r="O21" s="55"/>
      <c r="P21" s="55"/>
      <c r="Q21" s="55"/>
      <c r="R21" s="56" t="str">
        <f>IFERROR(__xludf.DUMMYFUNCTION("""COMPUTED_VALUE"""),"Active")</f>
        <v>Active</v>
      </c>
      <c r="S21" s="57">
        <f>IFERROR(__xludf.DUMMYFUNCTION("""COMPUTED_VALUE"""),46245.0)</f>
        <v>46245</v>
      </c>
      <c r="T21" s="60">
        <f>IFERROR(__xludf.DUMMYFUNCTION("""COMPUTED_VALUE"""),12.400000000000002)</f>
        <v>12.4</v>
      </c>
    </row>
    <row r="22">
      <c r="A22" s="55" t="str">
        <f>IFERROR(__xludf.DUMMYFUNCTION("""COMPUTED_VALUE"""),"Monsters are Coming! Rock &amp; Road")</f>
        <v>Monsters are Coming! Rock &amp; Road</v>
      </c>
      <c r="B22" s="55" t="str">
        <f>IFERROR(__xludf.DUMMYFUNCTION("""COMPUTED_VALUE"""),"PC")</f>
        <v>PC</v>
      </c>
      <c r="C22" s="55"/>
      <c r="D22" s="56" t="str">
        <f>IFERROR(__xludf.DUMMYFUNCTION("""COMPUTED_VALUE"""),"Active")</f>
        <v>Active</v>
      </c>
      <c r="E22" s="57">
        <f>IFERROR(__xludf.DUMMYFUNCTION("""COMPUTED_VALUE"""),45981.0)</f>
        <v>45981</v>
      </c>
      <c r="F22" s="58"/>
      <c r="G22" s="60">
        <f>IFERROR(__xludf.DUMMYFUNCTION("""COMPUTED_VALUE"""),10.533333333333333)</f>
        <v>10.53333333</v>
      </c>
      <c r="H22" s="63">
        <f>IFERROR(__xludf.DUMMYFUNCTION("""COMPUTED_VALUE"""),45981.0)</f>
        <v>45981</v>
      </c>
      <c r="I22" s="60">
        <f>IFERROR(__xludf.DUMMYFUNCTION("""COMPUTED_VALUE"""),0.0)</f>
        <v>0</v>
      </c>
      <c r="J22" s="64">
        <f>IFERROR(__xludf.DUMMYFUNCTION("""COMPUTED_VALUE"""),79.0)</f>
        <v>79</v>
      </c>
      <c r="K22" s="64">
        <f>IFERROR(__xludf.DUMMYFUNCTION("""COMPUTED_VALUE"""),3.0)</f>
        <v>3</v>
      </c>
      <c r="L22" s="55" t="str">
        <f>IFERROR(__xludf.DUMMYFUNCTION("""COMPUTED_VALUE"""),"Action-Adventure")</f>
        <v>Action-Adventure</v>
      </c>
      <c r="M22" s="55"/>
      <c r="N22" s="55"/>
      <c r="O22" s="55"/>
      <c r="P22" s="55"/>
      <c r="Q22" s="55"/>
      <c r="R22" s="56" t="str">
        <f>IFERROR(__xludf.DUMMYFUNCTION("""COMPUTED_VALUE"""),"Active")</f>
        <v>Active</v>
      </c>
      <c r="S22" s="57">
        <f>IFERROR(__xludf.DUMMYFUNCTION("""COMPUTED_VALUE"""),46240.0)</f>
        <v>46240</v>
      </c>
      <c r="T22" s="60">
        <f>IFERROR(__xludf.DUMMYFUNCTION("""COMPUTED_VALUE"""),8.533333333333333)</f>
        <v>8.533333333</v>
      </c>
    </row>
    <row r="23">
      <c r="A23" s="55" t="str">
        <f>IFERROR(__xludf.DUMMYFUNCTION("""COMPUTED_VALUE"""),"PowerWash Simulator 2")</f>
        <v>PowerWash Simulator 2</v>
      </c>
      <c r="B23" s="55" t="str">
        <f>IFERROR(__xludf.DUMMYFUNCTION("""COMPUTED_VALUE"""),"Xbox / PC")</f>
        <v>Xbox / PC</v>
      </c>
      <c r="C23" s="55" t="str">
        <f>IFERROR(__xludf.DUMMYFUNCTION("""COMPUTED_VALUE"""),"Yes")</f>
        <v>Yes</v>
      </c>
      <c r="D23" s="56" t="str">
        <f>IFERROR(__xludf.DUMMYFUNCTION("""COMPUTED_VALUE"""),"Active")</f>
        <v>Active</v>
      </c>
      <c r="E23" s="57">
        <f>IFERROR(__xludf.DUMMYFUNCTION("""COMPUTED_VALUE"""),45953.0)</f>
        <v>45953</v>
      </c>
      <c r="F23" s="58"/>
      <c r="G23" s="60">
        <f>IFERROR(__xludf.DUMMYFUNCTION("""COMPUTED_VALUE"""),11.433333333333334)</f>
        <v>11.43333333</v>
      </c>
      <c r="H23" s="63">
        <f>IFERROR(__xludf.DUMMYFUNCTION("""COMPUTED_VALUE"""),45953.0)</f>
        <v>45953</v>
      </c>
      <c r="I23" s="60">
        <f>IFERROR(__xludf.DUMMYFUNCTION("""COMPUTED_VALUE"""),0.0)</f>
        <v>0</v>
      </c>
      <c r="J23" s="64">
        <f>IFERROR(__xludf.DUMMYFUNCTION("""COMPUTED_VALUE"""),82.0)</f>
        <v>82</v>
      </c>
      <c r="K23" s="64">
        <f>IFERROR(__xludf.DUMMYFUNCTION("""COMPUTED_VALUE"""),37.0)</f>
        <v>37</v>
      </c>
      <c r="L23" s="55" t="str">
        <f>IFERROR(__xludf.DUMMYFUNCTION("""COMPUTED_VALUE"""),"Simulation")</f>
        <v>Simulation</v>
      </c>
      <c r="M23" s="55" t="str">
        <f>IFERROR(__xludf.DUMMYFUNCTION("""COMPUTED_VALUE"""),"Exclusive")</f>
        <v>Exclusive</v>
      </c>
      <c r="N23" s="55"/>
      <c r="O23" s="55"/>
      <c r="P23" s="55"/>
      <c r="Q23" s="55"/>
      <c r="R23" s="56" t="str">
        <f>IFERROR(__xludf.DUMMYFUNCTION("""COMPUTED_VALUE"""),"Active")</f>
        <v>Active</v>
      </c>
      <c r="S23" s="57">
        <f>IFERROR(__xludf.DUMMYFUNCTION("""COMPUTED_VALUE"""),46240.0)</f>
        <v>46240</v>
      </c>
      <c r="T23" s="60">
        <f>IFERROR(__xludf.DUMMYFUNCTION("""COMPUTED_VALUE"""),9.433333333333334)</f>
        <v>9.433333333</v>
      </c>
    </row>
    <row r="24">
      <c r="A24" s="55" t="str">
        <f>IFERROR(__xludf.DUMMYFUNCTION("""COMPUTED_VALUE"""),"Heretic + Hexen")</f>
        <v>Heretic + Hexen</v>
      </c>
      <c r="B24" s="55" t="str">
        <f>IFERROR(__xludf.DUMMYFUNCTION("""COMPUTED_VALUE"""),"Xbox / PC")</f>
        <v>Xbox / PC</v>
      </c>
      <c r="C24" s="55" t="str">
        <f>IFERROR(__xludf.DUMMYFUNCTION("""COMPUTED_VALUE"""),"Yes")</f>
        <v>Yes</v>
      </c>
      <c r="D24" s="56" t="str">
        <f>IFERROR(__xludf.DUMMYFUNCTION("""COMPUTED_VALUE"""),"Active")</f>
        <v>Active</v>
      </c>
      <c r="E24" s="57">
        <f>IFERROR(__xludf.DUMMYFUNCTION("""COMPUTED_VALUE"""),45876.0)</f>
        <v>45876</v>
      </c>
      <c r="F24" s="58"/>
      <c r="G24" s="60">
        <f>IFERROR(__xludf.DUMMYFUNCTION("""COMPUTED_VALUE"""),13.966666666666669)</f>
        <v>13.96666667</v>
      </c>
      <c r="H24" s="63">
        <f>IFERROR(__xludf.DUMMYFUNCTION("""COMPUTED_VALUE"""),45876.0)</f>
        <v>45876</v>
      </c>
      <c r="I24" s="60">
        <f>IFERROR(__xludf.DUMMYFUNCTION("""COMPUTED_VALUE"""),0.0)</f>
        <v>0</v>
      </c>
      <c r="J24" s="64">
        <f>IFERROR(__xludf.DUMMYFUNCTION("""COMPUTED_VALUE"""),82.0)</f>
        <v>82</v>
      </c>
      <c r="K24" s="64">
        <f>IFERROR(__xludf.DUMMYFUNCTION("""COMPUTED_VALUE"""),27.0)</f>
        <v>27</v>
      </c>
      <c r="L24" s="55" t="str">
        <f>IFERROR(__xludf.DUMMYFUNCTION("""COMPUTED_VALUE"""),"Compilation")</f>
        <v>Compilation</v>
      </c>
      <c r="M24" s="55"/>
      <c r="N24" s="55"/>
      <c r="O24" s="55"/>
      <c r="P24" s="55"/>
      <c r="Q24" s="55"/>
      <c r="R24" s="56" t="str">
        <f>IFERROR(__xludf.DUMMYFUNCTION("""COMPUTED_VALUE"""),"Active")</f>
        <v>Active</v>
      </c>
      <c r="S24" s="57">
        <f>IFERROR(__xludf.DUMMYFUNCTION("""COMPUTED_VALUE"""),46238.0)</f>
        <v>46238</v>
      </c>
      <c r="T24" s="60">
        <f>IFERROR(__xludf.DUMMYFUNCTION("""COMPUTED_VALUE"""),11.9)</f>
        <v>11.9</v>
      </c>
    </row>
    <row r="25">
      <c r="A25" s="55" t="str">
        <f>IFERROR(__xludf.DUMMYFUNCTION("""COMPUTED_VALUE"""),"Hell is Us")</f>
        <v>Hell is Us</v>
      </c>
      <c r="B25" s="55" t="str">
        <f>IFERROR(__xludf.DUMMYFUNCTION("""COMPUTED_VALUE"""),"Xbox / PC")</f>
        <v>Xbox / PC</v>
      </c>
      <c r="C25" s="55" t="str">
        <f>IFERROR(__xludf.DUMMYFUNCTION("""COMPUTED_VALUE"""),"Yes")</f>
        <v>Yes</v>
      </c>
      <c r="D25" s="56" t="str">
        <f>IFERROR(__xludf.DUMMYFUNCTION("""COMPUTED_VALUE"""),"Active")</f>
        <v>Active</v>
      </c>
      <c r="E25" s="57">
        <f>IFERROR(__xludf.DUMMYFUNCTION("""COMPUTED_VALUE"""),46226.0)</f>
        <v>46226</v>
      </c>
      <c r="F25" s="58"/>
      <c r="G25" s="60">
        <f>IFERROR(__xludf.DUMMYFUNCTION("""COMPUTED_VALUE"""),2.4333333333333336)</f>
        <v>2.433333333</v>
      </c>
      <c r="H25" s="63">
        <f>IFERROR(__xludf.DUMMYFUNCTION("""COMPUTED_VALUE"""),45904.0)</f>
        <v>45904</v>
      </c>
      <c r="I25" s="60">
        <f>IFERROR(__xludf.DUMMYFUNCTION("""COMPUTED_VALUE"""),0.8861111111111111)</f>
        <v>0.8861111111</v>
      </c>
      <c r="J25" s="64">
        <f>IFERROR(__xludf.DUMMYFUNCTION("""COMPUTED_VALUE"""),77.0)</f>
        <v>77</v>
      </c>
      <c r="K25" s="64">
        <f>IFERROR(__xludf.DUMMYFUNCTION("""COMPUTED_VALUE"""),18.0)</f>
        <v>18</v>
      </c>
      <c r="L25" s="55" t="str">
        <f>IFERROR(__xludf.DUMMYFUNCTION("""COMPUTED_VALUE"""),"Action-Adventure")</f>
        <v>Action-Adventure</v>
      </c>
      <c r="M25" s="55" t="str">
        <f>IFERROR(__xludf.DUMMYFUNCTION("""COMPUTED_VALUE"""),"Exclusive")</f>
        <v>Exclusive</v>
      </c>
      <c r="N25" s="55"/>
      <c r="O25" s="55"/>
      <c r="P25" s="55"/>
      <c r="Q25" s="55"/>
      <c r="R25" s="56" t="str">
        <f>IFERROR(__xludf.DUMMYFUNCTION("""COMPUTED_VALUE"""),"Active")</f>
        <v>Active</v>
      </c>
      <c r="S25" s="57">
        <f>IFERROR(__xludf.DUMMYFUNCTION("""COMPUTED_VALUE"""),46226.0)</f>
        <v>46226</v>
      </c>
      <c r="T25" s="60">
        <f>IFERROR(__xludf.DUMMYFUNCTION("""COMPUTED_VALUE"""),0.0)</f>
        <v>0</v>
      </c>
    </row>
    <row r="26">
      <c r="A26" s="55" t="str">
        <f>IFERROR(__xludf.DUMMYFUNCTION("""COMPUTED_VALUE"""),"Conker: Live &amp; Reloaded")</f>
        <v>Conker: Live &amp; Reloaded</v>
      </c>
      <c r="B26" s="55" t="str">
        <f>IFERROR(__xludf.DUMMYFUNCTION("""COMPUTED_VALUE"""),"Xbox / PC")</f>
        <v>Xbox / PC</v>
      </c>
      <c r="C26" s="55" t="str">
        <f>IFERROR(__xludf.DUMMYFUNCTION("""COMPUTED_VALUE"""),"Yes")</f>
        <v>Yes</v>
      </c>
      <c r="D26" s="56" t="str">
        <f>IFERROR(__xludf.DUMMYFUNCTION("""COMPUTED_VALUE"""),"Active")</f>
        <v>Active</v>
      </c>
      <c r="E26" s="57">
        <f>IFERROR(__xludf.DUMMYFUNCTION("""COMPUTED_VALUE"""),46225.0)</f>
        <v>46225</v>
      </c>
      <c r="F26" s="58"/>
      <c r="G26" s="60">
        <f>IFERROR(__xludf.DUMMYFUNCTION("""COMPUTED_VALUE"""),2.466666666666667)</f>
        <v>2.466666667</v>
      </c>
      <c r="H26" s="63">
        <f>IFERROR(__xludf.DUMMYFUNCTION("""COMPUTED_VALUE"""),38673.0)</f>
        <v>38673</v>
      </c>
      <c r="I26" s="60">
        <f>IFERROR(__xludf.DUMMYFUNCTION("""COMPUTED_VALUE"""),20.680555555555557)</f>
        <v>20.68055556</v>
      </c>
      <c r="J26" s="64">
        <f>IFERROR(__xludf.DUMMYFUNCTION("""COMPUTED_VALUE"""),82.0)</f>
        <v>82</v>
      </c>
      <c r="K26" s="64">
        <f>IFERROR(__xludf.DUMMYFUNCTION("""COMPUTED_VALUE"""),11.0)</f>
        <v>11</v>
      </c>
      <c r="L26" s="55" t="str">
        <f>IFERROR(__xludf.DUMMYFUNCTION("""COMPUTED_VALUE"""),"Action-Adventure")</f>
        <v>Action-Adventure</v>
      </c>
      <c r="M26" s="55" t="str">
        <f>IFERROR(__xludf.DUMMYFUNCTION("""COMPUTED_VALUE"""),"Enhanced")</f>
        <v>Enhanced</v>
      </c>
      <c r="N26" s="55" t="str">
        <f>IFERROR(__xludf.DUMMYFUNCTION("""COMPUTED_VALUE"""),"XBOX Backward Compatibility on PC (7/22/26)")</f>
        <v>XBOX Backward Compatibility on PC (7/22/26)</v>
      </c>
      <c r="O26" s="55"/>
      <c r="P26" s="55"/>
      <c r="Q26" s="55"/>
      <c r="R26" s="56" t="str">
        <f>IFERROR(__xludf.DUMMYFUNCTION("""COMPUTED_VALUE"""),"Active")</f>
        <v>Active</v>
      </c>
      <c r="S26" s="57">
        <f>IFERROR(__xludf.DUMMYFUNCTION("""COMPUTED_VALUE"""),46225.0)</f>
        <v>46225</v>
      </c>
      <c r="T26" s="60">
        <f>IFERROR(__xludf.DUMMYFUNCTION("""COMPUTED_VALUE"""),0.0)</f>
        <v>0</v>
      </c>
    </row>
    <row r="27">
      <c r="A27" s="55" t="str">
        <f>IFERROR(__xludf.DUMMYFUNCTION("""COMPUTED_VALUE"""),"The Planet Crafter")</f>
        <v>The Planet Crafter</v>
      </c>
      <c r="B27" s="55" t="str">
        <f>IFERROR(__xludf.DUMMYFUNCTION("""COMPUTED_VALUE"""),"Xbox / PC")</f>
        <v>Xbox / PC</v>
      </c>
      <c r="C27" s="55" t="str">
        <f>IFERROR(__xludf.DUMMYFUNCTION("""COMPUTED_VALUE"""),"Yes")</f>
        <v>Yes</v>
      </c>
      <c r="D27" s="56" t="str">
        <f>IFERROR(__xludf.DUMMYFUNCTION("""COMPUTED_VALUE"""),"Active")</f>
        <v>Active</v>
      </c>
      <c r="E27" s="57">
        <f>IFERROR(__xludf.DUMMYFUNCTION("""COMPUTED_VALUE"""),46224.0)</f>
        <v>46224</v>
      </c>
      <c r="F27" s="58"/>
      <c r="G27" s="60">
        <f>IFERROR(__xludf.DUMMYFUNCTION("""COMPUTED_VALUE"""),2.5)</f>
        <v>2.5</v>
      </c>
      <c r="H27" s="63">
        <f>IFERROR(__xludf.DUMMYFUNCTION("""COMPUTED_VALUE"""),44644.0)</f>
        <v>44644</v>
      </c>
      <c r="I27" s="60">
        <f>IFERROR(__xludf.DUMMYFUNCTION("""COMPUTED_VALUE"""),4.325)</f>
        <v>4.325</v>
      </c>
      <c r="J27" s="64">
        <f>IFERROR(__xludf.DUMMYFUNCTION("""COMPUTED_VALUE"""),81.0)</f>
        <v>81</v>
      </c>
      <c r="K27" s="64">
        <f>IFERROR(__xludf.DUMMYFUNCTION("""COMPUTED_VALUE"""),35.0)</f>
        <v>35</v>
      </c>
      <c r="L27" s="55" t="str">
        <f>IFERROR(__xludf.DUMMYFUNCTION("""COMPUTED_VALUE"""),"Sandbox")</f>
        <v>Sandbox</v>
      </c>
      <c r="M27" s="55" t="str">
        <f>IFERROR(__xludf.DUMMYFUNCTION("""COMPUTED_VALUE"""),"Exclusive")</f>
        <v>Exclusive</v>
      </c>
      <c r="N27" s="55"/>
      <c r="O27" s="55"/>
      <c r="P27" s="55"/>
      <c r="Q27" s="55"/>
      <c r="R27" s="56" t="str">
        <f>IFERROR(__xludf.DUMMYFUNCTION("""COMPUTED_VALUE"""),"Active")</f>
        <v>Active</v>
      </c>
      <c r="S27" s="57">
        <f>IFERROR(__xludf.DUMMYFUNCTION("""COMPUTED_VALUE"""),46224.0)</f>
        <v>46224</v>
      </c>
      <c r="T27" s="60">
        <f>IFERROR(__xludf.DUMMYFUNCTION("""COMPUTED_VALUE"""),0.0)</f>
        <v>0</v>
      </c>
    </row>
    <row r="28">
      <c r="A28" s="55" t="str">
        <f>IFERROR(__xludf.DUMMYFUNCTION("""COMPUTED_VALUE"""),"FixForce")</f>
        <v>FixForce</v>
      </c>
      <c r="B28" s="55" t="str">
        <f>IFERROR(__xludf.DUMMYFUNCTION("""COMPUTED_VALUE"""),"Xbox / PC")</f>
        <v>Xbox / PC</v>
      </c>
      <c r="C28" s="55" t="str">
        <f>IFERROR(__xludf.DUMMYFUNCTION("""COMPUTED_VALUE"""),"Yes")</f>
        <v>Yes</v>
      </c>
      <c r="D28" s="56" t="str">
        <f>IFERROR(__xludf.DUMMYFUNCTION("""COMPUTED_VALUE"""),"Active")</f>
        <v>Active</v>
      </c>
      <c r="E28" s="57">
        <f>IFERROR(__xludf.DUMMYFUNCTION("""COMPUTED_VALUE"""),46220.0)</f>
        <v>46220</v>
      </c>
      <c r="F28" s="58"/>
      <c r="G28" s="60">
        <f>IFERROR(__xludf.DUMMYFUNCTION("""COMPUTED_VALUE"""),2.6333333333333333)</f>
        <v>2.633333333</v>
      </c>
      <c r="H28" s="63">
        <f>IFERROR(__xludf.DUMMYFUNCTION("""COMPUTED_VALUE"""),46220.0)</f>
        <v>46220</v>
      </c>
      <c r="I28" s="60">
        <f>IFERROR(__xludf.DUMMYFUNCTION("""COMPUTED_VALUE"""),0.0)</f>
        <v>0</v>
      </c>
      <c r="J28" s="64">
        <f>IFERROR(__xludf.DUMMYFUNCTION("""COMPUTED_VALUE"""),80.0)</f>
        <v>80</v>
      </c>
      <c r="K28" s="64"/>
      <c r="L28" s="55" t="str">
        <f>IFERROR(__xludf.DUMMYFUNCTION("""COMPUTED_VALUE"""),"Platformer")</f>
        <v>Platformer</v>
      </c>
      <c r="M28" s="55" t="str">
        <f>IFERROR(__xludf.DUMMYFUNCTION("""COMPUTED_VALUE"""),"Exclusive")</f>
        <v>Exclusive</v>
      </c>
      <c r="N28" s="55"/>
      <c r="O28" s="55"/>
      <c r="P28" s="55"/>
      <c r="Q28" s="55"/>
      <c r="R28" s="56" t="str">
        <f>IFERROR(__xludf.DUMMYFUNCTION("""COMPUTED_VALUE"""),"Active")</f>
        <v>Active</v>
      </c>
      <c r="S28" s="57">
        <f>IFERROR(__xludf.DUMMYFUNCTION("""COMPUTED_VALUE"""),46220.0)</f>
        <v>46220</v>
      </c>
      <c r="T28" s="60">
        <f>IFERROR(__xludf.DUMMYFUNCTION("""COMPUTED_VALUE"""),0.0)</f>
        <v>0</v>
      </c>
    </row>
    <row r="29">
      <c r="A29" s="55" t="str">
        <f>IFERROR(__xludf.DUMMYFUNCTION("""COMPUTED_VALUE"""),"Mavrix by Matt Jones")</f>
        <v>Mavrix by Matt Jones</v>
      </c>
      <c r="B29" s="55" t="str">
        <f>IFERROR(__xludf.DUMMYFUNCTION("""COMPUTED_VALUE"""),"Xbox / PC")</f>
        <v>Xbox / PC</v>
      </c>
      <c r="C29" s="55" t="str">
        <f>IFERROR(__xludf.DUMMYFUNCTION("""COMPUTED_VALUE"""),"Yes")</f>
        <v>Yes</v>
      </c>
      <c r="D29" s="56" t="str">
        <f>IFERROR(__xludf.DUMMYFUNCTION("""COMPUTED_VALUE"""),"Active")</f>
        <v>Active</v>
      </c>
      <c r="E29" s="57">
        <f>IFERROR(__xludf.DUMMYFUNCTION("""COMPUTED_VALUE"""),46219.0)</f>
        <v>46219</v>
      </c>
      <c r="F29" s="58"/>
      <c r="G29" s="60">
        <f>IFERROR(__xludf.DUMMYFUNCTION("""COMPUTED_VALUE"""),2.6666666666666665)</f>
        <v>2.666666667</v>
      </c>
      <c r="H29" s="63">
        <f>IFERROR(__xludf.DUMMYFUNCTION("""COMPUTED_VALUE"""),46219.0)</f>
        <v>46219</v>
      </c>
      <c r="I29" s="60">
        <f>IFERROR(__xludf.DUMMYFUNCTION("""COMPUTED_VALUE"""),0.0)</f>
        <v>0</v>
      </c>
      <c r="J29" s="64">
        <f>IFERROR(__xludf.DUMMYFUNCTION("""COMPUTED_VALUE"""),78.0)</f>
        <v>78</v>
      </c>
      <c r="K29" s="64"/>
      <c r="L29" s="55" t="str">
        <f>IFERROR(__xludf.DUMMYFUNCTION("""COMPUTED_VALUE"""),"Racing")</f>
        <v>Racing</v>
      </c>
      <c r="M29" s="55" t="str">
        <f>IFERROR(__xludf.DUMMYFUNCTION("""COMPUTED_VALUE"""),"Exclusive")</f>
        <v>Exclusive</v>
      </c>
      <c r="N29" s="55" t="str">
        <f>IFERROR(__xludf.DUMMYFUNCTION("""COMPUTED_VALUE"""),"Handheld Optimized")</f>
        <v>Handheld Optimized</v>
      </c>
      <c r="O29" s="55"/>
      <c r="P29" s="55"/>
      <c r="Q29" s="55"/>
      <c r="R29" s="56" t="str">
        <f>IFERROR(__xludf.DUMMYFUNCTION("""COMPUTED_VALUE"""),"Active")</f>
        <v>Active</v>
      </c>
      <c r="S29" s="57">
        <f>IFERROR(__xludf.DUMMYFUNCTION("""COMPUTED_VALUE"""),46219.0)</f>
        <v>46219</v>
      </c>
      <c r="T29" s="60">
        <f>IFERROR(__xludf.DUMMYFUNCTION("""COMPUTED_VALUE"""),0.0)</f>
        <v>0</v>
      </c>
    </row>
    <row r="30">
      <c r="A30" s="55" t="str">
        <f>IFERROR(__xludf.DUMMYFUNCTION("""COMPUTED_VALUE"""),"PBA Pro Bowling 2026")</f>
        <v>PBA Pro Bowling 2026</v>
      </c>
      <c r="B30" s="55" t="str">
        <f>IFERROR(__xludf.DUMMYFUNCTION("""COMPUTED_VALUE"""),"Xbox / PC")</f>
        <v>Xbox / PC</v>
      </c>
      <c r="C30" s="55" t="str">
        <f>IFERROR(__xludf.DUMMYFUNCTION("""COMPUTED_VALUE"""),"Yes")</f>
        <v>Yes</v>
      </c>
      <c r="D30" s="56" t="str">
        <f>IFERROR(__xludf.DUMMYFUNCTION("""COMPUTED_VALUE"""),"Active")</f>
        <v>Active</v>
      </c>
      <c r="E30" s="57">
        <f>IFERROR(__xludf.DUMMYFUNCTION("""COMPUTED_VALUE"""),46217.0)</f>
        <v>46217</v>
      </c>
      <c r="F30" s="58"/>
      <c r="G30" s="60">
        <f>IFERROR(__xludf.DUMMYFUNCTION("""COMPUTED_VALUE"""),2.7333333333333334)</f>
        <v>2.733333333</v>
      </c>
      <c r="H30" s="63">
        <f>IFERROR(__xludf.DUMMYFUNCTION("""COMPUTED_VALUE"""),46217.0)</f>
        <v>46217</v>
      </c>
      <c r="I30" s="60">
        <f>IFERROR(__xludf.DUMMYFUNCTION("""COMPUTED_VALUE"""),0.0)</f>
        <v>0</v>
      </c>
      <c r="J30" s="64">
        <f>IFERROR(__xludf.DUMMYFUNCTION("""COMPUTED_VALUE"""),70.0)</f>
        <v>70</v>
      </c>
      <c r="K30" s="64">
        <f>IFERROR(__xludf.DUMMYFUNCTION("""COMPUTED_VALUE"""),5.0)</f>
        <v>5</v>
      </c>
      <c r="L30" s="55" t="str">
        <f>IFERROR(__xludf.DUMMYFUNCTION("""COMPUTED_VALUE"""),"Sports")</f>
        <v>Sports</v>
      </c>
      <c r="M30" s="55" t="str">
        <f>IFERROR(__xludf.DUMMYFUNCTION("""COMPUTED_VALUE"""),"Exclusive")</f>
        <v>Exclusive</v>
      </c>
      <c r="N30" s="55"/>
      <c r="O30" s="55"/>
      <c r="P30" s="55"/>
      <c r="Q30" s="55"/>
      <c r="R30" s="56" t="str">
        <f>IFERROR(__xludf.DUMMYFUNCTION("""COMPUTED_VALUE"""),"Active")</f>
        <v>Active</v>
      </c>
      <c r="S30" s="57">
        <f>IFERROR(__xludf.DUMMYFUNCTION("""COMPUTED_VALUE"""),46217.0)</f>
        <v>46217</v>
      </c>
      <c r="T30" s="60">
        <f>IFERROR(__xludf.DUMMYFUNCTION("""COMPUTED_VALUE"""),0.0)</f>
        <v>0</v>
      </c>
    </row>
    <row r="31">
      <c r="A31" s="55" t="str">
        <f>IFERROR(__xludf.DUMMYFUNCTION("""COMPUTED_VALUE"""),"Tamashika")</f>
        <v>Tamashika</v>
      </c>
      <c r="B31" s="55" t="str">
        <f>IFERROR(__xludf.DUMMYFUNCTION("""COMPUTED_VALUE"""),"Xbox / PC")</f>
        <v>Xbox / PC</v>
      </c>
      <c r="C31" s="55" t="str">
        <f>IFERROR(__xludf.DUMMYFUNCTION("""COMPUTED_VALUE"""),"Yes")</f>
        <v>Yes</v>
      </c>
      <c r="D31" s="56" t="str">
        <f>IFERROR(__xludf.DUMMYFUNCTION("""COMPUTED_VALUE"""),"Active")</f>
        <v>Active</v>
      </c>
      <c r="E31" s="57">
        <f>IFERROR(__xludf.DUMMYFUNCTION("""COMPUTED_VALUE"""),46212.0)</f>
        <v>46212</v>
      </c>
      <c r="F31" s="58"/>
      <c r="G31" s="60">
        <f>IFERROR(__xludf.DUMMYFUNCTION("""COMPUTED_VALUE"""),2.9)</f>
        <v>2.9</v>
      </c>
      <c r="H31" s="63">
        <f>IFERROR(__xludf.DUMMYFUNCTION("""COMPUTED_VALUE"""),46122.0)</f>
        <v>46122</v>
      </c>
      <c r="I31" s="60">
        <f>IFERROR(__xludf.DUMMYFUNCTION("""COMPUTED_VALUE"""),0.24722222222222223)</f>
        <v>0.2472222222</v>
      </c>
      <c r="J31" s="64">
        <f>IFERROR(__xludf.DUMMYFUNCTION("""COMPUTED_VALUE"""),79.0)</f>
        <v>79</v>
      </c>
      <c r="K31" s="64">
        <f>IFERROR(__xludf.DUMMYFUNCTION("""COMPUTED_VALUE"""),2.0)</f>
        <v>2</v>
      </c>
      <c r="L31" s="55" t="str">
        <f>IFERROR(__xludf.DUMMYFUNCTION("""COMPUTED_VALUE"""),"Shooter")</f>
        <v>Shooter</v>
      </c>
      <c r="M31" s="55" t="str">
        <f>IFERROR(__xludf.DUMMYFUNCTION("""COMPUTED_VALUE"""),"Exclusive")</f>
        <v>Exclusive</v>
      </c>
      <c r="N31" s="55" t="str">
        <f>IFERROR(__xludf.DUMMYFUNCTION("""COMPUTED_VALUE"""),"Handheld Optimized")</f>
        <v>Handheld Optimized</v>
      </c>
      <c r="O31" s="55"/>
      <c r="P31" s="55"/>
      <c r="Q31" s="55"/>
      <c r="R31" s="56" t="str">
        <f>IFERROR(__xludf.DUMMYFUNCTION("""COMPUTED_VALUE"""),"Active")</f>
        <v>Active</v>
      </c>
      <c r="S31" s="57">
        <f>IFERROR(__xludf.DUMMYFUNCTION("""COMPUTED_VALUE"""),46212.0)</f>
        <v>46212</v>
      </c>
      <c r="T31" s="60">
        <f>IFERROR(__xludf.DUMMYFUNCTION("""COMPUTED_VALUE"""),0.0)</f>
        <v>0</v>
      </c>
    </row>
    <row r="32">
      <c r="A32" s="55" t="str">
        <f>IFERROR(__xludf.DUMMYFUNCTION("""COMPUTED_VALUE"""),"Buckshot Roulette")</f>
        <v>Buckshot Roulette</v>
      </c>
      <c r="B32" s="55" t="str">
        <f>IFERROR(__xludf.DUMMYFUNCTION("""COMPUTED_VALUE"""),"Xbox / PC")</f>
        <v>Xbox / PC</v>
      </c>
      <c r="C32" s="55" t="str">
        <f>IFERROR(__xludf.DUMMYFUNCTION("""COMPUTED_VALUE"""),"Yes")</f>
        <v>Yes</v>
      </c>
      <c r="D32" s="56" t="str">
        <f>IFERROR(__xludf.DUMMYFUNCTION("""COMPUTED_VALUE"""),"Active")</f>
        <v>Active</v>
      </c>
      <c r="E32" s="57">
        <f>IFERROR(__xludf.DUMMYFUNCTION("""COMPUTED_VALUE"""),46211.0)</f>
        <v>46211</v>
      </c>
      <c r="F32" s="58"/>
      <c r="G32" s="60">
        <f>IFERROR(__xludf.DUMMYFUNCTION("""COMPUTED_VALUE"""),2.933333333333333)</f>
        <v>2.933333333</v>
      </c>
      <c r="H32" s="63">
        <f>IFERROR(__xludf.DUMMYFUNCTION("""COMPUTED_VALUE"""),45288.0)</f>
        <v>45288</v>
      </c>
      <c r="I32" s="60">
        <f>IFERROR(__xludf.DUMMYFUNCTION("""COMPUTED_VALUE"""),2.5277777777777777)</f>
        <v>2.527777778</v>
      </c>
      <c r="J32" s="64">
        <f>IFERROR(__xludf.DUMMYFUNCTION("""COMPUTED_VALUE"""),85.0)</f>
        <v>85</v>
      </c>
      <c r="K32" s="64">
        <f>IFERROR(__xludf.DUMMYFUNCTION("""COMPUTED_VALUE"""),1.0)</f>
        <v>1</v>
      </c>
      <c r="L32" s="55" t="str">
        <f>IFERROR(__xludf.DUMMYFUNCTION("""COMPUTED_VALUE"""),"Strategy")</f>
        <v>Strategy</v>
      </c>
      <c r="M32" s="55"/>
      <c r="N32" s="55"/>
      <c r="O32" s="55"/>
      <c r="P32" s="55"/>
      <c r="Q32" s="55"/>
      <c r="R32" s="56" t="str">
        <f>IFERROR(__xludf.DUMMYFUNCTION("""COMPUTED_VALUE"""),"Active")</f>
        <v>Active</v>
      </c>
      <c r="S32" s="57">
        <f>IFERROR(__xludf.DUMMYFUNCTION("""COMPUTED_VALUE"""),46211.0)</f>
        <v>46211</v>
      </c>
      <c r="T32" s="60">
        <f>IFERROR(__xludf.DUMMYFUNCTION("""COMPUTED_VALUE"""),0.0)</f>
        <v>0</v>
      </c>
    </row>
    <row r="33">
      <c r="A33" s="55" t="str">
        <f>IFERROR(__xludf.DUMMYFUNCTION("""COMPUTED_VALUE"""),"Winds of Arcana: Ruination")</f>
        <v>Winds of Arcana: Ruination</v>
      </c>
      <c r="B33" s="55" t="str">
        <f>IFERROR(__xludf.DUMMYFUNCTION("""COMPUTED_VALUE"""),"Xbox / PC")</f>
        <v>Xbox / PC</v>
      </c>
      <c r="C33" s="55" t="str">
        <f>IFERROR(__xludf.DUMMYFUNCTION("""COMPUTED_VALUE"""),"Yes")</f>
        <v>Yes</v>
      </c>
      <c r="D33" s="56" t="str">
        <f>IFERROR(__xludf.DUMMYFUNCTION("""COMPUTED_VALUE"""),"Active")</f>
        <v>Active</v>
      </c>
      <c r="E33" s="57">
        <f>IFERROR(__xludf.DUMMYFUNCTION("""COMPUTED_VALUE"""),46209.0)</f>
        <v>46209</v>
      </c>
      <c r="F33" s="58"/>
      <c r="G33" s="60">
        <f>IFERROR(__xludf.DUMMYFUNCTION("""COMPUTED_VALUE"""),3.0)</f>
        <v>3</v>
      </c>
      <c r="H33" s="63">
        <f>IFERROR(__xludf.DUMMYFUNCTION("""COMPUTED_VALUE"""),45975.0)</f>
        <v>45975</v>
      </c>
      <c r="I33" s="60">
        <f>IFERROR(__xludf.DUMMYFUNCTION("""COMPUTED_VALUE"""),0.6444444444444445)</f>
        <v>0.6444444444</v>
      </c>
      <c r="J33" s="64">
        <f>IFERROR(__xludf.DUMMYFUNCTION("""COMPUTED_VALUE"""),72.0)</f>
        <v>72</v>
      </c>
      <c r="K33" s="64">
        <f>IFERROR(__xludf.DUMMYFUNCTION("""COMPUTED_VALUE"""),9.0)</f>
        <v>9</v>
      </c>
      <c r="L33" s="55" t="str">
        <f>IFERROR(__xludf.DUMMYFUNCTION("""COMPUTED_VALUE"""),"RPG")</f>
        <v>RPG</v>
      </c>
      <c r="M33" s="55"/>
      <c r="N33" s="55" t="str">
        <f>IFERROR(__xludf.DUMMYFUNCTION("""COMPUTED_VALUE"""),"Handheld Optimized")</f>
        <v>Handheld Optimized</v>
      </c>
      <c r="O33" s="55"/>
      <c r="P33" s="55"/>
      <c r="Q33" s="55"/>
      <c r="R33" s="56" t="str">
        <f>IFERROR(__xludf.DUMMYFUNCTION("""COMPUTED_VALUE"""),"Active")</f>
        <v>Active</v>
      </c>
      <c r="S33" s="57">
        <f>IFERROR(__xludf.DUMMYFUNCTION("""COMPUTED_VALUE"""),46209.0)</f>
        <v>46209</v>
      </c>
      <c r="T33" s="60">
        <f>IFERROR(__xludf.DUMMYFUNCTION("""COMPUTED_VALUE"""),0.0)</f>
        <v>0</v>
      </c>
    </row>
    <row r="34">
      <c r="A34" s="55" t="str">
        <f>IFERROR(__xludf.DUMMYFUNCTION("""COMPUTED_VALUE"""),"Tony Hawk's Pro Skater 3 + 4")</f>
        <v>Tony Hawk's Pro Skater 3 + 4</v>
      </c>
      <c r="B34" s="55" t="str">
        <f>IFERROR(__xludf.DUMMYFUNCTION("""COMPUTED_VALUE"""),"Xbox / PC")</f>
        <v>Xbox / PC</v>
      </c>
      <c r="C34" s="55" t="str">
        <f>IFERROR(__xludf.DUMMYFUNCTION("""COMPUTED_VALUE"""),"Yes")</f>
        <v>Yes</v>
      </c>
      <c r="D34" s="56" t="str">
        <f>IFERROR(__xludf.DUMMYFUNCTION("""COMPUTED_VALUE"""),"Active")</f>
        <v>Active</v>
      </c>
      <c r="E34" s="57">
        <f>IFERROR(__xludf.DUMMYFUNCTION("""COMPUTED_VALUE"""),45849.0)</f>
        <v>45849</v>
      </c>
      <c r="F34" s="58"/>
      <c r="G34" s="60">
        <f>IFERROR(__xludf.DUMMYFUNCTION("""COMPUTED_VALUE"""),14.833333333333334)</f>
        <v>14.83333333</v>
      </c>
      <c r="H34" s="63">
        <f>IFERROR(__xludf.DUMMYFUNCTION("""COMPUTED_VALUE"""),45849.0)</f>
        <v>45849</v>
      </c>
      <c r="I34" s="60">
        <f>IFERROR(__xludf.DUMMYFUNCTION("""COMPUTED_VALUE"""),0.0)</f>
        <v>0</v>
      </c>
      <c r="J34" s="64">
        <f>IFERROR(__xludf.DUMMYFUNCTION("""COMPUTED_VALUE"""),82.0)</f>
        <v>82</v>
      </c>
      <c r="K34" s="64">
        <f>IFERROR(__xludf.DUMMYFUNCTION("""COMPUTED_VALUE"""),18.0)</f>
        <v>18</v>
      </c>
      <c r="L34" s="55" t="str">
        <f>IFERROR(__xludf.DUMMYFUNCTION("""COMPUTED_VALUE"""),"Skating")</f>
        <v>Skating</v>
      </c>
      <c r="M34" s="55"/>
      <c r="N34" s="55"/>
      <c r="O34" s="55"/>
      <c r="P34" s="55"/>
      <c r="Q34" s="55"/>
      <c r="R34" s="56" t="str">
        <f>IFERROR(__xludf.DUMMYFUNCTION("""COMPUTED_VALUE"""),"Active")</f>
        <v>Active</v>
      </c>
      <c r="S34" s="57">
        <f>IFERROR(__xludf.DUMMYFUNCTION("""COMPUTED_VALUE"""),46205.0)</f>
        <v>46205</v>
      </c>
      <c r="T34" s="60">
        <f>IFERROR(__xludf.DUMMYFUNCTION("""COMPUTED_VALUE"""),11.7)</f>
        <v>11.7</v>
      </c>
    </row>
    <row r="35">
      <c r="A35" s="55" t="str">
        <f>IFERROR(__xludf.DUMMYFUNCTION("""COMPUTED_VALUE"""),"RV There Yet?")</f>
        <v>RV There Yet?</v>
      </c>
      <c r="B35" s="55" t="str">
        <f>IFERROR(__xludf.DUMMYFUNCTION("""COMPUTED_VALUE"""),"Xbox / PC")</f>
        <v>Xbox / PC</v>
      </c>
      <c r="C35" s="55" t="str">
        <f>IFERROR(__xludf.DUMMYFUNCTION("""COMPUTED_VALUE"""),"Yes")</f>
        <v>Yes</v>
      </c>
      <c r="D35" s="56" t="str">
        <f>IFERROR(__xludf.DUMMYFUNCTION("""COMPUTED_VALUE"""),"Active")</f>
        <v>Active</v>
      </c>
      <c r="E35" s="57">
        <f>IFERROR(__xludf.DUMMYFUNCTION("""COMPUTED_VALUE"""),46203.0)</f>
        <v>46203</v>
      </c>
      <c r="F35" s="58"/>
      <c r="G35" s="60">
        <f>IFERROR(__xludf.DUMMYFUNCTION("""COMPUTED_VALUE"""),3.2)</f>
        <v>3.2</v>
      </c>
      <c r="H35" s="63">
        <f>IFERROR(__xludf.DUMMYFUNCTION("""COMPUTED_VALUE"""),46203.0)</f>
        <v>46203</v>
      </c>
      <c r="I35" s="60">
        <f>IFERROR(__xludf.DUMMYFUNCTION("""COMPUTED_VALUE"""),0.0)</f>
        <v>0</v>
      </c>
      <c r="J35" s="64">
        <f>IFERROR(__xludf.DUMMYFUNCTION("""COMPUTED_VALUE"""),71.0)</f>
        <v>71</v>
      </c>
      <c r="K35" s="64">
        <f>IFERROR(__xludf.DUMMYFUNCTION("""COMPUTED_VALUE"""),4.0)</f>
        <v>4</v>
      </c>
      <c r="L35" s="55" t="str">
        <f>IFERROR(__xludf.DUMMYFUNCTION("""COMPUTED_VALUE"""),"Action-Adventure")</f>
        <v>Action-Adventure</v>
      </c>
      <c r="M35" s="55" t="str">
        <f>IFERROR(__xludf.DUMMYFUNCTION("""COMPUTED_VALUE"""),"Exclusive")</f>
        <v>Exclusive</v>
      </c>
      <c r="N35" s="55"/>
      <c r="O35" s="55"/>
      <c r="P35" s="55"/>
      <c r="Q35" s="55"/>
      <c r="R35" s="56" t="str">
        <f>IFERROR(__xludf.DUMMYFUNCTION("""COMPUTED_VALUE"""),"Active")</f>
        <v>Active</v>
      </c>
      <c r="S35" s="57">
        <f>IFERROR(__xludf.DUMMYFUNCTION("""COMPUTED_VALUE"""),46203.0)</f>
        <v>46203</v>
      </c>
      <c r="T35" s="60">
        <f>IFERROR(__xludf.DUMMYFUNCTION("""COMPUTED_VALUE"""),0.0)</f>
        <v>0</v>
      </c>
    </row>
    <row r="36">
      <c r="A36" s="55" t="str">
        <f>IFERROR(__xludf.DUMMYFUNCTION("""COMPUTED_VALUE"""),"Abyssus")</f>
        <v>Abyssus</v>
      </c>
      <c r="B36" s="55" t="str">
        <f>IFERROR(__xludf.DUMMYFUNCTION("""COMPUTED_VALUE"""),"Xbox / PC")</f>
        <v>Xbox / PC</v>
      </c>
      <c r="C36" s="55" t="str">
        <f>IFERROR(__xludf.DUMMYFUNCTION("""COMPUTED_VALUE"""),"Yes")</f>
        <v>Yes</v>
      </c>
      <c r="D36" s="56" t="str">
        <f>IFERROR(__xludf.DUMMYFUNCTION("""COMPUTED_VALUE"""),"Active")</f>
        <v>Active</v>
      </c>
      <c r="E36" s="57">
        <f>IFERROR(__xludf.DUMMYFUNCTION("""COMPUTED_VALUE"""),46198.0)</f>
        <v>46198</v>
      </c>
      <c r="F36" s="58"/>
      <c r="G36" s="60">
        <f>IFERROR(__xludf.DUMMYFUNCTION("""COMPUTED_VALUE"""),3.3666666666666667)</f>
        <v>3.366666667</v>
      </c>
      <c r="H36" s="63">
        <f>IFERROR(__xludf.DUMMYFUNCTION("""COMPUTED_VALUE"""),46198.0)</f>
        <v>46198</v>
      </c>
      <c r="I36" s="60">
        <f>IFERROR(__xludf.DUMMYFUNCTION("""COMPUTED_VALUE"""),0.0)</f>
        <v>0</v>
      </c>
      <c r="J36" s="64">
        <f>IFERROR(__xludf.DUMMYFUNCTION("""COMPUTED_VALUE"""),80.0)</f>
        <v>80</v>
      </c>
      <c r="K36" s="64">
        <f>IFERROR(__xludf.DUMMYFUNCTION("""COMPUTED_VALUE"""),25.0)</f>
        <v>25</v>
      </c>
      <c r="L36" s="55" t="str">
        <f>IFERROR(__xludf.DUMMYFUNCTION("""COMPUTED_VALUE"""),"Shooter")</f>
        <v>Shooter</v>
      </c>
      <c r="M36" s="55" t="str">
        <f>IFERROR(__xludf.DUMMYFUNCTION("""COMPUTED_VALUE"""),"Exclusive")</f>
        <v>Exclusive</v>
      </c>
      <c r="N36" s="55"/>
      <c r="O36" s="55"/>
      <c r="P36" s="55"/>
      <c r="Q36" s="55"/>
      <c r="R36" s="56" t="str">
        <f>IFERROR(__xludf.DUMMYFUNCTION("""COMPUTED_VALUE"""),"Active")</f>
        <v>Active</v>
      </c>
      <c r="S36" s="57">
        <f>IFERROR(__xludf.DUMMYFUNCTION("""COMPUTED_VALUE"""),46198.0)</f>
        <v>46198</v>
      </c>
      <c r="T36" s="60">
        <f>IFERROR(__xludf.DUMMYFUNCTION("""COMPUTED_VALUE"""),0.0)</f>
        <v>0</v>
      </c>
    </row>
    <row r="37">
      <c r="A37" s="55" t="str">
        <f>IFERROR(__xludf.DUMMYFUNCTION("""COMPUTED_VALUE"""),"Call of Duty: Vanguard")</f>
        <v>Call of Duty: Vanguard</v>
      </c>
      <c r="B37" s="55" t="str">
        <f>IFERROR(__xludf.DUMMYFUNCTION("""COMPUTED_VALUE"""),"Xbox / PC")</f>
        <v>Xbox / PC</v>
      </c>
      <c r="C37" s="55" t="str">
        <f>IFERROR(__xludf.DUMMYFUNCTION("""COMPUTED_VALUE"""),"Yes")</f>
        <v>Yes</v>
      </c>
      <c r="D37" s="56" t="str">
        <f>IFERROR(__xludf.DUMMYFUNCTION("""COMPUTED_VALUE"""),"Active")</f>
        <v>Active</v>
      </c>
      <c r="E37" s="57">
        <f>IFERROR(__xludf.DUMMYFUNCTION("""COMPUTED_VALUE"""),46190.0)</f>
        <v>46190</v>
      </c>
      <c r="F37" s="58"/>
      <c r="G37" s="60">
        <f>IFERROR(__xludf.DUMMYFUNCTION("""COMPUTED_VALUE"""),3.633333333333333)</f>
        <v>3.633333333</v>
      </c>
      <c r="H37" s="63">
        <f>IFERROR(__xludf.DUMMYFUNCTION("""COMPUTED_VALUE"""),44504.0)</f>
        <v>44504</v>
      </c>
      <c r="I37" s="60">
        <f>IFERROR(__xludf.DUMMYFUNCTION("""COMPUTED_VALUE"""),4.6194444444444445)</f>
        <v>4.619444444</v>
      </c>
      <c r="J37" s="64">
        <f>IFERROR(__xludf.DUMMYFUNCTION("""COMPUTED_VALUE"""),73.0)</f>
        <v>73</v>
      </c>
      <c r="K37" s="64">
        <f>IFERROR(__xludf.DUMMYFUNCTION("""COMPUTED_VALUE"""),6.0)</f>
        <v>6</v>
      </c>
      <c r="L37" s="55" t="str">
        <f>IFERROR(__xludf.DUMMYFUNCTION("""COMPUTED_VALUE"""),"Shooter")</f>
        <v>Shooter</v>
      </c>
      <c r="M37" s="55"/>
      <c r="N37" s="55"/>
      <c r="O37" s="55"/>
      <c r="P37" s="55"/>
      <c r="Q37" s="55"/>
      <c r="R37" s="56" t="str">
        <f>IFERROR(__xludf.DUMMYFUNCTION("""COMPUTED_VALUE"""),"Active")</f>
        <v>Active</v>
      </c>
      <c r="S37" s="57">
        <f>IFERROR(__xludf.DUMMYFUNCTION("""COMPUTED_VALUE"""),46190.0)</f>
        <v>46190</v>
      </c>
      <c r="T37" s="60">
        <f>IFERROR(__xludf.DUMMYFUNCTION("""COMPUTED_VALUE"""),0.0)</f>
        <v>0</v>
      </c>
    </row>
    <row r="38">
      <c r="A38" s="55" t="str">
        <f>IFERROR(__xludf.DUMMYFUNCTION("""COMPUTED_VALUE"""),"Persona 5 Royal")</f>
        <v>Persona 5 Royal</v>
      </c>
      <c r="B38" s="55" t="str">
        <f>IFERROR(__xludf.DUMMYFUNCTION("""COMPUTED_VALUE"""),"Xbox / PC")</f>
        <v>Xbox / PC</v>
      </c>
      <c r="C38" s="55" t="str">
        <f>IFERROR(__xludf.DUMMYFUNCTION("""COMPUTED_VALUE"""),"Touch Controls")</f>
        <v>Touch Controls</v>
      </c>
      <c r="D38" s="56" t="str">
        <f>IFERROR(__xludf.DUMMYFUNCTION("""COMPUTED_VALUE"""),"Active")</f>
        <v>Active</v>
      </c>
      <c r="E38" s="57">
        <f>IFERROR(__xludf.DUMMYFUNCTION("""COMPUTED_VALUE"""),46182.0)</f>
        <v>46182</v>
      </c>
      <c r="F38" s="58"/>
      <c r="G38" s="60">
        <f>IFERROR(__xludf.DUMMYFUNCTION("""COMPUTED_VALUE"""),3.9000000000000004)</f>
        <v>3.9</v>
      </c>
      <c r="H38" s="63">
        <f>IFERROR(__xludf.DUMMYFUNCTION("""COMPUTED_VALUE"""),43921.0)</f>
        <v>43921</v>
      </c>
      <c r="I38" s="60">
        <f>IFERROR(__xludf.DUMMYFUNCTION("""COMPUTED_VALUE"""),6.191666666666666)</f>
        <v>6.191666667</v>
      </c>
      <c r="J38" s="64">
        <f>IFERROR(__xludf.DUMMYFUNCTION("""COMPUTED_VALUE"""),95.0)</f>
        <v>95</v>
      </c>
      <c r="K38" s="64">
        <f>IFERROR(__xludf.DUMMYFUNCTION("""COMPUTED_VALUE"""),101.0)</f>
        <v>101</v>
      </c>
      <c r="L38" s="55" t="str">
        <f>IFERROR(__xludf.DUMMYFUNCTION("""COMPUTED_VALUE"""),"RPG")</f>
        <v>RPG</v>
      </c>
      <c r="M38" s="55"/>
      <c r="N38" s="55" t="str">
        <f>IFERROR(__xludf.DUMMYFUNCTION("""COMPUTED_VALUE"""),"Returning title: Added 10/21/22, left 10/31/23")</f>
        <v>Returning title: Added 10/21/22, left 10/31/23</v>
      </c>
      <c r="O38" s="55"/>
      <c r="P38" s="55"/>
      <c r="Q38" s="55"/>
      <c r="R38" s="56" t="str">
        <f>IFERROR(__xludf.DUMMYFUNCTION("""COMPUTED_VALUE"""),"Active")</f>
        <v>Active</v>
      </c>
      <c r="S38" s="57">
        <f>IFERROR(__xludf.DUMMYFUNCTION("""COMPUTED_VALUE"""),46182.0)</f>
        <v>46182</v>
      </c>
      <c r="T38" s="60">
        <f>IFERROR(__xludf.DUMMYFUNCTION("""COMPUTED_VALUE"""),0.0)</f>
        <v>0</v>
      </c>
    </row>
    <row r="39">
      <c r="A39" s="55" t="str">
        <f>IFERROR(__xludf.DUMMYFUNCTION("""COMPUTED_VALUE"""),"Undisputed")</f>
        <v>Undisputed</v>
      </c>
      <c r="B39" s="55" t="str">
        <f>IFERROR(__xludf.DUMMYFUNCTION("""COMPUTED_VALUE"""),"Xbox / PC")</f>
        <v>Xbox / PC</v>
      </c>
      <c r="C39" s="55" t="str">
        <f>IFERROR(__xludf.DUMMYFUNCTION("""COMPUTED_VALUE"""),"Yes")</f>
        <v>Yes</v>
      </c>
      <c r="D39" s="56" t="str">
        <f>IFERROR(__xludf.DUMMYFUNCTION("""COMPUTED_VALUE"""),"Active")</f>
        <v>Active</v>
      </c>
      <c r="E39" s="57">
        <f>IFERROR(__xludf.DUMMYFUNCTION("""COMPUTED_VALUE"""),46181.0)</f>
        <v>46181</v>
      </c>
      <c r="F39" s="58"/>
      <c r="G39" s="60">
        <f>IFERROR(__xludf.DUMMYFUNCTION("""COMPUTED_VALUE"""),3.9333333333333336)</f>
        <v>3.933333333</v>
      </c>
      <c r="H39" s="63">
        <f>IFERROR(__xludf.DUMMYFUNCTION("""COMPUTED_VALUE"""),45576.0)</f>
        <v>45576</v>
      </c>
      <c r="I39" s="60">
        <f>IFERROR(__xludf.DUMMYFUNCTION("""COMPUTED_VALUE"""),1.6583333333333334)</f>
        <v>1.658333333</v>
      </c>
      <c r="J39" s="64">
        <f>IFERROR(__xludf.DUMMYFUNCTION("""COMPUTED_VALUE"""),73.0)</f>
        <v>73</v>
      </c>
      <c r="K39" s="64">
        <f>IFERROR(__xludf.DUMMYFUNCTION("""COMPUTED_VALUE"""),15.0)</f>
        <v>15</v>
      </c>
      <c r="L39" s="55" t="str">
        <f>IFERROR(__xludf.DUMMYFUNCTION("""COMPUTED_VALUE"""),"Sports")</f>
        <v>Sports</v>
      </c>
      <c r="M39" s="55" t="str">
        <f>IFERROR(__xludf.DUMMYFUNCTION("""COMPUTED_VALUE"""),"Exclusive")</f>
        <v>Exclusive</v>
      </c>
      <c r="N39" s="55" t="str">
        <f>IFERROR(__xludf.DUMMYFUNCTION("""COMPUTED_VALUE"""),"Handheld Optimized")</f>
        <v>Handheld Optimized</v>
      </c>
      <c r="O39" s="55"/>
      <c r="P39" s="55"/>
      <c r="Q39" s="55"/>
      <c r="R39" s="56" t="str">
        <f>IFERROR(__xludf.DUMMYFUNCTION("""COMPUTED_VALUE"""),"Active")</f>
        <v>Active</v>
      </c>
      <c r="S39" s="57">
        <f>IFERROR(__xludf.DUMMYFUNCTION("""COMPUTED_VALUE"""),46181.0)</f>
        <v>46181</v>
      </c>
      <c r="T39" s="60">
        <f>IFERROR(__xludf.DUMMYFUNCTION("""COMPUTED_VALUE"""),0.0)</f>
        <v>0</v>
      </c>
    </row>
    <row r="40">
      <c r="A40" s="55" t="str">
        <f>IFERROR(__xludf.DUMMYFUNCTION("""COMPUTED_VALUE"""),"Wo Long: Fallen Dynasty")</f>
        <v>Wo Long: Fallen Dynasty</v>
      </c>
      <c r="B40" s="55" t="str">
        <f>IFERROR(__xludf.DUMMYFUNCTION("""COMPUTED_VALUE"""),"Xbox / PC")</f>
        <v>Xbox / PC</v>
      </c>
      <c r="C40" s="55" t="str">
        <f>IFERROR(__xludf.DUMMYFUNCTION("""COMPUTED_VALUE"""),"Yes")</f>
        <v>Yes</v>
      </c>
      <c r="D40" s="56" t="str">
        <f>IFERROR(__xludf.DUMMYFUNCTION("""COMPUTED_VALUE"""),"Active")</f>
        <v>Active</v>
      </c>
      <c r="E40" s="57">
        <f>IFERROR(__xludf.DUMMYFUNCTION("""COMPUTED_VALUE"""),46180.0)</f>
        <v>46180</v>
      </c>
      <c r="F40" s="58"/>
      <c r="G40" s="60">
        <f>IFERROR(__xludf.DUMMYFUNCTION("""COMPUTED_VALUE"""),3.966666666666667)</f>
        <v>3.966666667</v>
      </c>
      <c r="H40" s="63">
        <f>IFERROR(__xludf.DUMMYFUNCTION("""COMPUTED_VALUE"""),44988.0)</f>
        <v>44988</v>
      </c>
      <c r="I40" s="60">
        <f>IFERROR(__xludf.DUMMYFUNCTION("""COMPUTED_VALUE"""),3.261111111111111)</f>
        <v>3.261111111</v>
      </c>
      <c r="J40" s="64">
        <f>IFERROR(__xludf.DUMMYFUNCTION("""COMPUTED_VALUE"""),80.0)</f>
        <v>80</v>
      </c>
      <c r="K40" s="64">
        <f>IFERROR(__xludf.DUMMYFUNCTION("""COMPUTED_VALUE"""),29.0)</f>
        <v>29</v>
      </c>
      <c r="L40" s="55" t="str">
        <f>IFERROR(__xludf.DUMMYFUNCTION("""COMPUTED_VALUE"""),"Action")</f>
        <v>Action</v>
      </c>
      <c r="M40" s="55"/>
      <c r="N40" s="55" t="str">
        <f>IFERROR(__xludf.DUMMYFUNCTION("""COMPUTED_VALUE"""),"Returning title: Added 3/3/23, left 2/28/25")</f>
        <v>Returning title: Added 3/3/23, left 2/28/25</v>
      </c>
      <c r="O40" s="55" t="str">
        <f>IFERROR(__xludf.DUMMYFUNCTION("""COMPUTED_VALUE"""),"M")</f>
        <v>M</v>
      </c>
      <c r="P40" s="55" t="str">
        <f>IFERROR(__xludf.DUMMYFUNCTION("""COMPUTED_VALUE"""),"Blood and Gore, Violence")</f>
        <v>Blood and Gore, Violence</v>
      </c>
      <c r="Q40" s="55"/>
      <c r="R40" s="56" t="str">
        <f>IFERROR(__xludf.DUMMYFUNCTION("""COMPUTED_VALUE"""),"Active")</f>
        <v>Active</v>
      </c>
      <c r="S40" s="57">
        <f>IFERROR(__xludf.DUMMYFUNCTION("""COMPUTED_VALUE"""),46180.0)</f>
        <v>46180</v>
      </c>
      <c r="T40" s="60">
        <f>IFERROR(__xludf.DUMMYFUNCTION("""COMPUTED_VALUE"""),0.0)</f>
        <v>0</v>
      </c>
    </row>
    <row r="41">
      <c r="A41" s="55" t="str">
        <f>IFERROR(__xludf.DUMMYFUNCTION("""COMPUTED_VALUE"""),"Final Fantasy VI")</f>
        <v>Final Fantasy VI</v>
      </c>
      <c r="B41" s="55" t="str">
        <f>IFERROR(__xludf.DUMMYFUNCTION("""COMPUTED_VALUE"""),"Xbox / PC")</f>
        <v>Xbox / PC</v>
      </c>
      <c r="C41" s="55" t="str">
        <f>IFERROR(__xludf.DUMMYFUNCTION("""COMPUTED_VALUE"""),"Yes")</f>
        <v>Yes</v>
      </c>
      <c r="D41" s="56" t="str">
        <f>IFERROR(__xludf.DUMMYFUNCTION("""COMPUTED_VALUE"""),"Active")</f>
        <v>Active</v>
      </c>
      <c r="E41" s="57">
        <f>IFERROR(__xludf.DUMMYFUNCTION("""COMPUTED_VALUE"""),46175.0)</f>
        <v>46175</v>
      </c>
      <c r="F41" s="58"/>
      <c r="G41" s="60">
        <f>IFERROR(__xludf.DUMMYFUNCTION("""COMPUTED_VALUE"""),4.133333333333333)</f>
        <v>4.133333333</v>
      </c>
      <c r="H41" s="63">
        <f>IFERROR(__xludf.DUMMYFUNCTION("""COMPUTED_VALUE"""),45561.0)</f>
        <v>45561</v>
      </c>
      <c r="I41" s="60">
        <f>IFERROR(__xludf.DUMMYFUNCTION("""COMPUTED_VALUE"""),1.6833333333333333)</f>
        <v>1.683333333</v>
      </c>
      <c r="J41" s="64">
        <f>IFERROR(__xludf.DUMMYFUNCTION("""COMPUTED_VALUE"""),87.0)</f>
        <v>87</v>
      </c>
      <c r="K41" s="64">
        <f>IFERROR(__xludf.DUMMYFUNCTION("""COMPUTED_VALUE"""),36.0)</f>
        <v>36</v>
      </c>
      <c r="L41" s="55" t="str">
        <f>IFERROR(__xludf.DUMMYFUNCTION("""COMPUTED_VALUE"""),"RPG")</f>
        <v>RPG</v>
      </c>
      <c r="M41" s="55" t="str">
        <f>IFERROR(__xludf.DUMMYFUNCTION("""COMPUTED_VALUE"""),"Exclusive")</f>
        <v>Exclusive</v>
      </c>
      <c r="N41" s="55"/>
      <c r="O41" s="55"/>
      <c r="P41" s="55"/>
      <c r="Q41" s="55"/>
      <c r="R41" s="56" t="str">
        <f>IFERROR(__xludf.DUMMYFUNCTION("""COMPUTED_VALUE"""),"Active")</f>
        <v>Active</v>
      </c>
      <c r="S41" s="57">
        <f>IFERROR(__xludf.DUMMYFUNCTION("""COMPUTED_VALUE"""),46175.0)</f>
        <v>46175</v>
      </c>
      <c r="T41" s="60">
        <f>IFERROR(__xludf.DUMMYFUNCTION("""COMPUTED_VALUE"""),0.0)</f>
        <v>0</v>
      </c>
    </row>
    <row r="42">
      <c r="A42" s="55" t="str">
        <f>IFERROR(__xludf.DUMMYFUNCTION("""COMPUTED_VALUE"""),"Jurassic World Evolution 3")</f>
        <v>Jurassic World Evolution 3</v>
      </c>
      <c r="B42" s="55" t="str">
        <f>IFERROR(__xludf.DUMMYFUNCTION("""COMPUTED_VALUE"""),"Xbox / PC")</f>
        <v>Xbox / PC</v>
      </c>
      <c r="C42" s="55" t="str">
        <f>IFERROR(__xludf.DUMMYFUNCTION("""COMPUTED_VALUE"""),"Yes")</f>
        <v>Yes</v>
      </c>
      <c r="D42" s="56" t="str">
        <f>IFERROR(__xludf.DUMMYFUNCTION("""COMPUTED_VALUE"""),"Active")</f>
        <v>Active</v>
      </c>
      <c r="E42" s="57">
        <f>IFERROR(__xludf.DUMMYFUNCTION("""COMPUTED_VALUE"""),46175.0)</f>
        <v>46175</v>
      </c>
      <c r="F42" s="58"/>
      <c r="G42" s="60">
        <f>IFERROR(__xludf.DUMMYFUNCTION("""COMPUTED_VALUE"""),4.133333333333333)</f>
        <v>4.133333333</v>
      </c>
      <c r="H42" s="63">
        <f>IFERROR(__xludf.DUMMYFUNCTION("""COMPUTED_VALUE"""),45951.0)</f>
        <v>45951</v>
      </c>
      <c r="I42" s="235">
        <f>IFERROR(__xludf.DUMMYFUNCTION("""COMPUTED_VALUE"""),0.6138888888888889)</f>
        <v>0.6138888889</v>
      </c>
      <c r="J42" s="64">
        <f>IFERROR(__xludf.DUMMYFUNCTION("""COMPUTED_VALUE"""),81.0)</f>
        <v>81</v>
      </c>
      <c r="K42" s="64">
        <f>IFERROR(__xludf.DUMMYFUNCTION("""COMPUTED_VALUE"""),20.0)</f>
        <v>20</v>
      </c>
      <c r="L42" s="55" t="str">
        <f>IFERROR(__xludf.DUMMYFUNCTION("""COMPUTED_VALUE"""),"Simulation")</f>
        <v>Simulation</v>
      </c>
      <c r="M42" s="55" t="str">
        <f>IFERROR(__xludf.DUMMYFUNCTION("""COMPUTED_VALUE"""),"Exclusive")</f>
        <v>Exclusive</v>
      </c>
      <c r="N42" s="55"/>
      <c r="O42" s="55"/>
      <c r="P42" s="55"/>
      <c r="Q42" s="55"/>
      <c r="R42" s="56" t="str">
        <f>IFERROR(__xludf.DUMMYFUNCTION("""COMPUTED_VALUE"""),"Active")</f>
        <v>Active</v>
      </c>
      <c r="S42" s="57">
        <f>IFERROR(__xludf.DUMMYFUNCTION("""COMPUTED_VALUE"""),46175.0)</f>
        <v>46175</v>
      </c>
      <c r="T42" s="60">
        <f>IFERROR(__xludf.DUMMYFUNCTION("""COMPUTED_VALUE"""),0.0)</f>
        <v>0</v>
      </c>
    </row>
    <row r="43">
      <c r="A43" s="55" t="str">
        <f>IFERROR(__xludf.DUMMYFUNCTION("""COMPUTED_VALUE"""),"Escape the Backrooms")</f>
        <v>Escape the Backrooms</v>
      </c>
      <c r="B43" s="55" t="str">
        <f>IFERROR(__xludf.DUMMYFUNCTION("""COMPUTED_VALUE"""),"Xbox / PC")</f>
        <v>Xbox / PC</v>
      </c>
      <c r="C43" s="55" t="str">
        <f>IFERROR(__xludf.DUMMYFUNCTION("""COMPUTED_VALUE"""),"Yes")</f>
        <v>Yes</v>
      </c>
      <c r="D43" s="56" t="str">
        <f>IFERROR(__xludf.DUMMYFUNCTION("""COMPUTED_VALUE"""),"Active")</f>
        <v>Active</v>
      </c>
      <c r="E43" s="57">
        <f>IFERROR(__xludf.DUMMYFUNCTION("""COMPUTED_VALUE"""),46170.0)</f>
        <v>46170</v>
      </c>
      <c r="F43" s="58"/>
      <c r="G43" s="60">
        <f>IFERROR(__xludf.DUMMYFUNCTION("""COMPUTED_VALUE"""),4.266666666666667)</f>
        <v>4.266666667</v>
      </c>
      <c r="H43" s="63">
        <f>IFERROR(__xludf.DUMMYFUNCTION("""COMPUTED_VALUE"""),45953.0)</f>
        <v>45953</v>
      </c>
      <c r="I43" s="60">
        <f>IFERROR(__xludf.DUMMYFUNCTION("""COMPUTED_VALUE"""),0.5972222222222222)</f>
        <v>0.5972222222</v>
      </c>
      <c r="J43" s="64">
        <f>IFERROR(__xludf.DUMMYFUNCTION("""COMPUTED_VALUE"""),80.0)</f>
        <v>80</v>
      </c>
      <c r="K43" s="64">
        <f>IFERROR(__xludf.DUMMYFUNCTION("""COMPUTED_VALUE"""),9.0)</f>
        <v>9</v>
      </c>
      <c r="L43" s="55" t="str">
        <f>IFERROR(__xludf.DUMMYFUNCTION("""COMPUTED_VALUE"""),"Survival")</f>
        <v>Survival</v>
      </c>
      <c r="M43" s="55" t="str">
        <f>IFERROR(__xludf.DUMMYFUNCTION("""COMPUTED_VALUE"""),"Exclusive")</f>
        <v>Exclusive</v>
      </c>
      <c r="N43" s="55"/>
      <c r="O43" s="55"/>
      <c r="P43" s="55"/>
      <c r="Q43" s="55"/>
      <c r="R43" s="56" t="str">
        <f>IFERROR(__xludf.DUMMYFUNCTION("""COMPUTED_VALUE"""),"Active")</f>
        <v>Active</v>
      </c>
      <c r="S43" s="57">
        <f>IFERROR(__xludf.DUMMYFUNCTION("""COMPUTED_VALUE"""),46170.0)</f>
        <v>46170</v>
      </c>
      <c r="T43" s="60">
        <f>IFERROR(__xludf.DUMMYFUNCTION("""COMPUTED_VALUE"""),0.0)</f>
        <v>0</v>
      </c>
    </row>
    <row r="44">
      <c r="A44" s="55" t="str">
        <f>IFERROR(__xludf.DUMMYFUNCTION("""COMPUTED_VALUE"""),"Kabuto Park")</f>
        <v>Kabuto Park</v>
      </c>
      <c r="B44" s="55" t="str">
        <f>IFERROR(__xludf.DUMMYFUNCTION("""COMPUTED_VALUE"""),"Xbox / PC")</f>
        <v>Xbox / PC</v>
      </c>
      <c r="C44" s="55" t="str">
        <f>IFERROR(__xludf.DUMMYFUNCTION("""COMPUTED_VALUE"""),"Yes")</f>
        <v>Yes</v>
      </c>
      <c r="D44" s="56" t="str">
        <f>IFERROR(__xludf.DUMMYFUNCTION("""COMPUTED_VALUE"""),"Active")</f>
        <v>Active</v>
      </c>
      <c r="E44" s="57">
        <f>IFERROR(__xludf.DUMMYFUNCTION("""COMPUTED_VALUE"""),46170.0)</f>
        <v>46170</v>
      </c>
      <c r="F44" s="58"/>
      <c r="G44" s="60">
        <f>IFERROR(__xludf.DUMMYFUNCTION("""COMPUTED_VALUE"""),4.266666666666667)</f>
        <v>4.266666667</v>
      </c>
      <c r="H44" s="63">
        <f>IFERROR(__xludf.DUMMYFUNCTION("""COMPUTED_VALUE"""),46170.0)</f>
        <v>46170</v>
      </c>
      <c r="I44" s="60">
        <f>IFERROR(__xludf.DUMMYFUNCTION("""COMPUTED_VALUE"""),0.0)</f>
        <v>0</v>
      </c>
      <c r="J44" s="64">
        <f>IFERROR(__xludf.DUMMYFUNCTION("""COMPUTED_VALUE"""),78.0)</f>
        <v>78</v>
      </c>
      <c r="K44" s="64">
        <f>IFERROR(__xludf.DUMMYFUNCTION("""COMPUTED_VALUE"""),2.0)</f>
        <v>2</v>
      </c>
      <c r="L44" s="55" t="str">
        <f>IFERROR(__xludf.DUMMYFUNCTION("""COMPUTED_VALUE"""),"Simulation")</f>
        <v>Simulation</v>
      </c>
      <c r="M44" s="55" t="str">
        <f>IFERROR(__xludf.DUMMYFUNCTION("""COMPUTED_VALUE"""),"Exclusive")</f>
        <v>Exclusive</v>
      </c>
      <c r="N44" s="55"/>
      <c r="O44" s="55"/>
      <c r="P44" s="55"/>
      <c r="Q44" s="55"/>
      <c r="R44" s="56" t="str">
        <f>IFERROR(__xludf.DUMMYFUNCTION("""COMPUTED_VALUE"""),"Active")</f>
        <v>Active</v>
      </c>
      <c r="S44" s="57">
        <f>IFERROR(__xludf.DUMMYFUNCTION("""COMPUTED_VALUE"""),46170.0)</f>
        <v>46170</v>
      </c>
      <c r="T44" s="60">
        <f>IFERROR(__xludf.DUMMYFUNCTION("""COMPUTED_VALUE"""),0.0)</f>
        <v>0</v>
      </c>
    </row>
    <row r="45">
      <c r="A45" s="55" t="str">
        <f>IFERROR(__xludf.DUMMYFUNCTION("""COMPUTED_VALUE"""),"The Outer Worlds: Spacer’s Choice Edition")</f>
        <v>The Outer Worlds: Spacer’s Choice Edition</v>
      </c>
      <c r="B45" s="55" t="str">
        <f>IFERROR(__xludf.DUMMYFUNCTION("""COMPUTED_VALUE"""),"Xbox / PC")</f>
        <v>Xbox / PC</v>
      </c>
      <c r="C45" s="55" t="str">
        <f>IFERROR(__xludf.DUMMYFUNCTION("""COMPUTED_VALUE"""),"Yes")</f>
        <v>Yes</v>
      </c>
      <c r="D45" s="56" t="str">
        <f>IFERROR(__xludf.DUMMYFUNCTION("""COMPUTED_VALUE"""),"Active")</f>
        <v>Active</v>
      </c>
      <c r="E45" s="57">
        <f>IFERROR(__xludf.DUMMYFUNCTION("""COMPUTED_VALUE"""),46169.0)</f>
        <v>46169</v>
      </c>
      <c r="F45" s="58"/>
      <c r="G45" s="60">
        <f>IFERROR(__xludf.DUMMYFUNCTION("""COMPUTED_VALUE"""),4.3)</f>
        <v>4.3</v>
      </c>
      <c r="H45" s="63">
        <f>IFERROR(__xludf.DUMMYFUNCTION("""COMPUTED_VALUE"""),44992.0)</f>
        <v>44992</v>
      </c>
      <c r="I45" s="60">
        <f>IFERROR(__xludf.DUMMYFUNCTION("""COMPUTED_VALUE"""),3.2222222222222223)</f>
        <v>3.222222222</v>
      </c>
      <c r="J45" s="64">
        <f>IFERROR(__xludf.DUMMYFUNCTION("""COMPUTED_VALUE"""),82.0)</f>
        <v>82</v>
      </c>
      <c r="K45" s="64">
        <f>IFERROR(__xludf.DUMMYFUNCTION("""COMPUTED_VALUE"""),13.0)</f>
        <v>13</v>
      </c>
      <c r="L45" s="55" t="str">
        <f>IFERROR(__xludf.DUMMYFUNCTION("""COMPUTED_VALUE"""),"RPG")</f>
        <v>RPG</v>
      </c>
      <c r="M45" s="55" t="str">
        <f>IFERROR(__xludf.DUMMYFUNCTION("""COMPUTED_VALUE"""),"Exclusive")</f>
        <v>Exclusive</v>
      </c>
      <c r="N45" s="55"/>
      <c r="O45" s="55"/>
      <c r="P45" s="55"/>
      <c r="Q45" s="55"/>
      <c r="R45" s="56" t="str">
        <f>IFERROR(__xludf.DUMMYFUNCTION("""COMPUTED_VALUE"""),"Active")</f>
        <v>Active</v>
      </c>
      <c r="S45" s="57">
        <f>IFERROR(__xludf.DUMMYFUNCTION("""COMPUTED_VALUE"""),46169.0)</f>
        <v>46169</v>
      </c>
      <c r="T45" s="60">
        <f>IFERROR(__xludf.DUMMYFUNCTION("""COMPUTED_VALUE"""),0.0)</f>
        <v>0</v>
      </c>
    </row>
    <row r="46">
      <c r="A46" s="55" t="str">
        <f>IFERROR(__xludf.DUMMYFUNCTION("""COMPUTED_VALUE"""),"Escape Simulator")</f>
        <v>Escape Simulator</v>
      </c>
      <c r="B46" s="55" t="str">
        <f>IFERROR(__xludf.DUMMYFUNCTION("""COMPUTED_VALUE"""),"Xbox / PC")</f>
        <v>Xbox / PC</v>
      </c>
      <c r="C46" s="55" t="str">
        <f>IFERROR(__xludf.DUMMYFUNCTION("""COMPUTED_VALUE"""),"Yes")</f>
        <v>Yes</v>
      </c>
      <c r="D46" s="56" t="str">
        <f>IFERROR(__xludf.DUMMYFUNCTION("""COMPUTED_VALUE"""),"Active")</f>
        <v>Active</v>
      </c>
      <c r="E46" s="57">
        <f>IFERROR(__xludf.DUMMYFUNCTION("""COMPUTED_VALUE"""),46168.0)</f>
        <v>46168</v>
      </c>
      <c r="F46" s="58"/>
      <c r="G46" s="60">
        <f>IFERROR(__xludf.DUMMYFUNCTION("""COMPUTED_VALUE"""),4.333333333333333)</f>
        <v>4.333333333</v>
      </c>
      <c r="H46" s="63">
        <f>IFERROR(__xludf.DUMMYFUNCTION("""COMPUTED_VALUE"""),44491.0)</f>
        <v>44491</v>
      </c>
      <c r="I46" s="60">
        <f>IFERROR(__xludf.DUMMYFUNCTION("""COMPUTED_VALUE"""),4.594444444444444)</f>
        <v>4.594444444</v>
      </c>
      <c r="J46" s="64">
        <f>IFERROR(__xludf.DUMMYFUNCTION("""COMPUTED_VALUE"""),81.0)</f>
        <v>81</v>
      </c>
      <c r="K46" s="64">
        <f>IFERROR(__xludf.DUMMYFUNCTION("""COMPUTED_VALUE"""),6.0)</f>
        <v>6</v>
      </c>
      <c r="L46" s="55" t="str">
        <f>IFERROR(__xludf.DUMMYFUNCTION("""COMPUTED_VALUE"""),"Puzzle")</f>
        <v>Puzzle</v>
      </c>
      <c r="M46" s="55" t="str">
        <f>IFERROR(__xludf.DUMMYFUNCTION("""COMPUTED_VALUE"""),"Exclusive")</f>
        <v>Exclusive</v>
      </c>
      <c r="N46" s="55"/>
      <c r="O46" s="55"/>
      <c r="P46" s="55"/>
      <c r="Q46" s="55"/>
      <c r="R46" s="56" t="str">
        <f>IFERROR(__xludf.DUMMYFUNCTION("""COMPUTED_VALUE"""),"Active")</f>
        <v>Active</v>
      </c>
      <c r="S46" s="57">
        <f>IFERROR(__xludf.DUMMYFUNCTION("""COMPUTED_VALUE"""),46168.0)</f>
        <v>46168</v>
      </c>
      <c r="T46" s="60">
        <f>IFERROR(__xludf.DUMMYFUNCTION("""COMPUTED_VALUE"""),0.0)</f>
        <v>0</v>
      </c>
    </row>
    <row r="47">
      <c r="A47" s="55" t="str">
        <f>IFERROR(__xludf.DUMMYFUNCTION("""COMPUTED_VALUE"""),"My Friend Peppa Pig")</f>
        <v>My Friend Peppa Pig</v>
      </c>
      <c r="B47" s="55" t="str">
        <f>IFERROR(__xludf.DUMMYFUNCTION("""COMPUTED_VALUE"""),"Xbox / PC")</f>
        <v>Xbox / PC</v>
      </c>
      <c r="C47" s="55" t="str">
        <f>IFERROR(__xludf.DUMMYFUNCTION("""COMPUTED_VALUE"""),"Touch Controls")</f>
        <v>Touch Controls</v>
      </c>
      <c r="D47" s="56" t="str">
        <f>IFERROR(__xludf.DUMMYFUNCTION("""COMPUTED_VALUE"""),"Active")</f>
        <v>Active</v>
      </c>
      <c r="E47" s="57">
        <f>IFERROR(__xludf.DUMMYFUNCTION("""COMPUTED_VALUE"""),46162.0)</f>
        <v>46162</v>
      </c>
      <c r="F47" s="58"/>
      <c r="G47" s="60">
        <f>IFERROR(__xludf.DUMMYFUNCTION("""COMPUTED_VALUE"""),4.533333333333333)</f>
        <v>4.533333333</v>
      </c>
      <c r="H47" s="63">
        <f>IFERROR(__xludf.DUMMYFUNCTION("""COMPUTED_VALUE"""),44491.0)</f>
        <v>44491</v>
      </c>
      <c r="I47" s="60">
        <f>IFERROR(__xludf.DUMMYFUNCTION("""COMPUTED_VALUE"""),4.5777777777777775)</f>
        <v>4.577777778</v>
      </c>
      <c r="J47" s="64">
        <f>IFERROR(__xludf.DUMMYFUNCTION("""COMPUTED_VALUE"""),67.0)</f>
        <v>67</v>
      </c>
      <c r="K47" s="64">
        <f>IFERROR(__xludf.DUMMYFUNCTION("""COMPUTED_VALUE"""),3.0)</f>
        <v>3</v>
      </c>
      <c r="L47" s="55" t="str">
        <f>IFERROR(__xludf.DUMMYFUNCTION("""COMPUTED_VALUE"""),"Action-Adventure")</f>
        <v>Action-Adventure</v>
      </c>
      <c r="M47" s="55"/>
      <c r="N47" s="55" t="str">
        <f>IFERROR(__xludf.DUMMYFUNCTION("""COMPUTED_VALUE"""),"Returning title: joined 7/14/22, left 6/30/25")</f>
        <v>Returning title: joined 7/14/22, left 6/30/25</v>
      </c>
      <c r="O47" s="55"/>
      <c r="P47" s="55"/>
      <c r="Q47" s="55"/>
      <c r="R47" s="56" t="str">
        <f>IFERROR(__xludf.DUMMYFUNCTION("""COMPUTED_VALUE"""),"Active")</f>
        <v>Active</v>
      </c>
      <c r="S47" s="57">
        <f>IFERROR(__xludf.DUMMYFUNCTION("""COMPUTED_VALUE"""),46162.0)</f>
        <v>46162</v>
      </c>
      <c r="T47" s="60">
        <f>IFERROR(__xludf.DUMMYFUNCTION("""COMPUTED_VALUE"""),0.0)</f>
        <v>0</v>
      </c>
    </row>
    <row r="48">
      <c r="A48" s="55" t="str">
        <f>IFERROR(__xludf.DUMMYFUNCTION("""COMPUTED_VALUE"""),"Remnant II")</f>
        <v>Remnant II</v>
      </c>
      <c r="B48" s="55" t="str">
        <f>IFERROR(__xludf.DUMMYFUNCTION("""COMPUTED_VALUE"""),"Xbox / PC")</f>
        <v>Xbox / PC</v>
      </c>
      <c r="C48" s="55" t="str">
        <f>IFERROR(__xludf.DUMMYFUNCTION("""COMPUTED_VALUE"""),"Yes")</f>
        <v>Yes</v>
      </c>
      <c r="D48" s="56" t="str">
        <f>IFERROR(__xludf.DUMMYFUNCTION("""COMPUTED_VALUE"""),"Active")</f>
        <v>Active</v>
      </c>
      <c r="E48" s="57">
        <f>IFERROR(__xludf.DUMMYFUNCTION("""COMPUTED_VALUE"""),46162.0)</f>
        <v>46162</v>
      </c>
      <c r="F48" s="58"/>
      <c r="G48" s="60">
        <f>IFERROR(__xludf.DUMMYFUNCTION("""COMPUTED_VALUE"""),4.533333333333333)</f>
        <v>4.533333333</v>
      </c>
      <c r="H48" s="63">
        <f>IFERROR(__xludf.DUMMYFUNCTION("""COMPUTED_VALUE"""),45132.0)</f>
        <v>45132</v>
      </c>
      <c r="I48" s="60">
        <f>IFERROR(__xludf.DUMMYFUNCTION("""COMPUTED_VALUE"""),2.8194444444444446)</f>
        <v>2.819444444</v>
      </c>
      <c r="J48" s="64">
        <f>IFERROR(__xludf.DUMMYFUNCTION("""COMPUTED_VALUE"""),84.0)</f>
        <v>84</v>
      </c>
      <c r="K48" s="64">
        <f>IFERROR(__xludf.DUMMYFUNCTION("""COMPUTED_VALUE"""),18.0)</f>
        <v>18</v>
      </c>
      <c r="L48" s="55" t="str">
        <f>IFERROR(__xludf.DUMMYFUNCTION("""COMPUTED_VALUE"""),"RPG")</f>
        <v>RPG</v>
      </c>
      <c r="M48" s="55"/>
      <c r="N48" s="55" t="str">
        <f>IFERROR(__xludf.DUMMYFUNCTION("""COMPUTED_VALUE"""),"Returning game: joined 11/29/23, left 5/31/25")</f>
        <v>Returning game: joined 11/29/23, left 5/31/25</v>
      </c>
      <c r="O48" s="55"/>
      <c r="P48" s="55"/>
      <c r="Q48" s="55"/>
      <c r="R48" s="56" t="str">
        <f>IFERROR(__xludf.DUMMYFUNCTION("""COMPUTED_VALUE"""),"Active")</f>
        <v>Active</v>
      </c>
      <c r="S48" s="57">
        <f>IFERROR(__xludf.DUMMYFUNCTION("""COMPUTED_VALUE"""),46162.0)</f>
        <v>46162</v>
      </c>
      <c r="T48" s="60">
        <f>IFERROR(__xludf.DUMMYFUNCTION("""COMPUTED_VALUE"""),0.0)</f>
        <v>0</v>
      </c>
    </row>
    <row r="49">
      <c r="A49" s="55" t="str">
        <f>IFERROR(__xludf.DUMMYFUNCTION("""COMPUTED_VALUE"""),"Elite Dangerous")</f>
        <v>Elite Dangerous</v>
      </c>
      <c r="B49" s="55" t="str">
        <f>IFERROR(__xludf.DUMMYFUNCTION("""COMPUTED_VALUE"""),"Xbox")</f>
        <v>Xbox</v>
      </c>
      <c r="C49" s="55" t="str">
        <f>IFERROR(__xludf.DUMMYFUNCTION("""COMPUTED_VALUE"""),"Yes")</f>
        <v>Yes</v>
      </c>
      <c r="D49" s="56" t="str">
        <f>IFERROR(__xludf.DUMMYFUNCTION("""COMPUTED_VALUE"""),"Active")</f>
        <v>Active</v>
      </c>
      <c r="E49" s="57">
        <f>IFERROR(__xludf.DUMMYFUNCTION("""COMPUTED_VALUE"""),46154.0)</f>
        <v>46154</v>
      </c>
      <c r="F49" s="58"/>
      <c r="G49" s="60">
        <f>IFERROR(__xludf.DUMMYFUNCTION("""COMPUTED_VALUE"""),4.800000000000001)</f>
        <v>4.8</v>
      </c>
      <c r="H49" s="63">
        <f>IFERROR(__xludf.DUMMYFUNCTION("""COMPUTED_VALUE"""),41989.0)</f>
        <v>41989</v>
      </c>
      <c r="I49" s="60">
        <f>IFERROR(__xludf.DUMMYFUNCTION("""COMPUTED_VALUE"""),11.405555555555555)</f>
        <v>11.40555556</v>
      </c>
      <c r="J49" s="64">
        <f>IFERROR(__xludf.DUMMYFUNCTION("""COMPUTED_VALUE"""),80.0)</f>
        <v>80</v>
      </c>
      <c r="K49" s="64">
        <f>IFERROR(__xludf.DUMMYFUNCTION("""COMPUTED_VALUE"""),113.0)</f>
        <v>113</v>
      </c>
      <c r="L49" s="55" t="str">
        <f>IFERROR(__xludf.DUMMYFUNCTION("""COMPUTED_VALUE"""),"Space Simulation")</f>
        <v>Space Simulation</v>
      </c>
      <c r="M49" s="55"/>
      <c r="N49" s="55" t="str">
        <f>IFERROR(__xludf.DUMMYFUNCTION("""COMPUTED_VALUE"""),"Returning title: Joined 2/25/21, left 8/31/22")</f>
        <v>Returning title: Joined 2/25/21, left 8/31/22</v>
      </c>
      <c r="O49" s="55"/>
      <c r="P49" s="55"/>
      <c r="Q49" s="55"/>
      <c r="R49" s="56" t="str">
        <f>IFERROR(__xludf.DUMMYFUNCTION("""COMPUTED_VALUE"""),"Active")</f>
        <v>Active</v>
      </c>
      <c r="S49" s="57">
        <f>IFERROR(__xludf.DUMMYFUNCTION("""COMPUTED_VALUE"""),46154.0)</f>
        <v>46154</v>
      </c>
      <c r="T49" s="60">
        <f>IFERROR(__xludf.DUMMYFUNCTION("""COMPUTED_VALUE"""),0.0)</f>
        <v>0</v>
      </c>
    </row>
    <row r="50">
      <c r="A50" s="55" t="str">
        <f>IFERROR(__xludf.DUMMYFUNCTION("""COMPUTED_VALUE"""),"Ben 10: Power Trip")</f>
        <v>Ben 10: Power Trip</v>
      </c>
      <c r="B50" s="55" t="str">
        <f>IFERROR(__xludf.DUMMYFUNCTION("""COMPUTED_VALUE"""),"Xbox / PC")</f>
        <v>Xbox / PC</v>
      </c>
      <c r="C50" s="55" t="str">
        <f>IFERROR(__xludf.DUMMYFUNCTION("""COMPUTED_VALUE"""),"Touch Controls")</f>
        <v>Touch Controls</v>
      </c>
      <c r="D50" s="56" t="str">
        <f>IFERROR(__xludf.DUMMYFUNCTION("""COMPUTED_VALUE"""),"Active")</f>
        <v>Active</v>
      </c>
      <c r="E50" s="57">
        <f>IFERROR(__xludf.DUMMYFUNCTION("""COMPUTED_VALUE"""),46148.0)</f>
        <v>46148</v>
      </c>
      <c r="F50" s="58"/>
      <c r="G50" s="60">
        <f>IFERROR(__xludf.DUMMYFUNCTION("""COMPUTED_VALUE"""),5.0)</f>
        <v>5</v>
      </c>
      <c r="H50" s="63">
        <f>IFERROR(__xludf.DUMMYFUNCTION("""COMPUTED_VALUE"""),44113.0)</f>
        <v>44113</v>
      </c>
      <c r="I50" s="60">
        <f>IFERROR(__xludf.DUMMYFUNCTION("""COMPUTED_VALUE"""),5.575)</f>
        <v>5.575</v>
      </c>
      <c r="J50" s="64">
        <f>IFERROR(__xludf.DUMMYFUNCTION("""COMPUTED_VALUE"""),70.0)</f>
        <v>70</v>
      </c>
      <c r="K50" s="64">
        <f>IFERROR(__xludf.DUMMYFUNCTION("""COMPUTED_VALUE"""),5.0)</f>
        <v>5</v>
      </c>
      <c r="L50" s="55" t="str">
        <f>IFERROR(__xludf.DUMMYFUNCTION("""COMPUTED_VALUE"""),"Action-Adventure")</f>
        <v>Action-Adventure</v>
      </c>
      <c r="M50" s="55"/>
      <c r="N50" s="55" t="str">
        <f>IFERROR(__xludf.DUMMYFUNCTION("""COMPUTED_VALUE"""),"Returning title: Originally joined 12/16/21, left 8/31/25")</f>
        <v>Returning title: Originally joined 12/16/21, left 8/31/25</v>
      </c>
      <c r="O50" s="55"/>
      <c r="P50" s="55"/>
      <c r="Q50" s="55"/>
      <c r="R50" s="56" t="str">
        <f>IFERROR(__xludf.DUMMYFUNCTION("""COMPUTED_VALUE"""),"Active")</f>
        <v>Active</v>
      </c>
      <c r="S50" s="57">
        <f>IFERROR(__xludf.DUMMYFUNCTION("""COMPUTED_VALUE"""),46148.0)</f>
        <v>46148</v>
      </c>
      <c r="T50" s="60">
        <f>IFERROR(__xludf.DUMMYFUNCTION("""COMPUTED_VALUE"""),0.0)</f>
        <v>0</v>
      </c>
    </row>
    <row r="51">
      <c r="A51" s="55" t="str">
        <f>IFERROR(__xludf.DUMMYFUNCTION("""COMPUTED_VALUE"""),"Wildgate")</f>
        <v>Wildgate</v>
      </c>
      <c r="B51" s="55" t="str">
        <f>IFERROR(__xludf.DUMMYFUNCTION("""COMPUTED_VALUE"""),"Xbox / PC")</f>
        <v>Xbox / PC</v>
      </c>
      <c r="C51" s="55" t="str">
        <f>IFERROR(__xludf.DUMMYFUNCTION("""COMPUTED_VALUE"""),"Yes")</f>
        <v>Yes</v>
      </c>
      <c r="D51" s="56" t="str">
        <f>IFERROR(__xludf.DUMMYFUNCTION("""COMPUTED_VALUE"""),"Active")</f>
        <v>Active</v>
      </c>
      <c r="E51" s="57">
        <f>IFERROR(__xludf.DUMMYFUNCTION("""COMPUTED_VALUE"""),46148.0)</f>
        <v>46148</v>
      </c>
      <c r="F51" s="58"/>
      <c r="G51" s="60">
        <f>IFERROR(__xludf.DUMMYFUNCTION("""COMPUTED_VALUE"""),5.0)</f>
        <v>5</v>
      </c>
      <c r="H51" s="63">
        <f>IFERROR(__xludf.DUMMYFUNCTION("""COMPUTED_VALUE"""),45860.0)</f>
        <v>45860</v>
      </c>
      <c r="I51" s="60">
        <f>IFERROR(__xludf.DUMMYFUNCTION("""COMPUTED_VALUE"""),0.7888888888888889)</f>
        <v>0.7888888889</v>
      </c>
      <c r="J51" s="64">
        <f>IFERROR(__xludf.DUMMYFUNCTION("""COMPUTED_VALUE"""),72.0)</f>
        <v>72</v>
      </c>
      <c r="K51" s="64">
        <f>IFERROR(__xludf.DUMMYFUNCTION("""COMPUTED_VALUE"""),19.0)</f>
        <v>19</v>
      </c>
      <c r="L51" s="55" t="str">
        <f>IFERROR(__xludf.DUMMYFUNCTION("""COMPUTED_VALUE"""),"Shooter")</f>
        <v>Shooter</v>
      </c>
      <c r="M51" s="55" t="str">
        <f>IFERROR(__xludf.DUMMYFUNCTION("""COMPUTED_VALUE"""),"Exclusive")</f>
        <v>Exclusive</v>
      </c>
      <c r="N51" s="55"/>
      <c r="O51" s="55"/>
      <c r="P51" s="55"/>
      <c r="Q51" s="55"/>
      <c r="R51" s="56" t="str">
        <f>IFERROR(__xludf.DUMMYFUNCTION("""COMPUTED_VALUE"""),"Active")</f>
        <v>Active</v>
      </c>
      <c r="S51" s="57">
        <f>IFERROR(__xludf.DUMMYFUNCTION("""COMPUTED_VALUE"""),46148.0)</f>
        <v>46148</v>
      </c>
      <c r="T51" s="60">
        <f>IFERROR(__xludf.DUMMYFUNCTION("""COMPUTED_VALUE"""),0.0)</f>
        <v>0</v>
      </c>
    </row>
    <row r="52">
      <c r="A52" s="55" t="str">
        <f>IFERROR(__xludf.DUMMYFUNCTION("""COMPUTED_VALUE"""),"Final Fantasy V")</f>
        <v>Final Fantasy V</v>
      </c>
      <c r="B52" s="55" t="str">
        <f>IFERROR(__xludf.DUMMYFUNCTION("""COMPUTED_VALUE"""),"Xbox / PC")</f>
        <v>Xbox / PC</v>
      </c>
      <c r="C52" s="55" t="str">
        <f>IFERROR(__xludf.DUMMYFUNCTION("""COMPUTED_VALUE"""),"Yes")</f>
        <v>Yes</v>
      </c>
      <c r="D52" s="56" t="str">
        <f>IFERROR(__xludf.DUMMYFUNCTION("""COMPUTED_VALUE"""),"Active")</f>
        <v>Active</v>
      </c>
      <c r="E52" s="57">
        <f>IFERROR(__xludf.DUMMYFUNCTION("""COMPUTED_VALUE"""),46147.0)</f>
        <v>46147</v>
      </c>
      <c r="F52" s="58"/>
      <c r="G52" s="60">
        <f>IFERROR(__xludf.DUMMYFUNCTION("""COMPUTED_VALUE"""),5.033333333333333)</f>
        <v>5.033333333</v>
      </c>
      <c r="H52" s="63">
        <f>IFERROR(__xludf.DUMMYFUNCTION("""COMPUTED_VALUE"""),39027.0)</f>
        <v>39027</v>
      </c>
      <c r="I52" s="60">
        <f>IFERROR(__xludf.DUMMYFUNCTION("""COMPUTED_VALUE"""),19.497222222222224)</f>
        <v>19.49722222</v>
      </c>
      <c r="J52" s="64">
        <f>IFERROR(__xludf.DUMMYFUNCTION("""COMPUTED_VALUE"""),82.0)</f>
        <v>82</v>
      </c>
      <c r="K52" s="64">
        <f>IFERROR(__xludf.DUMMYFUNCTION("""COMPUTED_VALUE"""),31.0)</f>
        <v>31</v>
      </c>
      <c r="L52" s="55" t="str">
        <f>IFERROR(__xludf.DUMMYFUNCTION("""COMPUTED_VALUE"""),"RPG")</f>
        <v>RPG</v>
      </c>
      <c r="M52" s="55" t="str">
        <f>IFERROR(__xludf.DUMMYFUNCTION("""COMPUTED_VALUE"""),"Exclusive")</f>
        <v>Exclusive</v>
      </c>
      <c r="N52" s="55"/>
      <c r="O52" s="55"/>
      <c r="P52" s="55"/>
      <c r="Q52" s="55"/>
      <c r="R52" s="56" t="str">
        <f>IFERROR(__xludf.DUMMYFUNCTION("""COMPUTED_VALUE"""),"Active")</f>
        <v>Active</v>
      </c>
      <c r="S52" s="57">
        <f>IFERROR(__xludf.DUMMYFUNCTION("""COMPUTED_VALUE"""),46147.0)</f>
        <v>46147</v>
      </c>
      <c r="T52" s="60">
        <f>IFERROR(__xludf.DUMMYFUNCTION("""COMPUTED_VALUE"""),0.0)</f>
        <v>0</v>
      </c>
    </row>
    <row r="53">
      <c r="A53" s="55" t="str">
        <f>IFERROR(__xludf.DUMMYFUNCTION("""COMPUTED_VALUE"""),"Trepang2")</f>
        <v>Trepang2</v>
      </c>
      <c r="B53" s="55" t="str">
        <f>IFERROR(__xludf.DUMMYFUNCTION("""COMPUTED_VALUE"""),"Xbox / PC")</f>
        <v>Xbox / PC</v>
      </c>
      <c r="C53" s="55" t="str">
        <f>IFERROR(__xludf.DUMMYFUNCTION("""COMPUTED_VALUE"""),"Yes")</f>
        <v>Yes</v>
      </c>
      <c r="D53" s="56" t="str">
        <f>IFERROR(__xludf.DUMMYFUNCTION("""COMPUTED_VALUE"""),"Active")</f>
        <v>Active</v>
      </c>
      <c r="E53" s="57">
        <f>IFERROR(__xludf.DUMMYFUNCTION("""COMPUTED_VALUE"""),46141.0)</f>
        <v>46141</v>
      </c>
      <c r="F53" s="58"/>
      <c r="G53" s="60">
        <f>IFERROR(__xludf.DUMMYFUNCTION("""COMPUTED_VALUE"""),5.233333333333333)</f>
        <v>5.233333333</v>
      </c>
      <c r="H53" s="63">
        <f>IFERROR(__xludf.DUMMYFUNCTION("""COMPUTED_VALUE"""),45098.0)</f>
        <v>45098</v>
      </c>
      <c r="I53" s="60">
        <f>IFERROR(__xludf.DUMMYFUNCTION("""COMPUTED_VALUE"""),2.8555555555555556)</f>
        <v>2.855555556</v>
      </c>
      <c r="J53" s="64">
        <f>IFERROR(__xludf.DUMMYFUNCTION("""COMPUTED_VALUE"""),79.0)</f>
        <v>79</v>
      </c>
      <c r="K53" s="64">
        <f>IFERROR(__xludf.DUMMYFUNCTION("""COMPUTED_VALUE"""),5.0)</f>
        <v>5</v>
      </c>
      <c r="L53" s="55" t="str">
        <f>IFERROR(__xludf.DUMMYFUNCTION("""COMPUTED_VALUE"""),"Shooter")</f>
        <v>Shooter</v>
      </c>
      <c r="M53" s="55" t="str">
        <f>IFERROR(__xludf.DUMMYFUNCTION("""COMPUTED_VALUE"""),"Exclusive")</f>
        <v>Exclusive</v>
      </c>
      <c r="N53" s="55"/>
      <c r="O53" s="55"/>
      <c r="P53" s="55"/>
      <c r="Q53" s="55"/>
      <c r="R53" s="56" t="str">
        <f>IFERROR(__xludf.DUMMYFUNCTION("""COMPUTED_VALUE"""),"Active")</f>
        <v>Active</v>
      </c>
      <c r="S53" s="57">
        <f>IFERROR(__xludf.DUMMYFUNCTION("""COMPUTED_VALUE"""),46141.0)</f>
        <v>46141</v>
      </c>
      <c r="T53" s="60">
        <f>IFERROR(__xludf.DUMMYFUNCTION("""COMPUTED_VALUE"""),0.0)</f>
        <v>0</v>
      </c>
    </row>
    <row r="54">
      <c r="A54" s="55" t="str">
        <f>IFERROR(__xludf.DUMMYFUNCTION("""COMPUTED_VALUE"""),"Call of Duty: Modern Warfare (2019)")</f>
        <v>Call of Duty: Modern Warfare (2019)</v>
      </c>
      <c r="B54" s="55" t="str">
        <f>IFERROR(__xludf.DUMMYFUNCTION("""COMPUTED_VALUE"""),"Xbox / PC")</f>
        <v>Xbox / PC</v>
      </c>
      <c r="C54" s="55" t="str">
        <f>IFERROR(__xludf.DUMMYFUNCTION("""COMPUTED_VALUE"""),"Yes")</f>
        <v>Yes</v>
      </c>
      <c r="D54" s="56" t="str">
        <f>IFERROR(__xludf.DUMMYFUNCTION("""COMPUTED_VALUE"""),"Active")</f>
        <v>Active</v>
      </c>
      <c r="E54" s="57">
        <f>IFERROR(__xludf.DUMMYFUNCTION("""COMPUTED_VALUE"""),46129.0)</f>
        <v>46129</v>
      </c>
      <c r="F54" s="58"/>
      <c r="G54" s="60">
        <f>IFERROR(__xludf.DUMMYFUNCTION("""COMPUTED_VALUE"""),5.633333333333333)</f>
        <v>5.633333333</v>
      </c>
      <c r="H54" s="63">
        <f>IFERROR(__xludf.DUMMYFUNCTION("""COMPUTED_VALUE"""),43763.0)</f>
        <v>43763</v>
      </c>
      <c r="I54" s="60">
        <f>IFERROR(__xludf.DUMMYFUNCTION("""COMPUTED_VALUE"""),6.477777777777778)</f>
        <v>6.477777778</v>
      </c>
      <c r="J54" s="64">
        <f>IFERROR(__xludf.DUMMYFUNCTION("""COMPUTED_VALUE"""),80.0)</f>
        <v>80</v>
      </c>
      <c r="K54" s="64">
        <f>IFERROR(__xludf.DUMMYFUNCTION("""COMPUTED_VALUE"""),6.0)</f>
        <v>6</v>
      </c>
      <c r="L54" s="55" t="str">
        <f>IFERROR(__xludf.DUMMYFUNCTION("""COMPUTED_VALUE"""),"Shooter")</f>
        <v>Shooter</v>
      </c>
      <c r="M54" s="55"/>
      <c r="N54" s="55"/>
      <c r="O54" s="55"/>
      <c r="P54" s="55"/>
      <c r="Q54" s="55"/>
      <c r="R54" s="56" t="str">
        <f>IFERROR(__xludf.DUMMYFUNCTION("""COMPUTED_VALUE"""),"Active")</f>
        <v>Active</v>
      </c>
      <c r="S54" s="57">
        <f>IFERROR(__xludf.DUMMYFUNCTION("""COMPUTED_VALUE"""),46129.0)</f>
        <v>46129</v>
      </c>
      <c r="T54" s="60">
        <f>IFERROR(__xludf.DUMMYFUNCTION("""COMPUTED_VALUE"""),0.0)</f>
        <v>0</v>
      </c>
    </row>
    <row r="55">
      <c r="A55" s="55" t="str">
        <f>IFERROR(__xludf.DUMMYFUNCTION("""COMPUTED_VALUE"""),"The Elder Scrolls IV: Oblivion - Remastered")</f>
        <v>The Elder Scrolls IV: Oblivion - Remastered</v>
      </c>
      <c r="B55" s="55" t="str">
        <f>IFERROR(__xludf.DUMMYFUNCTION("""COMPUTED_VALUE"""),"Xbox / PC")</f>
        <v>Xbox / PC</v>
      </c>
      <c r="C55" s="55" t="str">
        <f>IFERROR(__xludf.DUMMYFUNCTION("""COMPUTED_VALUE"""),"Yes")</f>
        <v>Yes</v>
      </c>
      <c r="D55" s="56" t="str">
        <f>IFERROR(__xludf.DUMMYFUNCTION("""COMPUTED_VALUE"""),"Active")</f>
        <v>Active</v>
      </c>
      <c r="E55" s="57">
        <f>IFERROR(__xludf.DUMMYFUNCTION("""COMPUTED_VALUE"""),45769.0)</f>
        <v>45769</v>
      </c>
      <c r="F55" s="58"/>
      <c r="G55" s="60">
        <f>IFERROR(__xludf.DUMMYFUNCTION("""COMPUTED_VALUE"""),17.466666666666665)</f>
        <v>17.46666667</v>
      </c>
      <c r="H55" s="63">
        <f>IFERROR(__xludf.DUMMYFUNCTION("""COMPUTED_VALUE"""),45769.0)</f>
        <v>45769</v>
      </c>
      <c r="I55" s="60">
        <f>IFERROR(__xludf.DUMMYFUNCTION("""COMPUTED_VALUE"""),0.0)</f>
        <v>0</v>
      </c>
      <c r="J55" s="64">
        <f>IFERROR(__xludf.DUMMYFUNCTION("""COMPUTED_VALUE"""),82.0)</f>
        <v>82</v>
      </c>
      <c r="K55" s="64">
        <f>IFERROR(__xludf.DUMMYFUNCTION("""COMPUTED_VALUE"""),14.0)</f>
        <v>14</v>
      </c>
      <c r="L55" s="55" t="str">
        <f>IFERROR(__xludf.DUMMYFUNCTION("""COMPUTED_VALUE"""),"RPG")</f>
        <v>RPG</v>
      </c>
      <c r="M55" s="55" t="str">
        <f>IFERROR(__xludf.DUMMYFUNCTION("""COMPUTED_VALUE"""),"Exclusive")</f>
        <v>Exclusive</v>
      </c>
      <c r="N55" s="55"/>
      <c r="O55" s="55"/>
      <c r="P55" s="55"/>
      <c r="Q55" s="55"/>
      <c r="R55" s="56" t="str">
        <f>IFERROR(__xludf.DUMMYFUNCTION("""COMPUTED_VALUE"""),"Active")</f>
        <v>Active</v>
      </c>
      <c r="S55" s="57">
        <f>IFERROR(__xludf.DUMMYFUNCTION("""COMPUTED_VALUE"""),46128.0)</f>
        <v>46128</v>
      </c>
      <c r="T55" s="60">
        <f>IFERROR(__xludf.DUMMYFUNCTION("""COMPUTED_VALUE"""),11.799999999999999)</f>
        <v>11.8</v>
      </c>
    </row>
    <row r="56">
      <c r="A56" s="55" t="str">
        <f>IFERROR(__xludf.DUMMYFUNCTION("""COMPUTED_VALUE"""),"Hades II")</f>
        <v>Hades II</v>
      </c>
      <c r="B56" s="55" t="str">
        <f>IFERROR(__xludf.DUMMYFUNCTION("""COMPUTED_VALUE"""),"Xbox / PC")</f>
        <v>Xbox / PC</v>
      </c>
      <c r="C56" s="55" t="str">
        <f>IFERROR(__xludf.DUMMYFUNCTION("""COMPUTED_VALUE"""),"Yes")</f>
        <v>Yes</v>
      </c>
      <c r="D56" s="56" t="str">
        <f>IFERROR(__xludf.DUMMYFUNCTION("""COMPUTED_VALUE"""),"Active")</f>
        <v>Active</v>
      </c>
      <c r="E56" s="57">
        <f>IFERROR(__xludf.DUMMYFUNCTION("""COMPUTED_VALUE"""),46126.0)</f>
        <v>46126</v>
      </c>
      <c r="F56" s="58"/>
      <c r="G56" s="60">
        <f>IFERROR(__xludf.DUMMYFUNCTION("""COMPUTED_VALUE"""),5.733333333333333)</f>
        <v>5.733333333</v>
      </c>
      <c r="H56" s="63">
        <f>IFERROR(__xludf.DUMMYFUNCTION("""COMPUTED_VALUE"""),45925.0)</f>
        <v>45925</v>
      </c>
      <c r="I56" s="60">
        <f>IFERROR(__xludf.DUMMYFUNCTION("""COMPUTED_VALUE"""),0.5527777777777778)</f>
        <v>0.5527777778</v>
      </c>
      <c r="J56" s="64">
        <f>IFERROR(__xludf.DUMMYFUNCTION("""COMPUTED_VALUE"""),95.0)</f>
        <v>95</v>
      </c>
      <c r="K56" s="64">
        <f>IFERROR(__xludf.DUMMYFUNCTION("""COMPUTED_VALUE"""),22.0)</f>
        <v>22</v>
      </c>
      <c r="L56" s="55" t="str">
        <f>IFERROR(__xludf.DUMMYFUNCTION("""COMPUTED_VALUE"""),"RPG")</f>
        <v>RPG</v>
      </c>
      <c r="M56" s="55" t="str">
        <f>IFERROR(__xludf.DUMMYFUNCTION("""COMPUTED_VALUE"""),"Exclusive")</f>
        <v>Exclusive</v>
      </c>
      <c r="N56" s="55" t="str">
        <f>IFERROR(__xludf.DUMMYFUNCTION("""COMPUTED_VALUE"""),"Handheld Optimized")</f>
        <v>Handheld Optimized</v>
      </c>
      <c r="O56" s="55"/>
      <c r="P56" s="55"/>
      <c r="Q56" s="55"/>
      <c r="R56" s="56" t="str">
        <f>IFERROR(__xludf.DUMMYFUNCTION("""COMPUTED_VALUE"""),"Active")</f>
        <v>Active</v>
      </c>
      <c r="S56" s="57">
        <f>IFERROR(__xludf.DUMMYFUNCTION("""COMPUTED_VALUE"""),46126.0)</f>
        <v>46126</v>
      </c>
      <c r="T56" s="60">
        <f>IFERROR(__xludf.DUMMYFUNCTION("""COMPUTED_VALUE"""),0.0)</f>
        <v>0</v>
      </c>
    </row>
    <row r="57">
      <c r="A57" s="55" t="str">
        <f>IFERROR(__xludf.DUMMYFUNCTION("""COMPUTED_VALUE"""),"The Thaumaturge")</f>
        <v>The Thaumaturge</v>
      </c>
      <c r="B57" s="55" t="str">
        <f>IFERROR(__xludf.DUMMYFUNCTION("""COMPUTED_VALUE"""),"Xbox / PC")</f>
        <v>Xbox / PC</v>
      </c>
      <c r="C57" s="55" t="str">
        <f>IFERROR(__xludf.DUMMYFUNCTION("""COMPUTED_VALUE"""),"Yes")</f>
        <v>Yes</v>
      </c>
      <c r="D57" s="56" t="str">
        <f>IFERROR(__xludf.DUMMYFUNCTION("""COMPUTED_VALUE"""),"Active")</f>
        <v>Active</v>
      </c>
      <c r="E57" s="57">
        <f>IFERROR(__xludf.DUMMYFUNCTION("""COMPUTED_VALUE"""),46126.0)</f>
        <v>46126</v>
      </c>
      <c r="F57" s="58"/>
      <c r="G57" s="60">
        <f>IFERROR(__xludf.DUMMYFUNCTION("""COMPUTED_VALUE"""),5.733333333333333)</f>
        <v>5.733333333</v>
      </c>
      <c r="H57" s="63">
        <f>IFERROR(__xludf.DUMMYFUNCTION("""COMPUTED_VALUE"""),45355.0)</f>
        <v>45355</v>
      </c>
      <c r="I57" s="60">
        <f>IFERROR(__xludf.DUMMYFUNCTION("""COMPUTED_VALUE"""),2.111111111111111)</f>
        <v>2.111111111</v>
      </c>
      <c r="J57" s="64">
        <f>IFERROR(__xludf.DUMMYFUNCTION("""COMPUTED_VALUE"""),74.0)</f>
        <v>74</v>
      </c>
      <c r="K57" s="64">
        <f>IFERROR(__xludf.DUMMYFUNCTION("""COMPUTED_VALUE"""),16.0)</f>
        <v>16</v>
      </c>
      <c r="L57" s="55" t="str">
        <f>IFERROR(__xludf.DUMMYFUNCTION("""COMPUTED_VALUE"""),"RPG")</f>
        <v>RPG</v>
      </c>
      <c r="M57" s="55" t="str">
        <f>IFERROR(__xludf.DUMMYFUNCTION("""COMPUTED_VALUE"""),"Exclusive")</f>
        <v>Exclusive</v>
      </c>
      <c r="N57" s="55"/>
      <c r="O57" s="55"/>
      <c r="P57" s="55"/>
      <c r="Q57" s="55"/>
      <c r="R57" s="56" t="str">
        <f>IFERROR(__xludf.DUMMYFUNCTION("""COMPUTED_VALUE"""),"Active")</f>
        <v>Active</v>
      </c>
      <c r="S57" s="57">
        <f>IFERROR(__xludf.DUMMYFUNCTION("""COMPUTED_VALUE"""),46126.0)</f>
        <v>46126</v>
      </c>
      <c r="T57" s="60">
        <f>IFERROR(__xludf.DUMMYFUNCTION("""COMPUTED_VALUE"""),0.0)</f>
        <v>0</v>
      </c>
    </row>
    <row r="58">
      <c r="A58" s="55" t="str">
        <f>IFERROR(__xludf.DUMMYFUNCTION("""COMPUTED_VALUE"""),"Football Manager 26")</f>
        <v>Football Manager 26</v>
      </c>
      <c r="B58" s="55" t="str">
        <f>IFERROR(__xludf.DUMMYFUNCTION("""COMPUTED_VALUE"""),"PC")</f>
        <v>PC</v>
      </c>
      <c r="C58" s="55"/>
      <c r="D58" s="56" t="str">
        <f>IFERROR(__xludf.DUMMYFUNCTION("""COMPUTED_VALUE"""),"Active")</f>
        <v>Active</v>
      </c>
      <c r="E58" s="57">
        <f>IFERROR(__xludf.DUMMYFUNCTION("""COMPUTED_VALUE"""),45965.0)</f>
        <v>45965</v>
      </c>
      <c r="F58" s="58"/>
      <c r="G58" s="60">
        <f>IFERROR(__xludf.DUMMYFUNCTION("""COMPUTED_VALUE"""),11.066666666666666)</f>
        <v>11.06666667</v>
      </c>
      <c r="H58" s="63">
        <f>IFERROR(__xludf.DUMMYFUNCTION("""COMPUTED_VALUE"""),45965.0)</f>
        <v>45965</v>
      </c>
      <c r="I58" s="60">
        <f>IFERROR(__xludf.DUMMYFUNCTION("""COMPUTED_VALUE"""),0.0)</f>
        <v>0</v>
      </c>
      <c r="J58" s="64">
        <f>IFERROR(__xludf.DUMMYFUNCTION("""COMPUTED_VALUE"""),68.0)</f>
        <v>68</v>
      </c>
      <c r="K58" s="64">
        <f>IFERROR(__xludf.DUMMYFUNCTION("""COMPUTED_VALUE"""),64.0)</f>
        <v>64</v>
      </c>
      <c r="L58" s="55" t="str">
        <f>IFERROR(__xludf.DUMMYFUNCTION("""COMPUTED_VALUE"""),"Management")</f>
        <v>Management</v>
      </c>
      <c r="M58" s="55"/>
      <c r="N58" s="55"/>
      <c r="O58" s="55"/>
      <c r="P58" s="55"/>
      <c r="Q58" s="55"/>
      <c r="R58" s="56" t="str">
        <f>IFERROR(__xludf.DUMMYFUNCTION("""COMPUTED_VALUE"""),"Active")</f>
        <v>Active</v>
      </c>
      <c r="S58" s="57">
        <f>IFERROR(__xludf.DUMMYFUNCTION("""COMPUTED_VALUE"""),46125.0)</f>
        <v>46125</v>
      </c>
      <c r="T58" s="60">
        <f>IFERROR(__xludf.DUMMYFUNCTION("""COMPUTED_VALUE"""),5.3)</f>
        <v>5.3</v>
      </c>
    </row>
    <row r="59">
      <c r="A59" s="55" t="str">
        <f>IFERROR(__xludf.DUMMYFUNCTION("""COMPUTED_VALUE"""),"Tiny Bookshop")</f>
        <v>Tiny Bookshop</v>
      </c>
      <c r="B59" s="55" t="str">
        <f>IFERROR(__xludf.DUMMYFUNCTION("""COMPUTED_VALUE"""),"Xbox / PC")</f>
        <v>Xbox / PC</v>
      </c>
      <c r="C59" s="55" t="str">
        <f>IFERROR(__xludf.DUMMYFUNCTION("""COMPUTED_VALUE"""),"Yes")</f>
        <v>Yes</v>
      </c>
      <c r="D59" s="56" t="str">
        <f>IFERROR(__xludf.DUMMYFUNCTION("""COMPUTED_VALUE"""),"Active")</f>
        <v>Active</v>
      </c>
      <c r="E59" s="57">
        <f>IFERROR(__xludf.DUMMYFUNCTION("""COMPUTED_VALUE"""),46122.0)</f>
        <v>46122</v>
      </c>
      <c r="F59" s="58"/>
      <c r="G59" s="60">
        <f>IFERROR(__xludf.DUMMYFUNCTION("""COMPUTED_VALUE"""),5.866666666666666)</f>
        <v>5.866666667</v>
      </c>
      <c r="H59" s="63">
        <f>IFERROR(__xludf.DUMMYFUNCTION("""COMPUTED_VALUE"""),45876.0)</f>
        <v>45876</v>
      </c>
      <c r="I59" s="60">
        <f>IFERROR(__xludf.DUMMYFUNCTION("""COMPUTED_VALUE"""),0.675)</f>
        <v>0.675</v>
      </c>
      <c r="J59" s="64">
        <f>IFERROR(__xludf.DUMMYFUNCTION("""COMPUTED_VALUE"""),81.0)</f>
        <v>81</v>
      </c>
      <c r="K59" s="64">
        <f>IFERROR(__xludf.DUMMYFUNCTION("""COMPUTED_VALUE"""),16.0)</f>
        <v>16</v>
      </c>
      <c r="L59" s="55" t="str">
        <f>IFERROR(__xludf.DUMMYFUNCTION("""COMPUTED_VALUE"""),"Tycoon")</f>
        <v>Tycoon</v>
      </c>
      <c r="M59" s="55" t="str">
        <f>IFERROR(__xludf.DUMMYFUNCTION("""COMPUTED_VALUE"""),"Exclusive")</f>
        <v>Exclusive</v>
      </c>
      <c r="N59" s="55" t="str">
        <f>IFERROR(__xludf.DUMMYFUNCTION("""COMPUTED_VALUE"""),"Handheld Optimized")</f>
        <v>Handheld Optimized</v>
      </c>
      <c r="O59" s="55"/>
      <c r="P59" s="55"/>
      <c r="Q59" s="55"/>
      <c r="R59" s="56" t="str">
        <f>IFERROR(__xludf.DUMMYFUNCTION("""COMPUTED_VALUE"""),"Active")</f>
        <v>Active</v>
      </c>
      <c r="S59" s="57">
        <f>IFERROR(__xludf.DUMMYFUNCTION("""COMPUTED_VALUE"""),46122.0)</f>
        <v>46122</v>
      </c>
      <c r="T59" s="60">
        <f>IFERROR(__xludf.DUMMYFUNCTION("""COMPUTED_VALUE"""),0.0)</f>
        <v>0</v>
      </c>
    </row>
    <row r="60">
      <c r="A60" s="55" t="str">
        <f>IFERROR(__xludf.DUMMYFUNCTION("""COMPUTED_VALUE"""),"Planet Coaster 2")</f>
        <v>Planet Coaster 2</v>
      </c>
      <c r="B60" s="55" t="str">
        <f>IFERROR(__xludf.DUMMYFUNCTION("""COMPUTED_VALUE"""),"Xbox / PC")</f>
        <v>Xbox / PC</v>
      </c>
      <c r="C60" s="55" t="str">
        <f>IFERROR(__xludf.DUMMYFUNCTION("""COMPUTED_VALUE"""),"Yes")</f>
        <v>Yes</v>
      </c>
      <c r="D60" s="56" t="str">
        <f>IFERROR(__xludf.DUMMYFUNCTION("""COMPUTED_VALUE"""),"Active")</f>
        <v>Active</v>
      </c>
      <c r="E60" s="57">
        <f>IFERROR(__xludf.DUMMYFUNCTION("""COMPUTED_VALUE"""),46121.0)</f>
        <v>46121</v>
      </c>
      <c r="F60" s="58"/>
      <c r="G60" s="60">
        <f>IFERROR(__xludf.DUMMYFUNCTION("""COMPUTED_VALUE"""),5.8999999999999995)</f>
        <v>5.9</v>
      </c>
      <c r="H60" s="63">
        <f>IFERROR(__xludf.DUMMYFUNCTION("""COMPUTED_VALUE"""),45602.0)</f>
        <v>45602</v>
      </c>
      <c r="I60" s="60">
        <f>IFERROR(__xludf.DUMMYFUNCTION("""COMPUTED_VALUE"""),1.425)</f>
        <v>1.425</v>
      </c>
      <c r="J60" s="64">
        <f>IFERROR(__xludf.DUMMYFUNCTION("""COMPUTED_VALUE"""),76.0)</f>
        <v>76</v>
      </c>
      <c r="K60" s="64">
        <f>IFERROR(__xludf.DUMMYFUNCTION("""COMPUTED_VALUE"""),32.0)</f>
        <v>32</v>
      </c>
      <c r="L60" s="55" t="str">
        <f>IFERROR(__xludf.DUMMYFUNCTION("""COMPUTED_VALUE"""),"Simulation")</f>
        <v>Simulation</v>
      </c>
      <c r="M60" s="55" t="str">
        <f>IFERROR(__xludf.DUMMYFUNCTION("""COMPUTED_VALUE"""),"Exclusive")</f>
        <v>Exclusive</v>
      </c>
      <c r="N60" s="55"/>
      <c r="O60" s="55"/>
      <c r="P60" s="55"/>
      <c r="Q60" s="55"/>
      <c r="R60" s="56" t="str">
        <f>IFERROR(__xludf.DUMMYFUNCTION("""COMPUTED_VALUE"""),"Active")</f>
        <v>Active</v>
      </c>
      <c r="S60" s="57">
        <f>IFERROR(__xludf.DUMMYFUNCTION("""COMPUTED_VALUE"""),46121.0)</f>
        <v>46121</v>
      </c>
      <c r="T60" s="60">
        <f>IFERROR(__xludf.DUMMYFUNCTION("""COMPUTED_VALUE"""),0.0)</f>
        <v>0</v>
      </c>
    </row>
    <row r="61">
      <c r="A61" s="55" t="str">
        <f>IFERROR(__xludf.DUMMYFUNCTION("""COMPUTED_VALUE"""),"FBC: Firebreak")</f>
        <v>FBC: Firebreak</v>
      </c>
      <c r="B61" s="55" t="str">
        <f>IFERROR(__xludf.DUMMYFUNCTION("""COMPUTED_VALUE"""),"Xbox / PC")</f>
        <v>Xbox / PC</v>
      </c>
      <c r="C61" s="55" t="str">
        <f>IFERROR(__xludf.DUMMYFUNCTION("""COMPUTED_VALUE"""),"Yes")</f>
        <v>Yes</v>
      </c>
      <c r="D61" s="56" t="str">
        <f>IFERROR(__xludf.DUMMYFUNCTION("""COMPUTED_VALUE"""),"Active")</f>
        <v>Active</v>
      </c>
      <c r="E61" s="57">
        <f>IFERROR(__xludf.DUMMYFUNCTION("""COMPUTED_VALUE"""),45825.0)</f>
        <v>45825</v>
      </c>
      <c r="F61" s="58"/>
      <c r="G61" s="60">
        <f>IFERROR(__xludf.DUMMYFUNCTION("""COMPUTED_VALUE"""),15.633333333333333)</f>
        <v>15.63333333</v>
      </c>
      <c r="H61" s="63">
        <f>IFERROR(__xludf.DUMMYFUNCTION("""COMPUTED_VALUE"""),45825.0)</f>
        <v>45825</v>
      </c>
      <c r="I61" s="60">
        <f>IFERROR(__xludf.DUMMYFUNCTION("""COMPUTED_VALUE"""),0.0)</f>
        <v>0</v>
      </c>
      <c r="J61" s="64">
        <f>IFERROR(__xludf.DUMMYFUNCTION("""COMPUTED_VALUE"""),64.0)</f>
        <v>64</v>
      </c>
      <c r="K61" s="64">
        <f>IFERROR(__xludf.DUMMYFUNCTION("""COMPUTED_VALUE"""),7.0)</f>
        <v>7</v>
      </c>
      <c r="L61" s="55" t="str">
        <f>IFERROR(__xludf.DUMMYFUNCTION("""COMPUTED_VALUE"""),"Shooter")</f>
        <v>Shooter</v>
      </c>
      <c r="M61" s="55" t="str">
        <f>IFERROR(__xludf.DUMMYFUNCTION("""COMPUTED_VALUE"""),"Exclusive")</f>
        <v>Exclusive</v>
      </c>
      <c r="N61" s="55"/>
      <c r="O61" s="55"/>
      <c r="P61" s="55"/>
      <c r="Q61" s="55"/>
      <c r="R61" s="56" t="str">
        <f>IFERROR(__xludf.DUMMYFUNCTION("""COMPUTED_VALUE"""),"Active")</f>
        <v>Active</v>
      </c>
      <c r="S61" s="57">
        <f>IFERROR(__xludf.DUMMYFUNCTION("""COMPUTED_VALUE"""),46120.0)</f>
        <v>46120</v>
      </c>
      <c r="T61" s="60">
        <f>IFERROR(__xludf.DUMMYFUNCTION("""COMPUTED_VALUE"""),9.7)</f>
        <v>9.7</v>
      </c>
    </row>
    <row r="62">
      <c r="A62" s="55" t="str">
        <f>IFERROR(__xludf.DUMMYFUNCTION("""COMPUTED_VALUE"""),"Final Fantasy IV")</f>
        <v>Final Fantasy IV</v>
      </c>
      <c r="B62" s="55" t="str">
        <f>IFERROR(__xludf.DUMMYFUNCTION("""COMPUTED_VALUE"""),"Xbox / PC")</f>
        <v>Xbox / PC</v>
      </c>
      <c r="C62" s="55" t="str">
        <f>IFERROR(__xludf.DUMMYFUNCTION("""COMPUTED_VALUE"""),"Yes")</f>
        <v>Yes</v>
      </c>
      <c r="D62" s="56" t="str">
        <f>IFERROR(__xludf.DUMMYFUNCTION("""COMPUTED_VALUE"""),"Active")</f>
        <v>Active</v>
      </c>
      <c r="E62" s="57">
        <f>IFERROR(__xludf.DUMMYFUNCTION("""COMPUTED_VALUE"""),46119.0)</f>
        <v>46119</v>
      </c>
      <c r="F62" s="58"/>
      <c r="G62" s="60">
        <f>IFERROR(__xludf.DUMMYFUNCTION("""COMPUTED_VALUE"""),5.966666666666667)</f>
        <v>5.966666667</v>
      </c>
      <c r="H62" s="63">
        <f>IFERROR(__xludf.DUMMYFUNCTION("""COMPUTED_VALUE"""),41899.0)</f>
        <v>41899</v>
      </c>
      <c r="I62" s="60">
        <f>IFERROR(__xludf.DUMMYFUNCTION("""COMPUTED_VALUE"""),11.555555555555555)</f>
        <v>11.55555556</v>
      </c>
      <c r="J62" s="64">
        <f>IFERROR(__xludf.DUMMYFUNCTION("""COMPUTED_VALUE"""),67.0)</f>
        <v>67</v>
      </c>
      <c r="K62" s="64">
        <f>IFERROR(__xludf.DUMMYFUNCTION("""COMPUTED_VALUE"""),23.0)</f>
        <v>23</v>
      </c>
      <c r="L62" s="55" t="str">
        <f>IFERROR(__xludf.DUMMYFUNCTION("""COMPUTED_VALUE"""),"RPG")</f>
        <v>RPG</v>
      </c>
      <c r="M62" s="55" t="str">
        <f>IFERROR(__xludf.DUMMYFUNCTION("""COMPUTED_VALUE"""),"Exclusive")</f>
        <v>Exclusive</v>
      </c>
      <c r="N62" s="55"/>
      <c r="O62" s="55"/>
      <c r="P62" s="55"/>
      <c r="Q62" s="55"/>
      <c r="R62" s="56" t="str">
        <f>IFERROR(__xludf.DUMMYFUNCTION("""COMPUTED_VALUE"""),"Active")</f>
        <v>Active</v>
      </c>
      <c r="S62" s="57">
        <f>IFERROR(__xludf.DUMMYFUNCTION("""COMPUTED_VALUE"""),46119.0)</f>
        <v>46119</v>
      </c>
      <c r="T62" s="60">
        <f>IFERROR(__xludf.DUMMYFUNCTION("""COMPUTED_VALUE"""),0.0)</f>
        <v>0</v>
      </c>
    </row>
    <row r="63">
      <c r="A63" s="55" t="str">
        <f>IFERROR(__xludf.DUMMYFUNCTION("""COMPUTED_VALUE"""),"Barbie Horse Trails")</f>
        <v>Barbie Horse Trails</v>
      </c>
      <c r="B63" s="55" t="str">
        <f>IFERROR(__xludf.DUMMYFUNCTION("""COMPUTED_VALUE"""),"Xbox / PC")</f>
        <v>Xbox / PC</v>
      </c>
      <c r="C63" s="55" t="str">
        <f>IFERROR(__xludf.DUMMYFUNCTION("""COMPUTED_VALUE"""),"Yes")</f>
        <v>Yes</v>
      </c>
      <c r="D63" s="56" t="str">
        <f>IFERROR(__xludf.DUMMYFUNCTION("""COMPUTED_VALUE"""),"Active")</f>
        <v>Active</v>
      </c>
      <c r="E63" s="57">
        <f>IFERROR(__xludf.DUMMYFUNCTION("""COMPUTED_VALUE"""),46114.0)</f>
        <v>46114</v>
      </c>
      <c r="F63" s="58"/>
      <c r="G63" s="60">
        <f>IFERROR(__xludf.DUMMYFUNCTION("""COMPUTED_VALUE"""),6.133333333333333)</f>
        <v>6.133333333</v>
      </c>
      <c r="H63" s="63">
        <f>IFERROR(__xludf.DUMMYFUNCTION("""COMPUTED_VALUE"""),39734.0)</f>
        <v>39734</v>
      </c>
      <c r="I63" s="60">
        <f>IFERROR(__xludf.DUMMYFUNCTION("""COMPUTED_VALUE"""),17.469444444444445)</f>
        <v>17.46944444</v>
      </c>
      <c r="J63" s="64">
        <f>IFERROR(__xludf.DUMMYFUNCTION("""COMPUTED_VALUE"""),80.0)</f>
        <v>80</v>
      </c>
      <c r="K63" s="64">
        <f>IFERROR(__xludf.DUMMYFUNCTION("""COMPUTED_VALUE"""),6.0)</f>
        <v>6</v>
      </c>
      <c r="L63" s="55" t="str">
        <f>IFERROR(__xludf.DUMMYFUNCTION("""COMPUTED_VALUE"""),"Action-Adventure")</f>
        <v>Action-Adventure</v>
      </c>
      <c r="M63" s="55"/>
      <c r="N63" s="55" t="str">
        <f>IFERROR(__xludf.DUMMYFUNCTION("""COMPUTED_VALUE"""),"Handheld Optimized")</f>
        <v>Handheld Optimized</v>
      </c>
      <c r="O63" s="55"/>
      <c r="P63" s="55"/>
      <c r="Q63" s="55"/>
      <c r="R63" s="56" t="str">
        <f>IFERROR(__xludf.DUMMYFUNCTION("""COMPUTED_VALUE"""),"Active")</f>
        <v>Active</v>
      </c>
      <c r="S63" s="57">
        <f>IFERROR(__xludf.DUMMYFUNCTION("""COMPUTED_VALUE"""),46114.0)</f>
        <v>46114</v>
      </c>
      <c r="T63" s="60">
        <f>IFERROR(__xludf.DUMMYFUNCTION("""COMPUTED_VALUE"""),0.0)</f>
        <v>0</v>
      </c>
    </row>
    <row r="64">
      <c r="A64" s="55" t="str">
        <f>IFERROR(__xludf.DUMMYFUNCTION("""COMPUTED_VALUE"""),"Clair Obscur: Expedition 33")</f>
        <v>Clair Obscur: Expedition 33</v>
      </c>
      <c r="B64" s="55" t="str">
        <f>IFERROR(__xludf.DUMMYFUNCTION("""COMPUTED_VALUE"""),"Xbox / PC")</f>
        <v>Xbox / PC</v>
      </c>
      <c r="C64" s="55" t="str">
        <f>IFERROR(__xludf.DUMMYFUNCTION("""COMPUTED_VALUE"""),"Yes")</f>
        <v>Yes</v>
      </c>
      <c r="D64" s="56" t="str">
        <f>IFERROR(__xludf.DUMMYFUNCTION("""COMPUTED_VALUE"""),"Leaving Soon")</f>
        <v>Leaving Soon</v>
      </c>
      <c r="E64" s="57">
        <f>IFERROR(__xludf.DUMMYFUNCTION("""COMPUTED_VALUE"""),45771.0)</f>
        <v>45771</v>
      </c>
      <c r="F64" s="58">
        <f>IFERROR(__xludf.DUMMYFUNCTION("""COMPUTED_VALUE"""),46310.0)</f>
        <v>46310</v>
      </c>
      <c r="G64" s="60">
        <f>IFERROR(__xludf.DUMMYFUNCTION("""COMPUTED_VALUE"""),17.700000000000003)</f>
        <v>17.7</v>
      </c>
      <c r="H64" s="63">
        <f>IFERROR(__xludf.DUMMYFUNCTION("""COMPUTED_VALUE"""),45771.0)</f>
        <v>45771</v>
      </c>
      <c r="I64" s="60">
        <f>IFERROR(__xludf.DUMMYFUNCTION("""COMPUTED_VALUE"""),0.0)</f>
        <v>0</v>
      </c>
      <c r="J64" s="64">
        <f>IFERROR(__xludf.DUMMYFUNCTION("""COMPUTED_VALUE"""),92.0)</f>
        <v>92</v>
      </c>
      <c r="K64" s="64">
        <f>IFERROR(__xludf.DUMMYFUNCTION("""COMPUTED_VALUE"""),26.0)</f>
        <v>26</v>
      </c>
      <c r="L64" s="55" t="str">
        <f>IFERROR(__xludf.DUMMYFUNCTION("""COMPUTED_VALUE"""),"RPG")</f>
        <v>RPG</v>
      </c>
      <c r="M64" s="55" t="str">
        <f>IFERROR(__xludf.DUMMYFUNCTION("""COMPUTED_VALUE"""),"Exclusive")</f>
        <v>Exclusive</v>
      </c>
      <c r="N64" s="55"/>
      <c r="O64" s="55"/>
      <c r="P64" s="55"/>
      <c r="Q64" s="55"/>
      <c r="R64" s="56" t="str">
        <f>IFERROR(__xludf.DUMMYFUNCTION("""COMPUTED_VALUE"""),"Leaving Soon")</f>
        <v>Leaving Soon</v>
      </c>
      <c r="S64" s="57">
        <f>IFERROR(__xludf.DUMMYFUNCTION("""COMPUTED_VALUE"""),46114.0)</f>
        <v>46114</v>
      </c>
      <c r="T64" s="60">
        <f>IFERROR(__xludf.DUMMYFUNCTION("""COMPUTED_VALUE"""),11.266666666666666)</f>
        <v>11.26666667</v>
      </c>
    </row>
    <row r="65">
      <c r="A65" s="55" t="str">
        <f>IFERROR(__xludf.DUMMYFUNCTION("""COMPUTED_VALUE"""),"Resident Evil 7: Biohazard")</f>
        <v>Resident Evil 7: Biohazard</v>
      </c>
      <c r="B65" s="55" t="str">
        <f>IFERROR(__xludf.DUMMYFUNCTION("""COMPUTED_VALUE"""),"Xbox / PC")</f>
        <v>Xbox / PC</v>
      </c>
      <c r="C65" s="55" t="str">
        <f>IFERROR(__xludf.DUMMYFUNCTION("""COMPUTED_VALUE"""),"Yes")</f>
        <v>Yes</v>
      </c>
      <c r="D65" s="56" t="str">
        <f>IFERROR(__xludf.DUMMYFUNCTION("""COMPUTED_VALUE"""),"Active")</f>
        <v>Active</v>
      </c>
      <c r="E65" s="57">
        <f>IFERROR(__xludf.DUMMYFUNCTION("""COMPUTED_VALUE"""),46112.0)</f>
        <v>46112</v>
      </c>
      <c r="F65" s="58"/>
      <c r="G65" s="60">
        <f>IFERROR(__xludf.DUMMYFUNCTION("""COMPUTED_VALUE"""),6.200000000000001)</f>
        <v>6.2</v>
      </c>
      <c r="H65" s="63">
        <f>IFERROR(__xludf.DUMMYFUNCTION("""COMPUTED_VALUE"""),42759.0)</f>
        <v>42759</v>
      </c>
      <c r="I65" s="60">
        <f>IFERROR(__xludf.DUMMYFUNCTION("""COMPUTED_VALUE"""),9.183333333333334)</f>
        <v>9.183333333</v>
      </c>
      <c r="J65" s="64">
        <f>IFERROR(__xludf.DUMMYFUNCTION("""COMPUTED_VALUE"""),86.0)</f>
        <v>86</v>
      </c>
      <c r="K65" s="64">
        <f>IFERROR(__xludf.DUMMYFUNCTION("""COMPUTED_VALUE"""),9.0)</f>
        <v>9</v>
      </c>
      <c r="L65" s="55" t="str">
        <f>IFERROR(__xludf.DUMMYFUNCTION("""COMPUTED_VALUE"""),"Action-Adventure")</f>
        <v>Action-Adventure</v>
      </c>
      <c r="M65" s="55"/>
      <c r="N65" s="55" t="str">
        <f>IFERROR(__xludf.DUMMYFUNCTION("""COMPUTED_VALUE"""),"Returning title: Joined 9/3/20, left 5/31/22")</f>
        <v>Returning title: Joined 9/3/20, left 5/31/22</v>
      </c>
      <c r="O65" s="55"/>
      <c r="P65" s="55"/>
      <c r="Q65" s="55"/>
      <c r="R65" s="56" t="str">
        <f>IFERROR(__xludf.DUMMYFUNCTION("""COMPUTED_VALUE"""),"Active")</f>
        <v>Active</v>
      </c>
      <c r="S65" s="57">
        <f>IFERROR(__xludf.DUMMYFUNCTION("""COMPUTED_VALUE"""),46112.0)</f>
        <v>46112</v>
      </c>
      <c r="T65" s="60">
        <f>IFERROR(__xludf.DUMMYFUNCTION("""COMPUTED_VALUE"""),0.0)</f>
        <v>0</v>
      </c>
    </row>
    <row r="66">
      <c r="A66" s="55" t="str">
        <f>IFERROR(__xludf.DUMMYFUNCTION("""COMPUTED_VALUE"""),"The Long Dark")</f>
        <v>The Long Dark</v>
      </c>
      <c r="B66" s="55" t="str">
        <f>IFERROR(__xludf.DUMMYFUNCTION("""COMPUTED_VALUE"""),"Xbox / PC")</f>
        <v>Xbox / PC</v>
      </c>
      <c r="C66" s="55" t="str">
        <f>IFERROR(__xludf.DUMMYFUNCTION("""COMPUTED_VALUE"""),"Yes")</f>
        <v>Yes</v>
      </c>
      <c r="D66" s="56" t="str">
        <f>IFERROR(__xludf.DUMMYFUNCTION("""COMPUTED_VALUE"""),"Active")</f>
        <v>Active</v>
      </c>
      <c r="E66" s="57">
        <f>IFERROR(__xludf.DUMMYFUNCTION("""COMPUTED_VALUE"""),46111.0)</f>
        <v>46111</v>
      </c>
      <c r="F66" s="58"/>
      <c r="G66" s="60">
        <f>IFERROR(__xludf.DUMMYFUNCTION("""COMPUTED_VALUE"""),6.200000000000001)</f>
        <v>6.2</v>
      </c>
      <c r="H66" s="63">
        <f>IFERROR(__xludf.DUMMYFUNCTION("""COMPUTED_VALUE"""),42948.0)</f>
        <v>42948</v>
      </c>
      <c r="I66" s="60">
        <f>IFERROR(__xludf.DUMMYFUNCTION("""COMPUTED_VALUE"""),8.66388888888889)</f>
        <v>8.663888889</v>
      </c>
      <c r="J66" s="64">
        <f>IFERROR(__xludf.DUMMYFUNCTION("""COMPUTED_VALUE"""),77.0)</f>
        <v>77</v>
      </c>
      <c r="K66" s="64">
        <f>IFERROR(__xludf.DUMMYFUNCTION("""COMPUTED_VALUE"""),20.0)</f>
        <v>20</v>
      </c>
      <c r="L66" s="55" t="str">
        <f>IFERROR(__xludf.DUMMYFUNCTION("""COMPUTED_VALUE"""),"Action-Adventure")</f>
        <v>Action-Adventure</v>
      </c>
      <c r="M66" s="55"/>
      <c r="N66" s="55" t="str">
        <f>IFERROR(__xludf.DUMMYFUNCTION("""COMPUTED_VALUE"""),"Returning title: Joined 4/16/20, left 4/15/23")</f>
        <v>Returning title: Joined 4/16/20, left 4/15/23</v>
      </c>
      <c r="O66" s="55"/>
      <c r="P66" s="55"/>
      <c r="Q66" s="55"/>
      <c r="R66" s="56" t="str">
        <f>IFERROR(__xludf.DUMMYFUNCTION("""COMPUTED_VALUE"""),"Active")</f>
        <v>Active</v>
      </c>
      <c r="S66" s="57">
        <f>IFERROR(__xludf.DUMMYFUNCTION("""COMPUTED_VALUE"""),46111.0)</f>
        <v>46111</v>
      </c>
      <c r="T66" s="60">
        <f>IFERROR(__xludf.DUMMYFUNCTION("""COMPUTED_VALUE"""),0.0)</f>
        <v>0</v>
      </c>
    </row>
    <row r="67">
      <c r="A67" s="55" t="str">
        <f>IFERROR(__xludf.DUMMYFUNCTION("""COMPUTED_VALUE"""),"Easy Delivery Co.")</f>
        <v>Easy Delivery Co.</v>
      </c>
      <c r="B67" s="55" t="str">
        <f>IFERROR(__xludf.DUMMYFUNCTION("""COMPUTED_VALUE"""),"Xbox / PC")</f>
        <v>Xbox / PC</v>
      </c>
      <c r="C67" s="55" t="str">
        <f>IFERROR(__xludf.DUMMYFUNCTION("""COMPUTED_VALUE"""),"Yes")</f>
        <v>Yes</v>
      </c>
      <c r="D67" s="56" t="str">
        <f>IFERROR(__xludf.DUMMYFUNCTION("""COMPUTED_VALUE"""),"Active")</f>
        <v>Active</v>
      </c>
      <c r="E67" s="57">
        <f>IFERROR(__xludf.DUMMYFUNCTION("""COMPUTED_VALUE"""),46107.0)</f>
        <v>46107</v>
      </c>
      <c r="F67" s="58"/>
      <c r="G67" s="60">
        <f>IFERROR(__xludf.DUMMYFUNCTION("""COMPUTED_VALUE"""),6.333333333333334)</f>
        <v>6.333333333</v>
      </c>
      <c r="H67" s="63">
        <f>IFERROR(__xludf.DUMMYFUNCTION("""COMPUTED_VALUE"""),45918.0)</f>
        <v>45918</v>
      </c>
      <c r="I67" s="60">
        <f>IFERROR(__xludf.DUMMYFUNCTION("""COMPUTED_VALUE"""),0.5222222222222223)</f>
        <v>0.5222222222</v>
      </c>
      <c r="J67" s="64">
        <f>IFERROR(__xludf.DUMMYFUNCTION("""COMPUTED_VALUE"""),73.0)</f>
        <v>73</v>
      </c>
      <c r="K67" s="64">
        <f>IFERROR(__xludf.DUMMYFUNCTION("""COMPUTED_VALUE"""),5.0)</f>
        <v>5</v>
      </c>
      <c r="L67" s="55" t="str">
        <f>IFERROR(__xludf.DUMMYFUNCTION("""COMPUTED_VALUE"""),"Action-Adventure")</f>
        <v>Action-Adventure</v>
      </c>
      <c r="M67" s="55"/>
      <c r="N67" s="55" t="str">
        <f>IFERROR(__xludf.DUMMYFUNCTION("""COMPUTED_VALUE"""),"Handheld Optimized")</f>
        <v>Handheld Optimized</v>
      </c>
      <c r="O67" s="55"/>
      <c r="P67" s="55"/>
      <c r="Q67" s="55"/>
      <c r="R67" s="56" t="str">
        <f>IFERROR(__xludf.DUMMYFUNCTION("""COMPUTED_VALUE"""),"Active")</f>
        <v>Active</v>
      </c>
      <c r="S67" s="57">
        <f>IFERROR(__xludf.DUMMYFUNCTION("""COMPUTED_VALUE"""),46107.0)</f>
        <v>46107</v>
      </c>
      <c r="T67" s="60">
        <f>IFERROR(__xludf.DUMMYFUNCTION("""COMPUTED_VALUE"""),0.0)</f>
        <v>0</v>
      </c>
    </row>
    <row r="68">
      <c r="A68" s="55" t="str">
        <f>IFERROR(__xludf.DUMMYFUNCTION("""COMPUTED_VALUE"""),"Absolum")</f>
        <v>Absolum</v>
      </c>
      <c r="B68" s="55" t="str">
        <f>IFERROR(__xludf.DUMMYFUNCTION("""COMPUTED_VALUE"""),"Xbox / PC")</f>
        <v>Xbox / PC</v>
      </c>
      <c r="C68" s="55" t="str">
        <f>IFERROR(__xludf.DUMMYFUNCTION("""COMPUTED_VALUE"""),"Yes")</f>
        <v>Yes</v>
      </c>
      <c r="D68" s="56" t="str">
        <f>IFERROR(__xludf.DUMMYFUNCTION("""COMPUTED_VALUE"""),"Active")</f>
        <v>Active</v>
      </c>
      <c r="E68" s="57">
        <f>IFERROR(__xludf.DUMMYFUNCTION("""COMPUTED_VALUE"""),46106.0)</f>
        <v>46106</v>
      </c>
      <c r="F68" s="58"/>
      <c r="G68" s="60">
        <f>IFERROR(__xludf.DUMMYFUNCTION("""COMPUTED_VALUE"""),6.366666666666667)</f>
        <v>6.366666667</v>
      </c>
      <c r="H68" s="63">
        <f>IFERROR(__xludf.DUMMYFUNCTION("""COMPUTED_VALUE"""),45939.0)</f>
        <v>45939</v>
      </c>
      <c r="I68" s="60">
        <f>IFERROR(__xludf.DUMMYFUNCTION("""COMPUTED_VALUE"""),0.46111111111111114)</f>
        <v>0.4611111111</v>
      </c>
      <c r="J68" s="64">
        <f>IFERROR(__xludf.DUMMYFUNCTION("""COMPUTED_VALUE"""),87.0)</f>
        <v>87</v>
      </c>
      <c r="K68" s="64">
        <f>IFERROR(__xludf.DUMMYFUNCTION("""COMPUTED_VALUE"""),9.0)</f>
        <v>9</v>
      </c>
      <c r="L68" s="55" t="str">
        <f>IFERROR(__xludf.DUMMYFUNCTION("""COMPUTED_VALUE"""),"Beat-’Em-Up")</f>
        <v>Beat-’Em-Up</v>
      </c>
      <c r="M68" s="55" t="str">
        <f>IFERROR(__xludf.DUMMYFUNCTION("""COMPUTED_VALUE"""),"Exclusive")</f>
        <v>Exclusive</v>
      </c>
      <c r="N68" s="55"/>
      <c r="O68" s="55"/>
      <c r="P68" s="55"/>
      <c r="Q68" s="55"/>
      <c r="R68" s="56" t="str">
        <f>IFERROR(__xludf.DUMMYFUNCTION("""COMPUTED_VALUE"""),"Active")</f>
        <v>Active</v>
      </c>
      <c r="S68" s="57">
        <f>IFERROR(__xludf.DUMMYFUNCTION("""COMPUTED_VALUE"""),46106.0)</f>
        <v>46106</v>
      </c>
      <c r="T68" s="60">
        <f>IFERROR(__xludf.DUMMYFUNCTION("""COMPUTED_VALUE"""),0.0)</f>
        <v>0</v>
      </c>
    </row>
    <row r="69">
      <c r="A69" s="55" t="str">
        <f>IFERROR(__xludf.DUMMYFUNCTION("""COMPUTED_VALUE"""),"Like a Dragon: Infinite Wealth")</f>
        <v>Like a Dragon: Infinite Wealth</v>
      </c>
      <c r="B69" s="55" t="str">
        <f>IFERROR(__xludf.DUMMYFUNCTION("""COMPUTED_VALUE"""),"Xbox / PC")</f>
        <v>Xbox / PC</v>
      </c>
      <c r="C69" s="55" t="str">
        <f>IFERROR(__xludf.DUMMYFUNCTION("""COMPUTED_VALUE"""),"Yes")</f>
        <v>Yes</v>
      </c>
      <c r="D69" s="56" t="str">
        <f>IFERROR(__xludf.DUMMYFUNCTION("""COMPUTED_VALUE"""),"Active")</f>
        <v>Active</v>
      </c>
      <c r="E69" s="57">
        <f>IFERROR(__xludf.DUMMYFUNCTION("""COMPUTED_VALUE"""),46105.0)</f>
        <v>46105</v>
      </c>
      <c r="F69" s="58"/>
      <c r="G69" s="60">
        <f>IFERROR(__xludf.DUMMYFUNCTION("""COMPUTED_VALUE"""),6.4)</f>
        <v>6.4</v>
      </c>
      <c r="H69" s="63">
        <f>IFERROR(__xludf.DUMMYFUNCTION("""COMPUTED_VALUE"""),45317.0)</f>
        <v>45317</v>
      </c>
      <c r="I69" s="60">
        <f>IFERROR(__xludf.DUMMYFUNCTION("""COMPUTED_VALUE"""),2.161111111111111)</f>
        <v>2.161111111</v>
      </c>
      <c r="J69" s="64">
        <f>IFERROR(__xludf.DUMMYFUNCTION("""COMPUTED_VALUE"""),89.0)</f>
        <v>89</v>
      </c>
      <c r="K69" s="64">
        <f>IFERROR(__xludf.DUMMYFUNCTION("""COMPUTED_VALUE"""),45.0)</f>
        <v>45</v>
      </c>
      <c r="L69" s="55" t="str">
        <f>IFERROR(__xludf.DUMMYFUNCTION("""COMPUTED_VALUE"""),"RPG")</f>
        <v>RPG</v>
      </c>
      <c r="M69" s="55"/>
      <c r="N69" s="55" t="str">
        <f>IFERROR(__xludf.DUMMYFUNCTION("""COMPUTED_VALUE"""),"Handheld Optimized")</f>
        <v>Handheld Optimized</v>
      </c>
      <c r="O69" s="55"/>
      <c r="P69" s="55"/>
      <c r="Q69" s="55"/>
      <c r="R69" s="56" t="str">
        <f>IFERROR(__xludf.DUMMYFUNCTION("""COMPUTED_VALUE"""),"Active")</f>
        <v>Active</v>
      </c>
      <c r="S69" s="57">
        <f>IFERROR(__xludf.DUMMYFUNCTION("""COMPUTED_VALUE"""),46105.0)</f>
        <v>46105</v>
      </c>
      <c r="T69" s="60">
        <f>IFERROR(__xludf.DUMMYFUNCTION("""COMPUTED_VALUE"""),0.0)</f>
        <v>0</v>
      </c>
    </row>
    <row r="70">
      <c r="A70" s="55" t="str">
        <f>IFERROR(__xludf.DUMMYFUNCTION("""COMPUTED_VALUE"""),"Disco Elysium")</f>
        <v>Disco Elysium</v>
      </c>
      <c r="B70" s="55" t="str">
        <f>IFERROR(__xludf.DUMMYFUNCTION("""COMPUTED_VALUE"""),"Xbox / PC")</f>
        <v>Xbox / PC</v>
      </c>
      <c r="C70" s="55" t="str">
        <f>IFERROR(__xludf.DUMMYFUNCTION("""COMPUTED_VALUE"""),"Yes")</f>
        <v>Yes</v>
      </c>
      <c r="D70" s="56" t="str">
        <f>IFERROR(__xludf.DUMMYFUNCTION("""COMPUTED_VALUE"""),"Active")</f>
        <v>Active</v>
      </c>
      <c r="E70" s="57">
        <f>IFERROR(__xludf.DUMMYFUNCTION("""COMPUTED_VALUE"""),46100.0)</f>
        <v>46100</v>
      </c>
      <c r="F70" s="58"/>
      <c r="G70" s="60">
        <f>IFERROR(__xludf.DUMMYFUNCTION("""COMPUTED_VALUE"""),6.566666666666667)</f>
        <v>6.566666667</v>
      </c>
      <c r="H70" s="63">
        <f>IFERROR(__xludf.DUMMYFUNCTION("""COMPUTED_VALUE"""),43753.0)</f>
        <v>43753</v>
      </c>
      <c r="I70" s="60">
        <f>IFERROR(__xludf.DUMMYFUNCTION("""COMPUTED_VALUE"""),6.427777777777778)</f>
        <v>6.427777778</v>
      </c>
      <c r="J70" s="64">
        <f>IFERROR(__xludf.DUMMYFUNCTION("""COMPUTED_VALUE"""),91.0)</f>
        <v>91</v>
      </c>
      <c r="K70" s="64">
        <f>IFERROR(__xludf.DUMMYFUNCTION("""COMPUTED_VALUE"""),23.0)</f>
        <v>23</v>
      </c>
      <c r="L70" s="55" t="str">
        <f>IFERROR(__xludf.DUMMYFUNCTION("""COMPUTED_VALUE"""),"RPG")</f>
        <v>RPG</v>
      </c>
      <c r="M70" s="55" t="str">
        <f>IFERROR(__xludf.DUMMYFUNCTION("""COMPUTED_VALUE"""),"Exclusive")</f>
        <v>Exclusive</v>
      </c>
      <c r="N70" s="55"/>
      <c r="O70" s="55"/>
      <c r="P70" s="55"/>
      <c r="Q70" s="55"/>
      <c r="R70" s="56" t="str">
        <f>IFERROR(__xludf.DUMMYFUNCTION("""COMPUTED_VALUE"""),"Active")</f>
        <v>Active</v>
      </c>
      <c r="S70" s="57">
        <f>IFERROR(__xludf.DUMMYFUNCTION("""COMPUTED_VALUE"""),46100.0)</f>
        <v>46100</v>
      </c>
      <c r="T70" s="60">
        <f>IFERROR(__xludf.DUMMYFUNCTION("""COMPUTED_VALUE"""),0.0)</f>
        <v>0</v>
      </c>
    </row>
    <row r="71">
      <c r="A71" s="55" t="str">
        <f>IFERROR(__xludf.DUMMYFUNCTION("""COMPUTED_VALUE"""),"The Alters")</f>
        <v>The Alters</v>
      </c>
      <c r="B71" s="55" t="str">
        <f>IFERROR(__xludf.DUMMYFUNCTION("""COMPUTED_VALUE"""),"Xbox / PC")</f>
        <v>Xbox / PC</v>
      </c>
      <c r="C71" s="55" t="str">
        <f>IFERROR(__xludf.DUMMYFUNCTION("""COMPUTED_VALUE"""),"Yes")</f>
        <v>Yes</v>
      </c>
      <c r="D71" s="56" t="str">
        <f>IFERROR(__xludf.DUMMYFUNCTION("""COMPUTED_VALUE"""),"Active")</f>
        <v>Active</v>
      </c>
      <c r="E71" s="57">
        <f>IFERROR(__xludf.DUMMYFUNCTION("""COMPUTED_VALUE"""),45821.0)</f>
        <v>45821</v>
      </c>
      <c r="F71" s="58"/>
      <c r="G71" s="60">
        <f>IFERROR(__xludf.DUMMYFUNCTION("""COMPUTED_VALUE"""),15.766666666666666)</f>
        <v>15.76666667</v>
      </c>
      <c r="H71" s="63">
        <f>IFERROR(__xludf.DUMMYFUNCTION("""COMPUTED_VALUE"""),45821.0)</f>
        <v>45821</v>
      </c>
      <c r="I71" s="60">
        <f>IFERROR(__xludf.DUMMYFUNCTION("""COMPUTED_VALUE"""),0.0)</f>
        <v>0</v>
      </c>
      <c r="J71" s="64">
        <f>IFERROR(__xludf.DUMMYFUNCTION("""COMPUTED_VALUE"""),84.0)</f>
        <v>84</v>
      </c>
      <c r="K71" s="64">
        <f>IFERROR(__xludf.DUMMYFUNCTION("""COMPUTED_VALUE"""),19.0)</f>
        <v>19</v>
      </c>
      <c r="L71" s="55" t="str">
        <f>IFERROR(__xludf.DUMMYFUNCTION("""COMPUTED_VALUE"""),"Survival")</f>
        <v>Survival</v>
      </c>
      <c r="M71" s="55" t="str">
        <f>IFERROR(__xludf.DUMMYFUNCTION("""COMPUTED_VALUE"""),"Exclusive")</f>
        <v>Exclusive</v>
      </c>
      <c r="N71" s="55"/>
      <c r="O71" s="55"/>
      <c r="P71" s="55"/>
      <c r="Q71" s="55"/>
      <c r="R71" s="56" t="str">
        <f>IFERROR(__xludf.DUMMYFUNCTION("""COMPUTED_VALUE"""),"Active")</f>
        <v>Active</v>
      </c>
      <c r="S71" s="57">
        <f>IFERROR(__xludf.DUMMYFUNCTION("""COMPUTED_VALUE"""),46099.0)</f>
        <v>46099</v>
      </c>
      <c r="T71" s="60">
        <f>IFERROR(__xludf.DUMMYFUNCTION("""COMPUTED_VALUE"""),9.166666666666666)</f>
        <v>9.166666667</v>
      </c>
    </row>
    <row r="72">
      <c r="A72" s="55" t="str">
        <f>IFERROR(__xludf.DUMMYFUNCTION("""COMPUTED_VALUE"""),"South of Midnight")</f>
        <v>South of Midnight</v>
      </c>
      <c r="B72" s="55" t="str">
        <f>IFERROR(__xludf.DUMMYFUNCTION("""COMPUTED_VALUE"""),"Xbox / PC")</f>
        <v>Xbox / PC</v>
      </c>
      <c r="C72" s="55"/>
      <c r="D72" s="56" t="str">
        <f>IFERROR(__xludf.DUMMYFUNCTION("""COMPUTED_VALUE"""),"Active")</f>
        <v>Active</v>
      </c>
      <c r="E72" s="57">
        <f>IFERROR(__xludf.DUMMYFUNCTION("""COMPUTED_VALUE"""),45755.0)</f>
        <v>45755</v>
      </c>
      <c r="F72" s="58"/>
      <c r="G72" s="60">
        <f>IFERROR(__xludf.DUMMYFUNCTION("""COMPUTED_VALUE"""),17.933333333333334)</f>
        <v>17.93333333</v>
      </c>
      <c r="H72" s="63">
        <f>IFERROR(__xludf.DUMMYFUNCTION("""COMPUTED_VALUE"""),45755.0)</f>
        <v>45755</v>
      </c>
      <c r="I72" s="60">
        <f>IFERROR(__xludf.DUMMYFUNCTION("""COMPUTED_VALUE"""),0.0)</f>
        <v>0</v>
      </c>
      <c r="J72" s="64">
        <f>IFERROR(__xludf.DUMMYFUNCTION("""COMPUTED_VALUE"""),77.0)</f>
        <v>77</v>
      </c>
      <c r="K72" s="64">
        <f>IFERROR(__xludf.DUMMYFUNCTION("""COMPUTED_VALUE"""),10.0)</f>
        <v>10</v>
      </c>
      <c r="L72" s="55" t="str">
        <f>IFERROR(__xludf.DUMMYFUNCTION("""COMPUTED_VALUE"""),"Action-Adventure")</f>
        <v>Action-Adventure</v>
      </c>
      <c r="M72" s="55" t="str">
        <f>IFERROR(__xludf.DUMMYFUNCTION("""COMPUTED_VALUE"""),"Exclusive")</f>
        <v>Exclusive</v>
      </c>
      <c r="N72" s="55"/>
      <c r="O72" s="55"/>
      <c r="P72" s="55"/>
      <c r="Q72" s="55"/>
      <c r="R72" s="56" t="str">
        <f>IFERROR(__xludf.DUMMYFUNCTION("""COMPUTED_VALUE"""),"Active")</f>
        <v>Active</v>
      </c>
      <c r="S72" s="57">
        <f>IFERROR(__xludf.DUMMYFUNCTION("""COMPUTED_VALUE"""),46099.0)</f>
        <v>46099</v>
      </c>
      <c r="T72" s="60">
        <f>IFERROR(__xludf.DUMMYFUNCTION("""COMPUTED_VALUE"""),11.333333333333332)</f>
        <v>11.33333333</v>
      </c>
    </row>
    <row r="73">
      <c r="A73" s="55" t="str">
        <f>IFERROR(__xludf.DUMMYFUNCTION("""COMPUTED_VALUE"""),"DreamWorks Gabby's Dollhouse: Ready to Party")</f>
        <v>DreamWorks Gabby's Dollhouse: Ready to Party</v>
      </c>
      <c r="B73" s="55" t="str">
        <f>IFERROR(__xludf.DUMMYFUNCTION("""COMPUTED_VALUE"""),"Xbox / PC")</f>
        <v>Xbox / PC</v>
      </c>
      <c r="C73" s="55" t="str">
        <f>IFERROR(__xludf.DUMMYFUNCTION("""COMPUTED_VALUE"""),"Yes")</f>
        <v>Yes</v>
      </c>
      <c r="D73" s="56" t="str">
        <f>IFERROR(__xludf.DUMMYFUNCTION("""COMPUTED_VALUE"""),"Active")</f>
        <v>Active</v>
      </c>
      <c r="E73" s="57">
        <f>IFERROR(__xludf.DUMMYFUNCTION("""COMPUTED_VALUE"""),46098.0)</f>
        <v>46098</v>
      </c>
      <c r="F73" s="58"/>
      <c r="G73" s="60">
        <f>IFERROR(__xludf.DUMMYFUNCTION("""COMPUTED_VALUE"""),6.633333333333334)</f>
        <v>6.633333333</v>
      </c>
      <c r="H73" s="63">
        <f>IFERROR(__xludf.DUMMYFUNCTION("""COMPUTED_VALUE"""),45919.0)</f>
        <v>45919</v>
      </c>
      <c r="I73" s="60">
        <f>IFERROR(__xludf.DUMMYFUNCTION("""COMPUTED_VALUE"""),0.49444444444444446)</f>
        <v>0.4944444444</v>
      </c>
      <c r="J73" s="64">
        <f>IFERROR(__xludf.DUMMYFUNCTION("""COMPUTED_VALUE"""),80.0)</f>
        <v>80</v>
      </c>
      <c r="K73" s="64">
        <f>IFERROR(__xludf.DUMMYFUNCTION("""COMPUTED_VALUE"""),3.0)</f>
        <v>3</v>
      </c>
      <c r="L73" s="55" t="str">
        <f>IFERROR(__xludf.DUMMYFUNCTION("""COMPUTED_VALUE"""),"Action-Adventure")</f>
        <v>Action-Adventure</v>
      </c>
      <c r="M73" s="55" t="str">
        <f>IFERROR(__xludf.DUMMYFUNCTION("""COMPUTED_VALUE"""),"Exclusive")</f>
        <v>Exclusive</v>
      </c>
      <c r="N73" s="55"/>
      <c r="O73" s="55"/>
      <c r="P73" s="55"/>
      <c r="Q73" s="55"/>
      <c r="R73" s="56" t="str">
        <f>IFERROR(__xludf.DUMMYFUNCTION("""COMPUTED_VALUE"""),"Active")</f>
        <v>Active</v>
      </c>
      <c r="S73" s="57">
        <f>IFERROR(__xludf.DUMMYFUNCTION("""COMPUTED_VALUE"""),46098.0)</f>
        <v>46098</v>
      </c>
      <c r="T73" s="60">
        <f>IFERROR(__xludf.DUMMYFUNCTION("""COMPUTED_VALUE"""),0.0)</f>
        <v>0</v>
      </c>
    </row>
    <row r="74">
      <c r="A74" s="55" t="str">
        <f>IFERROR(__xludf.DUMMYFUNCTION("""COMPUTED_VALUE"""),"Hollow Knight: Silksong")</f>
        <v>Hollow Knight: Silksong</v>
      </c>
      <c r="B74" s="55" t="str">
        <f>IFERROR(__xludf.DUMMYFUNCTION("""COMPUTED_VALUE"""),"Xbox / PC")</f>
        <v>Xbox / PC</v>
      </c>
      <c r="C74" s="55" t="str">
        <f>IFERROR(__xludf.DUMMYFUNCTION("""COMPUTED_VALUE"""),"Yes")</f>
        <v>Yes</v>
      </c>
      <c r="D74" s="56" t="str">
        <f>IFERROR(__xludf.DUMMYFUNCTION("""COMPUTED_VALUE"""),"Active")</f>
        <v>Active</v>
      </c>
      <c r="E74" s="57">
        <f>IFERROR(__xludf.DUMMYFUNCTION("""COMPUTED_VALUE"""),45904.0)</f>
        <v>45904</v>
      </c>
      <c r="F74" s="58"/>
      <c r="G74" s="60">
        <f>IFERROR(__xludf.DUMMYFUNCTION("""COMPUTED_VALUE"""),13.066666666666666)</f>
        <v>13.06666667</v>
      </c>
      <c r="H74" s="63">
        <f>IFERROR(__xludf.DUMMYFUNCTION("""COMPUTED_VALUE"""),45904.0)</f>
        <v>45904</v>
      </c>
      <c r="I74" s="60">
        <f>IFERROR(__xludf.DUMMYFUNCTION("""COMPUTED_VALUE"""),0.0)</f>
        <v>0</v>
      </c>
      <c r="J74" s="64">
        <f>IFERROR(__xludf.DUMMYFUNCTION("""COMPUTED_VALUE"""),90.0)</f>
        <v>90</v>
      </c>
      <c r="K74" s="64">
        <f>IFERROR(__xludf.DUMMYFUNCTION("""COMPUTED_VALUE"""),28.0)</f>
        <v>28</v>
      </c>
      <c r="L74" s="55" t="str">
        <f>IFERROR(__xludf.DUMMYFUNCTION("""COMPUTED_VALUE"""),"Metroidvania")</f>
        <v>Metroidvania</v>
      </c>
      <c r="M74" s="55"/>
      <c r="N74" s="55" t="str">
        <f>IFERROR(__xludf.DUMMYFUNCTION("""COMPUTED_VALUE"""),"Handheld Optimized")</f>
        <v>Handheld Optimized</v>
      </c>
      <c r="O74" s="55"/>
      <c r="P74" s="55"/>
      <c r="Q74" s="55"/>
      <c r="R74" s="56" t="str">
        <f>IFERROR(__xludf.DUMMYFUNCTION("""COMPUTED_VALUE"""),"Active")</f>
        <v>Active</v>
      </c>
      <c r="S74" s="57">
        <f>IFERROR(__xludf.DUMMYFUNCTION("""COMPUTED_VALUE"""),46093.0)</f>
        <v>46093</v>
      </c>
      <c r="T74" s="60">
        <f>IFERROR(__xludf.DUMMYFUNCTION("""COMPUTED_VALUE"""),6.2666666666666675)</f>
        <v>6.266666667</v>
      </c>
    </row>
    <row r="75">
      <c r="A75" s="55" t="str">
        <f>IFERROR(__xludf.DUMMYFUNCTION("""COMPUTED_VALUE"""),"Construction Simulator")</f>
        <v>Construction Simulator</v>
      </c>
      <c r="B75" s="55" t="str">
        <f>IFERROR(__xludf.DUMMYFUNCTION("""COMPUTED_VALUE"""),"Xbox / PC")</f>
        <v>Xbox / PC</v>
      </c>
      <c r="C75" s="55" t="str">
        <f>IFERROR(__xludf.DUMMYFUNCTION("""COMPUTED_VALUE"""),"Yes")</f>
        <v>Yes</v>
      </c>
      <c r="D75" s="56" t="str">
        <f>IFERROR(__xludf.DUMMYFUNCTION("""COMPUTED_VALUE"""),"Active")</f>
        <v>Active</v>
      </c>
      <c r="E75" s="57">
        <f>IFERROR(__xludf.DUMMYFUNCTION("""COMPUTED_VALUE"""),46091.0)</f>
        <v>46091</v>
      </c>
      <c r="F75" s="58"/>
      <c r="G75" s="60">
        <f>IFERROR(__xludf.DUMMYFUNCTION("""COMPUTED_VALUE"""),6.866666666666666)</f>
        <v>6.866666667</v>
      </c>
      <c r="H75" s="63">
        <f>IFERROR(__xludf.DUMMYFUNCTION("""COMPUTED_VALUE"""),43775.0)</f>
        <v>43775</v>
      </c>
      <c r="I75" s="60">
        <f>IFERROR(__xludf.DUMMYFUNCTION("""COMPUTED_VALUE"""),6.344444444444444)</f>
        <v>6.344444444</v>
      </c>
      <c r="J75" s="64">
        <f>IFERROR(__xludf.DUMMYFUNCTION("""COMPUTED_VALUE"""),72.0)</f>
        <v>72</v>
      </c>
      <c r="K75" s="64">
        <f>IFERROR(__xludf.DUMMYFUNCTION("""COMPUTED_VALUE"""),43.0)</f>
        <v>43</v>
      </c>
      <c r="L75" s="55" t="str">
        <f>IFERROR(__xludf.DUMMYFUNCTION("""COMPUTED_VALUE"""),"Simulation")</f>
        <v>Simulation</v>
      </c>
      <c r="M75" s="55"/>
      <c r="N75" s="55"/>
      <c r="O75" s="55"/>
      <c r="P75" s="55"/>
      <c r="Q75" s="55"/>
      <c r="R75" s="56" t="str">
        <f>IFERROR(__xludf.DUMMYFUNCTION("""COMPUTED_VALUE"""),"Active")</f>
        <v>Active</v>
      </c>
      <c r="S75" s="57">
        <f>IFERROR(__xludf.DUMMYFUNCTION("""COMPUTED_VALUE"""),46091.0)</f>
        <v>46091</v>
      </c>
      <c r="T75" s="60">
        <f>IFERROR(__xludf.DUMMYFUNCTION("""COMPUTED_VALUE"""),0.0)</f>
        <v>0</v>
      </c>
    </row>
    <row r="76">
      <c r="A76" s="55" t="str">
        <f>IFERROR(__xludf.DUMMYFUNCTION("""COMPUTED_VALUE"""),"Final Fantasy III")</f>
        <v>Final Fantasy III</v>
      </c>
      <c r="B76" s="55" t="str">
        <f>IFERROR(__xludf.DUMMYFUNCTION("""COMPUTED_VALUE"""),"Xbox / PC")</f>
        <v>Xbox / PC</v>
      </c>
      <c r="C76" s="55" t="str">
        <f>IFERROR(__xludf.DUMMYFUNCTION("""COMPUTED_VALUE"""),"Yes")</f>
        <v>Yes</v>
      </c>
      <c r="D76" s="56" t="str">
        <f>IFERROR(__xludf.DUMMYFUNCTION("""COMPUTED_VALUE"""),"Active")</f>
        <v>Active</v>
      </c>
      <c r="E76" s="57">
        <f>IFERROR(__xludf.DUMMYFUNCTION("""COMPUTED_VALUE"""),46084.0)</f>
        <v>46084</v>
      </c>
      <c r="F76" s="58"/>
      <c r="G76" s="60">
        <f>IFERROR(__xludf.DUMMYFUNCTION("""COMPUTED_VALUE"""),7.1)</f>
        <v>7.1</v>
      </c>
      <c r="H76" s="63">
        <f>IFERROR(__xludf.DUMMYFUNCTION("""COMPUTED_VALUE"""),33082.0)</f>
        <v>33082</v>
      </c>
      <c r="I76" s="60">
        <f>IFERROR(__xludf.DUMMYFUNCTION("""COMPUTED_VALUE"""),35.59722222222222)</f>
        <v>35.59722222</v>
      </c>
      <c r="J76" s="64">
        <f>IFERROR(__xludf.DUMMYFUNCTION("""COMPUTED_VALUE"""),77.0)</f>
        <v>77</v>
      </c>
      <c r="K76" s="64">
        <f>IFERROR(__xludf.DUMMYFUNCTION("""COMPUTED_VALUE"""),28.0)</f>
        <v>28</v>
      </c>
      <c r="L76" s="55" t="str">
        <f>IFERROR(__xludf.DUMMYFUNCTION("""COMPUTED_VALUE"""),"RPG")</f>
        <v>RPG</v>
      </c>
      <c r="M76" s="55" t="str">
        <f>IFERROR(__xludf.DUMMYFUNCTION("""COMPUTED_VALUE"""),"Exclusive")</f>
        <v>Exclusive</v>
      </c>
      <c r="N76" s="55"/>
      <c r="O76" s="55"/>
      <c r="P76" s="55"/>
      <c r="Q76" s="55"/>
      <c r="R76" s="56" t="str">
        <f>IFERROR(__xludf.DUMMYFUNCTION("""COMPUTED_VALUE"""),"Active")</f>
        <v>Active</v>
      </c>
      <c r="S76" s="57">
        <f>IFERROR(__xludf.DUMMYFUNCTION("""COMPUTED_VALUE"""),46084.0)</f>
        <v>46084</v>
      </c>
      <c r="T76" s="60">
        <f>IFERROR(__xludf.DUMMYFUNCTION("""COMPUTED_VALUE"""),0.0)</f>
        <v>0</v>
      </c>
    </row>
    <row r="77">
      <c r="A77" s="55" t="str">
        <f>IFERROR(__xludf.DUMMYFUNCTION("""COMPUTED_VALUE"""),"Kingdom Come: Deliverance II")</f>
        <v>Kingdom Come: Deliverance II</v>
      </c>
      <c r="B77" s="55" t="str">
        <f>IFERROR(__xludf.DUMMYFUNCTION("""COMPUTED_VALUE"""),"Xbox / PC")</f>
        <v>Xbox / PC</v>
      </c>
      <c r="C77" s="55" t="str">
        <f>IFERROR(__xludf.DUMMYFUNCTION("""COMPUTED_VALUE"""),"Yes")</f>
        <v>Yes</v>
      </c>
      <c r="D77" s="56" t="str">
        <f>IFERROR(__xludf.DUMMYFUNCTION("""COMPUTED_VALUE"""),"Active")</f>
        <v>Active</v>
      </c>
      <c r="E77" s="57">
        <f>IFERROR(__xludf.DUMMYFUNCTION("""COMPUTED_VALUE"""),46084.0)</f>
        <v>46084</v>
      </c>
      <c r="F77" s="58"/>
      <c r="G77" s="60">
        <f>IFERROR(__xludf.DUMMYFUNCTION("""COMPUTED_VALUE"""),7.1)</f>
        <v>7.1</v>
      </c>
      <c r="H77" s="63">
        <f>IFERROR(__xludf.DUMMYFUNCTION("""COMPUTED_VALUE"""),45699.0)</f>
        <v>45699</v>
      </c>
      <c r="I77" s="60">
        <f>IFERROR(__xludf.DUMMYFUNCTION("""COMPUTED_VALUE"""),1.0611111111111111)</f>
        <v>1.061111111</v>
      </c>
      <c r="J77" s="64">
        <f>IFERROR(__xludf.DUMMYFUNCTION("""COMPUTED_VALUE"""),88.0)</f>
        <v>88</v>
      </c>
      <c r="K77" s="64">
        <f>IFERROR(__xludf.DUMMYFUNCTION("""COMPUTED_VALUE"""),40.0)</f>
        <v>40</v>
      </c>
      <c r="L77" s="55" t="str">
        <f>IFERROR(__xludf.DUMMYFUNCTION("""COMPUTED_VALUE"""),"Action-Adventure")</f>
        <v>Action-Adventure</v>
      </c>
      <c r="M77" s="55" t="str">
        <f>IFERROR(__xludf.DUMMYFUNCTION("""COMPUTED_VALUE"""),"Exclusive")</f>
        <v>Exclusive</v>
      </c>
      <c r="N77" s="55"/>
      <c r="O77" s="55"/>
      <c r="P77" s="55"/>
      <c r="Q77" s="55"/>
      <c r="R77" s="56" t="str">
        <f>IFERROR(__xludf.DUMMYFUNCTION("""COMPUTED_VALUE"""),"Active")</f>
        <v>Active</v>
      </c>
      <c r="S77" s="57">
        <f>IFERROR(__xludf.DUMMYFUNCTION("""COMPUTED_VALUE"""),46084.0)</f>
        <v>46084</v>
      </c>
      <c r="T77" s="60">
        <f>IFERROR(__xludf.DUMMYFUNCTION("""COMPUTED_VALUE"""),0.0)</f>
        <v>0</v>
      </c>
    </row>
    <row r="78">
      <c r="A78" s="55" t="str">
        <f>IFERROR(__xludf.DUMMYFUNCTION("""COMPUTED_VALUE"""),"Minishoot' Adventures")</f>
        <v>Minishoot' Adventures</v>
      </c>
      <c r="B78" s="55" t="str">
        <f>IFERROR(__xludf.DUMMYFUNCTION("""COMPUTED_VALUE"""),"Xbox / PC")</f>
        <v>Xbox / PC</v>
      </c>
      <c r="C78" s="55" t="str">
        <f>IFERROR(__xludf.DUMMYFUNCTION("""COMPUTED_VALUE"""),"Yes")</f>
        <v>Yes</v>
      </c>
      <c r="D78" s="56" t="str">
        <f>IFERROR(__xludf.DUMMYFUNCTION("""COMPUTED_VALUE"""),"Active")</f>
        <v>Active</v>
      </c>
      <c r="E78" s="57">
        <f>IFERROR(__xludf.DUMMYFUNCTION("""COMPUTED_VALUE"""),46084.0)</f>
        <v>46084</v>
      </c>
      <c r="F78" s="58"/>
      <c r="G78" s="60">
        <f>IFERROR(__xludf.DUMMYFUNCTION("""COMPUTED_VALUE"""),7.1)</f>
        <v>7.1</v>
      </c>
      <c r="H78" s="63">
        <f>IFERROR(__xludf.DUMMYFUNCTION("""COMPUTED_VALUE"""),45384.0)</f>
        <v>45384</v>
      </c>
      <c r="I78" s="60">
        <f>IFERROR(__xludf.DUMMYFUNCTION("""COMPUTED_VALUE"""),1.9194444444444445)</f>
        <v>1.919444444</v>
      </c>
      <c r="J78" s="64">
        <f>IFERROR(__xludf.DUMMYFUNCTION("""COMPUTED_VALUE"""),87.0)</f>
        <v>87</v>
      </c>
      <c r="K78" s="64">
        <f>IFERROR(__xludf.DUMMYFUNCTION("""COMPUTED_VALUE"""),8.0)</f>
        <v>8</v>
      </c>
      <c r="L78" s="55" t="str">
        <f>IFERROR(__xludf.DUMMYFUNCTION("""COMPUTED_VALUE"""),"Strategy")</f>
        <v>Strategy</v>
      </c>
      <c r="M78" s="55"/>
      <c r="N78" s="55"/>
      <c r="O78" s="55"/>
      <c r="P78" s="55"/>
      <c r="Q78" s="55"/>
      <c r="R78" s="56" t="str">
        <f>IFERROR(__xludf.DUMMYFUNCTION("""COMPUTED_VALUE"""),"Active")</f>
        <v>Active</v>
      </c>
      <c r="S78" s="57">
        <f>IFERROR(__xludf.DUMMYFUNCTION("""COMPUTED_VALUE"""),46084.0)</f>
        <v>46084</v>
      </c>
      <c r="T78" s="60">
        <f>IFERROR(__xludf.DUMMYFUNCTION("""COMPUTED_VALUE"""),0.0)</f>
        <v>0</v>
      </c>
    </row>
    <row r="79">
      <c r="A79" s="55" t="str">
        <f>IFERROR(__xludf.DUMMYFUNCTION("""COMPUTED_VALUE"""),"TCG Card Shop Simulator (Game Preview)")</f>
        <v>TCG Card Shop Simulator (Game Preview)</v>
      </c>
      <c r="B79" s="55" t="str">
        <f>IFERROR(__xludf.DUMMYFUNCTION("""COMPUTED_VALUE"""),"Xbox / PC")</f>
        <v>Xbox / PC</v>
      </c>
      <c r="C79" s="55" t="str">
        <f>IFERROR(__xludf.DUMMYFUNCTION("""COMPUTED_VALUE"""),"Yes")</f>
        <v>Yes</v>
      </c>
      <c r="D79" s="56" t="str">
        <f>IFERROR(__xludf.DUMMYFUNCTION("""COMPUTED_VALUE"""),"Active")</f>
        <v>Active</v>
      </c>
      <c r="E79" s="57">
        <f>IFERROR(__xludf.DUMMYFUNCTION("""COMPUTED_VALUE"""),46077.0)</f>
        <v>46077</v>
      </c>
      <c r="F79" s="58"/>
      <c r="G79" s="60">
        <f>IFERROR(__xludf.DUMMYFUNCTION("""COMPUTED_VALUE"""),7.4)</f>
        <v>7.4</v>
      </c>
      <c r="H79" s="63">
        <f>IFERROR(__xludf.DUMMYFUNCTION("""COMPUTED_VALUE"""),45184.0)</f>
        <v>45184</v>
      </c>
      <c r="I79" s="60">
        <f>IFERROR(__xludf.DUMMYFUNCTION("""COMPUTED_VALUE"""),2.441666666666667)</f>
        <v>2.441666667</v>
      </c>
      <c r="J79" s="64"/>
      <c r="K79" s="64">
        <f>IFERROR(__xludf.DUMMYFUNCTION("""COMPUTED_VALUE"""),32.0)</f>
        <v>32</v>
      </c>
      <c r="L79" s="55" t="str">
        <f>IFERROR(__xludf.DUMMYFUNCTION("""COMPUTED_VALUE"""),"Simulation")</f>
        <v>Simulation</v>
      </c>
      <c r="M79" s="55" t="str">
        <f>IFERROR(__xludf.DUMMYFUNCTION("""COMPUTED_VALUE"""),"Exclusive")</f>
        <v>Exclusive</v>
      </c>
      <c r="N79" s="55" t="str">
        <f>IFERROR(__xludf.DUMMYFUNCTION("""COMPUTED_VALUE"""),"Handheld Optimized")</f>
        <v>Handheld Optimized</v>
      </c>
      <c r="O79" s="55"/>
      <c r="P79" s="55"/>
      <c r="Q79" s="55"/>
      <c r="R79" s="56" t="str">
        <f>IFERROR(__xludf.DUMMYFUNCTION("""COMPUTED_VALUE"""),"Active")</f>
        <v>Active</v>
      </c>
      <c r="S79" s="57">
        <f>IFERROR(__xludf.DUMMYFUNCTION("""COMPUTED_VALUE"""),46077.0)</f>
        <v>46077</v>
      </c>
      <c r="T79" s="60">
        <f>IFERROR(__xludf.DUMMYFUNCTION("""COMPUTED_VALUE"""),0.0)</f>
        <v>0</v>
      </c>
    </row>
    <row r="80">
      <c r="A80" s="55" t="str">
        <f>IFERROR(__xludf.DUMMYFUNCTION("""COMPUTED_VALUE"""),"Beyond Zork: The Coconut of Quendor")</f>
        <v>Beyond Zork: The Coconut of Quendor</v>
      </c>
      <c r="B80" s="55" t="str">
        <f>IFERROR(__xludf.DUMMYFUNCTION("""COMPUTED_VALUE"""),"Xbox / PC")</f>
        <v>Xbox / PC</v>
      </c>
      <c r="C80" s="55" t="str">
        <f>IFERROR(__xludf.DUMMYFUNCTION("""COMPUTED_VALUE"""),"Yes")</f>
        <v>Yes</v>
      </c>
      <c r="D80" s="56" t="str">
        <f>IFERROR(__xludf.DUMMYFUNCTION("""COMPUTED_VALUE"""),"Active")</f>
        <v>Active</v>
      </c>
      <c r="E80" s="57">
        <f>IFERROR(__xludf.DUMMYFUNCTION("""COMPUTED_VALUE"""),46072.0)</f>
        <v>46072</v>
      </c>
      <c r="F80" s="58"/>
      <c r="G80" s="60">
        <f>IFERROR(__xludf.DUMMYFUNCTION("""COMPUTED_VALUE"""),7.566666666666666)</f>
        <v>7.566666667</v>
      </c>
      <c r="H80" s="63">
        <f>IFERROR(__xludf.DUMMYFUNCTION("""COMPUTED_VALUE"""),32051.0)</f>
        <v>32051</v>
      </c>
      <c r="I80" s="60">
        <f>IFERROR(__xludf.DUMMYFUNCTION("""COMPUTED_VALUE"""),38.38333333333333)</f>
        <v>38.38333333</v>
      </c>
      <c r="J80" s="64">
        <f>IFERROR(__xludf.DUMMYFUNCTION("""COMPUTED_VALUE"""),84.0)</f>
        <v>84</v>
      </c>
      <c r="K80" s="64">
        <f>IFERROR(__xludf.DUMMYFUNCTION("""COMPUTED_VALUE"""),1.0)</f>
        <v>1</v>
      </c>
      <c r="L80" s="55" t="str">
        <f>IFERROR(__xludf.DUMMYFUNCTION("""COMPUTED_VALUE"""),"Action-Adventure")</f>
        <v>Action-Adventure</v>
      </c>
      <c r="M80" s="55"/>
      <c r="N80" s="55" t="str">
        <f>IFERROR(__xludf.DUMMYFUNCTION("""COMPUTED_VALUE"""),"Retro Classics: DOS")</f>
        <v>Retro Classics: DOS</v>
      </c>
      <c r="O80" s="55"/>
      <c r="P80" s="55"/>
      <c r="Q80" s="55"/>
      <c r="R80" s="56" t="str">
        <f>IFERROR(__xludf.DUMMYFUNCTION("""COMPUTED_VALUE"""),"Active")</f>
        <v>Active</v>
      </c>
      <c r="S80" s="57">
        <f>IFERROR(__xludf.DUMMYFUNCTION("""COMPUTED_VALUE"""),46072.0)</f>
        <v>46072</v>
      </c>
      <c r="T80" s="60">
        <f>IFERROR(__xludf.DUMMYFUNCTION("""COMPUTED_VALUE"""),0.0)</f>
        <v>0</v>
      </c>
    </row>
    <row r="81">
      <c r="A81" s="55" t="str">
        <f>IFERROR(__xludf.DUMMYFUNCTION("""COMPUTED_VALUE"""),"Kabobber")</f>
        <v>Kabobber</v>
      </c>
      <c r="B81" s="55" t="str">
        <f>IFERROR(__xludf.DUMMYFUNCTION("""COMPUTED_VALUE"""),"Xbox / PC")</f>
        <v>Xbox / PC</v>
      </c>
      <c r="C81" s="55" t="str">
        <f>IFERROR(__xludf.DUMMYFUNCTION("""COMPUTED_VALUE"""),"Yes")</f>
        <v>Yes</v>
      </c>
      <c r="D81" s="56" t="str">
        <f>IFERROR(__xludf.DUMMYFUNCTION("""COMPUTED_VALUE"""),"Active")</f>
        <v>Active</v>
      </c>
      <c r="E81" s="57">
        <f>IFERROR(__xludf.DUMMYFUNCTION("""COMPUTED_VALUE"""),46072.0)</f>
        <v>46072</v>
      </c>
      <c r="F81" s="58"/>
      <c r="G81" s="60">
        <f>IFERROR(__xludf.DUMMYFUNCTION("""COMPUTED_VALUE"""),7.566666666666666)</f>
        <v>7.566666667</v>
      </c>
      <c r="H81" s="63">
        <f>IFERROR(__xludf.DUMMYFUNCTION("""COMPUTED_VALUE"""),30317.0)</f>
        <v>30317</v>
      </c>
      <c r="I81" s="60">
        <f>IFERROR(__xludf.DUMMYFUNCTION("""COMPUTED_VALUE"""),43.13333333333333)</f>
        <v>43.13333333</v>
      </c>
      <c r="J81" s="64"/>
      <c r="K81" s="64"/>
      <c r="L81" s="55" t="str">
        <f>IFERROR(__xludf.DUMMYFUNCTION("""COMPUTED_VALUE"""),"Action")</f>
        <v>Action</v>
      </c>
      <c r="M81" s="55"/>
      <c r="N81" s="55" t="str">
        <f>IFERROR(__xludf.DUMMYFUNCTION("""COMPUTED_VALUE"""),"Retro Classics: Atari 2600")</f>
        <v>Retro Classics: Atari 2600</v>
      </c>
      <c r="O81" s="55"/>
      <c r="P81" s="55"/>
      <c r="Q81" s="55"/>
      <c r="R81" s="56" t="str">
        <f>IFERROR(__xludf.DUMMYFUNCTION("""COMPUTED_VALUE"""),"Active")</f>
        <v>Active</v>
      </c>
      <c r="S81" s="57">
        <f>IFERROR(__xludf.DUMMYFUNCTION("""COMPUTED_VALUE"""),46072.0)</f>
        <v>46072</v>
      </c>
      <c r="T81" s="60">
        <f>IFERROR(__xludf.DUMMYFUNCTION("""COMPUTED_VALUE"""),0.0)</f>
        <v>0</v>
      </c>
    </row>
    <row r="82">
      <c r="A82" s="55" t="str">
        <f>IFERROR(__xludf.DUMMYFUNCTION("""COMPUTED_VALUE"""),"Return to Zork")</f>
        <v>Return to Zork</v>
      </c>
      <c r="B82" s="55" t="str">
        <f>IFERROR(__xludf.DUMMYFUNCTION("""COMPUTED_VALUE"""),"Xbox / PC")</f>
        <v>Xbox / PC</v>
      </c>
      <c r="C82" s="55" t="str">
        <f>IFERROR(__xludf.DUMMYFUNCTION("""COMPUTED_VALUE"""),"Yes")</f>
        <v>Yes</v>
      </c>
      <c r="D82" s="56" t="str">
        <f>IFERROR(__xludf.DUMMYFUNCTION("""COMPUTED_VALUE"""),"Active")</f>
        <v>Active</v>
      </c>
      <c r="E82" s="57">
        <f>IFERROR(__xludf.DUMMYFUNCTION("""COMPUTED_VALUE"""),46072.0)</f>
        <v>46072</v>
      </c>
      <c r="F82" s="58"/>
      <c r="G82" s="60">
        <f>IFERROR(__xludf.DUMMYFUNCTION("""COMPUTED_VALUE"""),7.566666666666666)</f>
        <v>7.566666667</v>
      </c>
      <c r="H82" s="63">
        <f>IFERROR(__xludf.DUMMYFUNCTION("""COMPUTED_VALUE"""),34192.0)</f>
        <v>34192</v>
      </c>
      <c r="I82" s="60">
        <f>IFERROR(__xludf.DUMMYFUNCTION("""COMPUTED_VALUE"""),32.522222222222226)</f>
        <v>32.52222222</v>
      </c>
      <c r="J82" s="64"/>
      <c r="K82" s="64">
        <f>IFERROR(__xludf.DUMMYFUNCTION("""COMPUTED_VALUE"""),7.0)</f>
        <v>7</v>
      </c>
      <c r="L82" s="55" t="str">
        <f>IFERROR(__xludf.DUMMYFUNCTION("""COMPUTED_VALUE"""),"Point and Click")</f>
        <v>Point and Click</v>
      </c>
      <c r="M82" s="55"/>
      <c r="N82" s="55" t="str">
        <f>IFERROR(__xludf.DUMMYFUNCTION("""COMPUTED_VALUE"""),"Retro Classics: DOS")</f>
        <v>Retro Classics: DOS</v>
      </c>
      <c r="O82" s="55"/>
      <c r="P82" s="55"/>
      <c r="Q82" s="55"/>
      <c r="R82" s="56" t="str">
        <f>IFERROR(__xludf.DUMMYFUNCTION("""COMPUTED_VALUE"""),"Active")</f>
        <v>Active</v>
      </c>
      <c r="S82" s="57">
        <f>IFERROR(__xludf.DUMMYFUNCTION("""COMPUTED_VALUE"""),46072.0)</f>
        <v>46072</v>
      </c>
      <c r="T82" s="60">
        <f>IFERROR(__xludf.DUMMYFUNCTION("""COMPUTED_VALUE"""),0.0)</f>
        <v>0</v>
      </c>
    </row>
    <row r="83">
      <c r="A83" s="55" t="str">
        <f>IFERROR(__xludf.DUMMYFUNCTION("""COMPUTED_VALUE"""),"Seaquest")</f>
        <v>Seaquest</v>
      </c>
      <c r="B83" s="55" t="str">
        <f>IFERROR(__xludf.DUMMYFUNCTION("""COMPUTED_VALUE"""),"Xbox / PC")</f>
        <v>Xbox / PC</v>
      </c>
      <c r="C83" s="55" t="str">
        <f>IFERROR(__xludf.DUMMYFUNCTION("""COMPUTED_VALUE"""),"Yes")</f>
        <v>Yes</v>
      </c>
      <c r="D83" s="56" t="str">
        <f>IFERROR(__xludf.DUMMYFUNCTION("""COMPUTED_VALUE"""),"Active")</f>
        <v>Active</v>
      </c>
      <c r="E83" s="57">
        <f>IFERROR(__xludf.DUMMYFUNCTION("""COMPUTED_VALUE"""),46072.0)</f>
        <v>46072</v>
      </c>
      <c r="F83" s="58"/>
      <c r="G83" s="60">
        <f>IFERROR(__xludf.DUMMYFUNCTION("""COMPUTED_VALUE"""),7.566666666666666)</f>
        <v>7.566666667</v>
      </c>
      <c r="H83" s="63">
        <f>IFERROR(__xludf.DUMMYFUNCTION("""COMPUTED_VALUE"""),30348.0)</f>
        <v>30348</v>
      </c>
      <c r="I83" s="60">
        <f>IFERROR(__xludf.DUMMYFUNCTION("""COMPUTED_VALUE"""),43.05)</f>
        <v>43.05</v>
      </c>
      <c r="J83" s="64">
        <f>IFERROR(__xludf.DUMMYFUNCTION("""COMPUTED_VALUE"""),73.0)</f>
        <v>73</v>
      </c>
      <c r="K83" s="64"/>
      <c r="L83" s="55" t="str">
        <f>IFERROR(__xludf.DUMMYFUNCTION("""COMPUTED_VALUE"""),"Strategy")</f>
        <v>Strategy</v>
      </c>
      <c r="M83" s="55"/>
      <c r="N83" s="55" t="str">
        <f>IFERROR(__xludf.DUMMYFUNCTION("""COMPUTED_VALUE"""),"Retro Classics: Atari 2600")</f>
        <v>Retro Classics: Atari 2600</v>
      </c>
      <c r="O83" s="55"/>
      <c r="P83" s="55"/>
      <c r="Q83" s="55"/>
      <c r="R83" s="56" t="str">
        <f>IFERROR(__xludf.DUMMYFUNCTION("""COMPUTED_VALUE"""),"Active")</f>
        <v>Active</v>
      </c>
      <c r="S83" s="57">
        <f>IFERROR(__xludf.DUMMYFUNCTION("""COMPUTED_VALUE"""),46072.0)</f>
        <v>46072</v>
      </c>
      <c r="T83" s="60">
        <f>IFERROR(__xludf.DUMMYFUNCTION("""COMPUTED_VALUE"""),0.0)</f>
        <v>0</v>
      </c>
    </row>
    <row r="84">
      <c r="A84" s="55" t="str">
        <f>IFERROR(__xludf.DUMMYFUNCTION("""COMPUTED_VALUE"""),"Stampede")</f>
        <v>Stampede</v>
      </c>
      <c r="B84" s="55" t="str">
        <f>IFERROR(__xludf.DUMMYFUNCTION("""COMPUTED_VALUE"""),"Xbox / PC")</f>
        <v>Xbox / PC</v>
      </c>
      <c r="C84" s="55" t="str">
        <f>IFERROR(__xludf.DUMMYFUNCTION("""COMPUTED_VALUE"""),"Yes")</f>
        <v>Yes</v>
      </c>
      <c r="D84" s="56" t="str">
        <f>IFERROR(__xludf.DUMMYFUNCTION("""COMPUTED_VALUE"""),"Active")</f>
        <v>Active</v>
      </c>
      <c r="E84" s="57">
        <f>IFERROR(__xludf.DUMMYFUNCTION("""COMPUTED_VALUE"""),46072.0)</f>
        <v>46072</v>
      </c>
      <c r="F84" s="58"/>
      <c r="G84" s="60">
        <f>IFERROR(__xludf.DUMMYFUNCTION("""COMPUTED_VALUE"""),7.566666666666666)</f>
        <v>7.566666667</v>
      </c>
      <c r="H84" s="63">
        <f>IFERROR(__xludf.DUMMYFUNCTION("""COMPUTED_VALUE"""),29921.0)</f>
        <v>29921</v>
      </c>
      <c r="I84" s="60">
        <f>IFERROR(__xludf.DUMMYFUNCTION("""COMPUTED_VALUE"""),44.21666666666667)</f>
        <v>44.21666667</v>
      </c>
      <c r="J84" s="64">
        <f>IFERROR(__xludf.DUMMYFUNCTION("""COMPUTED_VALUE"""),83.0)</f>
        <v>83</v>
      </c>
      <c r="K84" s="64"/>
      <c r="L84" s="55" t="str">
        <f>IFERROR(__xludf.DUMMYFUNCTION("""COMPUTED_VALUE"""),"Action")</f>
        <v>Action</v>
      </c>
      <c r="M84" s="55"/>
      <c r="N84" s="55" t="str">
        <f>IFERROR(__xludf.DUMMYFUNCTION("""COMPUTED_VALUE"""),"Retro Classics: Atari 2600")</f>
        <v>Retro Classics: Atari 2600</v>
      </c>
      <c r="O84" s="55"/>
      <c r="P84" s="55"/>
      <c r="Q84" s="55"/>
      <c r="R84" s="56" t="str">
        <f>IFERROR(__xludf.DUMMYFUNCTION("""COMPUTED_VALUE"""),"Active")</f>
        <v>Active</v>
      </c>
      <c r="S84" s="57">
        <f>IFERROR(__xludf.DUMMYFUNCTION("""COMPUTED_VALUE"""),46072.0)</f>
        <v>46072</v>
      </c>
      <c r="T84" s="60">
        <f>IFERROR(__xludf.DUMMYFUNCTION("""COMPUTED_VALUE"""),0.0)</f>
        <v>0</v>
      </c>
    </row>
    <row r="85">
      <c r="A85" s="55" t="str">
        <f>IFERROR(__xludf.DUMMYFUNCTION("""COMPUTED_VALUE"""),"Death Howl")</f>
        <v>Death Howl</v>
      </c>
      <c r="B85" s="55" t="str">
        <f>IFERROR(__xludf.DUMMYFUNCTION("""COMPUTED_VALUE"""),"Xbox / PC")</f>
        <v>Xbox / PC</v>
      </c>
      <c r="C85" s="55" t="str">
        <f>IFERROR(__xludf.DUMMYFUNCTION("""COMPUTED_VALUE"""),"Yes")</f>
        <v>Yes</v>
      </c>
      <c r="D85" s="56" t="str">
        <f>IFERROR(__xludf.DUMMYFUNCTION("""COMPUTED_VALUE"""),"Active")</f>
        <v>Active</v>
      </c>
      <c r="E85" s="57">
        <f>IFERROR(__xludf.DUMMYFUNCTION("""COMPUTED_VALUE"""),46000.0)</f>
        <v>46000</v>
      </c>
      <c r="F85" s="58"/>
      <c r="G85" s="60">
        <f>IFERROR(__xludf.DUMMYFUNCTION("""COMPUTED_VALUE"""),9.899999999999999)</f>
        <v>9.9</v>
      </c>
      <c r="H85" s="63">
        <f>IFERROR(__xludf.DUMMYFUNCTION("""COMPUTED_VALUE"""),46000.0)</f>
        <v>46000</v>
      </c>
      <c r="I85" s="60">
        <f>IFERROR(__xludf.DUMMYFUNCTION("""COMPUTED_VALUE"""),0.0)</f>
        <v>0</v>
      </c>
      <c r="J85" s="64">
        <f>IFERROR(__xludf.DUMMYFUNCTION("""COMPUTED_VALUE"""),82.0)</f>
        <v>82</v>
      </c>
      <c r="K85" s="64">
        <f>IFERROR(__xludf.DUMMYFUNCTION("""COMPUTED_VALUE"""),25.0)</f>
        <v>25</v>
      </c>
      <c r="L85" s="55" t="str">
        <f>IFERROR(__xludf.DUMMYFUNCTION("""COMPUTED_VALUE"""),"Adventure")</f>
        <v>Adventure</v>
      </c>
      <c r="M85" s="55" t="str">
        <f>IFERROR(__xludf.DUMMYFUNCTION("""COMPUTED_VALUE"""),"Exclusive")</f>
        <v>Exclusive</v>
      </c>
      <c r="N85" s="55" t="str">
        <f>IFERROR(__xludf.DUMMYFUNCTION("""COMPUTED_VALUE"""),"Handheld Optimized, joined console and cloud 2/18/26")</f>
        <v>Handheld Optimized, joined console and cloud 2/18/26</v>
      </c>
      <c r="O85" s="55"/>
      <c r="P85" s="55"/>
      <c r="Q85" s="55"/>
      <c r="R85" s="56" t="str">
        <f>IFERROR(__xludf.DUMMYFUNCTION("""COMPUTED_VALUE"""),"Active")</f>
        <v>Active</v>
      </c>
      <c r="S85" s="57">
        <f>IFERROR(__xludf.DUMMYFUNCTION("""COMPUTED_VALUE"""),46071.0)</f>
        <v>46071</v>
      </c>
      <c r="T85" s="60">
        <f>IFERROR(__xludf.DUMMYFUNCTION("""COMPUTED_VALUE"""),2.3000000000000003)</f>
        <v>2.3</v>
      </c>
    </row>
    <row r="86">
      <c r="A86" s="55" t="str">
        <f>IFERROR(__xludf.DUMMYFUNCTION("""COMPUTED_VALUE"""),"Avowed")</f>
        <v>Avowed</v>
      </c>
      <c r="B86" s="55" t="str">
        <f>IFERROR(__xludf.DUMMYFUNCTION("""COMPUTED_VALUE"""),"Xbox / PC")</f>
        <v>Xbox / PC</v>
      </c>
      <c r="C86" s="55" t="str">
        <f>IFERROR(__xludf.DUMMYFUNCTION("""COMPUTED_VALUE"""),"Yes")</f>
        <v>Yes</v>
      </c>
      <c r="D86" s="56" t="str">
        <f>IFERROR(__xludf.DUMMYFUNCTION("""COMPUTED_VALUE"""),"Active")</f>
        <v>Active</v>
      </c>
      <c r="E86" s="57">
        <f>IFERROR(__xludf.DUMMYFUNCTION("""COMPUTED_VALUE"""),45706.0)</f>
        <v>45706</v>
      </c>
      <c r="F86" s="58"/>
      <c r="G86" s="60">
        <f>IFERROR(__xludf.DUMMYFUNCTION("""COMPUTED_VALUE"""),19.6)</f>
        <v>19.6</v>
      </c>
      <c r="H86" s="63">
        <f>IFERROR(__xludf.DUMMYFUNCTION("""COMPUTED_VALUE"""),45706.0)</f>
        <v>45706</v>
      </c>
      <c r="I86" s="60">
        <f>IFERROR(__xludf.DUMMYFUNCTION("""COMPUTED_VALUE"""),0.0)</f>
        <v>0</v>
      </c>
      <c r="J86" s="64">
        <f>IFERROR(__xludf.DUMMYFUNCTION("""COMPUTED_VALUE"""),81.0)</f>
        <v>81</v>
      </c>
      <c r="K86" s="64">
        <f>IFERROR(__xludf.DUMMYFUNCTION("""COMPUTED_VALUE"""),17.0)</f>
        <v>17</v>
      </c>
      <c r="L86" s="55" t="str">
        <f>IFERROR(__xludf.DUMMYFUNCTION("""COMPUTED_VALUE"""),"RPG")</f>
        <v>RPG</v>
      </c>
      <c r="M86" s="55" t="str">
        <f>IFERROR(__xludf.DUMMYFUNCTION("""COMPUTED_VALUE"""),"Exclusive")</f>
        <v>Exclusive</v>
      </c>
      <c r="N86" s="55"/>
      <c r="O86" s="55"/>
      <c r="P86" s="55"/>
      <c r="Q86" s="55"/>
      <c r="R86" s="56" t="str">
        <f>IFERROR(__xludf.DUMMYFUNCTION("""COMPUTED_VALUE"""),"Active")</f>
        <v>Active</v>
      </c>
      <c r="S86" s="57">
        <f>IFERROR(__xludf.DUMMYFUNCTION("""COMPUTED_VALUE"""),46070.0)</f>
        <v>46070</v>
      </c>
      <c r="T86" s="60">
        <f>IFERROR(__xludf.DUMMYFUNCTION("""COMPUTED_VALUE"""),11.966666666666667)</f>
        <v>11.96666667</v>
      </c>
    </row>
    <row r="87">
      <c r="A87" s="55" t="str">
        <f>IFERROR(__xludf.DUMMYFUNCTION("""COMPUTED_VALUE"""),"Kingdom Come: Deliverance")</f>
        <v>Kingdom Come: Deliverance</v>
      </c>
      <c r="B87" s="55" t="str">
        <f>IFERROR(__xludf.DUMMYFUNCTION("""COMPUTED_VALUE"""),"Xbox / PC")</f>
        <v>Xbox / PC</v>
      </c>
      <c r="C87" s="55" t="str">
        <f>IFERROR(__xludf.DUMMYFUNCTION("""COMPUTED_VALUE"""),"Yes")</f>
        <v>Yes</v>
      </c>
      <c r="D87" s="56" t="str">
        <f>IFERROR(__xludf.DUMMYFUNCTION("""COMPUTED_VALUE"""),"Active")</f>
        <v>Active</v>
      </c>
      <c r="E87" s="57">
        <f>IFERROR(__xludf.DUMMYFUNCTION("""COMPUTED_VALUE"""),46066.0)</f>
        <v>46066</v>
      </c>
      <c r="F87" s="58"/>
      <c r="G87" s="60">
        <f>IFERROR(__xludf.DUMMYFUNCTION("""COMPUTED_VALUE"""),7.7666666666666675)</f>
        <v>7.766666667</v>
      </c>
      <c r="H87" s="63">
        <f>IFERROR(__xludf.DUMMYFUNCTION("""COMPUTED_VALUE"""),43144.0)</f>
        <v>43144</v>
      </c>
      <c r="I87" s="60">
        <f>IFERROR(__xludf.DUMMYFUNCTION("""COMPUTED_VALUE"""),8.0)</f>
        <v>8</v>
      </c>
      <c r="J87" s="64">
        <f>IFERROR(__xludf.DUMMYFUNCTION("""COMPUTED_VALUE"""),78.0)</f>
        <v>78</v>
      </c>
      <c r="K87" s="64">
        <f>IFERROR(__xludf.DUMMYFUNCTION("""COMPUTED_VALUE"""),50.0)</f>
        <v>50</v>
      </c>
      <c r="L87" s="55" t="str">
        <f>IFERROR(__xludf.DUMMYFUNCTION("""COMPUTED_VALUE"""),"Action-Adventure")</f>
        <v>Action-Adventure</v>
      </c>
      <c r="M87" s="55"/>
      <c r="N87" s="55" t="str">
        <f>IFERROR(__xludf.DUMMYFUNCTION("""COMPUTED_VALUE"""),"Returning title: Joined 8/22/19, left 8/14/20")</f>
        <v>Returning title: Joined 8/22/19, left 8/14/20</v>
      </c>
      <c r="O87" s="55"/>
      <c r="P87" s="55"/>
      <c r="Q87" s="55"/>
      <c r="R87" s="56" t="str">
        <f>IFERROR(__xludf.DUMMYFUNCTION("""COMPUTED_VALUE"""),"Active")</f>
        <v>Active</v>
      </c>
      <c r="S87" s="57">
        <f>IFERROR(__xludf.DUMMYFUNCTION("""COMPUTED_VALUE"""),46066.0)</f>
        <v>46066</v>
      </c>
      <c r="T87" s="60">
        <f>IFERROR(__xludf.DUMMYFUNCTION("""COMPUTED_VALUE"""),0.0)</f>
        <v>0</v>
      </c>
    </row>
    <row r="88">
      <c r="A88" s="55" t="str">
        <f>IFERROR(__xludf.DUMMYFUNCTION("""COMPUTED_VALUE"""),"Diablo II: Resurrected")</f>
        <v>Diablo II: Resurrected</v>
      </c>
      <c r="B88" s="55" t="str">
        <f>IFERROR(__xludf.DUMMYFUNCTION("""COMPUTED_VALUE"""),"Xbox / PC")</f>
        <v>Xbox / PC</v>
      </c>
      <c r="C88" s="55" t="str">
        <f>IFERROR(__xludf.DUMMYFUNCTION("""COMPUTED_VALUE"""),"Yes")</f>
        <v>Yes</v>
      </c>
      <c r="D88" s="56" t="str">
        <f>IFERROR(__xludf.DUMMYFUNCTION("""COMPUTED_VALUE"""),"Active")</f>
        <v>Active</v>
      </c>
      <c r="E88" s="57">
        <f>IFERROR(__xludf.DUMMYFUNCTION("""COMPUTED_VALUE"""),46064.0)</f>
        <v>46064</v>
      </c>
      <c r="F88" s="58"/>
      <c r="G88" s="60">
        <f>IFERROR(__xludf.DUMMYFUNCTION("""COMPUTED_VALUE"""),7.833333333333334)</f>
        <v>7.833333333</v>
      </c>
      <c r="H88" s="63">
        <f>IFERROR(__xludf.DUMMYFUNCTION("""COMPUTED_VALUE"""),44462.0)</f>
        <v>44462</v>
      </c>
      <c r="I88" s="60">
        <f>IFERROR(__xludf.DUMMYFUNCTION("""COMPUTED_VALUE"""),4.383333333333334)</f>
        <v>4.383333333</v>
      </c>
      <c r="J88" s="64">
        <f>IFERROR(__xludf.DUMMYFUNCTION("""COMPUTED_VALUE"""),80.0)</f>
        <v>80</v>
      </c>
      <c r="K88" s="64">
        <f>IFERROR(__xludf.DUMMYFUNCTION("""COMPUTED_VALUE"""),22.0)</f>
        <v>22</v>
      </c>
      <c r="L88" s="55" t="str">
        <f>IFERROR(__xludf.DUMMYFUNCTION("""COMPUTED_VALUE"""),"RPG")</f>
        <v>RPG</v>
      </c>
      <c r="M88" s="55"/>
      <c r="N88" s="55"/>
      <c r="O88" s="55"/>
      <c r="P88" s="55"/>
      <c r="Q88" s="55"/>
      <c r="R88" s="56" t="str">
        <f>IFERROR(__xludf.DUMMYFUNCTION("""COMPUTED_VALUE"""),"Active")</f>
        <v>Active</v>
      </c>
      <c r="S88" s="57">
        <f>IFERROR(__xludf.DUMMYFUNCTION("""COMPUTED_VALUE"""),46064.0)</f>
        <v>46064</v>
      </c>
      <c r="T88" s="60">
        <f>IFERROR(__xludf.DUMMYFUNCTION("""COMPUTED_VALUE"""),0.0)</f>
        <v>0</v>
      </c>
    </row>
    <row r="89">
      <c r="A89" s="55" t="str">
        <f>IFERROR(__xludf.DUMMYFUNCTION("""COMPUTED_VALUE"""),"Final Fantasy II")</f>
        <v>Final Fantasy II</v>
      </c>
      <c r="B89" s="55" t="str">
        <f>IFERROR(__xludf.DUMMYFUNCTION("""COMPUTED_VALUE"""),"Xbox / PC")</f>
        <v>Xbox / PC</v>
      </c>
      <c r="C89" s="55" t="str">
        <f>IFERROR(__xludf.DUMMYFUNCTION("""COMPUTED_VALUE"""),"Yes")</f>
        <v>Yes</v>
      </c>
      <c r="D89" s="56" t="str">
        <f>IFERROR(__xludf.DUMMYFUNCTION("""COMPUTED_VALUE"""),"Active")</f>
        <v>Active</v>
      </c>
      <c r="E89" s="57">
        <f>IFERROR(__xludf.DUMMYFUNCTION("""COMPUTED_VALUE"""),46056.0)</f>
        <v>46056</v>
      </c>
      <c r="F89" s="58"/>
      <c r="G89" s="60">
        <f>IFERROR(__xludf.DUMMYFUNCTION("""COMPUTED_VALUE"""),8.100000000000001)</f>
        <v>8.1</v>
      </c>
      <c r="H89" s="63">
        <f>IFERROR(__xludf.DUMMYFUNCTION("""COMPUTED_VALUE"""),44405.0)</f>
        <v>44405</v>
      </c>
      <c r="I89" s="60">
        <f>IFERROR(__xludf.DUMMYFUNCTION("""COMPUTED_VALUE"""),4.513888888888889)</f>
        <v>4.513888889</v>
      </c>
      <c r="J89" s="64">
        <f>IFERROR(__xludf.DUMMYFUNCTION("""COMPUTED_VALUE"""),77.0)</f>
        <v>77</v>
      </c>
      <c r="K89" s="64">
        <f>IFERROR(__xludf.DUMMYFUNCTION("""COMPUTED_VALUE"""),20.0)</f>
        <v>20</v>
      </c>
      <c r="L89" s="55" t="str">
        <f>IFERROR(__xludf.DUMMYFUNCTION("""COMPUTED_VALUE"""),"Action-Adventure")</f>
        <v>Action-Adventure</v>
      </c>
      <c r="M89" s="55" t="str">
        <f>IFERROR(__xludf.DUMMYFUNCTION("""COMPUTED_VALUE"""),"Exclusive")</f>
        <v>Exclusive</v>
      </c>
      <c r="N89" s="55"/>
      <c r="O89" s="55"/>
      <c r="P89" s="55"/>
      <c r="Q89" s="55"/>
      <c r="R89" s="56" t="str">
        <f>IFERROR(__xludf.DUMMYFUNCTION("""COMPUTED_VALUE"""),"Active")</f>
        <v>Active</v>
      </c>
      <c r="S89" s="57">
        <f>IFERROR(__xludf.DUMMYFUNCTION("""COMPUTED_VALUE"""),46056.0)</f>
        <v>46056</v>
      </c>
      <c r="T89" s="60">
        <f>IFERROR(__xludf.DUMMYFUNCTION("""COMPUTED_VALUE"""),0.0)</f>
        <v>0</v>
      </c>
    </row>
    <row r="90">
      <c r="A90" s="55" t="str">
        <f>IFERROR(__xludf.DUMMYFUNCTION("""COMPUTED_VALUE"""),"Like A Dragon: Pirate Yakuza in Hawaii")</f>
        <v>Like A Dragon: Pirate Yakuza in Hawaii</v>
      </c>
      <c r="B90" s="55" t="str">
        <f>IFERROR(__xludf.DUMMYFUNCTION("""COMPUTED_VALUE"""),"Xbox / PC")</f>
        <v>Xbox / PC</v>
      </c>
      <c r="C90" s="55" t="str">
        <f>IFERROR(__xludf.DUMMYFUNCTION("""COMPUTED_VALUE"""),"Yes")</f>
        <v>Yes</v>
      </c>
      <c r="D90" s="56" t="str">
        <f>IFERROR(__xludf.DUMMYFUNCTION("""COMPUTED_VALUE"""),"Active")</f>
        <v>Active</v>
      </c>
      <c r="E90" s="57">
        <f>IFERROR(__xludf.DUMMYFUNCTION("""COMPUTED_VALUE"""),46055.0)</f>
        <v>46055</v>
      </c>
      <c r="F90" s="58"/>
      <c r="G90" s="60">
        <f>IFERROR(__xludf.DUMMYFUNCTION("""COMPUTED_VALUE"""),8.133333333333333)</f>
        <v>8.133333333</v>
      </c>
      <c r="H90" s="63">
        <f>IFERROR(__xludf.DUMMYFUNCTION("""COMPUTED_VALUE"""),45709.0)</f>
        <v>45709</v>
      </c>
      <c r="I90" s="60">
        <f>IFERROR(__xludf.DUMMYFUNCTION("""COMPUTED_VALUE"""),0.9472222222222222)</f>
        <v>0.9472222222</v>
      </c>
      <c r="J90" s="64">
        <f>IFERROR(__xludf.DUMMYFUNCTION("""COMPUTED_VALUE"""),80.0)</f>
        <v>80</v>
      </c>
      <c r="K90" s="64">
        <f>IFERROR(__xludf.DUMMYFUNCTION("""COMPUTED_VALUE"""),35.0)</f>
        <v>35</v>
      </c>
      <c r="L90" s="55" t="str">
        <f>IFERROR(__xludf.DUMMYFUNCTION("""COMPUTED_VALUE"""),"Action-Adventure")</f>
        <v>Action-Adventure</v>
      </c>
      <c r="M90" s="55"/>
      <c r="N90" s="55" t="str">
        <f>IFERROR(__xludf.DUMMYFUNCTION("""COMPUTED_VALUE"""),"Handheld Optimized")</f>
        <v>Handheld Optimized</v>
      </c>
      <c r="O90" s="55"/>
      <c r="P90" s="55"/>
      <c r="Q90" s="55"/>
      <c r="R90" s="56" t="str">
        <f>IFERROR(__xludf.DUMMYFUNCTION("""COMPUTED_VALUE"""),"Active")</f>
        <v>Active</v>
      </c>
      <c r="S90" s="57">
        <f>IFERROR(__xludf.DUMMYFUNCTION("""COMPUTED_VALUE"""),46055.0)</f>
        <v>46055</v>
      </c>
      <c r="T90" s="60">
        <f>IFERROR(__xludf.DUMMYFUNCTION("""COMPUTED_VALUE"""),0.0)</f>
        <v>0</v>
      </c>
    </row>
    <row r="91">
      <c r="A91" s="55" t="str">
        <f>IFERROR(__xludf.DUMMYFUNCTION("""COMPUTED_VALUE"""),"INDIKA")</f>
        <v>INDIKA</v>
      </c>
      <c r="B91" s="55" t="str">
        <f>IFERROR(__xludf.DUMMYFUNCTION("""COMPUTED_VALUE"""),"Xbox / PC")</f>
        <v>Xbox / PC</v>
      </c>
      <c r="C91" s="55" t="str">
        <f>IFERROR(__xludf.DUMMYFUNCTION("""COMPUTED_VALUE"""),"Yes")</f>
        <v>Yes</v>
      </c>
      <c r="D91" s="56" t="str">
        <f>IFERROR(__xludf.DUMMYFUNCTION("""COMPUTED_VALUE"""),"Active")</f>
        <v>Active</v>
      </c>
      <c r="E91" s="57">
        <f>IFERROR(__xludf.DUMMYFUNCTION("""COMPUTED_VALUE"""),46055.0)</f>
        <v>46055</v>
      </c>
      <c r="F91" s="58"/>
      <c r="G91" s="60">
        <f>IFERROR(__xludf.DUMMYFUNCTION("""COMPUTED_VALUE"""),8.133333333333333)</f>
        <v>8.133333333</v>
      </c>
      <c r="H91" s="63">
        <f>IFERROR(__xludf.DUMMYFUNCTION("""COMPUTED_VALUE"""),45414.0)</f>
        <v>45414</v>
      </c>
      <c r="I91" s="60">
        <f>IFERROR(__xludf.DUMMYFUNCTION("""COMPUTED_VALUE"""),1.75)</f>
        <v>1.75</v>
      </c>
      <c r="J91" s="64">
        <f>IFERROR(__xludf.DUMMYFUNCTION("""COMPUTED_VALUE"""),80.0)</f>
        <v>80</v>
      </c>
      <c r="K91" s="64">
        <f>IFERROR(__xludf.DUMMYFUNCTION("""COMPUTED_VALUE"""),4.0)</f>
        <v>4</v>
      </c>
      <c r="L91" s="55" t="str">
        <f>IFERROR(__xludf.DUMMYFUNCTION("""COMPUTED_VALUE"""),"Action-Adventure")</f>
        <v>Action-Adventure</v>
      </c>
      <c r="M91" s="55" t="str">
        <f>IFERROR(__xludf.DUMMYFUNCTION("""COMPUTED_VALUE"""),"Exclusive")</f>
        <v>Exclusive</v>
      </c>
      <c r="N91" s="55"/>
      <c r="O91" s="55"/>
      <c r="P91" s="55"/>
      <c r="Q91" s="55"/>
      <c r="R91" s="56" t="str">
        <f>IFERROR(__xludf.DUMMYFUNCTION("""COMPUTED_VALUE"""),"Active")</f>
        <v>Active</v>
      </c>
      <c r="S91" s="57">
        <f>IFERROR(__xludf.DUMMYFUNCTION("""COMPUTED_VALUE"""),46055.0)</f>
        <v>46055</v>
      </c>
      <c r="T91" s="60">
        <f>IFERROR(__xludf.DUMMYFUNCTION("""COMPUTED_VALUE"""),0.0)</f>
        <v>0</v>
      </c>
    </row>
    <row r="92">
      <c r="A92" s="55" t="str">
        <f>IFERROR(__xludf.DUMMYFUNCTION("""COMPUTED_VALUE"""),"Warhammer 40,000: Space Marine II")</f>
        <v>Warhammer 40,000: Space Marine II</v>
      </c>
      <c r="B92" s="55" t="str">
        <f>IFERROR(__xludf.DUMMYFUNCTION("""COMPUTED_VALUE"""),"Xbox / PC")</f>
        <v>Xbox / PC</v>
      </c>
      <c r="C92" s="55" t="str">
        <f>IFERROR(__xludf.DUMMYFUNCTION("""COMPUTED_VALUE"""),"Yes")</f>
        <v>Yes</v>
      </c>
      <c r="D92" s="56" t="str">
        <f>IFERROR(__xludf.DUMMYFUNCTION("""COMPUTED_VALUE"""),"Active")</f>
        <v>Active</v>
      </c>
      <c r="E92" s="57">
        <f>IFERROR(__xludf.DUMMYFUNCTION("""COMPUTED_VALUE"""),46051.0)</f>
        <v>46051</v>
      </c>
      <c r="F92" s="58"/>
      <c r="G92" s="60">
        <f>IFERROR(__xludf.DUMMYFUNCTION("""COMPUTED_VALUE"""),8.233333333333334)</f>
        <v>8.233333333</v>
      </c>
      <c r="H92" s="63">
        <f>IFERROR(__xludf.DUMMYFUNCTION("""COMPUTED_VALUE"""),45540.0)</f>
        <v>45540</v>
      </c>
      <c r="I92" s="60">
        <f>IFERROR(__xludf.DUMMYFUNCTION("""COMPUTED_VALUE"""),1.4)</f>
        <v>1.4</v>
      </c>
      <c r="J92" s="64">
        <f>IFERROR(__xludf.DUMMYFUNCTION("""COMPUTED_VALUE"""),82.0)</f>
        <v>82</v>
      </c>
      <c r="K92" s="64">
        <f>IFERROR(__xludf.DUMMYFUNCTION("""COMPUTED_VALUE"""),9.0)</f>
        <v>9</v>
      </c>
      <c r="L92" s="55" t="str">
        <f>IFERROR(__xludf.DUMMYFUNCTION("""COMPUTED_VALUE"""),"Shooter")</f>
        <v>Shooter</v>
      </c>
      <c r="M92" s="55" t="str">
        <f>IFERROR(__xludf.DUMMYFUNCTION("""COMPUTED_VALUE"""),"Exclusive")</f>
        <v>Exclusive</v>
      </c>
      <c r="N92" s="55"/>
      <c r="O92" s="55"/>
      <c r="P92" s="55"/>
      <c r="Q92" s="55"/>
      <c r="R92" s="56" t="str">
        <f>IFERROR(__xludf.DUMMYFUNCTION("""COMPUTED_VALUE"""),"Active")</f>
        <v>Active</v>
      </c>
      <c r="S92" s="57">
        <f>IFERROR(__xludf.DUMMYFUNCTION("""COMPUTED_VALUE"""),46051.0)</f>
        <v>46051</v>
      </c>
      <c r="T92" s="60">
        <f>IFERROR(__xludf.DUMMYFUNCTION("""COMPUTED_VALUE"""),0.0)</f>
        <v>0</v>
      </c>
    </row>
    <row r="93">
      <c r="A93" s="55" t="str">
        <f>IFERROR(__xludf.DUMMYFUNCTION("""COMPUTED_VALUE"""),"ANNO: Mutationem")</f>
        <v>ANNO: Mutationem</v>
      </c>
      <c r="B93" s="55" t="str">
        <f>IFERROR(__xludf.DUMMYFUNCTION("""COMPUTED_VALUE"""),"Xbox / PC")</f>
        <v>Xbox / PC</v>
      </c>
      <c r="C93" s="55" t="str">
        <f>IFERROR(__xludf.DUMMYFUNCTION("""COMPUTED_VALUE"""),"Yes")</f>
        <v>Yes</v>
      </c>
      <c r="D93" s="56" t="str">
        <f>IFERROR(__xludf.DUMMYFUNCTION("""COMPUTED_VALUE"""),"Active")</f>
        <v>Active</v>
      </c>
      <c r="E93" s="57">
        <f>IFERROR(__xludf.DUMMYFUNCTION("""COMPUTED_VALUE"""),46050.0)</f>
        <v>46050</v>
      </c>
      <c r="F93" s="58"/>
      <c r="G93" s="60">
        <f>IFERROR(__xludf.DUMMYFUNCTION("""COMPUTED_VALUE"""),8.266666666666666)</f>
        <v>8.266666667</v>
      </c>
      <c r="H93" s="63">
        <f>IFERROR(__xludf.DUMMYFUNCTION("""COMPUTED_VALUE"""),44637.0)</f>
        <v>44637</v>
      </c>
      <c r="I93" s="60">
        <f>IFERROR(__xludf.DUMMYFUNCTION("""COMPUTED_VALUE"""),3.863888888888889)</f>
        <v>3.863888889</v>
      </c>
      <c r="J93" s="64">
        <f>IFERROR(__xludf.DUMMYFUNCTION("""COMPUTED_VALUE"""),71.0)</f>
        <v>71</v>
      </c>
      <c r="K93" s="64">
        <f>IFERROR(__xludf.DUMMYFUNCTION("""COMPUTED_VALUE"""),11.0)</f>
        <v>11</v>
      </c>
      <c r="L93" s="55" t="str">
        <f>IFERROR(__xludf.DUMMYFUNCTION("""COMPUTED_VALUE"""),"Action-Adventure")</f>
        <v>Action-Adventure</v>
      </c>
      <c r="M93" s="55"/>
      <c r="N93" s="55"/>
      <c r="O93" s="55"/>
      <c r="P93" s="55"/>
      <c r="Q93" s="55"/>
      <c r="R93" s="56" t="str">
        <f>IFERROR(__xludf.DUMMYFUNCTION("""COMPUTED_VALUE"""),"Active")</f>
        <v>Active</v>
      </c>
      <c r="S93" s="57">
        <f>IFERROR(__xludf.DUMMYFUNCTION("""COMPUTED_VALUE"""),46050.0)</f>
        <v>46050</v>
      </c>
      <c r="T93" s="60">
        <f>IFERROR(__xludf.DUMMYFUNCTION("""COMPUTED_VALUE"""),0.0)</f>
        <v>0</v>
      </c>
    </row>
    <row r="94">
      <c r="A94" s="55" t="str">
        <f>IFERROR(__xludf.DUMMYFUNCTION("""COMPUTED_VALUE"""),"Drop Duchy")</f>
        <v>Drop Duchy</v>
      </c>
      <c r="B94" s="55" t="str">
        <f>IFERROR(__xludf.DUMMYFUNCTION("""COMPUTED_VALUE"""),"Xbox / PC")</f>
        <v>Xbox / PC</v>
      </c>
      <c r="C94" s="55" t="str">
        <f>IFERROR(__xludf.DUMMYFUNCTION("""COMPUTED_VALUE"""),"Yes")</f>
        <v>Yes</v>
      </c>
      <c r="D94" s="56" t="str">
        <f>IFERROR(__xludf.DUMMYFUNCTION("""COMPUTED_VALUE"""),"Active")</f>
        <v>Active</v>
      </c>
      <c r="E94" s="57">
        <f>IFERROR(__xludf.DUMMYFUNCTION("""COMPUTED_VALUE"""),46050.0)</f>
        <v>46050</v>
      </c>
      <c r="F94" s="58"/>
      <c r="G94" s="60">
        <f>IFERROR(__xludf.DUMMYFUNCTION("""COMPUTED_VALUE"""),8.266666666666666)</f>
        <v>8.266666667</v>
      </c>
      <c r="H94" s="63">
        <f>IFERROR(__xludf.DUMMYFUNCTION("""COMPUTED_VALUE"""),46050.0)</f>
        <v>46050</v>
      </c>
      <c r="I94" s="60">
        <f>IFERROR(__xludf.DUMMYFUNCTION("""COMPUTED_VALUE"""),0.0)</f>
        <v>0</v>
      </c>
      <c r="J94" s="64">
        <f>IFERROR(__xludf.DUMMYFUNCTION("""COMPUTED_VALUE"""),83.0)</f>
        <v>83</v>
      </c>
      <c r="K94" s="64">
        <f>IFERROR(__xludf.DUMMYFUNCTION("""COMPUTED_VALUE"""),5.0)</f>
        <v>5</v>
      </c>
      <c r="L94" s="55" t="str">
        <f>IFERROR(__xludf.DUMMYFUNCTION("""COMPUTED_VALUE"""),"Action-Adventure")</f>
        <v>Action-Adventure</v>
      </c>
      <c r="M94" s="55"/>
      <c r="N94" s="55"/>
      <c r="O94" s="55"/>
      <c r="P94" s="55"/>
      <c r="Q94" s="55"/>
      <c r="R94" s="56" t="str">
        <f>IFERROR(__xludf.DUMMYFUNCTION("""COMPUTED_VALUE"""),"Active")</f>
        <v>Active</v>
      </c>
      <c r="S94" s="57">
        <f>IFERROR(__xludf.DUMMYFUNCTION("""COMPUTED_VALUE"""),46050.0)</f>
        <v>46050</v>
      </c>
      <c r="T94" s="60">
        <f>IFERROR(__xludf.DUMMYFUNCTION("""COMPUTED_VALUE"""),0.0)</f>
        <v>0</v>
      </c>
    </row>
    <row r="95">
      <c r="A95" s="55" t="str">
        <f>IFERROR(__xludf.DUMMYFUNCTION("""COMPUTED_VALUE"""),"The Talos Principle 2: Road to Elysium")</f>
        <v>The Talos Principle 2: Road to Elysium</v>
      </c>
      <c r="B95" s="55" t="str">
        <f>IFERROR(__xludf.DUMMYFUNCTION("""COMPUTED_VALUE"""),"Xbox / PC")</f>
        <v>Xbox / PC</v>
      </c>
      <c r="C95" s="55"/>
      <c r="D95" s="56" t="str">
        <f>IFERROR(__xludf.DUMMYFUNCTION("""COMPUTED_VALUE"""),"Active")</f>
        <v>Active</v>
      </c>
      <c r="E95" s="57">
        <f>IFERROR(__xludf.DUMMYFUNCTION("""COMPUTED_VALUE"""),46049.0)</f>
        <v>46049</v>
      </c>
      <c r="F95" s="58"/>
      <c r="G95" s="60">
        <f>IFERROR(__xludf.DUMMYFUNCTION("""COMPUTED_VALUE"""),8.3)</f>
        <v>8.3</v>
      </c>
      <c r="H95" s="63">
        <f>IFERROR(__xludf.DUMMYFUNCTION("""COMPUTED_VALUE"""),45457.0)</f>
        <v>45457</v>
      </c>
      <c r="I95" s="60">
        <f>IFERROR(__xludf.DUMMYFUNCTION("""COMPUTED_VALUE"""),1.6194444444444445)</f>
        <v>1.619444444</v>
      </c>
      <c r="J95" s="64">
        <f>IFERROR(__xludf.DUMMYFUNCTION("""COMPUTED_VALUE"""),88.0)</f>
        <v>88</v>
      </c>
      <c r="K95" s="64">
        <f>IFERROR(__xludf.DUMMYFUNCTION("""COMPUTED_VALUE"""),20.0)</f>
        <v>20</v>
      </c>
      <c r="L95" s="55" t="str">
        <f>IFERROR(__xludf.DUMMYFUNCTION("""COMPUTED_VALUE"""),"Action-Adventure")</f>
        <v>Action-Adventure</v>
      </c>
      <c r="M95" s="55" t="str">
        <f>IFERROR(__xludf.DUMMYFUNCTION("""COMPUTED_VALUE"""),"Exclusive")</f>
        <v>Exclusive</v>
      </c>
      <c r="N95" s="55"/>
      <c r="O95" s="55"/>
      <c r="P95" s="55"/>
      <c r="Q95" s="55"/>
      <c r="R95" s="56" t="str">
        <f>IFERROR(__xludf.DUMMYFUNCTION("""COMPUTED_VALUE"""),"Active")</f>
        <v>Active</v>
      </c>
      <c r="S95" s="57">
        <f>IFERROR(__xludf.DUMMYFUNCTION("""COMPUTED_VALUE"""),46049.0)</f>
        <v>46049</v>
      </c>
      <c r="T95" s="60">
        <f>IFERROR(__xludf.DUMMYFUNCTION("""COMPUTED_VALUE"""),0.0)</f>
        <v>0</v>
      </c>
    </row>
    <row r="96">
      <c r="A96" s="55" t="str">
        <f>IFERROR(__xludf.DUMMYFUNCTION("""COMPUTED_VALUE"""),"Death Stranding: Director's Cut")</f>
        <v>Death Stranding: Director's Cut</v>
      </c>
      <c r="B96" s="55" t="str">
        <f>IFERROR(__xludf.DUMMYFUNCTION("""COMPUTED_VALUE"""),"Xbox / PC")</f>
        <v>Xbox / PC</v>
      </c>
      <c r="C96" s="55" t="str">
        <f>IFERROR(__xludf.DUMMYFUNCTION("""COMPUTED_VALUE"""),"Yes")</f>
        <v>Yes</v>
      </c>
      <c r="D96" s="56" t="str">
        <f>IFERROR(__xludf.DUMMYFUNCTION("""COMPUTED_VALUE"""),"Active")</f>
        <v>Active</v>
      </c>
      <c r="E96" s="57">
        <f>IFERROR(__xludf.DUMMYFUNCTION("""COMPUTED_VALUE"""),46043.0)</f>
        <v>46043</v>
      </c>
      <c r="F96" s="58"/>
      <c r="G96" s="60">
        <f>IFERROR(__xludf.DUMMYFUNCTION("""COMPUTED_VALUE"""),8.5)</f>
        <v>8.5</v>
      </c>
      <c r="H96" s="63">
        <f>IFERROR(__xludf.DUMMYFUNCTION("""COMPUTED_VALUE"""),44217.0)</f>
        <v>44217</v>
      </c>
      <c r="I96" s="60">
        <f>IFERROR(__xludf.DUMMYFUNCTION("""COMPUTED_VALUE"""),5.0)</f>
        <v>5</v>
      </c>
      <c r="J96" s="64">
        <f>IFERROR(__xludf.DUMMYFUNCTION("""COMPUTED_VALUE"""),85.0)</f>
        <v>85</v>
      </c>
      <c r="K96" s="64">
        <f>IFERROR(__xludf.DUMMYFUNCTION("""COMPUTED_VALUE"""),38.0)</f>
        <v>38</v>
      </c>
      <c r="L96" s="55" t="str">
        <f>IFERROR(__xludf.DUMMYFUNCTION("""COMPUTED_VALUE"""),"Action-Adventure")</f>
        <v>Action-Adventure</v>
      </c>
      <c r="M96" s="55" t="str">
        <f>IFERROR(__xludf.DUMMYFUNCTION("""COMPUTED_VALUE"""),"Exclusive")</f>
        <v>Exclusive</v>
      </c>
      <c r="N96" s="55" t="str">
        <f>IFERROR(__xludf.DUMMYFUNCTION("""COMPUTED_VALUE"""),"Handheld Optimized")</f>
        <v>Handheld Optimized</v>
      </c>
      <c r="O96" s="55"/>
      <c r="P96" s="55"/>
      <c r="Q96" s="55"/>
      <c r="R96" s="56" t="str">
        <f>IFERROR(__xludf.DUMMYFUNCTION("""COMPUTED_VALUE"""),"Active")</f>
        <v>Active</v>
      </c>
      <c r="S96" s="57">
        <f>IFERROR(__xludf.DUMMYFUNCTION("""COMPUTED_VALUE"""),46043.0)</f>
        <v>46043</v>
      </c>
      <c r="T96" s="60">
        <f>IFERROR(__xludf.DUMMYFUNCTION("""COMPUTED_VALUE"""),0.0)</f>
        <v>0</v>
      </c>
    </row>
    <row r="97">
      <c r="A97" s="55" t="str">
        <f>IFERROR(__xludf.DUMMYFUNCTION("""COMPUTED_VALUE"""),"Ninja Gaiden: Ragebound")</f>
        <v>Ninja Gaiden: Ragebound</v>
      </c>
      <c r="B97" s="55" t="str">
        <f>IFERROR(__xludf.DUMMYFUNCTION("""COMPUTED_VALUE"""),"Xbox / PC")</f>
        <v>Xbox / PC</v>
      </c>
      <c r="C97" s="55" t="str">
        <f>IFERROR(__xludf.DUMMYFUNCTION("""COMPUTED_VALUE"""),"Yes")</f>
        <v>Yes</v>
      </c>
      <c r="D97" s="56" t="str">
        <f>IFERROR(__xludf.DUMMYFUNCTION("""COMPUTED_VALUE"""),"Active")</f>
        <v>Active</v>
      </c>
      <c r="E97" s="57">
        <f>IFERROR(__xludf.DUMMYFUNCTION("""COMPUTED_VALUE"""),46043.0)</f>
        <v>46043</v>
      </c>
      <c r="F97" s="58"/>
      <c r="G97" s="60">
        <f>IFERROR(__xludf.DUMMYFUNCTION("""COMPUTED_VALUE"""),8.5)</f>
        <v>8.5</v>
      </c>
      <c r="H97" s="63">
        <f>IFERROR(__xludf.DUMMYFUNCTION("""COMPUTED_VALUE"""),45869.0)</f>
        <v>45869</v>
      </c>
      <c r="I97" s="60">
        <f>IFERROR(__xludf.DUMMYFUNCTION("""COMPUTED_VALUE"""),0.475)</f>
        <v>0.475</v>
      </c>
      <c r="J97" s="64">
        <f>IFERROR(__xludf.DUMMYFUNCTION("""COMPUTED_VALUE"""),84.0)</f>
        <v>84</v>
      </c>
      <c r="K97" s="64">
        <f>IFERROR(__xludf.DUMMYFUNCTION("""COMPUTED_VALUE"""),6.0)</f>
        <v>6</v>
      </c>
      <c r="L97" s="55" t="str">
        <f>IFERROR(__xludf.DUMMYFUNCTION("""COMPUTED_VALUE"""),"Action-Adventure")</f>
        <v>Action-Adventure</v>
      </c>
      <c r="M97" s="55" t="str">
        <f>IFERROR(__xludf.DUMMYFUNCTION("""COMPUTED_VALUE"""),"Exclusive")</f>
        <v>Exclusive</v>
      </c>
      <c r="N97" s="55"/>
      <c r="O97" s="55"/>
      <c r="P97" s="55"/>
      <c r="Q97" s="55"/>
      <c r="R97" s="56" t="str">
        <f>IFERROR(__xludf.DUMMYFUNCTION("""COMPUTED_VALUE"""),"Active")</f>
        <v>Active</v>
      </c>
      <c r="S97" s="57">
        <f>IFERROR(__xludf.DUMMYFUNCTION("""COMPUTED_VALUE"""),46043.0)</f>
        <v>46043</v>
      </c>
      <c r="T97" s="60">
        <f>IFERROR(__xludf.DUMMYFUNCTION("""COMPUTED_VALUE"""),0.0)</f>
        <v>0</v>
      </c>
    </row>
    <row r="98">
      <c r="A98" s="55" t="str">
        <f>IFERROR(__xludf.DUMMYFUNCTION("""COMPUTED_VALUE"""),"Resident Evil Village")</f>
        <v>Resident Evil Village</v>
      </c>
      <c r="B98" s="55" t="str">
        <f>IFERROR(__xludf.DUMMYFUNCTION("""COMPUTED_VALUE"""),"Xbox / PC")</f>
        <v>Xbox / PC</v>
      </c>
      <c r="C98" s="55" t="str">
        <f>IFERROR(__xludf.DUMMYFUNCTION("""COMPUTED_VALUE"""),"Yes")</f>
        <v>Yes</v>
      </c>
      <c r="D98" s="56" t="str">
        <f>IFERROR(__xludf.DUMMYFUNCTION("""COMPUTED_VALUE"""),"Active")</f>
        <v>Active</v>
      </c>
      <c r="E98" s="57">
        <f>IFERROR(__xludf.DUMMYFUNCTION("""COMPUTED_VALUE"""),46042.0)</f>
        <v>46042</v>
      </c>
      <c r="F98" s="58"/>
      <c r="G98" s="60">
        <f>IFERROR(__xludf.DUMMYFUNCTION("""COMPUTED_VALUE"""),8.533333333333333)</f>
        <v>8.533333333</v>
      </c>
      <c r="H98" s="63">
        <f>IFERROR(__xludf.DUMMYFUNCTION("""COMPUTED_VALUE"""),44323.0)</f>
        <v>44323</v>
      </c>
      <c r="I98" s="60">
        <f>IFERROR(__xludf.DUMMYFUNCTION("""COMPUTED_VALUE"""),4.7027777777777775)</f>
        <v>4.702777778</v>
      </c>
      <c r="J98" s="64">
        <f>IFERROR(__xludf.DUMMYFUNCTION("""COMPUTED_VALUE"""),84.0)</f>
        <v>84</v>
      </c>
      <c r="K98" s="64">
        <f>IFERROR(__xludf.DUMMYFUNCTION("""COMPUTED_VALUE"""),9.0)</f>
        <v>9</v>
      </c>
      <c r="L98" s="55" t="str">
        <f>IFERROR(__xludf.DUMMYFUNCTION("""COMPUTED_VALUE"""),"Action-Adventure")</f>
        <v>Action-Adventure</v>
      </c>
      <c r="M98" s="55"/>
      <c r="N98" s="55"/>
      <c r="O98" s="55"/>
      <c r="P98" s="55"/>
      <c r="Q98" s="55"/>
      <c r="R98" s="56" t="str">
        <f>IFERROR(__xludf.DUMMYFUNCTION("""COMPUTED_VALUE"""),"Active")</f>
        <v>Active</v>
      </c>
      <c r="S98" s="57">
        <f>IFERROR(__xludf.DUMMYFUNCTION("""COMPUTED_VALUE"""),46042.0)</f>
        <v>46042</v>
      </c>
      <c r="T98" s="60">
        <f>IFERROR(__xludf.DUMMYFUNCTION("""COMPUTED_VALUE"""),0.0)</f>
        <v>0</v>
      </c>
    </row>
    <row r="99">
      <c r="A99" s="55" t="str">
        <f>IFERROR(__xludf.DUMMYFUNCTION("""COMPUTED_VALUE"""),"FINAL FANTASY")</f>
        <v>FINAL FANTASY</v>
      </c>
      <c r="B99" s="55" t="str">
        <f>IFERROR(__xludf.DUMMYFUNCTION("""COMPUTED_VALUE"""),"Xbox / PC")</f>
        <v>Xbox / PC</v>
      </c>
      <c r="C99" s="55" t="str">
        <f>IFERROR(__xludf.DUMMYFUNCTION("""COMPUTED_VALUE"""),"Yes")</f>
        <v>Yes</v>
      </c>
      <c r="D99" s="56" t="str">
        <f>IFERROR(__xludf.DUMMYFUNCTION("""COMPUTED_VALUE"""),"Active")</f>
        <v>Active</v>
      </c>
      <c r="E99" s="57">
        <f>IFERROR(__xludf.DUMMYFUNCTION("""COMPUTED_VALUE"""),46030.0)</f>
        <v>46030</v>
      </c>
      <c r="F99" s="58"/>
      <c r="G99" s="60">
        <f>IFERROR(__xludf.DUMMYFUNCTION("""COMPUTED_VALUE"""),8.933333333333334)</f>
        <v>8.933333333</v>
      </c>
      <c r="H99" s="63">
        <f>IFERROR(__xludf.DUMMYFUNCTION("""COMPUTED_VALUE"""),39259.0)</f>
        <v>39259</v>
      </c>
      <c r="I99" s="60">
        <f>IFERROR(__xludf.DUMMYFUNCTION("""COMPUTED_VALUE"""),18.533333333333335)</f>
        <v>18.53333333</v>
      </c>
      <c r="J99" s="64">
        <f>IFERROR(__xludf.DUMMYFUNCTION("""COMPUTED_VALUE"""),67.0)</f>
        <v>67</v>
      </c>
      <c r="K99" s="64">
        <f>IFERROR(__xludf.DUMMYFUNCTION("""COMPUTED_VALUE"""),16.0)</f>
        <v>16</v>
      </c>
      <c r="L99" s="55" t="str">
        <f>IFERROR(__xludf.DUMMYFUNCTION("""COMPUTED_VALUE"""),"Action-Adventure")</f>
        <v>Action-Adventure</v>
      </c>
      <c r="M99" s="55" t="str">
        <f>IFERROR(__xludf.DUMMYFUNCTION("""COMPUTED_VALUE"""),"Exclusive")</f>
        <v>Exclusive</v>
      </c>
      <c r="N99" s="55"/>
      <c r="O99" s="55"/>
      <c r="P99" s="55"/>
      <c r="Q99" s="55"/>
      <c r="R99" s="56" t="str">
        <f>IFERROR(__xludf.DUMMYFUNCTION("""COMPUTED_VALUE"""),"Active")</f>
        <v>Active</v>
      </c>
      <c r="S99" s="57">
        <f>IFERROR(__xludf.DUMMYFUNCTION("""COMPUTED_VALUE"""),46030.0)</f>
        <v>46030</v>
      </c>
      <c r="T99" s="60">
        <f>IFERROR(__xludf.DUMMYFUNCTION("""COMPUTED_VALUE"""),0.0)</f>
        <v>0</v>
      </c>
    </row>
    <row r="100">
      <c r="A100" s="55" t="str">
        <f>IFERROR(__xludf.DUMMYFUNCTION("""COMPUTED_VALUE"""),"Rematch")</f>
        <v>Rematch</v>
      </c>
      <c r="B100" s="55" t="str">
        <f>IFERROR(__xludf.DUMMYFUNCTION("""COMPUTED_VALUE"""),"Xbox / PC")</f>
        <v>Xbox / PC</v>
      </c>
      <c r="C100" s="55" t="str">
        <f>IFERROR(__xludf.DUMMYFUNCTION("""COMPUTED_VALUE"""),"Yes")</f>
        <v>Yes</v>
      </c>
      <c r="D100" s="56" t="str">
        <f>IFERROR(__xludf.DUMMYFUNCTION("""COMPUTED_VALUE"""),"Active")</f>
        <v>Active</v>
      </c>
      <c r="E100" s="57">
        <f>IFERROR(__xludf.DUMMYFUNCTION("""COMPUTED_VALUE"""),45827.0)</f>
        <v>45827</v>
      </c>
      <c r="F100" s="58"/>
      <c r="G100" s="60">
        <f>IFERROR(__xludf.DUMMYFUNCTION("""COMPUTED_VALUE"""),15.566666666666666)</f>
        <v>15.56666667</v>
      </c>
      <c r="H100" s="63">
        <f>IFERROR(__xludf.DUMMYFUNCTION("""COMPUTED_VALUE"""),45827.0)</f>
        <v>45827</v>
      </c>
      <c r="I100" s="60">
        <f>IFERROR(__xludf.DUMMYFUNCTION("""COMPUTED_VALUE"""),0.0)</f>
        <v>0</v>
      </c>
      <c r="J100" s="64">
        <f>IFERROR(__xludf.DUMMYFUNCTION("""COMPUTED_VALUE"""),78.0)</f>
        <v>78</v>
      </c>
      <c r="K100" s="64">
        <f>IFERROR(__xludf.DUMMYFUNCTION("""COMPUTED_VALUE"""),37.0)</f>
        <v>37</v>
      </c>
      <c r="L100" s="55" t="str">
        <f>IFERROR(__xludf.DUMMYFUNCTION("""COMPUTED_VALUE"""),"Sports")</f>
        <v>Sports</v>
      </c>
      <c r="M100" s="55" t="str">
        <f>IFERROR(__xludf.DUMMYFUNCTION("""COMPUTED_VALUE"""),"Exclusive")</f>
        <v>Exclusive</v>
      </c>
      <c r="N100" s="55"/>
      <c r="O100" s="55"/>
      <c r="P100" s="55"/>
      <c r="Q100" s="55"/>
      <c r="R100" s="56" t="str">
        <f>IFERROR(__xludf.DUMMYFUNCTION("""COMPUTED_VALUE"""),"Active")</f>
        <v>Active</v>
      </c>
      <c r="S100" s="57">
        <f>IFERROR(__xludf.DUMMYFUNCTION("""COMPUTED_VALUE"""),46029.0)</f>
        <v>46029</v>
      </c>
      <c r="T100" s="60">
        <f>IFERROR(__xludf.DUMMYFUNCTION("""COMPUTED_VALUE"""),6.6000000000000005)</f>
        <v>6.6</v>
      </c>
    </row>
    <row r="101">
      <c r="A101" s="55" t="str">
        <f>IFERROR(__xludf.DUMMYFUNCTION("""COMPUTED_VALUE"""),"Lost in Random: The Eternal Die")</f>
        <v>Lost in Random: The Eternal Die</v>
      </c>
      <c r="B101" s="55" t="str">
        <f>IFERROR(__xludf.DUMMYFUNCTION("""COMPUTED_VALUE"""),"Xbox / PC")</f>
        <v>Xbox / PC</v>
      </c>
      <c r="C101" s="55" t="str">
        <f>IFERROR(__xludf.DUMMYFUNCTION("""COMPUTED_VALUE"""),"Yes")</f>
        <v>Yes</v>
      </c>
      <c r="D101" s="56" t="str">
        <f>IFERROR(__xludf.DUMMYFUNCTION("""COMPUTED_VALUE"""),"Active")</f>
        <v>Active</v>
      </c>
      <c r="E101" s="57">
        <f>IFERROR(__xludf.DUMMYFUNCTION("""COMPUTED_VALUE"""),45825.0)</f>
        <v>45825</v>
      </c>
      <c r="F101" s="58"/>
      <c r="G101" s="60">
        <f>IFERROR(__xludf.DUMMYFUNCTION("""COMPUTED_VALUE"""),15.633333333333333)</f>
        <v>15.63333333</v>
      </c>
      <c r="H101" s="63">
        <f>IFERROR(__xludf.DUMMYFUNCTION("""COMPUTED_VALUE"""),45825.0)</f>
        <v>45825</v>
      </c>
      <c r="I101" s="60">
        <f>IFERROR(__xludf.DUMMYFUNCTION("""COMPUTED_VALUE"""),0.0)</f>
        <v>0</v>
      </c>
      <c r="J101" s="64">
        <f>IFERROR(__xludf.DUMMYFUNCTION("""COMPUTED_VALUE"""),78.0)</f>
        <v>78</v>
      </c>
      <c r="K101" s="64">
        <f>IFERROR(__xludf.DUMMYFUNCTION("""COMPUTED_VALUE"""),6.0)</f>
        <v>6</v>
      </c>
      <c r="L101" s="55" t="str">
        <f>IFERROR(__xludf.DUMMYFUNCTION("""COMPUTED_VALUE"""),"Action-Adventure")</f>
        <v>Action-Adventure</v>
      </c>
      <c r="M101" s="55" t="str">
        <f>IFERROR(__xludf.DUMMYFUNCTION("""COMPUTED_VALUE"""),"Exclusive")</f>
        <v>Exclusive</v>
      </c>
      <c r="N101" s="55"/>
      <c r="O101" s="55"/>
      <c r="P101" s="55"/>
      <c r="Q101" s="55"/>
      <c r="R101" s="56" t="str">
        <f>IFERROR(__xludf.DUMMYFUNCTION("""COMPUTED_VALUE"""),"Active")</f>
        <v>Active</v>
      </c>
      <c r="S101" s="57">
        <f>IFERROR(__xludf.DUMMYFUNCTION("""COMPUTED_VALUE"""),46029.0)</f>
        <v>46029</v>
      </c>
      <c r="T101" s="60">
        <f>IFERROR(__xludf.DUMMYFUNCTION("""COMPUTED_VALUE"""),6.666666666666667)</f>
        <v>6.666666667</v>
      </c>
    </row>
    <row r="102">
      <c r="A102" s="55" t="str">
        <f>IFERROR(__xludf.DUMMYFUNCTION("""COMPUTED_VALUE"""),"Brews &amp; Bastards")</f>
        <v>Brews &amp; Bastards</v>
      </c>
      <c r="B102" s="55" t="str">
        <f>IFERROR(__xludf.DUMMYFUNCTION("""COMPUTED_VALUE"""),"Xbox / PC")</f>
        <v>Xbox / PC</v>
      </c>
      <c r="C102" s="55" t="str">
        <f>IFERROR(__xludf.DUMMYFUNCTION("""COMPUTED_VALUE"""),"Yes")</f>
        <v>Yes</v>
      </c>
      <c r="D102" s="56" t="str">
        <f>IFERROR(__xludf.DUMMYFUNCTION("""COMPUTED_VALUE"""),"Active")</f>
        <v>Active</v>
      </c>
      <c r="E102" s="57">
        <f>IFERROR(__xludf.DUMMYFUNCTION("""COMPUTED_VALUE"""),46028.0)</f>
        <v>46028</v>
      </c>
      <c r="F102" s="58"/>
      <c r="G102" s="60">
        <f>IFERROR(__xludf.DUMMYFUNCTION("""COMPUTED_VALUE"""),9.0)</f>
        <v>9</v>
      </c>
      <c r="H102" s="63">
        <f>IFERROR(__xludf.DUMMYFUNCTION("""COMPUTED_VALUE"""),45922.0)</f>
        <v>45922</v>
      </c>
      <c r="I102" s="60">
        <f>IFERROR(__xludf.DUMMYFUNCTION("""COMPUTED_VALUE"""),0.28888888888888886)</f>
        <v>0.2888888889</v>
      </c>
      <c r="J102" s="64">
        <f>IFERROR(__xludf.DUMMYFUNCTION("""COMPUTED_VALUE"""),60.0)</f>
        <v>60</v>
      </c>
      <c r="K102" s="64">
        <f>IFERROR(__xludf.DUMMYFUNCTION("""COMPUTED_VALUE"""),4.0)</f>
        <v>4</v>
      </c>
      <c r="L102" s="55" t="str">
        <f>IFERROR(__xludf.DUMMYFUNCTION("""COMPUTED_VALUE"""),"Action-Adventure")</f>
        <v>Action-Adventure</v>
      </c>
      <c r="M102" s="55" t="str">
        <f>IFERROR(__xludf.DUMMYFUNCTION("""COMPUTED_VALUE"""),"Exclusive")</f>
        <v>Exclusive</v>
      </c>
      <c r="N102" s="55"/>
      <c r="O102" s="55"/>
      <c r="P102" s="55"/>
      <c r="Q102" s="55"/>
      <c r="R102" s="56" t="str">
        <f>IFERROR(__xludf.DUMMYFUNCTION("""COMPUTED_VALUE"""),"Active")</f>
        <v>Active</v>
      </c>
      <c r="S102" s="57">
        <f>IFERROR(__xludf.DUMMYFUNCTION("""COMPUTED_VALUE"""),46028.0)</f>
        <v>46028</v>
      </c>
      <c r="T102" s="60">
        <f>IFERROR(__xludf.DUMMYFUNCTION("""COMPUTED_VALUE"""),0.0)</f>
        <v>0</v>
      </c>
    </row>
    <row r="103">
      <c r="A103" s="55" t="str">
        <f>IFERROR(__xludf.DUMMYFUNCTION("""COMPUTED_VALUE"""),"Little Nightmares: Enhanced Edition")</f>
        <v>Little Nightmares: Enhanced Edition</v>
      </c>
      <c r="B103" s="55" t="str">
        <f>IFERROR(__xludf.DUMMYFUNCTION("""COMPUTED_VALUE"""),"Xbox / PC")</f>
        <v>Xbox / PC</v>
      </c>
      <c r="C103" s="55" t="str">
        <f>IFERROR(__xludf.DUMMYFUNCTION("""COMPUTED_VALUE"""),"Yes")</f>
        <v>Yes</v>
      </c>
      <c r="D103" s="56" t="str">
        <f>IFERROR(__xludf.DUMMYFUNCTION("""COMPUTED_VALUE"""),"Active")</f>
        <v>Active</v>
      </c>
      <c r="E103" s="57">
        <f>IFERROR(__xludf.DUMMYFUNCTION("""COMPUTED_VALUE"""),46028.0)</f>
        <v>46028</v>
      </c>
      <c r="F103" s="58"/>
      <c r="G103" s="60">
        <f>IFERROR(__xludf.DUMMYFUNCTION("""COMPUTED_VALUE"""),9.0)</f>
        <v>9</v>
      </c>
      <c r="H103" s="63">
        <f>IFERROR(__xludf.DUMMYFUNCTION("""COMPUTED_VALUE"""),43238.0)</f>
        <v>43238</v>
      </c>
      <c r="I103" s="60">
        <f>IFERROR(__xludf.DUMMYFUNCTION("""COMPUTED_VALUE"""),7.633333333333334)</f>
        <v>7.633333333</v>
      </c>
      <c r="J103" s="64">
        <f>IFERROR(__xludf.DUMMYFUNCTION("""COMPUTED_VALUE"""),79.0)</f>
        <v>79</v>
      </c>
      <c r="K103" s="64">
        <f>IFERROR(__xludf.DUMMYFUNCTION("""COMPUTED_VALUE"""),4.0)</f>
        <v>4</v>
      </c>
      <c r="L103" s="55" t="str">
        <f>IFERROR(__xludf.DUMMYFUNCTION("""COMPUTED_VALUE"""),"Action-Adventure")</f>
        <v>Action-Adventure</v>
      </c>
      <c r="M103" s="55" t="str">
        <f>IFERROR(__xludf.DUMMYFUNCTION("""COMPUTED_VALUE"""),"Exclusive")</f>
        <v>Exclusive</v>
      </c>
      <c r="N103" s="55" t="str">
        <f>IFERROR(__xludf.DUMMYFUNCTION("""COMPUTED_VALUE"""),"Handheld Optimized")</f>
        <v>Handheld Optimized</v>
      </c>
      <c r="O103" s="55"/>
      <c r="P103" s="55"/>
      <c r="Q103" s="55"/>
      <c r="R103" s="56" t="str">
        <f>IFERROR(__xludf.DUMMYFUNCTION("""COMPUTED_VALUE"""),"Active")</f>
        <v>Active</v>
      </c>
      <c r="S103" s="57">
        <f>IFERROR(__xludf.DUMMYFUNCTION("""COMPUTED_VALUE"""),46028.0)</f>
        <v>46028</v>
      </c>
      <c r="T103" s="60">
        <f>IFERROR(__xludf.DUMMYFUNCTION("""COMPUTED_VALUE"""),0.0)</f>
        <v>0</v>
      </c>
    </row>
    <row r="104">
      <c r="A104" s="55" t="str">
        <f>IFERROR(__xludf.DUMMYFUNCTION("""COMPUTED_VALUE"""),"Mortal Kombat 1")</f>
        <v>Mortal Kombat 1</v>
      </c>
      <c r="B104" s="55" t="str">
        <f>IFERROR(__xludf.DUMMYFUNCTION("""COMPUTED_VALUE"""),"Xbox / PC")</f>
        <v>Xbox / PC</v>
      </c>
      <c r="C104" s="55" t="str">
        <f>IFERROR(__xludf.DUMMYFUNCTION("""COMPUTED_VALUE"""),"Yes")</f>
        <v>Yes</v>
      </c>
      <c r="D104" s="56" t="str">
        <f>IFERROR(__xludf.DUMMYFUNCTION("""COMPUTED_VALUE"""),"Active")</f>
        <v>Active</v>
      </c>
      <c r="E104" s="57">
        <f>IFERROR(__xludf.DUMMYFUNCTION("""COMPUTED_VALUE"""),46001.0)</f>
        <v>46001</v>
      </c>
      <c r="F104" s="58"/>
      <c r="G104" s="60">
        <f>IFERROR(__xludf.DUMMYFUNCTION("""COMPUTED_VALUE"""),9.866666666666667)</f>
        <v>9.866666667</v>
      </c>
      <c r="H104" s="63">
        <f>IFERROR(__xludf.DUMMYFUNCTION("""COMPUTED_VALUE"""),45188.0)</f>
        <v>45188</v>
      </c>
      <c r="I104" s="60">
        <f>IFERROR(__xludf.DUMMYFUNCTION("""COMPUTED_VALUE"""),2.225)</f>
        <v>2.225</v>
      </c>
      <c r="J104" s="64">
        <f>IFERROR(__xludf.DUMMYFUNCTION("""COMPUTED_VALUE"""),83.0)</f>
        <v>83</v>
      </c>
      <c r="K104" s="64">
        <f>IFERROR(__xludf.DUMMYFUNCTION("""COMPUTED_VALUE"""),7.0)</f>
        <v>7</v>
      </c>
      <c r="L104" s="55" t="str">
        <f>IFERROR(__xludf.DUMMYFUNCTION("""COMPUTED_VALUE"""),"Action-Adventure")</f>
        <v>Action-Adventure</v>
      </c>
      <c r="M104" s="55" t="str">
        <f>IFERROR(__xludf.DUMMYFUNCTION("""COMPUTED_VALUE"""),"Exclusive")</f>
        <v>Exclusive</v>
      </c>
      <c r="N104" s="55"/>
      <c r="O104" s="55"/>
      <c r="P104" s="55"/>
      <c r="Q104" s="55"/>
      <c r="R104" s="56" t="str">
        <f>IFERROR(__xludf.DUMMYFUNCTION("""COMPUTED_VALUE"""),"Active")</f>
        <v>Active</v>
      </c>
      <c r="S104" s="57">
        <f>IFERROR(__xludf.DUMMYFUNCTION("""COMPUTED_VALUE"""),46001.0)</f>
        <v>46001</v>
      </c>
      <c r="T104" s="60">
        <f>IFERROR(__xludf.DUMMYFUNCTION("""COMPUTED_VALUE"""),0.0)</f>
        <v>0</v>
      </c>
    </row>
    <row r="105">
      <c r="A105" s="55" t="str">
        <f>IFERROR(__xludf.DUMMYFUNCTION("""COMPUTED_VALUE"""),"A Game About Digging A Hole")</f>
        <v>A Game About Digging A Hole</v>
      </c>
      <c r="B105" s="55" t="str">
        <f>IFERROR(__xludf.DUMMYFUNCTION("""COMPUTED_VALUE"""),"Xbox / PC")</f>
        <v>Xbox / PC</v>
      </c>
      <c r="C105" s="55" t="str">
        <f>IFERROR(__xludf.DUMMYFUNCTION("""COMPUTED_VALUE"""),"Yes")</f>
        <v>Yes</v>
      </c>
      <c r="D105" s="56" t="str">
        <f>IFERROR(__xludf.DUMMYFUNCTION("""COMPUTED_VALUE"""),"Active")</f>
        <v>Active</v>
      </c>
      <c r="E105" s="57">
        <f>IFERROR(__xludf.DUMMYFUNCTION("""COMPUTED_VALUE"""),46000.0)</f>
        <v>46000</v>
      </c>
      <c r="F105" s="58"/>
      <c r="G105" s="60">
        <f>IFERROR(__xludf.DUMMYFUNCTION("""COMPUTED_VALUE"""),9.899999999999999)</f>
        <v>9.9</v>
      </c>
      <c r="H105" s="63">
        <f>IFERROR(__xludf.DUMMYFUNCTION("""COMPUTED_VALUE"""),45695.0)</f>
        <v>45695</v>
      </c>
      <c r="I105" s="60">
        <f>IFERROR(__xludf.DUMMYFUNCTION("""COMPUTED_VALUE"""),0.8388888888888889)</f>
        <v>0.8388888889</v>
      </c>
      <c r="J105" s="64">
        <f>IFERROR(__xludf.DUMMYFUNCTION("""COMPUTED_VALUE"""),75.0)</f>
        <v>75</v>
      </c>
      <c r="K105" s="64">
        <f>IFERROR(__xludf.DUMMYFUNCTION("""COMPUTED_VALUE"""),2.35)</f>
        <v>2.35</v>
      </c>
      <c r="L105" s="55" t="str">
        <f>IFERROR(__xludf.DUMMYFUNCTION("""COMPUTED_VALUE"""),"Adventure")</f>
        <v>Adventure</v>
      </c>
      <c r="M105" s="55"/>
      <c r="N105" s="55" t="str">
        <f>IFERROR(__xludf.DUMMYFUNCTION("""COMPUTED_VALUE"""),"Handheld Optimized")</f>
        <v>Handheld Optimized</v>
      </c>
      <c r="O105" s="55"/>
      <c r="P105" s="55"/>
      <c r="Q105" s="55"/>
      <c r="R105" s="56" t="str">
        <f>IFERROR(__xludf.DUMMYFUNCTION("""COMPUTED_VALUE"""),"Active")</f>
        <v>Active</v>
      </c>
      <c r="S105" s="57">
        <f>IFERROR(__xludf.DUMMYFUNCTION("""COMPUTED_VALUE"""),46000.0)</f>
        <v>46000</v>
      </c>
      <c r="T105" s="60">
        <f>IFERROR(__xludf.DUMMYFUNCTION("""COMPUTED_VALUE"""),0.0)</f>
        <v>0</v>
      </c>
    </row>
    <row r="106">
      <c r="A106" s="55" t="str">
        <f>IFERROR(__xludf.DUMMYFUNCTION("""COMPUTED_VALUE"""),"Dome Keeper")</f>
        <v>Dome Keeper</v>
      </c>
      <c r="B106" s="55" t="str">
        <f>IFERROR(__xludf.DUMMYFUNCTION("""COMPUTED_VALUE"""),"Xbox / PC")</f>
        <v>Xbox / PC</v>
      </c>
      <c r="C106" s="55" t="str">
        <f>IFERROR(__xludf.DUMMYFUNCTION("""COMPUTED_VALUE"""),"Yes")</f>
        <v>Yes</v>
      </c>
      <c r="D106" s="56" t="str">
        <f>IFERROR(__xludf.DUMMYFUNCTION("""COMPUTED_VALUE"""),"Active")</f>
        <v>Active</v>
      </c>
      <c r="E106" s="57">
        <f>IFERROR(__xludf.DUMMYFUNCTION("""COMPUTED_VALUE"""),46000.0)</f>
        <v>46000</v>
      </c>
      <c r="F106" s="58"/>
      <c r="G106" s="60">
        <f>IFERROR(__xludf.DUMMYFUNCTION("""COMPUTED_VALUE"""),9.899999999999999)</f>
        <v>9.9</v>
      </c>
      <c r="H106" s="63">
        <f>IFERROR(__xludf.DUMMYFUNCTION("""COMPUTED_VALUE"""),44831.0)</f>
        <v>44831</v>
      </c>
      <c r="I106" s="60">
        <f>IFERROR(__xludf.DUMMYFUNCTION("""COMPUTED_VALUE"""),3.2)</f>
        <v>3.2</v>
      </c>
      <c r="J106" s="64">
        <f>IFERROR(__xludf.DUMMYFUNCTION("""COMPUTED_VALUE"""),90.0)</f>
        <v>90</v>
      </c>
      <c r="K106" s="64">
        <f>IFERROR(__xludf.DUMMYFUNCTION("""COMPUTED_VALUE"""),5.0)</f>
        <v>5</v>
      </c>
      <c r="L106" s="55" t="str">
        <f>IFERROR(__xludf.DUMMYFUNCTION("""COMPUTED_VALUE"""),"Action")</f>
        <v>Action</v>
      </c>
      <c r="M106" s="55"/>
      <c r="N106" s="55" t="str">
        <f>IFERROR(__xludf.DUMMYFUNCTION("""COMPUTED_VALUE"""),"Handheld Optimized")</f>
        <v>Handheld Optimized</v>
      </c>
      <c r="O106" s="55"/>
      <c r="P106" s="55"/>
      <c r="Q106" s="55"/>
      <c r="R106" s="56" t="str">
        <f>IFERROR(__xludf.DUMMYFUNCTION("""COMPUTED_VALUE"""),"Active")</f>
        <v>Active</v>
      </c>
      <c r="S106" s="57">
        <f>IFERROR(__xludf.DUMMYFUNCTION("""COMPUTED_VALUE"""),46000.0)</f>
        <v>46000</v>
      </c>
      <c r="T106" s="60">
        <f>IFERROR(__xludf.DUMMYFUNCTION("""COMPUTED_VALUE"""),0.0)</f>
        <v>0</v>
      </c>
    </row>
    <row r="107">
      <c r="A107" s="55" t="str">
        <f>IFERROR(__xludf.DUMMYFUNCTION("""COMPUTED_VALUE"""),"33 Immortals")</f>
        <v>33 Immortals</v>
      </c>
      <c r="B107" s="55" t="str">
        <f>IFERROR(__xludf.DUMMYFUNCTION("""COMPUTED_VALUE"""),"Xbox / PC")</f>
        <v>Xbox / PC</v>
      </c>
      <c r="C107" s="55" t="str">
        <f>IFERROR(__xludf.DUMMYFUNCTION("""COMPUTED_VALUE"""),"Yes")</f>
        <v>Yes</v>
      </c>
      <c r="D107" s="56" t="str">
        <f>IFERROR(__xludf.DUMMYFUNCTION("""COMPUTED_VALUE"""),"Active")</f>
        <v>Active</v>
      </c>
      <c r="E107" s="57">
        <f>IFERROR(__xludf.DUMMYFUNCTION("""COMPUTED_VALUE"""),45734.0)</f>
        <v>45734</v>
      </c>
      <c r="F107" s="58"/>
      <c r="G107" s="60">
        <f>IFERROR(__xludf.DUMMYFUNCTION("""COMPUTED_VALUE"""),18.6)</f>
        <v>18.6</v>
      </c>
      <c r="H107" s="63">
        <f>IFERROR(__xludf.DUMMYFUNCTION("""COMPUTED_VALUE"""),45734.0)</f>
        <v>45734</v>
      </c>
      <c r="I107" s="60">
        <f>IFERROR(__xludf.DUMMYFUNCTION("""COMPUTED_VALUE"""),0.0)</f>
        <v>0</v>
      </c>
      <c r="J107" s="64">
        <f>IFERROR(__xludf.DUMMYFUNCTION("""COMPUTED_VALUE"""),79.0)</f>
        <v>79</v>
      </c>
      <c r="K107" s="64">
        <f>IFERROR(__xludf.DUMMYFUNCTION("""COMPUTED_VALUE"""),5.0)</f>
        <v>5</v>
      </c>
      <c r="L107" s="55" t="str">
        <f>IFERROR(__xludf.DUMMYFUNCTION("""COMPUTED_VALUE"""),"RPG")</f>
        <v>RPG</v>
      </c>
      <c r="M107" s="55" t="str">
        <f>IFERROR(__xludf.DUMMYFUNCTION("""COMPUTED_VALUE"""),"Exclusive")</f>
        <v>Exclusive</v>
      </c>
      <c r="N107" s="55" t="str">
        <f>IFERROR(__xludf.DUMMYFUNCTION("""COMPUTED_VALUE"""),"1.0 launches 6/11/26")</f>
        <v>1.0 launches 6/11/26</v>
      </c>
      <c r="O107" s="55"/>
      <c r="P107" s="55"/>
      <c r="Q107" s="55"/>
      <c r="R107" s="56" t="str">
        <f>IFERROR(__xludf.DUMMYFUNCTION("""COMPUTED_VALUE"""),"Active")</f>
        <v>Active</v>
      </c>
      <c r="S107" s="57">
        <f>IFERROR(__xludf.DUMMYFUNCTION("""COMPUTED_VALUE"""),45995.0)</f>
        <v>45995</v>
      </c>
      <c r="T107" s="60">
        <f>IFERROR(__xludf.DUMMYFUNCTION("""COMPUTED_VALUE"""),8.533333333333333)</f>
        <v>8.533333333</v>
      </c>
    </row>
    <row r="108">
      <c r="A108" s="55" t="str">
        <f>IFERROR(__xludf.DUMMYFUNCTION("""COMPUTED_VALUE"""),"Indiana Jones and the Great Circle")</f>
        <v>Indiana Jones and the Great Circle</v>
      </c>
      <c r="B108" s="55" t="str">
        <f>IFERROR(__xludf.DUMMYFUNCTION("""COMPUTED_VALUE"""),"Xbox / PC")</f>
        <v>Xbox / PC</v>
      </c>
      <c r="C108" s="55" t="str">
        <f>IFERROR(__xludf.DUMMYFUNCTION("""COMPUTED_VALUE"""),"Yes")</f>
        <v>Yes</v>
      </c>
      <c r="D108" s="56" t="str">
        <f>IFERROR(__xludf.DUMMYFUNCTION("""COMPUTED_VALUE"""),"Active")</f>
        <v>Active</v>
      </c>
      <c r="E108" s="57">
        <f>IFERROR(__xludf.DUMMYFUNCTION("""COMPUTED_VALUE"""),45635.0)</f>
        <v>45635</v>
      </c>
      <c r="F108" s="58"/>
      <c r="G108" s="60">
        <f>IFERROR(__xludf.DUMMYFUNCTION("""COMPUTED_VALUE"""),21.9)</f>
        <v>21.9</v>
      </c>
      <c r="H108" s="63">
        <f>IFERROR(__xludf.DUMMYFUNCTION("""COMPUTED_VALUE"""),45635.0)</f>
        <v>45635</v>
      </c>
      <c r="I108" s="60">
        <f>IFERROR(__xludf.DUMMYFUNCTION("""COMPUTED_VALUE"""),0.0)</f>
        <v>0</v>
      </c>
      <c r="J108" s="64">
        <f>IFERROR(__xludf.DUMMYFUNCTION("""COMPUTED_VALUE"""),86.0)</f>
        <v>86</v>
      </c>
      <c r="K108" s="64">
        <f>IFERROR(__xludf.DUMMYFUNCTION("""COMPUTED_VALUE"""),15.0)</f>
        <v>15</v>
      </c>
      <c r="L108" s="55" t="str">
        <f>IFERROR(__xludf.DUMMYFUNCTION("""COMPUTED_VALUE"""),"Action-Adventure")</f>
        <v>Action-Adventure</v>
      </c>
      <c r="M108" s="55" t="str">
        <f>IFERROR(__xludf.DUMMYFUNCTION("""COMPUTED_VALUE"""),"Exclusive")</f>
        <v>Exclusive</v>
      </c>
      <c r="N108" s="55" t="str">
        <f>IFERROR(__xludf.DUMMYFUNCTION("""COMPUTED_VALUE"""),"Coming to PS5 Spring 2025")</f>
        <v>Coming to PS5 Spring 2025</v>
      </c>
      <c r="O108" s="55"/>
      <c r="P108" s="55"/>
      <c r="Q108" s="55"/>
      <c r="R108" s="56" t="str">
        <f>IFERROR(__xludf.DUMMYFUNCTION("""COMPUTED_VALUE"""),"Active")</f>
        <v>Active</v>
      </c>
      <c r="S108" s="57">
        <f>IFERROR(__xludf.DUMMYFUNCTION("""COMPUTED_VALUE"""),45995.0)</f>
        <v>45995</v>
      </c>
      <c r="T108" s="60">
        <f>IFERROR(__xludf.DUMMYFUNCTION("""COMPUTED_VALUE"""),11.833333333333334)</f>
        <v>11.83333333</v>
      </c>
    </row>
    <row r="109">
      <c r="A109" s="55" t="str">
        <f>IFERROR(__xludf.DUMMYFUNCTION("""COMPUTED_VALUE"""),"Monster Train 2")</f>
        <v>Monster Train 2</v>
      </c>
      <c r="B109" s="55" t="str">
        <f>IFERROR(__xludf.DUMMYFUNCTION("""COMPUTED_VALUE"""),"Xbox / PC")</f>
        <v>Xbox / PC</v>
      </c>
      <c r="C109" s="55" t="str">
        <f>IFERROR(__xludf.DUMMYFUNCTION("""COMPUTED_VALUE"""),"Yes")</f>
        <v>Yes</v>
      </c>
      <c r="D109" s="56" t="str">
        <f>IFERROR(__xludf.DUMMYFUNCTION("""COMPUTED_VALUE"""),"Active")</f>
        <v>Active</v>
      </c>
      <c r="E109" s="57">
        <f>IFERROR(__xludf.DUMMYFUNCTION("""COMPUTED_VALUE"""),45798.0)</f>
        <v>45798</v>
      </c>
      <c r="F109" s="58"/>
      <c r="G109" s="60">
        <f>IFERROR(__xludf.DUMMYFUNCTION("""COMPUTED_VALUE"""),16.5)</f>
        <v>16.5</v>
      </c>
      <c r="H109" s="63">
        <f>IFERROR(__xludf.DUMMYFUNCTION("""COMPUTED_VALUE"""),45798.0)</f>
        <v>45798</v>
      </c>
      <c r="I109" s="60">
        <f>IFERROR(__xludf.DUMMYFUNCTION("""COMPUTED_VALUE"""),0.0)</f>
        <v>0</v>
      </c>
      <c r="J109" s="64">
        <f>IFERROR(__xludf.DUMMYFUNCTION("""COMPUTED_VALUE"""),90.0)</f>
        <v>90</v>
      </c>
      <c r="K109" s="64">
        <f>IFERROR(__xludf.DUMMYFUNCTION("""COMPUTED_VALUE"""),6.0)</f>
        <v>6</v>
      </c>
      <c r="L109" s="55" t="str">
        <f>IFERROR(__xludf.DUMMYFUNCTION("""COMPUTED_VALUE"""),"Card Battle")</f>
        <v>Card Battle</v>
      </c>
      <c r="M109" s="55" t="str">
        <f>IFERROR(__xludf.DUMMYFUNCTION("""COMPUTED_VALUE"""),"Exclusive")</f>
        <v>Exclusive</v>
      </c>
      <c r="N109" s="55"/>
      <c r="O109" s="55"/>
      <c r="P109" s="55"/>
      <c r="Q109" s="55"/>
      <c r="R109" s="56" t="str">
        <f>IFERROR(__xludf.DUMMYFUNCTION("""COMPUTED_VALUE"""),"Active")</f>
        <v>Active</v>
      </c>
      <c r="S109" s="57">
        <f>IFERROR(__xludf.DUMMYFUNCTION("""COMPUTED_VALUE"""),45994.0)</f>
        <v>45994</v>
      </c>
      <c r="T109" s="60">
        <f>IFERROR(__xludf.DUMMYFUNCTION("""COMPUTED_VALUE"""),6.4)</f>
        <v>6.4</v>
      </c>
    </row>
    <row r="110">
      <c r="A110" s="55" t="str">
        <f>IFERROR(__xludf.DUMMYFUNCTION("""COMPUTED_VALUE"""),"Lost Records: Bloom &amp; Rage")</f>
        <v>Lost Records: Bloom &amp; Rage</v>
      </c>
      <c r="B110" s="55" t="str">
        <f>IFERROR(__xludf.DUMMYFUNCTION("""COMPUTED_VALUE"""),"Xbox / PC")</f>
        <v>Xbox / PC</v>
      </c>
      <c r="C110" s="55" t="str">
        <f>IFERROR(__xludf.DUMMYFUNCTION("""COMPUTED_VALUE"""),"Yes")</f>
        <v>Yes</v>
      </c>
      <c r="D110" s="56" t="str">
        <f>IFERROR(__xludf.DUMMYFUNCTION("""COMPUTED_VALUE"""),"Active")</f>
        <v>Active</v>
      </c>
      <c r="E110" s="57">
        <f>IFERROR(__xludf.DUMMYFUNCTION("""COMPUTED_VALUE"""),45993.0)</f>
        <v>45993</v>
      </c>
      <c r="F110" s="58"/>
      <c r="G110" s="60">
        <f>IFERROR(__xludf.DUMMYFUNCTION("""COMPUTED_VALUE"""),10.133333333333333)</f>
        <v>10.13333333</v>
      </c>
      <c r="H110" s="63">
        <f>IFERROR(__xludf.DUMMYFUNCTION("""COMPUTED_VALUE"""),45706.0)</f>
        <v>45706</v>
      </c>
      <c r="I110" s="60">
        <f>IFERROR(__xludf.DUMMYFUNCTION("""COMPUTED_VALUE"""),0.7888888888888889)</f>
        <v>0.7888888889</v>
      </c>
      <c r="J110" s="64">
        <f>IFERROR(__xludf.DUMMYFUNCTION("""COMPUTED_VALUE"""),74.0)</f>
        <v>74</v>
      </c>
      <c r="K110" s="64">
        <f>IFERROR(__xludf.DUMMYFUNCTION("""COMPUTED_VALUE"""),11.0)</f>
        <v>11</v>
      </c>
      <c r="L110" s="55" t="str">
        <f>IFERROR(__xludf.DUMMYFUNCTION("""COMPUTED_VALUE"""),"Action-Adventure")</f>
        <v>Action-Adventure</v>
      </c>
      <c r="M110" s="55" t="str">
        <f>IFERROR(__xludf.DUMMYFUNCTION("""COMPUTED_VALUE"""),"Exclusive")</f>
        <v>Exclusive</v>
      </c>
      <c r="N110" s="55"/>
      <c r="O110" s="55"/>
      <c r="P110" s="55"/>
      <c r="Q110" s="55"/>
      <c r="R110" s="56" t="str">
        <f>IFERROR(__xludf.DUMMYFUNCTION("""COMPUTED_VALUE"""),"Active")</f>
        <v>Active</v>
      </c>
      <c r="S110" s="57">
        <f>IFERROR(__xludf.DUMMYFUNCTION("""COMPUTED_VALUE"""),45993.0)</f>
        <v>45993</v>
      </c>
      <c r="T110" s="60">
        <f>IFERROR(__xludf.DUMMYFUNCTION("""COMPUTED_VALUE"""),0.0)</f>
        <v>0</v>
      </c>
    </row>
    <row r="111">
      <c r="A111" s="55" t="str">
        <f>IFERROR(__xludf.DUMMYFUNCTION("""COMPUTED_VALUE"""),"Banishers: Ghosts of New Eden")</f>
        <v>Banishers: Ghosts of New Eden</v>
      </c>
      <c r="B111" s="55" t="str">
        <f>IFERROR(__xludf.DUMMYFUNCTION("""COMPUTED_VALUE"""),"Xbox / PC")</f>
        <v>Xbox / PC</v>
      </c>
      <c r="C111" s="55" t="str">
        <f>IFERROR(__xludf.DUMMYFUNCTION("""COMPUTED_VALUE"""),"Yes")</f>
        <v>Yes</v>
      </c>
      <c r="D111" s="56" t="str">
        <f>IFERROR(__xludf.DUMMYFUNCTION("""COMPUTED_VALUE"""),"Active")</f>
        <v>Active</v>
      </c>
      <c r="E111" s="57">
        <f>IFERROR(__xludf.DUMMYFUNCTION("""COMPUTED_VALUE"""),45986.0)</f>
        <v>45986</v>
      </c>
      <c r="F111" s="58"/>
      <c r="G111" s="60">
        <f>IFERROR(__xludf.DUMMYFUNCTION("""COMPUTED_VALUE"""),10.366666666666667)</f>
        <v>10.36666667</v>
      </c>
      <c r="H111" s="63">
        <f>IFERROR(__xludf.DUMMYFUNCTION("""COMPUTED_VALUE"""),45335.0)</f>
        <v>45335</v>
      </c>
      <c r="I111" s="60">
        <f>IFERROR(__xludf.DUMMYFUNCTION("""COMPUTED_VALUE"""),1.7833333333333334)</f>
        <v>1.783333333</v>
      </c>
      <c r="J111" s="64">
        <f>IFERROR(__xludf.DUMMYFUNCTION("""COMPUTED_VALUE"""),78.0)</f>
        <v>78</v>
      </c>
      <c r="K111" s="64">
        <f>IFERROR(__xludf.DUMMYFUNCTION("""COMPUTED_VALUE"""),27.0)</f>
        <v>27</v>
      </c>
      <c r="L111" s="55" t="str">
        <f>IFERROR(__xludf.DUMMYFUNCTION("""COMPUTED_VALUE"""),"Action-Adventure")</f>
        <v>Action-Adventure</v>
      </c>
      <c r="M111" s="55" t="str">
        <f>IFERROR(__xludf.DUMMYFUNCTION("""COMPUTED_VALUE"""),"Exclusive")</f>
        <v>Exclusive</v>
      </c>
      <c r="N111" s="55" t="str">
        <f>IFERROR(__xludf.DUMMYFUNCTION("""COMPUTED_VALUE"""),"Handheld Optimized")</f>
        <v>Handheld Optimized</v>
      </c>
      <c r="O111" s="55"/>
      <c r="P111" s="55"/>
      <c r="Q111" s="55"/>
      <c r="R111" s="56" t="str">
        <f>IFERROR(__xludf.DUMMYFUNCTION("""COMPUTED_VALUE"""),"Active")</f>
        <v>Active</v>
      </c>
      <c r="S111" s="57">
        <f>IFERROR(__xludf.DUMMYFUNCTION("""COMPUTED_VALUE"""),45986.0)</f>
        <v>45986</v>
      </c>
      <c r="T111" s="60">
        <f>IFERROR(__xludf.DUMMYFUNCTION("""COMPUTED_VALUE"""),0.0)</f>
        <v>0</v>
      </c>
    </row>
    <row r="112">
      <c r="A112" s="55" t="str">
        <f>IFERROR(__xludf.DUMMYFUNCTION("""COMPUTED_VALUE"""),"Kill It With Fire! 2")</f>
        <v>Kill It With Fire! 2</v>
      </c>
      <c r="B112" s="55" t="str">
        <f>IFERROR(__xludf.DUMMYFUNCTION("""COMPUTED_VALUE"""),"Xbox / PC")</f>
        <v>Xbox / PC</v>
      </c>
      <c r="C112" s="55" t="str">
        <f>IFERROR(__xludf.DUMMYFUNCTION("""COMPUTED_VALUE"""),"Yes")</f>
        <v>Yes</v>
      </c>
      <c r="D112" s="56" t="str">
        <f>IFERROR(__xludf.DUMMYFUNCTION("""COMPUTED_VALUE"""),"Active")</f>
        <v>Active</v>
      </c>
      <c r="E112" s="57">
        <f>IFERROR(__xludf.DUMMYFUNCTION("""COMPUTED_VALUE"""),45986.0)</f>
        <v>45986</v>
      </c>
      <c r="F112" s="58"/>
      <c r="G112" s="60">
        <f>IFERROR(__xludf.DUMMYFUNCTION("""COMPUTED_VALUE"""),10.366666666666667)</f>
        <v>10.36666667</v>
      </c>
      <c r="H112" s="63">
        <f>IFERROR(__xludf.DUMMYFUNCTION("""COMPUTED_VALUE"""),45986.0)</f>
        <v>45986</v>
      </c>
      <c r="I112" s="60">
        <f>IFERROR(__xludf.DUMMYFUNCTION("""COMPUTED_VALUE"""),0.0)</f>
        <v>0</v>
      </c>
      <c r="J112" s="64">
        <f>IFERROR(__xludf.DUMMYFUNCTION("""COMPUTED_VALUE"""),70.0)</f>
        <v>70</v>
      </c>
      <c r="K112" s="64">
        <f>IFERROR(__xludf.DUMMYFUNCTION("""COMPUTED_VALUE"""),8.0)</f>
        <v>8</v>
      </c>
      <c r="L112" s="55" t="str">
        <f>IFERROR(__xludf.DUMMYFUNCTION("""COMPUTED_VALUE"""),"Shooter")</f>
        <v>Shooter</v>
      </c>
      <c r="M112" s="55"/>
      <c r="N112" s="55"/>
      <c r="O112" s="55"/>
      <c r="P112" s="55"/>
      <c r="Q112" s="55"/>
      <c r="R112" s="56" t="str">
        <f>IFERROR(__xludf.DUMMYFUNCTION("""COMPUTED_VALUE"""),"Active")</f>
        <v>Active</v>
      </c>
      <c r="S112" s="57">
        <f>IFERROR(__xludf.DUMMYFUNCTION("""COMPUTED_VALUE"""),45986.0)</f>
        <v>45986</v>
      </c>
      <c r="T112" s="60">
        <f>IFERROR(__xludf.DUMMYFUNCTION("""COMPUTED_VALUE"""),0.0)</f>
        <v>0</v>
      </c>
    </row>
    <row r="113">
      <c r="A113" s="55" t="str">
        <f>IFERROR(__xludf.DUMMYFUNCTION("""COMPUTED_VALUE"""),"Relic Hunters Legend")</f>
        <v>Relic Hunters Legend</v>
      </c>
      <c r="B113" s="55" t="str">
        <f>IFERROR(__xludf.DUMMYFUNCTION("""COMPUTED_VALUE"""),"Xbox / PC")</f>
        <v>Xbox / PC</v>
      </c>
      <c r="C113" s="55" t="str">
        <f>IFERROR(__xludf.DUMMYFUNCTION("""COMPUTED_VALUE"""),"Yes")</f>
        <v>Yes</v>
      </c>
      <c r="D113" s="56" t="str">
        <f>IFERROR(__xludf.DUMMYFUNCTION("""COMPUTED_VALUE"""),"Active")</f>
        <v>Active</v>
      </c>
      <c r="E113" s="57">
        <f>IFERROR(__xludf.DUMMYFUNCTION("""COMPUTED_VALUE"""),45973.0)</f>
        <v>45973</v>
      </c>
      <c r="F113" s="58"/>
      <c r="G113" s="60">
        <f>IFERROR(__xludf.DUMMYFUNCTION("""COMPUTED_VALUE"""),10.8)</f>
        <v>10.8</v>
      </c>
      <c r="H113" s="63">
        <f>IFERROR(__xludf.DUMMYFUNCTION("""COMPUTED_VALUE"""),45883.0)</f>
        <v>45883</v>
      </c>
      <c r="I113" s="60">
        <f>IFERROR(__xludf.DUMMYFUNCTION("""COMPUTED_VALUE"""),0.24444444444444444)</f>
        <v>0.2444444444</v>
      </c>
      <c r="J113" s="64"/>
      <c r="K113" s="64">
        <f>IFERROR(__xludf.DUMMYFUNCTION("""COMPUTED_VALUE"""),29.0)</f>
        <v>29</v>
      </c>
      <c r="L113" s="55" t="str">
        <f>IFERROR(__xludf.DUMMYFUNCTION("""COMPUTED_VALUE"""),"Shoot-’Em-Up")</f>
        <v>Shoot-’Em-Up</v>
      </c>
      <c r="M113" s="55"/>
      <c r="N113" s="55"/>
      <c r="O113" s="55"/>
      <c r="P113" s="55"/>
      <c r="Q113" s="55"/>
      <c r="R113" s="56" t="str">
        <f>IFERROR(__xludf.DUMMYFUNCTION("""COMPUTED_VALUE"""),"Active")</f>
        <v>Active</v>
      </c>
      <c r="S113" s="57">
        <f>IFERROR(__xludf.DUMMYFUNCTION("""COMPUTED_VALUE"""),45973.0)</f>
        <v>45973</v>
      </c>
      <c r="T113" s="60">
        <f>IFERROR(__xludf.DUMMYFUNCTION("""COMPUTED_VALUE"""),0.0)</f>
        <v>0</v>
      </c>
    </row>
    <row r="114">
      <c r="A114" s="55" t="str">
        <f>IFERROR(__xludf.DUMMYFUNCTION("""COMPUTED_VALUE"""),"Great God Grove")</f>
        <v>Great God Grove</v>
      </c>
      <c r="B114" s="55" t="str">
        <f>IFERROR(__xludf.DUMMYFUNCTION("""COMPUTED_VALUE"""),"Xbox / PC")</f>
        <v>Xbox / PC</v>
      </c>
      <c r="C114" s="55" t="str">
        <f>IFERROR(__xludf.DUMMYFUNCTION("""COMPUTED_VALUE"""),"Yes")</f>
        <v>Yes</v>
      </c>
      <c r="D114" s="56" t="str">
        <f>IFERROR(__xludf.DUMMYFUNCTION("""COMPUTED_VALUE"""),"Active")</f>
        <v>Active</v>
      </c>
      <c r="E114" s="57">
        <f>IFERROR(__xludf.DUMMYFUNCTION("""COMPUTED_VALUE"""),45972.0)</f>
        <v>45972</v>
      </c>
      <c r="F114" s="58"/>
      <c r="G114" s="60">
        <f>IFERROR(__xludf.DUMMYFUNCTION("""COMPUTED_VALUE"""),10.833333333333334)</f>
        <v>10.83333333</v>
      </c>
      <c r="H114" s="63">
        <f>IFERROR(__xludf.DUMMYFUNCTION("""COMPUTED_VALUE"""),45611.0)</f>
        <v>45611</v>
      </c>
      <c r="I114" s="60">
        <f>IFERROR(__xludf.DUMMYFUNCTION("""COMPUTED_VALUE"""),0.9888888888888889)</f>
        <v>0.9888888889</v>
      </c>
      <c r="J114" s="64">
        <f>IFERROR(__xludf.DUMMYFUNCTION("""COMPUTED_VALUE"""),81.0)</f>
        <v>81</v>
      </c>
      <c r="K114" s="64">
        <f>IFERROR(__xludf.DUMMYFUNCTION("""COMPUTED_VALUE"""),6.0)</f>
        <v>6</v>
      </c>
      <c r="L114" s="55" t="str">
        <f>IFERROR(__xludf.DUMMYFUNCTION("""COMPUTED_VALUE"""),"Action-Adventure")</f>
        <v>Action-Adventure</v>
      </c>
      <c r="M114" s="55" t="str">
        <f>IFERROR(__xludf.DUMMYFUNCTION("""COMPUTED_VALUE"""),"Exclusive")</f>
        <v>Exclusive</v>
      </c>
      <c r="N114" s="55"/>
      <c r="O114" s="55"/>
      <c r="P114" s="55"/>
      <c r="Q114" s="55"/>
      <c r="R114" s="56" t="str">
        <f>IFERROR(__xludf.DUMMYFUNCTION("""COMPUTED_VALUE"""),"Active")</f>
        <v>Active</v>
      </c>
      <c r="S114" s="57">
        <f>IFERROR(__xludf.DUMMYFUNCTION("""COMPUTED_VALUE"""),45972.0)</f>
        <v>45972</v>
      </c>
      <c r="T114" s="60">
        <f>IFERROR(__xludf.DUMMYFUNCTION("""COMPUTED_VALUE"""),0.0)</f>
        <v>0</v>
      </c>
    </row>
    <row r="115">
      <c r="A115" s="55" t="str">
        <f>IFERROR(__xludf.DUMMYFUNCTION("""COMPUTED_VALUE"""),"Lara Croft and the Temple of Osiris")</f>
        <v>Lara Croft and the Temple of Osiris</v>
      </c>
      <c r="B115" s="55" t="str">
        <f>IFERROR(__xludf.DUMMYFUNCTION("""COMPUTED_VALUE"""),"Xbox / PC")</f>
        <v>Xbox / PC</v>
      </c>
      <c r="C115" s="55" t="str">
        <f>IFERROR(__xludf.DUMMYFUNCTION("""COMPUTED_VALUE"""),"Yes")</f>
        <v>Yes</v>
      </c>
      <c r="D115" s="56" t="str">
        <f>IFERROR(__xludf.DUMMYFUNCTION("""COMPUTED_VALUE"""),"Active")</f>
        <v>Active</v>
      </c>
      <c r="E115" s="57">
        <f>IFERROR(__xludf.DUMMYFUNCTION("""COMPUTED_VALUE"""),45972.0)</f>
        <v>45972</v>
      </c>
      <c r="F115" s="58"/>
      <c r="G115" s="60">
        <f>IFERROR(__xludf.DUMMYFUNCTION("""COMPUTED_VALUE"""),10.833333333333334)</f>
        <v>10.83333333</v>
      </c>
      <c r="H115" s="63">
        <f>IFERROR(__xludf.DUMMYFUNCTION("""COMPUTED_VALUE"""),41982.0)</f>
        <v>41982</v>
      </c>
      <c r="I115" s="60">
        <f>IFERROR(__xludf.DUMMYFUNCTION("""COMPUTED_VALUE"""),10.922222222222222)</f>
        <v>10.92222222</v>
      </c>
      <c r="J115" s="64">
        <f>IFERROR(__xludf.DUMMYFUNCTION("""COMPUTED_VALUE"""),74.0)</f>
        <v>74</v>
      </c>
      <c r="K115" s="64">
        <f>IFERROR(__xludf.DUMMYFUNCTION("""COMPUTED_VALUE"""),5.0)</f>
        <v>5</v>
      </c>
      <c r="L115" s="55" t="str">
        <f>IFERROR(__xludf.DUMMYFUNCTION("""COMPUTED_VALUE"""),"Action-Adventure")</f>
        <v>Action-Adventure</v>
      </c>
      <c r="M115" s="55"/>
      <c r="N115" s="55"/>
      <c r="O115" s="55"/>
      <c r="P115" s="55"/>
      <c r="Q115" s="55"/>
      <c r="R115" s="56" t="str">
        <f>IFERROR(__xludf.DUMMYFUNCTION("""COMPUTED_VALUE"""),"Active")</f>
        <v>Active</v>
      </c>
      <c r="S115" s="57">
        <f>IFERROR(__xludf.DUMMYFUNCTION("""COMPUTED_VALUE"""),45972.0)</f>
        <v>45972</v>
      </c>
      <c r="T115" s="60">
        <f>IFERROR(__xludf.DUMMYFUNCTION("""COMPUTED_VALUE"""),0.0)</f>
        <v>0</v>
      </c>
    </row>
    <row r="116">
      <c r="A116" s="55" t="str">
        <f>IFERROR(__xludf.DUMMYFUNCTION("""COMPUTED_VALUE"""),"Voidtrain")</f>
        <v>Voidtrain</v>
      </c>
      <c r="B116" s="55" t="str">
        <f>IFERROR(__xludf.DUMMYFUNCTION("""COMPUTED_VALUE"""),"Xbox / PC")</f>
        <v>Xbox / PC</v>
      </c>
      <c r="C116" s="55" t="str">
        <f>IFERROR(__xludf.DUMMYFUNCTION("""COMPUTED_VALUE"""),"Yes")</f>
        <v>Yes</v>
      </c>
      <c r="D116" s="56" t="str">
        <f>IFERROR(__xludf.DUMMYFUNCTION("""COMPUTED_VALUE"""),"Active")</f>
        <v>Active</v>
      </c>
      <c r="E116" s="57">
        <f>IFERROR(__xludf.DUMMYFUNCTION("""COMPUTED_VALUE"""),45968.0)</f>
        <v>45968</v>
      </c>
      <c r="F116" s="58"/>
      <c r="G116" s="60">
        <f>IFERROR(__xludf.DUMMYFUNCTION("""COMPUTED_VALUE"""),10.966666666666667)</f>
        <v>10.96666667</v>
      </c>
      <c r="H116" s="63">
        <f>IFERROR(__xludf.DUMMYFUNCTION("""COMPUTED_VALUE"""),45968.0)</f>
        <v>45968</v>
      </c>
      <c r="I116" s="60">
        <f>IFERROR(__xludf.DUMMYFUNCTION("""COMPUTED_VALUE"""),0.0)</f>
        <v>0</v>
      </c>
      <c r="J116" s="64">
        <f>IFERROR(__xludf.DUMMYFUNCTION("""COMPUTED_VALUE"""),82.0)</f>
        <v>82</v>
      </c>
      <c r="K116" s="64">
        <f>IFERROR(__xludf.DUMMYFUNCTION("""COMPUTED_VALUE"""),19.0)</f>
        <v>19</v>
      </c>
      <c r="L116" s="55" t="str">
        <f>IFERROR(__xludf.DUMMYFUNCTION("""COMPUTED_VALUE"""),"Shooter")</f>
        <v>Shooter</v>
      </c>
      <c r="M116" s="55" t="str">
        <f>IFERROR(__xludf.DUMMYFUNCTION("""COMPUTED_VALUE"""),"Exclusive")</f>
        <v>Exclusive</v>
      </c>
      <c r="N116" s="55"/>
      <c r="O116" s="55"/>
      <c r="P116" s="55"/>
      <c r="Q116" s="55"/>
      <c r="R116" s="56" t="str">
        <f>IFERROR(__xludf.DUMMYFUNCTION("""COMPUTED_VALUE"""),"Active")</f>
        <v>Active</v>
      </c>
      <c r="S116" s="57">
        <f>IFERROR(__xludf.DUMMYFUNCTION("""COMPUTED_VALUE"""),45968.0)</f>
        <v>45968</v>
      </c>
      <c r="T116" s="60">
        <f>IFERROR(__xludf.DUMMYFUNCTION("""COMPUTED_VALUE"""),0.0)</f>
        <v>0</v>
      </c>
    </row>
    <row r="117">
      <c r="A117" s="55" t="str">
        <f>IFERROR(__xludf.DUMMYFUNCTION("""COMPUTED_VALUE"""),"Halls of Torment")</f>
        <v>Halls of Torment</v>
      </c>
      <c r="B117" s="55" t="str">
        <f>IFERROR(__xludf.DUMMYFUNCTION("""COMPUTED_VALUE"""),"Xbox / PC")</f>
        <v>Xbox / PC</v>
      </c>
      <c r="C117" s="55" t="str">
        <f>IFERROR(__xludf.DUMMYFUNCTION("""COMPUTED_VALUE"""),"Yes")</f>
        <v>Yes</v>
      </c>
      <c r="D117" s="56" t="str">
        <f>IFERROR(__xludf.DUMMYFUNCTION("""COMPUTED_VALUE"""),"Active")</f>
        <v>Active</v>
      </c>
      <c r="E117" s="57">
        <f>IFERROR(__xludf.DUMMYFUNCTION("""COMPUTED_VALUE"""),45958.0)</f>
        <v>45958</v>
      </c>
      <c r="F117" s="58"/>
      <c r="G117" s="60">
        <f>IFERROR(__xludf.DUMMYFUNCTION("""COMPUTED_VALUE"""),11.266666666666666)</f>
        <v>11.26666667</v>
      </c>
      <c r="H117" s="63">
        <f>IFERROR(__xludf.DUMMYFUNCTION("""COMPUTED_VALUE"""),45559.0)</f>
        <v>45559</v>
      </c>
      <c r="I117" s="60">
        <f>IFERROR(__xludf.DUMMYFUNCTION("""COMPUTED_VALUE"""),1.0944444444444446)</f>
        <v>1.094444444</v>
      </c>
      <c r="J117" s="64">
        <f>IFERROR(__xludf.DUMMYFUNCTION("""COMPUTED_VALUE"""),88.0)</f>
        <v>88</v>
      </c>
      <c r="K117" s="64">
        <f>IFERROR(__xludf.DUMMYFUNCTION("""COMPUTED_VALUE"""),12.0)</f>
        <v>12</v>
      </c>
      <c r="L117" s="55" t="str">
        <f>IFERROR(__xludf.DUMMYFUNCTION("""COMPUTED_VALUE"""),"Shoot-'Em-Up")</f>
        <v>Shoot-'Em-Up</v>
      </c>
      <c r="M117" s="55" t="str">
        <f>IFERROR(__xludf.DUMMYFUNCTION("""COMPUTED_VALUE"""),"Exclusive")</f>
        <v>Exclusive</v>
      </c>
      <c r="N117" s="55"/>
      <c r="O117" s="55"/>
      <c r="P117" s="55"/>
      <c r="Q117" s="55"/>
      <c r="R117" s="56" t="str">
        <f>IFERROR(__xludf.DUMMYFUNCTION("""COMPUTED_VALUE"""),"Active")</f>
        <v>Active</v>
      </c>
      <c r="S117" s="57">
        <f>IFERROR(__xludf.DUMMYFUNCTION("""COMPUTED_VALUE"""),45958.0)</f>
        <v>45958</v>
      </c>
      <c r="T117" s="60">
        <f>IFERROR(__xludf.DUMMYFUNCTION("""COMPUTED_VALUE"""),0.0)</f>
        <v>0</v>
      </c>
    </row>
    <row r="118">
      <c r="A118" s="55" t="str">
        <f>IFERROR(__xludf.DUMMYFUNCTION("""COMPUTED_VALUE"""),"Pacific Drive")</f>
        <v>Pacific Drive</v>
      </c>
      <c r="B118" s="55" t="str">
        <f>IFERROR(__xludf.DUMMYFUNCTION("""COMPUTED_VALUE"""),"Xbox / PC")</f>
        <v>Xbox / PC</v>
      </c>
      <c r="C118" s="55" t="str">
        <f>IFERROR(__xludf.DUMMYFUNCTION("""COMPUTED_VALUE"""),"Yes")</f>
        <v>Yes</v>
      </c>
      <c r="D118" s="56" t="str">
        <f>IFERROR(__xludf.DUMMYFUNCTION("""COMPUTED_VALUE"""),"Leaving Soon")</f>
        <v>Leaving Soon</v>
      </c>
      <c r="E118" s="57">
        <f>IFERROR(__xludf.DUMMYFUNCTION("""COMPUTED_VALUE"""),45953.0)</f>
        <v>45953</v>
      </c>
      <c r="F118" s="58">
        <f>IFERROR(__xludf.DUMMYFUNCTION("""COMPUTED_VALUE"""),46310.0)</f>
        <v>46310</v>
      </c>
      <c r="G118" s="60">
        <f>IFERROR(__xludf.DUMMYFUNCTION("""COMPUTED_VALUE"""),11.733333333333333)</f>
        <v>11.73333333</v>
      </c>
      <c r="H118" s="63">
        <f>IFERROR(__xludf.DUMMYFUNCTION("""COMPUTED_VALUE"""),45343.0)</f>
        <v>45343</v>
      </c>
      <c r="I118" s="60">
        <f>IFERROR(__xludf.DUMMYFUNCTION("""COMPUTED_VALUE"""),1.6722222222222223)</f>
        <v>1.672222222</v>
      </c>
      <c r="J118" s="64">
        <f>IFERROR(__xludf.DUMMYFUNCTION("""COMPUTED_VALUE"""),79.0)</f>
        <v>79</v>
      </c>
      <c r="K118" s="64">
        <f>IFERROR(__xludf.DUMMYFUNCTION("""COMPUTED_VALUE"""),20.0)</f>
        <v>20</v>
      </c>
      <c r="L118" s="55" t="str">
        <f>IFERROR(__xludf.DUMMYFUNCTION("""COMPUTED_VALUE"""),"Racing")</f>
        <v>Racing</v>
      </c>
      <c r="M118" s="55" t="str">
        <f>IFERROR(__xludf.DUMMYFUNCTION("""COMPUTED_VALUE"""),"Exclusive")</f>
        <v>Exclusive</v>
      </c>
      <c r="N118" s="55"/>
      <c r="O118" s="55"/>
      <c r="P118" s="55"/>
      <c r="Q118" s="55"/>
      <c r="R118" s="56" t="str">
        <f>IFERROR(__xludf.DUMMYFUNCTION("""COMPUTED_VALUE"""),"Leaving Soon")</f>
        <v>Leaving Soon</v>
      </c>
      <c r="S118" s="57">
        <f>IFERROR(__xludf.DUMMYFUNCTION("""COMPUTED_VALUE"""),45953.0)</f>
        <v>45953</v>
      </c>
      <c r="T118" s="60">
        <f>IFERROR(__xludf.DUMMYFUNCTION("""COMPUTED_VALUE"""),0.0)</f>
        <v>0</v>
      </c>
    </row>
    <row r="119">
      <c r="A119" s="55" t="str">
        <f>IFERROR(__xludf.DUMMYFUNCTION("""COMPUTED_VALUE"""),"Microsoft Flight Simulator 2024")</f>
        <v>Microsoft Flight Simulator 2024</v>
      </c>
      <c r="B119" s="55" t="str">
        <f>IFERROR(__xludf.DUMMYFUNCTION("""COMPUTED_VALUE"""),"Xbox / PC")</f>
        <v>Xbox / PC</v>
      </c>
      <c r="C119" s="55" t="str">
        <f>IFERROR(__xludf.DUMMYFUNCTION("""COMPUTED_VALUE"""),"Yes")</f>
        <v>Yes</v>
      </c>
      <c r="D119" s="56" t="str">
        <f>IFERROR(__xludf.DUMMYFUNCTION("""COMPUTED_VALUE"""),"Active")</f>
        <v>Active</v>
      </c>
      <c r="E119" s="57">
        <f>IFERROR(__xludf.DUMMYFUNCTION("""COMPUTED_VALUE"""),45615.0)</f>
        <v>45615</v>
      </c>
      <c r="F119" s="58"/>
      <c r="G119" s="60">
        <f>IFERROR(__xludf.DUMMYFUNCTION("""COMPUTED_VALUE"""),22.566666666666666)</f>
        <v>22.56666667</v>
      </c>
      <c r="H119" s="63">
        <f>IFERROR(__xludf.DUMMYFUNCTION("""COMPUTED_VALUE"""),45615.0)</f>
        <v>45615</v>
      </c>
      <c r="I119" s="60">
        <f>IFERROR(__xludf.DUMMYFUNCTION("""COMPUTED_VALUE"""),0.0)</f>
        <v>0</v>
      </c>
      <c r="J119" s="64">
        <f>IFERROR(__xludf.DUMMYFUNCTION("""COMPUTED_VALUE"""),78.0)</f>
        <v>78</v>
      </c>
      <c r="K119" s="64">
        <f>IFERROR(__xludf.DUMMYFUNCTION("""COMPUTED_VALUE"""),50.0)</f>
        <v>50</v>
      </c>
      <c r="L119" s="55" t="str">
        <f>IFERROR(__xludf.DUMMYFUNCTION("""COMPUTED_VALUE"""),"Simulation")</f>
        <v>Simulation</v>
      </c>
      <c r="M119" s="55" t="str">
        <f>IFERROR(__xludf.DUMMYFUNCTION("""COMPUTED_VALUE"""),"Exclusive")</f>
        <v>Exclusive</v>
      </c>
      <c r="N119" s="55"/>
      <c r="O119" s="55"/>
      <c r="P119" s="55"/>
      <c r="Q119" s="55"/>
      <c r="R119" s="56" t="str">
        <f>IFERROR(__xludf.DUMMYFUNCTION("""COMPUTED_VALUE"""),"Active")</f>
        <v>Active</v>
      </c>
      <c r="S119" s="57">
        <f>IFERROR(__xludf.DUMMYFUNCTION("""COMPUTED_VALUE"""),45952.0)</f>
        <v>45952</v>
      </c>
      <c r="T119" s="60">
        <f>IFERROR(__xludf.DUMMYFUNCTION("""COMPUTED_VALUE"""),11.100000000000001)</f>
        <v>11.1</v>
      </c>
    </row>
    <row r="120">
      <c r="A120" s="55" t="str">
        <f>IFERROR(__xludf.DUMMYFUNCTION("""COMPUTED_VALUE"""),"Evil West")</f>
        <v>Evil West</v>
      </c>
      <c r="B120" s="55" t="str">
        <f>IFERROR(__xludf.DUMMYFUNCTION("""COMPUTED_VALUE"""),"Xbox / PC")</f>
        <v>Xbox / PC</v>
      </c>
      <c r="C120" s="55" t="str">
        <f>IFERROR(__xludf.DUMMYFUNCTION("""COMPUTED_VALUE"""),"Yes")</f>
        <v>Yes</v>
      </c>
      <c r="D120" s="56" t="str">
        <f>IFERROR(__xludf.DUMMYFUNCTION("""COMPUTED_VALUE"""),"Leaving Soon")</f>
        <v>Leaving Soon</v>
      </c>
      <c r="E120" s="57">
        <f>IFERROR(__xludf.DUMMYFUNCTION("""COMPUTED_VALUE"""),45951.0)</f>
        <v>45951</v>
      </c>
      <c r="F120" s="58">
        <f>IFERROR(__xludf.DUMMYFUNCTION("""COMPUTED_VALUE"""),46310.0)</f>
        <v>46310</v>
      </c>
      <c r="G120" s="60">
        <f>IFERROR(__xludf.DUMMYFUNCTION("""COMPUTED_VALUE"""),11.799999999999999)</f>
        <v>11.8</v>
      </c>
      <c r="H120" s="63">
        <f>IFERROR(__xludf.DUMMYFUNCTION("""COMPUTED_VALUE"""),44887.0)</f>
        <v>44887</v>
      </c>
      <c r="I120" s="60">
        <f>IFERROR(__xludf.DUMMYFUNCTION("""COMPUTED_VALUE"""),2.9138888888888888)</f>
        <v>2.913888889</v>
      </c>
      <c r="J120" s="64">
        <f>IFERROR(__xludf.DUMMYFUNCTION("""COMPUTED_VALUE"""),73.0)</f>
        <v>73</v>
      </c>
      <c r="K120" s="64">
        <f>IFERROR(__xludf.DUMMYFUNCTION("""COMPUTED_VALUE"""),11.0)</f>
        <v>11</v>
      </c>
      <c r="L120" s="55" t="str">
        <f>IFERROR(__xludf.DUMMYFUNCTION("""COMPUTED_VALUE"""),"Shooter")</f>
        <v>Shooter</v>
      </c>
      <c r="M120" s="55"/>
      <c r="N120" s="55" t="str">
        <f>IFERROR(__xludf.DUMMYFUNCTION("""COMPUTED_VALUE"""),"Returning title: Joined 3/21/24, left 3/15/25")</f>
        <v>Returning title: Joined 3/21/24, left 3/15/25</v>
      </c>
      <c r="O120" s="55" t="str">
        <f>IFERROR(__xludf.DUMMYFUNCTION("""COMPUTED_VALUE"""),"M")</f>
        <v>M</v>
      </c>
      <c r="P120" s="55" t="str">
        <f>IFERROR(__xludf.DUMMYFUNCTION("""COMPUTED_VALUE"""),"Blood and Gore, Intense Violence, Strong Language")</f>
        <v>Blood and Gore, Intense Violence, Strong Language</v>
      </c>
      <c r="Q120" s="55"/>
      <c r="R120" s="56" t="str">
        <f>IFERROR(__xludf.DUMMYFUNCTION("""COMPUTED_VALUE"""),"Leaving Soon")</f>
        <v>Leaving Soon</v>
      </c>
      <c r="S120" s="57">
        <f>IFERROR(__xludf.DUMMYFUNCTION("""COMPUTED_VALUE"""),45951.0)</f>
        <v>45951</v>
      </c>
      <c r="T120" s="60">
        <f>IFERROR(__xludf.DUMMYFUNCTION("""COMPUTED_VALUE"""),0.0)</f>
        <v>0</v>
      </c>
    </row>
    <row r="121">
      <c r="A121" s="55" t="str">
        <f>IFERROR(__xludf.DUMMYFUNCTION("""COMPUTED_VALUE"""),"BattleTech: The Crescent Hawk's Inception")</f>
        <v>BattleTech: The Crescent Hawk's Inception</v>
      </c>
      <c r="B121" s="55" t="str">
        <f>IFERROR(__xludf.DUMMYFUNCTION("""COMPUTED_VALUE"""),"Xbox / PC")</f>
        <v>Xbox / PC</v>
      </c>
      <c r="C121" s="55" t="str">
        <f>IFERROR(__xludf.DUMMYFUNCTION("""COMPUTED_VALUE"""),"Yes")</f>
        <v>Yes</v>
      </c>
      <c r="D121" s="56" t="str">
        <f>IFERROR(__xludf.DUMMYFUNCTION("""COMPUTED_VALUE"""),"Active")</f>
        <v>Active</v>
      </c>
      <c r="E121" s="57">
        <f>IFERROR(__xludf.DUMMYFUNCTION("""COMPUTED_VALUE"""),45945.0)</f>
        <v>45945</v>
      </c>
      <c r="F121" s="58"/>
      <c r="G121" s="60">
        <f>IFERROR(__xludf.DUMMYFUNCTION("""COMPUTED_VALUE"""),11.7)</f>
        <v>11.7</v>
      </c>
      <c r="H121" s="63">
        <f>IFERROR(__xludf.DUMMYFUNCTION("""COMPUTED_VALUE"""),32813.0)</f>
        <v>32813</v>
      </c>
      <c r="I121" s="60">
        <f>IFERROR(__xludf.DUMMYFUNCTION("""COMPUTED_VALUE"""),35.955555555555556)</f>
        <v>35.95555556</v>
      </c>
      <c r="J121" s="64"/>
      <c r="K121" s="64">
        <f>IFERROR(__xludf.DUMMYFUNCTION("""COMPUTED_VALUE"""),8.0)</f>
        <v>8</v>
      </c>
      <c r="L121" s="55" t="str">
        <f>IFERROR(__xludf.DUMMYFUNCTION("""COMPUTED_VALUE"""),"RPG")</f>
        <v>RPG</v>
      </c>
      <c r="M121" s="55"/>
      <c r="N121" s="55" t="str">
        <f>IFERROR(__xludf.DUMMYFUNCTION("""COMPUTED_VALUE"""),"Retro Classics: Amagi")</f>
        <v>Retro Classics: Amagi</v>
      </c>
      <c r="O121" s="55"/>
      <c r="P121" s="55"/>
      <c r="Q121" s="55"/>
      <c r="R121" s="56" t="str">
        <f>IFERROR(__xludf.DUMMYFUNCTION("""COMPUTED_VALUE"""),"Active")</f>
        <v>Active</v>
      </c>
      <c r="S121" s="57">
        <f>IFERROR(__xludf.DUMMYFUNCTION("""COMPUTED_VALUE"""),45945.0)</f>
        <v>45945</v>
      </c>
      <c r="T121" s="60">
        <f>IFERROR(__xludf.DUMMYFUNCTION("""COMPUTED_VALUE"""),0.0)</f>
        <v>0</v>
      </c>
    </row>
    <row r="122">
      <c r="A122" s="55" t="str">
        <f>IFERROR(__xludf.DUMMYFUNCTION("""COMPUTED_VALUE"""),"BattleTech: The Crescent Hawk's Revenge")</f>
        <v>BattleTech: The Crescent Hawk's Revenge</v>
      </c>
      <c r="B122" s="55" t="str">
        <f>IFERROR(__xludf.DUMMYFUNCTION("""COMPUTED_VALUE"""),"Xbox / PC")</f>
        <v>Xbox / PC</v>
      </c>
      <c r="C122" s="55" t="str">
        <f>IFERROR(__xludf.DUMMYFUNCTION("""COMPUTED_VALUE"""),"Yes")</f>
        <v>Yes</v>
      </c>
      <c r="D122" s="56" t="str">
        <f>IFERROR(__xludf.DUMMYFUNCTION("""COMPUTED_VALUE"""),"Active")</f>
        <v>Active</v>
      </c>
      <c r="E122" s="57">
        <f>IFERROR(__xludf.DUMMYFUNCTION("""COMPUTED_VALUE"""),45945.0)</f>
        <v>45945</v>
      </c>
      <c r="F122" s="58"/>
      <c r="G122" s="60">
        <f>IFERROR(__xludf.DUMMYFUNCTION("""COMPUTED_VALUE"""),11.7)</f>
        <v>11.7</v>
      </c>
      <c r="H122" s="63">
        <f>IFERROR(__xludf.DUMMYFUNCTION("""COMPUTED_VALUE"""),32874.0)</f>
        <v>32874</v>
      </c>
      <c r="I122" s="60">
        <f>IFERROR(__xludf.DUMMYFUNCTION("""COMPUTED_VALUE"""),35.78888888888889)</f>
        <v>35.78888889</v>
      </c>
      <c r="J122" s="64">
        <f>IFERROR(__xludf.DUMMYFUNCTION("""COMPUTED_VALUE"""),69.0)</f>
        <v>69</v>
      </c>
      <c r="K122" s="64"/>
      <c r="L122" s="55" t="str">
        <f>IFERROR(__xludf.DUMMYFUNCTION("""COMPUTED_VALUE"""),"Strategy")</f>
        <v>Strategy</v>
      </c>
      <c r="M122" s="55"/>
      <c r="N122" s="55" t="str">
        <f>IFERROR(__xludf.DUMMYFUNCTION("""COMPUTED_VALUE"""),"Retro Classics: DOS")</f>
        <v>Retro Classics: DOS</v>
      </c>
      <c r="O122" s="55"/>
      <c r="P122" s="55"/>
      <c r="Q122" s="55"/>
      <c r="R122" s="56" t="str">
        <f>IFERROR(__xludf.DUMMYFUNCTION("""COMPUTED_VALUE"""),"Active")</f>
        <v>Active</v>
      </c>
      <c r="S122" s="57">
        <f>IFERROR(__xludf.DUMMYFUNCTION("""COMPUTED_VALUE"""),45945.0)</f>
        <v>45945</v>
      </c>
      <c r="T122" s="60">
        <f>IFERROR(__xludf.DUMMYFUNCTION("""COMPUTED_VALUE"""),0.0)</f>
        <v>0</v>
      </c>
    </row>
    <row r="123">
      <c r="A123" s="55" t="str">
        <f>IFERROR(__xludf.DUMMYFUNCTION("""COMPUTED_VALUE"""),"Ice Hockey")</f>
        <v>Ice Hockey</v>
      </c>
      <c r="B123" s="55" t="str">
        <f>IFERROR(__xludf.DUMMYFUNCTION("""COMPUTED_VALUE"""),"Xbox / PC")</f>
        <v>Xbox / PC</v>
      </c>
      <c r="C123" s="55" t="str">
        <f>IFERROR(__xludf.DUMMYFUNCTION("""COMPUTED_VALUE"""),"Yes")</f>
        <v>Yes</v>
      </c>
      <c r="D123" s="56" t="str">
        <f>IFERROR(__xludf.DUMMYFUNCTION("""COMPUTED_VALUE"""),"Active")</f>
        <v>Active</v>
      </c>
      <c r="E123" s="57">
        <f>IFERROR(__xludf.DUMMYFUNCTION("""COMPUTED_VALUE"""),45945.0)</f>
        <v>45945</v>
      </c>
      <c r="F123" s="58"/>
      <c r="G123" s="60">
        <f>IFERROR(__xludf.DUMMYFUNCTION("""COMPUTED_VALUE"""),11.7)</f>
        <v>11.7</v>
      </c>
      <c r="H123" s="63">
        <f>IFERROR(__xludf.DUMMYFUNCTION("""COMPUTED_VALUE"""),29921.0)</f>
        <v>29921</v>
      </c>
      <c r="I123" s="60">
        <f>IFERROR(__xludf.DUMMYFUNCTION("""COMPUTED_VALUE"""),43.87222222222222)</f>
        <v>43.87222222</v>
      </c>
      <c r="J123" s="64">
        <f>IFERROR(__xludf.DUMMYFUNCTION("""COMPUTED_VALUE"""),85.0)</f>
        <v>85</v>
      </c>
      <c r="K123" s="64">
        <f>IFERROR(__xludf.DUMMYFUNCTION("""COMPUTED_VALUE"""),1.0)</f>
        <v>1</v>
      </c>
      <c r="L123" s="55" t="str">
        <f>IFERROR(__xludf.DUMMYFUNCTION("""COMPUTED_VALUE"""),"Sports")</f>
        <v>Sports</v>
      </c>
      <c r="M123" s="55"/>
      <c r="N123" s="55" t="str">
        <f>IFERROR(__xludf.DUMMYFUNCTION("""COMPUTED_VALUE"""),"Retro Classics: Atari 2600")</f>
        <v>Retro Classics: Atari 2600</v>
      </c>
      <c r="O123" s="55"/>
      <c r="P123" s="55"/>
      <c r="Q123" s="55"/>
      <c r="R123" s="56" t="str">
        <f>IFERROR(__xludf.DUMMYFUNCTION("""COMPUTED_VALUE"""),"Active")</f>
        <v>Active</v>
      </c>
      <c r="S123" s="57">
        <f>IFERROR(__xludf.DUMMYFUNCTION("""COMPUTED_VALUE"""),45945.0)</f>
        <v>45945</v>
      </c>
      <c r="T123" s="60">
        <f>IFERROR(__xludf.DUMMYFUNCTION("""COMPUTED_VALUE"""),0.0)</f>
        <v>0</v>
      </c>
    </row>
    <row r="124">
      <c r="A124" s="55" t="str">
        <f>IFERROR(__xludf.DUMMYFUNCTION("""COMPUTED_VALUE"""),"Moonsweeper")</f>
        <v>Moonsweeper</v>
      </c>
      <c r="B124" s="55" t="str">
        <f>IFERROR(__xludf.DUMMYFUNCTION("""COMPUTED_VALUE"""),"Xbox / PC")</f>
        <v>Xbox / PC</v>
      </c>
      <c r="C124" s="55" t="str">
        <f>IFERROR(__xludf.DUMMYFUNCTION("""COMPUTED_VALUE"""),"Yes")</f>
        <v>Yes</v>
      </c>
      <c r="D124" s="56" t="str">
        <f>IFERROR(__xludf.DUMMYFUNCTION("""COMPUTED_VALUE"""),"Active")</f>
        <v>Active</v>
      </c>
      <c r="E124" s="57">
        <f>IFERROR(__xludf.DUMMYFUNCTION("""COMPUTED_VALUE"""),45945.0)</f>
        <v>45945</v>
      </c>
      <c r="F124" s="58"/>
      <c r="G124" s="60">
        <f>IFERROR(__xludf.DUMMYFUNCTION("""COMPUTED_VALUE"""),11.7)</f>
        <v>11.7</v>
      </c>
      <c r="H124" s="63">
        <f>IFERROR(__xludf.DUMMYFUNCTION("""COMPUTED_VALUE"""),30529.0)</f>
        <v>30529</v>
      </c>
      <c r="I124" s="60">
        <f>IFERROR(__xludf.DUMMYFUNCTION("""COMPUTED_VALUE"""),42.205555555555556)</f>
        <v>42.20555556</v>
      </c>
      <c r="J124" s="64">
        <f>IFERROR(__xludf.DUMMYFUNCTION("""COMPUTED_VALUE"""),81.0)</f>
        <v>81</v>
      </c>
      <c r="K124" s="64"/>
      <c r="L124" s="55" t="str">
        <f>IFERROR(__xludf.DUMMYFUNCTION("""COMPUTED_VALUE"""),"Action-Adventure")</f>
        <v>Action-Adventure</v>
      </c>
      <c r="M124" s="55"/>
      <c r="N124" s="55" t="str">
        <f>IFERROR(__xludf.DUMMYFUNCTION("""COMPUTED_VALUE"""),"Retro Classics: Atari 2600")</f>
        <v>Retro Classics: Atari 2600</v>
      </c>
      <c r="O124" s="55"/>
      <c r="P124" s="55"/>
      <c r="Q124" s="55"/>
      <c r="R124" s="56" t="str">
        <f>IFERROR(__xludf.DUMMYFUNCTION("""COMPUTED_VALUE"""),"Active")</f>
        <v>Active</v>
      </c>
      <c r="S124" s="57">
        <f>IFERROR(__xludf.DUMMYFUNCTION("""COMPUTED_VALUE"""),45945.0)</f>
        <v>45945</v>
      </c>
      <c r="T124" s="60">
        <f>IFERROR(__xludf.DUMMYFUNCTION("""COMPUTED_VALUE"""),0.0)</f>
        <v>0</v>
      </c>
    </row>
    <row r="125">
      <c r="A125" s="55" t="str">
        <f>IFERROR(__xludf.DUMMYFUNCTION("""COMPUTED_VALUE"""),"Eternal Strands")</f>
        <v>Eternal Strands</v>
      </c>
      <c r="B125" s="55" t="str">
        <f>IFERROR(__xludf.DUMMYFUNCTION("""COMPUTED_VALUE"""),"Xbox / PC")</f>
        <v>Xbox / PC</v>
      </c>
      <c r="C125" s="55" t="str">
        <f>IFERROR(__xludf.DUMMYFUNCTION("""COMPUTED_VALUE"""),"Yes")</f>
        <v>Yes</v>
      </c>
      <c r="D125" s="56" t="str">
        <f>IFERROR(__xludf.DUMMYFUNCTION("""COMPUTED_VALUE"""),"Active")</f>
        <v>Active</v>
      </c>
      <c r="E125" s="57">
        <f>IFERROR(__xludf.DUMMYFUNCTION("""COMPUTED_VALUE"""),45685.0)</f>
        <v>45685</v>
      </c>
      <c r="F125" s="58"/>
      <c r="G125" s="60">
        <f>IFERROR(__xludf.DUMMYFUNCTION("""COMPUTED_VALUE"""),20.266666666666666)</f>
        <v>20.26666667</v>
      </c>
      <c r="H125" s="63">
        <f>IFERROR(__xludf.DUMMYFUNCTION("""COMPUTED_VALUE"""),45685.0)</f>
        <v>45685</v>
      </c>
      <c r="I125" s="60">
        <f>IFERROR(__xludf.DUMMYFUNCTION("""COMPUTED_VALUE"""),0.0)</f>
        <v>0</v>
      </c>
      <c r="J125" s="64">
        <f>IFERROR(__xludf.DUMMYFUNCTION("""COMPUTED_VALUE"""),68.0)</f>
        <v>68</v>
      </c>
      <c r="K125" s="64">
        <f>IFERROR(__xludf.DUMMYFUNCTION("""COMPUTED_VALUE"""),18.0)</f>
        <v>18</v>
      </c>
      <c r="L125" s="55" t="str">
        <f>IFERROR(__xludf.DUMMYFUNCTION("""COMPUTED_VALUE"""),"Action-Adventure")</f>
        <v>Action-Adventure</v>
      </c>
      <c r="M125" s="55"/>
      <c r="N125" s="55"/>
      <c r="O125" s="55"/>
      <c r="P125" s="55"/>
      <c r="Q125" s="55"/>
      <c r="R125" s="56" t="str">
        <f>IFERROR(__xludf.DUMMYFUNCTION("""COMPUTED_VALUE"""),"Active")</f>
        <v>Active</v>
      </c>
      <c r="S125" s="57">
        <f>IFERROR(__xludf.DUMMYFUNCTION("""COMPUTED_VALUE"""),45945.0)</f>
        <v>45945</v>
      </c>
      <c r="T125" s="60">
        <f>IFERROR(__xludf.DUMMYFUNCTION("""COMPUTED_VALUE"""),8.566666666666666)</f>
        <v>8.566666667</v>
      </c>
    </row>
    <row r="126">
      <c r="A126" s="55" t="str">
        <f>IFERROR(__xludf.DUMMYFUNCTION("""COMPUTED_VALUE"""),"Ninja Gaiden II: Black")</f>
        <v>Ninja Gaiden II: Black</v>
      </c>
      <c r="B126" s="55" t="str">
        <f>IFERROR(__xludf.DUMMYFUNCTION("""COMPUTED_VALUE"""),"Xbox / PC")</f>
        <v>Xbox / PC</v>
      </c>
      <c r="C126" s="55" t="str">
        <f>IFERROR(__xludf.DUMMYFUNCTION("""COMPUTED_VALUE"""),"Yes")</f>
        <v>Yes</v>
      </c>
      <c r="D126" s="56" t="str">
        <f>IFERROR(__xludf.DUMMYFUNCTION("""COMPUTED_VALUE"""),"Active")</f>
        <v>Active</v>
      </c>
      <c r="E126" s="57">
        <f>IFERROR(__xludf.DUMMYFUNCTION("""COMPUTED_VALUE"""),45680.0)</f>
        <v>45680</v>
      </c>
      <c r="F126" s="58"/>
      <c r="G126" s="60">
        <f>IFERROR(__xludf.DUMMYFUNCTION("""COMPUTED_VALUE"""),20.433333333333334)</f>
        <v>20.43333333</v>
      </c>
      <c r="H126" s="63">
        <f>IFERROR(__xludf.DUMMYFUNCTION("""COMPUTED_VALUE"""),45680.0)</f>
        <v>45680</v>
      </c>
      <c r="I126" s="60">
        <f>IFERROR(__xludf.DUMMYFUNCTION("""COMPUTED_VALUE"""),0.0)</f>
        <v>0</v>
      </c>
      <c r="J126" s="64">
        <f>IFERROR(__xludf.DUMMYFUNCTION("""COMPUTED_VALUE"""),80.0)</f>
        <v>80</v>
      </c>
      <c r="K126" s="64">
        <f>IFERROR(__xludf.DUMMYFUNCTION("""COMPUTED_VALUE"""),10.0)</f>
        <v>10</v>
      </c>
      <c r="L126" s="55" t="str">
        <f>IFERROR(__xludf.DUMMYFUNCTION("""COMPUTED_VALUE"""),"Action-Adventure")</f>
        <v>Action-Adventure</v>
      </c>
      <c r="M126" s="55"/>
      <c r="N126" s="55"/>
      <c r="O126" s="55"/>
      <c r="P126" s="55"/>
      <c r="Q126" s="55"/>
      <c r="R126" s="56" t="str">
        <f>IFERROR(__xludf.DUMMYFUNCTION("""COMPUTED_VALUE"""),"Active")</f>
        <v>Active</v>
      </c>
      <c r="S126" s="57">
        <f>IFERROR(__xludf.DUMMYFUNCTION("""COMPUTED_VALUE"""),45945.0)</f>
        <v>45945</v>
      </c>
      <c r="T126" s="60">
        <f>IFERROR(__xludf.DUMMYFUNCTION("""COMPUTED_VALUE"""),8.733333333333333)</f>
        <v>8.733333333</v>
      </c>
    </row>
    <row r="127">
      <c r="A127" s="55" t="str">
        <f>IFERROR(__xludf.DUMMYFUNCTION("""COMPUTED_VALUE"""),"Hogwarts Legacy")</f>
        <v>Hogwarts Legacy</v>
      </c>
      <c r="B127" s="55" t="str">
        <f>IFERROR(__xludf.DUMMYFUNCTION("""COMPUTED_VALUE"""),"Xbox / PC")</f>
        <v>Xbox / PC</v>
      </c>
      <c r="C127" s="55" t="str">
        <f>IFERROR(__xludf.DUMMYFUNCTION("""COMPUTED_VALUE"""),"Yes")</f>
        <v>Yes</v>
      </c>
      <c r="D127" s="56" t="str">
        <f>IFERROR(__xludf.DUMMYFUNCTION("""COMPUTED_VALUE"""),"Active")</f>
        <v>Active</v>
      </c>
      <c r="E127" s="57">
        <f>IFERROR(__xludf.DUMMYFUNCTION("""COMPUTED_VALUE"""),45931.0)</f>
        <v>45931</v>
      </c>
      <c r="F127" s="58"/>
      <c r="G127" s="60">
        <f>IFERROR(__xludf.DUMMYFUNCTION("""COMPUTED_VALUE"""),12.166666666666666)</f>
        <v>12.16666667</v>
      </c>
      <c r="H127" s="63">
        <f>IFERROR(__xludf.DUMMYFUNCTION("""COMPUTED_VALUE"""),44964.0)</f>
        <v>44964</v>
      </c>
      <c r="I127" s="60">
        <f>IFERROR(__xludf.DUMMYFUNCTION("""COMPUTED_VALUE"""),2.65)</f>
        <v>2.65</v>
      </c>
      <c r="J127" s="64">
        <f>IFERROR(__xludf.DUMMYFUNCTION("""COMPUTED_VALUE"""),84.0)</f>
        <v>84</v>
      </c>
      <c r="K127" s="64">
        <f>IFERROR(__xludf.DUMMYFUNCTION("""COMPUTED_VALUE"""),27.0)</f>
        <v>27</v>
      </c>
      <c r="L127" s="55" t="str">
        <f>IFERROR(__xludf.DUMMYFUNCTION("""COMPUTED_VALUE"""),"Action-Adventure")</f>
        <v>Action-Adventure</v>
      </c>
      <c r="M127" s="55"/>
      <c r="N127" s="55" t="str">
        <f>IFERROR(__xludf.DUMMYFUNCTION("""COMPUTED_VALUE"""),"Ubisoft games joining with price increase")</f>
        <v>Ubisoft games joining with price increase</v>
      </c>
      <c r="O127" s="55"/>
      <c r="P127" s="55"/>
      <c r="Q127" s="55"/>
      <c r="R127" s="56" t="str">
        <f>IFERROR(__xludf.DUMMYFUNCTION("""COMPUTED_VALUE"""),"Active")</f>
        <v>Active</v>
      </c>
      <c r="S127" s="57">
        <f>IFERROR(__xludf.DUMMYFUNCTION("""COMPUTED_VALUE"""),45931.0)</f>
        <v>45931</v>
      </c>
      <c r="T127" s="60">
        <f>IFERROR(__xludf.DUMMYFUNCTION("""COMPUTED_VALUE"""),0.0)</f>
        <v>0</v>
      </c>
    </row>
    <row r="128">
      <c r="A128" s="55" t="str">
        <f>IFERROR(__xludf.DUMMYFUNCTION("""COMPUTED_VALUE"""),"Cataclismo")</f>
        <v>Cataclismo</v>
      </c>
      <c r="B128" s="55" t="str">
        <f>IFERROR(__xludf.DUMMYFUNCTION("""COMPUTED_VALUE"""),"PC")</f>
        <v>PC</v>
      </c>
      <c r="C128" s="55"/>
      <c r="D128" s="56" t="str">
        <f>IFERROR(__xludf.DUMMYFUNCTION("""COMPUTED_VALUE"""),"Active")</f>
        <v>Active</v>
      </c>
      <c r="E128" s="57">
        <f>IFERROR(__xludf.DUMMYFUNCTION("""COMPUTED_VALUE"""),45904.0)</f>
        <v>45904</v>
      </c>
      <c r="F128" s="58"/>
      <c r="G128" s="60">
        <f>IFERROR(__xludf.DUMMYFUNCTION("""COMPUTED_VALUE"""),13.066666666666666)</f>
        <v>13.06666667</v>
      </c>
      <c r="H128" s="63">
        <f>IFERROR(__xludf.DUMMYFUNCTION("""COMPUTED_VALUE"""),45736.0)</f>
        <v>45736</v>
      </c>
      <c r="I128" s="60">
        <f>IFERROR(__xludf.DUMMYFUNCTION("""COMPUTED_VALUE"""),0.45555555555555555)</f>
        <v>0.4555555556</v>
      </c>
      <c r="J128" s="64">
        <f>IFERROR(__xludf.DUMMYFUNCTION("""COMPUTED_VALUE"""),82.0)</f>
        <v>82</v>
      </c>
      <c r="K128" s="64">
        <f>IFERROR(__xludf.DUMMYFUNCTION("""COMPUTED_VALUE"""),16.0)</f>
        <v>16</v>
      </c>
      <c r="L128" s="55" t="str">
        <f>IFERROR(__xludf.DUMMYFUNCTION("""COMPUTED_VALUE"""),"Defense")</f>
        <v>Defense</v>
      </c>
      <c r="M128" s="55"/>
      <c r="N128" s="55"/>
      <c r="O128" s="55"/>
      <c r="P128" s="55"/>
      <c r="Q128" s="55"/>
      <c r="R128" s="56" t="str">
        <f>IFERROR(__xludf.DUMMYFUNCTION("""COMPUTED_VALUE"""),"Active")</f>
        <v>Active</v>
      </c>
      <c r="S128" s="57">
        <f>IFERROR(__xludf.DUMMYFUNCTION("""COMPUTED_VALUE"""),45931.0)</f>
        <v>45931</v>
      </c>
      <c r="T128" s="60">
        <f>IFERROR(__xludf.DUMMYFUNCTION("""COMPUTED_VALUE"""),0.8999999999999999)</f>
        <v>0.9</v>
      </c>
    </row>
    <row r="129">
      <c r="A129" s="55" t="str">
        <f>IFERROR(__xludf.DUMMYFUNCTION("""COMPUTED_VALUE"""),"9 Kings (Game Preview)")</f>
        <v>9 Kings (Game Preview)</v>
      </c>
      <c r="B129" s="55" t="str">
        <f>IFERROR(__xludf.DUMMYFUNCTION("""COMPUTED_VALUE"""),"PC")</f>
        <v>PC</v>
      </c>
      <c r="C129" s="55"/>
      <c r="D129" s="56" t="str">
        <f>IFERROR(__xludf.DUMMYFUNCTION("""COMPUTED_VALUE"""),"Active")</f>
        <v>Active</v>
      </c>
      <c r="E129" s="57">
        <f>IFERROR(__xludf.DUMMYFUNCTION("""COMPUTED_VALUE"""),45883.0)</f>
        <v>45883</v>
      </c>
      <c r="F129" s="58"/>
      <c r="G129" s="60">
        <f>IFERROR(__xludf.DUMMYFUNCTION("""COMPUTED_VALUE"""),13.733333333333333)</f>
        <v>13.73333333</v>
      </c>
      <c r="H129" s="63">
        <f>IFERROR(__xludf.DUMMYFUNCTION("""COMPUTED_VALUE"""),45883.0)</f>
        <v>45883</v>
      </c>
      <c r="I129" s="60">
        <f>IFERROR(__xludf.DUMMYFUNCTION("""COMPUTED_VALUE"""),0.0)</f>
        <v>0</v>
      </c>
      <c r="J129" s="64">
        <f>IFERROR(__xludf.DUMMYFUNCTION("""COMPUTED_VALUE"""),80.0)</f>
        <v>80</v>
      </c>
      <c r="K129" s="64">
        <f>IFERROR(__xludf.DUMMYFUNCTION("""COMPUTED_VALUE"""),3.0)</f>
        <v>3</v>
      </c>
      <c r="L129" s="55" t="str">
        <f>IFERROR(__xludf.DUMMYFUNCTION("""COMPUTED_VALUE"""),"Card Battle")</f>
        <v>Card Battle</v>
      </c>
      <c r="M129" s="55"/>
      <c r="N129" s="55"/>
      <c r="O129" s="55"/>
      <c r="P129" s="55"/>
      <c r="Q129" s="55"/>
      <c r="R129" s="56" t="str">
        <f>IFERROR(__xludf.DUMMYFUNCTION("""COMPUTED_VALUE"""),"Active")</f>
        <v>Active</v>
      </c>
      <c r="S129" s="57">
        <f>IFERROR(__xludf.DUMMYFUNCTION("""COMPUTED_VALUE"""),45931.0)</f>
        <v>45931</v>
      </c>
      <c r="T129" s="60">
        <f>IFERROR(__xludf.DUMMYFUNCTION("""COMPUTED_VALUE"""),1.5666666666666669)</f>
        <v>1.566666667</v>
      </c>
    </row>
    <row r="130">
      <c r="A130" s="55" t="str">
        <f>IFERROR(__xludf.DUMMYFUNCTION("""COMPUTED_VALUE"""),"Abiotic Factor")</f>
        <v>Abiotic Factor</v>
      </c>
      <c r="B130" s="55" t="str">
        <f>IFERROR(__xludf.DUMMYFUNCTION("""COMPUTED_VALUE"""),"Xbox / PC")</f>
        <v>Xbox / PC</v>
      </c>
      <c r="C130" s="55" t="str">
        <f>IFERROR(__xludf.DUMMYFUNCTION("""COMPUTED_VALUE"""),"Yes")</f>
        <v>Yes</v>
      </c>
      <c r="D130" s="56" t="str">
        <f>IFERROR(__xludf.DUMMYFUNCTION("""COMPUTED_VALUE"""),"Active")</f>
        <v>Active</v>
      </c>
      <c r="E130" s="57">
        <f>IFERROR(__xludf.DUMMYFUNCTION("""COMPUTED_VALUE"""),45860.0)</f>
        <v>45860</v>
      </c>
      <c r="F130" s="58"/>
      <c r="G130" s="60">
        <f>IFERROR(__xludf.DUMMYFUNCTION("""COMPUTED_VALUE"""),14.466666666666665)</f>
        <v>14.46666667</v>
      </c>
      <c r="H130" s="63">
        <f>IFERROR(__xludf.DUMMYFUNCTION("""COMPUTED_VALUE"""),45860.0)</f>
        <v>45860</v>
      </c>
      <c r="I130" s="60">
        <f>IFERROR(__xludf.DUMMYFUNCTION("""COMPUTED_VALUE"""),0.0)</f>
        <v>0</v>
      </c>
      <c r="J130" s="64">
        <f>IFERROR(__xludf.DUMMYFUNCTION("""COMPUTED_VALUE"""),88.0)</f>
        <v>88</v>
      </c>
      <c r="K130" s="64">
        <f>IFERROR(__xludf.DUMMYFUNCTION("""COMPUTED_VALUE"""),33.0)</f>
        <v>33</v>
      </c>
      <c r="L130" s="55" t="str">
        <f>IFERROR(__xludf.DUMMYFUNCTION("""COMPUTED_VALUE"""),"Survival")</f>
        <v>Survival</v>
      </c>
      <c r="M130" s="55" t="str">
        <f>IFERROR(__xludf.DUMMYFUNCTION("""COMPUTED_VALUE"""),"Exclusive")</f>
        <v>Exclusive</v>
      </c>
      <c r="N130" s="55"/>
      <c r="O130" s="55"/>
      <c r="P130" s="55"/>
      <c r="Q130" s="55"/>
      <c r="R130" s="56" t="str">
        <f>IFERROR(__xludf.DUMMYFUNCTION("""COMPUTED_VALUE"""),"Active")</f>
        <v>Active</v>
      </c>
      <c r="S130" s="57">
        <f>IFERROR(__xludf.DUMMYFUNCTION("""COMPUTED_VALUE"""),45931.0)</f>
        <v>45931</v>
      </c>
      <c r="T130" s="60">
        <f>IFERROR(__xludf.DUMMYFUNCTION("""COMPUTED_VALUE"""),2.3000000000000003)</f>
        <v>2.3</v>
      </c>
    </row>
    <row r="131">
      <c r="A131" s="55" t="str">
        <f>IFERROR(__xludf.DUMMYFUNCTION("""COMPUTED_VALUE"""),"Warcraft I: Remastered")</f>
        <v>Warcraft I: Remastered</v>
      </c>
      <c r="B131" s="55" t="str">
        <f>IFERROR(__xludf.DUMMYFUNCTION("""COMPUTED_VALUE"""),"PC")</f>
        <v>PC</v>
      </c>
      <c r="C131" s="55"/>
      <c r="D131" s="56" t="str">
        <f>IFERROR(__xludf.DUMMYFUNCTION("""COMPUTED_VALUE"""),"Active")</f>
        <v>Active</v>
      </c>
      <c r="E131" s="57">
        <f>IFERROR(__xludf.DUMMYFUNCTION("""COMPUTED_VALUE"""),45834.0)</f>
        <v>45834</v>
      </c>
      <c r="F131" s="58"/>
      <c r="G131" s="60">
        <f>IFERROR(__xludf.DUMMYFUNCTION("""COMPUTED_VALUE"""),15.333333333333332)</f>
        <v>15.33333333</v>
      </c>
      <c r="H131" s="63">
        <f>IFERROR(__xludf.DUMMYFUNCTION("""COMPUTED_VALUE"""),45609.0)</f>
        <v>45609</v>
      </c>
      <c r="I131" s="60">
        <f>IFERROR(__xludf.DUMMYFUNCTION("""COMPUTED_VALUE"""),0.6194444444444445)</f>
        <v>0.6194444444</v>
      </c>
      <c r="J131" s="64">
        <f>IFERROR(__xludf.DUMMYFUNCTION("""COMPUTED_VALUE"""),71.0)</f>
        <v>71</v>
      </c>
      <c r="K131" s="64">
        <f>IFERROR(__xludf.DUMMYFUNCTION("""COMPUTED_VALUE"""),15.0)</f>
        <v>15</v>
      </c>
      <c r="L131" s="55" t="str">
        <f>IFERROR(__xludf.DUMMYFUNCTION("""COMPUTED_VALUE"""),"Strategy")</f>
        <v>Strategy</v>
      </c>
      <c r="M131" s="55"/>
      <c r="N131" s="55"/>
      <c r="O131" s="55"/>
      <c r="P131" s="55"/>
      <c r="Q131" s="55"/>
      <c r="R131" s="56" t="str">
        <f>IFERROR(__xludf.DUMMYFUNCTION("""COMPUTED_VALUE"""),"Active")</f>
        <v>Active</v>
      </c>
      <c r="S131" s="57">
        <f>IFERROR(__xludf.DUMMYFUNCTION("""COMPUTED_VALUE"""),45931.0)</f>
        <v>45931</v>
      </c>
      <c r="T131" s="60">
        <f>IFERROR(__xludf.DUMMYFUNCTION("""COMPUTED_VALUE"""),3.166666666666667)</f>
        <v>3.166666667</v>
      </c>
    </row>
    <row r="132">
      <c r="A132" s="55" t="str">
        <f>IFERROR(__xludf.DUMMYFUNCTION("""COMPUTED_VALUE"""),"Warcraft II: Remastered")</f>
        <v>Warcraft II: Remastered</v>
      </c>
      <c r="B132" s="55" t="str">
        <f>IFERROR(__xludf.DUMMYFUNCTION("""COMPUTED_VALUE"""),"PC")</f>
        <v>PC</v>
      </c>
      <c r="C132" s="55"/>
      <c r="D132" s="56" t="str">
        <f>IFERROR(__xludf.DUMMYFUNCTION("""COMPUTED_VALUE"""),"Active")</f>
        <v>Active</v>
      </c>
      <c r="E132" s="57">
        <f>IFERROR(__xludf.DUMMYFUNCTION("""COMPUTED_VALUE"""),45834.0)</f>
        <v>45834</v>
      </c>
      <c r="F132" s="58"/>
      <c r="G132" s="60">
        <f>IFERROR(__xludf.DUMMYFUNCTION("""COMPUTED_VALUE"""),15.333333333333332)</f>
        <v>15.33333333</v>
      </c>
      <c r="H132" s="63">
        <f>IFERROR(__xludf.DUMMYFUNCTION("""COMPUTED_VALUE"""),45609.0)</f>
        <v>45609</v>
      </c>
      <c r="I132" s="60">
        <f>IFERROR(__xludf.DUMMYFUNCTION("""COMPUTED_VALUE"""),0.6194444444444445)</f>
        <v>0.6194444444</v>
      </c>
      <c r="J132" s="64">
        <f>IFERROR(__xludf.DUMMYFUNCTION("""COMPUTED_VALUE"""),71.5)</f>
        <v>71.5</v>
      </c>
      <c r="K132" s="64">
        <f>IFERROR(__xludf.DUMMYFUNCTION("""COMPUTED_VALUE"""),21.0)</f>
        <v>21</v>
      </c>
      <c r="L132" s="55" t="str">
        <f>IFERROR(__xludf.DUMMYFUNCTION("""COMPUTED_VALUE"""),"Strategy")</f>
        <v>Strategy</v>
      </c>
      <c r="M132" s="55"/>
      <c r="N132" s="55"/>
      <c r="O132" s="55"/>
      <c r="P132" s="55"/>
      <c r="Q132" s="55"/>
      <c r="R132" s="56" t="str">
        <f>IFERROR(__xludf.DUMMYFUNCTION("""COMPUTED_VALUE"""),"Active")</f>
        <v>Active</v>
      </c>
      <c r="S132" s="57">
        <f>IFERROR(__xludf.DUMMYFUNCTION("""COMPUTED_VALUE"""),45931.0)</f>
        <v>45931</v>
      </c>
      <c r="T132" s="60">
        <f>IFERROR(__xludf.DUMMYFUNCTION("""COMPUTED_VALUE"""),3.166666666666667)</f>
        <v>3.166666667</v>
      </c>
    </row>
    <row r="133">
      <c r="A133" s="55" t="str">
        <f>IFERROR(__xludf.DUMMYFUNCTION("""COMPUTED_VALUE"""),"Warcraft III: Reforged")</f>
        <v>Warcraft III: Reforged</v>
      </c>
      <c r="B133" s="55" t="str">
        <f>IFERROR(__xludf.DUMMYFUNCTION("""COMPUTED_VALUE"""),"PC")</f>
        <v>PC</v>
      </c>
      <c r="C133" s="55"/>
      <c r="D133" s="56" t="str">
        <f>IFERROR(__xludf.DUMMYFUNCTION("""COMPUTED_VALUE"""),"Active")</f>
        <v>Active</v>
      </c>
      <c r="E133" s="57">
        <f>IFERROR(__xludf.DUMMYFUNCTION("""COMPUTED_VALUE"""),45834.0)</f>
        <v>45834</v>
      </c>
      <c r="F133" s="58"/>
      <c r="G133" s="60">
        <f>IFERROR(__xludf.DUMMYFUNCTION("""COMPUTED_VALUE"""),15.333333333333332)</f>
        <v>15.33333333</v>
      </c>
      <c r="H133" s="63">
        <f>IFERROR(__xludf.DUMMYFUNCTION("""COMPUTED_VALUE"""),43858.0)</f>
        <v>43858</v>
      </c>
      <c r="I133" s="60">
        <f>IFERROR(__xludf.DUMMYFUNCTION("""COMPUTED_VALUE"""),5.411111111111111)</f>
        <v>5.411111111</v>
      </c>
      <c r="J133" s="64">
        <f>IFERROR(__xludf.DUMMYFUNCTION("""COMPUTED_VALUE"""),59.0)</f>
        <v>59</v>
      </c>
      <c r="K133" s="64">
        <f>IFERROR(__xludf.DUMMYFUNCTION("""COMPUTED_VALUE"""),31.0)</f>
        <v>31</v>
      </c>
      <c r="L133" s="55" t="str">
        <f>IFERROR(__xludf.DUMMYFUNCTION("""COMPUTED_VALUE"""),"Strategy")</f>
        <v>Strategy</v>
      </c>
      <c r="M133" s="55"/>
      <c r="N133" s="55"/>
      <c r="O133" s="55"/>
      <c r="P133" s="55"/>
      <c r="Q133" s="55"/>
      <c r="R133" s="56" t="str">
        <f>IFERROR(__xludf.DUMMYFUNCTION("""COMPUTED_VALUE"""),"Active")</f>
        <v>Active</v>
      </c>
      <c r="S133" s="57">
        <f>IFERROR(__xludf.DUMMYFUNCTION("""COMPUTED_VALUE"""),45931.0)</f>
        <v>45931</v>
      </c>
      <c r="T133" s="60">
        <f>IFERROR(__xludf.DUMMYFUNCTION("""COMPUTED_VALUE"""),3.166666666666667)</f>
        <v>3.166666667</v>
      </c>
    </row>
    <row r="134">
      <c r="A134" s="55" t="str">
        <f>IFERROR(__xludf.DUMMYFUNCTION("""COMPUTED_VALUE"""),"Diablo")</f>
        <v>Diablo</v>
      </c>
      <c r="B134" s="55" t="str">
        <f>IFERROR(__xludf.DUMMYFUNCTION("""COMPUTED_VALUE"""),"PC")</f>
        <v>PC</v>
      </c>
      <c r="C134" s="55"/>
      <c r="D134" s="56" t="str">
        <f>IFERROR(__xludf.DUMMYFUNCTION("""COMPUTED_VALUE"""),"Active")</f>
        <v>Active</v>
      </c>
      <c r="E134" s="57">
        <f>IFERROR(__xludf.DUMMYFUNCTION("""COMPUTED_VALUE"""),45671.0)</f>
        <v>45671</v>
      </c>
      <c r="F134" s="58"/>
      <c r="G134" s="60">
        <f>IFERROR(__xludf.DUMMYFUNCTION("""COMPUTED_VALUE"""),20.733333333333334)</f>
        <v>20.73333333</v>
      </c>
      <c r="H134" s="63">
        <f>IFERROR(__xludf.DUMMYFUNCTION("""COMPUTED_VALUE"""),35430.0)</f>
        <v>35430</v>
      </c>
      <c r="I134" s="60">
        <f>IFERROR(__xludf.DUMMYFUNCTION("""COMPUTED_VALUE"""),28.038888888888888)</f>
        <v>28.03888889</v>
      </c>
      <c r="J134" s="64">
        <f>IFERROR(__xludf.DUMMYFUNCTION("""COMPUTED_VALUE"""),94.0)</f>
        <v>94</v>
      </c>
      <c r="K134" s="64">
        <f>IFERROR(__xludf.DUMMYFUNCTION("""COMPUTED_VALUE"""),7.0)</f>
        <v>7</v>
      </c>
      <c r="L134" s="55" t="str">
        <f>IFERROR(__xludf.DUMMYFUNCTION("""COMPUTED_VALUE"""),"RPG")</f>
        <v>RPG</v>
      </c>
      <c r="M134" s="55"/>
      <c r="N134" s="55"/>
      <c r="O134" s="55"/>
      <c r="P134" s="55"/>
      <c r="Q134" s="55"/>
      <c r="R134" s="56" t="str">
        <f>IFERROR(__xludf.DUMMYFUNCTION("""COMPUTED_VALUE"""),"Active")</f>
        <v>Active</v>
      </c>
      <c r="S134" s="57">
        <f>IFERROR(__xludf.DUMMYFUNCTION("""COMPUTED_VALUE"""),45931.0)</f>
        <v>45931</v>
      </c>
      <c r="T134" s="60">
        <f>IFERROR(__xludf.DUMMYFUNCTION("""COMPUTED_VALUE"""),8.566666666666666)</f>
        <v>8.566666667</v>
      </c>
    </row>
    <row r="135">
      <c r="A135" s="55" t="str">
        <f>IFERROR(__xludf.DUMMYFUNCTION("""COMPUTED_VALUE"""),"Ara: History Untold")</f>
        <v>Ara: History Untold</v>
      </c>
      <c r="B135" s="55" t="str">
        <f>IFERROR(__xludf.DUMMYFUNCTION("""COMPUTED_VALUE"""),"PC")</f>
        <v>PC</v>
      </c>
      <c r="C135" s="55"/>
      <c r="D135" s="56" t="str">
        <f>IFERROR(__xludf.DUMMYFUNCTION("""COMPUTED_VALUE"""),"Active")</f>
        <v>Active</v>
      </c>
      <c r="E135" s="57">
        <f>IFERROR(__xludf.DUMMYFUNCTION("""COMPUTED_VALUE"""),45559.0)</f>
        <v>45559</v>
      </c>
      <c r="F135" s="58"/>
      <c r="G135" s="60">
        <f>IFERROR(__xludf.DUMMYFUNCTION("""COMPUTED_VALUE"""),24.4)</f>
        <v>24.4</v>
      </c>
      <c r="H135" s="63">
        <f>IFERROR(__xludf.DUMMYFUNCTION("""COMPUTED_VALUE"""),45559.0)</f>
        <v>45559</v>
      </c>
      <c r="I135" s="60">
        <f>IFERROR(__xludf.DUMMYFUNCTION("""COMPUTED_VALUE"""),0.0)</f>
        <v>0</v>
      </c>
      <c r="J135" s="64">
        <f>IFERROR(__xludf.DUMMYFUNCTION("""COMPUTED_VALUE"""),76.0)</f>
        <v>76</v>
      </c>
      <c r="K135" s="64">
        <f>IFERROR(__xludf.DUMMYFUNCTION("""COMPUTED_VALUE"""),13.0)</f>
        <v>13</v>
      </c>
      <c r="L135" s="55" t="str">
        <f>IFERROR(__xludf.DUMMYFUNCTION("""COMPUTED_VALUE"""),"Strategy")</f>
        <v>Strategy</v>
      </c>
      <c r="M135" s="55"/>
      <c r="N135" s="55"/>
      <c r="O135" s="55"/>
      <c r="P135" s="55"/>
      <c r="Q135" s="55"/>
      <c r="R135" s="56" t="str">
        <f>IFERROR(__xludf.DUMMYFUNCTION("""COMPUTED_VALUE"""),"Active")</f>
        <v>Active</v>
      </c>
      <c r="S135" s="57">
        <f>IFERROR(__xludf.DUMMYFUNCTION("""COMPUTED_VALUE"""),45931.0)</f>
        <v>45931</v>
      </c>
      <c r="T135" s="60">
        <f>IFERROR(__xludf.DUMMYFUNCTION("""COMPUTED_VALUE"""),12.233333333333333)</f>
        <v>12.23333333</v>
      </c>
    </row>
    <row r="136">
      <c r="A136" s="55" t="str">
        <f>IFERROR(__xludf.DUMMYFUNCTION("""COMPUTED_VALUE"""),"Age of Mythology: Retold")</f>
        <v>Age of Mythology: Retold</v>
      </c>
      <c r="B136" s="55" t="str">
        <f>IFERROR(__xludf.DUMMYFUNCTION("""COMPUTED_VALUE"""),"Xbox / PC")</f>
        <v>Xbox / PC</v>
      </c>
      <c r="C136" s="55" t="str">
        <f>IFERROR(__xludf.DUMMYFUNCTION("""COMPUTED_VALUE"""),"Yes")</f>
        <v>Yes</v>
      </c>
      <c r="D136" s="56" t="str">
        <f>IFERROR(__xludf.DUMMYFUNCTION("""COMPUTED_VALUE"""),"Active")</f>
        <v>Active</v>
      </c>
      <c r="E136" s="57">
        <f>IFERROR(__xludf.DUMMYFUNCTION("""COMPUTED_VALUE"""),45539.0)</f>
        <v>45539</v>
      </c>
      <c r="F136" s="58"/>
      <c r="G136" s="60">
        <f>IFERROR(__xludf.DUMMYFUNCTION("""COMPUTED_VALUE"""),25.06666666666667)</f>
        <v>25.06666667</v>
      </c>
      <c r="H136" s="63">
        <f>IFERROR(__xludf.DUMMYFUNCTION("""COMPUTED_VALUE"""),45539.0)</f>
        <v>45539</v>
      </c>
      <c r="I136" s="60">
        <f>IFERROR(__xludf.DUMMYFUNCTION("""COMPUTED_VALUE"""),0.0)</f>
        <v>0</v>
      </c>
      <c r="J136" s="64">
        <f>IFERROR(__xludf.DUMMYFUNCTION("""COMPUTED_VALUE"""),84.0)</f>
        <v>84</v>
      </c>
      <c r="K136" s="64">
        <f>IFERROR(__xludf.DUMMYFUNCTION("""COMPUTED_VALUE"""),21.0)</f>
        <v>21</v>
      </c>
      <c r="L136" s="55" t="str">
        <f>IFERROR(__xludf.DUMMYFUNCTION("""COMPUTED_VALUE"""),"Strategy")</f>
        <v>Strategy</v>
      </c>
      <c r="M136" s="55" t="str">
        <f>IFERROR(__xludf.DUMMYFUNCTION("""COMPUTED_VALUE"""),"Exclusive")</f>
        <v>Exclusive</v>
      </c>
      <c r="N136" s="55"/>
      <c r="O136" s="55"/>
      <c r="P136" s="55"/>
      <c r="Q136" s="55"/>
      <c r="R136" s="56" t="str">
        <f>IFERROR(__xludf.DUMMYFUNCTION("""COMPUTED_VALUE"""),"Active")</f>
        <v>Active</v>
      </c>
      <c r="S136" s="57">
        <f>IFERROR(__xludf.DUMMYFUNCTION("""COMPUTED_VALUE"""),45931.0)</f>
        <v>45931</v>
      </c>
      <c r="T136" s="60">
        <f>IFERROR(__xludf.DUMMYFUNCTION("""COMPUTED_VALUE"""),12.899999999999999)</f>
        <v>12.9</v>
      </c>
    </row>
    <row r="137">
      <c r="A137" s="55" t="str">
        <f>IFERROR(__xludf.DUMMYFUNCTION("""COMPUTED_VALUE"""),"Hellblade II: Senua’s Saga")</f>
        <v>Hellblade II: Senua’s Saga</v>
      </c>
      <c r="B137" s="55" t="str">
        <f>IFERROR(__xludf.DUMMYFUNCTION("""COMPUTED_VALUE"""),"Xbox / PC")</f>
        <v>Xbox / PC</v>
      </c>
      <c r="C137" s="55" t="str">
        <f>IFERROR(__xludf.DUMMYFUNCTION("""COMPUTED_VALUE"""),"Yes")</f>
        <v>Yes</v>
      </c>
      <c r="D137" s="56" t="str">
        <f>IFERROR(__xludf.DUMMYFUNCTION("""COMPUTED_VALUE"""),"Active")</f>
        <v>Active</v>
      </c>
      <c r="E137" s="57">
        <f>IFERROR(__xludf.DUMMYFUNCTION("""COMPUTED_VALUE"""),45433.0)</f>
        <v>45433</v>
      </c>
      <c r="F137" s="58"/>
      <c r="G137" s="60">
        <f>IFERROR(__xludf.DUMMYFUNCTION("""COMPUTED_VALUE"""),28.5)</f>
        <v>28.5</v>
      </c>
      <c r="H137" s="63">
        <f>IFERROR(__xludf.DUMMYFUNCTION("""COMPUTED_VALUE"""),45433.0)</f>
        <v>45433</v>
      </c>
      <c r="I137" s="60">
        <f>IFERROR(__xludf.DUMMYFUNCTION("""COMPUTED_VALUE"""),0.0)</f>
        <v>0</v>
      </c>
      <c r="J137" s="64">
        <f>IFERROR(__xludf.DUMMYFUNCTION("""COMPUTED_VALUE"""),80.0)</f>
        <v>80</v>
      </c>
      <c r="K137" s="64">
        <f>IFERROR(__xludf.DUMMYFUNCTION("""COMPUTED_VALUE"""),7.0)</f>
        <v>7</v>
      </c>
      <c r="L137" s="55" t="str">
        <f>IFERROR(__xludf.DUMMYFUNCTION("""COMPUTED_VALUE"""),"Action-Adventure")</f>
        <v>Action-Adventure</v>
      </c>
      <c r="M137" s="55" t="str">
        <f>IFERROR(__xludf.DUMMYFUNCTION("""COMPUTED_VALUE"""),"Exclusive")</f>
        <v>Exclusive</v>
      </c>
      <c r="N137" s="55"/>
      <c r="O137" s="55" t="str">
        <f>IFERROR(__xludf.DUMMYFUNCTION("""COMPUTED_VALUE"""),"M")</f>
        <v>M</v>
      </c>
      <c r="P137" s="55" t="str">
        <f>IFERROR(__xludf.DUMMYFUNCTION("""COMPUTED_VALUE"""),"Blood and Gore, Intense Violence, Strong Language")</f>
        <v>Blood and Gore, Intense Violence, Strong Language</v>
      </c>
      <c r="Q137" s="55"/>
      <c r="R137" s="56" t="str">
        <f>IFERROR(__xludf.DUMMYFUNCTION("""COMPUTED_VALUE"""),"Active")</f>
        <v>Active</v>
      </c>
      <c r="S137" s="57">
        <f>IFERROR(__xludf.DUMMYFUNCTION("""COMPUTED_VALUE"""),45931.0)</f>
        <v>45931</v>
      </c>
      <c r="T137" s="60">
        <f>IFERROR(__xludf.DUMMYFUNCTION("""COMPUTED_VALUE"""),16.333333333333336)</f>
        <v>16.33333333</v>
      </c>
    </row>
    <row r="138">
      <c r="A138" s="55" t="str">
        <f>IFERROR(__xludf.DUMMYFUNCTION("""COMPUTED_VALUE"""),"Manor Lords (Game Preview)")</f>
        <v>Manor Lords (Game Preview)</v>
      </c>
      <c r="B138" s="55" t="str">
        <f>IFERROR(__xludf.DUMMYFUNCTION("""COMPUTED_VALUE"""),"PC")</f>
        <v>PC</v>
      </c>
      <c r="C138" s="55"/>
      <c r="D138" s="56" t="str">
        <f>IFERROR(__xludf.DUMMYFUNCTION("""COMPUTED_VALUE"""),"Active")</f>
        <v>Active</v>
      </c>
      <c r="E138" s="57">
        <f>IFERROR(__xludf.DUMMYFUNCTION("""COMPUTED_VALUE"""),45408.0)</f>
        <v>45408</v>
      </c>
      <c r="F138" s="58"/>
      <c r="G138" s="60">
        <f>IFERROR(__xludf.DUMMYFUNCTION("""COMPUTED_VALUE"""),29.333333333333336)</f>
        <v>29.33333333</v>
      </c>
      <c r="H138" s="63">
        <f>IFERROR(__xludf.DUMMYFUNCTION("""COMPUTED_VALUE"""),45408.0)</f>
        <v>45408</v>
      </c>
      <c r="I138" s="60">
        <f>IFERROR(__xludf.DUMMYFUNCTION("""COMPUTED_VALUE"""),0.0)</f>
        <v>0</v>
      </c>
      <c r="J138" s="64">
        <f>IFERROR(__xludf.DUMMYFUNCTION("""COMPUTED_VALUE"""),73.0)</f>
        <v>73</v>
      </c>
      <c r="K138" s="64">
        <f>IFERROR(__xludf.DUMMYFUNCTION("""COMPUTED_VALUE"""),7.0)</f>
        <v>7</v>
      </c>
      <c r="L138" s="55" t="str">
        <f>IFERROR(__xludf.DUMMYFUNCTION("""COMPUTED_VALUE"""),"Strategy")</f>
        <v>Strategy</v>
      </c>
      <c r="M138" s="55"/>
      <c r="N138" s="55"/>
      <c r="O138" s="55" t="str">
        <f>IFERROR(__xludf.DUMMYFUNCTION("""COMPUTED_VALUE"""),"RP")</f>
        <v>RP</v>
      </c>
      <c r="P138" s="55"/>
      <c r="Q138" s="55"/>
      <c r="R138" s="56" t="str">
        <f>IFERROR(__xludf.DUMMYFUNCTION("""COMPUTED_VALUE"""),"Active")</f>
        <v>Active</v>
      </c>
      <c r="S138" s="57">
        <f>IFERROR(__xludf.DUMMYFUNCTION("""COMPUTED_VALUE"""),45931.0)</f>
        <v>45931</v>
      </c>
      <c r="T138" s="60">
        <f>IFERROR(__xludf.DUMMYFUNCTION("""COMPUTED_VALUE"""),17.166666666666668)</f>
        <v>17.16666667</v>
      </c>
    </row>
    <row r="139">
      <c r="A139" s="55" t="str">
        <f>IFERROR(__xludf.DUMMYFUNCTION("""COMPUTED_VALUE"""),"Diablo IV")</f>
        <v>Diablo IV</v>
      </c>
      <c r="B139" s="55" t="str">
        <f>IFERROR(__xludf.DUMMYFUNCTION("""COMPUTED_VALUE"""),"Xbox / PC")</f>
        <v>Xbox / PC</v>
      </c>
      <c r="C139" s="55"/>
      <c r="D139" s="56" t="str">
        <f>IFERROR(__xludf.DUMMYFUNCTION("""COMPUTED_VALUE"""),"Active")</f>
        <v>Active</v>
      </c>
      <c r="E139" s="57">
        <f>IFERROR(__xludf.DUMMYFUNCTION("""COMPUTED_VALUE"""),45379.0)</f>
        <v>45379</v>
      </c>
      <c r="F139" s="58"/>
      <c r="G139" s="60">
        <f>IFERROR(__xludf.DUMMYFUNCTION("""COMPUTED_VALUE"""),30.266666666666666)</f>
        <v>30.26666667</v>
      </c>
      <c r="H139" s="63">
        <f>IFERROR(__xludf.DUMMYFUNCTION("""COMPUTED_VALUE"""),45078.0)</f>
        <v>45078</v>
      </c>
      <c r="I139" s="60">
        <f>IFERROR(__xludf.DUMMYFUNCTION("""COMPUTED_VALUE"""),0.825)</f>
        <v>0.825</v>
      </c>
      <c r="J139" s="64">
        <f>IFERROR(__xludf.DUMMYFUNCTION("""COMPUTED_VALUE"""),86.0)</f>
        <v>86</v>
      </c>
      <c r="K139" s="64">
        <f>IFERROR(__xludf.DUMMYFUNCTION("""COMPUTED_VALUE"""),27.0)</f>
        <v>27</v>
      </c>
      <c r="L139" s="55" t="str">
        <f>IFERROR(__xludf.DUMMYFUNCTION("""COMPUTED_VALUE"""),"RPG")</f>
        <v>RPG</v>
      </c>
      <c r="M139" s="55"/>
      <c r="N139" s="55"/>
      <c r="O139" s="55" t="str">
        <f>IFERROR(__xludf.DUMMYFUNCTION("""COMPUTED_VALUE"""),"M")</f>
        <v>M</v>
      </c>
      <c r="P139" s="55" t="str">
        <f>IFERROR(__xludf.DUMMYFUNCTION("""COMPUTED_VALUE"""),"Blood and Gore, Intense Violence, Language")</f>
        <v>Blood and Gore, Intense Violence, Language</v>
      </c>
      <c r="Q139" s="55"/>
      <c r="R139" s="56" t="str">
        <f>IFERROR(__xludf.DUMMYFUNCTION("""COMPUTED_VALUE"""),"Active")</f>
        <v>Active</v>
      </c>
      <c r="S139" s="57">
        <f>IFERROR(__xludf.DUMMYFUNCTION("""COMPUTED_VALUE"""),45931.0)</f>
        <v>45931</v>
      </c>
      <c r="T139" s="60">
        <f>IFERROR(__xludf.DUMMYFUNCTION("""COMPUTED_VALUE"""),18.1)</f>
        <v>18.1</v>
      </c>
    </row>
    <row r="140">
      <c r="A140" s="55" t="str">
        <f>IFERROR(__xludf.DUMMYFUNCTION("""COMPUTED_VALUE"""),"Cities: Skylines II")</f>
        <v>Cities: Skylines II</v>
      </c>
      <c r="B140" s="55" t="str">
        <f>IFERROR(__xludf.DUMMYFUNCTION("""COMPUTED_VALUE"""),"PC")</f>
        <v>PC</v>
      </c>
      <c r="C140" s="55"/>
      <c r="D140" s="56" t="str">
        <f>IFERROR(__xludf.DUMMYFUNCTION("""COMPUTED_VALUE"""),"Active")</f>
        <v>Active</v>
      </c>
      <c r="E140" s="57">
        <f>IFERROR(__xludf.DUMMYFUNCTION("""COMPUTED_VALUE"""),45223.0)</f>
        <v>45223</v>
      </c>
      <c r="F140" s="58"/>
      <c r="G140" s="60">
        <f>IFERROR(__xludf.DUMMYFUNCTION("""COMPUTED_VALUE"""),35.400000000000006)</f>
        <v>35.4</v>
      </c>
      <c r="H140" s="63">
        <f>IFERROR(__xludf.DUMMYFUNCTION("""COMPUTED_VALUE"""),45223.0)</f>
        <v>45223</v>
      </c>
      <c r="I140" s="60">
        <f>IFERROR(__xludf.DUMMYFUNCTION("""COMPUTED_VALUE"""),0.0)</f>
        <v>0</v>
      </c>
      <c r="J140" s="64">
        <f>IFERROR(__xludf.DUMMYFUNCTION("""COMPUTED_VALUE"""),75.0)</f>
        <v>75</v>
      </c>
      <c r="K140" s="64">
        <f>IFERROR(__xludf.DUMMYFUNCTION("""COMPUTED_VALUE"""),25.0)</f>
        <v>25</v>
      </c>
      <c r="L140" s="55" t="str">
        <f>IFERROR(__xludf.DUMMYFUNCTION("""COMPUTED_VALUE"""),"Simulation")</f>
        <v>Simulation</v>
      </c>
      <c r="M140" s="55"/>
      <c r="N140" s="55"/>
      <c r="O140" s="55" t="str">
        <f>IFERROR(__xludf.DUMMYFUNCTION("""COMPUTED_VALUE"""),"RP")</f>
        <v>RP</v>
      </c>
      <c r="P140" s="55"/>
      <c r="Q140" s="55"/>
      <c r="R140" s="56" t="str">
        <f>IFERROR(__xludf.DUMMYFUNCTION("""COMPUTED_VALUE"""),"Active")</f>
        <v>Active</v>
      </c>
      <c r="S140" s="57">
        <f>IFERROR(__xludf.DUMMYFUNCTION("""COMPUTED_VALUE"""),45931.0)</f>
        <v>45931</v>
      </c>
      <c r="T140" s="60">
        <f>IFERROR(__xludf.DUMMYFUNCTION("""COMPUTED_VALUE"""),23.233333333333334)</f>
        <v>23.23333333</v>
      </c>
    </row>
    <row r="141">
      <c r="A141" s="55" t="str">
        <f>IFERROR(__xludf.DUMMYFUNCTION("""COMPUTED_VALUE"""),"An Elder Scrolls Legend: Battlespire")</f>
        <v>An Elder Scrolls Legend: Battlespire</v>
      </c>
      <c r="B141" s="55" t="str">
        <f>IFERROR(__xludf.DUMMYFUNCTION("""COMPUTED_VALUE"""),"PC")</f>
        <v>PC</v>
      </c>
      <c r="C141" s="55"/>
      <c r="D141" s="56" t="str">
        <f>IFERROR(__xludf.DUMMYFUNCTION("""COMPUTED_VALUE"""),"Active")</f>
        <v>Active</v>
      </c>
      <c r="E141" s="57">
        <f>IFERROR(__xludf.DUMMYFUNCTION("""COMPUTED_VALUE"""),44791.0)</f>
        <v>44791</v>
      </c>
      <c r="F141" s="58"/>
      <c r="G141" s="60">
        <f>IFERROR(__xludf.DUMMYFUNCTION("""COMPUTED_VALUE"""),49.60000000000001)</f>
        <v>49.6</v>
      </c>
      <c r="H141" s="63">
        <f>IFERROR(__xludf.DUMMYFUNCTION("""COMPUTED_VALUE"""),35764.0)</f>
        <v>35764</v>
      </c>
      <c r="I141" s="60">
        <f>IFERROR(__xludf.DUMMYFUNCTION("""COMPUTED_VALUE"""),24.716666666666665)</f>
        <v>24.71666667</v>
      </c>
      <c r="J141" s="64">
        <f>IFERROR(__xludf.DUMMYFUNCTION("""COMPUTED_VALUE"""),56.0)</f>
        <v>56</v>
      </c>
      <c r="K141" s="64">
        <f>IFERROR(__xludf.DUMMYFUNCTION("""COMPUTED_VALUE"""),15.5)</f>
        <v>15.5</v>
      </c>
      <c r="L141" s="55" t="str">
        <f>IFERROR(__xludf.DUMMYFUNCTION("""COMPUTED_VALUE"""),"RPG")</f>
        <v>RPG</v>
      </c>
      <c r="M141" s="55"/>
      <c r="N141" s="55"/>
      <c r="O141" s="55" t="str">
        <f>IFERROR(__xludf.DUMMYFUNCTION("""COMPUTED_VALUE"""),"M")</f>
        <v>M</v>
      </c>
      <c r="P141" s="55" t="str">
        <f>IFERROR(__xludf.DUMMYFUNCTION("""COMPUTED_VALUE"""),"Animated Blood and Gore, Mature Sexual Themes")</f>
        <v>Animated Blood and Gore, Mature Sexual Themes</v>
      </c>
      <c r="Q141" s="55"/>
      <c r="R141" s="56" t="str">
        <f>IFERROR(__xludf.DUMMYFUNCTION("""COMPUTED_VALUE"""),"Active")</f>
        <v>Active</v>
      </c>
      <c r="S141" s="57">
        <f>IFERROR(__xludf.DUMMYFUNCTION("""COMPUTED_VALUE"""),45931.0)</f>
        <v>45931</v>
      </c>
      <c r="T141" s="60">
        <f>IFERROR(__xludf.DUMMYFUNCTION("""COMPUTED_VALUE"""),37.43333333333334)</f>
        <v>37.43333333</v>
      </c>
    </row>
    <row r="142">
      <c r="A142" s="55" t="str">
        <f>IFERROR(__xludf.DUMMYFUNCTION("""COMPUTED_VALUE"""),"The Elder Scrolls Adventures: Redguard")</f>
        <v>The Elder Scrolls Adventures: Redguard</v>
      </c>
      <c r="B142" s="55" t="str">
        <f>IFERROR(__xludf.DUMMYFUNCTION("""COMPUTED_VALUE"""),"PC")</f>
        <v>PC</v>
      </c>
      <c r="C142" s="55"/>
      <c r="D142" s="56" t="str">
        <f>IFERROR(__xludf.DUMMYFUNCTION("""COMPUTED_VALUE"""),"Active")</f>
        <v>Active</v>
      </c>
      <c r="E142" s="57">
        <f>IFERROR(__xludf.DUMMYFUNCTION("""COMPUTED_VALUE"""),44791.0)</f>
        <v>44791</v>
      </c>
      <c r="F142" s="58"/>
      <c r="G142" s="60">
        <f>IFERROR(__xludf.DUMMYFUNCTION("""COMPUTED_VALUE"""),49.60000000000001)</f>
        <v>49.6</v>
      </c>
      <c r="H142" s="63">
        <f>IFERROR(__xludf.DUMMYFUNCTION("""COMPUTED_VALUE"""),36099.0)</f>
        <v>36099</v>
      </c>
      <c r="I142" s="60">
        <f>IFERROR(__xludf.DUMMYFUNCTION("""COMPUTED_VALUE"""),23.8)</f>
        <v>23.8</v>
      </c>
      <c r="J142" s="64">
        <f>IFERROR(__xludf.DUMMYFUNCTION("""COMPUTED_VALUE"""),73.0)</f>
        <v>73</v>
      </c>
      <c r="K142" s="64">
        <f>IFERROR(__xludf.DUMMYFUNCTION("""COMPUTED_VALUE"""),17.0)</f>
        <v>17</v>
      </c>
      <c r="L142" s="55" t="str">
        <f>IFERROR(__xludf.DUMMYFUNCTION("""COMPUTED_VALUE"""),"Action-Adventure")</f>
        <v>Action-Adventure</v>
      </c>
      <c r="M142" s="55"/>
      <c r="N142" s="55"/>
      <c r="O142" s="55" t="str">
        <f>IFERROR(__xludf.DUMMYFUNCTION("""COMPUTED_VALUE"""),"T")</f>
        <v>T</v>
      </c>
      <c r="P142" s="55" t="str">
        <f>IFERROR(__xludf.DUMMYFUNCTION("""COMPUTED_VALUE"""),"Violence, Use of Alcohol And Tobacco")</f>
        <v>Violence, Use of Alcohol And Tobacco</v>
      </c>
      <c r="Q142" s="55"/>
      <c r="R142" s="56" t="str">
        <f>IFERROR(__xludf.DUMMYFUNCTION("""COMPUTED_VALUE"""),"Active")</f>
        <v>Active</v>
      </c>
      <c r="S142" s="57">
        <f>IFERROR(__xludf.DUMMYFUNCTION("""COMPUTED_VALUE"""),45931.0)</f>
        <v>45931</v>
      </c>
      <c r="T142" s="60">
        <f>IFERROR(__xludf.DUMMYFUNCTION("""COMPUTED_VALUE"""),37.43333333333334)</f>
        <v>37.43333333</v>
      </c>
    </row>
    <row r="143">
      <c r="A143" s="55" t="str">
        <f>IFERROR(__xludf.DUMMYFUNCTION("""COMPUTED_VALUE"""),"Return to Castle Wolfenstein")</f>
        <v>Return to Castle Wolfenstein</v>
      </c>
      <c r="B143" s="55" t="str">
        <f>IFERROR(__xludf.DUMMYFUNCTION("""COMPUTED_VALUE"""),"PC")</f>
        <v>PC</v>
      </c>
      <c r="C143" s="55"/>
      <c r="D143" s="56" t="str">
        <f>IFERROR(__xludf.DUMMYFUNCTION("""COMPUTED_VALUE"""),"Active")</f>
        <v>Active</v>
      </c>
      <c r="E143" s="57">
        <f>IFERROR(__xludf.DUMMYFUNCTION("""COMPUTED_VALUE"""),44791.0)</f>
        <v>44791</v>
      </c>
      <c r="F143" s="58"/>
      <c r="G143" s="60">
        <f>IFERROR(__xludf.DUMMYFUNCTION("""COMPUTED_VALUE"""),49.60000000000001)</f>
        <v>49.6</v>
      </c>
      <c r="H143" s="63">
        <f>IFERROR(__xludf.DUMMYFUNCTION("""COMPUTED_VALUE"""),37214.0)</f>
        <v>37214</v>
      </c>
      <c r="I143" s="60">
        <f>IFERROR(__xludf.DUMMYFUNCTION("""COMPUTED_VALUE"""),20.747222222222224)</f>
        <v>20.74722222</v>
      </c>
      <c r="J143" s="64">
        <f>IFERROR(__xludf.DUMMYFUNCTION("""COMPUTED_VALUE"""),88.0)</f>
        <v>88</v>
      </c>
      <c r="K143" s="64">
        <f>IFERROR(__xludf.DUMMYFUNCTION("""COMPUTED_VALUE"""),8.0)</f>
        <v>8</v>
      </c>
      <c r="L143" s="55" t="str">
        <f>IFERROR(__xludf.DUMMYFUNCTION("""COMPUTED_VALUE"""),"Shooter")</f>
        <v>Shooter</v>
      </c>
      <c r="M143" s="55"/>
      <c r="N143" s="55"/>
      <c r="O143" s="55" t="str">
        <f>IFERROR(__xludf.DUMMYFUNCTION("""COMPUTED_VALUE"""),"M")</f>
        <v>M</v>
      </c>
      <c r="P143" s="55" t="str">
        <f>IFERROR(__xludf.DUMMYFUNCTION("""COMPUTED_VALUE"""),"Blood and Gore, Violence")</f>
        <v>Blood and Gore, Violence</v>
      </c>
      <c r="Q143" s="55"/>
      <c r="R143" s="56" t="str">
        <f>IFERROR(__xludf.DUMMYFUNCTION("""COMPUTED_VALUE"""),"Active")</f>
        <v>Active</v>
      </c>
      <c r="S143" s="57">
        <f>IFERROR(__xludf.DUMMYFUNCTION("""COMPUTED_VALUE"""),45931.0)</f>
        <v>45931</v>
      </c>
      <c r="T143" s="60">
        <f>IFERROR(__xludf.DUMMYFUNCTION("""COMPUTED_VALUE"""),37.43333333333334)</f>
        <v>37.43333333</v>
      </c>
    </row>
    <row r="144">
      <c r="A144" s="55" t="str">
        <f>IFERROR(__xludf.DUMMYFUNCTION("""COMPUTED_VALUE"""),"Quake 4")</f>
        <v>Quake 4</v>
      </c>
      <c r="B144" s="55" t="str">
        <f>IFERROR(__xludf.DUMMYFUNCTION("""COMPUTED_VALUE"""),"PC")</f>
        <v>PC</v>
      </c>
      <c r="C144" s="55"/>
      <c r="D144" s="56" t="str">
        <f>IFERROR(__xludf.DUMMYFUNCTION("""COMPUTED_VALUE"""),"Active")</f>
        <v>Active</v>
      </c>
      <c r="E144" s="57">
        <f>IFERROR(__xludf.DUMMYFUNCTION("""COMPUTED_VALUE"""),44791.0)</f>
        <v>44791</v>
      </c>
      <c r="F144" s="58"/>
      <c r="G144" s="60">
        <f>IFERROR(__xludf.DUMMYFUNCTION("""COMPUTED_VALUE"""),49.60000000000001)</f>
        <v>49.6</v>
      </c>
      <c r="H144" s="63">
        <f>IFERROR(__xludf.DUMMYFUNCTION("""COMPUTED_VALUE"""),38643.0)</f>
        <v>38643</v>
      </c>
      <c r="I144" s="60">
        <f>IFERROR(__xludf.DUMMYFUNCTION("""COMPUTED_VALUE"""),16.833333333333332)</f>
        <v>16.83333333</v>
      </c>
      <c r="J144" s="64">
        <f>IFERROR(__xludf.DUMMYFUNCTION("""COMPUTED_VALUE"""),81.0)</f>
        <v>81</v>
      </c>
      <c r="K144" s="64">
        <f>IFERROR(__xludf.DUMMYFUNCTION("""COMPUTED_VALUE"""),8.0)</f>
        <v>8</v>
      </c>
      <c r="L144" s="55" t="str">
        <f>IFERROR(__xludf.DUMMYFUNCTION("""COMPUTED_VALUE"""),"Shooter")</f>
        <v>Shooter</v>
      </c>
      <c r="M144" s="55"/>
      <c r="N144" s="55"/>
      <c r="O144" s="55" t="str">
        <f>IFERROR(__xludf.DUMMYFUNCTION("""COMPUTED_VALUE"""),"M")</f>
        <v>M</v>
      </c>
      <c r="P144" s="55" t="str">
        <f>IFERROR(__xludf.DUMMYFUNCTION("""COMPUTED_VALUE"""),"Blood and Gore, Intense Violence, Strong Language")</f>
        <v>Blood and Gore, Intense Violence, Strong Language</v>
      </c>
      <c r="Q144" s="55"/>
      <c r="R144" s="56" t="str">
        <f>IFERROR(__xludf.DUMMYFUNCTION("""COMPUTED_VALUE"""),"Active")</f>
        <v>Active</v>
      </c>
      <c r="S144" s="57">
        <f>IFERROR(__xludf.DUMMYFUNCTION("""COMPUTED_VALUE"""),45931.0)</f>
        <v>45931</v>
      </c>
      <c r="T144" s="60">
        <f>IFERROR(__xludf.DUMMYFUNCTION("""COMPUTED_VALUE"""),37.43333333333334)</f>
        <v>37.43333333</v>
      </c>
    </row>
    <row r="145">
      <c r="A145" s="55" t="str">
        <f>IFERROR(__xludf.DUMMYFUNCTION("""COMPUTED_VALUE"""),"Wolfenstein 3D")</f>
        <v>Wolfenstein 3D</v>
      </c>
      <c r="B145" s="55" t="str">
        <f>IFERROR(__xludf.DUMMYFUNCTION("""COMPUTED_VALUE"""),"Xbox / PC")</f>
        <v>Xbox / PC</v>
      </c>
      <c r="C145" s="55" t="str">
        <f>IFERROR(__xludf.DUMMYFUNCTION("""COMPUTED_VALUE"""),"Yes")</f>
        <v>Yes</v>
      </c>
      <c r="D145" s="56" t="str">
        <f>IFERROR(__xludf.DUMMYFUNCTION("""COMPUTED_VALUE"""),"Active")</f>
        <v>Active</v>
      </c>
      <c r="E145" s="57">
        <f>IFERROR(__xludf.DUMMYFUNCTION("""COMPUTED_VALUE"""),44791.0)</f>
        <v>44791</v>
      </c>
      <c r="F145" s="58"/>
      <c r="G145" s="60">
        <f>IFERROR(__xludf.DUMMYFUNCTION("""COMPUTED_VALUE"""),49.60000000000001)</f>
        <v>49.6</v>
      </c>
      <c r="H145" s="63">
        <f>IFERROR(__xludf.DUMMYFUNCTION("""COMPUTED_VALUE"""),33729.0)</f>
        <v>33729</v>
      </c>
      <c r="I145" s="60">
        <f>IFERROR(__xludf.DUMMYFUNCTION("""COMPUTED_VALUE"""),30.28611111111111)</f>
        <v>30.28611111</v>
      </c>
      <c r="J145" s="64">
        <f>IFERROR(__xludf.DUMMYFUNCTION("""COMPUTED_VALUE"""),85.0)</f>
        <v>85</v>
      </c>
      <c r="K145" s="64">
        <f>IFERROR(__xludf.DUMMYFUNCTION("""COMPUTED_VALUE"""),6.5)</f>
        <v>6.5</v>
      </c>
      <c r="L145" s="55" t="str">
        <f>IFERROR(__xludf.DUMMYFUNCTION("""COMPUTED_VALUE"""),"Shooter")</f>
        <v>Shooter</v>
      </c>
      <c r="M145" s="55"/>
      <c r="N145" s="55" t="str">
        <f>IFERROR(__xludf.DUMMYFUNCTION("""COMPUTED_VALUE"""),"Joined console and cloud on 8/12/26")</f>
        <v>Joined console and cloud on 8/12/26</v>
      </c>
      <c r="O145" s="55" t="str">
        <f>IFERROR(__xludf.DUMMYFUNCTION("""COMPUTED_VALUE"""),"M")</f>
        <v>M</v>
      </c>
      <c r="P145" s="55" t="str">
        <f>IFERROR(__xludf.DUMMYFUNCTION("""COMPUTED_VALUE"""),"Blood and Gore, Violence")</f>
        <v>Blood and Gore, Violence</v>
      </c>
      <c r="Q145" s="55"/>
      <c r="R145" s="56" t="str">
        <f>IFERROR(__xludf.DUMMYFUNCTION("""COMPUTED_VALUE"""),"Active")</f>
        <v>Active</v>
      </c>
      <c r="S145" s="57">
        <f>IFERROR(__xludf.DUMMYFUNCTION("""COMPUTED_VALUE"""),45931.0)</f>
        <v>45931</v>
      </c>
      <c r="T145" s="60">
        <f>IFERROR(__xludf.DUMMYFUNCTION("""COMPUTED_VALUE"""),37.43333333333334)</f>
        <v>37.43333333</v>
      </c>
    </row>
    <row r="146">
      <c r="A146" s="55" t="str">
        <f>IFERROR(__xludf.DUMMYFUNCTION("""COMPUTED_VALUE"""),"Quake III: Arena")</f>
        <v>Quake III: Arena</v>
      </c>
      <c r="B146" s="55" t="str">
        <f>IFERROR(__xludf.DUMMYFUNCTION("""COMPUTED_VALUE"""),"PC")</f>
        <v>PC</v>
      </c>
      <c r="C146" s="55"/>
      <c r="D146" s="56" t="str">
        <f>IFERROR(__xludf.DUMMYFUNCTION("""COMPUTED_VALUE"""),"Active")</f>
        <v>Active</v>
      </c>
      <c r="E146" s="57">
        <f>IFERROR(__xludf.DUMMYFUNCTION("""COMPUTED_VALUE"""),44427.0)</f>
        <v>44427</v>
      </c>
      <c r="F146" s="58"/>
      <c r="G146" s="60">
        <f>IFERROR(__xludf.DUMMYFUNCTION("""COMPUTED_VALUE"""),61.56666666666666)</f>
        <v>61.56666667</v>
      </c>
      <c r="H146" s="63">
        <f>IFERROR(__xludf.DUMMYFUNCTION("""COMPUTED_VALUE"""),36496.0)</f>
        <v>36496</v>
      </c>
      <c r="I146" s="60">
        <f>IFERROR(__xludf.DUMMYFUNCTION("""COMPUTED_VALUE"""),21.71388888888889)</f>
        <v>21.71388889</v>
      </c>
      <c r="J146" s="64">
        <f>IFERROR(__xludf.DUMMYFUNCTION("""COMPUTED_VALUE"""),90.0)</f>
        <v>90</v>
      </c>
      <c r="K146" s="64">
        <f>IFERROR(__xludf.DUMMYFUNCTION("""COMPUTED_VALUE"""),5.5)</f>
        <v>5.5</v>
      </c>
      <c r="L146" s="55" t="str">
        <f>IFERROR(__xludf.DUMMYFUNCTION("""COMPUTED_VALUE"""),"Shooter")</f>
        <v>Shooter</v>
      </c>
      <c r="M146" s="55"/>
      <c r="N146" s="55"/>
      <c r="O146" s="55" t="str">
        <f>IFERROR(__xludf.DUMMYFUNCTION("""COMPUTED_VALUE"""),"M")</f>
        <v>M</v>
      </c>
      <c r="P146" s="55" t="str">
        <f>IFERROR(__xludf.DUMMYFUNCTION("""COMPUTED_VALUE"""),"Blood and Gore, Language, Violence")</f>
        <v>Blood and Gore, Language, Violence</v>
      </c>
      <c r="Q146" s="55"/>
      <c r="R146" s="56" t="str">
        <f>IFERROR(__xludf.DUMMYFUNCTION("""COMPUTED_VALUE"""),"Active")</f>
        <v>Active</v>
      </c>
      <c r="S146" s="57">
        <f>IFERROR(__xludf.DUMMYFUNCTION("""COMPUTED_VALUE"""),45931.0)</f>
        <v>45931</v>
      </c>
      <c r="T146" s="60">
        <f>IFERROR(__xludf.DUMMYFUNCTION("""COMPUTED_VALUE"""),49.39999999999999)</f>
        <v>49.4</v>
      </c>
    </row>
    <row r="147">
      <c r="A147" s="55" t="str">
        <f>IFERROR(__xludf.DUMMYFUNCTION("""COMPUTED_VALUE"""),"Arx Fatalis")</f>
        <v>Arx Fatalis</v>
      </c>
      <c r="B147" s="55" t="str">
        <f>IFERROR(__xludf.DUMMYFUNCTION("""COMPUTED_VALUE"""),"PC")</f>
        <v>PC</v>
      </c>
      <c r="C147" s="55"/>
      <c r="D147" s="56" t="str">
        <f>IFERROR(__xludf.DUMMYFUNCTION("""COMPUTED_VALUE"""),"Active")</f>
        <v>Active</v>
      </c>
      <c r="E147" s="57">
        <f>IFERROR(__xludf.DUMMYFUNCTION("""COMPUTED_VALUE"""),44360.0)</f>
        <v>44360</v>
      </c>
      <c r="F147" s="58"/>
      <c r="G147" s="60">
        <f>IFERROR(__xludf.DUMMYFUNCTION("""COMPUTED_VALUE"""),63.766666666666666)</f>
        <v>63.76666667</v>
      </c>
      <c r="H147" s="63">
        <f>IFERROR(__xludf.DUMMYFUNCTION("""COMPUTED_VALUE"""),37571.0)</f>
        <v>37571</v>
      </c>
      <c r="I147" s="60">
        <f>IFERROR(__xludf.DUMMYFUNCTION("""COMPUTED_VALUE"""),18.58888888888889)</f>
        <v>18.58888889</v>
      </c>
      <c r="J147" s="64">
        <f>IFERROR(__xludf.DUMMYFUNCTION("""COMPUTED_VALUE"""),77.0)</f>
        <v>77</v>
      </c>
      <c r="K147" s="64">
        <f>IFERROR(__xludf.DUMMYFUNCTION("""COMPUTED_VALUE"""),20.0)</f>
        <v>20</v>
      </c>
      <c r="L147" s="55" t="str">
        <f>IFERROR(__xludf.DUMMYFUNCTION("""COMPUTED_VALUE"""),"RPG")</f>
        <v>RPG</v>
      </c>
      <c r="M147" s="55"/>
      <c r="N147" s="55" t="str">
        <f>IFERROR(__xludf.DUMMYFUNCTION("""COMPUTED_VALUE"""),"Official PC Mod Support")</f>
        <v>Official PC Mod Support</v>
      </c>
      <c r="O147" s="55" t="str">
        <f>IFERROR(__xludf.DUMMYFUNCTION("""COMPUTED_VALUE"""),"M")</f>
        <v>M</v>
      </c>
      <c r="P147" s="55" t="str">
        <f>IFERROR(__xludf.DUMMYFUNCTION("""COMPUTED_VALUE"""),"Violence, Blood, Simulated Gambling")</f>
        <v>Violence, Blood, Simulated Gambling</v>
      </c>
      <c r="Q147" s="55"/>
      <c r="R147" s="56" t="str">
        <f>IFERROR(__xludf.DUMMYFUNCTION("""COMPUTED_VALUE"""),"Active")</f>
        <v>Active</v>
      </c>
      <c r="S147" s="57">
        <f>IFERROR(__xludf.DUMMYFUNCTION("""COMPUTED_VALUE"""),45931.0)</f>
        <v>45931</v>
      </c>
      <c r="T147" s="60">
        <f>IFERROR(__xludf.DUMMYFUNCTION("""COMPUTED_VALUE"""),51.599999999999994)</f>
        <v>51.6</v>
      </c>
    </row>
    <row r="148">
      <c r="A148" s="55" t="str">
        <f>IFERROR(__xludf.DUMMYFUNCTION("""COMPUTED_VALUE"""),"Fallout")</f>
        <v>Fallout</v>
      </c>
      <c r="B148" s="55" t="str">
        <f>IFERROR(__xludf.DUMMYFUNCTION("""COMPUTED_VALUE"""),"PC")</f>
        <v>PC</v>
      </c>
      <c r="C148" s="55"/>
      <c r="D148" s="56" t="str">
        <f>IFERROR(__xludf.DUMMYFUNCTION("""COMPUTED_VALUE"""),"Active")</f>
        <v>Active</v>
      </c>
      <c r="E148" s="57">
        <f>IFERROR(__xludf.DUMMYFUNCTION("""COMPUTED_VALUE"""),44360.0)</f>
        <v>44360</v>
      </c>
      <c r="F148" s="58"/>
      <c r="G148" s="60">
        <f>IFERROR(__xludf.DUMMYFUNCTION("""COMPUTED_VALUE"""),63.766666666666666)</f>
        <v>63.76666667</v>
      </c>
      <c r="H148" s="63">
        <f>IFERROR(__xludf.DUMMYFUNCTION("""COMPUTED_VALUE"""),35703.0)</f>
        <v>35703</v>
      </c>
      <c r="I148" s="60">
        <f>IFERROR(__xludf.DUMMYFUNCTION("""COMPUTED_VALUE"""),23.70277777777778)</f>
        <v>23.70277778</v>
      </c>
      <c r="J148" s="64">
        <f>IFERROR(__xludf.DUMMYFUNCTION("""COMPUTED_VALUE"""),89.0)</f>
        <v>89</v>
      </c>
      <c r="K148" s="64">
        <f>IFERROR(__xludf.DUMMYFUNCTION("""COMPUTED_VALUE"""),16.0)</f>
        <v>16</v>
      </c>
      <c r="L148" s="55" t="str">
        <f>IFERROR(__xludf.DUMMYFUNCTION("""COMPUTED_VALUE"""),"RPG")</f>
        <v>RPG</v>
      </c>
      <c r="M148" s="55"/>
      <c r="N148" s="55" t="str">
        <f>IFERROR(__xludf.DUMMYFUNCTION("""COMPUTED_VALUE"""),"Official PC Mod Support")</f>
        <v>Official PC Mod Support</v>
      </c>
      <c r="O148" s="55" t="str">
        <f>IFERROR(__xludf.DUMMYFUNCTION("""COMPUTED_VALUE"""),"M")</f>
        <v>M</v>
      </c>
      <c r="P148" s="55" t="str">
        <f>IFERROR(__xludf.DUMMYFUNCTION("""COMPUTED_VALUE"""),"Blood and Gore, Strong Language, Suggestive Themes, Violence")</f>
        <v>Blood and Gore, Strong Language, Suggestive Themes, Violence</v>
      </c>
      <c r="Q148" s="55"/>
      <c r="R148" s="56" t="str">
        <f>IFERROR(__xludf.DUMMYFUNCTION("""COMPUTED_VALUE"""),"Active")</f>
        <v>Active</v>
      </c>
      <c r="S148" s="57">
        <f>IFERROR(__xludf.DUMMYFUNCTION("""COMPUTED_VALUE"""),45931.0)</f>
        <v>45931</v>
      </c>
      <c r="T148" s="60">
        <f>IFERROR(__xludf.DUMMYFUNCTION("""COMPUTED_VALUE"""),51.599999999999994)</f>
        <v>51.6</v>
      </c>
    </row>
    <row r="149">
      <c r="A149" s="55" t="str">
        <f>IFERROR(__xludf.DUMMYFUNCTION("""COMPUTED_VALUE"""),"Fallout 2")</f>
        <v>Fallout 2</v>
      </c>
      <c r="B149" s="55" t="str">
        <f>IFERROR(__xludf.DUMMYFUNCTION("""COMPUTED_VALUE"""),"PC")</f>
        <v>PC</v>
      </c>
      <c r="C149" s="55"/>
      <c r="D149" s="56" t="str">
        <f>IFERROR(__xludf.DUMMYFUNCTION("""COMPUTED_VALUE"""),"Active")</f>
        <v>Active</v>
      </c>
      <c r="E149" s="57">
        <f>IFERROR(__xludf.DUMMYFUNCTION("""COMPUTED_VALUE"""),44360.0)</f>
        <v>44360</v>
      </c>
      <c r="F149" s="58"/>
      <c r="G149" s="60">
        <f>IFERROR(__xludf.DUMMYFUNCTION("""COMPUTED_VALUE"""),63.766666666666666)</f>
        <v>63.76666667</v>
      </c>
      <c r="H149" s="63">
        <f>IFERROR(__xludf.DUMMYFUNCTION("""COMPUTED_VALUE"""),36068.0)</f>
        <v>36068</v>
      </c>
      <c r="I149" s="60">
        <f>IFERROR(__xludf.DUMMYFUNCTION("""COMPUTED_VALUE"""),22.70277777777778)</f>
        <v>22.70277778</v>
      </c>
      <c r="J149" s="64">
        <f>IFERROR(__xludf.DUMMYFUNCTION("""COMPUTED_VALUE"""),86.0)</f>
        <v>86</v>
      </c>
      <c r="K149" s="64">
        <f>IFERROR(__xludf.DUMMYFUNCTION("""COMPUTED_VALUE"""),30.5)</f>
        <v>30.5</v>
      </c>
      <c r="L149" s="55" t="str">
        <f>IFERROR(__xludf.DUMMYFUNCTION("""COMPUTED_VALUE"""),"RPG")</f>
        <v>RPG</v>
      </c>
      <c r="M149" s="55"/>
      <c r="N149" s="55" t="str">
        <f>IFERROR(__xludf.DUMMYFUNCTION("""COMPUTED_VALUE"""),"Official PC Mod Support")</f>
        <v>Official PC Mod Support</v>
      </c>
      <c r="O149" s="55" t="str">
        <f>IFERROR(__xludf.DUMMYFUNCTION("""COMPUTED_VALUE"""),"M")</f>
        <v>M</v>
      </c>
      <c r="P149" s="55" t="str">
        <f>IFERROR(__xludf.DUMMYFUNCTION("""COMPUTED_VALUE"""),"Blood and Gore, Sexual Content, Strong Language, Violence")</f>
        <v>Blood and Gore, Sexual Content, Strong Language, Violence</v>
      </c>
      <c r="Q149" s="55"/>
      <c r="R149" s="56" t="str">
        <f>IFERROR(__xludf.DUMMYFUNCTION("""COMPUTED_VALUE"""),"Active")</f>
        <v>Active</v>
      </c>
      <c r="S149" s="57">
        <f>IFERROR(__xludf.DUMMYFUNCTION("""COMPUTED_VALUE"""),45931.0)</f>
        <v>45931</v>
      </c>
      <c r="T149" s="60">
        <f>IFERROR(__xludf.DUMMYFUNCTION("""COMPUTED_VALUE"""),51.599999999999994)</f>
        <v>51.6</v>
      </c>
    </row>
    <row r="150">
      <c r="A150" s="55" t="str">
        <f>IFERROR(__xludf.DUMMYFUNCTION("""COMPUTED_VALUE"""),"Fallout Tactics: Brotherhood of Steel")</f>
        <v>Fallout Tactics: Brotherhood of Steel</v>
      </c>
      <c r="B150" s="55" t="str">
        <f>IFERROR(__xludf.DUMMYFUNCTION("""COMPUTED_VALUE"""),"PC")</f>
        <v>PC</v>
      </c>
      <c r="C150" s="55"/>
      <c r="D150" s="56" t="str">
        <f>IFERROR(__xludf.DUMMYFUNCTION("""COMPUTED_VALUE"""),"Active")</f>
        <v>Active</v>
      </c>
      <c r="E150" s="57">
        <f>IFERROR(__xludf.DUMMYFUNCTION("""COMPUTED_VALUE"""),44360.0)</f>
        <v>44360</v>
      </c>
      <c r="F150" s="58"/>
      <c r="G150" s="60">
        <f>IFERROR(__xludf.DUMMYFUNCTION("""COMPUTED_VALUE"""),63.766666666666666)</f>
        <v>63.76666667</v>
      </c>
      <c r="H150" s="63">
        <f>IFERROR(__xludf.DUMMYFUNCTION("""COMPUTED_VALUE"""),36964.0)</f>
        <v>36964</v>
      </c>
      <c r="I150" s="60">
        <f>IFERROR(__xludf.DUMMYFUNCTION("""COMPUTED_VALUE"""),20.247222222222224)</f>
        <v>20.24722222</v>
      </c>
      <c r="J150" s="64">
        <f>IFERROR(__xludf.DUMMYFUNCTION("""COMPUTED_VALUE"""),82.0)</f>
        <v>82</v>
      </c>
      <c r="K150" s="64">
        <f>IFERROR(__xludf.DUMMYFUNCTION("""COMPUTED_VALUE"""),31.0)</f>
        <v>31</v>
      </c>
      <c r="L150" s="55" t="str">
        <f>IFERROR(__xludf.DUMMYFUNCTION("""COMPUTED_VALUE"""),"RPG")</f>
        <v>RPG</v>
      </c>
      <c r="M150" s="55"/>
      <c r="N150" s="55" t="str">
        <f>IFERROR(__xludf.DUMMYFUNCTION("""COMPUTED_VALUE"""),"Official PC Mod Support")</f>
        <v>Official PC Mod Support</v>
      </c>
      <c r="O150" s="55" t="str">
        <f>IFERROR(__xludf.DUMMYFUNCTION("""COMPUTED_VALUE"""),"M")</f>
        <v>M</v>
      </c>
      <c r="P150" s="55" t="str">
        <f>IFERROR(__xludf.DUMMYFUNCTION("""COMPUTED_VALUE"""),"Violence, Blood, Strong Language")</f>
        <v>Violence, Blood, Strong Language</v>
      </c>
      <c r="Q150" s="55"/>
      <c r="R150" s="56" t="str">
        <f>IFERROR(__xludf.DUMMYFUNCTION("""COMPUTED_VALUE"""),"Active")</f>
        <v>Active</v>
      </c>
      <c r="S150" s="57">
        <f>IFERROR(__xludf.DUMMYFUNCTION("""COMPUTED_VALUE"""),45931.0)</f>
        <v>45931</v>
      </c>
      <c r="T150" s="60">
        <f>IFERROR(__xludf.DUMMYFUNCTION("""COMPUTED_VALUE"""),51.599999999999994)</f>
        <v>51.6</v>
      </c>
    </row>
    <row r="151">
      <c r="A151" s="55" t="str">
        <f>IFERROR(__xludf.DUMMYFUNCTION("""COMPUTED_VALUE"""),"Age of Empires III: Definitive Edition")</f>
        <v>Age of Empires III: Definitive Edition</v>
      </c>
      <c r="B151" s="55" t="str">
        <f>IFERROR(__xludf.DUMMYFUNCTION("""COMPUTED_VALUE"""),"PC")</f>
        <v>PC</v>
      </c>
      <c r="C151" s="55"/>
      <c r="D151" s="56" t="str">
        <f>IFERROR(__xludf.DUMMYFUNCTION("""COMPUTED_VALUE"""),"Active")</f>
        <v>Active</v>
      </c>
      <c r="E151" s="57">
        <f>IFERROR(__xludf.DUMMYFUNCTION("""COMPUTED_VALUE"""),44119.0)</f>
        <v>44119</v>
      </c>
      <c r="F151" s="58"/>
      <c r="G151" s="60">
        <f>IFERROR(__xludf.DUMMYFUNCTION("""COMPUTED_VALUE"""),71.69999999999999)</f>
        <v>71.7</v>
      </c>
      <c r="H151" s="63">
        <f>IFERROR(__xludf.DUMMYFUNCTION("""COMPUTED_VALUE"""),44119.0)</f>
        <v>44119</v>
      </c>
      <c r="I151" s="60">
        <f>IFERROR(__xludf.DUMMYFUNCTION("""COMPUTED_VALUE"""),0.0)</f>
        <v>0</v>
      </c>
      <c r="J151" s="64">
        <f>IFERROR(__xludf.DUMMYFUNCTION("""COMPUTED_VALUE"""),76.0)</f>
        <v>76</v>
      </c>
      <c r="K151" s="64">
        <f>IFERROR(__xludf.DUMMYFUNCTION("""COMPUTED_VALUE"""),10.5)</f>
        <v>10.5</v>
      </c>
      <c r="L151" s="55" t="str">
        <f>IFERROR(__xludf.DUMMYFUNCTION("""COMPUTED_VALUE"""),"Strategy")</f>
        <v>Strategy</v>
      </c>
      <c r="M151" s="55"/>
      <c r="N151" s="55"/>
      <c r="O151" s="55" t="str">
        <f>IFERROR(__xludf.DUMMYFUNCTION("""COMPUTED_VALUE"""),"T")</f>
        <v>T</v>
      </c>
      <c r="P151" s="55" t="str">
        <f>IFERROR(__xludf.DUMMYFUNCTION("""COMPUTED_VALUE"""),"Mild Blood, Violence")</f>
        <v>Mild Blood, Violence</v>
      </c>
      <c r="Q151" s="55"/>
      <c r="R151" s="56" t="str">
        <f>IFERROR(__xludf.DUMMYFUNCTION("""COMPUTED_VALUE"""),"Active")</f>
        <v>Active</v>
      </c>
      <c r="S151" s="57">
        <f>IFERROR(__xludf.DUMMYFUNCTION("""COMPUTED_VALUE"""),45931.0)</f>
        <v>45931</v>
      </c>
      <c r="T151" s="60">
        <f>IFERROR(__xludf.DUMMYFUNCTION("""COMPUTED_VALUE"""),59.53333333333333)</f>
        <v>59.53333333</v>
      </c>
    </row>
    <row r="152">
      <c r="A152" s="55" t="str">
        <f>IFERROR(__xludf.DUMMYFUNCTION("""COMPUTED_VALUE"""),"BattleTech")</f>
        <v>BattleTech</v>
      </c>
      <c r="B152" s="55" t="str">
        <f>IFERROR(__xludf.DUMMYFUNCTION("""COMPUTED_VALUE"""),"PC")</f>
        <v>PC</v>
      </c>
      <c r="C152" s="55"/>
      <c r="D152" s="56" t="str">
        <f>IFERROR(__xludf.DUMMYFUNCTION("""COMPUTED_VALUE"""),"Active")</f>
        <v>Active</v>
      </c>
      <c r="E152" s="57">
        <f>IFERROR(__xludf.DUMMYFUNCTION("""COMPUTED_VALUE"""),43993.0)</f>
        <v>43993</v>
      </c>
      <c r="F152" s="58"/>
      <c r="G152" s="60">
        <f>IFERROR(__xludf.DUMMYFUNCTION("""COMPUTED_VALUE"""),75.83333333333334)</f>
        <v>75.83333333</v>
      </c>
      <c r="H152" s="63">
        <f>IFERROR(__xludf.DUMMYFUNCTION("""COMPUTED_VALUE"""),43214.0)</f>
        <v>43214</v>
      </c>
      <c r="I152" s="60">
        <f>IFERROR(__xludf.DUMMYFUNCTION("""COMPUTED_VALUE"""),2.1305555555555555)</f>
        <v>2.130555556</v>
      </c>
      <c r="J152" s="64">
        <f>IFERROR(__xludf.DUMMYFUNCTION("""COMPUTED_VALUE"""),78.0)</f>
        <v>78</v>
      </c>
      <c r="K152" s="64">
        <f>IFERROR(__xludf.DUMMYFUNCTION("""COMPUTED_VALUE"""),54.0)</f>
        <v>54</v>
      </c>
      <c r="L152" s="55" t="str">
        <f>IFERROR(__xludf.DUMMYFUNCTION("""COMPUTED_VALUE"""),"RPG")</f>
        <v>RPG</v>
      </c>
      <c r="M152" s="55"/>
      <c r="N152" s="55"/>
      <c r="O152" s="55" t="str">
        <f>IFERROR(__xludf.DUMMYFUNCTION("""COMPUTED_VALUE"""),"T")</f>
        <v>T</v>
      </c>
      <c r="P152" s="55" t="str">
        <f>IFERROR(__xludf.DUMMYFUNCTION("""COMPUTED_VALUE"""),"Violence, Use of Alcohol And Tobacco, Language")</f>
        <v>Violence, Use of Alcohol And Tobacco, Language</v>
      </c>
      <c r="Q152" s="55"/>
      <c r="R152" s="56" t="str">
        <f>IFERROR(__xludf.DUMMYFUNCTION("""COMPUTED_VALUE"""),"Active")</f>
        <v>Active</v>
      </c>
      <c r="S152" s="57">
        <f>IFERROR(__xludf.DUMMYFUNCTION("""COMPUTED_VALUE"""),45931.0)</f>
        <v>45931</v>
      </c>
      <c r="T152" s="60">
        <f>IFERROR(__xludf.DUMMYFUNCTION("""COMPUTED_VALUE"""),63.666666666666664)</f>
        <v>63.66666667</v>
      </c>
    </row>
    <row r="153">
      <c r="A153" s="55" t="str">
        <f>IFERROR(__xludf.DUMMYFUNCTION("""COMPUTED_VALUE"""),"Age of Empires: Definitive Edition")</f>
        <v>Age of Empires: Definitive Edition</v>
      </c>
      <c r="B153" s="55" t="str">
        <f>IFERROR(__xludf.DUMMYFUNCTION("""COMPUTED_VALUE"""),"PC")</f>
        <v>PC</v>
      </c>
      <c r="C153" s="55"/>
      <c r="D153" s="56" t="str">
        <f>IFERROR(__xludf.DUMMYFUNCTION("""COMPUTED_VALUE"""),"Active")</f>
        <v>Active</v>
      </c>
      <c r="E153" s="57">
        <f>IFERROR(__xludf.DUMMYFUNCTION("""COMPUTED_VALUE"""),43696.0)</f>
        <v>43696</v>
      </c>
      <c r="F153" s="58"/>
      <c r="G153" s="60">
        <f>IFERROR(__xludf.DUMMYFUNCTION("""COMPUTED_VALUE"""),85.56666666666666)</f>
        <v>85.56666667</v>
      </c>
      <c r="H153" s="63">
        <f>IFERROR(__xludf.DUMMYFUNCTION("""COMPUTED_VALUE"""),43150.0)</f>
        <v>43150</v>
      </c>
      <c r="I153" s="60">
        <f>IFERROR(__xludf.DUMMYFUNCTION("""COMPUTED_VALUE"""),1.5)</f>
        <v>1.5</v>
      </c>
      <c r="J153" s="64">
        <f>IFERROR(__xludf.DUMMYFUNCTION("""COMPUTED_VALUE"""),83.0)</f>
        <v>83</v>
      </c>
      <c r="K153" s="64">
        <f>IFERROR(__xludf.DUMMYFUNCTION("""COMPUTED_VALUE"""),39.5)</f>
        <v>39.5</v>
      </c>
      <c r="L153" s="55" t="str">
        <f>IFERROR(__xludf.DUMMYFUNCTION("""COMPUTED_VALUE"""),"Strategy")</f>
        <v>Strategy</v>
      </c>
      <c r="M153" s="55"/>
      <c r="N153" s="55"/>
      <c r="O153" s="55" t="str">
        <f>IFERROR(__xludf.DUMMYFUNCTION("""COMPUTED_VALUE"""),"T")</f>
        <v>T</v>
      </c>
      <c r="P153" s="55" t="str">
        <f>IFERROR(__xludf.DUMMYFUNCTION("""COMPUTED_VALUE"""),"Blood, Mild Violence")</f>
        <v>Blood, Mild Violence</v>
      </c>
      <c r="Q153" s="55"/>
      <c r="R153" s="56" t="str">
        <f>IFERROR(__xludf.DUMMYFUNCTION("""COMPUTED_VALUE"""),"Active")</f>
        <v>Active</v>
      </c>
      <c r="S153" s="57">
        <f>IFERROR(__xludf.DUMMYFUNCTION("""COMPUTED_VALUE"""),45931.0)</f>
        <v>45931</v>
      </c>
      <c r="T153" s="60">
        <f>IFERROR(__xludf.DUMMYFUNCTION("""COMPUTED_VALUE"""),73.39999999999999)</f>
        <v>73.4</v>
      </c>
    </row>
    <row r="154">
      <c r="A154" s="55" t="str">
        <f>IFERROR(__xludf.DUMMYFUNCTION("""COMPUTED_VALUE"""),"Halo: Spartan Strike")</f>
        <v>Halo: Spartan Strike</v>
      </c>
      <c r="B154" s="55" t="str">
        <f>IFERROR(__xludf.DUMMYFUNCTION("""COMPUTED_VALUE"""),"PC")</f>
        <v>PC</v>
      </c>
      <c r="C154" s="55"/>
      <c r="D154" s="56" t="str">
        <f>IFERROR(__xludf.DUMMYFUNCTION("""COMPUTED_VALUE"""),"Active")</f>
        <v>Active</v>
      </c>
      <c r="E154" s="57">
        <f>IFERROR(__xludf.DUMMYFUNCTION("""COMPUTED_VALUE"""),43625.0)</f>
        <v>43625</v>
      </c>
      <c r="F154" s="58"/>
      <c r="G154" s="60">
        <f>IFERROR(__xludf.DUMMYFUNCTION("""COMPUTED_VALUE"""),87.9)</f>
        <v>87.9</v>
      </c>
      <c r="H154" s="63">
        <f>IFERROR(__xludf.DUMMYFUNCTION("""COMPUTED_VALUE"""),42110.0)</f>
        <v>42110</v>
      </c>
      <c r="I154" s="60">
        <f>IFERROR(__xludf.DUMMYFUNCTION("""COMPUTED_VALUE"""),4.147222222222222)</f>
        <v>4.147222222</v>
      </c>
      <c r="J154" s="64">
        <f>IFERROR(__xludf.DUMMYFUNCTION("""COMPUTED_VALUE"""),66.0)</f>
        <v>66</v>
      </c>
      <c r="K154" s="64">
        <f>IFERROR(__xludf.DUMMYFUNCTION("""COMPUTED_VALUE"""),5.5)</f>
        <v>5.5</v>
      </c>
      <c r="L154" s="55" t="str">
        <f>IFERROR(__xludf.DUMMYFUNCTION("""COMPUTED_VALUE"""),"Shooter")</f>
        <v>Shooter</v>
      </c>
      <c r="M154" s="55"/>
      <c r="N154" s="55"/>
      <c r="O154" s="55" t="str">
        <f>IFERROR(__xludf.DUMMYFUNCTION("""COMPUTED_VALUE"""),"E10+")</f>
        <v>E10+</v>
      </c>
      <c r="P154" s="55" t="str">
        <f>IFERROR(__xludf.DUMMYFUNCTION("""COMPUTED_VALUE"""),"Fantasy Violence, Mild Blood")</f>
        <v>Fantasy Violence, Mild Blood</v>
      </c>
      <c r="Q154" s="55"/>
      <c r="R154" s="56" t="str">
        <f>IFERROR(__xludf.DUMMYFUNCTION("""COMPUTED_VALUE"""),"Active")</f>
        <v>Active</v>
      </c>
      <c r="S154" s="57">
        <f>IFERROR(__xludf.DUMMYFUNCTION("""COMPUTED_VALUE"""),45931.0)</f>
        <v>45931</v>
      </c>
      <c r="T154" s="60">
        <f>IFERROR(__xludf.DUMMYFUNCTION("""COMPUTED_VALUE"""),75.73333333333333)</f>
        <v>75.73333333</v>
      </c>
    </row>
    <row r="155">
      <c r="A155" s="55" t="str">
        <f>IFERROR(__xludf.DUMMYFUNCTION("""COMPUTED_VALUE"""),"Rise of Nations: Extended Edition")</f>
        <v>Rise of Nations: Extended Edition</v>
      </c>
      <c r="B155" s="55" t="str">
        <f>IFERROR(__xludf.DUMMYFUNCTION("""COMPUTED_VALUE"""),"PC")</f>
        <v>PC</v>
      </c>
      <c r="C155" s="55"/>
      <c r="D155" s="56" t="str">
        <f>IFERROR(__xludf.DUMMYFUNCTION("""COMPUTED_VALUE"""),"Active")</f>
        <v>Active</v>
      </c>
      <c r="E155" s="57">
        <f>IFERROR(__xludf.DUMMYFUNCTION("""COMPUTED_VALUE"""),43625.0)</f>
        <v>43625</v>
      </c>
      <c r="F155" s="58"/>
      <c r="G155" s="60">
        <f>IFERROR(__xludf.DUMMYFUNCTION("""COMPUTED_VALUE"""),87.9)</f>
        <v>87.9</v>
      </c>
      <c r="H155" s="63">
        <f>IFERROR(__xludf.DUMMYFUNCTION("""COMPUTED_VALUE"""),37761.0)</f>
        <v>37761</v>
      </c>
      <c r="I155" s="60">
        <f>IFERROR(__xludf.DUMMYFUNCTION("""COMPUTED_VALUE"""),16.052777777777777)</f>
        <v>16.05277778</v>
      </c>
      <c r="J155" s="64">
        <f>IFERROR(__xludf.DUMMYFUNCTION("""COMPUTED_VALUE"""),89.0)</f>
        <v>89</v>
      </c>
      <c r="K155" s="64">
        <f>IFERROR(__xludf.DUMMYFUNCTION("""COMPUTED_VALUE"""),18.0)</f>
        <v>18</v>
      </c>
      <c r="L155" s="55" t="str">
        <f>IFERROR(__xludf.DUMMYFUNCTION("""COMPUTED_VALUE"""),"Strategy")</f>
        <v>Strategy</v>
      </c>
      <c r="M155" s="55"/>
      <c r="N155" s="55"/>
      <c r="O155" s="55" t="str">
        <f>IFERROR(__xludf.DUMMYFUNCTION("""COMPUTED_VALUE"""),"T")</f>
        <v>T</v>
      </c>
      <c r="P155" s="55" t="str">
        <f>IFERROR(__xludf.DUMMYFUNCTION("""COMPUTED_VALUE"""),"Blood and Gore, Violence")</f>
        <v>Blood and Gore, Violence</v>
      </c>
      <c r="Q155" s="55"/>
      <c r="R155" s="56" t="str">
        <f>IFERROR(__xludf.DUMMYFUNCTION("""COMPUTED_VALUE"""),"Active")</f>
        <v>Active</v>
      </c>
      <c r="S155" s="57">
        <f>IFERROR(__xludf.DUMMYFUNCTION("""COMPUTED_VALUE"""),45931.0)</f>
        <v>45931</v>
      </c>
      <c r="T155" s="60">
        <f>IFERROR(__xludf.DUMMYFUNCTION("""COMPUTED_VALUE"""),75.73333333333333)</f>
        <v>75.73333333</v>
      </c>
    </row>
    <row r="156">
      <c r="A156" s="55" t="str">
        <f>IFERROR(__xludf.DUMMYFUNCTION("""COMPUTED_VALUE"""),"Crime Scene Cleaner")</f>
        <v>Crime Scene Cleaner</v>
      </c>
      <c r="B156" s="55" t="str">
        <f>IFERROR(__xludf.DUMMYFUNCTION("""COMPUTED_VALUE"""),"Xbox / PC")</f>
        <v>Xbox / PC</v>
      </c>
      <c r="C156" s="55" t="str">
        <f>IFERROR(__xludf.DUMMYFUNCTION("""COMPUTED_VALUE"""),"Yes")</f>
        <v>Yes</v>
      </c>
      <c r="D156" s="56" t="str">
        <f>IFERROR(__xludf.DUMMYFUNCTION("""COMPUTED_VALUE"""),"Leaving Soon")</f>
        <v>Leaving Soon</v>
      </c>
      <c r="E156" s="57">
        <f>IFERROR(__xludf.DUMMYFUNCTION("""COMPUTED_VALUE"""),45764.0)</f>
        <v>45764</v>
      </c>
      <c r="F156" s="58">
        <f>IFERROR(__xludf.DUMMYFUNCTION("""COMPUTED_VALUE"""),46310.0)</f>
        <v>46310</v>
      </c>
      <c r="G156" s="60">
        <f>IFERROR(__xludf.DUMMYFUNCTION("""COMPUTED_VALUE"""),17.933333333333334)</f>
        <v>17.93333333</v>
      </c>
      <c r="H156" s="63">
        <f>IFERROR(__xludf.DUMMYFUNCTION("""COMPUTED_VALUE"""),45518.0)</f>
        <v>45518</v>
      </c>
      <c r="I156" s="60">
        <f>IFERROR(__xludf.DUMMYFUNCTION("""COMPUTED_VALUE"""),0.675)</f>
        <v>0.675</v>
      </c>
      <c r="J156" s="64">
        <f>IFERROR(__xludf.DUMMYFUNCTION("""COMPUTED_VALUE"""),76.66666666666667)</f>
        <v>76.66666667</v>
      </c>
      <c r="K156" s="64">
        <f>IFERROR(__xludf.DUMMYFUNCTION("""COMPUTED_VALUE"""),13.0)</f>
        <v>13</v>
      </c>
      <c r="L156" s="55" t="str">
        <f>IFERROR(__xludf.DUMMYFUNCTION("""COMPUTED_VALUE"""),"Simulation")</f>
        <v>Simulation</v>
      </c>
      <c r="M156" s="55" t="str">
        <f>IFERROR(__xludf.DUMMYFUNCTION("""COMPUTED_VALUE"""),"Exclusive")</f>
        <v>Exclusive</v>
      </c>
      <c r="N156" s="55"/>
      <c r="O156" s="55"/>
      <c r="P156" s="55"/>
      <c r="Q156" s="55"/>
      <c r="R156" s="56" t="str">
        <f>IFERROR(__xludf.DUMMYFUNCTION("""COMPUTED_VALUE"""),"Leaving Soon")</f>
        <v>Leaving Soon</v>
      </c>
      <c r="S156" s="57">
        <f>IFERROR(__xludf.DUMMYFUNCTION("""COMPUTED_VALUE"""),45931.0)</f>
        <v>45931</v>
      </c>
      <c r="T156" s="60">
        <f>IFERROR(__xludf.DUMMYFUNCTION("""COMPUTED_VALUE"""),5.466666666666667)</f>
        <v>5.466666667</v>
      </c>
    </row>
    <row r="157">
      <c r="A157" s="55" t="str">
        <f>IFERROR(__xludf.DUMMYFUNCTION("""COMPUTED_VALUE"""),"Visions of Mana")</f>
        <v>Visions of Mana</v>
      </c>
      <c r="B157" s="55" t="str">
        <f>IFERROR(__xludf.DUMMYFUNCTION("""COMPUTED_VALUE"""),"Xbox / PC")</f>
        <v>Xbox / PC</v>
      </c>
      <c r="C157" s="55" t="str">
        <f>IFERROR(__xludf.DUMMYFUNCTION("""COMPUTED_VALUE"""),"Yes")</f>
        <v>Yes</v>
      </c>
      <c r="D157" s="56" t="str">
        <f>IFERROR(__xludf.DUMMYFUNCTION("""COMPUTED_VALUE"""),"Active")</f>
        <v>Active</v>
      </c>
      <c r="E157" s="57">
        <f>IFERROR(__xludf.DUMMYFUNCTION("""COMPUTED_VALUE"""),45925.0)</f>
        <v>45925</v>
      </c>
      <c r="F157" s="58"/>
      <c r="G157" s="60">
        <f>IFERROR(__xludf.DUMMYFUNCTION("""COMPUTED_VALUE"""),12.366666666666665)</f>
        <v>12.36666667</v>
      </c>
      <c r="H157" s="63">
        <f>IFERROR(__xludf.DUMMYFUNCTION("""COMPUTED_VALUE"""),45533.0)</f>
        <v>45533</v>
      </c>
      <c r="I157" s="60">
        <f>IFERROR(__xludf.DUMMYFUNCTION("""COMPUTED_VALUE"""),1.0722222222222222)</f>
        <v>1.072222222</v>
      </c>
      <c r="J157" s="64">
        <f>IFERROR(__xludf.DUMMYFUNCTION("""COMPUTED_VALUE"""),75.0)</f>
        <v>75</v>
      </c>
      <c r="K157" s="64">
        <f>IFERROR(__xludf.DUMMYFUNCTION("""COMPUTED_VALUE"""),29.0)</f>
        <v>29</v>
      </c>
      <c r="L157" s="55" t="str">
        <f>IFERROR(__xludf.DUMMYFUNCTION("""COMPUTED_VALUE"""),"RPG")</f>
        <v>RPG</v>
      </c>
      <c r="M157" s="55" t="str">
        <f>IFERROR(__xludf.DUMMYFUNCTION("""COMPUTED_VALUE"""),"Exclusive")</f>
        <v>Exclusive</v>
      </c>
      <c r="N157" s="55"/>
      <c r="O157" s="55"/>
      <c r="P157" s="55"/>
      <c r="Q157" s="55"/>
      <c r="R157" s="56" t="str">
        <f>IFERROR(__xludf.DUMMYFUNCTION("""COMPUTED_VALUE"""),"Active")</f>
        <v>Active</v>
      </c>
      <c r="S157" s="57">
        <f>IFERROR(__xludf.DUMMYFUNCTION("""COMPUTED_VALUE"""),45925.0)</f>
        <v>45925</v>
      </c>
      <c r="T157" s="60">
        <f>IFERROR(__xludf.DUMMYFUNCTION("""COMPUTED_VALUE"""),0.0)</f>
        <v>0</v>
      </c>
    </row>
    <row r="158">
      <c r="A158" s="55" t="str">
        <f>IFERROR(__xludf.DUMMYFUNCTION("""COMPUTED_VALUE"""),"Hades")</f>
        <v>Hades</v>
      </c>
      <c r="B158" s="55" t="str">
        <f>IFERROR(__xludf.DUMMYFUNCTION("""COMPUTED_VALUE"""),"Xbox / PC")</f>
        <v>Xbox / PC</v>
      </c>
      <c r="C158" s="55" t="str">
        <f>IFERROR(__xludf.DUMMYFUNCTION("""COMPUTED_VALUE"""),"Touch Controls")</f>
        <v>Touch Controls</v>
      </c>
      <c r="D158" s="56" t="str">
        <f>IFERROR(__xludf.DUMMYFUNCTION("""COMPUTED_VALUE"""),"Active")</f>
        <v>Active</v>
      </c>
      <c r="E158" s="57">
        <f>IFERROR(__xludf.DUMMYFUNCTION("""COMPUTED_VALUE"""),45919.0)</f>
        <v>45919</v>
      </c>
      <c r="F158" s="58"/>
      <c r="G158" s="60">
        <f>IFERROR(__xludf.DUMMYFUNCTION("""COMPUTED_VALUE"""),12.566666666666666)</f>
        <v>12.56666667</v>
      </c>
      <c r="H158" s="63">
        <f>IFERROR(__xludf.DUMMYFUNCTION("""COMPUTED_VALUE"""),43441.0)</f>
        <v>43441</v>
      </c>
      <c r="I158" s="60">
        <f>IFERROR(__xludf.DUMMYFUNCTION("""COMPUTED_VALUE"""),6.783333333333333)</f>
        <v>6.783333333</v>
      </c>
      <c r="J158" s="64">
        <f>IFERROR(__xludf.DUMMYFUNCTION("""COMPUTED_VALUE"""),93.5)</f>
        <v>93.5</v>
      </c>
      <c r="K158" s="64">
        <f>IFERROR(__xludf.DUMMYFUNCTION("""COMPUTED_VALUE"""),21.0)</f>
        <v>21</v>
      </c>
      <c r="L158" s="55" t="str">
        <f>IFERROR(__xludf.DUMMYFUNCTION("""COMPUTED_VALUE"""),"RPG")</f>
        <v>RPG</v>
      </c>
      <c r="M158" s="55" t="str">
        <f>IFERROR(__xludf.DUMMYFUNCTION("""COMPUTED_VALUE"""),"Optimized")</f>
        <v>Optimized</v>
      </c>
      <c r="N158" s="55" t="str">
        <f>IFERROR(__xludf.DUMMYFUNCTION("""COMPUTED_VALUE"""),"Game Pass Essential (10/1/25). Returning title: Joined 8/13/21, left 8/31/22")</f>
        <v>Game Pass Essential (10/1/25). Returning title: Joined 8/13/21, left 8/31/22</v>
      </c>
      <c r="O158" s="55" t="str">
        <f>IFERROR(__xludf.DUMMYFUNCTION("""COMPUTED_VALUE"""),"T")</f>
        <v>T</v>
      </c>
      <c r="P158" s="55" t="str">
        <f>IFERROR(__xludf.DUMMYFUNCTION("""COMPUTED_VALUE"""),"Blood, Suggestive Themes, Alcohol Reference, Mild Language, Violence")</f>
        <v>Blood, Suggestive Themes, Alcohol Reference, Mild Language, Violence</v>
      </c>
      <c r="Q158" s="55"/>
      <c r="R158" s="56" t="str">
        <f>IFERROR(__xludf.DUMMYFUNCTION("""COMPUTED_VALUE"""),"Active")</f>
        <v>Active</v>
      </c>
      <c r="S158" s="57">
        <f>IFERROR(__xludf.DUMMYFUNCTION("""COMPUTED_VALUE"""),45919.0)</f>
        <v>45919</v>
      </c>
      <c r="T158" s="60">
        <f>IFERROR(__xludf.DUMMYFUNCTION("""COMPUTED_VALUE"""),0.0)</f>
        <v>0</v>
      </c>
    </row>
    <row r="159">
      <c r="A159" s="55" t="str">
        <f>IFERROR(__xludf.DUMMYFUNCTION("""COMPUTED_VALUE"""),"Wobbly Life")</f>
        <v>Wobbly Life</v>
      </c>
      <c r="B159" s="55" t="str">
        <f>IFERROR(__xludf.DUMMYFUNCTION("""COMPUTED_VALUE"""),"Xbox / PC")</f>
        <v>Xbox / PC</v>
      </c>
      <c r="C159" s="55" t="str">
        <f>IFERROR(__xludf.DUMMYFUNCTION("""COMPUTED_VALUE"""),"Yes")</f>
        <v>Yes</v>
      </c>
      <c r="D159" s="56" t="str">
        <f>IFERROR(__xludf.DUMMYFUNCTION("""COMPUTED_VALUE"""),"Active")</f>
        <v>Active</v>
      </c>
      <c r="E159" s="57">
        <f>IFERROR(__xludf.DUMMYFUNCTION("""COMPUTED_VALUE"""),45918.0)</f>
        <v>45918</v>
      </c>
      <c r="F159" s="58"/>
      <c r="G159" s="60">
        <f>IFERROR(__xludf.DUMMYFUNCTION("""COMPUTED_VALUE"""),12.600000000000001)</f>
        <v>12.6</v>
      </c>
      <c r="H159" s="63">
        <f>IFERROR(__xludf.DUMMYFUNCTION("""COMPUTED_VALUE"""),45898.0)</f>
        <v>45898</v>
      </c>
      <c r="I159" s="60">
        <f>IFERROR(__xludf.DUMMYFUNCTION("""COMPUTED_VALUE"""),0.05277777777777778)</f>
        <v>0.05277777778</v>
      </c>
      <c r="J159" s="64">
        <f>IFERROR(__xludf.DUMMYFUNCTION("""COMPUTED_VALUE"""),80.0)</f>
        <v>80</v>
      </c>
      <c r="K159" s="64">
        <f>IFERROR(__xludf.DUMMYFUNCTION("""COMPUTED_VALUE"""),3.0)</f>
        <v>3</v>
      </c>
      <c r="L159" s="55" t="str">
        <f>IFERROR(__xludf.DUMMYFUNCTION("""COMPUTED_VALUE"""),"Action-Adventure")</f>
        <v>Action-Adventure</v>
      </c>
      <c r="M159" s="55" t="str">
        <f>IFERROR(__xludf.DUMMYFUNCTION("""COMPUTED_VALUE"""),"Exclusive")</f>
        <v>Exclusive</v>
      </c>
      <c r="N159" s="55"/>
      <c r="O159" s="55"/>
      <c r="P159" s="55"/>
      <c r="Q159" s="55"/>
      <c r="R159" s="56" t="str">
        <f>IFERROR(__xludf.DUMMYFUNCTION("""COMPUTED_VALUE"""),"Active")</f>
        <v>Active</v>
      </c>
      <c r="S159" s="57">
        <f>IFERROR(__xludf.DUMMYFUNCTION("""COMPUTED_VALUE"""),45918.0)</f>
        <v>45918</v>
      </c>
      <c r="T159" s="60">
        <f>IFERROR(__xludf.DUMMYFUNCTION("""COMPUTED_VALUE"""),0.0)</f>
        <v>0</v>
      </c>
    </row>
    <row r="160">
      <c r="A160" s="55" t="str">
        <f>IFERROR(__xludf.DUMMYFUNCTION("""COMPUTED_VALUE"""),"Call of Duty: Modern Warfare II")</f>
        <v>Call of Duty: Modern Warfare II</v>
      </c>
      <c r="B160" s="55" t="str">
        <f>IFERROR(__xludf.DUMMYFUNCTION("""COMPUTED_VALUE"""),"Xbox / PC")</f>
        <v>Xbox / PC</v>
      </c>
      <c r="C160" s="55" t="str">
        <f>IFERROR(__xludf.DUMMYFUNCTION("""COMPUTED_VALUE"""),"Yes")</f>
        <v>Yes</v>
      </c>
      <c r="D160" s="56" t="str">
        <f>IFERROR(__xludf.DUMMYFUNCTION("""COMPUTED_VALUE"""),"Active")</f>
        <v>Active</v>
      </c>
      <c r="E160" s="57">
        <f>IFERROR(__xludf.DUMMYFUNCTION("""COMPUTED_VALUE"""),45778.0)</f>
        <v>45778</v>
      </c>
      <c r="F160" s="58"/>
      <c r="G160" s="60">
        <f>IFERROR(__xludf.DUMMYFUNCTION("""COMPUTED_VALUE"""),17.166666666666668)</f>
        <v>17.16666667</v>
      </c>
      <c r="H160" s="63">
        <f>IFERROR(__xludf.DUMMYFUNCTION("""COMPUTED_VALUE"""),44862.0)</f>
        <v>44862</v>
      </c>
      <c r="I160" s="60">
        <f>IFERROR(__xludf.DUMMYFUNCTION("""COMPUTED_VALUE"""),2.5083333333333333)</f>
        <v>2.508333333</v>
      </c>
      <c r="J160" s="64">
        <f>IFERROR(__xludf.DUMMYFUNCTION("""COMPUTED_VALUE"""),75.0)</f>
        <v>75</v>
      </c>
      <c r="K160" s="64">
        <f>IFERROR(__xludf.DUMMYFUNCTION("""COMPUTED_VALUE"""),8.0)</f>
        <v>8</v>
      </c>
      <c r="L160" s="55" t="str">
        <f>IFERROR(__xludf.DUMMYFUNCTION("""COMPUTED_VALUE"""),"Shooter")</f>
        <v>Shooter</v>
      </c>
      <c r="M160" s="55"/>
      <c r="N160" s="55"/>
      <c r="O160" s="55"/>
      <c r="P160" s="55"/>
      <c r="Q160" s="55"/>
      <c r="R160" s="56" t="str">
        <f>IFERROR(__xludf.DUMMYFUNCTION("""COMPUTED_VALUE"""),"Active")</f>
        <v>Active</v>
      </c>
      <c r="S160" s="57">
        <f>IFERROR(__xludf.DUMMYFUNCTION("""COMPUTED_VALUE"""),45917.0)</f>
        <v>45917</v>
      </c>
      <c r="T160" s="60">
        <f>IFERROR(__xludf.DUMMYFUNCTION("""COMPUTED_VALUE"""),4.533333333333333)</f>
        <v>4.533333333</v>
      </c>
    </row>
    <row r="161">
      <c r="A161" s="55" t="str">
        <f>IFERROR(__xludf.DUMMYFUNCTION("""COMPUTED_VALUE"""),"For The King II")</f>
        <v>For The King II</v>
      </c>
      <c r="B161" s="55" t="str">
        <f>IFERROR(__xludf.DUMMYFUNCTION("""COMPUTED_VALUE"""),"Xbox / PC")</f>
        <v>Xbox / PC</v>
      </c>
      <c r="C161" s="55" t="str">
        <f>IFERROR(__xludf.DUMMYFUNCTION("""COMPUTED_VALUE"""),"Yes")</f>
        <v>Yes</v>
      </c>
      <c r="D161" s="56" t="str">
        <f>IFERROR(__xludf.DUMMYFUNCTION("""COMPUTED_VALUE"""),"Active")</f>
        <v>Active</v>
      </c>
      <c r="E161" s="57">
        <f>IFERROR(__xludf.DUMMYFUNCTION("""COMPUTED_VALUE"""),45638.0)</f>
        <v>45638</v>
      </c>
      <c r="F161" s="58"/>
      <c r="G161" s="60">
        <f>IFERROR(__xludf.DUMMYFUNCTION("""COMPUTED_VALUE"""),21.8)</f>
        <v>21.8</v>
      </c>
      <c r="H161" s="63">
        <f>IFERROR(__xludf.DUMMYFUNCTION("""COMPUTED_VALUE"""),45232.0)</f>
        <v>45232</v>
      </c>
      <c r="I161" s="60">
        <f>IFERROR(__xludf.DUMMYFUNCTION("""COMPUTED_VALUE"""),1.1111111111111112)</f>
        <v>1.111111111</v>
      </c>
      <c r="J161" s="64">
        <f>IFERROR(__xludf.DUMMYFUNCTION("""COMPUTED_VALUE"""),76.0)</f>
        <v>76</v>
      </c>
      <c r="K161" s="64">
        <f>IFERROR(__xludf.DUMMYFUNCTION("""COMPUTED_VALUE"""),15.0)</f>
        <v>15</v>
      </c>
      <c r="L161" s="55" t="str">
        <f>IFERROR(__xludf.DUMMYFUNCTION("""COMPUTED_VALUE"""),"Roguelike")</f>
        <v>Roguelike</v>
      </c>
      <c r="M161" s="55"/>
      <c r="N161" s="55"/>
      <c r="O161" s="55"/>
      <c r="P161" s="55"/>
      <c r="Q161" s="55"/>
      <c r="R161" s="56" t="str">
        <f>IFERROR(__xludf.DUMMYFUNCTION("""COMPUTED_VALUE"""),"Active")</f>
        <v>Active</v>
      </c>
      <c r="S161" s="57">
        <f>IFERROR(__xludf.DUMMYFUNCTION("""COMPUTED_VALUE"""),45917.0)</f>
        <v>45917</v>
      </c>
      <c r="T161" s="60">
        <f>IFERROR(__xludf.DUMMYFUNCTION("""COMPUTED_VALUE"""),9.166666666666666)</f>
        <v>9.166666667</v>
      </c>
    </row>
    <row r="162">
      <c r="A162" s="55" t="str">
        <f>IFERROR(__xludf.DUMMYFUNCTION("""COMPUTED_VALUE"""),"Overthrown (Game Preview)")</f>
        <v>Overthrown (Game Preview)</v>
      </c>
      <c r="B162" s="55" t="str">
        <f>IFERROR(__xludf.DUMMYFUNCTION("""COMPUTED_VALUE"""),"Xbox / PC")</f>
        <v>Xbox / PC</v>
      </c>
      <c r="C162" s="55" t="str">
        <f>IFERROR(__xludf.DUMMYFUNCTION("""COMPUTED_VALUE"""),"Yes")</f>
        <v>Yes</v>
      </c>
      <c r="D162" s="56" t="str">
        <f>IFERROR(__xludf.DUMMYFUNCTION("""COMPUTED_VALUE"""),"Active")</f>
        <v>Active</v>
      </c>
      <c r="E162" s="57">
        <f>IFERROR(__xludf.DUMMYFUNCTION("""COMPUTED_VALUE"""),45631.0)</f>
        <v>45631</v>
      </c>
      <c r="F162" s="58"/>
      <c r="G162" s="60">
        <f>IFERROR(__xludf.DUMMYFUNCTION("""COMPUTED_VALUE"""),22.03333333333333)</f>
        <v>22.03333333</v>
      </c>
      <c r="H162" s="63">
        <f>IFERROR(__xludf.DUMMYFUNCTION("""COMPUTED_VALUE"""),45631.0)</f>
        <v>45631</v>
      </c>
      <c r="I162" s="60">
        <f>IFERROR(__xludf.DUMMYFUNCTION("""COMPUTED_VALUE"""),0.0)</f>
        <v>0</v>
      </c>
      <c r="J162" s="64"/>
      <c r="K162" s="64">
        <f>IFERROR(__xludf.DUMMYFUNCTION("""COMPUTED_VALUE"""),12.0)</f>
        <v>12</v>
      </c>
      <c r="L162" s="55" t="str">
        <f>IFERROR(__xludf.DUMMYFUNCTION("""COMPUTED_VALUE"""),"Sandbox")</f>
        <v>Sandbox</v>
      </c>
      <c r="M162" s="55" t="str">
        <f>IFERROR(__xludf.DUMMYFUNCTION("""COMPUTED_VALUE"""),"Exclusive")</f>
        <v>Exclusive</v>
      </c>
      <c r="N162" s="55"/>
      <c r="O162" s="55"/>
      <c r="P162" s="55"/>
      <c r="Q162" s="55"/>
      <c r="R162" s="56" t="str">
        <f>IFERROR(__xludf.DUMMYFUNCTION("""COMPUTED_VALUE"""),"Active")</f>
        <v>Active</v>
      </c>
      <c r="S162" s="57">
        <f>IFERROR(__xludf.DUMMYFUNCTION("""COMPUTED_VALUE"""),45917.0)</f>
        <v>45917</v>
      </c>
      <c r="T162" s="60">
        <f>IFERROR(__xludf.DUMMYFUNCTION("""COMPUTED_VALUE"""),9.4)</f>
        <v>9.4</v>
      </c>
    </row>
    <row r="163">
      <c r="A163" s="55" t="str">
        <f>IFERROR(__xludf.DUMMYFUNCTION("""COMPUTED_VALUE"""),"RoadCraft")</f>
        <v>RoadCraft</v>
      </c>
      <c r="B163" s="55" t="str">
        <f>IFERROR(__xludf.DUMMYFUNCTION("""COMPUTED_VALUE"""),"Xbox / PC")</f>
        <v>Xbox / PC</v>
      </c>
      <c r="C163" s="55" t="str">
        <f>IFERROR(__xludf.DUMMYFUNCTION("""COMPUTED_VALUE"""),"Yes")</f>
        <v>Yes</v>
      </c>
      <c r="D163" s="56" t="str">
        <f>IFERROR(__xludf.DUMMYFUNCTION("""COMPUTED_VALUE"""),"Active")</f>
        <v>Active</v>
      </c>
      <c r="E163" s="57">
        <f>IFERROR(__xludf.DUMMYFUNCTION("""COMPUTED_VALUE"""),45916.0)</f>
        <v>45916</v>
      </c>
      <c r="F163" s="58"/>
      <c r="G163" s="60">
        <f>IFERROR(__xludf.DUMMYFUNCTION("""COMPUTED_VALUE"""),12.666666666666668)</f>
        <v>12.66666667</v>
      </c>
      <c r="H163" s="63">
        <f>IFERROR(__xludf.DUMMYFUNCTION("""COMPUTED_VALUE"""),45797.0)</f>
        <v>45797</v>
      </c>
      <c r="I163" s="60">
        <f>IFERROR(__xludf.DUMMYFUNCTION("""COMPUTED_VALUE"""),0.32222222222222224)</f>
        <v>0.3222222222</v>
      </c>
      <c r="J163" s="64">
        <f>IFERROR(__xludf.DUMMYFUNCTION("""COMPUTED_VALUE"""),77.0)</f>
        <v>77</v>
      </c>
      <c r="K163" s="64">
        <f>IFERROR(__xludf.DUMMYFUNCTION("""COMPUTED_VALUE"""),51.0)</f>
        <v>51</v>
      </c>
      <c r="L163" s="55" t="str">
        <f>IFERROR(__xludf.DUMMYFUNCTION("""COMPUTED_VALUE"""),"Racing")</f>
        <v>Racing</v>
      </c>
      <c r="M163" s="55" t="str">
        <f>IFERROR(__xludf.DUMMYFUNCTION("""COMPUTED_VALUE"""),"Exclusive")</f>
        <v>Exclusive</v>
      </c>
      <c r="N163" s="55" t="str">
        <f>IFERROR(__xludf.DUMMYFUNCTION("""COMPUTED_VALUE"""),"Joined PC 1/21/26")</f>
        <v>Joined PC 1/21/26</v>
      </c>
      <c r="O163" s="55"/>
      <c r="P163" s="55"/>
      <c r="Q163" s="55"/>
      <c r="R163" s="56" t="str">
        <f>IFERROR(__xludf.DUMMYFUNCTION("""COMPUTED_VALUE"""),"Active")</f>
        <v>Active</v>
      </c>
      <c r="S163" s="57">
        <f>IFERROR(__xludf.DUMMYFUNCTION("""COMPUTED_VALUE"""),45916.0)</f>
        <v>45916</v>
      </c>
      <c r="T163" s="60">
        <f>IFERROR(__xludf.DUMMYFUNCTION("""COMPUTED_VALUE"""),0.0)</f>
        <v>0</v>
      </c>
    </row>
    <row r="164">
      <c r="A164" s="55" t="str">
        <f>IFERROR(__xludf.DUMMYFUNCTION("""COMPUTED_VALUE"""),"Nine Sols")</f>
        <v>Nine Sols</v>
      </c>
      <c r="B164" s="55" t="str">
        <f>IFERROR(__xludf.DUMMYFUNCTION("""COMPUTED_VALUE"""),"Xbox / PC")</f>
        <v>Xbox / PC</v>
      </c>
      <c r="C164" s="55" t="str">
        <f>IFERROR(__xludf.DUMMYFUNCTION("""COMPUTED_VALUE"""),"Yes")</f>
        <v>Yes</v>
      </c>
      <c r="D164" s="56" t="str">
        <f>IFERROR(__xludf.DUMMYFUNCTION("""COMPUTED_VALUE"""),"Active")</f>
        <v>Active</v>
      </c>
      <c r="E164" s="57">
        <f>IFERROR(__xludf.DUMMYFUNCTION("""COMPUTED_VALUE"""),45622.0)</f>
        <v>45622</v>
      </c>
      <c r="F164" s="58"/>
      <c r="G164" s="60">
        <f>IFERROR(__xludf.DUMMYFUNCTION("""COMPUTED_VALUE"""),22.333333333333336)</f>
        <v>22.33333333</v>
      </c>
      <c r="H164" s="63">
        <f>IFERROR(__xludf.DUMMYFUNCTION("""COMPUTED_VALUE"""),45440.0)</f>
        <v>45440</v>
      </c>
      <c r="I164" s="60">
        <f>IFERROR(__xludf.DUMMYFUNCTION("""COMPUTED_VALUE"""),0.49444444444444446)</f>
        <v>0.4944444444</v>
      </c>
      <c r="J164" s="64">
        <f>IFERROR(__xludf.DUMMYFUNCTION("""COMPUTED_VALUE"""),83.0)</f>
        <v>83</v>
      </c>
      <c r="K164" s="64">
        <f>IFERROR(__xludf.DUMMYFUNCTION("""COMPUTED_VALUE"""),21.0)</f>
        <v>21</v>
      </c>
      <c r="L164" s="55" t="str">
        <f>IFERROR(__xludf.DUMMYFUNCTION("""COMPUTED_VALUE"""),"Platformer")</f>
        <v>Platformer</v>
      </c>
      <c r="M164" s="55" t="str">
        <f>IFERROR(__xludf.DUMMYFUNCTION("""COMPUTED_VALUE"""),"Exclusive")</f>
        <v>Exclusive</v>
      </c>
      <c r="N164" s="55" t="str">
        <f>IFERROR(__xludf.DUMMYFUNCTION("""COMPUTED_VALUE"""),"Joins GP in time for day one on console")</f>
        <v>Joins GP in time for day one on console</v>
      </c>
      <c r="O164" s="55"/>
      <c r="P164" s="55"/>
      <c r="Q164" s="55"/>
      <c r="R164" s="56" t="str">
        <f>IFERROR(__xludf.DUMMYFUNCTION("""COMPUTED_VALUE"""),"Active")</f>
        <v>Active</v>
      </c>
      <c r="S164" s="57">
        <f>IFERROR(__xludf.DUMMYFUNCTION("""COMPUTED_VALUE"""),45903.0)</f>
        <v>45903</v>
      </c>
      <c r="T164" s="60">
        <f>IFERROR(__xludf.DUMMYFUNCTION("""COMPUTED_VALUE"""),9.233333333333334)</f>
        <v>9.233333333</v>
      </c>
    </row>
    <row r="165">
      <c r="A165" s="55" t="str">
        <f>IFERROR(__xludf.DUMMYFUNCTION("""COMPUTED_VALUE"""),"Caesar III")</f>
        <v>Caesar III</v>
      </c>
      <c r="B165" s="55" t="str">
        <f>IFERROR(__xludf.DUMMYFUNCTION("""COMPUTED_VALUE"""),"Xbox / PC")</f>
        <v>Xbox / PC</v>
      </c>
      <c r="C165" s="55" t="str">
        <f>IFERROR(__xludf.DUMMYFUNCTION("""COMPUTED_VALUE"""),"Yes")</f>
        <v>Yes</v>
      </c>
      <c r="D165" s="56" t="str">
        <f>IFERROR(__xludf.DUMMYFUNCTION("""COMPUTED_VALUE"""),"Active")</f>
        <v>Active</v>
      </c>
      <c r="E165" s="57">
        <f>IFERROR(__xludf.DUMMYFUNCTION("""COMPUTED_VALUE"""),45883.0)</f>
        <v>45883</v>
      </c>
      <c r="F165" s="58"/>
      <c r="G165" s="60">
        <f>IFERROR(__xludf.DUMMYFUNCTION("""COMPUTED_VALUE"""),13.733333333333333)</f>
        <v>13.73333333</v>
      </c>
      <c r="H165" s="63">
        <f>IFERROR(__xludf.DUMMYFUNCTION("""COMPUTED_VALUE"""),36068.0)</f>
        <v>36068</v>
      </c>
      <c r="I165" s="60">
        <f>IFERROR(__xludf.DUMMYFUNCTION("""COMPUTED_VALUE"""),26.872222222222224)</f>
        <v>26.87222222</v>
      </c>
      <c r="J165" s="64">
        <f>IFERROR(__xludf.DUMMYFUNCTION("""COMPUTED_VALUE"""),83.0)</f>
        <v>83</v>
      </c>
      <c r="K165" s="64">
        <f>IFERROR(__xludf.DUMMYFUNCTION("""COMPUTED_VALUE"""),35.0)</f>
        <v>35</v>
      </c>
      <c r="L165" s="55" t="str">
        <f>IFERROR(__xludf.DUMMYFUNCTION("""COMPUTED_VALUE"""),"Strategy")</f>
        <v>Strategy</v>
      </c>
      <c r="M165" s="55"/>
      <c r="N165" s="55" t="str">
        <f>IFERROR(__xludf.DUMMYFUNCTION("""COMPUTED_VALUE"""),"Retro Classics: Windows 9x")</f>
        <v>Retro Classics: Windows 9x</v>
      </c>
      <c r="O165" s="55"/>
      <c r="P165" s="55"/>
      <c r="Q165" s="55"/>
      <c r="R165" s="56" t="str">
        <f>IFERROR(__xludf.DUMMYFUNCTION("""COMPUTED_VALUE"""),"Active")</f>
        <v>Active</v>
      </c>
      <c r="S165" s="57">
        <f>IFERROR(__xludf.DUMMYFUNCTION("""COMPUTED_VALUE"""),45883.0)</f>
        <v>45883</v>
      </c>
      <c r="T165" s="60">
        <f>IFERROR(__xludf.DUMMYFUNCTION("""COMPUTED_VALUE"""),0.0)</f>
        <v>0</v>
      </c>
    </row>
    <row r="166">
      <c r="A166" s="55" t="str">
        <f>IFERROR(__xludf.DUMMYFUNCTION("""COMPUTED_VALUE"""),"Climber 5")</f>
        <v>Climber 5</v>
      </c>
      <c r="B166" s="55" t="str">
        <f>IFERROR(__xludf.DUMMYFUNCTION("""COMPUTED_VALUE"""),"Xbox / PC")</f>
        <v>Xbox / PC</v>
      </c>
      <c r="C166" s="55" t="str">
        <f>IFERROR(__xludf.DUMMYFUNCTION("""COMPUTED_VALUE"""),"Yes")</f>
        <v>Yes</v>
      </c>
      <c r="D166" s="56" t="str">
        <f>IFERROR(__xludf.DUMMYFUNCTION("""COMPUTED_VALUE"""),"Active")</f>
        <v>Active</v>
      </c>
      <c r="E166" s="57">
        <f>IFERROR(__xludf.DUMMYFUNCTION("""COMPUTED_VALUE"""),45883.0)</f>
        <v>45883</v>
      </c>
      <c r="F166" s="58"/>
      <c r="G166" s="60">
        <f>IFERROR(__xludf.DUMMYFUNCTION("""COMPUTED_VALUE"""),13.733333333333333)</f>
        <v>13.73333333</v>
      </c>
      <c r="H166" s="63">
        <f>IFERROR(__xludf.DUMMYFUNCTION("""COMPUTED_VALUE"""),31048.0)</f>
        <v>31048</v>
      </c>
      <c r="I166" s="60">
        <f>IFERROR(__xludf.DUMMYFUNCTION("""COMPUTED_VALUE"""),40.61944444444445)</f>
        <v>40.61944444</v>
      </c>
      <c r="J166" s="64">
        <f>IFERROR(__xludf.DUMMYFUNCTION("""COMPUTED_VALUE"""),80.0)</f>
        <v>80</v>
      </c>
      <c r="K166" s="64"/>
      <c r="L166" s="55" t="str">
        <f>IFERROR(__xludf.DUMMYFUNCTION("""COMPUTED_VALUE"""),"Action")</f>
        <v>Action</v>
      </c>
      <c r="M166" s="55"/>
      <c r="N166" s="55" t="str">
        <f>IFERROR(__xludf.DUMMYFUNCTION("""COMPUTED_VALUE"""),"Retro Classics: Atari 2600")</f>
        <v>Retro Classics: Atari 2600</v>
      </c>
      <c r="O166" s="55"/>
      <c r="P166" s="55"/>
      <c r="Q166" s="55"/>
      <c r="R166" s="56" t="str">
        <f>IFERROR(__xludf.DUMMYFUNCTION("""COMPUTED_VALUE"""),"Active")</f>
        <v>Active</v>
      </c>
      <c r="S166" s="57">
        <f>IFERROR(__xludf.DUMMYFUNCTION("""COMPUTED_VALUE"""),45883.0)</f>
        <v>45883</v>
      </c>
      <c r="T166" s="60">
        <f>IFERROR(__xludf.DUMMYFUNCTION("""COMPUTED_VALUE"""),0.0)</f>
        <v>0</v>
      </c>
    </row>
    <row r="167">
      <c r="A167" s="55" t="str">
        <f>IFERROR(__xludf.DUMMYFUNCTION("""COMPUTED_VALUE"""),"The Colonel's Bequest")</f>
        <v>The Colonel's Bequest</v>
      </c>
      <c r="B167" s="55" t="str">
        <f>IFERROR(__xludf.DUMMYFUNCTION("""COMPUTED_VALUE"""),"Xbox / PC")</f>
        <v>Xbox / PC</v>
      </c>
      <c r="C167" s="55" t="str">
        <f>IFERROR(__xludf.DUMMYFUNCTION("""COMPUTED_VALUE"""),"Yes")</f>
        <v>Yes</v>
      </c>
      <c r="D167" s="56" t="str">
        <f>IFERROR(__xludf.DUMMYFUNCTION("""COMPUTED_VALUE"""),"Active")</f>
        <v>Active</v>
      </c>
      <c r="E167" s="57">
        <f>IFERROR(__xludf.DUMMYFUNCTION("""COMPUTED_VALUE"""),45883.0)</f>
        <v>45883</v>
      </c>
      <c r="F167" s="58"/>
      <c r="G167" s="60">
        <f>IFERROR(__xludf.DUMMYFUNCTION("""COMPUTED_VALUE"""),13.733333333333333)</f>
        <v>13.73333333</v>
      </c>
      <c r="H167" s="63">
        <f>IFERROR(__xludf.DUMMYFUNCTION("""COMPUTED_VALUE"""),32782.0)</f>
        <v>32782</v>
      </c>
      <c r="I167" s="60">
        <f>IFERROR(__xludf.DUMMYFUNCTION("""COMPUTED_VALUE"""),35.86944444444445)</f>
        <v>35.86944444</v>
      </c>
      <c r="J167" s="64">
        <f>IFERROR(__xludf.DUMMYFUNCTION("""COMPUTED_VALUE"""),78.0)</f>
        <v>78</v>
      </c>
      <c r="K167" s="64">
        <f>IFERROR(__xludf.DUMMYFUNCTION("""COMPUTED_VALUE"""),3.5)</f>
        <v>3.5</v>
      </c>
      <c r="L167" s="55" t="str">
        <f>IFERROR(__xludf.DUMMYFUNCTION("""COMPUTED_VALUE"""),"Action-Adventure")</f>
        <v>Action-Adventure</v>
      </c>
      <c r="M167" s="55"/>
      <c r="N167" s="55" t="str">
        <f>IFERROR(__xludf.DUMMYFUNCTION("""COMPUTED_VALUE"""),"Retro Classics: Amiga")</f>
        <v>Retro Classics: Amiga</v>
      </c>
      <c r="O167" s="55"/>
      <c r="P167" s="55"/>
      <c r="Q167" s="55"/>
      <c r="R167" s="56" t="str">
        <f>IFERROR(__xludf.DUMMYFUNCTION("""COMPUTED_VALUE"""),"Active")</f>
        <v>Active</v>
      </c>
      <c r="S167" s="57">
        <f>IFERROR(__xludf.DUMMYFUNCTION("""COMPUTED_VALUE"""),45883.0)</f>
        <v>45883</v>
      </c>
      <c r="T167" s="60">
        <f>IFERROR(__xludf.DUMMYFUNCTION("""COMPUTED_VALUE"""),0.0)</f>
        <v>0</v>
      </c>
    </row>
    <row r="168">
      <c r="A168" s="55" t="str">
        <f>IFERROR(__xludf.DUMMYFUNCTION("""COMPUTED_VALUE"""),"Private Eye")</f>
        <v>Private Eye</v>
      </c>
      <c r="B168" s="55" t="str">
        <f>IFERROR(__xludf.DUMMYFUNCTION("""COMPUTED_VALUE"""),"Xbox / PC")</f>
        <v>Xbox / PC</v>
      </c>
      <c r="C168" s="55" t="str">
        <f>IFERROR(__xludf.DUMMYFUNCTION("""COMPUTED_VALUE"""),"Yes")</f>
        <v>Yes</v>
      </c>
      <c r="D168" s="56" t="str">
        <f>IFERROR(__xludf.DUMMYFUNCTION("""COMPUTED_VALUE"""),"Active")</f>
        <v>Active</v>
      </c>
      <c r="E168" s="57">
        <f>IFERROR(__xludf.DUMMYFUNCTION("""COMPUTED_VALUE"""),45883.0)</f>
        <v>45883</v>
      </c>
      <c r="F168" s="58"/>
      <c r="G168" s="60">
        <f>IFERROR(__xludf.DUMMYFUNCTION("""COMPUTED_VALUE"""),13.733333333333333)</f>
        <v>13.73333333</v>
      </c>
      <c r="H168" s="63">
        <f>IFERROR(__xludf.DUMMYFUNCTION("""COMPUTED_VALUE"""),30713.0)</f>
        <v>30713</v>
      </c>
      <c r="I168" s="60">
        <f>IFERROR(__xludf.DUMMYFUNCTION("""COMPUTED_VALUE"""),41.53611111111111)</f>
        <v>41.53611111</v>
      </c>
      <c r="J168" s="64">
        <f>IFERROR(__xludf.DUMMYFUNCTION("""COMPUTED_VALUE"""),45.0)</f>
        <v>45</v>
      </c>
      <c r="K168" s="64">
        <f>IFERROR(__xludf.DUMMYFUNCTION("""COMPUTED_VALUE"""),12.0)</f>
        <v>12</v>
      </c>
      <c r="L168" s="55" t="str">
        <f>IFERROR(__xludf.DUMMYFUNCTION("""COMPUTED_VALUE"""),"Action")</f>
        <v>Action</v>
      </c>
      <c r="M168" s="55"/>
      <c r="N168" s="55" t="str">
        <f>IFERROR(__xludf.DUMMYFUNCTION("""COMPUTED_VALUE"""),"Retro Classics: Atari 2600")</f>
        <v>Retro Classics: Atari 2600</v>
      </c>
      <c r="O168" s="55"/>
      <c r="P168" s="55"/>
      <c r="Q168" s="55"/>
      <c r="R168" s="56" t="str">
        <f>IFERROR(__xludf.DUMMYFUNCTION("""COMPUTED_VALUE"""),"Active")</f>
        <v>Active</v>
      </c>
      <c r="S168" s="57">
        <f>IFERROR(__xludf.DUMMYFUNCTION("""COMPUTED_VALUE"""),45883.0)</f>
        <v>45883</v>
      </c>
      <c r="T168" s="60">
        <f>IFERROR(__xludf.DUMMYFUNCTION("""COMPUTED_VALUE"""),0.0)</f>
        <v>0</v>
      </c>
    </row>
    <row r="169">
      <c r="A169" s="55" t="str">
        <f>IFERROR(__xludf.DUMMYFUNCTION("""COMPUTED_VALUE"""),"Oystron")</f>
        <v>Oystron</v>
      </c>
      <c r="B169" s="55" t="str">
        <f>IFERROR(__xludf.DUMMYFUNCTION("""COMPUTED_VALUE"""),"Xbox / PC")</f>
        <v>Xbox / PC</v>
      </c>
      <c r="C169" s="55" t="str">
        <f>IFERROR(__xludf.DUMMYFUNCTION("""COMPUTED_VALUE"""),"Yes")</f>
        <v>Yes</v>
      </c>
      <c r="D169" s="56" t="str">
        <f>IFERROR(__xludf.DUMMYFUNCTION("""COMPUTED_VALUE"""),"Active")</f>
        <v>Active</v>
      </c>
      <c r="E169" s="57">
        <f>IFERROR(__xludf.DUMMYFUNCTION("""COMPUTED_VALUE"""),45883.0)</f>
        <v>45883</v>
      </c>
      <c r="F169" s="58"/>
      <c r="G169" s="60">
        <f>IFERROR(__xludf.DUMMYFUNCTION("""COMPUTED_VALUE"""),13.733333333333333)</f>
        <v>13.73333333</v>
      </c>
      <c r="H169" s="63">
        <f>IFERROR(__xludf.DUMMYFUNCTION("""COMPUTED_VALUE"""),35431.0)</f>
        <v>35431</v>
      </c>
      <c r="I169" s="60">
        <f>IFERROR(__xludf.DUMMYFUNCTION("""COMPUTED_VALUE"""),28.619444444444444)</f>
        <v>28.61944444</v>
      </c>
      <c r="J169" s="64">
        <f>IFERROR(__xludf.DUMMYFUNCTION("""COMPUTED_VALUE"""),92.0)</f>
        <v>92</v>
      </c>
      <c r="K169" s="64"/>
      <c r="L169" s="55" t="str">
        <f>IFERROR(__xludf.DUMMYFUNCTION("""COMPUTED_VALUE"""),"Action")</f>
        <v>Action</v>
      </c>
      <c r="M169" s="55"/>
      <c r="N169" s="55" t="str">
        <f>IFERROR(__xludf.DUMMYFUNCTION("""COMPUTED_VALUE"""),"Retro Classics: Atari 2600")</f>
        <v>Retro Classics: Atari 2600</v>
      </c>
      <c r="O169" s="55"/>
      <c r="P169" s="55"/>
      <c r="Q169" s="55"/>
      <c r="R169" s="56" t="str">
        <f>IFERROR(__xludf.DUMMYFUNCTION("""COMPUTED_VALUE"""),"Active")</f>
        <v>Active</v>
      </c>
      <c r="S169" s="57">
        <f>IFERROR(__xludf.DUMMYFUNCTION("""COMPUTED_VALUE"""),45883.0)</f>
        <v>45883</v>
      </c>
      <c r="T169" s="60">
        <f>IFERROR(__xludf.DUMMYFUNCTION("""COMPUTED_VALUE"""),0.0)</f>
        <v>0</v>
      </c>
    </row>
    <row r="170">
      <c r="A170" s="55" t="str">
        <f>IFERROR(__xludf.DUMMYFUNCTION("""COMPUTED_VALUE"""),"Shootin' Gallery")</f>
        <v>Shootin' Gallery</v>
      </c>
      <c r="B170" s="55" t="str">
        <f>IFERROR(__xludf.DUMMYFUNCTION("""COMPUTED_VALUE"""),"Xbox / PC")</f>
        <v>Xbox / PC</v>
      </c>
      <c r="C170" s="55" t="str">
        <f>IFERROR(__xludf.DUMMYFUNCTION("""COMPUTED_VALUE"""),"Yes")</f>
        <v>Yes</v>
      </c>
      <c r="D170" s="56" t="str">
        <f>IFERROR(__xludf.DUMMYFUNCTION("""COMPUTED_VALUE"""),"Active")</f>
        <v>Active</v>
      </c>
      <c r="E170" s="57">
        <f>IFERROR(__xludf.DUMMYFUNCTION("""COMPUTED_VALUE"""),45883.0)</f>
        <v>45883</v>
      </c>
      <c r="F170" s="58"/>
      <c r="G170" s="60">
        <f>IFERROR(__xludf.DUMMYFUNCTION("""COMPUTED_VALUE"""),13.733333333333333)</f>
        <v>13.73333333</v>
      </c>
      <c r="H170" s="63">
        <f>IFERROR(__xludf.DUMMYFUNCTION("""COMPUTED_VALUE"""),30376.0)</f>
        <v>30376</v>
      </c>
      <c r="I170" s="60">
        <f>IFERROR(__xludf.DUMMYFUNCTION("""COMPUTED_VALUE"""),42.452777777777776)</f>
        <v>42.45277778</v>
      </c>
      <c r="J170" s="64">
        <f>IFERROR(__xludf.DUMMYFUNCTION("""COMPUTED_VALUE"""),76.0)</f>
        <v>76</v>
      </c>
      <c r="K170" s="64"/>
      <c r="L170" s="55" t="str">
        <f>IFERROR(__xludf.DUMMYFUNCTION("""COMPUTED_VALUE"""),"Shooter")</f>
        <v>Shooter</v>
      </c>
      <c r="M170" s="55"/>
      <c r="N170" s="55" t="str">
        <f>IFERROR(__xludf.DUMMYFUNCTION("""COMPUTED_VALUE"""),"Retro Classics: Atari 2600")</f>
        <v>Retro Classics: Atari 2600</v>
      </c>
      <c r="O170" s="55"/>
      <c r="P170" s="55"/>
      <c r="Q170" s="55"/>
      <c r="R170" s="56" t="str">
        <f>IFERROR(__xludf.DUMMYFUNCTION("""COMPUTED_VALUE"""),"Active")</f>
        <v>Active</v>
      </c>
      <c r="S170" s="57">
        <f>IFERROR(__xludf.DUMMYFUNCTION("""COMPUTED_VALUE"""),45883.0)</f>
        <v>45883</v>
      </c>
      <c r="T170" s="60">
        <f>IFERROR(__xludf.DUMMYFUNCTION("""COMPUTED_VALUE"""),0.0)</f>
        <v>0</v>
      </c>
    </row>
    <row r="171">
      <c r="A171" s="55" t="str">
        <f>IFERROR(__xludf.DUMMYFUNCTION("""COMPUTED_VALUE"""),"Wing War")</f>
        <v>Wing War</v>
      </c>
      <c r="B171" s="55" t="str">
        <f>IFERROR(__xludf.DUMMYFUNCTION("""COMPUTED_VALUE"""),"Xbox / PC")</f>
        <v>Xbox / PC</v>
      </c>
      <c r="C171" s="55" t="str">
        <f>IFERROR(__xludf.DUMMYFUNCTION("""COMPUTED_VALUE"""),"Yes")</f>
        <v>Yes</v>
      </c>
      <c r="D171" s="56" t="str">
        <f>IFERROR(__xludf.DUMMYFUNCTION("""COMPUTED_VALUE"""),"Active")</f>
        <v>Active</v>
      </c>
      <c r="E171" s="57">
        <f>IFERROR(__xludf.DUMMYFUNCTION("""COMPUTED_VALUE"""),45883.0)</f>
        <v>45883</v>
      </c>
      <c r="F171" s="58"/>
      <c r="G171" s="60">
        <f>IFERROR(__xludf.DUMMYFUNCTION("""COMPUTED_VALUE"""),13.733333333333333)</f>
        <v>13.73333333</v>
      </c>
      <c r="H171" s="63">
        <f>IFERROR(__xludf.DUMMYFUNCTION("""COMPUTED_VALUE"""),30681.0)</f>
        <v>30681</v>
      </c>
      <c r="I171" s="60">
        <f>IFERROR(__xludf.DUMMYFUNCTION("""COMPUTED_VALUE"""),41.62222222222222)</f>
        <v>41.62222222</v>
      </c>
      <c r="J171" s="64">
        <f>IFERROR(__xludf.DUMMYFUNCTION("""COMPUTED_VALUE"""),61.0)</f>
        <v>61</v>
      </c>
      <c r="K171" s="64"/>
      <c r="L171" s="55" t="str">
        <f>IFERROR(__xludf.DUMMYFUNCTION("""COMPUTED_VALUE"""),"Action")</f>
        <v>Action</v>
      </c>
      <c r="M171" s="55"/>
      <c r="N171" s="55" t="str">
        <f>IFERROR(__xludf.DUMMYFUNCTION("""COMPUTED_VALUE"""),"Retro Classics: Atari 2600")</f>
        <v>Retro Classics: Atari 2600</v>
      </c>
      <c r="O171" s="55"/>
      <c r="P171" s="55"/>
      <c r="Q171" s="55"/>
      <c r="R171" s="56" t="str">
        <f>IFERROR(__xludf.DUMMYFUNCTION("""COMPUTED_VALUE"""),"Active")</f>
        <v>Active</v>
      </c>
      <c r="S171" s="57">
        <f>IFERROR(__xludf.DUMMYFUNCTION("""COMPUTED_VALUE"""),45883.0)</f>
        <v>45883</v>
      </c>
      <c r="T171" s="60">
        <f>IFERROR(__xludf.DUMMYFUNCTION("""COMPUTED_VALUE"""),0.0)</f>
        <v>0</v>
      </c>
    </row>
    <row r="172">
      <c r="A172" s="55" t="str">
        <f>IFERROR(__xludf.DUMMYFUNCTION("""COMPUTED_VALUE"""),"Mechwarrior 5: Clans")</f>
        <v>Mechwarrior 5: Clans</v>
      </c>
      <c r="B172" s="55" t="str">
        <f>IFERROR(__xludf.DUMMYFUNCTION("""COMPUTED_VALUE"""),"Xbox / PC")</f>
        <v>Xbox / PC</v>
      </c>
      <c r="C172" s="55" t="str">
        <f>IFERROR(__xludf.DUMMYFUNCTION("""COMPUTED_VALUE"""),"Yes")</f>
        <v>Yes</v>
      </c>
      <c r="D172" s="56" t="str">
        <f>IFERROR(__xludf.DUMMYFUNCTION("""COMPUTED_VALUE"""),"Active")</f>
        <v>Active</v>
      </c>
      <c r="E172" s="57">
        <f>IFERROR(__xludf.DUMMYFUNCTION("""COMPUTED_VALUE"""),45582.0)</f>
        <v>45582</v>
      </c>
      <c r="F172" s="58"/>
      <c r="G172" s="60">
        <f>IFERROR(__xludf.DUMMYFUNCTION("""COMPUTED_VALUE"""),23.633333333333333)</f>
        <v>23.63333333</v>
      </c>
      <c r="H172" s="63">
        <f>IFERROR(__xludf.DUMMYFUNCTION("""COMPUTED_VALUE"""),45582.0)</f>
        <v>45582</v>
      </c>
      <c r="I172" s="60">
        <f>IFERROR(__xludf.DUMMYFUNCTION("""COMPUTED_VALUE"""),0.0)</f>
        <v>0</v>
      </c>
      <c r="J172" s="64">
        <f>IFERROR(__xludf.DUMMYFUNCTION("""COMPUTED_VALUE"""),79.0)</f>
        <v>79</v>
      </c>
      <c r="K172" s="64">
        <f>IFERROR(__xludf.DUMMYFUNCTION("""COMPUTED_VALUE"""),23.0)</f>
        <v>23</v>
      </c>
      <c r="L172" s="55" t="str">
        <f>IFERROR(__xludf.DUMMYFUNCTION("""COMPUTED_VALUE"""),"Simulation")</f>
        <v>Simulation</v>
      </c>
      <c r="M172" s="55" t="str">
        <f>IFERROR(__xludf.DUMMYFUNCTION("""COMPUTED_VALUE"""),"Exclusive")</f>
        <v>Exclusive</v>
      </c>
      <c r="N172" s="55"/>
      <c r="O172" s="55"/>
      <c r="P172" s="55"/>
      <c r="Q172" s="55"/>
      <c r="R172" s="56" t="str">
        <f>IFERROR(__xludf.DUMMYFUNCTION("""COMPUTED_VALUE"""),"Active")</f>
        <v>Active</v>
      </c>
      <c r="S172" s="57">
        <f>IFERROR(__xludf.DUMMYFUNCTION("""COMPUTED_VALUE"""),45875.0)</f>
        <v>45875</v>
      </c>
      <c r="T172" s="60">
        <f>IFERROR(__xludf.DUMMYFUNCTION("""COMPUTED_VALUE"""),9.633333333333333)</f>
        <v>9.633333333</v>
      </c>
    </row>
    <row r="173">
      <c r="A173" s="55" t="str">
        <f>IFERROR(__xludf.DUMMYFUNCTION("""COMPUTED_VALUE"""),"Farming Simulator 25")</f>
        <v>Farming Simulator 25</v>
      </c>
      <c r="B173" s="55" t="str">
        <f>IFERROR(__xludf.DUMMYFUNCTION("""COMPUTED_VALUE"""),"Xbox / PC")</f>
        <v>Xbox / PC</v>
      </c>
      <c r="C173" s="55" t="str">
        <f>IFERROR(__xludf.DUMMYFUNCTION("""COMPUTED_VALUE"""),"Yes")</f>
        <v>Yes</v>
      </c>
      <c r="D173" s="56" t="str">
        <f>IFERROR(__xludf.DUMMYFUNCTION("""COMPUTED_VALUE"""),"Active")</f>
        <v>Active</v>
      </c>
      <c r="E173" s="57">
        <f>IFERROR(__xludf.DUMMYFUNCTION("""COMPUTED_VALUE"""),45870.0)</f>
        <v>45870</v>
      </c>
      <c r="F173" s="58"/>
      <c r="G173" s="60">
        <f>IFERROR(__xludf.DUMMYFUNCTION("""COMPUTED_VALUE"""),14.166666666666668)</f>
        <v>14.16666667</v>
      </c>
      <c r="H173" s="63">
        <f>IFERROR(__xludf.DUMMYFUNCTION("""COMPUTED_VALUE"""),45608.0)</f>
        <v>45608</v>
      </c>
      <c r="I173" s="60">
        <f>IFERROR(__xludf.DUMMYFUNCTION("""COMPUTED_VALUE"""),0.7194444444444444)</f>
        <v>0.7194444444</v>
      </c>
      <c r="J173" s="64">
        <f>IFERROR(__xludf.DUMMYFUNCTION("""COMPUTED_VALUE"""),75.0)</f>
        <v>75</v>
      </c>
      <c r="K173" s="64">
        <f>IFERROR(__xludf.DUMMYFUNCTION("""COMPUTED_VALUE"""),45.0)</f>
        <v>45</v>
      </c>
      <c r="L173" s="55" t="str">
        <f>IFERROR(__xludf.DUMMYFUNCTION("""COMPUTED_VALUE"""),"Simulation")</f>
        <v>Simulation</v>
      </c>
      <c r="M173" s="55"/>
      <c r="N173" s="55"/>
      <c r="O173" s="55"/>
      <c r="P173" s="55"/>
      <c r="Q173" s="55"/>
      <c r="R173" s="56" t="str">
        <f>IFERROR(__xludf.DUMMYFUNCTION("""COMPUTED_VALUE"""),"Active")</f>
        <v>Active</v>
      </c>
      <c r="S173" s="57">
        <f>IFERROR(__xludf.DUMMYFUNCTION("""COMPUTED_VALUE"""),45870.0)</f>
        <v>45870</v>
      </c>
      <c r="T173" s="60">
        <f>IFERROR(__xludf.DUMMYFUNCTION("""COMPUTED_VALUE"""),0.0)</f>
        <v>0</v>
      </c>
    </row>
    <row r="174">
      <c r="A174" s="55" t="str">
        <f>IFERROR(__xludf.DUMMYFUNCTION("""COMPUTED_VALUE"""),"Caesar")</f>
        <v>Caesar</v>
      </c>
      <c r="B174" s="55" t="str">
        <f>IFERROR(__xludf.DUMMYFUNCTION("""COMPUTED_VALUE"""),"Xbox / PC")</f>
        <v>Xbox / PC</v>
      </c>
      <c r="C174" s="55" t="str">
        <f>IFERROR(__xludf.DUMMYFUNCTION("""COMPUTED_VALUE"""),"Yes")</f>
        <v>Yes</v>
      </c>
      <c r="D174" s="56" t="str">
        <f>IFERROR(__xludf.DUMMYFUNCTION("""COMPUTED_VALUE"""),"Active")</f>
        <v>Active</v>
      </c>
      <c r="E174" s="57">
        <f>IFERROR(__xludf.DUMMYFUNCTION("""COMPUTED_VALUE"""),45859.0)</f>
        <v>45859</v>
      </c>
      <c r="F174" s="58"/>
      <c r="G174" s="60">
        <f>IFERROR(__xludf.DUMMYFUNCTION("""COMPUTED_VALUE"""),14.5)</f>
        <v>14.5</v>
      </c>
      <c r="H174" s="63">
        <f>IFERROR(__xludf.DUMMYFUNCTION("""COMPUTED_VALUE"""),33889.0)</f>
        <v>33889</v>
      </c>
      <c r="I174" s="60">
        <f>IFERROR(__xludf.DUMMYFUNCTION("""COMPUTED_VALUE"""),32.775)</f>
        <v>32.775</v>
      </c>
      <c r="J174" s="64">
        <f>IFERROR(__xludf.DUMMYFUNCTION("""COMPUTED_VALUE"""),72.0)</f>
        <v>72</v>
      </c>
      <c r="K174" s="64">
        <f>IFERROR(__xludf.DUMMYFUNCTION("""COMPUTED_VALUE"""),8.0)</f>
        <v>8</v>
      </c>
      <c r="L174" s="55" t="str">
        <f>IFERROR(__xludf.DUMMYFUNCTION("""COMPUTED_VALUE"""),"City‑building")</f>
        <v>City‑building</v>
      </c>
      <c r="M174" s="55"/>
      <c r="N174" s="55" t="str">
        <f>IFERROR(__xludf.DUMMYFUNCTION("""COMPUTED_VALUE"""),"Retro Classics: Amiga")</f>
        <v>Retro Classics: Amiga</v>
      </c>
      <c r="O174" s="55"/>
      <c r="P174" s="55"/>
      <c r="Q174" s="55"/>
      <c r="R174" s="56" t="str">
        <f>IFERROR(__xludf.DUMMYFUNCTION("""COMPUTED_VALUE"""),"Active")</f>
        <v>Active</v>
      </c>
      <c r="S174" s="57">
        <f>IFERROR(__xludf.DUMMYFUNCTION("""COMPUTED_VALUE"""),45859.0)</f>
        <v>45859</v>
      </c>
      <c r="T174" s="60">
        <f>IFERROR(__xludf.DUMMYFUNCTION("""COMPUTED_VALUE"""),0.0)</f>
        <v>0</v>
      </c>
    </row>
    <row r="175">
      <c r="A175" s="55" t="str">
        <f>IFERROR(__xludf.DUMMYFUNCTION("""COMPUTED_VALUE"""),"Conquests of Camelot: The Search for the Grail")</f>
        <v>Conquests of Camelot: The Search for the Grail</v>
      </c>
      <c r="B175" s="55" t="str">
        <f>IFERROR(__xludf.DUMMYFUNCTION("""COMPUTED_VALUE"""),"Xbox / PC")</f>
        <v>Xbox / PC</v>
      </c>
      <c r="C175" s="55" t="str">
        <f>IFERROR(__xludf.DUMMYFUNCTION("""COMPUTED_VALUE"""),"Yes")</f>
        <v>Yes</v>
      </c>
      <c r="D175" s="56" t="str">
        <f>IFERROR(__xludf.DUMMYFUNCTION("""COMPUTED_VALUE"""),"Active")</f>
        <v>Active</v>
      </c>
      <c r="E175" s="57">
        <f>IFERROR(__xludf.DUMMYFUNCTION("""COMPUTED_VALUE"""),45859.0)</f>
        <v>45859</v>
      </c>
      <c r="F175" s="58"/>
      <c r="G175" s="60">
        <f>IFERROR(__xludf.DUMMYFUNCTION("""COMPUTED_VALUE"""),14.5)</f>
        <v>14.5</v>
      </c>
      <c r="H175" s="63">
        <f>IFERROR(__xludf.DUMMYFUNCTION("""COMPUTED_VALUE"""),32933.0)</f>
        <v>32933</v>
      </c>
      <c r="I175" s="60">
        <f>IFERROR(__xludf.DUMMYFUNCTION("""COMPUTED_VALUE"""),35.388888888888886)</f>
        <v>35.38888889</v>
      </c>
      <c r="J175" s="64">
        <f>IFERROR(__xludf.DUMMYFUNCTION("""COMPUTED_VALUE"""),79.0)</f>
        <v>79</v>
      </c>
      <c r="K175" s="64">
        <f>IFERROR(__xludf.DUMMYFUNCTION("""COMPUTED_VALUE"""),4.0)</f>
        <v>4</v>
      </c>
      <c r="L175" s="55" t="str">
        <f>IFERROR(__xludf.DUMMYFUNCTION("""COMPUTED_VALUE"""),"Action-Adventure")</f>
        <v>Action-Adventure</v>
      </c>
      <c r="M175" s="55"/>
      <c r="N175" s="55" t="str">
        <f>IFERROR(__xludf.DUMMYFUNCTION("""COMPUTED_VALUE"""),"Retro Classics: Amiga")</f>
        <v>Retro Classics: Amiga</v>
      </c>
      <c r="O175" s="55"/>
      <c r="P175" s="55"/>
      <c r="Q175" s="55"/>
      <c r="R175" s="56" t="str">
        <f>IFERROR(__xludf.DUMMYFUNCTION("""COMPUTED_VALUE"""),"Active")</f>
        <v>Active</v>
      </c>
      <c r="S175" s="57">
        <f>IFERROR(__xludf.DUMMYFUNCTION("""COMPUTED_VALUE"""),45859.0)</f>
        <v>45859</v>
      </c>
      <c r="T175" s="60">
        <f>IFERROR(__xludf.DUMMYFUNCTION("""COMPUTED_VALUE"""),0.0)</f>
        <v>0</v>
      </c>
    </row>
    <row r="176">
      <c r="A176" s="55" t="str">
        <f>IFERROR(__xludf.DUMMYFUNCTION("""COMPUTED_VALUE"""),"Gabriel Knight: Sins of the Fathers")</f>
        <v>Gabriel Knight: Sins of the Fathers</v>
      </c>
      <c r="B176" s="55" t="str">
        <f>IFERROR(__xludf.DUMMYFUNCTION("""COMPUTED_VALUE"""),"Xbox / PC")</f>
        <v>Xbox / PC</v>
      </c>
      <c r="C176" s="55" t="str">
        <f>IFERROR(__xludf.DUMMYFUNCTION("""COMPUTED_VALUE"""),"Yes")</f>
        <v>Yes</v>
      </c>
      <c r="D176" s="56" t="str">
        <f>IFERROR(__xludf.DUMMYFUNCTION("""COMPUTED_VALUE"""),"Active")</f>
        <v>Active</v>
      </c>
      <c r="E176" s="57">
        <f>IFERROR(__xludf.DUMMYFUNCTION("""COMPUTED_VALUE"""),45859.0)</f>
        <v>45859</v>
      </c>
      <c r="F176" s="58"/>
      <c r="G176" s="60">
        <f>IFERROR(__xludf.DUMMYFUNCTION("""COMPUTED_VALUE"""),14.5)</f>
        <v>14.5</v>
      </c>
      <c r="H176" s="63">
        <f>IFERROR(__xludf.DUMMYFUNCTION("""COMPUTED_VALUE"""),34320.0)</f>
        <v>34320</v>
      </c>
      <c r="I176" s="60">
        <f>IFERROR(__xludf.DUMMYFUNCTION("""COMPUTED_VALUE"""),31.594444444444445)</f>
        <v>31.59444444</v>
      </c>
      <c r="J176" s="64">
        <f>IFERROR(__xludf.DUMMYFUNCTION("""COMPUTED_VALUE"""),89.0)</f>
        <v>89</v>
      </c>
      <c r="K176" s="64">
        <f>IFERROR(__xludf.DUMMYFUNCTION("""COMPUTED_VALUE"""),11.0)</f>
        <v>11</v>
      </c>
      <c r="L176" s="55" t="str">
        <f>IFERROR(__xludf.DUMMYFUNCTION("""COMPUTED_VALUE"""),"Action-Adventure")</f>
        <v>Action-Adventure</v>
      </c>
      <c r="M176" s="55"/>
      <c r="N176" s="55" t="str">
        <f>IFERROR(__xludf.DUMMYFUNCTION("""COMPUTED_VALUE"""),"Retro Classics: DOS")</f>
        <v>Retro Classics: DOS</v>
      </c>
      <c r="O176" s="55"/>
      <c r="P176" s="55"/>
      <c r="Q176" s="55"/>
      <c r="R176" s="56" t="str">
        <f>IFERROR(__xludf.DUMMYFUNCTION("""COMPUTED_VALUE"""),"Active")</f>
        <v>Active</v>
      </c>
      <c r="S176" s="57">
        <f>IFERROR(__xludf.DUMMYFUNCTION("""COMPUTED_VALUE"""),45859.0)</f>
        <v>45859</v>
      </c>
      <c r="T176" s="60">
        <f>IFERROR(__xludf.DUMMYFUNCTION("""COMPUTED_VALUE"""),0.0)</f>
        <v>0</v>
      </c>
    </row>
    <row r="177">
      <c r="A177" s="55" t="str">
        <f>IFERROR(__xludf.DUMMYFUNCTION("""COMPUTED_VALUE"""),"Hard Head")</f>
        <v>Hard Head</v>
      </c>
      <c r="B177" s="55" t="str">
        <f>IFERROR(__xludf.DUMMYFUNCTION("""COMPUTED_VALUE"""),"Xbox / PC")</f>
        <v>Xbox / PC</v>
      </c>
      <c r="C177" s="55" t="str">
        <f>IFERROR(__xludf.DUMMYFUNCTION("""COMPUTED_VALUE"""),"Yes")</f>
        <v>Yes</v>
      </c>
      <c r="D177" s="56" t="str">
        <f>IFERROR(__xludf.DUMMYFUNCTION("""COMPUTED_VALUE"""),"Active")</f>
        <v>Active</v>
      </c>
      <c r="E177" s="57">
        <f>IFERROR(__xludf.DUMMYFUNCTION("""COMPUTED_VALUE"""),45859.0)</f>
        <v>45859</v>
      </c>
      <c r="F177" s="58"/>
      <c r="G177" s="60">
        <f>IFERROR(__xludf.DUMMYFUNCTION("""COMPUTED_VALUE"""),14.5)</f>
        <v>14.5</v>
      </c>
      <c r="H177" s="63">
        <f>IFERROR(__xludf.DUMMYFUNCTION("""COMPUTED_VALUE"""),30682.0)</f>
        <v>30682</v>
      </c>
      <c r="I177" s="60">
        <f>IFERROR(__xludf.DUMMYFUNCTION("""COMPUTED_VALUE"""),41.55555555555556)</f>
        <v>41.55555556</v>
      </c>
      <c r="J177" s="64">
        <f>IFERROR(__xludf.DUMMYFUNCTION("""COMPUTED_VALUE"""),72.0)</f>
        <v>72</v>
      </c>
      <c r="K177" s="64"/>
      <c r="L177" s="55" t="str">
        <f>IFERROR(__xludf.DUMMYFUNCTION("""COMPUTED_VALUE"""),"Action")</f>
        <v>Action</v>
      </c>
      <c r="M177" s="55"/>
      <c r="N177" s="55" t="str">
        <f>IFERROR(__xludf.DUMMYFUNCTION("""COMPUTED_VALUE"""),"Retro Classics: Atari 2600")</f>
        <v>Retro Classics: Atari 2600</v>
      </c>
      <c r="O177" s="55"/>
      <c r="P177" s="55"/>
      <c r="Q177" s="55"/>
      <c r="R177" s="56" t="str">
        <f>IFERROR(__xludf.DUMMYFUNCTION("""COMPUTED_VALUE"""),"Active")</f>
        <v>Active</v>
      </c>
      <c r="S177" s="57">
        <f>IFERROR(__xludf.DUMMYFUNCTION("""COMPUTED_VALUE"""),45859.0)</f>
        <v>45859</v>
      </c>
      <c r="T177" s="60">
        <f>IFERROR(__xludf.DUMMYFUNCTION("""COMPUTED_VALUE"""),0.0)</f>
        <v>0</v>
      </c>
    </row>
    <row r="178">
      <c r="A178" s="55" t="str">
        <f>IFERROR(__xludf.DUMMYFUNCTION("""COMPUTED_VALUE"""),"Okie Dokie")</f>
        <v>Okie Dokie</v>
      </c>
      <c r="B178" s="55" t="str">
        <f>IFERROR(__xludf.DUMMYFUNCTION("""COMPUTED_VALUE"""),"Xbox / PC")</f>
        <v>Xbox / PC</v>
      </c>
      <c r="C178" s="55" t="str">
        <f>IFERROR(__xludf.DUMMYFUNCTION("""COMPUTED_VALUE"""),"Yes")</f>
        <v>Yes</v>
      </c>
      <c r="D178" s="56" t="str">
        <f>IFERROR(__xludf.DUMMYFUNCTION("""COMPUTED_VALUE"""),"Active")</f>
        <v>Active</v>
      </c>
      <c r="E178" s="57">
        <f>IFERROR(__xludf.DUMMYFUNCTION("""COMPUTED_VALUE"""),45859.0)</f>
        <v>45859</v>
      </c>
      <c r="F178" s="58"/>
      <c r="G178" s="60">
        <f>IFERROR(__xludf.DUMMYFUNCTION("""COMPUTED_VALUE"""),14.5)</f>
        <v>14.5</v>
      </c>
      <c r="H178" s="63">
        <f>IFERROR(__xludf.DUMMYFUNCTION("""COMPUTED_VALUE"""),31048.0)</f>
        <v>31048</v>
      </c>
      <c r="I178" s="60">
        <f>IFERROR(__xludf.DUMMYFUNCTION("""COMPUTED_VALUE"""),40.55555555555556)</f>
        <v>40.55555556</v>
      </c>
      <c r="J178" s="64"/>
      <c r="K178" s="64"/>
      <c r="L178" s="55" t="str">
        <f>IFERROR(__xludf.DUMMYFUNCTION("""COMPUTED_VALUE"""),"Puzzle")</f>
        <v>Puzzle</v>
      </c>
      <c r="M178" s="55"/>
      <c r="N178" s="55" t="str">
        <f>IFERROR(__xludf.DUMMYFUNCTION("""COMPUTED_VALUE"""),"Retro Classics: Atari 2600")</f>
        <v>Retro Classics: Atari 2600</v>
      </c>
      <c r="O178" s="55"/>
      <c r="P178" s="55"/>
      <c r="Q178" s="55"/>
      <c r="R178" s="56" t="str">
        <f>IFERROR(__xludf.DUMMYFUNCTION("""COMPUTED_VALUE"""),"Active")</f>
        <v>Active</v>
      </c>
      <c r="S178" s="57">
        <f>IFERROR(__xludf.DUMMYFUNCTION("""COMPUTED_VALUE"""),45859.0)</f>
        <v>45859</v>
      </c>
      <c r="T178" s="60">
        <f>IFERROR(__xludf.DUMMYFUNCTION("""COMPUTED_VALUE"""),0.0)</f>
        <v>0</v>
      </c>
    </row>
    <row r="179">
      <c r="A179" s="55" t="str">
        <f>IFERROR(__xludf.DUMMYFUNCTION("""COMPUTED_VALUE"""),"Skate Boardin'")</f>
        <v>Skate Boardin'</v>
      </c>
      <c r="B179" s="55" t="str">
        <f>IFERROR(__xludf.DUMMYFUNCTION("""COMPUTED_VALUE"""),"Xbox / PC")</f>
        <v>Xbox / PC</v>
      </c>
      <c r="C179" s="55" t="str">
        <f>IFERROR(__xludf.DUMMYFUNCTION("""COMPUTED_VALUE"""),"Yes")</f>
        <v>Yes</v>
      </c>
      <c r="D179" s="56" t="str">
        <f>IFERROR(__xludf.DUMMYFUNCTION("""COMPUTED_VALUE"""),"Active")</f>
        <v>Active</v>
      </c>
      <c r="E179" s="57">
        <f>IFERROR(__xludf.DUMMYFUNCTION("""COMPUTED_VALUE"""),45859.0)</f>
        <v>45859</v>
      </c>
      <c r="F179" s="58"/>
      <c r="G179" s="60">
        <f>IFERROR(__xludf.DUMMYFUNCTION("""COMPUTED_VALUE"""),14.5)</f>
        <v>14.5</v>
      </c>
      <c r="H179" s="63">
        <f>IFERROR(__xludf.DUMMYFUNCTION("""COMPUTED_VALUE"""),31972.0)</f>
        <v>31972</v>
      </c>
      <c r="I179" s="60">
        <f>IFERROR(__xludf.DUMMYFUNCTION("""COMPUTED_VALUE"""),38.019444444444446)</f>
        <v>38.01944444</v>
      </c>
      <c r="J179" s="64">
        <f>IFERROR(__xludf.DUMMYFUNCTION("""COMPUTED_VALUE"""),58.0)</f>
        <v>58</v>
      </c>
      <c r="K179" s="64">
        <f>IFERROR(__xludf.DUMMYFUNCTION("""COMPUTED_VALUE"""),1.0)</f>
        <v>1</v>
      </c>
      <c r="L179" s="55" t="str">
        <f>IFERROR(__xludf.DUMMYFUNCTION("""COMPUTED_VALUE"""),"Sports")</f>
        <v>Sports</v>
      </c>
      <c r="M179" s="55"/>
      <c r="N179" s="55" t="str">
        <f>IFERROR(__xludf.DUMMYFUNCTION("""COMPUTED_VALUE"""),"Retro Classics: Atari 2600")</f>
        <v>Retro Classics: Atari 2600</v>
      </c>
      <c r="O179" s="55"/>
      <c r="P179" s="55"/>
      <c r="Q179" s="55"/>
      <c r="R179" s="56" t="str">
        <f>IFERROR(__xludf.DUMMYFUNCTION("""COMPUTED_VALUE"""),"Active")</f>
        <v>Active</v>
      </c>
      <c r="S179" s="57">
        <f>IFERROR(__xludf.DUMMYFUNCTION("""COMPUTED_VALUE"""),45859.0)</f>
        <v>45859</v>
      </c>
      <c r="T179" s="60">
        <f>IFERROR(__xludf.DUMMYFUNCTION("""COMPUTED_VALUE"""),0.0)</f>
        <v>0</v>
      </c>
    </row>
    <row r="180">
      <c r="A180" s="55" t="str">
        <f>IFERROR(__xludf.DUMMYFUNCTION("""COMPUTED_VALUE"""),"Skeleton+")</f>
        <v>Skeleton+</v>
      </c>
      <c r="B180" s="55" t="str">
        <f>IFERROR(__xludf.DUMMYFUNCTION("""COMPUTED_VALUE"""),"Xbox / PC")</f>
        <v>Xbox / PC</v>
      </c>
      <c r="C180" s="55" t="str">
        <f>IFERROR(__xludf.DUMMYFUNCTION("""COMPUTED_VALUE"""),"Yes")</f>
        <v>Yes</v>
      </c>
      <c r="D180" s="56" t="str">
        <f>IFERROR(__xludf.DUMMYFUNCTION("""COMPUTED_VALUE"""),"Active")</f>
        <v>Active</v>
      </c>
      <c r="E180" s="57">
        <f>IFERROR(__xludf.DUMMYFUNCTION("""COMPUTED_VALUE"""),45859.0)</f>
        <v>45859</v>
      </c>
      <c r="F180" s="58"/>
      <c r="G180" s="60">
        <f>IFERROR(__xludf.DUMMYFUNCTION("""COMPUTED_VALUE"""),14.5)</f>
        <v>14.5</v>
      </c>
      <c r="H180" s="63">
        <f>IFERROR(__xludf.DUMMYFUNCTION("""COMPUTED_VALUE"""),37774.0)</f>
        <v>37774</v>
      </c>
      <c r="I180" s="60">
        <f>IFERROR(__xludf.DUMMYFUNCTION("""COMPUTED_VALUE"""),22.136111111111113)</f>
        <v>22.13611111</v>
      </c>
      <c r="J180" s="64">
        <f>IFERROR(__xludf.DUMMYFUNCTION("""COMPUTED_VALUE"""),75.0)</f>
        <v>75</v>
      </c>
      <c r="K180" s="64">
        <f>IFERROR(__xludf.DUMMYFUNCTION("""COMPUTED_VALUE"""),2.0)</f>
        <v>2</v>
      </c>
      <c r="L180" s="55" t="str">
        <f>IFERROR(__xludf.DUMMYFUNCTION("""COMPUTED_VALUE"""),"Action")</f>
        <v>Action</v>
      </c>
      <c r="M180" s="55"/>
      <c r="N180" s="55" t="str">
        <f>IFERROR(__xludf.DUMMYFUNCTION("""COMPUTED_VALUE"""),"Retro Classics: Atari 2600")</f>
        <v>Retro Classics: Atari 2600</v>
      </c>
      <c r="O180" s="55"/>
      <c r="P180" s="55"/>
      <c r="Q180" s="55"/>
      <c r="R180" s="56" t="str">
        <f>IFERROR(__xludf.DUMMYFUNCTION("""COMPUTED_VALUE"""),"Active")</f>
        <v>Active</v>
      </c>
      <c r="S180" s="57">
        <f>IFERROR(__xludf.DUMMYFUNCTION("""COMPUTED_VALUE"""),45859.0)</f>
        <v>45859</v>
      </c>
      <c r="T180" s="60">
        <f>IFERROR(__xludf.DUMMYFUNCTION("""COMPUTED_VALUE"""),0.0)</f>
        <v>0</v>
      </c>
    </row>
    <row r="181">
      <c r="A181" s="55" t="str">
        <f>IFERROR(__xludf.DUMMYFUNCTION("""COMPUTED_VALUE"""),"RoboCop: Rogue City")</f>
        <v>RoboCop: Rogue City</v>
      </c>
      <c r="B181" s="55" t="str">
        <f>IFERROR(__xludf.DUMMYFUNCTION("""COMPUTED_VALUE"""),"Xbox / PC")</f>
        <v>Xbox / PC</v>
      </c>
      <c r="C181" s="55" t="str">
        <f>IFERROR(__xludf.DUMMYFUNCTION("""COMPUTED_VALUE"""),"Yes")</f>
        <v>Yes</v>
      </c>
      <c r="D181" s="56" t="str">
        <f>IFERROR(__xludf.DUMMYFUNCTION("""COMPUTED_VALUE"""),"Active")</f>
        <v>Active</v>
      </c>
      <c r="E181" s="57">
        <f>IFERROR(__xludf.DUMMYFUNCTION("""COMPUTED_VALUE"""),45855.0)</f>
        <v>45855</v>
      </c>
      <c r="F181" s="58"/>
      <c r="G181" s="60">
        <f>IFERROR(__xludf.DUMMYFUNCTION("""COMPUTED_VALUE"""),14.633333333333335)</f>
        <v>14.63333333</v>
      </c>
      <c r="H181" s="63">
        <f>IFERROR(__xludf.DUMMYFUNCTION("""COMPUTED_VALUE"""),45232.0)</f>
        <v>45232</v>
      </c>
      <c r="I181" s="60">
        <f>IFERROR(__xludf.DUMMYFUNCTION("""COMPUTED_VALUE"""),1.7083333333333333)</f>
        <v>1.708333333</v>
      </c>
      <c r="J181" s="64">
        <f>IFERROR(__xludf.DUMMYFUNCTION("""COMPUTED_VALUE"""),72.0)</f>
        <v>72</v>
      </c>
      <c r="K181" s="64">
        <f>IFERROR(__xludf.DUMMYFUNCTION("""COMPUTED_VALUE"""),12.0)</f>
        <v>12</v>
      </c>
      <c r="L181" s="55" t="str">
        <f>IFERROR(__xludf.DUMMYFUNCTION("""COMPUTED_VALUE"""),"Shooter")</f>
        <v>Shooter</v>
      </c>
      <c r="M181" s="55" t="str">
        <f>IFERROR(__xludf.DUMMYFUNCTION("""COMPUTED_VALUE"""),"Exclusive")</f>
        <v>Exclusive</v>
      </c>
      <c r="N181" s="55"/>
      <c r="O181" s="55"/>
      <c r="P181" s="55"/>
      <c r="Q181" s="55"/>
      <c r="R181" s="56" t="str">
        <f>IFERROR(__xludf.DUMMYFUNCTION("""COMPUTED_VALUE"""),"Active")</f>
        <v>Active</v>
      </c>
      <c r="S181" s="57">
        <f>IFERROR(__xludf.DUMMYFUNCTION("""COMPUTED_VALUE"""),45855.0)</f>
        <v>45855</v>
      </c>
      <c r="T181" s="60">
        <f>IFERROR(__xludf.DUMMYFUNCTION("""COMPUTED_VALUE"""),0.0)</f>
        <v>0</v>
      </c>
    </row>
    <row r="182">
      <c r="A182" s="55" t="str">
        <f>IFERROR(__xludf.DUMMYFUNCTION("""COMPUTED_VALUE"""),"High on Life")</f>
        <v>High on Life</v>
      </c>
      <c r="B182" s="55" t="str">
        <f>IFERROR(__xludf.DUMMYFUNCTION("""COMPUTED_VALUE"""),"Xbox / PC")</f>
        <v>Xbox / PC</v>
      </c>
      <c r="C182" s="55" t="str">
        <f>IFERROR(__xludf.DUMMYFUNCTION("""COMPUTED_VALUE"""),"M+KB")</f>
        <v>M+KB</v>
      </c>
      <c r="D182" s="56" t="str">
        <f>IFERROR(__xludf.DUMMYFUNCTION("""COMPUTED_VALUE"""),"Active")</f>
        <v>Active</v>
      </c>
      <c r="E182" s="57">
        <f>IFERROR(__xludf.DUMMYFUNCTION("""COMPUTED_VALUE"""),45853.0)</f>
        <v>45853</v>
      </c>
      <c r="F182" s="58"/>
      <c r="G182" s="60">
        <f>IFERROR(__xludf.DUMMYFUNCTION("""COMPUTED_VALUE"""),14.700000000000001)</f>
        <v>14.7</v>
      </c>
      <c r="H182" s="63">
        <f>IFERROR(__xludf.DUMMYFUNCTION("""COMPUTED_VALUE"""),44908.0)</f>
        <v>44908</v>
      </c>
      <c r="I182" s="60">
        <f>IFERROR(__xludf.DUMMYFUNCTION("""COMPUTED_VALUE"""),2.588888888888889)</f>
        <v>2.588888889</v>
      </c>
      <c r="J182" s="64">
        <f>IFERROR(__xludf.DUMMYFUNCTION("""COMPUTED_VALUE"""),67.0)</f>
        <v>67</v>
      </c>
      <c r="K182" s="64">
        <f>IFERROR(__xludf.DUMMYFUNCTION("""COMPUTED_VALUE"""),9.0)</f>
        <v>9</v>
      </c>
      <c r="L182" s="55" t="str">
        <f>IFERROR(__xludf.DUMMYFUNCTION("""COMPUTED_VALUE"""),"Shooter")</f>
        <v>Shooter</v>
      </c>
      <c r="M182" s="55"/>
      <c r="N182" s="55" t="str">
        <f>IFERROR(__xludf.DUMMYFUNCTION("""COMPUTED_VALUE"""),"Returning title: Joined 12/12/22, left 6/15/24")</f>
        <v>Returning title: Joined 12/12/22, left 6/15/24</v>
      </c>
      <c r="O182" s="55" t="str">
        <f>IFERROR(__xludf.DUMMYFUNCTION("""COMPUTED_VALUE"""),"M")</f>
        <v>M</v>
      </c>
      <c r="P182" s="55" t="str">
        <f>IFERROR(__xludf.DUMMYFUNCTION("""COMPUTED_VALUE"""),"Violence, Blood, Sexual Themes, Use of Drugs, Strong Language, Crude Humor")</f>
        <v>Violence, Blood, Sexual Themes, Use of Drugs, Strong Language, Crude Humor</v>
      </c>
      <c r="Q182" s="55"/>
      <c r="R182" s="56" t="str">
        <f>IFERROR(__xludf.DUMMYFUNCTION("""COMPUTED_VALUE"""),"Active")</f>
        <v>Active</v>
      </c>
      <c r="S182" s="57">
        <f>IFERROR(__xludf.DUMMYFUNCTION("""COMPUTED_VALUE"""),45853.0)</f>
        <v>45853</v>
      </c>
      <c r="T182" s="60">
        <f>IFERROR(__xludf.DUMMYFUNCTION("""COMPUTED_VALUE"""),0.0)</f>
        <v>0</v>
      </c>
    </row>
    <row r="183">
      <c r="A183" s="55" t="str">
        <f>IFERROR(__xludf.DUMMYFUNCTION("""COMPUTED_VALUE"""),"Legend of Mana (2021)")</f>
        <v>Legend of Mana (2021)</v>
      </c>
      <c r="B183" s="55" t="str">
        <f>IFERROR(__xludf.DUMMYFUNCTION("""COMPUTED_VALUE"""),"Xbox / PC")</f>
        <v>Xbox / PC</v>
      </c>
      <c r="C183" s="55" t="str">
        <f>IFERROR(__xludf.DUMMYFUNCTION("""COMPUTED_VALUE"""),"Yes")</f>
        <v>Yes</v>
      </c>
      <c r="D183" s="56" t="str">
        <f>IFERROR(__xludf.DUMMYFUNCTION("""COMPUTED_VALUE"""),"Active")</f>
        <v>Active</v>
      </c>
      <c r="E183" s="57">
        <f>IFERROR(__xludf.DUMMYFUNCTION("""COMPUTED_VALUE"""),45561.0)</f>
        <v>45561</v>
      </c>
      <c r="F183" s="58"/>
      <c r="G183" s="60">
        <f>IFERROR(__xludf.DUMMYFUNCTION("""COMPUTED_VALUE"""),24.333333333333332)</f>
        <v>24.33333333</v>
      </c>
      <c r="H183" s="63">
        <f>IFERROR(__xludf.DUMMYFUNCTION("""COMPUTED_VALUE"""),44371.0)</f>
        <v>44371</v>
      </c>
      <c r="I183" s="60">
        <f>IFERROR(__xludf.DUMMYFUNCTION("""COMPUTED_VALUE"""),3.2555555555555555)</f>
        <v>3.255555556</v>
      </c>
      <c r="J183" s="64">
        <f>IFERROR(__xludf.DUMMYFUNCTION("""COMPUTED_VALUE"""),72.0)</f>
        <v>72</v>
      </c>
      <c r="K183" s="64">
        <f>IFERROR(__xludf.DUMMYFUNCTION("""COMPUTED_VALUE"""),18.0)</f>
        <v>18</v>
      </c>
      <c r="L183" s="55" t="str">
        <f>IFERROR(__xludf.DUMMYFUNCTION("""COMPUTED_VALUE"""),"RPG")</f>
        <v>RPG</v>
      </c>
      <c r="M183" s="55"/>
      <c r="N183" s="55"/>
      <c r="O183" s="55"/>
      <c r="P183" s="55"/>
      <c r="Q183" s="55"/>
      <c r="R183" s="56" t="str">
        <f>IFERROR(__xludf.DUMMYFUNCTION("""COMPUTED_VALUE"""),"Active")</f>
        <v>Active</v>
      </c>
      <c r="S183" s="57">
        <f>IFERROR(__xludf.DUMMYFUNCTION("""COMPUTED_VALUE"""),45840.0)</f>
        <v>45840</v>
      </c>
      <c r="T183" s="60">
        <f>IFERROR(__xludf.DUMMYFUNCTION("""COMPUTED_VALUE"""),9.200000000000001)</f>
        <v>9.2</v>
      </c>
    </row>
    <row r="184">
      <c r="A184" s="55" t="str">
        <f>IFERROR(__xludf.DUMMYFUNCTION("""COMPUTED_VALUE"""),"Trials of Mana (2020)")</f>
        <v>Trials of Mana (2020)</v>
      </c>
      <c r="B184" s="55" t="str">
        <f>IFERROR(__xludf.DUMMYFUNCTION("""COMPUTED_VALUE"""),"Xbox / PC")</f>
        <v>Xbox / PC</v>
      </c>
      <c r="C184" s="55" t="str">
        <f>IFERROR(__xludf.DUMMYFUNCTION("""COMPUTED_VALUE"""),"Yes")</f>
        <v>Yes</v>
      </c>
      <c r="D184" s="56" t="str">
        <f>IFERROR(__xludf.DUMMYFUNCTION("""COMPUTED_VALUE"""),"Active")</f>
        <v>Active</v>
      </c>
      <c r="E184" s="57">
        <f>IFERROR(__xludf.DUMMYFUNCTION("""COMPUTED_VALUE"""),45561.0)</f>
        <v>45561</v>
      </c>
      <c r="F184" s="58"/>
      <c r="G184" s="60">
        <f>IFERROR(__xludf.DUMMYFUNCTION("""COMPUTED_VALUE"""),24.333333333333332)</f>
        <v>24.33333333</v>
      </c>
      <c r="H184" s="63">
        <f>IFERROR(__xludf.DUMMYFUNCTION("""COMPUTED_VALUE"""),43945.0)</f>
        <v>43945</v>
      </c>
      <c r="I184" s="60">
        <f>IFERROR(__xludf.DUMMYFUNCTION("""COMPUTED_VALUE"""),4.4222222222222225)</f>
        <v>4.422222222</v>
      </c>
      <c r="J184" s="64">
        <f>IFERROR(__xludf.DUMMYFUNCTION("""COMPUTED_VALUE"""),76.0)</f>
        <v>76</v>
      </c>
      <c r="K184" s="64">
        <f>IFERROR(__xludf.DUMMYFUNCTION("""COMPUTED_VALUE"""),21.0)</f>
        <v>21</v>
      </c>
      <c r="L184" s="55" t="str">
        <f>IFERROR(__xludf.DUMMYFUNCTION("""COMPUTED_VALUE"""),"RPG")</f>
        <v>RPG</v>
      </c>
      <c r="M184" s="55"/>
      <c r="N184" s="55"/>
      <c r="O184" s="55"/>
      <c r="P184" s="55"/>
      <c r="Q184" s="55"/>
      <c r="R184" s="56" t="str">
        <f>IFERROR(__xludf.DUMMYFUNCTION("""COMPUTED_VALUE"""),"Active")</f>
        <v>Active</v>
      </c>
      <c r="S184" s="57">
        <f>IFERROR(__xludf.DUMMYFUNCTION("""COMPUTED_VALUE"""),45840.0)</f>
        <v>45840</v>
      </c>
      <c r="T184" s="60">
        <f>IFERROR(__xludf.DUMMYFUNCTION("""COMPUTED_VALUE"""),9.200000000000001)</f>
        <v>9.2</v>
      </c>
    </row>
    <row r="185">
      <c r="A185" s="55" t="str">
        <f>IFERROR(__xludf.DUMMYFUNCTION("""COMPUTED_VALUE"""),"Cosmic Commuter")</f>
        <v>Cosmic Commuter</v>
      </c>
      <c r="B185" s="55" t="str">
        <f>IFERROR(__xludf.DUMMYFUNCTION("""COMPUTED_VALUE"""),"Xbox / PC")</f>
        <v>Xbox / PC</v>
      </c>
      <c r="C185" s="55" t="str">
        <f>IFERROR(__xludf.DUMMYFUNCTION("""COMPUTED_VALUE"""),"Yes")</f>
        <v>Yes</v>
      </c>
      <c r="D185" s="56" t="str">
        <f>IFERROR(__xludf.DUMMYFUNCTION("""COMPUTED_VALUE"""),"Active")</f>
        <v>Active</v>
      </c>
      <c r="E185" s="57">
        <f>IFERROR(__xludf.DUMMYFUNCTION("""COMPUTED_VALUE"""),45839.0)</f>
        <v>45839</v>
      </c>
      <c r="F185" s="58"/>
      <c r="G185" s="60">
        <f>IFERROR(__xludf.DUMMYFUNCTION("""COMPUTED_VALUE"""),15.166666666666666)</f>
        <v>15.16666667</v>
      </c>
      <c r="H185" s="63">
        <f>IFERROR(__xludf.DUMMYFUNCTION("""COMPUTED_VALUE"""),31048.0)</f>
        <v>31048</v>
      </c>
      <c r="I185" s="60">
        <f>IFERROR(__xludf.DUMMYFUNCTION("""COMPUTED_VALUE"""),40.5)</f>
        <v>40.5</v>
      </c>
      <c r="J185" s="64">
        <f>IFERROR(__xludf.DUMMYFUNCTION("""COMPUTED_VALUE"""),67.0)</f>
        <v>67</v>
      </c>
      <c r="K185" s="64"/>
      <c r="L185" s="55" t="str">
        <f>IFERROR(__xludf.DUMMYFUNCTION("""COMPUTED_VALUE"""),"Shooter")</f>
        <v>Shooter</v>
      </c>
      <c r="M185" s="55"/>
      <c r="N185" s="55" t="str">
        <f>IFERROR(__xludf.DUMMYFUNCTION("""COMPUTED_VALUE"""),"Retro Classics: Atari 2600")</f>
        <v>Retro Classics: Atari 2600</v>
      </c>
      <c r="O185" s="55"/>
      <c r="P185" s="55"/>
      <c r="Q185" s="55"/>
      <c r="R185" s="56" t="str">
        <f>IFERROR(__xludf.DUMMYFUNCTION("""COMPUTED_VALUE"""),"Active")</f>
        <v>Active</v>
      </c>
      <c r="S185" s="57">
        <f>IFERROR(__xludf.DUMMYFUNCTION("""COMPUTED_VALUE"""),45839.0)</f>
        <v>45839</v>
      </c>
      <c r="T185" s="60">
        <f>IFERROR(__xludf.DUMMYFUNCTION("""COMPUTED_VALUE"""),0.0)</f>
        <v>0</v>
      </c>
    </row>
    <row r="186">
      <c r="A186" s="55" t="str">
        <f>IFERROR(__xludf.DUMMYFUNCTION("""COMPUTED_VALUE"""),"Heart of China")</f>
        <v>Heart of China</v>
      </c>
      <c r="B186" s="55" t="str">
        <f>IFERROR(__xludf.DUMMYFUNCTION("""COMPUTED_VALUE"""),"Xbox / PC")</f>
        <v>Xbox / PC</v>
      </c>
      <c r="C186" s="55" t="str">
        <f>IFERROR(__xludf.DUMMYFUNCTION("""COMPUTED_VALUE"""),"Yes")</f>
        <v>Yes</v>
      </c>
      <c r="D186" s="56" t="str">
        <f>IFERROR(__xludf.DUMMYFUNCTION("""COMPUTED_VALUE"""),"Active")</f>
        <v>Active</v>
      </c>
      <c r="E186" s="57">
        <f>IFERROR(__xludf.DUMMYFUNCTION("""COMPUTED_VALUE"""),45839.0)</f>
        <v>45839</v>
      </c>
      <c r="F186" s="58"/>
      <c r="G186" s="60">
        <f>IFERROR(__xludf.DUMMYFUNCTION("""COMPUTED_VALUE"""),15.166666666666666)</f>
        <v>15.16666667</v>
      </c>
      <c r="H186" s="63">
        <f>IFERROR(__xludf.DUMMYFUNCTION("""COMPUTED_VALUE"""),33239.0)</f>
        <v>33239</v>
      </c>
      <c r="I186" s="60">
        <f>IFERROR(__xludf.DUMMYFUNCTION("""COMPUTED_VALUE"""),34.5)</f>
        <v>34.5</v>
      </c>
      <c r="J186" s="64"/>
      <c r="K186" s="64">
        <f>IFERROR(__xludf.DUMMYFUNCTION("""COMPUTED_VALUE"""),4.0)</f>
        <v>4</v>
      </c>
      <c r="L186" s="55" t="str">
        <f>IFERROR(__xludf.DUMMYFUNCTION("""COMPUTED_VALUE"""),"Adventure")</f>
        <v>Adventure</v>
      </c>
      <c r="M186" s="55"/>
      <c r="N186" s="55" t="str">
        <f>IFERROR(__xludf.DUMMYFUNCTION("""COMPUTED_VALUE"""),"Retro Classics: DOS")</f>
        <v>Retro Classics: DOS</v>
      </c>
      <c r="O186" s="55"/>
      <c r="P186" s="55"/>
      <c r="Q186" s="55"/>
      <c r="R186" s="56" t="str">
        <f>IFERROR(__xludf.DUMMYFUNCTION("""COMPUTED_VALUE"""),"Active")</f>
        <v>Active</v>
      </c>
      <c r="S186" s="57">
        <f>IFERROR(__xludf.DUMMYFUNCTION("""COMPUTED_VALUE"""),45839.0)</f>
        <v>45839</v>
      </c>
      <c r="T186" s="60">
        <f>IFERROR(__xludf.DUMMYFUNCTION("""COMPUTED_VALUE"""),0.0)</f>
        <v>0</v>
      </c>
    </row>
    <row r="187">
      <c r="A187" s="55" t="str">
        <f>IFERROR(__xludf.DUMMYFUNCTION("""COMPUTED_VALUE"""),"Skiing")</f>
        <v>Skiing</v>
      </c>
      <c r="B187" s="55" t="str">
        <f>IFERROR(__xludf.DUMMYFUNCTION("""COMPUTED_VALUE"""),"Xbox / PC")</f>
        <v>Xbox / PC</v>
      </c>
      <c r="C187" s="55" t="str">
        <f>IFERROR(__xludf.DUMMYFUNCTION("""COMPUTED_VALUE"""),"Yes")</f>
        <v>Yes</v>
      </c>
      <c r="D187" s="56" t="str">
        <f>IFERROR(__xludf.DUMMYFUNCTION("""COMPUTED_VALUE"""),"Active")</f>
        <v>Active</v>
      </c>
      <c r="E187" s="57">
        <f>IFERROR(__xludf.DUMMYFUNCTION("""COMPUTED_VALUE"""),45839.0)</f>
        <v>45839</v>
      </c>
      <c r="F187" s="58"/>
      <c r="G187" s="60">
        <f>IFERROR(__xludf.DUMMYFUNCTION("""COMPUTED_VALUE"""),15.166666666666666)</f>
        <v>15.16666667</v>
      </c>
      <c r="H187" s="63">
        <f>IFERROR(__xludf.DUMMYFUNCTION("""COMPUTED_VALUE"""),29556.0)</f>
        <v>29556</v>
      </c>
      <c r="I187" s="60">
        <f>IFERROR(__xludf.DUMMYFUNCTION("""COMPUTED_VALUE"""),44.583333333333336)</f>
        <v>44.58333333</v>
      </c>
      <c r="J187" s="64">
        <f>IFERROR(__xludf.DUMMYFUNCTION("""COMPUTED_VALUE"""),72.0)</f>
        <v>72</v>
      </c>
      <c r="K187" s="64">
        <f>IFERROR(__xludf.DUMMYFUNCTION("""COMPUTED_VALUE"""),1.0)</f>
        <v>1</v>
      </c>
      <c r="L187" s="55" t="str">
        <f>IFERROR(__xludf.DUMMYFUNCTION("""COMPUTED_VALUE"""),"Sports")</f>
        <v>Sports</v>
      </c>
      <c r="M187" s="55"/>
      <c r="N187" s="55" t="str">
        <f>IFERROR(__xludf.DUMMYFUNCTION("""COMPUTED_VALUE"""),"Retro Classics: Atari 2600")</f>
        <v>Retro Classics: Atari 2600</v>
      </c>
      <c r="O187" s="55"/>
      <c r="P187" s="55"/>
      <c r="Q187" s="55"/>
      <c r="R187" s="56" t="str">
        <f>IFERROR(__xludf.DUMMYFUNCTION("""COMPUTED_VALUE"""),"Active")</f>
        <v>Active</v>
      </c>
      <c r="S187" s="57">
        <f>IFERROR(__xludf.DUMMYFUNCTION("""COMPUTED_VALUE"""),45839.0)</f>
        <v>45839</v>
      </c>
      <c r="T187" s="60">
        <f>IFERROR(__xludf.DUMMYFUNCTION("""COMPUTED_VALUE"""),0.0)</f>
        <v>0</v>
      </c>
    </row>
    <row r="188">
      <c r="A188" s="55" t="str">
        <f>IFERROR(__xludf.DUMMYFUNCTION("""COMPUTED_VALUE"""),"Solar Storm")</f>
        <v>Solar Storm</v>
      </c>
      <c r="B188" s="55" t="str">
        <f>IFERROR(__xludf.DUMMYFUNCTION("""COMPUTED_VALUE"""),"Xbox / PC")</f>
        <v>Xbox / PC</v>
      </c>
      <c r="C188" s="55" t="str">
        <f>IFERROR(__xludf.DUMMYFUNCTION("""COMPUTED_VALUE"""),"Yes")</f>
        <v>Yes</v>
      </c>
      <c r="D188" s="56" t="str">
        <f>IFERROR(__xludf.DUMMYFUNCTION("""COMPUTED_VALUE"""),"Active")</f>
        <v>Active</v>
      </c>
      <c r="E188" s="57">
        <f>IFERROR(__xludf.DUMMYFUNCTION("""COMPUTED_VALUE"""),45839.0)</f>
        <v>45839</v>
      </c>
      <c r="F188" s="58"/>
      <c r="G188" s="60">
        <f>IFERROR(__xludf.DUMMYFUNCTION("""COMPUTED_VALUE"""),15.166666666666666)</f>
        <v>15.16666667</v>
      </c>
      <c r="H188" s="63">
        <f>IFERROR(__xludf.DUMMYFUNCTION("""COMPUTED_VALUE"""),30468.0)</f>
        <v>30468</v>
      </c>
      <c r="I188" s="60">
        <f>IFERROR(__xludf.DUMMYFUNCTION("""COMPUTED_VALUE"""),42.083333333333336)</f>
        <v>42.08333333</v>
      </c>
      <c r="J188" s="64">
        <f>IFERROR(__xludf.DUMMYFUNCTION("""COMPUTED_VALUE"""),71.0)</f>
        <v>71</v>
      </c>
      <c r="K188" s="64"/>
      <c r="L188" s="55" t="str">
        <f>IFERROR(__xludf.DUMMYFUNCTION("""COMPUTED_VALUE"""),"Action-Adventure")</f>
        <v>Action-Adventure</v>
      </c>
      <c r="M188" s="55"/>
      <c r="N188" s="55" t="str">
        <f>IFERROR(__xludf.DUMMYFUNCTION("""COMPUTED_VALUE"""),"Retro Classics: Atari 2600")</f>
        <v>Retro Classics: Atari 2600</v>
      </c>
      <c r="O188" s="55"/>
      <c r="P188" s="55"/>
      <c r="Q188" s="55"/>
      <c r="R188" s="56" t="str">
        <f>IFERROR(__xludf.DUMMYFUNCTION("""COMPUTED_VALUE"""),"Active")</f>
        <v>Active</v>
      </c>
      <c r="S188" s="57">
        <f>IFERROR(__xludf.DUMMYFUNCTION("""COMPUTED_VALUE"""),45839.0)</f>
        <v>45839</v>
      </c>
      <c r="T188" s="60">
        <f>IFERROR(__xludf.DUMMYFUNCTION("""COMPUTED_VALUE"""),0.0)</f>
        <v>0</v>
      </c>
    </row>
    <row r="189">
      <c r="A189" s="55" t="str">
        <f>IFERROR(__xludf.DUMMYFUNCTION("""COMPUTED_VALUE"""),"Subterranea")</f>
        <v>Subterranea</v>
      </c>
      <c r="B189" s="55" t="str">
        <f>IFERROR(__xludf.DUMMYFUNCTION("""COMPUTED_VALUE"""),"Xbox / PC")</f>
        <v>Xbox / PC</v>
      </c>
      <c r="C189" s="55" t="str">
        <f>IFERROR(__xludf.DUMMYFUNCTION("""COMPUTED_VALUE"""),"Yes")</f>
        <v>Yes</v>
      </c>
      <c r="D189" s="56" t="str">
        <f>IFERROR(__xludf.DUMMYFUNCTION("""COMPUTED_VALUE"""),"Active")</f>
        <v>Active</v>
      </c>
      <c r="E189" s="57">
        <f>IFERROR(__xludf.DUMMYFUNCTION("""COMPUTED_VALUE"""),45839.0)</f>
        <v>45839</v>
      </c>
      <c r="F189" s="58"/>
      <c r="G189" s="60">
        <f>IFERROR(__xludf.DUMMYFUNCTION("""COMPUTED_VALUE"""),15.166666666666666)</f>
        <v>15.16666667</v>
      </c>
      <c r="H189" s="63">
        <f>IFERROR(__xludf.DUMMYFUNCTION("""COMPUTED_VALUE"""),30317.0)</f>
        <v>30317</v>
      </c>
      <c r="I189" s="60">
        <f>IFERROR(__xludf.DUMMYFUNCTION("""COMPUTED_VALUE"""),42.5)</f>
        <v>42.5</v>
      </c>
      <c r="J189" s="64">
        <f>IFERROR(__xludf.DUMMYFUNCTION("""COMPUTED_VALUE"""),68.0)</f>
        <v>68</v>
      </c>
      <c r="K189" s="64"/>
      <c r="L189" s="55" t="str">
        <f>IFERROR(__xludf.DUMMYFUNCTION("""COMPUTED_VALUE"""),"Shooter")</f>
        <v>Shooter</v>
      </c>
      <c r="M189" s="55"/>
      <c r="N189" s="55" t="str">
        <f>IFERROR(__xludf.DUMMYFUNCTION("""COMPUTED_VALUE"""),"Retro Classics: Atari 2600")</f>
        <v>Retro Classics: Atari 2600</v>
      </c>
      <c r="O189" s="55"/>
      <c r="P189" s="55"/>
      <c r="Q189" s="55"/>
      <c r="R189" s="56" t="str">
        <f>IFERROR(__xludf.DUMMYFUNCTION("""COMPUTED_VALUE"""),"Active")</f>
        <v>Active</v>
      </c>
      <c r="S189" s="57">
        <f>IFERROR(__xludf.DUMMYFUNCTION("""COMPUTED_VALUE"""),45839.0)</f>
        <v>45839</v>
      </c>
      <c r="T189" s="60">
        <f>IFERROR(__xludf.DUMMYFUNCTION("""COMPUTED_VALUE"""),0.0)</f>
        <v>0</v>
      </c>
    </row>
    <row r="190">
      <c r="A190" s="55" t="str">
        <f>IFERROR(__xludf.DUMMYFUNCTION("""COMPUTED_VALUE"""),"Call of Duty: WWII")</f>
        <v>Call of Duty: WWII</v>
      </c>
      <c r="B190" s="55" t="str">
        <f>IFERROR(__xludf.DUMMYFUNCTION("""COMPUTED_VALUE"""),"Xbox / PC")</f>
        <v>Xbox / PC</v>
      </c>
      <c r="C190" s="55"/>
      <c r="D190" s="56" t="str">
        <f>IFERROR(__xludf.DUMMYFUNCTION("""COMPUTED_VALUE"""),"Active")</f>
        <v>Active</v>
      </c>
      <c r="E190" s="57">
        <f>IFERROR(__xludf.DUMMYFUNCTION("""COMPUTED_VALUE"""),45838.0)</f>
        <v>45838</v>
      </c>
      <c r="F190" s="58"/>
      <c r="G190" s="60">
        <f>IFERROR(__xludf.DUMMYFUNCTION("""COMPUTED_VALUE"""),15.2)</f>
        <v>15.2</v>
      </c>
      <c r="H190" s="63">
        <f>IFERROR(__xludf.DUMMYFUNCTION("""COMPUTED_VALUE"""),43042.0)</f>
        <v>43042</v>
      </c>
      <c r="I190" s="60">
        <f>IFERROR(__xludf.DUMMYFUNCTION("""COMPUTED_VALUE"""),7.658333333333333)</f>
        <v>7.658333333</v>
      </c>
      <c r="J190" s="64">
        <f>IFERROR(__xludf.DUMMYFUNCTION("""COMPUTED_VALUE"""),79.0)</f>
        <v>79</v>
      </c>
      <c r="K190" s="64">
        <f>IFERROR(__xludf.DUMMYFUNCTION("""COMPUTED_VALUE"""),7.0)</f>
        <v>7</v>
      </c>
      <c r="L190" s="55" t="str">
        <f>IFERROR(__xludf.DUMMYFUNCTION("""COMPUTED_VALUE"""),"Shooter")</f>
        <v>Shooter</v>
      </c>
      <c r="M190" s="55"/>
      <c r="N190" s="55"/>
      <c r="O190" s="55"/>
      <c r="P190" s="55"/>
      <c r="Q190" s="55"/>
      <c r="R190" s="56" t="str">
        <f>IFERROR(__xludf.DUMMYFUNCTION("""COMPUTED_VALUE"""),"Active")</f>
        <v>Active</v>
      </c>
      <c r="S190" s="57">
        <f>IFERROR(__xludf.DUMMYFUNCTION("""COMPUTED_VALUE"""),45838.0)</f>
        <v>45838</v>
      </c>
      <c r="T190" s="60">
        <f>IFERROR(__xludf.DUMMYFUNCTION("""COMPUTED_VALUE"""),0.0)</f>
        <v>0</v>
      </c>
    </row>
    <row r="191">
      <c r="A191" s="55" t="str">
        <f>IFERROR(__xludf.DUMMYFUNCTION("""COMPUTED_VALUE"""),"Star Trucker")</f>
        <v>Star Trucker</v>
      </c>
      <c r="B191" s="55" t="str">
        <f>IFERROR(__xludf.DUMMYFUNCTION("""COMPUTED_VALUE"""),"Xbox / PC")</f>
        <v>Xbox / PC</v>
      </c>
      <c r="C191" s="55" t="str">
        <f>IFERROR(__xludf.DUMMYFUNCTION("""COMPUTED_VALUE"""),"Yes")</f>
        <v>Yes</v>
      </c>
      <c r="D191" s="56" t="str">
        <f>IFERROR(__xludf.DUMMYFUNCTION("""COMPUTED_VALUE"""),"Active")</f>
        <v>Active</v>
      </c>
      <c r="E191" s="57">
        <f>IFERROR(__xludf.DUMMYFUNCTION("""COMPUTED_VALUE"""),45538.0)</f>
        <v>45538</v>
      </c>
      <c r="F191" s="58"/>
      <c r="G191" s="60">
        <f>IFERROR(__xludf.DUMMYFUNCTION("""COMPUTED_VALUE"""),25.1)</f>
        <v>25.1</v>
      </c>
      <c r="H191" s="63">
        <f>IFERROR(__xludf.DUMMYFUNCTION("""COMPUTED_VALUE"""),45538.0)</f>
        <v>45538</v>
      </c>
      <c r="I191" s="60">
        <f>IFERROR(__xludf.DUMMYFUNCTION("""COMPUTED_VALUE"""),0.0)</f>
        <v>0</v>
      </c>
      <c r="J191" s="64">
        <f>IFERROR(__xludf.DUMMYFUNCTION("""COMPUTED_VALUE"""),74.0)</f>
        <v>74</v>
      </c>
      <c r="K191" s="64">
        <f>IFERROR(__xludf.DUMMYFUNCTION("""COMPUTED_VALUE"""),25.0)</f>
        <v>25</v>
      </c>
      <c r="L191" s="55" t="str">
        <f>IFERROR(__xludf.DUMMYFUNCTION("""COMPUTED_VALUE"""),"Simulation")</f>
        <v>Simulation</v>
      </c>
      <c r="M191" s="55"/>
      <c r="N191" s="55"/>
      <c r="O191" s="55"/>
      <c r="P191" s="55"/>
      <c r="Q191" s="55"/>
      <c r="R191" s="56" t="str">
        <f>IFERROR(__xludf.DUMMYFUNCTION("""COMPUTED_VALUE"""),"Active")</f>
        <v>Active</v>
      </c>
      <c r="S191" s="57">
        <f>IFERROR(__xludf.DUMMYFUNCTION("""COMPUTED_VALUE"""),45826.0)</f>
        <v>45826</v>
      </c>
      <c r="T191" s="60">
        <f>IFERROR(__xludf.DUMMYFUNCTION("""COMPUTED_VALUE"""),9.5)</f>
        <v>9.5</v>
      </c>
    </row>
    <row r="192">
      <c r="A192" s="55" t="str">
        <f>IFERROR(__xludf.DUMMYFUNCTION("""COMPUTED_VALUE"""),"Crash Bandicoot 4: It's About Time")</f>
        <v>Crash Bandicoot 4: It's About Time</v>
      </c>
      <c r="B192" s="55" t="str">
        <f>IFERROR(__xludf.DUMMYFUNCTION("""COMPUTED_VALUE"""),"Xbox / PC")</f>
        <v>Xbox / PC</v>
      </c>
      <c r="C192" s="55"/>
      <c r="D192" s="56" t="str">
        <f>IFERROR(__xludf.DUMMYFUNCTION("""COMPUTED_VALUE"""),"Active")</f>
        <v>Active</v>
      </c>
      <c r="E192" s="57">
        <f>IFERROR(__xludf.DUMMYFUNCTION("""COMPUTED_VALUE"""),45825.0)</f>
        <v>45825</v>
      </c>
      <c r="F192" s="58"/>
      <c r="G192" s="60">
        <f>IFERROR(__xludf.DUMMYFUNCTION("""COMPUTED_VALUE"""),15.633333333333333)</f>
        <v>15.63333333</v>
      </c>
      <c r="H192" s="63">
        <f>IFERROR(__xludf.DUMMYFUNCTION("""COMPUTED_VALUE"""),44106.0)</f>
        <v>44106</v>
      </c>
      <c r="I192" s="60">
        <f>IFERROR(__xludf.DUMMYFUNCTION("""COMPUTED_VALUE"""),4.708333333333333)</f>
        <v>4.708333333</v>
      </c>
      <c r="J192" s="64">
        <f>IFERROR(__xludf.DUMMYFUNCTION("""COMPUTED_VALUE"""),85.0)</f>
        <v>85</v>
      </c>
      <c r="K192" s="64">
        <f>IFERROR(__xludf.DUMMYFUNCTION("""COMPUTED_VALUE"""),10.0)</f>
        <v>10</v>
      </c>
      <c r="L192" s="55" t="str">
        <f>IFERROR(__xludf.DUMMYFUNCTION("""COMPUTED_VALUE"""),"Plaformer")</f>
        <v>Plaformer</v>
      </c>
      <c r="M192" s="55"/>
      <c r="N192" s="55"/>
      <c r="O192" s="55"/>
      <c r="P192" s="55"/>
      <c r="Q192" s="55"/>
      <c r="R192" s="56" t="str">
        <f>IFERROR(__xludf.DUMMYFUNCTION("""COMPUTED_VALUE"""),"Active")</f>
        <v>Active</v>
      </c>
      <c r="S192" s="57">
        <f>IFERROR(__xludf.DUMMYFUNCTION("""COMPUTED_VALUE"""),45825.0)</f>
        <v>45825</v>
      </c>
      <c r="T192" s="60">
        <f>IFERROR(__xludf.DUMMYFUNCTION("""COMPUTED_VALUE"""),0.0)</f>
        <v>0</v>
      </c>
    </row>
    <row r="193">
      <c r="A193" s="55" t="str">
        <f>IFERROR(__xludf.DUMMYFUNCTION("""COMPUTED_VALUE"""),"Baldur's Gate: Enhanced Edition")</f>
        <v>Baldur's Gate: Enhanced Edition</v>
      </c>
      <c r="B193" s="55" t="str">
        <f>IFERROR(__xludf.DUMMYFUNCTION("""COMPUTED_VALUE"""),"Xbox / PC")</f>
        <v>Xbox / PC</v>
      </c>
      <c r="C193" s="55" t="str">
        <f>IFERROR(__xludf.DUMMYFUNCTION("""COMPUTED_VALUE"""),"Yes")</f>
        <v>Yes</v>
      </c>
      <c r="D193" s="56" t="str">
        <f>IFERROR(__xludf.DUMMYFUNCTION("""COMPUTED_VALUE"""),"Active")</f>
        <v>Active</v>
      </c>
      <c r="E193" s="57">
        <f>IFERROR(__xludf.DUMMYFUNCTION("""COMPUTED_VALUE"""),45813.0)</f>
        <v>45813</v>
      </c>
      <c r="F193" s="58"/>
      <c r="G193" s="60">
        <f>IFERROR(__xludf.DUMMYFUNCTION("""COMPUTED_VALUE"""),16.03333333333333)</f>
        <v>16.03333333</v>
      </c>
      <c r="H193" s="63">
        <f>IFERROR(__xludf.DUMMYFUNCTION("""COMPUTED_VALUE"""),41241.0)</f>
        <v>41241</v>
      </c>
      <c r="I193" s="60">
        <f>IFERROR(__xludf.DUMMYFUNCTION("""COMPUTED_VALUE"""),12.519444444444444)</f>
        <v>12.51944444</v>
      </c>
      <c r="J193" s="64">
        <f>IFERROR(__xludf.DUMMYFUNCTION("""COMPUTED_VALUE"""),78.0)</f>
        <v>78</v>
      </c>
      <c r="K193" s="64">
        <f>IFERROR(__xludf.DUMMYFUNCTION("""COMPUTED_VALUE"""),31.0)</f>
        <v>31</v>
      </c>
      <c r="L193" s="55" t="str">
        <f>IFERROR(__xludf.DUMMYFUNCTION("""COMPUTED_VALUE"""),"RPG")</f>
        <v>RPG</v>
      </c>
      <c r="M193" s="55"/>
      <c r="N193" s="55" t="str">
        <f>IFERROR(__xludf.DUMMYFUNCTION("""COMPUTED_VALUE"""),"Joined PC 10/9/25")</f>
        <v>Joined PC 10/9/25</v>
      </c>
      <c r="O193" s="55"/>
      <c r="P193" s="55"/>
      <c r="Q193" s="55"/>
      <c r="R193" s="56" t="str">
        <f>IFERROR(__xludf.DUMMYFUNCTION("""COMPUTED_VALUE"""),"Active")</f>
        <v>Active</v>
      </c>
      <c r="S193" s="57">
        <f>IFERROR(__xludf.DUMMYFUNCTION("""COMPUTED_VALUE"""),45813.0)</f>
        <v>45813</v>
      </c>
      <c r="T193" s="60">
        <f>IFERROR(__xludf.DUMMYFUNCTION("""COMPUTED_VALUE"""),0.0)</f>
        <v>0</v>
      </c>
    </row>
    <row r="194">
      <c r="A194" s="55" t="str">
        <f>IFERROR(__xludf.DUMMYFUNCTION("""COMPUTED_VALUE"""),"Baldur's Gate II: Enhanced Edition")</f>
        <v>Baldur's Gate II: Enhanced Edition</v>
      </c>
      <c r="B194" s="55" t="str">
        <f>IFERROR(__xludf.DUMMYFUNCTION("""COMPUTED_VALUE"""),"Xbox / PC")</f>
        <v>Xbox / PC</v>
      </c>
      <c r="C194" s="55" t="str">
        <f>IFERROR(__xludf.DUMMYFUNCTION("""COMPUTED_VALUE"""),"Yes")</f>
        <v>Yes</v>
      </c>
      <c r="D194" s="56" t="str">
        <f>IFERROR(__xludf.DUMMYFUNCTION("""COMPUTED_VALUE"""),"Active")</f>
        <v>Active</v>
      </c>
      <c r="E194" s="57">
        <f>IFERROR(__xludf.DUMMYFUNCTION("""COMPUTED_VALUE"""),45813.0)</f>
        <v>45813</v>
      </c>
      <c r="F194" s="58"/>
      <c r="G194" s="60">
        <f>IFERROR(__xludf.DUMMYFUNCTION("""COMPUTED_VALUE"""),16.03333333333333)</f>
        <v>16.03333333</v>
      </c>
      <c r="H194" s="63">
        <f>IFERROR(__xludf.DUMMYFUNCTION("""COMPUTED_VALUE"""),41593.0)</f>
        <v>41593</v>
      </c>
      <c r="I194" s="60">
        <f>IFERROR(__xludf.DUMMYFUNCTION("""COMPUTED_VALUE"""),11.555555555555555)</f>
        <v>11.55555556</v>
      </c>
      <c r="J194" s="64">
        <f>IFERROR(__xludf.DUMMYFUNCTION("""COMPUTED_VALUE"""),78.0)</f>
        <v>78</v>
      </c>
      <c r="K194" s="64">
        <f>IFERROR(__xludf.DUMMYFUNCTION("""COMPUTED_VALUE"""),45.0)</f>
        <v>45</v>
      </c>
      <c r="L194" s="55" t="str">
        <f>IFERROR(__xludf.DUMMYFUNCTION("""COMPUTED_VALUE"""),"RPG")</f>
        <v>RPG</v>
      </c>
      <c r="M194" s="55"/>
      <c r="N194" s="55" t="str">
        <f>IFERROR(__xludf.DUMMYFUNCTION("""COMPUTED_VALUE"""),"Joined PC 10/9/25")</f>
        <v>Joined PC 10/9/25</v>
      </c>
      <c r="O194" s="55"/>
      <c r="P194" s="55"/>
      <c r="Q194" s="55"/>
      <c r="R194" s="56" t="str">
        <f>IFERROR(__xludf.DUMMYFUNCTION("""COMPUTED_VALUE"""),"Active")</f>
        <v>Active</v>
      </c>
      <c r="S194" s="57">
        <f>IFERROR(__xludf.DUMMYFUNCTION("""COMPUTED_VALUE"""),45813.0)</f>
        <v>45813</v>
      </c>
      <c r="T194" s="60">
        <f>IFERROR(__xludf.DUMMYFUNCTION("""COMPUTED_VALUE"""),0.0)</f>
        <v>0</v>
      </c>
    </row>
    <row r="195">
      <c r="A195" s="55" t="str">
        <f>IFERROR(__xludf.DUMMYFUNCTION("""COMPUTED_VALUE"""),"Symphonia (2024)")</f>
        <v>Symphonia (2024)</v>
      </c>
      <c r="B195" s="55" t="str">
        <f>IFERROR(__xludf.DUMMYFUNCTION("""COMPUTED_VALUE"""),"Xbox / PC")</f>
        <v>Xbox / PC</v>
      </c>
      <c r="C195" s="55" t="str">
        <f>IFERROR(__xludf.DUMMYFUNCTION("""COMPUTED_VALUE"""),"Yes")</f>
        <v>Yes</v>
      </c>
      <c r="D195" s="56" t="str">
        <f>IFERROR(__xludf.DUMMYFUNCTION("""COMPUTED_VALUE"""),"Active")</f>
        <v>Active</v>
      </c>
      <c r="E195" s="57">
        <f>IFERROR(__xludf.DUMMYFUNCTION("""COMPUTED_VALUE"""),45811.0)</f>
        <v>45811</v>
      </c>
      <c r="F195" s="58"/>
      <c r="G195" s="60">
        <f>IFERROR(__xludf.DUMMYFUNCTION("""COMPUTED_VALUE"""),16.099999999999998)</f>
        <v>16.1</v>
      </c>
      <c r="H195" s="63">
        <f>IFERROR(__xludf.DUMMYFUNCTION("""COMPUTED_VALUE"""),45631.0)</f>
        <v>45631</v>
      </c>
      <c r="I195" s="60">
        <f>IFERROR(__xludf.DUMMYFUNCTION("""COMPUTED_VALUE"""),0.49444444444444446)</f>
        <v>0.4944444444</v>
      </c>
      <c r="J195" s="64">
        <f>IFERROR(__xludf.DUMMYFUNCTION("""COMPUTED_VALUE"""),85.0)</f>
        <v>85</v>
      </c>
      <c r="K195" s="64">
        <f>IFERROR(__xludf.DUMMYFUNCTION("""COMPUTED_VALUE"""),5.0)</f>
        <v>5</v>
      </c>
      <c r="L195" s="55" t="str">
        <f>IFERROR(__xludf.DUMMYFUNCTION("""COMPUTED_VALUE"""),"Platformer")</f>
        <v>Platformer</v>
      </c>
      <c r="M195" s="55"/>
      <c r="N195" s="55"/>
      <c r="O195" s="55"/>
      <c r="P195" s="55"/>
      <c r="Q195" s="55"/>
      <c r="R195" s="56" t="str">
        <f>IFERROR(__xludf.DUMMYFUNCTION("""COMPUTED_VALUE"""),"Active")</f>
        <v>Active</v>
      </c>
      <c r="S195" s="57">
        <f>IFERROR(__xludf.DUMMYFUNCTION("""COMPUTED_VALUE"""),45811.0)</f>
        <v>45811</v>
      </c>
      <c r="T195" s="60">
        <f>IFERROR(__xludf.DUMMYFUNCTION("""COMPUTED_VALUE"""),0.0)</f>
        <v>0</v>
      </c>
    </row>
    <row r="196">
      <c r="A196" s="55" t="str">
        <f>IFERROR(__xludf.DUMMYFUNCTION("""COMPUTED_VALUE"""),"Tom Clancy's The Division 2")</f>
        <v>Tom Clancy's The Division 2</v>
      </c>
      <c r="B196" s="55" t="str">
        <f>IFERROR(__xludf.DUMMYFUNCTION("""COMPUTED_VALUE"""),"Xbox / PC")</f>
        <v>Xbox / PC</v>
      </c>
      <c r="C196" s="55" t="str">
        <f>IFERROR(__xludf.DUMMYFUNCTION("""COMPUTED_VALUE"""),"Yes")</f>
        <v>Yes</v>
      </c>
      <c r="D196" s="56" t="str">
        <f>IFERROR(__xludf.DUMMYFUNCTION("""COMPUTED_VALUE"""),"Active")</f>
        <v>Active</v>
      </c>
      <c r="E196" s="57">
        <f>IFERROR(__xludf.DUMMYFUNCTION("""COMPUTED_VALUE"""),45804.0)</f>
        <v>45804</v>
      </c>
      <c r="F196" s="58"/>
      <c r="G196" s="60">
        <f>IFERROR(__xludf.DUMMYFUNCTION("""COMPUTED_VALUE"""),16.3)</f>
        <v>16.3</v>
      </c>
      <c r="H196" s="63">
        <f>IFERROR(__xludf.DUMMYFUNCTION("""COMPUTED_VALUE"""),43536.0)</f>
        <v>43536</v>
      </c>
      <c r="I196" s="60">
        <f>IFERROR(__xludf.DUMMYFUNCTION("""COMPUTED_VALUE"""),6.208333333333333)</f>
        <v>6.208333333</v>
      </c>
      <c r="J196" s="64">
        <f>IFERROR(__xludf.DUMMYFUNCTION("""COMPUTED_VALUE"""),82.0)</f>
        <v>82</v>
      </c>
      <c r="K196" s="64">
        <f>IFERROR(__xludf.DUMMYFUNCTION("""COMPUTED_VALUE"""),26.0)</f>
        <v>26</v>
      </c>
      <c r="L196" s="55" t="str">
        <f>IFERROR(__xludf.DUMMYFUNCTION("""COMPUTED_VALUE"""),"Shooter")</f>
        <v>Shooter</v>
      </c>
      <c r="M196" s="55"/>
      <c r="N196" s="55"/>
      <c r="O196" s="55"/>
      <c r="P196" s="55"/>
      <c r="Q196" s="55"/>
      <c r="R196" s="56" t="str">
        <f>IFERROR(__xludf.DUMMYFUNCTION("""COMPUTED_VALUE"""),"Active")</f>
        <v>Active</v>
      </c>
      <c r="S196" s="57">
        <f>IFERROR(__xludf.DUMMYFUNCTION("""COMPUTED_VALUE"""),45804.0)</f>
        <v>45804</v>
      </c>
      <c r="T196" s="60">
        <f>IFERROR(__xludf.DUMMYFUNCTION("""COMPUTED_VALUE"""),0.0)</f>
        <v>0</v>
      </c>
    </row>
    <row r="197">
      <c r="A197" s="55" t="str">
        <f>IFERROR(__xludf.DUMMYFUNCTION("""COMPUTED_VALUE"""),"Activision Prototype #1")</f>
        <v>Activision Prototype #1</v>
      </c>
      <c r="B197" s="55" t="str">
        <f>IFERROR(__xludf.DUMMYFUNCTION("""COMPUTED_VALUE"""),"Xbox / PC")</f>
        <v>Xbox / PC</v>
      </c>
      <c r="C197" s="55" t="str">
        <f>IFERROR(__xludf.DUMMYFUNCTION("""COMPUTED_VALUE"""),"Yes")</f>
        <v>Yes</v>
      </c>
      <c r="D197" s="56" t="str">
        <f>IFERROR(__xludf.DUMMYFUNCTION("""COMPUTED_VALUE"""),"Active")</f>
        <v>Active</v>
      </c>
      <c r="E197" s="57">
        <f>IFERROR(__xludf.DUMMYFUNCTION("""COMPUTED_VALUE"""),45798.0)</f>
        <v>45798</v>
      </c>
      <c r="F197" s="58"/>
      <c r="G197" s="60">
        <f>IFERROR(__xludf.DUMMYFUNCTION("""COMPUTED_VALUE"""),16.5)</f>
        <v>16.5</v>
      </c>
      <c r="H197" s="63">
        <f>IFERROR(__xludf.DUMMYFUNCTION("""COMPUTED_VALUE"""),30317.0)</f>
        <v>30317</v>
      </c>
      <c r="I197" s="60">
        <f>IFERROR(__xludf.DUMMYFUNCTION("""COMPUTED_VALUE"""),42.388888888888886)</f>
        <v>42.38888889</v>
      </c>
      <c r="J197" s="64"/>
      <c r="K197" s="64"/>
      <c r="L197" s="55" t="str">
        <f>IFERROR(__xludf.DUMMYFUNCTION("""COMPUTED_VALUE"""),"Action")</f>
        <v>Action</v>
      </c>
      <c r="M197" s="55"/>
      <c r="N197" s="55" t="str">
        <f>IFERROR(__xludf.DUMMYFUNCTION("""COMPUTED_VALUE"""),"Retro Classics: Atari 2600, Publisher")</f>
        <v>Retro Classics: Atari 2600, Publisher</v>
      </c>
      <c r="O197" s="55"/>
      <c r="P197" s="55"/>
      <c r="Q197" s="55"/>
      <c r="R197" s="56" t="str">
        <f>IFERROR(__xludf.DUMMYFUNCTION("""COMPUTED_VALUE"""),"Active")</f>
        <v>Active</v>
      </c>
      <c r="S197" s="57">
        <f>IFERROR(__xludf.DUMMYFUNCTION("""COMPUTED_VALUE"""),45798.0)</f>
        <v>45798</v>
      </c>
      <c r="T197" s="60">
        <f>IFERROR(__xludf.DUMMYFUNCTION("""COMPUTED_VALUE"""),0.0)</f>
        <v>0</v>
      </c>
    </row>
    <row r="198">
      <c r="A198" s="55" t="str">
        <f>IFERROR(__xludf.DUMMYFUNCTION("""COMPUTED_VALUE"""),"Atlantis")</f>
        <v>Atlantis</v>
      </c>
      <c r="B198" s="55" t="str">
        <f>IFERROR(__xludf.DUMMYFUNCTION("""COMPUTED_VALUE"""),"Xbox / PC")</f>
        <v>Xbox / PC</v>
      </c>
      <c r="C198" s="55" t="str">
        <f>IFERROR(__xludf.DUMMYFUNCTION("""COMPUTED_VALUE"""),"Yes")</f>
        <v>Yes</v>
      </c>
      <c r="D198" s="56" t="str">
        <f>IFERROR(__xludf.DUMMYFUNCTION("""COMPUTED_VALUE"""),"Active")</f>
        <v>Active</v>
      </c>
      <c r="E198" s="57">
        <f>IFERROR(__xludf.DUMMYFUNCTION("""COMPUTED_VALUE"""),45798.0)</f>
        <v>45798</v>
      </c>
      <c r="F198" s="58"/>
      <c r="G198" s="60">
        <f>IFERROR(__xludf.DUMMYFUNCTION("""COMPUTED_VALUE"""),16.5)</f>
        <v>16.5</v>
      </c>
      <c r="H198" s="63">
        <f>IFERROR(__xludf.DUMMYFUNCTION("""COMPUTED_VALUE"""),32255.0)</f>
        <v>32255</v>
      </c>
      <c r="I198" s="60">
        <f>IFERROR(__xludf.DUMMYFUNCTION("""COMPUTED_VALUE"""),37.080555555555556)</f>
        <v>37.08055556</v>
      </c>
      <c r="J198" s="64">
        <f>IFERROR(__xludf.DUMMYFUNCTION("""COMPUTED_VALUE"""),78.0)</f>
        <v>78</v>
      </c>
      <c r="K198" s="64"/>
      <c r="L198" s="55" t="str">
        <f>IFERROR(__xludf.DUMMYFUNCTION("""COMPUTED_VALUE"""),"Shooter")</f>
        <v>Shooter</v>
      </c>
      <c r="M198" s="55"/>
      <c r="N198" s="55" t="str">
        <f>IFERROR(__xludf.DUMMYFUNCTION("""COMPUTED_VALUE"""),"Retro Classics: Atari 2600")</f>
        <v>Retro Classics: Atari 2600</v>
      </c>
      <c r="O198" s="55"/>
      <c r="P198" s="55"/>
      <c r="Q198" s="55"/>
      <c r="R198" s="56" t="str">
        <f>IFERROR(__xludf.DUMMYFUNCTION("""COMPUTED_VALUE"""),"Active")</f>
        <v>Active</v>
      </c>
      <c r="S198" s="57">
        <f>IFERROR(__xludf.DUMMYFUNCTION("""COMPUTED_VALUE"""),45798.0)</f>
        <v>45798</v>
      </c>
      <c r="T198" s="60">
        <f>IFERROR(__xludf.DUMMYFUNCTION("""COMPUTED_VALUE"""),0.0)</f>
        <v>0</v>
      </c>
    </row>
    <row r="199">
      <c r="A199" s="55" t="str">
        <f>IFERROR(__xludf.DUMMYFUNCTION("""COMPUTED_VALUE"""),"Atlantis II")</f>
        <v>Atlantis II</v>
      </c>
      <c r="B199" s="55" t="str">
        <f>IFERROR(__xludf.DUMMYFUNCTION("""COMPUTED_VALUE"""),"Xbox / PC")</f>
        <v>Xbox / PC</v>
      </c>
      <c r="C199" s="55" t="str">
        <f>IFERROR(__xludf.DUMMYFUNCTION("""COMPUTED_VALUE"""),"Yes")</f>
        <v>Yes</v>
      </c>
      <c r="D199" s="56" t="str">
        <f>IFERROR(__xludf.DUMMYFUNCTION("""COMPUTED_VALUE"""),"Active")</f>
        <v>Active</v>
      </c>
      <c r="E199" s="57">
        <f>IFERROR(__xludf.DUMMYFUNCTION("""COMPUTED_VALUE"""),45798.0)</f>
        <v>45798</v>
      </c>
      <c r="F199" s="58"/>
      <c r="G199" s="60">
        <f>IFERROR(__xludf.DUMMYFUNCTION("""COMPUTED_VALUE"""),16.5)</f>
        <v>16.5</v>
      </c>
      <c r="H199" s="63">
        <f>IFERROR(__xludf.DUMMYFUNCTION("""COMPUTED_VALUE"""),32255.0)</f>
        <v>32255</v>
      </c>
      <c r="I199" s="60">
        <f>IFERROR(__xludf.DUMMYFUNCTION("""COMPUTED_VALUE"""),37.080555555555556)</f>
        <v>37.08055556</v>
      </c>
      <c r="J199" s="64">
        <f>IFERROR(__xludf.DUMMYFUNCTION("""COMPUTED_VALUE"""),72.0)</f>
        <v>72</v>
      </c>
      <c r="K199" s="64">
        <f>IFERROR(__xludf.DUMMYFUNCTION("""COMPUTED_VALUE"""),7.0)</f>
        <v>7</v>
      </c>
      <c r="L199" s="55" t="str">
        <f>IFERROR(__xludf.DUMMYFUNCTION("""COMPUTED_VALUE"""),"Shooter")</f>
        <v>Shooter</v>
      </c>
      <c r="M199" s="55"/>
      <c r="N199" s="55" t="str">
        <f>IFERROR(__xludf.DUMMYFUNCTION("""COMPUTED_VALUE"""),"Retro Classics: Atari 2600")</f>
        <v>Retro Classics: Atari 2600</v>
      </c>
      <c r="O199" s="55"/>
      <c r="P199" s="55"/>
      <c r="Q199" s="55"/>
      <c r="R199" s="56" t="str">
        <f>IFERROR(__xludf.DUMMYFUNCTION("""COMPUTED_VALUE"""),"Active")</f>
        <v>Active</v>
      </c>
      <c r="S199" s="57">
        <f>IFERROR(__xludf.DUMMYFUNCTION("""COMPUTED_VALUE"""),45798.0)</f>
        <v>45798</v>
      </c>
      <c r="T199" s="60">
        <f>IFERROR(__xludf.DUMMYFUNCTION("""COMPUTED_VALUE"""),0.0)</f>
        <v>0</v>
      </c>
    </row>
    <row r="200">
      <c r="A200" s="55" t="str">
        <f>IFERROR(__xludf.DUMMYFUNCTION("""COMPUTED_VALUE"""),"Barnstorming")</f>
        <v>Barnstorming</v>
      </c>
      <c r="B200" s="55" t="str">
        <f>IFERROR(__xludf.DUMMYFUNCTION("""COMPUTED_VALUE"""),"Xbox / PC")</f>
        <v>Xbox / PC</v>
      </c>
      <c r="C200" s="55" t="str">
        <f>IFERROR(__xludf.DUMMYFUNCTION("""COMPUTED_VALUE"""),"Yes")</f>
        <v>Yes</v>
      </c>
      <c r="D200" s="56" t="str">
        <f>IFERROR(__xludf.DUMMYFUNCTION("""COMPUTED_VALUE"""),"Active")</f>
        <v>Active</v>
      </c>
      <c r="E200" s="57">
        <f>IFERROR(__xludf.DUMMYFUNCTION("""COMPUTED_VALUE"""),45798.0)</f>
        <v>45798</v>
      </c>
      <c r="F200" s="58"/>
      <c r="G200" s="60">
        <f>IFERROR(__xludf.DUMMYFUNCTION("""COMPUTED_VALUE"""),16.5)</f>
        <v>16.5</v>
      </c>
      <c r="H200" s="63">
        <f>IFERROR(__xludf.DUMMYFUNCTION("""COMPUTED_VALUE"""),30011.0)</f>
        <v>30011</v>
      </c>
      <c r="I200" s="60">
        <f>IFERROR(__xludf.DUMMYFUNCTION("""COMPUTED_VALUE"""),43.22222222222222)</f>
        <v>43.22222222</v>
      </c>
      <c r="J200" s="64">
        <f>IFERROR(__xludf.DUMMYFUNCTION("""COMPUTED_VALUE"""),62.0)</f>
        <v>62</v>
      </c>
      <c r="K200" s="64"/>
      <c r="L200" s="55" t="str">
        <f>IFERROR(__xludf.DUMMYFUNCTION("""COMPUTED_VALUE"""),"Racing")</f>
        <v>Racing</v>
      </c>
      <c r="M200" s="55"/>
      <c r="N200" s="55" t="str">
        <f>IFERROR(__xludf.DUMMYFUNCTION("""COMPUTED_VALUE"""),"Retro Classics: Atari 2600")</f>
        <v>Retro Classics: Atari 2600</v>
      </c>
      <c r="O200" s="55"/>
      <c r="P200" s="55"/>
      <c r="Q200" s="55"/>
      <c r="R200" s="56" t="str">
        <f>IFERROR(__xludf.DUMMYFUNCTION("""COMPUTED_VALUE"""),"Active")</f>
        <v>Active</v>
      </c>
      <c r="S200" s="57">
        <f>IFERROR(__xludf.DUMMYFUNCTION("""COMPUTED_VALUE"""),45798.0)</f>
        <v>45798</v>
      </c>
      <c r="T200" s="60">
        <f>IFERROR(__xludf.DUMMYFUNCTION("""COMPUTED_VALUE"""),0.0)</f>
        <v>0</v>
      </c>
    </row>
    <row r="201">
      <c r="A201" s="55" t="str">
        <f>IFERROR(__xludf.DUMMYFUNCTION("""COMPUTED_VALUE"""),"Baseball")</f>
        <v>Baseball</v>
      </c>
      <c r="B201" s="55" t="str">
        <f>IFERROR(__xludf.DUMMYFUNCTION("""COMPUTED_VALUE"""),"Xbox / PC")</f>
        <v>Xbox / PC</v>
      </c>
      <c r="C201" s="55" t="str">
        <f>IFERROR(__xludf.DUMMYFUNCTION("""COMPUTED_VALUE"""),"Yes")</f>
        <v>Yes</v>
      </c>
      <c r="D201" s="56" t="str">
        <f>IFERROR(__xludf.DUMMYFUNCTION("""COMPUTED_VALUE"""),"Active")</f>
        <v>Active</v>
      </c>
      <c r="E201" s="57">
        <f>IFERROR(__xludf.DUMMYFUNCTION("""COMPUTED_VALUE"""),45798.0)</f>
        <v>45798</v>
      </c>
      <c r="F201" s="58"/>
      <c r="G201" s="60">
        <f>IFERROR(__xludf.DUMMYFUNCTION("""COMPUTED_VALUE"""),16.5)</f>
        <v>16.5</v>
      </c>
      <c r="H201" s="63">
        <f>IFERROR(__xludf.DUMMYFUNCTION("""COMPUTED_VALUE"""),32214.0)</f>
        <v>32214</v>
      </c>
      <c r="I201" s="60">
        <f>IFERROR(__xludf.DUMMYFUNCTION("""COMPUTED_VALUE"""),37.19166666666667)</f>
        <v>37.19166667</v>
      </c>
      <c r="J201" s="64">
        <f>IFERROR(__xludf.DUMMYFUNCTION("""COMPUTED_VALUE"""),62.0)</f>
        <v>62</v>
      </c>
      <c r="K201" s="64"/>
      <c r="L201" s="55" t="str">
        <f>IFERROR(__xludf.DUMMYFUNCTION("""COMPUTED_VALUE"""),"Sports")</f>
        <v>Sports</v>
      </c>
      <c r="M201" s="55"/>
      <c r="N201" s="55" t="str">
        <f>IFERROR(__xludf.DUMMYFUNCTION("""COMPUTED_VALUE"""),"Retro Classics: Atari 2600")</f>
        <v>Retro Classics: Atari 2600</v>
      </c>
      <c r="O201" s="55"/>
      <c r="P201" s="55"/>
      <c r="Q201" s="55"/>
      <c r="R201" s="56" t="str">
        <f>IFERROR(__xludf.DUMMYFUNCTION("""COMPUTED_VALUE"""),"Active")</f>
        <v>Active</v>
      </c>
      <c r="S201" s="57">
        <f>IFERROR(__xludf.DUMMYFUNCTION("""COMPUTED_VALUE"""),45798.0)</f>
        <v>45798</v>
      </c>
      <c r="T201" s="60">
        <f>IFERROR(__xludf.DUMMYFUNCTION("""COMPUTED_VALUE"""),0.0)</f>
        <v>0</v>
      </c>
    </row>
    <row r="202">
      <c r="A202" s="55" t="str">
        <f>IFERROR(__xludf.DUMMYFUNCTION("""COMPUTED_VALUE"""),"Beamrider")</f>
        <v>Beamrider</v>
      </c>
      <c r="B202" s="55" t="str">
        <f>IFERROR(__xludf.DUMMYFUNCTION("""COMPUTED_VALUE"""),"Xbox / PC")</f>
        <v>Xbox / PC</v>
      </c>
      <c r="C202" s="55" t="str">
        <f>IFERROR(__xludf.DUMMYFUNCTION("""COMPUTED_VALUE"""),"Yes")</f>
        <v>Yes</v>
      </c>
      <c r="D202" s="56" t="str">
        <f>IFERROR(__xludf.DUMMYFUNCTION("""COMPUTED_VALUE"""),"Active")</f>
        <v>Active</v>
      </c>
      <c r="E202" s="57">
        <f>IFERROR(__xludf.DUMMYFUNCTION("""COMPUTED_VALUE"""),45798.0)</f>
        <v>45798</v>
      </c>
      <c r="F202" s="58"/>
      <c r="G202" s="60">
        <f>IFERROR(__xludf.DUMMYFUNCTION("""COMPUTED_VALUE"""),16.5)</f>
        <v>16.5</v>
      </c>
      <c r="H202" s="63">
        <f>IFERROR(__xludf.DUMMYFUNCTION("""COMPUTED_VALUE"""),30705.0)</f>
        <v>30705</v>
      </c>
      <c r="I202" s="60">
        <f>IFERROR(__xludf.DUMMYFUNCTION("""COMPUTED_VALUE"""),41.325)</f>
        <v>41.325</v>
      </c>
      <c r="J202" s="64">
        <f>IFERROR(__xludf.DUMMYFUNCTION("""COMPUTED_VALUE"""),76.0)</f>
        <v>76</v>
      </c>
      <c r="K202" s="64"/>
      <c r="L202" s="55" t="str">
        <f>IFERROR(__xludf.DUMMYFUNCTION("""COMPUTED_VALUE"""),"Shooter")</f>
        <v>Shooter</v>
      </c>
      <c r="M202" s="55"/>
      <c r="N202" s="55" t="str">
        <f>IFERROR(__xludf.DUMMYFUNCTION("""COMPUTED_VALUE"""),"Retro Classics: Atari 2600")</f>
        <v>Retro Classics: Atari 2600</v>
      </c>
      <c r="O202" s="55"/>
      <c r="P202" s="55"/>
      <c r="Q202" s="55"/>
      <c r="R202" s="56" t="str">
        <f>IFERROR(__xludf.DUMMYFUNCTION("""COMPUTED_VALUE"""),"Active")</f>
        <v>Active</v>
      </c>
      <c r="S202" s="57">
        <f>IFERROR(__xludf.DUMMYFUNCTION("""COMPUTED_VALUE"""),45798.0)</f>
        <v>45798</v>
      </c>
      <c r="T202" s="60">
        <f>IFERROR(__xludf.DUMMYFUNCTION("""COMPUTED_VALUE"""),0.0)</f>
        <v>0</v>
      </c>
    </row>
    <row r="203">
      <c r="A203" s="55" t="str">
        <f>IFERROR(__xludf.DUMMYFUNCTION("""COMPUTED_VALUE"""),"Bloody Human Freeway")</f>
        <v>Bloody Human Freeway</v>
      </c>
      <c r="B203" s="55" t="str">
        <f>IFERROR(__xludf.DUMMYFUNCTION("""COMPUTED_VALUE"""),"Xbox / PC")</f>
        <v>Xbox / PC</v>
      </c>
      <c r="C203" s="55" t="str">
        <f>IFERROR(__xludf.DUMMYFUNCTION("""COMPUTED_VALUE"""),"Yes")</f>
        <v>Yes</v>
      </c>
      <c r="D203" s="56" t="str">
        <f>IFERROR(__xludf.DUMMYFUNCTION("""COMPUTED_VALUE"""),"Active")</f>
        <v>Active</v>
      </c>
      <c r="E203" s="57">
        <f>IFERROR(__xludf.DUMMYFUNCTION("""COMPUTED_VALUE"""),45798.0)</f>
        <v>45798</v>
      </c>
      <c r="F203" s="58"/>
      <c r="G203" s="60">
        <f>IFERROR(__xludf.DUMMYFUNCTION("""COMPUTED_VALUE"""),16.5)</f>
        <v>16.5</v>
      </c>
      <c r="H203" s="63">
        <f>IFERROR(__xludf.DUMMYFUNCTION("""COMPUTED_VALUE"""),29768.0)</f>
        <v>29768</v>
      </c>
      <c r="I203" s="60">
        <f>IFERROR(__xludf.DUMMYFUNCTION("""COMPUTED_VALUE"""),43.888888888888886)</f>
        <v>43.88888889</v>
      </c>
      <c r="J203" s="64">
        <f>IFERROR(__xludf.DUMMYFUNCTION("""COMPUTED_VALUE"""),55.0)</f>
        <v>55</v>
      </c>
      <c r="K203" s="64"/>
      <c r="L203" s="55" t="str">
        <f>IFERROR(__xludf.DUMMYFUNCTION("""COMPUTED_VALUE"""),"Action")</f>
        <v>Action</v>
      </c>
      <c r="M203" s="55"/>
      <c r="N203" s="55" t="str">
        <f>IFERROR(__xludf.DUMMYFUNCTION("""COMPUTED_VALUE"""),"Retro Classics: Atari 2600")</f>
        <v>Retro Classics: Atari 2600</v>
      </c>
      <c r="O203" s="55"/>
      <c r="P203" s="55"/>
      <c r="Q203" s="55"/>
      <c r="R203" s="56" t="str">
        <f>IFERROR(__xludf.DUMMYFUNCTION("""COMPUTED_VALUE"""),"Active")</f>
        <v>Active</v>
      </c>
      <c r="S203" s="57">
        <f>IFERROR(__xludf.DUMMYFUNCTION("""COMPUTED_VALUE"""),45798.0)</f>
        <v>45798</v>
      </c>
      <c r="T203" s="60">
        <f>IFERROR(__xludf.DUMMYFUNCTION("""COMPUTED_VALUE"""),0.0)</f>
        <v>0</v>
      </c>
    </row>
    <row r="204">
      <c r="A204" s="55" t="str">
        <f>IFERROR(__xludf.DUMMYFUNCTION("""COMPUTED_VALUE"""),"Boxing")</f>
        <v>Boxing</v>
      </c>
      <c r="B204" s="55" t="str">
        <f>IFERROR(__xludf.DUMMYFUNCTION("""COMPUTED_VALUE"""),"Xbox / PC")</f>
        <v>Xbox / PC</v>
      </c>
      <c r="C204" s="55" t="str">
        <f>IFERROR(__xludf.DUMMYFUNCTION("""COMPUTED_VALUE"""),"Yes")</f>
        <v>Yes</v>
      </c>
      <c r="D204" s="56" t="str">
        <f>IFERROR(__xludf.DUMMYFUNCTION("""COMPUTED_VALUE"""),"Active")</f>
        <v>Active</v>
      </c>
      <c r="E204" s="57">
        <f>IFERROR(__xludf.DUMMYFUNCTION("""COMPUTED_VALUE"""),45798.0)</f>
        <v>45798</v>
      </c>
      <c r="F204" s="58"/>
      <c r="G204" s="60">
        <f>IFERROR(__xludf.DUMMYFUNCTION("""COMPUTED_VALUE"""),16.5)</f>
        <v>16.5</v>
      </c>
      <c r="H204" s="63">
        <f>IFERROR(__xludf.DUMMYFUNCTION("""COMPUTED_VALUE"""),29403.0)</f>
        <v>29403</v>
      </c>
      <c r="I204" s="60">
        <f>IFERROR(__xludf.DUMMYFUNCTION("""COMPUTED_VALUE"""),44.888888888888886)</f>
        <v>44.88888889</v>
      </c>
      <c r="J204" s="64">
        <f>IFERROR(__xludf.DUMMYFUNCTION("""COMPUTED_VALUE"""),70.0)</f>
        <v>70</v>
      </c>
      <c r="K204" s="64"/>
      <c r="L204" s="55" t="str">
        <f>IFERROR(__xludf.DUMMYFUNCTION("""COMPUTED_VALUE"""),"Sports")</f>
        <v>Sports</v>
      </c>
      <c r="M204" s="55"/>
      <c r="N204" s="55" t="str">
        <f>IFERROR(__xludf.DUMMYFUNCTION("""COMPUTED_VALUE"""),"Retro Classics: Atari 2600")</f>
        <v>Retro Classics: Atari 2600</v>
      </c>
      <c r="O204" s="55"/>
      <c r="P204" s="55"/>
      <c r="Q204" s="55"/>
      <c r="R204" s="56" t="str">
        <f>IFERROR(__xludf.DUMMYFUNCTION("""COMPUTED_VALUE"""),"Active")</f>
        <v>Active</v>
      </c>
      <c r="S204" s="57">
        <f>IFERROR(__xludf.DUMMYFUNCTION("""COMPUTED_VALUE"""),45798.0)</f>
        <v>45798</v>
      </c>
      <c r="T204" s="60">
        <f>IFERROR(__xludf.DUMMYFUNCTION("""COMPUTED_VALUE"""),0.0)</f>
        <v>0</v>
      </c>
    </row>
    <row r="205">
      <c r="A205" s="55" t="str">
        <f>IFERROR(__xludf.DUMMYFUNCTION("""COMPUTED_VALUE"""),"Bridge")</f>
        <v>Bridge</v>
      </c>
      <c r="B205" s="55" t="str">
        <f>IFERROR(__xludf.DUMMYFUNCTION("""COMPUTED_VALUE"""),"Xbox / PC")</f>
        <v>Xbox / PC</v>
      </c>
      <c r="C205" s="55" t="str">
        <f>IFERROR(__xludf.DUMMYFUNCTION("""COMPUTED_VALUE"""),"Yes")</f>
        <v>Yes</v>
      </c>
      <c r="D205" s="56" t="str">
        <f>IFERROR(__xludf.DUMMYFUNCTION("""COMPUTED_VALUE"""),"Active")</f>
        <v>Active</v>
      </c>
      <c r="E205" s="57">
        <f>IFERROR(__xludf.DUMMYFUNCTION("""COMPUTED_VALUE"""),45798.0)</f>
        <v>45798</v>
      </c>
      <c r="F205" s="58"/>
      <c r="G205" s="60">
        <f>IFERROR(__xludf.DUMMYFUNCTION("""COMPUTED_VALUE"""),16.5)</f>
        <v>16.5</v>
      </c>
      <c r="H205" s="63">
        <f>IFERROR(__xludf.DUMMYFUNCTION("""COMPUTED_VALUE"""),29556.0)</f>
        <v>29556</v>
      </c>
      <c r="I205" s="60">
        <f>IFERROR(__xludf.DUMMYFUNCTION("""COMPUTED_VALUE"""),44.47222222222222)</f>
        <v>44.47222222</v>
      </c>
      <c r="J205" s="64">
        <f>IFERROR(__xludf.DUMMYFUNCTION("""COMPUTED_VALUE"""),68.0)</f>
        <v>68</v>
      </c>
      <c r="K205" s="64"/>
      <c r="L205" s="55" t="str">
        <f>IFERROR(__xludf.DUMMYFUNCTION("""COMPUTED_VALUE"""),"Strategy")</f>
        <v>Strategy</v>
      </c>
      <c r="M205" s="55"/>
      <c r="N205" s="55" t="str">
        <f>IFERROR(__xludf.DUMMYFUNCTION("""COMPUTED_VALUE"""),"Retro Classics: Atari 2600")</f>
        <v>Retro Classics: Atari 2600</v>
      </c>
      <c r="O205" s="55"/>
      <c r="P205" s="55"/>
      <c r="Q205" s="55"/>
      <c r="R205" s="56" t="str">
        <f>IFERROR(__xludf.DUMMYFUNCTION("""COMPUTED_VALUE"""),"Active")</f>
        <v>Active</v>
      </c>
      <c r="S205" s="57">
        <f>IFERROR(__xludf.DUMMYFUNCTION("""COMPUTED_VALUE"""),45798.0)</f>
        <v>45798</v>
      </c>
      <c r="T205" s="60">
        <f>IFERROR(__xludf.DUMMYFUNCTION("""COMPUTED_VALUE"""),0.0)</f>
        <v>0</v>
      </c>
    </row>
    <row r="206">
      <c r="A206" s="55" t="str">
        <f>IFERROR(__xludf.DUMMYFUNCTION("""COMPUTED_VALUE"""),"Caesar II")</f>
        <v>Caesar II</v>
      </c>
      <c r="B206" s="55" t="str">
        <f>IFERROR(__xludf.DUMMYFUNCTION("""COMPUTED_VALUE"""),"Xbox / PC")</f>
        <v>Xbox / PC</v>
      </c>
      <c r="C206" s="55" t="str">
        <f>IFERROR(__xludf.DUMMYFUNCTION("""COMPUTED_VALUE"""),"Yes")</f>
        <v>Yes</v>
      </c>
      <c r="D206" s="56" t="str">
        <f>IFERROR(__xludf.DUMMYFUNCTION("""COMPUTED_VALUE"""),"Active")</f>
        <v>Active</v>
      </c>
      <c r="E206" s="57">
        <f>IFERROR(__xludf.DUMMYFUNCTION("""COMPUTED_VALUE"""),45798.0)</f>
        <v>45798</v>
      </c>
      <c r="F206" s="58"/>
      <c r="G206" s="60">
        <f>IFERROR(__xludf.DUMMYFUNCTION("""COMPUTED_VALUE"""),16.5)</f>
        <v>16.5</v>
      </c>
      <c r="H206" s="63">
        <f>IFERROR(__xludf.DUMMYFUNCTION("""COMPUTED_VALUE"""),34956.0)</f>
        <v>34956</v>
      </c>
      <c r="I206" s="60">
        <f>IFERROR(__xludf.DUMMYFUNCTION("""COMPUTED_VALUE"""),29.68611111111111)</f>
        <v>29.68611111</v>
      </c>
      <c r="J206" s="64">
        <f>IFERROR(__xludf.DUMMYFUNCTION("""COMPUTED_VALUE"""),82.0)</f>
        <v>82</v>
      </c>
      <c r="K206" s="64">
        <f>IFERROR(__xludf.DUMMYFUNCTION("""COMPUTED_VALUE"""),7.0)</f>
        <v>7</v>
      </c>
      <c r="L206" s="55" t="str">
        <f>IFERROR(__xludf.DUMMYFUNCTION("""COMPUTED_VALUE"""),"Strategy")</f>
        <v>Strategy</v>
      </c>
      <c r="M206" s="55"/>
      <c r="N206" s="55" t="str">
        <f>IFERROR(__xludf.DUMMYFUNCTION("""COMPUTED_VALUE"""),"Retro Classics: DOS, Sierra Entertainment (defunct) publisher")</f>
        <v>Retro Classics: DOS, Sierra Entertainment (defunct) publisher</v>
      </c>
      <c r="O206" s="55"/>
      <c r="P206" s="55"/>
      <c r="Q206" s="55"/>
      <c r="R206" s="56" t="str">
        <f>IFERROR(__xludf.DUMMYFUNCTION("""COMPUTED_VALUE"""),"Active")</f>
        <v>Active</v>
      </c>
      <c r="S206" s="57">
        <f>IFERROR(__xludf.DUMMYFUNCTION("""COMPUTED_VALUE"""),45798.0)</f>
        <v>45798</v>
      </c>
      <c r="T206" s="60">
        <f>IFERROR(__xludf.DUMMYFUNCTION("""COMPUTED_VALUE"""),0.0)</f>
        <v>0</v>
      </c>
    </row>
    <row r="207">
      <c r="A207" s="55" t="str">
        <f>IFERROR(__xludf.DUMMYFUNCTION("""COMPUTED_VALUE"""),"Checkers")</f>
        <v>Checkers</v>
      </c>
      <c r="B207" s="55" t="str">
        <f>IFERROR(__xludf.DUMMYFUNCTION("""COMPUTED_VALUE"""),"Xbox / PC")</f>
        <v>Xbox / PC</v>
      </c>
      <c r="C207" s="55" t="str">
        <f>IFERROR(__xludf.DUMMYFUNCTION("""COMPUTED_VALUE"""),"Yes")</f>
        <v>Yes</v>
      </c>
      <c r="D207" s="56" t="str">
        <f>IFERROR(__xludf.DUMMYFUNCTION("""COMPUTED_VALUE"""),"Active")</f>
        <v>Active</v>
      </c>
      <c r="E207" s="57">
        <f>IFERROR(__xludf.DUMMYFUNCTION("""COMPUTED_VALUE"""),45798.0)</f>
        <v>45798</v>
      </c>
      <c r="F207" s="58"/>
      <c r="G207" s="60">
        <f>IFERROR(__xludf.DUMMYFUNCTION("""COMPUTED_VALUE"""),16.5)</f>
        <v>16.5</v>
      </c>
      <c r="H207" s="63">
        <f>IFERROR(__xludf.DUMMYFUNCTION("""COMPUTED_VALUE"""),29403.0)</f>
        <v>29403</v>
      </c>
      <c r="I207" s="60">
        <f>IFERROR(__xludf.DUMMYFUNCTION("""COMPUTED_VALUE"""),44.888888888888886)</f>
        <v>44.88888889</v>
      </c>
      <c r="J207" s="64">
        <f>IFERROR(__xludf.DUMMYFUNCTION("""COMPUTED_VALUE"""),58.0)</f>
        <v>58</v>
      </c>
      <c r="K207" s="64"/>
      <c r="L207" s="55" t="str">
        <f>IFERROR(__xludf.DUMMYFUNCTION("""COMPUTED_VALUE"""),"Strategy")</f>
        <v>Strategy</v>
      </c>
      <c r="M207" s="55"/>
      <c r="N207" s="55" t="str">
        <f>IFERROR(__xludf.DUMMYFUNCTION("""COMPUTED_VALUE"""),"Retro Classics: Atari 2600")</f>
        <v>Retro Classics: Atari 2600</v>
      </c>
      <c r="O207" s="55"/>
      <c r="P207" s="55"/>
      <c r="Q207" s="55"/>
      <c r="R207" s="56" t="str">
        <f>IFERROR(__xludf.DUMMYFUNCTION("""COMPUTED_VALUE"""),"Active")</f>
        <v>Active</v>
      </c>
      <c r="S207" s="57">
        <f>IFERROR(__xludf.DUMMYFUNCTION("""COMPUTED_VALUE"""),45798.0)</f>
        <v>45798</v>
      </c>
      <c r="T207" s="60">
        <f>IFERROR(__xludf.DUMMYFUNCTION("""COMPUTED_VALUE"""),0.0)</f>
        <v>0</v>
      </c>
    </row>
    <row r="208">
      <c r="A208" s="55" t="str">
        <f>IFERROR(__xludf.DUMMYFUNCTION("""COMPUTED_VALUE"""),"Chopper Command")</f>
        <v>Chopper Command</v>
      </c>
      <c r="B208" s="55" t="str">
        <f>IFERROR(__xludf.DUMMYFUNCTION("""COMPUTED_VALUE"""),"Xbox / PC")</f>
        <v>Xbox / PC</v>
      </c>
      <c r="C208" s="55" t="str">
        <f>IFERROR(__xludf.DUMMYFUNCTION("""COMPUTED_VALUE"""),"Yes")</f>
        <v>Yes</v>
      </c>
      <c r="D208" s="56" t="str">
        <f>IFERROR(__xludf.DUMMYFUNCTION("""COMPUTED_VALUE"""),"Active")</f>
        <v>Active</v>
      </c>
      <c r="E208" s="57">
        <f>IFERROR(__xludf.DUMMYFUNCTION("""COMPUTED_VALUE"""),45798.0)</f>
        <v>45798</v>
      </c>
      <c r="F208" s="58"/>
      <c r="G208" s="60">
        <f>IFERROR(__xludf.DUMMYFUNCTION("""COMPUTED_VALUE"""),16.5)</f>
        <v>16.5</v>
      </c>
      <c r="H208" s="63">
        <f>IFERROR(__xludf.DUMMYFUNCTION("""COMPUTED_VALUE"""),30072.0)</f>
        <v>30072</v>
      </c>
      <c r="I208" s="60">
        <f>IFERROR(__xludf.DUMMYFUNCTION("""COMPUTED_VALUE"""),43.05555555555556)</f>
        <v>43.05555556</v>
      </c>
      <c r="J208" s="64">
        <f>IFERROR(__xludf.DUMMYFUNCTION("""COMPUTED_VALUE"""),76.0)</f>
        <v>76</v>
      </c>
      <c r="K208" s="64"/>
      <c r="L208" s="55" t="str">
        <f>IFERROR(__xludf.DUMMYFUNCTION("""COMPUTED_VALUE"""),"Shooter")</f>
        <v>Shooter</v>
      </c>
      <c r="M208" s="55"/>
      <c r="N208" s="55" t="str">
        <f>IFERROR(__xludf.DUMMYFUNCTION("""COMPUTED_VALUE"""),"Retro Classics: Atari 2600")</f>
        <v>Retro Classics: Atari 2600</v>
      </c>
      <c r="O208" s="55"/>
      <c r="P208" s="55"/>
      <c r="Q208" s="55"/>
      <c r="R208" s="56" t="str">
        <f>IFERROR(__xludf.DUMMYFUNCTION("""COMPUTED_VALUE"""),"Active")</f>
        <v>Active</v>
      </c>
      <c r="S208" s="57">
        <f>IFERROR(__xludf.DUMMYFUNCTION("""COMPUTED_VALUE"""),45798.0)</f>
        <v>45798</v>
      </c>
      <c r="T208" s="60">
        <f>IFERROR(__xludf.DUMMYFUNCTION("""COMPUTED_VALUE"""),0.0)</f>
        <v>0</v>
      </c>
    </row>
    <row r="209">
      <c r="A209" s="55" t="str">
        <f>IFERROR(__xludf.DUMMYFUNCTION("""COMPUTED_VALUE"""),"Commando")</f>
        <v>Commando</v>
      </c>
      <c r="B209" s="55" t="str">
        <f>IFERROR(__xludf.DUMMYFUNCTION("""COMPUTED_VALUE"""),"Xbox / PC")</f>
        <v>Xbox / PC</v>
      </c>
      <c r="C209" s="55" t="str">
        <f>IFERROR(__xludf.DUMMYFUNCTION("""COMPUTED_VALUE"""),"Yes")</f>
        <v>Yes</v>
      </c>
      <c r="D209" s="56" t="str">
        <f>IFERROR(__xludf.DUMMYFUNCTION("""COMPUTED_VALUE"""),"Active")</f>
        <v>Active</v>
      </c>
      <c r="E209" s="57">
        <f>IFERROR(__xludf.DUMMYFUNCTION("""COMPUTED_VALUE"""),45798.0)</f>
        <v>45798</v>
      </c>
      <c r="F209" s="58"/>
      <c r="G209" s="60">
        <f>IFERROR(__xludf.DUMMYFUNCTION("""COMPUTED_VALUE"""),16.5)</f>
        <v>16.5</v>
      </c>
      <c r="H209" s="63">
        <f>IFERROR(__xludf.DUMMYFUNCTION("""COMPUTED_VALUE"""),30393.0)</f>
        <v>30393</v>
      </c>
      <c r="I209" s="60">
        <f>IFERROR(__xludf.DUMMYFUNCTION("""COMPUTED_VALUE"""),42.175)</f>
        <v>42.175</v>
      </c>
      <c r="J209" s="64">
        <f>IFERROR(__xludf.DUMMYFUNCTION("""COMPUTED_VALUE"""),56.0)</f>
        <v>56</v>
      </c>
      <c r="K209" s="64"/>
      <c r="L209" s="55" t="str">
        <f>IFERROR(__xludf.DUMMYFUNCTION("""COMPUTED_VALUE"""),"Shooter")</f>
        <v>Shooter</v>
      </c>
      <c r="M209" s="55"/>
      <c r="N209" s="55" t="str">
        <f>IFERROR(__xludf.DUMMYFUNCTION("""COMPUTED_VALUE"""),"Retro Classics: Atari 2600")</f>
        <v>Retro Classics: Atari 2600</v>
      </c>
      <c r="O209" s="55"/>
      <c r="P209" s="55"/>
      <c r="Q209" s="55"/>
      <c r="R209" s="56" t="str">
        <f>IFERROR(__xludf.DUMMYFUNCTION("""COMPUTED_VALUE"""),"Active")</f>
        <v>Active</v>
      </c>
      <c r="S209" s="57">
        <f>IFERROR(__xludf.DUMMYFUNCTION("""COMPUTED_VALUE"""),45798.0)</f>
        <v>45798</v>
      </c>
      <c r="T209" s="60">
        <f>IFERROR(__xludf.DUMMYFUNCTION("""COMPUTED_VALUE"""),0.0)</f>
        <v>0</v>
      </c>
    </row>
    <row r="210">
      <c r="A210" s="55" t="str">
        <f>IFERROR(__xludf.DUMMYFUNCTION("""COMPUTED_VALUE"""),"Conquests of the Longbow: The Legend of Robin Hood")</f>
        <v>Conquests of the Longbow: The Legend of Robin Hood</v>
      </c>
      <c r="B210" s="55" t="str">
        <f>IFERROR(__xludf.DUMMYFUNCTION("""COMPUTED_VALUE"""),"Xbox / PC")</f>
        <v>Xbox / PC</v>
      </c>
      <c r="C210" s="55" t="str">
        <f>IFERROR(__xludf.DUMMYFUNCTION("""COMPUTED_VALUE"""),"Yes")</f>
        <v>Yes</v>
      </c>
      <c r="D210" s="56" t="str">
        <f>IFERROR(__xludf.DUMMYFUNCTION("""COMPUTED_VALUE"""),"Active")</f>
        <v>Active</v>
      </c>
      <c r="E210" s="57">
        <f>IFERROR(__xludf.DUMMYFUNCTION("""COMPUTED_VALUE"""),45798.0)</f>
        <v>45798</v>
      </c>
      <c r="F210" s="58"/>
      <c r="G210" s="60">
        <f>IFERROR(__xludf.DUMMYFUNCTION("""COMPUTED_VALUE"""),16.5)</f>
        <v>16.5</v>
      </c>
      <c r="H210" s="63">
        <f>IFERROR(__xludf.DUMMYFUNCTION("""COMPUTED_VALUE"""),33616.0)</f>
        <v>33616</v>
      </c>
      <c r="I210" s="60">
        <f>IFERROR(__xludf.DUMMYFUNCTION("""COMPUTED_VALUE"""),33.355555555555554)</f>
        <v>33.35555556</v>
      </c>
      <c r="J210" s="64">
        <f>IFERROR(__xludf.DUMMYFUNCTION("""COMPUTED_VALUE"""),91.0)</f>
        <v>91</v>
      </c>
      <c r="K210" s="64">
        <f>IFERROR(__xludf.DUMMYFUNCTION("""COMPUTED_VALUE"""),6.0)</f>
        <v>6</v>
      </c>
      <c r="L210" s="55" t="str">
        <f>IFERROR(__xludf.DUMMYFUNCTION("""COMPUTED_VALUE"""),"Action‑Adventure")</f>
        <v>Action‑Adventure</v>
      </c>
      <c r="M210" s="55"/>
      <c r="N210" s="55" t="str">
        <f>IFERROR(__xludf.DUMMYFUNCTION("""COMPUTED_VALUE"""),"Retro Classics: DOS, Sierra Entertainment (defunct) publisher")</f>
        <v>Retro Classics: DOS, Sierra Entertainment (defunct) publisher</v>
      </c>
      <c r="O210" s="55"/>
      <c r="P210" s="55"/>
      <c r="Q210" s="55"/>
      <c r="R210" s="56" t="str">
        <f>IFERROR(__xludf.DUMMYFUNCTION("""COMPUTED_VALUE"""),"Active")</f>
        <v>Active</v>
      </c>
      <c r="S210" s="57">
        <f>IFERROR(__xludf.DUMMYFUNCTION("""COMPUTED_VALUE"""),45798.0)</f>
        <v>45798</v>
      </c>
      <c r="T210" s="60">
        <f>IFERROR(__xludf.DUMMYFUNCTION("""COMPUTED_VALUE"""),0.0)</f>
        <v>0</v>
      </c>
    </row>
    <row r="211">
      <c r="A211" s="55" t="str">
        <f>IFERROR(__xludf.DUMMYFUNCTION("""COMPUTED_VALUE"""),"Cosmic Ark")</f>
        <v>Cosmic Ark</v>
      </c>
      <c r="B211" s="55" t="str">
        <f>IFERROR(__xludf.DUMMYFUNCTION("""COMPUTED_VALUE"""),"Xbox / PC")</f>
        <v>Xbox / PC</v>
      </c>
      <c r="C211" s="55" t="str">
        <f>IFERROR(__xludf.DUMMYFUNCTION("""COMPUTED_VALUE"""),"Yes")</f>
        <v>Yes</v>
      </c>
      <c r="D211" s="56" t="str">
        <f>IFERROR(__xludf.DUMMYFUNCTION("""COMPUTED_VALUE"""),"Active")</f>
        <v>Active</v>
      </c>
      <c r="E211" s="57">
        <f>IFERROR(__xludf.DUMMYFUNCTION("""COMPUTED_VALUE"""),45798.0)</f>
        <v>45798</v>
      </c>
      <c r="F211" s="58"/>
      <c r="G211" s="60">
        <f>IFERROR(__xludf.DUMMYFUNCTION("""COMPUTED_VALUE"""),16.5)</f>
        <v>16.5</v>
      </c>
      <c r="H211" s="63">
        <f>IFERROR(__xludf.DUMMYFUNCTION("""COMPUTED_VALUE"""),30164.0)</f>
        <v>30164</v>
      </c>
      <c r="I211" s="60">
        <f>IFERROR(__xludf.DUMMYFUNCTION("""COMPUTED_VALUE"""),42.80555555555556)</f>
        <v>42.80555556</v>
      </c>
      <c r="J211" s="64">
        <f>IFERROR(__xludf.DUMMYFUNCTION("""COMPUTED_VALUE"""),71.0)</f>
        <v>71</v>
      </c>
      <c r="K211" s="64"/>
      <c r="L211" s="55" t="str">
        <f>IFERROR(__xludf.DUMMYFUNCTION("""COMPUTED_VALUE"""),"Action‑Adventure")</f>
        <v>Action‑Adventure</v>
      </c>
      <c r="M211" s="55"/>
      <c r="N211" s="55" t="str">
        <f>IFERROR(__xludf.DUMMYFUNCTION("""COMPUTED_VALUE"""),"Retro Classics: Atari 2600")</f>
        <v>Retro Classics: Atari 2600</v>
      </c>
      <c r="O211" s="55"/>
      <c r="P211" s="55"/>
      <c r="Q211" s="55"/>
      <c r="R211" s="56" t="str">
        <f>IFERROR(__xludf.DUMMYFUNCTION("""COMPUTED_VALUE"""),"Active")</f>
        <v>Active</v>
      </c>
      <c r="S211" s="57">
        <f>IFERROR(__xludf.DUMMYFUNCTION("""COMPUTED_VALUE"""),45798.0)</f>
        <v>45798</v>
      </c>
      <c r="T211" s="60">
        <f>IFERROR(__xludf.DUMMYFUNCTION("""COMPUTED_VALUE"""),0.0)</f>
        <v>0</v>
      </c>
    </row>
    <row r="212">
      <c r="A212" s="55" t="str">
        <f>IFERROR(__xludf.DUMMYFUNCTION("""COMPUTED_VALUE"""),"Crackpots")</f>
        <v>Crackpots</v>
      </c>
      <c r="B212" s="55" t="str">
        <f>IFERROR(__xludf.DUMMYFUNCTION("""COMPUTED_VALUE"""),"Xbox / PC")</f>
        <v>Xbox / PC</v>
      </c>
      <c r="C212" s="55" t="str">
        <f>IFERROR(__xludf.DUMMYFUNCTION("""COMPUTED_VALUE"""),"Yes")</f>
        <v>Yes</v>
      </c>
      <c r="D212" s="56" t="str">
        <f>IFERROR(__xludf.DUMMYFUNCTION("""COMPUTED_VALUE"""),"Active")</f>
        <v>Active</v>
      </c>
      <c r="E212" s="57">
        <f>IFERROR(__xludf.DUMMYFUNCTION("""COMPUTED_VALUE"""),45798.0)</f>
        <v>45798</v>
      </c>
      <c r="F212" s="58"/>
      <c r="G212" s="60">
        <f>IFERROR(__xludf.DUMMYFUNCTION("""COMPUTED_VALUE"""),16.5)</f>
        <v>16.5</v>
      </c>
      <c r="H212" s="63">
        <f>IFERROR(__xludf.DUMMYFUNCTION("""COMPUTED_VALUE"""),30452.0)</f>
        <v>30452</v>
      </c>
      <c r="I212" s="60">
        <f>IFERROR(__xludf.DUMMYFUNCTION("""COMPUTED_VALUE"""),42.013888888888886)</f>
        <v>42.01388889</v>
      </c>
      <c r="J212" s="64">
        <f>IFERROR(__xludf.DUMMYFUNCTION("""COMPUTED_VALUE"""),65.0)</f>
        <v>65</v>
      </c>
      <c r="K212" s="64">
        <f>IFERROR(__xludf.DUMMYFUNCTION("""COMPUTED_VALUE"""),2.0)</f>
        <v>2</v>
      </c>
      <c r="L212" s="55" t="str">
        <f>IFERROR(__xludf.DUMMYFUNCTION("""COMPUTED_VALUE"""),"Shooter")</f>
        <v>Shooter</v>
      </c>
      <c r="M212" s="55"/>
      <c r="N212" s="55" t="str">
        <f>IFERROR(__xludf.DUMMYFUNCTION("""COMPUTED_VALUE"""),"Retro Classics: Atari 2600")</f>
        <v>Retro Classics: Atari 2600</v>
      </c>
      <c r="O212" s="55"/>
      <c r="P212" s="55"/>
      <c r="Q212" s="55"/>
      <c r="R212" s="56" t="str">
        <f>IFERROR(__xludf.DUMMYFUNCTION("""COMPUTED_VALUE"""),"Active")</f>
        <v>Active</v>
      </c>
      <c r="S212" s="57">
        <f>IFERROR(__xludf.DUMMYFUNCTION("""COMPUTED_VALUE"""),45798.0)</f>
        <v>45798</v>
      </c>
      <c r="T212" s="60">
        <f>IFERROR(__xludf.DUMMYFUNCTION("""COMPUTED_VALUE"""),0.0)</f>
        <v>0</v>
      </c>
    </row>
    <row r="213">
      <c r="A213" s="55" t="str">
        <f>IFERROR(__xludf.DUMMYFUNCTION("""COMPUTED_VALUE"""),"Decathlon")</f>
        <v>Decathlon</v>
      </c>
      <c r="B213" s="55" t="str">
        <f>IFERROR(__xludf.DUMMYFUNCTION("""COMPUTED_VALUE"""),"Xbox / PC")</f>
        <v>Xbox / PC</v>
      </c>
      <c r="C213" s="55" t="str">
        <f>IFERROR(__xludf.DUMMYFUNCTION("""COMPUTED_VALUE"""),"Yes")</f>
        <v>Yes</v>
      </c>
      <c r="D213" s="56" t="str">
        <f>IFERROR(__xludf.DUMMYFUNCTION("""COMPUTED_VALUE"""),"Active")</f>
        <v>Active</v>
      </c>
      <c r="E213" s="57">
        <f>IFERROR(__xludf.DUMMYFUNCTION("""COMPUTED_VALUE"""),45798.0)</f>
        <v>45798</v>
      </c>
      <c r="F213" s="58"/>
      <c r="G213" s="60">
        <f>IFERROR(__xludf.DUMMYFUNCTION("""COMPUTED_VALUE"""),16.5)</f>
        <v>16.5</v>
      </c>
      <c r="H213" s="63">
        <f>IFERROR(__xludf.DUMMYFUNCTION("""COMPUTED_VALUE"""),30393.0)</f>
        <v>30393</v>
      </c>
      <c r="I213" s="60">
        <f>IFERROR(__xludf.DUMMYFUNCTION("""COMPUTED_VALUE"""),42.175)</f>
        <v>42.175</v>
      </c>
      <c r="J213" s="64">
        <f>IFERROR(__xludf.DUMMYFUNCTION("""COMPUTED_VALUE"""),65.0)</f>
        <v>65</v>
      </c>
      <c r="K213" s="64"/>
      <c r="L213" s="55" t="str">
        <f>IFERROR(__xludf.DUMMYFUNCTION("""COMPUTED_VALUE"""),"Sports")</f>
        <v>Sports</v>
      </c>
      <c r="M213" s="55"/>
      <c r="N213" s="55" t="str">
        <f>IFERROR(__xludf.DUMMYFUNCTION("""COMPUTED_VALUE"""),"Retro Classics: Atari 2600")</f>
        <v>Retro Classics: Atari 2600</v>
      </c>
      <c r="O213" s="55"/>
      <c r="P213" s="55"/>
      <c r="Q213" s="55"/>
      <c r="R213" s="56" t="str">
        <f>IFERROR(__xludf.DUMMYFUNCTION("""COMPUTED_VALUE"""),"Active")</f>
        <v>Active</v>
      </c>
      <c r="S213" s="57">
        <f>IFERROR(__xludf.DUMMYFUNCTION("""COMPUTED_VALUE"""),45798.0)</f>
        <v>45798</v>
      </c>
      <c r="T213" s="60">
        <f>IFERROR(__xludf.DUMMYFUNCTION("""COMPUTED_VALUE"""),0.0)</f>
        <v>0</v>
      </c>
    </row>
    <row r="214">
      <c r="A214" s="55" t="str">
        <f>IFERROR(__xludf.DUMMYFUNCTION("""COMPUTED_VALUE"""),"Demon Attack")</f>
        <v>Demon Attack</v>
      </c>
      <c r="B214" s="55" t="str">
        <f>IFERROR(__xludf.DUMMYFUNCTION("""COMPUTED_VALUE"""),"Xbox / PC")</f>
        <v>Xbox / PC</v>
      </c>
      <c r="C214" s="55" t="str">
        <f>IFERROR(__xludf.DUMMYFUNCTION("""COMPUTED_VALUE"""),"Yes")</f>
        <v>Yes</v>
      </c>
      <c r="D214" s="56" t="str">
        <f>IFERROR(__xludf.DUMMYFUNCTION("""COMPUTED_VALUE"""),"Active")</f>
        <v>Active</v>
      </c>
      <c r="E214" s="57">
        <f>IFERROR(__xludf.DUMMYFUNCTION("""COMPUTED_VALUE"""),45798.0)</f>
        <v>45798</v>
      </c>
      <c r="F214" s="58"/>
      <c r="G214" s="60">
        <f>IFERROR(__xludf.DUMMYFUNCTION("""COMPUTED_VALUE"""),16.5)</f>
        <v>16.5</v>
      </c>
      <c r="H214" s="63">
        <f>IFERROR(__xludf.DUMMYFUNCTION("""COMPUTED_VALUE"""),32255.0)</f>
        <v>32255</v>
      </c>
      <c r="I214" s="60">
        <f>IFERROR(__xludf.DUMMYFUNCTION("""COMPUTED_VALUE"""),37.080555555555556)</f>
        <v>37.08055556</v>
      </c>
      <c r="J214" s="64">
        <f>IFERROR(__xludf.DUMMYFUNCTION("""COMPUTED_VALUE"""),77.0)</f>
        <v>77</v>
      </c>
      <c r="K214" s="64"/>
      <c r="L214" s="55" t="str">
        <f>IFERROR(__xludf.DUMMYFUNCTION("""COMPUTED_VALUE"""),"Shooter")</f>
        <v>Shooter</v>
      </c>
      <c r="M214" s="55"/>
      <c r="N214" s="55" t="str">
        <f>IFERROR(__xludf.DUMMYFUNCTION("""COMPUTED_VALUE"""),"Retro Classics: Atari 2600")</f>
        <v>Retro Classics: Atari 2600</v>
      </c>
      <c r="O214" s="55"/>
      <c r="P214" s="55"/>
      <c r="Q214" s="55"/>
      <c r="R214" s="56" t="str">
        <f>IFERROR(__xludf.DUMMYFUNCTION("""COMPUTED_VALUE"""),"Active")</f>
        <v>Active</v>
      </c>
      <c r="S214" s="57">
        <f>IFERROR(__xludf.DUMMYFUNCTION("""COMPUTED_VALUE"""),45798.0)</f>
        <v>45798</v>
      </c>
      <c r="T214" s="60">
        <f>IFERROR(__xludf.DUMMYFUNCTION("""COMPUTED_VALUE"""),0.0)</f>
        <v>0</v>
      </c>
    </row>
    <row r="215">
      <c r="A215" s="55" t="str">
        <f>IFERROR(__xludf.DUMMYFUNCTION("""COMPUTED_VALUE"""),"Dolphin")</f>
        <v>Dolphin</v>
      </c>
      <c r="B215" s="55" t="str">
        <f>IFERROR(__xludf.DUMMYFUNCTION("""COMPUTED_VALUE"""),"Xbox / PC")</f>
        <v>Xbox / PC</v>
      </c>
      <c r="C215" s="55" t="str">
        <f>IFERROR(__xludf.DUMMYFUNCTION("""COMPUTED_VALUE"""),"Yes")</f>
        <v>Yes</v>
      </c>
      <c r="D215" s="56" t="str">
        <f>IFERROR(__xludf.DUMMYFUNCTION("""COMPUTED_VALUE"""),"Active")</f>
        <v>Active</v>
      </c>
      <c r="E215" s="57">
        <f>IFERROR(__xludf.DUMMYFUNCTION("""COMPUTED_VALUE"""),45798.0)</f>
        <v>45798</v>
      </c>
      <c r="F215" s="58"/>
      <c r="G215" s="60">
        <f>IFERROR(__xludf.DUMMYFUNCTION("""COMPUTED_VALUE"""),16.5)</f>
        <v>16.5</v>
      </c>
      <c r="H215" s="63">
        <f>IFERROR(__xludf.DUMMYFUNCTION("""COMPUTED_VALUE"""),30677.0)</f>
        <v>30677</v>
      </c>
      <c r="I215" s="60">
        <f>IFERROR(__xludf.DUMMYFUNCTION("""COMPUTED_VALUE"""),41.4)</f>
        <v>41.4</v>
      </c>
      <c r="J215" s="64">
        <f>IFERROR(__xludf.DUMMYFUNCTION("""COMPUTED_VALUE"""),65.0)</f>
        <v>65</v>
      </c>
      <c r="K215" s="64"/>
      <c r="L215" s="55" t="str">
        <f>IFERROR(__xludf.DUMMYFUNCTION("""COMPUTED_VALUE"""),"Action")</f>
        <v>Action</v>
      </c>
      <c r="M215" s="55"/>
      <c r="N215" s="55" t="str">
        <f>IFERROR(__xludf.DUMMYFUNCTION("""COMPUTED_VALUE"""),"Retro Classics: Atari 2600")</f>
        <v>Retro Classics: Atari 2600</v>
      </c>
      <c r="O215" s="55"/>
      <c r="P215" s="55"/>
      <c r="Q215" s="55"/>
      <c r="R215" s="56" t="str">
        <f>IFERROR(__xludf.DUMMYFUNCTION("""COMPUTED_VALUE"""),"Active")</f>
        <v>Active</v>
      </c>
      <c r="S215" s="57">
        <f>IFERROR(__xludf.DUMMYFUNCTION("""COMPUTED_VALUE"""),45798.0)</f>
        <v>45798</v>
      </c>
      <c r="T215" s="60">
        <f>IFERROR(__xludf.DUMMYFUNCTION("""COMPUTED_VALUE"""),0.0)</f>
        <v>0</v>
      </c>
    </row>
    <row r="216">
      <c r="A216" s="55" t="str">
        <f>IFERROR(__xludf.DUMMYFUNCTION("""COMPUTED_VALUE"""),"Dragster")</f>
        <v>Dragster</v>
      </c>
      <c r="B216" s="55" t="str">
        <f>IFERROR(__xludf.DUMMYFUNCTION("""COMPUTED_VALUE"""),"Xbox / PC")</f>
        <v>Xbox / PC</v>
      </c>
      <c r="C216" s="55" t="str">
        <f>IFERROR(__xludf.DUMMYFUNCTION("""COMPUTED_VALUE"""),"Yes")</f>
        <v>Yes</v>
      </c>
      <c r="D216" s="56" t="str">
        <f>IFERROR(__xludf.DUMMYFUNCTION("""COMPUTED_VALUE"""),"Active")</f>
        <v>Active</v>
      </c>
      <c r="E216" s="57">
        <f>IFERROR(__xludf.DUMMYFUNCTION("""COMPUTED_VALUE"""),45798.0)</f>
        <v>45798</v>
      </c>
      <c r="F216" s="58"/>
      <c r="G216" s="60">
        <f>IFERROR(__xludf.DUMMYFUNCTION("""COMPUTED_VALUE"""),16.5)</f>
        <v>16.5</v>
      </c>
      <c r="H216" s="63">
        <f>IFERROR(__xludf.DUMMYFUNCTION("""COMPUTED_VALUE"""),29403.0)</f>
        <v>29403</v>
      </c>
      <c r="I216" s="60">
        <f>IFERROR(__xludf.DUMMYFUNCTION("""COMPUTED_VALUE"""),44.888888888888886)</f>
        <v>44.88888889</v>
      </c>
      <c r="J216" s="64">
        <f>IFERROR(__xludf.DUMMYFUNCTION("""COMPUTED_VALUE"""),45.0)</f>
        <v>45</v>
      </c>
      <c r="K216" s="64"/>
      <c r="L216" s="55" t="str">
        <f>IFERROR(__xludf.DUMMYFUNCTION("""COMPUTED_VALUE"""),"Racing")</f>
        <v>Racing</v>
      </c>
      <c r="M216" s="55"/>
      <c r="N216" s="55" t="str">
        <f>IFERROR(__xludf.DUMMYFUNCTION("""COMPUTED_VALUE"""),"Retro Classics: Atari 2600")</f>
        <v>Retro Classics: Atari 2600</v>
      </c>
      <c r="O216" s="55"/>
      <c r="P216" s="55"/>
      <c r="Q216" s="55"/>
      <c r="R216" s="56" t="str">
        <f>IFERROR(__xludf.DUMMYFUNCTION("""COMPUTED_VALUE"""),"Active")</f>
        <v>Active</v>
      </c>
      <c r="S216" s="57">
        <f>IFERROR(__xludf.DUMMYFUNCTION("""COMPUTED_VALUE"""),45798.0)</f>
        <v>45798</v>
      </c>
      <c r="T216" s="60">
        <f>IFERROR(__xludf.DUMMYFUNCTION("""COMPUTED_VALUE"""),0.0)</f>
        <v>0</v>
      </c>
    </row>
    <row r="217">
      <c r="A217" s="55" t="str">
        <f>IFERROR(__xludf.DUMMYFUNCTION("""COMPUTED_VALUE"""),"Enduro")</f>
        <v>Enduro</v>
      </c>
      <c r="B217" s="55" t="str">
        <f>IFERROR(__xludf.DUMMYFUNCTION("""COMPUTED_VALUE"""),"Xbox / PC")</f>
        <v>Xbox / PC</v>
      </c>
      <c r="C217" s="55" t="str">
        <f>IFERROR(__xludf.DUMMYFUNCTION("""COMPUTED_VALUE"""),"Yes")</f>
        <v>Yes</v>
      </c>
      <c r="D217" s="56" t="str">
        <f>IFERROR(__xludf.DUMMYFUNCTION("""COMPUTED_VALUE"""),"Active")</f>
        <v>Active</v>
      </c>
      <c r="E217" s="57">
        <f>IFERROR(__xludf.DUMMYFUNCTION("""COMPUTED_VALUE"""),45798.0)</f>
        <v>45798</v>
      </c>
      <c r="F217" s="58"/>
      <c r="G217" s="60">
        <f>IFERROR(__xludf.DUMMYFUNCTION("""COMPUTED_VALUE"""),16.5)</f>
        <v>16.5</v>
      </c>
      <c r="H217" s="63">
        <f>IFERROR(__xludf.DUMMYFUNCTION("""COMPUTED_VALUE"""),30348.0)</f>
        <v>30348</v>
      </c>
      <c r="I217" s="60">
        <f>IFERROR(__xludf.DUMMYFUNCTION("""COMPUTED_VALUE"""),42.30555555555556)</f>
        <v>42.30555556</v>
      </c>
      <c r="J217" s="64">
        <f>IFERROR(__xludf.DUMMYFUNCTION("""COMPUTED_VALUE"""),76.0)</f>
        <v>76</v>
      </c>
      <c r="K217" s="64">
        <f>IFERROR(__xludf.DUMMYFUNCTION("""COMPUTED_VALUE"""),1.0)</f>
        <v>1</v>
      </c>
      <c r="L217" s="55" t="str">
        <f>IFERROR(__xludf.DUMMYFUNCTION("""COMPUTED_VALUE"""),"Racing")</f>
        <v>Racing</v>
      </c>
      <c r="M217" s="55"/>
      <c r="N217" s="55" t="str">
        <f>IFERROR(__xludf.DUMMYFUNCTION("""COMPUTED_VALUE"""),"Retro Classics: Atari 2600")</f>
        <v>Retro Classics: Atari 2600</v>
      </c>
      <c r="O217" s="55"/>
      <c r="P217" s="55"/>
      <c r="Q217" s="55"/>
      <c r="R217" s="56" t="str">
        <f>IFERROR(__xludf.DUMMYFUNCTION("""COMPUTED_VALUE"""),"Active")</f>
        <v>Active</v>
      </c>
      <c r="S217" s="57">
        <f>IFERROR(__xludf.DUMMYFUNCTION("""COMPUTED_VALUE"""),45798.0)</f>
        <v>45798</v>
      </c>
      <c r="T217" s="60">
        <f>IFERROR(__xludf.DUMMYFUNCTION("""COMPUTED_VALUE"""),0.0)</f>
        <v>0</v>
      </c>
    </row>
    <row r="218">
      <c r="A218" s="55" t="str">
        <f>IFERROR(__xludf.DUMMYFUNCTION("""COMPUTED_VALUE"""),"Fathom")</f>
        <v>Fathom</v>
      </c>
      <c r="B218" s="55" t="str">
        <f>IFERROR(__xludf.DUMMYFUNCTION("""COMPUTED_VALUE"""),"Xbox / PC")</f>
        <v>Xbox / PC</v>
      </c>
      <c r="C218" s="55" t="str">
        <f>IFERROR(__xludf.DUMMYFUNCTION("""COMPUTED_VALUE"""),"Yes")</f>
        <v>Yes</v>
      </c>
      <c r="D218" s="56" t="str">
        <f>IFERROR(__xludf.DUMMYFUNCTION("""COMPUTED_VALUE"""),"Active")</f>
        <v>Active</v>
      </c>
      <c r="E218" s="57">
        <f>IFERROR(__xludf.DUMMYFUNCTION("""COMPUTED_VALUE"""),45798.0)</f>
        <v>45798</v>
      </c>
      <c r="F218" s="58"/>
      <c r="G218" s="60">
        <f>IFERROR(__xludf.DUMMYFUNCTION("""COMPUTED_VALUE"""),16.5)</f>
        <v>16.5</v>
      </c>
      <c r="H218" s="63">
        <f>IFERROR(__xludf.DUMMYFUNCTION("""COMPUTED_VALUE"""),30529.0)</f>
        <v>30529</v>
      </c>
      <c r="I218" s="60">
        <f>IFERROR(__xludf.DUMMYFUNCTION("""COMPUTED_VALUE"""),41.80555555555556)</f>
        <v>41.80555556</v>
      </c>
      <c r="J218" s="64">
        <f>IFERROR(__xludf.DUMMYFUNCTION("""COMPUTED_VALUE"""),74.0)</f>
        <v>74</v>
      </c>
      <c r="K218" s="64"/>
      <c r="L218" s="55" t="str">
        <f>IFERROR(__xludf.DUMMYFUNCTION("""COMPUTED_VALUE"""),"Action‑Adventure")</f>
        <v>Action‑Adventure</v>
      </c>
      <c r="M218" s="55"/>
      <c r="N218" s="55" t="str">
        <f>IFERROR(__xludf.DUMMYFUNCTION("""COMPUTED_VALUE"""),"Retro Classics: Atari 2600")</f>
        <v>Retro Classics: Atari 2600</v>
      </c>
      <c r="O218" s="55"/>
      <c r="P218" s="55"/>
      <c r="Q218" s="55"/>
      <c r="R218" s="56" t="str">
        <f>IFERROR(__xludf.DUMMYFUNCTION("""COMPUTED_VALUE"""),"Active")</f>
        <v>Active</v>
      </c>
      <c r="S218" s="57">
        <f>IFERROR(__xludf.DUMMYFUNCTION("""COMPUTED_VALUE"""),45798.0)</f>
        <v>45798</v>
      </c>
      <c r="T218" s="60">
        <f>IFERROR(__xludf.DUMMYFUNCTION("""COMPUTED_VALUE"""),0.0)</f>
        <v>0</v>
      </c>
    </row>
    <row r="219">
      <c r="A219" s="55" t="str">
        <f>IFERROR(__xludf.DUMMYFUNCTION("""COMPUTED_VALUE"""),"Fire Fighter")</f>
        <v>Fire Fighter</v>
      </c>
      <c r="B219" s="55" t="str">
        <f>IFERROR(__xludf.DUMMYFUNCTION("""COMPUTED_VALUE"""),"Xbox / PC")</f>
        <v>Xbox / PC</v>
      </c>
      <c r="C219" s="55" t="str">
        <f>IFERROR(__xludf.DUMMYFUNCTION("""COMPUTED_VALUE"""),"Yes")</f>
        <v>Yes</v>
      </c>
      <c r="D219" s="56" t="str">
        <f>IFERROR(__xludf.DUMMYFUNCTION("""COMPUTED_VALUE"""),"Active")</f>
        <v>Active</v>
      </c>
      <c r="E219" s="57">
        <f>IFERROR(__xludf.DUMMYFUNCTION("""COMPUTED_VALUE"""),45798.0)</f>
        <v>45798</v>
      </c>
      <c r="F219" s="58"/>
      <c r="G219" s="60">
        <f>IFERROR(__xludf.DUMMYFUNCTION("""COMPUTED_VALUE"""),16.5)</f>
        <v>16.5</v>
      </c>
      <c r="H219" s="63">
        <f>IFERROR(__xludf.DUMMYFUNCTION("""COMPUTED_VALUE"""),30195.0)</f>
        <v>30195</v>
      </c>
      <c r="I219" s="60">
        <f>IFERROR(__xludf.DUMMYFUNCTION("""COMPUTED_VALUE"""),42.72222222222222)</f>
        <v>42.72222222</v>
      </c>
      <c r="J219" s="64">
        <f>IFERROR(__xludf.DUMMYFUNCTION("""COMPUTED_VALUE"""),63.0)</f>
        <v>63</v>
      </c>
      <c r="K219" s="64"/>
      <c r="L219" s="55" t="str">
        <f>IFERROR(__xludf.DUMMYFUNCTION("""COMPUTED_VALUE"""),"Action‑Adventure")</f>
        <v>Action‑Adventure</v>
      </c>
      <c r="M219" s="55"/>
      <c r="N219" s="55" t="str">
        <f>IFERROR(__xludf.DUMMYFUNCTION("""COMPUTED_VALUE"""),"Retro Classics: Atari 2600")</f>
        <v>Retro Classics: Atari 2600</v>
      </c>
      <c r="O219" s="55"/>
      <c r="P219" s="55"/>
      <c r="Q219" s="55"/>
      <c r="R219" s="56" t="str">
        <f>IFERROR(__xludf.DUMMYFUNCTION("""COMPUTED_VALUE"""),"Active")</f>
        <v>Active</v>
      </c>
      <c r="S219" s="57">
        <f>IFERROR(__xludf.DUMMYFUNCTION("""COMPUTED_VALUE"""),45798.0)</f>
        <v>45798</v>
      </c>
      <c r="T219" s="60">
        <f>IFERROR(__xludf.DUMMYFUNCTION("""COMPUTED_VALUE"""),0.0)</f>
        <v>0</v>
      </c>
    </row>
    <row r="220">
      <c r="A220" s="55" t="str">
        <f>IFERROR(__xludf.DUMMYFUNCTION("""COMPUTED_VALUE"""),"Fishing Derby")</f>
        <v>Fishing Derby</v>
      </c>
      <c r="B220" s="55" t="str">
        <f>IFERROR(__xludf.DUMMYFUNCTION("""COMPUTED_VALUE"""),"Xbox / PC")</f>
        <v>Xbox / PC</v>
      </c>
      <c r="C220" s="55" t="str">
        <f>IFERROR(__xludf.DUMMYFUNCTION("""COMPUTED_VALUE"""),"Yes")</f>
        <v>Yes</v>
      </c>
      <c r="D220" s="56" t="str">
        <f>IFERROR(__xludf.DUMMYFUNCTION("""COMPUTED_VALUE"""),"Active")</f>
        <v>Active</v>
      </c>
      <c r="E220" s="57">
        <f>IFERROR(__xludf.DUMMYFUNCTION("""COMPUTED_VALUE"""),45798.0)</f>
        <v>45798</v>
      </c>
      <c r="F220" s="58"/>
      <c r="G220" s="60">
        <f>IFERROR(__xludf.DUMMYFUNCTION("""COMPUTED_VALUE"""),16.5)</f>
        <v>16.5</v>
      </c>
      <c r="H220" s="63">
        <f>IFERROR(__xludf.DUMMYFUNCTION("""COMPUTED_VALUE"""),29403.0)</f>
        <v>29403</v>
      </c>
      <c r="I220" s="60">
        <f>IFERROR(__xludf.DUMMYFUNCTION("""COMPUTED_VALUE"""),44.888888888888886)</f>
        <v>44.88888889</v>
      </c>
      <c r="J220" s="64">
        <f>IFERROR(__xludf.DUMMYFUNCTION("""COMPUTED_VALUE"""),65.0)</f>
        <v>65</v>
      </c>
      <c r="K220" s="64"/>
      <c r="L220" s="55" t="str">
        <f>IFERROR(__xludf.DUMMYFUNCTION("""COMPUTED_VALUE"""),"Sports")</f>
        <v>Sports</v>
      </c>
      <c r="M220" s="55"/>
      <c r="N220" s="55" t="str">
        <f>IFERROR(__xludf.DUMMYFUNCTION("""COMPUTED_VALUE"""),"Retro Classics: Atari 2600")</f>
        <v>Retro Classics: Atari 2600</v>
      </c>
      <c r="O220" s="55"/>
      <c r="P220" s="55"/>
      <c r="Q220" s="55"/>
      <c r="R220" s="56" t="str">
        <f>IFERROR(__xludf.DUMMYFUNCTION("""COMPUTED_VALUE"""),"Active")</f>
        <v>Active</v>
      </c>
      <c r="S220" s="57">
        <f>IFERROR(__xludf.DUMMYFUNCTION("""COMPUTED_VALUE"""),45798.0)</f>
        <v>45798</v>
      </c>
      <c r="T220" s="60">
        <f>IFERROR(__xludf.DUMMYFUNCTION("""COMPUTED_VALUE"""),0.0)</f>
        <v>0</v>
      </c>
    </row>
    <row r="221">
      <c r="A221" s="55" t="str">
        <f>IFERROR(__xludf.DUMMYFUNCTION("""COMPUTED_VALUE"""),"Freddy Pharkas: Frontier Pharmacist")</f>
        <v>Freddy Pharkas: Frontier Pharmacist</v>
      </c>
      <c r="B221" s="55" t="str">
        <f>IFERROR(__xludf.DUMMYFUNCTION("""COMPUTED_VALUE"""),"Xbox / PC")</f>
        <v>Xbox / PC</v>
      </c>
      <c r="C221" s="55" t="str">
        <f>IFERROR(__xludf.DUMMYFUNCTION("""COMPUTED_VALUE"""),"Yes")</f>
        <v>Yes</v>
      </c>
      <c r="D221" s="56" t="str">
        <f>IFERROR(__xludf.DUMMYFUNCTION("""COMPUTED_VALUE"""),"Active")</f>
        <v>Active</v>
      </c>
      <c r="E221" s="57">
        <f>IFERROR(__xludf.DUMMYFUNCTION("""COMPUTED_VALUE"""),45798.0)</f>
        <v>45798</v>
      </c>
      <c r="F221" s="58"/>
      <c r="G221" s="60">
        <f>IFERROR(__xludf.DUMMYFUNCTION("""COMPUTED_VALUE"""),16.5)</f>
        <v>16.5</v>
      </c>
      <c r="H221" s="63">
        <f>IFERROR(__xludf.DUMMYFUNCTION("""COMPUTED_VALUE"""),34121.0)</f>
        <v>34121</v>
      </c>
      <c r="I221" s="60">
        <f>IFERROR(__xludf.DUMMYFUNCTION("""COMPUTED_VALUE"""),31.97222222222222)</f>
        <v>31.97222222</v>
      </c>
      <c r="J221" s="64">
        <f>IFERROR(__xludf.DUMMYFUNCTION("""COMPUTED_VALUE"""),90.0)</f>
        <v>90</v>
      </c>
      <c r="K221" s="64">
        <f>IFERROR(__xludf.DUMMYFUNCTION("""COMPUTED_VALUE"""),17.0)</f>
        <v>17</v>
      </c>
      <c r="L221" s="55" t="str">
        <f>IFERROR(__xludf.DUMMYFUNCTION("""COMPUTED_VALUE"""),"Adventure")</f>
        <v>Adventure</v>
      </c>
      <c r="M221" s="55"/>
      <c r="N221" s="55" t="str">
        <f>IFERROR(__xludf.DUMMYFUNCTION("""COMPUTED_VALUE"""),"Retro Classics: DOS, Sierra Entertainment (defunct) publisher")</f>
        <v>Retro Classics: DOS, Sierra Entertainment (defunct) publisher</v>
      </c>
      <c r="O221" s="55"/>
      <c r="P221" s="55"/>
      <c r="Q221" s="55"/>
      <c r="R221" s="56" t="str">
        <f>IFERROR(__xludf.DUMMYFUNCTION("""COMPUTED_VALUE"""),"Active")</f>
        <v>Active</v>
      </c>
      <c r="S221" s="57">
        <f>IFERROR(__xludf.DUMMYFUNCTION("""COMPUTED_VALUE"""),45798.0)</f>
        <v>45798</v>
      </c>
      <c r="T221" s="60">
        <f>IFERROR(__xludf.DUMMYFUNCTION("""COMPUTED_VALUE"""),0.0)</f>
        <v>0</v>
      </c>
    </row>
    <row r="222">
      <c r="A222" s="55" t="str">
        <f>IFERROR(__xludf.DUMMYFUNCTION("""COMPUTED_VALUE"""),"Freeway")</f>
        <v>Freeway</v>
      </c>
      <c r="B222" s="55" t="str">
        <f>IFERROR(__xludf.DUMMYFUNCTION("""COMPUTED_VALUE"""),"Xbox / PC")</f>
        <v>Xbox / PC</v>
      </c>
      <c r="C222" s="55" t="str">
        <f>IFERROR(__xludf.DUMMYFUNCTION("""COMPUTED_VALUE"""),"Yes")</f>
        <v>Yes</v>
      </c>
      <c r="D222" s="56" t="str">
        <f>IFERROR(__xludf.DUMMYFUNCTION("""COMPUTED_VALUE"""),"Active")</f>
        <v>Active</v>
      </c>
      <c r="E222" s="57">
        <f>IFERROR(__xludf.DUMMYFUNCTION("""COMPUTED_VALUE"""),45798.0)</f>
        <v>45798</v>
      </c>
      <c r="F222" s="58"/>
      <c r="G222" s="60">
        <f>IFERROR(__xludf.DUMMYFUNCTION("""COMPUTED_VALUE"""),16.5)</f>
        <v>16.5</v>
      </c>
      <c r="H222" s="63">
        <f>IFERROR(__xludf.DUMMYFUNCTION("""COMPUTED_VALUE"""),29768.0)</f>
        <v>29768</v>
      </c>
      <c r="I222" s="60">
        <f>IFERROR(__xludf.DUMMYFUNCTION("""COMPUTED_VALUE"""),43.888888888888886)</f>
        <v>43.88888889</v>
      </c>
      <c r="J222" s="64">
        <f>IFERROR(__xludf.DUMMYFUNCTION("""COMPUTED_VALUE"""),67.0)</f>
        <v>67</v>
      </c>
      <c r="K222" s="64"/>
      <c r="L222" s="55" t="str">
        <f>IFERROR(__xludf.DUMMYFUNCTION("""COMPUTED_VALUE"""),"Racing")</f>
        <v>Racing</v>
      </c>
      <c r="M222" s="55"/>
      <c r="N222" s="55" t="str">
        <f>IFERROR(__xludf.DUMMYFUNCTION("""COMPUTED_VALUE"""),"Retro Classics: Atari 2600")</f>
        <v>Retro Classics: Atari 2600</v>
      </c>
      <c r="O222" s="55"/>
      <c r="P222" s="55"/>
      <c r="Q222" s="55"/>
      <c r="R222" s="56" t="str">
        <f>IFERROR(__xludf.DUMMYFUNCTION("""COMPUTED_VALUE"""),"Active")</f>
        <v>Active</v>
      </c>
      <c r="S222" s="57">
        <f>IFERROR(__xludf.DUMMYFUNCTION("""COMPUTED_VALUE"""),45798.0)</f>
        <v>45798</v>
      </c>
      <c r="T222" s="60">
        <f>IFERROR(__xludf.DUMMYFUNCTION("""COMPUTED_VALUE"""),0.0)</f>
        <v>0</v>
      </c>
    </row>
    <row r="223">
      <c r="A223" s="55" t="str">
        <f>IFERROR(__xludf.DUMMYFUNCTION("""COMPUTED_VALUE"""),"Frostbite")</f>
        <v>Frostbite</v>
      </c>
      <c r="B223" s="55" t="str">
        <f>IFERROR(__xludf.DUMMYFUNCTION("""COMPUTED_VALUE"""),"Xbox / PC")</f>
        <v>Xbox / PC</v>
      </c>
      <c r="C223" s="55" t="str">
        <f>IFERROR(__xludf.DUMMYFUNCTION("""COMPUTED_VALUE"""),"Yes")</f>
        <v>Yes</v>
      </c>
      <c r="D223" s="56" t="str">
        <f>IFERROR(__xludf.DUMMYFUNCTION("""COMPUTED_VALUE"""),"Active")</f>
        <v>Active</v>
      </c>
      <c r="E223" s="57">
        <f>IFERROR(__xludf.DUMMYFUNCTION("""COMPUTED_VALUE"""),45798.0)</f>
        <v>45798</v>
      </c>
      <c r="F223" s="58"/>
      <c r="G223" s="60">
        <f>IFERROR(__xludf.DUMMYFUNCTION("""COMPUTED_VALUE"""),16.5)</f>
        <v>16.5</v>
      </c>
      <c r="H223" s="63">
        <f>IFERROR(__xludf.DUMMYFUNCTION("""COMPUTED_VALUE"""),30542.0)</f>
        <v>30542</v>
      </c>
      <c r="I223" s="60">
        <f>IFERROR(__xludf.DUMMYFUNCTION("""COMPUTED_VALUE"""),41.769444444444446)</f>
        <v>41.76944444</v>
      </c>
      <c r="J223" s="64">
        <f>IFERROR(__xludf.DUMMYFUNCTION("""COMPUTED_VALUE"""),72.0)</f>
        <v>72</v>
      </c>
      <c r="K223" s="64"/>
      <c r="L223" s="55" t="str">
        <f>IFERROR(__xludf.DUMMYFUNCTION("""COMPUTED_VALUE"""),"Action‑Adventure")</f>
        <v>Action‑Adventure</v>
      </c>
      <c r="M223" s="55"/>
      <c r="N223" s="55" t="str">
        <f>IFERROR(__xludf.DUMMYFUNCTION("""COMPUTED_VALUE"""),"Retro Classics: Atari 2600")</f>
        <v>Retro Classics: Atari 2600</v>
      </c>
      <c r="O223" s="55"/>
      <c r="P223" s="55"/>
      <c r="Q223" s="55"/>
      <c r="R223" s="56" t="str">
        <f>IFERROR(__xludf.DUMMYFUNCTION("""COMPUTED_VALUE"""),"Active")</f>
        <v>Active</v>
      </c>
      <c r="S223" s="57">
        <f>IFERROR(__xludf.DUMMYFUNCTION("""COMPUTED_VALUE"""),45798.0)</f>
        <v>45798</v>
      </c>
      <c r="T223" s="60">
        <f>IFERROR(__xludf.DUMMYFUNCTION("""COMPUTED_VALUE"""),0.0)</f>
        <v>0</v>
      </c>
    </row>
    <row r="224">
      <c r="A224" s="55" t="str">
        <f>IFERROR(__xludf.DUMMYFUNCTION("""COMPUTED_VALUE"""),"Grand Prix")</f>
        <v>Grand Prix</v>
      </c>
      <c r="B224" s="55" t="str">
        <f>IFERROR(__xludf.DUMMYFUNCTION("""COMPUTED_VALUE"""),"Xbox / PC")</f>
        <v>Xbox / PC</v>
      </c>
      <c r="C224" s="55" t="str">
        <f>IFERROR(__xludf.DUMMYFUNCTION("""COMPUTED_VALUE"""),"Yes")</f>
        <v>Yes</v>
      </c>
      <c r="D224" s="56" t="str">
        <f>IFERROR(__xludf.DUMMYFUNCTION("""COMPUTED_VALUE"""),"Active")</f>
        <v>Active</v>
      </c>
      <c r="E224" s="57">
        <f>IFERROR(__xludf.DUMMYFUNCTION("""COMPUTED_VALUE"""),45798.0)</f>
        <v>45798</v>
      </c>
      <c r="F224" s="58"/>
      <c r="G224" s="60">
        <f>IFERROR(__xludf.DUMMYFUNCTION("""COMPUTED_VALUE"""),16.5)</f>
        <v>16.5</v>
      </c>
      <c r="H224" s="63">
        <f>IFERROR(__xludf.DUMMYFUNCTION("""COMPUTED_VALUE"""),30011.0)</f>
        <v>30011</v>
      </c>
      <c r="I224" s="60">
        <f>IFERROR(__xludf.DUMMYFUNCTION("""COMPUTED_VALUE"""),43.22222222222222)</f>
        <v>43.22222222</v>
      </c>
      <c r="J224" s="64">
        <f>IFERROR(__xludf.DUMMYFUNCTION("""COMPUTED_VALUE"""),65.0)</f>
        <v>65</v>
      </c>
      <c r="K224" s="64"/>
      <c r="L224" s="55" t="str">
        <f>IFERROR(__xludf.DUMMYFUNCTION("""COMPUTED_VALUE"""),"Racing")</f>
        <v>Racing</v>
      </c>
      <c r="M224" s="55"/>
      <c r="N224" s="55" t="str">
        <f>IFERROR(__xludf.DUMMYFUNCTION("""COMPUTED_VALUE"""),"Retro Classics: Atari 2600")</f>
        <v>Retro Classics: Atari 2600</v>
      </c>
      <c r="O224" s="55"/>
      <c r="P224" s="55"/>
      <c r="Q224" s="55"/>
      <c r="R224" s="56" t="str">
        <f>IFERROR(__xludf.DUMMYFUNCTION("""COMPUTED_VALUE"""),"Active")</f>
        <v>Active</v>
      </c>
      <c r="S224" s="57">
        <f>IFERROR(__xludf.DUMMYFUNCTION("""COMPUTED_VALUE"""),45798.0)</f>
        <v>45798</v>
      </c>
      <c r="T224" s="60">
        <f>IFERROR(__xludf.DUMMYFUNCTION("""COMPUTED_VALUE"""),0.0)</f>
        <v>0</v>
      </c>
    </row>
    <row r="225">
      <c r="A225" s="55" t="str">
        <f>IFERROR(__xludf.DUMMYFUNCTION("""COMPUTED_VALUE"""),"H.E.R.O.")</f>
        <v>H.E.R.O.</v>
      </c>
      <c r="B225" s="55" t="str">
        <f>IFERROR(__xludf.DUMMYFUNCTION("""COMPUTED_VALUE"""),"Xbox / PC")</f>
        <v>Xbox / PC</v>
      </c>
      <c r="C225" s="55" t="str">
        <f>IFERROR(__xludf.DUMMYFUNCTION("""COMPUTED_VALUE"""),"Yes")</f>
        <v>Yes</v>
      </c>
      <c r="D225" s="56" t="str">
        <f>IFERROR(__xludf.DUMMYFUNCTION("""COMPUTED_VALUE"""),"Active")</f>
        <v>Active</v>
      </c>
      <c r="E225" s="57">
        <f>IFERROR(__xludf.DUMMYFUNCTION("""COMPUTED_VALUE"""),45798.0)</f>
        <v>45798</v>
      </c>
      <c r="F225" s="58"/>
      <c r="G225" s="60">
        <f>IFERROR(__xludf.DUMMYFUNCTION("""COMPUTED_VALUE"""),16.5)</f>
        <v>16.5</v>
      </c>
      <c r="H225" s="63">
        <f>IFERROR(__xludf.DUMMYFUNCTION("""COMPUTED_VALUE"""),30764.0)</f>
        <v>30764</v>
      </c>
      <c r="I225" s="60">
        <f>IFERROR(__xludf.DUMMYFUNCTION("""COMPUTED_VALUE"""),41.16111111111111)</f>
        <v>41.16111111</v>
      </c>
      <c r="J225" s="64">
        <f>IFERROR(__xludf.DUMMYFUNCTION("""COMPUTED_VALUE"""),83.0)</f>
        <v>83</v>
      </c>
      <c r="K225" s="64"/>
      <c r="L225" s="55" t="str">
        <f>IFERROR(__xludf.DUMMYFUNCTION("""COMPUTED_VALUE"""),"Action‑Adventure")</f>
        <v>Action‑Adventure</v>
      </c>
      <c r="M225" s="55"/>
      <c r="N225" s="55" t="str">
        <f>IFERROR(__xludf.DUMMYFUNCTION("""COMPUTED_VALUE"""),"Retro Classics: Atari 2600")</f>
        <v>Retro Classics: Atari 2600</v>
      </c>
      <c r="O225" s="55"/>
      <c r="P225" s="55"/>
      <c r="Q225" s="55"/>
      <c r="R225" s="56" t="str">
        <f>IFERROR(__xludf.DUMMYFUNCTION("""COMPUTED_VALUE"""),"Active")</f>
        <v>Active</v>
      </c>
      <c r="S225" s="57">
        <f>IFERROR(__xludf.DUMMYFUNCTION("""COMPUTED_VALUE"""),45798.0)</f>
        <v>45798</v>
      </c>
      <c r="T225" s="60">
        <f>IFERROR(__xludf.DUMMYFUNCTION("""COMPUTED_VALUE"""),0.0)</f>
        <v>0</v>
      </c>
    </row>
    <row r="226">
      <c r="A226" s="55" t="str">
        <f>IFERROR(__xludf.DUMMYFUNCTION("""COMPUTED_VALUE"""),"Kaboom!")</f>
        <v>Kaboom!</v>
      </c>
      <c r="B226" s="55" t="str">
        <f>IFERROR(__xludf.DUMMYFUNCTION("""COMPUTED_VALUE"""),"Xbox / PC")</f>
        <v>Xbox / PC</v>
      </c>
      <c r="C226" s="55" t="str">
        <f>IFERROR(__xludf.DUMMYFUNCTION("""COMPUTED_VALUE"""),"Yes")</f>
        <v>Yes</v>
      </c>
      <c r="D226" s="56" t="str">
        <f>IFERROR(__xludf.DUMMYFUNCTION("""COMPUTED_VALUE"""),"Active")</f>
        <v>Active</v>
      </c>
      <c r="E226" s="57">
        <f>IFERROR(__xludf.DUMMYFUNCTION("""COMPUTED_VALUE"""),45798.0)</f>
        <v>45798</v>
      </c>
      <c r="F226" s="58"/>
      <c r="G226" s="60">
        <f>IFERROR(__xludf.DUMMYFUNCTION("""COMPUTED_VALUE"""),16.5)</f>
        <v>16.5</v>
      </c>
      <c r="H226" s="63">
        <f>IFERROR(__xludf.DUMMYFUNCTION("""COMPUTED_VALUE"""),29768.0)</f>
        <v>29768</v>
      </c>
      <c r="I226" s="60">
        <f>IFERROR(__xludf.DUMMYFUNCTION("""COMPUTED_VALUE"""),43.888888888888886)</f>
        <v>43.88888889</v>
      </c>
      <c r="J226" s="64">
        <f>IFERROR(__xludf.DUMMYFUNCTION("""COMPUTED_VALUE"""),80.0)</f>
        <v>80</v>
      </c>
      <c r="K226" s="64"/>
      <c r="L226" s="55" t="str">
        <f>IFERROR(__xludf.DUMMYFUNCTION("""COMPUTED_VALUE"""),"Action‑Adventure")</f>
        <v>Action‑Adventure</v>
      </c>
      <c r="M226" s="55"/>
      <c r="N226" s="55" t="str">
        <f>IFERROR(__xludf.DUMMYFUNCTION("""COMPUTED_VALUE"""),"Retro Classics: Atari 2600")</f>
        <v>Retro Classics: Atari 2600</v>
      </c>
      <c r="O226" s="55"/>
      <c r="P226" s="55"/>
      <c r="Q226" s="55"/>
      <c r="R226" s="56" t="str">
        <f>IFERROR(__xludf.DUMMYFUNCTION("""COMPUTED_VALUE"""),"Active")</f>
        <v>Active</v>
      </c>
      <c r="S226" s="57">
        <f>IFERROR(__xludf.DUMMYFUNCTION("""COMPUTED_VALUE"""),45798.0)</f>
        <v>45798</v>
      </c>
      <c r="T226" s="60">
        <f>IFERROR(__xludf.DUMMYFUNCTION("""COMPUTED_VALUE"""),0.0)</f>
        <v>0</v>
      </c>
    </row>
    <row r="227">
      <c r="A227" s="55" t="str">
        <f>IFERROR(__xludf.DUMMYFUNCTION("""COMPUTED_VALUE"""),"Laser Blast")</f>
        <v>Laser Blast</v>
      </c>
      <c r="B227" s="55" t="str">
        <f>IFERROR(__xludf.DUMMYFUNCTION("""COMPUTED_VALUE"""),"Xbox / PC")</f>
        <v>Xbox / PC</v>
      </c>
      <c r="C227" s="55" t="str">
        <f>IFERROR(__xludf.DUMMYFUNCTION("""COMPUTED_VALUE"""),"Yes")</f>
        <v>Yes</v>
      </c>
      <c r="D227" s="56" t="str">
        <f>IFERROR(__xludf.DUMMYFUNCTION("""COMPUTED_VALUE"""),"Active")</f>
        <v>Active</v>
      </c>
      <c r="E227" s="57">
        <f>IFERROR(__xludf.DUMMYFUNCTION("""COMPUTED_VALUE"""),45798.0)</f>
        <v>45798</v>
      </c>
      <c r="F227" s="58"/>
      <c r="G227" s="60">
        <f>IFERROR(__xludf.DUMMYFUNCTION("""COMPUTED_VALUE"""),16.5)</f>
        <v>16.5</v>
      </c>
      <c r="H227" s="63">
        <f>IFERROR(__xludf.DUMMYFUNCTION("""COMPUTED_VALUE"""),29646.0)</f>
        <v>29646</v>
      </c>
      <c r="I227" s="60">
        <f>IFERROR(__xludf.DUMMYFUNCTION("""COMPUTED_VALUE"""),44.22222222222222)</f>
        <v>44.22222222</v>
      </c>
      <c r="J227" s="64">
        <f>IFERROR(__xludf.DUMMYFUNCTION("""COMPUTED_VALUE"""),55.0)</f>
        <v>55</v>
      </c>
      <c r="K227" s="64"/>
      <c r="L227" s="55" t="str">
        <f>IFERROR(__xludf.DUMMYFUNCTION("""COMPUTED_VALUE"""),"Shooter")</f>
        <v>Shooter</v>
      </c>
      <c r="M227" s="55"/>
      <c r="N227" s="55" t="str">
        <f>IFERROR(__xludf.DUMMYFUNCTION("""COMPUTED_VALUE"""),"Retro Classics: Atari 2600")</f>
        <v>Retro Classics: Atari 2600</v>
      </c>
      <c r="O227" s="55"/>
      <c r="P227" s="55"/>
      <c r="Q227" s="55"/>
      <c r="R227" s="56" t="str">
        <f>IFERROR(__xludf.DUMMYFUNCTION("""COMPUTED_VALUE"""),"Active")</f>
        <v>Active</v>
      </c>
      <c r="S227" s="57">
        <f>IFERROR(__xludf.DUMMYFUNCTION("""COMPUTED_VALUE"""),45798.0)</f>
        <v>45798</v>
      </c>
      <c r="T227" s="60">
        <f>IFERROR(__xludf.DUMMYFUNCTION("""COMPUTED_VALUE"""),0.0)</f>
        <v>0</v>
      </c>
    </row>
    <row r="228">
      <c r="A228" s="55" t="str">
        <f>IFERROR(__xludf.DUMMYFUNCTION("""COMPUTED_VALUE"""),"MechWarrior")</f>
        <v>MechWarrior</v>
      </c>
      <c r="B228" s="55" t="str">
        <f>IFERROR(__xludf.DUMMYFUNCTION("""COMPUTED_VALUE"""),"Xbox / PC")</f>
        <v>Xbox / PC</v>
      </c>
      <c r="C228" s="55" t="str">
        <f>IFERROR(__xludf.DUMMYFUNCTION("""COMPUTED_VALUE"""),"Yes")</f>
        <v>Yes</v>
      </c>
      <c r="D228" s="56" t="str">
        <f>IFERROR(__xludf.DUMMYFUNCTION("""COMPUTED_VALUE"""),"Active")</f>
        <v>Active</v>
      </c>
      <c r="E228" s="57">
        <f>IFERROR(__xludf.DUMMYFUNCTION("""COMPUTED_VALUE"""),45798.0)</f>
        <v>45798</v>
      </c>
      <c r="F228" s="58"/>
      <c r="G228" s="60">
        <f>IFERROR(__xludf.DUMMYFUNCTION("""COMPUTED_VALUE"""),16.5)</f>
        <v>16.5</v>
      </c>
      <c r="H228" s="63">
        <f>IFERROR(__xludf.DUMMYFUNCTION("""COMPUTED_VALUE"""),32843.0)</f>
        <v>32843</v>
      </c>
      <c r="I228" s="60">
        <f>IFERROR(__xludf.DUMMYFUNCTION("""COMPUTED_VALUE"""),35.47222222222222)</f>
        <v>35.47222222</v>
      </c>
      <c r="J228" s="64">
        <f>IFERROR(__xludf.DUMMYFUNCTION("""COMPUTED_VALUE"""),73.0)</f>
        <v>73</v>
      </c>
      <c r="K228" s="64">
        <f>IFERROR(__xludf.DUMMYFUNCTION("""COMPUTED_VALUE"""),12.0)</f>
        <v>12</v>
      </c>
      <c r="L228" s="55" t="str">
        <f>IFERROR(__xludf.DUMMYFUNCTION("""COMPUTED_VALUE"""),"Shooter")</f>
        <v>Shooter</v>
      </c>
      <c r="M228" s="55"/>
      <c r="N228" s="55" t="str">
        <f>IFERROR(__xludf.DUMMYFUNCTION("""COMPUTED_VALUE"""),"Retro Classics: SNES")</f>
        <v>Retro Classics: SNES</v>
      </c>
      <c r="O228" s="55"/>
      <c r="P228" s="55"/>
      <c r="Q228" s="55"/>
      <c r="R228" s="56" t="str">
        <f>IFERROR(__xludf.DUMMYFUNCTION("""COMPUTED_VALUE"""),"Active")</f>
        <v>Active</v>
      </c>
      <c r="S228" s="57">
        <f>IFERROR(__xludf.DUMMYFUNCTION("""COMPUTED_VALUE"""),45798.0)</f>
        <v>45798</v>
      </c>
      <c r="T228" s="60">
        <f>IFERROR(__xludf.DUMMYFUNCTION("""COMPUTED_VALUE"""),0.0)</f>
        <v>0</v>
      </c>
    </row>
    <row r="229">
      <c r="A229" s="55" t="str">
        <f>IFERROR(__xludf.DUMMYFUNCTION("""COMPUTED_VALUE"""),"MechWarrior 2: 31st Century Combat")</f>
        <v>MechWarrior 2: 31st Century Combat</v>
      </c>
      <c r="B229" s="55" t="str">
        <f>IFERROR(__xludf.DUMMYFUNCTION("""COMPUTED_VALUE"""),"Xbox / PC")</f>
        <v>Xbox / PC</v>
      </c>
      <c r="C229" s="55" t="str">
        <f>IFERROR(__xludf.DUMMYFUNCTION("""COMPUTED_VALUE"""),"Yes")</f>
        <v>Yes</v>
      </c>
      <c r="D229" s="56" t="str">
        <f>IFERROR(__xludf.DUMMYFUNCTION("""COMPUTED_VALUE"""),"Active")</f>
        <v>Active</v>
      </c>
      <c r="E229" s="57">
        <f>IFERROR(__xludf.DUMMYFUNCTION("""COMPUTED_VALUE"""),45798.0)</f>
        <v>45798</v>
      </c>
      <c r="F229" s="58"/>
      <c r="G229" s="60">
        <f>IFERROR(__xludf.DUMMYFUNCTION("""COMPUTED_VALUE"""),16.5)</f>
        <v>16.5</v>
      </c>
      <c r="H229" s="63">
        <f>IFERROR(__xludf.DUMMYFUNCTION("""COMPUTED_VALUE"""),34904.0)</f>
        <v>34904</v>
      </c>
      <c r="I229" s="60">
        <f>IFERROR(__xludf.DUMMYFUNCTION("""COMPUTED_VALUE"""),29.825)</f>
        <v>29.825</v>
      </c>
      <c r="J229" s="64">
        <f>IFERROR(__xludf.DUMMYFUNCTION("""COMPUTED_VALUE"""),87.0)</f>
        <v>87</v>
      </c>
      <c r="K229" s="64">
        <f>IFERROR(__xludf.DUMMYFUNCTION("""COMPUTED_VALUE"""),20.0)</f>
        <v>20</v>
      </c>
      <c r="L229" s="55" t="str">
        <f>IFERROR(__xludf.DUMMYFUNCTION("""COMPUTED_VALUE"""),"Shooter")</f>
        <v>Shooter</v>
      </c>
      <c r="M229" s="55"/>
      <c r="N229" s="55" t="str">
        <f>IFERROR(__xludf.DUMMYFUNCTION("""COMPUTED_VALUE"""),"Retro Classics: PSX")</f>
        <v>Retro Classics: PSX</v>
      </c>
      <c r="O229" s="55"/>
      <c r="P229" s="55"/>
      <c r="Q229" s="55"/>
      <c r="R229" s="56" t="str">
        <f>IFERROR(__xludf.DUMMYFUNCTION("""COMPUTED_VALUE"""),"Active")</f>
        <v>Active</v>
      </c>
      <c r="S229" s="57">
        <f>IFERROR(__xludf.DUMMYFUNCTION("""COMPUTED_VALUE"""),45798.0)</f>
        <v>45798</v>
      </c>
      <c r="T229" s="60">
        <f>IFERROR(__xludf.DUMMYFUNCTION("""COMPUTED_VALUE"""),0.0)</f>
        <v>0</v>
      </c>
    </row>
    <row r="230">
      <c r="A230" s="55" t="str">
        <f>IFERROR(__xludf.DUMMYFUNCTION("""COMPUTED_VALUE"""),"Megamania")</f>
        <v>Megamania</v>
      </c>
      <c r="B230" s="55" t="str">
        <f>IFERROR(__xludf.DUMMYFUNCTION("""COMPUTED_VALUE"""),"Xbox / PC")</f>
        <v>Xbox / PC</v>
      </c>
      <c r="C230" s="55" t="str">
        <f>IFERROR(__xludf.DUMMYFUNCTION("""COMPUTED_VALUE"""),"Yes")</f>
        <v>Yes</v>
      </c>
      <c r="D230" s="56" t="str">
        <f>IFERROR(__xludf.DUMMYFUNCTION("""COMPUTED_VALUE"""),"Active")</f>
        <v>Active</v>
      </c>
      <c r="E230" s="57">
        <f>IFERROR(__xludf.DUMMYFUNCTION("""COMPUTED_VALUE"""),45798.0)</f>
        <v>45798</v>
      </c>
      <c r="F230" s="58"/>
      <c r="G230" s="60">
        <f>IFERROR(__xludf.DUMMYFUNCTION("""COMPUTED_VALUE"""),16.5)</f>
        <v>16.5</v>
      </c>
      <c r="H230" s="63">
        <f>IFERROR(__xludf.DUMMYFUNCTION("""COMPUTED_VALUE"""),30050.0)</f>
        <v>30050</v>
      </c>
      <c r="I230" s="60">
        <f>IFERROR(__xludf.DUMMYFUNCTION("""COMPUTED_VALUE"""),43.11666666666667)</f>
        <v>43.11666667</v>
      </c>
      <c r="J230" s="64">
        <f>IFERROR(__xludf.DUMMYFUNCTION("""COMPUTED_VALUE"""),73.0)</f>
        <v>73</v>
      </c>
      <c r="K230" s="64"/>
      <c r="L230" s="55" t="str">
        <f>IFERROR(__xludf.DUMMYFUNCTION("""COMPUTED_VALUE"""),"Shooter")</f>
        <v>Shooter</v>
      </c>
      <c r="M230" s="55"/>
      <c r="N230" s="55" t="str">
        <f>IFERROR(__xludf.DUMMYFUNCTION("""COMPUTED_VALUE"""),"Retro Classics: Atari 2600")</f>
        <v>Retro Classics: Atari 2600</v>
      </c>
      <c r="O230" s="55"/>
      <c r="P230" s="55"/>
      <c r="Q230" s="55"/>
      <c r="R230" s="56" t="str">
        <f>IFERROR(__xludf.DUMMYFUNCTION("""COMPUTED_VALUE"""),"Active")</f>
        <v>Active</v>
      </c>
      <c r="S230" s="57">
        <f>IFERROR(__xludf.DUMMYFUNCTION("""COMPUTED_VALUE"""),45798.0)</f>
        <v>45798</v>
      </c>
      <c r="T230" s="60">
        <f>IFERROR(__xludf.DUMMYFUNCTION("""COMPUTED_VALUE"""),0.0)</f>
        <v>0</v>
      </c>
    </row>
    <row r="231">
      <c r="A231" s="55" t="str">
        <f>IFERROR(__xludf.DUMMYFUNCTION("""COMPUTED_VALUE"""),"Pitfall II: Lost Caverns")</f>
        <v>Pitfall II: Lost Caverns</v>
      </c>
      <c r="B231" s="55" t="str">
        <f>IFERROR(__xludf.DUMMYFUNCTION("""COMPUTED_VALUE"""),"Xbox / PC")</f>
        <v>Xbox / PC</v>
      </c>
      <c r="C231" s="55" t="str">
        <f>IFERROR(__xludf.DUMMYFUNCTION("""COMPUTED_VALUE"""),"Yes")</f>
        <v>Yes</v>
      </c>
      <c r="D231" s="56" t="str">
        <f>IFERROR(__xludf.DUMMYFUNCTION("""COMPUTED_VALUE"""),"Active")</f>
        <v>Active</v>
      </c>
      <c r="E231" s="57">
        <f>IFERROR(__xludf.DUMMYFUNCTION("""COMPUTED_VALUE"""),45798.0)</f>
        <v>45798</v>
      </c>
      <c r="F231" s="58"/>
      <c r="G231" s="60">
        <f>IFERROR(__xludf.DUMMYFUNCTION("""COMPUTED_VALUE"""),16.5)</f>
        <v>16.5</v>
      </c>
      <c r="H231" s="63">
        <f>IFERROR(__xludf.DUMMYFUNCTION("""COMPUTED_VALUE"""),30575.0)</f>
        <v>30575</v>
      </c>
      <c r="I231" s="60">
        <f>IFERROR(__xludf.DUMMYFUNCTION("""COMPUTED_VALUE"""),41.68055555555556)</f>
        <v>41.68055556</v>
      </c>
      <c r="J231" s="64">
        <f>IFERROR(__xludf.DUMMYFUNCTION("""COMPUTED_VALUE"""),82.0)</f>
        <v>82</v>
      </c>
      <c r="K231" s="64"/>
      <c r="L231" s="55" t="str">
        <f>IFERROR(__xludf.DUMMYFUNCTION("""COMPUTED_VALUE"""),"Platformer")</f>
        <v>Platformer</v>
      </c>
      <c r="M231" s="55"/>
      <c r="N231" s="55" t="str">
        <f>IFERROR(__xludf.DUMMYFUNCTION("""COMPUTED_VALUE"""),"Retro Classics: Atari 2600")</f>
        <v>Retro Classics: Atari 2600</v>
      </c>
      <c r="O231" s="55"/>
      <c r="P231" s="55"/>
      <c r="Q231" s="55"/>
      <c r="R231" s="56" t="str">
        <f>IFERROR(__xludf.DUMMYFUNCTION("""COMPUTED_VALUE"""),"Active")</f>
        <v>Active</v>
      </c>
      <c r="S231" s="57">
        <f>IFERROR(__xludf.DUMMYFUNCTION("""COMPUTED_VALUE"""),45798.0)</f>
        <v>45798</v>
      </c>
      <c r="T231" s="60">
        <f>IFERROR(__xludf.DUMMYFUNCTION("""COMPUTED_VALUE"""),0.0)</f>
        <v>0</v>
      </c>
    </row>
    <row r="232">
      <c r="A232" s="55" t="str">
        <f>IFERROR(__xludf.DUMMYFUNCTION("""COMPUTED_VALUE"""),"Pitfall!")</f>
        <v>Pitfall!</v>
      </c>
      <c r="B232" s="55" t="str">
        <f>IFERROR(__xludf.DUMMYFUNCTION("""COMPUTED_VALUE"""),"Xbox / PC")</f>
        <v>Xbox / PC</v>
      </c>
      <c r="C232" s="55" t="str">
        <f>IFERROR(__xludf.DUMMYFUNCTION("""COMPUTED_VALUE"""),"Yes")</f>
        <v>Yes</v>
      </c>
      <c r="D232" s="56" t="str">
        <f>IFERROR(__xludf.DUMMYFUNCTION("""COMPUTED_VALUE"""),"Active")</f>
        <v>Active</v>
      </c>
      <c r="E232" s="57">
        <f>IFERROR(__xludf.DUMMYFUNCTION("""COMPUTED_VALUE"""),45798.0)</f>
        <v>45798</v>
      </c>
      <c r="F232" s="58"/>
      <c r="G232" s="60">
        <f>IFERROR(__xludf.DUMMYFUNCTION("""COMPUTED_VALUE"""),16.5)</f>
        <v>16.5</v>
      </c>
      <c r="H232" s="63">
        <f>IFERROR(__xludf.DUMMYFUNCTION("""COMPUTED_VALUE"""),30061.0)</f>
        <v>30061</v>
      </c>
      <c r="I232" s="60">
        <f>IFERROR(__xludf.DUMMYFUNCTION("""COMPUTED_VALUE"""),43.08611111111111)</f>
        <v>43.08611111</v>
      </c>
      <c r="J232" s="64">
        <f>IFERROR(__xludf.DUMMYFUNCTION("""COMPUTED_VALUE"""),71.0)</f>
        <v>71</v>
      </c>
      <c r="K232" s="64">
        <f>IFERROR(__xludf.DUMMYFUNCTION("""COMPUTED_VALUE"""),1.0)</f>
        <v>1</v>
      </c>
      <c r="L232" s="55" t="str">
        <f>IFERROR(__xludf.DUMMYFUNCTION("""COMPUTED_VALUE"""),"Platformer")</f>
        <v>Platformer</v>
      </c>
      <c r="M232" s="55"/>
      <c r="N232" s="55" t="str">
        <f>IFERROR(__xludf.DUMMYFUNCTION("""COMPUTED_VALUE"""),"Retro Classics: Atari 2600")</f>
        <v>Retro Classics: Atari 2600</v>
      </c>
      <c r="O232" s="55"/>
      <c r="P232" s="55"/>
      <c r="Q232" s="55"/>
      <c r="R232" s="56" t="str">
        <f>IFERROR(__xludf.DUMMYFUNCTION("""COMPUTED_VALUE"""),"Active")</f>
        <v>Active</v>
      </c>
      <c r="S232" s="57">
        <f>IFERROR(__xludf.DUMMYFUNCTION("""COMPUTED_VALUE"""),45798.0)</f>
        <v>45798</v>
      </c>
      <c r="T232" s="60">
        <f>IFERROR(__xludf.DUMMYFUNCTION("""COMPUTED_VALUE"""),0.0)</f>
        <v>0</v>
      </c>
    </row>
    <row r="233">
      <c r="A233" s="55" t="str">
        <f>IFERROR(__xludf.DUMMYFUNCTION("""COMPUTED_VALUE"""),"Police Quest")</f>
        <v>Police Quest</v>
      </c>
      <c r="B233" s="55" t="str">
        <f>IFERROR(__xludf.DUMMYFUNCTION("""COMPUTED_VALUE"""),"Xbox / PC")</f>
        <v>Xbox / PC</v>
      </c>
      <c r="C233" s="55" t="str">
        <f>IFERROR(__xludf.DUMMYFUNCTION("""COMPUTED_VALUE"""),"Yes")</f>
        <v>Yes</v>
      </c>
      <c r="D233" s="56" t="str">
        <f>IFERROR(__xludf.DUMMYFUNCTION("""COMPUTED_VALUE"""),"Active")</f>
        <v>Active</v>
      </c>
      <c r="E233" s="57">
        <f>IFERROR(__xludf.DUMMYFUNCTION("""COMPUTED_VALUE"""),45798.0)</f>
        <v>45798</v>
      </c>
      <c r="F233" s="58"/>
      <c r="G233" s="60">
        <f>IFERROR(__xludf.DUMMYFUNCTION("""COMPUTED_VALUE"""),16.5)</f>
        <v>16.5</v>
      </c>
      <c r="H233" s="63">
        <f>IFERROR(__xludf.DUMMYFUNCTION("""COMPUTED_VALUE"""),31778.0)</f>
        <v>31778</v>
      </c>
      <c r="I233" s="60">
        <f>IFERROR(__xludf.DUMMYFUNCTION("""COMPUTED_VALUE"""),38.388888888888886)</f>
        <v>38.38888889</v>
      </c>
      <c r="J233" s="64">
        <f>IFERROR(__xludf.DUMMYFUNCTION("""COMPUTED_VALUE"""),77.0)</f>
        <v>77</v>
      </c>
      <c r="K233" s="64">
        <f>IFERROR(__xludf.DUMMYFUNCTION("""COMPUTED_VALUE"""),4.0)</f>
        <v>4</v>
      </c>
      <c r="L233" s="55" t="str">
        <f>IFERROR(__xludf.DUMMYFUNCTION("""COMPUTED_VALUE"""),"Adventure")</f>
        <v>Adventure</v>
      </c>
      <c r="M233" s="55"/>
      <c r="N233" s="55" t="str">
        <f>IFERROR(__xludf.DUMMYFUNCTION("""COMPUTED_VALUE"""),"Retro Classics: Amiga, Sierra Entertainment (defunct) publisher")</f>
        <v>Retro Classics: Amiga, Sierra Entertainment (defunct) publisher</v>
      </c>
      <c r="O233" s="55"/>
      <c r="P233" s="55"/>
      <c r="Q233" s="55"/>
      <c r="R233" s="56" t="str">
        <f>IFERROR(__xludf.DUMMYFUNCTION("""COMPUTED_VALUE"""),"Active")</f>
        <v>Active</v>
      </c>
      <c r="S233" s="57">
        <f>IFERROR(__xludf.DUMMYFUNCTION("""COMPUTED_VALUE"""),45798.0)</f>
        <v>45798</v>
      </c>
      <c r="T233" s="60">
        <f>IFERROR(__xludf.DUMMYFUNCTION("""COMPUTED_VALUE"""),0.0)</f>
        <v>0</v>
      </c>
    </row>
    <row r="234">
      <c r="A234" s="55" t="str">
        <f>IFERROR(__xludf.DUMMYFUNCTION("""COMPUTED_VALUE"""),"Pressure Cooker")</f>
        <v>Pressure Cooker</v>
      </c>
      <c r="B234" s="55" t="str">
        <f>IFERROR(__xludf.DUMMYFUNCTION("""COMPUTED_VALUE"""),"Xbox / PC")</f>
        <v>Xbox / PC</v>
      </c>
      <c r="C234" s="55" t="str">
        <f>IFERROR(__xludf.DUMMYFUNCTION("""COMPUTED_VALUE"""),"Yes")</f>
        <v>Yes</v>
      </c>
      <c r="D234" s="56" t="str">
        <f>IFERROR(__xludf.DUMMYFUNCTION("""COMPUTED_VALUE"""),"Active")</f>
        <v>Active</v>
      </c>
      <c r="E234" s="57">
        <f>IFERROR(__xludf.DUMMYFUNCTION("""COMPUTED_VALUE"""),45798.0)</f>
        <v>45798</v>
      </c>
      <c r="F234" s="58"/>
      <c r="G234" s="60">
        <f>IFERROR(__xludf.DUMMYFUNCTION("""COMPUTED_VALUE"""),16.5)</f>
        <v>16.5</v>
      </c>
      <c r="H234" s="63">
        <f>IFERROR(__xludf.DUMMYFUNCTION("""COMPUTED_VALUE"""),30369.0)</f>
        <v>30369</v>
      </c>
      <c r="I234" s="60">
        <f>IFERROR(__xludf.DUMMYFUNCTION("""COMPUTED_VALUE"""),42.24722222222222)</f>
        <v>42.24722222</v>
      </c>
      <c r="J234" s="64">
        <f>IFERROR(__xludf.DUMMYFUNCTION("""COMPUTED_VALUE"""),71.0)</f>
        <v>71</v>
      </c>
      <c r="K234" s="64"/>
      <c r="L234" s="55" t="str">
        <f>IFERROR(__xludf.DUMMYFUNCTION("""COMPUTED_VALUE"""),"Simulation")</f>
        <v>Simulation</v>
      </c>
      <c r="M234" s="55"/>
      <c r="N234" s="55" t="str">
        <f>IFERROR(__xludf.DUMMYFUNCTION("""COMPUTED_VALUE"""),"Retro Classics: Atari 2600")</f>
        <v>Retro Classics: Atari 2600</v>
      </c>
      <c r="O234" s="55"/>
      <c r="P234" s="55"/>
      <c r="Q234" s="55"/>
      <c r="R234" s="56" t="str">
        <f>IFERROR(__xludf.DUMMYFUNCTION("""COMPUTED_VALUE"""),"Active")</f>
        <v>Active</v>
      </c>
      <c r="S234" s="57">
        <f>IFERROR(__xludf.DUMMYFUNCTION("""COMPUTED_VALUE"""),45798.0)</f>
        <v>45798</v>
      </c>
      <c r="T234" s="60">
        <f>IFERROR(__xludf.DUMMYFUNCTION("""COMPUTED_VALUE"""),0.0)</f>
        <v>0</v>
      </c>
    </row>
    <row r="235">
      <c r="A235" s="55" t="str">
        <f>IFERROR(__xludf.DUMMYFUNCTION("""COMPUTED_VALUE"""),"Quest for Glory: So You Want to Be a Hero")</f>
        <v>Quest for Glory: So You Want to Be a Hero</v>
      </c>
      <c r="B235" s="55" t="str">
        <f>IFERROR(__xludf.DUMMYFUNCTION("""COMPUTED_VALUE"""),"Xbox / PC")</f>
        <v>Xbox / PC</v>
      </c>
      <c r="C235" s="55" t="str">
        <f>IFERROR(__xludf.DUMMYFUNCTION("""COMPUTED_VALUE"""),"Yes")</f>
        <v>Yes</v>
      </c>
      <c r="D235" s="56" t="str">
        <f>IFERROR(__xludf.DUMMYFUNCTION("""COMPUTED_VALUE"""),"Active")</f>
        <v>Active</v>
      </c>
      <c r="E235" s="57">
        <f>IFERROR(__xludf.DUMMYFUNCTION("""COMPUTED_VALUE"""),45798.0)</f>
        <v>45798</v>
      </c>
      <c r="F235" s="58"/>
      <c r="G235" s="60">
        <f>IFERROR(__xludf.DUMMYFUNCTION("""COMPUTED_VALUE"""),16.5)</f>
        <v>16.5</v>
      </c>
      <c r="H235" s="63">
        <f>IFERROR(__xludf.DUMMYFUNCTION("""COMPUTED_VALUE"""),32782.0)</f>
        <v>32782</v>
      </c>
      <c r="I235" s="60">
        <f>IFERROR(__xludf.DUMMYFUNCTION("""COMPUTED_VALUE"""),35.638888888888886)</f>
        <v>35.63888889</v>
      </c>
      <c r="J235" s="64">
        <f>IFERROR(__xludf.DUMMYFUNCTION("""COMPUTED_VALUE"""),88.0)</f>
        <v>88</v>
      </c>
      <c r="K235" s="64">
        <f>IFERROR(__xludf.DUMMYFUNCTION("""COMPUTED_VALUE"""),7.0)</f>
        <v>7</v>
      </c>
      <c r="L235" s="55" t="str">
        <f>IFERROR(__xludf.DUMMYFUNCTION("""COMPUTED_VALUE"""),"Action‑Adventure")</f>
        <v>Action‑Adventure</v>
      </c>
      <c r="M235" s="55"/>
      <c r="N235" s="55" t="str">
        <f>IFERROR(__xludf.DUMMYFUNCTION("""COMPUTED_VALUE"""),"Retro Classics: DOS, Sierra Entertainment (defunct) publisher")</f>
        <v>Retro Classics: DOS, Sierra Entertainment (defunct) publisher</v>
      </c>
      <c r="O235" s="55"/>
      <c r="P235" s="55"/>
      <c r="Q235" s="55"/>
      <c r="R235" s="56" t="str">
        <f>IFERROR(__xludf.DUMMYFUNCTION("""COMPUTED_VALUE"""),"Active")</f>
        <v>Active</v>
      </c>
      <c r="S235" s="57">
        <f>IFERROR(__xludf.DUMMYFUNCTION("""COMPUTED_VALUE"""),45798.0)</f>
        <v>45798</v>
      </c>
      <c r="T235" s="60">
        <f>IFERROR(__xludf.DUMMYFUNCTION("""COMPUTED_VALUE"""),0.0)</f>
        <v>0</v>
      </c>
    </row>
    <row r="236">
      <c r="A236" s="55" t="str">
        <f>IFERROR(__xludf.DUMMYFUNCTION("""COMPUTED_VALUE"""),"Riddle of the Sphinx")</f>
        <v>Riddle of the Sphinx</v>
      </c>
      <c r="B236" s="55" t="str">
        <f>IFERROR(__xludf.DUMMYFUNCTION("""COMPUTED_VALUE"""),"Xbox / PC")</f>
        <v>Xbox / PC</v>
      </c>
      <c r="C236" s="55" t="str">
        <f>IFERROR(__xludf.DUMMYFUNCTION("""COMPUTED_VALUE"""),"Yes")</f>
        <v>Yes</v>
      </c>
      <c r="D236" s="56" t="str">
        <f>IFERROR(__xludf.DUMMYFUNCTION("""COMPUTED_VALUE"""),"Active")</f>
        <v>Active</v>
      </c>
      <c r="E236" s="57">
        <f>IFERROR(__xludf.DUMMYFUNCTION("""COMPUTED_VALUE"""),45798.0)</f>
        <v>45798</v>
      </c>
      <c r="F236" s="58"/>
      <c r="G236" s="60">
        <f>IFERROR(__xludf.DUMMYFUNCTION("""COMPUTED_VALUE"""),16.5)</f>
        <v>16.5</v>
      </c>
      <c r="H236" s="63">
        <f>IFERROR(__xludf.DUMMYFUNCTION("""COMPUTED_VALUE"""),30195.0)</f>
        <v>30195</v>
      </c>
      <c r="I236" s="60">
        <f>IFERROR(__xludf.DUMMYFUNCTION("""COMPUTED_VALUE"""),42.72222222222222)</f>
        <v>42.72222222</v>
      </c>
      <c r="J236" s="64">
        <f>IFERROR(__xludf.DUMMYFUNCTION("""COMPUTED_VALUE"""),70.0)</f>
        <v>70</v>
      </c>
      <c r="K236" s="64"/>
      <c r="L236" s="55" t="str">
        <f>IFERROR(__xludf.DUMMYFUNCTION("""COMPUTED_VALUE"""),"Action‑Adventure")</f>
        <v>Action‑Adventure</v>
      </c>
      <c r="M236" s="55"/>
      <c r="N236" s="55" t="str">
        <f>IFERROR(__xludf.DUMMYFUNCTION("""COMPUTED_VALUE"""),"Retro Classics: Atari 2600")</f>
        <v>Retro Classics: Atari 2600</v>
      </c>
      <c r="O236" s="55"/>
      <c r="P236" s="55"/>
      <c r="Q236" s="55"/>
      <c r="R236" s="56" t="str">
        <f>IFERROR(__xludf.DUMMYFUNCTION("""COMPUTED_VALUE"""),"Active")</f>
        <v>Active</v>
      </c>
      <c r="S236" s="57">
        <f>IFERROR(__xludf.DUMMYFUNCTION("""COMPUTED_VALUE"""),45798.0)</f>
        <v>45798</v>
      </c>
      <c r="T236" s="60">
        <f>IFERROR(__xludf.DUMMYFUNCTION("""COMPUTED_VALUE"""),0.0)</f>
        <v>0</v>
      </c>
    </row>
    <row r="237">
      <c r="A237" s="55" t="str">
        <f>IFERROR(__xludf.DUMMYFUNCTION("""COMPUTED_VALUE"""),"River Raid")</f>
        <v>River Raid</v>
      </c>
      <c r="B237" s="55" t="str">
        <f>IFERROR(__xludf.DUMMYFUNCTION("""COMPUTED_VALUE"""),"Xbox / PC")</f>
        <v>Xbox / PC</v>
      </c>
      <c r="C237" s="55" t="str">
        <f>IFERROR(__xludf.DUMMYFUNCTION("""COMPUTED_VALUE"""),"Yes")</f>
        <v>Yes</v>
      </c>
      <c r="D237" s="56" t="str">
        <f>IFERROR(__xludf.DUMMYFUNCTION("""COMPUTED_VALUE"""),"Active")</f>
        <v>Active</v>
      </c>
      <c r="E237" s="57">
        <f>IFERROR(__xludf.DUMMYFUNCTION("""COMPUTED_VALUE"""),45798.0)</f>
        <v>45798</v>
      </c>
      <c r="F237" s="58"/>
      <c r="G237" s="60">
        <f>IFERROR(__xludf.DUMMYFUNCTION("""COMPUTED_VALUE"""),16.5)</f>
        <v>16.5</v>
      </c>
      <c r="H237" s="63">
        <f>IFERROR(__xludf.DUMMYFUNCTION("""COMPUTED_VALUE"""),30164.0)</f>
        <v>30164</v>
      </c>
      <c r="I237" s="60">
        <f>IFERROR(__xludf.DUMMYFUNCTION("""COMPUTED_VALUE"""),42.80555555555556)</f>
        <v>42.80555556</v>
      </c>
      <c r="J237" s="64">
        <f>IFERROR(__xludf.DUMMYFUNCTION("""COMPUTED_VALUE"""),78.0)</f>
        <v>78</v>
      </c>
      <c r="K237" s="64">
        <f>IFERROR(__xludf.DUMMYFUNCTION("""COMPUTED_VALUE"""),1.0)</f>
        <v>1</v>
      </c>
      <c r="L237" s="55" t="str">
        <f>IFERROR(__xludf.DUMMYFUNCTION("""COMPUTED_VALUE"""),"Shooter")</f>
        <v>Shooter</v>
      </c>
      <c r="M237" s="55"/>
      <c r="N237" s="55" t="str">
        <f>IFERROR(__xludf.DUMMYFUNCTION("""COMPUTED_VALUE"""),"Retro Classics: Atari 2600")</f>
        <v>Retro Classics: Atari 2600</v>
      </c>
      <c r="O237" s="55"/>
      <c r="P237" s="55"/>
      <c r="Q237" s="55"/>
      <c r="R237" s="56" t="str">
        <f>IFERROR(__xludf.DUMMYFUNCTION("""COMPUTED_VALUE"""),"Active")</f>
        <v>Active</v>
      </c>
      <c r="S237" s="57">
        <f>IFERROR(__xludf.DUMMYFUNCTION("""COMPUTED_VALUE"""),45798.0)</f>
        <v>45798</v>
      </c>
      <c r="T237" s="60">
        <f>IFERROR(__xludf.DUMMYFUNCTION("""COMPUTED_VALUE"""),0.0)</f>
        <v>0</v>
      </c>
    </row>
    <row r="238">
      <c r="A238" s="55" t="str">
        <f>IFERROR(__xludf.DUMMYFUNCTION("""COMPUTED_VALUE"""),"River Raid II")</f>
        <v>River Raid II</v>
      </c>
      <c r="B238" s="55" t="str">
        <f>IFERROR(__xludf.DUMMYFUNCTION("""COMPUTED_VALUE"""),"Xbox / PC")</f>
        <v>Xbox / PC</v>
      </c>
      <c r="C238" s="55" t="str">
        <f>IFERROR(__xludf.DUMMYFUNCTION("""COMPUTED_VALUE"""),"Yes")</f>
        <v>Yes</v>
      </c>
      <c r="D238" s="56" t="str">
        <f>IFERROR(__xludf.DUMMYFUNCTION("""COMPUTED_VALUE"""),"Active")</f>
        <v>Active</v>
      </c>
      <c r="E238" s="57">
        <f>IFERROR(__xludf.DUMMYFUNCTION("""COMPUTED_VALUE"""),45798.0)</f>
        <v>45798</v>
      </c>
      <c r="F238" s="58"/>
      <c r="G238" s="60">
        <f>IFERROR(__xludf.DUMMYFUNCTION("""COMPUTED_VALUE"""),16.5)</f>
        <v>16.5</v>
      </c>
      <c r="H238" s="63">
        <f>IFERROR(__xludf.DUMMYFUNCTION("""COMPUTED_VALUE"""),32352.0)</f>
        <v>32352</v>
      </c>
      <c r="I238" s="60">
        <f>IFERROR(__xludf.DUMMYFUNCTION("""COMPUTED_VALUE"""),36.81388888888889)</f>
        <v>36.81388889</v>
      </c>
      <c r="J238" s="64">
        <f>IFERROR(__xludf.DUMMYFUNCTION("""COMPUTED_VALUE"""),73.0)</f>
        <v>73</v>
      </c>
      <c r="K238" s="64"/>
      <c r="L238" s="55" t="str">
        <f>IFERROR(__xludf.DUMMYFUNCTION("""COMPUTED_VALUE"""),"Shooter")</f>
        <v>Shooter</v>
      </c>
      <c r="M238" s="55"/>
      <c r="N238" s="55" t="str">
        <f>IFERROR(__xludf.DUMMYFUNCTION("""COMPUTED_VALUE"""),"Retro Classics: Atari 2600")</f>
        <v>Retro Classics: Atari 2600</v>
      </c>
      <c r="O238" s="55"/>
      <c r="P238" s="55"/>
      <c r="Q238" s="55"/>
      <c r="R238" s="56" t="str">
        <f>IFERROR(__xludf.DUMMYFUNCTION("""COMPUTED_VALUE"""),"Active")</f>
        <v>Active</v>
      </c>
      <c r="S238" s="57">
        <f>IFERROR(__xludf.DUMMYFUNCTION("""COMPUTED_VALUE"""),45798.0)</f>
        <v>45798</v>
      </c>
      <c r="T238" s="60">
        <f>IFERROR(__xludf.DUMMYFUNCTION("""COMPUTED_VALUE"""),0.0)</f>
        <v>0</v>
      </c>
    </row>
    <row r="239">
      <c r="A239" s="55" t="str">
        <f>IFERROR(__xludf.DUMMYFUNCTION("""COMPUTED_VALUE"""),"Robot Tank")</f>
        <v>Robot Tank</v>
      </c>
      <c r="B239" s="55" t="str">
        <f>IFERROR(__xludf.DUMMYFUNCTION("""COMPUTED_VALUE"""),"Xbox / PC")</f>
        <v>Xbox / PC</v>
      </c>
      <c r="C239" s="55" t="str">
        <f>IFERROR(__xludf.DUMMYFUNCTION("""COMPUTED_VALUE"""),"Yes")</f>
        <v>Yes</v>
      </c>
      <c r="D239" s="56" t="str">
        <f>IFERROR(__xludf.DUMMYFUNCTION("""COMPUTED_VALUE"""),"Active")</f>
        <v>Active</v>
      </c>
      <c r="E239" s="57">
        <f>IFERROR(__xludf.DUMMYFUNCTION("""COMPUTED_VALUE"""),45798.0)</f>
        <v>45798</v>
      </c>
      <c r="F239" s="58"/>
      <c r="G239" s="60">
        <f>IFERROR(__xludf.DUMMYFUNCTION("""COMPUTED_VALUE"""),16.5)</f>
        <v>16.5</v>
      </c>
      <c r="H239" s="63">
        <f>IFERROR(__xludf.DUMMYFUNCTION("""COMPUTED_VALUE"""),30399.0)</f>
        <v>30399</v>
      </c>
      <c r="I239" s="60">
        <f>IFERROR(__xludf.DUMMYFUNCTION("""COMPUTED_VALUE"""),42.15833333333333)</f>
        <v>42.15833333</v>
      </c>
      <c r="J239" s="64">
        <f>IFERROR(__xludf.DUMMYFUNCTION("""COMPUTED_VALUE"""),73.0)</f>
        <v>73</v>
      </c>
      <c r="K239" s="64"/>
      <c r="L239" s="55" t="str">
        <f>IFERROR(__xludf.DUMMYFUNCTION("""COMPUTED_VALUE"""),"Shooter")</f>
        <v>Shooter</v>
      </c>
      <c r="M239" s="55"/>
      <c r="N239" s="55" t="str">
        <f>IFERROR(__xludf.DUMMYFUNCTION("""COMPUTED_VALUE"""),"Retro Classics: Atari 2600")</f>
        <v>Retro Classics: Atari 2600</v>
      </c>
      <c r="O239" s="55"/>
      <c r="P239" s="55"/>
      <c r="Q239" s="55"/>
      <c r="R239" s="56" t="str">
        <f>IFERROR(__xludf.DUMMYFUNCTION("""COMPUTED_VALUE"""),"Active")</f>
        <v>Active</v>
      </c>
      <c r="S239" s="57">
        <f>IFERROR(__xludf.DUMMYFUNCTION("""COMPUTED_VALUE"""),45798.0)</f>
        <v>45798</v>
      </c>
      <c r="T239" s="60">
        <f>IFERROR(__xludf.DUMMYFUNCTION("""COMPUTED_VALUE"""),0.0)</f>
        <v>0</v>
      </c>
    </row>
    <row r="240">
      <c r="A240" s="55" t="str">
        <f>IFERROR(__xludf.DUMMYFUNCTION("""COMPUTED_VALUE"""),"Sky Jinks")</f>
        <v>Sky Jinks</v>
      </c>
      <c r="B240" s="55" t="str">
        <f>IFERROR(__xludf.DUMMYFUNCTION("""COMPUTED_VALUE"""),"Xbox / PC")</f>
        <v>Xbox / PC</v>
      </c>
      <c r="C240" s="55" t="str">
        <f>IFERROR(__xludf.DUMMYFUNCTION("""COMPUTED_VALUE"""),"Yes")</f>
        <v>Yes</v>
      </c>
      <c r="D240" s="56" t="str">
        <f>IFERROR(__xludf.DUMMYFUNCTION("""COMPUTED_VALUE"""),"Active")</f>
        <v>Active</v>
      </c>
      <c r="E240" s="57">
        <f>IFERROR(__xludf.DUMMYFUNCTION("""COMPUTED_VALUE"""),45798.0)</f>
        <v>45798</v>
      </c>
      <c r="F240" s="58"/>
      <c r="G240" s="60">
        <f>IFERROR(__xludf.DUMMYFUNCTION("""COMPUTED_VALUE"""),16.5)</f>
        <v>16.5</v>
      </c>
      <c r="H240" s="63">
        <f>IFERROR(__xludf.DUMMYFUNCTION("""COMPUTED_VALUE"""),30256.0)</f>
        <v>30256</v>
      </c>
      <c r="I240" s="60">
        <f>IFERROR(__xludf.DUMMYFUNCTION("""COMPUTED_VALUE"""),42.55555555555556)</f>
        <v>42.55555556</v>
      </c>
      <c r="J240" s="64">
        <f>IFERROR(__xludf.DUMMYFUNCTION("""COMPUTED_VALUE"""),63.0)</f>
        <v>63</v>
      </c>
      <c r="K240" s="64"/>
      <c r="L240" s="55" t="str">
        <f>IFERROR(__xludf.DUMMYFUNCTION("""COMPUTED_VALUE"""),"Shooter")</f>
        <v>Shooter</v>
      </c>
      <c r="M240" s="55"/>
      <c r="N240" s="55" t="str">
        <f>IFERROR(__xludf.DUMMYFUNCTION("""COMPUTED_VALUE"""),"Retro Classics: Atari 2600")</f>
        <v>Retro Classics: Atari 2600</v>
      </c>
      <c r="O240" s="55"/>
      <c r="P240" s="55"/>
      <c r="Q240" s="55"/>
      <c r="R240" s="56" t="str">
        <f>IFERROR(__xludf.DUMMYFUNCTION("""COMPUTED_VALUE"""),"Active")</f>
        <v>Active</v>
      </c>
      <c r="S240" s="57">
        <f>IFERROR(__xludf.DUMMYFUNCTION("""COMPUTED_VALUE"""),45798.0)</f>
        <v>45798</v>
      </c>
      <c r="T240" s="60">
        <f>IFERROR(__xludf.DUMMYFUNCTION("""COMPUTED_VALUE"""),0.0)</f>
        <v>0</v>
      </c>
    </row>
    <row r="241">
      <c r="A241" s="55" t="str">
        <f>IFERROR(__xludf.DUMMYFUNCTION("""COMPUTED_VALUE"""),"Space Quest 2")</f>
        <v>Space Quest 2</v>
      </c>
      <c r="B241" s="55" t="str">
        <f>IFERROR(__xludf.DUMMYFUNCTION("""COMPUTED_VALUE"""),"Xbox / PC")</f>
        <v>Xbox / PC</v>
      </c>
      <c r="C241" s="55" t="str">
        <f>IFERROR(__xludf.DUMMYFUNCTION("""COMPUTED_VALUE"""),"Yes")</f>
        <v>Yes</v>
      </c>
      <c r="D241" s="56" t="str">
        <f>IFERROR(__xludf.DUMMYFUNCTION("""COMPUTED_VALUE"""),"Active")</f>
        <v>Active</v>
      </c>
      <c r="E241" s="57">
        <f>IFERROR(__xludf.DUMMYFUNCTION("""COMPUTED_VALUE"""),45798.0)</f>
        <v>45798</v>
      </c>
      <c r="F241" s="58"/>
      <c r="G241" s="60">
        <f>IFERROR(__xludf.DUMMYFUNCTION("""COMPUTED_VALUE"""),16.5)</f>
        <v>16.5</v>
      </c>
      <c r="H241" s="63">
        <f>IFERROR(__xludf.DUMMYFUNCTION("""COMPUTED_VALUE"""),32082.0)</f>
        <v>32082</v>
      </c>
      <c r="I241" s="60">
        <f>IFERROR(__xludf.DUMMYFUNCTION("""COMPUTED_VALUE"""),37.55555555555556)</f>
        <v>37.55555556</v>
      </c>
      <c r="J241" s="64">
        <f>IFERROR(__xludf.DUMMYFUNCTION("""COMPUTED_VALUE"""),83.0)</f>
        <v>83</v>
      </c>
      <c r="K241" s="64">
        <f>IFERROR(__xludf.DUMMYFUNCTION("""COMPUTED_VALUE"""),3.0)</f>
        <v>3</v>
      </c>
      <c r="L241" s="55" t="str">
        <f>IFERROR(__xludf.DUMMYFUNCTION("""COMPUTED_VALUE"""),"Action‑Adventure")</f>
        <v>Action‑Adventure</v>
      </c>
      <c r="M241" s="55"/>
      <c r="N241" s="55" t="str">
        <f>IFERROR(__xludf.DUMMYFUNCTION("""COMPUTED_VALUE"""),"Retro Classics: Amiga, Sierra Entertainment (defunct) publisher")</f>
        <v>Retro Classics: Amiga, Sierra Entertainment (defunct) publisher</v>
      </c>
      <c r="O241" s="55"/>
      <c r="P241" s="55"/>
      <c r="Q241" s="55"/>
      <c r="R241" s="56" t="str">
        <f>IFERROR(__xludf.DUMMYFUNCTION("""COMPUTED_VALUE"""),"Active")</f>
        <v>Active</v>
      </c>
      <c r="S241" s="57">
        <f>IFERROR(__xludf.DUMMYFUNCTION("""COMPUTED_VALUE"""),45798.0)</f>
        <v>45798</v>
      </c>
      <c r="T241" s="60">
        <f>IFERROR(__xludf.DUMMYFUNCTION("""COMPUTED_VALUE"""),0.0)</f>
        <v>0</v>
      </c>
    </row>
    <row r="242">
      <c r="A242" s="55" t="str">
        <f>IFERROR(__xludf.DUMMYFUNCTION("""COMPUTED_VALUE"""),"Space Quest 6")</f>
        <v>Space Quest 6</v>
      </c>
      <c r="B242" s="55" t="str">
        <f>IFERROR(__xludf.DUMMYFUNCTION("""COMPUTED_VALUE"""),"Xbox / PC")</f>
        <v>Xbox / PC</v>
      </c>
      <c r="C242" s="55" t="str">
        <f>IFERROR(__xludf.DUMMYFUNCTION("""COMPUTED_VALUE"""),"Yes")</f>
        <v>Yes</v>
      </c>
      <c r="D242" s="56" t="str">
        <f>IFERROR(__xludf.DUMMYFUNCTION("""COMPUTED_VALUE"""),"Active")</f>
        <v>Active</v>
      </c>
      <c r="E242" s="57">
        <f>IFERROR(__xludf.DUMMYFUNCTION("""COMPUTED_VALUE"""),45798.0)</f>
        <v>45798</v>
      </c>
      <c r="F242" s="58"/>
      <c r="G242" s="60">
        <f>IFERROR(__xludf.DUMMYFUNCTION("""COMPUTED_VALUE"""),16.5)</f>
        <v>16.5</v>
      </c>
      <c r="H242" s="63">
        <f>IFERROR(__xludf.DUMMYFUNCTION("""COMPUTED_VALUE"""),34891.0)</f>
        <v>34891</v>
      </c>
      <c r="I242" s="60">
        <f>IFERROR(__xludf.DUMMYFUNCTION("""COMPUTED_VALUE"""),29.86111111111111)</f>
        <v>29.86111111</v>
      </c>
      <c r="J242" s="64">
        <f>IFERROR(__xludf.DUMMYFUNCTION("""COMPUTED_VALUE"""),71.0)</f>
        <v>71</v>
      </c>
      <c r="K242" s="64">
        <f>IFERROR(__xludf.DUMMYFUNCTION("""COMPUTED_VALUE"""),4.0)</f>
        <v>4</v>
      </c>
      <c r="L242" s="55" t="str">
        <f>IFERROR(__xludf.DUMMYFUNCTION("""COMPUTED_VALUE"""),"Action‑Adventure")</f>
        <v>Action‑Adventure</v>
      </c>
      <c r="M242" s="55"/>
      <c r="N242" s="55" t="str">
        <f>IFERROR(__xludf.DUMMYFUNCTION("""COMPUTED_VALUE"""),"Retro Classics: DOS, Sierra Entertainment (defunct) publisher")</f>
        <v>Retro Classics: DOS, Sierra Entertainment (defunct) publisher</v>
      </c>
      <c r="O242" s="55"/>
      <c r="P242" s="55"/>
      <c r="Q242" s="55"/>
      <c r="R242" s="56" t="str">
        <f>IFERROR(__xludf.DUMMYFUNCTION("""COMPUTED_VALUE"""),"Active")</f>
        <v>Active</v>
      </c>
      <c r="S242" s="57">
        <f>IFERROR(__xludf.DUMMYFUNCTION("""COMPUTED_VALUE"""),45798.0)</f>
        <v>45798</v>
      </c>
      <c r="T242" s="60">
        <f>IFERROR(__xludf.DUMMYFUNCTION("""COMPUTED_VALUE"""),0.0)</f>
        <v>0</v>
      </c>
    </row>
    <row r="243">
      <c r="A243" s="55" t="str">
        <f>IFERROR(__xludf.DUMMYFUNCTION("""COMPUTED_VALUE"""),"Space Treat Deluxe")</f>
        <v>Space Treat Deluxe</v>
      </c>
      <c r="B243" s="55" t="str">
        <f>IFERROR(__xludf.DUMMYFUNCTION("""COMPUTED_VALUE"""),"Xbox / PC")</f>
        <v>Xbox / PC</v>
      </c>
      <c r="C243" s="55" t="str">
        <f>IFERROR(__xludf.DUMMYFUNCTION("""COMPUTED_VALUE"""),"Yes")</f>
        <v>Yes</v>
      </c>
      <c r="D243" s="56" t="str">
        <f>IFERROR(__xludf.DUMMYFUNCTION("""COMPUTED_VALUE"""),"Active")</f>
        <v>Active</v>
      </c>
      <c r="E243" s="57">
        <f>IFERROR(__xludf.DUMMYFUNCTION("""COMPUTED_VALUE"""),45798.0)</f>
        <v>45798</v>
      </c>
      <c r="F243" s="58"/>
      <c r="G243" s="60">
        <f>IFERROR(__xludf.DUMMYFUNCTION("""COMPUTED_VALUE"""),16.5)</f>
        <v>16.5</v>
      </c>
      <c r="H243" s="63">
        <f>IFERROR(__xludf.DUMMYFUNCTION("""COMPUTED_VALUE"""),37714.0)</f>
        <v>37714</v>
      </c>
      <c r="I243" s="60">
        <f>IFERROR(__xludf.DUMMYFUNCTION("""COMPUTED_VALUE"""),22.133333333333333)</f>
        <v>22.13333333</v>
      </c>
      <c r="J243" s="64"/>
      <c r="K243" s="64"/>
      <c r="L243" s="55" t="str">
        <f>IFERROR(__xludf.DUMMYFUNCTION("""COMPUTED_VALUE"""),"Action")</f>
        <v>Action</v>
      </c>
      <c r="M243" s="55"/>
      <c r="N243" s="55" t="str">
        <f>IFERROR(__xludf.DUMMYFUNCTION("""COMPUTED_VALUE"""),"Retro Classics: Atari 2600")</f>
        <v>Retro Classics: Atari 2600</v>
      </c>
      <c r="O243" s="55"/>
      <c r="P243" s="55"/>
      <c r="Q243" s="55"/>
      <c r="R243" s="56" t="str">
        <f>IFERROR(__xludf.DUMMYFUNCTION("""COMPUTED_VALUE"""),"Active")</f>
        <v>Active</v>
      </c>
      <c r="S243" s="57">
        <f>IFERROR(__xludf.DUMMYFUNCTION("""COMPUTED_VALUE"""),45798.0)</f>
        <v>45798</v>
      </c>
      <c r="T243" s="60">
        <f>IFERROR(__xludf.DUMMYFUNCTION("""COMPUTED_VALUE"""),0.0)</f>
        <v>0</v>
      </c>
    </row>
    <row r="244">
      <c r="A244" s="55" t="str">
        <f>IFERROR(__xludf.DUMMYFUNCTION("""COMPUTED_VALUE"""),"Spider Fighter")</f>
        <v>Spider Fighter</v>
      </c>
      <c r="B244" s="55" t="str">
        <f>IFERROR(__xludf.DUMMYFUNCTION("""COMPUTED_VALUE"""),"Xbox / PC")</f>
        <v>Xbox / PC</v>
      </c>
      <c r="C244" s="55" t="str">
        <f>IFERROR(__xludf.DUMMYFUNCTION("""COMPUTED_VALUE"""),"Yes")</f>
        <v>Yes</v>
      </c>
      <c r="D244" s="56" t="str">
        <f>IFERROR(__xludf.DUMMYFUNCTION("""COMPUTED_VALUE"""),"Active")</f>
        <v>Active</v>
      </c>
      <c r="E244" s="57">
        <f>IFERROR(__xludf.DUMMYFUNCTION("""COMPUTED_VALUE"""),45798.0)</f>
        <v>45798</v>
      </c>
      <c r="F244" s="58"/>
      <c r="G244" s="60">
        <f>IFERROR(__xludf.DUMMYFUNCTION("""COMPUTED_VALUE"""),16.5)</f>
        <v>16.5</v>
      </c>
      <c r="H244" s="63">
        <f>IFERROR(__xludf.DUMMYFUNCTION("""COMPUTED_VALUE"""),30317.0)</f>
        <v>30317</v>
      </c>
      <c r="I244" s="60">
        <f>IFERROR(__xludf.DUMMYFUNCTION("""COMPUTED_VALUE"""),42.388888888888886)</f>
        <v>42.38888889</v>
      </c>
      <c r="J244" s="64">
        <f>IFERROR(__xludf.DUMMYFUNCTION("""COMPUTED_VALUE"""),72.0)</f>
        <v>72</v>
      </c>
      <c r="K244" s="64"/>
      <c r="L244" s="55" t="str">
        <f>IFERROR(__xludf.DUMMYFUNCTION("""COMPUTED_VALUE"""),"Shooter")</f>
        <v>Shooter</v>
      </c>
      <c r="M244" s="55"/>
      <c r="N244" s="55" t="str">
        <f>IFERROR(__xludf.DUMMYFUNCTION("""COMPUTED_VALUE"""),"Retro Classics: Atari 2600")</f>
        <v>Retro Classics: Atari 2600</v>
      </c>
      <c r="O244" s="55"/>
      <c r="P244" s="55"/>
      <c r="Q244" s="55"/>
      <c r="R244" s="56" t="str">
        <f>IFERROR(__xludf.DUMMYFUNCTION("""COMPUTED_VALUE"""),"Active")</f>
        <v>Active</v>
      </c>
      <c r="S244" s="57">
        <f>IFERROR(__xludf.DUMMYFUNCTION("""COMPUTED_VALUE"""),45798.0)</f>
        <v>45798</v>
      </c>
      <c r="T244" s="60">
        <f>IFERROR(__xludf.DUMMYFUNCTION("""COMPUTED_VALUE"""),0.0)</f>
        <v>0</v>
      </c>
    </row>
    <row r="245">
      <c r="A245" s="55" t="str">
        <f>IFERROR(__xludf.DUMMYFUNCTION("""COMPUTED_VALUE"""),"Star Voyager")</f>
        <v>Star Voyager</v>
      </c>
      <c r="B245" s="55" t="str">
        <f>IFERROR(__xludf.DUMMYFUNCTION("""COMPUTED_VALUE"""),"Xbox / PC")</f>
        <v>Xbox / PC</v>
      </c>
      <c r="C245" s="55" t="str">
        <f>IFERROR(__xludf.DUMMYFUNCTION("""COMPUTED_VALUE"""),"Yes")</f>
        <v>Yes</v>
      </c>
      <c r="D245" s="56" t="str">
        <f>IFERROR(__xludf.DUMMYFUNCTION("""COMPUTED_VALUE"""),"Active")</f>
        <v>Active</v>
      </c>
      <c r="E245" s="57">
        <f>IFERROR(__xludf.DUMMYFUNCTION("""COMPUTED_VALUE"""),45798.0)</f>
        <v>45798</v>
      </c>
      <c r="F245" s="58"/>
      <c r="G245" s="60">
        <f>IFERROR(__xludf.DUMMYFUNCTION("""COMPUTED_VALUE"""),16.5)</f>
        <v>16.5</v>
      </c>
      <c r="H245" s="63">
        <f>IFERROR(__xludf.DUMMYFUNCTION("""COMPUTED_VALUE"""),30042.0)</f>
        <v>30042</v>
      </c>
      <c r="I245" s="60">
        <f>IFERROR(__xludf.DUMMYFUNCTION("""COMPUTED_VALUE"""),43.138888888888886)</f>
        <v>43.13888889</v>
      </c>
      <c r="J245" s="64">
        <f>IFERROR(__xludf.DUMMYFUNCTION("""COMPUTED_VALUE"""),59.0)</f>
        <v>59</v>
      </c>
      <c r="K245" s="64"/>
      <c r="L245" s="55" t="str">
        <f>IFERROR(__xludf.DUMMYFUNCTION("""COMPUTED_VALUE"""),"Shooter")</f>
        <v>Shooter</v>
      </c>
      <c r="M245" s="55"/>
      <c r="N245" s="55" t="str">
        <f>IFERROR(__xludf.DUMMYFUNCTION("""COMPUTED_VALUE"""),"Retro Classics: Atari 2600")</f>
        <v>Retro Classics: Atari 2600</v>
      </c>
      <c r="O245" s="55"/>
      <c r="P245" s="55"/>
      <c r="Q245" s="55"/>
      <c r="R245" s="56" t="str">
        <f>IFERROR(__xludf.DUMMYFUNCTION("""COMPUTED_VALUE"""),"Active")</f>
        <v>Active</v>
      </c>
      <c r="S245" s="57">
        <f>IFERROR(__xludf.DUMMYFUNCTION("""COMPUTED_VALUE"""),45798.0)</f>
        <v>45798</v>
      </c>
      <c r="T245" s="60">
        <f>IFERROR(__xludf.DUMMYFUNCTION("""COMPUTED_VALUE"""),0.0)</f>
        <v>0</v>
      </c>
    </row>
    <row r="246">
      <c r="A246" s="55" t="str">
        <f>IFERROR(__xludf.DUMMYFUNCTION("""COMPUTED_VALUE"""),"Tennis")</f>
        <v>Tennis</v>
      </c>
      <c r="B246" s="55" t="str">
        <f>IFERROR(__xludf.DUMMYFUNCTION("""COMPUTED_VALUE"""),"Xbox / PC")</f>
        <v>Xbox / PC</v>
      </c>
      <c r="C246" s="55" t="str">
        <f>IFERROR(__xludf.DUMMYFUNCTION("""COMPUTED_VALUE"""),"Yes")</f>
        <v>Yes</v>
      </c>
      <c r="D246" s="56" t="str">
        <f>IFERROR(__xludf.DUMMYFUNCTION("""COMPUTED_VALUE"""),"Active")</f>
        <v>Active</v>
      </c>
      <c r="E246" s="57">
        <f>IFERROR(__xludf.DUMMYFUNCTION("""COMPUTED_VALUE"""),45798.0)</f>
        <v>45798</v>
      </c>
      <c r="F246" s="58"/>
      <c r="G246" s="60">
        <f>IFERROR(__xludf.DUMMYFUNCTION("""COMPUTED_VALUE"""),16.5)</f>
        <v>16.5</v>
      </c>
      <c r="H246" s="63">
        <f>IFERROR(__xludf.DUMMYFUNCTION("""COMPUTED_VALUE"""),29646.0)</f>
        <v>29646</v>
      </c>
      <c r="I246" s="60">
        <f>IFERROR(__xludf.DUMMYFUNCTION("""COMPUTED_VALUE"""),44.22222222222222)</f>
        <v>44.22222222</v>
      </c>
      <c r="J246" s="64">
        <f>IFERROR(__xludf.DUMMYFUNCTION("""COMPUTED_VALUE"""),60.0)</f>
        <v>60</v>
      </c>
      <c r="K246" s="64"/>
      <c r="L246" s="55" t="str">
        <f>IFERROR(__xludf.DUMMYFUNCTION("""COMPUTED_VALUE"""),"Sports")</f>
        <v>Sports</v>
      </c>
      <c r="M246" s="55"/>
      <c r="N246" s="55" t="str">
        <f>IFERROR(__xludf.DUMMYFUNCTION("""COMPUTED_VALUE"""),"Retro Classics: Atari 2600")</f>
        <v>Retro Classics: Atari 2600</v>
      </c>
      <c r="O246" s="55"/>
      <c r="P246" s="55"/>
      <c r="Q246" s="55"/>
      <c r="R246" s="56" t="str">
        <f>IFERROR(__xludf.DUMMYFUNCTION("""COMPUTED_VALUE"""),"Active")</f>
        <v>Active</v>
      </c>
      <c r="S246" s="57">
        <f>IFERROR(__xludf.DUMMYFUNCTION("""COMPUTED_VALUE"""),45798.0)</f>
        <v>45798</v>
      </c>
      <c r="T246" s="60">
        <f>IFERROR(__xludf.DUMMYFUNCTION("""COMPUTED_VALUE"""),0.0)</f>
        <v>0</v>
      </c>
    </row>
    <row r="247">
      <c r="A247" s="55" t="str">
        <f>IFERROR(__xludf.DUMMYFUNCTION("""COMPUTED_VALUE"""),"The Adventures of Willy Beamish")</f>
        <v>The Adventures of Willy Beamish</v>
      </c>
      <c r="B247" s="55" t="str">
        <f>IFERROR(__xludf.DUMMYFUNCTION("""COMPUTED_VALUE"""),"Xbox / PC")</f>
        <v>Xbox / PC</v>
      </c>
      <c r="C247" s="55" t="str">
        <f>IFERROR(__xludf.DUMMYFUNCTION("""COMPUTED_VALUE"""),"Yes")</f>
        <v>Yes</v>
      </c>
      <c r="D247" s="56" t="str">
        <f>IFERROR(__xludf.DUMMYFUNCTION("""COMPUTED_VALUE"""),"Active")</f>
        <v>Active</v>
      </c>
      <c r="E247" s="57">
        <f>IFERROR(__xludf.DUMMYFUNCTION("""COMPUTED_VALUE"""),45798.0)</f>
        <v>45798</v>
      </c>
      <c r="F247" s="58"/>
      <c r="G247" s="60">
        <f>IFERROR(__xludf.DUMMYFUNCTION("""COMPUTED_VALUE"""),16.5)</f>
        <v>16.5</v>
      </c>
      <c r="H247" s="63">
        <f>IFERROR(__xludf.DUMMYFUNCTION("""COMPUTED_VALUE"""),33506.0)</f>
        <v>33506</v>
      </c>
      <c r="I247" s="60">
        <f>IFERROR(__xludf.DUMMYFUNCTION("""COMPUTED_VALUE"""),33.65555555555556)</f>
        <v>33.65555556</v>
      </c>
      <c r="J247" s="64">
        <f>IFERROR(__xludf.DUMMYFUNCTION("""COMPUTED_VALUE"""),71.0)</f>
        <v>71</v>
      </c>
      <c r="K247" s="64">
        <f>IFERROR(__xludf.DUMMYFUNCTION("""COMPUTED_VALUE"""),5.0)</f>
        <v>5</v>
      </c>
      <c r="L247" s="55" t="str">
        <f>IFERROR(__xludf.DUMMYFUNCTION("""COMPUTED_VALUE"""),"Action‑Adventure")</f>
        <v>Action‑Adventure</v>
      </c>
      <c r="M247" s="55"/>
      <c r="N247" s="55" t="str">
        <f>IFERROR(__xludf.DUMMYFUNCTION("""COMPUTED_VALUE"""),"Retro Classics: Amiga, Sierra Entertainment (defunct) publisher")</f>
        <v>Retro Classics: Amiga, Sierra Entertainment (defunct) publisher</v>
      </c>
      <c r="O247" s="55"/>
      <c r="P247" s="55"/>
      <c r="Q247" s="55"/>
      <c r="R247" s="56" t="str">
        <f>IFERROR(__xludf.DUMMYFUNCTION("""COMPUTED_VALUE"""),"Active")</f>
        <v>Active</v>
      </c>
      <c r="S247" s="57">
        <f>IFERROR(__xludf.DUMMYFUNCTION("""COMPUTED_VALUE"""),45798.0)</f>
        <v>45798</v>
      </c>
      <c r="T247" s="60">
        <f>IFERROR(__xludf.DUMMYFUNCTION("""COMPUTED_VALUE"""),0.0)</f>
        <v>0</v>
      </c>
    </row>
    <row r="248">
      <c r="A248" s="55" t="str">
        <f>IFERROR(__xludf.DUMMYFUNCTION("""COMPUTED_VALUE"""),"The Dagger of Amon Ra")</f>
        <v>The Dagger of Amon Ra</v>
      </c>
      <c r="B248" s="55" t="str">
        <f>IFERROR(__xludf.DUMMYFUNCTION("""COMPUTED_VALUE"""),"Xbox / PC")</f>
        <v>Xbox / PC</v>
      </c>
      <c r="C248" s="55" t="str">
        <f>IFERROR(__xludf.DUMMYFUNCTION("""COMPUTED_VALUE"""),"Yes")</f>
        <v>Yes</v>
      </c>
      <c r="D248" s="56" t="str">
        <f>IFERROR(__xludf.DUMMYFUNCTION("""COMPUTED_VALUE"""),"Active")</f>
        <v>Active</v>
      </c>
      <c r="E248" s="57">
        <f>IFERROR(__xludf.DUMMYFUNCTION("""COMPUTED_VALUE"""),45798.0)</f>
        <v>45798</v>
      </c>
      <c r="F248" s="58"/>
      <c r="G248" s="60">
        <f>IFERROR(__xludf.DUMMYFUNCTION("""COMPUTED_VALUE"""),16.5)</f>
        <v>16.5</v>
      </c>
      <c r="H248" s="63">
        <f>IFERROR(__xludf.DUMMYFUNCTION("""COMPUTED_VALUE"""),33604.0)</f>
        <v>33604</v>
      </c>
      <c r="I248" s="60">
        <f>IFERROR(__xludf.DUMMYFUNCTION("""COMPUTED_VALUE"""),33.388888888888886)</f>
        <v>33.38888889</v>
      </c>
      <c r="J248" s="64">
        <f>IFERROR(__xludf.DUMMYFUNCTION("""COMPUTED_VALUE"""),73.0)</f>
        <v>73</v>
      </c>
      <c r="K248" s="64">
        <f>IFERROR(__xludf.DUMMYFUNCTION("""COMPUTED_VALUE"""),4.0)</f>
        <v>4</v>
      </c>
      <c r="L248" s="55" t="str">
        <f>IFERROR(__xludf.DUMMYFUNCTION("""COMPUTED_VALUE"""),"Action‑Adventure")</f>
        <v>Action‑Adventure</v>
      </c>
      <c r="M248" s="55"/>
      <c r="N248" s="55" t="str">
        <f>IFERROR(__xludf.DUMMYFUNCTION("""COMPUTED_VALUE"""),"Retro Classics: DOS, Sierra Entertainment (defunct) publisher")</f>
        <v>Retro Classics: DOS, Sierra Entertainment (defunct) publisher</v>
      </c>
      <c r="O248" s="55"/>
      <c r="P248" s="55"/>
      <c r="Q248" s="55"/>
      <c r="R248" s="56" t="str">
        <f>IFERROR(__xludf.DUMMYFUNCTION("""COMPUTED_VALUE"""),"Active")</f>
        <v>Active</v>
      </c>
      <c r="S248" s="57">
        <f>IFERROR(__xludf.DUMMYFUNCTION("""COMPUTED_VALUE"""),45798.0)</f>
        <v>45798</v>
      </c>
      <c r="T248" s="60">
        <f>IFERROR(__xludf.DUMMYFUNCTION("""COMPUTED_VALUE"""),0.0)</f>
        <v>0</v>
      </c>
    </row>
    <row r="249">
      <c r="A249" s="55" t="str">
        <f>IFERROR(__xludf.DUMMYFUNCTION("""COMPUTED_VALUE"""),"Thwocker")</f>
        <v>Thwocker</v>
      </c>
      <c r="B249" s="55" t="str">
        <f>IFERROR(__xludf.DUMMYFUNCTION("""COMPUTED_VALUE"""),"Xbox / PC")</f>
        <v>Xbox / PC</v>
      </c>
      <c r="C249" s="55" t="str">
        <f>IFERROR(__xludf.DUMMYFUNCTION("""COMPUTED_VALUE"""),"Yes")</f>
        <v>Yes</v>
      </c>
      <c r="D249" s="56" t="str">
        <f>IFERROR(__xludf.DUMMYFUNCTION("""COMPUTED_VALUE"""),"Active")</f>
        <v>Active</v>
      </c>
      <c r="E249" s="57">
        <f>IFERROR(__xludf.DUMMYFUNCTION("""COMPUTED_VALUE"""),45798.0)</f>
        <v>45798</v>
      </c>
      <c r="F249" s="58"/>
      <c r="G249" s="60">
        <f>IFERROR(__xludf.DUMMYFUNCTION("""COMPUTED_VALUE"""),16.5)</f>
        <v>16.5</v>
      </c>
      <c r="H249" s="63">
        <f>IFERROR(__xludf.DUMMYFUNCTION("""COMPUTED_VALUE"""),30682.0)</f>
        <v>30682</v>
      </c>
      <c r="I249" s="60">
        <f>IFERROR(__xludf.DUMMYFUNCTION("""COMPUTED_VALUE"""),41.388888888888886)</f>
        <v>41.38888889</v>
      </c>
      <c r="J249" s="64"/>
      <c r="K249" s="64"/>
      <c r="L249" s="55" t="str">
        <f>IFERROR(__xludf.DUMMYFUNCTION("""COMPUTED_VALUE"""),"Action")</f>
        <v>Action</v>
      </c>
      <c r="M249" s="55"/>
      <c r="N249" s="55" t="str">
        <f>IFERROR(__xludf.DUMMYFUNCTION("""COMPUTED_VALUE"""),"Retro Classics: Atari 2600")</f>
        <v>Retro Classics: Atari 2600</v>
      </c>
      <c r="O249" s="55"/>
      <c r="P249" s="55"/>
      <c r="Q249" s="55"/>
      <c r="R249" s="56" t="str">
        <f>IFERROR(__xludf.DUMMYFUNCTION("""COMPUTED_VALUE"""),"Active")</f>
        <v>Active</v>
      </c>
      <c r="S249" s="57">
        <f>IFERROR(__xludf.DUMMYFUNCTION("""COMPUTED_VALUE"""),45798.0)</f>
        <v>45798</v>
      </c>
      <c r="T249" s="60">
        <f>IFERROR(__xludf.DUMMYFUNCTION("""COMPUTED_VALUE"""),0.0)</f>
        <v>0</v>
      </c>
    </row>
    <row r="250">
      <c r="A250" s="55" t="str">
        <f>IFERROR(__xludf.DUMMYFUNCTION("""COMPUTED_VALUE"""),"Title Match Pro Wrestling")</f>
        <v>Title Match Pro Wrestling</v>
      </c>
      <c r="B250" s="55" t="str">
        <f>IFERROR(__xludf.DUMMYFUNCTION("""COMPUTED_VALUE"""),"Xbox / PC")</f>
        <v>Xbox / PC</v>
      </c>
      <c r="C250" s="55" t="str">
        <f>IFERROR(__xludf.DUMMYFUNCTION("""COMPUTED_VALUE"""),"Yes")</f>
        <v>Yes</v>
      </c>
      <c r="D250" s="56" t="str">
        <f>IFERROR(__xludf.DUMMYFUNCTION("""COMPUTED_VALUE"""),"Active")</f>
        <v>Active</v>
      </c>
      <c r="E250" s="57">
        <f>IFERROR(__xludf.DUMMYFUNCTION("""COMPUTED_VALUE"""),45798.0)</f>
        <v>45798</v>
      </c>
      <c r="F250" s="58"/>
      <c r="G250" s="60">
        <f>IFERROR(__xludf.DUMMYFUNCTION("""COMPUTED_VALUE"""),16.5)</f>
        <v>16.5</v>
      </c>
      <c r="H250" s="63">
        <f>IFERROR(__xludf.DUMMYFUNCTION("""COMPUTED_VALUE"""),31972.0)</f>
        <v>31972</v>
      </c>
      <c r="I250" s="60">
        <f>IFERROR(__xludf.DUMMYFUNCTION("""COMPUTED_VALUE"""),37.852777777777774)</f>
        <v>37.85277778</v>
      </c>
      <c r="J250" s="64">
        <f>IFERROR(__xludf.DUMMYFUNCTION("""COMPUTED_VALUE"""),50.0)</f>
        <v>50</v>
      </c>
      <c r="K250" s="64"/>
      <c r="L250" s="55" t="str">
        <f>IFERROR(__xludf.DUMMYFUNCTION("""COMPUTED_VALUE"""),"Sports")</f>
        <v>Sports</v>
      </c>
      <c r="M250" s="55"/>
      <c r="N250" s="55" t="str">
        <f>IFERROR(__xludf.DUMMYFUNCTION("""COMPUTED_VALUE"""),"Retro Classics: Atari 2600")</f>
        <v>Retro Classics: Atari 2600</v>
      </c>
      <c r="O250" s="55"/>
      <c r="P250" s="55"/>
      <c r="Q250" s="55"/>
      <c r="R250" s="56" t="str">
        <f>IFERROR(__xludf.DUMMYFUNCTION("""COMPUTED_VALUE"""),"Active")</f>
        <v>Active</v>
      </c>
      <c r="S250" s="57">
        <f>IFERROR(__xludf.DUMMYFUNCTION("""COMPUTED_VALUE"""),45798.0)</f>
        <v>45798</v>
      </c>
      <c r="T250" s="60">
        <f>IFERROR(__xludf.DUMMYFUNCTION("""COMPUTED_VALUE"""),0.0)</f>
        <v>0</v>
      </c>
    </row>
    <row r="251">
      <c r="A251" s="55" t="str">
        <f>IFERROR(__xludf.DUMMYFUNCTION("""COMPUTED_VALUE"""),"Torin's Passage")</f>
        <v>Torin's Passage</v>
      </c>
      <c r="B251" s="55" t="str">
        <f>IFERROR(__xludf.DUMMYFUNCTION("""COMPUTED_VALUE"""),"Xbox / PC")</f>
        <v>Xbox / PC</v>
      </c>
      <c r="C251" s="55" t="str">
        <f>IFERROR(__xludf.DUMMYFUNCTION("""COMPUTED_VALUE"""),"Yes")</f>
        <v>Yes</v>
      </c>
      <c r="D251" s="56" t="str">
        <f>IFERROR(__xludf.DUMMYFUNCTION("""COMPUTED_VALUE"""),"Active")</f>
        <v>Active</v>
      </c>
      <c r="E251" s="57">
        <f>IFERROR(__xludf.DUMMYFUNCTION("""COMPUTED_VALUE"""),45798.0)</f>
        <v>45798</v>
      </c>
      <c r="F251" s="58"/>
      <c r="G251" s="60">
        <f>IFERROR(__xludf.DUMMYFUNCTION("""COMPUTED_VALUE"""),16.5)</f>
        <v>16.5</v>
      </c>
      <c r="H251" s="63">
        <f>IFERROR(__xludf.DUMMYFUNCTION("""COMPUTED_VALUE"""),35003.0)</f>
        <v>35003</v>
      </c>
      <c r="I251" s="60">
        <f>IFERROR(__xludf.DUMMYFUNCTION("""COMPUTED_VALUE"""),29.558333333333334)</f>
        <v>29.55833333</v>
      </c>
      <c r="J251" s="64"/>
      <c r="K251" s="64">
        <f>IFERROR(__xludf.DUMMYFUNCTION("""COMPUTED_VALUE"""),4.0)</f>
        <v>4</v>
      </c>
      <c r="L251" s="55" t="str">
        <f>IFERROR(__xludf.DUMMYFUNCTION("""COMPUTED_VALUE"""),"Action‑Adventure")</f>
        <v>Action‑Adventure</v>
      </c>
      <c r="M251" s="55"/>
      <c r="N251" s="55" t="str">
        <f>IFERROR(__xludf.DUMMYFUNCTION("""COMPUTED_VALUE"""),"Retro Classics: DOS, Sierra Entertainment (defunct) publisher")</f>
        <v>Retro Classics: DOS, Sierra Entertainment (defunct) publisher</v>
      </c>
      <c r="O251" s="55"/>
      <c r="P251" s="55"/>
      <c r="Q251" s="55"/>
      <c r="R251" s="56" t="str">
        <f>IFERROR(__xludf.DUMMYFUNCTION("""COMPUTED_VALUE"""),"Active")</f>
        <v>Active</v>
      </c>
      <c r="S251" s="57">
        <f>IFERROR(__xludf.DUMMYFUNCTION("""COMPUTED_VALUE"""),45798.0)</f>
        <v>45798</v>
      </c>
      <c r="T251" s="60">
        <f>IFERROR(__xludf.DUMMYFUNCTION("""COMPUTED_VALUE"""),0.0)</f>
        <v>0</v>
      </c>
    </row>
    <row r="252">
      <c r="A252" s="55" t="str">
        <f>IFERROR(__xludf.DUMMYFUNCTION("""COMPUTED_VALUE"""),"Trick Shot")</f>
        <v>Trick Shot</v>
      </c>
      <c r="B252" s="55" t="str">
        <f>IFERROR(__xludf.DUMMYFUNCTION("""COMPUTED_VALUE"""),"Xbox / PC")</f>
        <v>Xbox / PC</v>
      </c>
      <c r="C252" s="55" t="str">
        <f>IFERROR(__xludf.DUMMYFUNCTION("""COMPUTED_VALUE"""),"Yes")</f>
        <v>Yes</v>
      </c>
      <c r="D252" s="56" t="str">
        <f>IFERROR(__xludf.DUMMYFUNCTION("""COMPUTED_VALUE"""),"Active")</f>
        <v>Active</v>
      </c>
      <c r="E252" s="57">
        <f>IFERROR(__xludf.DUMMYFUNCTION("""COMPUTED_VALUE"""),45798.0)</f>
        <v>45798</v>
      </c>
      <c r="F252" s="58"/>
      <c r="G252" s="60">
        <f>IFERROR(__xludf.DUMMYFUNCTION("""COMPUTED_VALUE"""),16.5)</f>
        <v>16.5</v>
      </c>
      <c r="H252" s="63">
        <f>IFERROR(__xludf.DUMMYFUNCTION("""COMPUTED_VALUE"""),29952.0)</f>
        <v>29952</v>
      </c>
      <c r="I252" s="60">
        <f>IFERROR(__xludf.DUMMYFUNCTION("""COMPUTED_VALUE"""),43.388888888888886)</f>
        <v>43.38888889</v>
      </c>
      <c r="J252" s="64">
        <f>IFERROR(__xludf.DUMMYFUNCTION("""COMPUTED_VALUE"""),60.0)</f>
        <v>60</v>
      </c>
      <c r="K252" s="64"/>
      <c r="L252" s="55" t="str">
        <f>IFERROR(__xludf.DUMMYFUNCTION("""COMPUTED_VALUE"""),"Sports")</f>
        <v>Sports</v>
      </c>
      <c r="M252" s="55"/>
      <c r="N252" s="55" t="str">
        <f>IFERROR(__xludf.DUMMYFUNCTION("""COMPUTED_VALUE"""),"Retro Classics: Atari 2600")</f>
        <v>Retro Classics: Atari 2600</v>
      </c>
      <c r="O252" s="55"/>
      <c r="P252" s="55"/>
      <c r="Q252" s="55"/>
      <c r="R252" s="56" t="str">
        <f>IFERROR(__xludf.DUMMYFUNCTION("""COMPUTED_VALUE"""),"Active")</f>
        <v>Active</v>
      </c>
      <c r="S252" s="57">
        <f>IFERROR(__xludf.DUMMYFUNCTION("""COMPUTED_VALUE"""),45798.0)</f>
        <v>45798</v>
      </c>
      <c r="T252" s="60">
        <f>IFERROR(__xludf.DUMMYFUNCTION("""COMPUTED_VALUE"""),0.0)</f>
        <v>0</v>
      </c>
    </row>
    <row r="253">
      <c r="A253" s="55" t="str">
        <f>IFERROR(__xludf.DUMMYFUNCTION("""COMPUTED_VALUE"""),"Vault Assault")</f>
        <v>Vault Assault</v>
      </c>
      <c r="B253" s="55" t="str">
        <f>IFERROR(__xludf.DUMMYFUNCTION("""COMPUTED_VALUE"""),"Xbox / PC")</f>
        <v>Xbox / PC</v>
      </c>
      <c r="C253" s="55" t="str">
        <f>IFERROR(__xludf.DUMMYFUNCTION("""COMPUTED_VALUE"""),"Yes")</f>
        <v>Yes</v>
      </c>
      <c r="D253" s="56" t="str">
        <f>IFERROR(__xludf.DUMMYFUNCTION("""COMPUTED_VALUE"""),"Active")</f>
        <v>Active</v>
      </c>
      <c r="E253" s="57">
        <f>IFERROR(__xludf.DUMMYFUNCTION("""COMPUTED_VALUE"""),45798.0)</f>
        <v>45798</v>
      </c>
      <c r="F253" s="58"/>
      <c r="G253" s="60">
        <f>IFERROR(__xludf.DUMMYFUNCTION("""COMPUTED_VALUE"""),16.5)</f>
        <v>16.5</v>
      </c>
      <c r="H253" s="63">
        <f>IFERROR(__xludf.DUMMYFUNCTION("""COMPUTED_VALUE"""),37114.0)</f>
        <v>37114</v>
      </c>
      <c r="I253" s="60">
        <f>IFERROR(__xludf.DUMMYFUNCTION("""COMPUTED_VALUE"""),23.77777777777778)</f>
        <v>23.77777778</v>
      </c>
      <c r="J253" s="64"/>
      <c r="K253" s="64"/>
      <c r="L253" s="55" t="str">
        <f>IFERROR(__xludf.DUMMYFUNCTION("""COMPUTED_VALUE"""),"Shooter")</f>
        <v>Shooter</v>
      </c>
      <c r="M253" s="55"/>
      <c r="N253" s="55" t="str">
        <f>IFERROR(__xludf.DUMMYFUNCTION("""COMPUTED_VALUE"""),"Retro Classics: Atari 2600")</f>
        <v>Retro Classics: Atari 2600</v>
      </c>
      <c r="O253" s="55"/>
      <c r="P253" s="55"/>
      <c r="Q253" s="55"/>
      <c r="R253" s="56" t="str">
        <f>IFERROR(__xludf.DUMMYFUNCTION("""COMPUTED_VALUE"""),"Active")</f>
        <v>Active</v>
      </c>
      <c r="S253" s="57">
        <f>IFERROR(__xludf.DUMMYFUNCTION("""COMPUTED_VALUE"""),45798.0)</f>
        <v>45798</v>
      </c>
      <c r="T253" s="60">
        <f>IFERROR(__xludf.DUMMYFUNCTION("""COMPUTED_VALUE"""),0.0)</f>
        <v>0</v>
      </c>
    </row>
    <row r="254">
      <c r="A254" s="55" t="str">
        <f>IFERROR(__xludf.DUMMYFUNCTION("""COMPUTED_VALUE"""),"Venetian Blinds")</f>
        <v>Venetian Blinds</v>
      </c>
      <c r="B254" s="55" t="str">
        <f>IFERROR(__xludf.DUMMYFUNCTION("""COMPUTED_VALUE"""),"Xbox / PC")</f>
        <v>Xbox / PC</v>
      </c>
      <c r="C254" s="55" t="str">
        <f>IFERROR(__xludf.DUMMYFUNCTION("""COMPUTED_VALUE"""),"Yes")</f>
        <v>Yes</v>
      </c>
      <c r="D254" s="56" t="str">
        <f>IFERROR(__xludf.DUMMYFUNCTION("""COMPUTED_VALUE"""),"Active")</f>
        <v>Active</v>
      </c>
      <c r="E254" s="57">
        <f>IFERROR(__xludf.DUMMYFUNCTION("""COMPUTED_VALUE"""),45798.0)</f>
        <v>45798</v>
      </c>
      <c r="F254" s="58"/>
      <c r="G254" s="60">
        <f>IFERROR(__xludf.DUMMYFUNCTION("""COMPUTED_VALUE"""),16.5)</f>
        <v>16.5</v>
      </c>
      <c r="H254" s="63">
        <f>IFERROR(__xludf.DUMMYFUNCTION("""COMPUTED_VALUE"""),37622.0)</f>
        <v>37622</v>
      </c>
      <c r="I254" s="60">
        <f>IFERROR(__xludf.DUMMYFUNCTION("""COMPUTED_VALUE"""),22.38888888888889)</f>
        <v>22.38888889</v>
      </c>
      <c r="J254" s="64"/>
      <c r="K254" s="64"/>
      <c r="L254" s="55" t="str">
        <f>IFERROR(__xludf.DUMMYFUNCTION("""COMPUTED_VALUE"""),"Simulation")</f>
        <v>Simulation</v>
      </c>
      <c r="M254" s="55"/>
      <c r="N254" s="55" t="str">
        <f>IFERROR(__xludf.DUMMYFUNCTION("""COMPUTED_VALUE"""),"Retro Classics: Atari 2600")</f>
        <v>Retro Classics: Atari 2600</v>
      </c>
      <c r="O254" s="55"/>
      <c r="P254" s="55"/>
      <c r="Q254" s="55"/>
      <c r="R254" s="56" t="str">
        <f>IFERROR(__xludf.DUMMYFUNCTION("""COMPUTED_VALUE"""),"Active")</f>
        <v>Active</v>
      </c>
      <c r="S254" s="57">
        <f>IFERROR(__xludf.DUMMYFUNCTION("""COMPUTED_VALUE"""),45798.0)</f>
        <v>45798</v>
      </c>
      <c r="T254" s="60">
        <f>IFERROR(__xludf.DUMMYFUNCTION("""COMPUTED_VALUE"""),0.0)</f>
        <v>0</v>
      </c>
    </row>
    <row r="255">
      <c r="A255" s="55" t="str">
        <f>IFERROR(__xludf.DUMMYFUNCTION("""COMPUTED_VALUE"""),"Zork I: The Great Underground")</f>
        <v>Zork I: The Great Underground</v>
      </c>
      <c r="B255" s="55" t="str">
        <f>IFERROR(__xludf.DUMMYFUNCTION("""COMPUTED_VALUE"""),"Xbox / PC")</f>
        <v>Xbox / PC</v>
      </c>
      <c r="C255" s="55" t="str">
        <f>IFERROR(__xludf.DUMMYFUNCTION("""COMPUTED_VALUE"""),"Yes")</f>
        <v>Yes</v>
      </c>
      <c r="D255" s="56" t="str">
        <f>IFERROR(__xludf.DUMMYFUNCTION("""COMPUTED_VALUE"""),"Active")</f>
        <v>Active</v>
      </c>
      <c r="E255" s="57">
        <f>IFERROR(__xludf.DUMMYFUNCTION("""COMPUTED_VALUE"""),45798.0)</f>
        <v>45798</v>
      </c>
      <c r="F255" s="58"/>
      <c r="G255" s="60">
        <f>IFERROR(__xludf.DUMMYFUNCTION("""COMPUTED_VALUE"""),16.5)</f>
        <v>16.5</v>
      </c>
      <c r="H255" s="63">
        <f>IFERROR(__xludf.DUMMYFUNCTION("""COMPUTED_VALUE"""),29342.0)</f>
        <v>29342</v>
      </c>
      <c r="I255" s="60">
        <f>IFERROR(__xludf.DUMMYFUNCTION("""COMPUTED_VALUE"""),45.05555555555556)</f>
        <v>45.05555556</v>
      </c>
      <c r="J255" s="64">
        <f>IFERROR(__xludf.DUMMYFUNCTION("""COMPUTED_VALUE"""),86.0)</f>
        <v>86</v>
      </c>
      <c r="K255" s="64">
        <f>IFERROR(__xludf.DUMMYFUNCTION("""COMPUTED_VALUE"""),4.0)</f>
        <v>4</v>
      </c>
      <c r="L255" s="55" t="str">
        <f>IFERROR(__xludf.DUMMYFUNCTION("""COMPUTED_VALUE"""),"Action‑Adventure")</f>
        <v>Action‑Adventure</v>
      </c>
      <c r="M255" s="55"/>
      <c r="N255" s="55" t="str">
        <f>IFERROR(__xludf.DUMMYFUNCTION("""COMPUTED_VALUE"""),"Retro Classics: DOS")</f>
        <v>Retro Classics: DOS</v>
      </c>
      <c r="O255" s="55"/>
      <c r="P255" s="55"/>
      <c r="Q255" s="55"/>
      <c r="R255" s="56" t="str">
        <f>IFERROR(__xludf.DUMMYFUNCTION("""COMPUTED_VALUE"""),"Active")</f>
        <v>Active</v>
      </c>
      <c r="S255" s="57">
        <f>IFERROR(__xludf.DUMMYFUNCTION("""COMPUTED_VALUE"""),45798.0)</f>
        <v>45798</v>
      </c>
      <c r="T255" s="60">
        <f>IFERROR(__xludf.DUMMYFUNCTION("""COMPUTED_VALUE"""),0.0)</f>
        <v>0</v>
      </c>
    </row>
    <row r="256">
      <c r="A256" s="55" t="str">
        <f>IFERROR(__xludf.DUMMYFUNCTION("""COMPUTED_VALUE"""),"Zork Zero: The Revenge of Megaboz")</f>
        <v>Zork Zero: The Revenge of Megaboz</v>
      </c>
      <c r="B256" s="55" t="str">
        <f>IFERROR(__xludf.DUMMYFUNCTION("""COMPUTED_VALUE"""),"Xbox / PC")</f>
        <v>Xbox / PC</v>
      </c>
      <c r="C256" s="55" t="str">
        <f>IFERROR(__xludf.DUMMYFUNCTION("""COMPUTED_VALUE"""),"Yes")</f>
        <v>Yes</v>
      </c>
      <c r="D256" s="56" t="str">
        <f>IFERROR(__xludf.DUMMYFUNCTION("""COMPUTED_VALUE"""),"Active")</f>
        <v>Active</v>
      </c>
      <c r="E256" s="57">
        <f>IFERROR(__xludf.DUMMYFUNCTION("""COMPUTED_VALUE"""),45798.0)</f>
        <v>45798</v>
      </c>
      <c r="F256" s="58"/>
      <c r="G256" s="60">
        <f>IFERROR(__xludf.DUMMYFUNCTION("""COMPUTED_VALUE"""),16.5)</f>
        <v>16.5</v>
      </c>
      <c r="H256" s="63">
        <f>IFERROR(__xludf.DUMMYFUNCTION("""COMPUTED_VALUE"""),32435.0)</f>
        <v>32435</v>
      </c>
      <c r="I256" s="60">
        <f>IFERROR(__xludf.DUMMYFUNCTION("""COMPUTED_VALUE"""),36.58888888888889)</f>
        <v>36.58888889</v>
      </c>
      <c r="J256" s="64"/>
      <c r="K256" s="64">
        <f>IFERROR(__xludf.DUMMYFUNCTION("""COMPUTED_VALUE"""),7.0)</f>
        <v>7</v>
      </c>
      <c r="L256" s="55" t="str">
        <f>IFERROR(__xludf.DUMMYFUNCTION("""COMPUTED_VALUE"""),"Action‑Adventure")</f>
        <v>Action‑Adventure</v>
      </c>
      <c r="M256" s="55"/>
      <c r="N256" s="55" t="str">
        <f>IFERROR(__xludf.DUMMYFUNCTION("""COMPUTED_VALUE"""),"Retro Classics: DOS")</f>
        <v>Retro Classics: DOS</v>
      </c>
      <c r="O256" s="55"/>
      <c r="P256" s="55"/>
      <c r="Q256" s="55"/>
      <c r="R256" s="56" t="str">
        <f>IFERROR(__xludf.DUMMYFUNCTION("""COMPUTED_VALUE"""),"Active")</f>
        <v>Active</v>
      </c>
      <c r="S256" s="57">
        <f>IFERROR(__xludf.DUMMYFUNCTION("""COMPUTED_VALUE"""),45798.0)</f>
        <v>45798</v>
      </c>
      <c r="T256" s="60">
        <f>IFERROR(__xludf.DUMMYFUNCTION("""COMPUTED_VALUE"""),0.0)</f>
        <v>0</v>
      </c>
    </row>
    <row r="257">
      <c r="A257" s="55" t="str">
        <f>IFERROR(__xludf.DUMMYFUNCTION("""COMPUTED_VALUE"""),"Firefighting Simulator: The Squad")</f>
        <v>Firefighting Simulator: The Squad</v>
      </c>
      <c r="B257" s="55" t="str">
        <f>IFERROR(__xludf.DUMMYFUNCTION("""COMPUTED_VALUE"""),"Xbox / PC")</f>
        <v>Xbox / PC</v>
      </c>
      <c r="C257" s="55" t="str">
        <f>IFERROR(__xludf.DUMMYFUNCTION("""COMPUTED_VALUE"""),"Yes")</f>
        <v>Yes</v>
      </c>
      <c r="D257" s="56" t="str">
        <f>IFERROR(__xludf.DUMMYFUNCTION("""COMPUTED_VALUE"""),"Active")</f>
        <v>Active</v>
      </c>
      <c r="E257" s="57">
        <f>IFERROR(__xludf.DUMMYFUNCTION("""COMPUTED_VALUE"""),45797.0)</f>
        <v>45797</v>
      </c>
      <c r="F257" s="58"/>
      <c r="G257" s="60">
        <f>IFERROR(__xludf.DUMMYFUNCTION("""COMPUTED_VALUE"""),16.53333333333333)</f>
        <v>16.53333333</v>
      </c>
      <c r="H257" s="63">
        <f>IFERROR(__xludf.DUMMYFUNCTION("""COMPUTED_VALUE"""),44901.0)</f>
        <v>44901</v>
      </c>
      <c r="I257" s="60">
        <f>IFERROR(__xludf.DUMMYFUNCTION("""COMPUTED_VALUE"""),2.4555555555555557)</f>
        <v>2.455555556</v>
      </c>
      <c r="J257" s="64">
        <f>IFERROR(__xludf.DUMMYFUNCTION("""COMPUTED_VALUE"""),60.0)</f>
        <v>60</v>
      </c>
      <c r="K257" s="64">
        <f>IFERROR(__xludf.DUMMYFUNCTION("""COMPUTED_VALUE"""),10.0)</f>
        <v>10</v>
      </c>
      <c r="L257" s="55" t="str">
        <f>IFERROR(__xludf.DUMMYFUNCTION("""COMPUTED_VALUE"""),"Simulation")</f>
        <v>Simulation</v>
      </c>
      <c r="M257" s="55"/>
      <c r="N257" s="55"/>
      <c r="O257" s="55"/>
      <c r="P257" s="55"/>
      <c r="Q257" s="55"/>
      <c r="R257" s="56" t="str">
        <f>IFERROR(__xludf.DUMMYFUNCTION("""COMPUTED_VALUE"""),"Active")</f>
        <v>Active</v>
      </c>
      <c r="S257" s="57">
        <f>IFERROR(__xludf.DUMMYFUNCTION("""COMPUTED_VALUE"""),45797.0)</f>
        <v>45797</v>
      </c>
      <c r="T257" s="60">
        <f>IFERROR(__xludf.DUMMYFUNCTION("""COMPUTED_VALUE"""),0.0)</f>
        <v>0</v>
      </c>
    </row>
    <row r="258">
      <c r="A258" s="55" t="str">
        <f>IFERROR(__xludf.DUMMYFUNCTION("""COMPUTED_VALUE"""),"Police Simulator: Patrol Officers")</f>
        <v>Police Simulator: Patrol Officers</v>
      </c>
      <c r="B258" s="55" t="str">
        <f>IFERROR(__xludf.DUMMYFUNCTION("""COMPUTED_VALUE"""),"Xbox / PC")</f>
        <v>Xbox / PC</v>
      </c>
      <c r="C258" s="55" t="str">
        <f>IFERROR(__xludf.DUMMYFUNCTION("""COMPUTED_VALUE"""),"Yes")</f>
        <v>Yes</v>
      </c>
      <c r="D258" s="56" t="str">
        <f>IFERROR(__xludf.DUMMYFUNCTION("""COMPUTED_VALUE"""),"Active")</f>
        <v>Active</v>
      </c>
      <c r="E258" s="57">
        <f>IFERROR(__xludf.DUMMYFUNCTION("""COMPUTED_VALUE"""),45797.0)</f>
        <v>45797</v>
      </c>
      <c r="F258" s="58"/>
      <c r="G258" s="60">
        <f>IFERROR(__xludf.DUMMYFUNCTION("""COMPUTED_VALUE"""),16.53333333333333)</f>
        <v>16.53333333</v>
      </c>
      <c r="H258" s="63">
        <f>IFERROR(__xludf.DUMMYFUNCTION("""COMPUTED_VALUE"""),44875.0)</f>
        <v>44875</v>
      </c>
      <c r="I258" s="60">
        <f>IFERROR(__xludf.DUMMYFUNCTION("""COMPUTED_VALUE"""),2.5277777777777777)</f>
        <v>2.527777778</v>
      </c>
      <c r="J258" s="64">
        <f>IFERROR(__xludf.DUMMYFUNCTION("""COMPUTED_VALUE"""),58.0)</f>
        <v>58</v>
      </c>
      <c r="K258" s="64">
        <f>IFERROR(__xludf.DUMMYFUNCTION("""COMPUTED_VALUE"""),16.0)</f>
        <v>16</v>
      </c>
      <c r="L258" s="55" t="str">
        <f>IFERROR(__xludf.DUMMYFUNCTION("""COMPUTED_VALUE"""),"Simulation")</f>
        <v>Simulation</v>
      </c>
      <c r="M258" s="55"/>
      <c r="N258" s="55"/>
      <c r="O258" s="55"/>
      <c r="P258" s="55"/>
      <c r="Q258" s="55"/>
      <c r="R258" s="56" t="str">
        <f>IFERROR(__xludf.DUMMYFUNCTION("""COMPUTED_VALUE"""),"Active")</f>
        <v>Active</v>
      </c>
      <c r="S258" s="57">
        <f>IFERROR(__xludf.DUMMYFUNCTION("""COMPUTED_VALUE"""),45797.0)</f>
        <v>45797</v>
      </c>
      <c r="T258" s="60">
        <f>IFERROR(__xludf.DUMMYFUNCTION("""COMPUTED_VALUE"""),0.0)</f>
        <v>0</v>
      </c>
    </row>
    <row r="259">
      <c r="A259" s="55" t="str">
        <f>IFERROR(__xludf.DUMMYFUNCTION("""COMPUTED_VALUE"""),"Warhammer: Vermintide 2")</f>
        <v>Warhammer: Vermintide 2</v>
      </c>
      <c r="B259" s="55" t="str">
        <f>IFERROR(__xludf.DUMMYFUNCTION("""COMPUTED_VALUE"""),"Xbox")</f>
        <v>Xbox</v>
      </c>
      <c r="C259" s="55" t="str">
        <f>IFERROR(__xludf.DUMMYFUNCTION("""COMPUTED_VALUE"""),"Yes")</f>
        <v>Yes</v>
      </c>
      <c r="D259" s="56" t="str">
        <f>IFERROR(__xludf.DUMMYFUNCTION("""COMPUTED_VALUE"""),"Active")</f>
        <v>Active</v>
      </c>
      <c r="E259" s="57">
        <f>IFERROR(__xludf.DUMMYFUNCTION("""COMPUTED_VALUE"""),45790.0)</f>
        <v>45790</v>
      </c>
      <c r="F259" s="58"/>
      <c r="G259" s="60">
        <f>IFERROR(__xludf.DUMMYFUNCTION("""COMPUTED_VALUE"""),16.766666666666666)</f>
        <v>16.76666667</v>
      </c>
      <c r="H259" s="63">
        <f>IFERROR(__xludf.DUMMYFUNCTION("""COMPUTED_VALUE"""),43167.0)</f>
        <v>43167</v>
      </c>
      <c r="I259" s="60">
        <f>IFERROR(__xludf.DUMMYFUNCTION("""COMPUTED_VALUE"""),7.180555555555555)</f>
        <v>7.180555556</v>
      </c>
      <c r="J259" s="64">
        <f>IFERROR(__xludf.DUMMYFUNCTION("""COMPUTED_VALUE"""),83.0)</f>
        <v>83</v>
      </c>
      <c r="K259" s="64">
        <f>IFERROR(__xludf.DUMMYFUNCTION("""COMPUTED_VALUE"""),20.0)</f>
        <v>20</v>
      </c>
      <c r="L259" s="55" t="str">
        <f>IFERROR(__xludf.DUMMYFUNCTION("""COMPUTED_VALUE"""),"Shooter")</f>
        <v>Shooter</v>
      </c>
      <c r="M259" s="55" t="str">
        <f>IFERROR(__xludf.DUMMYFUNCTION("""COMPUTED_VALUE"""),"Optimized")</f>
        <v>Optimized</v>
      </c>
      <c r="N259" s="55" t="str">
        <f>IFERROR(__xludf.DUMMYFUNCTION("""COMPUTED_VALUE"""),"Game Pass Essential (4/8/26). Returning title: joined 9/24/20, left 9/30/21. Left 7/1/19")</f>
        <v>Game Pass Essential (4/8/26). Returning title: joined 9/24/20, left 9/30/21. Left 7/1/19</v>
      </c>
      <c r="O259" s="55"/>
      <c r="P259" s="55"/>
      <c r="Q259" s="55"/>
      <c r="R259" s="56" t="str">
        <f>IFERROR(__xludf.DUMMYFUNCTION("""COMPUTED_VALUE"""),"Active")</f>
        <v>Active</v>
      </c>
      <c r="S259" s="57">
        <f>IFERROR(__xludf.DUMMYFUNCTION("""COMPUTED_VALUE"""),45790.0)</f>
        <v>45790</v>
      </c>
      <c r="T259" s="60">
        <f>IFERROR(__xludf.DUMMYFUNCTION("""COMPUTED_VALUE"""),0.0)</f>
        <v>0</v>
      </c>
    </row>
    <row r="260">
      <c r="A260" s="55" t="str">
        <f>IFERROR(__xludf.DUMMYFUNCTION("""COMPUTED_VALUE"""),"DREDGE")</f>
        <v>DREDGE</v>
      </c>
      <c r="B260" s="55" t="str">
        <f>IFERROR(__xludf.DUMMYFUNCTION("""COMPUTED_VALUE"""),"Xbox / PC")</f>
        <v>Xbox / PC</v>
      </c>
      <c r="C260" s="55" t="str">
        <f>IFERROR(__xludf.DUMMYFUNCTION("""COMPUTED_VALUE"""),"Yes")</f>
        <v>Yes</v>
      </c>
      <c r="D260" s="56" t="str">
        <f>IFERROR(__xludf.DUMMYFUNCTION("""COMPUTED_VALUE"""),"Active")</f>
        <v>Active</v>
      </c>
      <c r="E260" s="57">
        <f>IFERROR(__xludf.DUMMYFUNCTION("""COMPUTED_VALUE"""),45783.0)</f>
        <v>45783</v>
      </c>
      <c r="F260" s="58"/>
      <c r="G260" s="60">
        <f>IFERROR(__xludf.DUMMYFUNCTION("""COMPUTED_VALUE"""),17.0)</f>
        <v>17</v>
      </c>
      <c r="H260" s="63">
        <f>IFERROR(__xludf.DUMMYFUNCTION("""COMPUTED_VALUE"""),45015.0)</f>
        <v>45015</v>
      </c>
      <c r="I260" s="60">
        <f>IFERROR(__xludf.DUMMYFUNCTION("""COMPUTED_VALUE"""),2.1)</f>
        <v>2.1</v>
      </c>
      <c r="J260" s="64">
        <f>IFERROR(__xludf.DUMMYFUNCTION("""COMPUTED_VALUE"""),80.0)</f>
        <v>80</v>
      </c>
      <c r="K260" s="64">
        <f>IFERROR(__xludf.DUMMYFUNCTION("""COMPUTED_VALUE"""),10.0)</f>
        <v>10</v>
      </c>
      <c r="L260" s="55" t="str">
        <f>IFERROR(__xludf.DUMMYFUNCTION("""COMPUTED_VALUE"""),"Action-Adventure")</f>
        <v>Action-Adventure</v>
      </c>
      <c r="M260" s="55" t="str">
        <f>IFERROR(__xludf.DUMMYFUNCTION("""COMPUTED_VALUE"""),"Exclusive")</f>
        <v>Exclusive</v>
      </c>
      <c r="N260" s="55"/>
      <c r="O260" s="55"/>
      <c r="P260" s="55"/>
      <c r="Q260" s="55"/>
      <c r="R260" s="56" t="str">
        <f>IFERROR(__xludf.DUMMYFUNCTION("""COMPUTED_VALUE"""),"Active")</f>
        <v>Active</v>
      </c>
      <c r="S260" s="57">
        <f>IFERROR(__xludf.DUMMYFUNCTION("""COMPUTED_VALUE"""),45783.0)</f>
        <v>45783</v>
      </c>
      <c r="T260" s="60">
        <f>IFERROR(__xludf.DUMMYFUNCTION("""COMPUTED_VALUE"""),0.0)</f>
        <v>0</v>
      </c>
    </row>
    <row r="261">
      <c r="A261" s="55" t="str">
        <f>IFERROR(__xludf.DUMMYFUNCTION("""COMPUTED_VALUE"""),"Anno 1800")</f>
        <v>Anno 1800</v>
      </c>
      <c r="B261" s="55" t="str">
        <f>IFERROR(__xludf.DUMMYFUNCTION("""COMPUTED_VALUE"""),"Xbox / PC")</f>
        <v>Xbox / PC</v>
      </c>
      <c r="C261" s="55" t="str">
        <f>IFERROR(__xludf.DUMMYFUNCTION("""COMPUTED_VALUE"""),"Yes")</f>
        <v>Yes</v>
      </c>
      <c r="D261" s="56" t="str">
        <f>IFERROR(__xludf.DUMMYFUNCTION("""COMPUTED_VALUE"""),"Active")</f>
        <v>Active</v>
      </c>
      <c r="E261" s="57">
        <f>IFERROR(__xludf.DUMMYFUNCTION("""COMPUTED_VALUE"""),45778.0)</f>
        <v>45778</v>
      </c>
      <c r="F261" s="58"/>
      <c r="G261" s="60">
        <f>IFERROR(__xludf.DUMMYFUNCTION("""COMPUTED_VALUE"""),17.166666666666668)</f>
        <v>17.16666667</v>
      </c>
      <c r="H261" s="63">
        <f>IFERROR(__xludf.DUMMYFUNCTION("""COMPUTED_VALUE"""),43571.0)</f>
        <v>43571</v>
      </c>
      <c r="I261" s="60">
        <f>IFERROR(__xludf.DUMMYFUNCTION("""COMPUTED_VALUE"""),6.041666666666667)</f>
        <v>6.041666667</v>
      </c>
      <c r="J261" s="64">
        <f>IFERROR(__xludf.DUMMYFUNCTION("""COMPUTED_VALUE"""),81.0)</f>
        <v>81</v>
      </c>
      <c r="K261" s="64">
        <f>IFERROR(__xludf.DUMMYFUNCTION("""COMPUTED_VALUE"""),15.0)</f>
        <v>15</v>
      </c>
      <c r="L261" s="55" t="str">
        <f>IFERROR(__xludf.DUMMYFUNCTION("""COMPUTED_VALUE"""),"Management")</f>
        <v>Management</v>
      </c>
      <c r="M261" s="55" t="str">
        <f>IFERROR(__xludf.DUMMYFUNCTION("""COMPUTED_VALUE"""),"Exclusive")</f>
        <v>Exclusive</v>
      </c>
      <c r="N261" s="55"/>
      <c r="O261" s="55"/>
      <c r="P261" s="55"/>
      <c r="Q261" s="55"/>
      <c r="R261" s="56" t="str">
        <f>IFERROR(__xludf.DUMMYFUNCTION("""COMPUTED_VALUE"""),"Active")</f>
        <v>Active</v>
      </c>
      <c r="S261" s="57">
        <f>IFERROR(__xludf.DUMMYFUNCTION("""COMPUTED_VALUE"""),45778.0)</f>
        <v>45778</v>
      </c>
      <c r="T261" s="60">
        <f>IFERROR(__xludf.DUMMYFUNCTION("""COMPUTED_VALUE"""),0.0)</f>
        <v>0</v>
      </c>
    </row>
    <row r="262">
      <c r="A262" s="55" t="str">
        <f>IFERROR(__xludf.DUMMYFUNCTION("""COMPUTED_VALUE"""),"Far Cry 4")</f>
        <v>Far Cry 4</v>
      </c>
      <c r="B262" s="55" t="str">
        <f>IFERROR(__xludf.DUMMYFUNCTION("""COMPUTED_VALUE"""),"Xbox / PC")</f>
        <v>Xbox / PC</v>
      </c>
      <c r="C262" s="55" t="str">
        <f>IFERROR(__xludf.DUMMYFUNCTION("""COMPUTED_VALUE"""),"Yes")</f>
        <v>Yes</v>
      </c>
      <c r="D262" s="56" t="str">
        <f>IFERROR(__xludf.DUMMYFUNCTION("""COMPUTED_VALUE"""),"Active")</f>
        <v>Active</v>
      </c>
      <c r="E262" s="57">
        <f>IFERROR(__xludf.DUMMYFUNCTION("""COMPUTED_VALUE"""),45777.0)</f>
        <v>45777</v>
      </c>
      <c r="F262" s="58"/>
      <c r="G262" s="60">
        <f>IFERROR(__xludf.DUMMYFUNCTION("""COMPUTED_VALUE"""),17.2)</f>
        <v>17.2</v>
      </c>
      <c r="H262" s="63">
        <f>IFERROR(__xludf.DUMMYFUNCTION("""COMPUTED_VALUE"""),41961.0)</f>
        <v>41961</v>
      </c>
      <c r="I262" s="60">
        <f>IFERROR(__xludf.DUMMYFUNCTION("""COMPUTED_VALUE"""),10.45)</f>
        <v>10.45</v>
      </c>
      <c r="J262" s="64">
        <f>IFERROR(__xludf.DUMMYFUNCTION("""COMPUTED_VALUE"""),85.0)</f>
        <v>85</v>
      </c>
      <c r="K262" s="64">
        <f>IFERROR(__xludf.DUMMYFUNCTION("""COMPUTED_VALUE"""),18.0)</f>
        <v>18</v>
      </c>
      <c r="L262" s="55" t="str">
        <f>IFERROR(__xludf.DUMMYFUNCTION("""COMPUTED_VALUE"""),"Shooter")</f>
        <v>Shooter</v>
      </c>
      <c r="M262" s="55"/>
      <c r="N262" s="55"/>
      <c r="O262" s="55"/>
      <c r="P262" s="55"/>
      <c r="Q262" s="55"/>
      <c r="R262" s="56" t="str">
        <f>IFERROR(__xludf.DUMMYFUNCTION("""COMPUTED_VALUE"""),"Active")</f>
        <v>Active</v>
      </c>
      <c r="S262" s="57">
        <f>IFERROR(__xludf.DUMMYFUNCTION("""COMPUTED_VALUE"""),45777.0)</f>
        <v>45777</v>
      </c>
      <c r="T262" s="60">
        <f>IFERROR(__xludf.DUMMYFUNCTION("""COMPUTED_VALUE"""),0.0)</f>
        <v>0</v>
      </c>
    </row>
    <row r="263">
      <c r="A263" s="55" t="str">
        <f>IFERROR(__xludf.DUMMYFUNCTION("""COMPUTED_VALUE"""),"SpongeBob SquarePants: The Patrick Star Game")</f>
        <v>SpongeBob SquarePants: The Patrick Star Game</v>
      </c>
      <c r="B263" s="55" t="str">
        <f>IFERROR(__xludf.DUMMYFUNCTION("""COMPUTED_VALUE"""),"Xbox / PC")</f>
        <v>Xbox / PC</v>
      </c>
      <c r="C263" s="55" t="str">
        <f>IFERROR(__xludf.DUMMYFUNCTION("""COMPUTED_VALUE"""),"Yes")</f>
        <v>Yes</v>
      </c>
      <c r="D263" s="56" t="str">
        <f>IFERROR(__xludf.DUMMYFUNCTION("""COMPUTED_VALUE"""),"Active")</f>
        <v>Active</v>
      </c>
      <c r="E263" s="57">
        <f>IFERROR(__xludf.DUMMYFUNCTION("""COMPUTED_VALUE"""),45763.0)</f>
        <v>45763</v>
      </c>
      <c r="F263" s="58"/>
      <c r="G263" s="60">
        <f>IFERROR(__xludf.DUMMYFUNCTION("""COMPUTED_VALUE"""),17.666666666666668)</f>
        <v>17.66666667</v>
      </c>
      <c r="H263" s="63">
        <f>IFERROR(__xludf.DUMMYFUNCTION("""COMPUTED_VALUE"""),45569.0)</f>
        <v>45569</v>
      </c>
      <c r="I263" s="60">
        <f>IFERROR(__xludf.DUMMYFUNCTION("""COMPUTED_VALUE"""),0.5333333333333333)</f>
        <v>0.5333333333</v>
      </c>
      <c r="J263" s="64">
        <f>IFERROR(__xludf.DUMMYFUNCTION("""COMPUTED_VALUE"""),67.0)</f>
        <v>67</v>
      </c>
      <c r="K263" s="64">
        <f>IFERROR(__xludf.DUMMYFUNCTION("""COMPUTED_VALUE"""),4.0)</f>
        <v>4</v>
      </c>
      <c r="L263" s="55" t="str">
        <f>IFERROR(__xludf.DUMMYFUNCTION("""COMPUTED_VALUE"""),"Platformer")</f>
        <v>Platformer</v>
      </c>
      <c r="M263" s="55"/>
      <c r="N263" s="55"/>
      <c r="O263" s="55"/>
      <c r="P263" s="55"/>
      <c r="Q263" s="55"/>
      <c r="R263" s="56" t="str">
        <f>IFERROR(__xludf.DUMMYFUNCTION("""COMPUTED_VALUE"""),"Active")</f>
        <v>Active</v>
      </c>
      <c r="S263" s="57">
        <f>IFERROR(__xludf.DUMMYFUNCTION("""COMPUTED_VALUE"""),45763.0)</f>
        <v>45763</v>
      </c>
      <c r="T263" s="60">
        <f>IFERROR(__xludf.DUMMYFUNCTION("""COMPUTED_VALUE"""),0.0)</f>
        <v>0</v>
      </c>
    </row>
    <row r="264">
      <c r="A264" s="55" t="str">
        <f>IFERROR(__xludf.DUMMYFUNCTION("""COMPUTED_VALUE"""),"Diablo III: Reaper of Souls - Ultimate Evil Edition")</f>
        <v>Diablo III: Reaper of Souls - Ultimate Evil Edition</v>
      </c>
      <c r="B264" s="55" t="str">
        <f>IFERROR(__xludf.DUMMYFUNCTION("""COMPUTED_VALUE"""),"Xbox / PC")</f>
        <v>Xbox / PC</v>
      </c>
      <c r="C264" s="55"/>
      <c r="D264" s="56" t="str">
        <f>IFERROR(__xludf.DUMMYFUNCTION("""COMPUTED_VALUE"""),"Active")</f>
        <v>Active</v>
      </c>
      <c r="E264" s="57">
        <f>IFERROR(__xludf.DUMMYFUNCTION("""COMPUTED_VALUE"""),45755.0)</f>
        <v>45755</v>
      </c>
      <c r="F264" s="58"/>
      <c r="G264" s="60">
        <f>IFERROR(__xludf.DUMMYFUNCTION("""COMPUTED_VALUE"""),17.933333333333334)</f>
        <v>17.93333333</v>
      </c>
      <c r="H264" s="63">
        <f>IFERROR(__xludf.DUMMYFUNCTION("""COMPUTED_VALUE"""),41870.0)</f>
        <v>41870</v>
      </c>
      <c r="I264" s="60">
        <f>IFERROR(__xludf.DUMMYFUNCTION("""COMPUTED_VALUE"""),10.636111111111111)</f>
        <v>10.63611111</v>
      </c>
      <c r="J264" s="64">
        <f>IFERROR(__xludf.DUMMYFUNCTION("""COMPUTED_VALUE"""),90.0)</f>
        <v>90</v>
      </c>
      <c r="K264" s="64">
        <f>IFERROR(__xludf.DUMMYFUNCTION("""COMPUTED_VALUE"""),19.0)</f>
        <v>19</v>
      </c>
      <c r="L264" s="55" t="str">
        <f>IFERROR(__xludf.DUMMYFUNCTION("""COMPUTED_VALUE"""),"RPG")</f>
        <v>RPG</v>
      </c>
      <c r="M264" s="55"/>
      <c r="N264" s="55"/>
      <c r="O264" s="55"/>
      <c r="P264" s="55"/>
      <c r="Q264" s="55"/>
      <c r="R264" s="56" t="str">
        <f>IFERROR(__xludf.DUMMYFUNCTION("""COMPUTED_VALUE"""),"Active")</f>
        <v>Active</v>
      </c>
      <c r="S264" s="57">
        <f>IFERROR(__xludf.DUMMYFUNCTION("""COMPUTED_VALUE"""),45755.0)</f>
        <v>45755</v>
      </c>
      <c r="T264" s="60">
        <f>IFERROR(__xludf.DUMMYFUNCTION("""COMPUTED_VALUE"""),0.0)</f>
        <v>0</v>
      </c>
    </row>
    <row r="265">
      <c r="A265" s="55" t="str">
        <f>IFERROR(__xludf.DUMMYFUNCTION("""COMPUTED_VALUE"""),"Blizzard Arcade Collection")</f>
        <v>Blizzard Arcade Collection</v>
      </c>
      <c r="B265" s="55" t="str">
        <f>IFERROR(__xludf.DUMMYFUNCTION("""COMPUTED_VALUE"""),"Xbox / PC")</f>
        <v>Xbox / PC</v>
      </c>
      <c r="C265" s="55" t="str">
        <f>IFERROR(__xludf.DUMMYFUNCTION("""COMPUTED_VALUE"""),"Yes")</f>
        <v>Yes</v>
      </c>
      <c r="D265" s="56" t="str">
        <f>IFERROR(__xludf.DUMMYFUNCTION("""COMPUTED_VALUE"""),"Active")</f>
        <v>Active</v>
      </c>
      <c r="E265" s="57">
        <f>IFERROR(__xludf.DUMMYFUNCTION("""COMPUTED_VALUE"""),45741.0)</f>
        <v>45741</v>
      </c>
      <c r="F265" s="58"/>
      <c r="G265" s="60">
        <f>IFERROR(__xludf.DUMMYFUNCTION("""COMPUTED_VALUE"""),18.366666666666667)</f>
        <v>18.36666667</v>
      </c>
      <c r="H265" s="63">
        <f>IFERROR(__xludf.DUMMYFUNCTION("""COMPUTED_VALUE"""),44246.0)</f>
        <v>44246</v>
      </c>
      <c r="I265" s="60">
        <f>IFERROR(__xludf.DUMMYFUNCTION("""COMPUTED_VALUE"""),4.1)</f>
        <v>4.1</v>
      </c>
      <c r="J265" s="64">
        <f>IFERROR(__xludf.DUMMYFUNCTION("""COMPUTED_VALUE"""),75.0)</f>
        <v>75</v>
      </c>
      <c r="K265" s="64">
        <f>IFERROR(__xludf.DUMMYFUNCTION("""COMPUTED_VALUE"""),5.0)</f>
        <v>5</v>
      </c>
      <c r="L265" s="55" t="str">
        <f>IFERROR(__xludf.DUMMYFUNCTION("""COMPUTED_VALUE"""),"Compilation")</f>
        <v>Compilation</v>
      </c>
      <c r="M265" s="55"/>
      <c r="N265" s="55" t="str">
        <f>IFERROR(__xludf.DUMMYFUNCTION("""COMPUTED_VALUE"""),"Blackthorne, The Lost Vikings, The Lost Vikings 2, Rock N Roll Racing, RPM Racing")</f>
        <v>Blackthorne, The Lost Vikings, The Lost Vikings 2, Rock N Roll Racing, RPM Racing</v>
      </c>
      <c r="O265" s="55"/>
      <c r="P265" s="55"/>
      <c r="Q265" s="55"/>
      <c r="R265" s="56" t="str">
        <f>IFERROR(__xludf.DUMMYFUNCTION("""COMPUTED_VALUE"""),"Active")</f>
        <v>Active</v>
      </c>
      <c r="S265" s="57">
        <f>IFERROR(__xludf.DUMMYFUNCTION("""COMPUTED_VALUE"""),45741.0)</f>
        <v>45741</v>
      </c>
      <c r="T265" s="60">
        <f>IFERROR(__xludf.DUMMYFUNCTION("""COMPUTED_VALUE"""),0.0)</f>
        <v>0</v>
      </c>
    </row>
    <row r="266">
      <c r="A266" s="55" t="str">
        <f>IFERROR(__xludf.DUMMYFUNCTION("""COMPUTED_VALUE"""),"Watch Dogs: Legion")</f>
        <v>Watch Dogs: Legion</v>
      </c>
      <c r="B266" s="55" t="str">
        <f>IFERROR(__xludf.DUMMYFUNCTION("""COMPUTED_VALUE"""),"Xbox / PC")</f>
        <v>Xbox / PC</v>
      </c>
      <c r="C266" s="55" t="str">
        <f>IFERROR(__xludf.DUMMYFUNCTION("""COMPUTED_VALUE"""),"Yes")</f>
        <v>Yes</v>
      </c>
      <c r="D266" s="56" t="str">
        <f>IFERROR(__xludf.DUMMYFUNCTION("""COMPUTED_VALUE"""),"Active")</f>
        <v>Active</v>
      </c>
      <c r="E266" s="57">
        <f>IFERROR(__xludf.DUMMYFUNCTION("""COMPUTED_VALUE"""),45713.0)</f>
        <v>45713</v>
      </c>
      <c r="F266" s="58"/>
      <c r="G266" s="60">
        <f>IFERROR(__xludf.DUMMYFUNCTION("""COMPUTED_VALUE"""),19.366666666666667)</f>
        <v>19.36666667</v>
      </c>
      <c r="H266" s="63">
        <f>IFERROR(__xludf.DUMMYFUNCTION("""COMPUTED_VALUE"""),44133.0)</f>
        <v>44133</v>
      </c>
      <c r="I266" s="60">
        <f>IFERROR(__xludf.DUMMYFUNCTION("""COMPUTED_VALUE"""),4.322222222222222)</f>
        <v>4.322222222</v>
      </c>
      <c r="J266" s="64">
        <f>IFERROR(__xludf.DUMMYFUNCTION("""COMPUTED_VALUE"""),76.0)</f>
        <v>76</v>
      </c>
      <c r="K266" s="64">
        <f>IFERROR(__xludf.DUMMYFUNCTION("""COMPUTED_VALUE"""),18.0)</f>
        <v>18</v>
      </c>
      <c r="L266" s="55" t="str">
        <f>IFERROR(__xludf.DUMMYFUNCTION("""COMPUTED_VALUE"""),"Action-Adventure")</f>
        <v>Action-Adventure</v>
      </c>
      <c r="M266" s="55"/>
      <c r="N266" s="55"/>
      <c r="O266" s="55"/>
      <c r="P266" s="55"/>
      <c r="Q266" s="55"/>
      <c r="R266" s="56" t="str">
        <f>IFERROR(__xludf.DUMMYFUNCTION("""COMPUTED_VALUE"""),"Active")</f>
        <v>Active</v>
      </c>
      <c r="S266" s="57">
        <f>IFERROR(__xludf.DUMMYFUNCTION("""COMPUTED_VALUE"""),45713.0)</f>
        <v>45713</v>
      </c>
      <c r="T266" s="60">
        <f>IFERROR(__xludf.DUMMYFUNCTION("""COMPUTED_VALUE"""),0.0)</f>
        <v>0</v>
      </c>
    </row>
    <row r="267">
      <c r="A267" s="55" t="str">
        <f>IFERROR(__xludf.DUMMYFUNCTION("""COMPUTED_VALUE"""),"Balatro")</f>
        <v>Balatro</v>
      </c>
      <c r="B267" s="55" t="str">
        <f>IFERROR(__xludf.DUMMYFUNCTION("""COMPUTED_VALUE"""),"Xbox / PC")</f>
        <v>Xbox / PC</v>
      </c>
      <c r="C267" s="55" t="str">
        <f>IFERROR(__xludf.DUMMYFUNCTION("""COMPUTED_VALUE"""),"Yes")</f>
        <v>Yes</v>
      </c>
      <c r="D267" s="56" t="str">
        <f>IFERROR(__xludf.DUMMYFUNCTION("""COMPUTED_VALUE"""),"Active")</f>
        <v>Active</v>
      </c>
      <c r="E267" s="57">
        <f>IFERROR(__xludf.DUMMYFUNCTION("""COMPUTED_VALUE"""),45712.0)</f>
        <v>45712</v>
      </c>
      <c r="F267" s="58"/>
      <c r="G267" s="60">
        <f>IFERROR(__xludf.DUMMYFUNCTION("""COMPUTED_VALUE"""),19.4)</f>
        <v>19.4</v>
      </c>
      <c r="H267" s="63">
        <f>IFERROR(__xludf.DUMMYFUNCTION("""COMPUTED_VALUE"""),45616.0)</f>
        <v>45616</v>
      </c>
      <c r="I267" s="60">
        <f>IFERROR(__xludf.DUMMYFUNCTION("""COMPUTED_VALUE"""),0.2611111111111111)</f>
        <v>0.2611111111</v>
      </c>
      <c r="J267" s="64">
        <f>IFERROR(__xludf.DUMMYFUNCTION("""COMPUTED_VALUE"""),90.0)</f>
        <v>90</v>
      </c>
      <c r="K267" s="64">
        <f>IFERROR(__xludf.DUMMYFUNCTION("""COMPUTED_VALUE"""),7.0)</f>
        <v>7</v>
      </c>
      <c r="L267" s="55" t="str">
        <f>IFERROR(__xludf.DUMMYFUNCTION("""COMPUTED_VALUE"""),"Card Battle")</f>
        <v>Card Battle</v>
      </c>
      <c r="M267" s="55"/>
      <c r="N267" s="55"/>
      <c r="O267" s="55"/>
      <c r="P267" s="55"/>
      <c r="Q267" s="55"/>
      <c r="R267" s="56" t="str">
        <f>IFERROR(__xludf.DUMMYFUNCTION("""COMPUTED_VALUE"""),"Active")</f>
        <v>Active</v>
      </c>
      <c r="S267" s="57">
        <f>IFERROR(__xludf.DUMMYFUNCTION("""COMPUTED_VALUE"""),45712.0)</f>
        <v>45712</v>
      </c>
      <c r="T267" s="60">
        <f>IFERROR(__xludf.DUMMYFUNCTION("""COMPUTED_VALUE"""),0.0)</f>
        <v>0</v>
      </c>
    </row>
    <row r="268">
      <c r="A268" s="55" t="str">
        <f>IFERROR(__xludf.DUMMYFUNCTION("""COMPUTED_VALUE"""),"Warhammer 40,000: Rogue Trader")</f>
        <v>Warhammer 40,000: Rogue Trader</v>
      </c>
      <c r="B268" s="55" t="str">
        <f>IFERROR(__xludf.DUMMYFUNCTION("""COMPUTED_VALUE"""),"Xbox / PC")</f>
        <v>Xbox / PC</v>
      </c>
      <c r="C268" s="55" t="str">
        <f>IFERROR(__xludf.DUMMYFUNCTION("""COMPUTED_VALUE"""),"Yes")</f>
        <v>Yes</v>
      </c>
      <c r="D268" s="56" t="str">
        <f>IFERROR(__xludf.DUMMYFUNCTION("""COMPUTED_VALUE"""),"Active")</f>
        <v>Active</v>
      </c>
      <c r="E268" s="57">
        <f>IFERROR(__xludf.DUMMYFUNCTION("""COMPUTED_VALUE"""),45708.0)</f>
        <v>45708</v>
      </c>
      <c r="F268" s="58"/>
      <c r="G268" s="60">
        <f>IFERROR(__xludf.DUMMYFUNCTION("""COMPUTED_VALUE"""),19.53333333333333)</f>
        <v>19.53333333</v>
      </c>
      <c r="H268" s="63">
        <f>IFERROR(__xludf.DUMMYFUNCTION("""COMPUTED_VALUE"""),45559.0)</f>
        <v>45559</v>
      </c>
      <c r="I268" s="60">
        <f>IFERROR(__xludf.DUMMYFUNCTION("""COMPUTED_VALUE"""),0.40555555555555556)</f>
        <v>0.4055555556</v>
      </c>
      <c r="J268" s="64">
        <f>IFERROR(__xludf.DUMMYFUNCTION("""COMPUTED_VALUE"""),86.0)</f>
        <v>86</v>
      </c>
      <c r="K268" s="64">
        <f>IFERROR(__xludf.DUMMYFUNCTION("""COMPUTED_VALUE"""),65.0)</f>
        <v>65</v>
      </c>
      <c r="L268" s="55" t="str">
        <f>IFERROR(__xludf.DUMMYFUNCTION("""COMPUTED_VALUE"""),"RPG")</f>
        <v>RPG</v>
      </c>
      <c r="M268" s="55" t="str">
        <f>IFERROR(__xludf.DUMMYFUNCTION("""COMPUTED_VALUE"""),"Exclusive")</f>
        <v>Exclusive</v>
      </c>
      <c r="N268" s="55"/>
      <c r="O268" s="55"/>
      <c r="P268" s="55"/>
      <c r="Q268" s="55"/>
      <c r="R268" s="56" t="str">
        <f>IFERROR(__xludf.DUMMYFUNCTION("""COMPUTED_VALUE"""),"Active")</f>
        <v>Active</v>
      </c>
      <c r="S268" s="57">
        <f>IFERROR(__xludf.DUMMYFUNCTION("""COMPUTED_VALUE"""),45708.0)</f>
        <v>45708</v>
      </c>
      <c r="T268" s="60">
        <f>IFERROR(__xludf.DUMMYFUNCTION("""COMPUTED_VALUE"""),0.0)</f>
        <v>0</v>
      </c>
    </row>
    <row r="269">
      <c r="A269" s="55" t="str">
        <f>IFERROR(__xludf.DUMMYFUNCTION("""COMPUTED_VALUE"""),"Starfield")</f>
        <v>Starfield</v>
      </c>
      <c r="B269" s="55" t="str">
        <f>IFERROR(__xludf.DUMMYFUNCTION("""COMPUTED_VALUE"""),"Xbox / PC")</f>
        <v>Xbox / PC</v>
      </c>
      <c r="C269" s="55" t="str">
        <f>IFERROR(__xludf.DUMMYFUNCTION("""COMPUTED_VALUE"""),"Yes")</f>
        <v>Yes</v>
      </c>
      <c r="D269" s="56" t="str">
        <f>IFERROR(__xludf.DUMMYFUNCTION("""COMPUTED_VALUE"""),"Active")</f>
        <v>Active</v>
      </c>
      <c r="E269" s="57">
        <f>IFERROR(__xludf.DUMMYFUNCTION("""COMPUTED_VALUE"""),45175.0)</f>
        <v>45175</v>
      </c>
      <c r="F269" s="58"/>
      <c r="G269" s="60">
        <f>IFERROR(__xludf.DUMMYFUNCTION("""COMPUTED_VALUE"""),37.0)</f>
        <v>37</v>
      </c>
      <c r="H269" s="63">
        <f>IFERROR(__xludf.DUMMYFUNCTION("""COMPUTED_VALUE"""),45175.0)</f>
        <v>45175</v>
      </c>
      <c r="I269" s="60">
        <f>IFERROR(__xludf.DUMMYFUNCTION("""COMPUTED_VALUE"""),0.0)</f>
        <v>0</v>
      </c>
      <c r="J269" s="64">
        <f>IFERROR(__xludf.DUMMYFUNCTION("""COMPUTED_VALUE"""),84.0)</f>
        <v>84</v>
      </c>
      <c r="K269" s="64">
        <f>IFERROR(__xludf.DUMMYFUNCTION("""COMPUTED_VALUE"""),20.0)</f>
        <v>20</v>
      </c>
      <c r="L269" s="55" t="str">
        <f>IFERROR(__xludf.DUMMYFUNCTION("""COMPUTED_VALUE"""),"RPG")</f>
        <v>RPG</v>
      </c>
      <c r="M269" s="55" t="str">
        <f>IFERROR(__xludf.DUMMYFUNCTION("""COMPUTED_VALUE"""),"Exclusive")</f>
        <v>Exclusive</v>
      </c>
      <c r="N269" s="55"/>
      <c r="O269" s="55" t="str">
        <f>IFERROR(__xludf.DUMMYFUNCTION("""COMPUTED_VALUE"""),"M")</f>
        <v>M</v>
      </c>
      <c r="P269" s="55" t="str">
        <f>IFERROR(__xludf.DUMMYFUNCTION("""COMPUTED_VALUE"""),"Blood, Strong Language, Suggestive Themes, Use of Drugs, Violence")</f>
        <v>Blood, Strong Language, Suggestive Themes, Use of Drugs, Violence</v>
      </c>
      <c r="Q269" s="55"/>
      <c r="R269" s="56" t="str">
        <f>IFERROR(__xludf.DUMMYFUNCTION("""COMPUTED_VALUE"""),"Active")</f>
        <v>Active</v>
      </c>
      <c r="S269" s="57">
        <f>IFERROR(__xludf.DUMMYFUNCTION("""COMPUTED_VALUE"""),45693.0)</f>
        <v>45693</v>
      </c>
      <c r="T269" s="60">
        <f>IFERROR(__xludf.DUMMYFUNCTION("""COMPUTED_VALUE"""),16.96666666666667)</f>
        <v>16.96666667</v>
      </c>
    </row>
    <row r="270">
      <c r="A270" s="55" t="str">
        <f>IFERROR(__xludf.DUMMYFUNCTION("""COMPUTED_VALUE"""),"Far Cry: New Dawn")</f>
        <v>Far Cry: New Dawn</v>
      </c>
      <c r="B270" s="55" t="str">
        <f>IFERROR(__xludf.DUMMYFUNCTION("""COMPUTED_VALUE"""),"Xbox / PC")</f>
        <v>Xbox / PC</v>
      </c>
      <c r="C270" s="55" t="str">
        <f>IFERROR(__xludf.DUMMYFUNCTION("""COMPUTED_VALUE"""),"Yes")</f>
        <v>Yes</v>
      </c>
      <c r="D270" s="56" t="str">
        <f>IFERROR(__xludf.DUMMYFUNCTION("""COMPUTED_VALUE"""),"Active")</f>
        <v>Active</v>
      </c>
      <c r="E270" s="57">
        <f>IFERROR(__xludf.DUMMYFUNCTION("""COMPUTED_VALUE"""),45692.0)</f>
        <v>45692</v>
      </c>
      <c r="F270" s="58"/>
      <c r="G270" s="60">
        <f>IFERROR(__xludf.DUMMYFUNCTION("""COMPUTED_VALUE"""),20.066666666666666)</f>
        <v>20.06666667</v>
      </c>
      <c r="H270" s="63">
        <f>IFERROR(__xludf.DUMMYFUNCTION("""COMPUTED_VALUE"""),43511.0)</f>
        <v>43511</v>
      </c>
      <c r="I270" s="60">
        <f>IFERROR(__xludf.DUMMYFUNCTION("""COMPUTED_VALUE"""),5.969444444444444)</f>
        <v>5.969444444</v>
      </c>
      <c r="J270" s="64">
        <f>IFERROR(__xludf.DUMMYFUNCTION("""COMPUTED_VALUE"""),71.0)</f>
        <v>71</v>
      </c>
      <c r="K270" s="64">
        <f>IFERROR(__xludf.DUMMYFUNCTION("""COMPUTED_VALUE"""),11.0)</f>
        <v>11</v>
      </c>
      <c r="L270" s="55" t="str">
        <f>IFERROR(__xludf.DUMMYFUNCTION("""COMPUTED_VALUE"""),"Shooter")</f>
        <v>Shooter</v>
      </c>
      <c r="M270" s="55"/>
      <c r="N270" s="55"/>
      <c r="O270" s="55"/>
      <c r="P270" s="55"/>
      <c r="Q270" s="55"/>
      <c r="R270" s="56" t="str">
        <f>IFERROR(__xludf.DUMMYFUNCTION("""COMPUTED_VALUE"""),"Active")</f>
        <v>Active</v>
      </c>
      <c r="S270" s="57">
        <f>IFERROR(__xludf.DUMMYFUNCTION("""COMPUTED_VALUE"""),45692.0)</f>
        <v>45692</v>
      </c>
      <c r="T270" s="60">
        <f>IFERROR(__xludf.DUMMYFUNCTION("""COMPUTED_VALUE"""),0.0)</f>
        <v>0</v>
      </c>
    </row>
    <row r="271">
      <c r="A271" s="55" t="str">
        <f>IFERROR(__xludf.DUMMYFUNCTION("""COMPUTED_VALUE"""),"Crash Team Racing: Nitro-Fueled")</f>
        <v>Crash Team Racing: Nitro-Fueled</v>
      </c>
      <c r="B271" s="55" t="str">
        <f>IFERROR(__xludf.DUMMYFUNCTION("""COMPUTED_VALUE"""),"Xbox")</f>
        <v>Xbox</v>
      </c>
      <c r="C271" s="55"/>
      <c r="D271" s="56" t="str">
        <f>IFERROR(__xludf.DUMMYFUNCTION("""COMPUTED_VALUE"""),"Active")</f>
        <v>Active</v>
      </c>
      <c r="E271" s="57">
        <f>IFERROR(__xludf.DUMMYFUNCTION("""COMPUTED_VALUE"""),45630.0)</f>
        <v>45630</v>
      </c>
      <c r="F271" s="58"/>
      <c r="G271" s="60">
        <f>IFERROR(__xludf.DUMMYFUNCTION("""COMPUTED_VALUE"""),22.066666666666666)</f>
        <v>22.06666667</v>
      </c>
      <c r="H271" s="63">
        <f>IFERROR(__xludf.DUMMYFUNCTION("""COMPUTED_VALUE"""),43637.0)</f>
        <v>43637</v>
      </c>
      <c r="I271" s="60">
        <f>IFERROR(__xludf.DUMMYFUNCTION("""COMPUTED_VALUE"""),5.4527777777777775)</f>
        <v>5.452777778</v>
      </c>
      <c r="J271" s="64">
        <f>IFERROR(__xludf.DUMMYFUNCTION("""COMPUTED_VALUE"""),83.0)</f>
        <v>83</v>
      </c>
      <c r="K271" s="64">
        <f>IFERROR(__xludf.DUMMYFUNCTION("""COMPUTED_VALUE"""),6.0)</f>
        <v>6</v>
      </c>
      <c r="L271" s="55" t="str">
        <f>IFERROR(__xludf.DUMMYFUNCTION("""COMPUTED_VALUE"""),"Racing")</f>
        <v>Racing</v>
      </c>
      <c r="M271" s="55"/>
      <c r="N271" s="55" t="str">
        <f>IFERROR(__xludf.DUMMYFUNCTION("""COMPUTED_VALUE"""),"Game Pass Essential (12/4/24)")</f>
        <v>Game Pass Essential (12/4/24)</v>
      </c>
      <c r="O271" s="55"/>
      <c r="P271" s="55"/>
      <c r="Q271" s="55"/>
      <c r="R271" s="56" t="str">
        <f>IFERROR(__xludf.DUMMYFUNCTION("""COMPUTED_VALUE"""),"Active")</f>
        <v>Active</v>
      </c>
      <c r="S271" s="57">
        <f>IFERROR(__xludf.DUMMYFUNCTION("""COMPUTED_VALUE"""),45630.0)</f>
        <v>45630</v>
      </c>
      <c r="T271" s="60">
        <f>IFERROR(__xludf.DUMMYFUNCTION("""COMPUTED_VALUE"""),0.0)</f>
        <v>0</v>
      </c>
    </row>
    <row r="272">
      <c r="A272" s="55" t="str">
        <f>IFERROR(__xludf.DUMMYFUNCTION("""COMPUTED_VALUE"""),"Forza Motorsport (2023)")</f>
        <v>Forza Motorsport (2023)</v>
      </c>
      <c r="B272" s="55" t="str">
        <f>IFERROR(__xludf.DUMMYFUNCTION("""COMPUTED_VALUE"""),"Xbox / PC")</f>
        <v>Xbox / PC</v>
      </c>
      <c r="C272" s="55" t="str">
        <f>IFERROR(__xludf.DUMMYFUNCTION("""COMPUTED_VALUE"""),"Yes")</f>
        <v>Yes</v>
      </c>
      <c r="D272" s="56" t="str">
        <f>IFERROR(__xludf.DUMMYFUNCTION("""COMPUTED_VALUE"""),"Active")</f>
        <v>Active</v>
      </c>
      <c r="E272" s="57">
        <f>IFERROR(__xludf.DUMMYFUNCTION("""COMPUTED_VALUE"""),45209.0)</f>
        <v>45209</v>
      </c>
      <c r="F272" s="58"/>
      <c r="G272" s="60">
        <f>IFERROR(__xludf.DUMMYFUNCTION("""COMPUTED_VALUE"""),35.86666666666667)</f>
        <v>35.86666667</v>
      </c>
      <c r="H272" s="63">
        <f>IFERROR(__xludf.DUMMYFUNCTION("""COMPUTED_VALUE"""),45209.0)</f>
        <v>45209</v>
      </c>
      <c r="I272" s="60">
        <f>IFERROR(__xludf.DUMMYFUNCTION("""COMPUTED_VALUE"""),0.0)</f>
        <v>0</v>
      </c>
      <c r="J272" s="64">
        <f>IFERROR(__xludf.DUMMYFUNCTION("""COMPUTED_VALUE"""),85.0)</f>
        <v>85</v>
      </c>
      <c r="K272" s="64">
        <f>IFERROR(__xludf.DUMMYFUNCTION("""COMPUTED_VALUE"""),8.0)</f>
        <v>8</v>
      </c>
      <c r="L272" s="55" t="str">
        <f>IFERROR(__xludf.DUMMYFUNCTION("""COMPUTED_VALUE"""),"Racing")</f>
        <v>Racing</v>
      </c>
      <c r="M272" s="55" t="str">
        <f>IFERROR(__xludf.DUMMYFUNCTION("""COMPUTED_VALUE"""),"Exclusive")</f>
        <v>Exclusive</v>
      </c>
      <c r="N272" s="55"/>
      <c r="O272" s="55" t="str">
        <f>IFERROR(__xludf.DUMMYFUNCTION("""COMPUTED_VALUE"""),"RP")</f>
        <v>RP</v>
      </c>
      <c r="P272" s="55"/>
      <c r="Q272" s="55"/>
      <c r="R272" s="56" t="str">
        <f>IFERROR(__xludf.DUMMYFUNCTION("""COMPUTED_VALUE"""),"Active")</f>
        <v>Active</v>
      </c>
      <c r="S272" s="57">
        <f>IFERROR(__xludf.DUMMYFUNCTION("""COMPUTED_VALUE"""),45630.0)</f>
        <v>45630</v>
      </c>
      <c r="T272" s="60">
        <f>IFERROR(__xludf.DUMMYFUNCTION("""COMPUTED_VALUE"""),13.799999999999999)</f>
        <v>13.8</v>
      </c>
    </row>
    <row r="273">
      <c r="A273" s="55" t="str">
        <f>IFERROR(__xludf.DUMMYFUNCTION("""COMPUTED_VALUE"""),"Aliens: Dark Descent")</f>
        <v>Aliens: Dark Descent</v>
      </c>
      <c r="B273" s="55" t="str">
        <f>IFERROR(__xludf.DUMMYFUNCTION("""COMPUTED_VALUE"""),"Xbox / PC")</f>
        <v>Xbox / PC</v>
      </c>
      <c r="C273" s="55" t="str">
        <f>IFERROR(__xludf.DUMMYFUNCTION("""COMPUTED_VALUE"""),"Yes")</f>
        <v>Yes</v>
      </c>
      <c r="D273" s="56" t="str">
        <f>IFERROR(__xludf.DUMMYFUNCTION("""COMPUTED_VALUE"""),"Active")</f>
        <v>Active</v>
      </c>
      <c r="E273" s="57">
        <f>IFERROR(__xludf.DUMMYFUNCTION("""COMPUTED_VALUE"""),45623.0)</f>
        <v>45623</v>
      </c>
      <c r="F273" s="58"/>
      <c r="G273" s="60">
        <f>IFERROR(__xludf.DUMMYFUNCTION("""COMPUTED_VALUE"""),22.3)</f>
        <v>22.3</v>
      </c>
      <c r="H273" s="63">
        <f>IFERROR(__xludf.DUMMYFUNCTION("""COMPUTED_VALUE"""),45097.0)</f>
        <v>45097</v>
      </c>
      <c r="I273" s="60">
        <f>IFERROR(__xludf.DUMMYFUNCTION("""COMPUTED_VALUE"""),1.4361111111111111)</f>
        <v>1.436111111</v>
      </c>
      <c r="J273" s="64">
        <f>IFERROR(__xludf.DUMMYFUNCTION("""COMPUTED_VALUE"""),75.0)</f>
        <v>75</v>
      </c>
      <c r="K273" s="64">
        <f>IFERROR(__xludf.DUMMYFUNCTION("""COMPUTED_VALUE"""),24.0)</f>
        <v>24</v>
      </c>
      <c r="L273" s="55" t="str">
        <f>IFERROR(__xludf.DUMMYFUNCTION("""COMPUTED_VALUE"""),"Strategy")</f>
        <v>Strategy</v>
      </c>
      <c r="M273" s="55"/>
      <c r="N273" s="55"/>
      <c r="O273" s="55"/>
      <c r="P273" s="55"/>
      <c r="Q273" s="55"/>
      <c r="R273" s="56" t="str">
        <f>IFERROR(__xludf.DUMMYFUNCTION("""COMPUTED_VALUE"""),"Active")</f>
        <v>Active</v>
      </c>
      <c r="S273" s="57">
        <f>IFERROR(__xludf.DUMMYFUNCTION("""COMPUTED_VALUE"""),45623.0)</f>
        <v>45623</v>
      </c>
      <c r="T273" s="60">
        <f>IFERROR(__xludf.DUMMYFUNCTION("""COMPUTED_VALUE"""),0.0)</f>
        <v>0</v>
      </c>
    </row>
    <row r="274">
      <c r="A274" s="55" t="str">
        <f>IFERROR(__xludf.DUMMYFUNCTION("""COMPUTED_VALUE"""),"Little Kitty, Big City")</f>
        <v>Little Kitty, Big City</v>
      </c>
      <c r="B274" s="55" t="str">
        <f>IFERROR(__xludf.DUMMYFUNCTION("""COMPUTED_VALUE"""),"Xbox / PC")</f>
        <v>Xbox / PC</v>
      </c>
      <c r="C274" s="55" t="str">
        <f>IFERROR(__xludf.DUMMYFUNCTION("""COMPUTED_VALUE"""),"Yes")</f>
        <v>Yes</v>
      </c>
      <c r="D274" s="56" t="str">
        <f>IFERROR(__xludf.DUMMYFUNCTION("""COMPUTED_VALUE"""),"Active")</f>
        <v>Active</v>
      </c>
      <c r="E274" s="57">
        <f>IFERROR(__xludf.DUMMYFUNCTION("""COMPUTED_VALUE"""),45421.0)</f>
        <v>45421</v>
      </c>
      <c r="F274" s="58"/>
      <c r="G274" s="60">
        <f>IFERROR(__xludf.DUMMYFUNCTION("""COMPUTED_VALUE"""),28.9)</f>
        <v>28.9</v>
      </c>
      <c r="H274" s="63">
        <f>IFERROR(__xludf.DUMMYFUNCTION("""COMPUTED_VALUE"""),45421.0)</f>
        <v>45421</v>
      </c>
      <c r="I274" s="60">
        <f>IFERROR(__xludf.DUMMYFUNCTION("""COMPUTED_VALUE"""),0.0)</f>
        <v>0</v>
      </c>
      <c r="J274" s="64">
        <f>IFERROR(__xludf.DUMMYFUNCTION("""COMPUTED_VALUE"""),79.0)</f>
        <v>79</v>
      </c>
      <c r="K274" s="64">
        <f>IFERROR(__xludf.DUMMYFUNCTION("""COMPUTED_VALUE"""),3.0)</f>
        <v>3</v>
      </c>
      <c r="L274" s="55" t="str">
        <f>IFERROR(__xludf.DUMMYFUNCTION("""COMPUTED_VALUE"""),"Action-Adventure")</f>
        <v>Action-Adventure</v>
      </c>
      <c r="M274" s="55"/>
      <c r="N274" s="55"/>
      <c r="O274" s="55" t="str">
        <f>IFERROR(__xludf.DUMMYFUNCTION("""COMPUTED_VALUE"""),"RP")</f>
        <v>RP</v>
      </c>
      <c r="P274" s="55"/>
      <c r="Q274" s="55"/>
      <c r="R274" s="56" t="str">
        <f>IFERROR(__xludf.DUMMYFUNCTION("""COMPUTED_VALUE"""),"Active")</f>
        <v>Active</v>
      </c>
      <c r="S274" s="57">
        <f>IFERROR(__xludf.DUMMYFUNCTION("""COMPUTED_VALUE"""),45616.0)</f>
        <v>45616</v>
      </c>
      <c r="T274" s="60">
        <f>IFERROR(__xludf.DUMMYFUNCTION("""COMPUTED_VALUE"""),6.366666666666667)</f>
        <v>6.366666667</v>
      </c>
    </row>
    <row r="275">
      <c r="A275" s="55" t="str">
        <f>IFERROR(__xludf.DUMMYFUNCTION("""COMPUTED_VALUE"""),"PlateUp!")</f>
        <v>PlateUp!</v>
      </c>
      <c r="B275" s="55" t="str">
        <f>IFERROR(__xludf.DUMMYFUNCTION("""COMPUTED_VALUE"""),"Xbox / PC")</f>
        <v>Xbox / PC</v>
      </c>
      <c r="C275" s="55" t="str">
        <f>IFERROR(__xludf.DUMMYFUNCTION("""COMPUTED_VALUE"""),"Yes")</f>
        <v>Yes</v>
      </c>
      <c r="D275" s="56" t="str">
        <f>IFERROR(__xludf.DUMMYFUNCTION("""COMPUTED_VALUE"""),"Active")</f>
        <v>Active</v>
      </c>
      <c r="E275" s="57">
        <f>IFERROR(__xludf.DUMMYFUNCTION("""COMPUTED_VALUE"""),45337.0)</f>
        <v>45337</v>
      </c>
      <c r="F275" s="58"/>
      <c r="G275" s="60">
        <f>IFERROR(__xludf.DUMMYFUNCTION("""COMPUTED_VALUE"""),31.7)</f>
        <v>31.7</v>
      </c>
      <c r="H275" s="63">
        <f>IFERROR(__xludf.DUMMYFUNCTION("""COMPUTED_VALUE"""),44777.0)</f>
        <v>44777</v>
      </c>
      <c r="I275" s="60">
        <f>IFERROR(__xludf.DUMMYFUNCTION("""COMPUTED_VALUE"""),1.5305555555555554)</f>
        <v>1.530555556</v>
      </c>
      <c r="J275" s="64">
        <f>IFERROR(__xludf.DUMMYFUNCTION("""COMPUTED_VALUE"""),73.0)</f>
        <v>73</v>
      </c>
      <c r="K275" s="64">
        <f>IFERROR(__xludf.DUMMYFUNCTION("""COMPUTED_VALUE"""),19.0)</f>
        <v>19</v>
      </c>
      <c r="L275" s="55" t="str">
        <f>IFERROR(__xludf.DUMMYFUNCTION("""COMPUTED_VALUE"""),"Strategy")</f>
        <v>Strategy</v>
      </c>
      <c r="M275" s="55"/>
      <c r="N275" s="55"/>
      <c r="O275" s="55" t="str">
        <f>IFERROR(__xludf.DUMMYFUNCTION("""COMPUTED_VALUE"""),"E")</f>
        <v>E</v>
      </c>
      <c r="P275" s="55" t="str">
        <f>IFERROR(__xludf.DUMMYFUNCTION("""COMPUTED_VALUE"""),"Alcohol Reference")</f>
        <v>Alcohol Reference</v>
      </c>
      <c r="Q275" s="55"/>
      <c r="R275" s="56" t="str">
        <f>IFERROR(__xludf.DUMMYFUNCTION("""COMPUTED_VALUE"""),"Active")</f>
        <v>Active</v>
      </c>
      <c r="S275" s="57">
        <f>IFERROR(__xludf.DUMMYFUNCTION("""COMPUTED_VALUE"""),45616.0)</f>
        <v>45616</v>
      </c>
      <c r="T275" s="60">
        <f>IFERROR(__xludf.DUMMYFUNCTION("""COMPUTED_VALUE"""),9.166666666666666)</f>
        <v>9.166666667</v>
      </c>
    </row>
    <row r="276">
      <c r="A276" s="55" t="str">
        <f>IFERROR(__xludf.DUMMYFUNCTION("""COMPUTED_VALUE"""),"Spyro Reignited Trilogy")</f>
        <v>Spyro Reignited Trilogy</v>
      </c>
      <c r="B276" s="55" t="str">
        <f>IFERROR(__xludf.DUMMYFUNCTION("""COMPUTED_VALUE"""),"Xbox / PC")</f>
        <v>Xbox / PC</v>
      </c>
      <c r="C276" s="55"/>
      <c r="D276" s="56" t="str">
        <f>IFERROR(__xludf.DUMMYFUNCTION("""COMPUTED_VALUE"""),"Active")</f>
        <v>Active</v>
      </c>
      <c r="E276" s="57">
        <f>IFERROR(__xludf.DUMMYFUNCTION("""COMPUTED_VALUE"""),45608.0)</f>
        <v>45608</v>
      </c>
      <c r="F276" s="58"/>
      <c r="G276" s="60">
        <f>IFERROR(__xludf.DUMMYFUNCTION("""COMPUTED_VALUE"""),22.799999999999997)</f>
        <v>22.8</v>
      </c>
      <c r="H276" s="63">
        <f>IFERROR(__xludf.DUMMYFUNCTION("""COMPUTED_VALUE"""),43417.0)</f>
        <v>43417</v>
      </c>
      <c r="I276" s="60">
        <f>IFERROR(__xludf.DUMMYFUNCTION("""COMPUTED_VALUE"""),5.997222222222222)</f>
        <v>5.997222222</v>
      </c>
      <c r="J276" s="64">
        <f>IFERROR(__xludf.DUMMYFUNCTION("""COMPUTED_VALUE"""),82.0)</f>
        <v>82</v>
      </c>
      <c r="K276" s="64">
        <f>IFERROR(__xludf.DUMMYFUNCTION("""COMPUTED_VALUE"""),17.0)</f>
        <v>17</v>
      </c>
      <c r="L276" s="55" t="str">
        <f>IFERROR(__xludf.DUMMYFUNCTION("""COMPUTED_VALUE"""),"Platformer")</f>
        <v>Platformer</v>
      </c>
      <c r="M276" s="55"/>
      <c r="N276" s="55"/>
      <c r="O276" s="55"/>
      <c r="P276" s="55"/>
      <c r="Q276" s="55"/>
      <c r="R276" s="56" t="str">
        <f>IFERROR(__xludf.DUMMYFUNCTION("""COMPUTED_VALUE"""),"Active")</f>
        <v>Active</v>
      </c>
      <c r="S276" s="57">
        <f>IFERROR(__xludf.DUMMYFUNCTION("""COMPUTED_VALUE"""),45608.0)</f>
        <v>45608</v>
      </c>
      <c r="T276" s="60">
        <f>IFERROR(__xludf.DUMMYFUNCTION("""COMPUTED_VALUE"""),0.0)</f>
        <v>0</v>
      </c>
    </row>
    <row r="277">
      <c r="A277" s="55" t="str">
        <f>IFERROR(__xludf.DUMMYFUNCTION("""COMPUTED_VALUE"""),"Donut County")</f>
        <v>Donut County</v>
      </c>
      <c r="B277" s="55" t="str">
        <f>IFERROR(__xludf.DUMMYFUNCTION("""COMPUTED_VALUE"""),"Xbox / PC")</f>
        <v>Xbox / PC</v>
      </c>
      <c r="C277" s="55" t="str">
        <f>IFERROR(__xludf.DUMMYFUNCTION("""COMPUTED_VALUE"""),"Touch Controls")</f>
        <v>Touch Controls</v>
      </c>
      <c r="D277" s="56" t="str">
        <f>IFERROR(__xludf.DUMMYFUNCTION("""COMPUTED_VALUE"""),"Leaving Soon")</f>
        <v>Leaving Soon</v>
      </c>
      <c r="E277" s="57">
        <f>IFERROR(__xludf.DUMMYFUNCTION("""COMPUTED_VALUE"""),45582.0)</f>
        <v>45582</v>
      </c>
      <c r="F277" s="58">
        <f>IFERROR(__xludf.DUMMYFUNCTION("""COMPUTED_VALUE"""),46310.0)</f>
        <v>46310</v>
      </c>
      <c r="G277" s="60">
        <f>IFERROR(__xludf.DUMMYFUNCTION("""COMPUTED_VALUE"""),23.933333333333334)</f>
        <v>23.93333333</v>
      </c>
      <c r="H277" s="63">
        <f>IFERROR(__xludf.DUMMYFUNCTION("""COMPUTED_VALUE"""),43340.0)</f>
        <v>43340</v>
      </c>
      <c r="I277" s="60">
        <f>IFERROR(__xludf.DUMMYFUNCTION("""COMPUTED_VALUE"""),6.136111111111111)</f>
        <v>6.136111111</v>
      </c>
      <c r="J277" s="64">
        <f>IFERROR(__xludf.DUMMYFUNCTION("""COMPUTED_VALUE"""),82.0)</f>
        <v>82</v>
      </c>
      <c r="K277" s="64">
        <f>IFERROR(__xludf.DUMMYFUNCTION("""COMPUTED_VALUE"""),2.0)</f>
        <v>2</v>
      </c>
      <c r="L277" s="55" t="str">
        <f>IFERROR(__xludf.DUMMYFUNCTION("""COMPUTED_VALUE"""),"Action")</f>
        <v>Action</v>
      </c>
      <c r="M277" s="55"/>
      <c r="N277" s="55" t="str">
        <f>IFERROR(__xludf.DUMMYFUNCTION("""COMPUTED_VALUE"""),"Returning title: Originally joined 1/21/21, left 1/31/23, Official PC Mod Support")</f>
        <v>Returning title: Originally joined 1/21/21, left 1/31/23, Official PC Mod Support</v>
      </c>
      <c r="O277" s="55" t="str">
        <f>IFERROR(__xludf.DUMMYFUNCTION("""COMPUTED_VALUE"""),"E")</f>
        <v>E</v>
      </c>
      <c r="P277" s="55" t="str">
        <f>IFERROR(__xludf.DUMMYFUNCTION("""COMPUTED_VALUE"""),"Mild Fantasy Violence, Comic Mischief")</f>
        <v>Mild Fantasy Violence, Comic Mischief</v>
      </c>
      <c r="Q277" s="55"/>
      <c r="R277" s="56" t="str">
        <f>IFERROR(__xludf.DUMMYFUNCTION("""COMPUTED_VALUE"""),"Leaving Soon")</f>
        <v>Leaving Soon</v>
      </c>
      <c r="S277" s="57">
        <f>IFERROR(__xludf.DUMMYFUNCTION("""COMPUTED_VALUE"""),45582.0)</f>
        <v>45582</v>
      </c>
      <c r="T277" s="60">
        <f>IFERROR(__xludf.DUMMYFUNCTION("""COMPUTED_VALUE"""),0.0)</f>
        <v>0</v>
      </c>
    </row>
    <row r="278">
      <c r="A278" s="55" t="str">
        <f>IFERROR(__xludf.DUMMYFUNCTION("""COMPUTED_VALUE"""),"Inscryption")</f>
        <v>Inscryption</v>
      </c>
      <c r="B278" s="55" t="str">
        <f>IFERROR(__xludf.DUMMYFUNCTION("""COMPUTED_VALUE"""),"Xbox / PC")</f>
        <v>Xbox / PC</v>
      </c>
      <c r="C278" s="55" t="str">
        <f>IFERROR(__xludf.DUMMYFUNCTION("""COMPUTED_VALUE"""),"Yes")</f>
        <v>Yes</v>
      </c>
      <c r="D278" s="56" t="str">
        <f>IFERROR(__xludf.DUMMYFUNCTION("""COMPUTED_VALUE"""),"Active")</f>
        <v>Active</v>
      </c>
      <c r="E278" s="57">
        <f>IFERROR(__xludf.DUMMYFUNCTION("""COMPUTED_VALUE"""),45575.0)</f>
        <v>45575</v>
      </c>
      <c r="F278" s="58"/>
      <c r="G278" s="60">
        <f>IFERROR(__xludf.DUMMYFUNCTION("""COMPUTED_VALUE"""),23.866666666666667)</f>
        <v>23.86666667</v>
      </c>
      <c r="H278" s="63">
        <f>IFERROR(__xludf.DUMMYFUNCTION("""COMPUTED_VALUE"""),44488.0)</f>
        <v>44488</v>
      </c>
      <c r="I278" s="60">
        <f>IFERROR(__xludf.DUMMYFUNCTION("""COMPUTED_VALUE"""),2.975)</f>
        <v>2.975</v>
      </c>
      <c r="J278" s="64">
        <f>IFERROR(__xludf.DUMMYFUNCTION("""COMPUTED_VALUE"""),85.0)</f>
        <v>85</v>
      </c>
      <c r="K278" s="64">
        <f>IFERROR(__xludf.DUMMYFUNCTION("""COMPUTED_VALUE"""),13.0)</f>
        <v>13</v>
      </c>
      <c r="L278" s="55" t="str">
        <f>IFERROR(__xludf.DUMMYFUNCTION("""COMPUTED_VALUE"""),"Card Battle")</f>
        <v>Card Battle</v>
      </c>
      <c r="M278" s="55"/>
      <c r="N278" s="55"/>
      <c r="O278" s="55"/>
      <c r="P278" s="55"/>
      <c r="Q278" s="55"/>
      <c r="R278" s="56" t="str">
        <f>IFERROR(__xludf.DUMMYFUNCTION("""COMPUTED_VALUE"""),"Active")</f>
        <v>Active</v>
      </c>
      <c r="S278" s="57">
        <f>IFERROR(__xludf.DUMMYFUNCTION("""COMPUTED_VALUE"""),45575.0)</f>
        <v>45575</v>
      </c>
      <c r="T278" s="60">
        <f>IFERROR(__xludf.DUMMYFUNCTION("""COMPUTED_VALUE"""),0.0)</f>
        <v>0</v>
      </c>
    </row>
    <row r="279">
      <c r="A279" s="55" t="str">
        <f>IFERROR(__xludf.DUMMYFUNCTION("""COMPUTED_VALUE"""),"Riders Republic")</f>
        <v>Riders Republic</v>
      </c>
      <c r="B279" s="55" t="str">
        <f>IFERROR(__xludf.DUMMYFUNCTION("""COMPUTED_VALUE"""),"Xbox / PC")</f>
        <v>Xbox / PC</v>
      </c>
      <c r="C279" s="55" t="str">
        <f>IFERROR(__xludf.DUMMYFUNCTION("""COMPUTED_VALUE"""),"Yes")</f>
        <v>Yes</v>
      </c>
      <c r="D279" s="56" t="str">
        <f>IFERROR(__xludf.DUMMYFUNCTION("""COMPUTED_VALUE"""),"Active")</f>
        <v>Active</v>
      </c>
      <c r="E279" s="57">
        <f>IFERROR(__xludf.DUMMYFUNCTION("""COMPUTED_VALUE"""),45546.0)</f>
        <v>45546</v>
      </c>
      <c r="F279" s="58"/>
      <c r="G279" s="60">
        <f>IFERROR(__xludf.DUMMYFUNCTION("""COMPUTED_VALUE"""),24.833333333333336)</f>
        <v>24.83333333</v>
      </c>
      <c r="H279" s="63">
        <f>IFERROR(__xludf.DUMMYFUNCTION("""COMPUTED_VALUE"""),44497.0)</f>
        <v>44497</v>
      </c>
      <c r="I279" s="60">
        <f>IFERROR(__xludf.DUMMYFUNCTION("""COMPUTED_VALUE"""),2.8694444444444445)</f>
        <v>2.869444444</v>
      </c>
      <c r="J279" s="64">
        <f>IFERROR(__xludf.DUMMYFUNCTION("""COMPUTED_VALUE"""),77.0)</f>
        <v>77</v>
      </c>
      <c r="K279" s="64">
        <f>IFERROR(__xludf.DUMMYFUNCTION("""COMPUTED_VALUE"""),18.0)</f>
        <v>18</v>
      </c>
      <c r="L279" s="55" t="str">
        <f>IFERROR(__xludf.DUMMYFUNCTION("""COMPUTED_VALUE"""),"Sports")</f>
        <v>Sports</v>
      </c>
      <c r="M279" s="55"/>
      <c r="N279" s="55"/>
      <c r="O279" s="55"/>
      <c r="P279" s="55"/>
      <c r="Q279" s="55"/>
      <c r="R279" s="56" t="str">
        <f>IFERROR(__xludf.DUMMYFUNCTION("""COMPUTED_VALUE"""),"Active")</f>
        <v>Active</v>
      </c>
      <c r="S279" s="57">
        <f>IFERROR(__xludf.DUMMYFUNCTION("""COMPUTED_VALUE"""),45547.0)</f>
        <v>45547</v>
      </c>
      <c r="T279" s="60">
        <f>IFERROR(__xludf.DUMMYFUNCTION("""COMPUTED_VALUE"""),0.03333333333333333)</f>
        <v>0.03333333333</v>
      </c>
    </row>
    <row r="280">
      <c r="A280" s="55" t="str">
        <f>IFERROR(__xludf.DUMMYFUNCTION("""COMPUTED_VALUE"""),"DOOM + DOOM II: Enhanced")</f>
        <v>DOOM + DOOM II: Enhanced</v>
      </c>
      <c r="B280" s="55" t="str">
        <f>IFERROR(__xludf.DUMMYFUNCTION("""COMPUTED_VALUE"""),"Xbox / PC")</f>
        <v>Xbox / PC</v>
      </c>
      <c r="C280" s="55" t="str">
        <f>IFERROR(__xludf.DUMMYFUNCTION("""COMPUTED_VALUE"""),"Yes")</f>
        <v>Yes</v>
      </c>
      <c r="D280" s="56" t="str">
        <f>IFERROR(__xludf.DUMMYFUNCTION("""COMPUTED_VALUE"""),"Active")</f>
        <v>Active</v>
      </c>
      <c r="E280" s="57">
        <f>IFERROR(__xludf.DUMMYFUNCTION("""COMPUTED_VALUE"""),45512.0)</f>
        <v>45512</v>
      </c>
      <c r="F280" s="58"/>
      <c r="G280" s="60">
        <f>IFERROR(__xludf.DUMMYFUNCTION("""COMPUTED_VALUE"""),25.93333333333333)</f>
        <v>25.93333333</v>
      </c>
      <c r="H280" s="63">
        <f>IFERROR(__xludf.DUMMYFUNCTION("""COMPUTED_VALUE"""),45512.0)</f>
        <v>45512</v>
      </c>
      <c r="I280" s="60">
        <f>IFERROR(__xludf.DUMMYFUNCTION("""COMPUTED_VALUE"""),0.0)</f>
        <v>0</v>
      </c>
      <c r="J280" s="64">
        <f>IFERROR(__xludf.DUMMYFUNCTION("""COMPUTED_VALUE"""),82.0)</f>
        <v>82</v>
      </c>
      <c r="K280" s="64">
        <f>IFERROR(__xludf.DUMMYFUNCTION("""COMPUTED_VALUE"""),12.0)</f>
        <v>12</v>
      </c>
      <c r="L280" s="55" t="str">
        <f>IFERROR(__xludf.DUMMYFUNCTION("""COMPUTED_VALUE"""),"Shooter")</f>
        <v>Shooter</v>
      </c>
      <c r="M280" s="55"/>
      <c r="N280" s="55" t="str">
        <f>IFERROR(__xludf.DUMMYFUNCTION("""COMPUTED_VALUE"""),"Enhanced versions")</f>
        <v>Enhanced versions</v>
      </c>
      <c r="O280" s="55"/>
      <c r="P280" s="55"/>
      <c r="Q280" s="55"/>
      <c r="R280" s="56" t="str">
        <f>IFERROR(__xludf.DUMMYFUNCTION("""COMPUTED_VALUE"""),"Active")</f>
        <v>Active</v>
      </c>
      <c r="S280" s="57">
        <f>IFERROR(__xludf.DUMMYFUNCTION("""COMPUTED_VALUE"""),45547.0)</f>
        <v>45547</v>
      </c>
      <c r="T280" s="60">
        <f>IFERROR(__xludf.DUMMYFUNCTION("""COMPUTED_VALUE"""),1.1333333333333333)</f>
        <v>1.133333333</v>
      </c>
    </row>
    <row r="281">
      <c r="A281" s="55" t="str">
        <f>IFERROR(__xludf.DUMMYFUNCTION("""COMPUTED_VALUE"""),"Crash Bandicoot N. Sane Trilogy")</f>
        <v>Crash Bandicoot N. Sane Trilogy</v>
      </c>
      <c r="B281" s="55" t="str">
        <f>IFERROR(__xludf.DUMMYFUNCTION("""COMPUTED_VALUE"""),"Xbox / PC")</f>
        <v>Xbox / PC</v>
      </c>
      <c r="C281" s="55" t="str">
        <f>IFERROR(__xludf.DUMMYFUNCTION("""COMPUTED_VALUE"""),"Yes")</f>
        <v>Yes</v>
      </c>
      <c r="D281" s="56" t="str">
        <f>IFERROR(__xludf.DUMMYFUNCTION("""COMPUTED_VALUE"""),"Active")</f>
        <v>Active</v>
      </c>
      <c r="E281" s="57">
        <f>IFERROR(__xludf.DUMMYFUNCTION("""COMPUTED_VALUE"""),45512.0)</f>
        <v>45512</v>
      </c>
      <c r="F281" s="58"/>
      <c r="G281" s="60">
        <f>IFERROR(__xludf.DUMMYFUNCTION("""COMPUTED_VALUE"""),25.93333333333333)</f>
        <v>25.93333333</v>
      </c>
      <c r="H281" s="63">
        <f>IFERROR(__xludf.DUMMYFUNCTION("""COMPUTED_VALUE"""),42916.0)</f>
        <v>42916</v>
      </c>
      <c r="I281" s="60">
        <f>IFERROR(__xludf.DUMMYFUNCTION("""COMPUTED_VALUE"""),7.105555555555555)</f>
        <v>7.105555556</v>
      </c>
      <c r="J281" s="64">
        <f>IFERROR(__xludf.DUMMYFUNCTION("""COMPUTED_VALUE"""),80.0)</f>
        <v>80</v>
      </c>
      <c r="K281" s="64">
        <f>IFERROR(__xludf.DUMMYFUNCTION("""COMPUTED_VALUE"""),15.0)</f>
        <v>15</v>
      </c>
      <c r="L281" s="55" t="str">
        <f>IFERROR(__xludf.DUMMYFUNCTION("""COMPUTED_VALUE"""),"Platformer")</f>
        <v>Platformer</v>
      </c>
      <c r="M281" s="55"/>
      <c r="N281" s="55"/>
      <c r="O281" s="55"/>
      <c r="P281" s="55"/>
      <c r="Q281" s="55"/>
      <c r="R281" s="56" t="str">
        <f>IFERROR(__xludf.DUMMYFUNCTION("""COMPUTED_VALUE"""),"Active")</f>
        <v>Active</v>
      </c>
      <c r="S281" s="57">
        <f>IFERROR(__xludf.DUMMYFUNCTION("""COMPUTED_VALUE"""),45547.0)</f>
        <v>45547</v>
      </c>
      <c r="T281" s="60">
        <f>IFERROR(__xludf.DUMMYFUNCTION("""COMPUTED_VALUE"""),1.1333333333333333)</f>
        <v>1.133333333</v>
      </c>
    </row>
    <row r="282">
      <c r="A282" s="55" t="str">
        <f>IFERROR(__xludf.DUMMYFUNCTION("""COMPUTED_VALUE"""),"Nickelodeon All-Star Brawl 2")</f>
        <v>Nickelodeon All-Star Brawl 2</v>
      </c>
      <c r="B282" s="55" t="str">
        <f>IFERROR(__xludf.DUMMYFUNCTION("""COMPUTED_VALUE"""),"Xbox / PC")</f>
        <v>Xbox / PC</v>
      </c>
      <c r="C282" s="55" t="str">
        <f>IFERROR(__xludf.DUMMYFUNCTION("""COMPUTED_VALUE"""),"Yes")</f>
        <v>Yes</v>
      </c>
      <c r="D282" s="56" t="str">
        <f>IFERROR(__xludf.DUMMYFUNCTION("""COMPUTED_VALUE"""),"Active")</f>
        <v>Active</v>
      </c>
      <c r="E282" s="57">
        <f>IFERROR(__xludf.DUMMYFUNCTION("""COMPUTED_VALUE"""),45476.0)</f>
        <v>45476</v>
      </c>
      <c r="F282" s="58"/>
      <c r="G282" s="60">
        <f>IFERROR(__xludf.DUMMYFUNCTION("""COMPUTED_VALUE"""),27.1)</f>
        <v>27.1</v>
      </c>
      <c r="H282" s="63">
        <f>IFERROR(__xludf.DUMMYFUNCTION("""COMPUTED_VALUE"""),45237.0)</f>
        <v>45237</v>
      </c>
      <c r="I282" s="60">
        <f>IFERROR(__xludf.DUMMYFUNCTION("""COMPUTED_VALUE"""),0.6555555555555556)</f>
        <v>0.6555555556</v>
      </c>
      <c r="J282" s="64">
        <f>IFERROR(__xludf.DUMMYFUNCTION("""COMPUTED_VALUE"""),77.0)</f>
        <v>77</v>
      </c>
      <c r="K282" s="64">
        <f>IFERROR(__xludf.DUMMYFUNCTION("""COMPUTED_VALUE"""),4.0)</f>
        <v>4</v>
      </c>
      <c r="L282" s="55" t="str">
        <f>IFERROR(__xludf.DUMMYFUNCTION("""COMPUTED_VALUE"""),"Fighting")</f>
        <v>Fighting</v>
      </c>
      <c r="M282" s="55"/>
      <c r="N282" s="55"/>
      <c r="O282" s="55" t="str">
        <f>IFERROR(__xludf.DUMMYFUNCTION("""COMPUTED_VALUE"""),"E10+")</f>
        <v>E10+</v>
      </c>
      <c r="P282" s="55" t="str">
        <f>IFERROR(__xludf.DUMMYFUNCTION("""COMPUTED_VALUE"""),"Comic Mischief, Fantasy Violence")</f>
        <v>Comic Mischief, Fantasy Violence</v>
      </c>
      <c r="Q282" s="55"/>
      <c r="R282" s="56" t="str">
        <f>IFERROR(__xludf.DUMMYFUNCTION("""COMPUTED_VALUE"""),"Active")</f>
        <v>Active</v>
      </c>
      <c r="S282" s="57">
        <f>IFERROR(__xludf.DUMMYFUNCTION("""COMPUTED_VALUE"""),45547.0)</f>
        <v>45547</v>
      </c>
      <c r="T282" s="60">
        <f>IFERROR(__xludf.DUMMYFUNCTION("""COMPUTED_VALUE"""),2.3000000000000003)</f>
        <v>2.3</v>
      </c>
    </row>
    <row r="283">
      <c r="A283" s="55" t="str">
        <f>IFERROR(__xludf.DUMMYFUNCTION("""COMPUTED_VALUE"""),"Moving Out 2")</f>
        <v>Moving Out 2</v>
      </c>
      <c r="B283" s="55" t="str">
        <f>IFERROR(__xludf.DUMMYFUNCTION("""COMPUTED_VALUE"""),"Xbox / PC")</f>
        <v>Xbox / PC</v>
      </c>
      <c r="C283" s="55" t="str">
        <f>IFERROR(__xludf.DUMMYFUNCTION("""COMPUTED_VALUE"""),"Yes")</f>
        <v>Yes</v>
      </c>
      <c r="D283" s="56" t="str">
        <f>IFERROR(__xludf.DUMMYFUNCTION("""COMPUTED_VALUE"""),"Active")</f>
        <v>Active</v>
      </c>
      <c r="E283" s="57">
        <f>IFERROR(__xludf.DUMMYFUNCTION("""COMPUTED_VALUE"""),45440.0)</f>
        <v>45440</v>
      </c>
      <c r="F283" s="58"/>
      <c r="G283" s="60">
        <f>IFERROR(__xludf.DUMMYFUNCTION("""COMPUTED_VALUE"""),28.266666666666666)</f>
        <v>28.26666667</v>
      </c>
      <c r="H283" s="63">
        <f>IFERROR(__xludf.DUMMYFUNCTION("""COMPUTED_VALUE"""),45153.0)</f>
        <v>45153</v>
      </c>
      <c r="I283" s="60">
        <f>IFERROR(__xludf.DUMMYFUNCTION("""COMPUTED_VALUE"""),0.7861111111111111)</f>
        <v>0.7861111111</v>
      </c>
      <c r="J283" s="64">
        <f>IFERROR(__xludf.DUMMYFUNCTION("""COMPUTED_VALUE"""),80.0)</f>
        <v>80</v>
      </c>
      <c r="K283" s="64">
        <f>IFERROR(__xludf.DUMMYFUNCTION("""COMPUTED_VALUE"""),10.0)</f>
        <v>10</v>
      </c>
      <c r="L283" s="55" t="str">
        <f>IFERROR(__xludf.DUMMYFUNCTION("""COMPUTED_VALUE"""),"Simulation")</f>
        <v>Simulation</v>
      </c>
      <c r="M283" s="55" t="str">
        <f>IFERROR(__xludf.DUMMYFUNCTION("""COMPUTED_VALUE"""),"Exclusive")</f>
        <v>Exclusive</v>
      </c>
      <c r="N283" s="55"/>
      <c r="O283" s="55" t="str">
        <f>IFERROR(__xludf.DUMMYFUNCTION("""COMPUTED_VALUE"""),"E")</f>
        <v>E</v>
      </c>
      <c r="P283" s="55" t="str">
        <f>IFERROR(__xludf.DUMMYFUNCTION("""COMPUTED_VALUE"""),"Crude Humor")</f>
        <v>Crude Humor</v>
      </c>
      <c r="Q283" s="55"/>
      <c r="R283" s="56" t="str">
        <f>IFERROR(__xludf.DUMMYFUNCTION("""COMPUTED_VALUE"""),"Active")</f>
        <v>Active</v>
      </c>
      <c r="S283" s="57">
        <f>IFERROR(__xludf.DUMMYFUNCTION("""COMPUTED_VALUE"""),45547.0)</f>
        <v>45547</v>
      </c>
      <c r="T283" s="60">
        <f>IFERROR(__xludf.DUMMYFUNCTION("""COMPUTED_VALUE"""),3.4666666666666663)</f>
        <v>3.466666667</v>
      </c>
    </row>
    <row r="284">
      <c r="A284" s="55" t="str">
        <f>IFERROR(__xludf.DUMMYFUNCTION("""COMPUTED_VALUE"""),"Immortals of Aveum")</f>
        <v>Immortals of Aveum</v>
      </c>
      <c r="B284" s="55" t="str">
        <f>IFERROR(__xludf.DUMMYFUNCTION("""COMPUTED_VALUE"""),"Xbox / PC")</f>
        <v>Xbox / PC</v>
      </c>
      <c r="C284" s="55" t="str">
        <f>IFERROR(__xludf.DUMMYFUNCTION("""COMPUTED_VALUE"""),"Yes")</f>
        <v>Yes</v>
      </c>
      <c r="D284" s="56" t="str">
        <f>IFERROR(__xludf.DUMMYFUNCTION("""COMPUTED_VALUE"""),"Active")</f>
        <v>Active</v>
      </c>
      <c r="E284" s="57">
        <f>IFERROR(__xludf.DUMMYFUNCTION("""COMPUTED_VALUE"""),45427.0)</f>
        <v>45427</v>
      </c>
      <c r="F284" s="58"/>
      <c r="G284" s="60">
        <f>IFERROR(__xludf.DUMMYFUNCTION("""COMPUTED_VALUE"""),28.7)</f>
        <v>28.7</v>
      </c>
      <c r="H284" s="63">
        <f>IFERROR(__xludf.DUMMYFUNCTION("""COMPUTED_VALUE"""),45160.0)</f>
        <v>45160</v>
      </c>
      <c r="I284" s="60">
        <f>IFERROR(__xludf.DUMMYFUNCTION("""COMPUTED_VALUE"""),0.7305555555555555)</f>
        <v>0.7305555556</v>
      </c>
      <c r="J284" s="64">
        <f>IFERROR(__xludf.DUMMYFUNCTION("""COMPUTED_VALUE"""),69.0)</f>
        <v>69</v>
      </c>
      <c r="K284" s="64">
        <f>IFERROR(__xludf.DUMMYFUNCTION("""COMPUTED_VALUE"""),15.0)</f>
        <v>15</v>
      </c>
      <c r="L284" s="55" t="str">
        <f>IFERROR(__xludf.DUMMYFUNCTION("""COMPUTED_VALUE"""),"Shooter")</f>
        <v>Shooter</v>
      </c>
      <c r="M284" s="55" t="str">
        <f>IFERROR(__xludf.DUMMYFUNCTION("""COMPUTED_VALUE"""),"Exclusive")</f>
        <v>Exclusive</v>
      </c>
      <c r="N284" s="55"/>
      <c r="O284" s="55" t="str">
        <f>IFERROR(__xludf.DUMMYFUNCTION("""COMPUTED_VALUE"""),"M")</f>
        <v>M</v>
      </c>
      <c r="P284" s="55" t="str">
        <f>IFERROR(__xludf.DUMMYFUNCTION("""COMPUTED_VALUE"""),"Blood, Strong Language, Violence")</f>
        <v>Blood, Strong Language, Violence</v>
      </c>
      <c r="Q284" s="55"/>
      <c r="R284" s="56" t="str">
        <f>IFERROR(__xludf.DUMMYFUNCTION("""COMPUTED_VALUE"""),"Active")</f>
        <v>Active</v>
      </c>
      <c r="S284" s="57">
        <f>IFERROR(__xludf.DUMMYFUNCTION("""COMPUTED_VALUE"""),45547.0)</f>
        <v>45547</v>
      </c>
      <c r="T284" s="60">
        <f>IFERROR(__xludf.DUMMYFUNCTION("""COMPUTED_VALUE"""),3.9000000000000004)</f>
        <v>3.9</v>
      </c>
    </row>
    <row r="285">
      <c r="A285" s="55" t="str">
        <f>IFERROR(__xludf.DUMMYFUNCTION("""COMPUTED_VALUE"""),"Star Wars Jedi: Survivor")</f>
        <v>Star Wars Jedi: Survivor</v>
      </c>
      <c r="B285" s="55" t="str">
        <f>IFERROR(__xludf.DUMMYFUNCTION("""COMPUTED_VALUE"""),"Xbox / PC")</f>
        <v>Xbox / PC</v>
      </c>
      <c r="C285" s="55"/>
      <c r="D285" s="56" t="str">
        <f>IFERROR(__xludf.DUMMYFUNCTION("""COMPUTED_VALUE"""),"Active")</f>
        <v>Active</v>
      </c>
      <c r="E285" s="57">
        <f>IFERROR(__xludf.DUMMYFUNCTION("""COMPUTED_VALUE"""),45407.0)</f>
        <v>45407</v>
      </c>
      <c r="F285" s="58"/>
      <c r="G285" s="60">
        <f>IFERROR(__xludf.DUMMYFUNCTION("""COMPUTED_VALUE"""),29.366666666666667)</f>
        <v>29.36666667</v>
      </c>
      <c r="H285" s="63">
        <f>IFERROR(__xludf.DUMMYFUNCTION("""COMPUTED_VALUE"""),45044.0)</f>
        <v>45044</v>
      </c>
      <c r="I285" s="60">
        <f>IFERROR(__xludf.DUMMYFUNCTION("""COMPUTED_VALUE"""),0.9916666666666667)</f>
        <v>0.9916666667</v>
      </c>
      <c r="J285" s="64">
        <f>IFERROR(__xludf.DUMMYFUNCTION("""COMPUTED_VALUE"""),85.0)</f>
        <v>85</v>
      </c>
      <c r="K285" s="64">
        <f>IFERROR(__xludf.DUMMYFUNCTION("""COMPUTED_VALUE"""),20.0)</f>
        <v>20</v>
      </c>
      <c r="L285" s="55" t="str">
        <f>IFERROR(__xludf.DUMMYFUNCTION("""COMPUTED_VALUE"""),"Action-Adventure")</f>
        <v>Action-Adventure</v>
      </c>
      <c r="M285" s="55"/>
      <c r="N285" s="55" t="str">
        <f>IFERROR(__xludf.DUMMYFUNCTION("""COMPUTED_VALUE"""),"Joins last gen consoles on 9/17/24")</f>
        <v>Joins last gen consoles on 9/17/24</v>
      </c>
      <c r="O285" s="55" t="str">
        <f>IFERROR(__xludf.DUMMYFUNCTION("""COMPUTED_VALUE"""),"T")</f>
        <v>T</v>
      </c>
      <c r="P285" s="55" t="str">
        <f>IFERROR(__xludf.DUMMYFUNCTION("""COMPUTED_VALUE"""),"Mild Language, Violence")</f>
        <v>Mild Language, Violence</v>
      </c>
      <c r="Q285" s="55"/>
      <c r="R285" s="56" t="str">
        <f>IFERROR(__xludf.DUMMYFUNCTION("""COMPUTED_VALUE"""),"Active")</f>
        <v>Active</v>
      </c>
      <c r="S285" s="57">
        <f>IFERROR(__xludf.DUMMYFUNCTION("""COMPUTED_VALUE"""),45547.0)</f>
        <v>45547</v>
      </c>
      <c r="T285" s="60">
        <f>IFERROR(__xludf.DUMMYFUNCTION("""COMPUTED_VALUE"""),4.566666666666666)</f>
        <v>4.566666667</v>
      </c>
    </row>
    <row r="286">
      <c r="A286" s="55" t="str">
        <f>IFERROR(__xludf.DUMMYFUNCTION("""COMPUTED_VALUE"""),"EA Sports PGA Tour")</f>
        <v>EA Sports PGA Tour</v>
      </c>
      <c r="B286" s="55" t="str">
        <f>IFERROR(__xludf.DUMMYFUNCTION("""COMPUTED_VALUE"""),"Xbox / PC")</f>
        <v>Xbox / PC</v>
      </c>
      <c r="C286" s="55" t="str">
        <f>IFERROR(__xludf.DUMMYFUNCTION("""COMPUTED_VALUE"""),"Yes")</f>
        <v>Yes</v>
      </c>
      <c r="D286" s="56" t="str">
        <f>IFERROR(__xludf.DUMMYFUNCTION("""COMPUTED_VALUE"""),"Active")</f>
        <v>Active</v>
      </c>
      <c r="E286" s="57">
        <f>IFERROR(__xludf.DUMMYFUNCTION("""COMPUTED_VALUE"""),45386.0)</f>
        <v>45386</v>
      </c>
      <c r="F286" s="58"/>
      <c r="G286" s="60">
        <f>IFERROR(__xludf.DUMMYFUNCTION("""COMPUTED_VALUE"""),30.066666666666666)</f>
        <v>30.06666667</v>
      </c>
      <c r="H286" s="63">
        <f>IFERROR(__xludf.DUMMYFUNCTION("""COMPUTED_VALUE"""),45020.0)</f>
        <v>45020</v>
      </c>
      <c r="I286" s="60">
        <f>IFERROR(__xludf.DUMMYFUNCTION("""COMPUTED_VALUE"""),1.0)</f>
        <v>1</v>
      </c>
      <c r="J286" s="64">
        <f>IFERROR(__xludf.DUMMYFUNCTION("""COMPUTED_VALUE"""),76.0)</f>
        <v>76</v>
      </c>
      <c r="K286" s="64">
        <f>IFERROR(__xludf.DUMMYFUNCTION("""COMPUTED_VALUE"""),31.0)</f>
        <v>31</v>
      </c>
      <c r="L286" s="55" t="str">
        <f>IFERROR(__xludf.DUMMYFUNCTION("""COMPUTED_VALUE"""),"Sports")</f>
        <v>Sports</v>
      </c>
      <c r="M286" s="55" t="str">
        <f>IFERROR(__xludf.DUMMYFUNCTION("""COMPUTED_VALUE"""),"Exclusive")</f>
        <v>Exclusive</v>
      </c>
      <c r="N286" s="55"/>
      <c r="O286" s="55" t="str">
        <f>IFERROR(__xludf.DUMMYFUNCTION("""COMPUTED_VALUE"""),"E")</f>
        <v>E</v>
      </c>
      <c r="P286" s="55"/>
      <c r="Q286" s="55"/>
      <c r="R286" s="56" t="str">
        <f>IFERROR(__xludf.DUMMYFUNCTION("""COMPUTED_VALUE"""),"Active")</f>
        <v>Active</v>
      </c>
      <c r="S286" s="57">
        <f>IFERROR(__xludf.DUMMYFUNCTION("""COMPUTED_VALUE"""),45547.0)</f>
        <v>45547</v>
      </c>
      <c r="T286" s="60">
        <f>IFERROR(__xludf.DUMMYFUNCTION("""COMPUTED_VALUE"""),5.266666666666667)</f>
        <v>5.266666667</v>
      </c>
    </row>
    <row r="287">
      <c r="A287" s="55" t="str">
        <f>IFERROR(__xludf.DUMMYFUNCTION("""COMPUTED_VALUE"""),"Superhot: Mind Control Delete")</f>
        <v>Superhot: Mind Control Delete</v>
      </c>
      <c r="B287" s="55" t="str">
        <f>IFERROR(__xludf.DUMMYFUNCTION("""COMPUTED_VALUE"""),"Xbox / PC")</f>
        <v>Xbox / PC</v>
      </c>
      <c r="C287" s="55" t="str">
        <f>IFERROR(__xludf.DUMMYFUNCTION("""COMPUTED_VALUE"""),"Yes")</f>
        <v>Yes</v>
      </c>
      <c r="D287" s="56" t="str">
        <f>IFERROR(__xludf.DUMMYFUNCTION("""COMPUTED_VALUE"""),"Active")</f>
        <v>Active</v>
      </c>
      <c r="E287" s="57">
        <f>IFERROR(__xludf.DUMMYFUNCTION("""COMPUTED_VALUE"""),45384.0)</f>
        <v>45384</v>
      </c>
      <c r="F287" s="58"/>
      <c r="G287" s="60">
        <f>IFERROR(__xludf.DUMMYFUNCTION("""COMPUTED_VALUE"""),30.133333333333333)</f>
        <v>30.13333333</v>
      </c>
      <c r="H287" s="63">
        <f>IFERROR(__xludf.DUMMYFUNCTION("""COMPUTED_VALUE"""),44028.0)</f>
        <v>44028</v>
      </c>
      <c r="I287" s="60">
        <f>IFERROR(__xludf.DUMMYFUNCTION("""COMPUTED_VALUE"""),3.7111111111111112)</f>
        <v>3.711111111</v>
      </c>
      <c r="J287" s="64">
        <f>IFERROR(__xludf.DUMMYFUNCTION("""COMPUTED_VALUE"""),82.0)</f>
        <v>82</v>
      </c>
      <c r="K287" s="64">
        <f>IFERROR(__xludf.DUMMYFUNCTION("""COMPUTED_VALUE"""),5.5)</f>
        <v>5.5</v>
      </c>
      <c r="L287" s="55" t="str">
        <f>IFERROR(__xludf.DUMMYFUNCTION("""COMPUTED_VALUE"""),"Shooter")</f>
        <v>Shooter</v>
      </c>
      <c r="M287" s="55" t="str">
        <f>IFERROR(__xludf.DUMMYFUNCTION("""COMPUTED_VALUE"""),"Optimized")</f>
        <v>Optimized</v>
      </c>
      <c r="N287" s="55" t="str">
        <f>IFERROR(__xludf.DUMMYFUNCTION("""COMPUTED_VALUE"""),"Game Pass Essential (4/23/24), Returning title: Added 12/10/20, left 5/31/22")</f>
        <v>Game Pass Essential (4/23/24), Returning title: Added 12/10/20, left 5/31/22</v>
      </c>
      <c r="O287" s="55" t="str">
        <f>IFERROR(__xludf.DUMMYFUNCTION("""COMPUTED_VALUE"""),"T")</f>
        <v>T</v>
      </c>
      <c r="P287" s="55" t="str">
        <f>IFERROR(__xludf.DUMMYFUNCTION("""COMPUTED_VALUE"""),"Violence")</f>
        <v>Violence</v>
      </c>
      <c r="Q287" s="55"/>
      <c r="R287" s="56" t="str">
        <f>IFERROR(__xludf.DUMMYFUNCTION("""COMPUTED_VALUE"""),"Active")</f>
        <v>Active</v>
      </c>
      <c r="S287" s="57">
        <f>IFERROR(__xludf.DUMMYFUNCTION("""COMPUTED_VALUE"""),45547.0)</f>
        <v>45547</v>
      </c>
      <c r="T287" s="60">
        <f>IFERROR(__xludf.DUMMYFUNCTION("""COMPUTED_VALUE"""),5.333333333333333)</f>
        <v>5.333333333</v>
      </c>
    </row>
    <row r="288">
      <c r="A288" s="55" t="str">
        <f>IFERROR(__xludf.DUMMYFUNCTION("""COMPUTED_VALUE"""),"Ark: Survival Ascended")</f>
        <v>Ark: Survival Ascended</v>
      </c>
      <c r="B288" s="55" t="str">
        <f>IFERROR(__xludf.DUMMYFUNCTION("""COMPUTED_VALUE"""),"Xbox / PC")</f>
        <v>Xbox / PC</v>
      </c>
      <c r="C288" s="55" t="str">
        <f>IFERROR(__xludf.DUMMYFUNCTION("""COMPUTED_VALUE"""),"M+KB")</f>
        <v>M+KB</v>
      </c>
      <c r="D288" s="56" t="str">
        <f>IFERROR(__xludf.DUMMYFUNCTION("""COMPUTED_VALUE"""),"Active")</f>
        <v>Active</v>
      </c>
      <c r="E288" s="57">
        <f>IFERROR(__xludf.DUMMYFUNCTION("""COMPUTED_VALUE"""),45383.0)</f>
        <v>45383</v>
      </c>
      <c r="F288" s="58"/>
      <c r="G288" s="60">
        <f>IFERROR(__xludf.DUMMYFUNCTION("""COMPUTED_VALUE"""),30.166666666666664)</f>
        <v>30.16666667</v>
      </c>
      <c r="H288" s="63">
        <f>IFERROR(__xludf.DUMMYFUNCTION("""COMPUTED_VALUE"""),45260.0)</f>
        <v>45260</v>
      </c>
      <c r="I288" s="60">
        <f>IFERROR(__xludf.DUMMYFUNCTION("""COMPUTED_VALUE"""),0.33611111111111114)</f>
        <v>0.3361111111</v>
      </c>
      <c r="J288" s="64">
        <f>IFERROR(__xludf.DUMMYFUNCTION("""COMPUTED_VALUE"""),66.66666666666667)</f>
        <v>66.66666667</v>
      </c>
      <c r="K288" s="64">
        <f>IFERROR(__xludf.DUMMYFUNCTION("""COMPUTED_VALUE"""),380.0)</f>
        <v>380</v>
      </c>
      <c r="L288" s="55" t="str">
        <f>IFERROR(__xludf.DUMMYFUNCTION("""COMPUTED_VALUE"""),"Sandbox")</f>
        <v>Sandbox</v>
      </c>
      <c r="M288" s="55" t="str">
        <f>IFERROR(__xludf.DUMMYFUNCTION("""COMPUTED_VALUE"""),"Exclusive")</f>
        <v>Exclusive</v>
      </c>
      <c r="N288" s="55"/>
      <c r="O288" s="55" t="str">
        <f>IFERROR(__xludf.DUMMYFUNCTION("""COMPUTED_VALUE"""),"T")</f>
        <v>T</v>
      </c>
      <c r="P288" s="55" t="str">
        <f>IFERROR(__xludf.DUMMYFUNCTION("""COMPUTED_VALUE"""),"Language, Violence")</f>
        <v>Language, Violence</v>
      </c>
      <c r="Q288" s="55"/>
      <c r="R288" s="56" t="str">
        <f>IFERROR(__xludf.DUMMYFUNCTION("""COMPUTED_VALUE"""),"Active")</f>
        <v>Active</v>
      </c>
      <c r="S288" s="57">
        <f>IFERROR(__xludf.DUMMYFUNCTION("""COMPUTED_VALUE"""),45547.0)</f>
        <v>45547</v>
      </c>
      <c r="T288" s="60">
        <f>IFERROR(__xludf.DUMMYFUNCTION("""COMPUTED_VALUE"""),5.366666666666667)</f>
        <v>5.366666667</v>
      </c>
    </row>
    <row r="289">
      <c r="A289" s="55" t="str">
        <f>IFERROR(__xludf.DUMMYFUNCTION("""COMPUTED_VALUE"""),"Minecraft: Preview")</f>
        <v>Minecraft: Preview</v>
      </c>
      <c r="B289" s="55" t="str">
        <f>IFERROR(__xludf.DUMMYFUNCTION("""COMPUTED_VALUE"""),"Xbox / PC")</f>
        <v>Xbox / PC</v>
      </c>
      <c r="C289" s="55"/>
      <c r="D289" s="56" t="str">
        <f>IFERROR(__xludf.DUMMYFUNCTION("""COMPUTED_VALUE"""),"Active")</f>
        <v>Active</v>
      </c>
      <c r="E289" s="57">
        <f>IFERROR(__xludf.DUMMYFUNCTION("""COMPUTED_VALUE"""),45368.0)</f>
        <v>45368</v>
      </c>
      <c r="F289" s="58"/>
      <c r="G289" s="60">
        <f>IFERROR(__xludf.DUMMYFUNCTION("""COMPUTED_VALUE"""),30.633333333333333)</f>
        <v>30.63333333</v>
      </c>
      <c r="H289" s="63">
        <f>IFERROR(__xludf.DUMMYFUNCTION("""COMPUTED_VALUE"""),40865.0)</f>
        <v>40865</v>
      </c>
      <c r="I289" s="60">
        <f>IFERROR(__xludf.DUMMYFUNCTION("""COMPUTED_VALUE"""),12.330555555555556)</f>
        <v>12.33055556</v>
      </c>
      <c r="J289" s="64">
        <f>IFERROR(__xludf.DUMMYFUNCTION("""COMPUTED_VALUE"""),88.0)</f>
        <v>88</v>
      </c>
      <c r="K289" s="64">
        <f>IFERROR(__xludf.DUMMYFUNCTION("""COMPUTED_VALUE"""),116.0)</f>
        <v>116</v>
      </c>
      <c r="L289" s="55" t="str">
        <f>IFERROR(__xludf.DUMMYFUNCTION("""COMPUTED_VALUE"""),"Action-Adventure")</f>
        <v>Action-Adventure</v>
      </c>
      <c r="M289" s="55"/>
      <c r="N289" s="55"/>
      <c r="O289" s="55" t="str">
        <f>IFERROR(__xludf.DUMMYFUNCTION("""COMPUTED_VALUE"""),"E10+")</f>
        <v>E10+</v>
      </c>
      <c r="P289" s="55" t="str">
        <f>IFERROR(__xludf.DUMMYFUNCTION("""COMPUTED_VALUE"""),"Fantasy Violence")</f>
        <v>Fantasy Violence</v>
      </c>
      <c r="Q289" s="55"/>
      <c r="R289" s="56" t="str">
        <f>IFERROR(__xludf.DUMMYFUNCTION("""COMPUTED_VALUE"""),"Active")</f>
        <v>Active</v>
      </c>
      <c r="S289" s="57">
        <f>IFERROR(__xludf.DUMMYFUNCTION("""COMPUTED_VALUE"""),45547.0)</f>
        <v>45547</v>
      </c>
      <c r="T289" s="60">
        <f>IFERROR(__xludf.DUMMYFUNCTION("""COMPUTED_VALUE"""),5.833333333333333)</f>
        <v>5.833333333</v>
      </c>
    </row>
    <row r="290">
      <c r="A290" s="55" t="str">
        <f>IFERROR(__xludf.DUMMYFUNCTION("""COMPUTED_VALUE"""),"Control: Ultimate Edition")</f>
        <v>Control: Ultimate Edition</v>
      </c>
      <c r="B290" s="55" t="str">
        <f>IFERROR(__xludf.DUMMYFUNCTION("""COMPUTED_VALUE"""),"Xbox / PC")</f>
        <v>Xbox / PC</v>
      </c>
      <c r="C290" s="55" t="str">
        <f>IFERROR(__xludf.DUMMYFUNCTION("""COMPUTED_VALUE"""),"Yes")</f>
        <v>Yes</v>
      </c>
      <c r="D290" s="56" t="str">
        <f>IFERROR(__xludf.DUMMYFUNCTION("""COMPUTED_VALUE"""),"Active")</f>
        <v>Active</v>
      </c>
      <c r="E290" s="57">
        <f>IFERROR(__xludf.DUMMYFUNCTION("""COMPUTED_VALUE"""),45364.0)</f>
        <v>45364</v>
      </c>
      <c r="F290" s="58"/>
      <c r="G290" s="60">
        <f>IFERROR(__xludf.DUMMYFUNCTION("""COMPUTED_VALUE"""),30.76666666666667)</f>
        <v>30.76666667</v>
      </c>
      <c r="H290" s="63">
        <f>IFERROR(__xludf.DUMMYFUNCTION("""COMPUTED_VALUE"""),44229.0)</f>
        <v>44229</v>
      </c>
      <c r="I290" s="60">
        <f>IFERROR(__xludf.DUMMYFUNCTION("""COMPUTED_VALUE"""),3.113888888888889)</f>
        <v>3.113888889</v>
      </c>
      <c r="J290" s="64">
        <f>IFERROR(__xludf.DUMMYFUNCTION("""COMPUTED_VALUE"""),85.0)</f>
        <v>85</v>
      </c>
      <c r="K290" s="64">
        <f>IFERROR(__xludf.DUMMYFUNCTION("""COMPUTED_VALUE"""),13.0)</f>
        <v>13</v>
      </c>
      <c r="L290" s="55" t="str">
        <f>IFERROR(__xludf.DUMMYFUNCTION("""COMPUTED_VALUE"""),"Action")</f>
        <v>Action</v>
      </c>
      <c r="M290" s="55"/>
      <c r="N290" s="55" t="str">
        <f>IFERROR(__xludf.DUMMYFUNCTION("""COMPUTED_VALUE"""),"Returning title: Joined 12/3/20, left 2/15/22 (base game)")</f>
        <v>Returning title: Joined 12/3/20, left 2/15/22 (base game)</v>
      </c>
      <c r="O290" s="55" t="str">
        <f>IFERROR(__xludf.DUMMYFUNCTION("""COMPUTED_VALUE"""),"M")</f>
        <v>M</v>
      </c>
      <c r="P290" s="55" t="str">
        <f>IFERROR(__xludf.DUMMYFUNCTION("""COMPUTED_VALUE"""),"Blood, Strong Language, Violence")</f>
        <v>Blood, Strong Language, Violence</v>
      </c>
      <c r="Q290" s="55"/>
      <c r="R290" s="56" t="str">
        <f>IFERROR(__xludf.DUMMYFUNCTION("""COMPUTED_VALUE"""),"Active")</f>
        <v>Active</v>
      </c>
      <c r="S290" s="57">
        <f>IFERROR(__xludf.DUMMYFUNCTION("""COMPUTED_VALUE"""),45547.0)</f>
        <v>45547</v>
      </c>
      <c r="T290" s="60">
        <f>IFERROR(__xludf.DUMMYFUNCTION("""COMPUTED_VALUE"""),5.966666666666667)</f>
        <v>5.966666667</v>
      </c>
    </row>
    <row r="291">
      <c r="A291" s="55" t="str">
        <f>IFERROR(__xludf.DUMMYFUNCTION("""COMPUTED_VALUE"""),"Bluey: The Videogame")</f>
        <v>Bluey: The Videogame</v>
      </c>
      <c r="B291" s="55" t="str">
        <f>IFERROR(__xludf.DUMMYFUNCTION("""COMPUTED_VALUE"""),"Xbox / PC")</f>
        <v>Xbox / PC</v>
      </c>
      <c r="C291" s="55" t="str">
        <f>IFERROR(__xludf.DUMMYFUNCTION("""COMPUTED_VALUE"""),"Yes")</f>
        <v>Yes</v>
      </c>
      <c r="D291" s="56" t="str">
        <f>IFERROR(__xludf.DUMMYFUNCTION("""COMPUTED_VALUE"""),"Active")</f>
        <v>Active</v>
      </c>
      <c r="E291" s="57">
        <f>IFERROR(__xludf.DUMMYFUNCTION("""COMPUTED_VALUE"""),45344.0)</f>
        <v>45344</v>
      </c>
      <c r="F291" s="58"/>
      <c r="G291" s="60">
        <f>IFERROR(__xludf.DUMMYFUNCTION("""COMPUTED_VALUE"""),31.46666666666667)</f>
        <v>31.46666667</v>
      </c>
      <c r="H291" s="63">
        <f>IFERROR(__xludf.DUMMYFUNCTION("""COMPUTED_VALUE"""),45247.0)</f>
        <v>45247</v>
      </c>
      <c r="I291" s="60">
        <f>IFERROR(__xludf.DUMMYFUNCTION("""COMPUTED_VALUE"""),0.2638888888888889)</f>
        <v>0.2638888889</v>
      </c>
      <c r="J291" s="64">
        <f>IFERROR(__xludf.DUMMYFUNCTION("""COMPUTED_VALUE"""),56.0)</f>
        <v>56</v>
      </c>
      <c r="K291" s="64">
        <f>IFERROR(__xludf.DUMMYFUNCTION("""COMPUTED_VALUE"""),1.0)</f>
        <v>1</v>
      </c>
      <c r="L291" s="55" t="str">
        <f>IFERROR(__xludf.DUMMYFUNCTION("""COMPUTED_VALUE"""),"Adventure")</f>
        <v>Adventure</v>
      </c>
      <c r="M291" s="55"/>
      <c r="N291" s="55"/>
      <c r="O291" s="55" t="str">
        <f>IFERROR(__xludf.DUMMYFUNCTION("""COMPUTED_VALUE"""),"E")</f>
        <v>E</v>
      </c>
      <c r="P291" s="55"/>
      <c r="Q291" s="55"/>
      <c r="R291" s="56" t="str">
        <f>IFERROR(__xludf.DUMMYFUNCTION("""COMPUTED_VALUE"""),"Active")</f>
        <v>Active</v>
      </c>
      <c r="S291" s="57">
        <f>IFERROR(__xludf.DUMMYFUNCTION("""COMPUTED_VALUE"""),45547.0)</f>
        <v>45547</v>
      </c>
      <c r="T291" s="60">
        <f>IFERROR(__xludf.DUMMYFUNCTION("""COMPUTED_VALUE"""),6.666666666666667)</f>
        <v>6.666666667</v>
      </c>
    </row>
    <row r="292">
      <c r="A292" s="55" t="str">
        <f>IFERROR(__xludf.DUMMYFUNCTION("""COMPUTED_VALUE"""),"Dead Island 2")</f>
        <v>Dead Island 2</v>
      </c>
      <c r="B292" s="55" t="str">
        <f>IFERROR(__xludf.DUMMYFUNCTION("""COMPUTED_VALUE"""),"Xbox / PC")</f>
        <v>Xbox / PC</v>
      </c>
      <c r="C292" s="55" t="str">
        <f>IFERROR(__xludf.DUMMYFUNCTION("""COMPUTED_VALUE"""),"Yes")</f>
        <v>Yes</v>
      </c>
      <c r="D292" s="56" t="str">
        <f>IFERROR(__xludf.DUMMYFUNCTION("""COMPUTED_VALUE"""),"Active")</f>
        <v>Active</v>
      </c>
      <c r="E292" s="57">
        <f>IFERROR(__xludf.DUMMYFUNCTION("""COMPUTED_VALUE"""),45342.0)</f>
        <v>45342</v>
      </c>
      <c r="F292" s="58"/>
      <c r="G292" s="60">
        <f>IFERROR(__xludf.DUMMYFUNCTION("""COMPUTED_VALUE"""),31.53333333333333)</f>
        <v>31.53333333</v>
      </c>
      <c r="H292" s="63">
        <f>IFERROR(__xludf.DUMMYFUNCTION("""COMPUTED_VALUE"""),45037.0)</f>
        <v>45037</v>
      </c>
      <c r="I292" s="60">
        <f>IFERROR(__xludf.DUMMYFUNCTION("""COMPUTED_VALUE"""),0.8305555555555556)</f>
        <v>0.8305555556</v>
      </c>
      <c r="J292" s="64">
        <f>IFERROR(__xludf.DUMMYFUNCTION("""COMPUTED_VALUE"""),73.0)</f>
        <v>73</v>
      </c>
      <c r="K292" s="64">
        <f>IFERROR(__xludf.DUMMYFUNCTION("""COMPUTED_VALUE"""),16.0)</f>
        <v>16</v>
      </c>
      <c r="L292" s="55" t="str">
        <f>IFERROR(__xludf.DUMMYFUNCTION("""COMPUTED_VALUE"""),"Shooter")</f>
        <v>Shooter</v>
      </c>
      <c r="M292" s="55"/>
      <c r="N292" s="55" t="str">
        <f>IFERROR(__xludf.DUMMYFUNCTION("""COMPUTED_VALUE"""),"Joins PC 10/31/24, Epic exclusive until April, hence no PC version yet")</f>
        <v>Joins PC 10/31/24, Epic exclusive until April, hence no PC version yet</v>
      </c>
      <c r="O292" s="55" t="str">
        <f>IFERROR(__xludf.DUMMYFUNCTION("""COMPUTED_VALUE"""),"M")</f>
        <v>M</v>
      </c>
      <c r="P292" s="55" t="str">
        <f>IFERROR(__xludf.DUMMYFUNCTION("""COMPUTED_VALUE"""),"Blood and Gore, Intense Violence, Strong Language, Suggestive Themes, Use of Drugs")</f>
        <v>Blood and Gore, Intense Violence, Strong Language, Suggestive Themes, Use of Drugs</v>
      </c>
      <c r="Q292" s="55"/>
      <c r="R292" s="56" t="str">
        <f>IFERROR(__xludf.DUMMYFUNCTION("""COMPUTED_VALUE"""),"Active")</f>
        <v>Active</v>
      </c>
      <c r="S292" s="57">
        <f>IFERROR(__xludf.DUMMYFUNCTION("""COMPUTED_VALUE"""),45547.0)</f>
        <v>45547</v>
      </c>
      <c r="T292" s="60">
        <f>IFERROR(__xludf.DUMMYFUNCTION("""COMPUTED_VALUE"""),6.733333333333333)</f>
        <v>6.733333333</v>
      </c>
    </row>
    <row r="293">
      <c r="A293" s="55" t="str">
        <f>IFERROR(__xludf.DUMMYFUNCTION("""COMPUTED_VALUE"""),"Resident Evil 3")</f>
        <v>Resident Evil 3</v>
      </c>
      <c r="B293" s="55" t="str">
        <f>IFERROR(__xludf.DUMMYFUNCTION("""COMPUTED_VALUE"""),"Xbox / PC")</f>
        <v>Xbox / PC</v>
      </c>
      <c r="C293" s="55" t="str">
        <f>IFERROR(__xludf.DUMMYFUNCTION("""COMPUTED_VALUE"""),"Yes")</f>
        <v>Yes</v>
      </c>
      <c r="D293" s="56" t="str">
        <f>IFERROR(__xludf.DUMMYFUNCTION("""COMPUTED_VALUE"""),"Active")</f>
        <v>Active</v>
      </c>
      <c r="E293" s="57">
        <f>IFERROR(__xludf.DUMMYFUNCTION("""COMPUTED_VALUE"""),45335.0)</f>
        <v>45335</v>
      </c>
      <c r="F293" s="58"/>
      <c r="G293" s="60">
        <f>IFERROR(__xludf.DUMMYFUNCTION("""COMPUTED_VALUE"""),31.766666666666666)</f>
        <v>31.76666667</v>
      </c>
      <c r="H293" s="63">
        <f>IFERROR(__xludf.DUMMYFUNCTION("""COMPUTED_VALUE"""),43924.0)</f>
        <v>43924</v>
      </c>
      <c r="I293" s="60">
        <f>IFERROR(__xludf.DUMMYFUNCTION("""COMPUTED_VALUE"""),3.861111111111111)</f>
        <v>3.861111111</v>
      </c>
      <c r="J293" s="64">
        <f>IFERROR(__xludf.DUMMYFUNCTION("""COMPUTED_VALUE"""),79.0)</f>
        <v>79</v>
      </c>
      <c r="K293" s="64">
        <f>IFERROR(__xludf.DUMMYFUNCTION("""COMPUTED_VALUE"""),6.0)</f>
        <v>6</v>
      </c>
      <c r="L293" s="55" t="str">
        <f>IFERROR(__xludf.DUMMYFUNCTION("""COMPUTED_VALUE"""),"Shooter")</f>
        <v>Shooter</v>
      </c>
      <c r="M293" s="55"/>
      <c r="N293" s="55"/>
      <c r="O293" s="55" t="str">
        <f>IFERROR(__xludf.DUMMYFUNCTION("""COMPUTED_VALUE"""),"M")</f>
        <v>M</v>
      </c>
      <c r="P293" s="55" t="str">
        <f>IFERROR(__xludf.DUMMYFUNCTION("""COMPUTED_VALUE"""),"Blood and Gore, Intense Violence, Strong Language")</f>
        <v>Blood and Gore, Intense Violence, Strong Language</v>
      </c>
      <c r="Q293" s="55"/>
      <c r="R293" s="56" t="str">
        <f>IFERROR(__xludf.DUMMYFUNCTION("""COMPUTED_VALUE"""),"Active")</f>
        <v>Active</v>
      </c>
      <c r="S293" s="57">
        <f>IFERROR(__xludf.DUMMYFUNCTION("""COMPUTED_VALUE"""),45547.0)</f>
        <v>45547</v>
      </c>
      <c r="T293" s="60">
        <f>IFERROR(__xludf.DUMMYFUNCTION("""COMPUTED_VALUE"""),6.966666666666667)</f>
        <v>6.966666667</v>
      </c>
    </row>
    <row r="294">
      <c r="A294" s="55" t="str">
        <f>IFERROR(__xludf.DUMMYFUNCTION("""COMPUTED_VALUE"""),"Brotato")</f>
        <v>Brotato</v>
      </c>
      <c r="B294" s="55" t="str">
        <f>IFERROR(__xludf.DUMMYFUNCTION("""COMPUTED_VALUE"""),"Xbox / PC")</f>
        <v>Xbox / PC</v>
      </c>
      <c r="C294" s="55" t="str">
        <f>IFERROR(__xludf.DUMMYFUNCTION("""COMPUTED_VALUE"""),"Yes")</f>
        <v>Yes</v>
      </c>
      <c r="D294" s="56" t="str">
        <f>IFERROR(__xludf.DUMMYFUNCTION("""COMPUTED_VALUE"""),"Active")</f>
        <v>Active</v>
      </c>
      <c r="E294" s="57">
        <f>IFERROR(__xludf.DUMMYFUNCTION("""COMPUTED_VALUE"""),45321.0)</f>
        <v>45321</v>
      </c>
      <c r="F294" s="58"/>
      <c r="G294" s="60">
        <f>IFERROR(__xludf.DUMMYFUNCTION("""COMPUTED_VALUE"""),32.199999999999996)</f>
        <v>32.2</v>
      </c>
      <c r="H294" s="63">
        <f>IFERROR(__xludf.DUMMYFUNCTION("""COMPUTED_VALUE"""),44619.0)</f>
        <v>44619</v>
      </c>
      <c r="I294" s="60">
        <f>IFERROR(__xludf.DUMMYFUNCTION("""COMPUTED_VALUE"""),1.925)</f>
        <v>1.925</v>
      </c>
      <c r="J294" s="64">
        <f>IFERROR(__xludf.DUMMYFUNCTION("""COMPUTED_VALUE"""),76.0)</f>
        <v>76</v>
      </c>
      <c r="K294" s="64">
        <f>IFERROR(__xludf.DUMMYFUNCTION("""COMPUTED_VALUE"""),5.0)</f>
        <v>5</v>
      </c>
      <c r="L294" s="55" t="str">
        <f>IFERROR(__xludf.DUMMYFUNCTION("""COMPUTED_VALUE"""),"Action")</f>
        <v>Action</v>
      </c>
      <c r="M294" s="55"/>
      <c r="N294" s="55"/>
      <c r="O294" s="55" t="str">
        <f>IFERROR(__xludf.DUMMYFUNCTION("""COMPUTED_VALUE"""),"RP")</f>
        <v>RP</v>
      </c>
      <c r="P294" s="55"/>
      <c r="Q294" s="55"/>
      <c r="R294" s="56" t="str">
        <f>IFERROR(__xludf.DUMMYFUNCTION("""COMPUTED_VALUE"""),"Active")</f>
        <v>Active</v>
      </c>
      <c r="S294" s="57">
        <f>IFERROR(__xludf.DUMMYFUNCTION("""COMPUTED_VALUE"""),45547.0)</f>
        <v>45547</v>
      </c>
      <c r="T294" s="60">
        <f>IFERROR(__xludf.DUMMYFUNCTION("""COMPUTED_VALUE"""),7.4)</f>
        <v>7.4</v>
      </c>
    </row>
    <row r="295">
      <c r="A295" s="55" t="str">
        <f>IFERROR(__xludf.DUMMYFUNCTION("""COMPUTED_VALUE"""),"Palworld")</f>
        <v>Palworld</v>
      </c>
      <c r="B295" s="55" t="str">
        <f>IFERROR(__xludf.DUMMYFUNCTION("""COMPUTED_VALUE"""),"Xbox / PC")</f>
        <v>Xbox / PC</v>
      </c>
      <c r="C295" s="55" t="str">
        <f>IFERROR(__xludf.DUMMYFUNCTION("""COMPUTED_VALUE"""),"Yes")</f>
        <v>Yes</v>
      </c>
      <c r="D295" s="56" t="str">
        <f>IFERROR(__xludf.DUMMYFUNCTION("""COMPUTED_VALUE"""),"Active")</f>
        <v>Active</v>
      </c>
      <c r="E295" s="57">
        <f>IFERROR(__xludf.DUMMYFUNCTION("""COMPUTED_VALUE"""),45310.0)</f>
        <v>45310</v>
      </c>
      <c r="F295" s="58"/>
      <c r="G295" s="60">
        <f>IFERROR(__xludf.DUMMYFUNCTION("""COMPUTED_VALUE"""),32.56666666666667)</f>
        <v>32.56666667</v>
      </c>
      <c r="H295" s="63">
        <f>IFERROR(__xludf.DUMMYFUNCTION("""COMPUTED_VALUE"""),45310.0)</f>
        <v>45310</v>
      </c>
      <c r="I295" s="60">
        <f>IFERROR(__xludf.DUMMYFUNCTION("""COMPUTED_VALUE"""),0.0)</f>
        <v>0</v>
      </c>
      <c r="J295" s="64">
        <f>IFERROR(__xludf.DUMMYFUNCTION("""COMPUTED_VALUE"""),78.0)</f>
        <v>78</v>
      </c>
      <c r="K295" s="64">
        <f>IFERROR(__xludf.DUMMYFUNCTION("""COMPUTED_VALUE"""),31.0)</f>
        <v>31</v>
      </c>
      <c r="L295" s="55" t="str">
        <f>IFERROR(__xludf.DUMMYFUNCTION("""COMPUTED_VALUE"""),"Action")</f>
        <v>Action</v>
      </c>
      <c r="M295" s="55"/>
      <c r="N295" s="55" t="str">
        <f>IFERROR(__xludf.DUMMYFUNCTION("""COMPUTED_VALUE"""),"1.0 launched 7/10, leaves game preview")</f>
        <v>1.0 launched 7/10, leaves game preview</v>
      </c>
      <c r="O295" s="55" t="str">
        <f>IFERROR(__xludf.DUMMYFUNCTION("""COMPUTED_VALUE"""),"RP")</f>
        <v>RP</v>
      </c>
      <c r="P295" s="55"/>
      <c r="Q295" s="55"/>
      <c r="R295" s="56" t="str">
        <f>IFERROR(__xludf.DUMMYFUNCTION("""COMPUTED_VALUE"""),"Active")</f>
        <v>Active</v>
      </c>
      <c r="S295" s="57">
        <f>IFERROR(__xludf.DUMMYFUNCTION("""COMPUTED_VALUE"""),45547.0)</f>
        <v>45547</v>
      </c>
      <c r="T295" s="60">
        <f>IFERROR(__xludf.DUMMYFUNCTION("""COMPUTED_VALUE"""),7.7666666666666675)</f>
        <v>7.766666667</v>
      </c>
    </row>
    <row r="296">
      <c r="A296" s="55" t="str">
        <f>IFERROR(__xludf.DUMMYFUNCTION("""COMPUTED_VALUE"""),"Resident Evil 2 (2019)")</f>
        <v>Resident Evil 2 (2019)</v>
      </c>
      <c r="B296" s="55" t="str">
        <f>IFERROR(__xludf.DUMMYFUNCTION("""COMPUTED_VALUE"""),"Xbox / PC")</f>
        <v>Xbox / PC</v>
      </c>
      <c r="C296" s="55" t="str">
        <f>IFERROR(__xludf.DUMMYFUNCTION("""COMPUTED_VALUE"""),"Yes")</f>
        <v>Yes</v>
      </c>
      <c r="D296" s="56" t="str">
        <f>IFERROR(__xludf.DUMMYFUNCTION("""COMPUTED_VALUE"""),"Active")</f>
        <v>Active</v>
      </c>
      <c r="E296" s="57">
        <f>IFERROR(__xludf.DUMMYFUNCTION("""COMPUTED_VALUE"""),45307.0)</f>
        <v>45307</v>
      </c>
      <c r="F296" s="58"/>
      <c r="G296" s="60">
        <f>IFERROR(__xludf.DUMMYFUNCTION("""COMPUTED_VALUE"""),32.66666666666667)</f>
        <v>32.66666667</v>
      </c>
      <c r="H296" s="63">
        <f>IFERROR(__xludf.DUMMYFUNCTION("""COMPUTED_VALUE"""),43480.0)</f>
        <v>43480</v>
      </c>
      <c r="I296" s="60">
        <f>IFERROR(__xludf.DUMMYFUNCTION("""COMPUTED_VALUE"""),5.002777777777778)</f>
        <v>5.002777778</v>
      </c>
      <c r="J296" s="64">
        <f>IFERROR(__xludf.DUMMYFUNCTION("""COMPUTED_VALUE"""),91.0)</f>
        <v>91</v>
      </c>
      <c r="K296" s="64">
        <f>IFERROR(__xludf.DUMMYFUNCTION("""COMPUTED_VALUE"""),9.0)</f>
        <v>9</v>
      </c>
      <c r="L296" s="55" t="str">
        <f>IFERROR(__xludf.DUMMYFUNCTION("""COMPUTED_VALUE"""),"Shooter")</f>
        <v>Shooter</v>
      </c>
      <c r="M296" s="55"/>
      <c r="N296" s="55"/>
      <c r="O296" s="55"/>
      <c r="P296" s="55"/>
      <c r="Q296" s="55"/>
      <c r="R296" s="56" t="str">
        <f>IFERROR(__xludf.DUMMYFUNCTION("""COMPUTED_VALUE"""),"Active")</f>
        <v>Active</v>
      </c>
      <c r="S296" s="57">
        <f>IFERROR(__xludf.DUMMYFUNCTION("""COMPUTED_VALUE"""),45547.0)</f>
        <v>45547</v>
      </c>
      <c r="T296" s="60">
        <f>IFERROR(__xludf.DUMMYFUNCTION("""COMPUTED_VALUE"""),7.866666666666667)</f>
        <v>7.866666667</v>
      </c>
    </row>
    <row r="297">
      <c r="A297" s="55" t="str">
        <f>IFERROR(__xludf.DUMMYFUNCTION("""COMPUTED_VALUE"""),"Super Mega Baseball 4")</f>
        <v>Super Mega Baseball 4</v>
      </c>
      <c r="B297" s="55" t="str">
        <f>IFERROR(__xludf.DUMMYFUNCTION("""COMPUTED_VALUE"""),"Xbox / PC")</f>
        <v>Xbox / PC</v>
      </c>
      <c r="C297" s="55" t="str">
        <f>IFERROR(__xludf.DUMMYFUNCTION("""COMPUTED_VALUE"""),"Yes")</f>
        <v>Yes</v>
      </c>
      <c r="D297" s="56" t="str">
        <f>IFERROR(__xludf.DUMMYFUNCTION("""COMPUTED_VALUE"""),"Active")</f>
        <v>Active</v>
      </c>
      <c r="E297" s="57">
        <f>IFERROR(__xludf.DUMMYFUNCTION("""COMPUTED_VALUE"""),45302.0)</f>
        <v>45302</v>
      </c>
      <c r="F297" s="58"/>
      <c r="G297" s="60">
        <f>IFERROR(__xludf.DUMMYFUNCTION("""COMPUTED_VALUE"""),32.833333333333336)</f>
        <v>32.83333333</v>
      </c>
      <c r="H297" s="63">
        <f>IFERROR(__xludf.DUMMYFUNCTION("""COMPUTED_VALUE"""),45079.0)</f>
        <v>45079</v>
      </c>
      <c r="I297" s="60">
        <f>IFERROR(__xludf.DUMMYFUNCTION("""COMPUTED_VALUE"""),0.6083333333333333)</f>
        <v>0.6083333333</v>
      </c>
      <c r="J297" s="64">
        <f>IFERROR(__xludf.DUMMYFUNCTION("""COMPUTED_VALUE"""),79.0)</f>
        <v>79</v>
      </c>
      <c r="K297" s="64">
        <f>IFERROR(__xludf.DUMMYFUNCTION("""COMPUTED_VALUE"""),12.0)</f>
        <v>12</v>
      </c>
      <c r="L297" s="55" t="str">
        <f>IFERROR(__xludf.DUMMYFUNCTION("""COMPUTED_VALUE"""),"Sports")</f>
        <v>Sports</v>
      </c>
      <c r="M297" s="55"/>
      <c r="N297" s="55"/>
      <c r="O297" s="55"/>
      <c r="P297" s="55"/>
      <c r="Q297" s="55"/>
      <c r="R297" s="56" t="str">
        <f>IFERROR(__xludf.DUMMYFUNCTION("""COMPUTED_VALUE"""),"Active")</f>
        <v>Active</v>
      </c>
      <c r="S297" s="57">
        <f>IFERROR(__xludf.DUMMYFUNCTION("""COMPUTED_VALUE"""),45547.0)</f>
        <v>45547</v>
      </c>
      <c r="T297" s="60">
        <f>IFERROR(__xludf.DUMMYFUNCTION("""COMPUTED_VALUE"""),8.033333333333333)</f>
        <v>8.033333333</v>
      </c>
    </row>
    <row r="298">
      <c r="A298" s="55" t="str">
        <f>IFERROR(__xludf.DUMMYFUNCTION("""COMPUTED_VALUE"""),"We Happy Few")</f>
        <v>We Happy Few</v>
      </c>
      <c r="B298" s="55" t="str">
        <f>IFERROR(__xludf.DUMMYFUNCTION("""COMPUTED_VALUE"""),"Xbox / PC")</f>
        <v>Xbox / PC</v>
      </c>
      <c r="C298" s="55" t="str">
        <f>IFERROR(__xludf.DUMMYFUNCTION("""COMPUTED_VALUE"""),"Yes")</f>
        <v>Yes</v>
      </c>
      <c r="D298" s="56" t="str">
        <f>IFERROR(__xludf.DUMMYFUNCTION("""COMPUTED_VALUE"""),"Active")</f>
        <v>Active</v>
      </c>
      <c r="E298" s="57">
        <f>IFERROR(__xludf.DUMMYFUNCTION("""COMPUTED_VALUE"""),45302.0)</f>
        <v>45302</v>
      </c>
      <c r="F298" s="58"/>
      <c r="G298" s="60">
        <f>IFERROR(__xludf.DUMMYFUNCTION("""COMPUTED_VALUE"""),32.833333333333336)</f>
        <v>32.83333333</v>
      </c>
      <c r="H298" s="63">
        <f>IFERROR(__xludf.DUMMYFUNCTION("""COMPUTED_VALUE"""),43322.0)</f>
        <v>43322</v>
      </c>
      <c r="I298" s="60">
        <f>IFERROR(__xludf.DUMMYFUNCTION("""COMPUTED_VALUE"""),5.419444444444444)</f>
        <v>5.419444444</v>
      </c>
      <c r="J298" s="64">
        <f>IFERROR(__xludf.DUMMYFUNCTION("""COMPUTED_VALUE"""),64.0)</f>
        <v>64</v>
      </c>
      <c r="K298" s="64">
        <f>IFERROR(__xludf.DUMMYFUNCTION("""COMPUTED_VALUE"""),21.0)</f>
        <v>21</v>
      </c>
      <c r="L298" s="55" t="str">
        <f>IFERROR(__xludf.DUMMYFUNCTION("""COMPUTED_VALUE"""),"Shooter")</f>
        <v>Shooter</v>
      </c>
      <c r="M298" s="55" t="str">
        <f>IFERROR(__xludf.DUMMYFUNCTION("""COMPUTED_VALUE"""),"Optimized")</f>
        <v>Optimized</v>
      </c>
      <c r="N298" s="55" t="str">
        <f>IFERROR(__xludf.DUMMYFUNCTION("""COMPUTED_VALUE"""),"Returning title: Added 1/17/19, left 1/15/23")</f>
        <v>Returning title: Added 1/17/19, left 1/15/23</v>
      </c>
      <c r="O298" s="55" t="str">
        <f>IFERROR(__xludf.DUMMYFUNCTION("""COMPUTED_VALUE"""),"M")</f>
        <v>M</v>
      </c>
      <c r="P298" s="55" t="str">
        <f>IFERROR(__xludf.DUMMYFUNCTION("""COMPUTED_VALUE"""),"Use Of Drugs And Alcohol, Blood, Suggestive Themes, Strong Language, Violence")</f>
        <v>Use Of Drugs And Alcohol, Blood, Suggestive Themes, Strong Language, Violence</v>
      </c>
      <c r="Q298" s="55"/>
      <c r="R298" s="56" t="str">
        <f>IFERROR(__xludf.DUMMYFUNCTION("""COMPUTED_VALUE"""),"Active")</f>
        <v>Active</v>
      </c>
      <c r="S298" s="57">
        <f>IFERROR(__xludf.DUMMYFUNCTION("""COMPUTED_VALUE"""),45547.0)</f>
        <v>45547</v>
      </c>
      <c r="T298" s="60">
        <f>IFERROR(__xludf.DUMMYFUNCTION("""COMPUTED_VALUE"""),8.033333333333333)</f>
        <v>8.033333333</v>
      </c>
    </row>
    <row r="299">
      <c r="A299" s="55" t="str">
        <f>IFERROR(__xludf.DUMMYFUNCTION("""COMPUTED_VALUE"""),"Assassin's Creed Valhalla")</f>
        <v>Assassin's Creed Valhalla</v>
      </c>
      <c r="B299" s="55" t="str">
        <f>IFERROR(__xludf.DUMMYFUNCTION("""COMPUTED_VALUE"""),"Xbox / PC")</f>
        <v>Xbox / PC</v>
      </c>
      <c r="C299" s="55" t="str">
        <f>IFERROR(__xludf.DUMMYFUNCTION("""COMPUTED_VALUE"""),"Yes")</f>
        <v>Yes</v>
      </c>
      <c r="D299" s="56" t="str">
        <f>IFERROR(__xludf.DUMMYFUNCTION("""COMPUTED_VALUE"""),"Active")</f>
        <v>Active</v>
      </c>
      <c r="E299" s="57">
        <f>IFERROR(__xludf.DUMMYFUNCTION("""COMPUTED_VALUE"""),45300.0)</f>
        <v>45300</v>
      </c>
      <c r="F299" s="58"/>
      <c r="G299" s="60">
        <f>IFERROR(__xludf.DUMMYFUNCTION("""COMPUTED_VALUE"""),32.9)</f>
        <v>32.9</v>
      </c>
      <c r="H299" s="63">
        <f>IFERROR(__xludf.DUMMYFUNCTION("""COMPUTED_VALUE"""),44145.0)</f>
        <v>44145</v>
      </c>
      <c r="I299" s="60">
        <f>IFERROR(__xludf.DUMMYFUNCTION("""COMPUTED_VALUE"""),3.1638888888888888)</f>
        <v>3.163888889</v>
      </c>
      <c r="J299" s="64">
        <f>IFERROR(__xludf.DUMMYFUNCTION("""COMPUTED_VALUE"""),80.0)</f>
        <v>80</v>
      </c>
      <c r="K299" s="64">
        <f>IFERROR(__xludf.DUMMYFUNCTION("""COMPUTED_VALUE"""),61.0)</f>
        <v>61</v>
      </c>
      <c r="L299" s="55" t="str">
        <f>IFERROR(__xludf.DUMMYFUNCTION("""COMPUTED_VALUE"""),"RPG")</f>
        <v>RPG</v>
      </c>
      <c r="M299" s="55"/>
      <c r="N299" s="55" t="str">
        <f>IFERROR(__xludf.DUMMYFUNCTION("""COMPUTED_VALUE"""),"Ubisoft Connect launcher")</f>
        <v>Ubisoft Connect launcher</v>
      </c>
      <c r="O299" s="55"/>
      <c r="P299" s="55"/>
      <c r="Q299" s="55"/>
      <c r="R299" s="56" t="str">
        <f>IFERROR(__xludf.DUMMYFUNCTION("""COMPUTED_VALUE"""),"Active")</f>
        <v>Active</v>
      </c>
      <c r="S299" s="57">
        <f>IFERROR(__xludf.DUMMYFUNCTION("""COMPUTED_VALUE"""),45547.0)</f>
        <v>45547</v>
      </c>
      <c r="T299" s="60">
        <f>IFERROR(__xludf.DUMMYFUNCTION("""COMPUTED_VALUE"""),8.100000000000001)</f>
        <v>8.1</v>
      </c>
    </row>
    <row r="300">
      <c r="A300" s="55" t="str">
        <f>IFERROR(__xludf.DUMMYFUNCTION("""COMPUTED_VALUE"""),"Far Cry 6")</f>
        <v>Far Cry 6</v>
      </c>
      <c r="B300" s="55" t="str">
        <f>IFERROR(__xludf.DUMMYFUNCTION("""COMPUTED_VALUE"""),"Xbox / PC")</f>
        <v>Xbox / PC</v>
      </c>
      <c r="C300" s="55" t="str">
        <f>IFERROR(__xludf.DUMMYFUNCTION("""COMPUTED_VALUE"""),"Yes")</f>
        <v>Yes</v>
      </c>
      <c r="D300" s="56" t="str">
        <f>IFERROR(__xludf.DUMMYFUNCTION("""COMPUTED_VALUE"""),"Active")</f>
        <v>Active</v>
      </c>
      <c r="E300" s="57">
        <f>IFERROR(__xludf.DUMMYFUNCTION("""COMPUTED_VALUE"""),45274.0)</f>
        <v>45274</v>
      </c>
      <c r="F300" s="58"/>
      <c r="G300" s="60">
        <f>IFERROR(__xludf.DUMMYFUNCTION("""COMPUTED_VALUE"""),33.733333333333334)</f>
        <v>33.73333333</v>
      </c>
      <c r="H300" s="63">
        <f>IFERROR(__xludf.DUMMYFUNCTION("""COMPUTED_VALUE"""),44476.0)</f>
        <v>44476</v>
      </c>
      <c r="I300" s="60">
        <f>IFERROR(__xludf.DUMMYFUNCTION("""COMPUTED_VALUE"""),2.186111111111111)</f>
        <v>2.186111111</v>
      </c>
      <c r="J300" s="64">
        <f>IFERROR(__xludf.DUMMYFUNCTION("""COMPUTED_VALUE"""),73.0)</f>
        <v>73</v>
      </c>
      <c r="K300" s="64">
        <f>IFERROR(__xludf.DUMMYFUNCTION("""COMPUTED_VALUE"""),24.0)</f>
        <v>24</v>
      </c>
      <c r="L300" s="55" t="str">
        <f>IFERROR(__xludf.DUMMYFUNCTION("""COMPUTED_VALUE"""),"Shooter")</f>
        <v>Shooter</v>
      </c>
      <c r="M300" s="55"/>
      <c r="N300" s="55" t="str">
        <f>IFERROR(__xludf.DUMMYFUNCTION("""COMPUTED_VALUE"""),"Ubisoft Connect launcher")</f>
        <v>Ubisoft Connect launcher</v>
      </c>
      <c r="O300" s="55"/>
      <c r="P300" s="55"/>
      <c r="Q300" s="55"/>
      <c r="R300" s="56" t="str">
        <f>IFERROR(__xludf.DUMMYFUNCTION("""COMPUTED_VALUE"""),"Active")</f>
        <v>Active</v>
      </c>
      <c r="S300" s="57">
        <f>IFERROR(__xludf.DUMMYFUNCTION("""COMPUTED_VALUE"""),45547.0)</f>
        <v>45547</v>
      </c>
      <c r="T300" s="60">
        <f>IFERROR(__xludf.DUMMYFUNCTION("""COMPUTED_VALUE"""),8.933333333333334)</f>
        <v>8.933333333</v>
      </c>
    </row>
    <row r="301">
      <c r="A301" s="55" t="str">
        <f>IFERROR(__xludf.DUMMYFUNCTION("""COMPUTED_VALUE"""),"Goat Simulator 3")</f>
        <v>Goat Simulator 3</v>
      </c>
      <c r="B301" s="55" t="str">
        <f>IFERROR(__xludf.DUMMYFUNCTION("""COMPUTED_VALUE"""),"Xbox / PC")</f>
        <v>Xbox / PC</v>
      </c>
      <c r="C301" s="55" t="str">
        <f>IFERROR(__xludf.DUMMYFUNCTION("""COMPUTED_VALUE"""),"Yes")</f>
        <v>Yes</v>
      </c>
      <c r="D301" s="56" t="str">
        <f>IFERROR(__xludf.DUMMYFUNCTION("""COMPUTED_VALUE"""),"Active")</f>
        <v>Active</v>
      </c>
      <c r="E301" s="57">
        <f>IFERROR(__xludf.DUMMYFUNCTION("""COMPUTED_VALUE"""),45267.0)</f>
        <v>45267</v>
      </c>
      <c r="F301" s="58"/>
      <c r="G301" s="60">
        <f>IFERROR(__xludf.DUMMYFUNCTION("""COMPUTED_VALUE"""),33.96666666666667)</f>
        <v>33.96666667</v>
      </c>
      <c r="H301" s="63">
        <f>IFERROR(__xludf.DUMMYFUNCTION("""COMPUTED_VALUE"""),44882.0)</f>
        <v>44882</v>
      </c>
      <c r="I301" s="60">
        <f>IFERROR(__xludf.DUMMYFUNCTION("""COMPUTED_VALUE"""),1.0555555555555556)</f>
        <v>1.055555556</v>
      </c>
      <c r="J301" s="64">
        <f>IFERROR(__xludf.DUMMYFUNCTION("""COMPUTED_VALUE"""),68.0)</f>
        <v>68</v>
      </c>
      <c r="K301" s="64">
        <f>IFERROR(__xludf.DUMMYFUNCTION("""COMPUTED_VALUE"""),8.0)</f>
        <v>8</v>
      </c>
      <c r="L301" s="55" t="str">
        <f>IFERROR(__xludf.DUMMYFUNCTION("""COMPUTED_VALUE"""),"Simulation")</f>
        <v>Simulation</v>
      </c>
      <c r="M301" s="55" t="str">
        <f>IFERROR(__xludf.DUMMYFUNCTION("""COMPUTED_VALUE"""),"Exclusive")</f>
        <v>Exclusive</v>
      </c>
      <c r="N301" s="55"/>
      <c r="O301" s="55"/>
      <c r="P301" s="55"/>
      <c r="Q301" s="55"/>
      <c r="R301" s="56" t="str">
        <f>IFERROR(__xludf.DUMMYFUNCTION("""COMPUTED_VALUE"""),"Active")</f>
        <v>Active</v>
      </c>
      <c r="S301" s="57">
        <f>IFERROR(__xludf.DUMMYFUNCTION("""COMPUTED_VALUE"""),45547.0)</f>
        <v>45547</v>
      </c>
      <c r="T301" s="60">
        <f>IFERROR(__xludf.DUMMYFUNCTION("""COMPUTED_VALUE"""),9.166666666666666)</f>
        <v>9.166666667</v>
      </c>
    </row>
    <row r="302">
      <c r="A302" s="55" t="str">
        <f>IFERROR(__xludf.DUMMYFUNCTION("""COMPUTED_VALUE"""),"Clone Drone in the Danger Zone")</f>
        <v>Clone Drone in the Danger Zone</v>
      </c>
      <c r="B302" s="55" t="str">
        <f>IFERROR(__xludf.DUMMYFUNCTION("""COMPUTED_VALUE"""),"Xbox / PC")</f>
        <v>Xbox / PC</v>
      </c>
      <c r="C302" s="55" t="str">
        <f>IFERROR(__xludf.DUMMYFUNCTION("""COMPUTED_VALUE"""),"Yes")</f>
        <v>Yes</v>
      </c>
      <c r="D302" s="56" t="str">
        <f>IFERROR(__xludf.DUMMYFUNCTION("""COMPUTED_VALUE"""),"Active")</f>
        <v>Active</v>
      </c>
      <c r="E302" s="57">
        <f>IFERROR(__xludf.DUMMYFUNCTION("""COMPUTED_VALUE"""),45265.0)</f>
        <v>45265</v>
      </c>
      <c r="F302" s="58"/>
      <c r="G302" s="60">
        <f>IFERROR(__xludf.DUMMYFUNCTION("""COMPUTED_VALUE"""),34.03333333333333)</f>
        <v>34.03333333</v>
      </c>
      <c r="H302" s="63">
        <f>IFERROR(__xludf.DUMMYFUNCTION("""COMPUTED_VALUE"""),42702.0)</f>
        <v>42702</v>
      </c>
      <c r="I302" s="60">
        <f>IFERROR(__xludf.DUMMYFUNCTION("""COMPUTED_VALUE"""),7.019444444444445)</f>
        <v>7.019444444</v>
      </c>
      <c r="J302" s="64">
        <f>IFERROR(__xludf.DUMMYFUNCTION("""COMPUTED_VALUE"""),82.0)</f>
        <v>82</v>
      </c>
      <c r="K302" s="64">
        <f>IFERROR(__xludf.DUMMYFUNCTION("""COMPUTED_VALUE"""),2.0)</f>
        <v>2</v>
      </c>
      <c r="L302" s="55" t="str">
        <f>IFERROR(__xludf.DUMMYFUNCTION("""COMPUTED_VALUE"""),"Action")</f>
        <v>Action</v>
      </c>
      <c r="M302" s="55" t="str">
        <f>IFERROR(__xludf.DUMMYFUNCTION("""COMPUTED_VALUE"""),"Exclusive")</f>
        <v>Exclusive</v>
      </c>
      <c r="N302" s="55"/>
      <c r="O302" s="55"/>
      <c r="P302" s="55"/>
      <c r="Q302" s="55"/>
      <c r="R302" s="56" t="str">
        <f>IFERROR(__xludf.DUMMYFUNCTION("""COMPUTED_VALUE"""),"Active")</f>
        <v>Active</v>
      </c>
      <c r="S302" s="57">
        <f>IFERROR(__xludf.DUMMYFUNCTION("""COMPUTED_VALUE"""),45547.0)</f>
        <v>45547</v>
      </c>
      <c r="T302" s="60">
        <f>IFERROR(__xludf.DUMMYFUNCTION("""COMPUTED_VALUE"""),9.233333333333334)</f>
        <v>9.233333333</v>
      </c>
    </row>
    <row r="303">
      <c r="A303" s="55" t="str">
        <f>IFERROR(__xludf.DUMMYFUNCTION("""COMPUTED_VALUE"""),"World War Z: Aftermath")</f>
        <v>World War Z: Aftermath</v>
      </c>
      <c r="B303" s="55" t="str">
        <f>IFERROR(__xludf.DUMMYFUNCTION("""COMPUTED_VALUE"""),"Xbox / PC")</f>
        <v>Xbox / PC</v>
      </c>
      <c r="C303" s="55" t="str">
        <f>IFERROR(__xludf.DUMMYFUNCTION("""COMPUTED_VALUE"""),"Yes")</f>
        <v>Yes</v>
      </c>
      <c r="D303" s="56" t="str">
        <f>IFERROR(__xludf.DUMMYFUNCTION("""COMPUTED_VALUE"""),"Active")</f>
        <v>Active</v>
      </c>
      <c r="E303" s="57">
        <f>IFERROR(__xludf.DUMMYFUNCTION("""COMPUTED_VALUE"""),45265.0)</f>
        <v>45265</v>
      </c>
      <c r="F303" s="58"/>
      <c r="G303" s="60">
        <f>IFERROR(__xludf.DUMMYFUNCTION("""COMPUTED_VALUE"""),34.03333333333333)</f>
        <v>34.03333333</v>
      </c>
      <c r="H303" s="63">
        <f>IFERROR(__xludf.DUMMYFUNCTION("""COMPUTED_VALUE"""),43571.0)</f>
        <v>43571</v>
      </c>
      <c r="I303" s="60">
        <f>IFERROR(__xludf.DUMMYFUNCTION("""COMPUTED_VALUE"""),4.636111111111111)</f>
        <v>4.636111111</v>
      </c>
      <c r="J303" s="64">
        <f>IFERROR(__xludf.DUMMYFUNCTION("""COMPUTED_VALUE"""),73.0)</f>
        <v>73</v>
      </c>
      <c r="K303" s="64">
        <f>IFERROR(__xludf.DUMMYFUNCTION("""COMPUTED_VALUE"""),7.0)</f>
        <v>7</v>
      </c>
      <c r="L303" s="55" t="str">
        <f>IFERROR(__xludf.DUMMYFUNCTION("""COMPUTED_VALUE"""),"Action")</f>
        <v>Action</v>
      </c>
      <c r="M303" s="55"/>
      <c r="N303" s="55" t="str">
        <f>IFERROR(__xludf.DUMMYFUNCTION("""COMPUTED_VALUE"""),"Game Pass Essential (12/3/25), Returning title: Joined 10/10/19, left 8/31/22 (original game)")</f>
        <v>Game Pass Essential (12/3/25), Returning title: Joined 10/10/19, left 8/31/22 (original game)</v>
      </c>
      <c r="O303" s="55" t="str">
        <f>IFERROR(__xludf.DUMMYFUNCTION("""COMPUTED_VALUE"""),"M")</f>
        <v>M</v>
      </c>
      <c r="P303" s="55" t="str">
        <f>IFERROR(__xludf.DUMMYFUNCTION("""COMPUTED_VALUE"""),"Blood and Gore, Intense Violence, Strong Language")</f>
        <v>Blood and Gore, Intense Violence, Strong Language</v>
      </c>
      <c r="Q303" s="55"/>
      <c r="R303" s="56" t="str">
        <f>IFERROR(__xludf.DUMMYFUNCTION("""COMPUTED_VALUE"""),"Active")</f>
        <v>Active</v>
      </c>
      <c r="S303" s="57">
        <f>IFERROR(__xludf.DUMMYFUNCTION("""COMPUTED_VALUE"""),45547.0)</f>
        <v>45547</v>
      </c>
      <c r="T303" s="60">
        <f>IFERROR(__xludf.DUMMYFUNCTION("""COMPUTED_VALUE"""),9.233333333333334)</f>
        <v>9.233333333</v>
      </c>
    </row>
    <row r="304">
      <c r="A304" s="55" t="str">
        <f>IFERROR(__xludf.DUMMYFUNCTION("""COMPUTED_VALUE"""),"Wild Hearts")</f>
        <v>Wild Hearts</v>
      </c>
      <c r="B304" s="55" t="str">
        <f>IFERROR(__xludf.DUMMYFUNCTION("""COMPUTED_VALUE"""),"Xbox / PC")</f>
        <v>Xbox / PC</v>
      </c>
      <c r="C304" s="55" t="str">
        <f>IFERROR(__xludf.DUMMYFUNCTION("""COMPUTED_VALUE"""),"Yes")</f>
        <v>Yes</v>
      </c>
      <c r="D304" s="56" t="str">
        <f>IFERROR(__xludf.DUMMYFUNCTION("""COMPUTED_VALUE"""),"Active")</f>
        <v>Active</v>
      </c>
      <c r="E304" s="57">
        <f>IFERROR(__xludf.DUMMYFUNCTION("""COMPUTED_VALUE"""),45239.0)</f>
        <v>45239</v>
      </c>
      <c r="F304" s="58"/>
      <c r="G304" s="60">
        <f>IFERROR(__xludf.DUMMYFUNCTION("""COMPUTED_VALUE"""),34.9)</f>
        <v>34.9</v>
      </c>
      <c r="H304" s="63">
        <f>IFERROR(__xludf.DUMMYFUNCTION("""COMPUTED_VALUE"""),44974.0)</f>
        <v>44974</v>
      </c>
      <c r="I304" s="60">
        <f>IFERROR(__xludf.DUMMYFUNCTION("""COMPUTED_VALUE"""),0.7277777777777777)</f>
        <v>0.7277777778</v>
      </c>
      <c r="J304" s="64">
        <f>IFERROR(__xludf.DUMMYFUNCTION("""COMPUTED_VALUE"""),79.0)</f>
        <v>79</v>
      </c>
      <c r="K304" s="64">
        <f>IFERROR(__xludf.DUMMYFUNCTION("""COMPUTED_VALUE"""),46.0)</f>
        <v>46</v>
      </c>
      <c r="L304" s="55" t="str">
        <f>IFERROR(__xludf.DUMMYFUNCTION("""COMPUTED_VALUE"""),"Action-Adventure")</f>
        <v>Action-Adventure</v>
      </c>
      <c r="M304" s="55"/>
      <c r="N304" s="55"/>
      <c r="O304" s="55"/>
      <c r="P304" s="55"/>
      <c r="Q304" s="55"/>
      <c r="R304" s="56" t="str">
        <f>IFERROR(__xludf.DUMMYFUNCTION("""COMPUTED_VALUE"""),"Active")</f>
        <v>Active</v>
      </c>
      <c r="S304" s="57">
        <f>IFERROR(__xludf.DUMMYFUNCTION("""COMPUTED_VALUE"""),45547.0)</f>
        <v>45547</v>
      </c>
      <c r="T304" s="60">
        <f>IFERROR(__xludf.DUMMYFUNCTION("""COMPUTED_VALUE"""),10.1)</f>
        <v>10.1</v>
      </c>
    </row>
    <row r="305">
      <c r="A305" s="55" t="str">
        <f>IFERROR(__xludf.DUMMYFUNCTION("""COMPUTED_VALUE"""),"Wartales")</f>
        <v>Wartales</v>
      </c>
      <c r="B305" s="55" t="str">
        <f>IFERROR(__xludf.DUMMYFUNCTION("""COMPUTED_VALUE"""),"Xbox / PC")</f>
        <v>Xbox / PC</v>
      </c>
      <c r="C305" s="55" t="str">
        <f>IFERROR(__xludf.DUMMYFUNCTION("""COMPUTED_VALUE"""),"Yes")</f>
        <v>Yes</v>
      </c>
      <c r="D305" s="56" t="str">
        <f>IFERROR(__xludf.DUMMYFUNCTION("""COMPUTED_VALUE"""),"Active")</f>
        <v>Active</v>
      </c>
      <c r="E305" s="57">
        <f>IFERROR(__xludf.DUMMYFUNCTION("""COMPUTED_VALUE"""),45230.0)</f>
        <v>45230</v>
      </c>
      <c r="F305" s="58"/>
      <c r="G305" s="60">
        <f>IFERROR(__xludf.DUMMYFUNCTION("""COMPUTED_VALUE"""),35.199999999999996)</f>
        <v>35.2</v>
      </c>
      <c r="H305" s="63">
        <f>IFERROR(__xludf.DUMMYFUNCTION("""COMPUTED_VALUE"""),44531.0)</f>
        <v>44531</v>
      </c>
      <c r="I305" s="60">
        <f>IFERROR(__xludf.DUMMYFUNCTION("""COMPUTED_VALUE"""),1.913888888888889)</f>
        <v>1.913888889</v>
      </c>
      <c r="J305" s="64">
        <f>IFERROR(__xludf.DUMMYFUNCTION("""COMPUTED_VALUE"""),80.0)</f>
        <v>80</v>
      </c>
      <c r="K305" s="64">
        <f>IFERROR(__xludf.DUMMYFUNCTION("""COMPUTED_VALUE"""),38.0)</f>
        <v>38</v>
      </c>
      <c r="L305" s="55" t="str">
        <f>IFERROR(__xludf.DUMMYFUNCTION("""COMPUTED_VALUE"""),"RPG")</f>
        <v>RPG</v>
      </c>
      <c r="M305" s="55"/>
      <c r="N305" s="55" t="str">
        <f>IFERROR(__xludf.DUMMYFUNCTION("""COMPUTED_VALUE"""),"Joined xbox one ine June 2024")</f>
        <v>Joined xbox one ine June 2024</v>
      </c>
      <c r="O305" s="55"/>
      <c r="P305" s="55"/>
      <c r="Q305" s="55"/>
      <c r="R305" s="56" t="str">
        <f>IFERROR(__xludf.DUMMYFUNCTION("""COMPUTED_VALUE"""),"Active")</f>
        <v>Active</v>
      </c>
      <c r="S305" s="57">
        <f>IFERROR(__xludf.DUMMYFUNCTION("""COMPUTED_VALUE"""),45547.0)</f>
        <v>45547</v>
      </c>
      <c r="T305" s="60">
        <f>IFERROR(__xludf.DUMMYFUNCTION("""COMPUTED_VALUE"""),10.4)</f>
        <v>10.4</v>
      </c>
    </row>
    <row r="306">
      <c r="A306" s="55" t="str">
        <f>IFERROR(__xludf.DUMMYFUNCTION("""COMPUTED_VALUE"""),"Dead Space (2023)")</f>
        <v>Dead Space (2023)</v>
      </c>
      <c r="B306" s="55" t="str">
        <f>IFERROR(__xludf.DUMMYFUNCTION("""COMPUTED_VALUE"""),"Xbox / PC")</f>
        <v>Xbox / PC</v>
      </c>
      <c r="C306" s="55" t="str">
        <f>IFERROR(__xludf.DUMMYFUNCTION("""COMPUTED_VALUE"""),"Yes")</f>
        <v>Yes</v>
      </c>
      <c r="D306" s="56" t="str">
        <f>IFERROR(__xludf.DUMMYFUNCTION("""COMPUTED_VALUE"""),"Active")</f>
        <v>Active</v>
      </c>
      <c r="E306" s="57">
        <f>IFERROR(__xludf.DUMMYFUNCTION("""COMPUTED_VALUE"""),45225.0)</f>
        <v>45225</v>
      </c>
      <c r="F306" s="58"/>
      <c r="G306" s="60">
        <f>IFERROR(__xludf.DUMMYFUNCTION("""COMPUTED_VALUE"""),35.333333333333336)</f>
        <v>35.33333333</v>
      </c>
      <c r="H306" s="63">
        <f>IFERROR(__xludf.DUMMYFUNCTION("""COMPUTED_VALUE"""),44953.0)</f>
        <v>44953</v>
      </c>
      <c r="I306" s="60">
        <f>IFERROR(__xludf.DUMMYFUNCTION("""COMPUTED_VALUE"""),0.7472222222222222)</f>
        <v>0.7472222222</v>
      </c>
      <c r="J306" s="64">
        <f>IFERROR(__xludf.DUMMYFUNCTION("""COMPUTED_VALUE"""),88.0)</f>
        <v>88</v>
      </c>
      <c r="K306" s="64">
        <f>IFERROR(__xludf.DUMMYFUNCTION("""COMPUTED_VALUE"""),12.0)</f>
        <v>12</v>
      </c>
      <c r="L306" s="55" t="str">
        <f>IFERROR(__xludf.DUMMYFUNCTION("""COMPUTED_VALUE"""),"Shooter")</f>
        <v>Shooter</v>
      </c>
      <c r="M306" s="55" t="str">
        <f>IFERROR(__xludf.DUMMYFUNCTION("""COMPUTED_VALUE"""),"Exclusive")</f>
        <v>Exclusive</v>
      </c>
      <c r="N306" s="55"/>
      <c r="O306" s="55" t="str">
        <f>IFERROR(__xludf.DUMMYFUNCTION("""COMPUTED_VALUE"""),"M")</f>
        <v>M</v>
      </c>
      <c r="P306" s="55" t="str">
        <f>IFERROR(__xludf.DUMMYFUNCTION("""COMPUTED_VALUE"""),"Blood and Gore, Intense Violence, Strong Language")</f>
        <v>Blood and Gore, Intense Violence, Strong Language</v>
      </c>
      <c r="Q306" s="55"/>
      <c r="R306" s="56" t="str">
        <f>IFERROR(__xludf.DUMMYFUNCTION("""COMPUTED_VALUE"""),"Active")</f>
        <v>Active</v>
      </c>
      <c r="S306" s="57">
        <f>IFERROR(__xludf.DUMMYFUNCTION("""COMPUTED_VALUE"""),45547.0)</f>
        <v>45547</v>
      </c>
      <c r="T306" s="60">
        <f>IFERROR(__xludf.DUMMYFUNCTION("""COMPUTED_VALUE"""),10.533333333333333)</f>
        <v>10.53333333</v>
      </c>
    </row>
    <row r="307">
      <c r="A307" s="55" t="str">
        <f>IFERROR(__xludf.DUMMYFUNCTION("""COMPUTED_VALUE"""),"Call of the Wild: The Angler")</f>
        <v>Call of the Wild: The Angler</v>
      </c>
      <c r="B307" s="55" t="str">
        <f>IFERROR(__xludf.DUMMYFUNCTION("""COMPUTED_VALUE"""),"Xbox / PC")</f>
        <v>Xbox / PC</v>
      </c>
      <c r="C307" s="55"/>
      <c r="D307" s="56" t="str">
        <f>IFERROR(__xludf.DUMMYFUNCTION("""COMPUTED_VALUE"""),"Active")</f>
        <v>Active</v>
      </c>
      <c r="E307" s="57">
        <f>IFERROR(__xludf.DUMMYFUNCTION("""COMPUTED_VALUE"""),45167.0)</f>
        <v>45167</v>
      </c>
      <c r="F307" s="58"/>
      <c r="G307" s="60">
        <f>IFERROR(__xludf.DUMMYFUNCTION("""COMPUTED_VALUE"""),37.233333333333334)</f>
        <v>37.23333333</v>
      </c>
      <c r="H307" s="63">
        <f>IFERROR(__xludf.DUMMYFUNCTION("""COMPUTED_VALUE"""),44804.0)</f>
        <v>44804</v>
      </c>
      <c r="I307" s="60">
        <f>IFERROR(__xludf.DUMMYFUNCTION("""COMPUTED_VALUE"""),0.9972222222222222)</f>
        <v>0.9972222222</v>
      </c>
      <c r="J307" s="64">
        <f>IFERROR(__xludf.DUMMYFUNCTION("""COMPUTED_VALUE"""),63.0)</f>
        <v>63</v>
      </c>
      <c r="K307" s="64">
        <f>IFERROR(__xludf.DUMMYFUNCTION("""COMPUTED_VALUE"""),11.5)</f>
        <v>11.5</v>
      </c>
      <c r="L307" s="55" t="str">
        <f>IFERROR(__xludf.DUMMYFUNCTION("""COMPUTED_VALUE"""),"Sports")</f>
        <v>Sports</v>
      </c>
      <c r="M307" s="55"/>
      <c r="N307" s="55"/>
      <c r="O307" s="55" t="str">
        <f>IFERROR(__xludf.DUMMYFUNCTION("""COMPUTED_VALUE"""),"E")</f>
        <v>E</v>
      </c>
      <c r="P307" s="55" t="str">
        <f>IFERROR(__xludf.DUMMYFUNCTION("""COMPUTED_VALUE"""),"Mild Language, Tobacco Reference, Violent References")</f>
        <v>Mild Language, Tobacco Reference, Violent References</v>
      </c>
      <c r="Q307" s="55"/>
      <c r="R307" s="56" t="str">
        <f>IFERROR(__xludf.DUMMYFUNCTION("""COMPUTED_VALUE"""),"Active")</f>
        <v>Active</v>
      </c>
      <c r="S307" s="57">
        <f>IFERROR(__xludf.DUMMYFUNCTION("""COMPUTED_VALUE"""),45547.0)</f>
        <v>45547</v>
      </c>
      <c r="T307" s="60">
        <f>IFERROR(__xludf.DUMMYFUNCTION("""COMPUTED_VALUE"""),12.433333333333334)</f>
        <v>12.43333333</v>
      </c>
    </row>
    <row r="308">
      <c r="A308" s="55" t="str">
        <f>IFERROR(__xludf.DUMMYFUNCTION("""COMPUTED_VALUE"""),"Limbo")</f>
        <v>Limbo</v>
      </c>
      <c r="B308" s="55" t="str">
        <f>IFERROR(__xludf.DUMMYFUNCTION("""COMPUTED_VALUE"""),"Xbox / PC")</f>
        <v>Xbox / PC</v>
      </c>
      <c r="C308" s="55" t="str">
        <f>IFERROR(__xludf.DUMMYFUNCTION("""COMPUTED_VALUE"""),"Yes")</f>
        <v>Yes</v>
      </c>
      <c r="D308" s="56" t="str">
        <f>IFERROR(__xludf.DUMMYFUNCTION("""COMPUTED_VALUE"""),"Active")</f>
        <v>Active</v>
      </c>
      <c r="E308" s="57">
        <f>IFERROR(__xludf.DUMMYFUNCTION("""COMPUTED_VALUE"""),45147.0)</f>
        <v>45147</v>
      </c>
      <c r="F308" s="58"/>
      <c r="G308" s="60">
        <f>IFERROR(__xludf.DUMMYFUNCTION("""COMPUTED_VALUE"""),37.9)</f>
        <v>37.9</v>
      </c>
      <c r="H308" s="63">
        <f>IFERROR(__xludf.DUMMYFUNCTION("""COMPUTED_VALUE"""),40380.0)</f>
        <v>40380</v>
      </c>
      <c r="I308" s="60">
        <f>IFERROR(__xludf.DUMMYFUNCTION("""COMPUTED_VALUE"""),13.05)</f>
        <v>13.05</v>
      </c>
      <c r="J308" s="64">
        <f>IFERROR(__xludf.DUMMYFUNCTION("""COMPUTED_VALUE"""),85.0)</f>
        <v>85</v>
      </c>
      <c r="K308" s="64">
        <f>IFERROR(__xludf.DUMMYFUNCTION("""COMPUTED_VALUE"""),3.5)</f>
        <v>3.5</v>
      </c>
      <c r="L308" s="55" t="str">
        <f>IFERROR(__xludf.DUMMYFUNCTION("""COMPUTED_VALUE"""),"Platformer")</f>
        <v>Platformer</v>
      </c>
      <c r="M308" s="55"/>
      <c r="N308" s="55" t="str">
        <f>IFERROR(__xludf.DUMMYFUNCTION("""COMPUTED_VALUE"""),"Game Pass Essential launch title (9/14/23), Returning title: Joined 8/1/17, left 6/15/22")</f>
        <v>Game Pass Essential launch title (9/14/23), Returning title: Joined 8/1/17, left 6/15/22</v>
      </c>
      <c r="O308" s="55" t="str">
        <f>IFERROR(__xludf.DUMMYFUNCTION("""COMPUTED_VALUE"""),"T")</f>
        <v>T</v>
      </c>
      <c r="P308" s="55" t="str">
        <f>IFERROR(__xludf.DUMMYFUNCTION("""COMPUTED_VALUE"""),"Blood, Violence")</f>
        <v>Blood, Violence</v>
      </c>
      <c r="Q308" s="55"/>
      <c r="R308" s="56" t="str">
        <f>IFERROR(__xludf.DUMMYFUNCTION("""COMPUTED_VALUE"""),"Active")</f>
        <v>Active</v>
      </c>
      <c r="S308" s="57">
        <f>IFERROR(__xludf.DUMMYFUNCTION("""COMPUTED_VALUE"""),45547.0)</f>
        <v>45547</v>
      </c>
      <c r="T308" s="60">
        <f>IFERROR(__xludf.DUMMYFUNCTION("""COMPUTED_VALUE"""),13.099999999999998)</f>
        <v>13.1</v>
      </c>
    </row>
    <row r="309">
      <c r="A309" s="55" t="str">
        <f>IFERROR(__xludf.DUMMYFUNCTION("""COMPUTED_VALUE"""),"The Cave")</f>
        <v>The Cave</v>
      </c>
      <c r="B309" s="55" t="str">
        <f>IFERROR(__xludf.DUMMYFUNCTION("""COMPUTED_VALUE"""),"Xbox")</f>
        <v>Xbox</v>
      </c>
      <c r="C309" s="55" t="str">
        <f>IFERROR(__xludf.DUMMYFUNCTION("""COMPUTED_VALUE"""),"Yes")</f>
        <v>Yes</v>
      </c>
      <c r="D309" s="56" t="str">
        <f>IFERROR(__xludf.DUMMYFUNCTION("""COMPUTED_VALUE"""),"Active")</f>
        <v>Active</v>
      </c>
      <c r="E309" s="57">
        <f>IFERROR(__xludf.DUMMYFUNCTION("""COMPUTED_VALUE"""),45125.0)</f>
        <v>45125</v>
      </c>
      <c r="F309" s="58"/>
      <c r="G309" s="60">
        <f>IFERROR(__xludf.DUMMYFUNCTION("""COMPUTED_VALUE"""),38.6)</f>
        <v>38.6</v>
      </c>
      <c r="H309" s="63">
        <f>IFERROR(__xludf.DUMMYFUNCTION("""COMPUTED_VALUE"""),41600.0)</f>
        <v>41600</v>
      </c>
      <c r="I309" s="60">
        <f>IFERROR(__xludf.DUMMYFUNCTION("""COMPUTED_VALUE"""),9.655555555555555)</f>
        <v>9.655555556</v>
      </c>
      <c r="J309" s="64">
        <f>IFERROR(__xludf.DUMMYFUNCTION("""COMPUTED_VALUE"""),69.0)</f>
        <v>69</v>
      </c>
      <c r="K309" s="64">
        <f>IFERROR(__xludf.DUMMYFUNCTION("""COMPUTED_VALUE"""),5.0)</f>
        <v>5</v>
      </c>
      <c r="L309" s="55" t="str">
        <f>IFERROR(__xludf.DUMMYFUNCTION("""COMPUTED_VALUE"""),"Platformer")</f>
        <v>Platformer</v>
      </c>
      <c r="M309" s="55"/>
      <c r="N309" s="55"/>
      <c r="O309" s="55" t="str">
        <f>IFERROR(__xludf.DUMMYFUNCTION("""COMPUTED_VALUE"""),"T")</f>
        <v>T</v>
      </c>
      <c r="P309" s="55" t="str">
        <f>IFERROR(__xludf.DUMMYFUNCTION("""COMPUTED_VALUE"""),"Fantasy Violence, Blood")</f>
        <v>Fantasy Violence, Blood</v>
      </c>
      <c r="Q309" s="55"/>
      <c r="R309" s="56" t="str">
        <f>IFERROR(__xludf.DUMMYFUNCTION("""COMPUTED_VALUE"""),"Active")</f>
        <v>Active</v>
      </c>
      <c r="S309" s="57">
        <f>IFERROR(__xludf.DUMMYFUNCTION("""COMPUTED_VALUE"""),45547.0)</f>
        <v>45547</v>
      </c>
      <c r="T309" s="60">
        <f>IFERROR(__xludf.DUMMYFUNCTION("""COMPUTED_VALUE"""),13.799999999999999)</f>
        <v>13.8</v>
      </c>
    </row>
    <row r="310">
      <c r="A310" s="55" t="str">
        <f>IFERROR(__xludf.DUMMYFUNCTION("""COMPUTED_VALUE"""),"Need for Speed: Unbound")</f>
        <v>Need for Speed: Unbound</v>
      </c>
      <c r="B310" s="55" t="str">
        <f>IFERROR(__xludf.DUMMYFUNCTION("""COMPUTED_VALUE"""),"Xbox / PC")</f>
        <v>Xbox / PC</v>
      </c>
      <c r="C310" s="55" t="str">
        <f>IFERROR(__xludf.DUMMYFUNCTION("""COMPUTED_VALUE"""),"Yes")</f>
        <v>Yes</v>
      </c>
      <c r="D310" s="56" t="str">
        <f>IFERROR(__xludf.DUMMYFUNCTION("""COMPUTED_VALUE"""),"Active")</f>
        <v>Active</v>
      </c>
      <c r="E310" s="57">
        <f>IFERROR(__xludf.DUMMYFUNCTION("""COMPUTED_VALUE"""),45099.0)</f>
        <v>45099</v>
      </c>
      <c r="F310" s="58"/>
      <c r="G310" s="60">
        <f>IFERROR(__xludf.DUMMYFUNCTION("""COMPUTED_VALUE"""),39.46666666666667)</f>
        <v>39.46666667</v>
      </c>
      <c r="H310" s="63">
        <f>IFERROR(__xludf.DUMMYFUNCTION("""COMPUTED_VALUE"""),44894.0)</f>
        <v>44894</v>
      </c>
      <c r="I310" s="60">
        <f>IFERROR(__xludf.DUMMYFUNCTION("""COMPUTED_VALUE"""),0.5638888888888889)</f>
        <v>0.5638888889</v>
      </c>
      <c r="J310" s="64">
        <f>IFERROR(__xludf.DUMMYFUNCTION("""COMPUTED_VALUE"""),77.0)</f>
        <v>77</v>
      </c>
      <c r="K310" s="64">
        <f>IFERROR(__xludf.DUMMYFUNCTION("""COMPUTED_VALUE"""),23.0)</f>
        <v>23</v>
      </c>
      <c r="L310" s="55" t="str">
        <f>IFERROR(__xludf.DUMMYFUNCTION("""COMPUTED_VALUE"""),"Racing")</f>
        <v>Racing</v>
      </c>
      <c r="M310" s="55" t="str">
        <f>IFERROR(__xludf.DUMMYFUNCTION("""COMPUTED_VALUE"""),"Exclusive")</f>
        <v>Exclusive</v>
      </c>
      <c r="N310" s="55"/>
      <c r="O310" s="55" t="str">
        <f>IFERROR(__xludf.DUMMYFUNCTION("""COMPUTED_VALUE"""),"T")</f>
        <v>T</v>
      </c>
      <c r="P310" s="55" t="str">
        <f>IFERROR(__xludf.DUMMYFUNCTION("""COMPUTED_VALUE"""),"Language, Mild Suggestive Themes, Mild Violence")</f>
        <v>Language, Mild Suggestive Themes, Mild Violence</v>
      </c>
      <c r="Q310" s="55"/>
      <c r="R310" s="56" t="str">
        <f>IFERROR(__xludf.DUMMYFUNCTION("""COMPUTED_VALUE"""),"Active")</f>
        <v>Active</v>
      </c>
      <c r="S310" s="57">
        <f>IFERROR(__xludf.DUMMYFUNCTION("""COMPUTED_VALUE"""),45547.0)</f>
        <v>45547</v>
      </c>
      <c r="T310" s="60">
        <f>IFERROR(__xludf.DUMMYFUNCTION("""COMPUTED_VALUE"""),14.666666666666668)</f>
        <v>14.66666667</v>
      </c>
    </row>
    <row r="311">
      <c r="A311" s="55" t="str">
        <f>IFERROR(__xludf.DUMMYFUNCTION("""COMPUTED_VALUE"""),"Stacking")</f>
        <v>Stacking</v>
      </c>
      <c r="B311" s="55" t="str">
        <f>IFERROR(__xludf.DUMMYFUNCTION("""COMPUTED_VALUE"""),"Xbox")</f>
        <v>Xbox</v>
      </c>
      <c r="C311" s="55" t="str">
        <f>IFERROR(__xludf.DUMMYFUNCTION("""COMPUTED_VALUE"""),"Yes")</f>
        <v>Yes</v>
      </c>
      <c r="D311" s="56" t="str">
        <f>IFERROR(__xludf.DUMMYFUNCTION("""COMPUTED_VALUE"""),"Active")</f>
        <v>Active</v>
      </c>
      <c r="E311" s="57">
        <f>IFERROR(__xludf.DUMMYFUNCTION("""COMPUTED_VALUE"""),45085.0)</f>
        <v>45085</v>
      </c>
      <c r="F311" s="58"/>
      <c r="G311" s="60">
        <f>IFERROR(__xludf.DUMMYFUNCTION("""COMPUTED_VALUE"""),39.93333333333334)</f>
        <v>39.93333333</v>
      </c>
      <c r="H311" s="63">
        <f>IFERROR(__xludf.DUMMYFUNCTION("""COMPUTED_VALUE"""),40582.0)</f>
        <v>40582</v>
      </c>
      <c r="I311" s="60">
        <f>IFERROR(__xludf.DUMMYFUNCTION("""COMPUTED_VALUE"""),12.333333333333334)</f>
        <v>12.33333333</v>
      </c>
      <c r="J311" s="64">
        <f>IFERROR(__xludf.DUMMYFUNCTION("""COMPUTED_VALUE"""),82.0)</f>
        <v>82</v>
      </c>
      <c r="K311" s="64">
        <f>IFERROR(__xludf.DUMMYFUNCTION("""COMPUTED_VALUE"""),4.0)</f>
        <v>4</v>
      </c>
      <c r="L311" s="55" t="str">
        <f>IFERROR(__xludf.DUMMYFUNCTION("""COMPUTED_VALUE"""),"Adventure")</f>
        <v>Adventure</v>
      </c>
      <c r="M311" s="55"/>
      <c r="N311" s="55" t="str">
        <f>IFERROR(__xludf.DUMMYFUNCTION("""COMPUTED_VALUE"""),"Returning title: Joined 6/1/17, left 1/15/19")</f>
        <v>Returning title: Joined 6/1/17, left 1/15/19</v>
      </c>
      <c r="O311" s="55" t="str">
        <f>IFERROR(__xludf.DUMMYFUNCTION("""COMPUTED_VALUE"""),"E10+")</f>
        <v>E10+</v>
      </c>
      <c r="P311" s="55" t="str">
        <f>IFERROR(__xludf.DUMMYFUNCTION("""COMPUTED_VALUE"""),"Crude Humor, Use of Tobacco, Mild Fantasy Violence, Mild Suggestive Themes")</f>
        <v>Crude Humor, Use of Tobacco, Mild Fantasy Violence, Mild Suggestive Themes</v>
      </c>
      <c r="Q311" s="55"/>
      <c r="R311" s="56" t="str">
        <f>IFERROR(__xludf.DUMMYFUNCTION("""COMPUTED_VALUE"""),"Active")</f>
        <v>Active</v>
      </c>
      <c r="S311" s="57">
        <f>IFERROR(__xludf.DUMMYFUNCTION("""COMPUTED_VALUE"""),45547.0)</f>
        <v>45547</v>
      </c>
      <c r="T311" s="60">
        <f>IFERROR(__xludf.DUMMYFUNCTION("""COMPUTED_VALUE"""),15.133333333333333)</f>
        <v>15.13333333</v>
      </c>
    </row>
    <row r="312">
      <c r="A312" s="55" t="str">
        <f>IFERROR(__xludf.DUMMYFUNCTION("""COMPUTED_VALUE"""),"Car Mechanic Simulator 2021")</f>
        <v>Car Mechanic Simulator 2021</v>
      </c>
      <c r="B312" s="55" t="str">
        <f>IFERROR(__xludf.DUMMYFUNCTION("""COMPUTED_VALUE"""),"Xbox / PC")</f>
        <v>Xbox / PC</v>
      </c>
      <c r="C312" s="55" t="str">
        <f>IFERROR(__xludf.DUMMYFUNCTION("""COMPUTED_VALUE"""),"Yes")</f>
        <v>Yes</v>
      </c>
      <c r="D312" s="56" t="str">
        <f>IFERROR(__xludf.DUMMYFUNCTION("""COMPUTED_VALUE"""),"Active")</f>
        <v>Active</v>
      </c>
      <c r="E312" s="57">
        <f>IFERROR(__xludf.DUMMYFUNCTION("""COMPUTED_VALUE"""),45078.0)</f>
        <v>45078</v>
      </c>
      <c r="F312" s="58"/>
      <c r="G312" s="60">
        <f>IFERROR(__xludf.DUMMYFUNCTION("""COMPUTED_VALUE"""),40.16666666666667)</f>
        <v>40.16666667</v>
      </c>
      <c r="H312" s="63">
        <f>IFERROR(__xludf.DUMMYFUNCTION("""COMPUTED_VALUE"""),44419.0)</f>
        <v>44419</v>
      </c>
      <c r="I312" s="60">
        <f>IFERROR(__xludf.DUMMYFUNCTION("""COMPUTED_VALUE"""),1.8055555555555556)</f>
        <v>1.805555556</v>
      </c>
      <c r="J312" s="64">
        <f>IFERROR(__xludf.DUMMYFUNCTION("""COMPUTED_VALUE"""),70.0)</f>
        <v>70</v>
      </c>
      <c r="K312" s="64">
        <f>IFERROR(__xludf.DUMMYFUNCTION("""COMPUTED_VALUE"""),23.0)</f>
        <v>23</v>
      </c>
      <c r="L312" s="55" t="str">
        <f>IFERROR(__xludf.DUMMYFUNCTION("""COMPUTED_VALUE"""),"Simulation")</f>
        <v>Simulation</v>
      </c>
      <c r="M312" s="55"/>
      <c r="N312" s="55"/>
      <c r="O312" s="55" t="str">
        <f>IFERROR(__xludf.DUMMYFUNCTION("""COMPUTED_VALUE"""),"E")</f>
        <v>E</v>
      </c>
      <c r="P312" s="55"/>
      <c r="Q312" s="55"/>
      <c r="R312" s="56" t="str">
        <f>IFERROR(__xludf.DUMMYFUNCTION("""COMPUTED_VALUE"""),"Active")</f>
        <v>Active</v>
      </c>
      <c r="S312" s="57">
        <f>IFERROR(__xludf.DUMMYFUNCTION("""COMPUTED_VALUE"""),45547.0)</f>
        <v>45547</v>
      </c>
      <c r="T312" s="60">
        <f>IFERROR(__xludf.DUMMYFUNCTION("""COMPUTED_VALUE"""),15.366666666666665)</f>
        <v>15.36666667</v>
      </c>
    </row>
    <row r="313">
      <c r="A313" s="55" t="str">
        <f>IFERROR(__xludf.DUMMYFUNCTION("""COMPUTED_VALUE"""),"Massive Chalice")</f>
        <v>Massive Chalice</v>
      </c>
      <c r="B313" s="55" t="str">
        <f>IFERROR(__xludf.DUMMYFUNCTION("""COMPUTED_VALUE"""),"Xbox")</f>
        <v>Xbox</v>
      </c>
      <c r="C313" s="55" t="str">
        <f>IFERROR(__xludf.DUMMYFUNCTION("""COMPUTED_VALUE"""),"Yes")</f>
        <v>Yes</v>
      </c>
      <c r="D313" s="56" t="str">
        <f>IFERROR(__xludf.DUMMYFUNCTION("""COMPUTED_VALUE"""),"Active")</f>
        <v>Active</v>
      </c>
      <c r="E313" s="57">
        <f>IFERROR(__xludf.DUMMYFUNCTION("""COMPUTED_VALUE"""),45071.0)</f>
        <v>45071</v>
      </c>
      <c r="F313" s="58"/>
      <c r="G313" s="60">
        <f>IFERROR(__xludf.DUMMYFUNCTION("""COMPUTED_VALUE"""),40.36666666666667)</f>
        <v>40.36666667</v>
      </c>
      <c r="H313" s="63">
        <f>IFERROR(__xludf.DUMMYFUNCTION("""COMPUTED_VALUE"""),42156.0)</f>
        <v>42156</v>
      </c>
      <c r="I313" s="60">
        <f>IFERROR(__xludf.DUMMYFUNCTION("""COMPUTED_VALUE"""),7.983333333333333)</f>
        <v>7.983333333</v>
      </c>
      <c r="J313" s="64">
        <f>IFERROR(__xludf.DUMMYFUNCTION("""COMPUTED_VALUE"""),72.0)</f>
        <v>72</v>
      </c>
      <c r="K313" s="64">
        <f>IFERROR(__xludf.DUMMYFUNCTION("""COMPUTED_VALUE"""),15.5)</f>
        <v>15.5</v>
      </c>
      <c r="L313" s="55" t="str">
        <f>IFERROR(__xludf.DUMMYFUNCTION("""COMPUTED_VALUE"""),"RPG")</f>
        <v>RPG</v>
      </c>
      <c r="M313" s="55"/>
      <c r="N313" s="55" t="str">
        <f>IFERROR(__xludf.DUMMYFUNCTION("""COMPUTED_VALUE"""),"Returning title: Joined 6/1/17, left 2/1/19")</f>
        <v>Returning title: Joined 6/1/17, left 2/1/19</v>
      </c>
      <c r="O313" s="55" t="str">
        <f>IFERROR(__xludf.DUMMYFUNCTION("""COMPUTED_VALUE"""),"T")</f>
        <v>T</v>
      </c>
      <c r="P313" s="55" t="str">
        <f>IFERROR(__xludf.DUMMYFUNCTION("""COMPUTED_VALUE"""),"Fantasy Violence, Alcohol Reference, Language")</f>
        <v>Fantasy Violence, Alcohol Reference, Language</v>
      </c>
      <c r="Q313" s="55"/>
      <c r="R313" s="56" t="str">
        <f>IFERROR(__xludf.DUMMYFUNCTION("""COMPUTED_VALUE"""),"Active")</f>
        <v>Active</v>
      </c>
      <c r="S313" s="57">
        <f>IFERROR(__xludf.DUMMYFUNCTION("""COMPUTED_VALUE"""),45547.0)</f>
        <v>45547</v>
      </c>
      <c r="T313" s="60">
        <f>IFERROR(__xludf.DUMMYFUNCTION("""COMPUTED_VALUE"""),15.566666666666666)</f>
        <v>15.56666667</v>
      </c>
    </row>
    <row r="314">
      <c r="A314" s="55" t="str">
        <f>IFERROR(__xludf.DUMMYFUNCTION("""COMPUTED_VALUE"""),"Redfall")</f>
        <v>Redfall</v>
      </c>
      <c r="B314" s="55" t="str">
        <f>IFERROR(__xludf.DUMMYFUNCTION("""COMPUTED_VALUE"""),"Xbox / PC")</f>
        <v>Xbox / PC</v>
      </c>
      <c r="C314" s="55" t="str">
        <f>IFERROR(__xludf.DUMMYFUNCTION("""COMPUTED_VALUE"""),"Yes")</f>
        <v>Yes</v>
      </c>
      <c r="D314" s="56" t="str">
        <f>IFERROR(__xludf.DUMMYFUNCTION("""COMPUTED_VALUE"""),"Active")</f>
        <v>Active</v>
      </c>
      <c r="E314" s="57">
        <f>IFERROR(__xludf.DUMMYFUNCTION("""COMPUTED_VALUE"""),45048.0)</f>
        <v>45048</v>
      </c>
      <c r="F314" s="58"/>
      <c r="G314" s="60">
        <f>IFERROR(__xludf.DUMMYFUNCTION("""COMPUTED_VALUE"""),41.13333333333333)</f>
        <v>41.13333333</v>
      </c>
      <c r="H314" s="63">
        <f>IFERROR(__xludf.DUMMYFUNCTION("""COMPUTED_VALUE"""),45048.0)</f>
        <v>45048</v>
      </c>
      <c r="I314" s="60">
        <f>IFERROR(__xludf.DUMMYFUNCTION("""COMPUTED_VALUE"""),0.0)</f>
        <v>0</v>
      </c>
      <c r="J314" s="64">
        <f>IFERROR(__xludf.DUMMYFUNCTION("""COMPUTED_VALUE"""),55.0)</f>
        <v>55</v>
      </c>
      <c r="K314" s="64">
        <f>IFERROR(__xludf.DUMMYFUNCTION("""COMPUTED_VALUE"""),11.0)</f>
        <v>11</v>
      </c>
      <c r="L314" s="55" t="str">
        <f>IFERROR(__xludf.DUMMYFUNCTION("""COMPUTED_VALUE"""),"Shooter")</f>
        <v>Shooter</v>
      </c>
      <c r="M314" s="55" t="str">
        <f>IFERROR(__xludf.DUMMYFUNCTION("""COMPUTED_VALUE"""),"Exclusive")</f>
        <v>Exclusive</v>
      </c>
      <c r="N314" s="55" t="str">
        <f>IFERROR(__xludf.DUMMYFUNCTION("""COMPUTED_VALUE"""),"Persistent online requirement, may be removed")</f>
        <v>Persistent online requirement, may be removed</v>
      </c>
      <c r="O314" s="55" t="str">
        <f>IFERROR(__xludf.DUMMYFUNCTION("""COMPUTED_VALUE"""),"M")</f>
        <v>M</v>
      </c>
      <c r="P314" s="55" t="str">
        <f>IFERROR(__xludf.DUMMYFUNCTION("""COMPUTED_VALUE"""),"Blood, Drug Reference, Strong Language, Violence")</f>
        <v>Blood, Drug Reference, Strong Language, Violence</v>
      </c>
      <c r="Q314" s="55"/>
      <c r="R314" s="56" t="str">
        <f>IFERROR(__xludf.DUMMYFUNCTION("""COMPUTED_VALUE"""),"Active")</f>
        <v>Active</v>
      </c>
      <c r="S314" s="57">
        <f>IFERROR(__xludf.DUMMYFUNCTION("""COMPUTED_VALUE"""),45547.0)</f>
        <v>45547</v>
      </c>
      <c r="T314" s="60">
        <f>IFERROR(__xludf.DUMMYFUNCTION("""COMPUTED_VALUE"""),16.333333333333336)</f>
        <v>16.33333333</v>
      </c>
    </row>
    <row r="315">
      <c r="A315" s="55" t="str">
        <f>IFERROR(__xludf.DUMMYFUNCTION("""COMPUTED_VALUE"""),"Minecraft: Legends")</f>
        <v>Minecraft: Legends</v>
      </c>
      <c r="B315" s="55" t="str">
        <f>IFERROR(__xludf.DUMMYFUNCTION("""COMPUTED_VALUE"""),"Xbox / PC")</f>
        <v>Xbox / PC</v>
      </c>
      <c r="C315" s="55" t="str">
        <f>IFERROR(__xludf.DUMMYFUNCTION("""COMPUTED_VALUE"""),"Yes")</f>
        <v>Yes</v>
      </c>
      <c r="D315" s="56" t="str">
        <f>IFERROR(__xludf.DUMMYFUNCTION("""COMPUTED_VALUE"""),"Active")</f>
        <v>Active</v>
      </c>
      <c r="E315" s="57">
        <f>IFERROR(__xludf.DUMMYFUNCTION("""COMPUTED_VALUE"""),45034.0)</f>
        <v>45034</v>
      </c>
      <c r="F315" s="58"/>
      <c r="G315" s="60">
        <f>IFERROR(__xludf.DUMMYFUNCTION("""COMPUTED_VALUE"""),41.6)</f>
        <v>41.6</v>
      </c>
      <c r="H315" s="63">
        <f>IFERROR(__xludf.DUMMYFUNCTION("""COMPUTED_VALUE"""),45034.0)</f>
        <v>45034</v>
      </c>
      <c r="I315" s="60">
        <f>IFERROR(__xludf.DUMMYFUNCTION("""COMPUTED_VALUE"""),0.0)</f>
        <v>0</v>
      </c>
      <c r="J315" s="64">
        <f>IFERROR(__xludf.DUMMYFUNCTION("""COMPUTED_VALUE"""),69.0)</f>
        <v>69</v>
      </c>
      <c r="K315" s="64">
        <f>IFERROR(__xludf.DUMMYFUNCTION("""COMPUTED_VALUE"""),8.0)</f>
        <v>8</v>
      </c>
      <c r="L315" s="55" t="str">
        <f>IFERROR(__xludf.DUMMYFUNCTION("""COMPUTED_VALUE"""),"Action-Adventure")</f>
        <v>Action-Adventure</v>
      </c>
      <c r="M315" s="55" t="str">
        <f>IFERROR(__xludf.DUMMYFUNCTION("""COMPUTED_VALUE"""),"Exclusive")</f>
        <v>Exclusive</v>
      </c>
      <c r="N315" s="55"/>
      <c r="O315" s="55" t="str">
        <f>IFERROR(__xludf.DUMMYFUNCTION("""COMPUTED_VALUE"""),"E10+")</f>
        <v>E10+</v>
      </c>
      <c r="P315" s="55" t="str">
        <f>IFERROR(__xludf.DUMMYFUNCTION("""COMPUTED_VALUE"""),"Mild Blood, Violence, Mild Suggestive Themes, Language")</f>
        <v>Mild Blood, Violence, Mild Suggestive Themes, Language</v>
      </c>
      <c r="Q315" s="55"/>
      <c r="R315" s="56" t="str">
        <f>IFERROR(__xludf.DUMMYFUNCTION("""COMPUTED_VALUE"""),"Active")</f>
        <v>Active</v>
      </c>
      <c r="S315" s="57">
        <f>IFERROR(__xludf.DUMMYFUNCTION("""COMPUTED_VALUE"""),45547.0)</f>
        <v>45547</v>
      </c>
      <c r="T315" s="60">
        <f>IFERROR(__xludf.DUMMYFUNCTION("""COMPUTED_VALUE"""),16.799999999999997)</f>
        <v>16.8</v>
      </c>
    </row>
    <row r="316">
      <c r="A316" s="55" t="str">
        <f>IFERROR(__xludf.DUMMYFUNCTION("""COMPUTED_VALUE"""),"Ghostwire: Tokyo")</f>
        <v>Ghostwire: Tokyo</v>
      </c>
      <c r="B316" s="55" t="str">
        <f>IFERROR(__xludf.DUMMYFUNCTION("""COMPUTED_VALUE"""),"Xbox / PC")</f>
        <v>Xbox / PC</v>
      </c>
      <c r="C316" s="55" t="str">
        <f>IFERROR(__xludf.DUMMYFUNCTION("""COMPUTED_VALUE"""),"Yes")</f>
        <v>Yes</v>
      </c>
      <c r="D316" s="56" t="str">
        <f>IFERROR(__xludf.DUMMYFUNCTION("""COMPUTED_VALUE"""),"Active")</f>
        <v>Active</v>
      </c>
      <c r="E316" s="57">
        <f>IFERROR(__xludf.DUMMYFUNCTION("""COMPUTED_VALUE"""),45028.0)</f>
        <v>45028</v>
      </c>
      <c r="F316" s="58"/>
      <c r="G316" s="60">
        <f>IFERROR(__xludf.DUMMYFUNCTION("""COMPUTED_VALUE"""),41.8)</f>
        <v>41.8</v>
      </c>
      <c r="H316" s="63">
        <f>IFERROR(__xludf.DUMMYFUNCTION("""COMPUTED_VALUE"""),44645.0)</f>
        <v>44645</v>
      </c>
      <c r="I316" s="60">
        <f>IFERROR(__xludf.DUMMYFUNCTION("""COMPUTED_VALUE"""),1.0472222222222223)</f>
        <v>1.047222222</v>
      </c>
      <c r="J316" s="64">
        <f>IFERROR(__xludf.DUMMYFUNCTION("""COMPUTED_VALUE"""),76.0)</f>
        <v>76</v>
      </c>
      <c r="K316" s="64">
        <f>IFERROR(__xludf.DUMMYFUNCTION("""COMPUTED_VALUE"""),11.0)</f>
        <v>11</v>
      </c>
      <c r="L316" s="55" t="str">
        <f>IFERROR(__xludf.DUMMYFUNCTION("""COMPUTED_VALUE"""),"Action-Adventure")</f>
        <v>Action-Adventure</v>
      </c>
      <c r="M316" s="55" t="str">
        <f>IFERROR(__xludf.DUMMYFUNCTION("""COMPUTED_VALUE"""),"Exclusive")</f>
        <v>Exclusive</v>
      </c>
      <c r="N316" s="55"/>
      <c r="O316" s="55" t="str">
        <f>IFERROR(__xludf.DUMMYFUNCTION("""COMPUTED_VALUE"""),"T")</f>
        <v>T</v>
      </c>
      <c r="P316" s="55" t="str">
        <f>IFERROR(__xludf.DUMMYFUNCTION("""COMPUTED_VALUE"""),"Language, Violence")</f>
        <v>Language, Violence</v>
      </c>
      <c r="Q316" s="55"/>
      <c r="R316" s="56" t="str">
        <f>IFERROR(__xludf.DUMMYFUNCTION("""COMPUTED_VALUE"""),"Active")</f>
        <v>Active</v>
      </c>
      <c r="S316" s="57">
        <f>IFERROR(__xludf.DUMMYFUNCTION("""COMPUTED_VALUE"""),45547.0)</f>
        <v>45547</v>
      </c>
      <c r="T316" s="60">
        <f>IFERROR(__xludf.DUMMYFUNCTION("""COMPUTED_VALUE"""),17.0)</f>
        <v>17</v>
      </c>
    </row>
    <row r="317">
      <c r="A317" s="55" t="str">
        <f>IFERROR(__xludf.DUMMYFUNCTION("""COMPUTED_VALUE"""),"Iron Brigade")</f>
        <v>Iron Brigade</v>
      </c>
      <c r="B317" s="55" t="str">
        <f>IFERROR(__xludf.DUMMYFUNCTION("""COMPUTED_VALUE"""),"Xbox")</f>
        <v>Xbox</v>
      </c>
      <c r="C317" s="55"/>
      <c r="D317" s="56" t="str">
        <f>IFERROR(__xludf.DUMMYFUNCTION("""COMPUTED_VALUE"""),"Active")</f>
        <v>Active</v>
      </c>
      <c r="E317" s="57">
        <f>IFERROR(__xludf.DUMMYFUNCTION("""COMPUTED_VALUE"""),45022.0)</f>
        <v>45022</v>
      </c>
      <c r="F317" s="58"/>
      <c r="G317" s="60">
        <f>IFERROR(__xludf.DUMMYFUNCTION("""COMPUTED_VALUE"""),42.0)</f>
        <v>42</v>
      </c>
      <c r="H317" s="63">
        <f>IFERROR(__xludf.DUMMYFUNCTION("""COMPUTED_VALUE"""),40716.0)</f>
        <v>40716</v>
      </c>
      <c r="I317" s="60">
        <f>IFERROR(__xludf.DUMMYFUNCTION("""COMPUTED_VALUE"""),11.78888888888889)</f>
        <v>11.78888889</v>
      </c>
      <c r="J317" s="64">
        <f>IFERROR(__xludf.DUMMYFUNCTION("""COMPUTED_VALUE"""),82.0)</f>
        <v>82</v>
      </c>
      <c r="K317" s="64">
        <f>IFERROR(__xludf.DUMMYFUNCTION("""COMPUTED_VALUE"""),6.5)</f>
        <v>6.5</v>
      </c>
      <c r="L317" s="55" t="str">
        <f>IFERROR(__xludf.DUMMYFUNCTION("""COMPUTED_VALUE"""),"Shooter")</f>
        <v>Shooter</v>
      </c>
      <c r="M317" s="55"/>
      <c r="N317" s="55" t="str">
        <f>IFERROR(__xludf.DUMMYFUNCTION("""COMPUTED_VALUE"""),"Returning title: Originally joined 6/1/17, left 7/15/19")</f>
        <v>Returning title: Originally joined 6/1/17, left 7/15/19</v>
      </c>
      <c r="O317" s="55" t="str">
        <f>IFERROR(__xludf.DUMMYFUNCTION("""COMPUTED_VALUE"""),"T")</f>
        <v>T</v>
      </c>
      <c r="P317" s="55" t="str">
        <f>IFERROR(__xludf.DUMMYFUNCTION("""COMPUTED_VALUE"""),"Language, Mild Suggestive Themes, Use of Tobacco, Violence")</f>
        <v>Language, Mild Suggestive Themes, Use of Tobacco, Violence</v>
      </c>
      <c r="Q317" s="55"/>
      <c r="R317" s="56" t="str">
        <f>IFERROR(__xludf.DUMMYFUNCTION("""COMPUTED_VALUE"""),"Active")</f>
        <v>Active</v>
      </c>
      <c r="S317" s="57">
        <f>IFERROR(__xludf.DUMMYFUNCTION("""COMPUTED_VALUE"""),45547.0)</f>
        <v>45547</v>
      </c>
      <c r="T317" s="60">
        <f>IFERROR(__xludf.DUMMYFUNCTION("""COMPUTED_VALUE"""),17.2)</f>
        <v>17.2</v>
      </c>
    </row>
    <row r="318">
      <c r="A318" s="55" t="str">
        <f>IFERROR(__xludf.DUMMYFUNCTION("""COMPUTED_VALUE"""),"Ni no Kuni II: Revenant Kingdom - The Prince's Edition")</f>
        <v>Ni no Kuni II: Revenant Kingdom - The Prince's Edition</v>
      </c>
      <c r="B318" s="55" t="str">
        <f>IFERROR(__xludf.DUMMYFUNCTION("""COMPUTED_VALUE"""),"Xbox / PC")</f>
        <v>Xbox / PC</v>
      </c>
      <c r="C318" s="55"/>
      <c r="D318" s="56" t="str">
        <f>IFERROR(__xludf.DUMMYFUNCTION("""COMPUTED_VALUE"""),"Active")</f>
        <v>Active</v>
      </c>
      <c r="E318" s="57">
        <f>IFERROR(__xludf.DUMMYFUNCTION("""COMPUTED_VALUE"""),45006.0)</f>
        <v>45006</v>
      </c>
      <c r="F318" s="58"/>
      <c r="G318" s="60">
        <f>IFERROR(__xludf.DUMMYFUNCTION("""COMPUTED_VALUE"""),42.5)</f>
        <v>42.5</v>
      </c>
      <c r="H318" s="63">
        <f>IFERROR(__xludf.DUMMYFUNCTION("""COMPUTED_VALUE"""),43182.0)</f>
        <v>43182</v>
      </c>
      <c r="I318" s="60">
        <f>IFERROR(__xludf.DUMMYFUNCTION("""COMPUTED_VALUE"""),4.9944444444444445)</f>
        <v>4.994444444</v>
      </c>
      <c r="J318" s="64">
        <f>IFERROR(__xludf.DUMMYFUNCTION("""COMPUTED_VALUE"""),81.0)</f>
        <v>81</v>
      </c>
      <c r="K318" s="64">
        <f>IFERROR(__xludf.DUMMYFUNCTION("""COMPUTED_VALUE"""),39.0)</f>
        <v>39</v>
      </c>
      <c r="L318" s="55" t="str">
        <f>IFERROR(__xludf.DUMMYFUNCTION("""COMPUTED_VALUE"""),"RPG")</f>
        <v>RPG</v>
      </c>
      <c r="M318" s="55"/>
      <c r="N318" s="55"/>
      <c r="O318" s="55" t="str">
        <f>IFERROR(__xludf.DUMMYFUNCTION("""COMPUTED_VALUE"""),"T")</f>
        <v>T</v>
      </c>
      <c r="P318" s="55" t="str">
        <f>IFERROR(__xludf.DUMMYFUNCTION("""COMPUTED_VALUE"""),"Fantasy Violence, Mild Blood")</f>
        <v>Fantasy Violence, Mild Blood</v>
      </c>
      <c r="Q318" s="55"/>
      <c r="R318" s="56" t="str">
        <f>IFERROR(__xludf.DUMMYFUNCTION("""COMPUTED_VALUE"""),"Active")</f>
        <v>Active</v>
      </c>
      <c r="S318" s="57">
        <f>IFERROR(__xludf.DUMMYFUNCTION("""COMPUTED_VALUE"""),45547.0)</f>
        <v>45547</v>
      </c>
      <c r="T318" s="60">
        <f>IFERROR(__xludf.DUMMYFUNCTION("""COMPUTED_VALUE"""),17.700000000000003)</f>
        <v>17.7</v>
      </c>
    </row>
    <row r="319">
      <c r="A319" s="55" t="str">
        <f>IFERROR(__xludf.DUMMYFUNCTION("""COMPUTED_VALUE"""),"GoldenEye 007 (2023)")</f>
        <v>GoldenEye 007 (2023)</v>
      </c>
      <c r="B319" s="55" t="str">
        <f>IFERROR(__xludf.DUMMYFUNCTION("""COMPUTED_VALUE"""),"Xbox")</f>
        <v>Xbox</v>
      </c>
      <c r="C319" s="55" t="str">
        <f>IFERROR(__xludf.DUMMYFUNCTION("""COMPUTED_VALUE"""),"Yes")</f>
        <v>Yes</v>
      </c>
      <c r="D319" s="56" t="str">
        <f>IFERROR(__xludf.DUMMYFUNCTION("""COMPUTED_VALUE"""),"Active")</f>
        <v>Active</v>
      </c>
      <c r="E319" s="57">
        <f>IFERROR(__xludf.DUMMYFUNCTION("""COMPUTED_VALUE"""),44953.0)</f>
        <v>44953</v>
      </c>
      <c r="F319" s="58"/>
      <c r="G319" s="60">
        <f>IFERROR(__xludf.DUMMYFUNCTION("""COMPUTED_VALUE"""),44.300000000000004)</f>
        <v>44.3</v>
      </c>
      <c r="H319" s="63">
        <f>IFERROR(__xludf.DUMMYFUNCTION("""COMPUTED_VALUE"""),44953.0)</f>
        <v>44953</v>
      </c>
      <c r="I319" s="60">
        <f>IFERROR(__xludf.DUMMYFUNCTION("""COMPUTED_VALUE"""),0.0)</f>
        <v>0</v>
      </c>
      <c r="J319" s="64">
        <f>IFERROR(__xludf.DUMMYFUNCTION("""COMPUTED_VALUE"""),96.0)</f>
        <v>96</v>
      </c>
      <c r="K319" s="64">
        <f>IFERROR(__xludf.DUMMYFUNCTION("""COMPUTED_VALUE"""),10.0)</f>
        <v>10</v>
      </c>
      <c r="L319" s="55" t="str">
        <f>IFERROR(__xludf.DUMMYFUNCTION("""COMPUTED_VALUE"""),"Shooter")</f>
        <v>Shooter</v>
      </c>
      <c r="M319" s="55"/>
      <c r="N319" s="55"/>
      <c r="O319" s="55" t="str">
        <f>IFERROR(__xludf.DUMMYFUNCTION("""COMPUTED_VALUE"""),"T")</f>
        <v>T</v>
      </c>
      <c r="P319" s="55"/>
      <c r="Q319" s="55"/>
      <c r="R319" s="56" t="str">
        <f>IFERROR(__xludf.DUMMYFUNCTION("""COMPUTED_VALUE"""),"Active")</f>
        <v>Active</v>
      </c>
      <c r="S319" s="57">
        <f>IFERROR(__xludf.DUMMYFUNCTION("""COMPUTED_VALUE"""),45547.0)</f>
        <v>45547</v>
      </c>
      <c r="T319" s="60">
        <f>IFERROR(__xludf.DUMMYFUNCTION("""COMPUTED_VALUE"""),19.5)</f>
        <v>19.5</v>
      </c>
    </row>
    <row r="320">
      <c r="A320" s="55" t="str">
        <f>IFERROR(__xludf.DUMMYFUNCTION("""COMPUTED_VALUE"""),"Hi-Fi RUSH")</f>
        <v>Hi-Fi RUSH</v>
      </c>
      <c r="B320" s="55" t="str">
        <f>IFERROR(__xludf.DUMMYFUNCTION("""COMPUTED_VALUE"""),"Xbox / PC")</f>
        <v>Xbox / PC</v>
      </c>
      <c r="C320" s="55" t="str">
        <f>IFERROR(__xludf.DUMMYFUNCTION("""COMPUTED_VALUE"""),"Yes")</f>
        <v>Yes</v>
      </c>
      <c r="D320" s="56" t="str">
        <f>IFERROR(__xludf.DUMMYFUNCTION("""COMPUTED_VALUE"""),"Active")</f>
        <v>Active</v>
      </c>
      <c r="E320" s="57">
        <f>IFERROR(__xludf.DUMMYFUNCTION("""COMPUTED_VALUE"""),44951.0)</f>
        <v>44951</v>
      </c>
      <c r="F320" s="58"/>
      <c r="G320" s="60">
        <f>IFERROR(__xludf.DUMMYFUNCTION("""COMPUTED_VALUE"""),44.36666666666667)</f>
        <v>44.36666667</v>
      </c>
      <c r="H320" s="63">
        <f>IFERROR(__xludf.DUMMYFUNCTION("""COMPUTED_VALUE"""),44951.0)</f>
        <v>44951</v>
      </c>
      <c r="I320" s="60">
        <f>IFERROR(__xludf.DUMMYFUNCTION("""COMPUTED_VALUE"""),0.0)</f>
        <v>0</v>
      </c>
      <c r="J320" s="64">
        <f>IFERROR(__xludf.DUMMYFUNCTION("""COMPUTED_VALUE"""),89.0)</f>
        <v>89</v>
      </c>
      <c r="K320" s="64">
        <f>IFERROR(__xludf.DUMMYFUNCTION("""COMPUTED_VALUE"""),10.0)</f>
        <v>10</v>
      </c>
      <c r="L320" s="55" t="str">
        <f>IFERROR(__xludf.DUMMYFUNCTION("""COMPUTED_VALUE"""),"Action-Adventure")</f>
        <v>Action-Adventure</v>
      </c>
      <c r="M320" s="55" t="str">
        <f>IFERROR(__xludf.DUMMYFUNCTION("""COMPUTED_VALUE"""),"Exclusive")</f>
        <v>Exclusive</v>
      </c>
      <c r="N320" s="55"/>
      <c r="O320" s="55" t="str">
        <f>IFERROR(__xludf.DUMMYFUNCTION("""COMPUTED_VALUE"""),"T")</f>
        <v>T</v>
      </c>
      <c r="P320" s="55" t="str">
        <f>IFERROR(__xludf.DUMMYFUNCTION("""COMPUTED_VALUE"""),"Fantasy Violence, Language")</f>
        <v>Fantasy Violence, Language</v>
      </c>
      <c r="Q320" s="55"/>
      <c r="R320" s="56" t="str">
        <f>IFERROR(__xludf.DUMMYFUNCTION("""COMPUTED_VALUE"""),"Active")</f>
        <v>Active</v>
      </c>
      <c r="S320" s="57">
        <f>IFERROR(__xludf.DUMMYFUNCTION("""COMPUTED_VALUE"""),45547.0)</f>
        <v>45547</v>
      </c>
      <c r="T320" s="60">
        <f>IFERROR(__xludf.DUMMYFUNCTION("""COMPUTED_VALUE"""),19.566666666666666)</f>
        <v>19.56666667</v>
      </c>
    </row>
    <row r="321">
      <c r="A321" s="55" t="str">
        <f>IFERROR(__xludf.DUMMYFUNCTION("""COMPUTED_VALUE"""),"LEGO Star Wars: The Skywalker Saga")</f>
        <v>LEGO Star Wars: The Skywalker Saga</v>
      </c>
      <c r="B321" s="55" t="str">
        <f>IFERROR(__xludf.DUMMYFUNCTION("""COMPUTED_VALUE"""),"Xbox / PC")</f>
        <v>Xbox / PC</v>
      </c>
      <c r="C321" s="55" t="str">
        <f>IFERROR(__xludf.DUMMYFUNCTION("""COMPUTED_VALUE"""),"Yes")</f>
        <v>Yes</v>
      </c>
      <c r="D321" s="56" t="str">
        <f>IFERROR(__xludf.DUMMYFUNCTION("""COMPUTED_VALUE"""),"Active")</f>
        <v>Active</v>
      </c>
      <c r="E321" s="57">
        <f>IFERROR(__xludf.DUMMYFUNCTION("""COMPUTED_VALUE"""),44901.0)</f>
        <v>44901</v>
      </c>
      <c r="F321" s="58"/>
      <c r="G321" s="60">
        <f>IFERROR(__xludf.DUMMYFUNCTION("""COMPUTED_VALUE"""),46.0)</f>
        <v>46</v>
      </c>
      <c r="H321" s="63">
        <f>IFERROR(__xludf.DUMMYFUNCTION("""COMPUTED_VALUE"""),44656.0)</f>
        <v>44656</v>
      </c>
      <c r="I321" s="60">
        <f>IFERROR(__xludf.DUMMYFUNCTION("""COMPUTED_VALUE"""),0.6694444444444444)</f>
        <v>0.6694444444</v>
      </c>
      <c r="J321" s="64">
        <f>IFERROR(__xludf.DUMMYFUNCTION("""COMPUTED_VALUE"""),80.0)</f>
        <v>80</v>
      </c>
      <c r="K321" s="64">
        <f>IFERROR(__xludf.DUMMYFUNCTION("""COMPUTED_VALUE"""),19.0)</f>
        <v>19</v>
      </c>
      <c r="L321" s="55" t="str">
        <f>IFERROR(__xludf.DUMMYFUNCTION("""COMPUTED_VALUE"""),"Shooter")</f>
        <v>Shooter</v>
      </c>
      <c r="M321" s="55"/>
      <c r="N321" s="55"/>
      <c r="O321" s="55" t="str">
        <f>IFERROR(__xludf.DUMMYFUNCTION("""COMPUTED_VALUE"""),"E10+")</f>
        <v>E10+</v>
      </c>
      <c r="P321" s="55" t="str">
        <f>IFERROR(__xludf.DUMMYFUNCTION("""COMPUTED_VALUE"""),"Cartoon Violence, Comic Mischief")</f>
        <v>Cartoon Violence, Comic Mischief</v>
      </c>
      <c r="Q321" s="55"/>
      <c r="R321" s="56" t="str">
        <f>IFERROR(__xludf.DUMMYFUNCTION("""COMPUTED_VALUE"""),"Active")</f>
        <v>Active</v>
      </c>
      <c r="S321" s="57">
        <f>IFERROR(__xludf.DUMMYFUNCTION("""COMPUTED_VALUE"""),45547.0)</f>
        <v>45547</v>
      </c>
      <c r="T321" s="60">
        <f>IFERROR(__xludf.DUMMYFUNCTION("""COMPUTED_VALUE"""),21.2)</f>
        <v>21.2</v>
      </c>
    </row>
    <row r="322">
      <c r="A322" s="55" t="str">
        <f>IFERROR(__xludf.DUMMYFUNCTION("""COMPUTED_VALUE"""),"The Walking Dead: The Final Season")</f>
        <v>The Walking Dead: The Final Season</v>
      </c>
      <c r="B322" s="55" t="str">
        <f>IFERROR(__xludf.DUMMYFUNCTION("""COMPUTED_VALUE"""),"Xbox / PC")</f>
        <v>Xbox / PC</v>
      </c>
      <c r="C322" s="55" t="str">
        <f>IFERROR(__xludf.DUMMYFUNCTION("""COMPUTED_VALUE"""),"Yes")</f>
        <v>Yes</v>
      </c>
      <c r="D322" s="56" t="str">
        <f>IFERROR(__xludf.DUMMYFUNCTION("""COMPUTED_VALUE"""),"Active")</f>
        <v>Active</v>
      </c>
      <c r="E322" s="57">
        <f>IFERROR(__xludf.DUMMYFUNCTION("""COMPUTED_VALUE"""),44896.0)</f>
        <v>44896</v>
      </c>
      <c r="F322" s="58"/>
      <c r="G322" s="60">
        <f>IFERROR(__xludf.DUMMYFUNCTION("""COMPUTED_VALUE"""),46.16666666666667)</f>
        <v>46.16666667</v>
      </c>
      <c r="H322" s="63">
        <f>IFERROR(__xludf.DUMMYFUNCTION("""COMPUTED_VALUE"""),43325.0)</f>
        <v>43325</v>
      </c>
      <c r="I322" s="60">
        <f>IFERROR(__xludf.DUMMYFUNCTION("""COMPUTED_VALUE"""),4.3)</f>
        <v>4.3</v>
      </c>
      <c r="J322" s="64">
        <f>IFERROR(__xludf.DUMMYFUNCTION("""COMPUTED_VALUE"""),78.0)</f>
        <v>78</v>
      </c>
      <c r="K322" s="64">
        <f>IFERROR(__xludf.DUMMYFUNCTION("""COMPUTED_VALUE"""),10.0)</f>
        <v>10</v>
      </c>
      <c r="L322" s="55" t="str">
        <f>IFERROR(__xludf.DUMMYFUNCTION("""COMPUTED_VALUE"""),"Adventure")</f>
        <v>Adventure</v>
      </c>
      <c r="M322" s="55"/>
      <c r="N322" s="55" t="str">
        <f>IFERROR(__xludf.DUMMYFUNCTION("""COMPUTED_VALUE"""),"Left PC 11,33/24")</f>
        <v>Left PC 11,33/24</v>
      </c>
      <c r="O322" s="55" t="str">
        <f>IFERROR(__xludf.DUMMYFUNCTION("""COMPUTED_VALUE"""),"M")</f>
        <v>M</v>
      </c>
      <c r="P322" s="55" t="str">
        <f>IFERROR(__xludf.DUMMYFUNCTION("""COMPUTED_VALUE"""),"Blood and Gore, Intense Violence, Strong Language")</f>
        <v>Blood and Gore, Intense Violence, Strong Language</v>
      </c>
      <c r="Q322" s="55"/>
      <c r="R322" s="56" t="str">
        <f>IFERROR(__xludf.DUMMYFUNCTION("""COMPUTED_VALUE"""),"Active")</f>
        <v>Active</v>
      </c>
      <c r="S322" s="57">
        <f>IFERROR(__xludf.DUMMYFUNCTION("""COMPUTED_VALUE"""),45547.0)</f>
        <v>45547</v>
      </c>
      <c r="T322" s="60">
        <f>IFERROR(__xludf.DUMMYFUNCTION("""COMPUTED_VALUE"""),21.366666666666667)</f>
        <v>21.36666667</v>
      </c>
    </row>
    <row r="323">
      <c r="A323" s="55" t="str">
        <f>IFERROR(__xludf.DUMMYFUNCTION("""COMPUTED_VALUE"""),"Warhammer 40,000: Darktide")</f>
        <v>Warhammer 40,000: Darktide</v>
      </c>
      <c r="B323" s="55" t="str">
        <f>IFERROR(__xludf.DUMMYFUNCTION("""COMPUTED_VALUE"""),"Xbox / PC")</f>
        <v>Xbox / PC</v>
      </c>
      <c r="C323" s="55" t="str">
        <f>IFERROR(__xludf.DUMMYFUNCTION("""COMPUTED_VALUE"""),"Yes")</f>
        <v>Yes</v>
      </c>
      <c r="D323" s="56" t="str">
        <f>IFERROR(__xludf.DUMMYFUNCTION("""COMPUTED_VALUE"""),"Active")</f>
        <v>Active</v>
      </c>
      <c r="E323" s="57">
        <f>IFERROR(__xludf.DUMMYFUNCTION("""COMPUTED_VALUE"""),44895.0)</f>
        <v>44895</v>
      </c>
      <c r="F323" s="58"/>
      <c r="G323" s="60">
        <f>IFERROR(__xludf.DUMMYFUNCTION("""COMPUTED_VALUE"""),46.2)</f>
        <v>46.2</v>
      </c>
      <c r="H323" s="63">
        <f>IFERROR(__xludf.DUMMYFUNCTION("""COMPUTED_VALUE"""),44895.0)</f>
        <v>44895</v>
      </c>
      <c r="I323" s="60">
        <f>IFERROR(__xludf.DUMMYFUNCTION("""COMPUTED_VALUE"""),0.0)</f>
        <v>0</v>
      </c>
      <c r="J323" s="64">
        <f>IFERROR(__xludf.DUMMYFUNCTION("""COMPUTED_VALUE"""),78.0)</f>
        <v>78</v>
      </c>
      <c r="K323" s="64">
        <f>IFERROR(__xludf.DUMMYFUNCTION("""COMPUTED_VALUE"""),41.0)</f>
        <v>41</v>
      </c>
      <c r="L323" s="55" t="str">
        <f>IFERROR(__xludf.DUMMYFUNCTION("""COMPUTED_VALUE"""),"Action")</f>
        <v>Action</v>
      </c>
      <c r="M323" s="55" t="str">
        <f>IFERROR(__xludf.DUMMYFUNCTION("""COMPUTED_VALUE"""),"Exclusive")</f>
        <v>Exclusive</v>
      </c>
      <c r="N323" s="55" t="str">
        <f>IFERROR(__xludf.DUMMYFUNCTION("""COMPUTED_VALUE"""),"Game Pass Essential (10/1/25). Joined cloud and console 10/4/23")</f>
        <v>Game Pass Essential (10/1/25). Joined cloud and console 10/4/23</v>
      </c>
      <c r="O323" s="55" t="str">
        <f>IFERROR(__xludf.DUMMYFUNCTION("""COMPUTED_VALUE"""),"M")</f>
        <v>M</v>
      </c>
      <c r="P323" s="55" t="str">
        <f>IFERROR(__xludf.DUMMYFUNCTION("""COMPUTED_VALUE"""),"Intense Violence, Blood and Gore")</f>
        <v>Intense Violence, Blood and Gore</v>
      </c>
      <c r="Q323" s="55"/>
      <c r="R323" s="56" t="str">
        <f>IFERROR(__xludf.DUMMYFUNCTION("""COMPUTED_VALUE"""),"Active")</f>
        <v>Active</v>
      </c>
      <c r="S323" s="57">
        <f>IFERROR(__xludf.DUMMYFUNCTION("""COMPUTED_VALUE"""),45547.0)</f>
        <v>45547</v>
      </c>
      <c r="T323" s="60">
        <f>IFERROR(__xludf.DUMMYFUNCTION("""COMPUTED_VALUE"""),21.400000000000002)</f>
        <v>21.4</v>
      </c>
    </row>
    <row r="324">
      <c r="A324" s="55" t="str">
        <f>IFERROR(__xludf.DUMMYFUNCTION("""COMPUTED_VALUE"""),"Battlefield 2042")</f>
        <v>Battlefield 2042</v>
      </c>
      <c r="B324" s="55" t="str">
        <f>IFERROR(__xludf.DUMMYFUNCTION("""COMPUTED_VALUE"""),"Xbox / PC")</f>
        <v>Xbox / PC</v>
      </c>
      <c r="C324" s="55" t="str">
        <f>IFERROR(__xludf.DUMMYFUNCTION("""COMPUTED_VALUE"""),"Yes")</f>
        <v>Yes</v>
      </c>
      <c r="D324" s="56" t="str">
        <f>IFERROR(__xludf.DUMMYFUNCTION("""COMPUTED_VALUE"""),"Active")</f>
        <v>Active</v>
      </c>
      <c r="E324" s="57">
        <f>IFERROR(__xludf.DUMMYFUNCTION("""COMPUTED_VALUE"""),44887.0)</f>
        <v>44887</v>
      </c>
      <c r="F324" s="58"/>
      <c r="G324" s="60">
        <f>IFERROR(__xludf.DUMMYFUNCTION("""COMPUTED_VALUE"""),46.46666666666667)</f>
        <v>46.46666667</v>
      </c>
      <c r="H324" s="63">
        <f>IFERROR(__xludf.DUMMYFUNCTION("""COMPUTED_VALUE"""),44512.0)</f>
        <v>44512</v>
      </c>
      <c r="I324" s="60">
        <f>IFERROR(__xludf.DUMMYFUNCTION("""COMPUTED_VALUE"""),1.0277777777777777)</f>
        <v>1.027777778</v>
      </c>
      <c r="J324" s="64">
        <f>IFERROR(__xludf.DUMMYFUNCTION("""COMPUTED_VALUE"""),66.0)</f>
        <v>66</v>
      </c>
      <c r="K324" s="64">
        <f>IFERROR(__xludf.DUMMYFUNCTION("""COMPUTED_VALUE"""),58.0)</f>
        <v>58</v>
      </c>
      <c r="L324" s="55" t="str">
        <f>IFERROR(__xludf.DUMMYFUNCTION("""COMPUTED_VALUE"""),"Shooter")</f>
        <v>Shooter</v>
      </c>
      <c r="M324" s="55"/>
      <c r="N324" s="55"/>
      <c r="O324" s="55" t="str">
        <f>IFERROR(__xludf.DUMMYFUNCTION("""COMPUTED_VALUE"""),"M")</f>
        <v>M</v>
      </c>
      <c r="P324" s="55" t="str">
        <f>IFERROR(__xludf.DUMMYFUNCTION("""COMPUTED_VALUE"""),"Blood, Strong Language, Violence")</f>
        <v>Blood, Strong Language, Violence</v>
      </c>
      <c r="Q324" s="55" t="str">
        <f>IFERROR(__xludf.DUMMYFUNCTION("""COMPUTED_VALUE"""),"Seperate Xbox Gen8 (Xbox One) and Gen9 (Xbox Series X|S) versions (Not Smart Delivery enabled)")</f>
        <v>Seperate Xbox Gen8 (Xbox One) and Gen9 (Xbox Series X|S) versions (Not Smart Delivery enabled)</v>
      </c>
      <c r="R324" s="56" t="str">
        <f>IFERROR(__xludf.DUMMYFUNCTION("""COMPUTED_VALUE"""),"Active")</f>
        <v>Active</v>
      </c>
      <c r="S324" s="57">
        <f>IFERROR(__xludf.DUMMYFUNCTION("""COMPUTED_VALUE"""),45547.0)</f>
        <v>45547</v>
      </c>
      <c r="T324" s="60">
        <f>IFERROR(__xludf.DUMMYFUNCTION("""COMPUTED_VALUE"""),21.666666666666668)</f>
        <v>21.66666667</v>
      </c>
    </row>
    <row r="325">
      <c r="A325" s="55" t="str">
        <f>IFERROR(__xludf.DUMMYFUNCTION("""COMPUTED_VALUE"""),"Pentiment")</f>
        <v>Pentiment</v>
      </c>
      <c r="B325" s="55" t="str">
        <f>IFERROR(__xludf.DUMMYFUNCTION("""COMPUTED_VALUE"""),"Xbox / PC")</f>
        <v>Xbox / PC</v>
      </c>
      <c r="C325" s="55" t="str">
        <f>IFERROR(__xludf.DUMMYFUNCTION("""COMPUTED_VALUE"""),"Touch Controls, M+KB")</f>
        <v>Touch Controls, M+KB</v>
      </c>
      <c r="D325" s="56" t="str">
        <f>IFERROR(__xludf.DUMMYFUNCTION("""COMPUTED_VALUE"""),"Active")</f>
        <v>Active</v>
      </c>
      <c r="E325" s="57">
        <f>IFERROR(__xludf.DUMMYFUNCTION("""COMPUTED_VALUE"""),44880.0)</f>
        <v>44880</v>
      </c>
      <c r="F325" s="58"/>
      <c r="G325" s="60">
        <f>IFERROR(__xludf.DUMMYFUNCTION("""COMPUTED_VALUE"""),46.7)</f>
        <v>46.7</v>
      </c>
      <c r="H325" s="63">
        <f>IFERROR(__xludf.DUMMYFUNCTION("""COMPUTED_VALUE"""),44880.0)</f>
        <v>44880</v>
      </c>
      <c r="I325" s="60">
        <f>IFERROR(__xludf.DUMMYFUNCTION("""COMPUTED_VALUE"""),0.0)</f>
        <v>0</v>
      </c>
      <c r="J325" s="64">
        <f>IFERROR(__xludf.DUMMYFUNCTION("""COMPUTED_VALUE"""),87.0)</f>
        <v>87</v>
      </c>
      <c r="K325" s="64">
        <f>IFERROR(__xludf.DUMMYFUNCTION("""COMPUTED_VALUE"""),18.5)</f>
        <v>18.5</v>
      </c>
      <c r="L325" s="55" t="str">
        <f>IFERROR(__xludf.DUMMYFUNCTION("""COMPUTED_VALUE"""),"Adventure")</f>
        <v>Adventure</v>
      </c>
      <c r="M325" s="55"/>
      <c r="N325" s="55"/>
      <c r="O325" s="55" t="str">
        <f>IFERROR(__xludf.DUMMYFUNCTION("""COMPUTED_VALUE"""),"M")</f>
        <v>M</v>
      </c>
      <c r="P325" s="55" t="str">
        <f>IFERROR(__xludf.DUMMYFUNCTION("""COMPUTED_VALUE"""),"Blood and Gore, Sexual Themes, Strong Language, Violence")</f>
        <v>Blood and Gore, Sexual Themes, Strong Language, Violence</v>
      </c>
      <c r="Q325" s="55"/>
      <c r="R325" s="56" t="str">
        <f>IFERROR(__xludf.DUMMYFUNCTION("""COMPUTED_VALUE"""),"Active")</f>
        <v>Active</v>
      </c>
      <c r="S325" s="57">
        <f>IFERROR(__xludf.DUMMYFUNCTION("""COMPUTED_VALUE"""),45547.0)</f>
        <v>45547</v>
      </c>
      <c r="T325" s="60">
        <f>IFERROR(__xludf.DUMMYFUNCTION("""COMPUTED_VALUE"""),21.9)</f>
        <v>21.9</v>
      </c>
    </row>
    <row r="326">
      <c r="A326" s="55" t="str">
        <f>IFERROR(__xludf.DUMMYFUNCTION("""COMPUTED_VALUE"""),"Costume Quest")</f>
        <v>Costume Quest</v>
      </c>
      <c r="B326" s="55" t="str">
        <f>IFERROR(__xludf.DUMMYFUNCTION("""COMPUTED_VALUE"""),"Xbox")</f>
        <v>Xbox</v>
      </c>
      <c r="C326" s="55" t="str">
        <f>IFERROR(__xludf.DUMMYFUNCTION("""COMPUTED_VALUE"""),"Yes")</f>
        <v>Yes</v>
      </c>
      <c r="D326" s="56" t="str">
        <f>IFERROR(__xludf.DUMMYFUNCTION("""COMPUTED_VALUE"""),"Active")</f>
        <v>Active</v>
      </c>
      <c r="E326" s="57">
        <f>IFERROR(__xludf.DUMMYFUNCTION("""COMPUTED_VALUE"""),44845.0)</f>
        <v>44845</v>
      </c>
      <c r="F326" s="58"/>
      <c r="G326" s="60">
        <f>IFERROR(__xludf.DUMMYFUNCTION("""COMPUTED_VALUE"""),47.833333333333336)</f>
        <v>47.83333333</v>
      </c>
      <c r="H326" s="63">
        <f>IFERROR(__xludf.DUMMYFUNCTION("""COMPUTED_VALUE"""),40471.0)</f>
        <v>40471</v>
      </c>
      <c r="I326" s="60">
        <f>IFERROR(__xludf.DUMMYFUNCTION("""COMPUTED_VALUE"""),11.975)</f>
        <v>11.975</v>
      </c>
      <c r="J326" s="64">
        <f>IFERROR(__xludf.DUMMYFUNCTION("""COMPUTED_VALUE"""),74.0)</f>
        <v>74</v>
      </c>
      <c r="K326" s="64">
        <f>IFERROR(__xludf.DUMMYFUNCTION("""COMPUTED_VALUE"""),5.5)</f>
        <v>5.5</v>
      </c>
      <c r="L326" s="55" t="str">
        <f>IFERROR(__xludf.DUMMYFUNCTION("""COMPUTED_VALUE"""),"RPG")</f>
        <v>RPG</v>
      </c>
      <c r="M326" s="55"/>
      <c r="N326" s="55"/>
      <c r="O326" s="55" t="str">
        <f>IFERROR(__xludf.DUMMYFUNCTION("""COMPUTED_VALUE"""),"E10+")</f>
        <v>E10+</v>
      </c>
      <c r="P326" s="55" t="str">
        <f>IFERROR(__xludf.DUMMYFUNCTION("""COMPUTED_VALUE"""),"Fantasy Violence, Tobacco Reference")</f>
        <v>Fantasy Violence, Tobacco Reference</v>
      </c>
      <c r="Q326" s="55"/>
      <c r="R326" s="56" t="str">
        <f>IFERROR(__xludf.DUMMYFUNCTION("""COMPUTED_VALUE"""),"Active")</f>
        <v>Active</v>
      </c>
      <c r="S326" s="57">
        <f>IFERROR(__xludf.DUMMYFUNCTION("""COMPUTED_VALUE"""),45547.0)</f>
        <v>45547</v>
      </c>
      <c r="T326" s="60">
        <f>IFERROR(__xludf.DUMMYFUNCTION("""COMPUTED_VALUE"""),23.033333333333335)</f>
        <v>23.03333333</v>
      </c>
    </row>
    <row r="327">
      <c r="A327" s="55" t="str">
        <f>IFERROR(__xludf.DUMMYFUNCTION("""COMPUTED_VALUE"""),"Chivalry II")</f>
        <v>Chivalry II</v>
      </c>
      <c r="B327" s="55" t="str">
        <f>IFERROR(__xludf.DUMMYFUNCTION("""COMPUTED_VALUE"""),"Xbox / PC")</f>
        <v>Xbox / PC</v>
      </c>
      <c r="C327" s="55" t="str">
        <f>IFERROR(__xludf.DUMMYFUNCTION("""COMPUTED_VALUE"""),"Yes")</f>
        <v>Yes</v>
      </c>
      <c r="D327" s="56" t="str">
        <f>IFERROR(__xludf.DUMMYFUNCTION("""COMPUTED_VALUE"""),"Active")</f>
        <v>Active</v>
      </c>
      <c r="E327" s="57">
        <f>IFERROR(__xludf.DUMMYFUNCTION("""COMPUTED_VALUE"""),44838.0)</f>
        <v>44838</v>
      </c>
      <c r="F327" s="58"/>
      <c r="G327" s="60">
        <f>IFERROR(__xludf.DUMMYFUNCTION("""COMPUTED_VALUE"""),48.06666666666666)</f>
        <v>48.06666667</v>
      </c>
      <c r="H327" s="63">
        <f>IFERROR(__xludf.DUMMYFUNCTION("""COMPUTED_VALUE"""),44355.0)</f>
        <v>44355</v>
      </c>
      <c r="I327" s="60">
        <f>IFERROR(__xludf.DUMMYFUNCTION("""COMPUTED_VALUE"""),1.3222222222222222)</f>
        <v>1.322222222</v>
      </c>
      <c r="J327" s="64">
        <f>IFERROR(__xludf.DUMMYFUNCTION("""COMPUTED_VALUE"""),82.0)</f>
        <v>82</v>
      </c>
      <c r="K327" s="64">
        <f>IFERROR(__xludf.DUMMYFUNCTION("""COMPUTED_VALUE"""),42.5)</f>
        <v>42.5</v>
      </c>
      <c r="L327" s="55" t="str">
        <f>IFERROR(__xludf.DUMMYFUNCTION("""COMPUTED_VALUE"""),"Action")</f>
        <v>Action</v>
      </c>
      <c r="M327" s="55"/>
      <c r="N327" s="55" t="str">
        <f>IFERROR(__xludf.DUMMYFUNCTION("""COMPUTED_VALUE"""),"Game Pass Essential (12/6/23)")</f>
        <v>Game Pass Essential (12/6/23)</v>
      </c>
      <c r="O327" s="55" t="str">
        <f>IFERROR(__xludf.DUMMYFUNCTION("""COMPUTED_VALUE"""),"M")</f>
        <v>M</v>
      </c>
      <c r="P327" s="55" t="str">
        <f>IFERROR(__xludf.DUMMYFUNCTION("""COMPUTED_VALUE"""),"Use of Alcohol, Blood and Gore, Mild Sexual Themes, Language, Intense Violence")</f>
        <v>Use of Alcohol, Blood and Gore, Mild Sexual Themes, Language, Intense Violence</v>
      </c>
      <c r="Q327" s="55"/>
      <c r="R327" s="56" t="str">
        <f>IFERROR(__xludf.DUMMYFUNCTION("""COMPUTED_VALUE"""),"Active")</f>
        <v>Active</v>
      </c>
      <c r="S327" s="57">
        <f>IFERROR(__xludf.DUMMYFUNCTION("""COMPUTED_VALUE"""),45547.0)</f>
        <v>45547</v>
      </c>
      <c r="T327" s="60">
        <f>IFERROR(__xludf.DUMMYFUNCTION("""COMPUTED_VALUE"""),23.266666666666666)</f>
        <v>23.26666667</v>
      </c>
    </row>
    <row r="328">
      <c r="A328" s="55" t="str">
        <f>IFERROR(__xludf.DUMMYFUNCTION("""COMPUTED_VALUE"""),"DEATHLOOP")</f>
        <v>DEATHLOOP</v>
      </c>
      <c r="B328" s="55" t="str">
        <f>IFERROR(__xludf.DUMMYFUNCTION("""COMPUTED_VALUE"""),"Xbox / PC")</f>
        <v>Xbox / PC</v>
      </c>
      <c r="C328" s="55" t="str">
        <f>IFERROR(__xludf.DUMMYFUNCTION("""COMPUTED_VALUE"""),"Yes")</f>
        <v>Yes</v>
      </c>
      <c r="D328" s="56" t="str">
        <f>IFERROR(__xludf.DUMMYFUNCTION("""COMPUTED_VALUE"""),"Active")</f>
        <v>Active</v>
      </c>
      <c r="E328" s="57">
        <f>IFERROR(__xludf.DUMMYFUNCTION("""COMPUTED_VALUE"""),44824.0)</f>
        <v>44824</v>
      </c>
      <c r="F328" s="58"/>
      <c r="G328" s="60">
        <f>IFERROR(__xludf.DUMMYFUNCTION("""COMPUTED_VALUE"""),48.53333333333333)</f>
        <v>48.53333333</v>
      </c>
      <c r="H328" s="63">
        <f>IFERROR(__xludf.DUMMYFUNCTION("""COMPUTED_VALUE"""),44453.0)</f>
        <v>44453</v>
      </c>
      <c r="I328" s="60">
        <f>IFERROR(__xludf.DUMMYFUNCTION("""COMPUTED_VALUE"""),1.0166666666666666)</f>
        <v>1.016666667</v>
      </c>
      <c r="J328" s="64">
        <f>IFERROR(__xludf.DUMMYFUNCTION("""COMPUTED_VALUE"""),89.0)</f>
        <v>89</v>
      </c>
      <c r="K328" s="64">
        <f>IFERROR(__xludf.DUMMYFUNCTION("""COMPUTED_VALUE"""),16.0)</f>
        <v>16</v>
      </c>
      <c r="L328" s="55" t="str">
        <f>IFERROR(__xludf.DUMMYFUNCTION("""COMPUTED_VALUE"""),"Shooter")</f>
        <v>Shooter</v>
      </c>
      <c r="M328" s="55" t="str">
        <f>IFERROR(__xludf.DUMMYFUNCTION("""COMPUTED_VALUE"""),"Exclusive")</f>
        <v>Exclusive</v>
      </c>
      <c r="N328" s="55"/>
      <c r="O328" s="55" t="str">
        <f>IFERROR(__xludf.DUMMYFUNCTION("""COMPUTED_VALUE"""),"M")</f>
        <v>M</v>
      </c>
      <c r="P328" s="55" t="str">
        <f>IFERROR(__xludf.DUMMYFUNCTION("""COMPUTED_VALUE"""),"Blood and Gore, Sexual Themes, Drug Reference, Strong Language, Intense Violence")</f>
        <v>Blood and Gore, Sexual Themes, Drug Reference, Strong Language, Intense Violence</v>
      </c>
      <c r="Q328" s="55"/>
      <c r="R328" s="56" t="str">
        <f>IFERROR(__xludf.DUMMYFUNCTION("""COMPUTED_VALUE"""),"Active")</f>
        <v>Active</v>
      </c>
      <c r="S328" s="57">
        <f>IFERROR(__xludf.DUMMYFUNCTION("""COMPUTED_VALUE"""),45547.0)</f>
        <v>45547</v>
      </c>
      <c r="T328" s="60">
        <f>IFERROR(__xludf.DUMMYFUNCTION("""COMPUTED_VALUE"""),23.733333333333334)</f>
        <v>23.73333333</v>
      </c>
    </row>
    <row r="329">
      <c r="A329" s="55" t="str">
        <f>IFERROR(__xludf.DUMMYFUNCTION("""COMPUTED_VALUE"""),"Assassin's Creed Odyssey")</f>
        <v>Assassin's Creed Odyssey</v>
      </c>
      <c r="B329" s="55" t="str">
        <f>IFERROR(__xludf.DUMMYFUNCTION("""COMPUTED_VALUE"""),"Xbox / PC")</f>
        <v>Xbox / PC</v>
      </c>
      <c r="C329" s="55" t="str">
        <f>IFERROR(__xludf.DUMMYFUNCTION("""COMPUTED_VALUE"""),"Touch Controls")</f>
        <v>Touch Controls</v>
      </c>
      <c r="D329" s="56" t="str">
        <f>IFERROR(__xludf.DUMMYFUNCTION("""COMPUTED_VALUE"""),"Active")</f>
        <v>Active</v>
      </c>
      <c r="E329" s="57">
        <f>IFERROR(__xludf.DUMMYFUNCTION("""COMPUTED_VALUE"""),44819.0)</f>
        <v>44819</v>
      </c>
      <c r="F329" s="58"/>
      <c r="G329" s="60">
        <f>IFERROR(__xludf.DUMMYFUNCTION("""COMPUTED_VALUE"""),48.7)</f>
        <v>48.7</v>
      </c>
      <c r="H329" s="63">
        <f>IFERROR(__xludf.DUMMYFUNCTION("""COMPUTED_VALUE"""),43375.0)</f>
        <v>43375</v>
      </c>
      <c r="I329" s="60">
        <f>IFERROR(__xludf.DUMMYFUNCTION("""COMPUTED_VALUE"""),3.952777777777778)</f>
        <v>3.952777778</v>
      </c>
      <c r="J329" s="64">
        <f>IFERROR(__xludf.DUMMYFUNCTION("""COMPUTED_VALUE"""),87.0)</f>
        <v>87</v>
      </c>
      <c r="K329" s="64">
        <f>IFERROR(__xludf.DUMMYFUNCTION("""COMPUTED_VALUE"""),44.5)</f>
        <v>44.5</v>
      </c>
      <c r="L329" s="55" t="str">
        <f>IFERROR(__xludf.DUMMYFUNCTION("""COMPUTED_VALUE"""),"RPG")</f>
        <v>RPG</v>
      </c>
      <c r="M329" s="55"/>
      <c r="N329" s="55" t="str">
        <f>IFERROR(__xludf.DUMMYFUNCTION("""COMPUTED_VALUE"""),"Ubisoft Connect launcher")</f>
        <v>Ubisoft Connect launcher</v>
      </c>
      <c r="O329" s="55" t="str">
        <f>IFERROR(__xludf.DUMMYFUNCTION("""COMPUTED_VALUE"""),"M")</f>
        <v>M</v>
      </c>
      <c r="P329" s="55" t="str">
        <f>IFERROR(__xludf.DUMMYFUNCTION("""COMPUTED_VALUE"""),"Blood and Gore, Sexual Themes, Strong Language, Intense Violence")</f>
        <v>Blood and Gore, Sexual Themes, Strong Language, Intense Violence</v>
      </c>
      <c r="Q329" s="55"/>
      <c r="R329" s="56" t="str">
        <f>IFERROR(__xludf.DUMMYFUNCTION("""COMPUTED_VALUE"""),"Active")</f>
        <v>Active</v>
      </c>
      <c r="S329" s="57">
        <f>IFERROR(__xludf.DUMMYFUNCTION("""COMPUTED_VALUE"""),45547.0)</f>
        <v>45547</v>
      </c>
      <c r="T329" s="60">
        <f>IFERROR(__xludf.DUMMYFUNCTION("""COMPUTED_VALUE"""),23.9)</f>
        <v>23.9</v>
      </c>
    </row>
    <row r="330">
      <c r="A330" s="55" t="str">
        <f>IFERROR(__xludf.DUMMYFUNCTION("""COMPUTED_VALUE"""),"Ni no Kuni: Wrath of the White Witch - Remastered")</f>
        <v>Ni no Kuni: Wrath of the White Witch - Remastered</v>
      </c>
      <c r="B330" s="55" t="str">
        <f>IFERROR(__xludf.DUMMYFUNCTION("""COMPUTED_VALUE"""),"Xbox / PC")</f>
        <v>Xbox / PC</v>
      </c>
      <c r="C330" s="55" t="str">
        <f>IFERROR(__xludf.DUMMYFUNCTION("""COMPUTED_VALUE"""),"Touch Controls")</f>
        <v>Touch Controls</v>
      </c>
      <c r="D330" s="56" t="str">
        <f>IFERROR(__xludf.DUMMYFUNCTION("""COMPUTED_VALUE"""),"Active")</f>
        <v>Active</v>
      </c>
      <c r="E330" s="57">
        <f>IFERROR(__xludf.DUMMYFUNCTION("""COMPUTED_VALUE"""),44819.0)</f>
        <v>44819</v>
      </c>
      <c r="F330" s="58"/>
      <c r="G330" s="60">
        <f>IFERROR(__xludf.DUMMYFUNCTION("""COMPUTED_VALUE"""),48.7)</f>
        <v>48.7</v>
      </c>
      <c r="H330" s="63">
        <f>IFERROR(__xludf.DUMMYFUNCTION("""COMPUTED_VALUE"""),43728.0)</f>
        <v>43728</v>
      </c>
      <c r="I330" s="60">
        <f>IFERROR(__xludf.DUMMYFUNCTION("""COMPUTED_VALUE"""),2.986111111111111)</f>
        <v>2.986111111</v>
      </c>
      <c r="J330" s="64">
        <f>IFERROR(__xludf.DUMMYFUNCTION("""COMPUTED_VALUE"""),82.0)</f>
        <v>82</v>
      </c>
      <c r="K330" s="64">
        <f>IFERROR(__xludf.DUMMYFUNCTION("""COMPUTED_VALUE"""),44.5)</f>
        <v>44.5</v>
      </c>
      <c r="L330" s="55" t="str">
        <f>IFERROR(__xludf.DUMMYFUNCTION("""COMPUTED_VALUE"""),"RPG")</f>
        <v>RPG</v>
      </c>
      <c r="M330" s="55"/>
      <c r="N330" s="55"/>
      <c r="O330" s="55" t="str">
        <f>IFERROR(__xludf.DUMMYFUNCTION("""COMPUTED_VALUE"""),"E10+")</f>
        <v>E10+</v>
      </c>
      <c r="P330" s="55" t="str">
        <f>IFERROR(__xludf.DUMMYFUNCTION("""COMPUTED_VALUE"""),"Fantasy Violence, Mild Language, Simulated Gambling, Alcohol and Tobacco Reference")</f>
        <v>Fantasy Violence, Mild Language, Simulated Gambling, Alcohol and Tobacco Reference</v>
      </c>
      <c r="Q330" s="55"/>
      <c r="R330" s="56" t="str">
        <f>IFERROR(__xludf.DUMMYFUNCTION("""COMPUTED_VALUE"""),"Active")</f>
        <v>Active</v>
      </c>
      <c r="S330" s="57">
        <f>IFERROR(__xludf.DUMMYFUNCTION("""COMPUTED_VALUE"""),45547.0)</f>
        <v>45547</v>
      </c>
      <c r="T330" s="60">
        <f>IFERROR(__xludf.DUMMYFUNCTION("""COMPUTED_VALUE"""),23.9)</f>
        <v>23.9</v>
      </c>
    </row>
    <row r="331">
      <c r="A331" s="55" t="str">
        <f>IFERROR(__xludf.DUMMYFUNCTION("""COMPUTED_VALUE"""),"Disney Dreamlight Valley: Founder's Edition")</f>
        <v>Disney Dreamlight Valley: Founder's Edition</v>
      </c>
      <c r="B331" s="55" t="str">
        <f>IFERROR(__xludf.DUMMYFUNCTION("""COMPUTED_VALUE"""),"Xbox / PC")</f>
        <v>Xbox / PC</v>
      </c>
      <c r="C331" s="55" t="str">
        <f>IFERROR(__xludf.DUMMYFUNCTION("""COMPUTED_VALUE"""),"Touch Controls")</f>
        <v>Touch Controls</v>
      </c>
      <c r="D331" s="56" t="str">
        <f>IFERROR(__xludf.DUMMYFUNCTION("""COMPUTED_VALUE"""),"Active")</f>
        <v>Active</v>
      </c>
      <c r="E331" s="57">
        <f>IFERROR(__xludf.DUMMYFUNCTION("""COMPUTED_VALUE"""),44810.0)</f>
        <v>44810</v>
      </c>
      <c r="F331" s="58"/>
      <c r="G331" s="60">
        <f>IFERROR(__xludf.DUMMYFUNCTION("""COMPUTED_VALUE"""),49.0)</f>
        <v>49</v>
      </c>
      <c r="H331" s="63">
        <f>IFERROR(__xludf.DUMMYFUNCTION("""COMPUTED_VALUE"""),44810.0)</f>
        <v>44810</v>
      </c>
      <c r="I331" s="60">
        <f>IFERROR(__xludf.DUMMYFUNCTION("""COMPUTED_VALUE"""),0.0)</f>
        <v>0</v>
      </c>
      <c r="J331" s="64">
        <f>IFERROR(__xludf.DUMMYFUNCTION("""COMPUTED_VALUE"""),75.0)</f>
        <v>75</v>
      </c>
      <c r="K331" s="64">
        <f>IFERROR(__xludf.DUMMYFUNCTION("""COMPUTED_VALUE"""),15.5)</f>
        <v>15.5</v>
      </c>
      <c r="L331" s="55" t="str">
        <f>IFERROR(__xludf.DUMMYFUNCTION("""COMPUTED_VALUE"""),"Simulation")</f>
        <v>Simulation</v>
      </c>
      <c r="M331" s="55"/>
      <c r="N331" s="55" t="str">
        <f>IFERROR(__xludf.DUMMYFUNCTION("""COMPUTED_VALUE"""),"Game Pass Essential (10/1/25)")</f>
        <v>Game Pass Essential (10/1/25)</v>
      </c>
      <c r="O331" s="55" t="str">
        <f>IFERROR(__xludf.DUMMYFUNCTION("""COMPUTED_VALUE"""),"E")</f>
        <v>E</v>
      </c>
      <c r="P331" s="55"/>
      <c r="Q331" s="55"/>
      <c r="R331" s="56" t="str">
        <f>IFERROR(__xludf.DUMMYFUNCTION("""COMPUTED_VALUE"""),"Active")</f>
        <v>Active</v>
      </c>
      <c r="S331" s="57">
        <f>IFERROR(__xludf.DUMMYFUNCTION("""COMPUTED_VALUE"""),45547.0)</f>
        <v>45547</v>
      </c>
      <c r="T331" s="60">
        <f>IFERROR(__xludf.DUMMYFUNCTION("""COMPUTED_VALUE"""),24.2)</f>
        <v>24.2</v>
      </c>
    </row>
    <row r="332">
      <c r="A332" s="55" t="str">
        <f>IFERROR(__xludf.DUMMYFUNCTION("""COMPUTED_VALUE"""),"GRID: Legends")</f>
        <v>GRID: Legends</v>
      </c>
      <c r="B332" s="55" t="str">
        <f>IFERROR(__xludf.DUMMYFUNCTION("""COMPUTED_VALUE"""),"Xbox / PC")</f>
        <v>Xbox / PC</v>
      </c>
      <c r="C332" s="55" t="str">
        <f>IFERROR(__xludf.DUMMYFUNCTION("""COMPUTED_VALUE"""),"Yes")</f>
        <v>Yes</v>
      </c>
      <c r="D332" s="56" t="str">
        <f>IFERROR(__xludf.DUMMYFUNCTION("""COMPUTED_VALUE"""),"Active")</f>
        <v>Active</v>
      </c>
      <c r="E332" s="57">
        <f>IFERROR(__xludf.DUMMYFUNCTION("""COMPUTED_VALUE"""),44805.0)</f>
        <v>44805</v>
      </c>
      <c r="F332" s="58"/>
      <c r="G332" s="60">
        <f>IFERROR(__xludf.DUMMYFUNCTION("""COMPUTED_VALUE"""),49.16666666666667)</f>
        <v>49.16666667</v>
      </c>
      <c r="H332" s="63">
        <f>IFERROR(__xludf.DUMMYFUNCTION("""COMPUTED_VALUE"""),44617.0)</f>
        <v>44617</v>
      </c>
      <c r="I332" s="60">
        <f>IFERROR(__xludf.DUMMYFUNCTION("""COMPUTED_VALUE"""),0.5166666666666667)</f>
        <v>0.5166666667</v>
      </c>
      <c r="J332" s="64">
        <f>IFERROR(__xludf.DUMMYFUNCTION("""COMPUTED_VALUE"""),75.0)</f>
        <v>75</v>
      </c>
      <c r="K332" s="64">
        <f>IFERROR(__xludf.DUMMYFUNCTION("""COMPUTED_VALUE"""),6.0)</f>
        <v>6</v>
      </c>
      <c r="L332" s="55" t="str">
        <f>IFERROR(__xludf.DUMMYFUNCTION("""COMPUTED_VALUE"""),"Racing")</f>
        <v>Racing</v>
      </c>
      <c r="M332" s="55"/>
      <c r="N332" s="55" t="str">
        <f>IFERROR(__xludf.DUMMYFUNCTION("""COMPUTED_VALUE"""),"Joined cloud 2/2/23")</f>
        <v>Joined cloud 2/2/23</v>
      </c>
      <c r="O332" s="55" t="str">
        <f>IFERROR(__xludf.DUMMYFUNCTION("""COMPUTED_VALUE"""),"E10+")</f>
        <v>E10+</v>
      </c>
      <c r="P332" s="55" t="str">
        <f>IFERROR(__xludf.DUMMYFUNCTION("""COMPUTED_VALUE"""),"Mild Language, Mild Suggestive Themes, Mild Violence")</f>
        <v>Mild Language, Mild Suggestive Themes, Mild Violence</v>
      </c>
      <c r="Q332" s="55"/>
      <c r="R332" s="56" t="str">
        <f>IFERROR(__xludf.DUMMYFUNCTION("""COMPUTED_VALUE"""),"Active")</f>
        <v>Active</v>
      </c>
      <c r="S332" s="57">
        <f>IFERROR(__xludf.DUMMYFUNCTION("""COMPUTED_VALUE"""),45547.0)</f>
        <v>45547</v>
      </c>
      <c r="T332" s="60">
        <f>IFERROR(__xludf.DUMMYFUNCTION("""COMPUTED_VALUE"""),24.366666666666667)</f>
        <v>24.36666667</v>
      </c>
    </row>
    <row r="333">
      <c r="A333" s="55" t="str">
        <f>IFERROR(__xludf.DUMMYFUNCTION("""COMPUTED_VALUE"""),"Immortals Fenyx Rising")</f>
        <v>Immortals Fenyx Rising</v>
      </c>
      <c r="B333" s="55" t="str">
        <f>IFERROR(__xludf.DUMMYFUNCTION("""COMPUTED_VALUE"""),"Xbox / PC")</f>
        <v>Xbox / PC</v>
      </c>
      <c r="C333" s="55" t="str">
        <f>IFERROR(__xludf.DUMMYFUNCTION("""COMPUTED_VALUE"""),"Touch Controls")</f>
        <v>Touch Controls</v>
      </c>
      <c r="D333" s="56" t="str">
        <f>IFERROR(__xludf.DUMMYFUNCTION("""COMPUTED_VALUE"""),"Active")</f>
        <v>Active</v>
      </c>
      <c r="E333" s="57">
        <f>IFERROR(__xludf.DUMMYFUNCTION("""COMPUTED_VALUE"""),44803.0)</f>
        <v>44803</v>
      </c>
      <c r="F333" s="58"/>
      <c r="G333" s="60">
        <f>IFERROR(__xludf.DUMMYFUNCTION("""COMPUTED_VALUE"""),49.199999999999996)</f>
        <v>49.2</v>
      </c>
      <c r="H333" s="63">
        <f>IFERROR(__xludf.DUMMYFUNCTION("""COMPUTED_VALUE"""),44168.0)</f>
        <v>44168</v>
      </c>
      <c r="I333" s="60">
        <f>IFERROR(__xludf.DUMMYFUNCTION("""COMPUTED_VALUE"""),1.7416666666666667)</f>
        <v>1.741666667</v>
      </c>
      <c r="J333" s="64">
        <f>IFERROR(__xludf.DUMMYFUNCTION("""COMPUTED_VALUE"""),81.0)</f>
        <v>81</v>
      </c>
      <c r="K333" s="64">
        <f>IFERROR(__xludf.DUMMYFUNCTION("""COMPUTED_VALUE"""),25.5)</f>
        <v>25.5</v>
      </c>
      <c r="L333" s="55" t="str">
        <f>IFERROR(__xludf.DUMMYFUNCTION("""COMPUTED_VALUE"""),"RPG")</f>
        <v>RPG</v>
      </c>
      <c r="M333" s="55"/>
      <c r="N333" s="55" t="str">
        <f>IFERROR(__xludf.DUMMYFUNCTION("""COMPUTED_VALUE"""),"Ubisoft Connect launcher")</f>
        <v>Ubisoft Connect launcher</v>
      </c>
      <c r="O333" s="55" t="str">
        <f>IFERROR(__xludf.DUMMYFUNCTION("""COMPUTED_VALUE"""),"T")</f>
        <v>T</v>
      </c>
      <c r="P333" s="55" t="str">
        <f>IFERROR(__xludf.DUMMYFUNCTION("""COMPUTED_VALUE"""),"Language, Suggestive Themes, Violence")</f>
        <v>Language, Suggestive Themes, Violence</v>
      </c>
      <c r="Q333" s="55"/>
      <c r="R333" s="56" t="str">
        <f>IFERROR(__xludf.DUMMYFUNCTION("""COMPUTED_VALUE"""),"Active")</f>
        <v>Active</v>
      </c>
      <c r="S333" s="57">
        <f>IFERROR(__xludf.DUMMYFUNCTION("""COMPUTED_VALUE"""),45547.0)</f>
        <v>45547</v>
      </c>
      <c r="T333" s="60">
        <f>IFERROR(__xludf.DUMMYFUNCTION("""COMPUTED_VALUE"""),24.4)</f>
        <v>24.4</v>
      </c>
    </row>
    <row r="334">
      <c r="A334" s="55" t="str">
        <f>IFERROR(__xludf.DUMMYFUNCTION("""COMPUTED_VALUE"""),"Cooking Simulator")</f>
        <v>Cooking Simulator</v>
      </c>
      <c r="B334" s="55" t="str">
        <f>IFERROR(__xludf.DUMMYFUNCTION("""COMPUTED_VALUE"""),"Xbox / PC")</f>
        <v>Xbox / PC</v>
      </c>
      <c r="C334" s="55" t="str">
        <f>IFERROR(__xludf.DUMMYFUNCTION("""COMPUTED_VALUE"""),"Yes")</f>
        <v>Yes</v>
      </c>
      <c r="D334" s="56" t="str">
        <f>IFERROR(__xludf.DUMMYFUNCTION("""COMPUTED_VALUE"""),"Active")</f>
        <v>Active</v>
      </c>
      <c r="E334" s="57">
        <f>IFERROR(__xludf.DUMMYFUNCTION("""COMPUTED_VALUE"""),44784.0)</f>
        <v>44784</v>
      </c>
      <c r="F334" s="58"/>
      <c r="G334" s="60">
        <f>IFERROR(__xludf.DUMMYFUNCTION("""COMPUTED_VALUE"""),49.83333333333333)</f>
        <v>49.83333333</v>
      </c>
      <c r="H334" s="63">
        <f>IFERROR(__xludf.DUMMYFUNCTION("""COMPUTED_VALUE"""),43622.0)</f>
        <v>43622</v>
      </c>
      <c r="I334" s="60">
        <f>IFERROR(__xludf.DUMMYFUNCTION("""COMPUTED_VALUE"""),3.1805555555555554)</f>
        <v>3.180555556</v>
      </c>
      <c r="J334" s="64">
        <f>IFERROR(__xludf.DUMMYFUNCTION("""COMPUTED_VALUE"""),64.0)</f>
        <v>64</v>
      </c>
      <c r="K334" s="64">
        <f>IFERROR(__xludf.DUMMYFUNCTION("""COMPUTED_VALUE"""),8.5)</f>
        <v>8.5</v>
      </c>
      <c r="L334" s="55" t="str">
        <f>IFERROR(__xludf.DUMMYFUNCTION("""COMPUTED_VALUE"""),"Simulation")</f>
        <v>Simulation</v>
      </c>
      <c r="M334" s="55"/>
      <c r="N334" s="55"/>
      <c r="O334" s="55" t="str">
        <f>IFERROR(__xludf.DUMMYFUNCTION("""COMPUTED_VALUE"""),"E")</f>
        <v>E</v>
      </c>
      <c r="P334" s="55" t="str">
        <f>IFERROR(__xludf.DUMMYFUNCTION("""COMPUTED_VALUE"""),"Alcohol Reference")</f>
        <v>Alcohol Reference</v>
      </c>
      <c r="Q334" s="55"/>
      <c r="R334" s="56" t="str">
        <f>IFERROR(__xludf.DUMMYFUNCTION("""COMPUTED_VALUE"""),"Active")</f>
        <v>Active</v>
      </c>
      <c r="S334" s="57">
        <f>IFERROR(__xludf.DUMMYFUNCTION("""COMPUTED_VALUE"""),45547.0)</f>
        <v>45547</v>
      </c>
      <c r="T334" s="60">
        <f>IFERROR(__xludf.DUMMYFUNCTION("""COMPUTED_VALUE"""),25.033333333333335)</f>
        <v>25.03333333</v>
      </c>
    </row>
    <row r="335">
      <c r="A335" s="55" t="str">
        <f>IFERROR(__xludf.DUMMYFUNCTION("""COMPUTED_VALUE"""),"Tom Clancy's Ghost Recon: Wildlands")</f>
        <v>Tom Clancy's Ghost Recon: Wildlands</v>
      </c>
      <c r="B335" s="55" t="str">
        <f>IFERROR(__xludf.DUMMYFUNCTION("""COMPUTED_VALUE"""),"Xbox / PC")</f>
        <v>Xbox / PC</v>
      </c>
      <c r="C335" s="55" t="str">
        <f>IFERROR(__xludf.DUMMYFUNCTION("""COMPUTED_VALUE"""),"Yes")</f>
        <v>Yes</v>
      </c>
      <c r="D335" s="56" t="str">
        <f>IFERROR(__xludf.DUMMYFUNCTION("""COMPUTED_VALUE"""),"Active")</f>
        <v>Active</v>
      </c>
      <c r="E335" s="57">
        <f>IFERROR(__xludf.DUMMYFUNCTION("""COMPUTED_VALUE"""),44774.0)</f>
        <v>44774</v>
      </c>
      <c r="F335" s="58"/>
      <c r="G335" s="60">
        <f>IFERROR(__xludf.DUMMYFUNCTION("""COMPUTED_VALUE"""),50.166666666666664)</f>
        <v>50.16666667</v>
      </c>
      <c r="H335" s="63">
        <f>IFERROR(__xludf.DUMMYFUNCTION("""COMPUTED_VALUE"""),42801.0)</f>
        <v>42801</v>
      </c>
      <c r="I335" s="60">
        <f>IFERROR(__xludf.DUMMYFUNCTION("""COMPUTED_VALUE"""),5.4)</f>
        <v>5.4</v>
      </c>
      <c r="J335" s="64">
        <f>IFERROR(__xludf.DUMMYFUNCTION("""COMPUTED_VALUE"""),76.0)</f>
        <v>76</v>
      </c>
      <c r="K335" s="64">
        <f>IFERROR(__xludf.DUMMYFUNCTION("""COMPUTED_VALUE"""),26.5)</f>
        <v>26.5</v>
      </c>
      <c r="L335" s="55" t="str">
        <f>IFERROR(__xludf.DUMMYFUNCTION("""COMPUTED_VALUE"""),"Shooter")</f>
        <v>Shooter</v>
      </c>
      <c r="M335" s="55"/>
      <c r="N335" s="55" t="str">
        <f>IFERROR(__xludf.DUMMYFUNCTION("""COMPUTED_VALUE"""),"Ubisoft Connect launcher")</f>
        <v>Ubisoft Connect launcher</v>
      </c>
      <c r="O335" s="55" t="str">
        <f>IFERROR(__xludf.DUMMYFUNCTION("""COMPUTED_VALUE"""),"M")</f>
        <v>M</v>
      </c>
      <c r="P335" s="55" t="str">
        <f>IFERROR(__xludf.DUMMYFUNCTION("""COMPUTED_VALUE"""),"Blood and Gore, Intense Violence, Partial Nudity, Sexual Themes, Strong Language, Use of Drugs")</f>
        <v>Blood and Gore, Intense Violence, Partial Nudity, Sexual Themes, Strong Language, Use of Drugs</v>
      </c>
      <c r="Q335" s="55"/>
      <c r="R335" s="56" t="str">
        <f>IFERROR(__xludf.DUMMYFUNCTION("""COMPUTED_VALUE"""),"Active")</f>
        <v>Active</v>
      </c>
      <c r="S335" s="57">
        <f>IFERROR(__xludf.DUMMYFUNCTION("""COMPUTED_VALUE"""),45547.0)</f>
        <v>45547</v>
      </c>
      <c r="T335" s="60">
        <f>IFERROR(__xludf.DUMMYFUNCTION("""COMPUTED_VALUE"""),25.366666666666667)</f>
        <v>25.36666667</v>
      </c>
    </row>
    <row r="336">
      <c r="A336" s="55" t="str">
        <f>IFERROR(__xludf.DUMMYFUNCTION("""COMPUTED_VALUE"""),"Inside")</f>
        <v>Inside</v>
      </c>
      <c r="B336" s="55" t="str">
        <f>IFERROR(__xludf.DUMMYFUNCTION("""COMPUTED_VALUE"""),"Xbox / PC")</f>
        <v>Xbox / PC</v>
      </c>
      <c r="C336" s="55" t="str">
        <f>IFERROR(__xludf.DUMMYFUNCTION("""COMPUTED_VALUE"""),"Yes")</f>
        <v>Yes</v>
      </c>
      <c r="D336" s="56" t="str">
        <f>IFERROR(__xludf.DUMMYFUNCTION("""COMPUTED_VALUE"""),"Active")</f>
        <v>Active</v>
      </c>
      <c r="E336" s="57">
        <f>IFERROR(__xludf.DUMMYFUNCTION("""COMPUTED_VALUE"""),44763.0)</f>
        <v>44763</v>
      </c>
      <c r="F336" s="58"/>
      <c r="G336" s="60">
        <f>IFERROR(__xludf.DUMMYFUNCTION("""COMPUTED_VALUE"""),50.5)</f>
        <v>50.5</v>
      </c>
      <c r="H336" s="63">
        <f>IFERROR(__xludf.DUMMYFUNCTION("""COMPUTED_VALUE"""),42550.0)</f>
        <v>42550</v>
      </c>
      <c r="I336" s="60">
        <f>IFERROR(__xludf.DUMMYFUNCTION("""COMPUTED_VALUE"""),6.061111111111111)</f>
        <v>6.061111111</v>
      </c>
      <c r="J336" s="64">
        <f>IFERROR(__xludf.DUMMYFUNCTION("""COMPUTED_VALUE"""),93.0)</f>
        <v>93</v>
      </c>
      <c r="K336" s="64">
        <f>IFERROR(__xludf.DUMMYFUNCTION("""COMPUTED_VALUE"""),3.5)</f>
        <v>3.5</v>
      </c>
      <c r="L336" s="55" t="str">
        <f>IFERROR(__xludf.DUMMYFUNCTION("""COMPUTED_VALUE"""),"Platformer")</f>
        <v>Platformer</v>
      </c>
      <c r="M336" s="55"/>
      <c r="N336" s="55" t="str">
        <f>IFERROR(__xludf.DUMMYFUNCTION("""COMPUTED_VALUE"""),"Game Pass Essential launch title (9/14/23)")</f>
        <v>Game Pass Essential launch title (9/14/23)</v>
      </c>
      <c r="O336" s="55" t="str">
        <f>IFERROR(__xludf.DUMMYFUNCTION("""COMPUTED_VALUE"""),"M")</f>
        <v>M</v>
      </c>
      <c r="P336" s="55" t="str">
        <f>IFERROR(__xludf.DUMMYFUNCTION("""COMPUTED_VALUE"""),"Blood and Gore, Violence")</f>
        <v>Blood and Gore, Violence</v>
      </c>
      <c r="Q336" s="55"/>
      <c r="R336" s="56" t="str">
        <f>IFERROR(__xludf.DUMMYFUNCTION("""COMPUTED_VALUE"""),"Active")</f>
        <v>Active</v>
      </c>
      <c r="S336" s="57">
        <f>IFERROR(__xludf.DUMMYFUNCTION("""COMPUTED_VALUE"""),45547.0)</f>
        <v>45547</v>
      </c>
      <c r="T336" s="60">
        <f>IFERROR(__xludf.DUMMYFUNCTION("""COMPUTED_VALUE"""),25.7)</f>
        <v>25.7</v>
      </c>
    </row>
    <row r="337">
      <c r="A337" s="55" t="str">
        <f>IFERROR(__xludf.DUMMYFUNCTION("""COMPUTED_VALUE"""),"As Dusk Falls")</f>
        <v>As Dusk Falls</v>
      </c>
      <c r="B337" s="55" t="str">
        <f>IFERROR(__xludf.DUMMYFUNCTION("""COMPUTED_VALUE"""),"Xbox / PC")</f>
        <v>Xbox / PC</v>
      </c>
      <c r="C337" s="55" t="str">
        <f>IFERROR(__xludf.DUMMYFUNCTION("""COMPUTED_VALUE"""),"Touch Controls")</f>
        <v>Touch Controls</v>
      </c>
      <c r="D337" s="56" t="str">
        <f>IFERROR(__xludf.DUMMYFUNCTION("""COMPUTED_VALUE"""),"Active")</f>
        <v>Active</v>
      </c>
      <c r="E337" s="57">
        <f>IFERROR(__xludf.DUMMYFUNCTION("""COMPUTED_VALUE"""),44761.0)</f>
        <v>44761</v>
      </c>
      <c r="F337" s="58"/>
      <c r="G337" s="60">
        <f>IFERROR(__xludf.DUMMYFUNCTION("""COMPUTED_VALUE"""),50.56666666666666)</f>
        <v>50.56666667</v>
      </c>
      <c r="H337" s="63">
        <f>IFERROR(__xludf.DUMMYFUNCTION("""COMPUTED_VALUE"""),44761.0)</f>
        <v>44761</v>
      </c>
      <c r="I337" s="60">
        <f>IFERROR(__xludf.DUMMYFUNCTION("""COMPUTED_VALUE"""),0.0)</f>
        <v>0</v>
      </c>
      <c r="J337" s="64">
        <f>IFERROR(__xludf.DUMMYFUNCTION("""COMPUTED_VALUE"""),78.0)</f>
        <v>78</v>
      </c>
      <c r="K337" s="64">
        <f>IFERROR(__xludf.DUMMYFUNCTION("""COMPUTED_VALUE"""),6.0)</f>
        <v>6</v>
      </c>
      <c r="L337" s="55" t="str">
        <f>IFERROR(__xludf.DUMMYFUNCTION("""COMPUTED_VALUE"""),"Adventure")</f>
        <v>Adventure</v>
      </c>
      <c r="M337" s="55"/>
      <c r="N337" s="55"/>
      <c r="O337" s="55" t="str">
        <f>IFERROR(__xludf.DUMMYFUNCTION("""COMPUTED_VALUE"""),"M")</f>
        <v>M</v>
      </c>
      <c r="P337" s="55" t="str">
        <f>IFERROR(__xludf.DUMMYFUNCTION("""COMPUTED_VALUE"""),"Blood, Strong Language, Suggestive Themes, Use of Drugs and Alcohol, Violence")</f>
        <v>Blood, Strong Language, Suggestive Themes, Use of Drugs and Alcohol, Violence</v>
      </c>
      <c r="Q337" s="55"/>
      <c r="R337" s="56" t="str">
        <f>IFERROR(__xludf.DUMMYFUNCTION("""COMPUTED_VALUE"""),"Active")</f>
        <v>Active</v>
      </c>
      <c r="S337" s="57">
        <f>IFERROR(__xludf.DUMMYFUNCTION("""COMPUTED_VALUE"""),45547.0)</f>
        <v>45547</v>
      </c>
      <c r="T337" s="60">
        <f>IFERROR(__xludf.DUMMYFUNCTION("""COMPUTED_VALUE"""),25.766666666666666)</f>
        <v>25.76666667</v>
      </c>
    </row>
    <row r="338">
      <c r="A338" s="55" t="str">
        <f>IFERROR(__xludf.DUMMYFUNCTION("""COMPUTED_VALUE"""),"Watch_Dogs 2")</f>
        <v>Watch_Dogs 2</v>
      </c>
      <c r="B338" s="55" t="str">
        <f>IFERROR(__xludf.DUMMYFUNCTION("""COMPUTED_VALUE"""),"Xbox / PC")</f>
        <v>Xbox / PC</v>
      </c>
      <c r="C338" s="55" t="str">
        <f>IFERROR(__xludf.DUMMYFUNCTION("""COMPUTED_VALUE"""),"Yes")</f>
        <v>Yes</v>
      </c>
      <c r="D338" s="56" t="str">
        <f>IFERROR(__xludf.DUMMYFUNCTION("""COMPUTED_VALUE"""),"Active")</f>
        <v>Active</v>
      </c>
      <c r="E338" s="57">
        <f>IFERROR(__xludf.DUMMYFUNCTION("""COMPUTED_VALUE"""),44761.0)</f>
        <v>44761</v>
      </c>
      <c r="F338" s="58"/>
      <c r="G338" s="60">
        <f>IFERROR(__xludf.DUMMYFUNCTION("""COMPUTED_VALUE"""),50.56666666666666)</f>
        <v>50.56666667</v>
      </c>
      <c r="H338" s="63">
        <f>IFERROR(__xludf.DUMMYFUNCTION("""COMPUTED_VALUE"""),42689.0)</f>
        <v>42689</v>
      </c>
      <c r="I338" s="60">
        <f>IFERROR(__xludf.DUMMYFUNCTION("""COMPUTED_VALUE"""),5.677777777777778)</f>
        <v>5.677777778</v>
      </c>
      <c r="J338" s="64">
        <f>IFERROR(__xludf.DUMMYFUNCTION("""COMPUTED_VALUE"""),78.0)</f>
        <v>78</v>
      </c>
      <c r="K338" s="64">
        <f>IFERROR(__xludf.DUMMYFUNCTION("""COMPUTED_VALUE"""),19.0)</f>
        <v>19</v>
      </c>
      <c r="L338" s="55" t="str">
        <f>IFERROR(__xludf.DUMMYFUNCTION("""COMPUTED_VALUE"""),"Shooter")</f>
        <v>Shooter</v>
      </c>
      <c r="M338" s="55"/>
      <c r="N338" s="55"/>
      <c r="O338" s="55" t="str">
        <f>IFERROR(__xludf.DUMMYFUNCTION("""COMPUTED_VALUE"""),"M")</f>
        <v>M</v>
      </c>
      <c r="P338" s="55" t="str">
        <f>IFERROR(__xludf.DUMMYFUNCTION("""COMPUTED_VALUE"""),"Blood, Intense Violence, Nudity, Sexual Themes, Strong Language, Use of Drugs")</f>
        <v>Blood, Intense Violence, Nudity, Sexual Themes, Strong Language, Use of Drugs</v>
      </c>
      <c r="Q338" s="55"/>
      <c r="R338" s="56" t="str">
        <f>IFERROR(__xludf.DUMMYFUNCTION("""COMPUTED_VALUE"""),"Active")</f>
        <v>Active</v>
      </c>
      <c r="S338" s="57">
        <f>IFERROR(__xludf.DUMMYFUNCTION("""COMPUTED_VALUE"""),45547.0)</f>
        <v>45547</v>
      </c>
      <c r="T338" s="60">
        <f>IFERROR(__xludf.DUMMYFUNCTION("""COMPUTED_VALUE"""),25.766666666666666)</f>
        <v>25.76666667</v>
      </c>
    </row>
    <row r="339">
      <c r="A339" s="55" t="str">
        <f>IFERROR(__xludf.DUMMYFUNCTION("""COMPUTED_VALUE"""),"Far Cry 5")</f>
        <v>Far Cry 5</v>
      </c>
      <c r="B339" s="55" t="str">
        <f>IFERROR(__xludf.DUMMYFUNCTION("""COMPUTED_VALUE"""),"Xbox / PC")</f>
        <v>Xbox / PC</v>
      </c>
      <c r="C339" s="55" t="str">
        <f>IFERROR(__xludf.DUMMYFUNCTION("""COMPUTED_VALUE"""),"Yes")</f>
        <v>Yes</v>
      </c>
      <c r="D339" s="56" t="str">
        <f>IFERROR(__xludf.DUMMYFUNCTION("""COMPUTED_VALUE"""),"Active")</f>
        <v>Active</v>
      </c>
      <c r="E339" s="57">
        <f>IFERROR(__xludf.DUMMYFUNCTION("""COMPUTED_VALUE"""),44743.0)</f>
        <v>44743</v>
      </c>
      <c r="F339" s="58"/>
      <c r="G339" s="60">
        <f>IFERROR(__xludf.DUMMYFUNCTION("""COMPUTED_VALUE"""),51.16666666666667)</f>
        <v>51.16666667</v>
      </c>
      <c r="H339" s="63">
        <f>IFERROR(__xludf.DUMMYFUNCTION("""COMPUTED_VALUE"""),43186.0)</f>
        <v>43186</v>
      </c>
      <c r="I339" s="60">
        <f>IFERROR(__xludf.DUMMYFUNCTION("""COMPUTED_VALUE"""),4.261111111111111)</f>
        <v>4.261111111</v>
      </c>
      <c r="J339" s="64">
        <f>IFERROR(__xludf.DUMMYFUNCTION("""COMPUTED_VALUE"""),80.0)</f>
        <v>80</v>
      </c>
      <c r="K339" s="64">
        <f>IFERROR(__xludf.DUMMYFUNCTION("""COMPUTED_VALUE"""),18.0)</f>
        <v>18</v>
      </c>
      <c r="L339" s="55" t="str">
        <f>IFERROR(__xludf.DUMMYFUNCTION("""COMPUTED_VALUE"""),"Shooter")</f>
        <v>Shooter</v>
      </c>
      <c r="M339" s="55"/>
      <c r="N339" s="55"/>
      <c r="O339" s="55" t="str">
        <f>IFERROR(__xludf.DUMMYFUNCTION("""COMPUTED_VALUE"""),"M")</f>
        <v>M</v>
      </c>
      <c r="P339" s="55" t="str">
        <f>IFERROR(__xludf.DUMMYFUNCTION("""COMPUTED_VALUE"""),"Blood and Gore, Intense Violence, Sexual Themes, Strong Language, Use of Drugs and Alcohol")</f>
        <v>Blood and Gore, Intense Violence, Sexual Themes, Strong Language, Use of Drugs and Alcohol</v>
      </c>
      <c r="Q339" s="55"/>
      <c r="R339" s="56" t="str">
        <f>IFERROR(__xludf.DUMMYFUNCTION("""COMPUTED_VALUE"""),"Active")</f>
        <v>Active</v>
      </c>
      <c r="S339" s="57">
        <f>IFERROR(__xludf.DUMMYFUNCTION("""COMPUTED_VALUE"""),45547.0)</f>
        <v>45547</v>
      </c>
      <c r="T339" s="60">
        <f>IFERROR(__xludf.DUMMYFUNCTION("""COMPUTED_VALUE"""),26.366666666666667)</f>
        <v>26.36666667</v>
      </c>
    </row>
    <row r="340">
      <c r="A340" s="55" t="str">
        <f>IFERROR(__xludf.DUMMYFUNCTION("""COMPUTED_VALUE"""),"House Flipper")</f>
        <v>House Flipper</v>
      </c>
      <c r="B340" s="55" t="str">
        <f>IFERROR(__xludf.DUMMYFUNCTION("""COMPUTED_VALUE"""),"Xbox / PC")</f>
        <v>Xbox / PC</v>
      </c>
      <c r="C340" s="55" t="str">
        <f>IFERROR(__xludf.DUMMYFUNCTION("""COMPUTED_VALUE"""),"M+KB")</f>
        <v>M+KB</v>
      </c>
      <c r="D340" s="56" t="str">
        <f>IFERROR(__xludf.DUMMYFUNCTION("""COMPUTED_VALUE"""),"Active")</f>
        <v>Active</v>
      </c>
      <c r="E340" s="57">
        <f>IFERROR(__xludf.DUMMYFUNCTION("""COMPUTED_VALUE"""),44742.0)</f>
        <v>44742</v>
      </c>
      <c r="F340" s="58"/>
      <c r="G340" s="60">
        <f>IFERROR(__xludf.DUMMYFUNCTION("""COMPUTED_VALUE"""),51.2)</f>
        <v>51.2</v>
      </c>
      <c r="H340" s="63">
        <f>IFERROR(__xludf.DUMMYFUNCTION("""COMPUTED_VALUE"""),43237.0)</f>
        <v>43237</v>
      </c>
      <c r="I340" s="60">
        <f>IFERROR(__xludf.DUMMYFUNCTION("""COMPUTED_VALUE"""),4.1194444444444445)</f>
        <v>4.119444444</v>
      </c>
      <c r="J340" s="64">
        <f>IFERROR(__xludf.DUMMYFUNCTION("""COMPUTED_VALUE"""),68.0)</f>
        <v>68</v>
      </c>
      <c r="K340" s="64">
        <f>IFERROR(__xludf.DUMMYFUNCTION("""COMPUTED_VALUE"""),12.0)</f>
        <v>12</v>
      </c>
      <c r="L340" s="55" t="str">
        <f>IFERROR(__xludf.DUMMYFUNCTION("""COMPUTED_VALUE"""),"Simulation")</f>
        <v>Simulation</v>
      </c>
      <c r="M340" s="55"/>
      <c r="N340" s="55"/>
      <c r="O340" s="55" t="str">
        <f>IFERROR(__xludf.DUMMYFUNCTION("""COMPUTED_VALUE"""),"E")</f>
        <v>E</v>
      </c>
      <c r="P340" s="55"/>
      <c r="Q340" s="55"/>
      <c r="R340" s="56" t="str">
        <f>IFERROR(__xludf.DUMMYFUNCTION("""COMPUTED_VALUE"""),"Active")</f>
        <v>Active</v>
      </c>
      <c r="S340" s="57">
        <f>IFERROR(__xludf.DUMMYFUNCTION("""COMPUTED_VALUE"""),45547.0)</f>
        <v>45547</v>
      </c>
      <c r="T340" s="60">
        <f>IFERROR(__xludf.DUMMYFUNCTION("""COMPUTED_VALUE"""),26.400000000000002)</f>
        <v>26.4</v>
      </c>
    </row>
    <row r="341">
      <c r="A341" s="55" t="str">
        <f>IFERROR(__xludf.DUMMYFUNCTION("""COMPUTED_VALUE"""),"Shadowrun Trilogy")</f>
        <v>Shadowrun Trilogy</v>
      </c>
      <c r="B341" s="55" t="str">
        <f>IFERROR(__xludf.DUMMYFUNCTION("""COMPUTED_VALUE"""),"Xbox / PC")</f>
        <v>Xbox / PC</v>
      </c>
      <c r="C341" s="55" t="str">
        <f>IFERROR(__xludf.DUMMYFUNCTION("""COMPUTED_VALUE"""),"Touch Controls")</f>
        <v>Touch Controls</v>
      </c>
      <c r="D341" s="56" t="str">
        <f>IFERROR(__xludf.DUMMYFUNCTION("""COMPUTED_VALUE"""),"Active")</f>
        <v>Active</v>
      </c>
      <c r="E341" s="57">
        <f>IFERROR(__xludf.DUMMYFUNCTION("""COMPUTED_VALUE"""),44733.0)</f>
        <v>44733</v>
      </c>
      <c r="F341" s="58"/>
      <c r="G341" s="60">
        <f>IFERROR(__xludf.DUMMYFUNCTION("""COMPUTED_VALUE"""),51.5)</f>
        <v>51.5</v>
      </c>
      <c r="H341" s="63">
        <f>IFERROR(__xludf.DUMMYFUNCTION("""COMPUTED_VALUE"""),42236.0)</f>
        <v>42236</v>
      </c>
      <c r="I341" s="60">
        <f>IFERROR(__xludf.DUMMYFUNCTION("""COMPUTED_VALUE"""),6.836111111111111)</f>
        <v>6.836111111</v>
      </c>
      <c r="J341" s="64">
        <f>IFERROR(__xludf.DUMMYFUNCTION("""COMPUTED_VALUE"""),79.33333333333333)</f>
        <v>79.33333333</v>
      </c>
      <c r="K341" s="64">
        <f>IFERROR(__xludf.DUMMYFUNCTION("""COMPUTED_VALUE"""),53.5)</f>
        <v>53.5</v>
      </c>
      <c r="L341" s="55" t="str">
        <f>IFERROR(__xludf.DUMMYFUNCTION("""COMPUTED_VALUE"""),"RPG")</f>
        <v>RPG</v>
      </c>
      <c r="M341" s="55"/>
      <c r="N341" s="55" t="str">
        <f>IFERROR(__xludf.DUMMYFUNCTION("""COMPUTED_VALUE"""),"Joins PC 5/9/23")</f>
        <v>Joins PC 5/9/23</v>
      </c>
      <c r="O341" s="55" t="str">
        <f>IFERROR(__xludf.DUMMYFUNCTION("""COMPUTED_VALUE"""),"M")</f>
        <v>M</v>
      </c>
      <c r="P341" s="55" t="str">
        <f>IFERROR(__xludf.DUMMYFUNCTION("""COMPUTED_VALUE"""),"Blood and Gore, Drug Reference, Sexual Themes, Strong Language, Violence")</f>
        <v>Blood and Gore, Drug Reference, Sexual Themes, Strong Language, Violence</v>
      </c>
      <c r="Q341" s="55" t="str">
        <f>IFERROR(__xludf.DUMMYFUNCTION("""COMPUTED_VALUE"""),"Consists of three games (seperate listings, must be installed seperately); Shadowrun Returns, Shadowrun Dragonfall, Shadowrun Hong Kong")</f>
        <v>Consists of three games (seperate listings, must be installed seperately); Shadowrun Returns, Shadowrun Dragonfall, Shadowrun Hong Kong</v>
      </c>
      <c r="R341" s="56" t="str">
        <f>IFERROR(__xludf.DUMMYFUNCTION("""COMPUTED_VALUE"""),"Active")</f>
        <v>Active</v>
      </c>
      <c r="S341" s="57">
        <f>IFERROR(__xludf.DUMMYFUNCTION("""COMPUTED_VALUE"""),45547.0)</f>
        <v>45547</v>
      </c>
      <c r="T341" s="60">
        <f>IFERROR(__xludf.DUMMYFUNCTION("""COMPUTED_VALUE"""),26.700000000000003)</f>
        <v>26.7</v>
      </c>
    </row>
    <row r="342">
      <c r="A342" s="55" t="str">
        <f>IFERROR(__xludf.DUMMYFUNCTION("""COMPUTED_VALUE"""),"Assassin's Creed Origins")</f>
        <v>Assassin's Creed Origins</v>
      </c>
      <c r="B342" s="55" t="str">
        <f>IFERROR(__xludf.DUMMYFUNCTION("""COMPUTED_VALUE"""),"Xbox / PC")</f>
        <v>Xbox / PC</v>
      </c>
      <c r="C342" s="55" t="str">
        <f>IFERROR(__xludf.DUMMYFUNCTION("""COMPUTED_VALUE"""),"Touch Controls")</f>
        <v>Touch Controls</v>
      </c>
      <c r="D342" s="56" t="str">
        <f>IFERROR(__xludf.DUMMYFUNCTION("""COMPUTED_VALUE"""),"Active")</f>
        <v>Active</v>
      </c>
      <c r="E342" s="57">
        <f>IFERROR(__xludf.DUMMYFUNCTION("""COMPUTED_VALUE"""),44719.0)</f>
        <v>44719</v>
      </c>
      <c r="F342" s="58"/>
      <c r="G342" s="60">
        <f>IFERROR(__xludf.DUMMYFUNCTION("""COMPUTED_VALUE"""),51.96666666666667)</f>
        <v>51.96666667</v>
      </c>
      <c r="H342" s="63">
        <f>IFERROR(__xludf.DUMMYFUNCTION("""COMPUTED_VALUE"""),43035.0)</f>
        <v>43035</v>
      </c>
      <c r="I342" s="60">
        <f>IFERROR(__xludf.DUMMYFUNCTION("""COMPUTED_VALUE"""),4.611111111111111)</f>
        <v>4.611111111</v>
      </c>
      <c r="J342" s="64">
        <f>IFERROR(__xludf.DUMMYFUNCTION("""COMPUTED_VALUE"""),84.5)</f>
        <v>84.5</v>
      </c>
      <c r="K342" s="64">
        <f>IFERROR(__xludf.DUMMYFUNCTION("""COMPUTED_VALUE"""),30.0)</f>
        <v>30</v>
      </c>
      <c r="L342" s="55" t="str">
        <f>IFERROR(__xludf.DUMMYFUNCTION("""COMPUTED_VALUE"""),"RPG")</f>
        <v>RPG</v>
      </c>
      <c r="M342" s="55"/>
      <c r="N342" s="55" t="str">
        <f>IFERROR(__xludf.DUMMYFUNCTION("""COMPUTED_VALUE"""),"Ubisoft Connect launcher")</f>
        <v>Ubisoft Connect launcher</v>
      </c>
      <c r="O342" s="55" t="str">
        <f>IFERROR(__xludf.DUMMYFUNCTION("""COMPUTED_VALUE"""),"M")</f>
        <v>M</v>
      </c>
      <c r="P342" s="55" t="str">
        <f>IFERROR(__xludf.DUMMYFUNCTION("""COMPUTED_VALUE"""),"Blood and Gore, Drug Reference, Intense Violence, Nudity, Sexual Content, Strong Language, Use of Alcohol")</f>
        <v>Blood and Gore, Drug Reference, Intense Violence, Nudity, Sexual Content, Strong Language, Use of Alcohol</v>
      </c>
      <c r="Q342" s="55"/>
      <c r="R342" s="56" t="str">
        <f>IFERROR(__xludf.DUMMYFUNCTION("""COMPUTED_VALUE"""),"Active")</f>
        <v>Active</v>
      </c>
      <c r="S342" s="57">
        <f>IFERROR(__xludf.DUMMYFUNCTION("""COMPUTED_VALUE"""),45547.0)</f>
        <v>45547</v>
      </c>
      <c r="T342" s="60">
        <f>IFERROR(__xludf.DUMMYFUNCTION("""COMPUTED_VALUE"""),27.166666666666664)</f>
        <v>27.16666667</v>
      </c>
    </row>
    <row r="343">
      <c r="A343" s="55" t="str">
        <f>IFERROR(__xludf.DUMMYFUNCTION("""COMPUTED_VALUE"""),"Vampire Survivors")</f>
        <v>Vampire Survivors</v>
      </c>
      <c r="B343" s="55" t="str">
        <f>IFERROR(__xludf.DUMMYFUNCTION("""COMPUTED_VALUE"""),"Xbox / PC")</f>
        <v>Xbox / PC</v>
      </c>
      <c r="C343" s="55" t="str">
        <f>IFERROR(__xludf.DUMMYFUNCTION("""COMPUTED_VALUE"""),"Yes")</f>
        <v>Yes</v>
      </c>
      <c r="D343" s="56" t="str">
        <f>IFERROR(__xludf.DUMMYFUNCTION("""COMPUTED_VALUE"""),"Active")</f>
        <v>Active</v>
      </c>
      <c r="E343" s="57">
        <f>IFERROR(__xludf.DUMMYFUNCTION("""COMPUTED_VALUE"""),44700.0)</f>
        <v>44700</v>
      </c>
      <c r="F343" s="58"/>
      <c r="G343" s="60">
        <f>IFERROR(__xludf.DUMMYFUNCTION("""COMPUTED_VALUE"""),52.56666666666666)</f>
        <v>52.56666667</v>
      </c>
      <c r="H343" s="63">
        <f>IFERROR(__xludf.DUMMYFUNCTION("""COMPUTED_VALUE"""),44547.0)</f>
        <v>44547</v>
      </c>
      <c r="I343" s="60">
        <f>IFERROR(__xludf.DUMMYFUNCTION("""COMPUTED_VALUE"""),0.4222222222222222)</f>
        <v>0.4222222222</v>
      </c>
      <c r="J343" s="64">
        <f>IFERROR(__xludf.DUMMYFUNCTION("""COMPUTED_VALUE"""),87.0)</f>
        <v>87</v>
      </c>
      <c r="K343" s="64">
        <f>IFERROR(__xludf.DUMMYFUNCTION("""COMPUTED_VALUE"""),4.5)</f>
        <v>4.5</v>
      </c>
      <c r="L343" s="55" t="str">
        <f>IFERROR(__xludf.DUMMYFUNCTION("""COMPUTED_VALUE"""),"Action")</f>
        <v>Action</v>
      </c>
      <c r="M343" s="55"/>
      <c r="N343" s="55" t="str">
        <f>IFERROR(__xludf.DUMMYFUNCTION("""COMPUTED_VALUE"""),"Game Pass Essential launch title (9/14/23), Joins console 11/10/22")</f>
        <v>Game Pass Essential launch title (9/14/23), Joins console 11/10/22</v>
      </c>
      <c r="O343" s="55" t="str">
        <f>IFERROR(__xludf.DUMMYFUNCTION("""COMPUTED_VALUE"""),"E10+")</f>
        <v>E10+</v>
      </c>
      <c r="P343" s="55" t="str">
        <f>IFERROR(__xludf.DUMMYFUNCTION("""COMPUTED_VALUE"""),"Fantasy Violence")</f>
        <v>Fantasy Violence</v>
      </c>
      <c r="Q343" s="55"/>
      <c r="R343" s="56" t="str">
        <f>IFERROR(__xludf.DUMMYFUNCTION("""COMPUTED_VALUE"""),"Active")</f>
        <v>Active</v>
      </c>
      <c r="S343" s="57">
        <f>IFERROR(__xludf.DUMMYFUNCTION("""COMPUTED_VALUE"""),45547.0)</f>
        <v>45547</v>
      </c>
      <c r="T343" s="60">
        <f>IFERROR(__xludf.DUMMYFUNCTION("""COMPUTED_VALUE"""),27.76666666666667)</f>
        <v>27.76666667</v>
      </c>
    </row>
    <row r="344">
      <c r="A344" s="55" t="str">
        <f>IFERROR(__xludf.DUMMYFUNCTION("""COMPUTED_VALUE"""),"Tunic")</f>
        <v>Tunic</v>
      </c>
      <c r="B344" s="55" t="str">
        <f>IFERROR(__xludf.DUMMYFUNCTION("""COMPUTED_VALUE"""),"Xbox / PC")</f>
        <v>Xbox / PC</v>
      </c>
      <c r="C344" s="55" t="str">
        <f>IFERROR(__xludf.DUMMYFUNCTION("""COMPUTED_VALUE"""),"Yes")</f>
        <v>Yes</v>
      </c>
      <c r="D344" s="56" t="str">
        <f>IFERROR(__xludf.DUMMYFUNCTION("""COMPUTED_VALUE"""),"Active")</f>
        <v>Active</v>
      </c>
      <c r="E344" s="57">
        <f>IFERROR(__xludf.DUMMYFUNCTION("""COMPUTED_VALUE"""),44636.0)</f>
        <v>44636</v>
      </c>
      <c r="F344" s="58"/>
      <c r="G344" s="60">
        <f>IFERROR(__xludf.DUMMYFUNCTION("""COMPUTED_VALUE"""),54.666666666666664)</f>
        <v>54.66666667</v>
      </c>
      <c r="H344" s="63">
        <f>IFERROR(__xludf.DUMMYFUNCTION("""COMPUTED_VALUE"""),44636.0)</f>
        <v>44636</v>
      </c>
      <c r="I344" s="60">
        <f>IFERROR(__xludf.DUMMYFUNCTION("""COMPUTED_VALUE"""),0.0)</f>
        <v>0</v>
      </c>
      <c r="J344" s="64">
        <f>IFERROR(__xludf.DUMMYFUNCTION("""COMPUTED_VALUE"""),83.5)</f>
        <v>83.5</v>
      </c>
      <c r="K344" s="64">
        <f>IFERROR(__xludf.DUMMYFUNCTION("""COMPUTED_VALUE"""),12.0)</f>
        <v>12</v>
      </c>
      <c r="L344" s="55" t="str">
        <f>IFERROR(__xludf.DUMMYFUNCTION("""COMPUTED_VALUE"""),"Action-Adventure")</f>
        <v>Action-Adventure</v>
      </c>
      <c r="M344" s="55"/>
      <c r="N344" s="55" t="str">
        <f>IFERROR(__xludf.DUMMYFUNCTION("""COMPUTED_VALUE"""),"Game Pass Essential (3/26/25)")</f>
        <v>Game Pass Essential (3/26/25)</v>
      </c>
      <c r="O344" s="55" t="str">
        <f>IFERROR(__xludf.DUMMYFUNCTION("""COMPUTED_VALUE"""),"E10+")</f>
        <v>E10+</v>
      </c>
      <c r="P344" s="55" t="str">
        <f>IFERROR(__xludf.DUMMYFUNCTION("""COMPUTED_VALUE"""),"Fantasy Violence")</f>
        <v>Fantasy Violence</v>
      </c>
      <c r="Q344" s="55"/>
      <c r="R344" s="56" t="str">
        <f>IFERROR(__xludf.DUMMYFUNCTION("""COMPUTED_VALUE"""),"Active")</f>
        <v>Active</v>
      </c>
      <c r="S344" s="57">
        <f>IFERROR(__xludf.DUMMYFUNCTION("""COMPUTED_VALUE"""),45547.0)</f>
        <v>45547</v>
      </c>
      <c r="T344" s="60">
        <f>IFERROR(__xludf.DUMMYFUNCTION("""COMPUTED_VALUE"""),29.866666666666667)</f>
        <v>29.86666667</v>
      </c>
    </row>
    <row r="345">
      <c r="A345" s="55" t="str">
        <f>IFERROR(__xludf.DUMMYFUNCTION("""COMPUTED_VALUE"""),"Super Mega Baseball 3")</f>
        <v>Super Mega Baseball 3</v>
      </c>
      <c r="B345" s="55" t="str">
        <f>IFERROR(__xludf.DUMMYFUNCTION("""COMPUTED_VALUE"""),"Xbox / PC")</f>
        <v>Xbox / PC</v>
      </c>
      <c r="C345" s="55" t="str">
        <f>IFERROR(__xludf.DUMMYFUNCTION("""COMPUTED_VALUE"""),"Touch Controls")</f>
        <v>Touch Controls</v>
      </c>
      <c r="D345" s="56" t="str">
        <f>IFERROR(__xludf.DUMMYFUNCTION("""COMPUTED_VALUE"""),"Active")</f>
        <v>Active</v>
      </c>
      <c r="E345" s="57">
        <f>IFERROR(__xludf.DUMMYFUNCTION("""COMPUTED_VALUE"""),44616.0)</f>
        <v>44616</v>
      </c>
      <c r="F345" s="58"/>
      <c r="G345" s="60">
        <f>IFERROR(__xludf.DUMMYFUNCTION("""COMPUTED_VALUE"""),55.39999999999999)</f>
        <v>55.4</v>
      </c>
      <c r="H345" s="63">
        <f>IFERROR(__xludf.DUMMYFUNCTION("""COMPUTED_VALUE"""),43964.0)</f>
        <v>43964</v>
      </c>
      <c r="I345" s="60">
        <f>IFERROR(__xludf.DUMMYFUNCTION("""COMPUTED_VALUE"""),1.7805555555555554)</f>
        <v>1.780555556</v>
      </c>
      <c r="J345" s="64">
        <f>IFERROR(__xludf.DUMMYFUNCTION("""COMPUTED_VALUE"""),81.5)</f>
        <v>81.5</v>
      </c>
      <c r="K345" s="64">
        <f>IFERROR(__xludf.DUMMYFUNCTION("""COMPUTED_VALUE"""),24.0)</f>
        <v>24</v>
      </c>
      <c r="L345" s="55" t="str">
        <f>IFERROR(__xludf.DUMMYFUNCTION("""COMPUTED_VALUE"""),"Sports")</f>
        <v>Sports</v>
      </c>
      <c r="M345" s="55"/>
      <c r="N345" s="55"/>
      <c r="O345" s="55" t="str">
        <f>IFERROR(__xludf.DUMMYFUNCTION("""COMPUTED_VALUE"""),"E")</f>
        <v>E</v>
      </c>
      <c r="P345" s="55"/>
      <c r="Q345" s="55"/>
      <c r="R345" s="56" t="str">
        <f>IFERROR(__xludf.DUMMYFUNCTION("""COMPUTED_VALUE"""),"Active")</f>
        <v>Active</v>
      </c>
      <c r="S345" s="57">
        <f>IFERROR(__xludf.DUMMYFUNCTION("""COMPUTED_VALUE"""),45547.0)</f>
        <v>45547</v>
      </c>
      <c r="T345" s="60">
        <f>IFERROR(__xludf.DUMMYFUNCTION("""COMPUTED_VALUE"""),30.599999999999998)</f>
        <v>30.6</v>
      </c>
    </row>
    <row r="346">
      <c r="A346" s="55" t="str">
        <f>IFERROR(__xludf.DUMMYFUNCTION("""COMPUTED_VALUE"""),"Roboquest (2020)")</f>
        <v>Roboquest (2020)</v>
      </c>
      <c r="B346" s="55" t="str">
        <f>IFERROR(__xludf.DUMMYFUNCTION("""COMPUTED_VALUE"""),"Xbox / PC")</f>
        <v>Xbox / PC</v>
      </c>
      <c r="C346" s="55"/>
      <c r="D346" s="56" t="str">
        <f>IFERROR(__xludf.DUMMYFUNCTION("""COMPUTED_VALUE"""),"Active")</f>
        <v>Active</v>
      </c>
      <c r="E346" s="57">
        <f>IFERROR(__xludf.DUMMYFUNCTION("""COMPUTED_VALUE"""),44614.0)</f>
        <v>44614</v>
      </c>
      <c r="F346" s="58"/>
      <c r="G346" s="60">
        <f>IFERROR(__xludf.DUMMYFUNCTION("""COMPUTED_VALUE"""),55.46666666666666)</f>
        <v>55.46666667</v>
      </c>
      <c r="H346" s="63">
        <f>IFERROR(__xludf.DUMMYFUNCTION("""COMPUTED_VALUE"""),44063.0)</f>
        <v>44063</v>
      </c>
      <c r="I346" s="60">
        <f>IFERROR(__xludf.DUMMYFUNCTION("""COMPUTED_VALUE"""),1.5055555555555555)</f>
        <v>1.505555556</v>
      </c>
      <c r="J346" s="64">
        <f>IFERROR(__xludf.DUMMYFUNCTION("""COMPUTED_VALUE"""),85.0)</f>
        <v>85</v>
      </c>
      <c r="K346" s="64">
        <f>IFERROR(__xludf.DUMMYFUNCTION("""COMPUTED_VALUE"""),6.0)</f>
        <v>6</v>
      </c>
      <c r="L346" s="55" t="str">
        <f>IFERROR(__xludf.DUMMYFUNCTION("""COMPUTED_VALUE"""),"Shooter")</f>
        <v>Shooter</v>
      </c>
      <c r="M346" s="55"/>
      <c r="N346" s="55" t="str">
        <f>IFERROR(__xludf.DUMMYFUNCTION("""COMPUTED_VALUE"""),"Joined console 1/30/23, 1.0 launch 11/7/23")</f>
        <v>Joined console 1/30/23, 1.0 launch 11/7/23</v>
      </c>
      <c r="O346" s="55" t="str">
        <f>IFERROR(__xludf.DUMMYFUNCTION("""COMPUTED_VALUE"""),"E10+")</f>
        <v>E10+</v>
      </c>
      <c r="P346" s="55" t="str">
        <f>IFERROR(__xludf.DUMMYFUNCTION("""COMPUTED_VALUE"""),"Fantasy Violence")</f>
        <v>Fantasy Violence</v>
      </c>
      <c r="Q346" s="55"/>
      <c r="R346" s="56" t="str">
        <f>IFERROR(__xludf.DUMMYFUNCTION("""COMPUTED_VALUE"""),"Active")</f>
        <v>Active</v>
      </c>
      <c r="S346" s="57">
        <f>IFERROR(__xludf.DUMMYFUNCTION("""COMPUTED_VALUE"""),45547.0)</f>
        <v>45547</v>
      </c>
      <c r="T346" s="60">
        <f>IFERROR(__xludf.DUMMYFUNCTION("""COMPUTED_VALUE"""),30.666666666666664)</f>
        <v>30.66666667</v>
      </c>
    </row>
    <row r="347">
      <c r="A347" s="55" t="str">
        <f>IFERROR(__xludf.DUMMYFUNCTION("""COMPUTED_VALUE"""),"Contrast")</f>
        <v>Contrast</v>
      </c>
      <c r="B347" s="55" t="str">
        <f>IFERROR(__xludf.DUMMYFUNCTION("""COMPUTED_VALUE"""),"Xbox")</f>
        <v>Xbox</v>
      </c>
      <c r="C347" s="55" t="str">
        <f>IFERROR(__xludf.DUMMYFUNCTION("""COMPUTED_VALUE"""),"Touch Controls")</f>
        <v>Touch Controls</v>
      </c>
      <c r="D347" s="56" t="str">
        <f>IFERROR(__xludf.DUMMYFUNCTION("""COMPUTED_VALUE"""),"Active")</f>
        <v>Active</v>
      </c>
      <c r="E347" s="57">
        <f>IFERROR(__xludf.DUMMYFUNCTION("""COMPUTED_VALUE"""),44595.0)</f>
        <v>44595</v>
      </c>
      <c r="F347" s="58"/>
      <c r="G347" s="60">
        <f>IFERROR(__xludf.DUMMYFUNCTION("""COMPUTED_VALUE"""),56.099999999999994)</f>
        <v>56.1</v>
      </c>
      <c r="H347" s="63">
        <f>IFERROR(__xludf.DUMMYFUNCTION("""COMPUTED_VALUE"""),41593.0)</f>
        <v>41593</v>
      </c>
      <c r="I347" s="60">
        <f>IFERROR(__xludf.DUMMYFUNCTION("""COMPUTED_VALUE"""),8.216666666666667)</f>
        <v>8.216666667</v>
      </c>
      <c r="J347" s="64">
        <f>IFERROR(__xludf.DUMMYFUNCTION("""COMPUTED_VALUE"""),63.5)</f>
        <v>63.5</v>
      </c>
      <c r="K347" s="64">
        <f>IFERROR(__xludf.DUMMYFUNCTION("""COMPUTED_VALUE"""),3.5)</f>
        <v>3.5</v>
      </c>
      <c r="L347" s="55" t="str">
        <f>IFERROR(__xludf.DUMMYFUNCTION("""COMPUTED_VALUE"""),"Platformer")</f>
        <v>Platformer</v>
      </c>
      <c r="M347" s="55"/>
      <c r="N347" s="55"/>
      <c r="O347" s="55" t="str">
        <f>IFERROR(__xludf.DUMMYFUNCTION("""COMPUTED_VALUE"""),"T")</f>
        <v>T</v>
      </c>
      <c r="P347" s="55" t="str">
        <f>IFERROR(__xludf.DUMMYFUNCTION("""COMPUTED_VALUE"""),"Fantasy Violence, Suggestive Themes, Use of Tobacco")</f>
        <v>Fantasy Violence, Suggestive Themes, Use of Tobacco</v>
      </c>
      <c r="Q347" s="55"/>
      <c r="R347" s="56" t="str">
        <f>IFERROR(__xludf.DUMMYFUNCTION("""COMPUTED_VALUE"""),"Active")</f>
        <v>Active</v>
      </c>
      <c r="S347" s="57">
        <f>IFERROR(__xludf.DUMMYFUNCTION("""COMPUTED_VALUE"""),45547.0)</f>
        <v>45547</v>
      </c>
      <c r="T347" s="60">
        <f>IFERROR(__xludf.DUMMYFUNCTION("""COMPUTED_VALUE"""),31.3)</f>
        <v>31.3</v>
      </c>
    </row>
    <row r="348">
      <c r="A348" s="55" t="str">
        <f>IFERROR(__xludf.DUMMYFUNCTION("""COMPUTED_VALUE"""),"Mass Effect: Legendary Edition")</f>
        <v>Mass Effect: Legendary Edition</v>
      </c>
      <c r="B348" s="55" t="str">
        <f>IFERROR(__xludf.DUMMYFUNCTION("""COMPUTED_VALUE"""),"Xbox / PC")</f>
        <v>Xbox / PC</v>
      </c>
      <c r="C348" s="55" t="str">
        <f>IFERROR(__xludf.DUMMYFUNCTION("""COMPUTED_VALUE"""),"Yes")</f>
        <v>Yes</v>
      </c>
      <c r="D348" s="56" t="str">
        <f>IFERROR(__xludf.DUMMYFUNCTION("""COMPUTED_VALUE"""),"Active")</f>
        <v>Active</v>
      </c>
      <c r="E348" s="57">
        <f>IFERROR(__xludf.DUMMYFUNCTION("""COMPUTED_VALUE"""),44567.0)</f>
        <v>44567</v>
      </c>
      <c r="F348" s="58"/>
      <c r="G348" s="60">
        <f>IFERROR(__xludf.DUMMYFUNCTION("""COMPUTED_VALUE"""),57.0)</f>
        <v>57</v>
      </c>
      <c r="H348" s="63">
        <f>IFERROR(__xludf.DUMMYFUNCTION("""COMPUTED_VALUE"""),44330.0)</f>
        <v>44330</v>
      </c>
      <c r="I348" s="60">
        <f>IFERROR(__xludf.DUMMYFUNCTION("""COMPUTED_VALUE"""),0.6444444444444445)</f>
        <v>0.6444444444</v>
      </c>
      <c r="J348" s="64">
        <f>IFERROR(__xludf.DUMMYFUNCTION("""COMPUTED_VALUE"""),88.0)</f>
        <v>88</v>
      </c>
      <c r="K348" s="64">
        <f>IFERROR(__xludf.DUMMYFUNCTION("""COMPUTED_VALUE"""),106.0)</f>
        <v>106</v>
      </c>
      <c r="L348" s="55" t="str">
        <f>IFERROR(__xludf.DUMMYFUNCTION("""COMPUTED_VALUE"""),"Shooter")</f>
        <v>Shooter</v>
      </c>
      <c r="M348" s="55"/>
      <c r="N348" s="55"/>
      <c r="O348" s="55" t="str">
        <f>IFERROR(__xludf.DUMMYFUNCTION("""COMPUTED_VALUE"""),"M")</f>
        <v>M</v>
      </c>
      <c r="P348" s="55" t="str">
        <f>IFERROR(__xludf.DUMMYFUNCTION("""COMPUTED_VALUE"""),"Use of Alcohol, Blood, Sexual Content, Partial Nudity, Drug Reference, Strong Language, Violence")</f>
        <v>Use of Alcohol, Blood, Sexual Content, Partial Nudity, Drug Reference, Strong Language, Violence</v>
      </c>
      <c r="Q348" s="55" t="str">
        <f>IFERROR(__xludf.DUMMYFUNCTION("""COMPUTED_VALUE"""),"If you encounter problems with HDR on Series X|S, try disabling Auto HDR in the game's compatibility settings (Mass Effect LE has a native HDR implementation)")</f>
        <v>If you encounter problems with HDR on Series X|S, try disabling Auto HDR in the game's compatibility settings (Mass Effect LE has a native HDR implementation)</v>
      </c>
      <c r="R348" s="56" t="str">
        <f>IFERROR(__xludf.DUMMYFUNCTION("""COMPUTED_VALUE"""),"Active")</f>
        <v>Active</v>
      </c>
      <c r="S348" s="57">
        <f>IFERROR(__xludf.DUMMYFUNCTION("""COMPUTED_VALUE"""),45547.0)</f>
        <v>45547</v>
      </c>
      <c r="T348" s="60">
        <f>IFERROR(__xludf.DUMMYFUNCTION("""COMPUTED_VALUE"""),32.199999999999996)</f>
        <v>32.2</v>
      </c>
    </row>
    <row r="349">
      <c r="A349" s="55" t="str">
        <f>IFERROR(__xludf.DUMMYFUNCTION("""COMPUTED_VALUE"""),"Broken Age")</f>
        <v>Broken Age</v>
      </c>
      <c r="B349" s="55" t="str">
        <f>IFERROR(__xludf.DUMMYFUNCTION("""COMPUTED_VALUE"""),"Xbox / PC")</f>
        <v>Xbox / PC</v>
      </c>
      <c r="C349" s="55" t="str">
        <f>IFERROR(__xludf.DUMMYFUNCTION("""COMPUTED_VALUE"""),"Touch Controls")</f>
        <v>Touch Controls</v>
      </c>
      <c r="D349" s="56" t="str">
        <f>IFERROR(__xludf.DUMMYFUNCTION("""COMPUTED_VALUE"""),"Active")</f>
        <v>Active</v>
      </c>
      <c r="E349" s="57">
        <f>IFERROR(__xludf.DUMMYFUNCTION("""COMPUTED_VALUE"""),44546.0)</f>
        <v>44546</v>
      </c>
      <c r="F349" s="58"/>
      <c r="G349" s="60">
        <f>IFERROR(__xludf.DUMMYFUNCTION("""COMPUTED_VALUE"""),57.666666666666664)</f>
        <v>57.66666667</v>
      </c>
      <c r="H349" s="63">
        <f>IFERROR(__xludf.DUMMYFUNCTION("""COMPUTED_VALUE"""),41653.0)</f>
        <v>41653</v>
      </c>
      <c r="I349" s="60">
        <f>IFERROR(__xludf.DUMMYFUNCTION("""COMPUTED_VALUE"""),7.9222222222222225)</f>
        <v>7.922222222</v>
      </c>
      <c r="J349" s="64">
        <f>IFERROR(__xludf.DUMMYFUNCTION("""COMPUTED_VALUE"""),77.0)</f>
        <v>77</v>
      </c>
      <c r="K349" s="64">
        <f>IFERROR(__xludf.DUMMYFUNCTION("""COMPUTED_VALUE"""),10.0)</f>
        <v>10</v>
      </c>
      <c r="L349" s="55" t="str">
        <f>IFERROR(__xludf.DUMMYFUNCTION("""COMPUTED_VALUE"""),"Adventure")</f>
        <v>Adventure</v>
      </c>
      <c r="M349" s="55"/>
      <c r="N349" s="55"/>
      <c r="O349" s="55" t="str">
        <f>IFERROR(__xludf.DUMMYFUNCTION("""COMPUTED_VALUE"""),"E10+")</f>
        <v>E10+</v>
      </c>
      <c r="P349" s="55" t="str">
        <f>IFERROR(__xludf.DUMMYFUNCTION("""COMPUTED_VALUE"""),"Fantasy Violence, Crude Humor, Mild Blood, Mild Language")</f>
        <v>Fantasy Violence, Crude Humor, Mild Blood, Mild Language</v>
      </c>
      <c r="Q349" s="55"/>
      <c r="R349" s="56" t="str">
        <f>IFERROR(__xludf.DUMMYFUNCTION("""COMPUTED_VALUE"""),"Active")</f>
        <v>Active</v>
      </c>
      <c r="S349" s="57">
        <f>IFERROR(__xludf.DUMMYFUNCTION("""COMPUTED_VALUE"""),45547.0)</f>
        <v>45547</v>
      </c>
      <c r="T349" s="60">
        <f>IFERROR(__xludf.DUMMYFUNCTION("""COMPUTED_VALUE"""),32.86666666666667)</f>
        <v>32.86666667</v>
      </c>
    </row>
    <row r="350">
      <c r="A350" s="55" t="str">
        <f>IFERROR(__xludf.DUMMYFUNCTION("""COMPUTED_VALUE"""),"The Gunk")</f>
        <v>The Gunk</v>
      </c>
      <c r="B350" s="55" t="str">
        <f>IFERROR(__xludf.DUMMYFUNCTION("""COMPUTED_VALUE"""),"Xbox / PC")</f>
        <v>Xbox / PC</v>
      </c>
      <c r="C350" s="55" t="str">
        <f>IFERROR(__xludf.DUMMYFUNCTION("""COMPUTED_VALUE"""),"Touch Controls")</f>
        <v>Touch Controls</v>
      </c>
      <c r="D350" s="56" t="str">
        <f>IFERROR(__xludf.DUMMYFUNCTION("""COMPUTED_VALUE"""),"Active")</f>
        <v>Active</v>
      </c>
      <c r="E350" s="57">
        <f>IFERROR(__xludf.DUMMYFUNCTION("""COMPUTED_VALUE"""),44546.0)</f>
        <v>44546</v>
      </c>
      <c r="F350" s="58"/>
      <c r="G350" s="60">
        <f>IFERROR(__xludf.DUMMYFUNCTION("""COMPUTED_VALUE"""),57.666666666666664)</f>
        <v>57.66666667</v>
      </c>
      <c r="H350" s="63">
        <f>IFERROR(__xludf.DUMMYFUNCTION("""COMPUTED_VALUE"""),44546.0)</f>
        <v>44546</v>
      </c>
      <c r="I350" s="60">
        <f>IFERROR(__xludf.DUMMYFUNCTION("""COMPUTED_VALUE"""),0.0)</f>
        <v>0</v>
      </c>
      <c r="J350" s="64">
        <f>IFERROR(__xludf.DUMMYFUNCTION("""COMPUTED_VALUE"""),68.33333333333333)</f>
        <v>68.33333333</v>
      </c>
      <c r="K350" s="64">
        <f>IFERROR(__xludf.DUMMYFUNCTION("""COMPUTED_VALUE"""),4.5)</f>
        <v>4.5</v>
      </c>
      <c r="L350" s="55" t="str">
        <f>IFERROR(__xludf.DUMMYFUNCTION("""COMPUTED_VALUE"""),"Action-Adventure")</f>
        <v>Action-Adventure</v>
      </c>
      <c r="M350" s="55"/>
      <c r="N350" s="55"/>
      <c r="O350" s="55" t="str">
        <f>IFERROR(__xludf.DUMMYFUNCTION("""COMPUTED_VALUE"""),"T")</f>
        <v>T</v>
      </c>
      <c r="P350" s="55" t="str">
        <f>IFERROR(__xludf.DUMMYFUNCTION("""COMPUTED_VALUE"""),"Violence, Blood, Language")</f>
        <v>Violence, Blood, Language</v>
      </c>
      <c r="Q350" s="55"/>
      <c r="R350" s="56" t="str">
        <f>IFERROR(__xludf.DUMMYFUNCTION("""COMPUTED_VALUE"""),"Active")</f>
        <v>Active</v>
      </c>
      <c r="S350" s="57">
        <f>IFERROR(__xludf.DUMMYFUNCTION("""COMPUTED_VALUE"""),45547.0)</f>
        <v>45547</v>
      </c>
      <c r="T350" s="60">
        <f>IFERROR(__xludf.DUMMYFUNCTION("""COMPUTED_VALUE"""),32.86666666666667)</f>
        <v>32.86666667</v>
      </c>
    </row>
    <row r="351">
      <c r="A351" s="55" t="str">
        <f>IFERROR(__xludf.DUMMYFUNCTION("""COMPUTED_VALUE"""),"Halo: Infinite")</f>
        <v>Halo: Infinite</v>
      </c>
      <c r="B351" s="55" t="str">
        <f>IFERROR(__xludf.DUMMYFUNCTION("""COMPUTED_VALUE"""),"Xbox / PC")</f>
        <v>Xbox / PC</v>
      </c>
      <c r="C351" s="55" t="str">
        <f>IFERROR(__xludf.DUMMYFUNCTION("""COMPUTED_VALUE"""),"M+KB")</f>
        <v>M+KB</v>
      </c>
      <c r="D351" s="56" t="str">
        <f>IFERROR(__xludf.DUMMYFUNCTION("""COMPUTED_VALUE"""),"Active")</f>
        <v>Active</v>
      </c>
      <c r="E351" s="57">
        <f>IFERROR(__xludf.DUMMYFUNCTION("""COMPUTED_VALUE"""),44538.0)</f>
        <v>44538</v>
      </c>
      <c r="F351" s="58"/>
      <c r="G351" s="60">
        <f>IFERROR(__xludf.DUMMYFUNCTION("""COMPUTED_VALUE"""),57.93333333333333)</f>
        <v>57.93333333</v>
      </c>
      <c r="H351" s="63">
        <f>IFERROR(__xludf.DUMMYFUNCTION("""COMPUTED_VALUE"""),44538.0)</f>
        <v>44538</v>
      </c>
      <c r="I351" s="60">
        <f>IFERROR(__xludf.DUMMYFUNCTION("""COMPUTED_VALUE"""),0.0)</f>
        <v>0</v>
      </c>
      <c r="J351" s="64">
        <f>IFERROR(__xludf.DUMMYFUNCTION("""COMPUTED_VALUE"""),83.5)</f>
        <v>83.5</v>
      </c>
      <c r="K351" s="64">
        <f>IFERROR(__xludf.DUMMYFUNCTION("""COMPUTED_VALUE"""),10.0)</f>
        <v>10</v>
      </c>
      <c r="L351" s="55" t="str">
        <f>IFERROR(__xludf.DUMMYFUNCTION("""COMPUTED_VALUE"""),"Shooter")</f>
        <v>Shooter</v>
      </c>
      <c r="M351" s="55"/>
      <c r="N351" s="55" t="str">
        <f>IFERROR(__xludf.DUMMYFUNCTION("""COMPUTED_VALUE"""),"Multiplayer beta available 11/15/21, Halo's and Xbox's 20th anniversary")</f>
        <v>Multiplayer beta available 11/15/21, Halo's and Xbox's 20th anniversary</v>
      </c>
      <c r="O351" s="55" t="str">
        <f>IFERROR(__xludf.DUMMYFUNCTION("""COMPUTED_VALUE"""),"T")</f>
        <v>T</v>
      </c>
      <c r="P351" s="55" t="str">
        <f>IFERROR(__xludf.DUMMYFUNCTION("""COMPUTED_VALUE"""),"Violence, Blood, Mild Language")</f>
        <v>Violence, Blood, Mild Language</v>
      </c>
      <c r="Q351" s="55"/>
      <c r="R351" s="56" t="str">
        <f>IFERROR(__xludf.DUMMYFUNCTION("""COMPUTED_VALUE"""),"Active")</f>
        <v>Active</v>
      </c>
      <c r="S351" s="57">
        <f>IFERROR(__xludf.DUMMYFUNCTION("""COMPUTED_VALUE"""),45547.0)</f>
        <v>45547</v>
      </c>
      <c r="T351" s="60">
        <f>IFERROR(__xludf.DUMMYFUNCTION("""COMPUTED_VALUE"""),33.13333333333333)</f>
        <v>33.13333333</v>
      </c>
    </row>
    <row r="352">
      <c r="A352" s="55" t="str">
        <f>IFERROR(__xludf.DUMMYFUNCTION("""COMPUTED_VALUE"""),"Stardew Valley")</f>
        <v>Stardew Valley</v>
      </c>
      <c r="B352" s="55" t="str">
        <f>IFERROR(__xludf.DUMMYFUNCTION("""COMPUTED_VALUE"""),"Xbox / PC")</f>
        <v>Xbox / PC</v>
      </c>
      <c r="C352" s="55" t="str">
        <f>IFERROR(__xludf.DUMMYFUNCTION("""COMPUTED_VALUE"""),"Touch Controls")</f>
        <v>Touch Controls</v>
      </c>
      <c r="D352" s="56" t="str">
        <f>IFERROR(__xludf.DUMMYFUNCTION("""COMPUTED_VALUE"""),"Active")</f>
        <v>Active</v>
      </c>
      <c r="E352" s="57">
        <f>IFERROR(__xludf.DUMMYFUNCTION("""COMPUTED_VALUE"""),44532.0)</f>
        <v>44532</v>
      </c>
      <c r="F352" s="58"/>
      <c r="G352" s="60">
        <f>IFERROR(__xludf.DUMMYFUNCTION("""COMPUTED_VALUE"""),58.133333333333326)</f>
        <v>58.13333333</v>
      </c>
      <c r="H352" s="63">
        <f>IFERROR(__xludf.DUMMYFUNCTION("""COMPUTED_VALUE"""),42426.0)</f>
        <v>42426</v>
      </c>
      <c r="I352" s="60">
        <f>IFERROR(__xludf.DUMMYFUNCTION("""COMPUTED_VALUE"""),5.766666666666667)</f>
        <v>5.766666667</v>
      </c>
      <c r="J352" s="64">
        <f>IFERROR(__xludf.DUMMYFUNCTION("""COMPUTED_VALUE"""),89.0)</f>
        <v>89</v>
      </c>
      <c r="K352" s="64">
        <f>IFERROR(__xludf.DUMMYFUNCTION("""COMPUTED_VALUE"""),52.5)</f>
        <v>52.5</v>
      </c>
      <c r="L352" s="55" t="str">
        <f>IFERROR(__xludf.DUMMYFUNCTION("""COMPUTED_VALUE"""),"RPG")</f>
        <v>RPG</v>
      </c>
      <c r="M352" s="55"/>
      <c r="N352" s="55" t="str">
        <f>IFERROR(__xludf.DUMMYFUNCTION("""COMPUTED_VALUE"""),"Game Pass Essential launch title (9/14/23)")</f>
        <v>Game Pass Essential launch title (9/14/23)</v>
      </c>
      <c r="O352" s="55" t="str">
        <f>IFERROR(__xludf.DUMMYFUNCTION("""COMPUTED_VALUE"""),"E10+")</f>
        <v>E10+</v>
      </c>
      <c r="P352" s="55" t="str">
        <f>IFERROR(__xludf.DUMMYFUNCTION("""COMPUTED_VALUE"""),"Fantasy Violence, Mild Blood, Mild Language, Simulated Gambling, Use of Alcohol And Tobacco")</f>
        <v>Fantasy Violence, Mild Blood, Mild Language, Simulated Gambling, Use of Alcohol And Tobacco</v>
      </c>
      <c r="Q352" s="55"/>
      <c r="R352" s="56" t="str">
        <f>IFERROR(__xludf.DUMMYFUNCTION("""COMPUTED_VALUE"""),"Active")</f>
        <v>Active</v>
      </c>
      <c r="S352" s="57">
        <f>IFERROR(__xludf.DUMMYFUNCTION("""COMPUTED_VALUE"""),45547.0)</f>
        <v>45547</v>
      </c>
      <c r="T352" s="60">
        <f>IFERROR(__xludf.DUMMYFUNCTION("""COMPUTED_VALUE"""),33.33333333333333)</f>
        <v>33.33333333</v>
      </c>
    </row>
    <row r="353">
      <c r="A353" s="55" t="str">
        <f>IFERROR(__xludf.DUMMYFUNCTION("""COMPUTED_VALUE"""),"Forza Horizon 5")</f>
        <v>Forza Horizon 5</v>
      </c>
      <c r="B353" s="55" t="str">
        <f>IFERROR(__xludf.DUMMYFUNCTION("""COMPUTED_VALUE"""),"Xbox / PC")</f>
        <v>Xbox / PC</v>
      </c>
      <c r="C353" s="55" t="str">
        <f>IFERROR(__xludf.DUMMYFUNCTION("""COMPUTED_VALUE"""),"Yes")</f>
        <v>Yes</v>
      </c>
      <c r="D353" s="56" t="str">
        <f>IFERROR(__xludf.DUMMYFUNCTION("""COMPUTED_VALUE"""),"Active")</f>
        <v>Active</v>
      </c>
      <c r="E353" s="57">
        <f>IFERROR(__xludf.DUMMYFUNCTION("""COMPUTED_VALUE"""),44509.0)</f>
        <v>44509</v>
      </c>
      <c r="F353" s="58"/>
      <c r="G353" s="60">
        <f>IFERROR(__xludf.DUMMYFUNCTION("""COMPUTED_VALUE"""),58.9)</f>
        <v>58.9</v>
      </c>
      <c r="H353" s="63">
        <f>IFERROR(__xludf.DUMMYFUNCTION("""COMPUTED_VALUE"""),44509.0)</f>
        <v>44509</v>
      </c>
      <c r="I353" s="60">
        <f>IFERROR(__xludf.DUMMYFUNCTION("""COMPUTED_VALUE"""),0.0)</f>
        <v>0</v>
      </c>
      <c r="J353" s="64">
        <f>IFERROR(__xludf.DUMMYFUNCTION("""COMPUTED_VALUE"""),91.5)</f>
        <v>91.5</v>
      </c>
      <c r="K353" s="64">
        <f>IFERROR(__xludf.DUMMYFUNCTION("""COMPUTED_VALUE"""),17.0)</f>
        <v>17</v>
      </c>
      <c r="L353" s="55" t="str">
        <f>IFERROR(__xludf.DUMMYFUNCTION("""COMPUTED_VALUE"""),"Racing")</f>
        <v>Racing</v>
      </c>
      <c r="M353" s="55"/>
      <c r="N353" s="55"/>
      <c r="O353" s="55" t="str">
        <f>IFERROR(__xludf.DUMMYFUNCTION("""COMPUTED_VALUE"""),"E")</f>
        <v>E</v>
      </c>
      <c r="P353" s="55"/>
      <c r="Q353" s="55"/>
      <c r="R353" s="56" t="str">
        <f>IFERROR(__xludf.DUMMYFUNCTION("""COMPUTED_VALUE"""),"Active")</f>
        <v>Active</v>
      </c>
      <c r="S353" s="57">
        <f>IFERROR(__xludf.DUMMYFUNCTION("""COMPUTED_VALUE"""),45547.0)</f>
        <v>45547</v>
      </c>
      <c r="T353" s="60">
        <f>IFERROR(__xludf.DUMMYFUNCTION("""COMPUTED_VALUE"""),34.1)</f>
        <v>34.1</v>
      </c>
    </row>
    <row r="354">
      <c r="A354" s="55" t="str">
        <f>IFERROR(__xludf.DUMMYFUNCTION("""COMPUTED_VALUE"""),"It Takes Two")</f>
        <v>It Takes Two</v>
      </c>
      <c r="B354" s="55" t="str">
        <f>IFERROR(__xludf.DUMMYFUNCTION("""COMPUTED_VALUE"""),"Xbox / PC")</f>
        <v>Xbox / PC</v>
      </c>
      <c r="C354" s="55" t="str">
        <f>IFERROR(__xludf.DUMMYFUNCTION("""COMPUTED_VALUE"""),"Yes")</f>
        <v>Yes</v>
      </c>
      <c r="D354" s="56" t="str">
        <f>IFERROR(__xludf.DUMMYFUNCTION("""COMPUTED_VALUE"""),"Active")</f>
        <v>Active</v>
      </c>
      <c r="E354" s="57">
        <f>IFERROR(__xludf.DUMMYFUNCTION("""COMPUTED_VALUE"""),44504.0)</f>
        <v>44504</v>
      </c>
      <c r="F354" s="58"/>
      <c r="G354" s="60">
        <f>IFERROR(__xludf.DUMMYFUNCTION("""COMPUTED_VALUE"""),59.06666666666667)</f>
        <v>59.06666667</v>
      </c>
      <c r="H354" s="63">
        <f>IFERROR(__xludf.DUMMYFUNCTION("""COMPUTED_VALUE"""),44281.0)</f>
        <v>44281</v>
      </c>
      <c r="I354" s="60">
        <f>IFERROR(__xludf.DUMMYFUNCTION("""COMPUTED_VALUE"""),0.6055555555555555)</f>
        <v>0.6055555556</v>
      </c>
      <c r="J354" s="64">
        <f>IFERROR(__xludf.DUMMYFUNCTION("""COMPUTED_VALUE"""),88.5)</f>
        <v>88.5</v>
      </c>
      <c r="K354" s="64">
        <f>IFERROR(__xludf.DUMMYFUNCTION("""COMPUTED_VALUE"""),12.0)</f>
        <v>12</v>
      </c>
      <c r="L354" s="55" t="str">
        <f>IFERROR(__xludf.DUMMYFUNCTION("""COMPUTED_VALUE"""),"Platformer")</f>
        <v>Platformer</v>
      </c>
      <c r="M354" s="55" t="str">
        <f>IFERROR(__xludf.DUMMYFUNCTION("""COMPUTED_VALUE"""),"Optimized")</f>
        <v>Optimized</v>
      </c>
      <c r="N354" s="55"/>
      <c r="O354" s="55" t="str">
        <f>IFERROR(__xludf.DUMMYFUNCTION("""COMPUTED_VALUE"""),"T")</f>
        <v>T</v>
      </c>
      <c r="P354" s="55" t="str">
        <f>IFERROR(__xludf.DUMMYFUNCTION("""COMPUTED_VALUE"""),"Fantasy Violence, Comic Mischief, Language, Animated Blood")</f>
        <v>Fantasy Violence, Comic Mischief, Language, Animated Blood</v>
      </c>
      <c r="Q354" s="55"/>
      <c r="R354" s="56" t="str">
        <f>IFERROR(__xludf.DUMMYFUNCTION("""COMPUTED_VALUE"""),"Active")</f>
        <v>Active</v>
      </c>
      <c r="S354" s="57">
        <f>IFERROR(__xludf.DUMMYFUNCTION("""COMPUTED_VALUE"""),45547.0)</f>
        <v>45547</v>
      </c>
      <c r="T354" s="60">
        <f>IFERROR(__xludf.DUMMYFUNCTION("""COMPUTED_VALUE"""),34.266666666666666)</f>
        <v>34.26666667</v>
      </c>
    </row>
    <row r="355">
      <c r="A355" s="55" t="str">
        <f>IFERROR(__xludf.DUMMYFUNCTION("""COMPUTED_VALUE"""),"Age of Empires IV: Anniversary Edition")</f>
        <v>Age of Empires IV: Anniversary Edition</v>
      </c>
      <c r="B355" s="55" t="str">
        <f>IFERROR(__xludf.DUMMYFUNCTION("""COMPUTED_VALUE"""),"Xbox / PC")</f>
        <v>Xbox / PC</v>
      </c>
      <c r="C355" s="55" t="str">
        <f>IFERROR(__xludf.DUMMYFUNCTION("""COMPUTED_VALUE"""),"Yes")</f>
        <v>Yes</v>
      </c>
      <c r="D355" s="56" t="str">
        <f>IFERROR(__xludf.DUMMYFUNCTION("""COMPUTED_VALUE"""),"Active")</f>
        <v>Active</v>
      </c>
      <c r="E355" s="57">
        <f>IFERROR(__xludf.DUMMYFUNCTION("""COMPUTED_VALUE"""),44497.0)</f>
        <v>44497</v>
      </c>
      <c r="F355" s="58"/>
      <c r="G355" s="60">
        <f>IFERROR(__xludf.DUMMYFUNCTION("""COMPUTED_VALUE"""),59.266666666666666)</f>
        <v>59.26666667</v>
      </c>
      <c r="H355" s="63">
        <f>IFERROR(__xludf.DUMMYFUNCTION("""COMPUTED_VALUE"""),44497.0)</f>
        <v>44497</v>
      </c>
      <c r="I355" s="60">
        <f>IFERROR(__xludf.DUMMYFUNCTION("""COMPUTED_VALUE"""),0.0)</f>
        <v>0</v>
      </c>
      <c r="J355" s="64">
        <f>IFERROR(__xludf.DUMMYFUNCTION("""COMPUTED_VALUE"""),81.0)</f>
        <v>81</v>
      </c>
      <c r="K355" s="64">
        <f>IFERROR(__xludf.DUMMYFUNCTION("""COMPUTED_VALUE"""),24.5)</f>
        <v>24.5</v>
      </c>
      <c r="L355" s="55" t="str">
        <f>IFERROR(__xludf.DUMMYFUNCTION("""COMPUTED_VALUE"""),"Real-Time Strategy")</f>
        <v>Real-Time Strategy</v>
      </c>
      <c r="M355" s="55"/>
      <c r="N355" s="55" t="str">
        <f>IFERROR(__xludf.DUMMYFUNCTION("""COMPUTED_VALUE"""),"Joined PC and cloud 8/22/23")</f>
        <v>Joined PC and cloud 8/22/23</v>
      </c>
      <c r="O355" s="55" t="str">
        <f>IFERROR(__xludf.DUMMYFUNCTION("""COMPUTED_VALUE"""),"T")</f>
        <v>T</v>
      </c>
      <c r="P355" s="55" t="str">
        <f>IFERROR(__xludf.DUMMYFUNCTION("""COMPUTED_VALUE"""),"Mild Blood, Mild Violence")</f>
        <v>Mild Blood, Mild Violence</v>
      </c>
      <c r="Q355" s="55"/>
      <c r="R355" s="56" t="str">
        <f>IFERROR(__xludf.DUMMYFUNCTION("""COMPUTED_VALUE"""),"Active")</f>
        <v>Active</v>
      </c>
      <c r="S355" s="57">
        <f>IFERROR(__xludf.DUMMYFUNCTION("""COMPUTED_VALUE"""),45547.0)</f>
        <v>45547</v>
      </c>
      <c r="T355" s="60">
        <f>IFERROR(__xludf.DUMMYFUNCTION("""COMPUTED_VALUE"""),34.46666666666667)</f>
        <v>34.46666667</v>
      </c>
    </row>
    <row r="356">
      <c r="A356" s="55" t="str">
        <f>IFERROR(__xludf.DUMMYFUNCTION("""COMPUTED_VALUE"""),"Psychonauts 2")</f>
        <v>Psychonauts 2</v>
      </c>
      <c r="B356" s="55" t="str">
        <f>IFERROR(__xludf.DUMMYFUNCTION("""COMPUTED_VALUE"""),"Xbox / PC")</f>
        <v>Xbox / PC</v>
      </c>
      <c r="C356" s="55" t="str">
        <f>IFERROR(__xludf.DUMMYFUNCTION("""COMPUTED_VALUE"""),"Touch Controls")</f>
        <v>Touch Controls</v>
      </c>
      <c r="D356" s="56" t="str">
        <f>IFERROR(__xludf.DUMMYFUNCTION("""COMPUTED_VALUE"""),"Active")</f>
        <v>Active</v>
      </c>
      <c r="E356" s="57">
        <f>IFERROR(__xludf.DUMMYFUNCTION("""COMPUTED_VALUE"""),44433.0)</f>
        <v>44433</v>
      </c>
      <c r="F356" s="58"/>
      <c r="G356" s="60">
        <f>IFERROR(__xludf.DUMMYFUNCTION("""COMPUTED_VALUE"""),61.36666666666667)</f>
        <v>61.36666667</v>
      </c>
      <c r="H356" s="63">
        <f>IFERROR(__xludf.DUMMYFUNCTION("""COMPUTED_VALUE"""),44433.0)</f>
        <v>44433</v>
      </c>
      <c r="I356" s="60">
        <f>IFERROR(__xludf.DUMMYFUNCTION("""COMPUTED_VALUE"""),0.0)</f>
        <v>0</v>
      </c>
      <c r="J356" s="64">
        <f>IFERROR(__xludf.DUMMYFUNCTION("""COMPUTED_VALUE"""),89.0)</f>
        <v>89</v>
      </c>
      <c r="K356" s="64">
        <f>IFERROR(__xludf.DUMMYFUNCTION("""COMPUTED_VALUE"""),14.0)</f>
        <v>14</v>
      </c>
      <c r="L356" s="55" t="str">
        <f>IFERROR(__xludf.DUMMYFUNCTION("""COMPUTED_VALUE"""),"Platformer")</f>
        <v>Platformer</v>
      </c>
      <c r="M356" s="55"/>
      <c r="N356" s="55" t="str">
        <f>IFERROR(__xludf.DUMMYFUNCTION("""COMPUTED_VALUE"""),"Game Pass Essential launch title (9/14/23)")</f>
        <v>Game Pass Essential launch title (9/14/23)</v>
      </c>
      <c r="O356" s="55" t="str">
        <f>IFERROR(__xludf.DUMMYFUNCTION("""COMPUTED_VALUE"""),"T")</f>
        <v>T</v>
      </c>
      <c r="P356" s="55" t="str">
        <f>IFERROR(__xludf.DUMMYFUNCTION("""COMPUTED_VALUE"""),"Fantasy Violence, Crude Humor, Use of Tobacco, Alcohol Reference, Mild Language, Mild Suggestive Themes")</f>
        <v>Fantasy Violence, Crude Humor, Use of Tobacco, Alcohol Reference, Mild Language, Mild Suggestive Themes</v>
      </c>
      <c r="Q356" s="55"/>
      <c r="R356" s="56" t="str">
        <f>IFERROR(__xludf.DUMMYFUNCTION("""COMPUTED_VALUE"""),"Active")</f>
        <v>Active</v>
      </c>
      <c r="S356" s="57">
        <f>IFERROR(__xludf.DUMMYFUNCTION("""COMPUTED_VALUE"""),45547.0)</f>
        <v>45547</v>
      </c>
      <c r="T356" s="60">
        <f>IFERROR(__xludf.DUMMYFUNCTION("""COMPUTED_VALUE"""),36.56666666666666)</f>
        <v>36.56666667</v>
      </c>
    </row>
    <row r="357">
      <c r="A357" s="55" t="str">
        <f>IFERROR(__xludf.DUMMYFUNCTION("""COMPUTED_VALUE"""),"Quake")</f>
        <v>Quake</v>
      </c>
      <c r="B357" s="55" t="str">
        <f>IFERROR(__xludf.DUMMYFUNCTION("""COMPUTED_VALUE"""),"Xbox / PC")</f>
        <v>Xbox / PC</v>
      </c>
      <c r="C357" s="55" t="str">
        <f>IFERROR(__xludf.DUMMYFUNCTION("""COMPUTED_VALUE"""),"M+KB")</f>
        <v>M+KB</v>
      </c>
      <c r="D357" s="56" t="str">
        <f>IFERROR(__xludf.DUMMYFUNCTION("""COMPUTED_VALUE"""),"Active")</f>
        <v>Active</v>
      </c>
      <c r="E357" s="57">
        <f>IFERROR(__xludf.DUMMYFUNCTION("""COMPUTED_VALUE"""),44427.0)</f>
        <v>44427</v>
      </c>
      <c r="F357" s="58"/>
      <c r="G357" s="60">
        <f>IFERROR(__xludf.DUMMYFUNCTION("""COMPUTED_VALUE"""),61.56666666666666)</f>
        <v>61.56666667</v>
      </c>
      <c r="H357" s="63">
        <f>IFERROR(__xludf.DUMMYFUNCTION("""COMPUTED_VALUE"""),35269.0)</f>
        <v>35269</v>
      </c>
      <c r="I357" s="60">
        <f>IFERROR(__xludf.DUMMYFUNCTION("""COMPUTED_VALUE"""),25.072222222222223)</f>
        <v>25.07222222</v>
      </c>
      <c r="J357" s="64">
        <f>IFERROR(__xludf.DUMMYFUNCTION("""COMPUTED_VALUE"""),94.0)</f>
        <v>94</v>
      </c>
      <c r="K357" s="64">
        <f>IFERROR(__xludf.DUMMYFUNCTION("""COMPUTED_VALUE"""),5.5)</f>
        <v>5.5</v>
      </c>
      <c r="L357" s="55" t="str">
        <f>IFERROR(__xludf.DUMMYFUNCTION("""COMPUTED_VALUE"""),"Shooter")</f>
        <v>Shooter</v>
      </c>
      <c r="M357" s="55"/>
      <c r="N357" s="55"/>
      <c r="O357" s="55" t="str">
        <f>IFERROR(__xludf.DUMMYFUNCTION("""COMPUTED_VALUE"""),"M")</f>
        <v>M</v>
      </c>
      <c r="P357" s="55" t="str">
        <f>IFERROR(__xludf.DUMMYFUNCTION("""COMPUTED_VALUE"""),"Blood and Gore, Violence")</f>
        <v>Blood and Gore, Violence</v>
      </c>
      <c r="Q357" s="55"/>
      <c r="R357" s="56" t="str">
        <f>IFERROR(__xludf.DUMMYFUNCTION("""COMPUTED_VALUE"""),"Active")</f>
        <v>Active</v>
      </c>
      <c r="S357" s="57">
        <f>IFERROR(__xludf.DUMMYFUNCTION("""COMPUTED_VALUE"""),45547.0)</f>
        <v>45547</v>
      </c>
      <c r="T357" s="60">
        <f>IFERROR(__xludf.DUMMYFUNCTION("""COMPUTED_VALUE"""),36.766666666666666)</f>
        <v>36.76666667</v>
      </c>
    </row>
    <row r="358">
      <c r="A358" s="55" t="str">
        <f>IFERROR(__xludf.DUMMYFUNCTION("""COMPUTED_VALUE"""),"Quake II")</f>
        <v>Quake II</v>
      </c>
      <c r="B358" s="55" t="str">
        <f>IFERROR(__xludf.DUMMYFUNCTION("""COMPUTED_VALUE"""),"Xbox / PC")</f>
        <v>Xbox / PC</v>
      </c>
      <c r="C358" s="55" t="str">
        <f>IFERROR(__xludf.DUMMYFUNCTION("""COMPUTED_VALUE"""),"M+KB")</f>
        <v>M+KB</v>
      </c>
      <c r="D358" s="56" t="str">
        <f>IFERROR(__xludf.DUMMYFUNCTION("""COMPUTED_VALUE"""),"Active")</f>
        <v>Active</v>
      </c>
      <c r="E358" s="57">
        <f>IFERROR(__xludf.DUMMYFUNCTION("""COMPUTED_VALUE"""),44427.0)</f>
        <v>44427</v>
      </c>
      <c r="F358" s="58"/>
      <c r="G358" s="60">
        <f>IFERROR(__xludf.DUMMYFUNCTION("""COMPUTED_VALUE"""),61.56666666666666)</f>
        <v>61.56666667</v>
      </c>
      <c r="H358" s="63">
        <f>IFERROR(__xludf.DUMMYFUNCTION("""COMPUTED_VALUE"""),35773.0)</f>
        <v>35773</v>
      </c>
      <c r="I358" s="60">
        <f>IFERROR(__xludf.DUMMYFUNCTION("""COMPUTED_VALUE"""),23.694444444444443)</f>
        <v>23.69444444</v>
      </c>
      <c r="J358" s="64">
        <f>IFERROR(__xludf.DUMMYFUNCTION("""COMPUTED_VALUE"""),89.0)</f>
        <v>89</v>
      </c>
      <c r="K358" s="64">
        <f>IFERROR(__xludf.DUMMYFUNCTION("""COMPUTED_VALUE"""),8.0)</f>
        <v>8</v>
      </c>
      <c r="L358" s="55" t="str">
        <f>IFERROR(__xludf.DUMMYFUNCTION("""COMPUTED_VALUE"""),"Shooter")</f>
        <v>Shooter</v>
      </c>
      <c r="M358" s="55"/>
      <c r="N358" s="55" t="str">
        <f>IFERROR(__xludf.DUMMYFUNCTION("""COMPUTED_VALUE"""),"Joined console 8/10/23")</f>
        <v>Joined console 8/10/23</v>
      </c>
      <c r="O358" s="55" t="str">
        <f>IFERROR(__xludf.DUMMYFUNCTION("""COMPUTED_VALUE"""),"M")</f>
        <v>M</v>
      </c>
      <c r="P358" s="55" t="str">
        <f>IFERROR(__xludf.DUMMYFUNCTION("""COMPUTED_VALUE"""),"Violence, Blood and Gore, Language")</f>
        <v>Violence, Blood and Gore, Language</v>
      </c>
      <c r="Q358" s="55"/>
      <c r="R358" s="56" t="str">
        <f>IFERROR(__xludf.DUMMYFUNCTION("""COMPUTED_VALUE"""),"Active")</f>
        <v>Active</v>
      </c>
      <c r="S358" s="57">
        <f>IFERROR(__xludf.DUMMYFUNCTION("""COMPUTED_VALUE"""),45547.0)</f>
        <v>45547</v>
      </c>
      <c r="T358" s="60">
        <f>IFERROR(__xludf.DUMMYFUNCTION("""COMPUTED_VALUE"""),36.766666666666666)</f>
        <v>36.76666667</v>
      </c>
    </row>
    <row r="359">
      <c r="A359" s="55" t="str">
        <f>IFERROR(__xludf.DUMMYFUNCTION("""COMPUTED_VALUE"""),"DiRT Rally 2.0")</f>
        <v>DiRT Rally 2.0</v>
      </c>
      <c r="B359" s="55" t="str">
        <f>IFERROR(__xludf.DUMMYFUNCTION("""COMPUTED_VALUE"""),"Xbox")</f>
        <v>Xbox</v>
      </c>
      <c r="C359" s="55"/>
      <c r="D359" s="56" t="str">
        <f>IFERROR(__xludf.DUMMYFUNCTION("""COMPUTED_VALUE"""),"Active")</f>
        <v>Active</v>
      </c>
      <c r="E359" s="57">
        <f>IFERROR(__xludf.DUMMYFUNCTION("""COMPUTED_VALUE"""),44418.0)</f>
        <v>44418</v>
      </c>
      <c r="F359" s="58"/>
      <c r="G359" s="60">
        <f>IFERROR(__xludf.DUMMYFUNCTION("""COMPUTED_VALUE"""),61.866666666666674)</f>
        <v>61.86666667</v>
      </c>
      <c r="H359" s="63">
        <f>IFERROR(__xludf.DUMMYFUNCTION("""COMPUTED_VALUE"""),43522.0)</f>
        <v>43522</v>
      </c>
      <c r="I359" s="60">
        <f>IFERROR(__xludf.DUMMYFUNCTION("""COMPUTED_VALUE"""),2.4555555555555557)</f>
        <v>2.455555556</v>
      </c>
      <c r="J359" s="64">
        <f>IFERROR(__xludf.DUMMYFUNCTION("""COMPUTED_VALUE"""),82.0)</f>
        <v>82</v>
      </c>
      <c r="K359" s="64">
        <f>IFERROR(__xludf.DUMMYFUNCTION("""COMPUTED_VALUE"""),10.0)</f>
        <v>10</v>
      </c>
      <c r="L359" s="55" t="str">
        <f>IFERROR(__xludf.DUMMYFUNCTION("""COMPUTED_VALUE"""),"Racing")</f>
        <v>Racing</v>
      </c>
      <c r="M359" s="55"/>
      <c r="N359" s="55" t="str">
        <f>IFERROR(__xludf.DUMMYFUNCTION("""COMPUTED_VALUE"""),"GP: Added 9/26/19, left 9/30/20")</f>
        <v>GP: Added 9/26/19, left 9/30/20</v>
      </c>
      <c r="O359" s="55" t="str">
        <f>IFERROR(__xludf.DUMMYFUNCTION("""COMPUTED_VALUE"""),"E")</f>
        <v>E</v>
      </c>
      <c r="P359" s="55"/>
      <c r="Q359" s="55"/>
      <c r="R359" s="56" t="str">
        <f>IFERROR(__xludf.DUMMYFUNCTION("""COMPUTED_VALUE"""),"Active")</f>
        <v>Active</v>
      </c>
      <c r="S359" s="57">
        <f>IFERROR(__xludf.DUMMYFUNCTION("""COMPUTED_VALUE"""),45547.0)</f>
        <v>45547</v>
      </c>
      <c r="T359" s="60">
        <f>IFERROR(__xludf.DUMMYFUNCTION("""COMPUTED_VALUE"""),37.06666666666667)</f>
        <v>37.06666667</v>
      </c>
    </row>
    <row r="360">
      <c r="A360" s="55" t="str">
        <f>IFERROR(__xludf.DUMMYFUNCTION("""COMPUTED_VALUE"""),"Skate")</f>
        <v>Skate</v>
      </c>
      <c r="B360" s="55" t="str">
        <f>IFERROR(__xludf.DUMMYFUNCTION("""COMPUTED_VALUE"""),"Xbox")</f>
        <v>Xbox</v>
      </c>
      <c r="C360" s="55" t="str">
        <f>IFERROR(__xludf.DUMMYFUNCTION("""COMPUTED_VALUE"""),"Touch Controls")</f>
        <v>Touch Controls</v>
      </c>
      <c r="D360" s="56" t="str">
        <f>IFERROR(__xludf.DUMMYFUNCTION("""COMPUTED_VALUE"""),"Active")</f>
        <v>Active</v>
      </c>
      <c r="E360" s="57">
        <f>IFERROR(__xludf.DUMMYFUNCTION("""COMPUTED_VALUE"""),44413.0)</f>
        <v>44413</v>
      </c>
      <c r="F360" s="58"/>
      <c r="G360" s="60">
        <f>IFERROR(__xludf.DUMMYFUNCTION("""COMPUTED_VALUE"""),62.03333333333333)</f>
        <v>62.03333333</v>
      </c>
      <c r="H360" s="63">
        <f>IFERROR(__xludf.DUMMYFUNCTION("""COMPUTED_VALUE"""),39339.0)</f>
        <v>39339</v>
      </c>
      <c r="I360" s="60">
        <f>IFERROR(__xludf.DUMMYFUNCTION("""COMPUTED_VALUE"""),13.891666666666667)</f>
        <v>13.89166667</v>
      </c>
      <c r="J360" s="64">
        <f>IFERROR(__xludf.DUMMYFUNCTION("""COMPUTED_VALUE"""),86.0)</f>
        <v>86</v>
      </c>
      <c r="K360" s="64">
        <f>IFERROR(__xludf.DUMMYFUNCTION("""COMPUTED_VALUE"""),11.5)</f>
        <v>11.5</v>
      </c>
      <c r="L360" s="55" t="str">
        <f>IFERROR(__xludf.DUMMYFUNCTION("""COMPUTED_VALUE"""),"Sports")</f>
        <v>Sports</v>
      </c>
      <c r="M360" s="55"/>
      <c r="N360" s="55"/>
      <c r="O360" s="55" t="str">
        <f>IFERROR(__xludf.DUMMYFUNCTION("""COMPUTED_VALUE"""),"T")</f>
        <v>T</v>
      </c>
      <c r="P360" s="55" t="str">
        <f>IFERROR(__xludf.DUMMYFUNCTION("""COMPUTED_VALUE"""),"Mild Violence, Crude Humor, Blood and Gore, Tobacco Reference, Language")</f>
        <v>Mild Violence, Crude Humor, Blood and Gore, Tobacco Reference, Language</v>
      </c>
      <c r="Q360" s="55"/>
      <c r="R360" s="56" t="str">
        <f>IFERROR(__xludf.DUMMYFUNCTION("""COMPUTED_VALUE"""),"Active")</f>
        <v>Active</v>
      </c>
      <c r="S360" s="57">
        <f>IFERROR(__xludf.DUMMYFUNCTION("""COMPUTED_VALUE"""),45547.0)</f>
        <v>45547</v>
      </c>
      <c r="T360" s="60">
        <f>IFERROR(__xludf.DUMMYFUNCTION("""COMPUTED_VALUE"""),37.233333333333334)</f>
        <v>37.23333333</v>
      </c>
    </row>
    <row r="361">
      <c r="A361" s="55" t="str">
        <f>IFERROR(__xludf.DUMMYFUNCTION("""COMPUTED_VALUE"""),"Crimson Skies: High Road to Revenge")</f>
        <v>Crimson Skies: High Road to Revenge</v>
      </c>
      <c r="B361" s="55" t="str">
        <f>IFERROR(__xludf.DUMMYFUNCTION("""COMPUTED_VALUE"""),"Xbox / PC")</f>
        <v>Xbox / PC</v>
      </c>
      <c r="C361" s="55" t="str">
        <f>IFERROR(__xludf.DUMMYFUNCTION("""COMPUTED_VALUE"""),"Touch Controls")</f>
        <v>Touch Controls</v>
      </c>
      <c r="D361" s="56" t="str">
        <f>IFERROR(__xludf.DUMMYFUNCTION("""COMPUTED_VALUE"""),"Active")</f>
        <v>Active</v>
      </c>
      <c r="E361" s="57">
        <f>IFERROR(__xludf.DUMMYFUNCTION("""COMPUTED_VALUE"""),44403.0)</f>
        <v>44403</v>
      </c>
      <c r="F361" s="58"/>
      <c r="G361" s="60">
        <f>IFERROR(__xludf.DUMMYFUNCTION("""COMPUTED_VALUE"""),62.333333333333336)</f>
        <v>62.33333333</v>
      </c>
      <c r="H361" s="63">
        <f>IFERROR(__xludf.DUMMYFUNCTION("""COMPUTED_VALUE"""),37915.0)</f>
        <v>37915</v>
      </c>
      <c r="I361" s="60">
        <f>IFERROR(__xludf.DUMMYFUNCTION("""COMPUTED_VALUE"""),17.76388888888889)</f>
        <v>17.76388889</v>
      </c>
      <c r="J361" s="64">
        <f>IFERROR(__xludf.DUMMYFUNCTION("""COMPUTED_VALUE"""),88.0)</f>
        <v>88</v>
      </c>
      <c r="K361" s="64">
        <f>IFERROR(__xludf.DUMMYFUNCTION("""COMPUTED_VALUE"""),8.0)</f>
        <v>8</v>
      </c>
      <c r="L361" s="55" t="str">
        <f>IFERROR(__xludf.DUMMYFUNCTION("""COMPUTED_VALUE"""),"Flight")</f>
        <v>Flight</v>
      </c>
      <c r="M361" s="55"/>
      <c r="N361" s="55" t="str">
        <f>IFERROR(__xludf.DUMMYFUNCTION("""COMPUTED_VALUE"""),"XBOX Backward Compatibility on PC (7/22/26)")</f>
        <v>XBOX Backward Compatibility on PC (7/22/26)</v>
      </c>
      <c r="O361" s="55" t="str">
        <f>IFERROR(__xludf.DUMMYFUNCTION("""COMPUTED_VALUE"""),"T")</f>
        <v>T</v>
      </c>
      <c r="P361" s="55" t="str">
        <f>IFERROR(__xludf.DUMMYFUNCTION("""COMPUTED_VALUE"""),"Xbox 360, PlayStation 3")</f>
        <v>Xbox 360, PlayStation 3</v>
      </c>
      <c r="Q361" s="55" t="str">
        <f>IFERROR(__xludf.DUMMYFUNCTION("""COMPUTED_VALUE"""),"OG Xbox")</f>
        <v>OG Xbox</v>
      </c>
      <c r="R361" s="56" t="str">
        <f>IFERROR(__xludf.DUMMYFUNCTION("""COMPUTED_VALUE"""),"Active")</f>
        <v>Active</v>
      </c>
      <c r="S361" s="57">
        <f>IFERROR(__xludf.DUMMYFUNCTION("""COMPUTED_VALUE"""),45547.0)</f>
        <v>45547</v>
      </c>
      <c r="T361" s="60">
        <f>IFERROR(__xludf.DUMMYFUNCTION("""COMPUTED_VALUE"""),37.53333333333333)</f>
        <v>37.53333333</v>
      </c>
    </row>
    <row r="362">
      <c r="A362" s="55" t="str">
        <f>IFERROR(__xludf.DUMMYFUNCTION("""COMPUTED_VALUE"""),"Blinx: The Time Sweeper")</f>
        <v>Blinx: The Time Sweeper</v>
      </c>
      <c r="B362" s="55" t="str">
        <f>IFERROR(__xludf.DUMMYFUNCTION("""COMPUTED_VALUE"""),"Xbox / PC")</f>
        <v>Xbox / PC</v>
      </c>
      <c r="C362" s="55" t="str">
        <f>IFERROR(__xludf.DUMMYFUNCTION("""COMPUTED_VALUE"""),"Touch Controls")</f>
        <v>Touch Controls</v>
      </c>
      <c r="D362" s="56" t="str">
        <f>IFERROR(__xludf.DUMMYFUNCTION("""COMPUTED_VALUE"""),"Active")</f>
        <v>Active</v>
      </c>
      <c r="E362" s="57">
        <f>IFERROR(__xludf.DUMMYFUNCTION("""COMPUTED_VALUE"""),44399.0)</f>
        <v>44399</v>
      </c>
      <c r="F362" s="58"/>
      <c r="G362" s="60">
        <f>IFERROR(__xludf.DUMMYFUNCTION("""COMPUTED_VALUE"""),62.46666666666667)</f>
        <v>62.46666667</v>
      </c>
      <c r="H362" s="63">
        <f>IFERROR(__xludf.DUMMYFUNCTION("""COMPUTED_VALUE"""),37536.0)</f>
        <v>37536</v>
      </c>
      <c r="I362" s="60">
        <f>IFERROR(__xludf.DUMMYFUNCTION("""COMPUTED_VALUE"""),18.791666666666668)</f>
        <v>18.79166667</v>
      </c>
      <c r="J362" s="64">
        <f>IFERROR(__xludf.DUMMYFUNCTION("""COMPUTED_VALUE"""),71.0)</f>
        <v>71</v>
      </c>
      <c r="K362" s="64">
        <f>IFERROR(__xludf.DUMMYFUNCTION("""COMPUTED_VALUE"""),10.0)</f>
        <v>10</v>
      </c>
      <c r="L362" s="55" t="str">
        <f>IFERROR(__xludf.DUMMYFUNCTION("""COMPUTED_VALUE"""),"Action")</f>
        <v>Action</v>
      </c>
      <c r="M362" s="55"/>
      <c r="N362" s="55" t="str">
        <f>IFERROR(__xludf.DUMMYFUNCTION("""COMPUTED_VALUE"""),"XBOX Backward Compatibility on PC (7/22/26)")</f>
        <v>XBOX Backward Compatibility on PC (7/22/26)</v>
      </c>
      <c r="O362" s="55" t="str">
        <f>IFERROR(__xludf.DUMMYFUNCTION("""COMPUTED_VALUE"""),"E")</f>
        <v>E</v>
      </c>
      <c r="P362" s="55"/>
      <c r="Q362" s="55" t="str">
        <f>IFERROR(__xludf.DUMMYFUNCTION("""COMPUTED_VALUE"""),"OG Xbox")</f>
        <v>OG Xbox</v>
      </c>
      <c r="R362" s="56" t="str">
        <f>IFERROR(__xludf.DUMMYFUNCTION("""COMPUTED_VALUE"""),"Active")</f>
        <v>Active</v>
      </c>
      <c r="S362" s="57">
        <f>IFERROR(__xludf.DUMMYFUNCTION("""COMPUTED_VALUE"""),45547.0)</f>
        <v>45547</v>
      </c>
      <c r="T362" s="60">
        <f>IFERROR(__xludf.DUMMYFUNCTION("""COMPUTED_VALUE"""),37.666666666666664)</f>
        <v>37.66666667</v>
      </c>
    </row>
    <row r="363">
      <c r="A363" s="55" t="str">
        <f>IFERROR(__xludf.DUMMYFUNCTION("""COMPUTED_VALUE"""),"EA Sports UFC 4")</f>
        <v>EA Sports UFC 4</v>
      </c>
      <c r="B363" s="55" t="str">
        <f>IFERROR(__xludf.DUMMYFUNCTION("""COMPUTED_VALUE"""),"Xbox")</f>
        <v>Xbox</v>
      </c>
      <c r="C363" s="55"/>
      <c r="D363" s="56" t="str">
        <f>IFERROR(__xludf.DUMMYFUNCTION("""COMPUTED_VALUE"""),"Active")</f>
        <v>Active</v>
      </c>
      <c r="E363" s="57">
        <f>IFERROR(__xludf.DUMMYFUNCTION("""COMPUTED_VALUE"""),44385.0)</f>
        <v>44385</v>
      </c>
      <c r="F363" s="58"/>
      <c r="G363" s="60">
        <f>IFERROR(__xludf.DUMMYFUNCTION("""COMPUTED_VALUE"""),62.93333333333334)</f>
        <v>62.93333333</v>
      </c>
      <c r="H363" s="63">
        <f>IFERROR(__xludf.DUMMYFUNCTION("""COMPUTED_VALUE"""),44057.0)</f>
        <v>44057</v>
      </c>
      <c r="I363" s="60">
        <f>IFERROR(__xludf.DUMMYFUNCTION("""COMPUTED_VALUE"""),0.9)</f>
        <v>0.9</v>
      </c>
      <c r="J363" s="64">
        <f>IFERROR(__xludf.DUMMYFUNCTION("""COMPUTED_VALUE"""),82.0)</f>
        <v>82</v>
      </c>
      <c r="K363" s="64">
        <f>IFERROR(__xludf.DUMMYFUNCTION("""COMPUTED_VALUE"""),12.0)</f>
        <v>12</v>
      </c>
      <c r="L363" s="55" t="str">
        <f>IFERROR(__xludf.DUMMYFUNCTION("""COMPUTED_VALUE"""),"Sports")</f>
        <v>Sports</v>
      </c>
      <c r="M363" s="55" t="str">
        <f>IFERROR(__xludf.DUMMYFUNCTION("""COMPUTED_VALUE"""),"FPS Boost")</f>
        <v>FPS Boost</v>
      </c>
      <c r="N363" s="55"/>
      <c r="O363" s="55" t="str">
        <f>IFERROR(__xludf.DUMMYFUNCTION("""COMPUTED_VALUE"""),"T")</f>
        <v>T</v>
      </c>
      <c r="P363" s="55" t="str">
        <f>IFERROR(__xludf.DUMMYFUNCTION("""COMPUTED_VALUE"""),"Blood, Language, Mild Suggestive Themes, Violence")</f>
        <v>Blood, Language, Mild Suggestive Themes, Violence</v>
      </c>
      <c r="Q363" s="55"/>
      <c r="R363" s="56" t="str">
        <f>IFERROR(__xludf.DUMMYFUNCTION("""COMPUTED_VALUE"""),"Active")</f>
        <v>Active</v>
      </c>
      <c r="S363" s="57">
        <f>IFERROR(__xludf.DUMMYFUNCTION("""COMPUTED_VALUE"""),45547.0)</f>
        <v>45547</v>
      </c>
      <c r="T363" s="60">
        <f>IFERROR(__xludf.DUMMYFUNCTION("""COMPUTED_VALUE"""),38.13333333333333)</f>
        <v>38.13333333</v>
      </c>
    </row>
    <row r="364">
      <c r="A364" s="55" t="str">
        <f>IFERROR(__xludf.DUMMYFUNCTION("""COMPUTED_VALUE"""),"Gang Beasts")</f>
        <v>Gang Beasts</v>
      </c>
      <c r="B364" s="55" t="str">
        <f>IFERROR(__xludf.DUMMYFUNCTION("""COMPUTED_VALUE"""),"Xbox / PC")</f>
        <v>Xbox / PC</v>
      </c>
      <c r="C364" s="55" t="str">
        <f>IFERROR(__xludf.DUMMYFUNCTION("""COMPUTED_VALUE"""),"Yes")</f>
        <v>Yes</v>
      </c>
      <c r="D364" s="56" t="str">
        <f>IFERROR(__xludf.DUMMYFUNCTION("""COMPUTED_VALUE"""),"Active")</f>
        <v>Active</v>
      </c>
      <c r="E364" s="57">
        <f>IFERROR(__xludf.DUMMYFUNCTION("""COMPUTED_VALUE"""),44378.0)</f>
        <v>44378</v>
      </c>
      <c r="F364" s="58"/>
      <c r="G364" s="60">
        <f>IFERROR(__xludf.DUMMYFUNCTION("""COMPUTED_VALUE"""),63.16666666666667)</f>
        <v>63.16666667</v>
      </c>
      <c r="H364" s="63">
        <f>IFERROR(__xludf.DUMMYFUNCTION("""COMPUTED_VALUE"""),41880.0)</f>
        <v>41880</v>
      </c>
      <c r="I364" s="60">
        <f>IFERROR(__xludf.DUMMYFUNCTION("""COMPUTED_VALUE"""),6.838888888888889)</f>
        <v>6.838888889</v>
      </c>
      <c r="J364" s="64">
        <f>IFERROR(__xludf.DUMMYFUNCTION("""COMPUTED_VALUE"""),67.0)</f>
        <v>67</v>
      </c>
      <c r="K364" s="64">
        <f>IFERROR(__xludf.DUMMYFUNCTION("""COMPUTED_VALUE"""),3.5)</f>
        <v>3.5</v>
      </c>
      <c r="L364" s="55" t="str">
        <f>IFERROR(__xludf.DUMMYFUNCTION("""COMPUTED_VALUE"""),"Brawler")</f>
        <v>Brawler</v>
      </c>
      <c r="M364" s="55"/>
      <c r="N364" s="55" t="str">
        <f>IFERROR(__xludf.DUMMYFUNCTION("""COMPUTED_VALUE"""),"Game Pass Essential launch title (9/14/23)")</f>
        <v>Game Pass Essential launch title (9/14/23)</v>
      </c>
      <c r="O364" s="55" t="str">
        <f>IFERROR(__xludf.DUMMYFUNCTION("""COMPUTED_VALUE"""),"E10+")</f>
        <v>E10+</v>
      </c>
      <c r="P364" s="55" t="str">
        <f>IFERROR(__xludf.DUMMYFUNCTION("""COMPUTED_VALUE"""),"Cartoon Violence")</f>
        <v>Cartoon Violence</v>
      </c>
      <c r="Q364" s="55"/>
      <c r="R364" s="56" t="str">
        <f>IFERROR(__xludf.DUMMYFUNCTION("""COMPUTED_VALUE"""),"Active")</f>
        <v>Active</v>
      </c>
      <c r="S364" s="57">
        <f>IFERROR(__xludf.DUMMYFUNCTION("""COMPUTED_VALUE"""),45547.0)</f>
        <v>45547</v>
      </c>
      <c r="T364" s="60">
        <f>IFERROR(__xludf.DUMMYFUNCTION("""COMPUTED_VALUE"""),38.36666666666667)</f>
        <v>38.36666667</v>
      </c>
    </row>
    <row r="365">
      <c r="A365" s="55" t="str">
        <f>IFERROR(__xludf.DUMMYFUNCTION("""COMPUTED_VALUE"""),"Need for Speed: Hot Pursuit - Remastered")</f>
        <v>Need for Speed: Hot Pursuit - Remastered</v>
      </c>
      <c r="B365" s="55" t="str">
        <f>IFERROR(__xludf.DUMMYFUNCTION("""COMPUTED_VALUE"""),"Xbox / PC")</f>
        <v>Xbox / PC</v>
      </c>
      <c r="C365" s="55" t="str">
        <f>IFERROR(__xludf.DUMMYFUNCTION("""COMPUTED_VALUE"""),"Touch Controls")</f>
        <v>Touch Controls</v>
      </c>
      <c r="D365" s="56" t="str">
        <f>IFERROR(__xludf.DUMMYFUNCTION("""COMPUTED_VALUE"""),"Active")</f>
        <v>Active</v>
      </c>
      <c r="E365" s="57">
        <f>IFERROR(__xludf.DUMMYFUNCTION("""COMPUTED_VALUE"""),44371.0)</f>
        <v>44371</v>
      </c>
      <c r="F365" s="58"/>
      <c r="G365" s="60">
        <f>IFERROR(__xludf.DUMMYFUNCTION("""COMPUTED_VALUE"""),63.4)</f>
        <v>63.4</v>
      </c>
      <c r="H365" s="63">
        <f>IFERROR(__xludf.DUMMYFUNCTION("""COMPUTED_VALUE"""),44141.0)</f>
        <v>44141</v>
      </c>
      <c r="I365" s="60">
        <f>IFERROR(__xludf.DUMMYFUNCTION("""COMPUTED_VALUE"""),0.6333333333333333)</f>
        <v>0.6333333333</v>
      </c>
      <c r="J365" s="64">
        <f>IFERROR(__xludf.DUMMYFUNCTION("""COMPUTED_VALUE"""),76.0)</f>
        <v>76</v>
      </c>
      <c r="K365" s="64">
        <f>IFERROR(__xludf.DUMMYFUNCTION("""COMPUTED_VALUE"""),15.5)</f>
        <v>15.5</v>
      </c>
      <c r="L365" s="55" t="str">
        <f>IFERROR(__xludf.DUMMYFUNCTION("""COMPUTED_VALUE"""),"Racing")</f>
        <v>Racing</v>
      </c>
      <c r="M365" s="55"/>
      <c r="N365" s="55"/>
      <c r="O365" s="55" t="str">
        <f>IFERROR(__xludf.DUMMYFUNCTION("""COMPUTED_VALUE"""),"E10+")</f>
        <v>E10+</v>
      </c>
      <c r="P365" s="55" t="str">
        <f>IFERROR(__xludf.DUMMYFUNCTION("""COMPUTED_VALUE"""),"Mild Violence, Mild Lyrics")</f>
        <v>Mild Violence, Mild Lyrics</v>
      </c>
      <c r="Q365" s="55"/>
      <c r="R365" s="56" t="str">
        <f>IFERROR(__xludf.DUMMYFUNCTION("""COMPUTED_VALUE"""),"Active")</f>
        <v>Active</v>
      </c>
      <c r="S365" s="57">
        <f>IFERROR(__xludf.DUMMYFUNCTION("""COMPUTED_VALUE"""),45547.0)</f>
        <v>45547</v>
      </c>
      <c r="T365" s="60">
        <f>IFERROR(__xludf.DUMMYFUNCTION("""COMPUTED_VALUE"""),38.6)</f>
        <v>38.6</v>
      </c>
    </row>
    <row r="366">
      <c r="A366" s="55" t="str">
        <f>IFERROR(__xludf.DUMMYFUNCTION("""COMPUTED_VALUE"""),"Medieval Dynasty")</f>
        <v>Medieval Dynasty</v>
      </c>
      <c r="B366" s="55" t="str">
        <f>IFERROR(__xludf.DUMMYFUNCTION("""COMPUTED_VALUE"""),"Xbox / PC")</f>
        <v>Xbox / PC</v>
      </c>
      <c r="C366" s="55" t="str">
        <f>IFERROR(__xludf.DUMMYFUNCTION("""COMPUTED_VALUE"""),"Yes")</f>
        <v>Yes</v>
      </c>
      <c r="D366" s="56" t="str">
        <f>IFERROR(__xludf.DUMMYFUNCTION("""COMPUTED_VALUE"""),"Active")</f>
        <v>Active</v>
      </c>
      <c r="E366" s="57">
        <f>IFERROR(__xludf.DUMMYFUNCTION("""COMPUTED_VALUE"""),44364.0)</f>
        <v>44364</v>
      </c>
      <c r="F366" s="58"/>
      <c r="G366" s="60">
        <f>IFERROR(__xludf.DUMMYFUNCTION("""COMPUTED_VALUE"""),63.63333333333334)</f>
        <v>63.63333333</v>
      </c>
      <c r="H366" s="63">
        <f>IFERROR(__xludf.DUMMYFUNCTION("""COMPUTED_VALUE"""),44091.0)</f>
        <v>44091</v>
      </c>
      <c r="I366" s="60">
        <f>IFERROR(__xludf.DUMMYFUNCTION("""COMPUTED_VALUE"""),0.75)</f>
        <v>0.75</v>
      </c>
      <c r="J366" s="64">
        <f>IFERROR(__xludf.DUMMYFUNCTION("""COMPUTED_VALUE"""),73.0)</f>
        <v>73</v>
      </c>
      <c r="K366" s="64">
        <f>IFERROR(__xludf.DUMMYFUNCTION("""COMPUTED_VALUE"""),29.5)</f>
        <v>29.5</v>
      </c>
      <c r="L366" s="55" t="str">
        <f>IFERROR(__xludf.DUMMYFUNCTION("""COMPUTED_VALUE"""),"RPG")</f>
        <v>RPG</v>
      </c>
      <c r="M366" s="55"/>
      <c r="N366" s="55" t="str">
        <f>IFERROR(__xludf.DUMMYFUNCTION("""COMPUTED_VALUE"""),"Joined console and cloud 10/6/22, left game preview 9/23/21, joined xbox one 4/20/23")</f>
        <v>Joined console and cloud 10/6/22, left game preview 9/23/21, joined xbox one 4/20/23</v>
      </c>
      <c r="O366" s="55" t="str">
        <f>IFERROR(__xludf.DUMMYFUNCTION("""COMPUTED_VALUE"""),"T")</f>
        <v>T</v>
      </c>
      <c r="P366" s="55" t="str">
        <f>IFERROR(__xludf.DUMMYFUNCTION("""COMPUTED_VALUE"""),"Use of Alcohol, Blood, Suggestive Themes, Mild Language, Violence")</f>
        <v>Use of Alcohol, Blood, Suggestive Themes, Mild Language, Violence</v>
      </c>
      <c r="Q366" s="55"/>
      <c r="R366" s="56" t="str">
        <f>IFERROR(__xludf.DUMMYFUNCTION("""COMPUTED_VALUE"""),"Active")</f>
        <v>Active</v>
      </c>
      <c r="S366" s="57">
        <f>IFERROR(__xludf.DUMMYFUNCTION("""COMPUTED_VALUE"""),45547.0)</f>
        <v>45547</v>
      </c>
      <c r="T366" s="60">
        <f>IFERROR(__xludf.DUMMYFUNCTION("""COMPUTED_VALUE"""),38.833333333333336)</f>
        <v>38.83333333</v>
      </c>
    </row>
    <row r="367">
      <c r="A367" s="55" t="str">
        <f>IFERROR(__xludf.DUMMYFUNCTION("""COMPUTED_VALUE"""),"Dishonored: Death of the Outsider")</f>
        <v>Dishonored: Death of the Outsider</v>
      </c>
      <c r="B367" s="55" t="str">
        <f>IFERROR(__xludf.DUMMYFUNCTION("""COMPUTED_VALUE"""),"Xbox / PC")</f>
        <v>Xbox / PC</v>
      </c>
      <c r="C367" s="55" t="str">
        <f>IFERROR(__xludf.DUMMYFUNCTION("""COMPUTED_VALUE"""),"Yes")</f>
        <v>Yes</v>
      </c>
      <c r="D367" s="56" t="str">
        <f>IFERROR(__xludf.DUMMYFUNCTION("""COMPUTED_VALUE"""),"Active")</f>
        <v>Active</v>
      </c>
      <c r="E367" s="57">
        <f>IFERROR(__xludf.DUMMYFUNCTION("""COMPUTED_VALUE"""),44360.0)</f>
        <v>44360</v>
      </c>
      <c r="F367" s="58"/>
      <c r="G367" s="60">
        <f>IFERROR(__xludf.DUMMYFUNCTION("""COMPUTED_VALUE"""),63.766666666666666)</f>
        <v>63.76666667</v>
      </c>
      <c r="H367" s="63">
        <f>IFERROR(__xludf.DUMMYFUNCTION("""COMPUTED_VALUE"""),42993.0)</f>
        <v>42993</v>
      </c>
      <c r="I367" s="60">
        <f>IFERROR(__xludf.DUMMYFUNCTION("""COMPUTED_VALUE"""),3.7444444444444445)</f>
        <v>3.744444444</v>
      </c>
      <c r="J367" s="64">
        <f>IFERROR(__xludf.DUMMYFUNCTION("""COMPUTED_VALUE"""),82.5)</f>
        <v>82.5</v>
      </c>
      <c r="K367" s="64">
        <f>IFERROR(__xludf.DUMMYFUNCTION("""COMPUTED_VALUE"""),6.5)</f>
        <v>6.5</v>
      </c>
      <c r="L367" s="55" t="str">
        <f>IFERROR(__xludf.DUMMYFUNCTION("""COMPUTED_VALUE"""),"Action-Adventure")</f>
        <v>Action-Adventure</v>
      </c>
      <c r="M367" s="55" t="str">
        <f>IFERROR(__xludf.DUMMYFUNCTION("""COMPUTED_VALUE"""),"FPS Boost")</f>
        <v>FPS Boost</v>
      </c>
      <c r="N367" s="55"/>
      <c r="O367" s="55" t="str">
        <f>IFERROR(__xludf.DUMMYFUNCTION("""COMPUTED_VALUE"""),"M")</f>
        <v>M</v>
      </c>
      <c r="P367" s="55" t="str">
        <f>IFERROR(__xludf.DUMMYFUNCTION("""COMPUTED_VALUE"""),"Blood and Gore, Strong Language, Intense Violence")</f>
        <v>Blood and Gore, Strong Language, Intense Violence</v>
      </c>
      <c r="Q367" s="55"/>
      <c r="R367" s="56" t="str">
        <f>IFERROR(__xludf.DUMMYFUNCTION("""COMPUTED_VALUE"""),"Active")</f>
        <v>Active</v>
      </c>
      <c r="S367" s="57">
        <f>IFERROR(__xludf.DUMMYFUNCTION("""COMPUTED_VALUE"""),45547.0)</f>
        <v>45547</v>
      </c>
      <c r="T367" s="60">
        <f>IFERROR(__xludf.DUMMYFUNCTION("""COMPUTED_VALUE"""),38.96666666666667)</f>
        <v>38.96666667</v>
      </c>
    </row>
    <row r="368">
      <c r="A368" s="55" t="str">
        <f>IFERROR(__xludf.DUMMYFUNCTION("""COMPUTED_VALUE"""),"The Evil Within 2")</f>
        <v>The Evil Within 2</v>
      </c>
      <c r="B368" s="55" t="str">
        <f>IFERROR(__xludf.DUMMYFUNCTION("""COMPUTED_VALUE"""),"Xbox / PC")</f>
        <v>Xbox / PC</v>
      </c>
      <c r="C368" s="55" t="str">
        <f>IFERROR(__xludf.DUMMYFUNCTION("""COMPUTED_VALUE"""),"Yes")</f>
        <v>Yes</v>
      </c>
      <c r="D368" s="56" t="str">
        <f>IFERROR(__xludf.DUMMYFUNCTION("""COMPUTED_VALUE"""),"Active")</f>
        <v>Active</v>
      </c>
      <c r="E368" s="57">
        <f>IFERROR(__xludf.DUMMYFUNCTION("""COMPUTED_VALUE"""),44360.0)</f>
        <v>44360</v>
      </c>
      <c r="F368" s="58"/>
      <c r="G368" s="60">
        <f>IFERROR(__xludf.DUMMYFUNCTION("""COMPUTED_VALUE"""),63.766666666666666)</f>
        <v>63.76666667</v>
      </c>
      <c r="H368" s="63">
        <f>IFERROR(__xludf.DUMMYFUNCTION("""COMPUTED_VALUE"""),43021.0)</f>
        <v>43021</v>
      </c>
      <c r="I368" s="60">
        <f>IFERROR(__xludf.DUMMYFUNCTION("""COMPUTED_VALUE"""),3.6666666666666665)</f>
        <v>3.666666667</v>
      </c>
      <c r="J368" s="64">
        <f>IFERROR(__xludf.DUMMYFUNCTION("""COMPUTED_VALUE"""),81.0)</f>
        <v>81</v>
      </c>
      <c r="K368" s="64">
        <f>IFERROR(__xludf.DUMMYFUNCTION("""COMPUTED_VALUE"""),13.5)</f>
        <v>13.5</v>
      </c>
      <c r="L368" s="55" t="str">
        <f>IFERROR(__xludf.DUMMYFUNCTION("""COMPUTED_VALUE"""),"Shooter")</f>
        <v>Shooter</v>
      </c>
      <c r="M368" s="55" t="str">
        <f>IFERROR(__xludf.DUMMYFUNCTION("""COMPUTED_VALUE"""),"FPS Boost")</f>
        <v>FPS Boost</v>
      </c>
      <c r="N368" s="55"/>
      <c r="O368" s="55" t="str">
        <f>IFERROR(__xludf.DUMMYFUNCTION("""COMPUTED_VALUE"""),"M")</f>
        <v>M</v>
      </c>
      <c r="P368" s="55" t="str">
        <f>IFERROR(__xludf.DUMMYFUNCTION("""COMPUTED_VALUE"""),"Blood and Gore, Partial Nudity, Strong Language, Intense Violence")</f>
        <v>Blood and Gore, Partial Nudity, Strong Language, Intense Violence</v>
      </c>
      <c r="Q368" s="55"/>
      <c r="R368" s="56" t="str">
        <f>IFERROR(__xludf.DUMMYFUNCTION("""COMPUTED_VALUE"""),"Active")</f>
        <v>Active</v>
      </c>
      <c r="S368" s="57">
        <f>IFERROR(__xludf.DUMMYFUNCTION("""COMPUTED_VALUE"""),45547.0)</f>
        <v>45547</v>
      </c>
      <c r="T368" s="60">
        <f>IFERROR(__xludf.DUMMYFUNCTION("""COMPUTED_VALUE"""),38.96666666666667)</f>
        <v>38.96666667</v>
      </c>
    </row>
    <row r="369">
      <c r="A369" s="55" t="str">
        <f>IFERROR(__xludf.DUMMYFUNCTION("""COMPUTED_VALUE"""),"For Honor: Marching Fire Edition")</f>
        <v>For Honor: Marching Fire Edition</v>
      </c>
      <c r="B369" s="55" t="str">
        <f>IFERROR(__xludf.DUMMYFUNCTION("""COMPUTED_VALUE"""),"Xbox / PC")</f>
        <v>Xbox / PC</v>
      </c>
      <c r="C369" s="55" t="str">
        <f>IFERROR(__xludf.DUMMYFUNCTION("""COMPUTED_VALUE"""),"Yes")</f>
        <v>Yes</v>
      </c>
      <c r="D369" s="56" t="str">
        <f>IFERROR(__xludf.DUMMYFUNCTION("""COMPUTED_VALUE"""),"Active")</f>
        <v>Active</v>
      </c>
      <c r="E369" s="57">
        <f>IFERROR(__xludf.DUMMYFUNCTION("""COMPUTED_VALUE"""),44350.0)</f>
        <v>44350</v>
      </c>
      <c r="F369" s="58"/>
      <c r="G369" s="60">
        <f>IFERROR(__xludf.DUMMYFUNCTION("""COMPUTED_VALUE"""),64.1)</f>
        <v>64.1</v>
      </c>
      <c r="H369" s="63">
        <f>IFERROR(__xludf.DUMMYFUNCTION("""COMPUTED_VALUE"""),43083.0)</f>
        <v>43083</v>
      </c>
      <c r="I369" s="60">
        <f>IFERROR(__xludf.DUMMYFUNCTION("""COMPUTED_VALUE"""),3.4694444444444446)</f>
        <v>3.469444444</v>
      </c>
      <c r="J369" s="64">
        <f>IFERROR(__xludf.DUMMYFUNCTION("""COMPUTED_VALUE"""),77.5)</f>
        <v>77.5</v>
      </c>
      <c r="K369" s="64">
        <f>IFERROR(__xludf.DUMMYFUNCTION("""COMPUTED_VALUE"""),7.0)</f>
        <v>7</v>
      </c>
      <c r="L369" s="55" t="str">
        <f>IFERROR(__xludf.DUMMYFUNCTION("""COMPUTED_VALUE"""),"Action")</f>
        <v>Action</v>
      </c>
      <c r="M369" s="55" t="str">
        <f>IFERROR(__xludf.DUMMYFUNCTION("""COMPUTED_VALUE"""),"Optimized")</f>
        <v>Optimized</v>
      </c>
      <c r="N369" s="55" t="str">
        <f>IFERROR(__xludf.DUMMYFUNCTION("""COMPUTED_VALUE"""),"Ubisoft Connect launcher, Matching Fire Edition replaced standard version 6/1/22")</f>
        <v>Ubisoft Connect launcher, Matching Fire Edition replaced standard version 6/1/22</v>
      </c>
      <c r="O369" s="55" t="str">
        <f>IFERROR(__xludf.DUMMYFUNCTION("""COMPUTED_VALUE"""),"M")</f>
        <v>M</v>
      </c>
      <c r="P369" s="55" t="str">
        <f>IFERROR(__xludf.DUMMYFUNCTION("""COMPUTED_VALUE"""),"Blood and Gore, Intense Violence")</f>
        <v>Blood and Gore, Intense Violence</v>
      </c>
      <c r="Q369" s="55"/>
      <c r="R369" s="56" t="str">
        <f>IFERROR(__xludf.DUMMYFUNCTION("""COMPUTED_VALUE"""),"Active")</f>
        <v>Active</v>
      </c>
      <c r="S369" s="57">
        <f>IFERROR(__xludf.DUMMYFUNCTION("""COMPUTED_VALUE"""),45547.0)</f>
        <v>45547</v>
      </c>
      <c r="T369" s="60">
        <f>IFERROR(__xludf.DUMMYFUNCTION("""COMPUTED_VALUE"""),39.3)</f>
        <v>39.3</v>
      </c>
    </row>
    <row r="370">
      <c r="A370" s="55" t="str">
        <f>IFERROR(__xludf.DUMMYFUNCTION("""COMPUTED_VALUE"""),"SnowRunner")</f>
        <v>SnowRunner</v>
      </c>
      <c r="B370" s="55" t="str">
        <f>IFERROR(__xludf.DUMMYFUNCTION("""COMPUTED_VALUE"""),"Xbox / PC")</f>
        <v>Xbox / PC</v>
      </c>
      <c r="C370" s="55" t="str">
        <f>IFERROR(__xludf.DUMMYFUNCTION("""COMPUTED_VALUE"""),"Yes")</f>
        <v>Yes</v>
      </c>
      <c r="D370" s="56" t="str">
        <f>IFERROR(__xludf.DUMMYFUNCTION("""COMPUTED_VALUE"""),"Active")</f>
        <v>Active</v>
      </c>
      <c r="E370" s="57">
        <f>IFERROR(__xludf.DUMMYFUNCTION("""COMPUTED_VALUE"""),44334.0)</f>
        <v>44334</v>
      </c>
      <c r="F370" s="58"/>
      <c r="G370" s="60">
        <f>IFERROR(__xludf.DUMMYFUNCTION("""COMPUTED_VALUE"""),64.60000000000001)</f>
        <v>64.6</v>
      </c>
      <c r="H370" s="63">
        <f>IFERROR(__xludf.DUMMYFUNCTION("""COMPUTED_VALUE"""),43949.0)</f>
        <v>43949</v>
      </c>
      <c r="I370" s="60">
        <f>IFERROR(__xludf.DUMMYFUNCTION("""COMPUTED_VALUE"""),1.0555555555555556)</f>
        <v>1.055555556</v>
      </c>
      <c r="J370" s="64">
        <f>IFERROR(__xludf.DUMMYFUNCTION("""COMPUTED_VALUE"""),81.0)</f>
        <v>81</v>
      </c>
      <c r="K370" s="64">
        <f>IFERROR(__xludf.DUMMYFUNCTION("""COMPUTED_VALUE"""),90.0)</f>
        <v>90</v>
      </c>
      <c r="L370" s="55" t="str">
        <f>IFERROR(__xludf.DUMMYFUNCTION("""COMPUTED_VALUE"""),"Racing")</f>
        <v>Racing</v>
      </c>
      <c r="M370" s="55"/>
      <c r="N370" s="55"/>
      <c r="O370" s="55" t="str">
        <f>IFERROR(__xludf.DUMMYFUNCTION("""COMPUTED_VALUE"""),"E")</f>
        <v>E</v>
      </c>
      <c r="P370" s="55"/>
      <c r="Q370" s="55"/>
      <c r="R370" s="56" t="str">
        <f>IFERROR(__xludf.DUMMYFUNCTION("""COMPUTED_VALUE"""),"Active")</f>
        <v>Active</v>
      </c>
      <c r="S370" s="57">
        <f>IFERROR(__xludf.DUMMYFUNCTION("""COMPUTED_VALUE"""),45547.0)</f>
        <v>45547</v>
      </c>
      <c r="T370" s="60">
        <f>IFERROR(__xludf.DUMMYFUNCTION("""COMPUTED_VALUE"""),39.800000000000004)</f>
        <v>39.8</v>
      </c>
    </row>
    <row r="371">
      <c r="A371" s="55" t="str">
        <f>IFERROR(__xludf.DUMMYFUNCTION("""COMPUTED_VALUE"""),"Psychonauts")</f>
        <v>Psychonauts</v>
      </c>
      <c r="B371" s="55" t="str">
        <f>IFERROR(__xludf.DUMMYFUNCTION("""COMPUTED_VALUE"""),"Xbox / PC")</f>
        <v>Xbox / PC</v>
      </c>
      <c r="C371" s="55" t="str">
        <f>IFERROR(__xludf.DUMMYFUNCTION("""COMPUTED_VALUE"""),"Touch Controls")</f>
        <v>Touch Controls</v>
      </c>
      <c r="D371" s="56" t="str">
        <f>IFERROR(__xludf.DUMMYFUNCTION("""COMPUTED_VALUE"""),"Active")</f>
        <v>Active</v>
      </c>
      <c r="E371" s="57">
        <f>IFERROR(__xludf.DUMMYFUNCTION("""COMPUTED_VALUE"""),44329.0)</f>
        <v>44329</v>
      </c>
      <c r="F371" s="58"/>
      <c r="G371" s="60">
        <f>IFERROR(__xludf.DUMMYFUNCTION("""COMPUTED_VALUE"""),64.76666666666667)</f>
        <v>64.76666667</v>
      </c>
      <c r="H371" s="63">
        <f>IFERROR(__xludf.DUMMYFUNCTION("""COMPUTED_VALUE"""),38461.0)</f>
        <v>38461</v>
      </c>
      <c r="I371" s="60">
        <f>IFERROR(__xludf.DUMMYFUNCTION("""COMPUTED_VALUE"""),16.066666666666666)</f>
        <v>16.06666667</v>
      </c>
      <c r="J371" s="64">
        <f>IFERROR(__xludf.DUMMYFUNCTION("""COMPUTED_VALUE"""),87.5)</f>
        <v>87.5</v>
      </c>
      <c r="K371" s="64">
        <f>IFERROR(__xludf.DUMMYFUNCTION("""COMPUTED_VALUE"""),12.5)</f>
        <v>12.5</v>
      </c>
      <c r="L371" s="55" t="str">
        <f>IFERROR(__xludf.DUMMYFUNCTION("""COMPUTED_VALUE"""),"Platformer")</f>
        <v>Platformer</v>
      </c>
      <c r="M371" s="55"/>
      <c r="N371" s="55" t="str">
        <f>IFERROR(__xludf.DUMMYFUNCTION("""COMPUTED_VALUE"""),"Official PC Mod Support")</f>
        <v>Official PC Mod Support</v>
      </c>
      <c r="O371" s="55" t="str">
        <f>IFERROR(__xludf.DUMMYFUNCTION("""COMPUTED_VALUE"""),"T")</f>
        <v>T</v>
      </c>
      <c r="P371" s="55" t="str">
        <f>IFERROR(__xludf.DUMMYFUNCTION("""COMPUTED_VALUE"""),"Crude Humor, Language, Cartoon Violence")</f>
        <v>Crude Humor, Language, Cartoon Violence</v>
      </c>
      <c r="Q371" s="55" t="str">
        <f>IFERROR(__xludf.DUMMYFUNCTION("""COMPUTED_VALUE"""),"OG Xbox")</f>
        <v>OG Xbox</v>
      </c>
      <c r="R371" s="56" t="str">
        <f>IFERROR(__xludf.DUMMYFUNCTION("""COMPUTED_VALUE"""),"Active")</f>
        <v>Active</v>
      </c>
      <c r="S371" s="57">
        <f>IFERROR(__xludf.DUMMYFUNCTION("""COMPUTED_VALUE"""),45547.0)</f>
        <v>45547</v>
      </c>
      <c r="T371" s="60">
        <f>IFERROR(__xludf.DUMMYFUNCTION("""COMPUTED_VALUE"""),39.96666666666667)</f>
        <v>39.96666667</v>
      </c>
    </row>
    <row r="372">
      <c r="A372" s="55" t="str">
        <f>IFERROR(__xludf.DUMMYFUNCTION("""COMPUTED_VALUE"""),"Zombie Army 4: Dead War")</f>
        <v>Zombie Army 4: Dead War</v>
      </c>
      <c r="B372" s="55" t="str">
        <f>IFERROR(__xludf.DUMMYFUNCTION("""COMPUTED_VALUE"""),"Xbox / PC")</f>
        <v>Xbox / PC</v>
      </c>
      <c r="C372" s="55" t="str">
        <f>IFERROR(__xludf.DUMMYFUNCTION("""COMPUTED_VALUE"""),"M+KB")</f>
        <v>M+KB</v>
      </c>
      <c r="D372" s="56" t="str">
        <f>IFERROR(__xludf.DUMMYFUNCTION("""COMPUTED_VALUE"""),"Active")</f>
        <v>Active</v>
      </c>
      <c r="E372" s="57">
        <f>IFERROR(__xludf.DUMMYFUNCTION("""COMPUTED_VALUE"""),44294.0)</f>
        <v>44294</v>
      </c>
      <c r="F372" s="58"/>
      <c r="G372" s="60">
        <f>IFERROR(__xludf.DUMMYFUNCTION("""COMPUTED_VALUE"""),65.93333333333334)</f>
        <v>65.93333333</v>
      </c>
      <c r="H372" s="63">
        <f>IFERROR(__xludf.DUMMYFUNCTION("""COMPUTED_VALUE"""),43865.0)</f>
        <v>43865</v>
      </c>
      <c r="I372" s="60">
        <f>IFERROR(__xludf.DUMMYFUNCTION("""COMPUTED_VALUE"""),1.1777777777777778)</f>
        <v>1.177777778</v>
      </c>
      <c r="J372" s="64">
        <f>IFERROR(__xludf.DUMMYFUNCTION("""COMPUTED_VALUE"""),75.5)</f>
        <v>75.5</v>
      </c>
      <c r="K372" s="64">
        <f>IFERROR(__xludf.DUMMYFUNCTION("""COMPUTED_VALUE"""),11.5)</f>
        <v>11.5</v>
      </c>
      <c r="L372" s="55" t="str">
        <f>IFERROR(__xludf.DUMMYFUNCTION("""COMPUTED_VALUE"""),"Shooter")</f>
        <v>Shooter</v>
      </c>
      <c r="M372" s="55" t="str">
        <f>IFERROR(__xludf.DUMMYFUNCTION("""COMPUTED_VALUE"""),"Optimized")</f>
        <v>Optimized</v>
      </c>
      <c r="N372" s="55"/>
      <c r="O372" s="55" t="str">
        <f>IFERROR(__xludf.DUMMYFUNCTION("""COMPUTED_VALUE"""),"M")</f>
        <v>M</v>
      </c>
      <c r="P372" s="55" t="str">
        <f>IFERROR(__xludf.DUMMYFUNCTION("""COMPUTED_VALUE"""),"Blood and Gore, Language, Intense Violence")</f>
        <v>Blood and Gore, Language, Intense Violence</v>
      </c>
      <c r="Q372" s="55"/>
      <c r="R372" s="56" t="str">
        <f>IFERROR(__xludf.DUMMYFUNCTION("""COMPUTED_VALUE"""),"Active")</f>
        <v>Active</v>
      </c>
      <c r="S372" s="57">
        <f>IFERROR(__xludf.DUMMYFUNCTION("""COMPUTED_VALUE"""),45547.0)</f>
        <v>45547</v>
      </c>
      <c r="T372" s="60">
        <f>IFERROR(__xludf.DUMMYFUNCTION("""COMPUTED_VALUE"""),41.13333333333333)</f>
        <v>41.13333333</v>
      </c>
    </row>
    <row r="373">
      <c r="A373" s="55" t="str">
        <f>IFERROR(__xludf.DUMMYFUNCTION("""COMPUTED_VALUE"""),"Genesis Noir")</f>
        <v>Genesis Noir</v>
      </c>
      <c r="B373" s="55" t="str">
        <f>IFERROR(__xludf.DUMMYFUNCTION("""COMPUTED_VALUE"""),"Xbox / PC")</f>
        <v>Xbox / PC</v>
      </c>
      <c r="C373" s="55" t="str">
        <f>IFERROR(__xludf.DUMMYFUNCTION("""COMPUTED_VALUE"""),"Touch Controls")</f>
        <v>Touch Controls</v>
      </c>
      <c r="D373" s="56" t="str">
        <f>IFERROR(__xludf.DUMMYFUNCTION("""COMPUTED_VALUE"""),"Active")</f>
        <v>Active</v>
      </c>
      <c r="E373" s="57">
        <f>IFERROR(__xludf.DUMMYFUNCTION("""COMPUTED_VALUE"""),44280.0)</f>
        <v>44280</v>
      </c>
      <c r="F373" s="58"/>
      <c r="G373" s="60">
        <f>IFERROR(__xludf.DUMMYFUNCTION("""COMPUTED_VALUE"""),66.36666666666667)</f>
        <v>66.36666667</v>
      </c>
      <c r="H373" s="63">
        <f>IFERROR(__xludf.DUMMYFUNCTION("""COMPUTED_VALUE"""),44280.0)</f>
        <v>44280</v>
      </c>
      <c r="I373" s="60">
        <f>IFERROR(__xludf.DUMMYFUNCTION("""COMPUTED_VALUE"""),0.0)</f>
        <v>0</v>
      </c>
      <c r="J373" s="64">
        <f>IFERROR(__xludf.DUMMYFUNCTION("""COMPUTED_VALUE"""),79.0)</f>
        <v>79</v>
      </c>
      <c r="K373" s="64">
        <f>IFERROR(__xludf.DUMMYFUNCTION("""COMPUTED_VALUE"""),4.5)</f>
        <v>4.5</v>
      </c>
      <c r="L373" s="55" t="str">
        <f>IFERROR(__xludf.DUMMYFUNCTION("""COMPUTED_VALUE"""),"Adventure")</f>
        <v>Adventure</v>
      </c>
      <c r="M373" s="55"/>
      <c r="N373" s="55"/>
      <c r="O373" s="55" t="str">
        <f>IFERROR(__xludf.DUMMYFUNCTION("""COMPUTED_VALUE"""),"T")</f>
        <v>T</v>
      </c>
      <c r="P373" s="55" t="str">
        <f>IFERROR(__xludf.DUMMYFUNCTION("""COMPUTED_VALUE"""),"Mild Blood, Mild Violence, Sexual Themes, Use of Alcohol And Tobacco")</f>
        <v>Mild Blood, Mild Violence, Sexual Themes, Use of Alcohol And Tobacco</v>
      </c>
      <c r="Q373" s="55"/>
      <c r="R373" s="56" t="str">
        <f>IFERROR(__xludf.DUMMYFUNCTION("""COMPUTED_VALUE"""),"Active")</f>
        <v>Active</v>
      </c>
      <c r="S373" s="57">
        <f>IFERROR(__xludf.DUMMYFUNCTION("""COMPUTED_VALUE"""),45547.0)</f>
        <v>45547</v>
      </c>
      <c r="T373" s="60">
        <f>IFERROR(__xludf.DUMMYFUNCTION("""COMPUTED_VALUE"""),41.56666666666667)</f>
        <v>41.56666667</v>
      </c>
    </row>
    <row r="374">
      <c r="A374" s="55" t="str">
        <f>IFERROR(__xludf.DUMMYFUNCTION("""COMPUTED_VALUE"""),"Star Wars Squadrons")</f>
        <v>Star Wars Squadrons</v>
      </c>
      <c r="B374" s="55" t="str">
        <f>IFERROR(__xludf.DUMMYFUNCTION("""COMPUTED_VALUE"""),"Xbox / PC")</f>
        <v>Xbox / PC</v>
      </c>
      <c r="C374" s="55" t="str">
        <f>IFERROR(__xludf.DUMMYFUNCTION("""COMPUTED_VALUE"""),"Touch Controls")</f>
        <v>Touch Controls</v>
      </c>
      <c r="D374" s="56" t="str">
        <f>IFERROR(__xludf.DUMMYFUNCTION("""COMPUTED_VALUE"""),"Active")</f>
        <v>Active</v>
      </c>
      <c r="E374" s="57">
        <f>IFERROR(__xludf.DUMMYFUNCTION("""COMPUTED_VALUE"""),44273.0)</f>
        <v>44273</v>
      </c>
      <c r="F374" s="58"/>
      <c r="G374" s="60">
        <f>IFERROR(__xludf.DUMMYFUNCTION("""COMPUTED_VALUE"""),66.6)</f>
        <v>66.6</v>
      </c>
      <c r="H374" s="63">
        <f>IFERROR(__xludf.DUMMYFUNCTION("""COMPUTED_VALUE"""),44106.0)</f>
        <v>44106</v>
      </c>
      <c r="I374" s="60">
        <f>IFERROR(__xludf.DUMMYFUNCTION("""COMPUTED_VALUE"""),0.46111111111111114)</f>
        <v>0.4611111111</v>
      </c>
      <c r="J374" s="64">
        <f>IFERROR(__xludf.DUMMYFUNCTION("""COMPUTED_VALUE"""),78.5)</f>
        <v>78.5</v>
      </c>
      <c r="K374" s="64">
        <f>IFERROR(__xludf.DUMMYFUNCTION("""COMPUTED_VALUE"""),9.0)</f>
        <v>9</v>
      </c>
      <c r="L374" s="55" t="str">
        <f>IFERROR(__xludf.DUMMYFUNCTION("""COMPUTED_VALUE"""),"Flight")</f>
        <v>Flight</v>
      </c>
      <c r="M374" s="55" t="str">
        <f>IFERROR(__xludf.DUMMYFUNCTION("""COMPUTED_VALUE"""),"Optimized")</f>
        <v>Optimized</v>
      </c>
      <c r="N374" s="55" t="str">
        <f>IFERROR(__xludf.DUMMYFUNCTION("""COMPUTED_VALUE"""),"Added to cloud 4/7/22")</f>
        <v>Added to cloud 4/7/22</v>
      </c>
      <c r="O374" s="55" t="str">
        <f>IFERROR(__xludf.DUMMYFUNCTION("""COMPUTED_VALUE"""),"T")</f>
        <v>T</v>
      </c>
      <c r="P374" s="55" t="str">
        <f>IFERROR(__xludf.DUMMYFUNCTION("""COMPUTED_VALUE"""),"Fantasy Violence, Mild Language")</f>
        <v>Fantasy Violence, Mild Language</v>
      </c>
      <c r="Q374" s="55"/>
      <c r="R374" s="56" t="str">
        <f>IFERROR(__xludf.DUMMYFUNCTION("""COMPUTED_VALUE"""),"Active")</f>
        <v>Active</v>
      </c>
      <c r="S374" s="57">
        <f>IFERROR(__xludf.DUMMYFUNCTION("""COMPUTED_VALUE"""),45547.0)</f>
        <v>45547</v>
      </c>
      <c r="T374" s="60">
        <f>IFERROR(__xludf.DUMMYFUNCTION("""COMPUTED_VALUE"""),41.8)</f>
        <v>41.8</v>
      </c>
    </row>
    <row r="375">
      <c r="A375" s="55" t="str">
        <f>IFERROR(__xludf.DUMMYFUNCTION("""COMPUTED_VALUE"""),"Dishonored: Definitive Edition")</f>
        <v>Dishonored: Definitive Edition</v>
      </c>
      <c r="B375" s="55" t="str">
        <f>IFERROR(__xludf.DUMMYFUNCTION("""COMPUTED_VALUE"""),"Xbox / PC")</f>
        <v>Xbox / PC</v>
      </c>
      <c r="C375" s="55" t="str">
        <f>IFERROR(__xludf.DUMMYFUNCTION("""COMPUTED_VALUE"""),"Yes")</f>
        <v>Yes</v>
      </c>
      <c r="D375" s="56" t="str">
        <f>IFERROR(__xludf.DUMMYFUNCTION("""COMPUTED_VALUE"""),"Active")</f>
        <v>Active</v>
      </c>
      <c r="E375" s="57">
        <f>IFERROR(__xludf.DUMMYFUNCTION("""COMPUTED_VALUE"""),44267.0)</f>
        <v>44267</v>
      </c>
      <c r="F375" s="58"/>
      <c r="G375" s="60">
        <f>IFERROR(__xludf.DUMMYFUNCTION("""COMPUTED_VALUE"""),66.8)</f>
        <v>66.8</v>
      </c>
      <c r="H375" s="63">
        <f>IFERROR(__xludf.DUMMYFUNCTION("""COMPUTED_VALUE"""),43337.0)</f>
        <v>43337</v>
      </c>
      <c r="I375" s="60">
        <f>IFERROR(__xludf.DUMMYFUNCTION("""COMPUTED_VALUE"""),2.547222222222222)</f>
        <v>2.547222222</v>
      </c>
      <c r="J375" s="64">
        <f>IFERROR(__xludf.DUMMYFUNCTION("""COMPUTED_VALUE"""),76.0)</f>
        <v>76</v>
      </c>
      <c r="K375" s="64">
        <f>IFERROR(__xludf.DUMMYFUNCTION("""COMPUTED_VALUE"""),12.5)</f>
        <v>12.5</v>
      </c>
      <c r="L375" s="55" t="str">
        <f>IFERROR(__xludf.DUMMYFUNCTION("""COMPUTED_VALUE"""),"Shooter")</f>
        <v>Shooter</v>
      </c>
      <c r="M375" s="55" t="str">
        <f>IFERROR(__xludf.DUMMYFUNCTION("""COMPUTED_VALUE"""),"FPS Boost")</f>
        <v>FPS Boost</v>
      </c>
      <c r="N375" s="55"/>
      <c r="O375" s="55" t="str">
        <f>IFERROR(__xludf.DUMMYFUNCTION("""COMPUTED_VALUE"""),"M")</f>
        <v>M</v>
      </c>
      <c r="P375" s="55" t="str">
        <f>IFERROR(__xludf.DUMMYFUNCTION("""COMPUTED_VALUE"""),"Blood and Gore, Sexual Themes, Strong Language, Intense Violence")</f>
        <v>Blood and Gore, Sexual Themes, Strong Language, Intense Violence</v>
      </c>
      <c r="Q375" s="55"/>
      <c r="R375" s="56" t="str">
        <f>IFERROR(__xludf.DUMMYFUNCTION("""COMPUTED_VALUE"""),"Active")</f>
        <v>Active</v>
      </c>
      <c r="S375" s="57">
        <f>IFERROR(__xludf.DUMMYFUNCTION("""COMPUTED_VALUE"""),45547.0)</f>
        <v>45547</v>
      </c>
      <c r="T375" s="60">
        <f>IFERROR(__xludf.DUMMYFUNCTION("""COMPUTED_VALUE"""),42.0)</f>
        <v>42</v>
      </c>
    </row>
    <row r="376">
      <c r="A376" s="55" t="str">
        <f>IFERROR(__xludf.DUMMYFUNCTION("""COMPUTED_VALUE"""),"DOOM 3")</f>
        <v>DOOM 3</v>
      </c>
      <c r="B376" s="55" t="str">
        <f>IFERROR(__xludf.DUMMYFUNCTION("""COMPUTED_VALUE"""),"Xbox / PC")</f>
        <v>Xbox / PC</v>
      </c>
      <c r="C376" s="55" t="str">
        <f>IFERROR(__xludf.DUMMYFUNCTION("""COMPUTED_VALUE"""),"Yes")</f>
        <v>Yes</v>
      </c>
      <c r="D376" s="56" t="str">
        <f>IFERROR(__xludf.DUMMYFUNCTION("""COMPUTED_VALUE"""),"Active")</f>
        <v>Active</v>
      </c>
      <c r="E376" s="57">
        <f>IFERROR(__xludf.DUMMYFUNCTION("""COMPUTED_VALUE"""),44267.0)</f>
        <v>44267</v>
      </c>
      <c r="F376" s="58"/>
      <c r="G376" s="60">
        <f>IFERROR(__xludf.DUMMYFUNCTION("""COMPUTED_VALUE"""),66.8)</f>
        <v>66.8</v>
      </c>
      <c r="H376" s="63">
        <f>IFERROR(__xludf.DUMMYFUNCTION("""COMPUTED_VALUE"""),38202.0)</f>
        <v>38202</v>
      </c>
      <c r="I376" s="60">
        <f>IFERROR(__xludf.DUMMYFUNCTION("""COMPUTED_VALUE"""),16.608333333333334)</f>
        <v>16.60833333</v>
      </c>
      <c r="J376" s="64">
        <f>IFERROR(__xludf.DUMMYFUNCTION("""COMPUTED_VALUE"""),88.0)</f>
        <v>88</v>
      </c>
      <c r="K376" s="64">
        <f>IFERROR(__xludf.DUMMYFUNCTION("""COMPUTED_VALUE"""),11.0)</f>
        <v>11</v>
      </c>
      <c r="L376" s="55" t="str">
        <f>IFERROR(__xludf.DUMMYFUNCTION("""COMPUTED_VALUE"""),"Shooter")</f>
        <v>Shooter</v>
      </c>
      <c r="M376" s="55"/>
      <c r="N376" s="55"/>
      <c r="O376" s="55" t="str">
        <f>IFERROR(__xludf.DUMMYFUNCTION("""COMPUTED_VALUE"""),"M")</f>
        <v>M</v>
      </c>
      <c r="P376" s="55" t="str">
        <f>IFERROR(__xludf.DUMMYFUNCTION("""COMPUTED_VALUE"""),"Intense Violence, Blood and Gore")</f>
        <v>Intense Violence, Blood and Gore</v>
      </c>
      <c r="Q376" s="55"/>
      <c r="R376" s="56" t="str">
        <f>IFERROR(__xludf.DUMMYFUNCTION("""COMPUTED_VALUE"""),"Active")</f>
        <v>Active</v>
      </c>
      <c r="S376" s="57">
        <f>IFERROR(__xludf.DUMMYFUNCTION("""COMPUTED_VALUE"""),45547.0)</f>
        <v>45547</v>
      </c>
      <c r="T376" s="60">
        <f>IFERROR(__xludf.DUMMYFUNCTION("""COMPUTED_VALUE"""),42.0)</f>
        <v>42</v>
      </c>
    </row>
    <row r="377">
      <c r="A377" s="55" t="str">
        <f>IFERROR(__xludf.DUMMYFUNCTION("""COMPUTED_VALUE"""),"DOOM 64")</f>
        <v>DOOM 64</v>
      </c>
      <c r="B377" s="55" t="str">
        <f>IFERROR(__xludf.DUMMYFUNCTION("""COMPUTED_VALUE"""),"Xbox / PC")</f>
        <v>Xbox / PC</v>
      </c>
      <c r="C377" s="55" t="str">
        <f>IFERROR(__xludf.DUMMYFUNCTION("""COMPUTED_VALUE"""),"M+KB")</f>
        <v>M+KB</v>
      </c>
      <c r="D377" s="56" t="str">
        <f>IFERROR(__xludf.DUMMYFUNCTION("""COMPUTED_VALUE"""),"Active")</f>
        <v>Active</v>
      </c>
      <c r="E377" s="57">
        <f>IFERROR(__xludf.DUMMYFUNCTION("""COMPUTED_VALUE"""),44267.0)</f>
        <v>44267</v>
      </c>
      <c r="F377" s="58"/>
      <c r="G377" s="60">
        <f>IFERROR(__xludf.DUMMYFUNCTION("""COMPUTED_VALUE"""),66.8)</f>
        <v>66.8</v>
      </c>
      <c r="H377" s="63">
        <f>IFERROR(__xludf.DUMMYFUNCTION("""COMPUTED_VALUE"""),35520.0)</f>
        <v>35520</v>
      </c>
      <c r="I377" s="60">
        <f>IFERROR(__xludf.DUMMYFUNCTION("""COMPUTED_VALUE"""),23.95)</f>
        <v>23.95</v>
      </c>
      <c r="J377" s="64">
        <f>IFERROR(__xludf.DUMMYFUNCTION("""COMPUTED_VALUE"""),77.0)</f>
        <v>77</v>
      </c>
      <c r="K377" s="64">
        <f>IFERROR(__xludf.DUMMYFUNCTION("""COMPUTED_VALUE"""),7.0)</f>
        <v>7</v>
      </c>
      <c r="L377" s="55" t="str">
        <f>IFERROR(__xludf.DUMMYFUNCTION("""COMPUTED_VALUE"""),"Shooter")</f>
        <v>Shooter</v>
      </c>
      <c r="M377" s="55"/>
      <c r="N377" s="55"/>
      <c r="O377" s="55" t="str">
        <f>IFERROR(__xludf.DUMMYFUNCTION("""COMPUTED_VALUE"""),"M")</f>
        <v>M</v>
      </c>
      <c r="P377" s="55" t="str">
        <f>IFERROR(__xludf.DUMMYFUNCTION("""COMPUTED_VALUE"""),"Violence, Blood and Gore")</f>
        <v>Violence, Blood and Gore</v>
      </c>
      <c r="Q377" s="55"/>
      <c r="R377" s="56" t="str">
        <f>IFERROR(__xludf.DUMMYFUNCTION("""COMPUTED_VALUE"""),"Active")</f>
        <v>Active</v>
      </c>
      <c r="S377" s="57">
        <f>IFERROR(__xludf.DUMMYFUNCTION("""COMPUTED_VALUE"""),45547.0)</f>
        <v>45547</v>
      </c>
      <c r="T377" s="60">
        <f>IFERROR(__xludf.DUMMYFUNCTION("""COMPUTED_VALUE"""),42.0)</f>
        <v>42</v>
      </c>
    </row>
    <row r="378">
      <c r="A378" s="55" t="str">
        <f>IFERROR(__xludf.DUMMYFUNCTION("""COMPUTED_VALUE"""),"Generation Zero")</f>
        <v>Generation Zero</v>
      </c>
      <c r="B378" s="55" t="str">
        <f>IFERROR(__xludf.DUMMYFUNCTION("""COMPUTED_VALUE"""),"Xbox / PC")</f>
        <v>Xbox / PC</v>
      </c>
      <c r="C378" s="55" t="str">
        <f>IFERROR(__xludf.DUMMYFUNCTION("""COMPUTED_VALUE"""),"Yes")</f>
        <v>Yes</v>
      </c>
      <c r="D378" s="56" t="str">
        <f>IFERROR(__xludf.DUMMYFUNCTION("""COMPUTED_VALUE"""),"Active")</f>
        <v>Active</v>
      </c>
      <c r="E378" s="57">
        <f>IFERROR(__xludf.DUMMYFUNCTION("""COMPUTED_VALUE"""),44531.0)</f>
        <v>44531</v>
      </c>
      <c r="F378" s="58"/>
      <c r="G378" s="60">
        <f>IFERROR(__xludf.DUMMYFUNCTION("""COMPUTED_VALUE"""),58.16666666666667)</f>
        <v>58.16666667</v>
      </c>
      <c r="H378" s="63">
        <f>IFERROR(__xludf.DUMMYFUNCTION("""COMPUTED_VALUE"""),43550.0)</f>
        <v>43550</v>
      </c>
      <c r="I378" s="60">
        <f>IFERROR(__xludf.DUMMYFUNCTION("""COMPUTED_VALUE"""),2.6805555555555554)</f>
        <v>2.680555556</v>
      </c>
      <c r="J378" s="64">
        <f>IFERROR(__xludf.DUMMYFUNCTION("""COMPUTED_VALUE"""),50.5)</f>
        <v>50.5</v>
      </c>
      <c r="K378" s="64">
        <f>IFERROR(__xludf.DUMMYFUNCTION("""COMPUTED_VALUE"""),21.5)</f>
        <v>21.5</v>
      </c>
      <c r="L378" s="55" t="str">
        <f>IFERROR(__xludf.DUMMYFUNCTION("""COMPUTED_VALUE"""),"Shooter")</f>
        <v>Shooter</v>
      </c>
      <c r="M378" s="55"/>
      <c r="N378" s="55"/>
      <c r="O378" s="55" t="str">
        <f>IFERROR(__xludf.DUMMYFUNCTION("""COMPUTED_VALUE"""),"T")</f>
        <v>T</v>
      </c>
      <c r="P378" s="55" t="str">
        <f>IFERROR(__xludf.DUMMYFUNCTION("""COMPUTED_VALUE"""),"Violence, Language")</f>
        <v>Violence, Language</v>
      </c>
      <c r="Q378" s="55"/>
      <c r="R378" s="56" t="str">
        <f>IFERROR(__xludf.DUMMYFUNCTION("""COMPUTED_VALUE"""),"Active")</f>
        <v>Active</v>
      </c>
      <c r="S378" s="57">
        <f>IFERROR(__xludf.DUMMYFUNCTION("""COMPUTED_VALUE"""),45547.0)</f>
        <v>45547</v>
      </c>
      <c r="T378" s="60">
        <f>IFERROR(__xludf.DUMMYFUNCTION("""COMPUTED_VALUE"""),33.36666666666667)</f>
        <v>33.36666667</v>
      </c>
    </row>
    <row r="379">
      <c r="A379" s="55" t="str">
        <f>IFERROR(__xludf.DUMMYFUNCTION("""COMPUTED_VALUE"""),"The Elder Scrolls III: Morrowind")</f>
        <v>The Elder Scrolls III: Morrowind</v>
      </c>
      <c r="B379" s="55" t="str">
        <f>IFERROR(__xludf.DUMMYFUNCTION("""COMPUTED_VALUE"""),"Xbox / PC")</f>
        <v>Xbox / PC</v>
      </c>
      <c r="C379" s="55" t="str">
        <f>IFERROR(__xludf.DUMMYFUNCTION("""COMPUTED_VALUE"""),"Yes")</f>
        <v>Yes</v>
      </c>
      <c r="D379" s="56" t="str">
        <f>IFERROR(__xludf.DUMMYFUNCTION("""COMPUTED_VALUE"""),"Active")</f>
        <v>Active</v>
      </c>
      <c r="E379" s="57">
        <f>IFERROR(__xludf.DUMMYFUNCTION("""COMPUTED_VALUE"""),44267.0)</f>
        <v>44267</v>
      </c>
      <c r="F379" s="58"/>
      <c r="G379" s="60">
        <f>IFERROR(__xludf.DUMMYFUNCTION("""COMPUTED_VALUE"""),66.8)</f>
        <v>66.8</v>
      </c>
      <c r="H379" s="63">
        <f>IFERROR(__xludf.DUMMYFUNCTION("""COMPUTED_VALUE"""),37377.0)</f>
        <v>37377</v>
      </c>
      <c r="I379" s="60">
        <f>IFERROR(__xludf.DUMMYFUNCTION("""COMPUTED_VALUE"""),18.863888888888887)</f>
        <v>18.86388889</v>
      </c>
      <c r="J379" s="64">
        <f>IFERROR(__xludf.DUMMYFUNCTION("""COMPUTED_VALUE"""),88.0)</f>
        <v>88</v>
      </c>
      <c r="K379" s="64">
        <f>IFERROR(__xludf.DUMMYFUNCTION("""COMPUTED_VALUE"""),44.5)</f>
        <v>44.5</v>
      </c>
      <c r="L379" s="55" t="str">
        <f>IFERROR(__xludf.DUMMYFUNCTION("""COMPUTED_VALUE"""),"RPG")</f>
        <v>RPG</v>
      </c>
      <c r="M379" s="55"/>
      <c r="N379" s="55" t="str">
        <f>IFERROR(__xludf.DUMMYFUNCTION("""COMPUTED_VALUE"""),"Official PC Mod Support")</f>
        <v>Official PC Mod Support</v>
      </c>
      <c r="O379" s="55" t="str">
        <f>IFERROR(__xludf.DUMMYFUNCTION("""COMPUTED_VALUE"""),"T")</f>
        <v>T</v>
      </c>
      <c r="P379" s="55" t="str">
        <f>IFERROR(__xludf.DUMMYFUNCTION("""COMPUTED_VALUE"""),"Violence")</f>
        <v>Violence</v>
      </c>
      <c r="Q379" s="55" t="str">
        <f>IFERROR(__xludf.DUMMYFUNCTION("""COMPUTED_VALUE"""),"OG Xbox")</f>
        <v>OG Xbox</v>
      </c>
      <c r="R379" s="56" t="str">
        <f>IFERROR(__xludf.DUMMYFUNCTION("""COMPUTED_VALUE"""),"Active")</f>
        <v>Active</v>
      </c>
      <c r="S379" s="57">
        <f>IFERROR(__xludf.DUMMYFUNCTION("""COMPUTED_VALUE"""),45547.0)</f>
        <v>45547</v>
      </c>
      <c r="T379" s="60">
        <f>IFERROR(__xludf.DUMMYFUNCTION("""COMPUTED_VALUE"""),42.0)</f>
        <v>42</v>
      </c>
    </row>
    <row r="380">
      <c r="A380" s="55" t="str">
        <f>IFERROR(__xludf.DUMMYFUNCTION("""COMPUTED_VALUE"""),"The Evil Within")</f>
        <v>The Evil Within</v>
      </c>
      <c r="B380" s="55" t="str">
        <f>IFERROR(__xludf.DUMMYFUNCTION("""COMPUTED_VALUE"""),"Xbox / PC")</f>
        <v>Xbox / PC</v>
      </c>
      <c r="C380" s="55" t="str">
        <f>IFERROR(__xludf.DUMMYFUNCTION("""COMPUTED_VALUE"""),"Yes")</f>
        <v>Yes</v>
      </c>
      <c r="D380" s="56" t="str">
        <f>IFERROR(__xludf.DUMMYFUNCTION("""COMPUTED_VALUE"""),"Active")</f>
        <v>Active</v>
      </c>
      <c r="E380" s="57">
        <f>IFERROR(__xludf.DUMMYFUNCTION("""COMPUTED_VALUE"""),44267.0)</f>
        <v>44267</v>
      </c>
      <c r="F380" s="58"/>
      <c r="G380" s="60">
        <f>IFERROR(__xludf.DUMMYFUNCTION("""COMPUTED_VALUE"""),66.8)</f>
        <v>66.8</v>
      </c>
      <c r="H380" s="63">
        <f>IFERROR(__xludf.DUMMYFUNCTION("""COMPUTED_VALUE"""),41926.0)</f>
        <v>41926</v>
      </c>
      <c r="I380" s="60">
        <f>IFERROR(__xludf.DUMMYFUNCTION("""COMPUTED_VALUE"""),6.411111111111111)</f>
        <v>6.411111111</v>
      </c>
      <c r="J380" s="64">
        <f>IFERROR(__xludf.DUMMYFUNCTION("""COMPUTED_VALUE"""),73.5)</f>
        <v>73.5</v>
      </c>
      <c r="K380" s="64">
        <f>IFERROR(__xludf.DUMMYFUNCTION("""COMPUTED_VALUE"""),16.0)</f>
        <v>16</v>
      </c>
      <c r="L380" s="55" t="str">
        <f>IFERROR(__xludf.DUMMYFUNCTION("""COMPUTED_VALUE"""),"Shooter")</f>
        <v>Shooter</v>
      </c>
      <c r="M380" s="55"/>
      <c r="N380" s="55"/>
      <c r="O380" s="55" t="str">
        <f>IFERROR(__xludf.DUMMYFUNCTION("""COMPUTED_VALUE"""),"M")</f>
        <v>M</v>
      </c>
      <c r="P380" s="55" t="str">
        <f>IFERROR(__xludf.DUMMYFUNCTION("""COMPUTED_VALUE"""),"Blood and Gore, Strong Language, Intense Violence")</f>
        <v>Blood and Gore, Strong Language, Intense Violence</v>
      </c>
      <c r="Q380" s="55"/>
      <c r="R380" s="56" t="str">
        <f>IFERROR(__xludf.DUMMYFUNCTION("""COMPUTED_VALUE"""),"Active")</f>
        <v>Active</v>
      </c>
      <c r="S380" s="57">
        <f>IFERROR(__xludf.DUMMYFUNCTION("""COMPUTED_VALUE"""),45547.0)</f>
        <v>45547</v>
      </c>
      <c r="T380" s="60">
        <f>IFERROR(__xludf.DUMMYFUNCTION("""COMPUTED_VALUE"""),42.0)</f>
        <v>42</v>
      </c>
    </row>
    <row r="381">
      <c r="A381" s="55" t="str">
        <f>IFERROR(__xludf.DUMMYFUNCTION("""COMPUTED_VALUE"""),"Wolfenstein: The Old Blood")</f>
        <v>Wolfenstein: The Old Blood</v>
      </c>
      <c r="B381" s="55" t="str">
        <f>IFERROR(__xludf.DUMMYFUNCTION("""COMPUTED_VALUE"""),"Xbox / PC")</f>
        <v>Xbox / PC</v>
      </c>
      <c r="C381" s="55" t="str">
        <f>IFERROR(__xludf.DUMMYFUNCTION("""COMPUTED_VALUE"""),"Yes")</f>
        <v>Yes</v>
      </c>
      <c r="D381" s="56" t="str">
        <f>IFERROR(__xludf.DUMMYFUNCTION("""COMPUTED_VALUE"""),"Active")</f>
        <v>Active</v>
      </c>
      <c r="E381" s="57">
        <f>IFERROR(__xludf.DUMMYFUNCTION("""COMPUTED_VALUE"""),44267.0)</f>
        <v>44267</v>
      </c>
      <c r="F381" s="58"/>
      <c r="G381" s="60">
        <f>IFERROR(__xludf.DUMMYFUNCTION("""COMPUTED_VALUE"""),66.8)</f>
        <v>66.8</v>
      </c>
      <c r="H381" s="63">
        <f>IFERROR(__xludf.DUMMYFUNCTION("""COMPUTED_VALUE"""),42129.0)</f>
        <v>42129</v>
      </c>
      <c r="I381" s="60">
        <f>IFERROR(__xludf.DUMMYFUNCTION("""COMPUTED_VALUE"""),5.852777777777778)</f>
        <v>5.852777778</v>
      </c>
      <c r="J381" s="64">
        <f>IFERROR(__xludf.DUMMYFUNCTION("""COMPUTED_VALUE"""),75.5)</f>
        <v>75.5</v>
      </c>
      <c r="K381" s="64">
        <f>IFERROR(__xludf.DUMMYFUNCTION("""COMPUTED_VALUE"""),6.0)</f>
        <v>6</v>
      </c>
      <c r="L381" s="55" t="str">
        <f>IFERROR(__xludf.DUMMYFUNCTION("""COMPUTED_VALUE"""),"Shooter")</f>
        <v>Shooter</v>
      </c>
      <c r="M381" s="55"/>
      <c r="N381" s="55"/>
      <c r="O381" s="55" t="str">
        <f>IFERROR(__xludf.DUMMYFUNCTION("""COMPUTED_VALUE"""),"M")</f>
        <v>M</v>
      </c>
      <c r="P381" s="55" t="str">
        <f>IFERROR(__xludf.DUMMYFUNCTION("""COMPUTED_VALUE"""),"Blood and Gore, Intense Violence, Strong Language")</f>
        <v>Blood and Gore, Intense Violence, Strong Language</v>
      </c>
      <c r="Q381" s="55"/>
      <c r="R381" s="56" t="str">
        <f>IFERROR(__xludf.DUMMYFUNCTION("""COMPUTED_VALUE"""),"Active")</f>
        <v>Active</v>
      </c>
      <c r="S381" s="57">
        <f>IFERROR(__xludf.DUMMYFUNCTION("""COMPUTED_VALUE"""),45547.0)</f>
        <v>45547</v>
      </c>
      <c r="T381" s="60">
        <f>IFERROR(__xludf.DUMMYFUNCTION("""COMPUTED_VALUE"""),42.0)</f>
        <v>42</v>
      </c>
    </row>
    <row r="382">
      <c r="A382" s="55" t="str">
        <f>IFERROR(__xludf.DUMMYFUNCTION("""COMPUTED_VALUE"""),"DiRT 5")</f>
        <v>DiRT 5</v>
      </c>
      <c r="B382" s="55" t="str">
        <f>IFERROR(__xludf.DUMMYFUNCTION("""COMPUTED_VALUE"""),"Xbox / PC")</f>
        <v>Xbox / PC</v>
      </c>
      <c r="C382" s="55" t="str">
        <f>IFERROR(__xludf.DUMMYFUNCTION("""COMPUTED_VALUE"""),"Touch Controls")</f>
        <v>Touch Controls</v>
      </c>
      <c r="D382" s="56" t="str">
        <f>IFERROR(__xludf.DUMMYFUNCTION("""COMPUTED_VALUE"""),"Active")</f>
        <v>Active</v>
      </c>
      <c r="E382" s="57">
        <f>IFERROR(__xludf.DUMMYFUNCTION("""COMPUTED_VALUE"""),44252.0)</f>
        <v>44252</v>
      </c>
      <c r="F382" s="58"/>
      <c r="G382" s="60">
        <f>IFERROR(__xludf.DUMMYFUNCTION("""COMPUTED_VALUE"""),67.36666666666667)</f>
        <v>67.36666667</v>
      </c>
      <c r="H382" s="63">
        <f>IFERROR(__xludf.DUMMYFUNCTION("""COMPUTED_VALUE"""),44120.0)</f>
        <v>44120</v>
      </c>
      <c r="I382" s="60">
        <f>IFERROR(__xludf.DUMMYFUNCTION("""COMPUTED_VALUE"""),0.35833333333333334)</f>
        <v>0.3583333333</v>
      </c>
      <c r="J382" s="64">
        <f>IFERROR(__xludf.DUMMYFUNCTION("""COMPUTED_VALUE"""),79.33333333333333)</f>
        <v>79.33333333</v>
      </c>
      <c r="K382" s="64">
        <f>IFERROR(__xludf.DUMMYFUNCTION("""COMPUTED_VALUE"""),8.0)</f>
        <v>8</v>
      </c>
      <c r="L382" s="55" t="str">
        <f>IFERROR(__xludf.DUMMYFUNCTION("""COMPUTED_VALUE"""),"Racing")</f>
        <v>Racing</v>
      </c>
      <c r="M382" s="55" t="str">
        <f>IFERROR(__xludf.DUMMYFUNCTION("""COMPUTED_VALUE"""),"Optimized")</f>
        <v>Optimized</v>
      </c>
      <c r="N382" s="55" t="str">
        <f>IFERROR(__xludf.DUMMYFUNCTION("""COMPUTED_VALUE"""),"Joined EA Play 8/10/21")</f>
        <v>Joined EA Play 8/10/21</v>
      </c>
      <c r="O382" s="55" t="str">
        <f>IFERROR(__xludf.DUMMYFUNCTION("""COMPUTED_VALUE"""),"E")</f>
        <v>E</v>
      </c>
      <c r="P382" s="55"/>
      <c r="Q382" s="55"/>
      <c r="R382" s="56" t="str">
        <f>IFERROR(__xludf.DUMMYFUNCTION("""COMPUTED_VALUE"""),"Active")</f>
        <v>Active</v>
      </c>
      <c r="S382" s="57">
        <f>IFERROR(__xludf.DUMMYFUNCTION("""COMPUTED_VALUE"""),45547.0)</f>
        <v>45547</v>
      </c>
      <c r="T382" s="60">
        <f>IFERROR(__xludf.DUMMYFUNCTION("""COMPUTED_VALUE"""),42.56666666666666)</f>
        <v>42.56666667</v>
      </c>
    </row>
    <row r="383">
      <c r="A383" s="55" t="str">
        <f>IFERROR(__xludf.DUMMYFUNCTION("""COMPUTED_VALUE"""),"Pillars of Eternity II: Deadfire - Ultimate Edition")</f>
        <v>Pillars of Eternity II: Deadfire - Ultimate Edition</v>
      </c>
      <c r="B383" s="55" t="str">
        <f>IFERROR(__xludf.DUMMYFUNCTION("""COMPUTED_VALUE"""),"Xbox / PC")</f>
        <v>Xbox / PC</v>
      </c>
      <c r="C383" s="55" t="str">
        <f>IFERROR(__xludf.DUMMYFUNCTION("""COMPUTED_VALUE"""),"Touch Controls")</f>
        <v>Touch Controls</v>
      </c>
      <c r="D383" s="56" t="str">
        <f>IFERROR(__xludf.DUMMYFUNCTION("""COMPUTED_VALUE"""),"Active")</f>
        <v>Active</v>
      </c>
      <c r="E383" s="57">
        <f>IFERROR(__xludf.DUMMYFUNCTION("""COMPUTED_VALUE"""),44245.0)</f>
        <v>44245</v>
      </c>
      <c r="F383" s="58"/>
      <c r="G383" s="60">
        <f>IFERROR(__xludf.DUMMYFUNCTION("""COMPUTED_VALUE"""),67.60000000000001)</f>
        <v>67.6</v>
      </c>
      <c r="H383" s="63">
        <f>IFERROR(__xludf.DUMMYFUNCTION("""COMPUTED_VALUE"""),43228.0)</f>
        <v>43228</v>
      </c>
      <c r="I383" s="60">
        <f>IFERROR(__xludf.DUMMYFUNCTION("""COMPUTED_VALUE"""),2.7777777777777777)</f>
        <v>2.777777778</v>
      </c>
      <c r="J383" s="64">
        <f>IFERROR(__xludf.DUMMYFUNCTION("""COMPUTED_VALUE"""),88.0)</f>
        <v>88</v>
      </c>
      <c r="K383" s="64">
        <f>IFERROR(__xludf.DUMMYFUNCTION("""COMPUTED_VALUE"""),42.0)</f>
        <v>42</v>
      </c>
      <c r="L383" s="55" t="str">
        <f>IFERROR(__xludf.DUMMYFUNCTION("""COMPUTED_VALUE"""),"RPG")</f>
        <v>RPG</v>
      </c>
      <c r="M383" s="55"/>
      <c r="N383" s="55" t="str">
        <f>IFERROR(__xludf.DUMMYFUNCTION("""COMPUTED_VALUE"""),"Official PC Mod Support")</f>
        <v>Official PC Mod Support</v>
      </c>
      <c r="O383" s="55" t="str">
        <f>IFERROR(__xludf.DUMMYFUNCTION("""COMPUTED_VALUE"""),"M")</f>
        <v>M</v>
      </c>
      <c r="P383" s="55" t="str">
        <f>IFERROR(__xludf.DUMMYFUNCTION("""COMPUTED_VALUE"""),"Nudity, Blood and Gore, Sexual Themes, Strong Language, Violence")</f>
        <v>Nudity, Blood and Gore, Sexual Themes, Strong Language, Violence</v>
      </c>
      <c r="Q383" s="55"/>
      <c r="R383" s="56" t="str">
        <f>IFERROR(__xludf.DUMMYFUNCTION("""COMPUTED_VALUE"""),"Active")</f>
        <v>Active</v>
      </c>
      <c r="S383" s="57">
        <f>IFERROR(__xludf.DUMMYFUNCTION("""COMPUTED_VALUE"""),45547.0)</f>
        <v>45547</v>
      </c>
      <c r="T383" s="60">
        <f>IFERROR(__xludf.DUMMYFUNCTION("""COMPUTED_VALUE"""),42.800000000000004)</f>
        <v>42.8</v>
      </c>
    </row>
    <row r="384">
      <c r="A384" s="55" t="str">
        <f>IFERROR(__xludf.DUMMYFUNCTION("""COMPUTED_VALUE"""),"Wreckfest")</f>
        <v>Wreckfest</v>
      </c>
      <c r="B384" s="55" t="str">
        <f>IFERROR(__xludf.DUMMYFUNCTION("""COMPUTED_VALUE"""),"Xbox / PC")</f>
        <v>Xbox / PC</v>
      </c>
      <c r="C384" s="55" t="str">
        <f>IFERROR(__xludf.DUMMYFUNCTION("""COMPUTED_VALUE"""),"Touch Controls")</f>
        <v>Touch Controls</v>
      </c>
      <c r="D384" s="56" t="str">
        <f>IFERROR(__xludf.DUMMYFUNCTION("""COMPUTED_VALUE"""),"Active")</f>
        <v>Active</v>
      </c>
      <c r="E384" s="57">
        <f>IFERROR(__xludf.DUMMYFUNCTION("""COMPUTED_VALUE"""),44245.0)</f>
        <v>44245</v>
      </c>
      <c r="F384" s="58"/>
      <c r="G384" s="60">
        <f>IFERROR(__xludf.DUMMYFUNCTION("""COMPUTED_VALUE"""),67.60000000000001)</f>
        <v>67.6</v>
      </c>
      <c r="H384" s="63">
        <f>IFERROR(__xludf.DUMMYFUNCTION("""COMPUTED_VALUE"""),43265.0)</f>
        <v>43265</v>
      </c>
      <c r="I384" s="60">
        <f>IFERROR(__xludf.DUMMYFUNCTION("""COMPUTED_VALUE"""),2.6777777777777776)</f>
        <v>2.677777778</v>
      </c>
      <c r="J384" s="64">
        <f>IFERROR(__xludf.DUMMYFUNCTION("""COMPUTED_VALUE"""),82.0)</f>
        <v>82</v>
      </c>
      <c r="K384" s="64">
        <f>IFERROR(__xludf.DUMMYFUNCTION("""COMPUTED_VALUE"""),19.5)</f>
        <v>19.5</v>
      </c>
      <c r="L384" s="55" t="str">
        <f>IFERROR(__xludf.DUMMYFUNCTION("""COMPUTED_VALUE"""),"Racing")</f>
        <v>Racing</v>
      </c>
      <c r="M384" s="55"/>
      <c r="N384" s="55" t="str">
        <f>IFERROR(__xludf.DUMMYFUNCTION("""COMPUTED_VALUE"""),"Game Pass Essential (4/23/24)")</f>
        <v>Game Pass Essential (4/23/24)</v>
      </c>
      <c r="O384" s="55" t="str">
        <f>IFERROR(__xludf.DUMMYFUNCTION("""COMPUTED_VALUE"""),"T")</f>
        <v>T</v>
      </c>
      <c r="P384" s="55" t="str">
        <f>IFERROR(__xludf.DUMMYFUNCTION("""COMPUTED_VALUE"""),"Mild Violence, Mild Lyrics")</f>
        <v>Mild Violence, Mild Lyrics</v>
      </c>
      <c r="Q384" s="55"/>
      <c r="R384" s="56" t="str">
        <f>IFERROR(__xludf.DUMMYFUNCTION("""COMPUTED_VALUE"""),"Active")</f>
        <v>Active</v>
      </c>
      <c r="S384" s="57">
        <f>IFERROR(__xludf.DUMMYFUNCTION("""COMPUTED_VALUE"""),45547.0)</f>
        <v>45547</v>
      </c>
      <c r="T384" s="60">
        <f>IFERROR(__xludf.DUMMYFUNCTION("""COMPUTED_VALUE"""),42.800000000000004)</f>
        <v>42.8</v>
      </c>
    </row>
    <row r="385">
      <c r="A385" s="55" t="str">
        <f>IFERROR(__xludf.DUMMYFUNCTION("""COMPUTED_VALUE"""),"Among Us")</f>
        <v>Among Us</v>
      </c>
      <c r="B385" s="55" t="str">
        <f>IFERROR(__xludf.DUMMYFUNCTION("""COMPUTED_VALUE"""),"Xbox / PC")</f>
        <v>Xbox / PC</v>
      </c>
      <c r="C385" s="55" t="str">
        <f>IFERROR(__xludf.DUMMYFUNCTION("""COMPUTED_VALUE"""),"Touch Controls")</f>
        <v>Touch Controls</v>
      </c>
      <c r="D385" s="56" t="str">
        <f>IFERROR(__xludf.DUMMYFUNCTION("""COMPUTED_VALUE"""),"Active")</f>
        <v>Active</v>
      </c>
      <c r="E385" s="57">
        <f>IFERROR(__xludf.DUMMYFUNCTION("""COMPUTED_VALUE"""),44182.0)</f>
        <v>44182</v>
      </c>
      <c r="F385" s="58"/>
      <c r="G385" s="60">
        <f>IFERROR(__xludf.DUMMYFUNCTION("""COMPUTED_VALUE"""),69.63333333333334)</f>
        <v>69.63333333</v>
      </c>
      <c r="H385" s="63">
        <f>IFERROR(__xludf.DUMMYFUNCTION("""COMPUTED_VALUE"""),43267.0)</f>
        <v>43267</v>
      </c>
      <c r="I385" s="60">
        <f>IFERROR(__xludf.DUMMYFUNCTION("""COMPUTED_VALUE"""),2.5027777777777778)</f>
        <v>2.502777778</v>
      </c>
      <c r="J385" s="64">
        <f>IFERROR(__xludf.DUMMYFUNCTION("""COMPUTED_VALUE"""),85.0)</f>
        <v>85</v>
      </c>
      <c r="K385" s="64">
        <f>IFERROR(__xludf.DUMMYFUNCTION("""COMPUTED_VALUE"""),14.0)</f>
        <v>14</v>
      </c>
      <c r="L385" s="55" t="str">
        <f>IFERROR(__xludf.DUMMYFUNCTION("""COMPUTED_VALUE"""),"Strategy")</f>
        <v>Strategy</v>
      </c>
      <c r="M385" s="55"/>
      <c r="N385" s="55" t="str">
        <f>IFERROR(__xludf.DUMMYFUNCTION("""COMPUTED_VALUE"""),"Game Pass Essential launch title (9/14/23), Joined console and cloud 12/14/21")</f>
        <v>Game Pass Essential launch title (9/14/23), Joined console and cloud 12/14/21</v>
      </c>
      <c r="O385" s="55" t="str">
        <f>IFERROR(__xludf.DUMMYFUNCTION("""COMPUTED_VALUE"""),"E10+")</f>
        <v>E10+</v>
      </c>
      <c r="P385" s="55" t="str">
        <f>IFERROR(__xludf.DUMMYFUNCTION("""COMPUTED_VALUE"""),"Fantasy Violence, Mild Blood")</f>
        <v>Fantasy Violence, Mild Blood</v>
      </c>
      <c r="Q385" s="55"/>
      <c r="R385" s="56" t="str">
        <f>IFERROR(__xludf.DUMMYFUNCTION("""COMPUTED_VALUE"""),"Active")</f>
        <v>Active</v>
      </c>
      <c r="S385" s="57">
        <f>IFERROR(__xludf.DUMMYFUNCTION("""COMPUTED_VALUE"""),45547.0)</f>
        <v>45547</v>
      </c>
      <c r="T385" s="60">
        <f>IFERROR(__xludf.DUMMYFUNCTION("""COMPUTED_VALUE"""),44.833333333333336)</f>
        <v>44.83333333</v>
      </c>
    </row>
    <row r="386">
      <c r="A386" s="55" t="str">
        <f>IFERROR(__xludf.DUMMYFUNCTION("""COMPUTED_VALUE"""),"The Elder Scrolls V: Skyrim Special Edition")</f>
        <v>The Elder Scrolls V: Skyrim Special Edition</v>
      </c>
      <c r="B386" s="55" t="str">
        <f>IFERROR(__xludf.DUMMYFUNCTION("""COMPUTED_VALUE"""),"Xbox / PC")</f>
        <v>Xbox / PC</v>
      </c>
      <c r="C386" s="55" t="str">
        <f>IFERROR(__xludf.DUMMYFUNCTION("""COMPUTED_VALUE"""),"Yes")</f>
        <v>Yes</v>
      </c>
      <c r="D386" s="56" t="str">
        <f>IFERROR(__xludf.DUMMYFUNCTION("""COMPUTED_VALUE"""),"Active")</f>
        <v>Active</v>
      </c>
      <c r="E386" s="57">
        <f>IFERROR(__xludf.DUMMYFUNCTION("""COMPUTED_VALUE"""),44180.0)</f>
        <v>44180</v>
      </c>
      <c r="F386" s="58"/>
      <c r="G386" s="60">
        <f>IFERROR(__xludf.DUMMYFUNCTION("""COMPUTED_VALUE"""),69.7)</f>
        <v>69.7</v>
      </c>
      <c r="H386" s="63">
        <f>IFERROR(__xludf.DUMMYFUNCTION("""COMPUTED_VALUE"""),42671.0)</f>
        <v>42671</v>
      </c>
      <c r="I386" s="60">
        <f>IFERROR(__xludf.DUMMYFUNCTION("""COMPUTED_VALUE"""),4.1305555555555555)</f>
        <v>4.130555556</v>
      </c>
      <c r="J386" s="64">
        <f>IFERROR(__xludf.DUMMYFUNCTION("""COMPUTED_VALUE"""),82.0)</f>
        <v>82</v>
      </c>
      <c r="K386" s="64">
        <f>IFERROR(__xludf.DUMMYFUNCTION("""COMPUTED_VALUE"""),25.5)</f>
        <v>25.5</v>
      </c>
      <c r="L386" s="55" t="str">
        <f>IFERROR(__xludf.DUMMYFUNCTION("""COMPUTED_VALUE"""),"RPG")</f>
        <v>RPG</v>
      </c>
      <c r="M386" s="55" t="str">
        <f>IFERROR(__xludf.DUMMYFUNCTION("""COMPUTED_VALUE"""),"FPS Boost")</f>
        <v>FPS Boost</v>
      </c>
      <c r="N386" s="55" t="str">
        <f>IFERROR(__xludf.DUMMYFUNCTION("""COMPUTED_VALUE"""),"Official PC Mod Support")</f>
        <v>Official PC Mod Support</v>
      </c>
      <c r="O386" s="55" t="str">
        <f>IFERROR(__xludf.DUMMYFUNCTION("""COMPUTED_VALUE"""),"M")</f>
        <v>M</v>
      </c>
      <c r="P386" s="55" t="str">
        <f>IFERROR(__xludf.DUMMYFUNCTION("""COMPUTED_VALUE"""),"Use of Alcohol, Blood and Gore, Sexual Themes, Language, Intense Violence")</f>
        <v>Use of Alcohol, Blood and Gore, Sexual Themes, Language, Intense Violence</v>
      </c>
      <c r="Q386" s="55"/>
      <c r="R386" s="56" t="str">
        <f>IFERROR(__xludf.DUMMYFUNCTION("""COMPUTED_VALUE"""),"Active")</f>
        <v>Active</v>
      </c>
      <c r="S386" s="57">
        <f>IFERROR(__xludf.DUMMYFUNCTION("""COMPUTED_VALUE"""),45547.0)</f>
        <v>45547</v>
      </c>
      <c r="T386" s="60">
        <f>IFERROR(__xludf.DUMMYFUNCTION("""COMPUTED_VALUE"""),44.9)</f>
        <v>44.9</v>
      </c>
    </row>
    <row r="387">
      <c r="A387" s="55" t="str">
        <f>IFERROR(__xludf.DUMMYFUNCTION("""COMPUTED_VALUE"""),"Monster Sanctuary")</f>
        <v>Monster Sanctuary</v>
      </c>
      <c r="B387" s="55" t="str">
        <f>IFERROR(__xludf.DUMMYFUNCTION("""COMPUTED_VALUE"""),"Xbox / PC")</f>
        <v>Xbox / PC</v>
      </c>
      <c r="C387" s="55" t="str">
        <f>IFERROR(__xludf.DUMMYFUNCTION("""COMPUTED_VALUE"""),"Touch Controls")</f>
        <v>Touch Controls</v>
      </c>
      <c r="D387" s="56" t="str">
        <f>IFERROR(__xludf.DUMMYFUNCTION("""COMPUTED_VALUE"""),"Active")</f>
        <v>Active</v>
      </c>
      <c r="E387" s="57">
        <f>IFERROR(__xludf.DUMMYFUNCTION("""COMPUTED_VALUE"""),44173.0)</f>
        <v>44173</v>
      </c>
      <c r="F387" s="58"/>
      <c r="G387" s="60">
        <f>IFERROR(__xludf.DUMMYFUNCTION("""COMPUTED_VALUE"""),69.93333333333334)</f>
        <v>69.93333333</v>
      </c>
      <c r="H387" s="63">
        <f>IFERROR(__xludf.DUMMYFUNCTION("""COMPUTED_VALUE"""),43705.0)</f>
        <v>43705</v>
      </c>
      <c r="I387" s="60">
        <f>IFERROR(__xludf.DUMMYFUNCTION("""COMPUTED_VALUE"""),1.2777777777777777)</f>
        <v>1.277777778</v>
      </c>
      <c r="J387" s="64">
        <f>IFERROR(__xludf.DUMMYFUNCTION("""COMPUTED_VALUE"""),82.0)</f>
        <v>82</v>
      </c>
      <c r="K387" s="64">
        <f>IFERROR(__xludf.DUMMYFUNCTION("""COMPUTED_VALUE"""),27.0)</f>
        <v>27</v>
      </c>
      <c r="L387" s="55" t="str">
        <f>IFERROR(__xludf.DUMMYFUNCTION("""COMPUTED_VALUE"""),"Platformer")</f>
        <v>Platformer</v>
      </c>
      <c r="M387" s="55"/>
      <c r="N387" s="55" t="str">
        <f>IFERROR(__xludf.DUMMYFUNCTION("""COMPUTED_VALUE"""),"Game Pass Essential (3/26/25)")</f>
        <v>Game Pass Essential (3/26/25)</v>
      </c>
      <c r="O387" s="55" t="str">
        <f>IFERROR(__xludf.DUMMYFUNCTION("""COMPUTED_VALUE"""),"E10+")</f>
        <v>E10+</v>
      </c>
      <c r="P387" s="55" t="str">
        <f>IFERROR(__xludf.DUMMYFUNCTION("""COMPUTED_VALUE"""),"Fantasy Violence, Mild Blood, Tobacco Reference")</f>
        <v>Fantasy Violence, Mild Blood, Tobacco Reference</v>
      </c>
      <c r="Q387" s="55"/>
      <c r="R387" s="56" t="str">
        <f>IFERROR(__xludf.DUMMYFUNCTION("""COMPUTED_VALUE"""),"Active")</f>
        <v>Active</v>
      </c>
      <c r="S387" s="57">
        <f>IFERROR(__xludf.DUMMYFUNCTION("""COMPUTED_VALUE"""),45547.0)</f>
        <v>45547</v>
      </c>
      <c r="T387" s="60">
        <f>IFERROR(__xludf.DUMMYFUNCTION("""COMPUTED_VALUE"""),45.13333333333333)</f>
        <v>45.13333333</v>
      </c>
    </row>
    <row r="388">
      <c r="A388" s="55" t="str">
        <f>IFERROR(__xludf.DUMMYFUNCTION("""COMPUTED_VALUE"""),"NHL 94 Rewind")</f>
        <v>NHL 94 Rewind</v>
      </c>
      <c r="B388" s="55" t="str">
        <f>IFERROR(__xludf.DUMMYFUNCTION("""COMPUTED_VALUE"""),"Xbox")</f>
        <v>Xbox</v>
      </c>
      <c r="C388" s="55"/>
      <c r="D388" s="56" t="str">
        <f>IFERROR(__xludf.DUMMYFUNCTION("""COMPUTED_VALUE"""),"Active")</f>
        <v>Active</v>
      </c>
      <c r="E388" s="57">
        <f>IFERROR(__xludf.DUMMYFUNCTION("""COMPUTED_VALUE"""),44168.0)</f>
        <v>44168</v>
      </c>
      <c r="F388" s="58"/>
      <c r="G388" s="60">
        <f>IFERROR(__xludf.DUMMYFUNCTION("""COMPUTED_VALUE"""),70.1)</f>
        <v>70.1</v>
      </c>
      <c r="H388" s="63">
        <f>IFERROR(__xludf.DUMMYFUNCTION("""COMPUTED_VALUE"""),44134.0)</f>
        <v>44134</v>
      </c>
      <c r="I388" s="60">
        <f>IFERROR(__xludf.DUMMYFUNCTION("""COMPUTED_VALUE"""),0.09166666666666666)</f>
        <v>0.09166666667</v>
      </c>
      <c r="J388" s="64">
        <f>IFERROR(__xludf.DUMMYFUNCTION("""COMPUTED_VALUE"""),100.0)</f>
        <v>100</v>
      </c>
      <c r="K388" s="64">
        <f>IFERROR(__xludf.DUMMYFUNCTION("""COMPUTED_VALUE"""),14.5)</f>
        <v>14.5</v>
      </c>
      <c r="L388" s="55" t="str">
        <f>IFERROR(__xludf.DUMMYFUNCTION("""COMPUTED_VALUE"""),"Sports")</f>
        <v>Sports</v>
      </c>
      <c r="M388" s="55"/>
      <c r="N388" s="55"/>
      <c r="O388" s="55" t="str">
        <f>IFERROR(__xludf.DUMMYFUNCTION("""COMPUTED_VALUE"""),"E")</f>
        <v>E</v>
      </c>
      <c r="P388" s="55"/>
      <c r="Q388" s="55"/>
      <c r="R388" s="56" t="str">
        <f>IFERROR(__xludf.DUMMYFUNCTION("""COMPUTED_VALUE"""),"Active")</f>
        <v>Active</v>
      </c>
      <c r="S388" s="57">
        <f>IFERROR(__xludf.DUMMYFUNCTION("""COMPUTED_VALUE"""),45547.0)</f>
        <v>45547</v>
      </c>
      <c r="T388" s="60">
        <f>IFERROR(__xludf.DUMMYFUNCTION("""COMPUTED_VALUE"""),45.3)</f>
        <v>45.3</v>
      </c>
    </row>
    <row r="389">
      <c r="A389" s="55" t="str">
        <f>IFERROR(__xludf.DUMMYFUNCTION("""COMPUTED_VALUE"""),"Halo 4")</f>
        <v>Halo 4</v>
      </c>
      <c r="B389" s="55" t="str">
        <f>IFERROR(__xludf.DUMMYFUNCTION("""COMPUTED_VALUE"""),"Xbox / PC")</f>
        <v>Xbox / PC</v>
      </c>
      <c r="C389" s="55"/>
      <c r="D389" s="56" t="str">
        <f>IFERROR(__xludf.DUMMYFUNCTION("""COMPUTED_VALUE"""),"Active")</f>
        <v>Active</v>
      </c>
      <c r="E389" s="57">
        <f>IFERROR(__xludf.DUMMYFUNCTION("""COMPUTED_VALUE"""),44152.0)</f>
        <v>44152</v>
      </c>
      <c r="F389" s="58"/>
      <c r="G389" s="60">
        <f>IFERROR(__xludf.DUMMYFUNCTION("""COMPUTED_VALUE"""),70.63333333333333)</f>
        <v>70.63333333</v>
      </c>
      <c r="H389" s="63">
        <f>IFERROR(__xludf.DUMMYFUNCTION("""COMPUTED_VALUE"""),41218.0)</f>
        <v>41218</v>
      </c>
      <c r="I389" s="60">
        <f>IFERROR(__xludf.DUMMYFUNCTION("""COMPUTED_VALUE"""),8.033333333333333)</f>
        <v>8.033333333</v>
      </c>
      <c r="J389" s="64">
        <f>IFERROR(__xludf.DUMMYFUNCTION("""COMPUTED_VALUE"""),87.0)</f>
        <v>87</v>
      </c>
      <c r="K389" s="64">
        <f>IFERROR(__xludf.DUMMYFUNCTION("""COMPUTED_VALUE"""),8.0)</f>
        <v>8</v>
      </c>
      <c r="L389" s="55" t="str">
        <f>IFERROR(__xludf.DUMMYFUNCTION("""COMPUTED_VALUE"""),"Shooter")</f>
        <v>Shooter</v>
      </c>
      <c r="M389" s="55"/>
      <c r="N389" s="55"/>
      <c r="O389" s="55" t="str">
        <f>IFERROR(__xludf.DUMMYFUNCTION("""COMPUTED_VALUE"""),"M")</f>
        <v>M</v>
      </c>
      <c r="P389" s="55" t="str">
        <f>IFERROR(__xludf.DUMMYFUNCTION("""COMPUTED_VALUE"""),"Blood and Gore, Violence, Language")</f>
        <v>Blood and Gore, Violence, Language</v>
      </c>
      <c r="Q389" s="55"/>
      <c r="R389" s="56" t="str">
        <f>IFERROR(__xludf.DUMMYFUNCTION("""COMPUTED_VALUE"""),"Active")</f>
        <v>Active</v>
      </c>
      <c r="S389" s="57">
        <f>IFERROR(__xludf.DUMMYFUNCTION("""COMPUTED_VALUE"""),45547.0)</f>
        <v>45547</v>
      </c>
      <c r="T389" s="60">
        <f>IFERROR(__xludf.DUMMYFUNCTION("""COMPUTED_VALUE"""),45.833333333333336)</f>
        <v>45.83333333</v>
      </c>
    </row>
    <row r="390">
      <c r="A390" s="55" t="str">
        <f>IFERROR(__xludf.DUMMYFUNCTION("""COMPUTED_VALUE"""),"A Way Out")</f>
        <v>A Way Out</v>
      </c>
      <c r="B390" s="55" t="str">
        <f>IFERROR(__xludf.DUMMYFUNCTION("""COMPUTED_VALUE"""),"Xbox / PC")</f>
        <v>Xbox / PC</v>
      </c>
      <c r="C390" s="55"/>
      <c r="D390" s="56" t="str">
        <f>IFERROR(__xludf.DUMMYFUNCTION("""COMPUTED_VALUE"""),"Active")</f>
        <v>Active</v>
      </c>
      <c r="E390" s="57">
        <f>IFERROR(__xludf.DUMMYFUNCTION("""COMPUTED_VALUE"""),44145.0)</f>
        <v>44145</v>
      </c>
      <c r="F390" s="58"/>
      <c r="G390" s="60">
        <f>IFERROR(__xludf.DUMMYFUNCTION("""COMPUTED_VALUE"""),70.86666666666667)</f>
        <v>70.86666667</v>
      </c>
      <c r="H390" s="63">
        <f>IFERROR(__xludf.DUMMYFUNCTION("""COMPUTED_VALUE"""),43182.0)</f>
        <v>43182</v>
      </c>
      <c r="I390" s="60">
        <f>IFERROR(__xludf.DUMMYFUNCTION("""COMPUTED_VALUE"""),2.6305555555555555)</f>
        <v>2.630555556</v>
      </c>
      <c r="J390" s="64">
        <f>IFERROR(__xludf.DUMMYFUNCTION("""COMPUTED_VALUE"""),79.0)</f>
        <v>79</v>
      </c>
      <c r="K390" s="64">
        <f>IFERROR(__xludf.DUMMYFUNCTION("""COMPUTED_VALUE"""),6.0)</f>
        <v>6</v>
      </c>
      <c r="L390" s="55" t="str">
        <f>IFERROR(__xludf.DUMMYFUNCTION("""COMPUTED_VALUE"""),"Action-Adventure")</f>
        <v>Action-Adventure</v>
      </c>
      <c r="M390" s="55"/>
      <c r="N390" s="55"/>
      <c r="O390" s="55" t="str">
        <f>IFERROR(__xludf.DUMMYFUNCTION("""COMPUTED_VALUE"""),"M")</f>
        <v>M</v>
      </c>
      <c r="P390" s="55" t="str">
        <f>IFERROR(__xludf.DUMMYFUNCTION("""COMPUTED_VALUE"""),"Nudity, Blood, Sexual Content, Strong Language, Intense Violence")</f>
        <v>Nudity, Blood, Sexual Content, Strong Language, Intense Violence</v>
      </c>
      <c r="Q390" s="55"/>
      <c r="R390" s="56" t="str">
        <f>IFERROR(__xludf.DUMMYFUNCTION("""COMPUTED_VALUE"""),"Active")</f>
        <v>Active</v>
      </c>
      <c r="S390" s="57">
        <f>IFERROR(__xludf.DUMMYFUNCTION("""COMPUTED_VALUE"""),45547.0)</f>
        <v>45547</v>
      </c>
      <c r="T390" s="60">
        <f>IFERROR(__xludf.DUMMYFUNCTION("""COMPUTED_VALUE"""),46.06666666666667)</f>
        <v>46.06666667</v>
      </c>
    </row>
    <row r="391">
      <c r="A391" s="55" t="str">
        <f>IFERROR(__xludf.DUMMYFUNCTION("""COMPUTED_VALUE"""),"Alice: Madness Returns")</f>
        <v>Alice: Madness Returns</v>
      </c>
      <c r="B391" s="55" t="str">
        <f>IFERROR(__xludf.DUMMYFUNCTION("""COMPUTED_VALUE"""),"Xbox / PC")</f>
        <v>Xbox / PC</v>
      </c>
      <c r="C391" s="55"/>
      <c r="D391" s="56" t="str">
        <f>IFERROR(__xludf.DUMMYFUNCTION("""COMPUTED_VALUE"""),"Active")</f>
        <v>Active</v>
      </c>
      <c r="E391" s="57">
        <f>IFERROR(__xludf.DUMMYFUNCTION("""COMPUTED_VALUE"""),44145.0)</f>
        <v>44145</v>
      </c>
      <c r="F391" s="58"/>
      <c r="G391" s="60">
        <f>IFERROR(__xludf.DUMMYFUNCTION("""COMPUTED_VALUE"""),70.86666666666667)</f>
        <v>70.86666667</v>
      </c>
      <c r="H391" s="63">
        <f>IFERROR(__xludf.DUMMYFUNCTION("""COMPUTED_VALUE"""),40708.0)</f>
        <v>40708</v>
      </c>
      <c r="I391" s="60">
        <f>IFERROR(__xludf.DUMMYFUNCTION("""COMPUTED_VALUE"""),9.405555555555555)</f>
        <v>9.405555556</v>
      </c>
      <c r="J391" s="64">
        <f>IFERROR(__xludf.DUMMYFUNCTION("""COMPUTED_VALUE"""),70.0)</f>
        <v>70</v>
      </c>
      <c r="K391" s="64">
        <f>IFERROR(__xludf.DUMMYFUNCTION("""COMPUTED_VALUE"""),14.0)</f>
        <v>14</v>
      </c>
      <c r="L391" s="55" t="str">
        <f>IFERROR(__xludf.DUMMYFUNCTION("""COMPUTED_VALUE"""),"Platformer")</f>
        <v>Platformer</v>
      </c>
      <c r="M391" s="55"/>
      <c r="N391" s="55" t="str">
        <f>IFERROR(__xludf.DUMMYFUNCTION("""COMPUTED_VALUE"""),"Joins PC 2/28/22")</f>
        <v>Joins PC 2/28/22</v>
      </c>
      <c r="O391" s="55" t="str">
        <f>IFERROR(__xludf.DUMMYFUNCTION("""COMPUTED_VALUE"""),"M")</f>
        <v>M</v>
      </c>
      <c r="P391" s="55" t="str">
        <f>IFERROR(__xludf.DUMMYFUNCTION("""COMPUTED_VALUE"""),"Blood and Gore, Sexual Themes, Strong Language, Violence")</f>
        <v>Blood and Gore, Sexual Themes, Strong Language, Violence</v>
      </c>
      <c r="Q391" s="55" t="str">
        <f>IFERROR(__xludf.DUMMYFUNCTION("""COMPUTED_VALUE"""),"Xbox 360")</f>
        <v>Xbox 360</v>
      </c>
      <c r="R391" s="56" t="str">
        <f>IFERROR(__xludf.DUMMYFUNCTION("""COMPUTED_VALUE"""),"Active")</f>
        <v>Active</v>
      </c>
      <c r="S391" s="57">
        <f>IFERROR(__xludf.DUMMYFUNCTION("""COMPUTED_VALUE"""),45547.0)</f>
        <v>45547</v>
      </c>
      <c r="T391" s="60">
        <f>IFERROR(__xludf.DUMMYFUNCTION("""COMPUTED_VALUE"""),46.06666666666667)</f>
        <v>46.06666667</v>
      </c>
    </row>
    <row r="392">
      <c r="A392" s="55" t="str">
        <f>IFERROR(__xludf.DUMMYFUNCTION("""COMPUTED_VALUE"""),"Army of Two")</f>
        <v>Army of Two</v>
      </c>
      <c r="B392" s="55" t="str">
        <f>IFERROR(__xludf.DUMMYFUNCTION("""COMPUTED_VALUE"""),"Xbox")</f>
        <v>Xbox</v>
      </c>
      <c r="C392" s="55"/>
      <c r="D392" s="56" t="str">
        <f>IFERROR(__xludf.DUMMYFUNCTION("""COMPUTED_VALUE"""),"Active")</f>
        <v>Active</v>
      </c>
      <c r="E392" s="57">
        <f>IFERROR(__xludf.DUMMYFUNCTION("""COMPUTED_VALUE"""),44145.0)</f>
        <v>44145</v>
      </c>
      <c r="F392" s="58"/>
      <c r="G392" s="60">
        <f>IFERROR(__xludf.DUMMYFUNCTION("""COMPUTED_VALUE"""),70.86666666666667)</f>
        <v>70.86666667</v>
      </c>
      <c r="H392" s="63">
        <f>IFERROR(__xludf.DUMMYFUNCTION("""COMPUTED_VALUE"""),39511.0)</f>
        <v>39511</v>
      </c>
      <c r="I392" s="60">
        <f>IFERROR(__xludf.DUMMYFUNCTION("""COMPUTED_VALUE"""),12.683333333333334)</f>
        <v>12.68333333</v>
      </c>
      <c r="J392" s="64">
        <f>IFERROR(__xludf.DUMMYFUNCTION("""COMPUTED_VALUE"""),72.0)</f>
        <v>72</v>
      </c>
      <c r="K392" s="64">
        <f>IFERROR(__xludf.DUMMYFUNCTION("""COMPUTED_VALUE"""),6.5)</f>
        <v>6.5</v>
      </c>
      <c r="L392" s="55" t="str">
        <f>IFERROR(__xludf.DUMMYFUNCTION("""COMPUTED_VALUE"""),"Shooter")</f>
        <v>Shooter</v>
      </c>
      <c r="M392" s="55"/>
      <c r="N392" s="55"/>
      <c r="O392" s="55" t="str">
        <f>IFERROR(__xludf.DUMMYFUNCTION("""COMPUTED_VALUE"""),"M")</f>
        <v>M</v>
      </c>
      <c r="P392" s="55" t="str">
        <f>IFERROR(__xludf.DUMMYFUNCTION("""COMPUTED_VALUE"""),"Blood, Strong Language, Intense Violence")</f>
        <v>Blood, Strong Language, Intense Violence</v>
      </c>
      <c r="Q392" s="55" t="str">
        <f>IFERROR(__xludf.DUMMYFUNCTION("""COMPUTED_VALUE"""),"Xbox 360")</f>
        <v>Xbox 360</v>
      </c>
      <c r="R392" s="56" t="str">
        <f>IFERROR(__xludf.DUMMYFUNCTION("""COMPUTED_VALUE"""),"Active")</f>
        <v>Active</v>
      </c>
      <c r="S392" s="57">
        <f>IFERROR(__xludf.DUMMYFUNCTION("""COMPUTED_VALUE"""),45547.0)</f>
        <v>45547</v>
      </c>
      <c r="T392" s="60">
        <f>IFERROR(__xludf.DUMMYFUNCTION("""COMPUTED_VALUE"""),46.06666666666667)</f>
        <v>46.06666667</v>
      </c>
    </row>
    <row r="393">
      <c r="A393" s="55" t="str">
        <f>IFERROR(__xludf.DUMMYFUNCTION("""COMPUTED_VALUE"""),"Battlefield 1: Revolution")</f>
        <v>Battlefield 1: Revolution</v>
      </c>
      <c r="B393" s="55" t="str">
        <f>IFERROR(__xludf.DUMMYFUNCTION("""COMPUTED_VALUE"""),"Xbox / PC")</f>
        <v>Xbox / PC</v>
      </c>
      <c r="C393" s="55" t="str">
        <f>IFERROR(__xludf.DUMMYFUNCTION("""COMPUTED_VALUE"""),"Yes")</f>
        <v>Yes</v>
      </c>
      <c r="D393" s="56" t="str">
        <f>IFERROR(__xludf.DUMMYFUNCTION("""COMPUTED_VALUE"""),"Active")</f>
        <v>Active</v>
      </c>
      <c r="E393" s="57">
        <f>IFERROR(__xludf.DUMMYFUNCTION("""COMPUTED_VALUE"""),44145.0)</f>
        <v>44145</v>
      </c>
      <c r="F393" s="58"/>
      <c r="G393" s="60">
        <f>IFERROR(__xludf.DUMMYFUNCTION("""COMPUTED_VALUE"""),70.86666666666667)</f>
        <v>70.86666667</v>
      </c>
      <c r="H393" s="63">
        <f>IFERROR(__xludf.DUMMYFUNCTION("""COMPUTED_VALUE"""),42664.0)</f>
        <v>42664</v>
      </c>
      <c r="I393" s="60">
        <f>IFERROR(__xludf.DUMMYFUNCTION("""COMPUTED_VALUE"""),4.052777777777778)</f>
        <v>4.052777778</v>
      </c>
      <c r="J393" s="64">
        <f>IFERROR(__xludf.DUMMYFUNCTION("""COMPUTED_VALUE"""),87.0)</f>
        <v>87</v>
      </c>
      <c r="K393" s="64">
        <f>IFERROR(__xludf.DUMMYFUNCTION("""COMPUTED_VALUE"""),6.5)</f>
        <v>6.5</v>
      </c>
      <c r="L393" s="55" t="str">
        <f>IFERROR(__xludf.DUMMYFUNCTION("""COMPUTED_VALUE"""),"Shooter")</f>
        <v>Shooter</v>
      </c>
      <c r="M393" s="55" t="str">
        <f>IFERROR(__xludf.DUMMYFUNCTION("""COMPUTED_VALUE"""),"FPS Boost X Only")</f>
        <v>FPS Boost X Only</v>
      </c>
      <c r="N393" s="55"/>
      <c r="O393" s="55" t="str">
        <f>IFERROR(__xludf.DUMMYFUNCTION("""COMPUTED_VALUE"""),"M")</f>
        <v>M</v>
      </c>
      <c r="P393" s="55" t="str">
        <f>IFERROR(__xludf.DUMMYFUNCTION("""COMPUTED_VALUE"""),"Blood, Strong Language, Violence")</f>
        <v>Blood, Strong Language, Violence</v>
      </c>
      <c r="Q393" s="55" t="str">
        <f>IFERROR(__xludf.DUMMYFUNCTION("""COMPUTED_VALUE"""),"Does not FPS boost on Series S")</f>
        <v>Does not FPS boost on Series S</v>
      </c>
      <c r="R393" s="56" t="str">
        <f>IFERROR(__xludf.DUMMYFUNCTION("""COMPUTED_VALUE"""),"Active")</f>
        <v>Active</v>
      </c>
      <c r="S393" s="57">
        <f>IFERROR(__xludf.DUMMYFUNCTION("""COMPUTED_VALUE"""),45547.0)</f>
        <v>45547</v>
      </c>
      <c r="T393" s="60">
        <f>IFERROR(__xludf.DUMMYFUNCTION("""COMPUTED_VALUE"""),46.06666666666667)</f>
        <v>46.06666667</v>
      </c>
    </row>
    <row r="394">
      <c r="A394" s="55" t="str">
        <f>IFERROR(__xludf.DUMMYFUNCTION("""COMPUTED_VALUE"""),"Battlefield 3: Premium Edition")</f>
        <v>Battlefield 3: Premium Edition</v>
      </c>
      <c r="B394" s="55" t="str">
        <f>IFERROR(__xludf.DUMMYFUNCTION("""COMPUTED_VALUE"""),"Xbox / PC")</f>
        <v>Xbox / PC</v>
      </c>
      <c r="C394" s="55"/>
      <c r="D394" s="56" t="str">
        <f>IFERROR(__xludf.DUMMYFUNCTION("""COMPUTED_VALUE"""),"Active")</f>
        <v>Active</v>
      </c>
      <c r="E394" s="57">
        <f>IFERROR(__xludf.DUMMYFUNCTION("""COMPUTED_VALUE"""),44145.0)</f>
        <v>44145</v>
      </c>
      <c r="F394" s="58"/>
      <c r="G394" s="60">
        <f>IFERROR(__xludf.DUMMYFUNCTION("""COMPUTED_VALUE"""),70.86666666666667)</f>
        <v>70.86666667</v>
      </c>
      <c r="H394" s="63">
        <f>IFERROR(__xludf.DUMMYFUNCTION("""COMPUTED_VALUE"""),40841.0)</f>
        <v>40841</v>
      </c>
      <c r="I394" s="60">
        <f>IFERROR(__xludf.DUMMYFUNCTION("""COMPUTED_VALUE"""),9.041666666666666)</f>
        <v>9.041666667</v>
      </c>
      <c r="J394" s="64">
        <f>IFERROR(__xludf.DUMMYFUNCTION("""COMPUTED_VALUE"""),84.0)</f>
        <v>84</v>
      </c>
      <c r="K394" s="64">
        <f>IFERROR(__xludf.DUMMYFUNCTION("""COMPUTED_VALUE"""),6.0)</f>
        <v>6</v>
      </c>
      <c r="L394" s="55" t="str">
        <f>IFERROR(__xludf.DUMMYFUNCTION("""COMPUTED_VALUE"""),"Shooter")</f>
        <v>Shooter</v>
      </c>
      <c r="M394" s="55"/>
      <c r="N394" s="55" t="str">
        <f>IFERROR(__xludf.DUMMYFUNCTION("""COMPUTED_VALUE"""),"Enhanced edition only on PC")</f>
        <v>Enhanced edition only on PC</v>
      </c>
      <c r="O394" s="55" t="str">
        <f>IFERROR(__xludf.DUMMYFUNCTION("""COMPUTED_VALUE"""),"M")</f>
        <v>M</v>
      </c>
      <c r="P394" s="55" t="str">
        <f>IFERROR(__xludf.DUMMYFUNCTION("""COMPUTED_VALUE"""),"Blood, Strong Language, Intense Violence")</f>
        <v>Blood, Strong Language, Intense Violence</v>
      </c>
      <c r="Q394" s="55" t="str">
        <f>IFERROR(__xludf.DUMMYFUNCTION("""COMPUTED_VALUE"""),"Xbox 360")</f>
        <v>Xbox 360</v>
      </c>
      <c r="R394" s="56" t="str">
        <f>IFERROR(__xludf.DUMMYFUNCTION("""COMPUTED_VALUE"""),"Active")</f>
        <v>Active</v>
      </c>
      <c r="S394" s="57">
        <f>IFERROR(__xludf.DUMMYFUNCTION("""COMPUTED_VALUE"""),45547.0)</f>
        <v>45547</v>
      </c>
      <c r="T394" s="60">
        <f>IFERROR(__xludf.DUMMYFUNCTION("""COMPUTED_VALUE"""),46.06666666666667)</f>
        <v>46.06666667</v>
      </c>
    </row>
    <row r="395">
      <c r="A395" s="55" t="str">
        <f>IFERROR(__xludf.DUMMYFUNCTION("""COMPUTED_VALUE"""),"Battlefield 4: Premium Edition")</f>
        <v>Battlefield 4: Premium Edition</v>
      </c>
      <c r="B395" s="55" t="str">
        <f>IFERROR(__xludf.DUMMYFUNCTION("""COMPUTED_VALUE"""),"Xbox / PC")</f>
        <v>Xbox / PC</v>
      </c>
      <c r="C395" s="55" t="str">
        <f>IFERROR(__xludf.DUMMYFUNCTION("""COMPUTED_VALUE"""),"Yes")</f>
        <v>Yes</v>
      </c>
      <c r="D395" s="56" t="str">
        <f>IFERROR(__xludf.DUMMYFUNCTION("""COMPUTED_VALUE"""),"Active")</f>
        <v>Active</v>
      </c>
      <c r="E395" s="57">
        <f>IFERROR(__xludf.DUMMYFUNCTION("""COMPUTED_VALUE"""),44145.0)</f>
        <v>44145</v>
      </c>
      <c r="F395" s="58"/>
      <c r="G395" s="60">
        <f>IFERROR(__xludf.DUMMYFUNCTION("""COMPUTED_VALUE"""),70.86666666666667)</f>
        <v>70.86666667</v>
      </c>
      <c r="H395" s="63">
        <f>IFERROR(__xludf.DUMMYFUNCTION("""COMPUTED_VALUE"""),41576.0)</f>
        <v>41576</v>
      </c>
      <c r="I395" s="60">
        <f>IFERROR(__xludf.DUMMYFUNCTION("""COMPUTED_VALUE"""),7.030555555555556)</f>
        <v>7.030555556</v>
      </c>
      <c r="J395" s="64">
        <f>IFERROR(__xludf.DUMMYFUNCTION("""COMPUTED_VALUE"""),81.0)</f>
        <v>81</v>
      </c>
      <c r="K395" s="64">
        <f>IFERROR(__xludf.DUMMYFUNCTION("""COMPUTED_VALUE"""),6.0)</f>
        <v>6</v>
      </c>
      <c r="L395" s="55" t="str">
        <f>IFERROR(__xludf.DUMMYFUNCTION("""COMPUTED_VALUE"""),"Shooter")</f>
        <v>Shooter</v>
      </c>
      <c r="M395" s="55" t="str">
        <f>IFERROR(__xludf.DUMMYFUNCTION("""COMPUTED_VALUE"""),"FPS Boost")</f>
        <v>FPS Boost</v>
      </c>
      <c r="N395" s="55" t="str">
        <f>IFERROR(__xludf.DUMMYFUNCTION("""COMPUTED_VALUE"""),"Enhanced edition only on PC")</f>
        <v>Enhanced edition only on PC</v>
      </c>
      <c r="O395" s="55" t="str">
        <f>IFERROR(__xludf.DUMMYFUNCTION("""COMPUTED_VALUE"""),"M")</f>
        <v>M</v>
      </c>
      <c r="P395" s="55" t="str">
        <f>IFERROR(__xludf.DUMMYFUNCTION("""COMPUTED_VALUE"""),"Blood and Gore, Strong Language, Intense Violence")</f>
        <v>Blood and Gore, Strong Language, Intense Violence</v>
      </c>
      <c r="Q395" s="55"/>
      <c r="R395" s="56" t="str">
        <f>IFERROR(__xludf.DUMMYFUNCTION("""COMPUTED_VALUE"""),"Active")</f>
        <v>Active</v>
      </c>
      <c r="S395" s="57">
        <f>IFERROR(__xludf.DUMMYFUNCTION("""COMPUTED_VALUE"""),45547.0)</f>
        <v>45547</v>
      </c>
      <c r="T395" s="60">
        <f>IFERROR(__xludf.DUMMYFUNCTION("""COMPUTED_VALUE"""),46.06666666666667)</f>
        <v>46.06666667</v>
      </c>
    </row>
    <row r="396">
      <c r="A396" s="55" t="str">
        <f>IFERROR(__xludf.DUMMYFUNCTION("""COMPUTED_VALUE"""),"Battlefield V: Year Two Edition")</f>
        <v>Battlefield V: Year Two Edition</v>
      </c>
      <c r="B396" s="55" t="str">
        <f>IFERROR(__xludf.DUMMYFUNCTION("""COMPUTED_VALUE"""),"Xbox / PC")</f>
        <v>Xbox / PC</v>
      </c>
      <c r="C396" s="55" t="str">
        <f>IFERROR(__xludf.DUMMYFUNCTION("""COMPUTED_VALUE"""),"Yes")</f>
        <v>Yes</v>
      </c>
      <c r="D396" s="56" t="str">
        <f>IFERROR(__xludf.DUMMYFUNCTION("""COMPUTED_VALUE"""),"Active")</f>
        <v>Active</v>
      </c>
      <c r="E396" s="57">
        <f>IFERROR(__xludf.DUMMYFUNCTION("""COMPUTED_VALUE"""),44145.0)</f>
        <v>44145</v>
      </c>
      <c r="F396" s="58"/>
      <c r="G396" s="60">
        <f>IFERROR(__xludf.DUMMYFUNCTION("""COMPUTED_VALUE"""),70.86666666666667)</f>
        <v>70.86666667</v>
      </c>
      <c r="H396" s="63">
        <f>IFERROR(__xludf.DUMMYFUNCTION("""COMPUTED_VALUE"""),43419.0)</f>
        <v>43419</v>
      </c>
      <c r="I396" s="60">
        <f>IFERROR(__xludf.DUMMYFUNCTION("""COMPUTED_VALUE"""),1.9861111111111112)</f>
        <v>1.986111111</v>
      </c>
      <c r="J396" s="64">
        <f>IFERROR(__xludf.DUMMYFUNCTION("""COMPUTED_VALUE"""),78.0)</f>
        <v>78</v>
      </c>
      <c r="K396" s="64">
        <f>IFERROR(__xludf.DUMMYFUNCTION("""COMPUTED_VALUE"""),6.0)</f>
        <v>6</v>
      </c>
      <c r="L396" s="55" t="str">
        <f>IFERROR(__xludf.DUMMYFUNCTION("""COMPUTED_VALUE"""),"Shooter")</f>
        <v>Shooter</v>
      </c>
      <c r="M396" s="55" t="str">
        <f>IFERROR(__xludf.DUMMYFUNCTION("""COMPUTED_VALUE"""),"FPS Boost X Only")</f>
        <v>FPS Boost X Only</v>
      </c>
      <c r="N396" s="55" t="str">
        <f>IFERROR(__xludf.DUMMYFUNCTION("""COMPUTED_VALUE"""),"Enhanced edition only on PC")</f>
        <v>Enhanced edition only on PC</v>
      </c>
      <c r="O396" s="55" t="str">
        <f>IFERROR(__xludf.DUMMYFUNCTION("""COMPUTED_VALUE"""),"M")</f>
        <v>M</v>
      </c>
      <c r="P396" s="55" t="str">
        <f>IFERROR(__xludf.DUMMYFUNCTION("""COMPUTED_VALUE"""),"Blood, Strong Language, Violence")</f>
        <v>Blood, Strong Language, Violence</v>
      </c>
      <c r="Q396" s="55" t="str">
        <f>IFERROR(__xludf.DUMMYFUNCTION("""COMPUTED_VALUE"""),"Does not FPS boost on Series S")</f>
        <v>Does not FPS boost on Series S</v>
      </c>
      <c r="R396" s="56" t="str">
        <f>IFERROR(__xludf.DUMMYFUNCTION("""COMPUTED_VALUE"""),"Active")</f>
        <v>Active</v>
      </c>
      <c r="S396" s="57">
        <f>IFERROR(__xludf.DUMMYFUNCTION("""COMPUTED_VALUE"""),45547.0)</f>
        <v>45547</v>
      </c>
      <c r="T396" s="60">
        <f>IFERROR(__xludf.DUMMYFUNCTION("""COMPUTED_VALUE"""),46.06666666666667)</f>
        <v>46.06666667</v>
      </c>
    </row>
    <row r="397">
      <c r="A397" s="55" t="str">
        <f>IFERROR(__xludf.DUMMYFUNCTION("""COMPUTED_VALUE"""),"Battlefield: Hardline - Ultimate Edition")</f>
        <v>Battlefield: Hardline - Ultimate Edition</v>
      </c>
      <c r="B397" s="55" t="str">
        <f>IFERROR(__xludf.DUMMYFUNCTION("""COMPUTED_VALUE"""),"Xbox / PC")</f>
        <v>Xbox / PC</v>
      </c>
      <c r="C397" s="55"/>
      <c r="D397" s="56" t="str">
        <f>IFERROR(__xludf.DUMMYFUNCTION("""COMPUTED_VALUE"""),"Active")</f>
        <v>Active</v>
      </c>
      <c r="E397" s="57">
        <f>IFERROR(__xludf.DUMMYFUNCTION("""COMPUTED_VALUE"""),44145.0)</f>
        <v>44145</v>
      </c>
      <c r="F397" s="58"/>
      <c r="G397" s="60">
        <f>IFERROR(__xludf.DUMMYFUNCTION("""COMPUTED_VALUE"""),70.86666666666667)</f>
        <v>70.86666667</v>
      </c>
      <c r="H397" s="63">
        <f>IFERROR(__xludf.DUMMYFUNCTION("""COMPUTED_VALUE"""),42080.0)</f>
        <v>42080</v>
      </c>
      <c r="I397" s="60">
        <f>IFERROR(__xludf.DUMMYFUNCTION("""COMPUTED_VALUE"""),5.647222222222222)</f>
        <v>5.647222222</v>
      </c>
      <c r="J397" s="64">
        <f>IFERROR(__xludf.DUMMYFUNCTION("""COMPUTED_VALUE"""),71.0)</f>
        <v>71</v>
      </c>
      <c r="K397" s="64">
        <f>IFERROR(__xludf.DUMMYFUNCTION("""COMPUTED_VALUE"""),7.5)</f>
        <v>7.5</v>
      </c>
      <c r="L397" s="55" t="str">
        <f>IFERROR(__xludf.DUMMYFUNCTION("""COMPUTED_VALUE"""),"Shooter")</f>
        <v>Shooter</v>
      </c>
      <c r="M397" s="55" t="str">
        <f>IFERROR(__xludf.DUMMYFUNCTION("""COMPUTED_VALUE"""),"FPS Boost")</f>
        <v>FPS Boost</v>
      </c>
      <c r="N397" s="55" t="str">
        <f>IFERROR(__xludf.DUMMYFUNCTION("""COMPUTED_VALUE"""),"Enhanced edition only on PC")</f>
        <v>Enhanced edition only on PC</v>
      </c>
      <c r="O397" s="55" t="str">
        <f>IFERROR(__xludf.DUMMYFUNCTION("""COMPUTED_VALUE"""),"M")</f>
        <v>M</v>
      </c>
      <c r="P397" s="55" t="str">
        <f>IFERROR(__xludf.DUMMYFUNCTION("""COMPUTED_VALUE"""),"Blood and Gore, Use of Drugs, Strong Language, Intense Violence")</f>
        <v>Blood and Gore, Use of Drugs, Strong Language, Intense Violence</v>
      </c>
      <c r="Q397" s="55"/>
      <c r="R397" s="56" t="str">
        <f>IFERROR(__xludf.DUMMYFUNCTION("""COMPUTED_VALUE"""),"Active")</f>
        <v>Active</v>
      </c>
      <c r="S397" s="57">
        <f>IFERROR(__xludf.DUMMYFUNCTION("""COMPUTED_VALUE"""),45547.0)</f>
        <v>45547</v>
      </c>
      <c r="T397" s="60">
        <f>IFERROR(__xludf.DUMMYFUNCTION("""COMPUTED_VALUE"""),46.06666666666667)</f>
        <v>46.06666667</v>
      </c>
    </row>
    <row r="398">
      <c r="A398" s="55" t="str">
        <f>IFERROR(__xludf.DUMMYFUNCTION("""COMPUTED_VALUE"""),"Bejeweled 2")</f>
        <v>Bejeweled 2</v>
      </c>
      <c r="B398" s="55" t="str">
        <f>IFERROR(__xludf.DUMMYFUNCTION("""COMPUTED_VALUE"""),"Xbox")</f>
        <v>Xbox</v>
      </c>
      <c r="C398" s="55"/>
      <c r="D398" s="56" t="str">
        <f>IFERROR(__xludf.DUMMYFUNCTION("""COMPUTED_VALUE"""),"Active")</f>
        <v>Active</v>
      </c>
      <c r="E398" s="57">
        <f>IFERROR(__xludf.DUMMYFUNCTION("""COMPUTED_VALUE"""),44145.0)</f>
        <v>44145</v>
      </c>
      <c r="F398" s="58"/>
      <c r="G398" s="60">
        <f>IFERROR(__xludf.DUMMYFUNCTION("""COMPUTED_VALUE"""),70.86666666666667)</f>
        <v>70.86666667</v>
      </c>
      <c r="H398" s="63">
        <f>IFERROR(__xludf.DUMMYFUNCTION("""COMPUTED_VALUE"""),38296.0)</f>
        <v>38296</v>
      </c>
      <c r="I398" s="60">
        <f>IFERROR(__xludf.DUMMYFUNCTION("""COMPUTED_VALUE"""),16.01388888888889)</f>
        <v>16.01388889</v>
      </c>
      <c r="J398" s="64">
        <f>IFERROR(__xludf.DUMMYFUNCTION("""COMPUTED_VALUE"""),69.0)</f>
        <v>69</v>
      </c>
      <c r="K398" s="64">
        <f>IFERROR(__xludf.DUMMYFUNCTION("""COMPUTED_VALUE"""),1.5)</f>
        <v>1.5</v>
      </c>
      <c r="L398" s="55" t="str">
        <f>IFERROR(__xludf.DUMMYFUNCTION("""COMPUTED_VALUE"""),"Puzzle")</f>
        <v>Puzzle</v>
      </c>
      <c r="M398" s="55"/>
      <c r="N398" s="55"/>
      <c r="O398" s="55" t="str">
        <f>IFERROR(__xludf.DUMMYFUNCTION("""COMPUTED_VALUE"""),"E")</f>
        <v>E</v>
      </c>
      <c r="P398" s="55"/>
      <c r="Q398" s="55" t="str">
        <f>IFERROR(__xludf.DUMMYFUNCTION("""COMPUTED_VALUE"""),"Xbox 360")</f>
        <v>Xbox 360</v>
      </c>
      <c r="R398" s="56" t="str">
        <f>IFERROR(__xludf.DUMMYFUNCTION("""COMPUTED_VALUE"""),"Active")</f>
        <v>Active</v>
      </c>
      <c r="S398" s="57">
        <f>IFERROR(__xludf.DUMMYFUNCTION("""COMPUTED_VALUE"""),45547.0)</f>
        <v>45547</v>
      </c>
      <c r="T398" s="60">
        <f>IFERROR(__xludf.DUMMYFUNCTION("""COMPUTED_VALUE"""),46.06666666666667)</f>
        <v>46.06666667</v>
      </c>
    </row>
    <row r="399">
      <c r="A399" s="55" t="str">
        <f>IFERROR(__xludf.DUMMYFUNCTION("""COMPUTED_VALUE"""),"Bejeweled 3")</f>
        <v>Bejeweled 3</v>
      </c>
      <c r="B399" s="55" t="str">
        <f>IFERROR(__xludf.DUMMYFUNCTION("""COMPUTED_VALUE"""),"Xbox")</f>
        <v>Xbox</v>
      </c>
      <c r="C399" s="55"/>
      <c r="D399" s="56" t="str">
        <f>IFERROR(__xludf.DUMMYFUNCTION("""COMPUTED_VALUE"""),"Active")</f>
        <v>Active</v>
      </c>
      <c r="E399" s="57">
        <f>IFERROR(__xludf.DUMMYFUNCTION("""COMPUTED_VALUE"""),44145.0)</f>
        <v>44145</v>
      </c>
      <c r="F399" s="58"/>
      <c r="G399" s="60">
        <f>IFERROR(__xludf.DUMMYFUNCTION("""COMPUTED_VALUE"""),70.86666666666667)</f>
        <v>70.86666667</v>
      </c>
      <c r="H399" s="63">
        <f>IFERROR(__xludf.DUMMYFUNCTION("""COMPUTED_VALUE"""),40519.0)</f>
        <v>40519</v>
      </c>
      <c r="I399" s="60">
        <f>IFERROR(__xludf.DUMMYFUNCTION("""COMPUTED_VALUE"""),9.925)</f>
        <v>9.925</v>
      </c>
      <c r="J399" s="64">
        <f>IFERROR(__xludf.DUMMYFUNCTION("""COMPUTED_VALUE"""),78.0)</f>
        <v>78</v>
      </c>
      <c r="K399" s="64">
        <f>IFERROR(__xludf.DUMMYFUNCTION("""COMPUTED_VALUE"""),4.5)</f>
        <v>4.5</v>
      </c>
      <c r="L399" s="55" t="str">
        <f>IFERROR(__xludf.DUMMYFUNCTION("""COMPUTED_VALUE"""),"Puzzle")</f>
        <v>Puzzle</v>
      </c>
      <c r="M399" s="55"/>
      <c r="N399" s="55"/>
      <c r="O399" s="55" t="str">
        <f>IFERROR(__xludf.DUMMYFUNCTION("""COMPUTED_VALUE"""),"E")</f>
        <v>E</v>
      </c>
      <c r="P399" s="55"/>
      <c r="Q399" s="55" t="str">
        <f>IFERROR(__xludf.DUMMYFUNCTION("""COMPUTED_VALUE"""),"Xbox 360")</f>
        <v>Xbox 360</v>
      </c>
      <c r="R399" s="56" t="str">
        <f>IFERROR(__xludf.DUMMYFUNCTION("""COMPUTED_VALUE"""),"Active")</f>
        <v>Active</v>
      </c>
      <c r="S399" s="57">
        <f>IFERROR(__xludf.DUMMYFUNCTION("""COMPUTED_VALUE"""),45547.0)</f>
        <v>45547</v>
      </c>
      <c r="T399" s="60">
        <f>IFERROR(__xludf.DUMMYFUNCTION("""COMPUTED_VALUE"""),46.06666666666667)</f>
        <v>46.06666667</v>
      </c>
    </row>
    <row r="400">
      <c r="A400" s="55" t="str">
        <f>IFERROR(__xludf.DUMMYFUNCTION("""COMPUTED_VALUE"""),"BLACK")</f>
        <v>BLACK</v>
      </c>
      <c r="B400" s="55" t="str">
        <f>IFERROR(__xludf.DUMMYFUNCTION("""COMPUTED_VALUE"""),"Xbox")</f>
        <v>Xbox</v>
      </c>
      <c r="C400" s="55"/>
      <c r="D400" s="56" t="str">
        <f>IFERROR(__xludf.DUMMYFUNCTION("""COMPUTED_VALUE"""),"Active")</f>
        <v>Active</v>
      </c>
      <c r="E400" s="57">
        <f>IFERROR(__xludf.DUMMYFUNCTION("""COMPUTED_VALUE"""),44145.0)</f>
        <v>44145</v>
      </c>
      <c r="F400" s="58"/>
      <c r="G400" s="60">
        <f>IFERROR(__xludf.DUMMYFUNCTION("""COMPUTED_VALUE"""),70.86666666666667)</f>
        <v>70.86666667</v>
      </c>
      <c r="H400" s="63">
        <f>IFERROR(__xludf.DUMMYFUNCTION("""COMPUTED_VALUE"""),38776.0)</f>
        <v>38776</v>
      </c>
      <c r="I400" s="60">
        <f>IFERROR(__xludf.DUMMYFUNCTION("""COMPUTED_VALUE"""),14.7)</f>
        <v>14.7</v>
      </c>
      <c r="J400" s="64">
        <f>IFERROR(__xludf.DUMMYFUNCTION("""COMPUTED_VALUE"""),77.0)</f>
        <v>77</v>
      </c>
      <c r="K400" s="64">
        <f>IFERROR(__xludf.DUMMYFUNCTION("""COMPUTED_VALUE"""),6.0)</f>
        <v>6</v>
      </c>
      <c r="L400" s="55" t="str">
        <f>IFERROR(__xludf.DUMMYFUNCTION("""COMPUTED_VALUE"""),"Shooter")</f>
        <v>Shooter</v>
      </c>
      <c r="M400" s="55"/>
      <c r="N400" s="55"/>
      <c r="O400" s="55" t="str">
        <f>IFERROR(__xludf.DUMMYFUNCTION("""COMPUTED_VALUE"""),"M")</f>
        <v>M</v>
      </c>
      <c r="P400" s="55" t="str">
        <f>IFERROR(__xludf.DUMMYFUNCTION("""COMPUTED_VALUE"""),"Strong Language, Violence")</f>
        <v>Strong Language, Violence</v>
      </c>
      <c r="Q400" s="55" t="str">
        <f>IFERROR(__xludf.DUMMYFUNCTION("""COMPUTED_VALUE"""),"OG Xbox")</f>
        <v>OG Xbox</v>
      </c>
      <c r="R400" s="56" t="str">
        <f>IFERROR(__xludf.DUMMYFUNCTION("""COMPUTED_VALUE"""),"Active")</f>
        <v>Active</v>
      </c>
      <c r="S400" s="57">
        <f>IFERROR(__xludf.DUMMYFUNCTION("""COMPUTED_VALUE"""),45547.0)</f>
        <v>45547</v>
      </c>
      <c r="T400" s="60">
        <f>IFERROR(__xludf.DUMMYFUNCTION("""COMPUTED_VALUE"""),46.06666666666667)</f>
        <v>46.06666667</v>
      </c>
    </row>
    <row r="401">
      <c r="A401" s="55" t="str">
        <f>IFERROR(__xludf.DUMMYFUNCTION("""COMPUTED_VALUE"""),"Burnout: Paradise - Remastered")</f>
        <v>Burnout: Paradise - Remastered</v>
      </c>
      <c r="B401" s="55" t="str">
        <f>IFERROR(__xludf.DUMMYFUNCTION("""COMPUTED_VALUE"""),"Xbox / PC")</f>
        <v>Xbox / PC</v>
      </c>
      <c r="C401" s="55"/>
      <c r="D401" s="56" t="str">
        <f>IFERROR(__xludf.DUMMYFUNCTION("""COMPUTED_VALUE"""),"Active")</f>
        <v>Active</v>
      </c>
      <c r="E401" s="57">
        <f>IFERROR(__xludf.DUMMYFUNCTION("""COMPUTED_VALUE"""),44145.0)</f>
        <v>44145</v>
      </c>
      <c r="F401" s="58"/>
      <c r="G401" s="60">
        <f>IFERROR(__xludf.DUMMYFUNCTION("""COMPUTED_VALUE"""),70.86666666666667)</f>
        <v>70.86666667</v>
      </c>
      <c r="H401" s="63">
        <f>IFERROR(__xludf.DUMMYFUNCTION("""COMPUTED_VALUE"""),39469.0)</f>
        <v>39469</v>
      </c>
      <c r="I401" s="60">
        <f>IFERROR(__xludf.DUMMYFUNCTION("""COMPUTED_VALUE"""),12.8)</f>
        <v>12.8</v>
      </c>
      <c r="J401" s="64">
        <f>IFERROR(__xludf.DUMMYFUNCTION("""COMPUTED_VALUE"""),79.0)</f>
        <v>79</v>
      </c>
      <c r="K401" s="64">
        <f>IFERROR(__xludf.DUMMYFUNCTION("""COMPUTED_VALUE"""),10.5)</f>
        <v>10.5</v>
      </c>
      <c r="L401" s="55" t="str">
        <f>IFERROR(__xludf.DUMMYFUNCTION("""COMPUTED_VALUE"""),"Racing")</f>
        <v>Racing</v>
      </c>
      <c r="M401" s="55"/>
      <c r="N401" s="55"/>
      <c r="O401" s="55" t="str">
        <f>IFERROR(__xludf.DUMMYFUNCTION("""COMPUTED_VALUE"""),"E10+")</f>
        <v>E10+</v>
      </c>
      <c r="P401" s="55" t="str">
        <f>IFERROR(__xludf.DUMMYFUNCTION("""COMPUTED_VALUE"""),"Mild Violence, Mild Suggestive Themes")</f>
        <v>Mild Violence, Mild Suggestive Themes</v>
      </c>
      <c r="Q401" s="55" t="str">
        <f>IFERROR(__xludf.DUMMYFUNCTION("""COMPUTED_VALUE"""),"Xbox 360")</f>
        <v>Xbox 360</v>
      </c>
      <c r="R401" s="56" t="str">
        <f>IFERROR(__xludf.DUMMYFUNCTION("""COMPUTED_VALUE"""),"Active")</f>
        <v>Active</v>
      </c>
      <c r="S401" s="57">
        <f>IFERROR(__xludf.DUMMYFUNCTION("""COMPUTED_VALUE"""),45547.0)</f>
        <v>45547</v>
      </c>
      <c r="T401" s="60">
        <f>IFERROR(__xludf.DUMMYFUNCTION("""COMPUTED_VALUE"""),46.06666666666667)</f>
        <v>46.06666667</v>
      </c>
    </row>
    <row r="402">
      <c r="A402" s="55" t="str">
        <f>IFERROR(__xludf.DUMMYFUNCTION("""COMPUTED_VALUE"""),"Crysis")</f>
        <v>Crysis</v>
      </c>
      <c r="B402" s="55" t="str">
        <f>IFERROR(__xludf.DUMMYFUNCTION("""COMPUTED_VALUE"""),"Xbox / PC")</f>
        <v>Xbox / PC</v>
      </c>
      <c r="C402" s="55"/>
      <c r="D402" s="56" t="str">
        <f>IFERROR(__xludf.DUMMYFUNCTION("""COMPUTED_VALUE"""),"Active")</f>
        <v>Active</v>
      </c>
      <c r="E402" s="57">
        <f>IFERROR(__xludf.DUMMYFUNCTION("""COMPUTED_VALUE"""),44145.0)</f>
        <v>44145</v>
      </c>
      <c r="F402" s="58"/>
      <c r="G402" s="60">
        <f>IFERROR(__xludf.DUMMYFUNCTION("""COMPUTED_VALUE"""),70.86666666666667)</f>
        <v>70.86666667</v>
      </c>
      <c r="H402" s="63">
        <f>IFERROR(__xludf.DUMMYFUNCTION("""COMPUTED_VALUE"""),39399.0)</f>
        <v>39399</v>
      </c>
      <c r="I402" s="60">
        <f>IFERROR(__xludf.DUMMYFUNCTION("""COMPUTED_VALUE"""),12.991666666666667)</f>
        <v>12.99166667</v>
      </c>
      <c r="J402" s="64">
        <f>IFERROR(__xludf.DUMMYFUNCTION("""COMPUTED_VALUE"""),81.0)</f>
        <v>81</v>
      </c>
      <c r="K402" s="64">
        <f>IFERROR(__xludf.DUMMYFUNCTION("""COMPUTED_VALUE"""),10.0)</f>
        <v>10</v>
      </c>
      <c r="L402" s="55" t="str">
        <f>IFERROR(__xludf.DUMMYFUNCTION("""COMPUTED_VALUE"""),"Shooter")</f>
        <v>Shooter</v>
      </c>
      <c r="M402" s="55"/>
      <c r="N402" s="55"/>
      <c r="O402" s="55" t="str">
        <f>IFERROR(__xludf.DUMMYFUNCTION("""COMPUTED_VALUE"""),"M")</f>
        <v>M</v>
      </c>
      <c r="P402" s="55" t="str">
        <f>IFERROR(__xludf.DUMMYFUNCTION("""COMPUTED_VALUE"""),"Blood, Strong Language, Violence")</f>
        <v>Blood, Strong Language, Violence</v>
      </c>
      <c r="Q402" s="55" t="str">
        <f>IFERROR(__xludf.DUMMYFUNCTION("""COMPUTED_VALUE"""),"Xbox 360")</f>
        <v>Xbox 360</v>
      </c>
      <c r="R402" s="56" t="str">
        <f>IFERROR(__xludf.DUMMYFUNCTION("""COMPUTED_VALUE"""),"Active")</f>
        <v>Active</v>
      </c>
      <c r="S402" s="57">
        <f>IFERROR(__xludf.DUMMYFUNCTION("""COMPUTED_VALUE"""),45547.0)</f>
        <v>45547</v>
      </c>
      <c r="T402" s="60">
        <f>IFERROR(__xludf.DUMMYFUNCTION("""COMPUTED_VALUE"""),46.06666666666667)</f>
        <v>46.06666667</v>
      </c>
    </row>
    <row r="403">
      <c r="A403" s="55" t="str">
        <f>IFERROR(__xludf.DUMMYFUNCTION("""COMPUTED_VALUE"""),"Crysis 2: Maximum Edition")</f>
        <v>Crysis 2: Maximum Edition</v>
      </c>
      <c r="B403" s="55" t="str">
        <f>IFERROR(__xludf.DUMMYFUNCTION("""COMPUTED_VALUE"""),"Xbox / PC")</f>
        <v>Xbox / PC</v>
      </c>
      <c r="C403" s="55"/>
      <c r="D403" s="56" t="str">
        <f>IFERROR(__xludf.DUMMYFUNCTION("""COMPUTED_VALUE"""),"Active")</f>
        <v>Active</v>
      </c>
      <c r="E403" s="57">
        <f>IFERROR(__xludf.DUMMYFUNCTION("""COMPUTED_VALUE"""),44145.0)</f>
        <v>44145</v>
      </c>
      <c r="F403" s="58"/>
      <c r="G403" s="60">
        <f>IFERROR(__xludf.DUMMYFUNCTION("""COMPUTED_VALUE"""),70.86666666666667)</f>
        <v>70.86666667</v>
      </c>
      <c r="H403" s="63">
        <f>IFERROR(__xludf.DUMMYFUNCTION("""COMPUTED_VALUE"""),40624.0)</f>
        <v>40624</v>
      </c>
      <c r="I403" s="60">
        <f>IFERROR(__xludf.DUMMYFUNCTION("""COMPUTED_VALUE"""),9.633333333333333)</f>
        <v>9.633333333</v>
      </c>
      <c r="J403" s="64">
        <f>IFERROR(__xludf.DUMMYFUNCTION("""COMPUTED_VALUE"""),84.0)</f>
        <v>84</v>
      </c>
      <c r="K403" s="64">
        <f>IFERROR(__xludf.DUMMYFUNCTION("""COMPUTED_VALUE"""),9.0)</f>
        <v>9</v>
      </c>
      <c r="L403" s="55" t="str">
        <f>IFERROR(__xludf.DUMMYFUNCTION("""COMPUTED_VALUE"""),"Shooter")</f>
        <v>Shooter</v>
      </c>
      <c r="M403" s="55"/>
      <c r="N403" s="55" t="str">
        <f>IFERROR(__xludf.DUMMYFUNCTION("""COMPUTED_VALUE"""),"Enhanced edition only on PC")</f>
        <v>Enhanced edition only on PC</v>
      </c>
      <c r="O403" s="55" t="str">
        <f>IFERROR(__xludf.DUMMYFUNCTION("""COMPUTED_VALUE"""),"M")</f>
        <v>M</v>
      </c>
      <c r="P403" s="55" t="str">
        <f>IFERROR(__xludf.DUMMYFUNCTION("""COMPUTED_VALUE"""),"Blood, Partial Nudity, Strong Language, Violence")</f>
        <v>Blood, Partial Nudity, Strong Language, Violence</v>
      </c>
      <c r="Q403" s="55" t="str">
        <f>IFERROR(__xludf.DUMMYFUNCTION("""COMPUTED_VALUE"""),"Xbox 360")</f>
        <v>Xbox 360</v>
      </c>
      <c r="R403" s="56" t="str">
        <f>IFERROR(__xludf.DUMMYFUNCTION("""COMPUTED_VALUE"""),"Active")</f>
        <v>Active</v>
      </c>
      <c r="S403" s="57">
        <f>IFERROR(__xludf.DUMMYFUNCTION("""COMPUTED_VALUE"""),45547.0)</f>
        <v>45547</v>
      </c>
      <c r="T403" s="60">
        <f>IFERROR(__xludf.DUMMYFUNCTION("""COMPUTED_VALUE"""),46.06666666666667)</f>
        <v>46.06666667</v>
      </c>
    </row>
    <row r="404">
      <c r="A404" s="55" t="str">
        <f>IFERROR(__xludf.DUMMYFUNCTION("""COMPUTED_VALUE"""),"Crysis 3")</f>
        <v>Crysis 3</v>
      </c>
      <c r="B404" s="55" t="str">
        <f>IFERROR(__xludf.DUMMYFUNCTION("""COMPUTED_VALUE"""),"Xbox / PC")</f>
        <v>Xbox / PC</v>
      </c>
      <c r="C404" s="55"/>
      <c r="D404" s="56" t="str">
        <f>IFERROR(__xludf.DUMMYFUNCTION("""COMPUTED_VALUE"""),"Active")</f>
        <v>Active</v>
      </c>
      <c r="E404" s="57">
        <f>IFERROR(__xludf.DUMMYFUNCTION("""COMPUTED_VALUE"""),44145.0)</f>
        <v>44145</v>
      </c>
      <c r="F404" s="58"/>
      <c r="G404" s="60">
        <f>IFERROR(__xludf.DUMMYFUNCTION("""COMPUTED_VALUE"""),70.86666666666667)</f>
        <v>70.86666667</v>
      </c>
      <c r="H404" s="63">
        <f>IFERROR(__xludf.DUMMYFUNCTION("""COMPUTED_VALUE"""),41324.0)</f>
        <v>41324</v>
      </c>
      <c r="I404" s="60">
        <f>IFERROR(__xludf.DUMMYFUNCTION("""COMPUTED_VALUE"""),7.725)</f>
        <v>7.725</v>
      </c>
      <c r="J404" s="64">
        <f>IFERROR(__xludf.DUMMYFUNCTION("""COMPUTED_VALUE"""),76.0)</f>
        <v>76</v>
      </c>
      <c r="K404" s="64">
        <f>IFERROR(__xludf.DUMMYFUNCTION("""COMPUTED_VALUE"""),7.0)</f>
        <v>7</v>
      </c>
      <c r="L404" s="55" t="str">
        <f>IFERROR(__xludf.DUMMYFUNCTION("""COMPUTED_VALUE"""),"Shooter")</f>
        <v>Shooter</v>
      </c>
      <c r="M404" s="55"/>
      <c r="N404" s="55"/>
      <c r="O404" s="55" t="str">
        <f>IFERROR(__xludf.DUMMYFUNCTION("""COMPUTED_VALUE"""),"M")</f>
        <v>M</v>
      </c>
      <c r="P404" s="55" t="str">
        <f>IFERROR(__xludf.DUMMYFUNCTION("""COMPUTED_VALUE"""),"Blood, Strong Language, Violence")</f>
        <v>Blood, Strong Language, Violence</v>
      </c>
      <c r="Q404" s="55" t="str">
        <f>IFERROR(__xludf.DUMMYFUNCTION("""COMPUTED_VALUE"""),"Xbox 360")</f>
        <v>Xbox 360</v>
      </c>
      <c r="R404" s="56" t="str">
        <f>IFERROR(__xludf.DUMMYFUNCTION("""COMPUTED_VALUE"""),"Active")</f>
        <v>Active</v>
      </c>
      <c r="S404" s="57">
        <f>IFERROR(__xludf.DUMMYFUNCTION("""COMPUTED_VALUE"""),45547.0)</f>
        <v>45547</v>
      </c>
      <c r="T404" s="60">
        <f>IFERROR(__xludf.DUMMYFUNCTION("""COMPUTED_VALUE"""),46.06666666666667)</f>
        <v>46.06666667</v>
      </c>
    </row>
    <row r="405">
      <c r="A405" s="55" t="str">
        <f>IFERROR(__xludf.DUMMYFUNCTION("""COMPUTED_VALUE"""),"Dante's Inferno")</f>
        <v>Dante's Inferno</v>
      </c>
      <c r="B405" s="55" t="str">
        <f>IFERROR(__xludf.DUMMYFUNCTION("""COMPUTED_VALUE"""),"Xbox")</f>
        <v>Xbox</v>
      </c>
      <c r="C405" s="55"/>
      <c r="D405" s="56" t="str">
        <f>IFERROR(__xludf.DUMMYFUNCTION("""COMPUTED_VALUE"""),"Active")</f>
        <v>Active</v>
      </c>
      <c r="E405" s="57">
        <f>IFERROR(__xludf.DUMMYFUNCTION("""COMPUTED_VALUE"""),44145.0)</f>
        <v>44145</v>
      </c>
      <c r="F405" s="58"/>
      <c r="G405" s="60">
        <f>IFERROR(__xludf.DUMMYFUNCTION("""COMPUTED_VALUE"""),70.86666666666667)</f>
        <v>70.86666667</v>
      </c>
      <c r="H405" s="63">
        <f>IFERROR(__xludf.DUMMYFUNCTION("""COMPUTED_VALUE"""),40218.0)</f>
        <v>40218</v>
      </c>
      <c r="I405" s="60">
        <f>IFERROR(__xludf.DUMMYFUNCTION("""COMPUTED_VALUE"""),10.752777777777778)</f>
        <v>10.75277778</v>
      </c>
      <c r="J405" s="64">
        <f>IFERROR(__xludf.DUMMYFUNCTION("""COMPUTED_VALUE"""),73.0)</f>
        <v>73</v>
      </c>
      <c r="K405" s="64">
        <f>IFERROR(__xludf.DUMMYFUNCTION("""COMPUTED_VALUE"""),8.0)</f>
        <v>8</v>
      </c>
      <c r="L405" s="55" t="str">
        <f>IFERROR(__xludf.DUMMYFUNCTION("""COMPUTED_VALUE"""),"Action")</f>
        <v>Action</v>
      </c>
      <c r="M405" s="55"/>
      <c r="N405" s="55"/>
      <c r="O405" s="55" t="str">
        <f>IFERROR(__xludf.DUMMYFUNCTION("""COMPUTED_VALUE"""),"M")</f>
        <v>M</v>
      </c>
      <c r="P405" s="55" t="str">
        <f>IFERROR(__xludf.DUMMYFUNCTION("""COMPUTED_VALUE"""),"Blood and Gore, Intense Violence, Nudity, Sexual Content")</f>
        <v>Blood and Gore, Intense Violence, Nudity, Sexual Content</v>
      </c>
      <c r="Q405" s="55" t="str">
        <f>IFERROR(__xludf.DUMMYFUNCTION("""COMPUTED_VALUE"""),"Xbox 360")</f>
        <v>Xbox 360</v>
      </c>
      <c r="R405" s="56" t="str">
        <f>IFERROR(__xludf.DUMMYFUNCTION("""COMPUTED_VALUE"""),"Active")</f>
        <v>Active</v>
      </c>
      <c r="S405" s="57">
        <f>IFERROR(__xludf.DUMMYFUNCTION("""COMPUTED_VALUE"""),45547.0)</f>
        <v>45547</v>
      </c>
      <c r="T405" s="60">
        <f>IFERROR(__xludf.DUMMYFUNCTION("""COMPUTED_VALUE"""),46.06666666666667)</f>
        <v>46.06666667</v>
      </c>
    </row>
    <row r="406">
      <c r="A406" s="55" t="str">
        <f>IFERROR(__xludf.DUMMYFUNCTION("""COMPUTED_VALUE"""),"Dead Space")</f>
        <v>Dead Space</v>
      </c>
      <c r="B406" s="55" t="str">
        <f>IFERROR(__xludf.DUMMYFUNCTION("""COMPUTED_VALUE"""),"Xbox / PC")</f>
        <v>Xbox / PC</v>
      </c>
      <c r="C406" s="55" t="str">
        <f>IFERROR(__xludf.DUMMYFUNCTION("""COMPUTED_VALUE"""),"Yes")</f>
        <v>Yes</v>
      </c>
      <c r="D406" s="56" t="str">
        <f>IFERROR(__xludf.DUMMYFUNCTION("""COMPUTED_VALUE"""),"Active")</f>
        <v>Active</v>
      </c>
      <c r="E406" s="57">
        <f>IFERROR(__xludf.DUMMYFUNCTION("""COMPUTED_VALUE"""),44145.0)</f>
        <v>44145</v>
      </c>
      <c r="F406" s="58"/>
      <c r="G406" s="60">
        <f>IFERROR(__xludf.DUMMYFUNCTION("""COMPUTED_VALUE"""),70.86666666666667)</f>
        <v>70.86666667</v>
      </c>
      <c r="H406" s="63">
        <f>IFERROR(__xludf.DUMMYFUNCTION("""COMPUTED_VALUE"""),39735.0)</f>
        <v>39735</v>
      </c>
      <c r="I406" s="60">
        <f>IFERROR(__xludf.DUMMYFUNCTION("""COMPUTED_VALUE"""),12.072222222222223)</f>
        <v>12.07222222</v>
      </c>
      <c r="J406" s="64">
        <f>IFERROR(__xludf.DUMMYFUNCTION("""COMPUTED_VALUE"""),89.0)</f>
        <v>89</v>
      </c>
      <c r="K406" s="64">
        <f>IFERROR(__xludf.DUMMYFUNCTION("""COMPUTED_VALUE"""),11.0)</f>
        <v>11</v>
      </c>
      <c r="L406" s="55" t="str">
        <f>IFERROR(__xludf.DUMMYFUNCTION("""COMPUTED_VALUE"""),"Action")</f>
        <v>Action</v>
      </c>
      <c r="M406" s="55"/>
      <c r="N406" s="55"/>
      <c r="O406" s="55" t="str">
        <f>IFERROR(__xludf.DUMMYFUNCTION("""COMPUTED_VALUE"""),"M")</f>
        <v>M</v>
      </c>
      <c r="P406" s="55" t="str">
        <f>IFERROR(__xludf.DUMMYFUNCTION("""COMPUTED_VALUE"""),"Blood and Gore, Strong Language, Intense Violence")</f>
        <v>Blood and Gore, Strong Language, Intense Violence</v>
      </c>
      <c r="Q406" s="55" t="str">
        <f>IFERROR(__xludf.DUMMYFUNCTION("""COMPUTED_VALUE"""),"Xbox 360")</f>
        <v>Xbox 360</v>
      </c>
      <c r="R406" s="56" t="str">
        <f>IFERROR(__xludf.DUMMYFUNCTION("""COMPUTED_VALUE"""),"Active")</f>
        <v>Active</v>
      </c>
      <c r="S406" s="57">
        <f>IFERROR(__xludf.DUMMYFUNCTION("""COMPUTED_VALUE"""),45547.0)</f>
        <v>45547</v>
      </c>
      <c r="T406" s="60">
        <f>IFERROR(__xludf.DUMMYFUNCTION("""COMPUTED_VALUE"""),46.06666666666667)</f>
        <v>46.06666667</v>
      </c>
    </row>
    <row r="407">
      <c r="A407" s="55" t="str">
        <f>IFERROR(__xludf.DUMMYFUNCTION("""COMPUTED_VALUE"""),"Dead Space 2")</f>
        <v>Dead Space 2</v>
      </c>
      <c r="B407" s="55" t="str">
        <f>IFERROR(__xludf.DUMMYFUNCTION("""COMPUTED_VALUE"""),"Xbox / PC")</f>
        <v>Xbox / PC</v>
      </c>
      <c r="C407" s="55" t="str">
        <f>IFERROR(__xludf.DUMMYFUNCTION("""COMPUTED_VALUE"""),"Yes")</f>
        <v>Yes</v>
      </c>
      <c r="D407" s="56" t="str">
        <f>IFERROR(__xludf.DUMMYFUNCTION("""COMPUTED_VALUE"""),"Active")</f>
        <v>Active</v>
      </c>
      <c r="E407" s="57">
        <f>IFERROR(__xludf.DUMMYFUNCTION("""COMPUTED_VALUE"""),44145.0)</f>
        <v>44145</v>
      </c>
      <c r="F407" s="58"/>
      <c r="G407" s="60">
        <f>IFERROR(__xludf.DUMMYFUNCTION("""COMPUTED_VALUE"""),70.86666666666667)</f>
        <v>70.86666667</v>
      </c>
      <c r="H407" s="63">
        <f>IFERROR(__xludf.DUMMYFUNCTION("""COMPUTED_VALUE"""),40568.0)</f>
        <v>40568</v>
      </c>
      <c r="I407" s="60">
        <f>IFERROR(__xludf.DUMMYFUNCTION("""COMPUTED_VALUE"""),9.791666666666666)</f>
        <v>9.791666667</v>
      </c>
      <c r="J407" s="64">
        <f>IFERROR(__xludf.DUMMYFUNCTION("""COMPUTED_VALUE"""),90.0)</f>
        <v>90</v>
      </c>
      <c r="K407" s="64">
        <f>IFERROR(__xludf.DUMMYFUNCTION("""COMPUTED_VALUE"""),9.0)</f>
        <v>9</v>
      </c>
      <c r="L407" s="55" t="str">
        <f>IFERROR(__xludf.DUMMYFUNCTION("""COMPUTED_VALUE"""),"Shooter")</f>
        <v>Shooter</v>
      </c>
      <c r="M407" s="55" t="str">
        <f>IFERROR(__xludf.DUMMYFUNCTION("""COMPUTED_VALUE"""),"FPS Boost")</f>
        <v>FPS Boost</v>
      </c>
      <c r="N407" s="55" t="str">
        <f>IFERROR(__xludf.DUMMYFUNCTION("""COMPUTED_VALUE"""),"Joined cloud 3/9/23")</f>
        <v>Joined cloud 3/9/23</v>
      </c>
      <c r="O407" s="55" t="str">
        <f>IFERROR(__xludf.DUMMYFUNCTION("""COMPUTED_VALUE"""),"M")</f>
        <v>M</v>
      </c>
      <c r="P407" s="55" t="str">
        <f>IFERROR(__xludf.DUMMYFUNCTION("""COMPUTED_VALUE"""),"Blood and Gore, Strong Language, Intense Violence")</f>
        <v>Blood and Gore, Strong Language, Intense Violence</v>
      </c>
      <c r="Q407" s="55" t="str">
        <f>IFERROR(__xludf.DUMMYFUNCTION("""COMPUTED_VALUE"""),"Xbox 360")</f>
        <v>Xbox 360</v>
      </c>
      <c r="R407" s="56" t="str">
        <f>IFERROR(__xludf.DUMMYFUNCTION("""COMPUTED_VALUE"""),"Active")</f>
        <v>Active</v>
      </c>
      <c r="S407" s="57">
        <f>IFERROR(__xludf.DUMMYFUNCTION("""COMPUTED_VALUE"""),45547.0)</f>
        <v>45547</v>
      </c>
      <c r="T407" s="60">
        <f>IFERROR(__xludf.DUMMYFUNCTION("""COMPUTED_VALUE"""),46.06666666666667)</f>
        <v>46.06666667</v>
      </c>
    </row>
    <row r="408">
      <c r="A408" s="55" t="str">
        <f>IFERROR(__xludf.DUMMYFUNCTION("""COMPUTED_VALUE"""),"Dead Space 3")</f>
        <v>Dead Space 3</v>
      </c>
      <c r="B408" s="55" t="str">
        <f>IFERROR(__xludf.DUMMYFUNCTION("""COMPUTED_VALUE"""),"Xbox / PC")</f>
        <v>Xbox / PC</v>
      </c>
      <c r="C408" s="55" t="str">
        <f>IFERROR(__xludf.DUMMYFUNCTION("""COMPUTED_VALUE"""),"Yes")</f>
        <v>Yes</v>
      </c>
      <c r="D408" s="56" t="str">
        <f>IFERROR(__xludf.DUMMYFUNCTION("""COMPUTED_VALUE"""),"Active")</f>
        <v>Active</v>
      </c>
      <c r="E408" s="57">
        <f>IFERROR(__xludf.DUMMYFUNCTION("""COMPUTED_VALUE"""),44145.0)</f>
        <v>44145</v>
      </c>
      <c r="F408" s="58"/>
      <c r="G408" s="60">
        <f>IFERROR(__xludf.DUMMYFUNCTION("""COMPUTED_VALUE"""),70.86666666666667)</f>
        <v>70.86666667</v>
      </c>
      <c r="H408" s="63">
        <f>IFERROR(__xludf.DUMMYFUNCTION("""COMPUTED_VALUE"""),41310.0)</f>
        <v>41310</v>
      </c>
      <c r="I408" s="60">
        <f>IFERROR(__xludf.DUMMYFUNCTION("""COMPUTED_VALUE"""),7.763888888888889)</f>
        <v>7.763888889</v>
      </c>
      <c r="J408" s="64">
        <f>IFERROR(__xludf.DUMMYFUNCTION("""COMPUTED_VALUE"""),78.0)</f>
        <v>78</v>
      </c>
      <c r="K408" s="64">
        <f>IFERROR(__xludf.DUMMYFUNCTION("""COMPUTED_VALUE"""),13.0)</f>
        <v>13</v>
      </c>
      <c r="L408" s="55" t="str">
        <f>IFERROR(__xludf.DUMMYFUNCTION("""COMPUTED_VALUE"""),"Shooter")</f>
        <v>Shooter</v>
      </c>
      <c r="M408" s="55" t="str">
        <f>IFERROR(__xludf.DUMMYFUNCTION("""COMPUTED_VALUE"""),"FPS Boost")</f>
        <v>FPS Boost</v>
      </c>
      <c r="N408" s="55" t="str">
        <f>IFERROR(__xludf.DUMMYFUNCTION("""COMPUTED_VALUE"""),"Joined cloud 3/9/23")</f>
        <v>Joined cloud 3/9/23</v>
      </c>
      <c r="O408" s="55" t="str">
        <f>IFERROR(__xludf.DUMMYFUNCTION("""COMPUTED_VALUE"""),"M")</f>
        <v>M</v>
      </c>
      <c r="P408" s="55" t="str">
        <f>IFERROR(__xludf.DUMMYFUNCTION("""COMPUTED_VALUE"""),"Blood and Gore, Strong Language, Intense Violence")</f>
        <v>Blood and Gore, Strong Language, Intense Violence</v>
      </c>
      <c r="Q408" s="55" t="str">
        <f>IFERROR(__xludf.DUMMYFUNCTION("""COMPUTED_VALUE"""),"Xbox 360")</f>
        <v>Xbox 360</v>
      </c>
      <c r="R408" s="56" t="str">
        <f>IFERROR(__xludf.DUMMYFUNCTION("""COMPUTED_VALUE"""),"Active")</f>
        <v>Active</v>
      </c>
      <c r="S408" s="57">
        <f>IFERROR(__xludf.DUMMYFUNCTION("""COMPUTED_VALUE"""),45547.0)</f>
        <v>45547</v>
      </c>
      <c r="T408" s="60">
        <f>IFERROR(__xludf.DUMMYFUNCTION("""COMPUTED_VALUE"""),46.06666666666667)</f>
        <v>46.06666667</v>
      </c>
    </row>
    <row r="409">
      <c r="A409" s="55" t="str">
        <f>IFERROR(__xludf.DUMMYFUNCTION("""COMPUTED_VALUE"""),"Dead Space: Ignition")</f>
        <v>Dead Space: Ignition</v>
      </c>
      <c r="B409" s="55" t="str">
        <f>IFERROR(__xludf.DUMMYFUNCTION("""COMPUTED_VALUE"""),"Xbox")</f>
        <v>Xbox</v>
      </c>
      <c r="C409" s="55"/>
      <c r="D409" s="56" t="str">
        <f>IFERROR(__xludf.DUMMYFUNCTION("""COMPUTED_VALUE"""),"Active")</f>
        <v>Active</v>
      </c>
      <c r="E409" s="57">
        <f>IFERROR(__xludf.DUMMYFUNCTION("""COMPUTED_VALUE"""),44145.0)</f>
        <v>44145</v>
      </c>
      <c r="F409" s="58"/>
      <c r="G409" s="60">
        <f>IFERROR(__xludf.DUMMYFUNCTION("""COMPUTED_VALUE"""),70.86666666666667)</f>
        <v>70.86666667</v>
      </c>
      <c r="H409" s="63">
        <f>IFERROR(__xludf.DUMMYFUNCTION("""COMPUTED_VALUE"""),40463.0)</f>
        <v>40463</v>
      </c>
      <c r="I409" s="60">
        <f>IFERROR(__xludf.DUMMYFUNCTION("""COMPUTED_VALUE"""),10.077777777777778)</f>
        <v>10.07777778</v>
      </c>
      <c r="J409" s="64">
        <f>IFERROR(__xludf.DUMMYFUNCTION("""COMPUTED_VALUE"""),35.0)</f>
        <v>35</v>
      </c>
      <c r="K409" s="64">
        <f>IFERROR(__xludf.DUMMYFUNCTION("""COMPUTED_VALUE"""),1.5)</f>
        <v>1.5</v>
      </c>
      <c r="L409" s="55" t="str">
        <f>IFERROR(__xludf.DUMMYFUNCTION("""COMPUTED_VALUE"""),"Puzzle")</f>
        <v>Puzzle</v>
      </c>
      <c r="M409" s="55"/>
      <c r="N409" s="55"/>
      <c r="O409" s="55" t="str">
        <f>IFERROR(__xludf.DUMMYFUNCTION("""COMPUTED_VALUE"""),"M")</f>
        <v>M</v>
      </c>
      <c r="P409" s="55" t="str">
        <f>IFERROR(__xludf.DUMMYFUNCTION("""COMPUTED_VALUE"""),"Blood and Gore, Strong Language, Intense Violence")</f>
        <v>Blood and Gore, Strong Language, Intense Violence</v>
      </c>
      <c r="Q409" s="55" t="str">
        <f>IFERROR(__xludf.DUMMYFUNCTION("""COMPUTED_VALUE"""),"Xbox 360")</f>
        <v>Xbox 360</v>
      </c>
      <c r="R409" s="56" t="str">
        <f>IFERROR(__xludf.DUMMYFUNCTION("""COMPUTED_VALUE"""),"Active")</f>
        <v>Active</v>
      </c>
      <c r="S409" s="57">
        <f>IFERROR(__xludf.DUMMYFUNCTION("""COMPUTED_VALUE"""),45547.0)</f>
        <v>45547</v>
      </c>
      <c r="T409" s="60">
        <f>IFERROR(__xludf.DUMMYFUNCTION("""COMPUTED_VALUE"""),46.06666666666667)</f>
        <v>46.06666667</v>
      </c>
    </row>
    <row r="410">
      <c r="A410" s="55" t="str">
        <f>IFERROR(__xludf.DUMMYFUNCTION("""COMPUTED_VALUE"""),"Dragon Age II")</f>
        <v>Dragon Age II</v>
      </c>
      <c r="B410" s="55" t="str">
        <f>IFERROR(__xludf.DUMMYFUNCTION("""COMPUTED_VALUE"""),"Xbox / PC")</f>
        <v>Xbox / PC</v>
      </c>
      <c r="C410" s="55" t="str">
        <f>IFERROR(__xludf.DUMMYFUNCTION("""COMPUTED_VALUE"""),"Touch Controls")</f>
        <v>Touch Controls</v>
      </c>
      <c r="D410" s="56" t="str">
        <f>IFERROR(__xludf.DUMMYFUNCTION("""COMPUTED_VALUE"""),"Active")</f>
        <v>Active</v>
      </c>
      <c r="E410" s="57">
        <f>IFERROR(__xludf.DUMMYFUNCTION("""COMPUTED_VALUE"""),44145.0)</f>
        <v>44145</v>
      </c>
      <c r="F410" s="58"/>
      <c r="G410" s="60">
        <f>IFERROR(__xludf.DUMMYFUNCTION("""COMPUTED_VALUE"""),70.86666666666667)</f>
        <v>70.86666667</v>
      </c>
      <c r="H410" s="63">
        <f>IFERROR(__xludf.DUMMYFUNCTION("""COMPUTED_VALUE"""),40610.0)</f>
        <v>40610</v>
      </c>
      <c r="I410" s="60">
        <f>IFERROR(__xludf.DUMMYFUNCTION("""COMPUTED_VALUE"""),9.672222222222222)</f>
        <v>9.672222222</v>
      </c>
      <c r="J410" s="64">
        <f>IFERROR(__xludf.DUMMYFUNCTION("""COMPUTED_VALUE"""),79.0)</f>
        <v>79</v>
      </c>
      <c r="K410" s="64">
        <f>IFERROR(__xludf.DUMMYFUNCTION("""COMPUTED_VALUE"""),26.5)</f>
        <v>26.5</v>
      </c>
      <c r="L410" s="55" t="str">
        <f>IFERROR(__xludf.DUMMYFUNCTION("""COMPUTED_VALUE"""),"RPG")</f>
        <v>RPG</v>
      </c>
      <c r="M410" s="55" t="str">
        <f>IFERROR(__xludf.DUMMYFUNCTION("""COMPUTED_VALUE"""),"FPS Boost")</f>
        <v>FPS Boost</v>
      </c>
      <c r="N410" s="55" t="str">
        <f>IFERROR(__xludf.DUMMYFUNCTION("""COMPUTED_VALUE"""),"Added to cloud 4/7/22")</f>
        <v>Added to cloud 4/7/22</v>
      </c>
      <c r="O410" s="55" t="str">
        <f>IFERROR(__xludf.DUMMYFUNCTION("""COMPUTED_VALUE"""),"M")</f>
        <v>M</v>
      </c>
      <c r="P410" s="55" t="str">
        <f>IFERROR(__xludf.DUMMYFUNCTION("""COMPUTED_VALUE"""),"Blood and Gore, Sexual Content, Violence, Language")</f>
        <v>Blood and Gore, Sexual Content, Violence, Language</v>
      </c>
      <c r="Q410" s="55" t="str">
        <f>IFERROR(__xludf.DUMMYFUNCTION("""COMPUTED_VALUE"""),"Xbox 360")</f>
        <v>Xbox 360</v>
      </c>
      <c r="R410" s="56" t="str">
        <f>IFERROR(__xludf.DUMMYFUNCTION("""COMPUTED_VALUE"""),"Active")</f>
        <v>Active</v>
      </c>
      <c r="S410" s="57">
        <f>IFERROR(__xludf.DUMMYFUNCTION("""COMPUTED_VALUE"""),45547.0)</f>
        <v>45547</v>
      </c>
      <c r="T410" s="60">
        <f>IFERROR(__xludf.DUMMYFUNCTION("""COMPUTED_VALUE"""),46.06666666666667)</f>
        <v>46.06666667</v>
      </c>
    </row>
    <row r="411">
      <c r="A411" s="55" t="str">
        <f>IFERROR(__xludf.DUMMYFUNCTION("""COMPUTED_VALUE"""),"Dragon Age: Inquisition - Game of the Year Edition")</f>
        <v>Dragon Age: Inquisition - Game of the Year Edition</v>
      </c>
      <c r="B411" s="55" t="str">
        <f>IFERROR(__xludf.DUMMYFUNCTION("""COMPUTED_VALUE"""),"Xbox / PC")</f>
        <v>Xbox / PC</v>
      </c>
      <c r="C411" s="55" t="str">
        <f>IFERROR(__xludf.DUMMYFUNCTION("""COMPUTED_VALUE"""),"Yes")</f>
        <v>Yes</v>
      </c>
      <c r="D411" s="56" t="str">
        <f>IFERROR(__xludf.DUMMYFUNCTION("""COMPUTED_VALUE"""),"Active")</f>
        <v>Active</v>
      </c>
      <c r="E411" s="57">
        <f>IFERROR(__xludf.DUMMYFUNCTION("""COMPUTED_VALUE"""),44145.0)</f>
        <v>44145</v>
      </c>
      <c r="F411" s="58"/>
      <c r="G411" s="60">
        <f>IFERROR(__xludf.DUMMYFUNCTION("""COMPUTED_VALUE"""),70.86666666666667)</f>
        <v>70.86666667</v>
      </c>
      <c r="H411" s="63">
        <f>IFERROR(__xludf.DUMMYFUNCTION("""COMPUTED_VALUE"""),41961.0)</f>
        <v>41961</v>
      </c>
      <c r="I411" s="60">
        <f>IFERROR(__xludf.DUMMYFUNCTION("""COMPUTED_VALUE"""),5.977777777777778)</f>
        <v>5.977777778</v>
      </c>
      <c r="J411" s="64">
        <f>IFERROR(__xludf.DUMMYFUNCTION("""COMPUTED_VALUE"""),86.0)</f>
        <v>86</v>
      </c>
      <c r="K411" s="64">
        <f>IFERROR(__xludf.DUMMYFUNCTION("""COMPUTED_VALUE"""),46.5)</f>
        <v>46.5</v>
      </c>
      <c r="L411" s="55" t="str">
        <f>IFERROR(__xludf.DUMMYFUNCTION("""COMPUTED_VALUE"""),"RPG")</f>
        <v>RPG</v>
      </c>
      <c r="M411" s="55" t="str">
        <f>IFERROR(__xludf.DUMMYFUNCTION("""COMPUTED_VALUE"""),"FPS Boost")</f>
        <v>FPS Boost</v>
      </c>
      <c r="N411" s="55" t="str">
        <f>IFERROR(__xludf.DUMMYFUNCTION("""COMPUTED_VALUE"""),"Enhanced edition only on PC")</f>
        <v>Enhanced edition only on PC</v>
      </c>
      <c r="O411" s="55" t="str">
        <f>IFERROR(__xludf.DUMMYFUNCTION("""COMPUTED_VALUE"""),"M")</f>
        <v>M</v>
      </c>
      <c r="P411" s="55" t="str">
        <f>IFERROR(__xludf.DUMMYFUNCTION("""COMPUTED_VALUE"""),"Nudity, Blood, Sexual Content, Strong Language, Intense Violence")</f>
        <v>Nudity, Blood, Sexual Content, Strong Language, Intense Violence</v>
      </c>
      <c r="Q411" s="55"/>
      <c r="R411" s="56" t="str">
        <f>IFERROR(__xludf.DUMMYFUNCTION("""COMPUTED_VALUE"""),"Active")</f>
        <v>Active</v>
      </c>
      <c r="S411" s="57">
        <f>IFERROR(__xludf.DUMMYFUNCTION("""COMPUTED_VALUE"""),45547.0)</f>
        <v>45547</v>
      </c>
      <c r="T411" s="60">
        <f>IFERROR(__xludf.DUMMYFUNCTION("""COMPUTED_VALUE"""),46.06666666666667)</f>
        <v>46.06666667</v>
      </c>
    </row>
    <row r="412">
      <c r="A412" s="55" t="str">
        <f>IFERROR(__xludf.DUMMYFUNCTION("""COMPUTED_VALUE"""),"Dragon Age: Origins - Ultimate Edition")</f>
        <v>Dragon Age: Origins - Ultimate Edition</v>
      </c>
      <c r="B412" s="55" t="str">
        <f>IFERROR(__xludf.DUMMYFUNCTION("""COMPUTED_VALUE"""),"Xbox / PC")</f>
        <v>Xbox / PC</v>
      </c>
      <c r="C412" s="55" t="str">
        <f>IFERROR(__xludf.DUMMYFUNCTION("""COMPUTED_VALUE"""),"Touch Controls")</f>
        <v>Touch Controls</v>
      </c>
      <c r="D412" s="56" t="str">
        <f>IFERROR(__xludf.DUMMYFUNCTION("""COMPUTED_VALUE"""),"Active")</f>
        <v>Active</v>
      </c>
      <c r="E412" s="57">
        <f>IFERROR(__xludf.DUMMYFUNCTION("""COMPUTED_VALUE"""),44145.0)</f>
        <v>44145</v>
      </c>
      <c r="F412" s="58"/>
      <c r="G412" s="60">
        <f>IFERROR(__xludf.DUMMYFUNCTION("""COMPUTED_VALUE"""),70.86666666666667)</f>
        <v>70.86666667</v>
      </c>
      <c r="H412" s="63">
        <f>IFERROR(__xludf.DUMMYFUNCTION("""COMPUTED_VALUE"""),40120.0)</f>
        <v>40120</v>
      </c>
      <c r="I412" s="60">
        <f>IFERROR(__xludf.DUMMYFUNCTION("""COMPUTED_VALUE"""),11.019444444444444)</f>
        <v>11.01944444</v>
      </c>
      <c r="J412" s="64">
        <f>IFERROR(__xludf.DUMMYFUNCTION("""COMPUTED_VALUE"""),86.0)</f>
        <v>86</v>
      </c>
      <c r="K412" s="64">
        <f>IFERROR(__xludf.DUMMYFUNCTION("""COMPUTED_VALUE"""),40.5)</f>
        <v>40.5</v>
      </c>
      <c r="L412" s="55" t="str">
        <f>IFERROR(__xludf.DUMMYFUNCTION("""COMPUTED_VALUE"""),"RPG")</f>
        <v>RPG</v>
      </c>
      <c r="M412" s="55" t="str">
        <f>IFERROR(__xludf.DUMMYFUNCTION("""COMPUTED_VALUE"""),"FPS Boost")</f>
        <v>FPS Boost</v>
      </c>
      <c r="N412" s="55" t="str">
        <f>IFERROR(__xludf.DUMMYFUNCTION("""COMPUTED_VALUE"""),"Enhanced edition only on PC")</f>
        <v>Enhanced edition only on PC</v>
      </c>
      <c r="O412" s="55" t="str">
        <f>IFERROR(__xludf.DUMMYFUNCTION("""COMPUTED_VALUE"""),"M")</f>
        <v>M</v>
      </c>
      <c r="P412" s="55" t="str">
        <f>IFERROR(__xludf.DUMMYFUNCTION("""COMPUTED_VALUE"""),"Blood, Intense Violence, Language, Partial Nudity, Sexual Themes")</f>
        <v>Blood, Intense Violence, Language, Partial Nudity, Sexual Themes</v>
      </c>
      <c r="Q412" s="55" t="str">
        <f>IFERROR(__xludf.DUMMYFUNCTION("""COMPUTED_VALUE"""),"Xbox 360")</f>
        <v>Xbox 360</v>
      </c>
      <c r="R412" s="56" t="str">
        <f>IFERROR(__xludf.DUMMYFUNCTION("""COMPUTED_VALUE"""),"Active")</f>
        <v>Active</v>
      </c>
      <c r="S412" s="57">
        <f>IFERROR(__xludf.DUMMYFUNCTION("""COMPUTED_VALUE"""),45547.0)</f>
        <v>45547</v>
      </c>
      <c r="T412" s="60">
        <f>IFERROR(__xludf.DUMMYFUNCTION("""COMPUTED_VALUE"""),46.06666666666667)</f>
        <v>46.06666667</v>
      </c>
    </row>
    <row r="413">
      <c r="A413" s="55" t="str">
        <f>IFERROR(__xludf.DUMMYFUNCTION("""COMPUTED_VALUE"""),"Fe")</f>
        <v>Fe</v>
      </c>
      <c r="B413" s="55" t="str">
        <f>IFERROR(__xludf.DUMMYFUNCTION("""COMPUTED_VALUE"""),"Xbox / PC")</f>
        <v>Xbox / PC</v>
      </c>
      <c r="C413" s="55"/>
      <c r="D413" s="56" t="str">
        <f>IFERROR(__xludf.DUMMYFUNCTION("""COMPUTED_VALUE"""),"Active")</f>
        <v>Active</v>
      </c>
      <c r="E413" s="57">
        <f>IFERROR(__xludf.DUMMYFUNCTION("""COMPUTED_VALUE"""),44145.0)</f>
        <v>44145</v>
      </c>
      <c r="F413" s="58"/>
      <c r="G413" s="60">
        <f>IFERROR(__xludf.DUMMYFUNCTION("""COMPUTED_VALUE"""),70.86666666666667)</f>
        <v>70.86666667</v>
      </c>
      <c r="H413" s="63">
        <f>IFERROR(__xludf.DUMMYFUNCTION("""COMPUTED_VALUE"""),43147.0)</f>
        <v>43147</v>
      </c>
      <c r="I413" s="60">
        <f>IFERROR(__xludf.DUMMYFUNCTION("""COMPUTED_VALUE"""),2.7333333333333334)</f>
        <v>2.733333333</v>
      </c>
      <c r="J413" s="64">
        <f>IFERROR(__xludf.DUMMYFUNCTION("""COMPUTED_VALUE"""),70.0)</f>
        <v>70</v>
      </c>
      <c r="K413" s="64">
        <f>IFERROR(__xludf.DUMMYFUNCTION("""COMPUTED_VALUE"""),5.5)</f>
        <v>5.5</v>
      </c>
      <c r="L413" s="55" t="str">
        <f>IFERROR(__xludf.DUMMYFUNCTION("""COMPUTED_VALUE"""),"Action-Adventure")</f>
        <v>Action-Adventure</v>
      </c>
      <c r="M413" s="55"/>
      <c r="N413" s="55"/>
      <c r="O413" s="55" t="str">
        <f>IFERROR(__xludf.DUMMYFUNCTION("""COMPUTED_VALUE"""),"E")</f>
        <v>E</v>
      </c>
      <c r="P413" s="55" t="str">
        <f>IFERROR(__xludf.DUMMYFUNCTION("""COMPUTED_VALUE"""),"Mild Fantasy Violence")</f>
        <v>Mild Fantasy Violence</v>
      </c>
      <c r="Q413" s="55"/>
      <c r="R413" s="56" t="str">
        <f>IFERROR(__xludf.DUMMYFUNCTION("""COMPUTED_VALUE"""),"Active")</f>
        <v>Active</v>
      </c>
      <c r="S413" s="57">
        <f>IFERROR(__xludf.DUMMYFUNCTION("""COMPUTED_VALUE"""),45547.0)</f>
        <v>45547</v>
      </c>
      <c r="T413" s="60">
        <f>IFERROR(__xludf.DUMMYFUNCTION("""COMPUTED_VALUE"""),46.06666666666667)</f>
        <v>46.06666667</v>
      </c>
    </row>
    <row r="414">
      <c r="A414" s="55" t="str">
        <f>IFERROR(__xludf.DUMMYFUNCTION("""COMPUTED_VALUE"""),"Feeding Frenzy")</f>
        <v>Feeding Frenzy</v>
      </c>
      <c r="B414" s="55" t="str">
        <f>IFERROR(__xludf.DUMMYFUNCTION("""COMPUTED_VALUE"""),"Xbox")</f>
        <v>Xbox</v>
      </c>
      <c r="C414" s="55"/>
      <c r="D414" s="56" t="str">
        <f>IFERROR(__xludf.DUMMYFUNCTION("""COMPUTED_VALUE"""),"Active")</f>
        <v>Active</v>
      </c>
      <c r="E414" s="57">
        <f>IFERROR(__xludf.DUMMYFUNCTION("""COMPUTED_VALUE"""),44145.0)</f>
        <v>44145</v>
      </c>
      <c r="F414" s="58"/>
      <c r="G414" s="60">
        <f>IFERROR(__xludf.DUMMYFUNCTION("""COMPUTED_VALUE"""),70.86666666666667)</f>
        <v>70.86666667</v>
      </c>
      <c r="H414" s="63">
        <f>IFERROR(__xludf.DUMMYFUNCTION("""COMPUTED_VALUE"""),38791.0)</f>
        <v>38791</v>
      </c>
      <c r="I414" s="60">
        <f>IFERROR(__xludf.DUMMYFUNCTION("""COMPUTED_VALUE"""),14.652777777777779)</f>
        <v>14.65277778</v>
      </c>
      <c r="J414" s="64">
        <f>IFERROR(__xludf.DUMMYFUNCTION("""COMPUTED_VALUE"""),65.0)</f>
        <v>65</v>
      </c>
      <c r="K414" s="64">
        <f>IFERROR(__xludf.DUMMYFUNCTION("""COMPUTED_VALUE"""),2.0)</f>
        <v>2</v>
      </c>
      <c r="L414" s="55" t="str">
        <f>IFERROR(__xludf.DUMMYFUNCTION("""COMPUTED_VALUE"""),"Action")</f>
        <v>Action</v>
      </c>
      <c r="M414" s="55"/>
      <c r="N414" s="55"/>
      <c r="O414" s="55" t="str">
        <f>IFERROR(__xludf.DUMMYFUNCTION("""COMPUTED_VALUE"""),"E")</f>
        <v>E</v>
      </c>
      <c r="P414" s="55"/>
      <c r="Q414" s="55" t="str">
        <f>IFERROR(__xludf.DUMMYFUNCTION("""COMPUTED_VALUE"""),"Xbox 360")</f>
        <v>Xbox 360</v>
      </c>
      <c r="R414" s="56" t="str">
        <f>IFERROR(__xludf.DUMMYFUNCTION("""COMPUTED_VALUE"""),"Active")</f>
        <v>Active</v>
      </c>
      <c r="S414" s="57">
        <f>IFERROR(__xludf.DUMMYFUNCTION("""COMPUTED_VALUE"""),45547.0)</f>
        <v>45547</v>
      </c>
      <c r="T414" s="60">
        <f>IFERROR(__xludf.DUMMYFUNCTION("""COMPUTED_VALUE"""),46.06666666666667)</f>
        <v>46.06666667</v>
      </c>
    </row>
    <row r="415">
      <c r="A415" s="55" t="str">
        <f>IFERROR(__xludf.DUMMYFUNCTION("""COMPUTED_VALUE"""),"Feeding Frenzy 2: Shipwreck Showdown")</f>
        <v>Feeding Frenzy 2: Shipwreck Showdown</v>
      </c>
      <c r="B415" s="55" t="str">
        <f>IFERROR(__xludf.DUMMYFUNCTION("""COMPUTED_VALUE"""),"Xbox")</f>
        <v>Xbox</v>
      </c>
      <c r="C415" s="55"/>
      <c r="D415" s="56" t="str">
        <f>IFERROR(__xludf.DUMMYFUNCTION("""COMPUTED_VALUE"""),"Active")</f>
        <v>Active</v>
      </c>
      <c r="E415" s="57">
        <f>IFERROR(__xludf.DUMMYFUNCTION("""COMPUTED_VALUE"""),44145.0)</f>
        <v>44145</v>
      </c>
      <c r="F415" s="58"/>
      <c r="G415" s="60">
        <f>IFERROR(__xludf.DUMMYFUNCTION("""COMPUTED_VALUE"""),70.86666666666667)</f>
        <v>70.86666667</v>
      </c>
      <c r="H415" s="63">
        <f>IFERROR(__xludf.DUMMYFUNCTION("""COMPUTED_VALUE"""),38754.0)</f>
        <v>38754</v>
      </c>
      <c r="I415" s="60">
        <f>IFERROR(__xludf.DUMMYFUNCTION("""COMPUTED_VALUE"""),14.761111111111111)</f>
        <v>14.76111111</v>
      </c>
      <c r="J415" s="64">
        <f>IFERROR(__xludf.DUMMYFUNCTION("""COMPUTED_VALUE"""),65.0)</f>
        <v>65</v>
      </c>
      <c r="K415" s="64">
        <f>IFERROR(__xludf.DUMMYFUNCTION("""COMPUTED_VALUE"""),2.5)</f>
        <v>2.5</v>
      </c>
      <c r="L415" s="55" t="str">
        <f>IFERROR(__xludf.DUMMYFUNCTION("""COMPUTED_VALUE"""),"Action")</f>
        <v>Action</v>
      </c>
      <c r="M415" s="55"/>
      <c r="N415" s="55"/>
      <c r="O415" s="55" t="str">
        <f>IFERROR(__xludf.DUMMYFUNCTION("""COMPUTED_VALUE"""),"E")</f>
        <v>E</v>
      </c>
      <c r="P415" s="55" t="str">
        <f>IFERROR(__xludf.DUMMYFUNCTION("""COMPUTED_VALUE"""),"Comic Mischief")</f>
        <v>Comic Mischief</v>
      </c>
      <c r="Q415" s="55" t="str">
        <f>IFERROR(__xludf.DUMMYFUNCTION("""COMPUTED_VALUE"""),"Xbox 360")</f>
        <v>Xbox 360</v>
      </c>
      <c r="R415" s="56" t="str">
        <f>IFERROR(__xludf.DUMMYFUNCTION("""COMPUTED_VALUE"""),"Active")</f>
        <v>Active</v>
      </c>
      <c r="S415" s="57">
        <f>IFERROR(__xludf.DUMMYFUNCTION("""COMPUTED_VALUE"""),45547.0)</f>
        <v>45547</v>
      </c>
      <c r="T415" s="60">
        <f>IFERROR(__xludf.DUMMYFUNCTION("""COMPUTED_VALUE"""),46.06666666666667)</f>
        <v>46.06666667</v>
      </c>
    </row>
    <row r="416">
      <c r="A416" s="55" t="str">
        <f>IFERROR(__xludf.DUMMYFUNCTION("""COMPUTED_VALUE"""),"Fight Night: Champion")</f>
        <v>Fight Night: Champion</v>
      </c>
      <c r="B416" s="55" t="str">
        <f>IFERROR(__xludf.DUMMYFUNCTION("""COMPUTED_VALUE"""),"Xbox")</f>
        <v>Xbox</v>
      </c>
      <c r="C416" s="55"/>
      <c r="D416" s="56" t="str">
        <f>IFERROR(__xludf.DUMMYFUNCTION("""COMPUTED_VALUE"""),"Active")</f>
        <v>Active</v>
      </c>
      <c r="E416" s="57">
        <f>IFERROR(__xludf.DUMMYFUNCTION("""COMPUTED_VALUE"""),44145.0)</f>
        <v>44145</v>
      </c>
      <c r="F416" s="58"/>
      <c r="G416" s="60">
        <f>IFERROR(__xludf.DUMMYFUNCTION("""COMPUTED_VALUE"""),70.86666666666667)</f>
        <v>70.86666667</v>
      </c>
      <c r="H416" s="63">
        <f>IFERROR(__xludf.DUMMYFUNCTION("""COMPUTED_VALUE"""),40603.0)</f>
        <v>40603</v>
      </c>
      <c r="I416" s="60">
        <f>IFERROR(__xludf.DUMMYFUNCTION("""COMPUTED_VALUE"""),9.691666666666666)</f>
        <v>9.691666667</v>
      </c>
      <c r="J416" s="64">
        <f>IFERROR(__xludf.DUMMYFUNCTION("""COMPUTED_VALUE"""),86.0)</f>
        <v>86</v>
      </c>
      <c r="K416" s="64">
        <f>IFERROR(__xludf.DUMMYFUNCTION("""COMPUTED_VALUE"""),4.5)</f>
        <v>4.5</v>
      </c>
      <c r="L416" s="55" t="str">
        <f>IFERROR(__xludf.DUMMYFUNCTION("""COMPUTED_VALUE"""),"Boxing")</f>
        <v>Boxing</v>
      </c>
      <c r="M416" s="55"/>
      <c r="N416" s="55"/>
      <c r="O416" s="55" t="str">
        <f>IFERROR(__xludf.DUMMYFUNCTION("""COMPUTED_VALUE"""),"M")</f>
        <v>M</v>
      </c>
      <c r="P416" s="55" t="str">
        <f>IFERROR(__xludf.DUMMYFUNCTION("""COMPUTED_VALUE"""),"Blood, Suggestive Themes, Strong Language, Violence")</f>
        <v>Blood, Suggestive Themes, Strong Language, Violence</v>
      </c>
      <c r="Q416" s="55" t="str">
        <f>IFERROR(__xludf.DUMMYFUNCTION("""COMPUTED_VALUE"""),"Xbox 360")</f>
        <v>Xbox 360</v>
      </c>
      <c r="R416" s="56" t="str">
        <f>IFERROR(__xludf.DUMMYFUNCTION("""COMPUTED_VALUE"""),"Active")</f>
        <v>Active</v>
      </c>
      <c r="S416" s="57">
        <f>IFERROR(__xludf.DUMMYFUNCTION("""COMPUTED_VALUE"""),45547.0)</f>
        <v>45547</v>
      </c>
      <c r="T416" s="60">
        <f>IFERROR(__xludf.DUMMYFUNCTION("""COMPUTED_VALUE"""),46.06666666666667)</f>
        <v>46.06666667</v>
      </c>
    </row>
    <row r="417">
      <c r="A417" s="55" t="str">
        <f>IFERROR(__xludf.DUMMYFUNCTION("""COMPUTED_VALUE"""),"Mass Effect 2: Digital Deluxe Edition")</f>
        <v>Mass Effect 2: Digital Deluxe Edition</v>
      </c>
      <c r="B417" s="55" t="str">
        <f>IFERROR(__xludf.DUMMYFUNCTION("""COMPUTED_VALUE"""),"Xbox / PC")</f>
        <v>Xbox / PC</v>
      </c>
      <c r="C417" s="55"/>
      <c r="D417" s="56" t="str">
        <f>IFERROR(__xludf.DUMMYFUNCTION("""COMPUTED_VALUE"""),"Active")</f>
        <v>Active</v>
      </c>
      <c r="E417" s="57">
        <f>IFERROR(__xludf.DUMMYFUNCTION("""COMPUTED_VALUE"""),44145.0)</f>
        <v>44145</v>
      </c>
      <c r="F417" s="58"/>
      <c r="G417" s="60">
        <f>IFERROR(__xludf.DUMMYFUNCTION("""COMPUTED_VALUE"""),70.86666666666667)</f>
        <v>70.86666667</v>
      </c>
      <c r="H417" s="63">
        <f>IFERROR(__xludf.DUMMYFUNCTION("""COMPUTED_VALUE"""),40204.0)</f>
        <v>40204</v>
      </c>
      <c r="I417" s="60">
        <f>IFERROR(__xludf.DUMMYFUNCTION("""COMPUTED_VALUE"""),10.78888888888889)</f>
        <v>10.78888889</v>
      </c>
      <c r="J417" s="64">
        <f>IFERROR(__xludf.DUMMYFUNCTION("""COMPUTED_VALUE"""),96.0)</f>
        <v>96</v>
      </c>
      <c r="K417" s="64">
        <f>IFERROR(__xludf.DUMMYFUNCTION("""COMPUTED_VALUE"""),24.5)</f>
        <v>24.5</v>
      </c>
      <c r="L417" s="55" t="str">
        <f>IFERROR(__xludf.DUMMYFUNCTION("""COMPUTED_VALUE"""),"RPG")</f>
        <v>RPG</v>
      </c>
      <c r="M417" s="55"/>
      <c r="N417" s="55" t="str">
        <f>IFERROR(__xludf.DUMMYFUNCTION("""COMPUTED_VALUE"""),"Enhanced edition only on PC")</f>
        <v>Enhanced edition only on PC</v>
      </c>
      <c r="O417" s="55" t="str">
        <f>IFERROR(__xludf.DUMMYFUNCTION("""COMPUTED_VALUE"""),"M")</f>
        <v>M</v>
      </c>
      <c r="P417" s="55" t="str">
        <f>IFERROR(__xludf.DUMMYFUNCTION("""COMPUTED_VALUE"""),"Blood, Sexual Content, Drug Reference, Strong Language, Violence")</f>
        <v>Blood, Sexual Content, Drug Reference, Strong Language, Violence</v>
      </c>
      <c r="Q417" s="55" t="str">
        <f>IFERROR(__xludf.DUMMYFUNCTION("""COMPUTED_VALUE"""),"Xbox 360")</f>
        <v>Xbox 360</v>
      </c>
      <c r="R417" s="56" t="str">
        <f>IFERROR(__xludf.DUMMYFUNCTION("""COMPUTED_VALUE"""),"Active")</f>
        <v>Active</v>
      </c>
      <c r="S417" s="57">
        <f>IFERROR(__xludf.DUMMYFUNCTION("""COMPUTED_VALUE"""),45547.0)</f>
        <v>45547</v>
      </c>
      <c r="T417" s="60">
        <f>IFERROR(__xludf.DUMMYFUNCTION("""COMPUTED_VALUE"""),46.06666666666667)</f>
        <v>46.06666667</v>
      </c>
    </row>
    <row r="418">
      <c r="A418" s="55" t="str">
        <f>IFERROR(__xludf.DUMMYFUNCTION("""COMPUTED_VALUE"""),"Mass Effect 3: N7 Digital Deluxe Edition")</f>
        <v>Mass Effect 3: N7 Digital Deluxe Edition</v>
      </c>
      <c r="B418" s="55" t="str">
        <f>IFERROR(__xludf.DUMMYFUNCTION("""COMPUTED_VALUE"""),"Xbox / PC")</f>
        <v>Xbox / PC</v>
      </c>
      <c r="C418" s="55"/>
      <c r="D418" s="56" t="str">
        <f>IFERROR(__xludf.DUMMYFUNCTION("""COMPUTED_VALUE"""),"Active")</f>
        <v>Active</v>
      </c>
      <c r="E418" s="57">
        <f>IFERROR(__xludf.DUMMYFUNCTION("""COMPUTED_VALUE"""),44145.0)</f>
        <v>44145</v>
      </c>
      <c r="F418" s="58"/>
      <c r="G418" s="60">
        <f>IFERROR(__xludf.DUMMYFUNCTION("""COMPUTED_VALUE"""),70.86666666666667)</f>
        <v>70.86666667</v>
      </c>
      <c r="H418" s="63">
        <f>IFERROR(__xludf.DUMMYFUNCTION("""COMPUTED_VALUE"""),40974.0)</f>
        <v>40974</v>
      </c>
      <c r="I418" s="60">
        <f>IFERROR(__xludf.DUMMYFUNCTION("""COMPUTED_VALUE"""),8.677777777777777)</f>
        <v>8.677777778</v>
      </c>
      <c r="J418" s="64">
        <f>IFERROR(__xludf.DUMMYFUNCTION("""COMPUTED_VALUE"""),93.0)</f>
        <v>93</v>
      </c>
      <c r="K418" s="64">
        <f>IFERROR(__xludf.DUMMYFUNCTION("""COMPUTED_VALUE"""),24.0)</f>
        <v>24</v>
      </c>
      <c r="L418" s="55" t="str">
        <f>IFERROR(__xludf.DUMMYFUNCTION("""COMPUTED_VALUE"""),"Shooter")</f>
        <v>Shooter</v>
      </c>
      <c r="M418" s="55"/>
      <c r="N418" s="55" t="str">
        <f>IFERROR(__xludf.DUMMYFUNCTION("""COMPUTED_VALUE"""),"Enhanced edition only on PC")</f>
        <v>Enhanced edition only on PC</v>
      </c>
      <c r="O418" s="55" t="str">
        <f>IFERROR(__xludf.DUMMYFUNCTION("""COMPUTED_VALUE"""),"M")</f>
        <v>M</v>
      </c>
      <c r="P418" s="55" t="str">
        <f>IFERROR(__xludf.DUMMYFUNCTION("""COMPUTED_VALUE"""),"Blood, Sexual Content, Partial Nudity, Strong Language, Violence")</f>
        <v>Blood, Sexual Content, Partial Nudity, Strong Language, Violence</v>
      </c>
      <c r="Q418" s="55" t="str">
        <f>IFERROR(__xludf.DUMMYFUNCTION("""COMPUTED_VALUE"""),"Xbox 360")</f>
        <v>Xbox 360</v>
      </c>
      <c r="R418" s="56" t="str">
        <f>IFERROR(__xludf.DUMMYFUNCTION("""COMPUTED_VALUE"""),"Active")</f>
        <v>Active</v>
      </c>
      <c r="S418" s="57">
        <f>IFERROR(__xludf.DUMMYFUNCTION("""COMPUTED_VALUE"""),45547.0)</f>
        <v>45547</v>
      </c>
      <c r="T418" s="60">
        <f>IFERROR(__xludf.DUMMYFUNCTION("""COMPUTED_VALUE"""),46.06666666666667)</f>
        <v>46.06666667</v>
      </c>
    </row>
    <row r="419">
      <c r="A419" s="55" t="str">
        <f>IFERROR(__xludf.DUMMYFUNCTION("""COMPUTED_VALUE"""),"Mass Effect: Andromeda - Deluxe Edition")</f>
        <v>Mass Effect: Andromeda - Deluxe Edition</v>
      </c>
      <c r="B419" s="55" t="str">
        <f>IFERROR(__xludf.DUMMYFUNCTION("""COMPUTED_VALUE"""),"Xbox / PC")</f>
        <v>Xbox / PC</v>
      </c>
      <c r="C419" s="55" t="str">
        <f>IFERROR(__xludf.DUMMYFUNCTION("""COMPUTED_VALUE"""),"Yes")</f>
        <v>Yes</v>
      </c>
      <c r="D419" s="56" t="str">
        <f>IFERROR(__xludf.DUMMYFUNCTION("""COMPUTED_VALUE"""),"Active")</f>
        <v>Active</v>
      </c>
      <c r="E419" s="57">
        <f>IFERROR(__xludf.DUMMYFUNCTION("""COMPUTED_VALUE"""),44145.0)</f>
        <v>44145</v>
      </c>
      <c r="F419" s="58"/>
      <c r="G419" s="60">
        <f>IFERROR(__xludf.DUMMYFUNCTION("""COMPUTED_VALUE"""),70.86666666666667)</f>
        <v>70.86666667</v>
      </c>
      <c r="H419" s="63">
        <f>IFERROR(__xludf.DUMMYFUNCTION("""COMPUTED_VALUE"""),42815.0)</f>
        <v>42815</v>
      </c>
      <c r="I419" s="60">
        <f>IFERROR(__xludf.DUMMYFUNCTION("""COMPUTED_VALUE"""),3.636111111111111)</f>
        <v>3.636111111</v>
      </c>
      <c r="J419" s="64">
        <f>IFERROR(__xludf.DUMMYFUNCTION("""COMPUTED_VALUE"""),76.0)</f>
        <v>76</v>
      </c>
      <c r="K419" s="64">
        <f>IFERROR(__xludf.DUMMYFUNCTION("""COMPUTED_VALUE"""),18.5)</f>
        <v>18.5</v>
      </c>
      <c r="L419" s="55" t="str">
        <f>IFERROR(__xludf.DUMMYFUNCTION("""COMPUTED_VALUE"""),"RPG")</f>
        <v>RPG</v>
      </c>
      <c r="M419" s="55"/>
      <c r="N419" s="55" t="str">
        <f>IFERROR(__xludf.DUMMYFUNCTION("""COMPUTED_VALUE"""),"Enhanced edition only on PC")</f>
        <v>Enhanced edition only on PC</v>
      </c>
      <c r="O419" s="55" t="str">
        <f>IFERROR(__xludf.DUMMYFUNCTION("""COMPUTED_VALUE"""),"M")</f>
        <v>M</v>
      </c>
      <c r="P419" s="55" t="str">
        <f>IFERROR(__xludf.DUMMYFUNCTION("""COMPUTED_VALUE"""),"Nudity, Blood, Strong Sexual Content, Strong Language, Violence")</f>
        <v>Nudity, Blood, Strong Sexual Content, Strong Language, Violence</v>
      </c>
      <c r="Q419" s="55"/>
      <c r="R419" s="56" t="str">
        <f>IFERROR(__xludf.DUMMYFUNCTION("""COMPUTED_VALUE"""),"Active")</f>
        <v>Active</v>
      </c>
      <c r="S419" s="57">
        <f>IFERROR(__xludf.DUMMYFUNCTION("""COMPUTED_VALUE"""),45547.0)</f>
        <v>45547</v>
      </c>
      <c r="T419" s="60">
        <f>IFERROR(__xludf.DUMMYFUNCTION("""COMPUTED_VALUE"""),46.06666666666667)</f>
        <v>46.06666667</v>
      </c>
    </row>
    <row r="420">
      <c r="A420" s="55" t="str">
        <f>IFERROR(__xludf.DUMMYFUNCTION("""COMPUTED_VALUE"""),"Medal of Honor: Airborne")</f>
        <v>Medal of Honor: Airborne</v>
      </c>
      <c r="B420" s="55" t="str">
        <f>IFERROR(__xludf.DUMMYFUNCTION("""COMPUTED_VALUE"""),"Xbox / PC")</f>
        <v>Xbox / PC</v>
      </c>
      <c r="C420" s="55"/>
      <c r="D420" s="56" t="str">
        <f>IFERROR(__xludf.DUMMYFUNCTION("""COMPUTED_VALUE"""),"Active")</f>
        <v>Active</v>
      </c>
      <c r="E420" s="57">
        <f>IFERROR(__xludf.DUMMYFUNCTION("""COMPUTED_VALUE"""),44145.0)</f>
        <v>44145</v>
      </c>
      <c r="F420" s="58"/>
      <c r="G420" s="60">
        <f>IFERROR(__xludf.DUMMYFUNCTION("""COMPUTED_VALUE"""),70.86666666666667)</f>
        <v>70.86666667</v>
      </c>
      <c r="H420" s="63">
        <f>IFERROR(__xludf.DUMMYFUNCTION("""COMPUTED_VALUE"""),39329.0)</f>
        <v>39329</v>
      </c>
      <c r="I420" s="60">
        <f>IFERROR(__xludf.DUMMYFUNCTION("""COMPUTED_VALUE"""),13.183333333333334)</f>
        <v>13.18333333</v>
      </c>
      <c r="J420" s="64">
        <f>IFERROR(__xludf.DUMMYFUNCTION("""COMPUTED_VALUE"""),73.0)</f>
        <v>73</v>
      </c>
      <c r="K420" s="64">
        <f>IFERROR(__xludf.DUMMYFUNCTION("""COMPUTED_VALUE"""),6.0)</f>
        <v>6</v>
      </c>
      <c r="L420" s="55" t="str">
        <f>IFERROR(__xludf.DUMMYFUNCTION("""COMPUTED_VALUE"""),"Shooter")</f>
        <v>Shooter</v>
      </c>
      <c r="M420" s="55" t="str">
        <f>IFERROR(__xludf.DUMMYFUNCTION("""COMPUTED_VALUE"""),"FPS Boost")</f>
        <v>FPS Boost</v>
      </c>
      <c r="N420" s="55"/>
      <c r="O420" s="55" t="str">
        <f>IFERROR(__xludf.DUMMYFUNCTION("""COMPUTED_VALUE"""),"M")</f>
        <v>M</v>
      </c>
      <c r="P420" s="55" t="str">
        <f>IFERROR(__xludf.DUMMYFUNCTION("""COMPUTED_VALUE"""),"Blood, Strong Language, Violence")</f>
        <v>Blood, Strong Language, Violence</v>
      </c>
      <c r="Q420" s="55" t="str">
        <f>IFERROR(__xludf.DUMMYFUNCTION("""COMPUTED_VALUE"""),"Xbox 360")</f>
        <v>Xbox 360</v>
      </c>
      <c r="R420" s="56" t="str">
        <f>IFERROR(__xludf.DUMMYFUNCTION("""COMPUTED_VALUE"""),"Active")</f>
        <v>Active</v>
      </c>
      <c r="S420" s="57">
        <f>IFERROR(__xludf.DUMMYFUNCTION("""COMPUTED_VALUE"""),45547.0)</f>
        <v>45547</v>
      </c>
      <c r="T420" s="60">
        <f>IFERROR(__xludf.DUMMYFUNCTION("""COMPUTED_VALUE"""),46.06666666666667)</f>
        <v>46.06666667</v>
      </c>
    </row>
    <row r="421">
      <c r="A421" s="55" t="str">
        <f>IFERROR(__xludf.DUMMYFUNCTION("""COMPUTED_VALUE"""),"Mirror's Edge")</f>
        <v>Mirror's Edge</v>
      </c>
      <c r="B421" s="55" t="str">
        <f>IFERROR(__xludf.DUMMYFUNCTION("""COMPUTED_VALUE"""),"Xbox / PC")</f>
        <v>Xbox / PC</v>
      </c>
      <c r="C421" s="55"/>
      <c r="D421" s="56" t="str">
        <f>IFERROR(__xludf.DUMMYFUNCTION("""COMPUTED_VALUE"""),"Active")</f>
        <v>Active</v>
      </c>
      <c r="E421" s="57">
        <f>IFERROR(__xludf.DUMMYFUNCTION("""COMPUTED_VALUE"""),44145.0)</f>
        <v>44145</v>
      </c>
      <c r="F421" s="58"/>
      <c r="G421" s="60">
        <f>IFERROR(__xludf.DUMMYFUNCTION("""COMPUTED_VALUE"""),70.86666666666667)</f>
        <v>70.86666667</v>
      </c>
      <c r="H421" s="63">
        <f>IFERROR(__xludf.DUMMYFUNCTION("""COMPUTED_VALUE"""),40269.0)</f>
        <v>40269</v>
      </c>
      <c r="I421" s="60">
        <f>IFERROR(__xludf.DUMMYFUNCTION("""COMPUTED_VALUE"""),10.608333333333333)</f>
        <v>10.60833333</v>
      </c>
      <c r="J421" s="64">
        <f>IFERROR(__xludf.DUMMYFUNCTION("""COMPUTED_VALUE"""),79.0)</f>
        <v>79</v>
      </c>
      <c r="K421" s="64">
        <f>IFERROR(__xludf.DUMMYFUNCTION("""COMPUTED_VALUE"""),6.0)</f>
        <v>6</v>
      </c>
      <c r="L421" s="55" t="str">
        <f>IFERROR(__xludf.DUMMYFUNCTION("""COMPUTED_VALUE"""),"Platformer")</f>
        <v>Platformer</v>
      </c>
      <c r="M421" s="55" t="str">
        <f>IFERROR(__xludf.DUMMYFUNCTION("""COMPUTED_VALUE"""),"FPS Boost")</f>
        <v>FPS Boost</v>
      </c>
      <c r="N421" s="55"/>
      <c r="O421" s="55" t="str">
        <f>IFERROR(__xludf.DUMMYFUNCTION("""COMPUTED_VALUE"""),"T")</f>
        <v>T</v>
      </c>
      <c r="P421" s="55" t="str">
        <f>IFERROR(__xludf.DUMMYFUNCTION("""COMPUTED_VALUE"""),"Blood, Violence, Language")</f>
        <v>Blood, Violence, Language</v>
      </c>
      <c r="Q421" s="55" t="str">
        <f>IFERROR(__xludf.DUMMYFUNCTION("""COMPUTED_VALUE"""),"Xbox 360")</f>
        <v>Xbox 360</v>
      </c>
      <c r="R421" s="56" t="str">
        <f>IFERROR(__xludf.DUMMYFUNCTION("""COMPUTED_VALUE"""),"Active")</f>
        <v>Active</v>
      </c>
      <c r="S421" s="57">
        <f>IFERROR(__xludf.DUMMYFUNCTION("""COMPUTED_VALUE"""),45547.0)</f>
        <v>45547</v>
      </c>
      <c r="T421" s="60">
        <f>IFERROR(__xludf.DUMMYFUNCTION("""COMPUTED_VALUE"""),46.06666666666667)</f>
        <v>46.06666667</v>
      </c>
    </row>
    <row r="422">
      <c r="A422" s="55" t="str">
        <f>IFERROR(__xludf.DUMMYFUNCTION("""COMPUTED_VALUE"""),"Mirror's Edge: Catalyst")</f>
        <v>Mirror's Edge: Catalyst</v>
      </c>
      <c r="B422" s="55" t="str">
        <f>IFERROR(__xludf.DUMMYFUNCTION("""COMPUTED_VALUE"""),"Xbox / PC")</f>
        <v>Xbox / PC</v>
      </c>
      <c r="C422" s="55" t="str">
        <f>IFERROR(__xludf.DUMMYFUNCTION("""COMPUTED_VALUE"""),"Yes")</f>
        <v>Yes</v>
      </c>
      <c r="D422" s="56" t="str">
        <f>IFERROR(__xludf.DUMMYFUNCTION("""COMPUTED_VALUE"""),"Active")</f>
        <v>Active</v>
      </c>
      <c r="E422" s="57">
        <f>IFERROR(__xludf.DUMMYFUNCTION("""COMPUTED_VALUE"""),44145.0)</f>
        <v>44145</v>
      </c>
      <c r="F422" s="58"/>
      <c r="G422" s="60">
        <f>IFERROR(__xludf.DUMMYFUNCTION("""COMPUTED_VALUE"""),70.86666666666667)</f>
        <v>70.86666667</v>
      </c>
      <c r="H422" s="63">
        <f>IFERROR(__xludf.DUMMYFUNCTION("""COMPUTED_VALUE"""),42528.0)</f>
        <v>42528</v>
      </c>
      <c r="I422" s="60">
        <f>IFERROR(__xludf.DUMMYFUNCTION("""COMPUTED_VALUE"""),4.425)</f>
        <v>4.425</v>
      </c>
      <c r="J422" s="64">
        <f>IFERROR(__xludf.DUMMYFUNCTION("""COMPUTED_VALUE"""),72.0)</f>
        <v>72</v>
      </c>
      <c r="K422" s="64">
        <f>IFERROR(__xludf.DUMMYFUNCTION("""COMPUTED_VALUE"""),8.5)</f>
        <v>8.5</v>
      </c>
      <c r="L422" s="55" t="str">
        <f>IFERROR(__xludf.DUMMYFUNCTION("""COMPUTED_VALUE"""),"Action-Adventure")</f>
        <v>Action-Adventure</v>
      </c>
      <c r="M422" s="55" t="str">
        <f>IFERROR(__xludf.DUMMYFUNCTION("""COMPUTED_VALUE"""),"FPS Boost X Only")</f>
        <v>FPS Boost X Only</v>
      </c>
      <c r="N422" s="55"/>
      <c r="O422" s="55" t="str">
        <f>IFERROR(__xludf.DUMMYFUNCTION("""COMPUTED_VALUE"""),"T")</f>
        <v>T</v>
      </c>
      <c r="P422" s="55" t="str">
        <f>IFERROR(__xludf.DUMMYFUNCTION("""COMPUTED_VALUE"""),"Mild Language, Violence")</f>
        <v>Mild Language, Violence</v>
      </c>
      <c r="Q422" s="55" t="str">
        <f>IFERROR(__xludf.DUMMYFUNCTION("""COMPUTED_VALUE"""),"Does not FPS boost on Series S")</f>
        <v>Does not FPS boost on Series S</v>
      </c>
      <c r="R422" s="56" t="str">
        <f>IFERROR(__xludf.DUMMYFUNCTION("""COMPUTED_VALUE"""),"Active")</f>
        <v>Active</v>
      </c>
      <c r="S422" s="57">
        <f>IFERROR(__xludf.DUMMYFUNCTION("""COMPUTED_VALUE"""),45547.0)</f>
        <v>45547</v>
      </c>
      <c r="T422" s="60">
        <f>IFERROR(__xludf.DUMMYFUNCTION("""COMPUTED_VALUE"""),46.06666666666667)</f>
        <v>46.06666667</v>
      </c>
    </row>
    <row r="423">
      <c r="A423" s="55" t="str">
        <f>IFERROR(__xludf.DUMMYFUNCTION("""COMPUTED_VALUE"""),"Need for Speed: Deluxe Edition")</f>
        <v>Need for Speed: Deluxe Edition</v>
      </c>
      <c r="B423" s="55" t="str">
        <f>IFERROR(__xludf.DUMMYFUNCTION("""COMPUTED_VALUE"""),"Xbox / PC")</f>
        <v>Xbox / PC</v>
      </c>
      <c r="C423" s="55"/>
      <c r="D423" s="56" t="str">
        <f>IFERROR(__xludf.DUMMYFUNCTION("""COMPUTED_VALUE"""),"Active")</f>
        <v>Active</v>
      </c>
      <c r="E423" s="57">
        <f>IFERROR(__xludf.DUMMYFUNCTION("""COMPUTED_VALUE"""),44145.0)</f>
        <v>44145</v>
      </c>
      <c r="F423" s="58"/>
      <c r="G423" s="60">
        <f>IFERROR(__xludf.DUMMYFUNCTION("""COMPUTED_VALUE"""),70.86666666666667)</f>
        <v>70.86666667</v>
      </c>
      <c r="H423" s="63">
        <f>IFERROR(__xludf.DUMMYFUNCTION("""COMPUTED_VALUE"""),42311.0)</f>
        <v>42311</v>
      </c>
      <c r="I423" s="60">
        <f>IFERROR(__xludf.DUMMYFUNCTION("""COMPUTED_VALUE"""),5.019444444444445)</f>
        <v>5.019444444</v>
      </c>
      <c r="J423" s="64">
        <f>IFERROR(__xludf.DUMMYFUNCTION("""COMPUTED_VALUE"""),65.0)</f>
        <v>65</v>
      </c>
      <c r="K423" s="64">
        <f>IFERROR(__xludf.DUMMYFUNCTION("""COMPUTED_VALUE"""),15.5)</f>
        <v>15.5</v>
      </c>
      <c r="L423" s="55" t="str">
        <f>IFERROR(__xludf.DUMMYFUNCTION("""COMPUTED_VALUE"""),"Racing")</f>
        <v>Racing</v>
      </c>
      <c r="M423" s="55"/>
      <c r="N423" s="55" t="str">
        <f>IFERROR(__xludf.DUMMYFUNCTION("""COMPUTED_VALUE"""),"Enhanced edition only on PC")</f>
        <v>Enhanced edition only on PC</v>
      </c>
      <c r="O423" s="55" t="str">
        <f>IFERROR(__xludf.DUMMYFUNCTION("""COMPUTED_VALUE"""),"T")</f>
        <v>T</v>
      </c>
      <c r="P423" s="55" t="str">
        <f>IFERROR(__xludf.DUMMYFUNCTION("""COMPUTED_VALUE"""),"Mild Violence, Language")</f>
        <v>Mild Violence, Language</v>
      </c>
      <c r="Q423" s="55"/>
      <c r="R423" s="56" t="str">
        <f>IFERROR(__xludf.DUMMYFUNCTION("""COMPUTED_VALUE"""),"Active")</f>
        <v>Active</v>
      </c>
      <c r="S423" s="57">
        <f>IFERROR(__xludf.DUMMYFUNCTION("""COMPUTED_VALUE"""),45547.0)</f>
        <v>45547</v>
      </c>
      <c r="T423" s="60">
        <f>IFERROR(__xludf.DUMMYFUNCTION("""COMPUTED_VALUE"""),46.06666666666667)</f>
        <v>46.06666667</v>
      </c>
    </row>
    <row r="424">
      <c r="A424" s="55" t="str">
        <f>IFERROR(__xludf.DUMMYFUNCTION("""COMPUTED_VALUE"""),"Need for Speed: Heat - Deluxe Edition")</f>
        <v>Need for Speed: Heat - Deluxe Edition</v>
      </c>
      <c r="B424" s="55" t="str">
        <f>IFERROR(__xludf.DUMMYFUNCTION("""COMPUTED_VALUE"""),"Xbox / PC")</f>
        <v>Xbox / PC</v>
      </c>
      <c r="C424" s="55" t="str">
        <f>IFERROR(__xludf.DUMMYFUNCTION("""COMPUTED_VALUE"""),"Touch Controls")</f>
        <v>Touch Controls</v>
      </c>
      <c r="D424" s="56" t="str">
        <f>IFERROR(__xludf.DUMMYFUNCTION("""COMPUTED_VALUE"""),"Active")</f>
        <v>Active</v>
      </c>
      <c r="E424" s="57">
        <f>IFERROR(__xludf.DUMMYFUNCTION("""COMPUTED_VALUE"""),44145.0)</f>
        <v>44145</v>
      </c>
      <c r="F424" s="58"/>
      <c r="G424" s="60">
        <f>IFERROR(__xludf.DUMMYFUNCTION("""COMPUTED_VALUE"""),70.86666666666667)</f>
        <v>70.86666667</v>
      </c>
      <c r="H424" s="63">
        <f>IFERROR(__xludf.DUMMYFUNCTION("""COMPUTED_VALUE"""),43777.0)</f>
        <v>43777</v>
      </c>
      <c r="I424" s="60">
        <f>IFERROR(__xludf.DUMMYFUNCTION("""COMPUTED_VALUE"""),1.0055555555555555)</f>
        <v>1.005555556</v>
      </c>
      <c r="J424" s="64">
        <f>IFERROR(__xludf.DUMMYFUNCTION("""COMPUTED_VALUE"""),74.0)</f>
        <v>74</v>
      </c>
      <c r="K424" s="64">
        <f>IFERROR(__xludf.DUMMYFUNCTION("""COMPUTED_VALUE"""),12.5)</f>
        <v>12.5</v>
      </c>
      <c r="L424" s="55" t="str">
        <f>IFERROR(__xludf.DUMMYFUNCTION("""COMPUTED_VALUE"""),"Racing")</f>
        <v>Racing</v>
      </c>
      <c r="M424" s="55"/>
      <c r="N424" s="55" t="str">
        <f>IFERROR(__xludf.DUMMYFUNCTION("""COMPUTED_VALUE"""),"Enhanced edition only on PC")</f>
        <v>Enhanced edition only on PC</v>
      </c>
      <c r="O424" s="55" t="str">
        <f>IFERROR(__xludf.DUMMYFUNCTION("""COMPUTED_VALUE"""),"T")</f>
        <v>T</v>
      </c>
      <c r="P424" s="55" t="str">
        <f>IFERROR(__xludf.DUMMYFUNCTION("""COMPUTED_VALUE"""),"Mild Violence, Language")</f>
        <v>Mild Violence, Language</v>
      </c>
      <c r="Q424" s="55"/>
      <c r="R424" s="56" t="str">
        <f>IFERROR(__xludf.DUMMYFUNCTION("""COMPUTED_VALUE"""),"Active")</f>
        <v>Active</v>
      </c>
      <c r="S424" s="57">
        <f>IFERROR(__xludf.DUMMYFUNCTION("""COMPUTED_VALUE"""),45547.0)</f>
        <v>45547</v>
      </c>
      <c r="T424" s="60">
        <f>IFERROR(__xludf.DUMMYFUNCTION("""COMPUTED_VALUE"""),46.06666666666667)</f>
        <v>46.06666667</v>
      </c>
    </row>
    <row r="425">
      <c r="A425" s="55" t="str">
        <f>IFERROR(__xludf.DUMMYFUNCTION("""COMPUTED_VALUE"""),"Need for Speed: Payback - Deluxe Edition")</f>
        <v>Need for Speed: Payback - Deluxe Edition</v>
      </c>
      <c r="B425" s="55" t="str">
        <f>IFERROR(__xludf.DUMMYFUNCTION("""COMPUTED_VALUE"""),"Xbox / PC")</f>
        <v>Xbox / PC</v>
      </c>
      <c r="C425" s="55"/>
      <c r="D425" s="56" t="str">
        <f>IFERROR(__xludf.DUMMYFUNCTION("""COMPUTED_VALUE"""),"Active")</f>
        <v>Active</v>
      </c>
      <c r="E425" s="57">
        <f>IFERROR(__xludf.DUMMYFUNCTION("""COMPUTED_VALUE"""),44145.0)</f>
        <v>44145</v>
      </c>
      <c r="F425" s="58"/>
      <c r="G425" s="60">
        <f>IFERROR(__xludf.DUMMYFUNCTION("""COMPUTED_VALUE"""),70.86666666666667)</f>
        <v>70.86666667</v>
      </c>
      <c r="H425" s="63">
        <f>IFERROR(__xludf.DUMMYFUNCTION("""COMPUTED_VALUE"""),43049.0)</f>
        <v>43049</v>
      </c>
      <c r="I425" s="60">
        <f>IFERROR(__xludf.DUMMYFUNCTION("""COMPUTED_VALUE"""),3.0)</f>
        <v>3</v>
      </c>
      <c r="J425" s="64">
        <f>IFERROR(__xludf.DUMMYFUNCTION("""COMPUTED_VALUE"""),61.0)</f>
        <v>61</v>
      </c>
      <c r="K425" s="64">
        <f>IFERROR(__xludf.DUMMYFUNCTION("""COMPUTED_VALUE"""),18.5)</f>
        <v>18.5</v>
      </c>
      <c r="L425" s="55" t="str">
        <f>IFERROR(__xludf.DUMMYFUNCTION("""COMPUTED_VALUE"""),"Racing")</f>
        <v>Racing</v>
      </c>
      <c r="M425" s="55"/>
      <c r="N425" s="55" t="str">
        <f>IFERROR(__xludf.DUMMYFUNCTION("""COMPUTED_VALUE"""),"Enhanced edition only on PC")</f>
        <v>Enhanced edition only on PC</v>
      </c>
      <c r="O425" s="55" t="str">
        <f>IFERROR(__xludf.DUMMYFUNCTION("""COMPUTED_VALUE"""),"T")</f>
        <v>T</v>
      </c>
      <c r="P425" s="55" t="str">
        <f>IFERROR(__xludf.DUMMYFUNCTION("""COMPUTED_VALUE"""),"Mild Violence, Mild Suggestive Themes, Language")</f>
        <v>Mild Violence, Mild Suggestive Themes, Language</v>
      </c>
      <c r="Q425" s="55"/>
      <c r="R425" s="56" t="str">
        <f>IFERROR(__xludf.DUMMYFUNCTION("""COMPUTED_VALUE"""),"Active")</f>
        <v>Active</v>
      </c>
      <c r="S425" s="57">
        <f>IFERROR(__xludf.DUMMYFUNCTION("""COMPUTED_VALUE"""),45547.0)</f>
        <v>45547</v>
      </c>
      <c r="T425" s="60">
        <f>IFERROR(__xludf.DUMMYFUNCTION("""COMPUTED_VALUE"""),46.06666666666667)</f>
        <v>46.06666667</v>
      </c>
    </row>
    <row r="426">
      <c r="A426" s="55" t="str">
        <f>IFERROR(__xludf.DUMMYFUNCTION("""COMPUTED_VALUE"""),"Need for Speed: Rivals - Complete Edition")</f>
        <v>Need for Speed: Rivals - Complete Edition</v>
      </c>
      <c r="B426" s="55" t="str">
        <f>IFERROR(__xludf.DUMMYFUNCTION("""COMPUTED_VALUE"""),"Xbox / PC")</f>
        <v>Xbox / PC</v>
      </c>
      <c r="C426" s="55"/>
      <c r="D426" s="56" t="str">
        <f>IFERROR(__xludf.DUMMYFUNCTION("""COMPUTED_VALUE"""),"Active")</f>
        <v>Active</v>
      </c>
      <c r="E426" s="57">
        <f>IFERROR(__xludf.DUMMYFUNCTION("""COMPUTED_VALUE"""),44145.0)</f>
        <v>44145</v>
      </c>
      <c r="F426" s="58"/>
      <c r="G426" s="60">
        <f>IFERROR(__xludf.DUMMYFUNCTION("""COMPUTED_VALUE"""),70.86666666666667)</f>
        <v>70.86666667</v>
      </c>
      <c r="H426" s="63">
        <f>IFERROR(__xludf.DUMMYFUNCTION("""COMPUTED_VALUE"""),41593.0)</f>
        <v>41593</v>
      </c>
      <c r="I426" s="60">
        <f>IFERROR(__xludf.DUMMYFUNCTION("""COMPUTED_VALUE"""),6.986111111111111)</f>
        <v>6.986111111</v>
      </c>
      <c r="J426" s="64">
        <f>IFERROR(__xludf.DUMMYFUNCTION("""COMPUTED_VALUE"""),75.0)</f>
        <v>75</v>
      </c>
      <c r="K426" s="64">
        <f>IFERROR(__xludf.DUMMYFUNCTION("""COMPUTED_VALUE"""),13.0)</f>
        <v>13</v>
      </c>
      <c r="L426" s="55" t="str">
        <f>IFERROR(__xludf.DUMMYFUNCTION("""COMPUTED_VALUE"""),"Racing")</f>
        <v>Racing</v>
      </c>
      <c r="M426" s="55"/>
      <c r="N426" s="55" t="str">
        <f>IFERROR(__xludf.DUMMYFUNCTION("""COMPUTED_VALUE"""),"Enhanced edition only on PC")</f>
        <v>Enhanced edition only on PC</v>
      </c>
      <c r="O426" s="55" t="str">
        <f>IFERROR(__xludf.DUMMYFUNCTION("""COMPUTED_VALUE"""),"E10+")</f>
        <v>E10+</v>
      </c>
      <c r="P426" s="55" t="str">
        <f>IFERROR(__xludf.DUMMYFUNCTION("""COMPUTED_VALUE"""),"Mild Violence")</f>
        <v>Mild Violence</v>
      </c>
      <c r="Q426" s="55"/>
      <c r="R426" s="56" t="str">
        <f>IFERROR(__xludf.DUMMYFUNCTION("""COMPUTED_VALUE"""),"Active")</f>
        <v>Active</v>
      </c>
      <c r="S426" s="57">
        <f>IFERROR(__xludf.DUMMYFUNCTION("""COMPUTED_VALUE"""),45547.0)</f>
        <v>45547</v>
      </c>
      <c r="T426" s="60">
        <f>IFERROR(__xludf.DUMMYFUNCTION("""COMPUTED_VALUE"""),46.06666666666667)</f>
        <v>46.06666667</v>
      </c>
    </row>
    <row r="427">
      <c r="A427" s="55" t="str">
        <f>IFERROR(__xludf.DUMMYFUNCTION("""COMPUTED_VALUE"""),"Peggle")</f>
        <v>Peggle</v>
      </c>
      <c r="B427" s="55" t="str">
        <f>IFERROR(__xludf.DUMMYFUNCTION("""COMPUTED_VALUE"""),"Xbox / PC")</f>
        <v>Xbox / PC</v>
      </c>
      <c r="C427" s="55"/>
      <c r="D427" s="56" t="str">
        <f>IFERROR(__xludf.DUMMYFUNCTION("""COMPUTED_VALUE"""),"Active")</f>
        <v>Active</v>
      </c>
      <c r="E427" s="57">
        <f>IFERROR(__xludf.DUMMYFUNCTION("""COMPUTED_VALUE"""),44145.0)</f>
        <v>44145</v>
      </c>
      <c r="F427" s="58"/>
      <c r="G427" s="60">
        <f>IFERROR(__xludf.DUMMYFUNCTION("""COMPUTED_VALUE"""),70.86666666666667)</f>
        <v>70.86666667</v>
      </c>
      <c r="H427" s="63">
        <f>IFERROR(__xludf.DUMMYFUNCTION("""COMPUTED_VALUE"""),39183.0)</f>
        <v>39183</v>
      </c>
      <c r="I427" s="60">
        <f>IFERROR(__xludf.DUMMYFUNCTION("""COMPUTED_VALUE"""),13.580555555555556)</f>
        <v>13.58055556</v>
      </c>
      <c r="J427" s="64">
        <f>IFERROR(__xludf.DUMMYFUNCTION("""COMPUTED_VALUE"""),89.0)</f>
        <v>89</v>
      </c>
      <c r="K427" s="64">
        <f>IFERROR(__xludf.DUMMYFUNCTION("""COMPUTED_VALUE"""),4.0)</f>
        <v>4</v>
      </c>
      <c r="L427" s="55" t="str">
        <f>IFERROR(__xludf.DUMMYFUNCTION("""COMPUTED_VALUE"""),"Puzzle")</f>
        <v>Puzzle</v>
      </c>
      <c r="M427" s="55"/>
      <c r="N427" s="55"/>
      <c r="O427" s="55" t="str">
        <f>IFERROR(__xludf.DUMMYFUNCTION("""COMPUTED_VALUE"""),"E")</f>
        <v>E</v>
      </c>
      <c r="P427" s="55"/>
      <c r="Q427" s="55" t="str">
        <f>IFERROR(__xludf.DUMMYFUNCTION("""COMPUTED_VALUE"""),"Xbox 360")</f>
        <v>Xbox 360</v>
      </c>
      <c r="R427" s="56" t="str">
        <f>IFERROR(__xludf.DUMMYFUNCTION("""COMPUTED_VALUE"""),"Active")</f>
        <v>Active</v>
      </c>
      <c r="S427" s="57">
        <f>IFERROR(__xludf.DUMMYFUNCTION("""COMPUTED_VALUE"""),45547.0)</f>
        <v>45547</v>
      </c>
      <c r="T427" s="60">
        <f>IFERROR(__xludf.DUMMYFUNCTION("""COMPUTED_VALUE"""),46.06666666666667)</f>
        <v>46.06666667</v>
      </c>
    </row>
    <row r="428">
      <c r="A428" s="55" t="str">
        <f>IFERROR(__xludf.DUMMYFUNCTION("""COMPUTED_VALUE"""),"Peggle 2")</f>
        <v>Peggle 2</v>
      </c>
      <c r="B428" s="55" t="str">
        <f>IFERROR(__xludf.DUMMYFUNCTION("""COMPUTED_VALUE"""),"Xbox")</f>
        <v>Xbox</v>
      </c>
      <c r="C428" s="55" t="str">
        <f>IFERROR(__xludf.DUMMYFUNCTION("""COMPUTED_VALUE"""),"Touch Controls")</f>
        <v>Touch Controls</v>
      </c>
      <c r="D428" s="56" t="str">
        <f>IFERROR(__xludf.DUMMYFUNCTION("""COMPUTED_VALUE"""),"Active")</f>
        <v>Active</v>
      </c>
      <c r="E428" s="57">
        <f>IFERROR(__xludf.DUMMYFUNCTION("""COMPUTED_VALUE"""),44145.0)</f>
        <v>44145</v>
      </c>
      <c r="F428" s="58"/>
      <c r="G428" s="60">
        <f>IFERROR(__xludf.DUMMYFUNCTION("""COMPUTED_VALUE"""),70.86666666666667)</f>
        <v>70.86666667</v>
      </c>
      <c r="H428" s="63">
        <f>IFERROR(__xludf.DUMMYFUNCTION("""COMPUTED_VALUE"""),41529.0)</f>
        <v>41529</v>
      </c>
      <c r="I428" s="60">
        <f>IFERROR(__xludf.DUMMYFUNCTION("""COMPUTED_VALUE"""),7.161111111111111)</f>
        <v>7.161111111</v>
      </c>
      <c r="J428" s="64">
        <f>IFERROR(__xludf.DUMMYFUNCTION("""COMPUTED_VALUE"""),89.0)</f>
        <v>89</v>
      </c>
      <c r="K428" s="64">
        <f>IFERROR(__xludf.DUMMYFUNCTION("""COMPUTED_VALUE"""),6.0)</f>
        <v>6</v>
      </c>
      <c r="L428" s="55" t="str">
        <f>IFERROR(__xludf.DUMMYFUNCTION("""COMPUTED_VALUE"""),"Puzzle")</f>
        <v>Puzzle</v>
      </c>
      <c r="M428" s="55"/>
      <c r="N428" s="55"/>
      <c r="O428" s="55" t="str">
        <f>IFERROR(__xludf.DUMMYFUNCTION("""COMPUTED_VALUE"""),"E")</f>
        <v>E</v>
      </c>
      <c r="P428" s="55" t="str">
        <f>IFERROR(__xludf.DUMMYFUNCTION("""COMPUTED_VALUE"""),"Comic Mischief")</f>
        <v>Comic Mischief</v>
      </c>
      <c r="Q428" s="55"/>
      <c r="R428" s="56" t="str">
        <f>IFERROR(__xludf.DUMMYFUNCTION("""COMPUTED_VALUE"""),"Active")</f>
        <v>Active</v>
      </c>
      <c r="S428" s="57">
        <f>IFERROR(__xludf.DUMMYFUNCTION("""COMPUTED_VALUE"""),45547.0)</f>
        <v>45547</v>
      </c>
      <c r="T428" s="60">
        <f>IFERROR(__xludf.DUMMYFUNCTION("""COMPUTED_VALUE"""),46.06666666666667)</f>
        <v>46.06666667</v>
      </c>
    </row>
    <row r="429">
      <c r="A429" s="55" t="str">
        <f>IFERROR(__xludf.DUMMYFUNCTION("""COMPUTED_VALUE"""),"Plants vs. Zombies: Game of the Year Edition")</f>
        <v>Plants vs. Zombies: Game of the Year Edition</v>
      </c>
      <c r="B429" s="55" t="str">
        <f>IFERROR(__xludf.DUMMYFUNCTION("""COMPUTED_VALUE"""),"Xbox / PC")</f>
        <v>Xbox / PC</v>
      </c>
      <c r="C429" s="55"/>
      <c r="D429" s="56" t="str">
        <f>IFERROR(__xludf.DUMMYFUNCTION("""COMPUTED_VALUE"""),"Active")</f>
        <v>Active</v>
      </c>
      <c r="E429" s="57">
        <f>IFERROR(__xludf.DUMMYFUNCTION("""COMPUTED_VALUE"""),44145.0)</f>
        <v>44145</v>
      </c>
      <c r="F429" s="58"/>
      <c r="G429" s="60">
        <f>IFERROR(__xludf.DUMMYFUNCTION("""COMPUTED_VALUE"""),70.86666666666667)</f>
        <v>70.86666667</v>
      </c>
      <c r="H429" s="63">
        <f>IFERROR(__xludf.DUMMYFUNCTION("""COMPUTED_VALUE"""),39938.0)</f>
        <v>39938</v>
      </c>
      <c r="I429" s="60">
        <f>IFERROR(__xludf.DUMMYFUNCTION("""COMPUTED_VALUE"""),11.51388888888889)</f>
        <v>11.51388889</v>
      </c>
      <c r="J429" s="64">
        <f>IFERROR(__xludf.DUMMYFUNCTION("""COMPUTED_VALUE"""),89.0)</f>
        <v>89</v>
      </c>
      <c r="K429" s="64">
        <f>IFERROR(__xludf.DUMMYFUNCTION("""COMPUTED_VALUE"""),8.0)</f>
        <v>8</v>
      </c>
      <c r="L429" s="55" t="str">
        <f>IFERROR(__xludf.DUMMYFUNCTION("""COMPUTED_VALUE"""),"Strategy")</f>
        <v>Strategy</v>
      </c>
      <c r="M429" s="55"/>
      <c r="N429" s="55" t="str">
        <f>IFERROR(__xludf.DUMMYFUNCTION("""COMPUTED_VALUE"""),"Enhanced edition only on PC")</f>
        <v>Enhanced edition only on PC</v>
      </c>
      <c r="O429" s="55" t="str">
        <f>IFERROR(__xludf.DUMMYFUNCTION("""COMPUTED_VALUE"""),"E10+")</f>
        <v>E10+</v>
      </c>
      <c r="P429" s="55" t="str">
        <f>IFERROR(__xludf.DUMMYFUNCTION("""COMPUTED_VALUE"""),"Animated Blood, Cartoon Violence")</f>
        <v>Animated Blood, Cartoon Violence</v>
      </c>
      <c r="Q429" s="55" t="str">
        <f>IFERROR(__xludf.DUMMYFUNCTION("""COMPUTED_VALUE"""),"Xbox 360")</f>
        <v>Xbox 360</v>
      </c>
      <c r="R429" s="56" t="str">
        <f>IFERROR(__xludf.DUMMYFUNCTION("""COMPUTED_VALUE"""),"Active")</f>
        <v>Active</v>
      </c>
      <c r="S429" s="57">
        <f>IFERROR(__xludf.DUMMYFUNCTION("""COMPUTED_VALUE"""),45547.0)</f>
        <v>45547</v>
      </c>
      <c r="T429" s="60">
        <f>IFERROR(__xludf.DUMMYFUNCTION("""COMPUTED_VALUE"""),46.06666666666667)</f>
        <v>46.06666667</v>
      </c>
    </row>
    <row r="430">
      <c r="A430" s="55" t="str">
        <f>IFERROR(__xludf.DUMMYFUNCTION("""COMPUTED_VALUE"""),"Plants vs. Zombies: Battle for Neighborville - Deluxe Edition")</f>
        <v>Plants vs. Zombies: Battle for Neighborville - Deluxe Edition</v>
      </c>
      <c r="B430" s="55" t="str">
        <f>IFERROR(__xludf.DUMMYFUNCTION("""COMPUTED_VALUE"""),"Xbox / PC")</f>
        <v>Xbox / PC</v>
      </c>
      <c r="C430" s="55" t="str">
        <f>IFERROR(__xludf.DUMMYFUNCTION("""COMPUTED_VALUE"""),"Yes")</f>
        <v>Yes</v>
      </c>
      <c r="D430" s="56" t="str">
        <f>IFERROR(__xludf.DUMMYFUNCTION("""COMPUTED_VALUE"""),"Active")</f>
        <v>Active</v>
      </c>
      <c r="E430" s="57">
        <f>IFERROR(__xludf.DUMMYFUNCTION("""COMPUTED_VALUE"""),44145.0)</f>
        <v>44145</v>
      </c>
      <c r="F430" s="58"/>
      <c r="G430" s="60">
        <f>IFERROR(__xludf.DUMMYFUNCTION("""COMPUTED_VALUE"""),70.86666666666667)</f>
        <v>70.86666667</v>
      </c>
      <c r="H430" s="63">
        <f>IFERROR(__xludf.DUMMYFUNCTION("""COMPUTED_VALUE"""),43756.0)</f>
        <v>43756</v>
      </c>
      <c r="I430" s="60">
        <f>IFERROR(__xludf.DUMMYFUNCTION("""COMPUTED_VALUE"""),1.0611111111111111)</f>
        <v>1.061111111</v>
      </c>
      <c r="J430" s="64">
        <f>IFERROR(__xludf.DUMMYFUNCTION("""COMPUTED_VALUE"""),76.0)</f>
        <v>76</v>
      </c>
      <c r="K430" s="64">
        <f>IFERROR(__xludf.DUMMYFUNCTION("""COMPUTED_VALUE"""),4.5)</f>
        <v>4.5</v>
      </c>
      <c r="L430" s="55" t="str">
        <f>IFERROR(__xludf.DUMMYFUNCTION("""COMPUTED_VALUE"""),"Shooter")</f>
        <v>Shooter</v>
      </c>
      <c r="M430" s="55" t="str">
        <f>IFERROR(__xludf.DUMMYFUNCTION("""COMPUTED_VALUE"""),"FPS Boost")</f>
        <v>FPS Boost</v>
      </c>
      <c r="N430" s="55" t="str">
        <f>IFERROR(__xludf.DUMMYFUNCTION("""COMPUTED_VALUE"""),"Enhanced edition only on PC")</f>
        <v>Enhanced edition only on PC</v>
      </c>
      <c r="O430" s="55" t="str">
        <f>IFERROR(__xludf.DUMMYFUNCTION("""COMPUTED_VALUE"""),"E10+")</f>
        <v>E10+</v>
      </c>
      <c r="P430" s="55" t="str">
        <f>IFERROR(__xludf.DUMMYFUNCTION("""COMPUTED_VALUE"""),"Fantasy Violence, Comic Mischief")</f>
        <v>Fantasy Violence, Comic Mischief</v>
      </c>
      <c r="Q430" s="55"/>
      <c r="R430" s="56" t="str">
        <f>IFERROR(__xludf.DUMMYFUNCTION("""COMPUTED_VALUE"""),"Active")</f>
        <v>Active</v>
      </c>
      <c r="S430" s="57">
        <f>IFERROR(__xludf.DUMMYFUNCTION("""COMPUTED_VALUE"""),45547.0)</f>
        <v>45547</v>
      </c>
      <c r="T430" s="60">
        <f>IFERROR(__xludf.DUMMYFUNCTION("""COMPUTED_VALUE"""),46.06666666666667)</f>
        <v>46.06666667</v>
      </c>
    </row>
    <row r="431">
      <c r="A431" s="55" t="str">
        <f>IFERROR(__xludf.DUMMYFUNCTION("""COMPUTED_VALUE"""),"Plants vs. Zombies: Garden Warfare")</f>
        <v>Plants vs. Zombies: Garden Warfare</v>
      </c>
      <c r="B431" s="55" t="str">
        <f>IFERROR(__xludf.DUMMYFUNCTION("""COMPUTED_VALUE"""),"Xbox / PC")</f>
        <v>Xbox / PC</v>
      </c>
      <c r="C431" s="55" t="str">
        <f>IFERROR(__xludf.DUMMYFUNCTION("""COMPUTED_VALUE"""),"Yes")</f>
        <v>Yes</v>
      </c>
      <c r="D431" s="56" t="str">
        <f>IFERROR(__xludf.DUMMYFUNCTION("""COMPUTED_VALUE"""),"Active")</f>
        <v>Active</v>
      </c>
      <c r="E431" s="57">
        <f>IFERROR(__xludf.DUMMYFUNCTION("""COMPUTED_VALUE"""),44145.0)</f>
        <v>44145</v>
      </c>
      <c r="F431" s="58"/>
      <c r="G431" s="60">
        <f>IFERROR(__xludf.DUMMYFUNCTION("""COMPUTED_VALUE"""),70.86666666666667)</f>
        <v>70.86666667</v>
      </c>
      <c r="H431" s="63">
        <f>IFERROR(__xludf.DUMMYFUNCTION("""COMPUTED_VALUE"""),41688.0)</f>
        <v>41688</v>
      </c>
      <c r="I431" s="60">
        <f>IFERROR(__xludf.DUMMYFUNCTION("""COMPUTED_VALUE"""),6.727777777777778)</f>
        <v>6.727777778</v>
      </c>
      <c r="J431" s="64">
        <f>IFERROR(__xludf.DUMMYFUNCTION("""COMPUTED_VALUE"""),76.0)</f>
        <v>76</v>
      </c>
      <c r="K431" s="64">
        <f>IFERROR(__xludf.DUMMYFUNCTION("""COMPUTED_VALUE"""),67.5)</f>
        <v>67.5</v>
      </c>
      <c r="L431" s="55" t="str">
        <f>IFERROR(__xludf.DUMMYFUNCTION("""COMPUTED_VALUE"""),"Shooter")</f>
        <v>Shooter</v>
      </c>
      <c r="M431" s="55" t="str">
        <f>IFERROR(__xludf.DUMMYFUNCTION("""COMPUTED_VALUE"""),"FPS Boost")</f>
        <v>FPS Boost</v>
      </c>
      <c r="N431" s="55" t="str">
        <f>IFERROR(__xludf.DUMMYFUNCTION("""COMPUTED_VALUE"""),"Added to cloud 4/7/22")</f>
        <v>Added to cloud 4/7/22</v>
      </c>
      <c r="O431" s="55" t="str">
        <f>IFERROR(__xludf.DUMMYFUNCTION("""COMPUTED_VALUE"""),"E10+")</f>
        <v>E10+</v>
      </c>
      <c r="P431" s="55" t="str">
        <f>IFERROR(__xludf.DUMMYFUNCTION("""COMPUTED_VALUE"""),"Fantasy Violence, Crude Humor, Animated Blood")</f>
        <v>Fantasy Violence, Crude Humor, Animated Blood</v>
      </c>
      <c r="Q431" s="55"/>
      <c r="R431" s="56" t="str">
        <f>IFERROR(__xludf.DUMMYFUNCTION("""COMPUTED_VALUE"""),"Active")</f>
        <v>Active</v>
      </c>
      <c r="S431" s="57">
        <f>IFERROR(__xludf.DUMMYFUNCTION("""COMPUTED_VALUE"""),45547.0)</f>
        <v>45547</v>
      </c>
      <c r="T431" s="60">
        <f>IFERROR(__xludf.DUMMYFUNCTION("""COMPUTED_VALUE"""),46.06666666666667)</f>
        <v>46.06666667</v>
      </c>
    </row>
    <row r="432">
      <c r="A432" s="55" t="str">
        <f>IFERROR(__xludf.DUMMYFUNCTION("""COMPUTED_VALUE"""),"Plants vs. Zombies: Garden Warfare 2 - Deluxe Edition")</f>
        <v>Plants vs. Zombies: Garden Warfare 2 - Deluxe Edition</v>
      </c>
      <c r="B432" s="55" t="str">
        <f>IFERROR(__xludf.DUMMYFUNCTION("""COMPUTED_VALUE"""),"Xbox / PC")</f>
        <v>Xbox / PC</v>
      </c>
      <c r="C432" s="55" t="str">
        <f>IFERROR(__xludf.DUMMYFUNCTION("""COMPUTED_VALUE"""),"Yes")</f>
        <v>Yes</v>
      </c>
      <c r="D432" s="56" t="str">
        <f>IFERROR(__xludf.DUMMYFUNCTION("""COMPUTED_VALUE"""),"Active")</f>
        <v>Active</v>
      </c>
      <c r="E432" s="57">
        <f>IFERROR(__xludf.DUMMYFUNCTION("""COMPUTED_VALUE"""),44145.0)</f>
        <v>44145</v>
      </c>
      <c r="F432" s="58"/>
      <c r="G432" s="60">
        <f>IFERROR(__xludf.DUMMYFUNCTION("""COMPUTED_VALUE"""),70.86666666666667)</f>
        <v>70.86666667</v>
      </c>
      <c r="H432" s="63">
        <f>IFERROR(__xludf.DUMMYFUNCTION("""COMPUTED_VALUE"""),42423.0)</f>
        <v>42423</v>
      </c>
      <c r="I432" s="60">
        <f>IFERROR(__xludf.DUMMYFUNCTION("""COMPUTED_VALUE"""),4.713888888888889)</f>
        <v>4.713888889</v>
      </c>
      <c r="J432" s="64">
        <f>IFERROR(__xludf.DUMMYFUNCTION("""COMPUTED_VALUE"""),80.0)</f>
        <v>80</v>
      </c>
      <c r="K432" s="64">
        <f>IFERROR(__xludf.DUMMYFUNCTION("""COMPUTED_VALUE"""),12.5)</f>
        <v>12.5</v>
      </c>
      <c r="L432" s="55" t="str">
        <f>IFERROR(__xludf.DUMMYFUNCTION("""COMPUTED_VALUE"""),"Action")</f>
        <v>Action</v>
      </c>
      <c r="M432" s="55" t="str">
        <f>IFERROR(__xludf.DUMMYFUNCTION("""COMPUTED_VALUE"""),"FPS Boost")</f>
        <v>FPS Boost</v>
      </c>
      <c r="N432" s="55" t="str">
        <f>IFERROR(__xludf.DUMMYFUNCTION("""COMPUTED_VALUE"""),"Enhanced edition only on PC")</f>
        <v>Enhanced edition only on PC</v>
      </c>
      <c r="O432" s="55" t="str">
        <f>IFERROR(__xludf.DUMMYFUNCTION("""COMPUTED_VALUE"""),"E10+")</f>
        <v>E10+</v>
      </c>
      <c r="P432" s="55" t="str">
        <f>IFERROR(__xludf.DUMMYFUNCTION("""COMPUTED_VALUE"""),"Fantasy Violence, Crude Humor, Animated Blood")</f>
        <v>Fantasy Violence, Crude Humor, Animated Blood</v>
      </c>
      <c r="Q432" s="55"/>
      <c r="R432" s="56" t="str">
        <f>IFERROR(__xludf.DUMMYFUNCTION("""COMPUTED_VALUE"""),"Active")</f>
        <v>Active</v>
      </c>
      <c r="S432" s="57">
        <f>IFERROR(__xludf.DUMMYFUNCTION("""COMPUTED_VALUE"""),45547.0)</f>
        <v>45547</v>
      </c>
      <c r="T432" s="60">
        <f>IFERROR(__xludf.DUMMYFUNCTION("""COMPUTED_VALUE"""),46.06666666666667)</f>
        <v>46.06666667</v>
      </c>
    </row>
    <row r="433">
      <c r="A433" s="55" t="str">
        <f>IFERROR(__xludf.DUMMYFUNCTION("""COMPUTED_VALUE"""),"Skate 3")</f>
        <v>Skate 3</v>
      </c>
      <c r="B433" s="55" t="str">
        <f>IFERROR(__xludf.DUMMYFUNCTION("""COMPUTED_VALUE"""),"Xbox")</f>
        <v>Xbox</v>
      </c>
      <c r="C433" s="55" t="str">
        <f>IFERROR(__xludf.DUMMYFUNCTION("""COMPUTED_VALUE"""),"Yes")</f>
        <v>Yes</v>
      </c>
      <c r="D433" s="56" t="str">
        <f>IFERROR(__xludf.DUMMYFUNCTION("""COMPUTED_VALUE"""),"Active")</f>
        <v>Active</v>
      </c>
      <c r="E433" s="57">
        <f>IFERROR(__xludf.DUMMYFUNCTION("""COMPUTED_VALUE"""),44145.0)</f>
        <v>44145</v>
      </c>
      <c r="F433" s="58"/>
      <c r="G433" s="60">
        <f>IFERROR(__xludf.DUMMYFUNCTION("""COMPUTED_VALUE"""),70.86666666666667)</f>
        <v>70.86666667</v>
      </c>
      <c r="H433" s="63">
        <f>IFERROR(__xludf.DUMMYFUNCTION("""COMPUTED_VALUE"""),40309.0)</f>
        <v>40309</v>
      </c>
      <c r="I433" s="60">
        <f>IFERROR(__xludf.DUMMYFUNCTION("""COMPUTED_VALUE"""),10.497222222222222)</f>
        <v>10.49722222</v>
      </c>
      <c r="J433" s="64">
        <f>IFERROR(__xludf.DUMMYFUNCTION("""COMPUTED_VALUE"""),80.0)</f>
        <v>80</v>
      </c>
      <c r="K433" s="64">
        <f>IFERROR(__xludf.DUMMYFUNCTION("""COMPUTED_VALUE"""),9.0)</f>
        <v>9</v>
      </c>
      <c r="L433" s="55" t="str">
        <f>IFERROR(__xludf.DUMMYFUNCTION("""COMPUTED_VALUE"""),"Skateboarding")</f>
        <v>Skateboarding</v>
      </c>
      <c r="M433" s="55"/>
      <c r="N433" s="55"/>
      <c r="O433" s="55" t="str">
        <f>IFERROR(__xludf.DUMMYFUNCTION("""COMPUTED_VALUE"""),"T")</f>
        <v>T</v>
      </c>
      <c r="P433" s="55" t="str">
        <f>IFERROR(__xludf.DUMMYFUNCTION("""COMPUTED_VALUE"""),"Crude Humor, Drug Reference, Language, Mild Violence, Suggestive Themes")</f>
        <v>Crude Humor, Drug Reference, Language, Mild Violence, Suggestive Themes</v>
      </c>
      <c r="Q433" s="55" t="str">
        <f>IFERROR(__xludf.DUMMYFUNCTION("""COMPUTED_VALUE"""),"Xbox 360")</f>
        <v>Xbox 360</v>
      </c>
      <c r="R433" s="56" t="str">
        <f>IFERROR(__xludf.DUMMYFUNCTION("""COMPUTED_VALUE"""),"Active")</f>
        <v>Active</v>
      </c>
      <c r="S433" s="57">
        <f>IFERROR(__xludf.DUMMYFUNCTION("""COMPUTED_VALUE"""),45547.0)</f>
        <v>45547</v>
      </c>
      <c r="T433" s="60">
        <f>IFERROR(__xludf.DUMMYFUNCTION("""COMPUTED_VALUE"""),46.06666666666667)</f>
        <v>46.06666667</v>
      </c>
    </row>
    <row r="434">
      <c r="A434" s="55" t="str">
        <f>IFERROR(__xludf.DUMMYFUNCTION("""COMPUTED_VALUE"""),"SSX")</f>
        <v>SSX</v>
      </c>
      <c r="B434" s="55" t="str">
        <f>IFERROR(__xludf.DUMMYFUNCTION("""COMPUTED_VALUE"""),"Xbox")</f>
        <v>Xbox</v>
      </c>
      <c r="C434" s="55"/>
      <c r="D434" s="56" t="str">
        <f>IFERROR(__xludf.DUMMYFUNCTION("""COMPUTED_VALUE"""),"Active")</f>
        <v>Active</v>
      </c>
      <c r="E434" s="57">
        <f>IFERROR(__xludf.DUMMYFUNCTION("""COMPUTED_VALUE"""),44145.0)</f>
        <v>44145</v>
      </c>
      <c r="F434" s="58"/>
      <c r="G434" s="60">
        <f>IFERROR(__xludf.DUMMYFUNCTION("""COMPUTED_VALUE"""),70.86666666666667)</f>
        <v>70.86666667</v>
      </c>
      <c r="H434" s="63">
        <f>IFERROR(__xludf.DUMMYFUNCTION("""COMPUTED_VALUE"""),40967.0)</f>
        <v>40967</v>
      </c>
      <c r="I434" s="60">
        <f>IFERROR(__xludf.DUMMYFUNCTION("""COMPUTED_VALUE"""),8.7)</f>
        <v>8.7</v>
      </c>
      <c r="J434" s="64">
        <f>IFERROR(__xludf.DUMMYFUNCTION("""COMPUTED_VALUE"""),82.0)</f>
        <v>82</v>
      </c>
      <c r="K434" s="64">
        <f>IFERROR(__xludf.DUMMYFUNCTION("""COMPUTED_VALUE"""),11.5)</f>
        <v>11.5</v>
      </c>
      <c r="L434" s="55" t="str">
        <f>IFERROR(__xludf.DUMMYFUNCTION("""COMPUTED_VALUE"""),"Sports")</f>
        <v>Sports</v>
      </c>
      <c r="M434" s="55"/>
      <c r="N434" s="55"/>
      <c r="O434" s="55" t="str">
        <f>IFERROR(__xludf.DUMMYFUNCTION("""COMPUTED_VALUE"""),"E")</f>
        <v>E</v>
      </c>
      <c r="P434" s="55" t="str">
        <f>IFERROR(__xludf.DUMMYFUNCTION("""COMPUTED_VALUE"""),"Mild Lyrics, Mild Violence")</f>
        <v>Mild Lyrics, Mild Violence</v>
      </c>
      <c r="Q434" s="55" t="str">
        <f>IFERROR(__xludf.DUMMYFUNCTION("""COMPUTED_VALUE"""),"Xbox 360")</f>
        <v>Xbox 360</v>
      </c>
      <c r="R434" s="56" t="str">
        <f>IFERROR(__xludf.DUMMYFUNCTION("""COMPUTED_VALUE"""),"Active")</f>
        <v>Active</v>
      </c>
      <c r="S434" s="57">
        <f>IFERROR(__xludf.DUMMYFUNCTION("""COMPUTED_VALUE"""),45547.0)</f>
        <v>45547</v>
      </c>
      <c r="T434" s="60">
        <f>IFERROR(__xludf.DUMMYFUNCTION("""COMPUTED_VALUE"""),46.06666666666667)</f>
        <v>46.06666667</v>
      </c>
    </row>
    <row r="435">
      <c r="A435" s="55" t="str">
        <f>IFERROR(__xludf.DUMMYFUNCTION("""COMPUTED_VALUE"""),"Star Wars Battlefront: Ultimate Edition")</f>
        <v>Star Wars Battlefront: Ultimate Edition</v>
      </c>
      <c r="B435" s="55" t="str">
        <f>IFERROR(__xludf.DUMMYFUNCTION("""COMPUTED_VALUE"""),"Xbox / PC")</f>
        <v>Xbox / PC</v>
      </c>
      <c r="C435" s="55"/>
      <c r="D435" s="56" t="str">
        <f>IFERROR(__xludf.DUMMYFUNCTION("""COMPUTED_VALUE"""),"Active")</f>
        <v>Active</v>
      </c>
      <c r="E435" s="57">
        <f>IFERROR(__xludf.DUMMYFUNCTION("""COMPUTED_VALUE"""),44145.0)</f>
        <v>44145</v>
      </c>
      <c r="F435" s="58"/>
      <c r="G435" s="60">
        <f>IFERROR(__xludf.DUMMYFUNCTION("""COMPUTED_VALUE"""),70.86666666666667)</f>
        <v>70.86666667</v>
      </c>
      <c r="H435" s="63">
        <f>IFERROR(__xludf.DUMMYFUNCTION("""COMPUTED_VALUE"""),42325.0)</f>
        <v>42325</v>
      </c>
      <c r="I435" s="60">
        <f>IFERROR(__xludf.DUMMYFUNCTION("""COMPUTED_VALUE"""),4.980555555555555)</f>
        <v>4.980555556</v>
      </c>
      <c r="J435" s="64">
        <f>IFERROR(__xludf.DUMMYFUNCTION("""COMPUTED_VALUE"""),75.0)</f>
        <v>75</v>
      </c>
      <c r="K435" s="64">
        <f>IFERROR(__xludf.DUMMYFUNCTION("""COMPUTED_VALUE"""),14.5)</f>
        <v>14.5</v>
      </c>
      <c r="L435" s="55" t="str">
        <f>IFERROR(__xludf.DUMMYFUNCTION("""COMPUTED_VALUE"""),"Shooter")</f>
        <v>Shooter</v>
      </c>
      <c r="M435" s="55" t="str">
        <f>IFERROR(__xludf.DUMMYFUNCTION("""COMPUTED_VALUE"""),"FPS Boost")</f>
        <v>FPS Boost</v>
      </c>
      <c r="N435" s="55" t="str">
        <f>IFERROR(__xludf.DUMMYFUNCTION("""COMPUTED_VALUE"""),"Enhanced edition only on PC")</f>
        <v>Enhanced edition only on PC</v>
      </c>
      <c r="O435" s="55" t="str">
        <f>IFERROR(__xludf.DUMMYFUNCTION("""COMPUTED_VALUE"""),"T")</f>
        <v>T</v>
      </c>
      <c r="P435" s="55" t="str">
        <f>IFERROR(__xludf.DUMMYFUNCTION("""COMPUTED_VALUE"""),"Violence")</f>
        <v>Violence</v>
      </c>
      <c r="Q435" s="55"/>
      <c r="R435" s="56" t="str">
        <f>IFERROR(__xludf.DUMMYFUNCTION("""COMPUTED_VALUE"""),"Active")</f>
        <v>Active</v>
      </c>
      <c r="S435" s="57">
        <f>IFERROR(__xludf.DUMMYFUNCTION("""COMPUTED_VALUE"""),45547.0)</f>
        <v>45547</v>
      </c>
      <c r="T435" s="60">
        <f>IFERROR(__xludf.DUMMYFUNCTION("""COMPUTED_VALUE"""),46.06666666666667)</f>
        <v>46.06666667</v>
      </c>
    </row>
    <row r="436">
      <c r="A436" s="55" t="str">
        <f>IFERROR(__xludf.DUMMYFUNCTION("""COMPUTED_VALUE"""),"Star Wars Battlefront II: Celebration Edition")</f>
        <v>Star Wars Battlefront II: Celebration Edition</v>
      </c>
      <c r="B436" s="55" t="str">
        <f>IFERROR(__xludf.DUMMYFUNCTION("""COMPUTED_VALUE"""),"Xbox / PC")</f>
        <v>Xbox / PC</v>
      </c>
      <c r="C436" s="55" t="str">
        <f>IFERROR(__xludf.DUMMYFUNCTION("""COMPUTED_VALUE"""),"Yes")</f>
        <v>Yes</v>
      </c>
      <c r="D436" s="56" t="str">
        <f>IFERROR(__xludf.DUMMYFUNCTION("""COMPUTED_VALUE"""),"Active")</f>
        <v>Active</v>
      </c>
      <c r="E436" s="57">
        <f>IFERROR(__xludf.DUMMYFUNCTION("""COMPUTED_VALUE"""),44145.0)</f>
        <v>44145</v>
      </c>
      <c r="F436" s="58"/>
      <c r="G436" s="60">
        <f>IFERROR(__xludf.DUMMYFUNCTION("""COMPUTED_VALUE"""),70.86666666666667)</f>
        <v>70.86666667</v>
      </c>
      <c r="H436" s="63">
        <f>IFERROR(__xludf.DUMMYFUNCTION("""COMPUTED_VALUE"""),43056.0)</f>
        <v>43056</v>
      </c>
      <c r="I436" s="60">
        <f>IFERROR(__xludf.DUMMYFUNCTION("""COMPUTED_VALUE"""),2.9805555555555556)</f>
        <v>2.980555556</v>
      </c>
      <c r="J436" s="64">
        <f>IFERROR(__xludf.DUMMYFUNCTION("""COMPUTED_VALUE"""),66.0)</f>
        <v>66</v>
      </c>
      <c r="K436" s="64">
        <f>IFERROR(__xludf.DUMMYFUNCTION("""COMPUTED_VALUE"""),6.0)</f>
        <v>6</v>
      </c>
      <c r="L436" s="55" t="str">
        <f>IFERROR(__xludf.DUMMYFUNCTION("""COMPUTED_VALUE"""),"Shooter")</f>
        <v>Shooter</v>
      </c>
      <c r="M436" s="55" t="str">
        <f>IFERROR(__xludf.DUMMYFUNCTION("""COMPUTED_VALUE"""),"FPS Boost X Only")</f>
        <v>FPS Boost X Only</v>
      </c>
      <c r="N436" s="55" t="str">
        <f>IFERROR(__xludf.DUMMYFUNCTION("""COMPUTED_VALUE"""),"Enhanced edition only on PC")</f>
        <v>Enhanced edition only on PC</v>
      </c>
      <c r="O436" s="55" t="str">
        <f>IFERROR(__xludf.DUMMYFUNCTION("""COMPUTED_VALUE"""),"T")</f>
        <v>T</v>
      </c>
      <c r="P436" s="55" t="str">
        <f>IFERROR(__xludf.DUMMYFUNCTION("""COMPUTED_VALUE"""),"Violence")</f>
        <v>Violence</v>
      </c>
      <c r="Q436" s="55" t="str">
        <f>IFERROR(__xludf.DUMMYFUNCTION("""COMPUTED_VALUE"""),"Does not FPS boost on Series S")</f>
        <v>Does not FPS boost on Series S</v>
      </c>
      <c r="R436" s="56" t="str">
        <f>IFERROR(__xludf.DUMMYFUNCTION("""COMPUTED_VALUE"""),"Active")</f>
        <v>Active</v>
      </c>
      <c r="S436" s="57">
        <f>IFERROR(__xludf.DUMMYFUNCTION("""COMPUTED_VALUE"""),45547.0)</f>
        <v>45547</v>
      </c>
      <c r="T436" s="60">
        <f>IFERROR(__xludf.DUMMYFUNCTION("""COMPUTED_VALUE"""),46.06666666666667)</f>
        <v>46.06666667</v>
      </c>
    </row>
    <row r="437">
      <c r="A437" s="55" t="str">
        <f>IFERROR(__xludf.DUMMYFUNCTION("""COMPUTED_VALUE"""),"Star Wars Jedi: Fallen Order")</f>
        <v>Star Wars Jedi: Fallen Order</v>
      </c>
      <c r="B437" s="55" t="str">
        <f>IFERROR(__xludf.DUMMYFUNCTION("""COMPUTED_VALUE"""),"Xbox / PC")</f>
        <v>Xbox / PC</v>
      </c>
      <c r="C437" s="55" t="str">
        <f>IFERROR(__xludf.DUMMYFUNCTION("""COMPUTED_VALUE"""),"Yes")</f>
        <v>Yes</v>
      </c>
      <c r="D437" s="56" t="str">
        <f>IFERROR(__xludf.DUMMYFUNCTION("""COMPUTED_VALUE"""),"Active")</f>
        <v>Active</v>
      </c>
      <c r="E437" s="57">
        <f>IFERROR(__xludf.DUMMYFUNCTION("""COMPUTED_VALUE"""),44145.0)</f>
        <v>44145</v>
      </c>
      <c r="F437" s="58"/>
      <c r="G437" s="60">
        <f>IFERROR(__xludf.DUMMYFUNCTION("""COMPUTED_VALUE"""),70.86666666666667)</f>
        <v>70.86666667</v>
      </c>
      <c r="H437" s="63">
        <f>IFERROR(__xludf.DUMMYFUNCTION("""COMPUTED_VALUE"""),43784.0)</f>
        <v>43784</v>
      </c>
      <c r="I437" s="60">
        <f>IFERROR(__xludf.DUMMYFUNCTION("""COMPUTED_VALUE"""),0.9861111111111112)</f>
        <v>0.9861111111</v>
      </c>
      <c r="J437" s="64">
        <f>IFERROR(__xludf.DUMMYFUNCTION("""COMPUTED_VALUE"""),81.0)</f>
        <v>81</v>
      </c>
      <c r="K437" s="64">
        <f>IFERROR(__xludf.DUMMYFUNCTION("""COMPUTED_VALUE"""),24.0)</f>
        <v>24</v>
      </c>
      <c r="L437" s="55" t="str">
        <f>IFERROR(__xludf.DUMMYFUNCTION("""COMPUTED_VALUE"""),"Action-Adventure")</f>
        <v>Action-Adventure</v>
      </c>
      <c r="M437" s="55" t="str">
        <f>IFERROR(__xludf.DUMMYFUNCTION("""COMPUTED_VALUE"""),"Optimized")</f>
        <v>Optimized</v>
      </c>
      <c r="N437" s="55"/>
      <c r="O437" s="55" t="str">
        <f>IFERROR(__xludf.DUMMYFUNCTION("""COMPUTED_VALUE"""),"T")</f>
        <v>T</v>
      </c>
      <c r="P437" s="55" t="str">
        <f>IFERROR(__xludf.DUMMYFUNCTION("""COMPUTED_VALUE"""),"Mild Language, Violence")</f>
        <v>Mild Language, Violence</v>
      </c>
      <c r="Q437" s="55"/>
      <c r="R437" s="56" t="str">
        <f>IFERROR(__xludf.DUMMYFUNCTION("""COMPUTED_VALUE"""),"Active")</f>
        <v>Active</v>
      </c>
      <c r="S437" s="57">
        <f>IFERROR(__xludf.DUMMYFUNCTION("""COMPUTED_VALUE"""),45547.0)</f>
        <v>45547</v>
      </c>
      <c r="T437" s="60">
        <f>IFERROR(__xludf.DUMMYFUNCTION("""COMPUTED_VALUE"""),46.06666666666667)</f>
        <v>46.06666667</v>
      </c>
    </row>
    <row r="438">
      <c r="A438" s="55" t="str">
        <f>IFERROR(__xludf.DUMMYFUNCTION("""COMPUTED_VALUE"""),"The Sims 4: Deluxe Party Edition")</f>
        <v>The Sims 4: Deluxe Party Edition</v>
      </c>
      <c r="B438" s="55" t="str">
        <f>IFERROR(__xludf.DUMMYFUNCTION("""COMPUTED_VALUE"""),"Xbox / PC")</f>
        <v>Xbox / PC</v>
      </c>
      <c r="C438" s="55" t="str">
        <f>IFERROR(__xludf.DUMMYFUNCTION("""COMPUTED_VALUE"""),"M+KB")</f>
        <v>M+KB</v>
      </c>
      <c r="D438" s="56" t="str">
        <f>IFERROR(__xludf.DUMMYFUNCTION("""COMPUTED_VALUE"""),"Active")</f>
        <v>Active</v>
      </c>
      <c r="E438" s="57">
        <f>IFERROR(__xludf.DUMMYFUNCTION("""COMPUTED_VALUE"""),44145.0)</f>
        <v>44145</v>
      </c>
      <c r="F438" s="58"/>
      <c r="G438" s="60">
        <f>IFERROR(__xludf.DUMMYFUNCTION("""COMPUTED_VALUE"""),70.86666666666667)</f>
        <v>70.86666667</v>
      </c>
      <c r="H438" s="63">
        <f>IFERROR(__xludf.DUMMYFUNCTION("""COMPUTED_VALUE"""),41884.0)</f>
        <v>41884</v>
      </c>
      <c r="I438" s="60">
        <f>IFERROR(__xludf.DUMMYFUNCTION("""COMPUTED_VALUE"""),6.188888888888889)</f>
        <v>6.188888889</v>
      </c>
      <c r="J438" s="64">
        <f>IFERROR(__xludf.DUMMYFUNCTION("""COMPUTED_VALUE"""),66.0)</f>
        <v>66</v>
      </c>
      <c r="K438" s="64">
        <f>IFERROR(__xludf.DUMMYFUNCTION("""COMPUTED_VALUE"""),40.0)</f>
        <v>40</v>
      </c>
      <c r="L438" s="55" t="str">
        <f>IFERROR(__xludf.DUMMYFUNCTION("""COMPUTED_VALUE"""),"Simulation")</f>
        <v>Simulation</v>
      </c>
      <c r="M438" s="55"/>
      <c r="N438" s="55" t="str">
        <f>IFERROR(__xludf.DUMMYFUNCTION("""COMPUTED_VALUE"""),"Enhanced edition only on PC")</f>
        <v>Enhanced edition only on PC</v>
      </c>
      <c r="O438" s="55" t="str">
        <f>IFERROR(__xludf.DUMMYFUNCTION("""COMPUTED_VALUE"""),"T")</f>
        <v>T</v>
      </c>
      <c r="P438" s="55" t="str">
        <f>IFERROR(__xludf.DUMMYFUNCTION("""COMPUTED_VALUE"""),"Crude Humor, Sexual Themes, Violence")</f>
        <v>Crude Humor, Sexual Themes, Violence</v>
      </c>
      <c r="Q438" s="55"/>
      <c r="R438" s="56" t="str">
        <f>IFERROR(__xludf.DUMMYFUNCTION("""COMPUTED_VALUE"""),"Active")</f>
        <v>Active</v>
      </c>
      <c r="S438" s="57">
        <f>IFERROR(__xludf.DUMMYFUNCTION("""COMPUTED_VALUE"""),45547.0)</f>
        <v>45547</v>
      </c>
      <c r="T438" s="60">
        <f>IFERROR(__xludf.DUMMYFUNCTION("""COMPUTED_VALUE"""),46.06666666666667)</f>
        <v>46.06666667</v>
      </c>
    </row>
    <row r="439">
      <c r="A439" s="55" t="str">
        <f>IFERROR(__xludf.DUMMYFUNCTION("""COMPUTED_VALUE"""),"Titanfall 2: Ultimate Edition")</f>
        <v>Titanfall 2: Ultimate Edition</v>
      </c>
      <c r="B439" s="55" t="str">
        <f>IFERROR(__xludf.DUMMYFUNCTION("""COMPUTED_VALUE"""),"Xbox / PC")</f>
        <v>Xbox / PC</v>
      </c>
      <c r="C439" s="55"/>
      <c r="D439" s="56" t="str">
        <f>IFERROR(__xludf.DUMMYFUNCTION("""COMPUTED_VALUE"""),"Active")</f>
        <v>Active</v>
      </c>
      <c r="E439" s="57">
        <f>IFERROR(__xludf.DUMMYFUNCTION("""COMPUTED_VALUE"""),44145.0)</f>
        <v>44145</v>
      </c>
      <c r="F439" s="58"/>
      <c r="G439" s="60">
        <f>IFERROR(__xludf.DUMMYFUNCTION("""COMPUTED_VALUE"""),70.86666666666667)</f>
        <v>70.86666667</v>
      </c>
      <c r="H439" s="63">
        <f>IFERROR(__xludf.DUMMYFUNCTION("""COMPUTED_VALUE"""),42671.0)</f>
        <v>42671</v>
      </c>
      <c r="I439" s="60">
        <f>IFERROR(__xludf.DUMMYFUNCTION("""COMPUTED_VALUE"""),4.033333333333333)</f>
        <v>4.033333333</v>
      </c>
      <c r="J439" s="64">
        <f>IFERROR(__xludf.DUMMYFUNCTION("""COMPUTED_VALUE"""),87.0)</f>
        <v>87</v>
      </c>
      <c r="K439" s="64">
        <f>IFERROR(__xludf.DUMMYFUNCTION("""COMPUTED_VALUE"""),6.0)</f>
        <v>6</v>
      </c>
      <c r="L439" s="55" t="str">
        <f>IFERROR(__xludf.DUMMYFUNCTION("""COMPUTED_VALUE"""),"Shooter")</f>
        <v>Shooter</v>
      </c>
      <c r="M439" s="55" t="str">
        <f>IFERROR(__xludf.DUMMYFUNCTION("""COMPUTED_VALUE"""),"FPS Boost")</f>
        <v>FPS Boost</v>
      </c>
      <c r="N439" s="55" t="str">
        <f>IFERROR(__xludf.DUMMYFUNCTION("""COMPUTED_VALUE"""),"Enhanced edition only on PC")</f>
        <v>Enhanced edition only on PC</v>
      </c>
      <c r="O439" s="55" t="str">
        <f>IFERROR(__xludf.DUMMYFUNCTION("""COMPUTED_VALUE"""),"M")</f>
        <v>M</v>
      </c>
      <c r="P439" s="55" t="str">
        <f>IFERROR(__xludf.DUMMYFUNCTION("""COMPUTED_VALUE"""),"Blood and Gore, Language, Violence")</f>
        <v>Blood and Gore, Language, Violence</v>
      </c>
      <c r="Q439" s="55"/>
      <c r="R439" s="56" t="str">
        <f>IFERROR(__xludf.DUMMYFUNCTION("""COMPUTED_VALUE"""),"Active")</f>
        <v>Active</v>
      </c>
      <c r="S439" s="57">
        <f>IFERROR(__xludf.DUMMYFUNCTION("""COMPUTED_VALUE"""),45547.0)</f>
        <v>45547</v>
      </c>
      <c r="T439" s="60">
        <f>IFERROR(__xludf.DUMMYFUNCTION("""COMPUTED_VALUE"""),46.06666666666667)</f>
        <v>46.06666667</v>
      </c>
    </row>
    <row r="440">
      <c r="A440" s="55" t="str">
        <f>IFERROR(__xludf.DUMMYFUNCTION("""COMPUTED_VALUE"""),"Unravel")</f>
        <v>Unravel</v>
      </c>
      <c r="B440" s="55" t="str">
        <f>IFERROR(__xludf.DUMMYFUNCTION("""COMPUTED_VALUE"""),"Xbox / PC")</f>
        <v>Xbox / PC</v>
      </c>
      <c r="C440" s="55"/>
      <c r="D440" s="56" t="str">
        <f>IFERROR(__xludf.DUMMYFUNCTION("""COMPUTED_VALUE"""),"Active")</f>
        <v>Active</v>
      </c>
      <c r="E440" s="57">
        <f>IFERROR(__xludf.DUMMYFUNCTION("""COMPUTED_VALUE"""),44145.0)</f>
        <v>44145</v>
      </c>
      <c r="F440" s="58"/>
      <c r="G440" s="60">
        <f>IFERROR(__xludf.DUMMYFUNCTION("""COMPUTED_VALUE"""),70.86666666666667)</f>
        <v>70.86666667</v>
      </c>
      <c r="H440" s="63">
        <f>IFERROR(__xludf.DUMMYFUNCTION("""COMPUTED_VALUE"""),42409.0)</f>
        <v>42409</v>
      </c>
      <c r="I440" s="60">
        <f>IFERROR(__xludf.DUMMYFUNCTION("""COMPUTED_VALUE"""),4.752777777777778)</f>
        <v>4.752777778</v>
      </c>
      <c r="J440" s="64">
        <f>IFERROR(__xludf.DUMMYFUNCTION("""COMPUTED_VALUE"""),75.0)</f>
        <v>75</v>
      </c>
      <c r="K440" s="64">
        <f>IFERROR(__xludf.DUMMYFUNCTION("""COMPUTED_VALUE"""),6.0)</f>
        <v>6</v>
      </c>
      <c r="L440" s="55" t="str">
        <f>IFERROR(__xludf.DUMMYFUNCTION("""COMPUTED_VALUE"""),"Platformer")</f>
        <v>Platformer</v>
      </c>
      <c r="M440" s="55"/>
      <c r="N440" s="55"/>
      <c r="O440" s="55" t="str">
        <f>IFERROR(__xludf.DUMMYFUNCTION("""COMPUTED_VALUE"""),"E")</f>
        <v>E</v>
      </c>
      <c r="P440" s="55" t="str">
        <f>IFERROR(__xludf.DUMMYFUNCTION("""COMPUTED_VALUE"""),"Mild Fantasy Violence")</f>
        <v>Mild Fantasy Violence</v>
      </c>
      <c r="Q440" s="55"/>
      <c r="R440" s="56" t="str">
        <f>IFERROR(__xludf.DUMMYFUNCTION("""COMPUTED_VALUE"""),"Active")</f>
        <v>Active</v>
      </c>
      <c r="S440" s="57">
        <f>IFERROR(__xludf.DUMMYFUNCTION("""COMPUTED_VALUE"""),45547.0)</f>
        <v>45547</v>
      </c>
      <c r="T440" s="60">
        <f>IFERROR(__xludf.DUMMYFUNCTION("""COMPUTED_VALUE"""),46.06666666666667)</f>
        <v>46.06666667</v>
      </c>
    </row>
    <row r="441">
      <c r="A441" s="55" t="str">
        <f>IFERROR(__xludf.DUMMYFUNCTION("""COMPUTED_VALUE"""),"Unravel Two")</f>
        <v>Unravel Two</v>
      </c>
      <c r="B441" s="55" t="str">
        <f>IFERROR(__xludf.DUMMYFUNCTION("""COMPUTED_VALUE"""),"Xbox / PC")</f>
        <v>Xbox / PC</v>
      </c>
      <c r="C441" s="55" t="str">
        <f>IFERROR(__xludf.DUMMYFUNCTION("""COMPUTED_VALUE"""),"Yes")</f>
        <v>Yes</v>
      </c>
      <c r="D441" s="56" t="str">
        <f>IFERROR(__xludf.DUMMYFUNCTION("""COMPUTED_VALUE"""),"Active")</f>
        <v>Active</v>
      </c>
      <c r="E441" s="57">
        <f>IFERROR(__xludf.DUMMYFUNCTION("""COMPUTED_VALUE"""),44145.0)</f>
        <v>44145</v>
      </c>
      <c r="F441" s="58"/>
      <c r="G441" s="60">
        <f>IFERROR(__xludf.DUMMYFUNCTION("""COMPUTED_VALUE"""),70.86666666666667)</f>
        <v>70.86666667</v>
      </c>
      <c r="H441" s="63">
        <f>IFERROR(__xludf.DUMMYFUNCTION("""COMPUTED_VALUE"""),43260.0)</f>
        <v>43260</v>
      </c>
      <c r="I441" s="60">
        <f>IFERROR(__xludf.DUMMYFUNCTION("""COMPUTED_VALUE"""),2.4194444444444443)</f>
        <v>2.419444444</v>
      </c>
      <c r="J441" s="64">
        <f>IFERROR(__xludf.DUMMYFUNCTION("""COMPUTED_VALUE"""),81.0)</f>
        <v>81</v>
      </c>
      <c r="K441" s="64">
        <f>IFERROR(__xludf.DUMMYFUNCTION("""COMPUTED_VALUE"""),5.0)</f>
        <v>5</v>
      </c>
      <c r="L441" s="55" t="str">
        <f>IFERROR(__xludf.DUMMYFUNCTION("""COMPUTED_VALUE"""),"Platformer")</f>
        <v>Platformer</v>
      </c>
      <c r="M441" s="55" t="str">
        <f>IFERROR(__xludf.DUMMYFUNCTION("""COMPUTED_VALUE"""),"FPS Boost")</f>
        <v>FPS Boost</v>
      </c>
      <c r="N441" s="55"/>
      <c r="O441" s="55" t="str">
        <f>IFERROR(__xludf.DUMMYFUNCTION("""COMPUTED_VALUE"""),"E")</f>
        <v>E</v>
      </c>
      <c r="P441" s="55" t="str">
        <f>IFERROR(__xludf.DUMMYFUNCTION("""COMPUTED_VALUE"""),"Mild Fantasy Violence")</f>
        <v>Mild Fantasy Violence</v>
      </c>
      <c r="Q441" s="55"/>
      <c r="R441" s="56" t="str">
        <f>IFERROR(__xludf.DUMMYFUNCTION("""COMPUTED_VALUE"""),"Active")</f>
        <v>Active</v>
      </c>
      <c r="S441" s="57">
        <f>IFERROR(__xludf.DUMMYFUNCTION("""COMPUTED_VALUE"""),45547.0)</f>
        <v>45547</v>
      </c>
      <c r="T441" s="60">
        <f>IFERROR(__xludf.DUMMYFUNCTION("""COMPUTED_VALUE"""),46.06666666666667)</f>
        <v>46.06666667</v>
      </c>
    </row>
    <row r="442">
      <c r="A442" s="55" t="str">
        <f>IFERROR(__xludf.DUMMYFUNCTION("""COMPUTED_VALUE"""),"Zuma")</f>
        <v>Zuma</v>
      </c>
      <c r="B442" s="55" t="str">
        <f>IFERROR(__xludf.DUMMYFUNCTION("""COMPUTED_VALUE"""),"Xbox")</f>
        <v>Xbox</v>
      </c>
      <c r="C442" s="55"/>
      <c r="D442" s="56" t="str">
        <f>IFERROR(__xludf.DUMMYFUNCTION("""COMPUTED_VALUE"""),"Active")</f>
        <v>Active</v>
      </c>
      <c r="E442" s="57">
        <f>IFERROR(__xludf.DUMMYFUNCTION("""COMPUTED_VALUE"""),44145.0)</f>
        <v>44145</v>
      </c>
      <c r="F442" s="58"/>
      <c r="G442" s="60">
        <f>IFERROR(__xludf.DUMMYFUNCTION("""COMPUTED_VALUE"""),70.86666666666667)</f>
        <v>70.86666667</v>
      </c>
      <c r="H442" s="63">
        <f>IFERROR(__xludf.DUMMYFUNCTION("""COMPUTED_VALUE"""),37967.0)</f>
        <v>37967</v>
      </c>
      <c r="I442" s="60">
        <f>IFERROR(__xludf.DUMMYFUNCTION("""COMPUTED_VALUE"""),16.91111111111111)</f>
        <v>16.91111111</v>
      </c>
      <c r="J442" s="64">
        <f>IFERROR(__xludf.DUMMYFUNCTION("""COMPUTED_VALUE"""),78.0)</f>
        <v>78</v>
      </c>
      <c r="K442" s="64">
        <f>IFERROR(__xludf.DUMMYFUNCTION("""COMPUTED_VALUE"""),5.0)</f>
        <v>5</v>
      </c>
      <c r="L442" s="55" t="str">
        <f>IFERROR(__xludf.DUMMYFUNCTION("""COMPUTED_VALUE"""),"Puzzle")</f>
        <v>Puzzle</v>
      </c>
      <c r="M442" s="55"/>
      <c r="N442" s="55"/>
      <c r="O442" s="55" t="str">
        <f>IFERROR(__xludf.DUMMYFUNCTION("""COMPUTED_VALUE"""),"E")</f>
        <v>E</v>
      </c>
      <c r="P442" s="55"/>
      <c r="Q442" s="55" t="str">
        <f>IFERROR(__xludf.DUMMYFUNCTION("""COMPUTED_VALUE"""),"Xbox 360")</f>
        <v>Xbox 360</v>
      </c>
      <c r="R442" s="56" t="str">
        <f>IFERROR(__xludf.DUMMYFUNCTION("""COMPUTED_VALUE"""),"Active")</f>
        <v>Active</v>
      </c>
      <c r="S442" s="57">
        <f>IFERROR(__xludf.DUMMYFUNCTION("""COMPUTED_VALUE"""),45547.0)</f>
        <v>45547</v>
      </c>
      <c r="T442" s="60">
        <f>IFERROR(__xludf.DUMMYFUNCTION("""COMPUTED_VALUE"""),46.06666666666667)</f>
        <v>46.06666667</v>
      </c>
    </row>
    <row r="443">
      <c r="A443" s="55" t="str">
        <f>IFERROR(__xludf.DUMMYFUNCTION("""COMPUTED_VALUE"""),"Zuma's Revenge!")</f>
        <v>Zuma's Revenge!</v>
      </c>
      <c r="B443" s="55" t="str">
        <f>IFERROR(__xludf.DUMMYFUNCTION("""COMPUTED_VALUE"""),"Xbox")</f>
        <v>Xbox</v>
      </c>
      <c r="C443" s="55"/>
      <c r="D443" s="56" t="str">
        <f>IFERROR(__xludf.DUMMYFUNCTION("""COMPUTED_VALUE"""),"Active")</f>
        <v>Active</v>
      </c>
      <c r="E443" s="57">
        <f>IFERROR(__xludf.DUMMYFUNCTION("""COMPUTED_VALUE"""),44145.0)</f>
        <v>44145</v>
      </c>
      <c r="F443" s="58"/>
      <c r="G443" s="60">
        <f>IFERROR(__xludf.DUMMYFUNCTION("""COMPUTED_VALUE"""),70.86666666666667)</f>
        <v>70.86666667</v>
      </c>
      <c r="H443" s="63">
        <f>IFERROR(__xludf.DUMMYFUNCTION("""COMPUTED_VALUE"""),40071.0)</f>
        <v>40071</v>
      </c>
      <c r="I443" s="60">
        <f>IFERROR(__xludf.DUMMYFUNCTION("""COMPUTED_VALUE"""),11.152777777777779)</f>
        <v>11.15277778</v>
      </c>
      <c r="J443" s="64">
        <f>IFERROR(__xludf.DUMMYFUNCTION("""COMPUTED_VALUE"""),76.0)</f>
        <v>76</v>
      </c>
      <c r="K443" s="64">
        <f>IFERROR(__xludf.DUMMYFUNCTION("""COMPUTED_VALUE"""),5.0)</f>
        <v>5</v>
      </c>
      <c r="L443" s="55" t="str">
        <f>IFERROR(__xludf.DUMMYFUNCTION("""COMPUTED_VALUE"""),"Puzzle")</f>
        <v>Puzzle</v>
      </c>
      <c r="M443" s="55"/>
      <c r="N443" s="55"/>
      <c r="O443" s="55" t="str">
        <f>IFERROR(__xludf.DUMMYFUNCTION("""COMPUTED_VALUE"""),"E")</f>
        <v>E</v>
      </c>
      <c r="P443" s="55" t="str">
        <f>IFERROR(__xludf.DUMMYFUNCTION("""COMPUTED_VALUE"""),"Violence, Blood, Use of Alcohol, Language")</f>
        <v>Violence, Blood, Use of Alcohol, Language</v>
      </c>
      <c r="Q443" s="55" t="str">
        <f>IFERROR(__xludf.DUMMYFUNCTION("""COMPUTED_VALUE"""),"Xbox 360")</f>
        <v>Xbox 360</v>
      </c>
      <c r="R443" s="56" t="str">
        <f>IFERROR(__xludf.DUMMYFUNCTION("""COMPUTED_VALUE"""),"Active")</f>
        <v>Active</v>
      </c>
      <c r="S443" s="57">
        <f>IFERROR(__xludf.DUMMYFUNCTION("""COMPUTED_VALUE"""),45547.0)</f>
        <v>45547</v>
      </c>
      <c r="T443" s="60">
        <f>IFERROR(__xludf.DUMMYFUNCTION("""COMPUTED_VALUE"""),46.06666666666667)</f>
        <v>46.06666667</v>
      </c>
    </row>
    <row r="444">
      <c r="A444" s="55" t="str">
        <f>IFERROR(__xludf.DUMMYFUNCTION("""COMPUTED_VALUE"""),"Deep Rock Galactic")</f>
        <v>Deep Rock Galactic</v>
      </c>
      <c r="B444" s="55" t="str">
        <f>IFERROR(__xludf.DUMMYFUNCTION("""COMPUTED_VALUE"""),"Xbox / PC")</f>
        <v>Xbox / PC</v>
      </c>
      <c r="C444" s="55" t="str">
        <f>IFERROR(__xludf.DUMMYFUNCTION("""COMPUTED_VALUE"""),"M+KB")</f>
        <v>M+KB</v>
      </c>
      <c r="D444" s="56" t="str">
        <f>IFERROR(__xludf.DUMMYFUNCTION("""COMPUTED_VALUE"""),"Active")</f>
        <v>Active</v>
      </c>
      <c r="E444" s="57">
        <f>IFERROR(__xludf.DUMMYFUNCTION("""COMPUTED_VALUE"""),44140.0)</f>
        <v>44140</v>
      </c>
      <c r="F444" s="58"/>
      <c r="G444" s="60">
        <f>IFERROR(__xludf.DUMMYFUNCTION("""COMPUTED_VALUE"""),71.03333333333333)</f>
        <v>71.03333333</v>
      </c>
      <c r="H444" s="63">
        <f>IFERROR(__xludf.DUMMYFUNCTION("""COMPUTED_VALUE"""),43964.0)</f>
        <v>43964</v>
      </c>
      <c r="I444" s="60">
        <f>IFERROR(__xludf.DUMMYFUNCTION("""COMPUTED_VALUE"""),0.4777777777777778)</f>
        <v>0.4777777778</v>
      </c>
      <c r="J444" s="64">
        <f>IFERROR(__xludf.DUMMYFUNCTION("""COMPUTED_VALUE"""),84.0)</f>
        <v>84</v>
      </c>
      <c r="K444" s="64">
        <f>IFERROR(__xludf.DUMMYFUNCTION("""COMPUTED_VALUE"""),119.0)</f>
        <v>119</v>
      </c>
      <c r="L444" s="55" t="str">
        <f>IFERROR(__xludf.DUMMYFUNCTION("""COMPUTED_VALUE"""),"Shooter")</f>
        <v>Shooter</v>
      </c>
      <c r="M444" s="55"/>
      <c r="N444" s="55" t="str">
        <f>IFERROR(__xludf.DUMMYFUNCTION("""COMPUTED_VALUE"""),"Game Pass Essential (4/23/24)")</f>
        <v>Game Pass Essential (4/23/24)</v>
      </c>
      <c r="O444" s="55" t="str">
        <f>IFERROR(__xludf.DUMMYFUNCTION("""COMPUTED_VALUE"""),"T")</f>
        <v>T</v>
      </c>
      <c r="P444" s="55"/>
      <c r="Q444" s="55"/>
      <c r="R444" s="56" t="str">
        <f>IFERROR(__xludf.DUMMYFUNCTION("""COMPUTED_VALUE"""),"Active")</f>
        <v>Active</v>
      </c>
      <c r="S444" s="57">
        <f>IFERROR(__xludf.DUMMYFUNCTION("""COMPUTED_VALUE"""),45547.0)</f>
        <v>45547</v>
      </c>
      <c r="T444" s="60">
        <f>IFERROR(__xludf.DUMMYFUNCTION("""COMPUTED_VALUE"""),46.233333333333334)</f>
        <v>46.23333333</v>
      </c>
    </row>
    <row r="445">
      <c r="A445" s="55" t="str">
        <f>IFERROR(__xludf.DUMMYFUNCTION("""COMPUTED_VALUE"""),"Day of the Tentacle Remastered")</f>
        <v>Day of the Tentacle Remastered</v>
      </c>
      <c r="B445" s="55" t="str">
        <f>IFERROR(__xludf.DUMMYFUNCTION("""COMPUTED_VALUE"""),"Xbox / PC")</f>
        <v>Xbox / PC</v>
      </c>
      <c r="C445" s="55"/>
      <c r="D445" s="56" t="str">
        <f>IFERROR(__xludf.DUMMYFUNCTION("""COMPUTED_VALUE"""),"Active")</f>
        <v>Active</v>
      </c>
      <c r="E445" s="57">
        <f>IFERROR(__xludf.DUMMYFUNCTION("""COMPUTED_VALUE"""),44133.0)</f>
        <v>44133</v>
      </c>
      <c r="F445" s="58"/>
      <c r="G445" s="60">
        <f>IFERROR(__xludf.DUMMYFUNCTION("""COMPUTED_VALUE"""),71.23333333333333)</f>
        <v>71.23333333</v>
      </c>
      <c r="H445" s="63">
        <f>IFERROR(__xludf.DUMMYFUNCTION("""COMPUTED_VALUE"""),42451.0)</f>
        <v>42451</v>
      </c>
      <c r="I445" s="60">
        <f>IFERROR(__xludf.DUMMYFUNCTION("""COMPUTED_VALUE"""),4.602777777777778)</f>
        <v>4.602777778</v>
      </c>
      <c r="J445" s="64">
        <f>IFERROR(__xludf.DUMMYFUNCTION("""COMPUTED_VALUE"""),84.0)</f>
        <v>84</v>
      </c>
      <c r="K445" s="64">
        <f>IFERROR(__xludf.DUMMYFUNCTION("""COMPUTED_VALUE"""),4.5)</f>
        <v>4.5</v>
      </c>
      <c r="L445" s="55" t="str">
        <f>IFERROR(__xludf.DUMMYFUNCTION("""COMPUTED_VALUE"""),"Adventure")</f>
        <v>Adventure</v>
      </c>
      <c r="M445" s="55"/>
      <c r="N445" s="55"/>
      <c r="O445" s="55" t="str">
        <f>IFERROR(__xludf.DUMMYFUNCTION("""COMPUTED_VALUE"""),"T")</f>
        <v>T</v>
      </c>
      <c r="P445" s="55" t="str">
        <f>IFERROR(__xludf.DUMMYFUNCTION("""COMPUTED_VALUE"""),"Fantasy Violence, Suggestive Themes, Use of Tobacco")</f>
        <v>Fantasy Violence, Suggestive Themes, Use of Tobacco</v>
      </c>
      <c r="Q445" s="55"/>
      <c r="R445" s="56" t="str">
        <f>IFERROR(__xludf.DUMMYFUNCTION("""COMPUTED_VALUE"""),"Active")</f>
        <v>Active</v>
      </c>
      <c r="S445" s="57">
        <f>IFERROR(__xludf.DUMMYFUNCTION("""COMPUTED_VALUE"""),45547.0)</f>
        <v>45547</v>
      </c>
      <c r="T445" s="60">
        <f>IFERROR(__xludf.DUMMYFUNCTION("""COMPUTED_VALUE"""),46.43333333333334)</f>
        <v>46.43333333</v>
      </c>
    </row>
    <row r="446">
      <c r="A446" s="55" t="str">
        <f>IFERROR(__xludf.DUMMYFUNCTION("""COMPUTED_VALUE"""),"Full Throttle Remastered")</f>
        <v>Full Throttle Remastered</v>
      </c>
      <c r="B446" s="55" t="str">
        <f>IFERROR(__xludf.DUMMYFUNCTION("""COMPUTED_VALUE"""),"Xbox / PC")</f>
        <v>Xbox / PC</v>
      </c>
      <c r="C446" s="55"/>
      <c r="D446" s="56" t="str">
        <f>IFERROR(__xludf.DUMMYFUNCTION("""COMPUTED_VALUE"""),"Active")</f>
        <v>Active</v>
      </c>
      <c r="E446" s="57">
        <f>IFERROR(__xludf.DUMMYFUNCTION("""COMPUTED_VALUE"""),44133.0)</f>
        <v>44133</v>
      </c>
      <c r="F446" s="58"/>
      <c r="G446" s="60">
        <f>IFERROR(__xludf.DUMMYFUNCTION("""COMPUTED_VALUE"""),71.23333333333333)</f>
        <v>71.23333333</v>
      </c>
      <c r="H446" s="63">
        <f>IFERROR(__xludf.DUMMYFUNCTION("""COMPUTED_VALUE"""),42843.0)</f>
        <v>42843</v>
      </c>
      <c r="I446" s="60">
        <f>IFERROR(__xludf.DUMMYFUNCTION("""COMPUTED_VALUE"""),3.5305555555555554)</f>
        <v>3.530555556</v>
      </c>
      <c r="J446" s="64">
        <f>IFERROR(__xludf.DUMMYFUNCTION("""COMPUTED_VALUE"""),76.0)</f>
        <v>76</v>
      </c>
      <c r="K446" s="64">
        <f>IFERROR(__xludf.DUMMYFUNCTION("""COMPUTED_VALUE"""),4.0)</f>
        <v>4</v>
      </c>
      <c r="L446" s="55" t="str">
        <f>IFERROR(__xludf.DUMMYFUNCTION("""COMPUTED_VALUE"""),"Adventure")</f>
        <v>Adventure</v>
      </c>
      <c r="M446" s="55"/>
      <c r="N446" s="55"/>
      <c r="O446" s="55" t="str">
        <f>IFERROR(__xludf.DUMMYFUNCTION("""COMPUTED_VALUE"""),"T")</f>
        <v>T</v>
      </c>
      <c r="P446" s="55" t="str">
        <f>IFERROR(__xludf.DUMMYFUNCTION("""COMPUTED_VALUE"""),"Violence, Blood, Mild Language, Use of Alcohol and Tobacco")</f>
        <v>Violence, Blood, Mild Language, Use of Alcohol and Tobacco</v>
      </c>
      <c r="Q446" s="55"/>
      <c r="R446" s="56" t="str">
        <f>IFERROR(__xludf.DUMMYFUNCTION("""COMPUTED_VALUE"""),"Active")</f>
        <v>Active</v>
      </c>
      <c r="S446" s="57">
        <f>IFERROR(__xludf.DUMMYFUNCTION("""COMPUTED_VALUE"""),45547.0)</f>
        <v>45547</v>
      </c>
      <c r="T446" s="60">
        <f>IFERROR(__xludf.DUMMYFUNCTION("""COMPUTED_VALUE"""),46.43333333333334)</f>
        <v>46.43333333</v>
      </c>
    </row>
    <row r="447">
      <c r="A447" s="55" t="str">
        <f>IFERROR(__xludf.DUMMYFUNCTION("""COMPUTED_VALUE"""),"Grim Fandango Remastered")</f>
        <v>Grim Fandango Remastered</v>
      </c>
      <c r="B447" s="55" t="str">
        <f>IFERROR(__xludf.DUMMYFUNCTION("""COMPUTED_VALUE"""),"Xbox / PC")</f>
        <v>Xbox / PC</v>
      </c>
      <c r="C447" s="55"/>
      <c r="D447" s="56" t="str">
        <f>IFERROR(__xludf.DUMMYFUNCTION("""COMPUTED_VALUE"""),"Active")</f>
        <v>Active</v>
      </c>
      <c r="E447" s="57">
        <f>IFERROR(__xludf.DUMMYFUNCTION("""COMPUTED_VALUE"""),44133.0)</f>
        <v>44133</v>
      </c>
      <c r="F447" s="58"/>
      <c r="G447" s="60">
        <f>IFERROR(__xludf.DUMMYFUNCTION("""COMPUTED_VALUE"""),71.23333333333333)</f>
        <v>71.23333333</v>
      </c>
      <c r="H447" s="63">
        <f>IFERROR(__xludf.DUMMYFUNCTION("""COMPUTED_VALUE"""),42031.0)</f>
        <v>42031</v>
      </c>
      <c r="I447" s="60">
        <f>IFERROR(__xludf.DUMMYFUNCTION("""COMPUTED_VALUE"""),5.7555555555555555)</f>
        <v>5.755555556</v>
      </c>
      <c r="J447" s="64">
        <f>IFERROR(__xludf.DUMMYFUNCTION("""COMPUTED_VALUE"""),80.0)</f>
        <v>80</v>
      </c>
      <c r="K447" s="64">
        <f>IFERROR(__xludf.DUMMYFUNCTION("""COMPUTED_VALUE"""),11.0)</f>
        <v>11</v>
      </c>
      <c r="L447" s="55" t="str">
        <f>IFERROR(__xludf.DUMMYFUNCTION("""COMPUTED_VALUE"""),"Adventure")</f>
        <v>Adventure</v>
      </c>
      <c r="M447" s="55"/>
      <c r="N447" s="55"/>
      <c r="O447" s="55" t="str">
        <f>IFERROR(__xludf.DUMMYFUNCTION("""COMPUTED_VALUE"""),"T")</f>
        <v>T</v>
      </c>
      <c r="P447" s="55" t="str">
        <f>IFERROR(__xludf.DUMMYFUNCTION("""COMPUTED_VALUE"""),"Crude Humor, Fantasy Violence, Mild Language, Mild Suggestive Themes, Use of Alcohol and Tobacco")</f>
        <v>Crude Humor, Fantasy Violence, Mild Language, Mild Suggestive Themes, Use of Alcohol and Tobacco</v>
      </c>
      <c r="Q447" s="55"/>
      <c r="R447" s="56" t="str">
        <f>IFERROR(__xludf.DUMMYFUNCTION("""COMPUTED_VALUE"""),"Active")</f>
        <v>Active</v>
      </c>
      <c r="S447" s="57">
        <f>IFERROR(__xludf.DUMMYFUNCTION("""COMPUTED_VALUE"""),45547.0)</f>
        <v>45547</v>
      </c>
      <c r="T447" s="60">
        <f>IFERROR(__xludf.DUMMYFUNCTION("""COMPUTED_VALUE"""),46.43333333333334)</f>
        <v>46.43333333</v>
      </c>
    </row>
    <row r="448">
      <c r="A448" s="55" t="str">
        <f>IFERROR(__xludf.DUMMYFUNCTION("""COMPUTED_VALUE"""),"Tom Clancy's Rainbow Six: Siege - Deluxe Edition")</f>
        <v>Tom Clancy's Rainbow Six: Siege - Deluxe Edition</v>
      </c>
      <c r="B448" s="55" t="str">
        <f>IFERROR(__xludf.DUMMYFUNCTION("""COMPUTED_VALUE"""),"Xbox / PC")</f>
        <v>Xbox / PC</v>
      </c>
      <c r="C448" s="55" t="str">
        <f>IFERROR(__xludf.DUMMYFUNCTION("""COMPUTED_VALUE"""),"Yes")</f>
        <v>Yes</v>
      </c>
      <c r="D448" s="56" t="str">
        <f>IFERROR(__xludf.DUMMYFUNCTION("""COMPUTED_VALUE"""),"Active")</f>
        <v>Active</v>
      </c>
      <c r="E448" s="57">
        <f>IFERROR(__xludf.DUMMYFUNCTION("""COMPUTED_VALUE"""),44126.0)</f>
        <v>44126</v>
      </c>
      <c r="F448" s="58"/>
      <c r="G448" s="60">
        <f>IFERROR(__xludf.DUMMYFUNCTION("""COMPUTED_VALUE"""),71.46666666666667)</f>
        <v>71.46666667</v>
      </c>
      <c r="H448" s="63">
        <f>IFERROR(__xludf.DUMMYFUNCTION("""COMPUTED_VALUE"""),42339.0)</f>
        <v>42339</v>
      </c>
      <c r="I448" s="60">
        <f>IFERROR(__xludf.DUMMYFUNCTION("""COMPUTED_VALUE"""),4.891666666666667)</f>
        <v>4.891666667</v>
      </c>
      <c r="J448" s="64">
        <f>IFERROR(__xludf.DUMMYFUNCTION("""COMPUTED_VALUE"""),74.0)</f>
        <v>74</v>
      </c>
      <c r="K448" s="64">
        <f>IFERROR(__xludf.DUMMYFUNCTION("""COMPUTED_VALUE"""),7.5)</f>
        <v>7.5</v>
      </c>
      <c r="L448" s="55" t="str">
        <f>IFERROR(__xludf.DUMMYFUNCTION("""COMPUTED_VALUE"""),"Shooter")</f>
        <v>Shooter</v>
      </c>
      <c r="M448" s="55" t="str">
        <f>IFERROR(__xludf.DUMMYFUNCTION("""COMPUTED_VALUE"""),"Optimized")</f>
        <v>Optimized</v>
      </c>
      <c r="N448" s="55" t="str">
        <f>IFERROR(__xludf.DUMMYFUNCTION("""COMPUTED_VALUE"""),"Ubisoft Connect launcher, joined PC 1/20/21")</f>
        <v>Ubisoft Connect launcher, joined PC 1/20/21</v>
      </c>
      <c r="O448" s="55" t="str">
        <f>IFERROR(__xludf.DUMMYFUNCTION("""COMPUTED_VALUE"""),"M")</f>
        <v>M</v>
      </c>
      <c r="P448" s="55" t="str">
        <f>IFERROR(__xludf.DUMMYFUNCTION("""COMPUTED_VALUE"""),"Blood, Drug Reference, Strong Language, Violence")</f>
        <v>Blood, Drug Reference, Strong Language, Violence</v>
      </c>
      <c r="Q448" s="55"/>
      <c r="R448" s="56" t="str">
        <f>IFERROR(__xludf.DUMMYFUNCTION("""COMPUTED_VALUE"""),"Active")</f>
        <v>Active</v>
      </c>
      <c r="S448" s="57">
        <f>IFERROR(__xludf.DUMMYFUNCTION("""COMPUTED_VALUE"""),45547.0)</f>
        <v>45547</v>
      </c>
      <c r="T448" s="60">
        <f>IFERROR(__xludf.DUMMYFUNCTION("""COMPUTED_VALUE"""),46.666666666666664)</f>
        <v>46.66666667</v>
      </c>
    </row>
    <row r="449">
      <c r="A449" s="55" t="str">
        <f>IFERROR(__xludf.DUMMYFUNCTION("""COMPUTED_VALUE"""),"Brütal Legend")</f>
        <v>Brütal Legend</v>
      </c>
      <c r="B449" s="55" t="str">
        <f>IFERROR(__xludf.DUMMYFUNCTION("""COMPUTED_VALUE"""),"Xbox")</f>
        <v>Xbox</v>
      </c>
      <c r="C449" s="55"/>
      <c r="D449" s="56" t="str">
        <f>IFERROR(__xludf.DUMMYFUNCTION("""COMPUTED_VALUE"""),"Active")</f>
        <v>Active</v>
      </c>
      <c r="E449" s="57">
        <f>IFERROR(__xludf.DUMMYFUNCTION("""COMPUTED_VALUE"""),44112.0)</f>
        <v>44112</v>
      </c>
      <c r="F449" s="58"/>
      <c r="G449" s="60">
        <f>IFERROR(__xludf.DUMMYFUNCTION("""COMPUTED_VALUE"""),71.93333333333334)</f>
        <v>71.93333333</v>
      </c>
      <c r="H449" s="63">
        <f>IFERROR(__xludf.DUMMYFUNCTION("""COMPUTED_VALUE"""),40099.0)</f>
        <v>40099</v>
      </c>
      <c r="I449" s="60">
        <f>IFERROR(__xludf.DUMMYFUNCTION("""COMPUTED_VALUE"""),10.98611111111111)</f>
        <v>10.98611111</v>
      </c>
      <c r="J449" s="64">
        <f>IFERROR(__xludf.DUMMYFUNCTION("""COMPUTED_VALUE"""),82.0)</f>
        <v>82</v>
      </c>
      <c r="K449" s="64">
        <f>IFERROR(__xludf.DUMMYFUNCTION("""COMPUTED_VALUE"""),9.0)</f>
        <v>9</v>
      </c>
      <c r="L449" s="55" t="str">
        <f>IFERROR(__xludf.DUMMYFUNCTION("""COMPUTED_VALUE"""),"Action-Adventure")</f>
        <v>Action-Adventure</v>
      </c>
      <c r="M449" s="55"/>
      <c r="N449" s="55"/>
      <c r="O449" s="55" t="str">
        <f>IFERROR(__xludf.DUMMYFUNCTION("""COMPUTED_VALUE"""),"M")</f>
        <v>M</v>
      </c>
      <c r="P449" s="55" t="str">
        <f>IFERROR(__xludf.DUMMYFUNCTION("""COMPUTED_VALUE"""),"Blood and Gore, Intense Violence, Partial Nudity, Strong Language, Suggestive Themes")</f>
        <v>Blood and Gore, Intense Violence, Partial Nudity, Strong Language, Suggestive Themes</v>
      </c>
      <c r="Q449" s="55" t="str">
        <f>IFERROR(__xludf.DUMMYFUNCTION("""COMPUTED_VALUE"""),"Xbox 360")</f>
        <v>Xbox 360</v>
      </c>
      <c r="R449" s="56" t="str">
        <f>IFERROR(__xludf.DUMMYFUNCTION("""COMPUTED_VALUE"""),"Active")</f>
        <v>Active</v>
      </c>
      <c r="S449" s="57">
        <f>IFERROR(__xludf.DUMMYFUNCTION("""COMPUTED_VALUE"""),45547.0)</f>
        <v>45547</v>
      </c>
      <c r="T449" s="60">
        <f>IFERROR(__xludf.DUMMYFUNCTION("""COMPUTED_VALUE"""),47.13333333333333)</f>
        <v>47.13333333</v>
      </c>
    </row>
    <row r="450">
      <c r="A450" s="55" t="str">
        <f>IFERROR(__xludf.DUMMYFUNCTION("""COMPUTED_VALUE"""),"DOOM Eternal")</f>
        <v>DOOM Eternal</v>
      </c>
      <c r="B450" s="55" t="str">
        <f>IFERROR(__xludf.DUMMYFUNCTION("""COMPUTED_VALUE"""),"Xbox / PC")</f>
        <v>Xbox / PC</v>
      </c>
      <c r="C450" s="55" t="str">
        <f>IFERROR(__xludf.DUMMYFUNCTION("""COMPUTED_VALUE"""),"Yes")</f>
        <v>Yes</v>
      </c>
      <c r="D450" s="56" t="str">
        <f>IFERROR(__xludf.DUMMYFUNCTION("""COMPUTED_VALUE"""),"Active")</f>
        <v>Active</v>
      </c>
      <c r="E450" s="57">
        <f>IFERROR(__xludf.DUMMYFUNCTION("""COMPUTED_VALUE"""),44105.0)</f>
        <v>44105</v>
      </c>
      <c r="F450" s="58"/>
      <c r="G450" s="60">
        <f>IFERROR(__xludf.DUMMYFUNCTION("""COMPUTED_VALUE"""),72.16666666666667)</f>
        <v>72.16666667</v>
      </c>
      <c r="H450" s="63">
        <f>IFERROR(__xludf.DUMMYFUNCTION("""COMPUTED_VALUE"""),43910.0)</f>
        <v>43910</v>
      </c>
      <c r="I450" s="60">
        <f>IFERROR(__xludf.DUMMYFUNCTION("""COMPUTED_VALUE"""),0.5305555555555556)</f>
        <v>0.5305555556</v>
      </c>
      <c r="J450" s="64">
        <f>IFERROR(__xludf.DUMMYFUNCTION("""COMPUTED_VALUE"""),88.0)</f>
        <v>88</v>
      </c>
      <c r="K450" s="64">
        <f>IFERROR(__xludf.DUMMYFUNCTION("""COMPUTED_VALUE"""),13.5)</f>
        <v>13.5</v>
      </c>
      <c r="L450" s="55" t="str">
        <f>IFERROR(__xludf.DUMMYFUNCTION("""COMPUTED_VALUE"""),"Shooter")</f>
        <v>Shooter</v>
      </c>
      <c r="M450" s="55" t="str">
        <f>IFERROR(__xludf.DUMMYFUNCTION("""COMPUTED_VALUE"""),"Optimized")</f>
        <v>Optimized</v>
      </c>
      <c r="N450" s="55" t="str">
        <f>IFERROR(__xludf.DUMMYFUNCTION("""COMPUTED_VALUE"""),"Game Pass Essential launch title (9/14/23)")</f>
        <v>Game Pass Essential launch title (9/14/23)</v>
      </c>
      <c r="O450" s="55" t="str">
        <f>IFERROR(__xludf.DUMMYFUNCTION("""COMPUTED_VALUE"""),"M")</f>
        <v>M</v>
      </c>
      <c r="P450" s="55" t="str">
        <f>IFERROR(__xludf.DUMMYFUNCTION("""COMPUTED_VALUE"""),"Blood and Gore, Intense Violence")</f>
        <v>Blood and Gore, Intense Violence</v>
      </c>
      <c r="Q450" s="55"/>
      <c r="R450" s="56" t="str">
        <f>IFERROR(__xludf.DUMMYFUNCTION("""COMPUTED_VALUE"""),"Active")</f>
        <v>Active</v>
      </c>
      <c r="S450" s="57">
        <f>IFERROR(__xludf.DUMMYFUNCTION("""COMPUTED_VALUE"""),45547.0)</f>
        <v>45547</v>
      </c>
      <c r="T450" s="60">
        <f>IFERROR(__xludf.DUMMYFUNCTION("""COMPUTED_VALUE"""),47.36666666666667)</f>
        <v>47.36666667</v>
      </c>
    </row>
    <row r="451">
      <c r="A451" s="55" t="str">
        <f>IFERROR(__xludf.DUMMYFUNCTION("""COMPUTED_VALUE"""),"Halo 3: ODST")</f>
        <v>Halo 3: ODST</v>
      </c>
      <c r="B451" s="55" t="str">
        <f>IFERROR(__xludf.DUMMYFUNCTION("""COMPUTED_VALUE"""),"Xbox / PC")</f>
        <v>Xbox / PC</v>
      </c>
      <c r="C451" s="55" t="str">
        <f>IFERROR(__xludf.DUMMYFUNCTION("""COMPUTED_VALUE"""),"Yes")</f>
        <v>Yes</v>
      </c>
      <c r="D451" s="56" t="str">
        <f>IFERROR(__xludf.DUMMYFUNCTION("""COMPUTED_VALUE"""),"Active")</f>
        <v>Active</v>
      </c>
      <c r="E451" s="57">
        <f>IFERROR(__xludf.DUMMYFUNCTION("""COMPUTED_VALUE"""),44096.0)</f>
        <v>44096</v>
      </c>
      <c r="F451" s="58"/>
      <c r="G451" s="60">
        <f>IFERROR(__xludf.DUMMYFUNCTION("""COMPUTED_VALUE"""),72.46666666666667)</f>
        <v>72.46666667</v>
      </c>
      <c r="H451" s="63">
        <f>IFERROR(__xludf.DUMMYFUNCTION("""COMPUTED_VALUE"""),40078.0)</f>
        <v>40078</v>
      </c>
      <c r="I451" s="60">
        <f>IFERROR(__xludf.DUMMYFUNCTION("""COMPUTED_VALUE"""),11.0)</f>
        <v>11</v>
      </c>
      <c r="J451" s="64">
        <f>IFERROR(__xludf.DUMMYFUNCTION("""COMPUTED_VALUE"""),83.0)</f>
        <v>83</v>
      </c>
      <c r="K451" s="64">
        <f>IFERROR(__xludf.DUMMYFUNCTION("""COMPUTED_VALUE"""),7.0)</f>
        <v>7</v>
      </c>
      <c r="L451" s="55" t="str">
        <f>IFERROR(__xludf.DUMMYFUNCTION("""COMPUTED_VALUE"""),"Shooter")</f>
        <v>Shooter</v>
      </c>
      <c r="M451" s="55"/>
      <c r="N451" s="55"/>
      <c r="O451" s="55" t="str">
        <f>IFERROR(__xludf.DUMMYFUNCTION("""COMPUTED_VALUE"""),"M")</f>
        <v>M</v>
      </c>
      <c r="P451" s="55" t="str">
        <f>IFERROR(__xludf.DUMMYFUNCTION("""COMPUTED_VALUE"""),"Blood, Language, Violence")</f>
        <v>Blood, Language, Violence</v>
      </c>
      <c r="Q451" s="55" t="str">
        <f>IFERROR(__xludf.DUMMYFUNCTION("""COMPUTED_VALUE"""),"Xbox 360")</f>
        <v>Xbox 360</v>
      </c>
      <c r="R451" s="56" t="str">
        <f>IFERROR(__xludf.DUMMYFUNCTION("""COMPUTED_VALUE"""),"Active")</f>
        <v>Active</v>
      </c>
      <c r="S451" s="57">
        <f>IFERROR(__xludf.DUMMYFUNCTION("""COMPUTED_VALUE"""),45547.0)</f>
        <v>45547</v>
      </c>
      <c r="T451" s="60">
        <f>IFERROR(__xludf.DUMMYFUNCTION("""COMPUTED_VALUE"""),47.66666666666667)</f>
        <v>47.66666667</v>
      </c>
    </row>
    <row r="452">
      <c r="A452" s="55" t="str">
        <f>IFERROR(__xludf.DUMMYFUNCTION("""COMPUTED_VALUE"""),"Wasteland 3")</f>
        <v>Wasteland 3</v>
      </c>
      <c r="B452" s="55" t="str">
        <f>IFERROR(__xludf.DUMMYFUNCTION("""COMPUTED_VALUE"""),"Xbox / PC")</f>
        <v>Xbox / PC</v>
      </c>
      <c r="C452" s="55" t="str">
        <f>IFERROR(__xludf.DUMMYFUNCTION("""COMPUTED_VALUE"""),"Touch Controls")</f>
        <v>Touch Controls</v>
      </c>
      <c r="D452" s="56" t="str">
        <f>IFERROR(__xludf.DUMMYFUNCTION("""COMPUTED_VALUE"""),"Active")</f>
        <v>Active</v>
      </c>
      <c r="E452" s="57">
        <f>IFERROR(__xludf.DUMMYFUNCTION("""COMPUTED_VALUE"""),44071.0)</f>
        <v>44071</v>
      </c>
      <c r="F452" s="58"/>
      <c r="G452" s="60">
        <f>IFERROR(__xludf.DUMMYFUNCTION("""COMPUTED_VALUE"""),73.26666666666667)</f>
        <v>73.26666667</v>
      </c>
      <c r="H452" s="63">
        <f>IFERROR(__xludf.DUMMYFUNCTION("""COMPUTED_VALUE"""),44071.0)</f>
        <v>44071</v>
      </c>
      <c r="I452" s="60">
        <f>IFERROR(__xludf.DUMMYFUNCTION("""COMPUTED_VALUE"""),0.0)</f>
        <v>0</v>
      </c>
      <c r="J452" s="64">
        <f>IFERROR(__xludf.DUMMYFUNCTION("""COMPUTED_VALUE"""),86.0)</f>
        <v>86</v>
      </c>
      <c r="K452" s="64">
        <f>IFERROR(__xludf.DUMMYFUNCTION("""COMPUTED_VALUE"""),36.5)</f>
        <v>36.5</v>
      </c>
      <c r="L452" s="55" t="str">
        <f>IFERROR(__xludf.DUMMYFUNCTION("""COMPUTED_VALUE"""),"RPG")</f>
        <v>RPG</v>
      </c>
      <c r="M452" s="55" t="str">
        <f>IFERROR(__xludf.DUMMYFUNCTION("""COMPUTED_VALUE"""),"FPS Boost")</f>
        <v>FPS Boost</v>
      </c>
      <c r="N452" s="55"/>
      <c r="O452" s="55" t="str">
        <f>IFERROR(__xludf.DUMMYFUNCTION("""COMPUTED_VALUE"""),"M")</f>
        <v>M</v>
      </c>
      <c r="P452" s="55" t="str">
        <f>IFERROR(__xludf.DUMMYFUNCTION("""COMPUTED_VALUE"""),"Blood and Gore, Sexual Content, Use of Drugs, Strong Language, Intense Violence")</f>
        <v>Blood and Gore, Sexual Content, Use of Drugs, Strong Language, Intense Violence</v>
      </c>
      <c r="Q452" s="55"/>
      <c r="R452" s="56" t="str">
        <f>IFERROR(__xludf.DUMMYFUNCTION("""COMPUTED_VALUE"""),"Active")</f>
        <v>Active</v>
      </c>
      <c r="S452" s="57">
        <f>IFERROR(__xludf.DUMMYFUNCTION("""COMPUTED_VALUE"""),45547.0)</f>
        <v>45547</v>
      </c>
      <c r="T452" s="60">
        <f>IFERROR(__xludf.DUMMYFUNCTION("""COMPUTED_VALUE"""),48.46666666666667)</f>
        <v>48.46666667</v>
      </c>
    </row>
    <row r="453">
      <c r="A453" s="55" t="str">
        <f>IFERROR(__xludf.DUMMYFUNCTION("""COMPUTED_VALUE"""),"Tell Me Why")</f>
        <v>Tell Me Why</v>
      </c>
      <c r="B453" s="55" t="str">
        <f>IFERROR(__xludf.DUMMYFUNCTION("""COMPUTED_VALUE"""),"Xbox / PC")</f>
        <v>Xbox / PC</v>
      </c>
      <c r="C453" s="55" t="str">
        <f>IFERROR(__xludf.DUMMYFUNCTION("""COMPUTED_VALUE"""),"Touch Controls")</f>
        <v>Touch Controls</v>
      </c>
      <c r="D453" s="56" t="str">
        <f>IFERROR(__xludf.DUMMYFUNCTION("""COMPUTED_VALUE"""),"Active")</f>
        <v>Active</v>
      </c>
      <c r="E453" s="57">
        <f>IFERROR(__xludf.DUMMYFUNCTION("""COMPUTED_VALUE"""),44070.0)</f>
        <v>44070</v>
      </c>
      <c r="F453" s="58"/>
      <c r="G453" s="60">
        <f>IFERROR(__xludf.DUMMYFUNCTION("""COMPUTED_VALUE"""),73.3)</f>
        <v>73.3</v>
      </c>
      <c r="H453" s="63">
        <f>IFERROR(__xludf.DUMMYFUNCTION("""COMPUTED_VALUE"""),44070.0)</f>
        <v>44070</v>
      </c>
      <c r="I453" s="60">
        <f>IFERROR(__xludf.DUMMYFUNCTION("""COMPUTED_VALUE"""),0.0)</f>
        <v>0</v>
      </c>
      <c r="J453" s="64">
        <f>IFERROR(__xludf.DUMMYFUNCTION("""COMPUTED_VALUE"""),80.0)</f>
        <v>80</v>
      </c>
      <c r="K453" s="64">
        <f>IFERROR(__xludf.DUMMYFUNCTION("""COMPUTED_VALUE"""),9.0)</f>
        <v>9</v>
      </c>
      <c r="L453" s="55" t="str">
        <f>IFERROR(__xludf.DUMMYFUNCTION("""COMPUTED_VALUE"""),"Adventure")</f>
        <v>Adventure</v>
      </c>
      <c r="M453" s="55"/>
      <c r="N453" s="55"/>
      <c r="O453" s="55" t="str">
        <f>IFERROR(__xludf.DUMMYFUNCTION("""COMPUTED_VALUE"""),"M")</f>
        <v>M</v>
      </c>
      <c r="P453" s="55" t="str">
        <f>IFERROR(__xludf.DUMMYFUNCTION("""COMPUTED_VALUE"""),"Mild Blood, Drug Reference, Strong Language, Violence")</f>
        <v>Mild Blood, Drug Reference, Strong Language, Violence</v>
      </c>
      <c r="Q453" s="55"/>
      <c r="R453" s="56" t="str">
        <f>IFERROR(__xludf.DUMMYFUNCTION("""COMPUTED_VALUE"""),"Active")</f>
        <v>Active</v>
      </c>
      <c r="S453" s="57">
        <f>IFERROR(__xludf.DUMMYFUNCTION("""COMPUTED_VALUE"""),45547.0)</f>
        <v>45547</v>
      </c>
      <c r="T453" s="60">
        <f>IFERROR(__xludf.DUMMYFUNCTION("""COMPUTED_VALUE"""),48.5)</f>
        <v>48.5</v>
      </c>
    </row>
    <row r="454">
      <c r="A454" s="55" t="str">
        <f>IFERROR(__xludf.DUMMYFUNCTION("""COMPUTED_VALUE"""),"Battletoads")</f>
        <v>Battletoads</v>
      </c>
      <c r="B454" s="55" t="str">
        <f>IFERROR(__xludf.DUMMYFUNCTION("""COMPUTED_VALUE"""),"Xbox / PC")</f>
        <v>Xbox / PC</v>
      </c>
      <c r="C454" s="55" t="str">
        <f>IFERROR(__xludf.DUMMYFUNCTION("""COMPUTED_VALUE"""),"Yes")</f>
        <v>Yes</v>
      </c>
      <c r="D454" s="56" t="str">
        <f>IFERROR(__xludf.DUMMYFUNCTION("""COMPUTED_VALUE"""),"Active")</f>
        <v>Active</v>
      </c>
      <c r="E454" s="57">
        <f>IFERROR(__xludf.DUMMYFUNCTION("""COMPUTED_VALUE"""),44063.0)</f>
        <v>44063</v>
      </c>
      <c r="F454" s="58"/>
      <c r="G454" s="60">
        <f>IFERROR(__xludf.DUMMYFUNCTION("""COMPUTED_VALUE"""),73.53333333333333)</f>
        <v>73.53333333</v>
      </c>
      <c r="H454" s="63">
        <f>IFERROR(__xludf.DUMMYFUNCTION("""COMPUTED_VALUE"""),44063.0)</f>
        <v>44063</v>
      </c>
      <c r="I454" s="60">
        <f>IFERROR(__xludf.DUMMYFUNCTION("""COMPUTED_VALUE"""),0.0)</f>
        <v>0</v>
      </c>
      <c r="J454" s="64">
        <f>IFERROR(__xludf.DUMMYFUNCTION("""COMPUTED_VALUE"""),72.5)</f>
        <v>72.5</v>
      </c>
      <c r="K454" s="64">
        <f>IFERROR(__xludf.DUMMYFUNCTION("""COMPUTED_VALUE"""),4.0)</f>
        <v>4</v>
      </c>
      <c r="L454" s="55" t="str">
        <f>IFERROR(__xludf.DUMMYFUNCTION("""COMPUTED_VALUE"""),"Brawler")</f>
        <v>Brawler</v>
      </c>
      <c r="M454" s="55"/>
      <c r="N454" s="55"/>
      <c r="O454" s="55" t="str">
        <f>IFERROR(__xludf.DUMMYFUNCTION("""COMPUTED_VALUE"""),"E10+")</f>
        <v>E10+</v>
      </c>
      <c r="P454" s="55" t="str">
        <f>IFERROR(__xludf.DUMMYFUNCTION("""COMPUTED_VALUE"""),"Crude Humor, Mild Language, Animated Blood, Cartoon Violence")</f>
        <v>Crude Humor, Mild Language, Animated Blood, Cartoon Violence</v>
      </c>
      <c r="Q454" s="55"/>
      <c r="R454" s="56" t="str">
        <f>IFERROR(__xludf.DUMMYFUNCTION("""COMPUTED_VALUE"""),"Active")</f>
        <v>Active</v>
      </c>
      <c r="S454" s="57">
        <f>IFERROR(__xludf.DUMMYFUNCTION("""COMPUTED_VALUE"""),45547.0)</f>
        <v>45547</v>
      </c>
      <c r="T454" s="60">
        <f>IFERROR(__xludf.DUMMYFUNCTION("""COMPUTED_VALUE"""),48.733333333333334)</f>
        <v>48.73333333</v>
      </c>
    </row>
    <row r="455">
      <c r="A455" s="55" t="str">
        <f>IFERROR(__xludf.DUMMYFUNCTION("""COMPUTED_VALUE"""),"New Super Lucky's Tale")</f>
        <v>New Super Lucky's Tale</v>
      </c>
      <c r="B455" s="55" t="str">
        <f>IFERROR(__xludf.DUMMYFUNCTION("""COMPUTED_VALUE"""),"Xbox / PC")</f>
        <v>Xbox / PC</v>
      </c>
      <c r="C455" s="55" t="str">
        <f>IFERROR(__xludf.DUMMYFUNCTION("""COMPUTED_VALUE"""),"Touch Controls")</f>
        <v>Touch Controls</v>
      </c>
      <c r="D455" s="56" t="str">
        <f>IFERROR(__xludf.DUMMYFUNCTION("""COMPUTED_VALUE"""),"Active")</f>
        <v>Active</v>
      </c>
      <c r="E455" s="57">
        <f>IFERROR(__xludf.DUMMYFUNCTION("""COMPUTED_VALUE"""),44063.0)</f>
        <v>44063</v>
      </c>
      <c r="F455" s="58"/>
      <c r="G455" s="60">
        <f>IFERROR(__xludf.DUMMYFUNCTION("""COMPUTED_VALUE"""),73.53333333333333)</f>
        <v>73.53333333</v>
      </c>
      <c r="H455" s="63">
        <f>IFERROR(__xludf.DUMMYFUNCTION("""COMPUTED_VALUE"""),43777.0)</f>
        <v>43777</v>
      </c>
      <c r="I455" s="60">
        <f>IFERROR(__xludf.DUMMYFUNCTION("""COMPUTED_VALUE"""),0.7833333333333333)</f>
        <v>0.7833333333</v>
      </c>
      <c r="J455" s="64">
        <f>IFERROR(__xludf.DUMMYFUNCTION("""COMPUTED_VALUE"""),76.0)</f>
        <v>76</v>
      </c>
      <c r="K455" s="64">
        <f>IFERROR(__xludf.DUMMYFUNCTION("""COMPUTED_VALUE"""),7.5)</f>
        <v>7.5</v>
      </c>
      <c r="L455" s="55" t="str">
        <f>IFERROR(__xludf.DUMMYFUNCTION("""COMPUTED_VALUE"""),"Platformer")</f>
        <v>Platformer</v>
      </c>
      <c r="M455" s="55" t="str">
        <f>IFERROR(__xludf.DUMMYFUNCTION("""COMPUTED_VALUE"""),"FPS Boost")</f>
        <v>FPS Boost</v>
      </c>
      <c r="N455" s="55"/>
      <c r="O455" s="55" t="str">
        <f>IFERROR(__xludf.DUMMYFUNCTION("""COMPUTED_VALUE"""),"E")</f>
        <v>E</v>
      </c>
      <c r="P455" s="55" t="str">
        <f>IFERROR(__xludf.DUMMYFUNCTION("""COMPUTED_VALUE"""),"Mild Cartoon Violence")</f>
        <v>Mild Cartoon Violence</v>
      </c>
      <c r="Q455" s="55"/>
      <c r="R455" s="56" t="str">
        <f>IFERROR(__xludf.DUMMYFUNCTION("""COMPUTED_VALUE"""),"Active")</f>
        <v>Active</v>
      </c>
      <c r="S455" s="57">
        <f>IFERROR(__xludf.DUMMYFUNCTION("""COMPUTED_VALUE"""),45547.0)</f>
        <v>45547</v>
      </c>
      <c r="T455" s="60">
        <f>IFERROR(__xludf.DUMMYFUNCTION("""COMPUTED_VALUE"""),48.733333333333334)</f>
        <v>48.73333333</v>
      </c>
    </row>
    <row r="456">
      <c r="A456" s="55" t="str">
        <f>IFERROR(__xludf.DUMMYFUNCTION("""COMPUTED_VALUE"""),"Microsoft Flight Simulator (2020): Game of the Year Edition")</f>
        <v>Microsoft Flight Simulator (2020): Game of the Year Edition</v>
      </c>
      <c r="B456" s="55" t="str">
        <f>IFERROR(__xludf.DUMMYFUNCTION("""COMPUTED_VALUE"""),"Xbox / PC")</f>
        <v>Xbox / PC</v>
      </c>
      <c r="C456" s="55" t="str">
        <f>IFERROR(__xludf.DUMMYFUNCTION("""COMPUTED_VALUE"""),"Yes")</f>
        <v>Yes</v>
      </c>
      <c r="D456" s="56" t="str">
        <f>IFERROR(__xludf.DUMMYFUNCTION("""COMPUTED_VALUE"""),"Active")</f>
        <v>Active</v>
      </c>
      <c r="E456" s="57">
        <f>IFERROR(__xludf.DUMMYFUNCTION("""COMPUTED_VALUE"""),44061.0)</f>
        <v>44061</v>
      </c>
      <c r="F456" s="58"/>
      <c r="G456" s="60">
        <f>IFERROR(__xludf.DUMMYFUNCTION("""COMPUTED_VALUE"""),73.60000000000001)</f>
        <v>73.6</v>
      </c>
      <c r="H456" s="63">
        <f>IFERROR(__xludf.DUMMYFUNCTION("""COMPUTED_VALUE"""),44061.0)</f>
        <v>44061</v>
      </c>
      <c r="I456" s="60">
        <f>IFERROR(__xludf.DUMMYFUNCTION("""COMPUTED_VALUE"""),0.0)</f>
        <v>0</v>
      </c>
      <c r="J456" s="64">
        <f>IFERROR(__xludf.DUMMYFUNCTION("""COMPUTED_VALUE"""),92.0)</f>
        <v>92</v>
      </c>
      <c r="K456" s="64">
        <f>IFERROR(__xludf.DUMMYFUNCTION("""COMPUTED_VALUE"""),41.5)</f>
        <v>41.5</v>
      </c>
      <c r="L456" s="55" t="str">
        <f>IFERROR(__xludf.DUMMYFUNCTION("""COMPUTED_VALUE"""),"Flight")</f>
        <v>Flight</v>
      </c>
      <c r="M456" s="55" t="str">
        <f>IFERROR(__xludf.DUMMYFUNCTION("""COMPUTED_VALUE"""),"Exclusive, Optimized")</f>
        <v>Exclusive, Optimized</v>
      </c>
      <c r="N456" s="55" t="str">
        <f>IFERROR(__xludf.DUMMYFUNCTION("""COMPUTED_VALUE"""),"Joining Xbox Series X|S on 7/27/21, PC 3/1/22")</f>
        <v>Joining Xbox Series X|S on 7/27/21, PC 3/1/22</v>
      </c>
      <c r="O456" s="55" t="str">
        <f>IFERROR(__xludf.DUMMYFUNCTION("""COMPUTED_VALUE"""),"E")</f>
        <v>E</v>
      </c>
      <c r="P456" s="55"/>
      <c r="Q456" s="55"/>
      <c r="R456" s="56" t="str">
        <f>IFERROR(__xludf.DUMMYFUNCTION("""COMPUTED_VALUE"""),"Active")</f>
        <v>Active</v>
      </c>
      <c r="S456" s="57">
        <f>IFERROR(__xludf.DUMMYFUNCTION("""COMPUTED_VALUE"""),45547.0)</f>
        <v>45547</v>
      </c>
      <c r="T456" s="60">
        <f>IFERROR(__xludf.DUMMYFUNCTION("""COMPUTED_VALUE"""),48.8)</f>
        <v>48.8</v>
      </c>
    </row>
    <row r="457">
      <c r="A457" s="55" t="str">
        <f>IFERROR(__xludf.DUMMYFUNCTION("""COMPUTED_VALUE"""),"Trailmakers")</f>
        <v>Trailmakers</v>
      </c>
      <c r="B457" s="55" t="str">
        <f>IFERROR(__xludf.DUMMYFUNCTION("""COMPUTED_VALUE"""),"Xbox / PC")</f>
        <v>Xbox / PC</v>
      </c>
      <c r="C457" s="55" t="str">
        <f>IFERROR(__xludf.DUMMYFUNCTION("""COMPUTED_VALUE"""),"Yes")</f>
        <v>Yes</v>
      </c>
      <c r="D457" s="56" t="str">
        <f>IFERROR(__xludf.DUMMYFUNCTION("""COMPUTED_VALUE"""),"Active")</f>
        <v>Active</v>
      </c>
      <c r="E457" s="57">
        <f>IFERROR(__xludf.DUMMYFUNCTION("""COMPUTED_VALUE"""),44049.0)</f>
        <v>44049</v>
      </c>
      <c r="F457" s="58"/>
      <c r="G457" s="60">
        <f>IFERROR(__xludf.DUMMYFUNCTION("""COMPUTED_VALUE"""),74.0)</f>
        <v>74</v>
      </c>
      <c r="H457" s="63">
        <f>IFERROR(__xludf.DUMMYFUNCTION("""COMPUTED_VALUE"""),43726.0)</f>
        <v>43726</v>
      </c>
      <c r="I457" s="60">
        <f>IFERROR(__xludf.DUMMYFUNCTION("""COMPUTED_VALUE"""),0.8833333333333333)</f>
        <v>0.8833333333</v>
      </c>
      <c r="J457" s="64">
        <f>IFERROR(__xludf.DUMMYFUNCTION("""COMPUTED_VALUE"""),70.0)</f>
        <v>70</v>
      </c>
      <c r="K457" s="64">
        <f>IFERROR(__xludf.DUMMYFUNCTION("""COMPUTED_VALUE"""),11.5)</f>
        <v>11.5</v>
      </c>
      <c r="L457" s="55" t="str">
        <f>IFERROR(__xludf.DUMMYFUNCTION("""COMPUTED_VALUE"""),"Racing")</f>
        <v>Racing</v>
      </c>
      <c r="M457" s="55"/>
      <c r="N457" s="55"/>
      <c r="O457" s="55" t="str">
        <f>IFERROR(__xludf.DUMMYFUNCTION("""COMPUTED_VALUE"""),"E10+")</f>
        <v>E10+</v>
      </c>
      <c r="P457" s="55" t="str">
        <f>IFERROR(__xludf.DUMMYFUNCTION("""COMPUTED_VALUE"""),"Fantasy Violence")</f>
        <v>Fantasy Violence</v>
      </c>
      <c r="Q457" s="55"/>
      <c r="R457" s="56" t="str">
        <f>IFERROR(__xludf.DUMMYFUNCTION("""COMPUTED_VALUE"""),"Active")</f>
        <v>Active</v>
      </c>
      <c r="S457" s="57">
        <f>IFERROR(__xludf.DUMMYFUNCTION("""COMPUTED_VALUE"""),45547.0)</f>
        <v>45547</v>
      </c>
      <c r="T457" s="60">
        <f>IFERROR(__xludf.DUMMYFUNCTION("""COMPUTED_VALUE"""),49.199999999999996)</f>
        <v>49.2</v>
      </c>
    </row>
    <row r="458">
      <c r="A458" s="55" t="str">
        <f>IFERROR(__xludf.DUMMYFUNCTION("""COMPUTED_VALUE"""),"Grounded")</f>
        <v>Grounded</v>
      </c>
      <c r="B458" s="55" t="str">
        <f>IFERROR(__xludf.DUMMYFUNCTION("""COMPUTED_VALUE"""),"Xbox / PC")</f>
        <v>Xbox / PC</v>
      </c>
      <c r="C458" s="55" t="str">
        <f>IFERROR(__xludf.DUMMYFUNCTION("""COMPUTED_VALUE"""),"M+KB")</f>
        <v>M+KB</v>
      </c>
      <c r="D458" s="56" t="str">
        <f>IFERROR(__xludf.DUMMYFUNCTION("""COMPUTED_VALUE"""),"Active")</f>
        <v>Active</v>
      </c>
      <c r="E458" s="57">
        <f>IFERROR(__xludf.DUMMYFUNCTION("""COMPUTED_VALUE"""),44040.0)</f>
        <v>44040</v>
      </c>
      <c r="F458" s="58"/>
      <c r="G458" s="60">
        <f>IFERROR(__xludf.DUMMYFUNCTION("""COMPUTED_VALUE"""),74.26666666666667)</f>
        <v>74.26666667</v>
      </c>
      <c r="H458" s="63">
        <f>IFERROR(__xludf.DUMMYFUNCTION("""COMPUTED_VALUE"""),44040.0)</f>
        <v>44040</v>
      </c>
      <c r="I458" s="60">
        <f>IFERROR(__xludf.DUMMYFUNCTION("""COMPUTED_VALUE"""),0.0)</f>
        <v>0</v>
      </c>
      <c r="J458" s="64">
        <f>IFERROR(__xludf.DUMMYFUNCTION("""COMPUTED_VALUE"""),65.0)</f>
        <v>65</v>
      </c>
      <c r="K458" s="64">
        <f>IFERROR(__xludf.DUMMYFUNCTION("""COMPUTED_VALUE"""),6.5)</f>
        <v>6.5</v>
      </c>
      <c r="L458" s="55" t="str">
        <f>IFERROR(__xludf.DUMMYFUNCTION("""COMPUTED_VALUE"""),"Action-Adventure")</f>
        <v>Action-Adventure</v>
      </c>
      <c r="M458" s="55" t="str">
        <f>IFERROR(__xludf.DUMMYFUNCTION("""COMPUTED_VALUE"""),"Optimized")</f>
        <v>Optimized</v>
      </c>
      <c r="N458" s="55" t="str">
        <f>IFERROR(__xludf.DUMMYFUNCTION("""COMPUTED_VALUE"""),"Game Pass Essential launch title (9/14/23), Game launches with campaign 9/27/22, game preview up until then")</f>
        <v>Game Pass Essential launch title (9/14/23), Game launches with campaign 9/27/22, game preview up until then</v>
      </c>
      <c r="O458" s="55" t="str">
        <f>IFERROR(__xludf.DUMMYFUNCTION("""COMPUTED_VALUE"""),"T")</f>
        <v>T</v>
      </c>
      <c r="P458" s="55" t="str">
        <f>IFERROR(__xludf.DUMMYFUNCTION("""COMPUTED_VALUE"""),"Violence, Blood, Drug Reference, Language")</f>
        <v>Violence, Blood, Drug Reference, Language</v>
      </c>
      <c r="Q458" s="55"/>
      <c r="R458" s="56" t="str">
        <f>IFERROR(__xludf.DUMMYFUNCTION("""COMPUTED_VALUE"""),"Active")</f>
        <v>Active</v>
      </c>
      <c r="S458" s="57">
        <f>IFERROR(__xludf.DUMMYFUNCTION("""COMPUTED_VALUE"""),45547.0)</f>
        <v>45547</v>
      </c>
      <c r="T458" s="60">
        <f>IFERROR(__xludf.DUMMYFUNCTION("""COMPUTED_VALUE"""),49.46666666666666)</f>
        <v>49.46666667</v>
      </c>
    </row>
    <row r="459">
      <c r="A459" s="55" t="str">
        <f>IFERROR(__xludf.DUMMYFUNCTION("""COMPUTED_VALUE"""),"Halo 3")</f>
        <v>Halo 3</v>
      </c>
      <c r="B459" s="55" t="str">
        <f>IFERROR(__xludf.DUMMYFUNCTION("""COMPUTED_VALUE"""),"Xbox / PC")</f>
        <v>Xbox / PC</v>
      </c>
      <c r="C459" s="55"/>
      <c r="D459" s="56" t="str">
        <f>IFERROR(__xludf.DUMMYFUNCTION("""COMPUTED_VALUE"""),"Active")</f>
        <v>Active</v>
      </c>
      <c r="E459" s="57">
        <f>IFERROR(__xludf.DUMMYFUNCTION("""COMPUTED_VALUE"""),44026.0)</f>
        <v>44026</v>
      </c>
      <c r="F459" s="58"/>
      <c r="G459" s="60">
        <f>IFERROR(__xludf.DUMMYFUNCTION("""COMPUTED_VALUE"""),74.73333333333333)</f>
        <v>74.73333333</v>
      </c>
      <c r="H459" s="63">
        <f>IFERROR(__xludf.DUMMYFUNCTION("""COMPUTED_VALUE"""),39350.0)</f>
        <v>39350</v>
      </c>
      <c r="I459" s="60">
        <f>IFERROR(__xludf.DUMMYFUNCTION("""COMPUTED_VALUE"""),12.802777777777777)</f>
        <v>12.80277778</v>
      </c>
      <c r="J459" s="64">
        <f>IFERROR(__xludf.DUMMYFUNCTION("""COMPUTED_VALUE"""),88.0)</f>
        <v>88</v>
      </c>
      <c r="K459" s="64">
        <f>IFERROR(__xludf.DUMMYFUNCTION("""COMPUTED_VALUE"""),9.0)</f>
        <v>9</v>
      </c>
      <c r="L459" s="55" t="str">
        <f>IFERROR(__xludf.DUMMYFUNCTION("""COMPUTED_VALUE"""),"Shooter")</f>
        <v>Shooter</v>
      </c>
      <c r="M459" s="55"/>
      <c r="N459" s="55"/>
      <c r="O459" s="55" t="str">
        <f>IFERROR(__xludf.DUMMYFUNCTION("""COMPUTED_VALUE"""),"M")</f>
        <v>M</v>
      </c>
      <c r="P459" s="55" t="str">
        <f>IFERROR(__xludf.DUMMYFUNCTION("""COMPUTED_VALUE"""),"Blood and Gore, Violence, Language")</f>
        <v>Blood and Gore, Violence, Language</v>
      </c>
      <c r="Q459" s="55" t="str">
        <f>IFERROR(__xludf.DUMMYFUNCTION("""COMPUTED_VALUE"""),"Xbox 360")</f>
        <v>Xbox 360</v>
      </c>
      <c r="R459" s="56" t="str">
        <f>IFERROR(__xludf.DUMMYFUNCTION("""COMPUTED_VALUE"""),"Active")</f>
        <v>Active</v>
      </c>
      <c r="S459" s="57">
        <f>IFERROR(__xludf.DUMMYFUNCTION("""COMPUTED_VALUE"""),45547.0)</f>
        <v>45547</v>
      </c>
      <c r="T459" s="60">
        <f>IFERROR(__xludf.DUMMYFUNCTION("""COMPUTED_VALUE"""),49.93333333333334)</f>
        <v>49.93333333</v>
      </c>
    </row>
    <row r="460">
      <c r="A460" s="55" t="str">
        <f>IFERROR(__xludf.DUMMYFUNCTION("""COMPUTED_VALUE"""),"Fallout 76")</f>
        <v>Fallout 76</v>
      </c>
      <c r="B460" s="55" t="str">
        <f>IFERROR(__xludf.DUMMYFUNCTION("""COMPUTED_VALUE"""),"Xbox / PC")</f>
        <v>Xbox / PC</v>
      </c>
      <c r="C460" s="55" t="str">
        <f>IFERROR(__xludf.DUMMYFUNCTION("""COMPUTED_VALUE"""),"Yes")</f>
        <v>Yes</v>
      </c>
      <c r="D460" s="56" t="str">
        <f>IFERROR(__xludf.DUMMYFUNCTION("""COMPUTED_VALUE"""),"Active")</f>
        <v>Active</v>
      </c>
      <c r="E460" s="57">
        <f>IFERROR(__xludf.DUMMYFUNCTION("""COMPUTED_VALUE"""),44021.0)</f>
        <v>44021</v>
      </c>
      <c r="F460" s="58"/>
      <c r="G460" s="60">
        <f>IFERROR(__xludf.DUMMYFUNCTION("""COMPUTED_VALUE"""),74.89999999999999)</f>
        <v>74.9</v>
      </c>
      <c r="H460" s="63">
        <f>IFERROR(__xludf.DUMMYFUNCTION("""COMPUTED_VALUE"""),43418.0)</f>
        <v>43418</v>
      </c>
      <c r="I460" s="60">
        <f>IFERROR(__xludf.DUMMYFUNCTION("""COMPUTED_VALUE"""),1.6527777777777777)</f>
        <v>1.652777778</v>
      </c>
      <c r="J460" s="64">
        <f>IFERROR(__xludf.DUMMYFUNCTION("""COMPUTED_VALUE"""),68.0)</f>
        <v>68</v>
      </c>
      <c r="K460" s="64">
        <f>IFERROR(__xludf.DUMMYFUNCTION("""COMPUTED_VALUE"""),29.5)</f>
        <v>29.5</v>
      </c>
      <c r="L460" s="55" t="str">
        <f>IFERROR(__xludf.DUMMYFUNCTION("""COMPUTED_VALUE"""),"RPG")</f>
        <v>RPG</v>
      </c>
      <c r="M460" s="55" t="str">
        <f>IFERROR(__xludf.DUMMYFUNCTION("""COMPUTED_VALUE"""),"FPS Boost")</f>
        <v>FPS Boost</v>
      </c>
      <c r="N460" s="55" t="str">
        <f>IFERROR(__xludf.DUMMYFUNCTION("""COMPUTED_VALUE"""),"Game Pass Essential launch title (9/14/23), Official PC Mod Support")</f>
        <v>Game Pass Essential launch title (9/14/23), Official PC Mod Support</v>
      </c>
      <c r="O460" s="55" t="str">
        <f>IFERROR(__xludf.DUMMYFUNCTION("""COMPUTED_VALUE"""),"M")</f>
        <v>M</v>
      </c>
      <c r="P460" s="55" t="str">
        <f>IFERROR(__xludf.DUMMYFUNCTION("""COMPUTED_VALUE"""),"Use of Alcohol, Blood and Gore, Suggestive Themes, Drug Reference, Strong Language, Intense Violence")</f>
        <v>Use of Alcohol, Blood and Gore, Suggestive Themes, Drug Reference, Strong Language, Intense Violence</v>
      </c>
      <c r="Q460" s="55"/>
      <c r="R460" s="56" t="str">
        <f>IFERROR(__xludf.DUMMYFUNCTION("""COMPUTED_VALUE"""),"Active")</f>
        <v>Active</v>
      </c>
      <c r="S460" s="57">
        <f>IFERROR(__xludf.DUMMYFUNCTION("""COMPUTED_VALUE"""),45547.0)</f>
        <v>45547</v>
      </c>
      <c r="T460" s="60">
        <f>IFERROR(__xludf.DUMMYFUNCTION("""COMPUTED_VALUE"""),50.099999999999994)</f>
        <v>50.1</v>
      </c>
    </row>
    <row r="461">
      <c r="A461" s="55" t="str">
        <f>IFERROR(__xludf.DUMMYFUNCTION("""COMPUTED_VALUE"""),"The Bard's Tale ARPG: Remastered and Resnarkled")</f>
        <v>The Bard's Tale ARPG: Remastered and Resnarkled</v>
      </c>
      <c r="B461" s="55" t="str">
        <f>IFERROR(__xludf.DUMMYFUNCTION("""COMPUTED_VALUE"""),"Xbox / PC")</f>
        <v>Xbox / PC</v>
      </c>
      <c r="C461" s="55" t="str">
        <f>IFERROR(__xludf.DUMMYFUNCTION("""COMPUTED_VALUE"""),"Touch Controls")</f>
        <v>Touch Controls</v>
      </c>
      <c r="D461" s="56" t="str">
        <f>IFERROR(__xludf.DUMMYFUNCTION("""COMPUTED_VALUE"""),"Active")</f>
        <v>Active</v>
      </c>
      <c r="E461" s="57">
        <f>IFERROR(__xludf.DUMMYFUNCTION("""COMPUTED_VALUE"""),44000.0)</f>
        <v>44000</v>
      </c>
      <c r="F461" s="58"/>
      <c r="G461" s="60">
        <f>IFERROR(__xludf.DUMMYFUNCTION("""COMPUTED_VALUE"""),75.6)</f>
        <v>75.6</v>
      </c>
      <c r="H461" s="63">
        <f>IFERROR(__xludf.DUMMYFUNCTION("""COMPUTED_VALUE"""),44000.0)</f>
        <v>44000</v>
      </c>
      <c r="I461" s="60">
        <f>IFERROR(__xludf.DUMMYFUNCTION("""COMPUTED_VALUE"""),0.0)</f>
        <v>0</v>
      </c>
      <c r="J461" s="64">
        <f>IFERROR(__xludf.DUMMYFUNCTION("""COMPUTED_VALUE"""),90.0)</f>
        <v>90</v>
      </c>
      <c r="K461" s="64">
        <f>IFERROR(__xludf.DUMMYFUNCTION("""COMPUTED_VALUE"""),14.0)</f>
        <v>14</v>
      </c>
      <c r="L461" s="55" t="str">
        <f>IFERROR(__xludf.DUMMYFUNCTION("""COMPUTED_VALUE"""),"RPG")</f>
        <v>RPG</v>
      </c>
      <c r="M461" s="55"/>
      <c r="N461" s="55"/>
      <c r="O461" s="55" t="str">
        <f>IFERROR(__xludf.DUMMYFUNCTION("""COMPUTED_VALUE"""),"T")</f>
        <v>T</v>
      </c>
      <c r="P461" s="55" t="str">
        <f>IFERROR(__xludf.DUMMYFUNCTION("""COMPUTED_VALUE"""),"Blood, Mild Language, Suggestive Themes, Use of Alcohol, Violence")</f>
        <v>Blood, Mild Language, Suggestive Themes, Use of Alcohol, Violence</v>
      </c>
      <c r="Q461" s="55"/>
      <c r="R461" s="56" t="str">
        <f>IFERROR(__xludf.DUMMYFUNCTION("""COMPUTED_VALUE"""),"Active")</f>
        <v>Active</v>
      </c>
      <c r="S461" s="57">
        <f>IFERROR(__xludf.DUMMYFUNCTION("""COMPUTED_VALUE"""),45547.0)</f>
        <v>45547</v>
      </c>
      <c r="T461" s="60">
        <f>IFERROR(__xludf.DUMMYFUNCTION("""COMPUTED_VALUE"""),50.8)</f>
        <v>50.8</v>
      </c>
    </row>
    <row r="462">
      <c r="A462" s="55" t="str">
        <f>IFERROR(__xludf.DUMMYFUNCTION("""COMPUTED_VALUE"""),"No Man's Sky")</f>
        <v>No Man's Sky</v>
      </c>
      <c r="B462" s="55" t="str">
        <f>IFERROR(__xludf.DUMMYFUNCTION("""COMPUTED_VALUE"""),"Xbox / PC")</f>
        <v>Xbox / PC</v>
      </c>
      <c r="C462" s="55" t="str">
        <f>IFERROR(__xludf.DUMMYFUNCTION("""COMPUTED_VALUE"""),"Yes")</f>
        <v>Yes</v>
      </c>
      <c r="D462" s="56" t="str">
        <f>IFERROR(__xludf.DUMMYFUNCTION("""COMPUTED_VALUE"""),"Active")</f>
        <v>Active</v>
      </c>
      <c r="E462" s="57">
        <f>IFERROR(__xludf.DUMMYFUNCTION("""COMPUTED_VALUE"""),43993.0)</f>
        <v>43993</v>
      </c>
      <c r="F462" s="58"/>
      <c r="G462" s="60">
        <f>IFERROR(__xludf.DUMMYFUNCTION("""COMPUTED_VALUE"""),75.83333333333334)</f>
        <v>75.83333333</v>
      </c>
      <c r="H462" s="63">
        <f>IFERROR(__xludf.DUMMYFUNCTION("""COMPUTED_VALUE"""),42591.0)</f>
        <v>42591</v>
      </c>
      <c r="I462" s="60">
        <f>IFERROR(__xludf.DUMMYFUNCTION("""COMPUTED_VALUE"""),3.838888888888889)</f>
        <v>3.838888889</v>
      </c>
      <c r="J462" s="64">
        <f>IFERROR(__xludf.DUMMYFUNCTION("""COMPUTED_VALUE"""),69.0)</f>
        <v>69</v>
      </c>
      <c r="K462" s="64">
        <f>IFERROR(__xludf.DUMMYFUNCTION("""COMPUTED_VALUE"""),30.5)</f>
        <v>30.5</v>
      </c>
      <c r="L462" s="55" t="str">
        <f>IFERROR(__xludf.DUMMYFUNCTION("""COMPUTED_VALUE"""),"Action-Adventure")</f>
        <v>Action-Adventure</v>
      </c>
      <c r="M462" s="55" t="str">
        <f>IFERROR(__xludf.DUMMYFUNCTION("""COMPUTED_VALUE"""),"Optimized")</f>
        <v>Optimized</v>
      </c>
      <c r="N462" s="55"/>
      <c r="O462" s="55" t="str">
        <f>IFERROR(__xludf.DUMMYFUNCTION("""COMPUTED_VALUE"""),"T")</f>
        <v>T</v>
      </c>
      <c r="P462" s="55" t="str">
        <f>IFERROR(__xludf.DUMMYFUNCTION("""COMPUTED_VALUE"""),"Fantasy Violence, Animated Blood")</f>
        <v>Fantasy Violence, Animated Blood</v>
      </c>
      <c r="Q462" s="55"/>
      <c r="R462" s="56" t="str">
        <f>IFERROR(__xludf.DUMMYFUNCTION("""COMPUTED_VALUE"""),"Active")</f>
        <v>Active</v>
      </c>
      <c r="S462" s="57">
        <f>IFERROR(__xludf.DUMMYFUNCTION("""COMPUTED_VALUE"""),45547.0)</f>
        <v>45547</v>
      </c>
      <c r="T462" s="60">
        <f>IFERROR(__xludf.DUMMYFUNCTION("""COMPUTED_VALUE"""),51.03333333333334)</f>
        <v>51.03333333</v>
      </c>
    </row>
    <row r="463">
      <c r="A463" s="55" t="str">
        <f>IFERROR(__xludf.DUMMYFUNCTION("""COMPUTED_VALUE"""),"Minecraft Dungeons")</f>
        <v>Minecraft Dungeons</v>
      </c>
      <c r="B463" s="55" t="str">
        <f>IFERROR(__xludf.DUMMYFUNCTION("""COMPUTED_VALUE"""),"Xbox / PC")</f>
        <v>Xbox / PC</v>
      </c>
      <c r="C463" s="55" t="str">
        <f>IFERROR(__xludf.DUMMYFUNCTION("""COMPUTED_VALUE"""),"Touch Controls")</f>
        <v>Touch Controls</v>
      </c>
      <c r="D463" s="56" t="str">
        <f>IFERROR(__xludf.DUMMYFUNCTION("""COMPUTED_VALUE"""),"Active")</f>
        <v>Active</v>
      </c>
      <c r="E463" s="57">
        <f>IFERROR(__xludf.DUMMYFUNCTION("""COMPUTED_VALUE"""),43977.0)</f>
        <v>43977</v>
      </c>
      <c r="F463" s="58"/>
      <c r="G463" s="60">
        <f>IFERROR(__xludf.DUMMYFUNCTION("""COMPUTED_VALUE"""),76.33333333333333)</f>
        <v>76.33333333</v>
      </c>
      <c r="H463" s="63">
        <f>IFERROR(__xludf.DUMMYFUNCTION("""COMPUTED_VALUE"""),43977.0)</f>
        <v>43977</v>
      </c>
      <c r="I463" s="60">
        <f>IFERROR(__xludf.DUMMYFUNCTION("""COMPUTED_VALUE"""),0.0)</f>
        <v>0</v>
      </c>
      <c r="J463" s="64">
        <f>IFERROR(__xludf.DUMMYFUNCTION("""COMPUTED_VALUE"""),72.5)</f>
        <v>72.5</v>
      </c>
      <c r="K463" s="64">
        <f>IFERROR(__xludf.DUMMYFUNCTION("""COMPUTED_VALUE"""),5.0)</f>
        <v>5</v>
      </c>
      <c r="L463" s="55" t="str">
        <f>IFERROR(__xludf.DUMMYFUNCTION("""COMPUTED_VALUE"""),"RPG")</f>
        <v>RPG</v>
      </c>
      <c r="M463" s="55" t="str">
        <f>IFERROR(__xludf.DUMMYFUNCTION("""COMPUTED_VALUE"""),"Optimized")</f>
        <v>Optimized</v>
      </c>
      <c r="N463" s="55"/>
      <c r="O463" s="55" t="str">
        <f>IFERROR(__xludf.DUMMYFUNCTION("""COMPUTED_VALUE"""),"E10+")</f>
        <v>E10+</v>
      </c>
      <c r="P463" s="55" t="str">
        <f>IFERROR(__xludf.DUMMYFUNCTION("""COMPUTED_VALUE"""),"Fantasy Violence")</f>
        <v>Fantasy Violence</v>
      </c>
      <c r="Q463" s="55"/>
      <c r="R463" s="56" t="str">
        <f>IFERROR(__xludf.DUMMYFUNCTION("""COMPUTED_VALUE"""),"Active")</f>
        <v>Active</v>
      </c>
      <c r="S463" s="57">
        <f>IFERROR(__xludf.DUMMYFUNCTION("""COMPUTED_VALUE"""),45547.0)</f>
        <v>45547</v>
      </c>
      <c r="T463" s="60">
        <f>IFERROR(__xludf.DUMMYFUNCTION("""COMPUTED_VALUE"""),51.53333333333333)</f>
        <v>51.53333333</v>
      </c>
    </row>
    <row r="464">
      <c r="A464" s="55" t="str">
        <f>IFERROR(__xludf.DUMMYFUNCTION("""COMPUTED_VALUE"""),"Halo 2: Anniversary")</f>
        <v>Halo 2: Anniversary</v>
      </c>
      <c r="B464" s="55" t="str">
        <f>IFERROR(__xludf.DUMMYFUNCTION("""COMPUTED_VALUE"""),"Xbox / PC")</f>
        <v>Xbox / PC</v>
      </c>
      <c r="C464" s="55"/>
      <c r="D464" s="56" t="str">
        <f>IFERROR(__xludf.DUMMYFUNCTION("""COMPUTED_VALUE"""),"Active")</f>
        <v>Active</v>
      </c>
      <c r="E464" s="57">
        <f>IFERROR(__xludf.DUMMYFUNCTION("""COMPUTED_VALUE"""),43963.0)</f>
        <v>43963</v>
      </c>
      <c r="F464" s="58"/>
      <c r="G464" s="60">
        <f>IFERROR(__xludf.DUMMYFUNCTION("""COMPUTED_VALUE"""),76.80000000000001)</f>
        <v>76.8</v>
      </c>
      <c r="H464" s="63">
        <f>IFERROR(__xludf.DUMMYFUNCTION("""COMPUTED_VALUE"""),38300.0)</f>
        <v>38300</v>
      </c>
      <c r="I464" s="60">
        <f>IFERROR(__xludf.DUMMYFUNCTION("""COMPUTED_VALUE"""),15.508333333333333)</f>
        <v>15.50833333</v>
      </c>
      <c r="J464" s="64">
        <f>IFERROR(__xludf.DUMMYFUNCTION("""COMPUTED_VALUE"""),71.0)</f>
        <v>71</v>
      </c>
      <c r="K464" s="64">
        <f>IFERROR(__xludf.DUMMYFUNCTION("""COMPUTED_VALUE"""),8.0)</f>
        <v>8</v>
      </c>
      <c r="L464" s="55" t="str">
        <f>IFERROR(__xludf.DUMMYFUNCTION("""COMPUTED_VALUE"""),"Shooter")</f>
        <v>Shooter</v>
      </c>
      <c r="M464" s="55"/>
      <c r="N464" s="55"/>
      <c r="O464" s="55" t="str">
        <f>IFERROR(__xludf.DUMMYFUNCTION("""COMPUTED_VALUE"""),"M")</f>
        <v>M</v>
      </c>
      <c r="P464" s="55" t="str">
        <f>IFERROR(__xludf.DUMMYFUNCTION("""COMPUTED_VALUE"""),"Blood and Gore, Violence, Language")</f>
        <v>Blood and Gore, Violence, Language</v>
      </c>
      <c r="Q464" s="55"/>
      <c r="R464" s="56" t="str">
        <f>IFERROR(__xludf.DUMMYFUNCTION("""COMPUTED_VALUE"""),"Active")</f>
        <v>Active</v>
      </c>
      <c r="S464" s="57">
        <f>IFERROR(__xludf.DUMMYFUNCTION("""COMPUTED_VALUE"""),45547.0)</f>
        <v>45547</v>
      </c>
      <c r="T464" s="60">
        <f>IFERROR(__xludf.DUMMYFUNCTION("""COMPUTED_VALUE"""),52.0)</f>
        <v>52</v>
      </c>
    </row>
    <row r="465">
      <c r="A465" s="55" t="str">
        <f>IFERROR(__xludf.DUMMYFUNCTION("""COMPUTED_VALUE"""),"DayZ")</f>
        <v>DayZ</v>
      </c>
      <c r="B465" s="55" t="str">
        <f>IFERROR(__xludf.DUMMYFUNCTION("""COMPUTED_VALUE"""),"Xbox / PC")</f>
        <v>Xbox / PC</v>
      </c>
      <c r="C465" s="55" t="str">
        <f>IFERROR(__xludf.DUMMYFUNCTION("""COMPUTED_VALUE"""),"Yes")</f>
        <v>Yes</v>
      </c>
      <c r="D465" s="56" t="str">
        <f>IFERROR(__xludf.DUMMYFUNCTION("""COMPUTED_VALUE"""),"Active")</f>
        <v>Active</v>
      </c>
      <c r="E465" s="57">
        <f>IFERROR(__xludf.DUMMYFUNCTION("""COMPUTED_VALUE"""),43958.0)</f>
        <v>43958</v>
      </c>
      <c r="F465" s="58"/>
      <c r="G465" s="60">
        <f>IFERROR(__xludf.DUMMYFUNCTION("""COMPUTED_VALUE"""),76.96666666666667)</f>
        <v>76.96666667</v>
      </c>
      <c r="H465" s="63">
        <f>IFERROR(__xludf.DUMMYFUNCTION("""COMPUTED_VALUE"""),41621.0)</f>
        <v>41621</v>
      </c>
      <c r="I465" s="60">
        <f>IFERROR(__xludf.DUMMYFUNCTION("""COMPUTED_VALUE"""),6.4)</f>
        <v>6.4</v>
      </c>
      <c r="J465" s="64">
        <f>IFERROR(__xludf.DUMMYFUNCTION("""COMPUTED_VALUE"""),56.0)</f>
        <v>56</v>
      </c>
      <c r="K465" s="64">
        <f>IFERROR(__xludf.DUMMYFUNCTION("""COMPUTED_VALUE"""),65.5)</f>
        <v>65.5</v>
      </c>
      <c r="L465" s="55" t="str">
        <f>IFERROR(__xludf.DUMMYFUNCTION("""COMPUTED_VALUE"""),"Shooter")</f>
        <v>Shooter</v>
      </c>
      <c r="M465" s="55"/>
      <c r="N465" s="55" t="str">
        <f>IFERROR(__xludf.DUMMYFUNCTION("""COMPUTED_VALUE"""),"Game Pass Essential (12/4/24). Joins PC on 4/8/26")</f>
        <v>Game Pass Essential (12/4/24). Joins PC on 4/8/26</v>
      </c>
      <c r="O465" s="55" t="str">
        <f>IFERROR(__xludf.DUMMYFUNCTION("""COMPUTED_VALUE"""),"M")</f>
        <v>M</v>
      </c>
      <c r="P465" s="55" t="str">
        <f>IFERROR(__xludf.DUMMYFUNCTION("""COMPUTED_VALUE"""),"Blood, Strong Language, Violence")</f>
        <v>Blood, Strong Language, Violence</v>
      </c>
      <c r="Q465" s="55"/>
      <c r="R465" s="56" t="str">
        <f>IFERROR(__xludf.DUMMYFUNCTION("""COMPUTED_VALUE"""),"Active")</f>
        <v>Active</v>
      </c>
      <c r="S465" s="57">
        <f>IFERROR(__xludf.DUMMYFUNCTION("""COMPUTED_VALUE"""),45547.0)</f>
        <v>45547</v>
      </c>
      <c r="T465" s="60">
        <f>IFERROR(__xludf.DUMMYFUNCTION("""COMPUTED_VALUE"""),52.16666666666667)</f>
        <v>52.16666667</v>
      </c>
    </row>
    <row r="466">
      <c r="A466" s="55" t="str">
        <f>IFERROR(__xludf.DUMMYFUNCTION("""COMPUTED_VALUE"""),"MechWarrior 5: Mercenaries")</f>
        <v>MechWarrior 5: Mercenaries</v>
      </c>
      <c r="B466" s="55" t="str">
        <f>IFERROR(__xludf.DUMMYFUNCTION("""COMPUTED_VALUE"""),"Xbox / PC")</f>
        <v>Xbox / PC</v>
      </c>
      <c r="C466" s="55" t="str">
        <f>IFERROR(__xludf.DUMMYFUNCTION("""COMPUTED_VALUE"""),"Yes")</f>
        <v>Yes</v>
      </c>
      <c r="D466" s="56" t="str">
        <f>IFERROR(__xludf.DUMMYFUNCTION("""COMPUTED_VALUE"""),"Active")</f>
        <v>Active</v>
      </c>
      <c r="E466" s="57">
        <f>IFERROR(__xludf.DUMMYFUNCTION("""COMPUTED_VALUE"""),43958.0)</f>
        <v>43958</v>
      </c>
      <c r="F466" s="58"/>
      <c r="G466" s="60">
        <f>IFERROR(__xludf.DUMMYFUNCTION("""COMPUTED_VALUE"""),76.96666666666667)</f>
        <v>76.96666667</v>
      </c>
      <c r="H466" s="63">
        <f>IFERROR(__xludf.DUMMYFUNCTION("""COMPUTED_VALUE"""),43809.0)</f>
        <v>43809</v>
      </c>
      <c r="I466" s="60">
        <f>IFERROR(__xludf.DUMMYFUNCTION("""COMPUTED_VALUE"""),0.4083333333333333)</f>
        <v>0.4083333333</v>
      </c>
      <c r="J466" s="64">
        <f>IFERROR(__xludf.DUMMYFUNCTION("""COMPUTED_VALUE"""),74.0)</f>
        <v>74</v>
      </c>
      <c r="K466" s="64">
        <f>IFERROR(__xludf.DUMMYFUNCTION("""COMPUTED_VALUE"""),46.5)</f>
        <v>46.5</v>
      </c>
      <c r="L466" s="55" t="str">
        <f>IFERROR(__xludf.DUMMYFUNCTION("""COMPUTED_VALUE"""),"Shooter")</f>
        <v>Shooter</v>
      </c>
      <c r="M466" s="55"/>
      <c r="N466" s="55"/>
      <c r="O466" s="55" t="str">
        <f>IFERROR(__xludf.DUMMYFUNCTION("""COMPUTED_VALUE"""),"T")</f>
        <v>T</v>
      </c>
      <c r="P466" s="55" t="str">
        <f>IFERROR(__xludf.DUMMYFUNCTION("""COMPUTED_VALUE"""),"Language, Mild Blood, Violence")</f>
        <v>Language, Mild Blood, Violence</v>
      </c>
      <c r="Q466" s="55"/>
      <c r="R466" s="56" t="str">
        <f>IFERROR(__xludf.DUMMYFUNCTION("""COMPUTED_VALUE"""),"Active")</f>
        <v>Active</v>
      </c>
      <c r="S466" s="57">
        <f>IFERROR(__xludf.DUMMYFUNCTION("""COMPUTED_VALUE"""),45547.0)</f>
        <v>45547</v>
      </c>
      <c r="T466" s="60">
        <f>IFERROR(__xludf.DUMMYFUNCTION("""COMPUTED_VALUE"""),52.16666666666667)</f>
        <v>52.16666667</v>
      </c>
    </row>
    <row r="467">
      <c r="A467" s="55" t="str">
        <f>IFERROR(__xludf.DUMMYFUNCTION("""COMPUTED_VALUE"""),"Gears Tactics")</f>
        <v>Gears Tactics</v>
      </c>
      <c r="B467" s="55" t="str">
        <f>IFERROR(__xludf.DUMMYFUNCTION("""COMPUTED_VALUE"""),"Xbox / PC")</f>
        <v>Xbox / PC</v>
      </c>
      <c r="C467" s="55" t="str">
        <f>IFERROR(__xludf.DUMMYFUNCTION("""COMPUTED_VALUE"""),"M+KB")</f>
        <v>M+KB</v>
      </c>
      <c r="D467" s="56" t="str">
        <f>IFERROR(__xludf.DUMMYFUNCTION("""COMPUTED_VALUE"""),"Active")</f>
        <v>Active</v>
      </c>
      <c r="E467" s="57">
        <f>IFERROR(__xludf.DUMMYFUNCTION("""COMPUTED_VALUE"""),43949.0)</f>
        <v>43949</v>
      </c>
      <c r="F467" s="58"/>
      <c r="G467" s="60">
        <f>IFERROR(__xludf.DUMMYFUNCTION("""COMPUTED_VALUE"""),77.26666666666667)</f>
        <v>77.26666667</v>
      </c>
      <c r="H467" s="63">
        <f>IFERROR(__xludf.DUMMYFUNCTION("""COMPUTED_VALUE"""),43949.0)</f>
        <v>43949</v>
      </c>
      <c r="I467" s="60">
        <f>IFERROR(__xludf.DUMMYFUNCTION("""COMPUTED_VALUE"""),0.0)</f>
        <v>0</v>
      </c>
      <c r="J467" s="64">
        <f>IFERROR(__xludf.DUMMYFUNCTION("""COMPUTED_VALUE"""),81.0)</f>
        <v>81</v>
      </c>
      <c r="K467" s="64">
        <f>IFERROR(__xludf.DUMMYFUNCTION("""COMPUTED_VALUE"""),22.5)</f>
        <v>22.5</v>
      </c>
      <c r="L467" s="55" t="str">
        <f>IFERROR(__xludf.DUMMYFUNCTION("""COMPUTED_VALUE"""),"Strategy")</f>
        <v>Strategy</v>
      </c>
      <c r="M467" s="55" t="str">
        <f>IFERROR(__xludf.DUMMYFUNCTION("""COMPUTED_VALUE"""),"Optimized")</f>
        <v>Optimized</v>
      </c>
      <c r="N467" s="55"/>
      <c r="O467" s="55" t="str">
        <f>IFERROR(__xludf.DUMMYFUNCTION("""COMPUTED_VALUE"""),"M")</f>
        <v>M</v>
      </c>
      <c r="P467" s="55" t="str">
        <f>IFERROR(__xludf.DUMMYFUNCTION("""COMPUTED_VALUE"""),"Blood and Gore, Strong Language, Intense Violence")</f>
        <v>Blood and Gore, Strong Language, Intense Violence</v>
      </c>
      <c r="Q467" s="55"/>
      <c r="R467" s="56" t="str">
        <f>IFERROR(__xludf.DUMMYFUNCTION("""COMPUTED_VALUE"""),"Active")</f>
        <v>Active</v>
      </c>
      <c r="S467" s="57">
        <f>IFERROR(__xludf.DUMMYFUNCTION("""COMPUTED_VALUE"""),45547.0)</f>
        <v>45547</v>
      </c>
      <c r="T467" s="60">
        <f>IFERROR(__xludf.DUMMYFUNCTION("""COMPUTED_VALUE"""),52.46666666666666)</f>
        <v>52.46666667</v>
      </c>
    </row>
    <row r="468">
      <c r="A468" s="55" t="str">
        <f>IFERROR(__xludf.DUMMYFUNCTION("""COMPUTED_VALUE"""),"Totally Reliable Delivery Service")</f>
        <v>Totally Reliable Delivery Service</v>
      </c>
      <c r="B468" s="55" t="str">
        <f>IFERROR(__xludf.DUMMYFUNCTION("""COMPUTED_VALUE"""),"Xbox / PC")</f>
        <v>Xbox / PC</v>
      </c>
      <c r="C468" s="55" t="str">
        <f>IFERROR(__xludf.DUMMYFUNCTION("""COMPUTED_VALUE"""),"Yes")</f>
        <v>Yes</v>
      </c>
      <c r="D468" s="56" t="str">
        <f>IFERROR(__xludf.DUMMYFUNCTION("""COMPUTED_VALUE"""),"Active")</f>
        <v>Active</v>
      </c>
      <c r="E468" s="57">
        <f>IFERROR(__xludf.DUMMYFUNCTION("""COMPUTED_VALUE"""),43922.0)</f>
        <v>43922</v>
      </c>
      <c r="F468" s="58"/>
      <c r="G468" s="60">
        <f>IFERROR(__xludf.DUMMYFUNCTION("""COMPUTED_VALUE"""),78.16666666666667)</f>
        <v>78.16666667</v>
      </c>
      <c r="H468" s="63">
        <f>IFERROR(__xludf.DUMMYFUNCTION("""COMPUTED_VALUE"""),43922.0)</f>
        <v>43922</v>
      </c>
      <c r="I468" s="60">
        <f>IFERROR(__xludf.DUMMYFUNCTION("""COMPUTED_VALUE"""),0.0)</f>
        <v>0</v>
      </c>
      <c r="J468" s="64">
        <f>IFERROR(__xludf.DUMMYFUNCTION("""COMPUTED_VALUE"""),60.0)</f>
        <v>60</v>
      </c>
      <c r="K468" s="64">
        <f>IFERROR(__xludf.DUMMYFUNCTION("""COMPUTED_VALUE"""),1.0)</f>
        <v>1</v>
      </c>
      <c r="L468" s="55" t="str">
        <f>IFERROR(__xludf.DUMMYFUNCTION("""COMPUTED_VALUE"""),"Action")</f>
        <v>Action</v>
      </c>
      <c r="M468" s="55" t="str">
        <f>IFERROR(__xludf.DUMMYFUNCTION("""COMPUTED_VALUE"""),"FPS Boost")</f>
        <v>FPS Boost</v>
      </c>
      <c r="N468" s="55" t="str">
        <f>IFERROR(__xludf.DUMMYFUNCTION("""COMPUTED_VALUE"""),"Game Pass Essential (12/6/23), Joined PC 12/1/22")</f>
        <v>Game Pass Essential (12/6/23), Joined PC 12/1/22</v>
      </c>
      <c r="O468" s="55" t="str">
        <f>IFERROR(__xludf.DUMMYFUNCTION("""COMPUTED_VALUE"""),"E10+")</f>
        <v>E10+</v>
      </c>
      <c r="P468" s="55" t="str">
        <f>IFERROR(__xludf.DUMMYFUNCTION("""COMPUTED_VALUE"""),"Crude Humor, Mild Fantasy Violence")</f>
        <v>Crude Humor, Mild Fantasy Violence</v>
      </c>
      <c r="Q468" s="55"/>
      <c r="R468" s="56" t="str">
        <f>IFERROR(__xludf.DUMMYFUNCTION("""COMPUTED_VALUE"""),"Active")</f>
        <v>Active</v>
      </c>
      <c r="S468" s="57">
        <f>IFERROR(__xludf.DUMMYFUNCTION("""COMPUTED_VALUE"""),45547.0)</f>
        <v>45547</v>
      </c>
      <c r="T468" s="60">
        <f>IFERROR(__xludf.DUMMYFUNCTION("""COMPUTED_VALUE"""),53.36666666666666)</f>
        <v>53.36666667</v>
      </c>
    </row>
    <row r="469">
      <c r="A469" s="55" t="str">
        <f>IFERROR(__xludf.DUMMYFUNCTION("""COMPUTED_VALUE"""),"Bleeding Edge")</f>
        <v>Bleeding Edge</v>
      </c>
      <c r="B469" s="55" t="str">
        <f>IFERROR(__xludf.DUMMYFUNCTION("""COMPUTED_VALUE"""),"Xbox / PC")</f>
        <v>Xbox / PC</v>
      </c>
      <c r="C469" s="55" t="str">
        <f>IFERROR(__xludf.DUMMYFUNCTION("""COMPUTED_VALUE"""),"Yes")</f>
        <v>Yes</v>
      </c>
      <c r="D469" s="56" t="str">
        <f>IFERROR(__xludf.DUMMYFUNCTION("""COMPUTED_VALUE"""),"Active")</f>
        <v>Active</v>
      </c>
      <c r="E469" s="57">
        <f>IFERROR(__xludf.DUMMYFUNCTION("""COMPUTED_VALUE"""),43914.0)</f>
        <v>43914</v>
      </c>
      <c r="F469" s="58"/>
      <c r="G469" s="60">
        <f>IFERROR(__xludf.DUMMYFUNCTION("""COMPUTED_VALUE"""),78.4)</f>
        <v>78.4</v>
      </c>
      <c r="H469" s="63">
        <f>IFERROR(__xludf.DUMMYFUNCTION("""COMPUTED_VALUE"""),43914.0)</f>
        <v>43914</v>
      </c>
      <c r="I469" s="60">
        <f>IFERROR(__xludf.DUMMYFUNCTION("""COMPUTED_VALUE"""),0.0)</f>
        <v>0</v>
      </c>
      <c r="J469" s="64">
        <f>IFERROR(__xludf.DUMMYFUNCTION("""COMPUTED_VALUE"""),70.0)</f>
        <v>70</v>
      </c>
      <c r="K469" s="64">
        <f>IFERROR(__xludf.DUMMYFUNCTION("""COMPUTED_VALUE"""),6.5)</f>
        <v>6.5</v>
      </c>
      <c r="L469" s="55" t="str">
        <f>IFERROR(__xludf.DUMMYFUNCTION("""COMPUTED_VALUE"""),"Action")</f>
        <v>Action</v>
      </c>
      <c r="M469" s="55"/>
      <c r="N469" s="55"/>
      <c r="O469" s="55" t="str">
        <f>IFERROR(__xludf.DUMMYFUNCTION("""COMPUTED_VALUE"""),"T")</f>
        <v>T</v>
      </c>
      <c r="P469" s="55" t="str">
        <f>IFERROR(__xludf.DUMMYFUNCTION("""COMPUTED_VALUE"""),"Blood, Violence")</f>
        <v>Blood, Violence</v>
      </c>
      <c r="Q469" s="55"/>
      <c r="R469" s="56" t="str">
        <f>IFERROR(__xludf.DUMMYFUNCTION("""COMPUTED_VALUE"""),"Active")</f>
        <v>Active</v>
      </c>
      <c r="S469" s="57">
        <f>IFERROR(__xludf.DUMMYFUNCTION("""COMPUTED_VALUE"""),45547.0)</f>
        <v>45547</v>
      </c>
      <c r="T469" s="60">
        <f>IFERROR(__xludf.DUMMYFUNCTION("""COMPUTED_VALUE"""),53.6)</f>
        <v>53.6</v>
      </c>
    </row>
    <row r="470">
      <c r="A470" s="55" t="str">
        <f>IFERROR(__xludf.DUMMYFUNCTION("""COMPUTED_VALUE"""),"Ori and the Will of the Wisps")</f>
        <v>Ori and the Will of the Wisps</v>
      </c>
      <c r="B470" s="55" t="str">
        <f>IFERROR(__xludf.DUMMYFUNCTION("""COMPUTED_VALUE"""),"Xbox / PC")</f>
        <v>Xbox / PC</v>
      </c>
      <c r="C470" s="55" t="str">
        <f>IFERROR(__xludf.DUMMYFUNCTION("""COMPUTED_VALUE"""),"Yes")</f>
        <v>Yes</v>
      </c>
      <c r="D470" s="56" t="str">
        <f>IFERROR(__xludf.DUMMYFUNCTION("""COMPUTED_VALUE"""),"Active")</f>
        <v>Active</v>
      </c>
      <c r="E470" s="57">
        <f>IFERROR(__xludf.DUMMYFUNCTION("""COMPUTED_VALUE"""),43901.0)</f>
        <v>43901</v>
      </c>
      <c r="F470" s="58"/>
      <c r="G470" s="60">
        <f>IFERROR(__xludf.DUMMYFUNCTION("""COMPUTED_VALUE"""),78.83333333333334)</f>
        <v>78.83333333</v>
      </c>
      <c r="H470" s="63">
        <f>IFERROR(__xludf.DUMMYFUNCTION("""COMPUTED_VALUE"""),43901.0)</f>
        <v>43901</v>
      </c>
      <c r="I470" s="60">
        <f>IFERROR(__xludf.DUMMYFUNCTION("""COMPUTED_VALUE"""),0.0)</f>
        <v>0</v>
      </c>
      <c r="J470" s="64">
        <f>IFERROR(__xludf.DUMMYFUNCTION("""COMPUTED_VALUE"""),90.0)</f>
        <v>90</v>
      </c>
      <c r="K470" s="64">
        <f>IFERROR(__xludf.DUMMYFUNCTION("""COMPUTED_VALUE"""),11.0)</f>
        <v>11</v>
      </c>
      <c r="L470" s="55" t="str">
        <f>IFERROR(__xludf.DUMMYFUNCTION("""COMPUTED_VALUE"""),"Platformer")</f>
        <v>Platformer</v>
      </c>
      <c r="M470" s="55" t="str">
        <f>IFERROR(__xludf.DUMMYFUNCTION("""COMPUTED_VALUE"""),"Optimized")</f>
        <v>Optimized</v>
      </c>
      <c r="N470" s="55" t="str">
        <f>IFERROR(__xludf.DUMMYFUNCTION("""COMPUTED_VALUE"""),"Game Pass Essential launch title (9/14/23)")</f>
        <v>Game Pass Essential launch title (9/14/23)</v>
      </c>
      <c r="O470" s="55" t="str">
        <f>IFERROR(__xludf.DUMMYFUNCTION("""COMPUTED_VALUE"""),"E")</f>
        <v>E</v>
      </c>
      <c r="P470" s="55" t="str">
        <f>IFERROR(__xludf.DUMMYFUNCTION("""COMPUTED_VALUE"""),"Mild Fantasy Violence")</f>
        <v>Mild Fantasy Violence</v>
      </c>
      <c r="Q470" s="55"/>
      <c r="R470" s="56" t="str">
        <f>IFERROR(__xludf.DUMMYFUNCTION("""COMPUTED_VALUE"""),"Active")</f>
        <v>Active</v>
      </c>
      <c r="S470" s="57">
        <f>IFERROR(__xludf.DUMMYFUNCTION("""COMPUTED_VALUE"""),45547.0)</f>
        <v>45547</v>
      </c>
      <c r="T470" s="60">
        <f>IFERROR(__xludf.DUMMYFUNCTION("""COMPUTED_VALUE"""),54.03333333333334)</f>
        <v>54.03333333</v>
      </c>
    </row>
    <row r="471">
      <c r="A471" s="55" t="str">
        <f>IFERROR(__xludf.DUMMYFUNCTION("""COMPUTED_VALUE"""),"Halo: Combat Evolved - Anniversary")</f>
        <v>Halo: Combat Evolved - Anniversary</v>
      </c>
      <c r="B471" s="55" t="str">
        <f>IFERROR(__xludf.DUMMYFUNCTION("""COMPUTED_VALUE"""),"Xbox / PC")</f>
        <v>Xbox / PC</v>
      </c>
      <c r="C471" s="55"/>
      <c r="D471" s="56" t="str">
        <f>IFERROR(__xludf.DUMMYFUNCTION("""COMPUTED_VALUE"""),"Active")</f>
        <v>Active</v>
      </c>
      <c r="E471" s="57">
        <f>IFERROR(__xludf.DUMMYFUNCTION("""COMPUTED_VALUE"""),43893.0)</f>
        <v>43893</v>
      </c>
      <c r="F471" s="58"/>
      <c r="G471" s="60">
        <f>IFERROR(__xludf.DUMMYFUNCTION("""COMPUTED_VALUE"""),79.1)</f>
        <v>79.1</v>
      </c>
      <c r="H471" s="63">
        <f>IFERROR(__xludf.DUMMYFUNCTION("""COMPUTED_VALUE"""),37210.0)</f>
        <v>37210</v>
      </c>
      <c r="I471" s="60">
        <f>IFERROR(__xludf.DUMMYFUNCTION("""COMPUTED_VALUE"""),18.3)</f>
        <v>18.3</v>
      </c>
      <c r="J471" s="64">
        <f>IFERROR(__xludf.DUMMYFUNCTION("""COMPUTED_VALUE"""),79.0)</f>
        <v>79</v>
      </c>
      <c r="K471" s="64">
        <f>IFERROR(__xludf.DUMMYFUNCTION("""COMPUTED_VALUE"""),10.0)</f>
        <v>10</v>
      </c>
      <c r="L471" s="55" t="str">
        <f>IFERROR(__xludf.DUMMYFUNCTION("""COMPUTED_VALUE"""),"Shooter")</f>
        <v>Shooter</v>
      </c>
      <c r="M471" s="55"/>
      <c r="N471" s="55"/>
      <c r="O471" s="55" t="str">
        <f>IFERROR(__xludf.DUMMYFUNCTION("""COMPUTED_VALUE"""),"M")</f>
        <v>M</v>
      </c>
      <c r="P471" s="55" t="str">
        <f>IFERROR(__xludf.DUMMYFUNCTION("""COMPUTED_VALUE"""),"Blood and Gore, Violence, Language")</f>
        <v>Blood and Gore, Violence, Language</v>
      </c>
      <c r="Q471" s="55"/>
      <c r="R471" s="56" t="str">
        <f>IFERROR(__xludf.DUMMYFUNCTION("""COMPUTED_VALUE"""),"Active")</f>
        <v>Active</v>
      </c>
      <c r="S471" s="57">
        <f>IFERROR(__xludf.DUMMYFUNCTION("""COMPUTED_VALUE"""),45547.0)</f>
        <v>45547</v>
      </c>
      <c r="T471" s="60">
        <f>IFERROR(__xludf.DUMMYFUNCTION("""COMPUTED_VALUE"""),54.300000000000004)</f>
        <v>54.3</v>
      </c>
    </row>
    <row r="472">
      <c r="A472" s="55" t="str">
        <f>IFERROR(__xludf.DUMMYFUNCTION("""COMPUTED_VALUE"""),"Wasteland Remastered")</f>
        <v>Wasteland Remastered</v>
      </c>
      <c r="B472" s="55" t="str">
        <f>IFERROR(__xludf.DUMMYFUNCTION("""COMPUTED_VALUE"""),"Xbox / PC")</f>
        <v>Xbox / PC</v>
      </c>
      <c r="C472" s="55" t="str">
        <f>IFERROR(__xludf.DUMMYFUNCTION("""COMPUTED_VALUE"""),"Touch Controls")</f>
        <v>Touch Controls</v>
      </c>
      <c r="D472" s="56" t="str">
        <f>IFERROR(__xludf.DUMMYFUNCTION("""COMPUTED_VALUE"""),"Active")</f>
        <v>Active</v>
      </c>
      <c r="E472" s="57">
        <f>IFERROR(__xludf.DUMMYFUNCTION("""COMPUTED_VALUE"""),43886.0)</f>
        <v>43886</v>
      </c>
      <c r="F472" s="58"/>
      <c r="G472" s="60">
        <f>IFERROR(__xludf.DUMMYFUNCTION("""COMPUTED_VALUE"""),79.36666666666667)</f>
        <v>79.36666667</v>
      </c>
      <c r="H472" s="63">
        <f>IFERROR(__xludf.DUMMYFUNCTION("""COMPUTED_VALUE"""),43886.0)</f>
        <v>43886</v>
      </c>
      <c r="I472" s="60">
        <f>IFERROR(__xludf.DUMMYFUNCTION("""COMPUTED_VALUE"""),0.0)</f>
        <v>0</v>
      </c>
      <c r="J472" s="64">
        <f>IFERROR(__xludf.DUMMYFUNCTION("""COMPUTED_VALUE"""),60.0)</f>
        <v>60</v>
      </c>
      <c r="K472" s="64">
        <f>IFERROR(__xludf.DUMMYFUNCTION("""COMPUTED_VALUE"""),18.5)</f>
        <v>18.5</v>
      </c>
      <c r="L472" s="55" t="str">
        <f>IFERROR(__xludf.DUMMYFUNCTION("""COMPUTED_VALUE"""),"RPG")</f>
        <v>RPG</v>
      </c>
      <c r="M472" s="55"/>
      <c r="N472" s="55"/>
      <c r="O472" s="55" t="str">
        <f>IFERROR(__xludf.DUMMYFUNCTION("""COMPUTED_VALUE"""),"T")</f>
        <v>T</v>
      </c>
      <c r="P472" s="55" t="str">
        <f>IFERROR(__xludf.DUMMYFUNCTION("""COMPUTED_VALUE"""),"Violence, Blood, Sexual Content, Use of Alcohol, Simulated Gambling")</f>
        <v>Violence, Blood, Sexual Content, Use of Alcohol, Simulated Gambling</v>
      </c>
      <c r="Q472" s="55"/>
      <c r="R472" s="56" t="str">
        <f>IFERROR(__xludf.DUMMYFUNCTION("""COMPUTED_VALUE"""),"Active")</f>
        <v>Active</v>
      </c>
      <c r="S472" s="57">
        <f>IFERROR(__xludf.DUMMYFUNCTION("""COMPUTED_VALUE"""),45547.0)</f>
        <v>45547</v>
      </c>
      <c r="T472" s="60">
        <f>IFERROR(__xludf.DUMMYFUNCTION("""COMPUTED_VALUE"""),54.56666666666667)</f>
        <v>54.56666667</v>
      </c>
    </row>
    <row r="473">
      <c r="A473" s="55" t="str">
        <f>IFERROR(__xludf.DUMMYFUNCTION("""COMPUTED_VALUE"""),"Wolfenstein: Youngblood")</f>
        <v>Wolfenstein: Youngblood</v>
      </c>
      <c r="B473" s="55" t="str">
        <f>IFERROR(__xludf.DUMMYFUNCTION("""COMPUTED_VALUE"""),"Xbox / PC")</f>
        <v>Xbox / PC</v>
      </c>
      <c r="C473" s="55" t="str">
        <f>IFERROR(__xludf.DUMMYFUNCTION("""COMPUTED_VALUE"""),"Yes")</f>
        <v>Yes</v>
      </c>
      <c r="D473" s="56" t="str">
        <f>IFERROR(__xludf.DUMMYFUNCTION("""COMPUTED_VALUE"""),"Active")</f>
        <v>Active</v>
      </c>
      <c r="E473" s="57">
        <f>IFERROR(__xludf.DUMMYFUNCTION("""COMPUTED_VALUE"""),43867.0)</f>
        <v>43867</v>
      </c>
      <c r="F473" s="58"/>
      <c r="G473" s="60">
        <f>IFERROR(__xludf.DUMMYFUNCTION("""COMPUTED_VALUE"""),80.0)</f>
        <v>80</v>
      </c>
      <c r="H473" s="63">
        <f>IFERROR(__xludf.DUMMYFUNCTION("""COMPUTED_VALUE"""),43671.0)</f>
        <v>43671</v>
      </c>
      <c r="I473" s="60">
        <f>IFERROR(__xludf.DUMMYFUNCTION("""COMPUTED_VALUE"""),0.5305555555555556)</f>
        <v>0.5305555556</v>
      </c>
      <c r="J473" s="64">
        <f>IFERROR(__xludf.DUMMYFUNCTION("""COMPUTED_VALUE"""),68.0)</f>
        <v>68</v>
      </c>
      <c r="K473" s="64">
        <f>IFERROR(__xludf.DUMMYFUNCTION("""COMPUTED_VALUE"""),9.0)</f>
        <v>9</v>
      </c>
      <c r="L473" s="55" t="str">
        <f>IFERROR(__xludf.DUMMYFUNCTION("""COMPUTED_VALUE"""),"Shooter")</f>
        <v>Shooter</v>
      </c>
      <c r="M473" s="55"/>
      <c r="N473" s="55"/>
      <c r="O473" s="55" t="str">
        <f>IFERROR(__xludf.DUMMYFUNCTION("""COMPUTED_VALUE"""),"M")</f>
        <v>M</v>
      </c>
      <c r="P473" s="55" t="str">
        <f>IFERROR(__xludf.DUMMYFUNCTION("""COMPUTED_VALUE"""),"Blood and Gore, Strong Language, Intense Violence")</f>
        <v>Blood and Gore, Strong Language, Intense Violence</v>
      </c>
      <c r="Q473" s="55"/>
      <c r="R473" s="56" t="str">
        <f>IFERROR(__xludf.DUMMYFUNCTION("""COMPUTED_VALUE"""),"Active")</f>
        <v>Active</v>
      </c>
      <c r="S473" s="57">
        <f>IFERROR(__xludf.DUMMYFUNCTION("""COMPUTED_VALUE"""),45547.0)</f>
        <v>45547</v>
      </c>
      <c r="T473" s="60">
        <f>IFERROR(__xludf.DUMMYFUNCTION("""COMPUTED_VALUE"""),55.199999999999996)</f>
        <v>55.2</v>
      </c>
    </row>
    <row r="474">
      <c r="A474" s="55" t="str">
        <f>IFERROR(__xludf.DUMMYFUNCTION("""COMPUTED_VALUE"""),"Phoenix Point")</f>
        <v>Phoenix Point</v>
      </c>
      <c r="B474" s="55" t="str">
        <f>IFERROR(__xludf.DUMMYFUNCTION("""COMPUTED_VALUE"""),"Xbox / PC")</f>
        <v>Xbox / PC</v>
      </c>
      <c r="C474" s="55" t="str">
        <f>IFERROR(__xludf.DUMMYFUNCTION("""COMPUTED_VALUE"""),"Touch Controls")</f>
        <v>Touch Controls</v>
      </c>
      <c r="D474" s="56" t="str">
        <f>IFERROR(__xludf.DUMMYFUNCTION("""COMPUTED_VALUE"""),"Active")</f>
        <v>Active</v>
      </c>
      <c r="E474" s="57">
        <f>IFERROR(__xludf.DUMMYFUNCTION("""COMPUTED_VALUE"""),43819.0)</f>
        <v>43819</v>
      </c>
      <c r="F474" s="58"/>
      <c r="G474" s="60">
        <f>IFERROR(__xludf.DUMMYFUNCTION("""COMPUTED_VALUE"""),81.53333333333333)</f>
        <v>81.53333333</v>
      </c>
      <c r="H474" s="63">
        <f>IFERROR(__xludf.DUMMYFUNCTION("""COMPUTED_VALUE"""),43802.0)</f>
        <v>43802</v>
      </c>
      <c r="I474" s="60">
        <f>IFERROR(__xludf.DUMMYFUNCTION("""COMPUTED_VALUE"""),0.04722222222222222)</f>
        <v>0.04722222222</v>
      </c>
      <c r="J474" s="64">
        <f>IFERROR(__xludf.DUMMYFUNCTION("""COMPUTED_VALUE"""),74.0)</f>
        <v>74</v>
      </c>
      <c r="K474" s="64">
        <f>IFERROR(__xludf.DUMMYFUNCTION("""COMPUTED_VALUE"""),32.0)</f>
        <v>32</v>
      </c>
      <c r="L474" s="55" t="str">
        <f>IFERROR(__xludf.DUMMYFUNCTION("""COMPUTED_VALUE"""),"Strategy")</f>
        <v>Strategy</v>
      </c>
      <c r="M474" s="55"/>
      <c r="N474" s="55" t="str">
        <f>IFERROR(__xludf.DUMMYFUNCTION("""COMPUTED_VALUE"""),"Joined console 10/1/21")</f>
        <v>Joined console 10/1/21</v>
      </c>
      <c r="O474" s="55" t="str">
        <f>IFERROR(__xludf.DUMMYFUNCTION("""COMPUTED_VALUE"""),"T")</f>
        <v>T</v>
      </c>
      <c r="P474" s="55" t="str">
        <f>IFERROR(__xludf.DUMMYFUNCTION("""COMPUTED_VALUE"""),"Blood, Violence, Language")</f>
        <v>Blood, Violence, Language</v>
      </c>
      <c r="Q474" s="55"/>
      <c r="R474" s="56" t="str">
        <f>IFERROR(__xludf.DUMMYFUNCTION("""COMPUTED_VALUE"""),"Active")</f>
        <v>Active</v>
      </c>
      <c r="S474" s="57">
        <f>IFERROR(__xludf.DUMMYFUNCTION("""COMPUTED_VALUE"""),45547.0)</f>
        <v>45547</v>
      </c>
      <c r="T474" s="60">
        <f>IFERROR(__xludf.DUMMYFUNCTION("""COMPUTED_VALUE"""),56.733333333333334)</f>
        <v>56.73333333</v>
      </c>
    </row>
    <row r="475">
      <c r="A475" s="55" t="str">
        <f>IFERROR(__xludf.DUMMYFUNCTION("""COMPUTED_VALUE"""),"Totally Accurate Battle Simulator")</f>
        <v>Totally Accurate Battle Simulator</v>
      </c>
      <c r="B475" s="55" t="str">
        <f>IFERROR(__xludf.DUMMYFUNCTION("""COMPUTED_VALUE"""),"Xbox / PC")</f>
        <v>Xbox / PC</v>
      </c>
      <c r="C475" s="55" t="str">
        <f>IFERROR(__xludf.DUMMYFUNCTION("""COMPUTED_VALUE"""),"Touch Controls")</f>
        <v>Touch Controls</v>
      </c>
      <c r="D475" s="56" t="str">
        <f>IFERROR(__xludf.DUMMYFUNCTION("""COMPUTED_VALUE"""),"Active")</f>
        <v>Active</v>
      </c>
      <c r="E475" s="57">
        <f>IFERROR(__xludf.DUMMYFUNCTION("""COMPUTED_VALUE"""),43819.0)</f>
        <v>43819</v>
      </c>
      <c r="F475" s="58"/>
      <c r="G475" s="60">
        <f>IFERROR(__xludf.DUMMYFUNCTION("""COMPUTED_VALUE"""),81.53333333333333)</f>
        <v>81.53333333</v>
      </c>
      <c r="H475" s="63">
        <f>IFERROR(__xludf.DUMMYFUNCTION("""COMPUTED_VALUE"""),43556.0)</f>
        <v>43556</v>
      </c>
      <c r="I475" s="60">
        <f>IFERROR(__xludf.DUMMYFUNCTION("""COMPUTED_VALUE"""),0.7194444444444444)</f>
        <v>0.7194444444</v>
      </c>
      <c r="J475" s="64">
        <f>IFERROR(__xludf.DUMMYFUNCTION("""COMPUTED_VALUE"""),76.0)</f>
        <v>76</v>
      </c>
      <c r="K475" s="64">
        <f>IFERROR(__xludf.DUMMYFUNCTION("""COMPUTED_VALUE"""),4.5)</f>
        <v>4.5</v>
      </c>
      <c r="L475" s="55" t="str">
        <f>IFERROR(__xludf.DUMMYFUNCTION("""COMPUTED_VALUE"""),"Strategy")</f>
        <v>Strategy</v>
      </c>
      <c r="M475" s="55"/>
      <c r="N475" s="55"/>
      <c r="O475" s="55" t="str">
        <f>IFERROR(__xludf.DUMMYFUNCTION("""COMPUTED_VALUE"""),"T")</f>
        <v>T</v>
      </c>
      <c r="P475" s="55" t="str">
        <f>IFERROR(__xludf.DUMMYFUNCTION("""COMPUTED_VALUE"""),"Violence")</f>
        <v>Violence</v>
      </c>
      <c r="Q475" s="55"/>
      <c r="R475" s="56" t="str">
        <f>IFERROR(__xludf.DUMMYFUNCTION("""COMPUTED_VALUE"""),"Active")</f>
        <v>Active</v>
      </c>
      <c r="S475" s="57">
        <f>IFERROR(__xludf.DUMMYFUNCTION("""COMPUTED_VALUE"""),45547.0)</f>
        <v>45547</v>
      </c>
      <c r="T475" s="60">
        <f>IFERROR(__xludf.DUMMYFUNCTION("""COMPUTED_VALUE"""),56.733333333333334)</f>
        <v>56.73333333</v>
      </c>
    </row>
    <row r="476">
      <c r="A476" s="55" t="str">
        <f>IFERROR(__xludf.DUMMYFUNCTION("""COMPUTED_VALUE"""),"Pillars of Eternity: Definitive Edition")</f>
        <v>Pillars of Eternity: Definitive Edition</v>
      </c>
      <c r="B476" s="55" t="str">
        <f>IFERROR(__xludf.DUMMYFUNCTION("""COMPUTED_VALUE"""),"Xbox / PC")</f>
        <v>Xbox / PC</v>
      </c>
      <c r="C476" s="55" t="str">
        <f>IFERROR(__xludf.DUMMYFUNCTION("""COMPUTED_VALUE"""),"Touch Controls")</f>
        <v>Touch Controls</v>
      </c>
      <c r="D476" s="56" t="str">
        <f>IFERROR(__xludf.DUMMYFUNCTION("""COMPUTED_VALUE"""),"Active")</f>
        <v>Active</v>
      </c>
      <c r="E476" s="57">
        <f>IFERROR(__xludf.DUMMYFUNCTION("""COMPUTED_VALUE"""),43818.0)</f>
        <v>43818</v>
      </c>
      <c r="F476" s="58"/>
      <c r="G476" s="60">
        <f>IFERROR(__xludf.DUMMYFUNCTION("""COMPUTED_VALUE"""),81.56666666666666)</f>
        <v>81.56666667</v>
      </c>
      <c r="H476" s="63">
        <f>IFERROR(__xludf.DUMMYFUNCTION("""COMPUTED_VALUE"""),42089.0)</f>
        <v>42089</v>
      </c>
      <c r="I476" s="60">
        <f>IFERROR(__xludf.DUMMYFUNCTION("""COMPUTED_VALUE"""),4.730555555555555)</f>
        <v>4.730555556</v>
      </c>
      <c r="J476" s="64">
        <f>IFERROR(__xludf.DUMMYFUNCTION("""COMPUTED_VALUE"""),86.0)</f>
        <v>86</v>
      </c>
      <c r="K476" s="64">
        <f>IFERROR(__xludf.DUMMYFUNCTION("""COMPUTED_VALUE"""),35.5)</f>
        <v>35.5</v>
      </c>
      <c r="L476" s="55" t="str">
        <f>IFERROR(__xludf.DUMMYFUNCTION("""COMPUTED_VALUE"""),"RPG")</f>
        <v>RPG</v>
      </c>
      <c r="M476" s="55"/>
      <c r="N476" s="55" t="str">
        <f>IFERROR(__xludf.DUMMYFUNCTION("""COMPUTED_VALUE"""),"Upgraded from complete to definitive edition on 12/13/23")</f>
        <v>Upgraded from complete to definitive edition on 12/13/23</v>
      </c>
      <c r="O476" s="55" t="str">
        <f>IFERROR(__xludf.DUMMYFUNCTION("""COMPUTED_VALUE"""),"M")</f>
        <v>M</v>
      </c>
      <c r="P476" s="55" t="str">
        <f>IFERROR(__xludf.DUMMYFUNCTION("""COMPUTED_VALUE"""),"Blood, Sexual Themes, Strong Language, Violence")</f>
        <v>Blood, Sexual Themes, Strong Language, Violence</v>
      </c>
      <c r="Q476" s="55"/>
      <c r="R476" s="56" t="str">
        <f>IFERROR(__xludf.DUMMYFUNCTION("""COMPUTED_VALUE"""),"Active")</f>
        <v>Active</v>
      </c>
      <c r="S476" s="57">
        <f>IFERROR(__xludf.DUMMYFUNCTION("""COMPUTED_VALUE"""),45547.0)</f>
        <v>45547</v>
      </c>
      <c r="T476" s="60">
        <f>IFERROR(__xludf.DUMMYFUNCTION("""COMPUTED_VALUE"""),56.766666666666666)</f>
        <v>56.76666667</v>
      </c>
    </row>
    <row r="477">
      <c r="A477" s="55" t="str">
        <f>IFERROR(__xludf.DUMMYFUNCTION("""COMPUTED_VALUE"""),"Overcooked! 2")</f>
        <v>Overcooked! 2</v>
      </c>
      <c r="B477" s="55" t="str">
        <f>IFERROR(__xludf.DUMMYFUNCTION("""COMPUTED_VALUE"""),"Xbox / PC")</f>
        <v>Xbox / PC</v>
      </c>
      <c r="C477" s="55" t="str">
        <f>IFERROR(__xludf.DUMMYFUNCTION("""COMPUTED_VALUE"""),"Touch Controls")</f>
        <v>Touch Controls</v>
      </c>
      <c r="D477" s="56" t="str">
        <f>IFERROR(__xludf.DUMMYFUNCTION("""COMPUTED_VALUE"""),"Active")</f>
        <v>Active</v>
      </c>
      <c r="E477" s="57">
        <f>IFERROR(__xludf.DUMMYFUNCTION("""COMPUTED_VALUE"""),43811.0)</f>
        <v>43811</v>
      </c>
      <c r="F477" s="58"/>
      <c r="G477" s="60">
        <f>IFERROR(__xludf.DUMMYFUNCTION("""COMPUTED_VALUE"""),81.8)</f>
        <v>81.8</v>
      </c>
      <c r="H477" s="63">
        <f>IFERROR(__xludf.DUMMYFUNCTION("""COMPUTED_VALUE"""),43319.0)</f>
        <v>43319</v>
      </c>
      <c r="I477" s="60">
        <f>IFERROR(__xludf.DUMMYFUNCTION("""COMPUTED_VALUE"""),1.3472222222222223)</f>
        <v>1.347222222</v>
      </c>
      <c r="J477" s="64">
        <f>IFERROR(__xludf.DUMMYFUNCTION("""COMPUTED_VALUE"""),83.0)</f>
        <v>83</v>
      </c>
      <c r="K477" s="64">
        <f>IFERROR(__xludf.DUMMYFUNCTION("""COMPUTED_VALUE"""),6.5)</f>
        <v>6.5</v>
      </c>
      <c r="L477" s="55" t="str">
        <f>IFERROR(__xludf.DUMMYFUNCTION("""COMPUTED_VALUE"""),"Simulation")</f>
        <v>Simulation</v>
      </c>
      <c r="M477" s="55" t="str">
        <f>IFERROR(__xludf.DUMMYFUNCTION("""COMPUTED_VALUE"""),"FPS Boost")</f>
        <v>FPS Boost</v>
      </c>
      <c r="N477" s="55" t="str">
        <f>IFERROR(__xludf.DUMMYFUNCTION("""COMPUTED_VALUE"""),"Game Pass Essential launch title (9/14/23)")</f>
        <v>Game Pass Essential launch title (9/14/23)</v>
      </c>
      <c r="O477" s="55" t="str">
        <f>IFERROR(__xludf.DUMMYFUNCTION("""COMPUTED_VALUE"""),"E")</f>
        <v>E</v>
      </c>
      <c r="P477" s="55"/>
      <c r="Q477" s="55"/>
      <c r="R477" s="56" t="str">
        <f>IFERROR(__xludf.DUMMYFUNCTION("""COMPUTED_VALUE"""),"Active")</f>
        <v>Active</v>
      </c>
      <c r="S477" s="57">
        <f>IFERROR(__xludf.DUMMYFUNCTION("""COMPUTED_VALUE"""),45547.0)</f>
        <v>45547</v>
      </c>
      <c r="T477" s="60">
        <f>IFERROR(__xludf.DUMMYFUNCTION("""COMPUTED_VALUE"""),57.0)</f>
        <v>57</v>
      </c>
    </row>
    <row r="478">
      <c r="A478" s="55" t="str">
        <f>IFERROR(__xludf.DUMMYFUNCTION("""COMPUTED_VALUE"""),"Halo: Reach")</f>
        <v>Halo: Reach</v>
      </c>
      <c r="B478" s="55" t="str">
        <f>IFERROR(__xludf.DUMMYFUNCTION("""COMPUTED_VALUE"""),"Xbox / PC")</f>
        <v>Xbox / PC</v>
      </c>
      <c r="C478" s="55"/>
      <c r="D478" s="56" t="str">
        <f>IFERROR(__xludf.DUMMYFUNCTION("""COMPUTED_VALUE"""),"Active")</f>
        <v>Active</v>
      </c>
      <c r="E478" s="57">
        <f>IFERROR(__xludf.DUMMYFUNCTION("""COMPUTED_VALUE"""),43802.0)</f>
        <v>43802</v>
      </c>
      <c r="F478" s="58"/>
      <c r="G478" s="60">
        <f>IFERROR(__xludf.DUMMYFUNCTION("""COMPUTED_VALUE"""),82.1)</f>
        <v>82.1</v>
      </c>
      <c r="H478" s="63">
        <f>IFERROR(__xludf.DUMMYFUNCTION("""COMPUTED_VALUE"""),40435.0)</f>
        <v>40435</v>
      </c>
      <c r="I478" s="60">
        <f>IFERROR(__xludf.DUMMYFUNCTION("""COMPUTED_VALUE"""),9.219444444444445)</f>
        <v>9.219444444</v>
      </c>
      <c r="J478" s="64">
        <f>IFERROR(__xludf.DUMMYFUNCTION("""COMPUTED_VALUE"""),91.0)</f>
        <v>91</v>
      </c>
      <c r="K478" s="64">
        <f>IFERROR(__xludf.DUMMYFUNCTION("""COMPUTED_VALUE"""),8.0)</f>
        <v>8</v>
      </c>
      <c r="L478" s="55" t="str">
        <f>IFERROR(__xludf.DUMMYFUNCTION("""COMPUTED_VALUE"""),"Shooter")</f>
        <v>Shooter</v>
      </c>
      <c r="M478" s="55"/>
      <c r="N478" s="55"/>
      <c r="O478" s="55" t="str">
        <f>IFERROR(__xludf.DUMMYFUNCTION("""COMPUTED_VALUE"""),"M")</f>
        <v>M</v>
      </c>
      <c r="P478" s="55" t="str">
        <f>IFERROR(__xludf.DUMMYFUNCTION("""COMPUTED_VALUE"""),"Blood and Gore, Violence, Language")</f>
        <v>Blood and Gore, Violence, Language</v>
      </c>
      <c r="Q478" s="55" t="str">
        <f>IFERROR(__xludf.DUMMYFUNCTION("""COMPUTED_VALUE"""),"Xbox 360")</f>
        <v>Xbox 360</v>
      </c>
      <c r="R478" s="56" t="str">
        <f>IFERROR(__xludf.DUMMYFUNCTION("""COMPUTED_VALUE"""),"Active")</f>
        <v>Active</v>
      </c>
      <c r="S478" s="57">
        <f>IFERROR(__xludf.DUMMYFUNCTION("""COMPUTED_VALUE"""),45547.0)</f>
        <v>45547</v>
      </c>
      <c r="T478" s="60">
        <f>IFERROR(__xludf.DUMMYFUNCTION("""COMPUTED_VALUE"""),57.300000000000004)</f>
        <v>57.3</v>
      </c>
    </row>
    <row r="479">
      <c r="A479" s="55" t="str">
        <f>IFERROR(__xludf.DUMMYFUNCTION("""COMPUTED_VALUE"""),"Age of Empires II: Definitive Edition")</f>
        <v>Age of Empires II: Definitive Edition</v>
      </c>
      <c r="B479" s="55" t="str">
        <f>IFERROR(__xludf.DUMMYFUNCTION("""COMPUTED_VALUE"""),"Xbox / PC")</f>
        <v>Xbox / PC</v>
      </c>
      <c r="C479" s="55"/>
      <c r="D479" s="56" t="str">
        <f>IFERROR(__xludf.DUMMYFUNCTION("""COMPUTED_VALUE"""),"Active")</f>
        <v>Active</v>
      </c>
      <c r="E479" s="57">
        <f>IFERROR(__xludf.DUMMYFUNCTION("""COMPUTED_VALUE"""),43783.0)</f>
        <v>43783</v>
      </c>
      <c r="F479" s="58"/>
      <c r="G479" s="60">
        <f>IFERROR(__xludf.DUMMYFUNCTION("""COMPUTED_VALUE"""),82.73333333333333)</f>
        <v>82.73333333</v>
      </c>
      <c r="H479" s="63">
        <f>IFERROR(__xludf.DUMMYFUNCTION("""COMPUTED_VALUE"""),43783.0)</f>
        <v>43783</v>
      </c>
      <c r="I479" s="60">
        <f>IFERROR(__xludf.DUMMYFUNCTION("""COMPUTED_VALUE"""),0.0)</f>
        <v>0</v>
      </c>
      <c r="J479" s="64">
        <f>IFERROR(__xludf.DUMMYFUNCTION("""COMPUTED_VALUE"""),84.0)</f>
        <v>84</v>
      </c>
      <c r="K479" s="64">
        <f>IFERROR(__xludf.DUMMYFUNCTION("""COMPUTED_VALUE"""),35.5)</f>
        <v>35.5</v>
      </c>
      <c r="L479" s="55" t="str">
        <f>IFERROR(__xludf.DUMMYFUNCTION("""COMPUTED_VALUE"""),"Strategy")</f>
        <v>Strategy</v>
      </c>
      <c r="M479" s="55"/>
      <c r="N479" s="55" t="str">
        <f>IFERROR(__xludf.DUMMYFUNCTION("""COMPUTED_VALUE"""),"Joined console 1/31/23")</f>
        <v>Joined console 1/31/23</v>
      </c>
      <c r="O479" s="55" t="str">
        <f>IFERROR(__xludf.DUMMYFUNCTION("""COMPUTED_VALUE"""),"T")</f>
        <v>T</v>
      </c>
      <c r="P479" s="55" t="str">
        <f>IFERROR(__xludf.DUMMYFUNCTION("""COMPUTED_VALUE"""),"Mild Blood, Mild Language, Violence")</f>
        <v>Mild Blood, Mild Language, Violence</v>
      </c>
      <c r="Q479" s="55"/>
      <c r="R479" s="56" t="str">
        <f>IFERROR(__xludf.DUMMYFUNCTION("""COMPUTED_VALUE"""),"Active")</f>
        <v>Active</v>
      </c>
      <c r="S479" s="57">
        <f>IFERROR(__xludf.DUMMYFUNCTION("""COMPUTED_VALUE"""),45547.0)</f>
        <v>45547</v>
      </c>
      <c r="T479" s="60">
        <f>IFERROR(__xludf.DUMMYFUNCTION("""COMPUTED_VALUE"""),57.93333333333333)</f>
        <v>57.93333333</v>
      </c>
    </row>
    <row r="480">
      <c r="A480" s="55" t="str">
        <f>IFERROR(__xludf.DUMMYFUNCTION("""COMPUTED_VALUE"""),"RAGE 2")</f>
        <v>RAGE 2</v>
      </c>
      <c r="B480" s="55" t="str">
        <f>IFERROR(__xludf.DUMMYFUNCTION("""COMPUTED_VALUE"""),"Xbox / PC")</f>
        <v>Xbox / PC</v>
      </c>
      <c r="C480" s="55" t="str">
        <f>IFERROR(__xludf.DUMMYFUNCTION("""COMPUTED_VALUE"""),"Yes")</f>
        <v>Yes</v>
      </c>
      <c r="D480" s="56" t="str">
        <f>IFERROR(__xludf.DUMMYFUNCTION("""COMPUTED_VALUE"""),"Active")</f>
        <v>Active</v>
      </c>
      <c r="E480" s="57">
        <f>IFERROR(__xludf.DUMMYFUNCTION("""COMPUTED_VALUE"""),43783.0)</f>
        <v>43783</v>
      </c>
      <c r="F480" s="58"/>
      <c r="G480" s="60">
        <f>IFERROR(__xludf.DUMMYFUNCTION("""COMPUTED_VALUE"""),82.73333333333333)</f>
        <v>82.73333333</v>
      </c>
      <c r="H480" s="63">
        <f>IFERROR(__xludf.DUMMYFUNCTION("""COMPUTED_VALUE"""),43599.0)</f>
        <v>43599</v>
      </c>
      <c r="I480" s="60">
        <f>IFERROR(__xludf.DUMMYFUNCTION("""COMPUTED_VALUE"""),0.5)</f>
        <v>0.5</v>
      </c>
      <c r="J480" s="64">
        <f>IFERROR(__xludf.DUMMYFUNCTION("""COMPUTED_VALUE"""),72.0)</f>
        <v>72</v>
      </c>
      <c r="K480" s="64">
        <f>IFERROR(__xludf.DUMMYFUNCTION("""COMPUTED_VALUE"""),10.0)</f>
        <v>10</v>
      </c>
      <c r="L480" s="55" t="str">
        <f>IFERROR(__xludf.DUMMYFUNCTION("""COMPUTED_VALUE"""),"Shooter")</f>
        <v>Shooter</v>
      </c>
      <c r="M480" s="55"/>
      <c r="N480" s="55"/>
      <c r="O480" s="55" t="str">
        <f>IFERROR(__xludf.DUMMYFUNCTION("""COMPUTED_VALUE"""),"M")</f>
        <v>M</v>
      </c>
      <c r="P480" s="55" t="str">
        <f>IFERROR(__xludf.DUMMYFUNCTION("""COMPUTED_VALUE"""),"Blood and Gore, Suggestive Themes, Strong Language, Intense Violence")</f>
        <v>Blood and Gore, Suggestive Themes, Strong Language, Intense Violence</v>
      </c>
      <c r="Q480" s="55"/>
      <c r="R480" s="56" t="str">
        <f>IFERROR(__xludf.DUMMYFUNCTION("""COMPUTED_VALUE"""),"Active")</f>
        <v>Active</v>
      </c>
      <c r="S480" s="57">
        <f>IFERROR(__xludf.DUMMYFUNCTION("""COMPUTED_VALUE"""),45547.0)</f>
        <v>45547</v>
      </c>
      <c r="T480" s="60">
        <f>IFERROR(__xludf.DUMMYFUNCTION("""COMPUTED_VALUE"""),57.93333333333333)</f>
        <v>57.93333333</v>
      </c>
    </row>
    <row r="481">
      <c r="A481" s="55" t="str">
        <f>IFERROR(__xludf.DUMMYFUNCTION("""COMPUTED_VALUE"""),"The Outer Worlds")</f>
        <v>The Outer Worlds</v>
      </c>
      <c r="B481" s="55" t="str">
        <f>IFERROR(__xludf.DUMMYFUNCTION("""COMPUTED_VALUE"""),"Xbox / PC")</f>
        <v>Xbox / PC</v>
      </c>
      <c r="C481" s="55" t="str">
        <f>IFERROR(__xludf.DUMMYFUNCTION("""COMPUTED_VALUE"""),"Yes")</f>
        <v>Yes</v>
      </c>
      <c r="D481" s="56" t="str">
        <f>IFERROR(__xludf.DUMMYFUNCTION("""COMPUTED_VALUE"""),"Active")</f>
        <v>Active</v>
      </c>
      <c r="E481" s="57">
        <f>IFERROR(__xludf.DUMMYFUNCTION("""COMPUTED_VALUE"""),43763.0)</f>
        <v>43763</v>
      </c>
      <c r="F481" s="58"/>
      <c r="G481" s="60">
        <f>IFERROR(__xludf.DUMMYFUNCTION("""COMPUTED_VALUE"""),83.36666666666666)</f>
        <v>83.36666667</v>
      </c>
      <c r="H481" s="63">
        <f>IFERROR(__xludf.DUMMYFUNCTION("""COMPUTED_VALUE"""),43763.0)</f>
        <v>43763</v>
      </c>
      <c r="I481" s="60">
        <f>IFERROR(__xludf.DUMMYFUNCTION("""COMPUTED_VALUE"""),0.0)</f>
        <v>0</v>
      </c>
      <c r="J481" s="64">
        <f>IFERROR(__xludf.DUMMYFUNCTION("""COMPUTED_VALUE"""),85.0)</f>
        <v>85</v>
      </c>
      <c r="K481" s="64">
        <f>IFERROR(__xludf.DUMMYFUNCTION("""COMPUTED_VALUE"""),12.0)</f>
        <v>12</v>
      </c>
      <c r="L481" s="55" t="str">
        <f>IFERROR(__xludf.DUMMYFUNCTION("""COMPUTED_VALUE"""),"Shooter")</f>
        <v>Shooter</v>
      </c>
      <c r="M481" s="55"/>
      <c r="N481" s="55"/>
      <c r="O481" s="55" t="str">
        <f>IFERROR(__xludf.DUMMYFUNCTION("""COMPUTED_VALUE"""),"M")</f>
        <v>M</v>
      </c>
      <c r="P481" s="55" t="str">
        <f>IFERROR(__xludf.DUMMYFUNCTION("""COMPUTED_VALUE"""),"Blood and Gore, Strong Language, Intense Violence")</f>
        <v>Blood and Gore, Strong Language, Intense Violence</v>
      </c>
      <c r="Q481" s="55"/>
      <c r="R481" s="56" t="str">
        <f>IFERROR(__xludf.DUMMYFUNCTION("""COMPUTED_VALUE"""),"Active")</f>
        <v>Active</v>
      </c>
      <c r="S481" s="57">
        <f>IFERROR(__xludf.DUMMYFUNCTION("""COMPUTED_VALUE"""),45547.0)</f>
        <v>45547</v>
      </c>
      <c r="T481" s="60">
        <f>IFERROR(__xludf.DUMMYFUNCTION("""COMPUTED_VALUE"""),58.56666666666666)</f>
        <v>58.56666667</v>
      </c>
    </row>
    <row r="482">
      <c r="A482" s="55" t="str">
        <f>IFERROR(__xludf.DUMMYFUNCTION("""COMPUTED_VALUE"""),"Fallout: New Vegas - Ultimate Edition")</f>
        <v>Fallout: New Vegas - Ultimate Edition</v>
      </c>
      <c r="B482" s="55" t="str">
        <f>IFERROR(__xludf.DUMMYFUNCTION("""COMPUTED_VALUE"""),"Xbox / PC")</f>
        <v>Xbox / PC</v>
      </c>
      <c r="C482" s="55" t="str">
        <f>IFERROR(__xludf.DUMMYFUNCTION("""COMPUTED_VALUE"""),"Yes")</f>
        <v>Yes</v>
      </c>
      <c r="D482" s="56" t="str">
        <f>IFERROR(__xludf.DUMMYFUNCTION("""COMPUTED_VALUE"""),"Active")</f>
        <v>Active</v>
      </c>
      <c r="E482" s="57">
        <f>IFERROR(__xludf.DUMMYFUNCTION("""COMPUTED_VALUE"""),43755.0)</f>
        <v>43755</v>
      </c>
      <c r="F482" s="58"/>
      <c r="G482" s="60">
        <f>IFERROR(__xludf.DUMMYFUNCTION("""COMPUTED_VALUE"""),83.63333333333333)</f>
        <v>83.63333333</v>
      </c>
      <c r="H482" s="63">
        <f>IFERROR(__xludf.DUMMYFUNCTION("""COMPUTED_VALUE"""),40470.0)</f>
        <v>40470</v>
      </c>
      <c r="I482" s="60">
        <f>IFERROR(__xludf.DUMMYFUNCTION("""COMPUTED_VALUE"""),8.994444444444444)</f>
        <v>8.994444444</v>
      </c>
      <c r="J482" s="64">
        <f>IFERROR(__xludf.DUMMYFUNCTION("""COMPUTED_VALUE"""),84.0)</f>
        <v>84</v>
      </c>
      <c r="K482" s="64">
        <f>IFERROR(__xludf.DUMMYFUNCTION("""COMPUTED_VALUE"""),27.5)</f>
        <v>27.5</v>
      </c>
      <c r="L482" s="55" t="str">
        <f>IFERROR(__xludf.DUMMYFUNCTION("""COMPUTED_VALUE"""),"Shooter")</f>
        <v>Shooter</v>
      </c>
      <c r="M482" s="55" t="str">
        <f>IFERROR(__xludf.DUMMYFUNCTION("""COMPUTED_VALUE"""),"FPS Boost")</f>
        <v>FPS Boost</v>
      </c>
      <c r="N482" s="55" t="str">
        <f>IFERROR(__xludf.DUMMYFUNCTION("""COMPUTED_VALUE"""),"Official PC Mod Support, enhanced edition only on PC")</f>
        <v>Official PC Mod Support, enhanced edition only on PC</v>
      </c>
      <c r="O482" s="55" t="str">
        <f>IFERROR(__xludf.DUMMYFUNCTION("""COMPUTED_VALUE"""),"M")</f>
        <v>M</v>
      </c>
      <c r="P482" s="55" t="str">
        <f>IFERROR(__xludf.DUMMYFUNCTION("""COMPUTED_VALUE"""),"Blood and Gore, Intense Violence, Strong Language, Use of Drugs, Sexual Content")</f>
        <v>Blood and Gore, Intense Violence, Strong Language, Use of Drugs, Sexual Content</v>
      </c>
      <c r="Q482" s="55" t="str">
        <f>IFERROR(__xludf.DUMMYFUNCTION("""COMPUTED_VALUE"""),"Xbox 360")</f>
        <v>Xbox 360</v>
      </c>
      <c r="R482" s="56" t="str">
        <f>IFERROR(__xludf.DUMMYFUNCTION("""COMPUTED_VALUE"""),"Active")</f>
        <v>Active</v>
      </c>
      <c r="S482" s="57">
        <f>IFERROR(__xludf.DUMMYFUNCTION("""COMPUTED_VALUE"""),45547.0)</f>
        <v>45547</v>
      </c>
      <c r="T482" s="60">
        <f>IFERROR(__xludf.DUMMYFUNCTION("""COMPUTED_VALUE"""),58.83333333333333)</f>
        <v>58.83333333</v>
      </c>
    </row>
    <row r="483">
      <c r="A483" s="55" t="str">
        <f>IFERROR(__xludf.DUMMYFUNCTION("""COMPUTED_VALUE"""),"Dishonored 2")</f>
        <v>Dishonored 2</v>
      </c>
      <c r="B483" s="55" t="str">
        <f>IFERROR(__xludf.DUMMYFUNCTION("""COMPUTED_VALUE"""),"Xbox / PC")</f>
        <v>Xbox / PC</v>
      </c>
      <c r="C483" s="55" t="str">
        <f>IFERROR(__xludf.DUMMYFUNCTION("""COMPUTED_VALUE"""),"Yes")</f>
        <v>Yes</v>
      </c>
      <c r="D483" s="56" t="str">
        <f>IFERROR(__xludf.DUMMYFUNCTION("""COMPUTED_VALUE"""),"Active")</f>
        <v>Active</v>
      </c>
      <c r="E483" s="57">
        <f>IFERROR(__xludf.DUMMYFUNCTION("""COMPUTED_VALUE"""),43741.0)</f>
        <v>43741</v>
      </c>
      <c r="F483" s="58"/>
      <c r="G483" s="60">
        <f>IFERROR(__xludf.DUMMYFUNCTION("""COMPUTED_VALUE"""),84.10000000000001)</f>
        <v>84.1</v>
      </c>
      <c r="H483" s="63">
        <f>IFERROR(__xludf.DUMMYFUNCTION("""COMPUTED_VALUE"""),42685.0)</f>
        <v>42685</v>
      </c>
      <c r="I483" s="60">
        <f>IFERROR(__xludf.DUMMYFUNCTION("""COMPUTED_VALUE"""),2.8944444444444444)</f>
        <v>2.894444444</v>
      </c>
      <c r="J483" s="64">
        <f>IFERROR(__xludf.DUMMYFUNCTION("""COMPUTED_VALUE"""),88.0)</f>
        <v>88</v>
      </c>
      <c r="K483" s="64">
        <f>IFERROR(__xludf.DUMMYFUNCTION("""COMPUTED_VALUE"""),12.5)</f>
        <v>12.5</v>
      </c>
      <c r="L483" s="55" t="str">
        <f>IFERROR(__xludf.DUMMYFUNCTION("""COMPUTED_VALUE"""),"Action-Adventure")</f>
        <v>Action-Adventure</v>
      </c>
      <c r="M483" s="55"/>
      <c r="N483" s="55" t="str">
        <f>IFERROR(__xludf.DUMMYFUNCTION("""COMPUTED_VALUE"""),"Game Pass Essential launch title (9/14/23)")</f>
        <v>Game Pass Essential launch title (9/14/23)</v>
      </c>
      <c r="O483" s="55" t="str">
        <f>IFERROR(__xludf.DUMMYFUNCTION("""COMPUTED_VALUE"""),"M")</f>
        <v>M</v>
      </c>
      <c r="P483" s="55" t="str">
        <f>IFERROR(__xludf.DUMMYFUNCTION("""COMPUTED_VALUE"""),"Blood and Gore, Suggestive Themes, Strong Language, Intense Violence")</f>
        <v>Blood and Gore, Suggestive Themes, Strong Language, Intense Violence</v>
      </c>
      <c r="Q483" s="55"/>
      <c r="R483" s="56" t="str">
        <f>IFERROR(__xludf.DUMMYFUNCTION("""COMPUTED_VALUE"""),"Active")</f>
        <v>Active</v>
      </c>
      <c r="S483" s="57">
        <f>IFERROR(__xludf.DUMMYFUNCTION("""COMPUTED_VALUE"""),45547.0)</f>
        <v>45547</v>
      </c>
      <c r="T483" s="60">
        <f>IFERROR(__xludf.DUMMYFUNCTION("""COMPUTED_VALUE"""),59.3)</f>
        <v>59.3</v>
      </c>
    </row>
    <row r="484">
      <c r="A484" s="55" t="str">
        <f>IFERROR(__xludf.DUMMYFUNCTION("""COMPUTED_VALUE"""),"Gears 5: Game of the Year Edition")</f>
        <v>Gears 5: Game of the Year Edition</v>
      </c>
      <c r="B484" s="55" t="str">
        <f>IFERROR(__xludf.DUMMYFUNCTION("""COMPUTED_VALUE"""),"Xbox / PC")</f>
        <v>Xbox / PC</v>
      </c>
      <c r="C484" s="55" t="str">
        <f>IFERROR(__xludf.DUMMYFUNCTION("""COMPUTED_VALUE"""),"Touch Controls")</f>
        <v>Touch Controls</v>
      </c>
      <c r="D484" s="56" t="str">
        <f>IFERROR(__xludf.DUMMYFUNCTION("""COMPUTED_VALUE"""),"Active")</f>
        <v>Active</v>
      </c>
      <c r="E484" s="57">
        <f>IFERROR(__xludf.DUMMYFUNCTION("""COMPUTED_VALUE"""),43718.0)</f>
        <v>43718</v>
      </c>
      <c r="F484" s="58"/>
      <c r="G484" s="60">
        <f>IFERROR(__xludf.DUMMYFUNCTION("""COMPUTED_VALUE"""),84.86666666666666)</f>
        <v>84.86666667</v>
      </c>
      <c r="H484" s="63">
        <f>IFERROR(__xludf.DUMMYFUNCTION("""COMPUTED_VALUE"""),43718.0)</f>
        <v>43718</v>
      </c>
      <c r="I484" s="60">
        <f>IFERROR(__xludf.DUMMYFUNCTION("""COMPUTED_VALUE"""),0.0)</f>
        <v>0</v>
      </c>
      <c r="J484" s="64">
        <f>IFERROR(__xludf.DUMMYFUNCTION("""COMPUTED_VALUE"""),83.0)</f>
        <v>83</v>
      </c>
      <c r="K484" s="64">
        <f>IFERROR(__xludf.DUMMYFUNCTION("""COMPUTED_VALUE"""),10.5)</f>
        <v>10.5</v>
      </c>
      <c r="L484" s="55" t="str">
        <f>IFERROR(__xludf.DUMMYFUNCTION("""COMPUTED_VALUE"""),"Action")</f>
        <v>Action</v>
      </c>
      <c r="M484" s="55" t="str">
        <f>IFERROR(__xludf.DUMMYFUNCTION("""COMPUTED_VALUE"""),"Optimized")</f>
        <v>Optimized</v>
      </c>
      <c r="N484" s="55" t="str">
        <f>IFERROR(__xludf.DUMMYFUNCTION("""COMPUTED_VALUE"""),"Game Pass Essential launch title (9/14/23)")</f>
        <v>Game Pass Essential launch title (9/14/23)</v>
      </c>
      <c r="O484" s="55" t="str">
        <f>IFERROR(__xludf.DUMMYFUNCTION("""COMPUTED_VALUE"""),"M")</f>
        <v>M</v>
      </c>
      <c r="P484" s="55" t="str">
        <f>IFERROR(__xludf.DUMMYFUNCTION("""COMPUTED_VALUE"""),"Blood and Gore, Strong Language, Intense Violence")</f>
        <v>Blood and Gore, Strong Language, Intense Violence</v>
      </c>
      <c r="Q484" s="55"/>
      <c r="R484" s="56" t="str">
        <f>IFERROR(__xludf.DUMMYFUNCTION("""COMPUTED_VALUE"""),"Active")</f>
        <v>Active</v>
      </c>
      <c r="S484" s="57">
        <f>IFERROR(__xludf.DUMMYFUNCTION("""COMPUTED_VALUE"""),45547.0)</f>
        <v>45547</v>
      </c>
      <c r="T484" s="60">
        <f>IFERROR(__xludf.DUMMYFUNCTION("""COMPUTED_VALUE"""),60.06666666666666)</f>
        <v>60.06666667</v>
      </c>
    </row>
    <row r="485">
      <c r="A485" s="55" t="str">
        <f>IFERROR(__xludf.DUMMYFUNCTION("""COMPUTED_VALUE"""),"The Bard's Tale IV: Director's Cut")</f>
        <v>The Bard's Tale IV: Director's Cut</v>
      </c>
      <c r="B485" s="55" t="str">
        <f>IFERROR(__xludf.DUMMYFUNCTION("""COMPUTED_VALUE"""),"Xbox / PC")</f>
        <v>Xbox / PC</v>
      </c>
      <c r="C485" s="55" t="str">
        <f>IFERROR(__xludf.DUMMYFUNCTION("""COMPUTED_VALUE"""),"Touch Controls")</f>
        <v>Touch Controls</v>
      </c>
      <c r="D485" s="56" t="str">
        <f>IFERROR(__xludf.DUMMYFUNCTION("""COMPUTED_VALUE"""),"Active")</f>
        <v>Active</v>
      </c>
      <c r="E485" s="57">
        <f>IFERROR(__xludf.DUMMYFUNCTION("""COMPUTED_VALUE"""),43704.0)</f>
        <v>43704</v>
      </c>
      <c r="F485" s="58"/>
      <c r="G485" s="60">
        <f>IFERROR(__xludf.DUMMYFUNCTION("""COMPUTED_VALUE"""),85.3)</f>
        <v>85.3</v>
      </c>
      <c r="H485" s="63">
        <f>IFERROR(__xludf.DUMMYFUNCTION("""COMPUTED_VALUE"""),43361.0)</f>
        <v>43361</v>
      </c>
      <c r="I485" s="60">
        <f>IFERROR(__xludf.DUMMYFUNCTION("""COMPUTED_VALUE"""),0.9416666666666667)</f>
        <v>0.9416666667</v>
      </c>
      <c r="J485" s="64">
        <f>IFERROR(__xludf.DUMMYFUNCTION("""COMPUTED_VALUE"""),70.0)</f>
        <v>70</v>
      </c>
      <c r="K485" s="64">
        <f>IFERROR(__xludf.DUMMYFUNCTION("""COMPUTED_VALUE"""),59.5)</f>
        <v>59.5</v>
      </c>
      <c r="L485" s="55" t="str">
        <f>IFERROR(__xludf.DUMMYFUNCTION("""COMPUTED_VALUE"""),"RPG")</f>
        <v>RPG</v>
      </c>
      <c r="M485" s="55"/>
      <c r="N485" s="55"/>
      <c r="O485" s="55" t="str">
        <f>IFERROR(__xludf.DUMMYFUNCTION("""COMPUTED_VALUE"""),"T")</f>
        <v>T</v>
      </c>
      <c r="P485" s="55" t="str">
        <f>IFERROR(__xludf.DUMMYFUNCTION("""COMPUTED_VALUE"""),"Use of Alcohol, Blood, Violence, Language")</f>
        <v>Use of Alcohol, Blood, Violence, Language</v>
      </c>
      <c r="Q485" s="55"/>
      <c r="R485" s="56" t="str">
        <f>IFERROR(__xludf.DUMMYFUNCTION("""COMPUTED_VALUE"""),"Active")</f>
        <v>Active</v>
      </c>
      <c r="S485" s="57">
        <f>IFERROR(__xludf.DUMMYFUNCTION("""COMPUTED_VALUE"""),45547.0)</f>
        <v>45547</v>
      </c>
      <c r="T485" s="60">
        <f>IFERROR(__xludf.DUMMYFUNCTION("""COMPUTED_VALUE"""),60.5)</f>
        <v>60.5</v>
      </c>
    </row>
    <row r="486">
      <c r="A486" s="55" t="str">
        <f>IFERROR(__xludf.DUMMYFUNCTION("""COMPUTED_VALUE"""),"The Bard's Tale Trilogy")</f>
        <v>The Bard's Tale Trilogy</v>
      </c>
      <c r="B486" s="55" t="str">
        <f>IFERROR(__xludf.DUMMYFUNCTION("""COMPUTED_VALUE"""),"Xbox / PC")</f>
        <v>Xbox / PC</v>
      </c>
      <c r="C486" s="55" t="str">
        <f>IFERROR(__xludf.DUMMYFUNCTION("""COMPUTED_VALUE"""),"Touch Controls")</f>
        <v>Touch Controls</v>
      </c>
      <c r="D486" s="56" t="str">
        <f>IFERROR(__xludf.DUMMYFUNCTION("""COMPUTED_VALUE"""),"Active")</f>
        <v>Active</v>
      </c>
      <c r="E486" s="57">
        <f>IFERROR(__xludf.DUMMYFUNCTION("""COMPUTED_VALUE"""),43690.0)</f>
        <v>43690</v>
      </c>
      <c r="F486" s="58"/>
      <c r="G486" s="60">
        <f>IFERROR(__xludf.DUMMYFUNCTION("""COMPUTED_VALUE"""),85.76666666666667)</f>
        <v>85.76666667</v>
      </c>
      <c r="H486" s="63">
        <f>IFERROR(__xludf.DUMMYFUNCTION("""COMPUTED_VALUE"""),43326.0)</f>
        <v>43326</v>
      </c>
      <c r="I486" s="60">
        <f>IFERROR(__xludf.DUMMYFUNCTION("""COMPUTED_VALUE"""),0.9972222222222222)</f>
        <v>0.9972222222</v>
      </c>
      <c r="J486" s="64">
        <f>IFERROR(__xludf.DUMMYFUNCTION("""COMPUTED_VALUE"""),70.0)</f>
        <v>70</v>
      </c>
      <c r="K486" s="64">
        <f>IFERROR(__xludf.DUMMYFUNCTION("""COMPUTED_VALUE"""),24.0)</f>
        <v>24</v>
      </c>
      <c r="L486" s="55" t="str">
        <f>IFERROR(__xludf.DUMMYFUNCTION("""COMPUTED_VALUE"""),"RPG")</f>
        <v>RPG</v>
      </c>
      <c r="M486" s="55"/>
      <c r="N486" s="55"/>
      <c r="O486" s="55" t="str">
        <f>IFERROR(__xludf.DUMMYFUNCTION("""COMPUTED_VALUE"""),"T")</f>
        <v>T</v>
      </c>
      <c r="P486" s="55" t="str">
        <f>IFERROR(__xludf.DUMMYFUNCTION("""COMPUTED_VALUE"""),"Fantasy Violence, Use of Alcohol, Simulated Gambling")</f>
        <v>Fantasy Violence, Use of Alcohol, Simulated Gambling</v>
      </c>
      <c r="Q486" s="55"/>
      <c r="R486" s="56" t="str">
        <f>IFERROR(__xludf.DUMMYFUNCTION("""COMPUTED_VALUE"""),"Active")</f>
        <v>Active</v>
      </c>
      <c r="S486" s="57">
        <f>IFERROR(__xludf.DUMMYFUNCTION("""COMPUTED_VALUE"""),45547.0)</f>
        <v>45547</v>
      </c>
      <c r="T486" s="60">
        <f>IFERROR(__xludf.DUMMYFUNCTION("""COMPUTED_VALUE"""),60.96666666666667)</f>
        <v>60.96666667</v>
      </c>
    </row>
    <row r="487">
      <c r="A487" s="55" t="str">
        <f>IFERROR(__xludf.DUMMYFUNCTION("""COMPUTED_VALUE"""),"Killer Instinct 2 Classic")</f>
        <v>Killer Instinct 2 Classic</v>
      </c>
      <c r="B487" s="55" t="str">
        <f>IFERROR(__xludf.DUMMYFUNCTION("""COMPUTED_VALUE"""),"Xbox")</f>
        <v>Xbox</v>
      </c>
      <c r="C487" s="55"/>
      <c r="D487" s="56" t="str">
        <f>IFERROR(__xludf.DUMMYFUNCTION("""COMPUTED_VALUE"""),"Active")</f>
        <v>Active</v>
      </c>
      <c r="E487" s="57">
        <f>IFERROR(__xludf.DUMMYFUNCTION("""COMPUTED_VALUE"""),43671.0)</f>
        <v>43671</v>
      </c>
      <c r="F487" s="58"/>
      <c r="G487" s="60">
        <f>IFERROR(__xludf.DUMMYFUNCTION("""COMPUTED_VALUE"""),86.36666666666666)</f>
        <v>86.36666667</v>
      </c>
      <c r="H487" s="63">
        <f>IFERROR(__xludf.DUMMYFUNCTION("""COMPUTED_VALUE"""),41600.0)</f>
        <v>41600</v>
      </c>
      <c r="I487" s="60">
        <f>IFERROR(__xludf.DUMMYFUNCTION("""COMPUTED_VALUE"""),5.675)</f>
        <v>5.675</v>
      </c>
      <c r="J487" s="64">
        <f>IFERROR(__xludf.DUMMYFUNCTION("""COMPUTED_VALUE"""),59.0)</f>
        <v>59</v>
      </c>
      <c r="K487" s="64">
        <f>IFERROR(__xludf.DUMMYFUNCTION("""COMPUTED_VALUE"""),1.0)</f>
        <v>1</v>
      </c>
      <c r="L487" s="55" t="str">
        <f>IFERROR(__xludf.DUMMYFUNCTION("""COMPUTED_VALUE"""),"Fighting")</f>
        <v>Fighting</v>
      </c>
      <c r="M487" s="55"/>
      <c r="N487" s="55"/>
      <c r="O487" s="55" t="str">
        <f>IFERROR(__xludf.DUMMYFUNCTION("""COMPUTED_VALUE"""),"M")</f>
        <v>M</v>
      </c>
      <c r="P487" s="55" t="str">
        <f>IFERROR(__xludf.DUMMYFUNCTION("""COMPUTED_VALUE"""),"Blood and Gore, Suggestive Themes, Violence")</f>
        <v>Blood and Gore, Suggestive Themes, Violence</v>
      </c>
      <c r="Q487" s="55"/>
      <c r="R487" s="56" t="str">
        <f>IFERROR(__xludf.DUMMYFUNCTION("""COMPUTED_VALUE"""),"Active")</f>
        <v>Active</v>
      </c>
      <c r="S487" s="57">
        <f>IFERROR(__xludf.DUMMYFUNCTION("""COMPUTED_VALUE"""),45547.0)</f>
        <v>45547</v>
      </c>
      <c r="T487" s="60">
        <f>IFERROR(__xludf.DUMMYFUNCTION("""COMPUTED_VALUE"""),61.56666666666666)</f>
        <v>61.56666667</v>
      </c>
    </row>
    <row r="488">
      <c r="A488" s="55" t="str">
        <f>IFERROR(__xludf.DUMMYFUNCTION("""COMPUTED_VALUE"""),"Killer Instinct Classic")</f>
        <v>Killer Instinct Classic</v>
      </c>
      <c r="B488" s="55" t="str">
        <f>IFERROR(__xludf.DUMMYFUNCTION("""COMPUTED_VALUE"""),"Xbox")</f>
        <v>Xbox</v>
      </c>
      <c r="C488" s="55"/>
      <c r="D488" s="56" t="str">
        <f>IFERROR(__xludf.DUMMYFUNCTION("""COMPUTED_VALUE"""),"Active")</f>
        <v>Active</v>
      </c>
      <c r="E488" s="57">
        <f>IFERROR(__xludf.DUMMYFUNCTION("""COMPUTED_VALUE"""),43671.0)</f>
        <v>43671</v>
      </c>
      <c r="F488" s="58"/>
      <c r="G488" s="60">
        <f>IFERROR(__xludf.DUMMYFUNCTION("""COMPUTED_VALUE"""),86.36666666666666)</f>
        <v>86.36666667</v>
      </c>
      <c r="H488" s="63">
        <f>IFERROR(__xludf.DUMMYFUNCTION("""COMPUTED_VALUE"""),34635.0)</f>
        <v>34635</v>
      </c>
      <c r="I488" s="60">
        <f>IFERROR(__xludf.DUMMYFUNCTION("""COMPUTED_VALUE"""),24.741666666666667)</f>
        <v>24.74166667</v>
      </c>
      <c r="J488" s="64">
        <f>IFERROR(__xludf.DUMMYFUNCTION("""COMPUTED_VALUE"""),85.0)</f>
        <v>85</v>
      </c>
      <c r="K488" s="64">
        <f>IFERROR(__xludf.DUMMYFUNCTION("""COMPUTED_VALUE"""),1.0)</f>
        <v>1</v>
      </c>
      <c r="L488" s="55" t="str">
        <f>IFERROR(__xludf.DUMMYFUNCTION("""COMPUTED_VALUE"""),"Fighting")</f>
        <v>Fighting</v>
      </c>
      <c r="M488" s="55"/>
      <c r="N488" s="55"/>
      <c r="O488" s="55" t="str">
        <f>IFERROR(__xludf.DUMMYFUNCTION("""COMPUTED_VALUE"""),"M")</f>
        <v>M</v>
      </c>
      <c r="P488" s="55" t="str">
        <f>IFERROR(__xludf.DUMMYFUNCTION("""COMPUTED_VALUE"""),"Blood and Gore, Suggestive Themes, Mild Crude Humor, Violence")</f>
        <v>Blood and Gore, Suggestive Themes, Mild Crude Humor, Violence</v>
      </c>
      <c r="Q488" s="55"/>
      <c r="R488" s="56" t="str">
        <f>IFERROR(__xludf.DUMMYFUNCTION("""COMPUTED_VALUE"""),"Active")</f>
        <v>Active</v>
      </c>
      <c r="S488" s="57">
        <f>IFERROR(__xludf.DUMMYFUNCTION("""COMPUTED_VALUE"""),45547.0)</f>
        <v>45547</v>
      </c>
      <c r="T488" s="60">
        <f>IFERROR(__xludf.DUMMYFUNCTION("""COMPUTED_VALUE"""),61.56666666666666)</f>
        <v>61.56666667</v>
      </c>
    </row>
    <row r="489">
      <c r="A489" s="55" t="str">
        <f>IFERROR(__xludf.DUMMYFUNCTION("""COMPUTED_VALUE"""),"Killer Instinct (2013): Anniversary Edition")</f>
        <v>Killer Instinct (2013): Anniversary Edition</v>
      </c>
      <c r="B489" s="55" t="str">
        <f>IFERROR(__xludf.DUMMYFUNCTION("""COMPUTED_VALUE"""),"Xbox / PC")</f>
        <v>Xbox / PC</v>
      </c>
      <c r="C489" s="55" t="str">
        <f>IFERROR(__xludf.DUMMYFUNCTION("""COMPUTED_VALUE"""),"Touch Controls")</f>
        <v>Touch Controls</v>
      </c>
      <c r="D489" s="56" t="str">
        <f>IFERROR(__xludf.DUMMYFUNCTION("""COMPUTED_VALUE"""),"Active")</f>
        <v>Active</v>
      </c>
      <c r="E489" s="57">
        <f>IFERROR(__xludf.DUMMYFUNCTION("""COMPUTED_VALUE"""),43671.0)</f>
        <v>43671</v>
      </c>
      <c r="F489" s="58"/>
      <c r="G489" s="60">
        <f>IFERROR(__xludf.DUMMYFUNCTION("""COMPUTED_VALUE"""),86.36666666666666)</f>
        <v>86.36666667</v>
      </c>
      <c r="H489" s="63">
        <f>IFERROR(__xludf.DUMMYFUNCTION("""COMPUTED_VALUE"""),41600.0)</f>
        <v>41600</v>
      </c>
      <c r="I489" s="60">
        <f>IFERROR(__xludf.DUMMYFUNCTION("""COMPUTED_VALUE"""),5.675)</f>
        <v>5.675</v>
      </c>
      <c r="J489" s="64">
        <f>IFERROR(__xludf.DUMMYFUNCTION("""COMPUTED_VALUE"""),86.0)</f>
        <v>86</v>
      </c>
      <c r="K489" s="64">
        <f>IFERROR(__xludf.DUMMYFUNCTION("""COMPUTED_VALUE"""),2.0)</f>
        <v>2</v>
      </c>
      <c r="L489" s="55" t="str">
        <f>IFERROR(__xludf.DUMMYFUNCTION("""COMPUTED_VALUE"""),"Fighting")</f>
        <v>Fighting</v>
      </c>
      <c r="M489" s="55"/>
      <c r="N489" s="55" t="str">
        <f>IFERROR(__xludf.DUMMYFUNCTION("""COMPUTED_VALUE"""),"Anniversary Edition added 11/28/23")</f>
        <v>Anniversary Edition added 11/28/23</v>
      </c>
      <c r="O489" s="55" t="str">
        <f>IFERROR(__xludf.DUMMYFUNCTION("""COMPUTED_VALUE"""),"M")</f>
        <v>M</v>
      </c>
      <c r="P489" s="55" t="str">
        <f>IFERROR(__xludf.DUMMYFUNCTION("""COMPUTED_VALUE"""),"Blood and Gore, Suggestive Themes, Violence, Mild Language, Mild Crude Humor")</f>
        <v>Blood and Gore, Suggestive Themes, Violence, Mild Language, Mild Crude Humor</v>
      </c>
      <c r="Q489" s="55"/>
      <c r="R489" s="56" t="str">
        <f>IFERROR(__xludf.DUMMYFUNCTION("""COMPUTED_VALUE"""),"Active")</f>
        <v>Active</v>
      </c>
      <c r="S489" s="57">
        <f>IFERROR(__xludf.DUMMYFUNCTION("""COMPUTED_VALUE"""),45547.0)</f>
        <v>45547</v>
      </c>
      <c r="T489" s="60">
        <f>IFERROR(__xludf.DUMMYFUNCTION("""COMPUTED_VALUE"""),61.56666666666666)</f>
        <v>61.56666667</v>
      </c>
    </row>
    <row r="490">
      <c r="A490" s="55" t="str">
        <f>IFERROR(__xludf.DUMMYFUNCTION("""COMPUTED_VALUE"""),"Torment: Tides of Numenera")</f>
        <v>Torment: Tides of Numenera</v>
      </c>
      <c r="B490" s="55" t="str">
        <f>IFERROR(__xludf.DUMMYFUNCTION("""COMPUTED_VALUE"""),"Xbox / PC")</f>
        <v>Xbox / PC</v>
      </c>
      <c r="C490" s="55" t="str">
        <f>IFERROR(__xludf.DUMMYFUNCTION("""COMPUTED_VALUE"""),"Touch Controls")</f>
        <v>Touch Controls</v>
      </c>
      <c r="D490" s="56" t="str">
        <f>IFERROR(__xludf.DUMMYFUNCTION("""COMPUTED_VALUE"""),"Active")</f>
        <v>Active</v>
      </c>
      <c r="E490" s="57">
        <f>IFERROR(__xludf.DUMMYFUNCTION("""COMPUTED_VALUE"""),43643.0)</f>
        <v>43643</v>
      </c>
      <c r="F490" s="58"/>
      <c r="G490" s="60">
        <f>IFERROR(__xludf.DUMMYFUNCTION("""COMPUTED_VALUE"""),87.30000000000001)</f>
        <v>87.3</v>
      </c>
      <c r="H490" s="63">
        <f>IFERROR(__xludf.DUMMYFUNCTION("""COMPUTED_VALUE"""),42794.0)</f>
        <v>42794</v>
      </c>
      <c r="I490" s="60">
        <f>IFERROR(__xludf.DUMMYFUNCTION("""COMPUTED_VALUE"""),2.3305555555555557)</f>
        <v>2.330555556</v>
      </c>
      <c r="J490" s="64">
        <f>IFERROR(__xludf.DUMMYFUNCTION("""COMPUTED_VALUE"""),81.0)</f>
        <v>81</v>
      </c>
      <c r="K490" s="64">
        <f>IFERROR(__xludf.DUMMYFUNCTION("""COMPUTED_VALUE"""),26.0)</f>
        <v>26</v>
      </c>
      <c r="L490" s="55" t="str">
        <f>IFERROR(__xludf.DUMMYFUNCTION("""COMPUTED_VALUE"""),"RPG")</f>
        <v>RPG</v>
      </c>
      <c r="M490" s="55"/>
      <c r="N490" s="55" t="str">
        <f>IFERROR(__xludf.DUMMYFUNCTION("""COMPUTED_VALUE"""),"Joined Xbox and cloud 7/21/22, originally only on PC")</f>
        <v>Joined Xbox and cloud 7/21/22, originally only on PC</v>
      </c>
      <c r="O490" s="55" t="str">
        <f>IFERROR(__xludf.DUMMYFUNCTION("""COMPUTED_VALUE"""),"M")</f>
        <v>M</v>
      </c>
      <c r="P490" s="55" t="str">
        <f>IFERROR(__xludf.DUMMYFUNCTION("""COMPUTED_VALUE"""),"Blood, Sexual Themes, Violence, Language")</f>
        <v>Blood, Sexual Themes, Violence, Language</v>
      </c>
      <c r="Q490" s="55"/>
      <c r="R490" s="56" t="str">
        <f>IFERROR(__xludf.DUMMYFUNCTION("""COMPUTED_VALUE"""),"Active")</f>
        <v>Active</v>
      </c>
      <c r="S490" s="57">
        <f>IFERROR(__xludf.DUMMYFUNCTION("""COMPUTED_VALUE"""),45547.0)</f>
        <v>45547</v>
      </c>
      <c r="T490" s="60">
        <f>IFERROR(__xludf.DUMMYFUNCTION("""COMPUTED_VALUE"""),62.5)</f>
        <v>62.5</v>
      </c>
    </row>
    <row r="491">
      <c r="A491" s="55" t="str">
        <f>IFERROR(__xludf.DUMMYFUNCTION("""COMPUTED_VALUE"""),"Perfect Dark")</f>
        <v>Perfect Dark</v>
      </c>
      <c r="B491" s="55" t="str">
        <f>IFERROR(__xludf.DUMMYFUNCTION("""COMPUTED_VALUE"""),"Xbox")</f>
        <v>Xbox</v>
      </c>
      <c r="C491" s="55" t="str">
        <f>IFERROR(__xludf.DUMMYFUNCTION("""COMPUTED_VALUE"""),"Yes")</f>
        <v>Yes</v>
      </c>
      <c r="D491" s="56" t="str">
        <f>IFERROR(__xludf.DUMMYFUNCTION("""COMPUTED_VALUE"""),"Active")</f>
        <v>Active</v>
      </c>
      <c r="E491" s="57">
        <f>IFERROR(__xludf.DUMMYFUNCTION("""COMPUTED_VALUE"""),43636.0)</f>
        <v>43636</v>
      </c>
      <c r="F491" s="58"/>
      <c r="G491" s="60">
        <f>IFERROR(__xludf.DUMMYFUNCTION("""COMPUTED_VALUE"""),87.53333333333333)</f>
        <v>87.53333333</v>
      </c>
      <c r="H491" s="63">
        <f>IFERROR(__xludf.DUMMYFUNCTION("""COMPUTED_VALUE"""),36766.0)</f>
        <v>36766</v>
      </c>
      <c r="I491" s="60">
        <f>IFERROR(__xludf.DUMMYFUNCTION("""COMPUTED_VALUE"""),18.81111111111111)</f>
        <v>18.81111111</v>
      </c>
      <c r="J491" s="64">
        <f>IFERROR(__xludf.DUMMYFUNCTION("""COMPUTED_VALUE"""),79.0)</f>
        <v>79</v>
      </c>
      <c r="K491" s="64">
        <f>IFERROR(__xludf.DUMMYFUNCTION("""COMPUTED_VALUE"""),9.0)</f>
        <v>9</v>
      </c>
      <c r="L491" s="55" t="str">
        <f>IFERROR(__xludf.DUMMYFUNCTION("""COMPUTED_VALUE"""),"Shooter")</f>
        <v>Shooter</v>
      </c>
      <c r="M491" s="55"/>
      <c r="N491" s="55"/>
      <c r="O491" s="55" t="str">
        <f>IFERROR(__xludf.DUMMYFUNCTION("""COMPUTED_VALUE"""),"M")</f>
        <v>M</v>
      </c>
      <c r="P491" s="55" t="str">
        <f>IFERROR(__xludf.DUMMYFUNCTION("""COMPUTED_VALUE"""),"Blood, Violence")</f>
        <v>Blood, Violence</v>
      </c>
      <c r="Q491" s="55"/>
      <c r="R491" s="56" t="str">
        <f>IFERROR(__xludf.DUMMYFUNCTION("""COMPUTED_VALUE"""),"Active")</f>
        <v>Active</v>
      </c>
      <c r="S491" s="57">
        <f>IFERROR(__xludf.DUMMYFUNCTION("""COMPUTED_VALUE"""),45547.0)</f>
        <v>45547</v>
      </c>
      <c r="T491" s="60">
        <f>IFERROR(__xludf.DUMMYFUNCTION("""COMPUTED_VALUE"""),62.733333333333334)</f>
        <v>62.73333333</v>
      </c>
    </row>
    <row r="492">
      <c r="A492" s="55" t="str">
        <f>IFERROR(__xludf.DUMMYFUNCTION("""COMPUTED_VALUE"""),"Rare Replay")</f>
        <v>Rare Replay</v>
      </c>
      <c r="B492" s="55" t="str">
        <f>IFERROR(__xludf.DUMMYFUNCTION("""COMPUTED_VALUE"""),"Xbox")</f>
        <v>Xbox</v>
      </c>
      <c r="C492" s="55"/>
      <c r="D492" s="56" t="str">
        <f>IFERROR(__xludf.DUMMYFUNCTION("""COMPUTED_VALUE"""),"Active")</f>
        <v>Active</v>
      </c>
      <c r="E492" s="57">
        <f>IFERROR(__xludf.DUMMYFUNCTION("""COMPUTED_VALUE"""),43636.0)</f>
        <v>43636</v>
      </c>
      <c r="F492" s="58"/>
      <c r="G492" s="60">
        <f>IFERROR(__xludf.DUMMYFUNCTION("""COMPUTED_VALUE"""),87.53333333333333)</f>
        <v>87.53333333</v>
      </c>
      <c r="H492" s="63">
        <f>IFERROR(__xludf.DUMMYFUNCTION("""COMPUTED_VALUE"""),42220.0)</f>
        <v>42220</v>
      </c>
      <c r="I492" s="60">
        <f>IFERROR(__xludf.DUMMYFUNCTION("""COMPUTED_VALUE"""),3.8777777777777778)</f>
        <v>3.877777778</v>
      </c>
      <c r="J492" s="64">
        <f>IFERROR(__xludf.DUMMYFUNCTION("""COMPUTED_VALUE"""),84.0)</f>
        <v>84</v>
      </c>
      <c r="K492" s="64">
        <f>IFERROR(__xludf.DUMMYFUNCTION("""COMPUTED_VALUE"""),44.0)</f>
        <v>44</v>
      </c>
      <c r="L492" s="55" t="str">
        <f>IFERROR(__xludf.DUMMYFUNCTION("""COMPUTED_VALUE"""),"Compilation")</f>
        <v>Compilation</v>
      </c>
      <c r="M492" s="55"/>
      <c r="N492" s="55"/>
      <c r="O492" s="55" t="str">
        <f>IFERROR(__xludf.DUMMYFUNCTION("""COMPUTED_VALUE"""),"M")</f>
        <v>M</v>
      </c>
      <c r="P492" s="55" t="str">
        <f>IFERROR(__xludf.DUMMYFUNCTION("""COMPUTED_VALUE"""),"Violence, Blood, Language, Use of Alcohol, Use of Tobacco")</f>
        <v>Violence, Blood, Language, Use of Alcohol, Use of Tobacco</v>
      </c>
      <c r="Q492" s="55"/>
      <c r="R492" s="56" t="str">
        <f>IFERROR(__xludf.DUMMYFUNCTION("""COMPUTED_VALUE"""),"Active")</f>
        <v>Active</v>
      </c>
      <c r="S492" s="57">
        <f>IFERROR(__xludf.DUMMYFUNCTION("""COMPUTED_VALUE"""),45547.0)</f>
        <v>45547</v>
      </c>
      <c r="T492" s="60">
        <f>IFERROR(__xludf.DUMMYFUNCTION("""COMPUTED_VALUE"""),62.733333333333334)</f>
        <v>62.73333333</v>
      </c>
    </row>
    <row r="493">
      <c r="A493" s="55" t="str">
        <f>IFERROR(__xludf.DUMMYFUNCTION("""COMPUTED_VALUE"""),"ASTRONEER")</f>
        <v>ASTRONEER</v>
      </c>
      <c r="B493" s="55" t="str">
        <f>IFERROR(__xludf.DUMMYFUNCTION("""COMPUTED_VALUE"""),"Xbox / PC")</f>
        <v>Xbox / PC</v>
      </c>
      <c r="C493" s="55" t="str">
        <f>IFERROR(__xludf.DUMMYFUNCTION("""COMPUTED_VALUE"""),"Yes")</f>
        <v>Yes</v>
      </c>
      <c r="D493" s="56" t="str">
        <f>IFERROR(__xludf.DUMMYFUNCTION("""COMPUTED_VALUE"""),"Active")</f>
        <v>Active</v>
      </c>
      <c r="E493" s="57">
        <f>IFERROR(__xludf.DUMMYFUNCTION("""COMPUTED_VALUE"""),43625.0)</f>
        <v>43625</v>
      </c>
      <c r="F493" s="58"/>
      <c r="G493" s="60">
        <f>IFERROR(__xludf.DUMMYFUNCTION("""COMPUTED_VALUE"""),87.9)</f>
        <v>87.9</v>
      </c>
      <c r="H493" s="63">
        <f>IFERROR(__xludf.DUMMYFUNCTION("""COMPUTED_VALUE"""),42720.0)</f>
        <v>42720</v>
      </c>
      <c r="I493" s="60">
        <f>IFERROR(__xludf.DUMMYFUNCTION("""COMPUTED_VALUE"""),2.4805555555555556)</f>
        <v>2.480555556</v>
      </c>
      <c r="J493" s="64">
        <f>IFERROR(__xludf.DUMMYFUNCTION("""COMPUTED_VALUE"""),72.0)</f>
        <v>72</v>
      </c>
      <c r="K493" s="64">
        <f>IFERROR(__xludf.DUMMYFUNCTION("""COMPUTED_VALUE"""),18.5)</f>
        <v>18.5</v>
      </c>
      <c r="L493" s="55" t="str">
        <f>IFERROR(__xludf.DUMMYFUNCTION("""COMPUTED_VALUE"""),"Adventure")</f>
        <v>Adventure</v>
      </c>
      <c r="M493" s="55"/>
      <c r="N493" s="55" t="str">
        <f>IFERROR(__xludf.DUMMYFUNCTION("""COMPUTED_VALUE"""),"Game Pass Essential launch title (9/14/23)")</f>
        <v>Game Pass Essential launch title (9/14/23)</v>
      </c>
      <c r="O493" s="55" t="str">
        <f>IFERROR(__xludf.DUMMYFUNCTION("""COMPUTED_VALUE"""),"E")</f>
        <v>E</v>
      </c>
      <c r="P493" s="55" t="str">
        <f>IFERROR(__xludf.DUMMYFUNCTION("""COMPUTED_VALUE"""),"Mild Fantasy Violence")</f>
        <v>Mild Fantasy Violence</v>
      </c>
      <c r="Q493" s="55"/>
      <c r="R493" s="56" t="str">
        <f>IFERROR(__xludf.DUMMYFUNCTION("""COMPUTED_VALUE"""),"Active")</f>
        <v>Active</v>
      </c>
      <c r="S493" s="57">
        <f>IFERROR(__xludf.DUMMYFUNCTION("""COMPUTED_VALUE"""),45547.0)</f>
        <v>45547</v>
      </c>
      <c r="T493" s="60">
        <f>IFERROR(__xludf.DUMMYFUNCTION("""COMPUTED_VALUE"""),63.10000000000001)</f>
        <v>63.1</v>
      </c>
    </row>
    <row r="494">
      <c r="A494" s="55" t="str">
        <f>IFERROR(__xludf.DUMMYFUNCTION("""COMPUTED_VALUE"""),"Batman: Arkham Knight")</f>
        <v>Batman: Arkham Knight</v>
      </c>
      <c r="B494" s="55" t="str">
        <f>IFERROR(__xludf.DUMMYFUNCTION("""COMPUTED_VALUE"""),"Xbox / PC")</f>
        <v>Xbox / PC</v>
      </c>
      <c r="C494" s="55" t="str">
        <f>IFERROR(__xludf.DUMMYFUNCTION("""COMPUTED_VALUE"""),"Yes")</f>
        <v>Yes</v>
      </c>
      <c r="D494" s="56" t="str">
        <f>IFERROR(__xludf.DUMMYFUNCTION("""COMPUTED_VALUE"""),"Active")</f>
        <v>Active</v>
      </c>
      <c r="E494" s="57">
        <f>IFERROR(__xludf.DUMMYFUNCTION("""COMPUTED_VALUE"""),43625.0)</f>
        <v>43625</v>
      </c>
      <c r="F494" s="58"/>
      <c r="G494" s="60">
        <f>IFERROR(__xludf.DUMMYFUNCTION("""COMPUTED_VALUE"""),87.9)</f>
        <v>87.9</v>
      </c>
      <c r="H494" s="63">
        <f>IFERROR(__xludf.DUMMYFUNCTION("""COMPUTED_VALUE"""),42178.0)</f>
        <v>42178</v>
      </c>
      <c r="I494" s="60">
        <f>IFERROR(__xludf.DUMMYFUNCTION("""COMPUTED_VALUE"""),3.9611111111111112)</f>
        <v>3.961111111</v>
      </c>
      <c r="J494" s="64">
        <f>IFERROR(__xludf.DUMMYFUNCTION("""COMPUTED_VALUE"""),85.0)</f>
        <v>85</v>
      </c>
      <c r="K494" s="64">
        <f>IFERROR(__xludf.DUMMYFUNCTION("""COMPUTED_VALUE"""),16.5)</f>
        <v>16.5</v>
      </c>
      <c r="L494" s="55" t="str">
        <f>IFERROR(__xludf.DUMMYFUNCTION("""COMPUTED_VALUE"""),"Action-Adventure")</f>
        <v>Action-Adventure</v>
      </c>
      <c r="M494" s="55"/>
      <c r="N494" s="55" t="str">
        <f>IFERROR(__xludf.DUMMYFUNCTION("""COMPUTED_VALUE"""),"Game Pass Essential (3/26/25). Joined PC 65/16/26")</f>
        <v>Game Pass Essential (3/26/25). Joined PC 65/16/26</v>
      </c>
      <c r="O494" s="55" t="str">
        <f>IFERROR(__xludf.DUMMYFUNCTION("""COMPUTED_VALUE"""),"M")</f>
        <v>M</v>
      </c>
      <c r="P494" s="55" t="str">
        <f>IFERROR(__xludf.DUMMYFUNCTION("""COMPUTED_VALUE"""),"Blood, Suggestive Themes, Violence, Language")</f>
        <v>Blood, Suggestive Themes, Violence, Language</v>
      </c>
      <c r="Q494" s="55"/>
      <c r="R494" s="56" t="str">
        <f>IFERROR(__xludf.DUMMYFUNCTION("""COMPUTED_VALUE"""),"Active")</f>
        <v>Active</v>
      </c>
      <c r="S494" s="57">
        <f>IFERROR(__xludf.DUMMYFUNCTION("""COMPUTED_VALUE"""),45547.0)</f>
        <v>45547</v>
      </c>
      <c r="T494" s="60">
        <f>IFERROR(__xludf.DUMMYFUNCTION("""COMPUTED_VALUE"""),63.10000000000001)</f>
        <v>63.1</v>
      </c>
    </row>
    <row r="495">
      <c r="A495" s="55" t="str">
        <f>IFERROR(__xludf.DUMMYFUNCTION("""COMPUTED_VALUE"""),"Hollow Knight: Voidheart Edition")</f>
        <v>Hollow Knight: Voidheart Edition</v>
      </c>
      <c r="B495" s="55" t="str">
        <f>IFERROR(__xludf.DUMMYFUNCTION("""COMPUTED_VALUE"""),"Xbox / PC")</f>
        <v>Xbox / PC</v>
      </c>
      <c r="C495" s="55" t="str">
        <f>IFERROR(__xludf.DUMMYFUNCTION("""COMPUTED_VALUE"""),"Yes")</f>
        <v>Yes</v>
      </c>
      <c r="D495" s="56" t="str">
        <f>IFERROR(__xludf.DUMMYFUNCTION("""COMPUTED_VALUE"""),"Active")</f>
        <v>Active</v>
      </c>
      <c r="E495" s="57">
        <f>IFERROR(__xludf.DUMMYFUNCTION("""COMPUTED_VALUE"""),43625.0)</f>
        <v>43625</v>
      </c>
      <c r="F495" s="58"/>
      <c r="G495" s="60">
        <f>IFERROR(__xludf.DUMMYFUNCTION("""COMPUTED_VALUE"""),87.9)</f>
        <v>87.9</v>
      </c>
      <c r="H495" s="63">
        <f>IFERROR(__xludf.DUMMYFUNCTION("""COMPUTED_VALUE"""),42790.0)</f>
        <v>42790</v>
      </c>
      <c r="I495" s="60">
        <f>IFERROR(__xludf.DUMMYFUNCTION("""COMPUTED_VALUE"""),2.2916666666666665)</f>
        <v>2.291666667</v>
      </c>
      <c r="J495" s="64">
        <f>IFERROR(__xludf.DUMMYFUNCTION("""COMPUTED_VALUE"""),89.0)</f>
        <v>89</v>
      </c>
      <c r="K495" s="64">
        <f>IFERROR(__xludf.DUMMYFUNCTION("""COMPUTED_VALUE"""),25.0)</f>
        <v>25</v>
      </c>
      <c r="L495" s="55" t="str">
        <f>IFERROR(__xludf.DUMMYFUNCTION("""COMPUTED_VALUE"""),"Platformer")</f>
        <v>Platformer</v>
      </c>
      <c r="M495" s="55" t="str">
        <f>IFERROR(__xludf.DUMMYFUNCTION("""COMPUTED_VALUE"""),"FPS Boost")</f>
        <v>FPS Boost</v>
      </c>
      <c r="N495" s="55"/>
      <c r="O495" s="55" t="str">
        <f>IFERROR(__xludf.DUMMYFUNCTION("""COMPUTED_VALUE"""),"E10+")</f>
        <v>E10+</v>
      </c>
      <c r="P495" s="55" t="str">
        <f>IFERROR(__xludf.DUMMYFUNCTION("""COMPUTED_VALUE"""),"Fantasy Violence, Mild Blood")</f>
        <v>Fantasy Violence, Mild Blood</v>
      </c>
      <c r="Q495" s="55"/>
      <c r="R495" s="56" t="str">
        <f>IFERROR(__xludf.DUMMYFUNCTION("""COMPUTED_VALUE"""),"Active")</f>
        <v>Active</v>
      </c>
      <c r="S495" s="57">
        <f>IFERROR(__xludf.DUMMYFUNCTION("""COMPUTED_VALUE"""),45547.0)</f>
        <v>45547</v>
      </c>
      <c r="T495" s="60">
        <f>IFERROR(__xludf.DUMMYFUNCTION("""COMPUTED_VALUE"""),63.10000000000001)</f>
        <v>63.1</v>
      </c>
    </row>
    <row r="496">
      <c r="A496" s="55" t="str">
        <f>IFERROR(__xludf.DUMMYFUNCTION("""COMPUTED_VALUE"""),"Moonlighter")</f>
        <v>Moonlighter</v>
      </c>
      <c r="B496" s="55" t="str">
        <f>IFERROR(__xludf.DUMMYFUNCTION("""COMPUTED_VALUE"""),"Xbox / PC")</f>
        <v>Xbox / PC</v>
      </c>
      <c r="C496" s="55" t="str">
        <f>IFERROR(__xludf.DUMMYFUNCTION("""COMPUTED_VALUE"""),"Yes")</f>
        <v>Yes</v>
      </c>
      <c r="D496" s="56" t="str">
        <f>IFERROR(__xludf.DUMMYFUNCTION("""COMPUTED_VALUE"""),"Active")</f>
        <v>Active</v>
      </c>
      <c r="E496" s="57">
        <f>IFERROR(__xludf.DUMMYFUNCTION("""COMPUTED_VALUE"""),43625.0)</f>
        <v>43625</v>
      </c>
      <c r="F496" s="58"/>
      <c r="G496" s="60">
        <f>IFERROR(__xludf.DUMMYFUNCTION("""COMPUTED_VALUE"""),87.9)</f>
        <v>87.9</v>
      </c>
      <c r="H496" s="63">
        <f>IFERROR(__xludf.DUMMYFUNCTION("""COMPUTED_VALUE"""),43249.0)</f>
        <v>43249</v>
      </c>
      <c r="I496" s="60">
        <f>IFERROR(__xludf.DUMMYFUNCTION("""COMPUTED_VALUE"""),1.0277777777777777)</f>
        <v>1.027777778</v>
      </c>
      <c r="J496" s="64">
        <f>IFERROR(__xludf.DUMMYFUNCTION("""COMPUTED_VALUE"""),84.0)</f>
        <v>84</v>
      </c>
      <c r="K496" s="64">
        <f>IFERROR(__xludf.DUMMYFUNCTION("""COMPUTED_VALUE"""),14.0)</f>
        <v>14</v>
      </c>
      <c r="L496" s="55" t="str">
        <f>IFERROR(__xludf.DUMMYFUNCTION("""COMPUTED_VALUE"""),"RPG")</f>
        <v>RPG</v>
      </c>
      <c r="M496" s="55"/>
      <c r="N496" s="55" t="str">
        <f>IFERROR(__xludf.DUMMYFUNCTION("""COMPUTED_VALUE"""),"Left EA Play 10/23/21")</f>
        <v>Left EA Play 10/23/21</v>
      </c>
      <c r="O496" s="55" t="str">
        <f>IFERROR(__xludf.DUMMYFUNCTION("""COMPUTED_VALUE"""),"E10+")</f>
        <v>E10+</v>
      </c>
      <c r="P496" s="55" t="str">
        <f>IFERROR(__xludf.DUMMYFUNCTION("""COMPUTED_VALUE"""),"Fantasy Violence")</f>
        <v>Fantasy Violence</v>
      </c>
      <c r="Q496" s="55"/>
      <c r="R496" s="56" t="str">
        <f>IFERROR(__xludf.DUMMYFUNCTION("""COMPUTED_VALUE"""),"Active")</f>
        <v>Active</v>
      </c>
      <c r="S496" s="57">
        <f>IFERROR(__xludf.DUMMYFUNCTION("""COMPUTED_VALUE"""),45547.0)</f>
        <v>45547</v>
      </c>
      <c r="T496" s="60">
        <f>IFERROR(__xludf.DUMMYFUNCTION("""COMPUTED_VALUE"""),63.10000000000001)</f>
        <v>63.1</v>
      </c>
    </row>
    <row r="497">
      <c r="A497" s="55" t="str">
        <f>IFERROR(__xludf.DUMMYFUNCTION("""COMPUTED_VALUE"""),"Dead by Daylight: Special Edition")</f>
        <v>Dead by Daylight: Special Edition</v>
      </c>
      <c r="B497" s="55" t="str">
        <f>IFERROR(__xludf.DUMMYFUNCTION("""COMPUTED_VALUE"""),"Xbox / PC")</f>
        <v>Xbox / PC</v>
      </c>
      <c r="C497" s="55" t="str">
        <f>IFERROR(__xludf.DUMMYFUNCTION("""COMPUTED_VALUE"""),"Yes")</f>
        <v>Yes</v>
      </c>
      <c r="D497" s="56" t="str">
        <f>IFERROR(__xludf.DUMMYFUNCTION("""COMPUTED_VALUE"""),"Active")</f>
        <v>Active</v>
      </c>
      <c r="E497" s="57">
        <f>IFERROR(__xludf.DUMMYFUNCTION("""COMPUTED_VALUE"""),43615.0)</f>
        <v>43615</v>
      </c>
      <c r="F497" s="58"/>
      <c r="G497" s="60">
        <f>IFERROR(__xludf.DUMMYFUNCTION("""COMPUTED_VALUE"""),88.19999999999999)</f>
        <v>88.2</v>
      </c>
      <c r="H497" s="63">
        <f>IFERROR(__xludf.DUMMYFUNCTION("""COMPUTED_VALUE"""),42535.0)</f>
        <v>42535</v>
      </c>
      <c r="I497" s="60">
        <f>IFERROR(__xludf.DUMMYFUNCTION("""COMPUTED_VALUE"""),2.9611111111111112)</f>
        <v>2.961111111</v>
      </c>
      <c r="J497" s="64">
        <f>IFERROR(__xludf.DUMMYFUNCTION("""COMPUTED_VALUE"""),58.0)</f>
        <v>58</v>
      </c>
      <c r="K497" s="64">
        <f>IFERROR(__xludf.DUMMYFUNCTION("""COMPUTED_VALUE"""),608.0)</f>
        <v>608</v>
      </c>
      <c r="L497" s="55" t="str">
        <f>IFERROR(__xludf.DUMMYFUNCTION("""COMPUTED_VALUE"""),"Action")</f>
        <v>Action</v>
      </c>
      <c r="M497" s="55" t="str">
        <f>IFERROR(__xludf.DUMMYFUNCTION("""COMPUTED_VALUE"""),"Optimized")</f>
        <v>Optimized</v>
      </c>
      <c r="N497" s="55"/>
      <c r="O497" s="55" t="str">
        <f>IFERROR(__xludf.DUMMYFUNCTION("""COMPUTED_VALUE"""),"M")</f>
        <v>M</v>
      </c>
      <c r="P497" s="55" t="str">
        <f>IFERROR(__xludf.DUMMYFUNCTION("""COMPUTED_VALUE"""),"Blood and Gore, Strong Language, Intense Violence")</f>
        <v>Blood and Gore, Strong Language, Intense Violence</v>
      </c>
      <c r="Q497" s="55"/>
      <c r="R497" s="56" t="str">
        <f>IFERROR(__xludf.DUMMYFUNCTION("""COMPUTED_VALUE"""),"Active")</f>
        <v>Active</v>
      </c>
      <c r="S497" s="57">
        <f>IFERROR(__xludf.DUMMYFUNCTION("""COMPUTED_VALUE"""),45547.0)</f>
        <v>45547</v>
      </c>
      <c r="T497" s="60">
        <f>IFERROR(__xludf.DUMMYFUNCTION("""COMPUTED_VALUE"""),63.4)</f>
        <v>63.4</v>
      </c>
    </row>
    <row r="498">
      <c r="A498" s="55" t="str">
        <f>IFERROR(__xludf.DUMMYFUNCTION("""COMPUTED_VALUE"""),"Descenders")</f>
        <v>Descenders</v>
      </c>
      <c r="B498" s="55" t="str">
        <f>IFERROR(__xludf.DUMMYFUNCTION("""COMPUTED_VALUE"""),"Xbox / PC")</f>
        <v>Xbox / PC</v>
      </c>
      <c r="C498" s="55" t="str">
        <f>IFERROR(__xludf.DUMMYFUNCTION("""COMPUTED_VALUE"""),"Yes")</f>
        <v>Yes</v>
      </c>
      <c r="D498" s="56" t="str">
        <f>IFERROR(__xludf.DUMMYFUNCTION("""COMPUTED_VALUE"""),"Active")</f>
        <v>Active</v>
      </c>
      <c r="E498" s="57">
        <f>IFERROR(__xludf.DUMMYFUNCTION("""COMPUTED_VALUE"""),43592.0)</f>
        <v>43592</v>
      </c>
      <c r="F498" s="58"/>
      <c r="G498" s="60">
        <f>IFERROR(__xludf.DUMMYFUNCTION("""COMPUTED_VALUE"""),88.96666666666667)</f>
        <v>88.96666667</v>
      </c>
      <c r="H498" s="63">
        <f>IFERROR(__xludf.DUMMYFUNCTION("""COMPUTED_VALUE"""),43140.0)</f>
        <v>43140</v>
      </c>
      <c r="I498" s="60">
        <f>IFERROR(__xludf.DUMMYFUNCTION("""COMPUTED_VALUE"""),1.2444444444444445)</f>
        <v>1.244444444</v>
      </c>
      <c r="J498" s="64">
        <f>IFERROR(__xludf.DUMMYFUNCTION("""COMPUTED_VALUE"""),77.0)</f>
        <v>77</v>
      </c>
      <c r="K498" s="64">
        <f>IFERROR(__xludf.DUMMYFUNCTION("""COMPUTED_VALUE"""),4.0)</f>
        <v>4</v>
      </c>
      <c r="L498" s="55" t="str">
        <f>IFERROR(__xludf.DUMMYFUNCTION("""COMPUTED_VALUE"""),"Racing")</f>
        <v>Racing</v>
      </c>
      <c r="M498" s="55" t="str">
        <f>IFERROR(__xludf.DUMMYFUNCTION("""COMPUTED_VALUE"""),"Optimized")</f>
        <v>Optimized</v>
      </c>
      <c r="N498" s="55" t="str">
        <f>IFERROR(__xludf.DUMMYFUNCTION("""COMPUTED_VALUE"""),"Game Pass Essential launch title (9/14/23)")</f>
        <v>Game Pass Essential launch title (9/14/23)</v>
      </c>
      <c r="O498" s="55" t="str">
        <f>IFERROR(__xludf.DUMMYFUNCTION("""COMPUTED_VALUE"""),"E")</f>
        <v>E</v>
      </c>
      <c r="P498" s="55"/>
      <c r="Q498" s="55"/>
      <c r="R498" s="56" t="str">
        <f>IFERROR(__xludf.DUMMYFUNCTION("""COMPUTED_VALUE"""),"Active")</f>
        <v>Active</v>
      </c>
      <c r="S498" s="57">
        <f>IFERROR(__xludf.DUMMYFUNCTION("""COMPUTED_VALUE"""),45547.0)</f>
        <v>45547</v>
      </c>
      <c r="T498" s="60">
        <f>IFERROR(__xludf.DUMMYFUNCTION("""COMPUTED_VALUE"""),64.16666666666667)</f>
        <v>64.16666667</v>
      </c>
    </row>
    <row r="499">
      <c r="A499" s="55" t="str">
        <f>IFERROR(__xludf.DUMMYFUNCTION("""COMPUTED_VALUE"""),"Wolfenstein II: The New Colossus")</f>
        <v>Wolfenstein II: The New Colossus</v>
      </c>
      <c r="B499" s="55" t="str">
        <f>IFERROR(__xludf.DUMMYFUNCTION("""COMPUTED_VALUE"""),"Xbox / PC")</f>
        <v>Xbox / PC</v>
      </c>
      <c r="C499" s="55" t="str">
        <f>IFERROR(__xludf.DUMMYFUNCTION("""COMPUTED_VALUE"""),"Yes")</f>
        <v>Yes</v>
      </c>
      <c r="D499" s="56" t="str">
        <f>IFERROR(__xludf.DUMMYFUNCTION("""COMPUTED_VALUE"""),"Active")</f>
        <v>Active</v>
      </c>
      <c r="E499" s="57">
        <f>IFERROR(__xludf.DUMMYFUNCTION("""COMPUTED_VALUE"""),43587.0)</f>
        <v>43587</v>
      </c>
      <c r="F499" s="58"/>
      <c r="G499" s="60">
        <f>IFERROR(__xludf.DUMMYFUNCTION("""COMPUTED_VALUE"""),89.13333333333334)</f>
        <v>89.13333333</v>
      </c>
      <c r="H499" s="63">
        <f>IFERROR(__xludf.DUMMYFUNCTION("""COMPUTED_VALUE"""),43035.0)</f>
        <v>43035</v>
      </c>
      <c r="I499" s="60">
        <f>IFERROR(__xludf.DUMMYFUNCTION("""COMPUTED_VALUE"""),1.5138888888888888)</f>
        <v>1.513888889</v>
      </c>
      <c r="J499" s="64">
        <f>IFERROR(__xludf.DUMMYFUNCTION("""COMPUTED_VALUE"""),88.0)</f>
        <v>88</v>
      </c>
      <c r="K499" s="64">
        <f>IFERROR(__xludf.DUMMYFUNCTION("""COMPUTED_VALUE"""),10.5)</f>
        <v>10.5</v>
      </c>
      <c r="L499" s="55" t="str">
        <f>IFERROR(__xludf.DUMMYFUNCTION("""COMPUTED_VALUE"""),"Shooter")</f>
        <v>Shooter</v>
      </c>
      <c r="M499" s="55"/>
      <c r="N499" s="55"/>
      <c r="O499" s="55" t="str">
        <f>IFERROR(__xludf.DUMMYFUNCTION("""COMPUTED_VALUE"""),"M")</f>
        <v>M</v>
      </c>
      <c r="P499" s="55" t="str">
        <f>IFERROR(__xludf.DUMMYFUNCTION("""COMPUTED_VALUE"""),"Blood and Gore, Sexual Content, Partial Nudity, Use of Drugs, Strong Language, Intense Violence")</f>
        <v>Blood and Gore, Sexual Content, Partial Nudity, Use of Drugs, Strong Language, Intense Violence</v>
      </c>
      <c r="Q499" s="55"/>
      <c r="R499" s="56" t="str">
        <f>IFERROR(__xludf.DUMMYFUNCTION("""COMPUTED_VALUE"""),"Active")</f>
        <v>Active</v>
      </c>
      <c r="S499" s="57">
        <f>IFERROR(__xludf.DUMMYFUNCTION("""COMPUTED_VALUE"""),45547.0)</f>
        <v>45547</v>
      </c>
      <c r="T499" s="60">
        <f>IFERROR(__xludf.DUMMYFUNCTION("""COMPUTED_VALUE"""),64.33333333333333)</f>
        <v>64.33333333</v>
      </c>
    </row>
    <row r="500">
      <c r="A500" s="55" t="str">
        <f>IFERROR(__xludf.DUMMYFUNCTION("""COMPUTED_VALUE"""),"The Walking Dead: A New Frontier")</f>
        <v>The Walking Dead: A New Frontier</v>
      </c>
      <c r="B500" s="55" t="str">
        <f>IFERROR(__xludf.DUMMYFUNCTION("""COMPUTED_VALUE"""),"Xbox / PC")</f>
        <v>Xbox / PC</v>
      </c>
      <c r="C500" s="55" t="str">
        <f>IFERROR(__xludf.DUMMYFUNCTION("""COMPUTED_VALUE"""),"Touch Controls")</f>
        <v>Touch Controls</v>
      </c>
      <c r="D500" s="56" t="str">
        <f>IFERROR(__xludf.DUMMYFUNCTION("""COMPUTED_VALUE"""),"Active")</f>
        <v>Active</v>
      </c>
      <c r="E500" s="57">
        <f>IFERROR(__xludf.DUMMYFUNCTION("""COMPUTED_VALUE"""),43573.0)</f>
        <v>43573</v>
      </c>
      <c r="F500" s="58"/>
      <c r="G500" s="60">
        <f>IFERROR(__xludf.DUMMYFUNCTION("""COMPUTED_VALUE"""),89.6)</f>
        <v>89.6</v>
      </c>
      <c r="H500" s="63">
        <f>IFERROR(__xludf.DUMMYFUNCTION("""COMPUTED_VALUE"""),42724.0)</f>
        <v>42724</v>
      </c>
      <c r="I500" s="60">
        <f>IFERROR(__xludf.DUMMYFUNCTION("""COMPUTED_VALUE"""),2.327777777777778)</f>
        <v>2.327777778</v>
      </c>
      <c r="J500" s="64">
        <f>IFERROR(__xludf.DUMMYFUNCTION("""COMPUTED_VALUE"""),73.0)</f>
        <v>73</v>
      </c>
      <c r="K500" s="64">
        <f>IFERROR(__xludf.DUMMYFUNCTION("""COMPUTED_VALUE"""),8.0)</f>
        <v>8</v>
      </c>
      <c r="L500" s="55" t="str">
        <f>IFERROR(__xludf.DUMMYFUNCTION("""COMPUTED_VALUE"""),"Adventure")</f>
        <v>Adventure</v>
      </c>
      <c r="M500" s="55"/>
      <c r="N500" s="55" t="str">
        <f>IFERROR(__xludf.DUMMYFUNCTION("""COMPUTED_VALUE"""),"Joined PC 11/1/22, left 9/30/24")</f>
        <v>Joined PC 11/1/22, left 9/30/24</v>
      </c>
      <c r="O500" s="55" t="str">
        <f>IFERROR(__xludf.DUMMYFUNCTION("""COMPUTED_VALUE"""),"M")</f>
        <v>M</v>
      </c>
      <c r="P500" s="55" t="str">
        <f>IFERROR(__xludf.DUMMYFUNCTION("""COMPUTED_VALUE"""),"Violence, Blood, Use of Drugs, Strong Language")</f>
        <v>Violence, Blood, Use of Drugs, Strong Language</v>
      </c>
      <c r="Q500" s="55"/>
      <c r="R500" s="56" t="str">
        <f>IFERROR(__xludf.DUMMYFUNCTION("""COMPUTED_VALUE"""),"Active")</f>
        <v>Active</v>
      </c>
      <c r="S500" s="57">
        <f>IFERROR(__xludf.DUMMYFUNCTION("""COMPUTED_VALUE"""),45547.0)</f>
        <v>45547</v>
      </c>
      <c r="T500" s="60">
        <f>IFERROR(__xludf.DUMMYFUNCTION("""COMPUTED_VALUE"""),64.80000000000001)</f>
        <v>64.8</v>
      </c>
    </row>
    <row r="501">
      <c r="A501" s="55" t="str">
        <f>IFERROR(__xludf.DUMMYFUNCTION("""COMPUTED_VALUE"""),"Prey")</f>
        <v>Prey</v>
      </c>
      <c r="B501" s="55" t="str">
        <f>IFERROR(__xludf.DUMMYFUNCTION("""COMPUTED_VALUE"""),"Xbox / PC")</f>
        <v>Xbox / PC</v>
      </c>
      <c r="C501" s="55" t="str">
        <f>IFERROR(__xludf.DUMMYFUNCTION("""COMPUTED_VALUE"""),"Yes")</f>
        <v>Yes</v>
      </c>
      <c r="D501" s="56" t="str">
        <f>IFERROR(__xludf.DUMMYFUNCTION("""COMPUTED_VALUE"""),"Active")</f>
        <v>Active</v>
      </c>
      <c r="E501" s="57">
        <f>IFERROR(__xludf.DUMMYFUNCTION("""COMPUTED_VALUE"""),43566.0)</f>
        <v>43566</v>
      </c>
      <c r="F501" s="58"/>
      <c r="G501" s="60">
        <f>IFERROR(__xludf.DUMMYFUNCTION("""COMPUTED_VALUE"""),89.83333333333333)</f>
        <v>89.83333333</v>
      </c>
      <c r="H501" s="63">
        <f>IFERROR(__xludf.DUMMYFUNCTION("""COMPUTED_VALUE"""),42860.0)</f>
        <v>42860</v>
      </c>
      <c r="I501" s="60">
        <f>IFERROR(__xludf.DUMMYFUNCTION("""COMPUTED_VALUE"""),1.9333333333333333)</f>
        <v>1.933333333</v>
      </c>
      <c r="J501" s="64">
        <f>IFERROR(__xludf.DUMMYFUNCTION("""COMPUTED_VALUE"""),83.0)</f>
        <v>83</v>
      </c>
      <c r="K501" s="64">
        <f>IFERROR(__xludf.DUMMYFUNCTION("""COMPUTED_VALUE"""),16.0)</f>
        <v>16</v>
      </c>
      <c r="L501" s="55" t="str">
        <f>IFERROR(__xludf.DUMMYFUNCTION("""COMPUTED_VALUE"""),"Shooter")</f>
        <v>Shooter</v>
      </c>
      <c r="M501" s="55" t="str">
        <f>IFERROR(__xludf.DUMMYFUNCTION("""COMPUTED_VALUE"""),"FPS Boost")</f>
        <v>FPS Boost</v>
      </c>
      <c r="N501" s="55"/>
      <c r="O501" s="55" t="str">
        <f>IFERROR(__xludf.DUMMYFUNCTION("""COMPUTED_VALUE"""),"M")</f>
        <v>M</v>
      </c>
      <c r="P501" s="55" t="str">
        <f>IFERROR(__xludf.DUMMYFUNCTION("""COMPUTED_VALUE"""),"Use of Alcohol, Blood, Violence, Language")</f>
        <v>Use of Alcohol, Blood, Violence, Language</v>
      </c>
      <c r="Q501" s="55"/>
      <c r="R501" s="56" t="str">
        <f>IFERROR(__xludf.DUMMYFUNCTION("""COMPUTED_VALUE"""),"Active")</f>
        <v>Active</v>
      </c>
      <c r="S501" s="57">
        <f>IFERROR(__xludf.DUMMYFUNCTION("""COMPUTED_VALUE"""),45547.0)</f>
        <v>45547</v>
      </c>
      <c r="T501" s="60">
        <f>IFERROR(__xludf.DUMMYFUNCTION("""COMPUTED_VALUE"""),65.03333333333333)</f>
        <v>65.03333333</v>
      </c>
    </row>
    <row r="502">
      <c r="A502" s="55" t="str">
        <f>IFERROR(__xludf.DUMMYFUNCTION("""COMPUTED_VALUE"""),"Minecraft")</f>
        <v>Minecraft</v>
      </c>
      <c r="B502" s="55" t="str">
        <f>IFERROR(__xludf.DUMMYFUNCTION("""COMPUTED_VALUE"""),"Xbox / PC")</f>
        <v>Xbox / PC</v>
      </c>
      <c r="C502" s="55"/>
      <c r="D502" s="56" t="str">
        <f>IFERROR(__xludf.DUMMYFUNCTION("""COMPUTED_VALUE"""),"Active")</f>
        <v>Active</v>
      </c>
      <c r="E502" s="57">
        <f>IFERROR(__xludf.DUMMYFUNCTION("""COMPUTED_VALUE"""),43559.0)</f>
        <v>43559</v>
      </c>
      <c r="F502" s="58"/>
      <c r="G502" s="60">
        <f>IFERROR(__xludf.DUMMYFUNCTION("""COMPUTED_VALUE"""),90.06666666666666)</f>
        <v>90.06666667</v>
      </c>
      <c r="H502" s="63">
        <f>IFERROR(__xludf.DUMMYFUNCTION("""COMPUTED_VALUE"""),40865.0)</f>
        <v>40865</v>
      </c>
      <c r="I502" s="60">
        <f>IFERROR(__xludf.DUMMYFUNCTION("""COMPUTED_VALUE"""),7.377777777777778)</f>
        <v>7.377777778</v>
      </c>
      <c r="J502" s="64">
        <f>IFERROR(__xludf.DUMMYFUNCTION("""COMPUTED_VALUE"""),88.0)</f>
        <v>88</v>
      </c>
      <c r="K502" s="64">
        <f>IFERROR(__xludf.DUMMYFUNCTION("""COMPUTED_VALUE"""),116.0)</f>
        <v>116</v>
      </c>
      <c r="L502" s="55" t="str">
        <f>IFERROR(__xludf.DUMMYFUNCTION("""COMPUTED_VALUE"""),"Action-Adventure")</f>
        <v>Action-Adventure</v>
      </c>
      <c r="M502" s="55"/>
      <c r="N502" s="55" t="str">
        <f>IFERROR(__xludf.DUMMYFUNCTION("""COMPUTED_VALUE"""),"Joined PC 11/2/21 (Java and Bedrock Editions)")</f>
        <v>Joined PC 11/2/21 (Java and Bedrock Editions)</v>
      </c>
      <c r="O502" s="55" t="str">
        <f>IFERROR(__xludf.DUMMYFUNCTION("""COMPUTED_VALUE"""),"E10+")</f>
        <v>E10+</v>
      </c>
      <c r="P502" s="55" t="str">
        <f>IFERROR(__xludf.DUMMYFUNCTION("""COMPUTED_VALUE"""),"Fantasy Violence")</f>
        <v>Fantasy Violence</v>
      </c>
      <c r="Q502" s="55"/>
      <c r="R502" s="56" t="str">
        <f>IFERROR(__xludf.DUMMYFUNCTION("""COMPUTED_VALUE"""),"Active")</f>
        <v>Active</v>
      </c>
      <c r="S502" s="57">
        <f>IFERROR(__xludf.DUMMYFUNCTION("""COMPUTED_VALUE"""),45547.0)</f>
        <v>45547</v>
      </c>
      <c r="T502" s="60">
        <f>IFERROR(__xludf.DUMMYFUNCTION("""COMPUTED_VALUE"""),65.26666666666667)</f>
        <v>65.26666667</v>
      </c>
    </row>
    <row r="503">
      <c r="A503" s="55" t="str">
        <f>IFERROR(__xludf.DUMMYFUNCTION("""COMPUTED_VALUE"""),"Fallout 4")</f>
        <v>Fallout 4</v>
      </c>
      <c r="B503" s="55" t="str">
        <f>IFERROR(__xludf.DUMMYFUNCTION("""COMPUTED_VALUE"""),"Xbox / PC")</f>
        <v>Xbox / PC</v>
      </c>
      <c r="C503" s="55" t="str">
        <f>IFERROR(__xludf.DUMMYFUNCTION("""COMPUTED_VALUE"""),"Yes")</f>
        <v>Yes</v>
      </c>
      <c r="D503" s="56" t="str">
        <f>IFERROR(__xludf.DUMMYFUNCTION("""COMPUTED_VALUE"""),"Active")</f>
        <v>Active</v>
      </c>
      <c r="E503" s="57">
        <f>IFERROR(__xludf.DUMMYFUNCTION("""COMPUTED_VALUE"""),43538.0)</f>
        <v>43538</v>
      </c>
      <c r="F503" s="58"/>
      <c r="G503" s="60">
        <f>IFERROR(__xludf.DUMMYFUNCTION("""COMPUTED_VALUE"""),90.73333333333333)</f>
        <v>90.73333333</v>
      </c>
      <c r="H503" s="63">
        <f>IFERROR(__xludf.DUMMYFUNCTION("""COMPUTED_VALUE"""),42318.0)</f>
        <v>42318</v>
      </c>
      <c r="I503" s="60">
        <f>IFERROR(__xludf.DUMMYFUNCTION("""COMPUTED_VALUE"""),3.3444444444444446)</f>
        <v>3.344444444</v>
      </c>
      <c r="J503" s="64">
        <f>IFERROR(__xludf.DUMMYFUNCTION("""COMPUTED_VALUE"""),88.0)</f>
        <v>88</v>
      </c>
      <c r="K503" s="64">
        <f>IFERROR(__xludf.DUMMYFUNCTION("""COMPUTED_VALUE"""),26.5)</f>
        <v>26.5</v>
      </c>
      <c r="L503" s="55" t="str">
        <f>IFERROR(__xludf.DUMMYFUNCTION("""COMPUTED_VALUE"""),"Shooter")</f>
        <v>Shooter</v>
      </c>
      <c r="M503" s="55" t="str">
        <f>IFERROR(__xludf.DUMMYFUNCTION("""COMPUTED_VALUE"""),"FPS Boost")</f>
        <v>FPS Boost</v>
      </c>
      <c r="N503" s="55" t="str">
        <f>IFERROR(__xludf.DUMMYFUNCTION("""COMPUTED_VALUE"""),"Game Pass Essential launch title (9/14/23), Official PC Mod Support")</f>
        <v>Game Pass Essential launch title (9/14/23), Official PC Mod Support</v>
      </c>
      <c r="O503" s="55" t="str">
        <f>IFERROR(__xludf.DUMMYFUNCTION("""COMPUTED_VALUE"""),"M")</f>
        <v>M</v>
      </c>
      <c r="P503" s="55" t="str">
        <f>IFERROR(__xludf.DUMMYFUNCTION("""COMPUTED_VALUE"""),"Blood and Gore, Use of Drugs, Strong Language, Intense Violence")</f>
        <v>Blood and Gore, Use of Drugs, Strong Language, Intense Violence</v>
      </c>
      <c r="Q503" s="55"/>
      <c r="R503" s="56" t="str">
        <f>IFERROR(__xludf.DUMMYFUNCTION("""COMPUTED_VALUE"""),"Active")</f>
        <v>Active</v>
      </c>
      <c r="S503" s="57">
        <f>IFERROR(__xludf.DUMMYFUNCTION("""COMPUTED_VALUE"""),45547.0)</f>
        <v>45547</v>
      </c>
      <c r="T503" s="60">
        <f>IFERROR(__xludf.DUMMYFUNCTION("""COMPUTED_VALUE"""),65.93333333333334)</f>
        <v>65.93333333</v>
      </c>
    </row>
    <row r="504">
      <c r="A504" s="55" t="str">
        <f>IFERROR(__xludf.DUMMYFUNCTION("""COMPUTED_VALUE"""),"The Walking Dead: Michonne")</f>
        <v>The Walking Dead: Michonne</v>
      </c>
      <c r="B504" s="55" t="str">
        <f>IFERROR(__xludf.DUMMYFUNCTION("""COMPUTED_VALUE"""),"Xbox / PC")</f>
        <v>Xbox / PC</v>
      </c>
      <c r="C504" s="55" t="str">
        <f>IFERROR(__xludf.DUMMYFUNCTION("""COMPUTED_VALUE"""),"Touch Controls")</f>
        <v>Touch Controls</v>
      </c>
      <c r="D504" s="56" t="str">
        <f>IFERROR(__xludf.DUMMYFUNCTION("""COMPUTED_VALUE"""),"Active")</f>
        <v>Active</v>
      </c>
      <c r="E504" s="57">
        <f>IFERROR(__xludf.DUMMYFUNCTION("""COMPUTED_VALUE"""),43552.0)</f>
        <v>43552</v>
      </c>
      <c r="F504" s="58"/>
      <c r="G504" s="60">
        <f>IFERROR(__xludf.DUMMYFUNCTION("""COMPUTED_VALUE"""),90.26666666666667)</f>
        <v>90.26666667</v>
      </c>
      <c r="H504" s="63">
        <f>IFERROR(__xludf.DUMMYFUNCTION("""COMPUTED_VALUE"""),42423.0)</f>
        <v>42423</v>
      </c>
      <c r="I504" s="60">
        <f>IFERROR(__xludf.DUMMYFUNCTION("""COMPUTED_VALUE"""),3.0972222222222223)</f>
        <v>3.097222222</v>
      </c>
      <c r="J504" s="64">
        <f>IFERROR(__xludf.DUMMYFUNCTION("""COMPUTED_VALUE"""),64.0)</f>
        <v>64</v>
      </c>
      <c r="K504" s="64">
        <f>IFERROR(__xludf.DUMMYFUNCTION("""COMPUTED_VALUE"""),4.0)</f>
        <v>4</v>
      </c>
      <c r="L504" s="55" t="str">
        <f>IFERROR(__xludf.DUMMYFUNCTION("""COMPUTED_VALUE"""),"Adventure")</f>
        <v>Adventure</v>
      </c>
      <c r="M504" s="55"/>
      <c r="N504" s="55" t="str">
        <f>IFERROR(__xludf.DUMMYFUNCTION("""COMPUTED_VALUE"""),"Joined PC 11/1/22, left 9/30/24")</f>
        <v>Joined PC 11/1/22, left 9/30/24</v>
      </c>
      <c r="O504" s="55" t="str">
        <f>IFERROR(__xludf.DUMMYFUNCTION("""COMPUTED_VALUE"""),"M")</f>
        <v>M</v>
      </c>
      <c r="P504" s="55" t="str">
        <f>IFERROR(__xludf.DUMMYFUNCTION("""COMPUTED_VALUE"""),"Intense Violence, Blood, Use of Drugs, Language")</f>
        <v>Intense Violence, Blood, Use of Drugs, Language</v>
      </c>
      <c r="Q504" s="55"/>
      <c r="R504" s="56" t="str">
        <f>IFERROR(__xludf.DUMMYFUNCTION("""COMPUTED_VALUE"""),"Active")</f>
        <v>Active</v>
      </c>
      <c r="S504" s="57">
        <f>IFERROR(__xludf.DUMMYFUNCTION("""COMPUTED_VALUE"""),45547.0)</f>
        <v>45547</v>
      </c>
      <c r="T504" s="60">
        <f>IFERROR(__xludf.DUMMYFUNCTION("""COMPUTED_VALUE"""),65.46666666666667)</f>
        <v>65.46666667</v>
      </c>
    </row>
    <row r="505">
      <c r="A505" s="55" t="str">
        <f>IFERROR(__xludf.DUMMYFUNCTION("""COMPUTED_VALUE"""),"Crackdown 3")</f>
        <v>Crackdown 3</v>
      </c>
      <c r="B505" s="55" t="str">
        <f>IFERROR(__xludf.DUMMYFUNCTION("""COMPUTED_VALUE"""),"Xbox / PC")</f>
        <v>Xbox / PC</v>
      </c>
      <c r="C505" s="55" t="str">
        <f>IFERROR(__xludf.DUMMYFUNCTION("""COMPUTED_VALUE"""),"Yes")</f>
        <v>Yes</v>
      </c>
      <c r="D505" s="56" t="str">
        <f>IFERROR(__xludf.DUMMYFUNCTION("""COMPUTED_VALUE"""),"Active")</f>
        <v>Active</v>
      </c>
      <c r="E505" s="57">
        <f>IFERROR(__xludf.DUMMYFUNCTION("""COMPUTED_VALUE"""),43511.0)</f>
        <v>43511</v>
      </c>
      <c r="F505" s="58"/>
      <c r="G505" s="60">
        <f>IFERROR(__xludf.DUMMYFUNCTION("""COMPUTED_VALUE"""),91.7)</f>
        <v>91.7</v>
      </c>
      <c r="H505" s="63">
        <f>IFERROR(__xludf.DUMMYFUNCTION("""COMPUTED_VALUE"""),43511.0)</f>
        <v>43511</v>
      </c>
      <c r="I505" s="60">
        <f>IFERROR(__xludf.DUMMYFUNCTION("""COMPUTED_VALUE"""),0.0)</f>
        <v>0</v>
      </c>
      <c r="J505" s="64">
        <f>IFERROR(__xludf.DUMMYFUNCTION("""COMPUTED_VALUE"""),60.0)</f>
        <v>60</v>
      </c>
      <c r="K505" s="64">
        <f>IFERROR(__xludf.DUMMYFUNCTION("""COMPUTED_VALUE"""),6.5)</f>
        <v>6.5</v>
      </c>
      <c r="L505" s="55" t="str">
        <f>IFERROR(__xludf.DUMMYFUNCTION("""COMPUTED_VALUE"""),"Action-Adventure")</f>
        <v>Action-Adventure</v>
      </c>
      <c r="M505" s="55"/>
      <c r="N505" s="55"/>
      <c r="O505" s="55" t="str">
        <f>IFERROR(__xludf.DUMMYFUNCTION("""COMPUTED_VALUE"""),"M")</f>
        <v>M</v>
      </c>
      <c r="P505" s="55" t="str">
        <f>IFERROR(__xludf.DUMMYFUNCTION("""COMPUTED_VALUE"""),"Blood, Sexual Themes, Drug Reference, Strong Language, Violence")</f>
        <v>Blood, Sexual Themes, Drug Reference, Strong Language, Violence</v>
      </c>
      <c r="Q505" s="55"/>
      <c r="R505" s="56" t="str">
        <f>IFERROR(__xludf.DUMMYFUNCTION("""COMPUTED_VALUE"""),"Active")</f>
        <v>Active</v>
      </c>
      <c r="S505" s="57">
        <f>IFERROR(__xludf.DUMMYFUNCTION("""COMPUTED_VALUE"""),45547.0)</f>
        <v>45547</v>
      </c>
      <c r="T505" s="60">
        <f>IFERROR(__xludf.DUMMYFUNCTION("""COMPUTED_VALUE"""),66.9)</f>
        <v>66.9</v>
      </c>
    </row>
    <row r="506">
      <c r="A506" s="55" t="str">
        <f>IFERROR(__xludf.DUMMYFUNCTION("""COMPUTED_VALUE"""),"The Walking Dead: The Complete First Season")</f>
        <v>The Walking Dead: The Complete First Season</v>
      </c>
      <c r="B506" s="55" t="str">
        <f>IFERROR(__xludf.DUMMYFUNCTION("""COMPUTED_VALUE"""),"Xbox / PC")</f>
        <v>Xbox / PC</v>
      </c>
      <c r="C506" s="55" t="str">
        <f>IFERROR(__xludf.DUMMYFUNCTION("""COMPUTED_VALUE"""),"Touch Controls")</f>
        <v>Touch Controls</v>
      </c>
      <c r="D506" s="56" t="str">
        <f>IFERROR(__xludf.DUMMYFUNCTION("""COMPUTED_VALUE"""),"Active")</f>
        <v>Active</v>
      </c>
      <c r="E506" s="57">
        <f>IFERROR(__xludf.DUMMYFUNCTION("""COMPUTED_VALUE"""),43503.0)</f>
        <v>43503</v>
      </c>
      <c r="F506" s="58"/>
      <c r="G506" s="60">
        <f>IFERROR(__xludf.DUMMYFUNCTION("""COMPUTED_VALUE"""),91.96666666666667)</f>
        <v>91.96666667</v>
      </c>
      <c r="H506" s="63">
        <f>IFERROR(__xludf.DUMMYFUNCTION("""COMPUTED_VALUE"""),43074.0)</f>
        <v>43074</v>
      </c>
      <c r="I506" s="60">
        <f>IFERROR(__xludf.DUMMYFUNCTION("""COMPUTED_VALUE"""),1.1722222222222223)</f>
        <v>1.172222222</v>
      </c>
      <c r="J506" s="64">
        <f>IFERROR(__xludf.DUMMYFUNCTION("""COMPUTED_VALUE"""),89.0)</f>
        <v>89</v>
      </c>
      <c r="K506" s="64">
        <f>IFERROR(__xludf.DUMMYFUNCTION("""COMPUTED_VALUE"""),13.0)</f>
        <v>13</v>
      </c>
      <c r="L506" s="55" t="str">
        <f>IFERROR(__xludf.DUMMYFUNCTION("""COMPUTED_VALUE"""),"Shooter")</f>
        <v>Shooter</v>
      </c>
      <c r="M506" s="55"/>
      <c r="N506" s="55" t="str">
        <f>IFERROR(__xludf.DUMMYFUNCTION("""COMPUTED_VALUE"""),"Joined PC 10/6/22, leaves PC 9/30/24")</f>
        <v>Joined PC 10/6/22, leaves PC 9/30/24</v>
      </c>
      <c r="O506" s="55" t="str">
        <f>IFERROR(__xludf.DUMMYFUNCTION("""COMPUTED_VALUE"""),"M")</f>
        <v>M</v>
      </c>
      <c r="P506" s="55" t="str">
        <f>IFERROR(__xludf.DUMMYFUNCTION("""COMPUTED_VALUE"""),"Blood and Gore, Sexual Themes, Drug Reference, Strong Language, Intense Violence")</f>
        <v>Blood and Gore, Sexual Themes, Drug Reference, Strong Language, Intense Violence</v>
      </c>
      <c r="Q506" s="55"/>
      <c r="R506" s="56" t="str">
        <f>IFERROR(__xludf.DUMMYFUNCTION("""COMPUTED_VALUE"""),"Active")</f>
        <v>Active</v>
      </c>
      <c r="S506" s="57">
        <f>IFERROR(__xludf.DUMMYFUNCTION("""COMPUTED_VALUE"""),45547.0)</f>
        <v>45547</v>
      </c>
      <c r="T506" s="60">
        <f>IFERROR(__xludf.DUMMYFUNCTION("""COMPUTED_VALUE"""),67.16666666666667)</f>
        <v>67.16666667</v>
      </c>
    </row>
    <row r="507">
      <c r="A507" s="55" t="str">
        <f>IFERROR(__xludf.DUMMYFUNCTION("""COMPUTED_VALUE"""),"The Walking Dead: Season Two")</f>
        <v>The Walking Dead: Season Two</v>
      </c>
      <c r="B507" s="55" t="str">
        <f>IFERROR(__xludf.DUMMYFUNCTION("""COMPUTED_VALUE"""),"Xbox / PC")</f>
        <v>Xbox / PC</v>
      </c>
      <c r="C507" s="55" t="str">
        <f>IFERROR(__xludf.DUMMYFUNCTION("""COMPUTED_VALUE"""),"Touch Controls")</f>
        <v>Touch Controls</v>
      </c>
      <c r="D507" s="56" t="str">
        <f>IFERROR(__xludf.DUMMYFUNCTION("""COMPUTED_VALUE"""),"Active")</f>
        <v>Active</v>
      </c>
      <c r="E507" s="57">
        <f>IFERROR(__xludf.DUMMYFUNCTION("""COMPUTED_VALUE"""),43524.0)</f>
        <v>43524</v>
      </c>
      <c r="F507" s="58"/>
      <c r="G507" s="60">
        <f>IFERROR(__xludf.DUMMYFUNCTION("""COMPUTED_VALUE"""),91.26666666666667)</f>
        <v>91.26666667</v>
      </c>
      <c r="H507" s="63">
        <f>IFERROR(__xludf.DUMMYFUNCTION("""COMPUTED_VALUE"""),41625.0)</f>
        <v>41625</v>
      </c>
      <c r="I507" s="60">
        <f>IFERROR(__xludf.DUMMYFUNCTION("""COMPUTED_VALUE"""),5.197222222222222)</f>
        <v>5.197222222</v>
      </c>
      <c r="J507" s="64">
        <f>IFERROR(__xludf.DUMMYFUNCTION("""COMPUTED_VALUE"""),83.0)</f>
        <v>83</v>
      </c>
      <c r="K507" s="64">
        <f>IFERROR(__xludf.DUMMYFUNCTION("""COMPUTED_VALUE"""),9.5)</f>
        <v>9.5</v>
      </c>
      <c r="L507" s="55" t="str">
        <f>IFERROR(__xludf.DUMMYFUNCTION("""COMPUTED_VALUE"""),"Adventure")</f>
        <v>Adventure</v>
      </c>
      <c r="M507" s="55"/>
      <c r="N507" s="55" t="str">
        <f>IFERROR(__xludf.DUMMYFUNCTION("""COMPUTED_VALUE"""),"Joined PC 10/6/22, leaves PC 9/30/24")</f>
        <v>Joined PC 10/6/22, leaves PC 9/30/24</v>
      </c>
      <c r="O507" s="55" t="str">
        <f>IFERROR(__xludf.DUMMYFUNCTION("""COMPUTED_VALUE"""),"M")</f>
        <v>M</v>
      </c>
      <c r="P507" s="55" t="str">
        <f>IFERROR(__xludf.DUMMYFUNCTION("""COMPUTED_VALUE"""),"Blood and Gore, Intense Violence, Strong Language")</f>
        <v>Blood and Gore, Intense Violence, Strong Language</v>
      </c>
      <c r="Q507" s="55"/>
      <c r="R507" s="56" t="str">
        <f>IFERROR(__xludf.DUMMYFUNCTION("""COMPUTED_VALUE"""),"Active")</f>
        <v>Active</v>
      </c>
      <c r="S507" s="57">
        <f>IFERROR(__xludf.DUMMYFUNCTION("""COMPUTED_VALUE"""),45547.0)</f>
        <v>45547</v>
      </c>
      <c r="T507" s="60">
        <f>IFERROR(__xludf.DUMMYFUNCTION("""COMPUTED_VALUE"""),66.46666666666667)</f>
        <v>66.46666667</v>
      </c>
    </row>
    <row r="508">
      <c r="A508" s="55" t="str">
        <f>IFERROR(__xludf.DUMMYFUNCTION("""COMPUTED_VALUE"""),"ARK: Ultimate Survivor Edition ")</f>
        <v>ARK: Ultimate Survivor Edition </v>
      </c>
      <c r="B508" s="55" t="str">
        <f>IFERROR(__xludf.DUMMYFUNCTION("""COMPUTED_VALUE"""),"Xbox / PC")</f>
        <v>Xbox / PC</v>
      </c>
      <c r="C508" s="55" t="str">
        <f>IFERROR(__xludf.DUMMYFUNCTION("""COMPUTED_VALUE"""),"Yes")</f>
        <v>Yes</v>
      </c>
      <c r="D508" s="56" t="str">
        <f>IFERROR(__xludf.DUMMYFUNCTION("""COMPUTED_VALUE"""),"Active")</f>
        <v>Active</v>
      </c>
      <c r="E508" s="57">
        <f>IFERROR(__xludf.DUMMYFUNCTION("""COMPUTED_VALUE"""),43468.0)</f>
        <v>43468</v>
      </c>
      <c r="F508" s="58"/>
      <c r="G508" s="60">
        <f>IFERROR(__xludf.DUMMYFUNCTION("""COMPUTED_VALUE"""),93.10000000000001)</f>
        <v>93.1</v>
      </c>
      <c r="H508" s="63">
        <f>IFERROR(__xludf.DUMMYFUNCTION("""COMPUTED_VALUE"""),42710.0)</f>
        <v>42710</v>
      </c>
      <c r="I508" s="60">
        <f>IFERROR(__xludf.DUMMYFUNCTION("""COMPUTED_VALUE"""),2.075)</f>
        <v>2.075</v>
      </c>
      <c r="J508" s="64">
        <f>IFERROR(__xludf.DUMMYFUNCTION("""COMPUTED_VALUE"""),69.0)</f>
        <v>69</v>
      </c>
      <c r="K508" s="64">
        <f>IFERROR(__xludf.DUMMYFUNCTION("""COMPUTED_VALUE"""),123.0)</f>
        <v>123</v>
      </c>
      <c r="L508" s="55" t="str">
        <f>IFERROR(__xludf.DUMMYFUNCTION("""COMPUTED_VALUE"""),"Action-Adventure")</f>
        <v>Action-Adventure</v>
      </c>
      <c r="M508" s="55" t="str">
        <f>IFERROR(__xludf.DUMMYFUNCTION("""COMPUTED_VALUE"""),"Optimized")</f>
        <v>Optimized</v>
      </c>
      <c r="N508" s="55" t="str">
        <f>IFERROR(__xludf.DUMMYFUNCTION("""COMPUTED_VALUE"""),"New edition joins 2/14/22, Previously ARK: Survival Evolved - Explorer's Edition")</f>
        <v>New edition joins 2/14/22, Previously ARK: Survival Evolved - Explorer's Edition</v>
      </c>
      <c r="O508" s="55" t="str">
        <f>IFERROR(__xludf.DUMMYFUNCTION("""COMPUTED_VALUE"""),"T")</f>
        <v>T</v>
      </c>
      <c r="P508" s="55" t="str">
        <f>IFERROR(__xludf.DUMMYFUNCTION("""COMPUTED_VALUE"""),"Use of Alcohol, Crude Humor, Blood, Violence")</f>
        <v>Use of Alcohol, Crude Humor, Blood, Violence</v>
      </c>
      <c r="Q508" s="55"/>
      <c r="R508" s="56" t="str">
        <f>IFERROR(__xludf.DUMMYFUNCTION("""COMPUTED_VALUE"""),"Active")</f>
        <v>Active</v>
      </c>
      <c r="S508" s="57">
        <f>IFERROR(__xludf.DUMMYFUNCTION("""COMPUTED_VALUE"""),45547.0)</f>
        <v>45547</v>
      </c>
      <c r="T508" s="60">
        <f>IFERROR(__xludf.DUMMYFUNCTION("""COMPUTED_VALUE"""),68.3)</f>
        <v>68.3</v>
      </c>
    </row>
    <row r="509">
      <c r="A509" s="55" t="str">
        <f>IFERROR(__xludf.DUMMYFUNCTION("""COMPUTED_VALUE"""),"Ori and the Blind Forest: Definitive Edition")</f>
        <v>Ori and the Blind Forest: Definitive Edition</v>
      </c>
      <c r="B509" s="55" t="str">
        <f>IFERROR(__xludf.DUMMYFUNCTION("""COMPUTED_VALUE"""),"Xbox / PC")</f>
        <v>Xbox / PC</v>
      </c>
      <c r="C509" s="55" t="str">
        <f>IFERROR(__xludf.DUMMYFUNCTION("""COMPUTED_VALUE"""),"Yes")</f>
        <v>Yes</v>
      </c>
      <c r="D509" s="56" t="str">
        <f>IFERROR(__xludf.DUMMYFUNCTION("""COMPUTED_VALUE"""),"Active")</f>
        <v>Active</v>
      </c>
      <c r="E509" s="57">
        <f>IFERROR(__xludf.DUMMYFUNCTION("""COMPUTED_VALUE"""),43454.0)</f>
        <v>43454</v>
      </c>
      <c r="F509" s="58"/>
      <c r="G509" s="60">
        <f>IFERROR(__xludf.DUMMYFUNCTION("""COMPUTED_VALUE"""),93.53333333333333)</f>
        <v>93.53333333</v>
      </c>
      <c r="H509" s="63">
        <f>IFERROR(__xludf.DUMMYFUNCTION("""COMPUTED_VALUE"""),42074.0)</f>
        <v>42074</v>
      </c>
      <c r="I509" s="60">
        <f>IFERROR(__xludf.DUMMYFUNCTION("""COMPUTED_VALUE"""),3.775)</f>
        <v>3.775</v>
      </c>
      <c r="J509" s="64">
        <f>IFERROR(__xludf.DUMMYFUNCTION("""COMPUTED_VALUE"""),88.0)</f>
        <v>88</v>
      </c>
      <c r="K509" s="64">
        <f>IFERROR(__xludf.DUMMYFUNCTION("""COMPUTED_VALUE"""),8.5)</f>
        <v>8.5</v>
      </c>
      <c r="L509" s="55" t="str">
        <f>IFERROR(__xludf.DUMMYFUNCTION("""COMPUTED_VALUE"""),"Platformer")</f>
        <v>Platformer</v>
      </c>
      <c r="M509" s="55"/>
      <c r="N509" s="55"/>
      <c r="O509" s="55" t="str">
        <f>IFERROR(__xludf.DUMMYFUNCTION("""COMPUTED_VALUE"""),"E")</f>
        <v>E</v>
      </c>
      <c r="P509" s="55" t="str">
        <f>IFERROR(__xludf.DUMMYFUNCTION("""COMPUTED_VALUE"""),"Mild Fantasy Violence")</f>
        <v>Mild Fantasy Violence</v>
      </c>
      <c r="Q509" s="55"/>
      <c r="R509" s="56" t="str">
        <f>IFERROR(__xludf.DUMMYFUNCTION("""COMPUTED_VALUE"""),"Active")</f>
        <v>Active</v>
      </c>
      <c r="S509" s="57">
        <f>IFERROR(__xludf.DUMMYFUNCTION("""COMPUTED_VALUE"""),45547.0)</f>
        <v>45547</v>
      </c>
      <c r="T509" s="60">
        <f>IFERROR(__xludf.DUMMYFUNCTION("""COMPUTED_VALUE"""),68.73333333333333)</f>
        <v>68.73333333</v>
      </c>
    </row>
    <row r="510">
      <c r="A510" s="55" t="str">
        <f>IFERROR(__xludf.DUMMYFUNCTION("""COMPUTED_VALUE"""),"Hellblade: Senua's Sacrifice")</f>
        <v>Hellblade: Senua's Sacrifice</v>
      </c>
      <c r="B510" s="55" t="str">
        <f>IFERROR(__xludf.DUMMYFUNCTION("""COMPUTED_VALUE"""),"Xbox / PC")</f>
        <v>Xbox / PC</v>
      </c>
      <c r="C510" s="55" t="str">
        <f>IFERROR(__xludf.DUMMYFUNCTION("""COMPUTED_VALUE"""),"Touch Controls")</f>
        <v>Touch Controls</v>
      </c>
      <c r="D510" s="56" t="str">
        <f>IFERROR(__xludf.DUMMYFUNCTION("""COMPUTED_VALUE"""),"Active")</f>
        <v>Active</v>
      </c>
      <c r="E510" s="57">
        <f>IFERROR(__xludf.DUMMYFUNCTION("""COMPUTED_VALUE"""),43451.0)</f>
        <v>43451</v>
      </c>
      <c r="F510" s="58"/>
      <c r="G510" s="60">
        <f>IFERROR(__xludf.DUMMYFUNCTION("""COMPUTED_VALUE"""),93.63333333333334)</f>
        <v>93.63333333</v>
      </c>
      <c r="H510" s="63">
        <f>IFERROR(__xludf.DUMMYFUNCTION("""COMPUTED_VALUE"""),42955.0)</f>
        <v>42955</v>
      </c>
      <c r="I510" s="60">
        <f>IFERROR(__xludf.DUMMYFUNCTION("""COMPUTED_VALUE"""),1.3583333333333334)</f>
        <v>1.358333333</v>
      </c>
      <c r="J510" s="64">
        <f>IFERROR(__xludf.DUMMYFUNCTION("""COMPUTED_VALUE"""),88.0)</f>
        <v>88</v>
      </c>
      <c r="K510" s="64">
        <f>IFERROR(__xludf.DUMMYFUNCTION("""COMPUTED_VALUE"""),7.5)</f>
        <v>7.5</v>
      </c>
      <c r="L510" s="55" t="str">
        <f>IFERROR(__xludf.DUMMYFUNCTION("""COMPUTED_VALUE"""),"Action-Adventure")</f>
        <v>Action-Adventure</v>
      </c>
      <c r="M510" s="55" t="str">
        <f>IFERROR(__xludf.DUMMYFUNCTION("""COMPUTED_VALUE"""),"Optimized")</f>
        <v>Optimized</v>
      </c>
      <c r="N510" s="55" t="str">
        <f>IFERROR(__xludf.DUMMYFUNCTION("""COMPUTED_VALUE"""),"Game Pass Essential launch title (9/14/23)")</f>
        <v>Game Pass Essential launch title (9/14/23)</v>
      </c>
      <c r="O510" s="55" t="str">
        <f>IFERROR(__xludf.DUMMYFUNCTION("""COMPUTED_VALUE"""),"M")</f>
        <v>M</v>
      </c>
      <c r="P510" s="55" t="str">
        <f>IFERROR(__xludf.DUMMYFUNCTION("""COMPUTED_VALUE"""),"Blood and Gore, Strong Language, Intense Violence")</f>
        <v>Blood and Gore, Strong Language, Intense Violence</v>
      </c>
      <c r="Q510" s="55"/>
      <c r="R510" s="56" t="str">
        <f>IFERROR(__xludf.DUMMYFUNCTION("""COMPUTED_VALUE"""),"Active")</f>
        <v>Active</v>
      </c>
      <c r="S510" s="57">
        <f>IFERROR(__xludf.DUMMYFUNCTION("""COMPUTED_VALUE"""),45547.0)</f>
        <v>45547</v>
      </c>
      <c r="T510" s="60">
        <f>IFERROR(__xludf.DUMMYFUNCTION("""COMPUTED_VALUE"""),68.83333333333333)</f>
        <v>68.83333333</v>
      </c>
    </row>
    <row r="511">
      <c r="A511" s="55" t="str">
        <f>IFERROR(__xludf.DUMMYFUNCTION("""COMPUTED_VALUE"""),"Wolfenstein: The New Order")</f>
        <v>Wolfenstein: The New Order</v>
      </c>
      <c r="B511" s="55" t="str">
        <f>IFERROR(__xludf.DUMMYFUNCTION("""COMPUTED_VALUE"""),"Xbox / PC")</f>
        <v>Xbox / PC</v>
      </c>
      <c r="C511" s="55" t="str">
        <f>IFERROR(__xludf.DUMMYFUNCTION("""COMPUTED_VALUE"""),"Yes")</f>
        <v>Yes</v>
      </c>
      <c r="D511" s="56" t="str">
        <f>IFERROR(__xludf.DUMMYFUNCTION("""COMPUTED_VALUE"""),"Active")</f>
        <v>Active</v>
      </c>
      <c r="E511" s="57">
        <f>IFERROR(__xludf.DUMMYFUNCTION("""COMPUTED_VALUE"""),43374.0)</f>
        <v>43374</v>
      </c>
      <c r="F511" s="58"/>
      <c r="G511" s="60">
        <f>IFERROR(__xludf.DUMMYFUNCTION("""COMPUTED_VALUE"""),96.16666666666667)</f>
        <v>96.16666667</v>
      </c>
      <c r="H511" s="63">
        <f>IFERROR(__xludf.DUMMYFUNCTION("""COMPUTED_VALUE"""),41779.0)</f>
        <v>41779</v>
      </c>
      <c r="I511" s="60">
        <f>IFERROR(__xludf.DUMMYFUNCTION("""COMPUTED_VALUE"""),4.363888888888889)</f>
        <v>4.363888889</v>
      </c>
      <c r="J511" s="64">
        <f>IFERROR(__xludf.DUMMYFUNCTION("""COMPUTED_VALUE"""),80.0)</f>
        <v>80</v>
      </c>
      <c r="K511" s="64">
        <f>IFERROR(__xludf.DUMMYFUNCTION("""COMPUTED_VALUE"""),11.5)</f>
        <v>11.5</v>
      </c>
      <c r="L511" s="55" t="str">
        <f>IFERROR(__xludf.DUMMYFUNCTION("""COMPUTED_VALUE"""),"Shooter")</f>
        <v>Shooter</v>
      </c>
      <c r="M511" s="55"/>
      <c r="N511" s="55"/>
      <c r="O511" s="55" t="str">
        <f>IFERROR(__xludf.DUMMYFUNCTION("""COMPUTED_VALUE"""),"M")</f>
        <v>M</v>
      </c>
      <c r="P511" s="55" t="str">
        <f>IFERROR(__xludf.DUMMYFUNCTION("""COMPUTED_VALUE"""),"Blood and Gore, Strong Sexual Content, Use of Drugs, Strong Language, Intense Violence")</f>
        <v>Blood and Gore, Strong Sexual Content, Use of Drugs, Strong Language, Intense Violence</v>
      </c>
      <c r="Q511" s="55"/>
      <c r="R511" s="56" t="str">
        <f>IFERROR(__xludf.DUMMYFUNCTION("""COMPUTED_VALUE"""),"Active")</f>
        <v>Active</v>
      </c>
      <c r="S511" s="57">
        <f>IFERROR(__xludf.DUMMYFUNCTION("""COMPUTED_VALUE"""),45547.0)</f>
        <v>45547</v>
      </c>
      <c r="T511" s="60">
        <f>IFERROR(__xludf.DUMMYFUNCTION("""COMPUTED_VALUE"""),71.36666666666666)</f>
        <v>71.36666667</v>
      </c>
    </row>
    <row r="512">
      <c r="A512" s="55" t="str">
        <f>IFERROR(__xludf.DUMMYFUNCTION("""COMPUTED_VALUE"""),"Halo: The Master Chief Collection")</f>
        <v>Halo: The Master Chief Collection</v>
      </c>
      <c r="B512" s="55" t="str">
        <f>IFERROR(__xludf.DUMMYFUNCTION("""COMPUTED_VALUE"""),"Xbox / PC")</f>
        <v>Xbox / PC</v>
      </c>
      <c r="C512" s="55" t="str">
        <f>IFERROR(__xludf.DUMMYFUNCTION("""COMPUTED_VALUE"""),"Yes")</f>
        <v>Yes</v>
      </c>
      <c r="D512" s="56" t="str">
        <f>IFERROR(__xludf.DUMMYFUNCTION("""COMPUTED_VALUE"""),"Active")</f>
        <v>Active</v>
      </c>
      <c r="E512" s="57">
        <f>IFERROR(__xludf.DUMMYFUNCTION("""COMPUTED_VALUE"""),43344.0)</f>
        <v>43344</v>
      </c>
      <c r="F512" s="58"/>
      <c r="G512" s="60">
        <f>IFERROR(__xludf.DUMMYFUNCTION("""COMPUTED_VALUE"""),97.16666666666666)</f>
        <v>97.16666667</v>
      </c>
      <c r="H512" s="63">
        <f>IFERROR(__xludf.DUMMYFUNCTION("""COMPUTED_VALUE"""),41954.0)</f>
        <v>41954</v>
      </c>
      <c r="I512" s="60">
        <f>IFERROR(__xludf.DUMMYFUNCTION("""COMPUTED_VALUE"""),3.8055555555555554)</f>
        <v>3.805555556</v>
      </c>
      <c r="J512" s="64">
        <f>IFERROR(__xludf.DUMMYFUNCTION("""COMPUTED_VALUE"""),85.0)</f>
        <v>85</v>
      </c>
      <c r="K512" s="64">
        <f>IFERROR(__xludf.DUMMYFUNCTION("""COMPUTED_VALUE"""),52.5)</f>
        <v>52.5</v>
      </c>
      <c r="L512" s="55" t="str">
        <f>IFERROR(__xludf.DUMMYFUNCTION("""COMPUTED_VALUE"""),"Shooter")</f>
        <v>Shooter</v>
      </c>
      <c r="M512" s="55" t="str">
        <f>IFERROR(__xludf.DUMMYFUNCTION("""COMPUTED_VALUE"""),"Optimized")</f>
        <v>Optimized</v>
      </c>
      <c r="N512" s="55"/>
      <c r="O512" s="55" t="str">
        <f>IFERROR(__xludf.DUMMYFUNCTION("""COMPUTED_VALUE"""),"M")</f>
        <v>M</v>
      </c>
      <c r="P512" s="55" t="str">
        <f>IFERROR(__xludf.DUMMYFUNCTION("""COMPUTED_VALUE"""),"Blood and Gore, Violence, Language")</f>
        <v>Blood and Gore, Violence, Language</v>
      </c>
      <c r="Q512" s="55"/>
      <c r="R512" s="56" t="str">
        <f>IFERROR(__xludf.DUMMYFUNCTION("""COMPUTED_VALUE"""),"Active")</f>
        <v>Active</v>
      </c>
      <c r="S512" s="57">
        <f>IFERROR(__xludf.DUMMYFUNCTION("""COMPUTED_VALUE"""),45547.0)</f>
        <v>45547</v>
      </c>
      <c r="T512" s="60">
        <f>IFERROR(__xludf.DUMMYFUNCTION("""COMPUTED_VALUE"""),72.36666666666667)</f>
        <v>72.36666667</v>
      </c>
    </row>
    <row r="513">
      <c r="A513" s="55" t="str">
        <f>IFERROR(__xludf.DUMMYFUNCTION("""COMPUTED_VALUE"""),"Quantum Break")</f>
        <v>Quantum Break</v>
      </c>
      <c r="B513" s="55" t="str">
        <f>IFERROR(__xludf.DUMMYFUNCTION("""COMPUTED_VALUE"""),"Xbox / PC")</f>
        <v>Xbox / PC</v>
      </c>
      <c r="C513" s="55"/>
      <c r="D513" s="56" t="str">
        <f>IFERROR(__xludf.DUMMYFUNCTION("""COMPUTED_VALUE"""),"Active")</f>
        <v>Active</v>
      </c>
      <c r="E513" s="57">
        <f>IFERROR(__xludf.DUMMYFUNCTION("""COMPUTED_VALUE"""),43344.0)</f>
        <v>43344</v>
      </c>
      <c r="F513" s="58"/>
      <c r="G513" s="60">
        <f>IFERROR(__xludf.DUMMYFUNCTION("""COMPUTED_VALUE"""),97.16666666666666)</f>
        <v>97.16666667</v>
      </c>
      <c r="H513" s="63">
        <f>IFERROR(__xludf.DUMMYFUNCTION("""COMPUTED_VALUE"""),42465.0)</f>
        <v>42465</v>
      </c>
      <c r="I513" s="60">
        <f>IFERROR(__xludf.DUMMYFUNCTION("""COMPUTED_VALUE"""),2.4055555555555554)</f>
        <v>2.405555556</v>
      </c>
      <c r="J513" s="64">
        <f>IFERROR(__xludf.DUMMYFUNCTION("""COMPUTED_VALUE"""),77.0)</f>
        <v>77</v>
      </c>
      <c r="K513" s="64">
        <f>IFERROR(__xludf.DUMMYFUNCTION("""COMPUTED_VALUE"""),10.0)</f>
        <v>10</v>
      </c>
      <c r="L513" s="55" t="str">
        <f>IFERROR(__xludf.DUMMYFUNCTION("""COMPUTED_VALUE"""),"Shooter")</f>
        <v>Shooter</v>
      </c>
      <c r="M513" s="55"/>
      <c r="N513" s="55" t="str">
        <f>IFERROR(__xludf.DUMMYFUNCTION("""COMPUTED_VALUE"""),"Joined 9/1/18, briefly left 4/15/23 due to licensing issues, PC added when game returned")</f>
        <v>Joined 9/1/18, briefly left 4/15/23 due to licensing issues, PC added when game returned</v>
      </c>
      <c r="O513" s="55" t="str">
        <f>IFERROR(__xludf.DUMMYFUNCTION("""COMPUTED_VALUE"""),"M")</f>
        <v>M</v>
      </c>
      <c r="P513" s="55" t="str">
        <f>IFERROR(__xludf.DUMMYFUNCTION("""COMPUTED_VALUE"""),"Blood, Strong Language, Intense Violence")</f>
        <v>Blood, Strong Language, Intense Violence</v>
      </c>
      <c r="Q513" s="55"/>
      <c r="R513" s="56" t="str">
        <f>IFERROR(__xludf.DUMMYFUNCTION("""COMPUTED_VALUE"""),"Active")</f>
        <v>Active</v>
      </c>
      <c r="S513" s="57">
        <f>IFERROR(__xludf.DUMMYFUNCTION("""COMPUTED_VALUE"""),45547.0)</f>
        <v>45547</v>
      </c>
      <c r="T513" s="60">
        <f>IFERROR(__xludf.DUMMYFUNCTION("""COMPUTED_VALUE"""),72.36666666666667)</f>
        <v>72.36666667</v>
      </c>
    </row>
    <row r="514">
      <c r="A514" s="55" t="str">
        <f>IFERROR(__xludf.DUMMYFUNCTION("""COMPUTED_VALUE"""),"DOOM (2016)")</f>
        <v>DOOM (2016)</v>
      </c>
      <c r="B514" s="55" t="str">
        <f>IFERROR(__xludf.DUMMYFUNCTION("""COMPUTED_VALUE"""),"Xbox")</f>
        <v>Xbox</v>
      </c>
      <c r="C514" s="55" t="str">
        <f>IFERROR(__xludf.DUMMYFUNCTION("""COMPUTED_VALUE"""),"Yes")</f>
        <v>Yes</v>
      </c>
      <c r="D514" s="56" t="str">
        <f>IFERROR(__xludf.DUMMYFUNCTION("""COMPUTED_VALUE"""),"Active")</f>
        <v>Active</v>
      </c>
      <c r="E514" s="57">
        <f>IFERROR(__xludf.DUMMYFUNCTION("""COMPUTED_VALUE"""),43322.0)</f>
        <v>43322</v>
      </c>
      <c r="F514" s="58"/>
      <c r="G514" s="60">
        <f>IFERROR(__xludf.DUMMYFUNCTION("""COMPUTED_VALUE"""),97.86666666666666)</f>
        <v>97.86666667</v>
      </c>
      <c r="H514" s="63">
        <f>IFERROR(__xludf.DUMMYFUNCTION("""COMPUTED_VALUE"""),42503.0)</f>
        <v>42503</v>
      </c>
      <c r="I514" s="60">
        <f>IFERROR(__xludf.DUMMYFUNCTION("""COMPUTED_VALUE"""),2.2416666666666667)</f>
        <v>2.241666667</v>
      </c>
      <c r="J514" s="64">
        <f>IFERROR(__xludf.DUMMYFUNCTION("""COMPUTED_VALUE"""),87.0)</f>
        <v>87</v>
      </c>
      <c r="K514" s="64">
        <f>IFERROR(__xludf.DUMMYFUNCTION("""COMPUTED_VALUE"""),11.5)</f>
        <v>11.5</v>
      </c>
      <c r="L514" s="55" t="str">
        <f>IFERROR(__xludf.DUMMYFUNCTION("""COMPUTED_VALUE"""),"Shooter")</f>
        <v>Shooter</v>
      </c>
      <c r="M514" s="55"/>
      <c r="N514" s="55" t="str">
        <f>IFERROR(__xludf.DUMMYFUNCTION("""COMPUTED_VALUE"""),"Game Pass Essential launch title (9/14/23)")</f>
        <v>Game Pass Essential launch title (9/14/23)</v>
      </c>
      <c r="O514" s="55" t="str">
        <f>IFERROR(__xludf.DUMMYFUNCTION("""COMPUTED_VALUE"""),"M")</f>
        <v>M</v>
      </c>
      <c r="P514" s="55" t="str">
        <f>IFERROR(__xludf.DUMMYFUNCTION("""COMPUTED_VALUE"""),"Blood and Gore, Strong Language, Intense Violence")</f>
        <v>Blood and Gore, Strong Language, Intense Violence</v>
      </c>
      <c r="Q514" s="55"/>
      <c r="R514" s="56" t="str">
        <f>IFERROR(__xludf.DUMMYFUNCTION("""COMPUTED_VALUE"""),"Active")</f>
        <v>Active</v>
      </c>
      <c r="S514" s="57">
        <f>IFERROR(__xludf.DUMMYFUNCTION("""COMPUTED_VALUE"""),45547.0)</f>
        <v>45547</v>
      </c>
      <c r="T514" s="60">
        <f>IFERROR(__xludf.DUMMYFUNCTION("""COMPUTED_VALUE"""),73.06666666666666)</f>
        <v>73.06666667</v>
      </c>
    </row>
    <row r="515">
      <c r="A515" s="55" t="str">
        <f>IFERROR(__xludf.DUMMYFUNCTION("""COMPUTED_VALUE"""),"RAGE")</f>
        <v>RAGE</v>
      </c>
      <c r="B515" s="55" t="str">
        <f>IFERROR(__xludf.DUMMYFUNCTION("""COMPUTED_VALUE"""),"Xbox")</f>
        <v>Xbox</v>
      </c>
      <c r="C515" s="55" t="str">
        <f>IFERROR(__xludf.DUMMYFUNCTION("""COMPUTED_VALUE"""),"Yes")</f>
        <v>Yes</v>
      </c>
      <c r="D515" s="56" t="str">
        <f>IFERROR(__xludf.DUMMYFUNCTION("""COMPUTED_VALUE"""),"Active")</f>
        <v>Active</v>
      </c>
      <c r="E515" s="57">
        <f>IFERROR(__xludf.DUMMYFUNCTION("""COMPUTED_VALUE"""),43313.0)</f>
        <v>43313</v>
      </c>
      <c r="F515" s="58"/>
      <c r="G515" s="60">
        <f>IFERROR(__xludf.DUMMYFUNCTION("""COMPUTED_VALUE"""),98.16666666666666)</f>
        <v>98.16666667</v>
      </c>
      <c r="H515" s="63">
        <f>IFERROR(__xludf.DUMMYFUNCTION("""COMPUTED_VALUE"""),40820.0)</f>
        <v>40820</v>
      </c>
      <c r="I515" s="60">
        <f>IFERROR(__xludf.DUMMYFUNCTION("""COMPUTED_VALUE"""),6.825)</f>
        <v>6.825</v>
      </c>
      <c r="J515" s="64">
        <f>IFERROR(__xludf.DUMMYFUNCTION("""COMPUTED_VALUE"""),81.0)</f>
        <v>81</v>
      </c>
      <c r="K515" s="64">
        <f>IFERROR(__xludf.DUMMYFUNCTION("""COMPUTED_VALUE"""),11.0)</f>
        <v>11</v>
      </c>
      <c r="L515" s="55" t="str">
        <f>IFERROR(__xludf.DUMMYFUNCTION("""COMPUTED_VALUE"""),"Shooter")</f>
        <v>Shooter</v>
      </c>
      <c r="M515" s="55"/>
      <c r="N515" s="55"/>
      <c r="O515" s="55" t="str">
        <f>IFERROR(__xludf.DUMMYFUNCTION("""COMPUTED_VALUE"""),"M")</f>
        <v>M</v>
      </c>
      <c r="P515" s="55" t="str">
        <f>IFERROR(__xludf.DUMMYFUNCTION("""COMPUTED_VALUE"""),"Blood and Gore, Intense Violence, Strong Language")</f>
        <v>Blood and Gore, Intense Violence, Strong Language</v>
      </c>
      <c r="Q515" s="55" t="str">
        <f>IFERROR(__xludf.DUMMYFUNCTION("""COMPUTED_VALUE"""),"Xbox 360")</f>
        <v>Xbox 360</v>
      </c>
      <c r="R515" s="56" t="str">
        <f>IFERROR(__xludf.DUMMYFUNCTION("""COMPUTED_VALUE"""),"Active")</f>
        <v>Active</v>
      </c>
      <c r="S515" s="57">
        <f>IFERROR(__xludf.DUMMYFUNCTION("""COMPUTED_VALUE"""),45547.0)</f>
        <v>45547</v>
      </c>
      <c r="T515" s="60">
        <f>IFERROR(__xludf.DUMMYFUNCTION("""COMPUTED_VALUE"""),73.36666666666667)</f>
        <v>73.36666667</v>
      </c>
    </row>
    <row r="516">
      <c r="A516" s="55" t="str">
        <f>IFERROR(__xludf.DUMMYFUNCTION("""COMPUTED_VALUE"""),"Rush: A Disney Pixar Adventure")</f>
        <v>Rush: A Disney Pixar Adventure</v>
      </c>
      <c r="B516" s="55" t="str">
        <f>IFERROR(__xludf.DUMMYFUNCTION("""COMPUTED_VALUE"""),"Xbox / PC")</f>
        <v>Xbox / PC</v>
      </c>
      <c r="C516" s="55" t="str">
        <f>IFERROR(__xludf.DUMMYFUNCTION("""COMPUTED_VALUE"""),"Yes")</f>
        <v>Yes</v>
      </c>
      <c r="D516" s="56" t="str">
        <f>IFERROR(__xludf.DUMMYFUNCTION("""COMPUTED_VALUE"""),"Active")</f>
        <v>Active</v>
      </c>
      <c r="E516" s="57">
        <f>IFERROR(__xludf.DUMMYFUNCTION("""COMPUTED_VALUE"""),43313.0)</f>
        <v>43313</v>
      </c>
      <c r="F516" s="58"/>
      <c r="G516" s="60">
        <f>IFERROR(__xludf.DUMMYFUNCTION("""COMPUTED_VALUE"""),98.16666666666666)</f>
        <v>98.16666667</v>
      </c>
      <c r="H516" s="63">
        <f>IFERROR(__xludf.DUMMYFUNCTION("""COMPUTED_VALUE"""),40988.0)</f>
        <v>40988</v>
      </c>
      <c r="I516" s="60">
        <f>IFERROR(__xludf.DUMMYFUNCTION("""COMPUTED_VALUE"""),6.363888888888889)</f>
        <v>6.363888889</v>
      </c>
      <c r="J516" s="64">
        <f>IFERROR(__xludf.DUMMYFUNCTION("""COMPUTED_VALUE"""),68.0)</f>
        <v>68</v>
      </c>
      <c r="K516" s="64">
        <f>IFERROR(__xludf.DUMMYFUNCTION("""COMPUTED_VALUE"""),3.0)</f>
        <v>3</v>
      </c>
      <c r="L516" s="55" t="str">
        <f>IFERROR(__xludf.DUMMYFUNCTION("""COMPUTED_VALUE"""),"Platformer")</f>
        <v>Platformer</v>
      </c>
      <c r="M516" s="55"/>
      <c r="N516" s="55"/>
      <c r="O516" s="55" t="str">
        <f>IFERROR(__xludf.DUMMYFUNCTION("""COMPUTED_VALUE"""),"E10+")</f>
        <v>E10+</v>
      </c>
      <c r="P516" s="55" t="str">
        <f>IFERROR(__xludf.DUMMYFUNCTION("""COMPUTED_VALUE"""),"Cartoon Violence")</f>
        <v>Cartoon Violence</v>
      </c>
      <c r="Q516" s="55"/>
      <c r="R516" s="56" t="str">
        <f>IFERROR(__xludf.DUMMYFUNCTION("""COMPUTED_VALUE"""),"Active")</f>
        <v>Active</v>
      </c>
      <c r="S516" s="57">
        <f>IFERROR(__xludf.DUMMYFUNCTION("""COMPUTED_VALUE"""),45547.0)</f>
        <v>45547</v>
      </c>
      <c r="T516" s="60">
        <f>IFERROR(__xludf.DUMMYFUNCTION("""COMPUTED_VALUE"""),73.36666666666667)</f>
        <v>73.36666667</v>
      </c>
    </row>
    <row r="517">
      <c r="A517" s="55" t="str">
        <f>IFERROR(__xludf.DUMMYFUNCTION("""COMPUTED_VALUE"""),"Ryse: Son of Rome")</f>
        <v>Ryse: Son of Rome</v>
      </c>
      <c r="B517" s="55" t="str">
        <f>IFERROR(__xludf.DUMMYFUNCTION("""COMPUTED_VALUE"""),"Xbox")</f>
        <v>Xbox</v>
      </c>
      <c r="C517" s="55" t="str">
        <f>IFERROR(__xludf.DUMMYFUNCTION("""COMPUTED_VALUE"""),"Yes")</f>
        <v>Yes</v>
      </c>
      <c r="D517" s="56" t="str">
        <f>IFERROR(__xludf.DUMMYFUNCTION("""COMPUTED_VALUE"""),"Active")</f>
        <v>Active</v>
      </c>
      <c r="E517" s="57">
        <f>IFERROR(__xludf.DUMMYFUNCTION("""COMPUTED_VALUE"""),43313.0)</f>
        <v>43313</v>
      </c>
      <c r="F517" s="58"/>
      <c r="G517" s="60">
        <f>IFERROR(__xludf.DUMMYFUNCTION("""COMPUTED_VALUE"""),98.16666666666666)</f>
        <v>98.16666667</v>
      </c>
      <c r="H517" s="63">
        <f>IFERROR(__xludf.DUMMYFUNCTION("""COMPUTED_VALUE"""),41600.0)</f>
        <v>41600</v>
      </c>
      <c r="I517" s="60">
        <f>IFERROR(__xludf.DUMMYFUNCTION("""COMPUTED_VALUE"""),4.691666666666666)</f>
        <v>4.691666667</v>
      </c>
      <c r="J517" s="64">
        <f>IFERROR(__xludf.DUMMYFUNCTION("""COMPUTED_VALUE"""),60.0)</f>
        <v>60</v>
      </c>
      <c r="K517" s="64">
        <f>IFERROR(__xludf.DUMMYFUNCTION("""COMPUTED_VALUE"""),6.5)</f>
        <v>6.5</v>
      </c>
      <c r="L517" s="55" t="str">
        <f>IFERROR(__xludf.DUMMYFUNCTION("""COMPUTED_VALUE"""),"Action-Adventure")</f>
        <v>Action-Adventure</v>
      </c>
      <c r="M517" s="55"/>
      <c r="N517" s="55" t="str">
        <f>IFERROR(__xludf.DUMMYFUNCTION("""COMPUTED_VALUE"""),"Joined cloud 2/18/25")</f>
        <v>Joined cloud 2/18/25</v>
      </c>
      <c r="O517" s="55" t="str">
        <f>IFERROR(__xludf.DUMMYFUNCTION("""COMPUTED_VALUE"""),"M")</f>
        <v>M</v>
      </c>
      <c r="P517" s="55" t="str">
        <f>IFERROR(__xludf.DUMMYFUNCTION("""COMPUTED_VALUE"""),"Blood and Gore, Sexual Content, Partial Nudity, Strong Language, Intense Violence")</f>
        <v>Blood and Gore, Sexual Content, Partial Nudity, Strong Language, Intense Violence</v>
      </c>
      <c r="Q517" s="55"/>
      <c r="R517" s="56" t="str">
        <f>IFERROR(__xludf.DUMMYFUNCTION("""COMPUTED_VALUE"""),"Active")</f>
        <v>Active</v>
      </c>
      <c r="S517" s="57">
        <f>IFERROR(__xludf.DUMMYFUNCTION("""COMPUTED_VALUE"""),45547.0)</f>
        <v>45547</v>
      </c>
      <c r="T517" s="60">
        <f>IFERROR(__xludf.DUMMYFUNCTION("""COMPUTED_VALUE"""),73.36666666666667)</f>
        <v>73.36666667</v>
      </c>
    </row>
    <row r="518">
      <c r="A518" s="55" t="str">
        <f>IFERROR(__xludf.DUMMYFUNCTION("""COMPUTED_VALUE"""),"Fallout 3: Game of the Year Edition")</f>
        <v>Fallout 3: Game of the Year Edition</v>
      </c>
      <c r="B518" s="55" t="str">
        <f>IFERROR(__xludf.DUMMYFUNCTION("""COMPUTED_VALUE"""),"Xbox / PC")</f>
        <v>Xbox / PC</v>
      </c>
      <c r="C518" s="55" t="str">
        <f>IFERROR(__xludf.DUMMYFUNCTION("""COMPUTED_VALUE"""),"Yes")</f>
        <v>Yes</v>
      </c>
      <c r="D518" s="56" t="str">
        <f>IFERROR(__xludf.DUMMYFUNCTION("""COMPUTED_VALUE"""),"Active")</f>
        <v>Active</v>
      </c>
      <c r="E518" s="57">
        <f>IFERROR(__xludf.DUMMYFUNCTION("""COMPUTED_VALUE"""),43282.0)</f>
        <v>43282</v>
      </c>
      <c r="F518" s="58"/>
      <c r="G518" s="60">
        <f>IFERROR(__xludf.DUMMYFUNCTION("""COMPUTED_VALUE"""),99.16666666666667)</f>
        <v>99.16666667</v>
      </c>
      <c r="H518" s="63">
        <f>IFERROR(__xludf.DUMMYFUNCTION("""COMPUTED_VALUE"""),39749.0)</f>
        <v>39749</v>
      </c>
      <c r="I518" s="60">
        <f>IFERROR(__xludf.DUMMYFUNCTION("""COMPUTED_VALUE"""),9.675)</f>
        <v>9.675</v>
      </c>
      <c r="J518" s="64">
        <f>IFERROR(__xludf.DUMMYFUNCTION("""COMPUTED_VALUE"""),93.0)</f>
        <v>93</v>
      </c>
      <c r="K518" s="64">
        <f>IFERROR(__xludf.DUMMYFUNCTION("""COMPUTED_VALUE"""),22.5)</f>
        <v>22.5</v>
      </c>
      <c r="L518" s="55" t="str">
        <f>IFERROR(__xludf.DUMMYFUNCTION("""COMPUTED_VALUE"""),"Shooter")</f>
        <v>Shooter</v>
      </c>
      <c r="M518" s="55" t="str">
        <f>IFERROR(__xludf.DUMMYFUNCTION("""COMPUTED_VALUE"""),"FPS Boost")</f>
        <v>FPS Boost</v>
      </c>
      <c r="N518" s="55" t="str">
        <f>IFERROR(__xludf.DUMMYFUNCTION("""COMPUTED_VALUE"""),"Official PC Mod Support, enhanced edition only on PC")</f>
        <v>Official PC Mod Support, enhanced edition only on PC</v>
      </c>
      <c r="O518" s="55" t="str">
        <f>IFERROR(__xludf.DUMMYFUNCTION("""COMPUTED_VALUE"""),"M")</f>
        <v>M</v>
      </c>
      <c r="P518" s="55" t="str">
        <f>IFERROR(__xludf.DUMMYFUNCTION("""COMPUTED_VALUE"""),"Blood and Gore, Intense Violence, Sexual Themes, Strong Language, Use of Drugs")</f>
        <v>Blood and Gore, Intense Violence, Sexual Themes, Strong Language, Use of Drugs</v>
      </c>
      <c r="Q518" s="55" t="str">
        <f>IFERROR(__xludf.DUMMYFUNCTION("""COMPUTED_VALUE"""),"Xbox 360")</f>
        <v>Xbox 360</v>
      </c>
      <c r="R518" s="56" t="str">
        <f>IFERROR(__xludf.DUMMYFUNCTION("""COMPUTED_VALUE"""),"Active")</f>
        <v>Active</v>
      </c>
      <c r="S518" s="57">
        <f>IFERROR(__xludf.DUMMYFUNCTION("""COMPUTED_VALUE"""),45547.0)</f>
        <v>45547</v>
      </c>
      <c r="T518" s="60">
        <f>IFERROR(__xludf.DUMMYFUNCTION("""COMPUTED_VALUE"""),74.36666666666666)</f>
        <v>74.36666667</v>
      </c>
    </row>
    <row r="519">
      <c r="A519" s="55" t="str">
        <f>IFERROR(__xludf.DUMMYFUNCTION("""COMPUTED_VALUE"""),"Human: Fall Flat")</f>
        <v>Human: Fall Flat</v>
      </c>
      <c r="B519" s="55" t="str">
        <f>IFERROR(__xludf.DUMMYFUNCTION("""COMPUTED_VALUE"""),"Xbox / PC")</f>
        <v>Xbox / PC</v>
      </c>
      <c r="C519" s="55" t="str">
        <f>IFERROR(__xludf.DUMMYFUNCTION("""COMPUTED_VALUE"""),"Yes")</f>
        <v>Yes</v>
      </c>
      <c r="D519" s="56" t="str">
        <f>IFERROR(__xludf.DUMMYFUNCTION("""COMPUTED_VALUE"""),"Active")</f>
        <v>Active</v>
      </c>
      <c r="E519" s="57">
        <f>IFERROR(__xludf.DUMMYFUNCTION("""COMPUTED_VALUE"""),43282.0)</f>
        <v>43282</v>
      </c>
      <c r="F519" s="58"/>
      <c r="G519" s="60">
        <f>IFERROR(__xludf.DUMMYFUNCTION("""COMPUTED_VALUE"""),99.16666666666667)</f>
        <v>99.16666667</v>
      </c>
      <c r="H519" s="63">
        <f>IFERROR(__xludf.DUMMYFUNCTION("""COMPUTED_VALUE"""),42573.0)</f>
        <v>42573</v>
      </c>
      <c r="I519" s="60">
        <f>IFERROR(__xludf.DUMMYFUNCTION("""COMPUTED_VALUE"""),1.9416666666666667)</f>
        <v>1.941666667</v>
      </c>
      <c r="J519" s="64">
        <f>IFERROR(__xludf.DUMMYFUNCTION("""COMPUTED_VALUE"""),73.0)</f>
        <v>73</v>
      </c>
      <c r="K519" s="64">
        <f>IFERROR(__xludf.DUMMYFUNCTION("""COMPUTED_VALUE"""),5.5)</f>
        <v>5.5</v>
      </c>
      <c r="L519" s="55" t="str">
        <f>IFERROR(__xludf.DUMMYFUNCTION("""COMPUTED_VALUE"""),"Puzzle")</f>
        <v>Puzzle</v>
      </c>
      <c r="M519" s="55" t="str">
        <f>IFERROR(__xludf.DUMMYFUNCTION("""COMPUTED_VALUE"""),"Optimized")</f>
        <v>Optimized</v>
      </c>
      <c r="N519" s="55" t="str">
        <f>IFERROR(__xludf.DUMMYFUNCTION("""COMPUTED_VALUE"""),"Game Pass Essential launch title (9/14/23)")</f>
        <v>Game Pass Essential launch title (9/14/23)</v>
      </c>
      <c r="O519" s="55" t="str">
        <f>IFERROR(__xludf.DUMMYFUNCTION("""COMPUTED_VALUE"""),"E")</f>
        <v>E</v>
      </c>
      <c r="P519" s="55"/>
      <c r="Q519" s="55"/>
      <c r="R519" s="56" t="str">
        <f>IFERROR(__xludf.DUMMYFUNCTION("""COMPUTED_VALUE"""),"Active")</f>
        <v>Active</v>
      </c>
      <c r="S519" s="57">
        <f>IFERROR(__xludf.DUMMYFUNCTION("""COMPUTED_VALUE"""),45547.0)</f>
        <v>45547</v>
      </c>
      <c r="T519" s="60">
        <f>IFERROR(__xludf.DUMMYFUNCTION("""COMPUTED_VALUE"""),74.36666666666666)</f>
        <v>74.36666667</v>
      </c>
    </row>
    <row r="520">
      <c r="A520" s="55" t="str">
        <f>IFERROR(__xludf.DUMMYFUNCTION("""COMPUTED_VALUE"""),"The Elder Scrolls IV: Oblivion")</f>
        <v>The Elder Scrolls IV: Oblivion</v>
      </c>
      <c r="B520" s="55" t="str">
        <f>IFERROR(__xludf.DUMMYFUNCTION("""COMPUTED_VALUE"""),"Xbox / PC")</f>
        <v>Xbox / PC</v>
      </c>
      <c r="C520" s="55" t="str">
        <f>IFERROR(__xludf.DUMMYFUNCTION("""COMPUTED_VALUE"""),"Yes")</f>
        <v>Yes</v>
      </c>
      <c r="D520" s="56" t="str">
        <f>IFERROR(__xludf.DUMMYFUNCTION("""COMPUTED_VALUE"""),"Active")</f>
        <v>Active</v>
      </c>
      <c r="E520" s="57">
        <f>IFERROR(__xludf.DUMMYFUNCTION("""COMPUTED_VALUE"""),43282.0)</f>
        <v>43282</v>
      </c>
      <c r="F520" s="58"/>
      <c r="G520" s="60">
        <f>IFERROR(__xludf.DUMMYFUNCTION("""COMPUTED_VALUE"""),99.16666666666667)</f>
        <v>99.16666667</v>
      </c>
      <c r="H520" s="63">
        <f>IFERROR(__xludf.DUMMYFUNCTION("""COMPUTED_VALUE"""),38796.0)</f>
        <v>38796</v>
      </c>
      <c r="I520" s="60">
        <f>IFERROR(__xludf.DUMMYFUNCTION("""COMPUTED_VALUE"""),12.280555555555555)</f>
        <v>12.28055556</v>
      </c>
      <c r="J520" s="64">
        <f>IFERROR(__xludf.DUMMYFUNCTION("""COMPUTED_VALUE"""),94.0)</f>
        <v>94</v>
      </c>
      <c r="K520" s="64">
        <f>IFERROR(__xludf.DUMMYFUNCTION("""COMPUTED_VALUE"""),27.5)</f>
        <v>27.5</v>
      </c>
      <c r="L520" s="55" t="str">
        <f>IFERROR(__xludf.DUMMYFUNCTION("""COMPUTED_VALUE"""),"RPG")</f>
        <v>RPG</v>
      </c>
      <c r="M520" s="55" t="str">
        <f>IFERROR(__xludf.DUMMYFUNCTION("""COMPUTED_VALUE"""),"FPS Boost")</f>
        <v>FPS Boost</v>
      </c>
      <c r="N520" s="55" t="str">
        <f>IFERROR(__xludf.DUMMYFUNCTION("""COMPUTED_VALUE"""),"Official PC Mod Support")</f>
        <v>Official PC Mod Support</v>
      </c>
      <c r="O520" s="55" t="str">
        <f>IFERROR(__xludf.DUMMYFUNCTION("""COMPUTED_VALUE"""),"M")</f>
        <v>M</v>
      </c>
      <c r="P520" s="55" t="str">
        <f>IFERROR(__xludf.DUMMYFUNCTION("""COMPUTED_VALUE"""),"Use of Alcohol, Blood and Gore, Sexual Themes, Violence, Language")</f>
        <v>Use of Alcohol, Blood and Gore, Sexual Themes, Violence, Language</v>
      </c>
      <c r="Q520" s="55" t="str">
        <f>IFERROR(__xludf.DUMMYFUNCTION("""COMPUTED_VALUE"""),"Xbox 360")</f>
        <v>Xbox 360</v>
      </c>
      <c r="R520" s="56" t="str">
        <f>IFERROR(__xludf.DUMMYFUNCTION("""COMPUTED_VALUE"""),"Active")</f>
        <v>Active</v>
      </c>
      <c r="S520" s="57">
        <f>IFERROR(__xludf.DUMMYFUNCTION("""COMPUTED_VALUE"""),45547.0)</f>
        <v>45547</v>
      </c>
      <c r="T520" s="60">
        <f>IFERROR(__xludf.DUMMYFUNCTION("""COMPUTED_VALUE"""),74.36666666666666)</f>
        <v>74.36666667</v>
      </c>
    </row>
    <row r="521">
      <c r="A521" s="55" t="str">
        <f>IFERROR(__xludf.DUMMYFUNCTION("""COMPUTED_VALUE"""),"The Elder Scrolls Online")</f>
        <v>The Elder Scrolls Online</v>
      </c>
      <c r="B521" s="55" t="str">
        <f>IFERROR(__xludf.DUMMYFUNCTION("""COMPUTED_VALUE"""),"Xbox / PC")</f>
        <v>Xbox / PC</v>
      </c>
      <c r="C521" s="55"/>
      <c r="D521" s="56" t="str">
        <f>IFERROR(__xludf.DUMMYFUNCTION("""COMPUTED_VALUE"""),"Active")</f>
        <v>Active</v>
      </c>
      <c r="E521" s="57">
        <f>IFERROR(__xludf.DUMMYFUNCTION("""COMPUTED_VALUE"""),43261.0)</f>
        <v>43261</v>
      </c>
      <c r="F521" s="58"/>
      <c r="G521" s="60">
        <f>IFERROR(__xludf.DUMMYFUNCTION("""COMPUTED_VALUE"""),99.86666666666667)</f>
        <v>99.86666667</v>
      </c>
      <c r="H521" s="63">
        <f>IFERROR(__xludf.DUMMYFUNCTION("""COMPUTED_VALUE"""),41733.0)</f>
        <v>41733</v>
      </c>
      <c r="I521" s="60">
        <f>IFERROR(__xludf.DUMMYFUNCTION("""COMPUTED_VALUE"""),4.183333333333334)</f>
        <v>4.183333333</v>
      </c>
      <c r="J521" s="64">
        <f>IFERROR(__xludf.DUMMYFUNCTION("""COMPUTED_VALUE"""),77.0)</f>
        <v>77</v>
      </c>
      <c r="K521" s="64">
        <f>IFERROR(__xludf.DUMMYFUNCTION("""COMPUTED_VALUE"""),87.0)</f>
        <v>87</v>
      </c>
      <c r="L521" s="55" t="str">
        <f>IFERROR(__xludf.DUMMYFUNCTION("""COMPUTED_VALUE"""),"MMORPG")</f>
        <v>MMORPG</v>
      </c>
      <c r="M521" s="55"/>
      <c r="N521" s="55" t="str">
        <f>IFERROR(__xludf.DUMMYFUNCTION("""COMPUTED_VALUE"""),"Joins PC 6/2/26. Game Pass Essential launch title (9/14/23), Temporarily removed from cloud 2/22/22 due to disconnect issues, reinstated 12/20/22")</f>
        <v>Joins PC 6/2/26. Game Pass Essential launch title (9/14/23), Temporarily removed from cloud 2/22/22 due to disconnect issues, reinstated 12/20/22</v>
      </c>
      <c r="O521" s="55" t="str">
        <f>IFERROR(__xludf.DUMMYFUNCTION("""COMPUTED_VALUE"""),"M")</f>
        <v>M</v>
      </c>
      <c r="P521" s="55" t="str">
        <f>IFERROR(__xludf.DUMMYFUNCTION("""COMPUTED_VALUE"""),"Use of Alcohol, Blood and Gore, Sexual Themes, Violence")</f>
        <v>Use of Alcohol, Blood and Gore, Sexual Themes, Violence</v>
      </c>
      <c r="Q521" s="55"/>
      <c r="R521" s="56" t="str">
        <f>IFERROR(__xludf.DUMMYFUNCTION("""COMPUTED_VALUE"""),"Active")</f>
        <v>Active</v>
      </c>
      <c r="S521" s="57">
        <f>IFERROR(__xludf.DUMMYFUNCTION("""COMPUTED_VALUE"""),45547.0)</f>
        <v>45547</v>
      </c>
      <c r="T521" s="60">
        <f>IFERROR(__xludf.DUMMYFUNCTION("""COMPUTED_VALUE"""),75.06666666666666)</f>
        <v>75.06666667</v>
      </c>
    </row>
    <row r="522">
      <c r="A522" s="55" t="str">
        <f>IFERROR(__xludf.DUMMYFUNCTION("""COMPUTED_VALUE"""),"Disneyland Adventures")</f>
        <v>Disneyland Adventures</v>
      </c>
      <c r="B522" s="55" t="str">
        <f>IFERROR(__xludf.DUMMYFUNCTION("""COMPUTED_VALUE"""),"Xbox / PC")</f>
        <v>Xbox / PC</v>
      </c>
      <c r="C522" s="55" t="str">
        <f>IFERROR(__xludf.DUMMYFUNCTION("""COMPUTED_VALUE"""),"Yes")</f>
        <v>Yes</v>
      </c>
      <c r="D522" s="56" t="str">
        <f>IFERROR(__xludf.DUMMYFUNCTION("""COMPUTED_VALUE"""),"Active")</f>
        <v>Active</v>
      </c>
      <c r="E522" s="57">
        <f>IFERROR(__xludf.DUMMYFUNCTION("""COMPUTED_VALUE"""),43252.0)</f>
        <v>43252</v>
      </c>
      <c r="F522" s="58"/>
      <c r="G522" s="60">
        <f>IFERROR(__xludf.DUMMYFUNCTION("""COMPUTED_VALUE"""),100.16666666666666)</f>
        <v>100.1666667</v>
      </c>
      <c r="H522" s="63">
        <f>IFERROR(__xludf.DUMMYFUNCTION("""COMPUTED_VALUE"""),40862.0)</f>
        <v>40862</v>
      </c>
      <c r="I522" s="60">
        <f>IFERROR(__xludf.DUMMYFUNCTION("""COMPUTED_VALUE"""),6.544444444444444)</f>
        <v>6.544444444</v>
      </c>
      <c r="J522" s="64">
        <f>IFERROR(__xludf.DUMMYFUNCTION("""COMPUTED_VALUE"""),67.0)</f>
        <v>67</v>
      </c>
      <c r="K522" s="64">
        <f>IFERROR(__xludf.DUMMYFUNCTION("""COMPUTED_VALUE"""),16.0)</f>
        <v>16</v>
      </c>
      <c r="L522" s="55" t="str">
        <f>IFERROR(__xludf.DUMMYFUNCTION("""COMPUTED_VALUE"""),"Adventure")</f>
        <v>Adventure</v>
      </c>
      <c r="M522" s="55"/>
      <c r="N522" s="55"/>
      <c r="O522" s="55" t="str">
        <f>IFERROR(__xludf.DUMMYFUNCTION("""COMPUTED_VALUE"""),"E10+")</f>
        <v>E10+</v>
      </c>
      <c r="P522" s="55"/>
      <c r="Q522" s="55"/>
      <c r="R522" s="56" t="str">
        <f>IFERROR(__xludf.DUMMYFUNCTION("""COMPUTED_VALUE"""),"Active")</f>
        <v>Active</v>
      </c>
      <c r="S522" s="57">
        <f>IFERROR(__xludf.DUMMYFUNCTION("""COMPUTED_VALUE"""),45547.0)</f>
        <v>45547</v>
      </c>
      <c r="T522" s="60">
        <f>IFERROR(__xludf.DUMMYFUNCTION("""COMPUTED_VALUE"""),75.36666666666667)</f>
        <v>75.36666667</v>
      </c>
    </row>
    <row r="523">
      <c r="A523" s="55" t="str">
        <f>IFERROR(__xludf.DUMMYFUNCTION("""COMPUTED_VALUE"""),"Wasteland 2: Director's Cut")</f>
        <v>Wasteland 2: Director's Cut</v>
      </c>
      <c r="B523" s="55" t="str">
        <f>IFERROR(__xludf.DUMMYFUNCTION("""COMPUTED_VALUE"""),"Xbox / PC")</f>
        <v>Xbox / PC</v>
      </c>
      <c r="C523" s="55" t="str">
        <f>IFERROR(__xludf.DUMMYFUNCTION("""COMPUTED_VALUE"""),"Touch Controls")</f>
        <v>Touch Controls</v>
      </c>
      <c r="D523" s="56" t="str">
        <f>IFERROR(__xludf.DUMMYFUNCTION("""COMPUTED_VALUE"""),"Active")</f>
        <v>Active</v>
      </c>
      <c r="E523" s="57">
        <f>IFERROR(__xludf.DUMMYFUNCTION("""COMPUTED_VALUE"""),43252.0)</f>
        <v>43252</v>
      </c>
      <c r="F523" s="58"/>
      <c r="G523" s="60">
        <f>IFERROR(__xludf.DUMMYFUNCTION("""COMPUTED_VALUE"""),100.16666666666666)</f>
        <v>100.1666667</v>
      </c>
      <c r="H523" s="63">
        <f>IFERROR(__xludf.DUMMYFUNCTION("""COMPUTED_VALUE"""),41900.0)</f>
        <v>41900</v>
      </c>
      <c r="I523" s="60">
        <f>IFERROR(__xludf.DUMMYFUNCTION("""COMPUTED_VALUE"""),3.702777777777778)</f>
        <v>3.702777778</v>
      </c>
      <c r="J523" s="64">
        <f>IFERROR(__xludf.DUMMYFUNCTION("""COMPUTED_VALUE"""),77.0)</f>
        <v>77</v>
      </c>
      <c r="K523" s="64">
        <f>IFERROR(__xludf.DUMMYFUNCTION("""COMPUTED_VALUE"""),39.5)</f>
        <v>39.5</v>
      </c>
      <c r="L523" s="55" t="str">
        <f>IFERROR(__xludf.DUMMYFUNCTION("""COMPUTED_VALUE"""),"RPG")</f>
        <v>RPG</v>
      </c>
      <c r="M523" s="55"/>
      <c r="N523" s="55"/>
      <c r="O523" s="55" t="str">
        <f>IFERROR(__xludf.DUMMYFUNCTION("""COMPUTED_VALUE"""),"M")</f>
        <v>M</v>
      </c>
      <c r="P523" s="55" t="str">
        <f>IFERROR(__xludf.DUMMYFUNCTION("""COMPUTED_VALUE"""),"Blood and Gore, Sexual Content, Drug Reference, Strong Language, Violence")</f>
        <v>Blood and Gore, Sexual Content, Drug Reference, Strong Language, Violence</v>
      </c>
      <c r="Q523" s="55"/>
      <c r="R523" s="56" t="str">
        <f>IFERROR(__xludf.DUMMYFUNCTION("""COMPUTED_VALUE"""),"Active")</f>
        <v>Active</v>
      </c>
      <c r="S523" s="57">
        <f>IFERROR(__xludf.DUMMYFUNCTION("""COMPUTED_VALUE"""),45547.0)</f>
        <v>45547</v>
      </c>
      <c r="T523" s="60">
        <f>IFERROR(__xludf.DUMMYFUNCTION("""COMPUTED_VALUE"""),75.36666666666667)</f>
        <v>75.36666667</v>
      </c>
    </row>
    <row r="524">
      <c r="A524" s="55" t="str">
        <f>IFERROR(__xludf.DUMMYFUNCTION("""COMPUTED_VALUE"""),"State of Decay 2: Juggernaut Edition")</f>
        <v>State of Decay 2: Juggernaut Edition</v>
      </c>
      <c r="B524" s="55" t="str">
        <f>IFERROR(__xludf.DUMMYFUNCTION("""COMPUTED_VALUE"""),"Xbox / PC")</f>
        <v>Xbox / PC</v>
      </c>
      <c r="C524" s="55" t="str">
        <f>IFERROR(__xludf.DUMMYFUNCTION("""COMPUTED_VALUE"""),"M+KB")</f>
        <v>M+KB</v>
      </c>
      <c r="D524" s="56" t="str">
        <f>IFERROR(__xludf.DUMMYFUNCTION("""COMPUTED_VALUE"""),"Active")</f>
        <v>Active</v>
      </c>
      <c r="E524" s="57">
        <f>IFERROR(__xludf.DUMMYFUNCTION("""COMPUTED_VALUE"""),43242.0)</f>
        <v>43242</v>
      </c>
      <c r="F524" s="58"/>
      <c r="G524" s="60">
        <f>IFERROR(__xludf.DUMMYFUNCTION("""COMPUTED_VALUE"""),100.46666666666667)</f>
        <v>100.4666667</v>
      </c>
      <c r="H524" s="63">
        <f>IFERROR(__xludf.DUMMYFUNCTION("""COMPUTED_VALUE"""),43238.0)</f>
        <v>43238</v>
      </c>
      <c r="I524" s="60">
        <f>IFERROR(__xludf.DUMMYFUNCTION("""COMPUTED_VALUE"""),0.011111111111111112)</f>
        <v>0.01111111111</v>
      </c>
      <c r="J524" s="64">
        <f>IFERROR(__xludf.DUMMYFUNCTION("""COMPUTED_VALUE"""),78.0)</f>
        <v>78</v>
      </c>
      <c r="K524" s="64">
        <f>IFERROR(__xludf.DUMMYFUNCTION("""COMPUTED_VALUE"""),36.5)</f>
        <v>36.5</v>
      </c>
      <c r="L524" s="55" t="str">
        <f>IFERROR(__xludf.DUMMYFUNCTION("""COMPUTED_VALUE"""),"Action-Adventure")</f>
        <v>Action-Adventure</v>
      </c>
      <c r="M524" s="55" t="str">
        <f>IFERROR(__xludf.DUMMYFUNCTION("""COMPUTED_VALUE"""),"Optimized")</f>
        <v>Optimized</v>
      </c>
      <c r="N524" s="55" t="str">
        <f>IFERROR(__xludf.DUMMYFUNCTION("""COMPUTED_VALUE"""),"Game Pass Essential launch title (9/14/23), Official PC Mod Support")</f>
        <v>Game Pass Essential launch title (9/14/23), Official PC Mod Support</v>
      </c>
      <c r="O524" s="55" t="str">
        <f>IFERROR(__xludf.DUMMYFUNCTION("""COMPUTED_VALUE"""),"M")</f>
        <v>M</v>
      </c>
      <c r="P524" s="55" t="str">
        <f>IFERROR(__xludf.DUMMYFUNCTION("""COMPUTED_VALUE"""),"Blood and Gore, Drug Reference, Strong Language, Intense Violence")</f>
        <v>Blood and Gore, Drug Reference, Strong Language, Intense Violence</v>
      </c>
      <c r="Q524" s="55"/>
      <c r="R524" s="56" t="str">
        <f>IFERROR(__xludf.DUMMYFUNCTION("""COMPUTED_VALUE"""),"Active")</f>
        <v>Active</v>
      </c>
      <c r="S524" s="57">
        <f>IFERROR(__xludf.DUMMYFUNCTION("""COMPUTED_VALUE"""),45547.0)</f>
        <v>45547</v>
      </c>
      <c r="T524" s="60">
        <f>IFERROR(__xludf.DUMMYFUNCTION("""COMPUTED_VALUE"""),75.66666666666666)</f>
        <v>75.66666667</v>
      </c>
    </row>
    <row r="525">
      <c r="A525" s="55" t="str">
        <f>IFERROR(__xludf.DUMMYFUNCTION("""COMPUTED_VALUE"""),"Cities: Skylines - Remastered")</f>
        <v>Cities: Skylines - Remastered</v>
      </c>
      <c r="B525" s="55" t="str">
        <f>IFERROR(__xludf.DUMMYFUNCTION("""COMPUTED_VALUE"""),"Xbox / PC")</f>
        <v>Xbox / PC</v>
      </c>
      <c r="C525" s="55" t="str">
        <f>IFERROR(__xludf.DUMMYFUNCTION("""COMPUTED_VALUE"""),"M+KB")</f>
        <v>M+KB</v>
      </c>
      <c r="D525" s="56" t="str">
        <f>IFERROR(__xludf.DUMMYFUNCTION("""COMPUTED_VALUE"""),"Active")</f>
        <v>Active</v>
      </c>
      <c r="E525" s="57">
        <f>IFERROR(__xludf.DUMMYFUNCTION("""COMPUTED_VALUE"""),43191.0)</f>
        <v>43191</v>
      </c>
      <c r="F525" s="58"/>
      <c r="G525" s="60">
        <f>IFERROR(__xludf.DUMMYFUNCTION("""COMPUTED_VALUE"""),102.16666666666667)</f>
        <v>102.1666667</v>
      </c>
      <c r="H525" s="63">
        <f>IFERROR(__xludf.DUMMYFUNCTION("""COMPUTED_VALUE"""),42073.0)</f>
        <v>42073</v>
      </c>
      <c r="I525" s="60">
        <f>IFERROR(__xludf.DUMMYFUNCTION("""COMPUTED_VALUE"""),3.058333333333333)</f>
        <v>3.058333333</v>
      </c>
      <c r="J525" s="64">
        <f>IFERROR(__xludf.DUMMYFUNCTION("""COMPUTED_VALUE"""),83.0)</f>
        <v>83</v>
      </c>
      <c r="K525" s="64">
        <f>IFERROR(__xludf.DUMMYFUNCTION("""COMPUTED_VALUE"""),25.5)</f>
        <v>25.5</v>
      </c>
      <c r="L525" s="55" t="str">
        <f>IFERROR(__xludf.DUMMYFUNCTION("""COMPUTED_VALUE"""),"Simulation")</f>
        <v>Simulation</v>
      </c>
      <c r="M525" s="55"/>
      <c r="N525" s="55" t="str">
        <f>IFERROR(__xludf.DUMMYFUNCTION("""COMPUTED_VALUE"""),"Game Pass Essential (10/1/25). Remasted coming to Xbox Series X|S and cloud exclusively beginning 2/15/23. PC version is not remastered")</f>
        <v>Game Pass Essential (10/1/25). Remasted coming to Xbox Series X|S and cloud exclusively beginning 2/15/23. PC version is not remastered</v>
      </c>
      <c r="O525" s="55" t="str">
        <f>IFERROR(__xludf.DUMMYFUNCTION("""COMPUTED_VALUE"""),"E")</f>
        <v>E</v>
      </c>
      <c r="P525" s="55"/>
      <c r="Q525" s="55"/>
      <c r="R525" s="56" t="str">
        <f>IFERROR(__xludf.DUMMYFUNCTION("""COMPUTED_VALUE"""),"Active")</f>
        <v>Active</v>
      </c>
      <c r="S525" s="57">
        <f>IFERROR(__xludf.DUMMYFUNCTION("""COMPUTED_VALUE"""),45547.0)</f>
        <v>45547</v>
      </c>
      <c r="T525" s="60">
        <f>IFERROR(__xludf.DUMMYFUNCTION("""COMPUTED_VALUE"""),77.36666666666666)</f>
        <v>77.36666667</v>
      </c>
    </row>
    <row r="526">
      <c r="A526" s="55" t="str">
        <f>IFERROR(__xludf.DUMMYFUNCTION("""COMPUTED_VALUE"""),"theHunter: Call of the Wild")</f>
        <v>theHunter: Call of the Wild</v>
      </c>
      <c r="B526" s="55" t="str">
        <f>IFERROR(__xludf.DUMMYFUNCTION("""COMPUTED_VALUE"""),"Xbox / PC")</f>
        <v>Xbox / PC</v>
      </c>
      <c r="C526" s="55" t="str">
        <f>IFERROR(__xludf.DUMMYFUNCTION("""COMPUTED_VALUE"""),"Yes")</f>
        <v>Yes</v>
      </c>
      <c r="D526" s="56" t="str">
        <f>IFERROR(__xludf.DUMMYFUNCTION("""COMPUTED_VALUE"""),"Active")</f>
        <v>Active</v>
      </c>
      <c r="E526" s="57">
        <f>IFERROR(__xludf.DUMMYFUNCTION("""COMPUTED_VALUE"""),43191.0)</f>
        <v>43191</v>
      </c>
      <c r="F526" s="58"/>
      <c r="G526" s="60">
        <f>IFERROR(__xludf.DUMMYFUNCTION("""COMPUTED_VALUE"""),102.16666666666667)</f>
        <v>102.1666667</v>
      </c>
      <c r="H526" s="63">
        <f>IFERROR(__xludf.DUMMYFUNCTION("""COMPUTED_VALUE"""),42781.0)</f>
        <v>42781</v>
      </c>
      <c r="I526" s="60">
        <f>IFERROR(__xludf.DUMMYFUNCTION("""COMPUTED_VALUE"""),1.1277777777777778)</f>
        <v>1.127777778</v>
      </c>
      <c r="J526" s="64">
        <f>IFERROR(__xludf.DUMMYFUNCTION("""COMPUTED_VALUE"""),83.0)</f>
        <v>83</v>
      </c>
      <c r="K526" s="64">
        <f>IFERROR(__xludf.DUMMYFUNCTION("""COMPUTED_VALUE"""),20.5)</f>
        <v>20.5</v>
      </c>
      <c r="L526" s="55" t="str">
        <f>IFERROR(__xludf.DUMMYFUNCTION("""COMPUTED_VALUE"""),"Shooter")</f>
        <v>Shooter</v>
      </c>
      <c r="M526" s="55"/>
      <c r="N526" s="55" t="str">
        <f>IFERROR(__xludf.DUMMYFUNCTION("""COMPUTED_VALUE"""),"Joined PC 12/1/2021")</f>
        <v>Joined PC 12/1/2021</v>
      </c>
      <c r="O526" s="55" t="str">
        <f>IFERROR(__xludf.DUMMYFUNCTION("""COMPUTED_VALUE"""),"T")</f>
        <v>T</v>
      </c>
      <c r="P526" s="55" t="str">
        <f>IFERROR(__xludf.DUMMYFUNCTION("""COMPUTED_VALUE"""),"Blood, Violence")</f>
        <v>Blood, Violence</v>
      </c>
      <c r="Q526" s="55"/>
      <c r="R526" s="56" t="str">
        <f>IFERROR(__xludf.DUMMYFUNCTION("""COMPUTED_VALUE"""),"Active")</f>
        <v>Active</v>
      </c>
      <c r="S526" s="57">
        <f>IFERROR(__xludf.DUMMYFUNCTION("""COMPUTED_VALUE"""),45547.0)</f>
        <v>45547</v>
      </c>
      <c r="T526" s="60">
        <f>IFERROR(__xludf.DUMMYFUNCTION("""COMPUTED_VALUE"""),77.36666666666666)</f>
        <v>77.36666667</v>
      </c>
    </row>
    <row r="527">
      <c r="A527" s="55" t="str">
        <f>IFERROR(__xludf.DUMMYFUNCTION("""COMPUTED_VALUE"""),"Sea of Thieves")</f>
        <v>Sea of Thieves</v>
      </c>
      <c r="B527" s="55" t="str">
        <f>IFERROR(__xludf.DUMMYFUNCTION("""COMPUTED_VALUE"""),"Xbox / PC")</f>
        <v>Xbox / PC</v>
      </c>
      <c r="C527" s="55" t="str">
        <f>IFERROR(__xludf.DUMMYFUNCTION("""COMPUTED_VALUE"""),"Touch Controls, M+KB")</f>
        <v>Touch Controls, M+KB</v>
      </c>
      <c r="D527" s="56" t="str">
        <f>IFERROR(__xludf.DUMMYFUNCTION("""COMPUTED_VALUE"""),"Active")</f>
        <v>Active</v>
      </c>
      <c r="E527" s="57">
        <f>IFERROR(__xludf.DUMMYFUNCTION("""COMPUTED_VALUE"""),43179.0)</f>
        <v>43179</v>
      </c>
      <c r="F527" s="58"/>
      <c r="G527" s="60">
        <f>IFERROR(__xludf.DUMMYFUNCTION("""COMPUTED_VALUE"""),102.53333333333333)</f>
        <v>102.5333333</v>
      </c>
      <c r="H527" s="63">
        <f>IFERROR(__xludf.DUMMYFUNCTION("""COMPUTED_VALUE"""),43179.0)</f>
        <v>43179</v>
      </c>
      <c r="I527" s="60">
        <f>IFERROR(__xludf.DUMMYFUNCTION("""COMPUTED_VALUE"""),0.0)</f>
        <v>0</v>
      </c>
      <c r="J527" s="64">
        <f>IFERROR(__xludf.DUMMYFUNCTION("""COMPUTED_VALUE"""),69.0)</f>
        <v>69</v>
      </c>
      <c r="K527" s="64">
        <f>IFERROR(__xludf.DUMMYFUNCTION("""COMPUTED_VALUE"""),33.5)</f>
        <v>33.5</v>
      </c>
      <c r="L527" s="55" t="str">
        <f>IFERROR(__xludf.DUMMYFUNCTION("""COMPUTED_VALUE"""),"Action-Adventure")</f>
        <v>Action-Adventure</v>
      </c>
      <c r="M527" s="55" t="str">
        <f>IFERROR(__xludf.DUMMYFUNCTION("""COMPUTED_VALUE"""),"Optimized")</f>
        <v>Optimized</v>
      </c>
      <c r="N527" s="55"/>
      <c r="O527" s="55" t="str">
        <f>IFERROR(__xludf.DUMMYFUNCTION("""COMPUTED_VALUE"""),"T")</f>
        <v>T</v>
      </c>
      <c r="P527" s="55" t="str">
        <f>IFERROR(__xludf.DUMMYFUNCTION("""COMPUTED_VALUE"""),"Use of Alcohol, Crude Humor, Violence")</f>
        <v>Use of Alcohol, Crude Humor, Violence</v>
      </c>
      <c r="Q527" s="55"/>
      <c r="R527" s="56" t="str">
        <f>IFERROR(__xludf.DUMMYFUNCTION("""COMPUTED_VALUE"""),"Active")</f>
        <v>Active</v>
      </c>
      <c r="S527" s="57">
        <f>IFERROR(__xludf.DUMMYFUNCTION("""COMPUTED_VALUE"""),45547.0)</f>
        <v>45547</v>
      </c>
      <c r="T527" s="60">
        <f>IFERROR(__xludf.DUMMYFUNCTION("""COMPUTED_VALUE"""),77.73333333333333)</f>
        <v>77.73333333</v>
      </c>
    </row>
    <row r="528">
      <c r="A528" s="55" t="str">
        <f>IFERROR(__xludf.DUMMYFUNCTION("""COMPUTED_VALUE"""),"Super Lucky's Tale")</f>
        <v>Super Lucky's Tale</v>
      </c>
      <c r="B528" s="55" t="str">
        <f>IFERROR(__xludf.DUMMYFUNCTION("""COMPUTED_VALUE"""),"Xbox / PC")</f>
        <v>Xbox / PC</v>
      </c>
      <c r="C528" s="55"/>
      <c r="D528" s="56" t="str">
        <f>IFERROR(__xludf.DUMMYFUNCTION("""COMPUTED_VALUE"""),"Active")</f>
        <v>Active</v>
      </c>
      <c r="E528" s="57">
        <f>IFERROR(__xludf.DUMMYFUNCTION("""COMPUTED_VALUE"""),43160.0)</f>
        <v>43160</v>
      </c>
      <c r="F528" s="58"/>
      <c r="G528" s="60">
        <f>IFERROR(__xludf.DUMMYFUNCTION("""COMPUTED_VALUE"""),103.16666666666666)</f>
        <v>103.1666667</v>
      </c>
      <c r="H528" s="63">
        <f>IFERROR(__xludf.DUMMYFUNCTION("""COMPUTED_VALUE"""),43046.0)</f>
        <v>43046</v>
      </c>
      <c r="I528" s="60">
        <f>IFERROR(__xludf.DUMMYFUNCTION("""COMPUTED_VALUE"""),0.31666666666666665)</f>
        <v>0.3166666667</v>
      </c>
      <c r="J528" s="64">
        <f>IFERROR(__xludf.DUMMYFUNCTION("""COMPUTED_VALUE"""),64.0)</f>
        <v>64</v>
      </c>
      <c r="K528" s="64">
        <f>IFERROR(__xludf.DUMMYFUNCTION("""COMPUTED_VALUE"""),6.0)</f>
        <v>6</v>
      </c>
      <c r="L528" s="55" t="str">
        <f>IFERROR(__xludf.DUMMYFUNCTION("""COMPUTED_VALUE"""),"Platformer")</f>
        <v>Platformer</v>
      </c>
      <c r="M528" s="55" t="str">
        <f>IFERROR(__xludf.DUMMYFUNCTION("""COMPUTED_VALUE"""),"FPS Boost")</f>
        <v>FPS Boost</v>
      </c>
      <c r="N528" s="55"/>
      <c r="O528" s="55" t="str">
        <f>IFERROR(__xludf.DUMMYFUNCTION("""COMPUTED_VALUE"""),"E")</f>
        <v>E</v>
      </c>
      <c r="P528" s="55" t="str">
        <f>IFERROR(__xludf.DUMMYFUNCTION("""COMPUTED_VALUE"""),"Mild Cartoon Violence")</f>
        <v>Mild Cartoon Violence</v>
      </c>
      <c r="Q528" s="55"/>
      <c r="R528" s="56" t="str">
        <f>IFERROR(__xludf.DUMMYFUNCTION("""COMPUTED_VALUE"""),"Active")</f>
        <v>Active</v>
      </c>
      <c r="S528" s="57">
        <f>IFERROR(__xludf.DUMMYFUNCTION("""COMPUTED_VALUE"""),45547.0)</f>
        <v>45547</v>
      </c>
      <c r="T528" s="60">
        <f>IFERROR(__xludf.DUMMYFUNCTION("""COMPUTED_VALUE"""),78.36666666666667)</f>
        <v>78.36666667</v>
      </c>
    </row>
    <row r="529">
      <c r="A529" s="55" t="str">
        <f>IFERROR(__xludf.DUMMYFUNCTION("""COMPUTED_VALUE"""),"Fable Anniversary")</f>
        <v>Fable Anniversary</v>
      </c>
      <c r="B529" s="55" t="str">
        <f>IFERROR(__xludf.DUMMYFUNCTION("""COMPUTED_VALUE"""),"Xbox")</f>
        <v>Xbox</v>
      </c>
      <c r="C529" s="55" t="str">
        <f>IFERROR(__xludf.DUMMYFUNCTION("""COMPUTED_VALUE"""),"Touch Controls")</f>
        <v>Touch Controls</v>
      </c>
      <c r="D529" s="56" t="str">
        <f>IFERROR(__xludf.DUMMYFUNCTION("""COMPUTED_VALUE"""),"Active")</f>
        <v>Active</v>
      </c>
      <c r="E529" s="57">
        <f>IFERROR(__xludf.DUMMYFUNCTION("""COMPUTED_VALUE"""),43132.0)</f>
        <v>43132</v>
      </c>
      <c r="F529" s="58"/>
      <c r="G529" s="60">
        <f>IFERROR(__xludf.DUMMYFUNCTION("""COMPUTED_VALUE"""),104.16666666666666)</f>
        <v>104.1666667</v>
      </c>
      <c r="H529" s="63">
        <f>IFERROR(__xludf.DUMMYFUNCTION("""COMPUTED_VALUE"""),41674.0)</f>
        <v>41674</v>
      </c>
      <c r="I529" s="60">
        <f>IFERROR(__xludf.DUMMYFUNCTION("""COMPUTED_VALUE"""),3.9916666666666667)</f>
        <v>3.991666667</v>
      </c>
      <c r="J529" s="64">
        <f>IFERROR(__xludf.DUMMYFUNCTION("""COMPUTED_VALUE"""),68.0)</f>
        <v>68</v>
      </c>
      <c r="K529" s="64">
        <f>IFERROR(__xludf.DUMMYFUNCTION("""COMPUTED_VALUE"""),14.0)</f>
        <v>14</v>
      </c>
      <c r="L529" s="55" t="str">
        <f>IFERROR(__xludf.DUMMYFUNCTION("""COMPUTED_VALUE"""),"RPG")</f>
        <v>RPG</v>
      </c>
      <c r="M529" s="55"/>
      <c r="N529" s="55" t="str">
        <f>IFERROR(__xludf.DUMMYFUNCTION("""COMPUTED_VALUE"""),"Game Pass Essential launch title (9/14/23)")</f>
        <v>Game Pass Essential launch title (9/14/23)</v>
      </c>
      <c r="O529" s="55" t="str">
        <f>IFERROR(__xludf.DUMMYFUNCTION("""COMPUTED_VALUE"""),"M")</f>
        <v>M</v>
      </c>
      <c r="P529" s="55" t="str">
        <f>IFERROR(__xludf.DUMMYFUNCTION("""COMPUTED_VALUE"""),"Blood and Gore, Language, Use of Alcohol, Violence, Sexual Content")</f>
        <v>Blood and Gore, Language, Use of Alcohol, Violence, Sexual Content</v>
      </c>
      <c r="Q529" s="55" t="str">
        <f>IFERROR(__xludf.DUMMYFUNCTION("""COMPUTED_VALUE"""),"Xbox 360")</f>
        <v>Xbox 360</v>
      </c>
      <c r="R529" s="56" t="str">
        <f>IFERROR(__xludf.DUMMYFUNCTION("""COMPUTED_VALUE"""),"Active")</f>
        <v>Active</v>
      </c>
      <c r="S529" s="57">
        <f>IFERROR(__xludf.DUMMYFUNCTION("""COMPUTED_VALUE"""),45547.0)</f>
        <v>45547</v>
      </c>
      <c r="T529" s="60">
        <f>IFERROR(__xludf.DUMMYFUNCTION("""COMPUTED_VALUE"""),79.36666666666667)</f>
        <v>79.36666667</v>
      </c>
    </row>
    <row r="530">
      <c r="A530" s="55" t="str">
        <f>IFERROR(__xludf.DUMMYFUNCTION("""COMPUTED_VALUE"""),"Halo Wars 2")</f>
        <v>Halo Wars 2</v>
      </c>
      <c r="B530" s="55" t="str">
        <f>IFERROR(__xludf.DUMMYFUNCTION("""COMPUTED_VALUE"""),"Xbox / PC")</f>
        <v>Xbox / PC</v>
      </c>
      <c r="C530" s="55" t="str">
        <f>IFERROR(__xludf.DUMMYFUNCTION("""COMPUTED_VALUE"""),"Touch Controls")</f>
        <v>Touch Controls</v>
      </c>
      <c r="D530" s="56" t="str">
        <f>IFERROR(__xludf.DUMMYFUNCTION("""COMPUTED_VALUE"""),"Active")</f>
        <v>Active</v>
      </c>
      <c r="E530" s="57">
        <f>IFERROR(__xludf.DUMMYFUNCTION("""COMPUTED_VALUE"""),43132.0)</f>
        <v>43132</v>
      </c>
      <c r="F530" s="58"/>
      <c r="G530" s="60">
        <f>IFERROR(__xludf.DUMMYFUNCTION("""COMPUTED_VALUE"""),104.16666666666666)</f>
        <v>104.1666667</v>
      </c>
      <c r="H530" s="63">
        <f>IFERROR(__xludf.DUMMYFUNCTION("""COMPUTED_VALUE"""),42783.0)</f>
        <v>42783</v>
      </c>
      <c r="I530" s="60">
        <f>IFERROR(__xludf.DUMMYFUNCTION("""COMPUTED_VALUE"""),0.9555555555555556)</f>
        <v>0.9555555556</v>
      </c>
      <c r="J530" s="64">
        <f>IFERROR(__xludf.DUMMYFUNCTION("""COMPUTED_VALUE"""),79.0)</f>
        <v>79</v>
      </c>
      <c r="K530" s="64">
        <f>IFERROR(__xludf.DUMMYFUNCTION("""COMPUTED_VALUE"""),8.0)</f>
        <v>8</v>
      </c>
      <c r="L530" s="55" t="str">
        <f>IFERROR(__xludf.DUMMYFUNCTION("""COMPUTED_VALUE"""),"Real-Time Strategy")</f>
        <v>Real-Time Strategy</v>
      </c>
      <c r="M530" s="55" t="str">
        <f>IFERROR(__xludf.DUMMYFUNCTION("""COMPUTED_VALUE"""),"FPS Boost")</f>
        <v>FPS Boost</v>
      </c>
      <c r="N530" s="55" t="str">
        <f>IFERROR(__xludf.DUMMYFUNCTION("""COMPUTED_VALUE"""),"Game Pass Essential launch title (9/14/23)")</f>
        <v>Game Pass Essential launch title (9/14/23)</v>
      </c>
      <c r="O530" s="55" t="str">
        <f>IFERROR(__xludf.DUMMYFUNCTION("""COMPUTED_VALUE"""),"T")</f>
        <v>T</v>
      </c>
      <c r="P530" s="55" t="str">
        <f>IFERROR(__xludf.DUMMYFUNCTION("""COMPUTED_VALUE"""),"Mild Blood, Mild Language, Violence")</f>
        <v>Mild Blood, Mild Language, Violence</v>
      </c>
      <c r="Q530" s="55"/>
      <c r="R530" s="56" t="str">
        <f>IFERROR(__xludf.DUMMYFUNCTION("""COMPUTED_VALUE"""),"Active")</f>
        <v>Active</v>
      </c>
      <c r="S530" s="57">
        <f>IFERROR(__xludf.DUMMYFUNCTION("""COMPUTED_VALUE"""),45547.0)</f>
        <v>45547</v>
      </c>
      <c r="T530" s="60">
        <f>IFERROR(__xludf.DUMMYFUNCTION("""COMPUTED_VALUE"""),79.36666666666667)</f>
        <v>79.36666667</v>
      </c>
    </row>
    <row r="531">
      <c r="A531" s="55" t="str">
        <f>IFERROR(__xludf.DUMMYFUNCTION("""COMPUTED_VALUE"""),"Zoo Tycoon: Ultimate Animal Collection")</f>
        <v>Zoo Tycoon: Ultimate Animal Collection</v>
      </c>
      <c r="B531" s="55" t="str">
        <f>IFERROR(__xludf.DUMMYFUNCTION("""COMPUTED_VALUE"""),"Xbox / PC")</f>
        <v>Xbox / PC</v>
      </c>
      <c r="C531" s="55"/>
      <c r="D531" s="56" t="str">
        <f>IFERROR(__xludf.DUMMYFUNCTION("""COMPUTED_VALUE"""),"Active")</f>
        <v>Active</v>
      </c>
      <c r="E531" s="57">
        <f>IFERROR(__xludf.DUMMYFUNCTION("""COMPUTED_VALUE"""),43101.0)</f>
        <v>43101</v>
      </c>
      <c r="F531" s="58"/>
      <c r="G531" s="60">
        <f>IFERROR(__xludf.DUMMYFUNCTION("""COMPUTED_VALUE"""),105.16666666666667)</f>
        <v>105.1666667</v>
      </c>
      <c r="H531" s="63">
        <f>IFERROR(__xludf.DUMMYFUNCTION("""COMPUTED_VALUE"""),43039.0)</f>
        <v>43039</v>
      </c>
      <c r="I531" s="60">
        <f>IFERROR(__xludf.DUMMYFUNCTION("""COMPUTED_VALUE"""),0.16944444444444445)</f>
        <v>0.1694444444</v>
      </c>
      <c r="J531" s="64">
        <f>IFERROR(__xludf.DUMMYFUNCTION("""COMPUTED_VALUE"""),68.0)</f>
        <v>68</v>
      </c>
      <c r="K531" s="64">
        <f>IFERROR(__xludf.DUMMYFUNCTION("""COMPUTED_VALUE"""),14.0)</f>
        <v>14</v>
      </c>
      <c r="L531" s="55" t="str">
        <f>IFERROR(__xludf.DUMMYFUNCTION("""COMPUTED_VALUE"""),"Simulation")</f>
        <v>Simulation</v>
      </c>
      <c r="M531" s="55"/>
      <c r="N531" s="55"/>
      <c r="O531" s="55" t="str">
        <f>IFERROR(__xludf.DUMMYFUNCTION("""COMPUTED_VALUE"""),"E")</f>
        <v>E</v>
      </c>
      <c r="P531" s="55"/>
      <c r="Q531" s="55"/>
      <c r="R531" s="56" t="str">
        <f>IFERROR(__xludf.DUMMYFUNCTION("""COMPUTED_VALUE"""),"Active")</f>
        <v>Active</v>
      </c>
      <c r="S531" s="57">
        <f>IFERROR(__xludf.DUMMYFUNCTION("""COMPUTED_VALUE"""),45547.0)</f>
        <v>45547</v>
      </c>
      <c r="T531" s="60">
        <f>IFERROR(__xludf.DUMMYFUNCTION("""COMPUTED_VALUE"""),80.36666666666666)</f>
        <v>80.36666667</v>
      </c>
    </row>
    <row r="532">
      <c r="A532" s="55" t="str">
        <f>IFERROR(__xludf.DUMMYFUNCTION("""COMPUTED_VALUE"""),"Gears of War 4")</f>
        <v>Gears of War 4</v>
      </c>
      <c r="B532" s="55" t="str">
        <f>IFERROR(__xludf.DUMMYFUNCTION("""COMPUTED_VALUE"""),"Xbox / PC")</f>
        <v>Xbox / PC</v>
      </c>
      <c r="C532" s="55" t="str">
        <f>IFERROR(__xludf.DUMMYFUNCTION("""COMPUTED_VALUE"""),"Yes")</f>
        <v>Yes</v>
      </c>
      <c r="D532" s="56" t="str">
        <f>IFERROR(__xludf.DUMMYFUNCTION("""COMPUTED_VALUE"""),"Active")</f>
        <v>Active</v>
      </c>
      <c r="E532" s="57">
        <f>IFERROR(__xludf.DUMMYFUNCTION("""COMPUTED_VALUE"""),43070.0)</f>
        <v>43070</v>
      </c>
      <c r="F532" s="58"/>
      <c r="G532" s="60">
        <f>IFERROR(__xludf.DUMMYFUNCTION("""COMPUTED_VALUE"""),106.16666666666666)</f>
        <v>106.1666667</v>
      </c>
      <c r="H532" s="63">
        <f>IFERROR(__xludf.DUMMYFUNCTION("""COMPUTED_VALUE"""),42650.0)</f>
        <v>42650</v>
      </c>
      <c r="I532" s="60">
        <f>IFERROR(__xludf.DUMMYFUNCTION("""COMPUTED_VALUE"""),1.15)</f>
        <v>1.15</v>
      </c>
      <c r="J532" s="64">
        <f>IFERROR(__xludf.DUMMYFUNCTION("""COMPUTED_VALUE"""),84.0)</f>
        <v>84</v>
      </c>
      <c r="K532" s="64">
        <f>IFERROR(__xludf.DUMMYFUNCTION("""COMPUTED_VALUE"""),9.0)</f>
        <v>9</v>
      </c>
      <c r="L532" s="55" t="str">
        <f>IFERROR(__xludf.DUMMYFUNCTION("""COMPUTED_VALUE"""),"Shooter")</f>
        <v>Shooter</v>
      </c>
      <c r="M532" s="55" t="str">
        <f>IFERROR(__xludf.DUMMYFUNCTION("""COMPUTED_VALUE"""),"FPS Boost")</f>
        <v>FPS Boost</v>
      </c>
      <c r="N532" s="55"/>
      <c r="O532" s="55" t="str">
        <f>IFERROR(__xludf.DUMMYFUNCTION("""COMPUTED_VALUE"""),"M")</f>
        <v>M</v>
      </c>
      <c r="P532" s="55" t="str">
        <f>IFERROR(__xludf.DUMMYFUNCTION("""COMPUTED_VALUE"""),"Blood and Gore, Strong Language, Intense Violence")</f>
        <v>Blood and Gore, Strong Language, Intense Violence</v>
      </c>
      <c r="Q532" s="55"/>
      <c r="R532" s="56" t="str">
        <f>IFERROR(__xludf.DUMMYFUNCTION("""COMPUTED_VALUE"""),"Active")</f>
        <v>Active</v>
      </c>
      <c r="S532" s="57">
        <f>IFERROR(__xludf.DUMMYFUNCTION("""COMPUTED_VALUE"""),45547.0)</f>
        <v>45547</v>
      </c>
      <c r="T532" s="60">
        <f>IFERROR(__xludf.DUMMYFUNCTION("""COMPUTED_VALUE"""),81.36666666666667)</f>
        <v>81.36666667</v>
      </c>
    </row>
    <row r="533">
      <c r="A533" s="55" t="str">
        <f>IFERROR(__xludf.DUMMYFUNCTION("""COMPUTED_VALUE"""),"Mass Effect")</f>
        <v>Mass Effect</v>
      </c>
      <c r="B533" s="55" t="str">
        <f>IFERROR(__xludf.DUMMYFUNCTION("""COMPUTED_VALUE"""),"Xbox / PC")</f>
        <v>Xbox / PC</v>
      </c>
      <c r="C533" s="55"/>
      <c r="D533" s="56" t="str">
        <f>IFERROR(__xludf.DUMMYFUNCTION("""COMPUTED_VALUE"""),"Active")</f>
        <v>Active</v>
      </c>
      <c r="E533" s="57">
        <f>IFERROR(__xludf.DUMMYFUNCTION("""COMPUTED_VALUE"""),43070.0)</f>
        <v>43070</v>
      </c>
      <c r="F533" s="58"/>
      <c r="G533" s="60">
        <f>IFERROR(__xludf.DUMMYFUNCTION("""COMPUTED_VALUE"""),106.16666666666666)</f>
        <v>106.1666667</v>
      </c>
      <c r="H533" s="63">
        <f>IFERROR(__xludf.DUMMYFUNCTION("""COMPUTED_VALUE"""),39406.0)</f>
        <v>39406</v>
      </c>
      <c r="I533" s="60">
        <f>IFERROR(__xludf.DUMMYFUNCTION("""COMPUTED_VALUE"""),10.030555555555555)</f>
        <v>10.03055556</v>
      </c>
      <c r="J533" s="64">
        <f>IFERROR(__xludf.DUMMYFUNCTION("""COMPUTED_VALUE"""),90.0)</f>
        <v>90</v>
      </c>
      <c r="K533" s="64">
        <f>IFERROR(__xludf.DUMMYFUNCTION("""COMPUTED_VALUE"""),17.0)</f>
        <v>17</v>
      </c>
      <c r="L533" s="55" t="str">
        <f>IFERROR(__xludf.DUMMYFUNCTION("""COMPUTED_VALUE"""),"Shooter")</f>
        <v>Shooter</v>
      </c>
      <c r="M533" s="55"/>
      <c r="N533" s="55"/>
      <c r="O533" s="55" t="str">
        <f>IFERROR(__xludf.DUMMYFUNCTION("""COMPUTED_VALUE"""),"M")</f>
        <v>M</v>
      </c>
      <c r="P533" s="55" t="str">
        <f>IFERROR(__xludf.DUMMYFUNCTION("""COMPUTED_VALUE"""),"Blood, Sexual Themes, Partial Nudity, Violence, Language")</f>
        <v>Blood, Sexual Themes, Partial Nudity, Violence, Language</v>
      </c>
      <c r="Q533" s="55" t="str">
        <f>IFERROR(__xludf.DUMMYFUNCTION("""COMPUTED_VALUE"""),"Xbox 360")</f>
        <v>Xbox 360</v>
      </c>
      <c r="R533" s="56" t="str">
        <f>IFERROR(__xludf.DUMMYFUNCTION("""COMPUTED_VALUE"""),"Active")</f>
        <v>Active</v>
      </c>
      <c r="S533" s="57">
        <f>IFERROR(__xludf.DUMMYFUNCTION("""COMPUTED_VALUE"""),45547.0)</f>
        <v>45547</v>
      </c>
      <c r="T533" s="60">
        <f>IFERROR(__xludf.DUMMYFUNCTION("""COMPUTED_VALUE"""),81.36666666666667)</f>
        <v>81.36666667</v>
      </c>
    </row>
    <row r="534">
      <c r="A534" s="55" t="str">
        <f>IFERROR(__xludf.DUMMYFUNCTION("""COMPUTED_VALUE"""),"Halo Wars: Definitive Edition")</f>
        <v>Halo Wars: Definitive Edition</v>
      </c>
      <c r="B534" s="55" t="str">
        <f>IFERROR(__xludf.DUMMYFUNCTION("""COMPUTED_VALUE"""),"Xbox / PC")</f>
        <v>Xbox / PC</v>
      </c>
      <c r="C534" s="55" t="str">
        <f>IFERROR(__xludf.DUMMYFUNCTION("""COMPUTED_VALUE"""),"Touch Controls")</f>
        <v>Touch Controls</v>
      </c>
      <c r="D534" s="56" t="str">
        <f>IFERROR(__xludf.DUMMYFUNCTION("""COMPUTED_VALUE"""),"Active")</f>
        <v>Active</v>
      </c>
      <c r="E534" s="57">
        <f>IFERROR(__xludf.DUMMYFUNCTION("""COMPUTED_VALUE"""),43040.0)</f>
        <v>43040</v>
      </c>
      <c r="F534" s="58"/>
      <c r="G534" s="60">
        <f>IFERROR(__xludf.DUMMYFUNCTION("""COMPUTED_VALUE"""),107.16666666666666)</f>
        <v>107.1666667</v>
      </c>
      <c r="H534" s="63">
        <f>IFERROR(__xludf.DUMMYFUNCTION("""COMPUTED_VALUE"""),39870.0)</f>
        <v>39870</v>
      </c>
      <c r="I534" s="60">
        <f>IFERROR(__xludf.DUMMYFUNCTION("""COMPUTED_VALUE"""),8.680555555555555)</f>
        <v>8.680555556</v>
      </c>
      <c r="J534" s="64">
        <f>IFERROR(__xludf.DUMMYFUNCTION("""COMPUTED_VALUE"""),81.0)</f>
        <v>81</v>
      </c>
      <c r="K534" s="64">
        <f>IFERROR(__xludf.DUMMYFUNCTION("""COMPUTED_VALUE"""),9.0)</f>
        <v>9</v>
      </c>
      <c r="L534" s="55" t="str">
        <f>IFERROR(__xludf.DUMMYFUNCTION("""COMPUTED_VALUE"""),"RPG")</f>
        <v>RPG</v>
      </c>
      <c r="M534" s="55"/>
      <c r="N534" s="55"/>
      <c r="O534" s="55" t="str">
        <f>IFERROR(__xludf.DUMMYFUNCTION("""COMPUTED_VALUE"""),"T")</f>
        <v>T</v>
      </c>
      <c r="P534" s="55" t="str">
        <f>IFERROR(__xludf.DUMMYFUNCTION("""COMPUTED_VALUE"""),"Violence, Mild Blood, Mild Language")</f>
        <v>Violence, Mild Blood, Mild Language</v>
      </c>
      <c r="Q534" s="55"/>
      <c r="R534" s="56" t="str">
        <f>IFERROR(__xludf.DUMMYFUNCTION("""COMPUTED_VALUE"""),"Active")</f>
        <v>Active</v>
      </c>
      <c r="S534" s="57">
        <f>IFERROR(__xludf.DUMMYFUNCTION("""COMPUTED_VALUE"""),45547.0)</f>
        <v>45547</v>
      </c>
      <c r="T534" s="60">
        <f>IFERROR(__xludf.DUMMYFUNCTION("""COMPUTED_VALUE"""),82.36666666666667)</f>
        <v>82.36666667</v>
      </c>
    </row>
    <row r="535">
      <c r="A535" s="55" t="str">
        <f>IFERROR(__xludf.DUMMYFUNCTION("""COMPUTED_VALUE"""),"Costume Quest 2")</f>
        <v>Costume Quest 2</v>
      </c>
      <c r="B535" s="55" t="str">
        <f>IFERROR(__xludf.DUMMYFUNCTION("""COMPUTED_VALUE"""),"Xbox")</f>
        <v>Xbox</v>
      </c>
      <c r="C535" s="55"/>
      <c r="D535" s="56" t="str">
        <f>IFERROR(__xludf.DUMMYFUNCTION("""COMPUTED_VALUE"""),"Active")</f>
        <v>Active</v>
      </c>
      <c r="E535" s="57">
        <f>IFERROR(__xludf.DUMMYFUNCTION("""COMPUTED_VALUE"""),43009.0)</f>
        <v>43009</v>
      </c>
      <c r="F535" s="58"/>
      <c r="G535" s="60">
        <f>IFERROR(__xludf.DUMMYFUNCTION("""COMPUTED_VALUE"""),108.16666666666667)</f>
        <v>108.1666667</v>
      </c>
      <c r="H535" s="63">
        <f>IFERROR(__xludf.DUMMYFUNCTION("""COMPUTED_VALUE"""),41919.0)</f>
        <v>41919</v>
      </c>
      <c r="I535" s="60">
        <f>IFERROR(__xludf.DUMMYFUNCTION("""COMPUTED_VALUE"""),2.9833333333333334)</f>
        <v>2.983333333</v>
      </c>
      <c r="J535" s="64">
        <f>IFERROR(__xludf.DUMMYFUNCTION("""COMPUTED_VALUE"""),65.0)</f>
        <v>65</v>
      </c>
      <c r="K535" s="64">
        <f>IFERROR(__xludf.DUMMYFUNCTION("""COMPUTED_VALUE"""),6.5)</f>
        <v>6.5</v>
      </c>
      <c r="L535" s="55" t="str">
        <f>IFERROR(__xludf.DUMMYFUNCTION("""COMPUTED_VALUE"""),"RPG")</f>
        <v>RPG</v>
      </c>
      <c r="M535" s="55"/>
      <c r="N535" s="55"/>
      <c r="O535" s="55" t="str">
        <f>IFERROR(__xludf.DUMMYFUNCTION("""COMPUTED_VALUE"""),"E10+")</f>
        <v>E10+</v>
      </c>
      <c r="P535" s="55" t="str">
        <f>IFERROR(__xludf.DUMMYFUNCTION("""COMPUTED_VALUE"""),"Fantasy Violence")</f>
        <v>Fantasy Violence</v>
      </c>
      <c r="Q535" s="55"/>
      <c r="R535" s="56" t="str">
        <f>IFERROR(__xludf.DUMMYFUNCTION("""COMPUTED_VALUE"""),"Active")</f>
        <v>Active</v>
      </c>
      <c r="S535" s="57">
        <f>IFERROR(__xludf.DUMMYFUNCTION("""COMPUTED_VALUE"""),45547.0)</f>
        <v>45547</v>
      </c>
      <c r="T535" s="60">
        <f>IFERROR(__xludf.DUMMYFUNCTION("""COMPUTED_VALUE"""),83.36666666666666)</f>
        <v>83.36666667</v>
      </c>
    </row>
    <row r="536">
      <c r="A536" s="55" t="str">
        <f>IFERROR(__xludf.DUMMYFUNCTION("""COMPUTED_VALUE"""),"State of Decay: Year One Survival Edition")</f>
        <v>State of Decay: Year One Survival Edition</v>
      </c>
      <c r="B536" s="55" t="str">
        <f>IFERROR(__xludf.DUMMYFUNCTION("""COMPUTED_VALUE"""),"Xbox")</f>
        <v>Xbox</v>
      </c>
      <c r="C536" s="55"/>
      <c r="D536" s="56" t="str">
        <f>IFERROR(__xludf.DUMMYFUNCTION("""COMPUTED_VALUE"""),"Active")</f>
        <v>Active</v>
      </c>
      <c r="E536" s="57">
        <f>IFERROR(__xludf.DUMMYFUNCTION("""COMPUTED_VALUE"""),43009.0)</f>
        <v>43009</v>
      </c>
      <c r="F536" s="58"/>
      <c r="G536" s="60">
        <f>IFERROR(__xludf.DUMMYFUNCTION("""COMPUTED_VALUE"""),108.16666666666667)</f>
        <v>108.1666667</v>
      </c>
      <c r="H536" s="63">
        <f>IFERROR(__xludf.DUMMYFUNCTION("""COMPUTED_VALUE"""),42122.0)</f>
        <v>42122</v>
      </c>
      <c r="I536" s="60">
        <f>IFERROR(__xludf.DUMMYFUNCTION("""COMPUTED_VALUE"""),2.425)</f>
        <v>2.425</v>
      </c>
      <c r="J536" s="64">
        <f>IFERROR(__xludf.DUMMYFUNCTION("""COMPUTED_VALUE"""),72.0)</f>
        <v>72</v>
      </c>
      <c r="K536" s="64">
        <f>IFERROR(__xludf.DUMMYFUNCTION("""COMPUTED_VALUE"""),17.5)</f>
        <v>17.5</v>
      </c>
      <c r="L536" s="55" t="str">
        <f>IFERROR(__xludf.DUMMYFUNCTION("""COMPUTED_VALUE"""),"Shooter")</f>
        <v>Shooter</v>
      </c>
      <c r="M536" s="55"/>
      <c r="N536" s="55"/>
      <c r="O536" s="55" t="str">
        <f>IFERROR(__xludf.DUMMYFUNCTION("""COMPUTED_VALUE"""),"M")</f>
        <v>M</v>
      </c>
      <c r="P536" s="55" t="str">
        <f>IFERROR(__xludf.DUMMYFUNCTION("""COMPUTED_VALUE"""),"Blood and Gore, Drug Reference, Strong Language, Intense Violence")</f>
        <v>Blood and Gore, Drug Reference, Strong Language, Intense Violence</v>
      </c>
      <c r="Q536" s="55"/>
      <c r="R536" s="56" t="str">
        <f>IFERROR(__xludf.DUMMYFUNCTION("""COMPUTED_VALUE"""),"Active")</f>
        <v>Active</v>
      </c>
      <c r="S536" s="57">
        <f>IFERROR(__xludf.DUMMYFUNCTION("""COMPUTED_VALUE"""),45547.0)</f>
        <v>45547</v>
      </c>
      <c r="T536" s="60">
        <f>IFERROR(__xludf.DUMMYFUNCTION("""COMPUTED_VALUE"""),83.36666666666666)</f>
        <v>83.36666667</v>
      </c>
    </row>
    <row r="537">
      <c r="A537" s="55" t="str">
        <f>IFERROR(__xludf.DUMMYFUNCTION("""COMPUTED_VALUE"""),"Fable II")</f>
        <v>Fable II</v>
      </c>
      <c r="B537" s="55" t="str">
        <f>IFERROR(__xludf.DUMMYFUNCTION("""COMPUTED_VALUE"""),"Xbox")</f>
        <v>Xbox</v>
      </c>
      <c r="C537" s="55" t="str">
        <f>IFERROR(__xludf.DUMMYFUNCTION("""COMPUTED_VALUE"""),"Touch Controls")</f>
        <v>Touch Controls</v>
      </c>
      <c r="D537" s="56" t="str">
        <f>IFERROR(__xludf.DUMMYFUNCTION("""COMPUTED_VALUE"""),"Active")</f>
        <v>Active</v>
      </c>
      <c r="E537" s="57">
        <f>IFERROR(__xludf.DUMMYFUNCTION("""COMPUTED_VALUE"""),42979.0)</f>
        <v>42979</v>
      </c>
      <c r="F537" s="58"/>
      <c r="G537" s="60">
        <f>IFERROR(__xludf.DUMMYFUNCTION("""COMPUTED_VALUE"""),109.16666666666666)</f>
        <v>109.1666667</v>
      </c>
      <c r="H537" s="63">
        <f>IFERROR(__xludf.DUMMYFUNCTION("""COMPUTED_VALUE"""),39742.0)</f>
        <v>39742</v>
      </c>
      <c r="I537" s="60">
        <f>IFERROR(__xludf.DUMMYFUNCTION("""COMPUTED_VALUE"""),8.86111111111111)</f>
        <v>8.861111111</v>
      </c>
      <c r="J537" s="64">
        <f>IFERROR(__xludf.DUMMYFUNCTION("""COMPUTED_VALUE"""),89.0)</f>
        <v>89</v>
      </c>
      <c r="K537" s="64">
        <f>IFERROR(__xludf.DUMMYFUNCTION("""COMPUTED_VALUE"""),13.0)</f>
        <v>13</v>
      </c>
      <c r="L537" s="55" t="str">
        <f>IFERROR(__xludf.DUMMYFUNCTION("""COMPUTED_VALUE"""),"Adventure")</f>
        <v>Adventure</v>
      </c>
      <c r="M537" s="55"/>
      <c r="N537" s="55"/>
      <c r="O537" s="55" t="str">
        <f>IFERROR(__xludf.DUMMYFUNCTION("""COMPUTED_VALUE"""),"M")</f>
        <v>M</v>
      </c>
      <c r="P537" s="55" t="str">
        <f>IFERROR(__xludf.DUMMYFUNCTION("""COMPUTED_VALUE"""),"Use of Alcohol, Blood, Sexual Themes, Violence, Language")</f>
        <v>Use of Alcohol, Blood, Sexual Themes, Violence, Language</v>
      </c>
      <c r="Q537" s="55" t="str">
        <f>IFERROR(__xludf.DUMMYFUNCTION("""COMPUTED_VALUE"""),"Xbox 360")</f>
        <v>Xbox 360</v>
      </c>
      <c r="R537" s="56" t="str">
        <f>IFERROR(__xludf.DUMMYFUNCTION("""COMPUTED_VALUE"""),"Active")</f>
        <v>Active</v>
      </c>
      <c r="S537" s="57">
        <f>IFERROR(__xludf.DUMMYFUNCTION("""COMPUTED_VALUE"""),45547.0)</f>
        <v>45547</v>
      </c>
      <c r="T537" s="60">
        <f>IFERROR(__xludf.DUMMYFUNCTION("""COMPUTED_VALUE"""),84.36666666666667)</f>
        <v>84.36666667</v>
      </c>
    </row>
    <row r="538">
      <c r="A538" s="55" t="str">
        <f>IFERROR(__xludf.DUMMYFUNCTION("""COMPUTED_VALUE"""),"ReCore: Definitive Edition")</f>
        <v>ReCore: Definitive Edition</v>
      </c>
      <c r="B538" s="55" t="str">
        <f>IFERROR(__xludf.DUMMYFUNCTION("""COMPUTED_VALUE"""),"Xbox / PC")</f>
        <v>Xbox / PC</v>
      </c>
      <c r="C538" s="55" t="str">
        <f>IFERROR(__xludf.DUMMYFUNCTION("""COMPUTED_VALUE"""),"Yes")</f>
        <v>Yes</v>
      </c>
      <c r="D538" s="56" t="str">
        <f>IFERROR(__xludf.DUMMYFUNCTION("""COMPUTED_VALUE"""),"Active")</f>
        <v>Active</v>
      </c>
      <c r="E538" s="57">
        <f>IFERROR(__xludf.DUMMYFUNCTION("""COMPUTED_VALUE"""),42976.0)</f>
        <v>42976</v>
      </c>
      <c r="F538" s="58"/>
      <c r="G538" s="60">
        <f>IFERROR(__xludf.DUMMYFUNCTION("""COMPUTED_VALUE"""),109.23333333333333)</f>
        <v>109.2333333</v>
      </c>
      <c r="H538" s="63">
        <f>IFERROR(__xludf.DUMMYFUNCTION("""COMPUTED_VALUE"""),42626.0)</f>
        <v>42626</v>
      </c>
      <c r="I538" s="60">
        <f>IFERROR(__xludf.DUMMYFUNCTION("""COMPUTED_VALUE"""),0.9611111111111111)</f>
        <v>0.9611111111</v>
      </c>
      <c r="J538" s="64">
        <f>IFERROR(__xludf.DUMMYFUNCTION("""COMPUTED_VALUE"""),61.0)</f>
        <v>61</v>
      </c>
      <c r="K538" s="64">
        <f>IFERROR(__xludf.DUMMYFUNCTION("""COMPUTED_VALUE"""),12.0)</f>
        <v>12</v>
      </c>
      <c r="L538" s="55" t="str">
        <f>IFERROR(__xludf.DUMMYFUNCTION("""COMPUTED_VALUE"""),"Adventure")</f>
        <v>Adventure</v>
      </c>
      <c r="M538" s="55" t="str">
        <f>IFERROR(__xludf.DUMMYFUNCTION("""COMPUTED_VALUE"""),"FPS Boost")</f>
        <v>FPS Boost</v>
      </c>
      <c r="N538" s="55"/>
      <c r="O538" s="55" t="str">
        <f>IFERROR(__xludf.DUMMYFUNCTION("""COMPUTED_VALUE"""),"T")</f>
        <v>T</v>
      </c>
      <c r="P538" s="55" t="str">
        <f>IFERROR(__xludf.DUMMYFUNCTION("""COMPUTED_VALUE"""),"Violence")</f>
        <v>Violence</v>
      </c>
      <c r="Q538" s="55"/>
      <c r="R538" s="56" t="str">
        <f>IFERROR(__xludf.DUMMYFUNCTION("""COMPUTED_VALUE"""),"Active")</f>
        <v>Active</v>
      </c>
      <c r="S538" s="57">
        <f>IFERROR(__xludf.DUMMYFUNCTION("""COMPUTED_VALUE"""),45547.0)</f>
        <v>45547</v>
      </c>
      <c r="T538" s="60">
        <f>IFERROR(__xludf.DUMMYFUNCTION("""COMPUTED_VALUE"""),84.43333333333334)</f>
        <v>84.43333333</v>
      </c>
    </row>
    <row r="539">
      <c r="A539" s="55" t="str">
        <f>IFERROR(__xludf.DUMMYFUNCTION("""COMPUTED_VALUE"""),"Banjo-Kazooie")</f>
        <v>Banjo-Kazooie</v>
      </c>
      <c r="B539" s="55" t="str">
        <f>IFERROR(__xludf.DUMMYFUNCTION("""COMPUTED_VALUE"""),"Xbox")</f>
        <v>Xbox</v>
      </c>
      <c r="C539" s="55" t="str">
        <f>IFERROR(__xludf.DUMMYFUNCTION("""COMPUTED_VALUE"""),"Touch Controls")</f>
        <v>Touch Controls</v>
      </c>
      <c r="D539" s="56" t="str">
        <f>IFERROR(__xludf.DUMMYFUNCTION("""COMPUTED_VALUE"""),"Active")</f>
        <v>Active</v>
      </c>
      <c r="E539" s="57">
        <f>IFERROR(__xludf.DUMMYFUNCTION("""COMPUTED_VALUE"""),42887.0)</f>
        <v>42887</v>
      </c>
      <c r="F539" s="58"/>
      <c r="G539" s="60">
        <f>IFERROR(__xludf.DUMMYFUNCTION("""COMPUTED_VALUE"""),112.16666666666666)</f>
        <v>112.1666667</v>
      </c>
      <c r="H539" s="63">
        <f>IFERROR(__xludf.DUMMYFUNCTION("""COMPUTED_VALUE"""),35975.0)</f>
        <v>35975</v>
      </c>
      <c r="I539" s="60">
        <f>IFERROR(__xludf.DUMMYFUNCTION("""COMPUTED_VALUE"""),18.92222222222222)</f>
        <v>18.92222222</v>
      </c>
      <c r="J539" s="64">
        <f>IFERROR(__xludf.DUMMYFUNCTION("""COMPUTED_VALUE"""),77.0)</f>
        <v>77</v>
      </c>
      <c r="K539" s="64">
        <f>IFERROR(__xludf.DUMMYFUNCTION("""COMPUTED_VALUE"""),11.0)</f>
        <v>11</v>
      </c>
      <c r="L539" s="55" t="str">
        <f>IFERROR(__xludf.DUMMYFUNCTION("""COMPUTED_VALUE"""),"Adventure")</f>
        <v>Adventure</v>
      </c>
      <c r="M539" s="55"/>
      <c r="N539" s="55"/>
      <c r="O539" s="55" t="str">
        <f>IFERROR(__xludf.DUMMYFUNCTION("""COMPUTED_VALUE"""),"E")</f>
        <v>E</v>
      </c>
      <c r="P539" s="55" t="str">
        <f>IFERROR(__xludf.DUMMYFUNCTION("""COMPUTED_VALUE"""),"Violence")</f>
        <v>Violence</v>
      </c>
      <c r="Q539" s="55"/>
      <c r="R539" s="56" t="str">
        <f>IFERROR(__xludf.DUMMYFUNCTION("""COMPUTED_VALUE"""),"Active")</f>
        <v>Active</v>
      </c>
      <c r="S539" s="57">
        <f>IFERROR(__xludf.DUMMYFUNCTION("""COMPUTED_VALUE"""),45547.0)</f>
        <v>45547</v>
      </c>
      <c r="T539" s="60">
        <f>IFERROR(__xludf.DUMMYFUNCTION("""COMPUTED_VALUE"""),87.36666666666667)</f>
        <v>87.36666667</v>
      </c>
    </row>
    <row r="540">
      <c r="A540" s="55" t="str">
        <f>IFERROR(__xludf.DUMMYFUNCTION("""COMPUTED_VALUE"""),"Banjo-Kazooie: Nuts &amp; Bolts")</f>
        <v>Banjo-Kazooie: Nuts &amp; Bolts</v>
      </c>
      <c r="B540" s="55" t="str">
        <f>IFERROR(__xludf.DUMMYFUNCTION("""COMPUTED_VALUE"""),"Xbox")</f>
        <v>Xbox</v>
      </c>
      <c r="C540" s="55" t="str">
        <f>IFERROR(__xludf.DUMMYFUNCTION("""COMPUTED_VALUE"""),"Yes")</f>
        <v>Yes</v>
      </c>
      <c r="D540" s="56" t="str">
        <f>IFERROR(__xludf.DUMMYFUNCTION("""COMPUTED_VALUE"""),"Active")</f>
        <v>Active</v>
      </c>
      <c r="E540" s="57">
        <f>IFERROR(__xludf.DUMMYFUNCTION("""COMPUTED_VALUE"""),42887.0)</f>
        <v>42887</v>
      </c>
      <c r="F540" s="58"/>
      <c r="G540" s="60">
        <f>IFERROR(__xludf.DUMMYFUNCTION("""COMPUTED_VALUE"""),112.16666666666666)</f>
        <v>112.1666667</v>
      </c>
      <c r="H540" s="63">
        <f>IFERROR(__xludf.DUMMYFUNCTION("""COMPUTED_VALUE"""),39763.0)</f>
        <v>39763</v>
      </c>
      <c r="I540" s="60">
        <f>IFERROR(__xludf.DUMMYFUNCTION("""COMPUTED_VALUE"""),8.555555555555555)</f>
        <v>8.555555556</v>
      </c>
      <c r="J540" s="64">
        <f>IFERROR(__xludf.DUMMYFUNCTION("""COMPUTED_VALUE"""),79.0)</f>
        <v>79</v>
      </c>
      <c r="K540" s="64">
        <f>IFERROR(__xludf.DUMMYFUNCTION("""COMPUTED_VALUE"""),15.5)</f>
        <v>15.5</v>
      </c>
      <c r="L540" s="55" t="str">
        <f>IFERROR(__xludf.DUMMYFUNCTION("""COMPUTED_VALUE"""),"Adventure")</f>
        <v>Adventure</v>
      </c>
      <c r="M540" s="55"/>
      <c r="N540" s="55"/>
      <c r="O540" s="55" t="str">
        <f>IFERROR(__xludf.DUMMYFUNCTION("""COMPUTED_VALUE"""),"E10+")</f>
        <v>E10+</v>
      </c>
      <c r="P540" s="55" t="str">
        <f>IFERROR(__xludf.DUMMYFUNCTION("""COMPUTED_VALUE"""),"Crude Humor, Cartoon Violence")</f>
        <v>Crude Humor, Cartoon Violence</v>
      </c>
      <c r="Q540" s="55" t="str">
        <f>IFERROR(__xludf.DUMMYFUNCTION("""COMPUTED_VALUE"""),"Xbox 360")</f>
        <v>Xbox 360</v>
      </c>
      <c r="R540" s="56" t="str">
        <f>IFERROR(__xludf.DUMMYFUNCTION("""COMPUTED_VALUE"""),"Active")</f>
        <v>Active</v>
      </c>
      <c r="S540" s="57">
        <f>IFERROR(__xludf.DUMMYFUNCTION("""COMPUTED_VALUE"""),45547.0)</f>
        <v>45547</v>
      </c>
      <c r="T540" s="60">
        <f>IFERROR(__xludf.DUMMYFUNCTION("""COMPUTED_VALUE"""),87.36666666666667)</f>
        <v>87.36666667</v>
      </c>
    </row>
    <row r="541">
      <c r="A541" s="55" t="str">
        <f>IFERROR(__xludf.DUMMYFUNCTION("""COMPUTED_VALUE"""),"Banjo-Tooie")</f>
        <v>Banjo-Tooie</v>
      </c>
      <c r="B541" s="55" t="str">
        <f>IFERROR(__xludf.DUMMYFUNCTION("""COMPUTED_VALUE"""),"Xbox")</f>
        <v>Xbox</v>
      </c>
      <c r="C541" s="55" t="str">
        <f>IFERROR(__xludf.DUMMYFUNCTION("""COMPUTED_VALUE"""),"Touch Controls")</f>
        <v>Touch Controls</v>
      </c>
      <c r="D541" s="56" t="str">
        <f>IFERROR(__xludf.DUMMYFUNCTION("""COMPUTED_VALUE"""),"Active")</f>
        <v>Active</v>
      </c>
      <c r="E541" s="57">
        <f>IFERROR(__xludf.DUMMYFUNCTION("""COMPUTED_VALUE"""),42887.0)</f>
        <v>42887</v>
      </c>
      <c r="F541" s="58"/>
      <c r="G541" s="60">
        <f>IFERROR(__xludf.DUMMYFUNCTION("""COMPUTED_VALUE"""),112.16666666666666)</f>
        <v>112.1666667</v>
      </c>
      <c r="H541" s="63">
        <f>IFERROR(__xludf.DUMMYFUNCTION("""COMPUTED_VALUE"""),36849.0)</f>
        <v>36849</v>
      </c>
      <c r="I541" s="60">
        <f>IFERROR(__xludf.DUMMYFUNCTION("""COMPUTED_VALUE"""),16.533333333333335)</f>
        <v>16.53333333</v>
      </c>
      <c r="J541" s="64">
        <f>IFERROR(__xludf.DUMMYFUNCTION("""COMPUTED_VALUE"""),73.0)</f>
        <v>73</v>
      </c>
      <c r="K541" s="64">
        <f>IFERROR(__xludf.DUMMYFUNCTION("""COMPUTED_VALUE"""),16.0)</f>
        <v>16</v>
      </c>
      <c r="L541" s="55" t="str">
        <f>IFERROR(__xludf.DUMMYFUNCTION("""COMPUTED_VALUE"""),"Adventure")</f>
        <v>Adventure</v>
      </c>
      <c r="M541" s="55"/>
      <c r="N541" s="55"/>
      <c r="O541" s="55" t="str">
        <f>IFERROR(__xludf.DUMMYFUNCTION("""COMPUTED_VALUE"""),"E")</f>
        <v>E</v>
      </c>
      <c r="P541" s="55"/>
      <c r="Q541" s="55"/>
      <c r="R541" s="56" t="str">
        <f>IFERROR(__xludf.DUMMYFUNCTION("""COMPUTED_VALUE"""),"Active")</f>
        <v>Active</v>
      </c>
      <c r="S541" s="57">
        <f>IFERROR(__xludf.DUMMYFUNCTION("""COMPUTED_VALUE"""),45547.0)</f>
        <v>45547</v>
      </c>
      <c r="T541" s="60">
        <f>IFERROR(__xludf.DUMMYFUNCTION("""COMPUTED_VALUE"""),87.36666666666667)</f>
        <v>87.36666667</v>
      </c>
    </row>
    <row r="542">
      <c r="A542" s="55" t="str">
        <f>IFERROR(__xludf.DUMMYFUNCTION("""COMPUTED_VALUE"""),"Fable III")</f>
        <v>Fable III</v>
      </c>
      <c r="B542" s="55" t="str">
        <f>IFERROR(__xludf.DUMMYFUNCTION("""COMPUTED_VALUE"""),"Xbox")</f>
        <v>Xbox</v>
      </c>
      <c r="C542" s="55" t="str">
        <f>IFERROR(__xludf.DUMMYFUNCTION("""COMPUTED_VALUE"""),"Touch Controls")</f>
        <v>Touch Controls</v>
      </c>
      <c r="D542" s="56" t="str">
        <f>IFERROR(__xludf.DUMMYFUNCTION("""COMPUTED_VALUE"""),"Active")</f>
        <v>Active</v>
      </c>
      <c r="E542" s="57">
        <f>IFERROR(__xludf.DUMMYFUNCTION("""COMPUTED_VALUE"""),42887.0)</f>
        <v>42887</v>
      </c>
      <c r="F542" s="58"/>
      <c r="G542" s="60">
        <f>IFERROR(__xludf.DUMMYFUNCTION("""COMPUTED_VALUE"""),112.16666666666666)</f>
        <v>112.1666667</v>
      </c>
      <c r="H542" s="63">
        <f>IFERROR(__xludf.DUMMYFUNCTION("""COMPUTED_VALUE"""),40477.0)</f>
        <v>40477</v>
      </c>
      <c r="I542" s="60">
        <f>IFERROR(__xludf.DUMMYFUNCTION("""COMPUTED_VALUE"""),6.597222222222222)</f>
        <v>6.597222222</v>
      </c>
      <c r="J542" s="64">
        <f>IFERROR(__xludf.DUMMYFUNCTION("""COMPUTED_VALUE"""),80.0)</f>
        <v>80</v>
      </c>
      <c r="K542" s="64">
        <f>IFERROR(__xludf.DUMMYFUNCTION("""COMPUTED_VALUE"""),12.5)</f>
        <v>12.5</v>
      </c>
      <c r="L542" s="55" t="str">
        <f>IFERROR(__xludf.DUMMYFUNCTION("""COMPUTED_VALUE"""),"Adventure")</f>
        <v>Adventure</v>
      </c>
      <c r="M542" s="55" t="str">
        <f>IFERROR(__xludf.DUMMYFUNCTION("""COMPUTED_VALUE"""),"FPS Boost")</f>
        <v>FPS Boost</v>
      </c>
      <c r="N542" s="55"/>
      <c r="O542" s="55" t="str">
        <f>IFERROR(__xludf.DUMMYFUNCTION("""COMPUTED_VALUE"""),"M")</f>
        <v>M</v>
      </c>
      <c r="P542" s="55" t="str">
        <f>IFERROR(__xludf.DUMMYFUNCTION("""COMPUTED_VALUE"""),"Use of Alcohol, Blood, Sexual Content, Violence, Language")</f>
        <v>Use of Alcohol, Blood, Sexual Content, Violence, Language</v>
      </c>
      <c r="Q542" s="55" t="str">
        <f>IFERROR(__xludf.DUMMYFUNCTION("""COMPUTED_VALUE"""),"Xbox 360")</f>
        <v>Xbox 360</v>
      </c>
      <c r="R542" s="56" t="str">
        <f>IFERROR(__xludf.DUMMYFUNCTION("""COMPUTED_VALUE"""),"Active")</f>
        <v>Active</v>
      </c>
      <c r="S542" s="57">
        <f>IFERROR(__xludf.DUMMYFUNCTION("""COMPUTED_VALUE"""),45547.0)</f>
        <v>45547</v>
      </c>
      <c r="T542" s="60">
        <f>IFERROR(__xludf.DUMMYFUNCTION("""COMPUTED_VALUE"""),87.36666666666667)</f>
        <v>87.36666667</v>
      </c>
    </row>
    <row r="543">
      <c r="A543" s="55" t="str">
        <f>IFERROR(__xludf.DUMMYFUNCTION("""COMPUTED_VALUE"""),"Fuzion Frenzy")</f>
        <v>Fuzion Frenzy</v>
      </c>
      <c r="B543" s="55" t="str">
        <f>IFERROR(__xludf.DUMMYFUNCTION("""COMPUTED_VALUE"""),"Xbox / PC")</f>
        <v>Xbox / PC</v>
      </c>
      <c r="C543" s="55" t="str">
        <f>IFERROR(__xludf.DUMMYFUNCTION("""COMPUTED_VALUE"""),"Touch Controls")</f>
        <v>Touch Controls</v>
      </c>
      <c r="D543" s="56" t="str">
        <f>IFERROR(__xludf.DUMMYFUNCTION("""COMPUTED_VALUE"""),"Active")</f>
        <v>Active</v>
      </c>
      <c r="E543" s="57">
        <f>IFERROR(__xludf.DUMMYFUNCTION("""COMPUTED_VALUE"""),42887.0)</f>
        <v>42887</v>
      </c>
      <c r="F543" s="58"/>
      <c r="G543" s="60">
        <f>IFERROR(__xludf.DUMMYFUNCTION("""COMPUTED_VALUE"""),112.16666666666666)</f>
        <v>112.1666667</v>
      </c>
      <c r="H543" s="63">
        <f>IFERROR(__xludf.DUMMYFUNCTION("""COMPUTED_VALUE"""),37209.0)</f>
        <v>37209</v>
      </c>
      <c r="I543" s="60">
        <f>IFERROR(__xludf.DUMMYFUNCTION("""COMPUTED_VALUE"""),15.547222222222222)</f>
        <v>15.54722222</v>
      </c>
      <c r="J543" s="64">
        <f>IFERROR(__xludf.DUMMYFUNCTION("""COMPUTED_VALUE"""),70.0)</f>
        <v>70</v>
      </c>
      <c r="K543" s="64">
        <f>IFERROR(__xludf.DUMMYFUNCTION("""COMPUTED_VALUE"""),4.0)</f>
        <v>4</v>
      </c>
      <c r="L543" s="55" t="str">
        <f>IFERROR(__xludf.DUMMYFUNCTION("""COMPUTED_VALUE"""),"Minigame Collection")</f>
        <v>Minigame Collection</v>
      </c>
      <c r="M543" s="55"/>
      <c r="N543" s="55" t="str">
        <f>IFERROR(__xludf.DUMMYFUNCTION("""COMPUTED_VALUE"""),"XBOX Backward Compatibility on PC (7/22/26)")</f>
        <v>XBOX Backward Compatibility on PC (7/22/26)</v>
      </c>
      <c r="O543" s="55" t="str">
        <f>IFERROR(__xludf.DUMMYFUNCTION("""COMPUTED_VALUE"""),"E")</f>
        <v>E</v>
      </c>
      <c r="P543" s="55" t="str">
        <f>IFERROR(__xludf.DUMMYFUNCTION("""COMPUTED_VALUE"""),"Violence")</f>
        <v>Violence</v>
      </c>
      <c r="Q543" s="55" t="str">
        <f>IFERROR(__xludf.DUMMYFUNCTION("""COMPUTED_VALUE"""),"OG Xbox")</f>
        <v>OG Xbox</v>
      </c>
      <c r="R543" s="56" t="str">
        <f>IFERROR(__xludf.DUMMYFUNCTION("""COMPUTED_VALUE"""),"Active")</f>
        <v>Active</v>
      </c>
      <c r="S543" s="57">
        <f>IFERROR(__xludf.DUMMYFUNCTION("""COMPUTED_VALUE"""),45547.0)</f>
        <v>45547</v>
      </c>
      <c r="T543" s="60">
        <f>IFERROR(__xludf.DUMMYFUNCTION("""COMPUTED_VALUE"""),87.36666666666667)</f>
        <v>87.36666667</v>
      </c>
    </row>
    <row r="544">
      <c r="A544" s="55" t="str">
        <f>IFERROR(__xludf.DUMMYFUNCTION("""COMPUTED_VALUE"""),"Gears of War")</f>
        <v>Gears of War</v>
      </c>
      <c r="B544" s="55" t="str">
        <f>IFERROR(__xludf.DUMMYFUNCTION("""COMPUTED_VALUE"""),"Xbox")</f>
        <v>Xbox</v>
      </c>
      <c r="C544" s="55"/>
      <c r="D544" s="56" t="str">
        <f>IFERROR(__xludf.DUMMYFUNCTION("""COMPUTED_VALUE"""),"Active")</f>
        <v>Active</v>
      </c>
      <c r="E544" s="57">
        <f>IFERROR(__xludf.DUMMYFUNCTION("""COMPUTED_VALUE"""),42887.0)</f>
        <v>42887</v>
      </c>
      <c r="F544" s="58"/>
      <c r="G544" s="60">
        <f>IFERROR(__xludf.DUMMYFUNCTION("""COMPUTED_VALUE"""),112.16666666666666)</f>
        <v>112.1666667</v>
      </c>
      <c r="H544" s="63">
        <f>IFERROR(__xludf.DUMMYFUNCTION("""COMPUTED_VALUE"""),39028.0)</f>
        <v>39028</v>
      </c>
      <c r="I544" s="60">
        <f>IFERROR(__xludf.DUMMYFUNCTION("""COMPUTED_VALUE"""),10.566666666666666)</f>
        <v>10.56666667</v>
      </c>
      <c r="J544" s="64">
        <f>IFERROR(__xludf.DUMMYFUNCTION("""COMPUTED_VALUE"""),94.0)</f>
        <v>94</v>
      </c>
      <c r="K544" s="64">
        <f>IFERROR(__xludf.DUMMYFUNCTION("""COMPUTED_VALUE"""),9.0)</f>
        <v>9</v>
      </c>
      <c r="L544" s="55" t="str">
        <f>IFERROR(__xludf.DUMMYFUNCTION("""COMPUTED_VALUE"""),"Shooter")</f>
        <v>Shooter</v>
      </c>
      <c r="M544" s="55" t="str">
        <f>IFERROR(__xludf.DUMMYFUNCTION("""COMPUTED_VALUE"""),"FPS Boost")</f>
        <v>FPS Boost</v>
      </c>
      <c r="N544" s="55"/>
      <c r="O544" s="55" t="str">
        <f>IFERROR(__xludf.DUMMYFUNCTION("""COMPUTED_VALUE"""),"M")</f>
        <v>M</v>
      </c>
      <c r="P544" s="55"/>
      <c r="Q544" s="55" t="str">
        <f>IFERROR(__xludf.DUMMYFUNCTION("""COMPUTED_VALUE"""),"Xbox 360")</f>
        <v>Xbox 360</v>
      </c>
      <c r="R544" s="56" t="str">
        <f>IFERROR(__xludf.DUMMYFUNCTION("""COMPUTED_VALUE"""),"Active")</f>
        <v>Active</v>
      </c>
      <c r="S544" s="57">
        <f>IFERROR(__xludf.DUMMYFUNCTION("""COMPUTED_VALUE"""),45547.0)</f>
        <v>45547</v>
      </c>
      <c r="T544" s="60">
        <f>IFERROR(__xludf.DUMMYFUNCTION("""COMPUTED_VALUE"""),87.36666666666667)</f>
        <v>87.36666667</v>
      </c>
    </row>
    <row r="545">
      <c r="A545" s="55" t="str">
        <f>IFERROR(__xludf.DUMMYFUNCTION("""COMPUTED_VALUE"""),"Gears of War 2")</f>
        <v>Gears of War 2</v>
      </c>
      <c r="B545" s="55" t="str">
        <f>IFERROR(__xludf.DUMMYFUNCTION("""COMPUTED_VALUE"""),"Xbox")</f>
        <v>Xbox</v>
      </c>
      <c r="C545" s="55" t="str">
        <f>IFERROR(__xludf.DUMMYFUNCTION("""COMPUTED_VALUE"""),"Yes")</f>
        <v>Yes</v>
      </c>
      <c r="D545" s="56" t="str">
        <f>IFERROR(__xludf.DUMMYFUNCTION("""COMPUTED_VALUE"""),"Active")</f>
        <v>Active</v>
      </c>
      <c r="E545" s="57">
        <f>IFERROR(__xludf.DUMMYFUNCTION("""COMPUTED_VALUE"""),42887.0)</f>
        <v>42887</v>
      </c>
      <c r="F545" s="58"/>
      <c r="G545" s="60">
        <f>IFERROR(__xludf.DUMMYFUNCTION("""COMPUTED_VALUE"""),112.16666666666666)</f>
        <v>112.1666667</v>
      </c>
      <c r="H545" s="63">
        <f>IFERROR(__xludf.DUMMYFUNCTION("""COMPUTED_VALUE"""),39759.0)</f>
        <v>39759</v>
      </c>
      <c r="I545" s="60">
        <f>IFERROR(__xludf.DUMMYFUNCTION("""COMPUTED_VALUE"""),8.566666666666666)</f>
        <v>8.566666667</v>
      </c>
      <c r="J545" s="64">
        <f>IFERROR(__xludf.DUMMYFUNCTION("""COMPUTED_VALUE"""),93.0)</f>
        <v>93</v>
      </c>
      <c r="K545" s="64">
        <f>IFERROR(__xludf.DUMMYFUNCTION("""COMPUTED_VALUE"""),10.0)</f>
        <v>10</v>
      </c>
      <c r="L545" s="55" t="str">
        <f>IFERROR(__xludf.DUMMYFUNCTION("""COMPUTED_VALUE"""),"Shooter")</f>
        <v>Shooter</v>
      </c>
      <c r="M545" s="55" t="str">
        <f>IFERROR(__xludf.DUMMYFUNCTION("""COMPUTED_VALUE"""),"FPS Boost")</f>
        <v>FPS Boost</v>
      </c>
      <c r="N545" s="55"/>
      <c r="O545" s="55" t="str">
        <f>IFERROR(__xludf.DUMMYFUNCTION("""COMPUTED_VALUE"""),"M")</f>
        <v>M</v>
      </c>
      <c r="P545" s="55" t="str">
        <f>IFERROR(__xludf.DUMMYFUNCTION("""COMPUTED_VALUE"""),"Blood and Gore, Strong Language, Intense Violence")</f>
        <v>Blood and Gore, Strong Language, Intense Violence</v>
      </c>
      <c r="Q545" s="55" t="str">
        <f>IFERROR(__xludf.DUMMYFUNCTION("""COMPUTED_VALUE"""),"Xbox 360")</f>
        <v>Xbox 360</v>
      </c>
      <c r="R545" s="56" t="str">
        <f>IFERROR(__xludf.DUMMYFUNCTION("""COMPUTED_VALUE"""),"Active")</f>
        <v>Active</v>
      </c>
      <c r="S545" s="57">
        <f>IFERROR(__xludf.DUMMYFUNCTION("""COMPUTED_VALUE"""),45547.0)</f>
        <v>45547</v>
      </c>
      <c r="T545" s="60">
        <f>IFERROR(__xludf.DUMMYFUNCTION("""COMPUTED_VALUE"""),87.36666666666667)</f>
        <v>87.36666667</v>
      </c>
    </row>
    <row r="546">
      <c r="A546" s="55" t="str">
        <f>IFERROR(__xludf.DUMMYFUNCTION("""COMPUTED_VALUE"""),"Gears of War 3")</f>
        <v>Gears of War 3</v>
      </c>
      <c r="B546" s="55" t="str">
        <f>IFERROR(__xludf.DUMMYFUNCTION("""COMPUTED_VALUE"""),"Xbox")</f>
        <v>Xbox</v>
      </c>
      <c r="C546" s="55" t="str">
        <f>IFERROR(__xludf.DUMMYFUNCTION("""COMPUTED_VALUE"""),"Yes")</f>
        <v>Yes</v>
      </c>
      <c r="D546" s="56" t="str">
        <f>IFERROR(__xludf.DUMMYFUNCTION("""COMPUTED_VALUE"""),"Active")</f>
        <v>Active</v>
      </c>
      <c r="E546" s="57">
        <f>IFERROR(__xludf.DUMMYFUNCTION("""COMPUTED_VALUE"""),42887.0)</f>
        <v>42887</v>
      </c>
      <c r="F546" s="58"/>
      <c r="G546" s="60">
        <f>IFERROR(__xludf.DUMMYFUNCTION("""COMPUTED_VALUE"""),112.16666666666666)</f>
        <v>112.1666667</v>
      </c>
      <c r="H546" s="63">
        <f>IFERROR(__xludf.DUMMYFUNCTION("""COMPUTED_VALUE"""),40806.0)</f>
        <v>40806</v>
      </c>
      <c r="I546" s="60">
        <f>IFERROR(__xludf.DUMMYFUNCTION("""COMPUTED_VALUE"""),5.697222222222222)</f>
        <v>5.697222222</v>
      </c>
      <c r="J546" s="64">
        <f>IFERROR(__xludf.DUMMYFUNCTION("""COMPUTED_VALUE"""),91.0)</f>
        <v>91</v>
      </c>
      <c r="K546" s="64">
        <f>IFERROR(__xludf.DUMMYFUNCTION("""COMPUTED_VALUE"""),9.5)</f>
        <v>9.5</v>
      </c>
      <c r="L546" s="55" t="str">
        <f>IFERROR(__xludf.DUMMYFUNCTION("""COMPUTED_VALUE"""),"Shooter")</f>
        <v>Shooter</v>
      </c>
      <c r="M546" s="55" t="str">
        <f>IFERROR(__xludf.DUMMYFUNCTION("""COMPUTED_VALUE"""),"FPS Boost")</f>
        <v>FPS Boost</v>
      </c>
      <c r="N546" s="55"/>
      <c r="O546" s="55" t="str">
        <f>IFERROR(__xludf.DUMMYFUNCTION("""COMPUTED_VALUE"""),"M")</f>
        <v>M</v>
      </c>
      <c r="P546" s="55" t="str">
        <f>IFERROR(__xludf.DUMMYFUNCTION("""COMPUTED_VALUE"""),"Blood and Gore, Strong Language, Intense Violence")</f>
        <v>Blood and Gore, Strong Language, Intense Violence</v>
      </c>
      <c r="Q546" s="55" t="str">
        <f>IFERROR(__xludf.DUMMYFUNCTION("""COMPUTED_VALUE"""),"Xbox 360")</f>
        <v>Xbox 360</v>
      </c>
      <c r="R546" s="56" t="str">
        <f>IFERROR(__xludf.DUMMYFUNCTION("""COMPUTED_VALUE"""),"Active")</f>
        <v>Active</v>
      </c>
      <c r="S546" s="57">
        <f>IFERROR(__xludf.DUMMYFUNCTION("""COMPUTED_VALUE"""),45547.0)</f>
        <v>45547</v>
      </c>
      <c r="T546" s="60">
        <f>IFERROR(__xludf.DUMMYFUNCTION("""COMPUTED_VALUE"""),87.36666666666667)</f>
        <v>87.36666667</v>
      </c>
    </row>
    <row r="547">
      <c r="A547" s="55" t="str">
        <f>IFERROR(__xludf.DUMMYFUNCTION("""COMPUTED_VALUE"""),"Gears of War: Judgment")</f>
        <v>Gears of War: Judgment</v>
      </c>
      <c r="B547" s="55" t="str">
        <f>IFERROR(__xludf.DUMMYFUNCTION("""COMPUTED_VALUE"""),"Xbox")</f>
        <v>Xbox</v>
      </c>
      <c r="C547" s="55" t="str">
        <f>IFERROR(__xludf.DUMMYFUNCTION("""COMPUTED_VALUE"""),"Yes")</f>
        <v>Yes</v>
      </c>
      <c r="D547" s="56" t="str">
        <f>IFERROR(__xludf.DUMMYFUNCTION("""COMPUTED_VALUE"""),"Active")</f>
        <v>Active</v>
      </c>
      <c r="E547" s="57">
        <f>IFERROR(__xludf.DUMMYFUNCTION("""COMPUTED_VALUE"""),42887.0)</f>
        <v>42887</v>
      </c>
      <c r="F547" s="58"/>
      <c r="G547" s="60">
        <f>IFERROR(__xludf.DUMMYFUNCTION("""COMPUTED_VALUE"""),112.16666666666666)</f>
        <v>112.1666667</v>
      </c>
      <c r="H547" s="63">
        <f>IFERROR(__xludf.DUMMYFUNCTION("""COMPUTED_VALUE"""),41352.0)</f>
        <v>41352</v>
      </c>
      <c r="I547" s="60">
        <f>IFERROR(__xludf.DUMMYFUNCTION("""COMPUTED_VALUE"""),4.2)</f>
        <v>4.2</v>
      </c>
      <c r="J547" s="64">
        <f>IFERROR(__xludf.DUMMYFUNCTION("""COMPUTED_VALUE"""),79.0)</f>
        <v>79</v>
      </c>
      <c r="K547" s="64">
        <f>IFERROR(__xludf.DUMMYFUNCTION("""COMPUTED_VALUE"""),7.0)</f>
        <v>7</v>
      </c>
      <c r="L547" s="55" t="str">
        <f>IFERROR(__xludf.DUMMYFUNCTION("""COMPUTED_VALUE"""),"Shooter")</f>
        <v>Shooter</v>
      </c>
      <c r="M547" s="55" t="str">
        <f>IFERROR(__xludf.DUMMYFUNCTION("""COMPUTED_VALUE"""),"FPS Boost")</f>
        <v>FPS Boost</v>
      </c>
      <c r="N547" s="55"/>
      <c r="O547" s="55" t="str">
        <f>IFERROR(__xludf.DUMMYFUNCTION("""COMPUTED_VALUE"""),"M")</f>
        <v>M</v>
      </c>
      <c r="P547" s="55" t="str">
        <f>IFERROR(__xludf.DUMMYFUNCTION("""COMPUTED_VALUE"""),"Blood and Gore, Strong Language, Intense Violence")</f>
        <v>Blood and Gore, Strong Language, Intense Violence</v>
      </c>
      <c r="Q547" s="55" t="str">
        <f>IFERROR(__xludf.DUMMYFUNCTION("""COMPUTED_VALUE"""),"Xbox 360")</f>
        <v>Xbox 360</v>
      </c>
      <c r="R547" s="56" t="str">
        <f>IFERROR(__xludf.DUMMYFUNCTION("""COMPUTED_VALUE"""),"Active")</f>
        <v>Active</v>
      </c>
      <c r="S547" s="57">
        <f>IFERROR(__xludf.DUMMYFUNCTION("""COMPUTED_VALUE"""),45547.0)</f>
        <v>45547</v>
      </c>
      <c r="T547" s="60">
        <f>IFERROR(__xludf.DUMMYFUNCTION("""COMPUTED_VALUE"""),87.36666666666667)</f>
        <v>87.36666667</v>
      </c>
    </row>
    <row r="548">
      <c r="A548" s="55" t="str">
        <f>IFERROR(__xludf.DUMMYFUNCTION("""COMPUTED_VALUE"""),"Gears of War: Ultimate Edition")</f>
        <v>Gears of War: Ultimate Edition</v>
      </c>
      <c r="B548" s="55" t="str">
        <f>IFERROR(__xludf.DUMMYFUNCTION("""COMPUTED_VALUE"""),"Xbox / PC")</f>
        <v>Xbox / PC</v>
      </c>
      <c r="C548" s="55" t="str">
        <f>IFERROR(__xludf.DUMMYFUNCTION("""COMPUTED_VALUE"""),"Yes")</f>
        <v>Yes</v>
      </c>
      <c r="D548" s="56" t="str">
        <f>IFERROR(__xludf.DUMMYFUNCTION("""COMPUTED_VALUE"""),"Active")</f>
        <v>Active</v>
      </c>
      <c r="E548" s="57">
        <f>IFERROR(__xludf.DUMMYFUNCTION("""COMPUTED_VALUE"""),42887.0)</f>
        <v>42887</v>
      </c>
      <c r="F548" s="58"/>
      <c r="G548" s="60">
        <f>IFERROR(__xludf.DUMMYFUNCTION("""COMPUTED_VALUE"""),112.16666666666666)</f>
        <v>112.1666667</v>
      </c>
      <c r="H548" s="63">
        <f>IFERROR(__xludf.DUMMYFUNCTION("""COMPUTED_VALUE"""),39028.0)</f>
        <v>39028</v>
      </c>
      <c r="I548" s="60">
        <f>IFERROR(__xludf.DUMMYFUNCTION("""COMPUTED_VALUE"""),10.566666666666666)</f>
        <v>10.56666667</v>
      </c>
      <c r="J548" s="64">
        <f>IFERROR(__xludf.DUMMYFUNCTION("""COMPUTED_VALUE"""),82.0)</f>
        <v>82</v>
      </c>
      <c r="K548" s="64">
        <f>IFERROR(__xludf.DUMMYFUNCTION("""COMPUTED_VALUE"""),9.0)</f>
        <v>9</v>
      </c>
      <c r="L548" s="55" t="str">
        <f>IFERROR(__xludf.DUMMYFUNCTION("""COMPUTED_VALUE"""),"Shooter")</f>
        <v>Shooter</v>
      </c>
      <c r="M548" s="55" t="str">
        <f>IFERROR(__xludf.DUMMYFUNCTION("""COMPUTED_VALUE"""),"FPS Boost")</f>
        <v>FPS Boost</v>
      </c>
      <c r="N548" s="55"/>
      <c r="O548" s="55" t="str">
        <f>IFERROR(__xludf.DUMMYFUNCTION("""COMPUTED_VALUE"""),"M")</f>
        <v>M</v>
      </c>
      <c r="P548" s="55" t="str">
        <f>IFERROR(__xludf.DUMMYFUNCTION("""COMPUTED_VALUE"""),"Blood and Gore, Strong Language, Intense Violence")</f>
        <v>Blood and Gore, Strong Language, Intense Violence</v>
      </c>
      <c r="Q548" s="55"/>
      <c r="R548" s="56" t="str">
        <f>IFERROR(__xludf.DUMMYFUNCTION("""COMPUTED_VALUE"""),"Active")</f>
        <v>Active</v>
      </c>
      <c r="S548" s="57">
        <f>IFERROR(__xludf.DUMMYFUNCTION("""COMPUTED_VALUE"""),45547.0)</f>
        <v>45547</v>
      </c>
      <c r="T548" s="60">
        <f>IFERROR(__xludf.DUMMYFUNCTION("""COMPUTED_VALUE"""),87.36666666666667)</f>
        <v>87.36666667</v>
      </c>
    </row>
    <row r="549">
      <c r="A549" s="55" t="str">
        <f>IFERROR(__xludf.DUMMYFUNCTION("""COMPUTED_VALUE"""),"Halo 5: Guardians")</f>
        <v>Halo 5: Guardians</v>
      </c>
      <c r="B549" s="55" t="str">
        <f>IFERROR(__xludf.DUMMYFUNCTION("""COMPUTED_VALUE"""),"Xbox")</f>
        <v>Xbox</v>
      </c>
      <c r="C549" s="55" t="str">
        <f>IFERROR(__xludf.DUMMYFUNCTION("""COMPUTED_VALUE"""),"Yes")</f>
        <v>Yes</v>
      </c>
      <c r="D549" s="56" t="str">
        <f>IFERROR(__xludf.DUMMYFUNCTION("""COMPUTED_VALUE"""),"Active")</f>
        <v>Active</v>
      </c>
      <c r="E549" s="57">
        <f>IFERROR(__xludf.DUMMYFUNCTION("""COMPUTED_VALUE"""),42887.0)</f>
        <v>42887</v>
      </c>
      <c r="F549" s="58"/>
      <c r="G549" s="60">
        <f>IFERROR(__xludf.DUMMYFUNCTION("""COMPUTED_VALUE"""),112.16666666666666)</f>
        <v>112.1666667</v>
      </c>
      <c r="H549" s="63">
        <f>IFERROR(__xludf.DUMMYFUNCTION("""COMPUTED_VALUE"""),42304.0)</f>
        <v>42304</v>
      </c>
      <c r="I549" s="60">
        <f>IFERROR(__xludf.DUMMYFUNCTION("""COMPUTED_VALUE"""),1.5944444444444446)</f>
        <v>1.594444444</v>
      </c>
      <c r="J549" s="64">
        <f>IFERROR(__xludf.DUMMYFUNCTION("""COMPUTED_VALUE"""),84.0)</f>
        <v>84</v>
      </c>
      <c r="K549" s="64">
        <f>IFERROR(__xludf.DUMMYFUNCTION("""COMPUTED_VALUE"""),8.0)</f>
        <v>8</v>
      </c>
      <c r="L549" s="55" t="str">
        <f>IFERROR(__xludf.DUMMYFUNCTION("""COMPUTED_VALUE"""),"Shooter")</f>
        <v>Shooter</v>
      </c>
      <c r="M549" s="55"/>
      <c r="N549" s="55" t="str">
        <f>IFERROR(__xludf.DUMMYFUNCTION("""COMPUTED_VALUE"""),"Game Pass Essential launch title (9/14/23)")</f>
        <v>Game Pass Essential launch title (9/14/23)</v>
      </c>
      <c r="O549" s="55" t="str">
        <f>IFERROR(__xludf.DUMMYFUNCTION("""COMPUTED_VALUE"""),"T")</f>
        <v>T</v>
      </c>
      <c r="P549" s="55" t="str">
        <f>IFERROR(__xludf.DUMMYFUNCTION("""COMPUTED_VALUE"""),"Blood, Mild Language, Violence")</f>
        <v>Blood, Mild Language, Violence</v>
      </c>
      <c r="Q549" s="55"/>
      <c r="R549" s="56" t="str">
        <f>IFERROR(__xludf.DUMMYFUNCTION("""COMPUTED_VALUE"""),"Active")</f>
        <v>Active</v>
      </c>
      <c r="S549" s="57">
        <f>IFERROR(__xludf.DUMMYFUNCTION("""COMPUTED_VALUE"""),45547.0)</f>
        <v>45547</v>
      </c>
      <c r="T549" s="60">
        <f>IFERROR(__xludf.DUMMYFUNCTION("""COMPUTED_VALUE"""),87.36666666666667)</f>
        <v>87.36666667</v>
      </c>
    </row>
    <row r="550">
      <c r="A550" s="55" t="str">
        <f>IFERROR(__xludf.DUMMYFUNCTION("""COMPUTED_VALUE"""),"Halo: Spartan Assault")</f>
        <v>Halo: Spartan Assault</v>
      </c>
      <c r="B550" s="55" t="str">
        <f>IFERROR(__xludf.DUMMYFUNCTION("""COMPUTED_VALUE"""),"Xbox / PC")</f>
        <v>Xbox / PC</v>
      </c>
      <c r="C550" s="55" t="str">
        <f>IFERROR(__xludf.DUMMYFUNCTION("""COMPUTED_VALUE"""),"Touch Controls")</f>
        <v>Touch Controls</v>
      </c>
      <c r="D550" s="56" t="str">
        <f>IFERROR(__xludf.DUMMYFUNCTION("""COMPUTED_VALUE"""),"Active")</f>
        <v>Active</v>
      </c>
      <c r="E550" s="57">
        <f>IFERROR(__xludf.DUMMYFUNCTION("""COMPUTED_VALUE"""),42887.0)</f>
        <v>42887</v>
      </c>
      <c r="F550" s="58"/>
      <c r="G550" s="60">
        <f>IFERROR(__xludf.DUMMYFUNCTION("""COMPUTED_VALUE"""),112.16666666666666)</f>
        <v>112.1666667</v>
      </c>
      <c r="H550" s="63">
        <f>IFERROR(__xludf.DUMMYFUNCTION("""COMPUTED_VALUE"""),41473.0)</f>
        <v>41473</v>
      </c>
      <c r="I550" s="60">
        <f>IFERROR(__xludf.DUMMYFUNCTION("""COMPUTED_VALUE"""),3.8694444444444445)</f>
        <v>3.869444444</v>
      </c>
      <c r="J550" s="64">
        <f>IFERROR(__xludf.DUMMYFUNCTION("""COMPUTED_VALUE"""),53.0)</f>
        <v>53</v>
      </c>
      <c r="K550" s="64">
        <f>IFERROR(__xludf.DUMMYFUNCTION("""COMPUTED_VALUE"""),4.0)</f>
        <v>4</v>
      </c>
      <c r="L550" s="55" t="str">
        <f>IFERROR(__xludf.DUMMYFUNCTION("""COMPUTED_VALUE"""),"Shooter")</f>
        <v>Shooter</v>
      </c>
      <c r="M550" s="55" t="str">
        <f>IFERROR(__xludf.DUMMYFUNCTION("""COMPUTED_VALUE"""),"FPS Boost")</f>
        <v>FPS Boost</v>
      </c>
      <c r="N550" s="55"/>
      <c r="O550" s="55" t="str">
        <f>IFERROR(__xludf.DUMMYFUNCTION("""COMPUTED_VALUE"""),"T")</f>
        <v>T</v>
      </c>
      <c r="P550" s="55" t="str">
        <f>IFERROR(__xludf.DUMMYFUNCTION("""COMPUTED_VALUE"""),"Blood, Violence")</f>
        <v>Blood, Violence</v>
      </c>
      <c r="Q550" s="55"/>
      <c r="R550" s="56" t="str">
        <f>IFERROR(__xludf.DUMMYFUNCTION("""COMPUTED_VALUE"""),"Active")</f>
        <v>Active</v>
      </c>
      <c r="S550" s="57">
        <f>IFERROR(__xludf.DUMMYFUNCTION("""COMPUTED_VALUE"""),45547.0)</f>
        <v>45547</v>
      </c>
      <c r="T550" s="60">
        <f>IFERROR(__xludf.DUMMYFUNCTION("""COMPUTED_VALUE"""),87.36666666666667)</f>
        <v>87.36666667</v>
      </c>
    </row>
    <row r="551">
      <c r="A551" s="55" t="str">
        <f>IFERROR(__xludf.DUMMYFUNCTION("""COMPUTED_VALUE"""),"Jetpac Refuelled")</f>
        <v>Jetpac Refuelled</v>
      </c>
      <c r="B551" s="55" t="str">
        <f>IFERROR(__xludf.DUMMYFUNCTION("""COMPUTED_VALUE"""),"Xbox")</f>
        <v>Xbox</v>
      </c>
      <c r="C551" s="55" t="str">
        <f>IFERROR(__xludf.DUMMYFUNCTION("""COMPUTED_VALUE"""),"Touch Controls")</f>
        <v>Touch Controls</v>
      </c>
      <c r="D551" s="56" t="str">
        <f>IFERROR(__xludf.DUMMYFUNCTION("""COMPUTED_VALUE"""),"Active")</f>
        <v>Active</v>
      </c>
      <c r="E551" s="57">
        <f>IFERROR(__xludf.DUMMYFUNCTION("""COMPUTED_VALUE"""),42887.0)</f>
        <v>42887</v>
      </c>
      <c r="F551" s="58"/>
      <c r="G551" s="60">
        <f>IFERROR(__xludf.DUMMYFUNCTION("""COMPUTED_VALUE"""),112.16666666666666)</f>
        <v>112.1666667</v>
      </c>
      <c r="H551" s="63">
        <f>IFERROR(__xludf.DUMMYFUNCTION("""COMPUTED_VALUE"""),39169.0)</f>
        <v>39169</v>
      </c>
      <c r="I551" s="60">
        <f>IFERROR(__xludf.DUMMYFUNCTION("""COMPUTED_VALUE"""),10.175)</f>
        <v>10.175</v>
      </c>
      <c r="J551" s="64">
        <f>IFERROR(__xludf.DUMMYFUNCTION("""COMPUTED_VALUE"""),73.0)</f>
        <v>73</v>
      </c>
      <c r="K551" s="64">
        <f>IFERROR(__xludf.DUMMYFUNCTION("""COMPUTED_VALUE"""),4.5)</f>
        <v>4.5</v>
      </c>
      <c r="L551" s="55" t="str">
        <f>IFERROR(__xludf.DUMMYFUNCTION("""COMPUTED_VALUE"""),"Shooter")</f>
        <v>Shooter</v>
      </c>
      <c r="M551" s="55"/>
      <c r="N551" s="55"/>
      <c r="O551" s="55" t="str">
        <f>IFERROR(__xludf.DUMMYFUNCTION("""COMPUTED_VALUE"""),"E")</f>
        <v>E</v>
      </c>
      <c r="P551" s="55" t="str">
        <f>IFERROR(__xludf.DUMMYFUNCTION("""COMPUTED_VALUE"""),"Mild Fantasy Violence")</f>
        <v>Mild Fantasy Violence</v>
      </c>
      <c r="Q551" s="55" t="str">
        <f>IFERROR(__xludf.DUMMYFUNCTION("""COMPUTED_VALUE"""),"Xbox 360")</f>
        <v>Xbox 360</v>
      </c>
      <c r="R551" s="56" t="str">
        <f>IFERROR(__xludf.DUMMYFUNCTION("""COMPUTED_VALUE"""),"Active")</f>
        <v>Active</v>
      </c>
      <c r="S551" s="57">
        <f>IFERROR(__xludf.DUMMYFUNCTION("""COMPUTED_VALUE"""),45547.0)</f>
        <v>45547</v>
      </c>
      <c r="T551" s="60">
        <f>IFERROR(__xludf.DUMMYFUNCTION("""COMPUTED_VALUE"""),87.36666666666667)</f>
        <v>87.36666667</v>
      </c>
    </row>
    <row r="552">
      <c r="A552" s="55" t="str">
        <f>IFERROR(__xludf.DUMMYFUNCTION("""COMPUTED_VALUE"""),"Joy Ride Turbo")</f>
        <v>Joy Ride Turbo</v>
      </c>
      <c r="B552" s="55" t="str">
        <f>IFERROR(__xludf.DUMMYFUNCTION("""COMPUTED_VALUE"""),"Xbox")</f>
        <v>Xbox</v>
      </c>
      <c r="C552" s="55" t="str">
        <f>IFERROR(__xludf.DUMMYFUNCTION("""COMPUTED_VALUE"""),"Touch Controls")</f>
        <v>Touch Controls</v>
      </c>
      <c r="D552" s="56" t="str">
        <f>IFERROR(__xludf.DUMMYFUNCTION("""COMPUTED_VALUE"""),"Active")</f>
        <v>Active</v>
      </c>
      <c r="E552" s="57">
        <f>IFERROR(__xludf.DUMMYFUNCTION("""COMPUTED_VALUE"""),42887.0)</f>
        <v>42887</v>
      </c>
      <c r="F552" s="58"/>
      <c r="G552" s="60">
        <f>IFERROR(__xludf.DUMMYFUNCTION("""COMPUTED_VALUE"""),112.16666666666666)</f>
        <v>112.1666667</v>
      </c>
      <c r="H552" s="63">
        <f>IFERROR(__xludf.DUMMYFUNCTION("""COMPUTED_VALUE"""),41052.0)</f>
        <v>41052</v>
      </c>
      <c r="I552" s="60">
        <f>IFERROR(__xludf.DUMMYFUNCTION("""COMPUTED_VALUE"""),5.022222222222222)</f>
        <v>5.022222222</v>
      </c>
      <c r="J552" s="64">
        <f>IFERROR(__xludf.DUMMYFUNCTION("""COMPUTED_VALUE"""),67.0)</f>
        <v>67</v>
      </c>
      <c r="K552" s="64">
        <f>IFERROR(__xludf.DUMMYFUNCTION("""COMPUTED_VALUE"""),2.0)</f>
        <v>2</v>
      </c>
      <c r="L552" s="55" t="str">
        <f>IFERROR(__xludf.DUMMYFUNCTION("""COMPUTED_VALUE"""),"Racing")</f>
        <v>Racing</v>
      </c>
      <c r="M552" s="55"/>
      <c r="N552" s="55"/>
      <c r="O552" s="55" t="str">
        <f>IFERROR(__xludf.DUMMYFUNCTION("""COMPUTED_VALUE"""),"E")</f>
        <v>E</v>
      </c>
      <c r="P552" s="55" t="str">
        <f>IFERROR(__xludf.DUMMYFUNCTION("""COMPUTED_VALUE"""),"Mild Fantasy Violence")</f>
        <v>Mild Fantasy Violence</v>
      </c>
      <c r="Q552" s="55" t="str">
        <f>IFERROR(__xludf.DUMMYFUNCTION("""COMPUTED_VALUE"""),"Xbox 360")</f>
        <v>Xbox 360</v>
      </c>
      <c r="R552" s="56" t="str">
        <f>IFERROR(__xludf.DUMMYFUNCTION("""COMPUTED_VALUE"""),"Active")</f>
        <v>Active</v>
      </c>
      <c r="S552" s="57">
        <f>IFERROR(__xludf.DUMMYFUNCTION("""COMPUTED_VALUE"""),45547.0)</f>
        <v>45547</v>
      </c>
      <c r="T552" s="60">
        <f>IFERROR(__xludf.DUMMYFUNCTION("""COMPUTED_VALUE"""),87.36666666666667)</f>
        <v>87.36666667</v>
      </c>
    </row>
    <row r="553">
      <c r="A553" s="55" t="str">
        <f>IFERROR(__xludf.DUMMYFUNCTION("""COMPUTED_VALUE"""),"Kameo: Elements of Power")</f>
        <v>Kameo: Elements of Power</v>
      </c>
      <c r="B553" s="55" t="str">
        <f>IFERROR(__xludf.DUMMYFUNCTION("""COMPUTED_VALUE"""),"Xbox")</f>
        <v>Xbox</v>
      </c>
      <c r="C553" s="55" t="str">
        <f>IFERROR(__xludf.DUMMYFUNCTION("""COMPUTED_VALUE"""),"Yes")</f>
        <v>Yes</v>
      </c>
      <c r="D553" s="56" t="str">
        <f>IFERROR(__xludf.DUMMYFUNCTION("""COMPUTED_VALUE"""),"Active")</f>
        <v>Active</v>
      </c>
      <c r="E553" s="57">
        <f>IFERROR(__xludf.DUMMYFUNCTION("""COMPUTED_VALUE"""),42887.0)</f>
        <v>42887</v>
      </c>
      <c r="F553" s="58"/>
      <c r="G553" s="60">
        <f>IFERROR(__xludf.DUMMYFUNCTION("""COMPUTED_VALUE"""),112.16666666666666)</f>
        <v>112.1666667</v>
      </c>
      <c r="H553" s="63">
        <f>IFERROR(__xludf.DUMMYFUNCTION("""COMPUTED_VALUE"""),38670.0)</f>
        <v>38670</v>
      </c>
      <c r="I553" s="60">
        <f>IFERROR(__xludf.DUMMYFUNCTION("""COMPUTED_VALUE"""),11.547222222222222)</f>
        <v>11.54722222</v>
      </c>
      <c r="J553" s="64">
        <f>IFERROR(__xludf.DUMMYFUNCTION("""COMPUTED_VALUE"""),79.0)</f>
        <v>79</v>
      </c>
      <c r="K553" s="64">
        <f>IFERROR(__xludf.DUMMYFUNCTION("""COMPUTED_VALUE"""),9.5)</f>
        <v>9.5</v>
      </c>
      <c r="L553" s="55" t="str">
        <f>IFERROR(__xludf.DUMMYFUNCTION("""COMPUTED_VALUE"""),"Action-Adventure")</f>
        <v>Action-Adventure</v>
      </c>
      <c r="M553" s="55" t="str">
        <f>IFERROR(__xludf.DUMMYFUNCTION("""COMPUTED_VALUE"""),"FPS Boost")</f>
        <v>FPS Boost</v>
      </c>
      <c r="N553" s="55"/>
      <c r="O553" s="55" t="str">
        <f>IFERROR(__xludf.DUMMYFUNCTION("""COMPUTED_VALUE"""),"T")</f>
        <v>T</v>
      </c>
      <c r="P553" s="55" t="str">
        <f>IFERROR(__xludf.DUMMYFUNCTION("""COMPUTED_VALUE"""),"Violence")</f>
        <v>Violence</v>
      </c>
      <c r="Q553" s="55" t="str">
        <f>IFERROR(__xludf.DUMMYFUNCTION("""COMPUTED_VALUE"""),"Xbox 360")</f>
        <v>Xbox 360</v>
      </c>
      <c r="R553" s="56" t="str">
        <f>IFERROR(__xludf.DUMMYFUNCTION("""COMPUTED_VALUE"""),"Active")</f>
        <v>Active</v>
      </c>
      <c r="S553" s="57">
        <f>IFERROR(__xludf.DUMMYFUNCTION("""COMPUTED_VALUE"""),45547.0)</f>
        <v>45547</v>
      </c>
      <c r="T553" s="60">
        <f>IFERROR(__xludf.DUMMYFUNCTION("""COMPUTED_VALUE"""),87.36666666666667)</f>
        <v>87.36666667</v>
      </c>
    </row>
    <row r="554">
      <c r="A554" s="55" t="str">
        <f>IFERROR(__xludf.DUMMYFUNCTION("""COMPUTED_VALUE"""),"Max: The Curse of Brotherhood")</f>
        <v>Max: The Curse of Brotherhood</v>
      </c>
      <c r="B554" s="55" t="str">
        <f>IFERROR(__xludf.DUMMYFUNCTION("""COMPUTED_VALUE"""),"Xbox")</f>
        <v>Xbox</v>
      </c>
      <c r="C554" s="55"/>
      <c r="D554" s="56" t="str">
        <f>IFERROR(__xludf.DUMMYFUNCTION("""COMPUTED_VALUE"""),"Active")</f>
        <v>Active</v>
      </c>
      <c r="E554" s="57">
        <f>IFERROR(__xludf.DUMMYFUNCTION("""COMPUTED_VALUE"""),42887.0)</f>
        <v>42887</v>
      </c>
      <c r="F554" s="58"/>
      <c r="G554" s="60">
        <f>IFERROR(__xludf.DUMMYFUNCTION("""COMPUTED_VALUE"""),112.16666666666666)</f>
        <v>112.1666667</v>
      </c>
      <c r="H554" s="63">
        <f>IFERROR(__xludf.DUMMYFUNCTION("""COMPUTED_VALUE"""),41628.0)</f>
        <v>41628</v>
      </c>
      <c r="I554" s="60">
        <f>IFERROR(__xludf.DUMMYFUNCTION("""COMPUTED_VALUE"""),3.4472222222222224)</f>
        <v>3.447222222</v>
      </c>
      <c r="J554" s="64">
        <f>IFERROR(__xludf.DUMMYFUNCTION("""COMPUTED_VALUE"""),72.0)</f>
        <v>72</v>
      </c>
      <c r="K554" s="64">
        <f>IFERROR(__xludf.DUMMYFUNCTION("""COMPUTED_VALUE"""),6.0)</f>
        <v>6</v>
      </c>
      <c r="L554" s="55" t="str">
        <f>IFERROR(__xludf.DUMMYFUNCTION("""COMPUTED_VALUE"""),"Platformer")</f>
        <v>Platformer</v>
      </c>
      <c r="M554" s="55"/>
      <c r="N554" s="55"/>
      <c r="O554" s="55" t="str">
        <f>IFERROR(__xludf.DUMMYFUNCTION("""COMPUTED_VALUE"""),"E10+")</f>
        <v>E10+</v>
      </c>
      <c r="P554" s="55" t="str">
        <f>IFERROR(__xludf.DUMMYFUNCTION("""COMPUTED_VALUE"""),"3")</f>
        <v>3</v>
      </c>
      <c r="Q554" s="55"/>
      <c r="R554" s="56" t="str">
        <f>IFERROR(__xludf.DUMMYFUNCTION("""COMPUTED_VALUE"""),"Active")</f>
        <v>Active</v>
      </c>
      <c r="S554" s="57">
        <f>IFERROR(__xludf.DUMMYFUNCTION("""COMPUTED_VALUE"""),45547.0)</f>
        <v>45547</v>
      </c>
      <c r="T554" s="60">
        <f>IFERROR(__xludf.DUMMYFUNCTION("""COMPUTED_VALUE"""),87.36666666666667)</f>
        <v>87.36666667</v>
      </c>
    </row>
    <row r="555">
      <c r="A555" s="55" t="str">
        <f>IFERROR(__xludf.DUMMYFUNCTION("""COMPUTED_VALUE"""),"Perfect Dark Zero")</f>
        <v>Perfect Dark Zero</v>
      </c>
      <c r="B555" s="55" t="str">
        <f>IFERROR(__xludf.DUMMYFUNCTION("""COMPUTED_VALUE"""),"Xbox")</f>
        <v>Xbox</v>
      </c>
      <c r="C555" s="55" t="str">
        <f>IFERROR(__xludf.DUMMYFUNCTION("""COMPUTED_VALUE"""),"Yes")</f>
        <v>Yes</v>
      </c>
      <c r="D555" s="56" t="str">
        <f>IFERROR(__xludf.DUMMYFUNCTION("""COMPUTED_VALUE"""),"Active")</f>
        <v>Active</v>
      </c>
      <c r="E555" s="57">
        <f>IFERROR(__xludf.DUMMYFUNCTION("""COMPUTED_VALUE"""),42887.0)</f>
        <v>42887</v>
      </c>
      <c r="F555" s="58"/>
      <c r="G555" s="60">
        <f>IFERROR(__xludf.DUMMYFUNCTION("""COMPUTED_VALUE"""),112.16666666666666)</f>
        <v>112.1666667</v>
      </c>
      <c r="H555" s="63">
        <f>IFERROR(__xludf.DUMMYFUNCTION("""COMPUTED_VALUE"""),38875.0)</f>
        <v>38875</v>
      </c>
      <c r="I555" s="60">
        <f>IFERROR(__xludf.DUMMYFUNCTION("""COMPUTED_VALUE"""),10.983333333333333)</f>
        <v>10.98333333</v>
      </c>
      <c r="J555" s="64">
        <f>IFERROR(__xludf.DUMMYFUNCTION("""COMPUTED_VALUE"""),81.0)</f>
        <v>81</v>
      </c>
      <c r="K555" s="64">
        <f>IFERROR(__xludf.DUMMYFUNCTION("""COMPUTED_VALUE"""),8.0)</f>
        <v>8</v>
      </c>
      <c r="L555" s="55" t="str">
        <f>IFERROR(__xludf.DUMMYFUNCTION("""COMPUTED_VALUE"""),"Shooter")</f>
        <v>Shooter</v>
      </c>
      <c r="M555" s="55"/>
      <c r="N555" s="55"/>
      <c r="O555" s="55" t="str">
        <f>IFERROR(__xludf.DUMMYFUNCTION("""COMPUTED_VALUE"""),"M")</f>
        <v>M</v>
      </c>
      <c r="P555" s="55" t="str">
        <f>IFERROR(__xludf.DUMMYFUNCTION("""COMPUTED_VALUE"""),"Blood, Violence, Language")</f>
        <v>Blood, Violence, Language</v>
      </c>
      <c r="Q555" s="55" t="str">
        <f>IFERROR(__xludf.DUMMYFUNCTION("""COMPUTED_VALUE"""),"Xbox 360")</f>
        <v>Xbox 360</v>
      </c>
      <c r="R555" s="56" t="str">
        <f>IFERROR(__xludf.DUMMYFUNCTION("""COMPUTED_VALUE"""),"Active")</f>
        <v>Active</v>
      </c>
      <c r="S555" s="57">
        <f>IFERROR(__xludf.DUMMYFUNCTION("""COMPUTED_VALUE"""),45547.0)</f>
        <v>45547</v>
      </c>
      <c r="T555" s="60">
        <f>IFERROR(__xludf.DUMMYFUNCTION("""COMPUTED_VALUE"""),87.36666666666667)</f>
        <v>87.36666667</v>
      </c>
    </row>
    <row r="556">
      <c r="A556" s="55" t="str">
        <f>IFERROR(__xludf.DUMMYFUNCTION("""COMPUTED_VALUE"""),"ScreamRide")</f>
        <v>ScreamRide</v>
      </c>
      <c r="B556" s="55" t="str">
        <f>IFERROR(__xludf.DUMMYFUNCTION("""COMPUTED_VALUE"""),"Xbox")</f>
        <v>Xbox</v>
      </c>
      <c r="C556" s="55"/>
      <c r="D556" s="56" t="str">
        <f>IFERROR(__xludf.DUMMYFUNCTION("""COMPUTED_VALUE"""),"Active")</f>
        <v>Active</v>
      </c>
      <c r="E556" s="57">
        <f>IFERROR(__xludf.DUMMYFUNCTION("""COMPUTED_VALUE"""),42887.0)</f>
        <v>42887</v>
      </c>
      <c r="F556" s="58"/>
      <c r="G556" s="60">
        <f>IFERROR(__xludf.DUMMYFUNCTION("""COMPUTED_VALUE"""),112.16666666666666)</f>
        <v>112.1666667</v>
      </c>
      <c r="H556" s="63">
        <f>IFERROR(__xludf.DUMMYFUNCTION("""COMPUTED_VALUE"""),42066.0)</f>
        <v>42066</v>
      </c>
      <c r="I556" s="60">
        <f>IFERROR(__xludf.DUMMYFUNCTION("""COMPUTED_VALUE"""),2.2444444444444445)</f>
        <v>2.244444444</v>
      </c>
      <c r="J556" s="64">
        <f>IFERROR(__xludf.DUMMYFUNCTION("""COMPUTED_VALUE"""),71.0)</f>
        <v>71</v>
      </c>
      <c r="K556" s="64">
        <f>IFERROR(__xludf.DUMMYFUNCTION("""COMPUTED_VALUE"""),6.0)</f>
        <v>6</v>
      </c>
      <c r="L556" s="55" t="str">
        <f>IFERROR(__xludf.DUMMYFUNCTION("""COMPUTED_VALUE"""),"Action")</f>
        <v>Action</v>
      </c>
      <c r="M556" s="55"/>
      <c r="N556" s="55"/>
      <c r="O556" s="55" t="str">
        <f>IFERROR(__xludf.DUMMYFUNCTION("""COMPUTED_VALUE"""),"E10+")</f>
        <v>E10+</v>
      </c>
      <c r="P556" s="55" t="str">
        <f>IFERROR(__xludf.DUMMYFUNCTION("""COMPUTED_VALUE"""),"Mild Violence")</f>
        <v>Mild Violence</v>
      </c>
      <c r="Q556" s="55"/>
      <c r="R556" s="56" t="str">
        <f>IFERROR(__xludf.DUMMYFUNCTION("""COMPUTED_VALUE"""),"Active")</f>
        <v>Active</v>
      </c>
      <c r="S556" s="57">
        <f>IFERROR(__xludf.DUMMYFUNCTION("""COMPUTED_VALUE"""),45547.0)</f>
        <v>45547</v>
      </c>
      <c r="T556" s="60">
        <f>IFERROR(__xludf.DUMMYFUNCTION("""COMPUTED_VALUE"""),87.36666666666667)</f>
        <v>87.36666667</v>
      </c>
    </row>
    <row r="557">
      <c r="A557" s="55" t="str">
        <f>IFERROR(__xludf.DUMMYFUNCTION("""COMPUTED_VALUE"""),"Sunset Overdrive")</f>
        <v>Sunset Overdrive</v>
      </c>
      <c r="B557" s="55" t="str">
        <f>IFERROR(__xludf.DUMMYFUNCTION("""COMPUTED_VALUE"""),"Xbox / PC")</f>
        <v>Xbox / PC</v>
      </c>
      <c r="C557" s="55"/>
      <c r="D557" s="56" t="str">
        <f>IFERROR(__xludf.DUMMYFUNCTION("""COMPUTED_VALUE"""),"Active")</f>
        <v>Active</v>
      </c>
      <c r="E557" s="57">
        <f>IFERROR(__xludf.DUMMYFUNCTION("""COMPUTED_VALUE"""),42887.0)</f>
        <v>42887</v>
      </c>
      <c r="F557" s="58"/>
      <c r="G557" s="60">
        <f>IFERROR(__xludf.DUMMYFUNCTION("""COMPUTED_VALUE"""),112.16666666666666)</f>
        <v>112.1666667</v>
      </c>
      <c r="H557" s="63">
        <f>IFERROR(__xludf.DUMMYFUNCTION("""COMPUTED_VALUE"""),41940.0)</f>
        <v>41940</v>
      </c>
      <c r="I557" s="60">
        <f>IFERROR(__xludf.DUMMYFUNCTION("""COMPUTED_VALUE"""),2.591666666666667)</f>
        <v>2.591666667</v>
      </c>
      <c r="J557" s="64">
        <f>IFERROR(__xludf.DUMMYFUNCTION("""COMPUTED_VALUE"""),81.0)</f>
        <v>81</v>
      </c>
      <c r="K557" s="64">
        <f>IFERROR(__xludf.DUMMYFUNCTION("""COMPUTED_VALUE"""),10.0)</f>
        <v>10</v>
      </c>
      <c r="L557" s="55" t="str">
        <f>IFERROR(__xludf.DUMMYFUNCTION("""COMPUTED_VALUE"""),"Shooter")</f>
        <v>Shooter</v>
      </c>
      <c r="M557" s="55"/>
      <c r="N557" s="55"/>
      <c r="O557" s="55" t="str">
        <f>IFERROR(__xludf.DUMMYFUNCTION("""COMPUTED_VALUE"""),"M")</f>
        <v>M</v>
      </c>
      <c r="P557" s="55" t="str">
        <f>IFERROR(__xludf.DUMMYFUNCTION("""COMPUTED_VALUE"""),"Blood and Gore, Sexual Themes, Drug Reference, Strong Language, Violence")</f>
        <v>Blood and Gore, Sexual Themes, Drug Reference, Strong Language, Violence</v>
      </c>
      <c r="Q557" s="55"/>
      <c r="R557" s="56" t="str">
        <f>IFERROR(__xludf.DUMMYFUNCTION("""COMPUTED_VALUE"""),"Active")</f>
        <v>Active</v>
      </c>
      <c r="S557" s="57">
        <f>IFERROR(__xludf.DUMMYFUNCTION("""COMPUTED_VALUE"""),45547.0)</f>
        <v>45547</v>
      </c>
      <c r="T557" s="60">
        <f>IFERROR(__xludf.DUMMYFUNCTION("""COMPUTED_VALUE"""),87.36666666666667)</f>
        <v>87.36666667</v>
      </c>
    </row>
    <row r="558">
      <c r="A558" s="55" t="str">
        <f>IFERROR(__xludf.DUMMYFUNCTION("""COMPUTED_VALUE"""),"Terraria")</f>
        <v>Terraria</v>
      </c>
      <c r="B558" s="55" t="str">
        <f>IFERROR(__xludf.DUMMYFUNCTION("""COMPUTED_VALUE"""),"Xbox")</f>
        <v>Xbox</v>
      </c>
      <c r="C558" s="55" t="str">
        <f>IFERROR(__xludf.DUMMYFUNCTION("""COMPUTED_VALUE"""),"M+KB")</f>
        <v>M+KB</v>
      </c>
      <c r="D558" s="56" t="str">
        <f>IFERROR(__xludf.DUMMYFUNCTION("""COMPUTED_VALUE"""),"Active")</f>
        <v>Active</v>
      </c>
      <c r="E558" s="57">
        <f>IFERROR(__xludf.DUMMYFUNCTION("""COMPUTED_VALUE"""),42887.0)</f>
        <v>42887</v>
      </c>
      <c r="F558" s="58"/>
      <c r="G558" s="60">
        <f>IFERROR(__xludf.DUMMYFUNCTION("""COMPUTED_VALUE"""),112.16666666666666)</f>
        <v>112.1666667</v>
      </c>
      <c r="H558" s="63">
        <f>IFERROR(__xludf.DUMMYFUNCTION("""COMPUTED_VALUE"""),40679.0)</f>
        <v>40679</v>
      </c>
      <c r="I558" s="60">
        <f>IFERROR(__xludf.DUMMYFUNCTION("""COMPUTED_VALUE"""),6.041666666666667)</f>
        <v>6.041666667</v>
      </c>
      <c r="J558" s="64">
        <f>IFERROR(__xludf.DUMMYFUNCTION("""COMPUTED_VALUE"""),84.0)</f>
        <v>84</v>
      </c>
      <c r="K558" s="64">
        <f>IFERROR(__xludf.DUMMYFUNCTION("""COMPUTED_VALUE"""),94.0)</f>
        <v>94</v>
      </c>
      <c r="L558" s="55" t="str">
        <f>IFERROR(__xludf.DUMMYFUNCTION("""COMPUTED_VALUE"""),"Platformer")</f>
        <v>Platformer</v>
      </c>
      <c r="M558" s="55"/>
      <c r="N558" s="55"/>
      <c r="O558" s="55" t="str">
        <f>IFERROR(__xludf.DUMMYFUNCTION("""COMPUTED_VALUE"""),"T")</f>
        <v>T</v>
      </c>
      <c r="P558" s="55" t="str">
        <f>IFERROR(__xludf.DUMMYFUNCTION("""COMPUTED_VALUE"""),"Use of Alcohol, Blood and Gore, Mild Suggestive Themes, Cartoon Violence")</f>
        <v>Use of Alcohol, Blood and Gore, Mild Suggestive Themes, Cartoon Violence</v>
      </c>
      <c r="Q558" s="55"/>
      <c r="R558" s="56" t="str">
        <f>IFERROR(__xludf.DUMMYFUNCTION("""COMPUTED_VALUE"""),"Active")</f>
        <v>Active</v>
      </c>
      <c r="S558" s="57">
        <f>IFERROR(__xludf.DUMMYFUNCTION("""COMPUTED_VALUE"""),45547.0)</f>
        <v>45547</v>
      </c>
      <c r="T558" s="60">
        <f>IFERROR(__xludf.DUMMYFUNCTION("""COMPUTED_VALUE"""),87.36666666666667)</f>
        <v>87.36666667</v>
      </c>
    </row>
    <row r="559">
      <c r="A559" s="55" t="str">
        <f>IFERROR(__xludf.DUMMYFUNCTION("""COMPUTED_VALUE"""),"Viva Piñata")</f>
        <v>Viva Piñata</v>
      </c>
      <c r="B559" s="55" t="str">
        <f>IFERROR(__xludf.DUMMYFUNCTION("""COMPUTED_VALUE"""),"Xbox")</f>
        <v>Xbox</v>
      </c>
      <c r="C559" s="55" t="str">
        <f>IFERROR(__xludf.DUMMYFUNCTION("""COMPUTED_VALUE"""),"Touch Controls")</f>
        <v>Touch Controls</v>
      </c>
      <c r="D559" s="56" t="str">
        <f>IFERROR(__xludf.DUMMYFUNCTION("""COMPUTED_VALUE"""),"Active")</f>
        <v>Active</v>
      </c>
      <c r="E559" s="57">
        <f>IFERROR(__xludf.DUMMYFUNCTION("""COMPUTED_VALUE"""),42887.0)</f>
        <v>42887</v>
      </c>
      <c r="F559" s="58"/>
      <c r="G559" s="60">
        <f>IFERROR(__xludf.DUMMYFUNCTION("""COMPUTED_VALUE"""),112.16666666666666)</f>
        <v>112.1666667</v>
      </c>
      <c r="H559" s="63">
        <f>IFERROR(__xludf.DUMMYFUNCTION("""COMPUTED_VALUE"""),39030.0)</f>
        <v>39030</v>
      </c>
      <c r="I559" s="60">
        <f>IFERROR(__xludf.DUMMYFUNCTION("""COMPUTED_VALUE"""),10.561111111111112)</f>
        <v>10.56111111</v>
      </c>
      <c r="J559" s="64">
        <f>IFERROR(__xludf.DUMMYFUNCTION("""COMPUTED_VALUE"""),84.0)</f>
        <v>84</v>
      </c>
      <c r="K559" s="64">
        <f>IFERROR(__xludf.DUMMYFUNCTION("""COMPUTED_VALUE"""),19.0)</f>
        <v>19</v>
      </c>
      <c r="L559" s="55" t="str">
        <f>IFERROR(__xludf.DUMMYFUNCTION("""COMPUTED_VALUE"""),"Simulation")</f>
        <v>Simulation</v>
      </c>
      <c r="M559" s="55"/>
      <c r="N559" s="55"/>
      <c r="O559" s="55" t="str">
        <f>IFERROR(__xludf.DUMMYFUNCTION("""COMPUTED_VALUE"""),"E")</f>
        <v>E</v>
      </c>
      <c r="P559" s="55" t="str">
        <f>IFERROR(__xludf.DUMMYFUNCTION("""COMPUTED_VALUE"""),"Crude Humor, Mild Cartoon Violence")</f>
        <v>Crude Humor, Mild Cartoon Violence</v>
      </c>
      <c r="Q559" s="55" t="str">
        <f>IFERROR(__xludf.DUMMYFUNCTION("""COMPUTED_VALUE"""),"Xbox 360")</f>
        <v>Xbox 360</v>
      </c>
      <c r="R559" s="56" t="str">
        <f>IFERROR(__xludf.DUMMYFUNCTION("""COMPUTED_VALUE"""),"Active")</f>
        <v>Active</v>
      </c>
      <c r="S559" s="57">
        <f>IFERROR(__xludf.DUMMYFUNCTION("""COMPUTED_VALUE"""),45547.0)</f>
        <v>45547</v>
      </c>
      <c r="T559" s="60">
        <f>IFERROR(__xludf.DUMMYFUNCTION("""COMPUTED_VALUE"""),87.36666666666667)</f>
        <v>87.36666667</v>
      </c>
    </row>
    <row r="560">
      <c r="A560" s="55" t="str">
        <f>IFERROR(__xludf.DUMMYFUNCTION("""COMPUTED_VALUE"""),"Viva Piñata: Trouble in Paradise")</f>
        <v>Viva Piñata: Trouble in Paradise</v>
      </c>
      <c r="B560" s="55" t="str">
        <f>IFERROR(__xludf.DUMMYFUNCTION("""COMPUTED_VALUE"""),"Xbox")</f>
        <v>Xbox</v>
      </c>
      <c r="C560" s="55" t="str">
        <f>IFERROR(__xludf.DUMMYFUNCTION("""COMPUTED_VALUE"""),"Touch Controls")</f>
        <v>Touch Controls</v>
      </c>
      <c r="D560" s="56" t="str">
        <f>IFERROR(__xludf.DUMMYFUNCTION("""COMPUTED_VALUE"""),"Active")</f>
        <v>Active</v>
      </c>
      <c r="E560" s="57">
        <f>IFERROR(__xludf.DUMMYFUNCTION("""COMPUTED_VALUE"""),42887.0)</f>
        <v>42887</v>
      </c>
      <c r="F560" s="58"/>
      <c r="G560" s="60">
        <f>IFERROR(__xludf.DUMMYFUNCTION("""COMPUTED_VALUE"""),112.16666666666666)</f>
        <v>112.1666667</v>
      </c>
      <c r="H560" s="63">
        <f>IFERROR(__xludf.DUMMYFUNCTION("""COMPUTED_VALUE"""),39693.0)</f>
        <v>39693</v>
      </c>
      <c r="I560" s="60">
        <f>IFERROR(__xludf.DUMMYFUNCTION("""COMPUTED_VALUE"""),8.747222222222222)</f>
        <v>8.747222222</v>
      </c>
      <c r="J560" s="64">
        <f>IFERROR(__xludf.DUMMYFUNCTION("""COMPUTED_VALUE"""),82.0)</f>
        <v>82</v>
      </c>
      <c r="K560" s="64">
        <f>IFERROR(__xludf.DUMMYFUNCTION("""COMPUTED_VALUE"""),26.5)</f>
        <v>26.5</v>
      </c>
      <c r="L560" s="55" t="str">
        <f>IFERROR(__xludf.DUMMYFUNCTION("""COMPUTED_VALUE"""),"Simulation")</f>
        <v>Simulation</v>
      </c>
      <c r="M560" s="55"/>
      <c r="N560" s="55"/>
      <c r="O560" s="55" t="str">
        <f>IFERROR(__xludf.DUMMYFUNCTION("""COMPUTED_VALUE"""),"E")</f>
        <v>E</v>
      </c>
      <c r="P560" s="55" t="str">
        <f>IFERROR(__xludf.DUMMYFUNCTION("""COMPUTED_VALUE"""),"Crude Humor, Mild Cartoon Violence")</f>
        <v>Crude Humor, Mild Cartoon Violence</v>
      </c>
      <c r="Q560" s="55" t="str">
        <f>IFERROR(__xludf.DUMMYFUNCTION("""COMPUTED_VALUE"""),"Xbox 360")</f>
        <v>Xbox 360</v>
      </c>
      <c r="R560" s="56" t="str">
        <f>IFERROR(__xludf.DUMMYFUNCTION("""COMPUTED_VALUE"""),"Active")</f>
        <v>Active</v>
      </c>
      <c r="S560" s="57">
        <f>IFERROR(__xludf.DUMMYFUNCTION("""COMPUTED_VALUE"""),45547.0)</f>
        <v>45547</v>
      </c>
      <c r="T560" s="60">
        <f>IFERROR(__xludf.DUMMYFUNCTION("""COMPUTED_VALUE"""),87.36666666666667)</f>
        <v>87.36666667</v>
      </c>
    </row>
    <row r="561">
      <c r="A561" s="55" t="str">
        <f>IFERROR(__xludf.DUMMYFUNCTION("""COMPUTED_VALUE"""),"A Plague Tale: Requiem")</f>
        <v>A Plague Tale: Requiem</v>
      </c>
      <c r="B561" s="55" t="str">
        <f>IFERROR(__xludf.DUMMYFUNCTION("""COMPUTED_VALUE"""),"Xbox / PC")</f>
        <v>Xbox / PC</v>
      </c>
      <c r="C561" s="55" t="str">
        <f>IFERROR(__xludf.DUMMYFUNCTION("""COMPUTED_VALUE"""),"Yes")</f>
        <v>Yes</v>
      </c>
      <c r="D561" s="56" t="str">
        <f>IFERROR(__xludf.DUMMYFUNCTION("""COMPUTED_VALUE"""),"Leaving Soon")</f>
        <v>Leaving Soon</v>
      </c>
      <c r="E561" s="57">
        <f>IFERROR(__xludf.DUMMYFUNCTION("""COMPUTED_VALUE"""),44852.0)</f>
        <v>44852</v>
      </c>
      <c r="F561" s="58">
        <f>IFERROR(__xludf.DUMMYFUNCTION("""COMPUTED_VALUE"""),46310.0)</f>
        <v>46310</v>
      </c>
      <c r="G561" s="60">
        <f>IFERROR(__xludf.DUMMYFUNCTION("""COMPUTED_VALUE"""),47.9)</f>
        <v>47.9</v>
      </c>
      <c r="H561" s="63">
        <f>IFERROR(__xludf.DUMMYFUNCTION("""COMPUTED_VALUE"""),44852.0)</f>
        <v>44852</v>
      </c>
      <c r="I561" s="60">
        <f>IFERROR(__xludf.DUMMYFUNCTION("""COMPUTED_VALUE"""),0.0)</f>
        <v>0</v>
      </c>
      <c r="J561" s="64">
        <f>IFERROR(__xludf.DUMMYFUNCTION("""COMPUTED_VALUE"""),85.0)</f>
        <v>85</v>
      </c>
      <c r="K561" s="64">
        <f>IFERROR(__xludf.DUMMYFUNCTION("""COMPUTED_VALUE"""),15.0)</f>
        <v>15</v>
      </c>
      <c r="L561" s="55" t="str">
        <f>IFERROR(__xludf.DUMMYFUNCTION("""COMPUTED_VALUE"""),"Action-Adventure")</f>
        <v>Action-Adventure</v>
      </c>
      <c r="M561" s="55" t="str">
        <f>IFERROR(__xludf.DUMMYFUNCTION("""COMPUTED_VALUE"""),"Exclusive")</f>
        <v>Exclusive</v>
      </c>
      <c r="N561" s="55"/>
      <c r="O561" s="55" t="str">
        <f>IFERROR(__xludf.DUMMYFUNCTION("""COMPUTED_VALUE"""),"M")</f>
        <v>M</v>
      </c>
      <c r="P561" s="55" t="str">
        <f>IFERROR(__xludf.DUMMYFUNCTION("""COMPUTED_VALUE"""),"Intense Violence, Blood, Language")</f>
        <v>Intense Violence, Blood, Language</v>
      </c>
      <c r="Q561" s="55"/>
      <c r="R561" s="56" t="str">
        <f>IFERROR(__xludf.DUMMYFUNCTION("""COMPUTED_VALUE"""),"Leaving Soon")</f>
        <v>Leaving Soon</v>
      </c>
      <c r="S561" s="57">
        <f>IFERROR(__xludf.DUMMYFUNCTION("""COMPUTED_VALUE"""),45547.0)</f>
        <v>45547</v>
      </c>
      <c r="T561" s="60">
        <f>IFERROR(__xludf.DUMMYFUNCTION("""COMPUTED_VALUE"""),22.799999999999997)</f>
        <v>22.8</v>
      </c>
    </row>
    <row r="562">
      <c r="A562" s="55"/>
      <c r="B562" s="55"/>
      <c r="C562" s="55"/>
      <c r="D562" s="56"/>
      <c r="E562" s="57"/>
      <c r="F562" s="58"/>
      <c r="G562" s="60"/>
      <c r="H562" s="63"/>
      <c r="I562" s="60"/>
      <c r="J562" s="64"/>
      <c r="K562" s="64"/>
      <c r="L562" s="55"/>
      <c r="M562" s="55"/>
      <c r="N562" s="55"/>
      <c r="O562" s="55"/>
      <c r="P562" s="55"/>
      <c r="Q562" s="55"/>
      <c r="R562" s="56"/>
      <c r="S562" s="57"/>
      <c r="T562" s="60"/>
    </row>
    <row r="563">
      <c r="A563" s="55"/>
      <c r="B563" s="55"/>
      <c r="C563" s="55"/>
      <c r="D563" s="56"/>
      <c r="E563" s="57"/>
      <c r="F563" s="58"/>
      <c r="G563" s="60"/>
      <c r="H563" s="63"/>
      <c r="I563" s="60"/>
      <c r="J563" s="64"/>
      <c r="K563" s="64"/>
      <c r="L563" s="55"/>
      <c r="M563" s="55"/>
      <c r="N563" s="55"/>
      <c r="O563" s="55"/>
      <c r="P563" s="55"/>
      <c r="Q563" s="55"/>
      <c r="R563" s="56"/>
      <c r="S563" s="57"/>
      <c r="T563" s="60"/>
    </row>
    <row r="564">
      <c r="A564" s="55"/>
      <c r="B564" s="55"/>
      <c r="C564" s="55"/>
      <c r="D564" s="56"/>
      <c r="E564" s="57"/>
      <c r="F564" s="58"/>
      <c r="G564" s="60"/>
      <c r="H564" s="63"/>
      <c r="I564" s="60"/>
      <c r="J564" s="64"/>
      <c r="K564" s="64"/>
      <c r="L564" s="55"/>
      <c r="M564" s="55"/>
      <c r="N564" s="55"/>
      <c r="O564" s="55"/>
      <c r="P564" s="55"/>
      <c r="Q564" s="55"/>
      <c r="R564" s="56"/>
      <c r="S564" s="57"/>
      <c r="T564" s="60"/>
    </row>
    <row r="565">
      <c r="A565" s="55"/>
      <c r="B565" s="55"/>
      <c r="C565" s="55"/>
      <c r="D565" s="56"/>
      <c r="E565" s="57"/>
      <c r="F565" s="58"/>
      <c r="G565" s="60"/>
      <c r="H565" s="63"/>
      <c r="I565" s="60"/>
      <c r="J565" s="64"/>
      <c r="K565" s="64"/>
      <c r="L565" s="55"/>
      <c r="M565" s="55"/>
      <c r="N565" s="55"/>
      <c r="O565" s="55"/>
      <c r="P565" s="55"/>
      <c r="Q565" s="55"/>
      <c r="R565" s="56"/>
      <c r="S565" s="57"/>
      <c r="T565" s="60"/>
    </row>
    <row r="566">
      <c r="A566" s="55"/>
      <c r="B566" s="55"/>
      <c r="C566" s="55"/>
      <c r="D566" s="56"/>
      <c r="E566" s="57"/>
      <c r="F566" s="58"/>
      <c r="G566" s="60"/>
      <c r="H566" s="63"/>
      <c r="I566" s="60"/>
      <c r="J566" s="64"/>
      <c r="K566" s="64"/>
      <c r="L566" s="55"/>
      <c r="M566" s="55"/>
      <c r="N566" s="55"/>
      <c r="O566" s="55"/>
      <c r="P566" s="55"/>
      <c r="Q566" s="55"/>
      <c r="R566" s="56"/>
      <c r="S566" s="57"/>
      <c r="T566" s="60"/>
    </row>
    <row r="567">
      <c r="A567" s="55"/>
      <c r="B567" s="55"/>
      <c r="C567" s="55"/>
      <c r="D567" s="56"/>
      <c r="E567" s="57"/>
      <c r="F567" s="58"/>
      <c r="G567" s="60"/>
      <c r="H567" s="63"/>
      <c r="I567" s="60"/>
      <c r="J567" s="64"/>
      <c r="K567" s="64"/>
      <c r="L567" s="55"/>
      <c r="M567" s="55"/>
      <c r="N567" s="55"/>
      <c r="O567" s="55"/>
      <c r="P567" s="55"/>
      <c r="Q567" s="55"/>
      <c r="R567" s="56"/>
      <c r="S567" s="57"/>
      <c r="T567" s="60"/>
    </row>
    <row r="568">
      <c r="A568" s="55"/>
      <c r="B568" s="55"/>
      <c r="C568" s="55"/>
      <c r="D568" s="56"/>
      <c r="E568" s="57"/>
      <c r="F568" s="58"/>
      <c r="G568" s="60"/>
      <c r="H568" s="63"/>
      <c r="I568" s="60"/>
      <c r="J568" s="64"/>
      <c r="K568" s="64"/>
      <c r="L568" s="55"/>
      <c r="M568" s="55"/>
      <c r="N568" s="55"/>
      <c r="O568" s="55"/>
      <c r="P568" s="55"/>
      <c r="Q568" s="55"/>
      <c r="R568" s="56"/>
      <c r="S568" s="57"/>
      <c r="T568" s="60"/>
    </row>
    <row r="569">
      <c r="A569" s="55"/>
      <c r="B569" s="55"/>
      <c r="C569" s="55"/>
      <c r="D569" s="56"/>
      <c r="E569" s="57"/>
      <c r="F569" s="58"/>
      <c r="G569" s="60"/>
      <c r="H569" s="63"/>
      <c r="I569" s="60"/>
      <c r="J569" s="64"/>
      <c r="K569" s="64"/>
      <c r="L569" s="55"/>
      <c r="M569" s="55"/>
      <c r="N569" s="55"/>
      <c r="O569" s="55"/>
      <c r="P569" s="55"/>
      <c r="Q569" s="55"/>
      <c r="R569" s="56"/>
      <c r="S569" s="57"/>
      <c r="T569" s="60"/>
    </row>
    <row r="570">
      <c r="A570" s="55"/>
      <c r="B570" s="55"/>
      <c r="C570" s="55"/>
      <c r="D570" s="56"/>
      <c r="E570" s="57"/>
      <c r="F570" s="58"/>
      <c r="G570" s="60"/>
      <c r="H570" s="63"/>
      <c r="I570" s="60"/>
      <c r="J570" s="64"/>
      <c r="K570" s="64"/>
      <c r="L570" s="55"/>
      <c r="M570" s="55"/>
      <c r="N570" s="55"/>
      <c r="O570" s="55"/>
      <c r="P570" s="55"/>
      <c r="Q570" s="55"/>
      <c r="R570" s="56"/>
      <c r="S570" s="57"/>
      <c r="T570" s="60"/>
    </row>
    <row r="571">
      <c r="A571" s="55"/>
      <c r="B571" s="55"/>
      <c r="C571" s="55"/>
      <c r="D571" s="56"/>
      <c r="E571" s="57"/>
      <c r="F571" s="58"/>
      <c r="G571" s="60"/>
      <c r="H571" s="63"/>
      <c r="I571" s="60"/>
      <c r="J571" s="64"/>
      <c r="K571" s="64"/>
      <c r="L571" s="55"/>
      <c r="M571" s="55"/>
      <c r="N571" s="55"/>
      <c r="O571" s="55"/>
      <c r="P571" s="55"/>
      <c r="Q571" s="55"/>
      <c r="R571" s="56"/>
      <c r="S571" s="57"/>
      <c r="T571" s="60"/>
    </row>
    <row r="572">
      <c r="A572" s="55"/>
      <c r="B572" s="55"/>
      <c r="C572" s="55"/>
      <c r="D572" s="56"/>
      <c r="E572" s="57"/>
      <c r="F572" s="58"/>
      <c r="G572" s="60"/>
      <c r="H572" s="63"/>
      <c r="I572" s="60"/>
      <c r="J572" s="64"/>
      <c r="K572" s="64"/>
      <c r="L572" s="55"/>
      <c r="M572" s="55"/>
      <c r="N572" s="55"/>
      <c r="O572" s="55"/>
      <c r="P572" s="55"/>
      <c r="Q572" s="55"/>
      <c r="R572" s="56"/>
      <c r="S572" s="57"/>
      <c r="T572" s="60"/>
    </row>
    <row r="573">
      <c r="A573" s="55"/>
      <c r="B573" s="55"/>
      <c r="C573" s="55"/>
      <c r="D573" s="56"/>
      <c r="E573" s="57"/>
      <c r="F573" s="58"/>
      <c r="G573" s="60"/>
      <c r="H573" s="63"/>
      <c r="I573" s="60"/>
      <c r="J573" s="64"/>
      <c r="K573" s="64"/>
      <c r="L573" s="55"/>
      <c r="M573" s="55"/>
      <c r="N573" s="55"/>
      <c r="O573" s="55"/>
      <c r="P573" s="55"/>
      <c r="Q573" s="55"/>
      <c r="R573" s="56"/>
      <c r="S573" s="57"/>
      <c r="T573" s="60"/>
    </row>
    <row r="574">
      <c r="A574" s="55"/>
      <c r="B574" s="55"/>
      <c r="C574" s="55"/>
      <c r="D574" s="56"/>
      <c r="E574" s="57"/>
      <c r="F574" s="58"/>
      <c r="G574" s="60"/>
      <c r="H574" s="63"/>
      <c r="I574" s="60"/>
      <c r="J574" s="64"/>
      <c r="K574" s="64"/>
      <c r="L574" s="55"/>
      <c r="M574" s="55"/>
      <c r="N574" s="55"/>
      <c r="O574" s="55"/>
      <c r="P574" s="55"/>
      <c r="Q574" s="55"/>
      <c r="R574" s="56"/>
      <c r="S574" s="57"/>
      <c r="T574" s="60"/>
    </row>
    <row r="575">
      <c r="A575" s="55"/>
      <c r="B575" s="55"/>
      <c r="C575" s="55"/>
      <c r="D575" s="56"/>
      <c r="E575" s="57"/>
      <c r="F575" s="58"/>
      <c r="G575" s="60"/>
      <c r="H575" s="63"/>
      <c r="I575" s="60"/>
      <c r="J575" s="64"/>
      <c r="K575" s="64"/>
      <c r="L575" s="55"/>
      <c r="M575" s="55"/>
      <c r="N575" s="55"/>
      <c r="O575" s="55"/>
      <c r="P575" s="55"/>
      <c r="Q575" s="55"/>
      <c r="R575" s="56"/>
      <c r="S575" s="57"/>
      <c r="T575" s="60"/>
    </row>
    <row r="576">
      <c r="A576" s="55"/>
      <c r="B576" s="55"/>
      <c r="C576" s="55"/>
      <c r="D576" s="56"/>
      <c r="E576" s="57"/>
      <c r="F576" s="58"/>
      <c r="G576" s="60"/>
      <c r="H576" s="63"/>
      <c r="I576" s="60"/>
      <c r="J576" s="64"/>
      <c r="K576" s="64"/>
      <c r="L576" s="55"/>
      <c r="M576" s="55"/>
      <c r="N576" s="55"/>
      <c r="O576" s="55"/>
      <c r="P576" s="55"/>
      <c r="Q576" s="55"/>
      <c r="R576" s="56"/>
      <c r="S576" s="57"/>
      <c r="T576" s="60"/>
    </row>
    <row r="577">
      <c r="A577" s="55"/>
      <c r="B577" s="55"/>
      <c r="C577" s="55"/>
      <c r="D577" s="56"/>
      <c r="E577" s="57"/>
      <c r="F577" s="58"/>
      <c r="G577" s="60"/>
      <c r="H577" s="63"/>
      <c r="I577" s="60"/>
      <c r="J577" s="64"/>
      <c r="K577" s="64"/>
      <c r="L577" s="55"/>
      <c r="M577" s="55"/>
      <c r="N577" s="55"/>
      <c r="O577" s="55"/>
      <c r="P577" s="55"/>
      <c r="Q577" s="55"/>
      <c r="R577" s="56"/>
      <c r="S577" s="57"/>
      <c r="T577" s="60"/>
    </row>
    <row r="578">
      <c r="A578" s="55"/>
      <c r="B578" s="55"/>
      <c r="C578" s="55"/>
      <c r="D578" s="56"/>
      <c r="E578" s="57"/>
      <c r="F578" s="58"/>
      <c r="G578" s="60"/>
      <c r="H578" s="63"/>
      <c r="I578" s="60"/>
      <c r="J578" s="64"/>
      <c r="K578" s="64"/>
      <c r="L578" s="55"/>
      <c r="M578" s="55"/>
      <c r="N578" s="55"/>
      <c r="O578" s="55"/>
      <c r="P578" s="55"/>
      <c r="Q578" s="55"/>
      <c r="R578" s="56"/>
      <c r="S578" s="57"/>
      <c r="T578" s="60"/>
    </row>
    <row r="579">
      <c r="A579" s="55"/>
      <c r="B579" s="55"/>
      <c r="C579" s="55"/>
      <c r="D579" s="56"/>
      <c r="E579" s="57"/>
      <c r="F579" s="58"/>
      <c r="G579" s="60"/>
      <c r="H579" s="63"/>
      <c r="I579" s="60"/>
      <c r="J579" s="64"/>
      <c r="K579" s="64"/>
      <c r="L579" s="55"/>
      <c r="M579" s="55"/>
      <c r="N579" s="55"/>
      <c r="O579" s="55"/>
      <c r="P579" s="55"/>
      <c r="Q579" s="55"/>
      <c r="R579" s="56"/>
      <c r="S579" s="57"/>
      <c r="T579" s="60"/>
    </row>
    <row r="580">
      <c r="A580" s="55"/>
      <c r="B580" s="55"/>
      <c r="C580" s="55"/>
      <c r="D580" s="56"/>
      <c r="E580" s="57"/>
      <c r="F580" s="58"/>
      <c r="G580" s="60"/>
      <c r="H580" s="63"/>
      <c r="I580" s="60"/>
      <c r="J580" s="64"/>
      <c r="K580" s="64"/>
      <c r="L580" s="55"/>
      <c r="M580" s="55"/>
      <c r="N580" s="55"/>
      <c r="O580" s="55"/>
      <c r="P580" s="55"/>
      <c r="Q580" s="55"/>
      <c r="R580" s="56"/>
      <c r="S580" s="57"/>
      <c r="T580" s="60"/>
    </row>
    <row r="581">
      <c r="A581" s="55"/>
      <c r="B581" s="55"/>
      <c r="C581" s="55"/>
      <c r="D581" s="56"/>
      <c r="E581" s="57"/>
      <c r="F581" s="58"/>
      <c r="G581" s="60"/>
      <c r="H581" s="63"/>
      <c r="I581" s="60"/>
      <c r="J581" s="64"/>
      <c r="K581" s="64"/>
      <c r="L581" s="55"/>
      <c r="M581" s="55"/>
      <c r="N581" s="55"/>
      <c r="O581" s="55"/>
      <c r="P581" s="55"/>
      <c r="Q581" s="55"/>
      <c r="R581" s="56"/>
      <c r="S581" s="57"/>
      <c r="T581" s="60"/>
    </row>
    <row r="582">
      <c r="A582" s="55"/>
      <c r="B582" s="55"/>
      <c r="C582" s="55"/>
      <c r="D582" s="56"/>
      <c r="E582" s="57"/>
      <c r="F582" s="58"/>
      <c r="G582" s="60"/>
      <c r="H582" s="63"/>
      <c r="I582" s="60"/>
      <c r="J582" s="64"/>
      <c r="K582" s="64"/>
      <c r="L582" s="55"/>
      <c r="M582" s="55"/>
      <c r="N582" s="55"/>
      <c r="O582" s="55"/>
      <c r="P582" s="55"/>
      <c r="Q582" s="55"/>
      <c r="R582" s="56"/>
      <c r="S582" s="57"/>
      <c r="T582" s="60"/>
    </row>
    <row r="583">
      <c r="A583" s="55"/>
      <c r="B583" s="55"/>
      <c r="C583" s="55"/>
      <c r="D583" s="56"/>
      <c r="E583" s="57"/>
      <c r="F583" s="58"/>
      <c r="G583" s="60"/>
      <c r="H583" s="63"/>
      <c r="I583" s="60"/>
      <c r="J583" s="64"/>
      <c r="K583" s="64"/>
      <c r="L583" s="55"/>
      <c r="M583" s="55"/>
      <c r="N583" s="55"/>
      <c r="O583" s="55"/>
      <c r="P583" s="55"/>
      <c r="Q583" s="55"/>
      <c r="R583" s="56"/>
      <c r="S583" s="57"/>
      <c r="T583" s="60"/>
    </row>
    <row r="584">
      <c r="A584" s="55"/>
      <c r="B584" s="55"/>
      <c r="C584" s="55"/>
      <c r="D584" s="56"/>
      <c r="E584" s="57"/>
      <c r="F584" s="58"/>
      <c r="G584" s="60"/>
      <c r="H584" s="63"/>
      <c r="I584" s="60"/>
      <c r="J584" s="64"/>
      <c r="K584" s="64"/>
      <c r="L584" s="55"/>
      <c r="M584" s="55"/>
      <c r="N584" s="55"/>
      <c r="O584" s="55"/>
      <c r="P584" s="55"/>
      <c r="Q584" s="55"/>
      <c r="R584" s="56"/>
      <c r="S584" s="57"/>
      <c r="T584" s="60"/>
    </row>
    <row r="585">
      <c r="A585" s="55"/>
      <c r="B585" s="55"/>
      <c r="C585" s="55"/>
      <c r="D585" s="56"/>
      <c r="E585" s="57"/>
      <c r="F585" s="58"/>
      <c r="G585" s="60"/>
      <c r="H585" s="63"/>
      <c r="I585" s="60"/>
      <c r="J585" s="64"/>
      <c r="K585" s="64"/>
      <c r="L585" s="55"/>
      <c r="M585" s="55"/>
      <c r="N585" s="55"/>
      <c r="O585" s="55"/>
      <c r="P585" s="55"/>
      <c r="Q585" s="55"/>
      <c r="R585" s="56"/>
      <c r="S585" s="57"/>
      <c r="T585" s="60"/>
    </row>
    <row r="586">
      <c r="A586" s="55"/>
      <c r="B586" s="55"/>
      <c r="C586" s="55"/>
      <c r="D586" s="56"/>
      <c r="E586" s="57"/>
      <c r="F586" s="58"/>
      <c r="G586" s="60"/>
      <c r="H586" s="63"/>
      <c r="I586" s="60"/>
      <c r="J586" s="64"/>
      <c r="K586" s="64"/>
      <c r="L586" s="55"/>
      <c r="M586" s="55"/>
      <c r="N586" s="55"/>
      <c r="O586" s="55"/>
      <c r="P586" s="55"/>
      <c r="Q586" s="55"/>
      <c r="R586" s="56"/>
      <c r="S586" s="57"/>
      <c r="T586" s="60"/>
    </row>
    <row r="587">
      <c r="A587" s="55"/>
      <c r="B587" s="55"/>
      <c r="C587" s="55"/>
      <c r="D587" s="56"/>
      <c r="E587" s="57"/>
      <c r="F587" s="58"/>
      <c r="G587" s="60"/>
      <c r="H587" s="63"/>
      <c r="I587" s="60"/>
      <c r="J587" s="64"/>
      <c r="K587" s="64"/>
      <c r="L587" s="55"/>
      <c r="M587" s="55"/>
      <c r="N587" s="55"/>
      <c r="O587" s="55"/>
      <c r="P587" s="55"/>
      <c r="Q587" s="55"/>
      <c r="R587" s="56"/>
      <c r="S587" s="57"/>
      <c r="T587" s="60"/>
    </row>
    <row r="588">
      <c r="A588" s="55"/>
      <c r="B588" s="55"/>
      <c r="C588" s="55"/>
      <c r="D588" s="56"/>
      <c r="E588" s="57"/>
      <c r="F588" s="58"/>
      <c r="G588" s="60"/>
      <c r="H588" s="63"/>
      <c r="I588" s="60"/>
      <c r="J588" s="64"/>
      <c r="K588" s="64"/>
      <c r="L588" s="55"/>
      <c r="M588" s="55"/>
      <c r="N588" s="55"/>
      <c r="O588" s="55"/>
      <c r="P588" s="55"/>
      <c r="Q588" s="55"/>
      <c r="R588" s="56"/>
      <c r="S588" s="57"/>
      <c r="T588" s="60"/>
    </row>
    <row r="589">
      <c r="A589" s="55"/>
      <c r="B589" s="55"/>
      <c r="C589" s="55"/>
      <c r="D589" s="56"/>
      <c r="E589" s="57"/>
      <c r="F589" s="58"/>
      <c r="G589" s="60"/>
      <c r="H589" s="63"/>
      <c r="I589" s="60"/>
      <c r="J589" s="64"/>
      <c r="K589" s="64"/>
      <c r="L589" s="55"/>
      <c r="M589" s="55"/>
      <c r="N589" s="55"/>
      <c r="O589" s="55"/>
      <c r="P589" s="55"/>
      <c r="Q589" s="55"/>
      <c r="R589" s="56"/>
      <c r="S589" s="57"/>
      <c r="T589" s="60"/>
    </row>
    <row r="590">
      <c r="A590" s="55"/>
      <c r="B590" s="55"/>
      <c r="C590" s="55"/>
      <c r="D590" s="56"/>
      <c r="E590" s="57"/>
      <c r="F590" s="58"/>
      <c r="G590" s="60"/>
      <c r="H590" s="63"/>
      <c r="I590" s="60"/>
      <c r="J590" s="64"/>
      <c r="K590" s="64"/>
      <c r="L590" s="55"/>
      <c r="M590" s="55"/>
      <c r="N590" s="55"/>
      <c r="O590" s="55"/>
      <c r="P590" s="55"/>
      <c r="Q590" s="55"/>
      <c r="R590" s="56"/>
      <c r="S590" s="57"/>
      <c r="T590" s="60"/>
    </row>
    <row r="591">
      <c r="A591" s="55"/>
      <c r="B591" s="55"/>
      <c r="C591" s="55"/>
      <c r="D591" s="56"/>
      <c r="E591" s="57"/>
      <c r="F591" s="58"/>
      <c r="G591" s="60"/>
      <c r="H591" s="63"/>
      <c r="I591" s="60"/>
      <c r="J591" s="64"/>
      <c r="K591" s="64"/>
      <c r="L591" s="55"/>
      <c r="M591" s="55"/>
      <c r="N591" s="55"/>
      <c r="O591" s="55"/>
      <c r="P591" s="55"/>
      <c r="Q591" s="55"/>
      <c r="R591" s="56"/>
      <c r="S591" s="57"/>
      <c r="T591" s="60"/>
    </row>
    <row r="592">
      <c r="A592" s="55"/>
      <c r="B592" s="55"/>
      <c r="C592" s="55"/>
      <c r="D592" s="56"/>
      <c r="E592" s="57"/>
      <c r="F592" s="58"/>
      <c r="G592" s="60"/>
      <c r="H592" s="63"/>
      <c r="I592" s="60"/>
      <c r="J592" s="64"/>
      <c r="K592" s="64"/>
      <c r="L592" s="55"/>
      <c r="M592" s="55"/>
      <c r="N592" s="55"/>
      <c r="O592" s="55"/>
      <c r="P592" s="55"/>
      <c r="Q592" s="55"/>
      <c r="R592" s="56"/>
      <c r="S592" s="57"/>
      <c r="T592" s="60"/>
    </row>
    <row r="593">
      <c r="A593" s="55"/>
      <c r="B593" s="55"/>
      <c r="C593" s="55"/>
      <c r="D593" s="56"/>
      <c r="E593" s="57"/>
      <c r="F593" s="58"/>
      <c r="G593" s="60"/>
      <c r="H593" s="63"/>
      <c r="I593" s="60"/>
      <c r="J593" s="64"/>
      <c r="K593" s="64"/>
      <c r="L593" s="55"/>
      <c r="M593" s="55"/>
      <c r="N593" s="55"/>
      <c r="O593" s="55"/>
      <c r="P593" s="55"/>
      <c r="Q593" s="55"/>
      <c r="R593" s="56"/>
      <c r="S593" s="57"/>
      <c r="T593" s="60"/>
    </row>
    <row r="594">
      <c r="A594" s="55"/>
      <c r="B594" s="55"/>
      <c r="C594" s="55"/>
      <c r="D594" s="56"/>
      <c r="E594" s="57"/>
      <c r="F594" s="58"/>
      <c r="G594" s="60"/>
      <c r="H594" s="63"/>
      <c r="I594" s="60"/>
      <c r="J594" s="64"/>
      <c r="K594" s="64"/>
      <c r="L594" s="55"/>
      <c r="M594" s="55"/>
      <c r="N594" s="55"/>
      <c r="O594" s="55"/>
      <c r="P594" s="55"/>
      <c r="Q594" s="55"/>
      <c r="R594" s="56"/>
      <c r="S594" s="57"/>
      <c r="T594" s="60"/>
    </row>
    <row r="595">
      <c r="A595" s="55"/>
      <c r="B595" s="55"/>
      <c r="C595" s="55"/>
      <c r="D595" s="56"/>
      <c r="E595" s="57"/>
      <c r="F595" s="58"/>
      <c r="G595" s="60"/>
      <c r="H595" s="63"/>
      <c r="I595" s="60"/>
      <c r="J595" s="64"/>
      <c r="K595" s="64"/>
      <c r="L595" s="55"/>
      <c r="M595" s="55"/>
      <c r="N595" s="55"/>
      <c r="O595" s="55"/>
      <c r="P595" s="55"/>
      <c r="Q595" s="55"/>
      <c r="R595" s="56"/>
      <c r="S595" s="57"/>
      <c r="T595" s="60"/>
    </row>
    <row r="596">
      <c r="A596" s="55"/>
      <c r="B596" s="55"/>
      <c r="C596" s="55"/>
      <c r="D596" s="56"/>
      <c r="E596" s="57"/>
      <c r="F596" s="58"/>
      <c r="G596" s="60"/>
      <c r="H596" s="63"/>
      <c r="I596" s="60"/>
      <c r="J596" s="64"/>
      <c r="K596" s="64"/>
      <c r="L596" s="55"/>
      <c r="M596" s="55"/>
      <c r="N596" s="55"/>
      <c r="O596" s="55"/>
      <c r="P596" s="55"/>
      <c r="Q596" s="55"/>
      <c r="R596" s="56"/>
      <c r="S596" s="57"/>
      <c r="T596" s="60"/>
    </row>
    <row r="597">
      <c r="A597" s="55"/>
      <c r="B597" s="55"/>
      <c r="C597" s="55"/>
      <c r="D597" s="56"/>
      <c r="E597" s="57"/>
      <c r="F597" s="58"/>
      <c r="G597" s="60"/>
      <c r="H597" s="63"/>
      <c r="I597" s="60"/>
      <c r="J597" s="64"/>
      <c r="K597" s="64"/>
      <c r="L597" s="55"/>
      <c r="M597" s="55"/>
      <c r="N597" s="55"/>
      <c r="O597" s="55"/>
      <c r="P597" s="55"/>
      <c r="Q597" s="55"/>
      <c r="R597" s="56"/>
      <c r="S597" s="57"/>
      <c r="T597" s="60"/>
    </row>
    <row r="598">
      <c r="A598" s="55"/>
      <c r="B598" s="55"/>
      <c r="C598" s="55"/>
      <c r="D598" s="56"/>
      <c r="E598" s="57"/>
      <c r="F598" s="58"/>
      <c r="G598" s="60"/>
      <c r="H598" s="63"/>
      <c r="I598" s="60"/>
      <c r="J598" s="64"/>
      <c r="K598" s="64"/>
      <c r="L598" s="55"/>
      <c r="M598" s="55"/>
      <c r="N598" s="55"/>
      <c r="O598" s="55"/>
      <c r="P598" s="55"/>
      <c r="Q598" s="55"/>
      <c r="R598" s="56"/>
      <c r="S598" s="57"/>
      <c r="T598" s="60"/>
    </row>
    <row r="599">
      <c r="A599" s="55"/>
      <c r="B599" s="55"/>
      <c r="C599" s="55"/>
      <c r="D599" s="56"/>
      <c r="E599" s="57"/>
      <c r="F599" s="58"/>
      <c r="G599" s="60"/>
      <c r="H599" s="63"/>
      <c r="I599" s="60"/>
      <c r="J599" s="64"/>
      <c r="K599" s="64"/>
      <c r="L599" s="55"/>
      <c r="M599" s="55"/>
      <c r="N599" s="55"/>
      <c r="O599" s="55"/>
      <c r="P599" s="55"/>
      <c r="Q599" s="55"/>
      <c r="R599" s="56"/>
      <c r="S599" s="57"/>
      <c r="T599" s="60"/>
    </row>
    <row r="600">
      <c r="A600" s="55"/>
      <c r="B600" s="55"/>
      <c r="C600" s="55"/>
      <c r="D600" s="56"/>
      <c r="E600" s="57"/>
      <c r="F600" s="58"/>
      <c r="G600" s="60"/>
      <c r="H600" s="63"/>
      <c r="I600" s="60"/>
      <c r="J600" s="64"/>
      <c r="K600" s="64"/>
      <c r="L600" s="55"/>
      <c r="M600" s="55"/>
      <c r="N600" s="55"/>
      <c r="O600" s="55"/>
      <c r="P600" s="55"/>
      <c r="Q600" s="55"/>
      <c r="R600" s="56"/>
      <c r="S600" s="57"/>
      <c r="T600" s="60"/>
    </row>
    <row r="601">
      <c r="A601" s="55"/>
      <c r="B601" s="55"/>
      <c r="C601" s="55"/>
      <c r="D601" s="56"/>
      <c r="E601" s="57"/>
      <c r="F601" s="58"/>
      <c r="G601" s="60"/>
      <c r="H601" s="63"/>
      <c r="I601" s="60"/>
      <c r="J601" s="64"/>
      <c r="K601" s="64"/>
      <c r="L601" s="55"/>
      <c r="M601" s="55"/>
      <c r="N601" s="55"/>
      <c r="O601" s="55"/>
      <c r="P601" s="55"/>
      <c r="Q601" s="55"/>
      <c r="R601" s="56"/>
      <c r="S601" s="57"/>
      <c r="T601" s="60"/>
    </row>
    <row r="602">
      <c r="A602" s="55"/>
      <c r="B602" s="55"/>
      <c r="C602" s="55"/>
      <c r="D602" s="56"/>
      <c r="E602" s="57"/>
      <c r="F602" s="58"/>
      <c r="G602" s="60"/>
      <c r="H602" s="63"/>
      <c r="I602" s="60"/>
      <c r="J602" s="64"/>
      <c r="K602" s="64"/>
      <c r="L602" s="55"/>
      <c r="M602" s="55"/>
      <c r="N602" s="55"/>
      <c r="O602" s="55"/>
      <c r="P602" s="55"/>
      <c r="Q602" s="55"/>
      <c r="R602" s="56"/>
      <c r="S602" s="57"/>
      <c r="T602" s="60"/>
    </row>
    <row r="603">
      <c r="A603" s="55"/>
      <c r="B603" s="55"/>
      <c r="C603" s="55"/>
      <c r="D603" s="56"/>
      <c r="E603" s="57"/>
      <c r="F603" s="58"/>
      <c r="G603" s="60"/>
      <c r="H603" s="63"/>
      <c r="I603" s="60"/>
      <c r="J603" s="64"/>
      <c r="K603" s="64"/>
      <c r="L603" s="55"/>
      <c r="M603" s="55"/>
      <c r="N603" s="55"/>
      <c r="O603" s="55"/>
      <c r="P603" s="55"/>
      <c r="Q603" s="55"/>
      <c r="R603" s="56"/>
      <c r="S603" s="57"/>
      <c r="T603" s="60"/>
    </row>
    <row r="604">
      <c r="A604" s="55"/>
      <c r="B604" s="55"/>
      <c r="C604" s="55"/>
      <c r="D604" s="56"/>
      <c r="E604" s="57"/>
      <c r="F604" s="58"/>
      <c r="G604" s="60"/>
      <c r="H604" s="63"/>
      <c r="I604" s="60"/>
      <c r="J604" s="64"/>
      <c r="K604" s="64"/>
      <c r="L604" s="55"/>
      <c r="M604" s="55"/>
      <c r="N604" s="55"/>
      <c r="O604" s="55"/>
      <c r="P604" s="55"/>
      <c r="Q604" s="55"/>
      <c r="R604" s="56"/>
      <c r="S604" s="57"/>
      <c r="T604" s="60"/>
    </row>
    <row r="605">
      <c r="A605" s="55"/>
      <c r="B605" s="55"/>
      <c r="C605" s="55"/>
      <c r="D605" s="56"/>
      <c r="E605" s="57"/>
      <c r="F605" s="58"/>
      <c r="G605" s="60"/>
      <c r="H605" s="63"/>
      <c r="I605" s="60"/>
      <c r="J605" s="64"/>
      <c r="K605" s="64"/>
      <c r="L605" s="55"/>
      <c r="M605" s="55"/>
      <c r="N605" s="55"/>
      <c r="O605" s="55"/>
      <c r="P605" s="55"/>
      <c r="Q605" s="55"/>
      <c r="R605" s="56"/>
      <c r="S605" s="57"/>
      <c r="T605" s="60"/>
    </row>
    <row r="606">
      <c r="A606" s="55"/>
      <c r="B606" s="55"/>
      <c r="C606" s="55"/>
      <c r="D606" s="56"/>
      <c r="E606" s="57"/>
      <c r="F606" s="58"/>
      <c r="G606" s="60"/>
      <c r="H606" s="63"/>
      <c r="I606" s="60"/>
      <c r="J606" s="64"/>
      <c r="K606" s="64"/>
      <c r="L606" s="55"/>
      <c r="M606" s="55"/>
      <c r="N606" s="55"/>
      <c r="O606" s="55"/>
      <c r="P606" s="55"/>
      <c r="Q606" s="55"/>
      <c r="R606" s="56"/>
      <c r="S606" s="57"/>
      <c r="T606" s="60"/>
    </row>
    <row r="607">
      <c r="A607" s="55"/>
      <c r="B607" s="55"/>
      <c r="C607" s="55"/>
      <c r="D607" s="56"/>
      <c r="E607" s="57"/>
      <c r="F607" s="58"/>
      <c r="G607" s="60"/>
      <c r="H607" s="63"/>
      <c r="I607" s="60"/>
      <c r="J607" s="64"/>
      <c r="K607" s="64"/>
      <c r="L607" s="55"/>
      <c r="M607" s="55"/>
      <c r="N607" s="55"/>
      <c r="O607" s="55"/>
      <c r="P607" s="55"/>
      <c r="Q607" s="55"/>
      <c r="R607" s="56"/>
      <c r="S607" s="57"/>
      <c r="T607" s="60"/>
    </row>
    <row r="608">
      <c r="A608" s="55"/>
      <c r="B608" s="55"/>
      <c r="C608" s="55"/>
      <c r="D608" s="56"/>
      <c r="E608" s="57"/>
      <c r="F608" s="58"/>
      <c r="G608" s="60"/>
      <c r="H608" s="63"/>
      <c r="I608" s="60"/>
      <c r="J608" s="64"/>
      <c r="K608" s="64"/>
      <c r="L608" s="55"/>
      <c r="M608" s="55"/>
      <c r="N608" s="55"/>
      <c r="O608" s="55"/>
      <c r="P608" s="55"/>
      <c r="Q608" s="55"/>
      <c r="R608" s="56"/>
      <c r="S608" s="57"/>
      <c r="T608" s="60"/>
    </row>
    <row r="609">
      <c r="A609" s="55"/>
      <c r="B609" s="55"/>
      <c r="C609" s="55"/>
      <c r="D609" s="56"/>
      <c r="E609" s="57"/>
      <c r="F609" s="58"/>
      <c r="G609" s="60"/>
      <c r="H609" s="63"/>
      <c r="I609" s="60"/>
      <c r="J609" s="64"/>
      <c r="K609" s="64"/>
      <c r="L609" s="55"/>
      <c r="M609" s="55"/>
      <c r="N609" s="55"/>
      <c r="O609" s="55"/>
      <c r="P609" s="55"/>
      <c r="Q609" s="55"/>
      <c r="R609" s="56"/>
      <c r="S609" s="57"/>
      <c r="T609" s="60"/>
    </row>
    <row r="610">
      <c r="A610" s="55"/>
      <c r="B610" s="55"/>
      <c r="C610" s="55"/>
      <c r="D610" s="56"/>
      <c r="E610" s="57"/>
      <c r="F610" s="58"/>
      <c r="G610" s="60"/>
      <c r="H610" s="63"/>
      <c r="I610" s="60"/>
      <c r="J610" s="64"/>
      <c r="K610" s="64"/>
      <c r="L610" s="55"/>
      <c r="M610" s="55"/>
      <c r="N610" s="55"/>
      <c r="O610" s="55"/>
      <c r="P610" s="55"/>
      <c r="Q610" s="55"/>
      <c r="R610" s="56"/>
      <c r="S610" s="57"/>
      <c r="T610" s="60"/>
    </row>
    <row r="611">
      <c r="A611" s="55"/>
      <c r="B611" s="55"/>
      <c r="C611" s="55"/>
      <c r="D611" s="56"/>
      <c r="E611" s="57"/>
      <c r="F611" s="58"/>
      <c r="G611" s="60"/>
      <c r="H611" s="63"/>
      <c r="I611" s="60"/>
      <c r="J611" s="64"/>
      <c r="K611" s="64"/>
      <c r="L611" s="55"/>
      <c r="M611" s="55"/>
      <c r="N611" s="55"/>
      <c r="O611" s="55"/>
      <c r="P611" s="55"/>
      <c r="Q611" s="55"/>
      <c r="R611" s="56"/>
      <c r="S611" s="57"/>
      <c r="T611" s="60"/>
    </row>
    <row r="612">
      <c r="A612" s="55"/>
      <c r="B612" s="55"/>
      <c r="C612" s="55"/>
      <c r="D612" s="56"/>
      <c r="E612" s="57"/>
      <c r="F612" s="58"/>
      <c r="G612" s="60"/>
      <c r="H612" s="63"/>
      <c r="I612" s="60"/>
      <c r="J612" s="64"/>
      <c r="K612" s="64"/>
      <c r="L612" s="55"/>
      <c r="M612" s="55"/>
      <c r="N612" s="55"/>
      <c r="O612" s="55"/>
      <c r="P612" s="55"/>
      <c r="Q612" s="55"/>
      <c r="R612" s="56"/>
      <c r="S612" s="57"/>
      <c r="T612" s="60"/>
    </row>
    <row r="613">
      <c r="A613" s="55"/>
      <c r="B613" s="55"/>
      <c r="C613" s="55"/>
      <c r="D613" s="56"/>
      <c r="E613" s="57"/>
      <c r="F613" s="58"/>
      <c r="G613" s="60"/>
      <c r="H613" s="63"/>
      <c r="I613" s="60"/>
      <c r="J613" s="64"/>
      <c r="K613" s="64"/>
      <c r="L613" s="55"/>
      <c r="M613" s="55"/>
      <c r="N613" s="55"/>
      <c r="O613" s="55"/>
      <c r="P613" s="55"/>
      <c r="Q613" s="55"/>
      <c r="R613" s="56"/>
      <c r="S613" s="57"/>
      <c r="T613" s="60"/>
    </row>
    <row r="614">
      <c r="A614" s="55"/>
      <c r="B614" s="55"/>
      <c r="C614" s="55"/>
      <c r="D614" s="56"/>
      <c r="E614" s="57"/>
      <c r="F614" s="58"/>
      <c r="G614" s="60"/>
      <c r="H614" s="63"/>
      <c r="I614" s="60"/>
      <c r="J614" s="64"/>
      <c r="K614" s="64"/>
      <c r="L614" s="55"/>
      <c r="M614" s="55"/>
      <c r="N614" s="55"/>
      <c r="O614" s="55"/>
      <c r="P614" s="55"/>
      <c r="Q614" s="55"/>
      <c r="R614" s="56"/>
      <c r="S614" s="57"/>
      <c r="T614" s="60"/>
    </row>
    <row r="615">
      <c r="A615" s="55"/>
      <c r="B615" s="55"/>
      <c r="C615" s="55"/>
      <c r="D615" s="56"/>
      <c r="E615" s="57"/>
      <c r="F615" s="58"/>
      <c r="G615" s="60"/>
      <c r="H615" s="63"/>
      <c r="I615" s="60"/>
      <c r="J615" s="64"/>
      <c r="K615" s="64"/>
      <c r="L615" s="55"/>
      <c r="M615" s="55"/>
      <c r="N615" s="55"/>
      <c r="O615" s="55"/>
      <c r="P615" s="55"/>
      <c r="Q615" s="55"/>
      <c r="R615" s="56"/>
      <c r="S615" s="57"/>
      <c r="T615" s="60"/>
    </row>
    <row r="616">
      <c r="A616" s="55"/>
      <c r="B616" s="55"/>
      <c r="C616" s="55"/>
      <c r="D616" s="56"/>
      <c r="E616" s="57"/>
      <c r="F616" s="58"/>
      <c r="G616" s="60"/>
      <c r="H616" s="63"/>
      <c r="I616" s="60"/>
      <c r="J616" s="64"/>
      <c r="K616" s="64"/>
      <c r="L616" s="55"/>
      <c r="M616" s="55"/>
      <c r="N616" s="55"/>
      <c r="O616" s="55"/>
      <c r="P616" s="55"/>
      <c r="Q616" s="55"/>
      <c r="R616" s="56"/>
      <c r="S616" s="57"/>
      <c r="T616" s="60"/>
    </row>
    <row r="617">
      <c r="A617" s="55"/>
      <c r="B617" s="55"/>
      <c r="C617" s="55"/>
      <c r="D617" s="56"/>
      <c r="E617" s="57"/>
      <c r="F617" s="58"/>
      <c r="G617" s="60"/>
      <c r="H617" s="63"/>
      <c r="I617" s="60"/>
      <c r="J617" s="64"/>
      <c r="K617" s="64"/>
      <c r="L617" s="55"/>
      <c r="M617" s="55"/>
      <c r="N617" s="55"/>
      <c r="O617" s="55"/>
      <c r="P617" s="55"/>
      <c r="Q617" s="55"/>
      <c r="R617" s="56"/>
      <c r="S617" s="57"/>
      <c r="T617" s="60"/>
    </row>
    <row r="618">
      <c r="A618" s="55"/>
      <c r="B618" s="55"/>
      <c r="C618" s="55"/>
      <c r="D618" s="56"/>
      <c r="E618" s="57"/>
      <c r="F618" s="58"/>
      <c r="G618" s="60"/>
      <c r="H618" s="63"/>
      <c r="I618" s="60"/>
      <c r="J618" s="64"/>
      <c r="K618" s="64"/>
      <c r="L618" s="55"/>
      <c r="M618" s="55"/>
      <c r="N618" s="55"/>
      <c r="O618" s="55"/>
      <c r="P618" s="55"/>
      <c r="Q618" s="55"/>
      <c r="R618" s="56"/>
      <c r="S618" s="57"/>
      <c r="T618" s="60"/>
    </row>
    <row r="619">
      <c r="A619" s="55"/>
      <c r="B619" s="55"/>
      <c r="C619" s="55"/>
      <c r="D619" s="56"/>
      <c r="E619" s="57"/>
      <c r="F619" s="58"/>
      <c r="G619" s="60"/>
      <c r="H619" s="63"/>
      <c r="I619" s="60"/>
      <c r="J619" s="64"/>
      <c r="K619" s="64"/>
      <c r="L619" s="55"/>
      <c r="M619" s="55"/>
      <c r="N619" s="55"/>
      <c r="O619" s="55"/>
      <c r="P619" s="55"/>
      <c r="Q619" s="55"/>
      <c r="R619" s="56"/>
      <c r="S619" s="57"/>
      <c r="T619" s="60"/>
    </row>
    <row r="620">
      <c r="A620" s="55"/>
      <c r="B620" s="55"/>
      <c r="C620" s="55"/>
      <c r="D620" s="56"/>
      <c r="E620" s="57"/>
      <c r="F620" s="58"/>
      <c r="G620" s="60"/>
      <c r="H620" s="63"/>
      <c r="I620" s="60"/>
      <c r="J620" s="64"/>
      <c r="K620" s="64"/>
      <c r="L620" s="55"/>
      <c r="M620" s="55"/>
      <c r="N620" s="55"/>
      <c r="O620" s="55"/>
      <c r="P620" s="55"/>
      <c r="Q620" s="55"/>
      <c r="R620" s="56"/>
      <c r="S620" s="57"/>
      <c r="T620" s="60"/>
    </row>
    <row r="621">
      <c r="A621" s="55"/>
      <c r="B621" s="55"/>
      <c r="C621" s="55"/>
      <c r="D621" s="56"/>
      <c r="E621" s="57"/>
      <c r="F621" s="58"/>
      <c r="G621" s="60"/>
      <c r="H621" s="63"/>
      <c r="I621" s="60"/>
      <c r="J621" s="64"/>
      <c r="K621" s="64"/>
      <c r="L621" s="55"/>
      <c r="M621" s="55"/>
      <c r="N621" s="55"/>
      <c r="O621" s="55"/>
      <c r="P621" s="55"/>
      <c r="Q621" s="55"/>
      <c r="R621" s="56"/>
      <c r="S621" s="57"/>
      <c r="T621" s="60"/>
    </row>
    <row r="622">
      <c r="A622" s="55"/>
      <c r="B622" s="55"/>
      <c r="C622" s="55"/>
      <c r="D622" s="56"/>
      <c r="E622" s="57"/>
      <c r="F622" s="58"/>
      <c r="G622" s="60"/>
      <c r="H622" s="63"/>
      <c r="I622" s="60"/>
      <c r="J622" s="64"/>
      <c r="K622" s="64"/>
      <c r="L622" s="55"/>
      <c r="M622" s="55"/>
      <c r="N622" s="55"/>
      <c r="O622" s="55"/>
      <c r="P622" s="55"/>
      <c r="Q622" s="55"/>
      <c r="R622" s="56"/>
      <c r="S622" s="57"/>
      <c r="T622" s="60"/>
    </row>
    <row r="623">
      <c r="A623" s="55"/>
      <c r="B623" s="55"/>
      <c r="C623" s="55"/>
      <c r="D623" s="56"/>
      <c r="E623" s="57"/>
      <c r="F623" s="58"/>
      <c r="G623" s="60"/>
      <c r="H623" s="63"/>
      <c r="I623" s="60"/>
      <c r="J623" s="64"/>
      <c r="K623" s="64"/>
      <c r="L623" s="55"/>
      <c r="M623" s="55"/>
      <c r="N623" s="55"/>
      <c r="O623" s="55"/>
      <c r="P623" s="55"/>
      <c r="Q623" s="55"/>
      <c r="R623" s="56"/>
      <c r="S623" s="57"/>
      <c r="T623" s="60"/>
    </row>
    <row r="624">
      <c r="A624" s="55"/>
      <c r="B624" s="55"/>
      <c r="C624" s="55"/>
      <c r="D624" s="56"/>
      <c r="E624" s="57"/>
      <c r="F624" s="58"/>
      <c r="G624" s="60"/>
      <c r="H624" s="63"/>
      <c r="I624" s="60"/>
      <c r="J624" s="64"/>
      <c r="K624" s="64"/>
      <c r="L624" s="55"/>
      <c r="M624" s="55"/>
      <c r="N624" s="55"/>
      <c r="O624" s="55"/>
      <c r="P624" s="55"/>
      <c r="Q624" s="55"/>
      <c r="R624" s="56"/>
      <c r="S624" s="57"/>
      <c r="T624" s="60"/>
    </row>
    <row r="625">
      <c r="A625" s="55"/>
      <c r="B625" s="55"/>
      <c r="C625" s="55"/>
      <c r="D625" s="56"/>
      <c r="E625" s="57"/>
      <c r="F625" s="58"/>
      <c r="G625" s="60"/>
      <c r="H625" s="63"/>
      <c r="I625" s="60"/>
      <c r="J625" s="64"/>
      <c r="K625" s="64"/>
      <c r="L625" s="55"/>
      <c r="M625" s="55"/>
      <c r="N625" s="55"/>
      <c r="O625" s="55"/>
      <c r="P625" s="55"/>
      <c r="Q625" s="55"/>
      <c r="R625" s="56"/>
      <c r="S625" s="57"/>
      <c r="T625" s="60"/>
    </row>
    <row r="626">
      <c r="A626" s="55"/>
      <c r="B626" s="55"/>
      <c r="C626" s="55"/>
      <c r="D626" s="56"/>
      <c r="E626" s="57"/>
      <c r="F626" s="58"/>
      <c r="G626" s="60"/>
      <c r="H626" s="63"/>
      <c r="I626" s="60"/>
      <c r="J626" s="64"/>
      <c r="K626" s="64"/>
      <c r="L626" s="55"/>
      <c r="M626" s="55"/>
      <c r="N626" s="55"/>
      <c r="O626" s="55"/>
      <c r="P626" s="55"/>
      <c r="Q626" s="55"/>
      <c r="R626" s="56"/>
      <c r="S626" s="57"/>
      <c r="T626" s="60"/>
    </row>
    <row r="627">
      <c r="A627" s="55"/>
      <c r="B627" s="55"/>
      <c r="C627" s="55"/>
      <c r="D627" s="56"/>
      <c r="E627" s="57"/>
      <c r="F627" s="58"/>
      <c r="G627" s="60"/>
      <c r="H627" s="63"/>
      <c r="I627" s="60"/>
      <c r="J627" s="64"/>
      <c r="K627" s="64"/>
      <c r="L627" s="55"/>
      <c r="M627" s="55"/>
      <c r="N627" s="55"/>
      <c r="O627" s="55"/>
      <c r="P627" s="55"/>
      <c r="Q627" s="55"/>
      <c r="R627" s="56"/>
      <c r="S627" s="57"/>
      <c r="T627" s="60"/>
    </row>
    <row r="628">
      <c r="A628" s="55"/>
      <c r="B628" s="55"/>
      <c r="C628" s="55"/>
      <c r="D628" s="56"/>
      <c r="E628" s="57"/>
      <c r="F628" s="58"/>
      <c r="G628" s="60"/>
      <c r="H628" s="63"/>
      <c r="I628" s="60"/>
      <c r="J628" s="64"/>
      <c r="K628" s="64"/>
      <c r="L628" s="55"/>
      <c r="M628" s="55"/>
      <c r="N628" s="55"/>
      <c r="O628" s="55"/>
      <c r="P628" s="55"/>
      <c r="Q628" s="55"/>
      <c r="R628" s="56"/>
      <c r="S628" s="57"/>
      <c r="T628" s="60"/>
    </row>
    <row r="629">
      <c r="A629" s="55"/>
      <c r="B629" s="55"/>
      <c r="C629" s="55"/>
      <c r="D629" s="56"/>
      <c r="E629" s="57"/>
      <c r="F629" s="58"/>
      <c r="G629" s="60"/>
      <c r="H629" s="63"/>
      <c r="I629" s="60"/>
      <c r="J629" s="64"/>
      <c r="K629" s="64"/>
      <c r="L629" s="55"/>
      <c r="M629" s="55"/>
      <c r="N629" s="55"/>
      <c r="O629" s="55"/>
      <c r="P629" s="55"/>
      <c r="Q629" s="55"/>
      <c r="R629" s="56"/>
      <c r="S629" s="57"/>
      <c r="T629" s="60"/>
    </row>
    <row r="630">
      <c r="A630" s="55"/>
      <c r="B630" s="55"/>
      <c r="C630" s="55"/>
      <c r="D630" s="56"/>
      <c r="E630" s="57"/>
      <c r="F630" s="58"/>
      <c r="G630" s="60"/>
      <c r="H630" s="63"/>
      <c r="I630" s="60"/>
      <c r="J630" s="64"/>
      <c r="K630" s="64"/>
      <c r="L630" s="55"/>
      <c r="M630" s="55"/>
      <c r="N630" s="55"/>
      <c r="O630" s="55"/>
      <c r="P630" s="55"/>
      <c r="Q630" s="55"/>
      <c r="R630" s="56"/>
      <c r="S630" s="57"/>
      <c r="T630" s="60"/>
    </row>
    <row r="631">
      <c r="A631" s="55"/>
      <c r="B631" s="55"/>
      <c r="C631" s="55"/>
      <c r="D631" s="56"/>
      <c r="E631" s="57"/>
      <c r="F631" s="58"/>
      <c r="G631" s="60"/>
      <c r="H631" s="63"/>
      <c r="I631" s="60"/>
      <c r="J631" s="64"/>
      <c r="K631" s="64"/>
      <c r="L631" s="55"/>
      <c r="M631" s="55"/>
      <c r="N631" s="55"/>
      <c r="O631" s="55"/>
      <c r="P631" s="55"/>
      <c r="Q631" s="55"/>
      <c r="R631" s="56"/>
      <c r="S631" s="57"/>
      <c r="T631" s="60"/>
    </row>
    <row r="632">
      <c r="A632" s="55"/>
      <c r="B632" s="55"/>
      <c r="C632" s="55"/>
      <c r="D632" s="56"/>
      <c r="E632" s="57"/>
      <c r="F632" s="58"/>
      <c r="G632" s="60"/>
      <c r="H632" s="63"/>
      <c r="I632" s="60"/>
      <c r="J632" s="64"/>
      <c r="K632" s="64"/>
      <c r="L632" s="55"/>
      <c r="M632" s="55"/>
      <c r="N632" s="55"/>
      <c r="O632" s="55"/>
      <c r="P632" s="55"/>
      <c r="Q632" s="55"/>
      <c r="R632" s="56"/>
      <c r="S632" s="57"/>
      <c r="T632" s="60"/>
    </row>
    <row r="633">
      <c r="A633" s="55"/>
      <c r="B633" s="55"/>
      <c r="C633" s="55"/>
      <c r="D633" s="56"/>
      <c r="E633" s="57"/>
      <c r="F633" s="58"/>
      <c r="G633" s="60"/>
      <c r="H633" s="63"/>
      <c r="I633" s="60"/>
      <c r="J633" s="64"/>
      <c r="K633" s="64"/>
      <c r="L633" s="55"/>
      <c r="M633" s="55"/>
      <c r="N633" s="55"/>
      <c r="O633" s="55"/>
      <c r="P633" s="55"/>
      <c r="Q633" s="55"/>
      <c r="R633" s="56"/>
      <c r="S633" s="57"/>
      <c r="T633" s="60"/>
    </row>
    <row r="634">
      <c r="A634" s="55"/>
      <c r="B634" s="55"/>
      <c r="C634" s="55"/>
      <c r="D634" s="56"/>
      <c r="E634" s="57"/>
      <c r="F634" s="58"/>
      <c r="G634" s="60"/>
      <c r="H634" s="63"/>
      <c r="I634" s="60"/>
      <c r="J634" s="64"/>
      <c r="K634" s="64"/>
      <c r="L634" s="55"/>
      <c r="M634" s="55"/>
      <c r="N634" s="55"/>
      <c r="O634" s="55"/>
      <c r="P634" s="55"/>
      <c r="Q634" s="55"/>
      <c r="R634" s="56"/>
      <c r="S634" s="57"/>
      <c r="T634" s="60"/>
    </row>
    <row r="635">
      <c r="A635" s="55"/>
      <c r="B635" s="55"/>
      <c r="C635" s="55"/>
      <c r="D635" s="56"/>
      <c r="E635" s="57"/>
      <c r="F635" s="58"/>
      <c r="G635" s="60"/>
      <c r="H635" s="63"/>
      <c r="I635" s="60"/>
      <c r="J635" s="64"/>
      <c r="K635" s="64"/>
      <c r="L635" s="55"/>
      <c r="M635" s="55"/>
      <c r="N635" s="55"/>
      <c r="O635" s="55"/>
      <c r="P635" s="55"/>
      <c r="Q635" s="55"/>
      <c r="R635" s="56"/>
      <c r="S635" s="57"/>
      <c r="T635" s="60"/>
    </row>
    <row r="636">
      <c r="A636" s="55"/>
      <c r="B636" s="55"/>
      <c r="C636" s="55"/>
      <c r="D636" s="56"/>
      <c r="E636" s="57"/>
      <c r="F636" s="58"/>
      <c r="G636" s="60"/>
      <c r="H636" s="63"/>
      <c r="I636" s="60"/>
      <c r="J636" s="64"/>
      <c r="K636" s="64"/>
      <c r="L636" s="55"/>
      <c r="M636" s="55"/>
      <c r="N636" s="55"/>
      <c r="O636" s="55"/>
      <c r="P636" s="55"/>
      <c r="Q636" s="55"/>
      <c r="R636" s="56"/>
      <c r="S636" s="57"/>
      <c r="T636" s="60"/>
    </row>
    <row r="637">
      <c r="A637" s="55"/>
      <c r="B637" s="55"/>
      <c r="C637" s="55"/>
      <c r="D637" s="56"/>
      <c r="E637" s="57"/>
      <c r="F637" s="58"/>
      <c r="G637" s="60"/>
      <c r="H637" s="63"/>
      <c r="I637" s="60"/>
      <c r="J637" s="64"/>
      <c r="K637" s="64"/>
      <c r="L637" s="55"/>
      <c r="M637" s="55"/>
      <c r="N637" s="55"/>
      <c r="O637" s="55"/>
      <c r="P637" s="55"/>
      <c r="Q637" s="55"/>
      <c r="R637" s="56"/>
      <c r="S637" s="57"/>
      <c r="T637" s="60"/>
    </row>
    <row r="638">
      <c r="A638" s="55"/>
      <c r="B638" s="55"/>
      <c r="C638" s="55"/>
      <c r="D638" s="56"/>
      <c r="E638" s="57"/>
      <c r="F638" s="58"/>
      <c r="G638" s="60"/>
      <c r="H638" s="63"/>
      <c r="I638" s="60"/>
      <c r="J638" s="64"/>
      <c r="K638" s="64"/>
      <c r="L638" s="55"/>
      <c r="M638" s="55"/>
      <c r="N638" s="55"/>
      <c r="O638" s="55"/>
      <c r="P638" s="55"/>
      <c r="Q638" s="55"/>
      <c r="R638" s="56"/>
      <c r="S638" s="57"/>
      <c r="T638" s="60"/>
    </row>
    <row r="639">
      <c r="A639" s="55"/>
      <c r="B639" s="55"/>
      <c r="C639" s="55"/>
      <c r="D639" s="56"/>
      <c r="E639" s="57"/>
      <c r="F639" s="58"/>
      <c r="G639" s="60"/>
      <c r="H639" s="63"/>
      <c r="I639" s="60"/>
      <c r="J639" s="64"/>
      <c r="K639" s="64"/>
      <c r="L639" s="55"/>
      <c r="M639" s="55"/>
      <c r="N639" s="55"/>
      <c r="O639" s="55"/>
      <c r="P639" s="55"/>
      <c r="Q639" s="55"/>
      <c r="R639" s="56"/>
      <c r="S639" s="57"/>
      <c r="T639" s="60"/>
    </row>
    <row r="640">
      <c r="A640" s="55"/>
      <c r="B640" s="55"/>
      <c r="C640" s="55"/>
      <c r="D640" s="56"/>
      <c r="E640" s="57"/>
      <c r="F640" s="58"/>
      <c r="G640" s="60"/>
      <c r="H640" s="63"/>
      <c r="I640" s="60"/>
      <c r="J640" s="64"/>
      <c r="K640" s="64"/>
      <c r="L640" s="55"/>
      <c r="M640" s="55"/>
      <c r="N640" s="55"/>
      <c r="O640" s="55"/>
      <c r="P640" s="55"/>
      <c r="Q640" s="55"/>
      <c r="R640" s="56"/>
      <c r="S640" s="57"/>
      <c r="T640" s="60"/>
    </row>
    <row r="641">
      <c r="A641" s="55"/>
      <c r="B641" s="55"/>
      <c r="C641" s="55"/>
      <c r="D641" s="56"/>
      <c r="E641" s="57"/>
      <c r="F641" s="58"/>
      <c r="G641" s="60"/>
      <c r="H641" s="63"/>
      <c r="I641" s="60"/>
      <c r="J641" s="64"/>
      <c r="K641" s="64"/>
      <c r="L641" s="55"/>
      <c r="M641" s="55"/>
      <c r="N641" s="55"/>
      <c r="O641" s="55"/>
      <c r="P641" s="55"/>
      <c r="Q641" s="55"/>
      <c r="R641" s="56"/>
      <c r="S641" s="57"/>
      <c r="T641" s="60"/>
    </row>
    <row r="642">
      <c r="A642" s="55"/>
      <c r="B642" s="55"/>
      <c r="C642" s="55"/>
      <c r="D642" s="56"/>
      <c r="E642" s="57"/>
      <c r="F642" s="58"/>
      <c r="G642" s="60"/>
      <c r="H642" s="63"/>
      <c r="I642" s="60"/>
      <c r="J642" s="64"/>
      <c r="K642" s="64"/>
      <c r="L642" s="55"/>
      <c r="M642" s="55"/>
      <c r="N642" s="55"/>
      <c r="O642" s="55"/>
      <c r="P642" s="55"/>
      <c r="Q642" s="55"/>
      <c r="R642" s="56"/>
      <c r="S642" s="57"/>
      <c r="T642" s="60"/>
    </row>
    <row r="643">
      <c r="A643" s="55"/>
      <c r="B643" s="55"/>
      <c r="C643" s="55"/>
      <c r="D643" s="56"/>
      <c r="E643" s="57"/>
      <c r="F643" s="58"/>
      <c r="G643" s="60"/>
      <c r="H643" s="63"/>
      <c r="I643" s="60"/>
      <c r="J643" s="64"/>
      <c r="K643" s="64"/>
      <c r="L643" s="55"/>
      <c r="M643" s="55"/>
      <c r="N643" s="55"/>
      <c r="O643" s="55"/>
      <c r="P643" s="55"/>
      <c r="Q643" s="55"/>
      <c r="R643" s="56"/>
      <c r="S643" s="57"/>
      <c r="T643" s="60"/>
    </row>
    <row r="644">
      <c r="A644" s="55"/>
      <c r="B644" s="55"/>
      <c r="C644" s="55"/>
      <c r="D644" s="56"/>
      <c r="E644" s="57"/>
      <c r="F644" s="58"/>
      <c r="G644" s="60"/>
      <c r="H644" s="63"/>
      <c r="I644" s="60"/>
      <c r="J644" s="64"/>
      <c r="K644" s="64"/>
      <c r="L644" s="55"/>
      <c r="M644" s="55"/>
      <c r="N644" s="55"/>
      <c r="O644" s="55"/>
      <c r="P644" s="55"/>
      <c r="Q644" s="55"/>
      <c r="R644" s="56"/>
      <c r="S644" s="57"/>
      <c r="T644" s="60"/>
    </row>
    <row r="645">
      <c r="A645" s="55"/>
      <c r="B645" s="55"/>
      <c r="C645" s="55"/>
      <c r="D645" s="56"/>
      <c r="E645" s="57"/>
      <c r="F645" s="58"/>
      <c r="G645" s="60"/>
      <c r="H645" s="63"/>
      <c r="I645" s="60"/>
      <c r="J645" s="64"/>
      <c r="K645" s="64"/>
      <c r="L645" s="55"/>
      <c r="M645" s="55"/>
      <c r="N645" s="55"/>
      <c r="O645" s="55"/>
      <c r="P645" s="55"/>
      <c r="Q645" s="55"/>
      <c r="R645" s="56"/>
      <c r="S645" s="57"/>
      <c r="T645" s="60"/>
    </row>
    <row r="646">
      <c r="A646" s="55"/>
      <c r="B646" s="55"/>
      <c r="C646" s="55"/>
      <c r="D646" s="56"/>
      <c r="E646" s="57"/>
      <c r="F646" s="58"/>
      <c r="G646" s="60"/>
      <c r="H646" s="63"/>
      <c r="I646" s="60"/>
      <c r="J646" s="64"/>
      <c r="K646" s="64"/>
      <c r="L646" s="55"/>
      <c r="M646" s="55"/>
      <c r="N646" s="55"/>
      <c r="O646" s="55"/>
      <c r="P646" s="55"/>
      <c r="Q646" s="55"/>
      <c r="R646" s="56"/>
      <c r="S646" s="57"/>
      <c r="T646" s="60"/>
    </row>
    <row r="647">
      <c r="A647" s="55"/>
      <c r="B647" s="55"/>
      <c r="C647" s="55"/>
      <c r="D647" s="56"/>
      <c r="E647" s="57"/>
      <c r="F647" s="58"/>
      <c r="G647" s="60"/>
      <c r="H647" s="63"/>
      <c r="I647" s="60"/>
      <c r="J647" s="64"/>
      <c r="K647" s="64"/>
      <c r="L647" s="55"/>
      <c r="M647" s="55"/>
      <c r="N647" s="55"/>
      <c r="O647" s="55"/>
      <c r="P647" s="55"/>
      <c r="Q647" s="55"/>
      <c r="R647" s="56"/>
      <c r="S647" s="57"/>
      <c r="T647" s="60"/>
    </row>
    <row r="648">
      <c r="A648" s="55"/>
      <c r="B648" s="55"/>
      <c r="C648" s="55"/>
      <c r="D648" s="56"/>
      <c r="E648" s="57"/>
      <c r="F648" s="58"/>
      <c r="G648" s="60"/>
      <c r="H648" s="63"/>
      <c r="I648" s="60"/>
      <c r="J648" s="64"/>
      <c r="K648" s="64"/>
      <c r="L648" s="55"/>
      <c r="M648" s="55"/>
      <c r="N648" s="55"/>
      <c r="O648" s="55"/>
      <c r="P648" s="55"/>
      <c r="Q648" s="55"/>
      <c r="R648" s="56"/>
      <c r="S648" s="57"/>
      <c r="T648" s="60"/>
    </row>
    <row r="649">
      <c r="A649" s="55"/>
      <c r="B649" s="55"/>
      <c r="C649" s="55"/>
      <c r="D649" s="56"/>
      <c r="E649" s="57"/>
      <c r="F649" s="58"/>
      <c r="G649" s="60"/>
      <c r="H649" s="63"/>
      <c r="I649" s="60"/>
      <c r="J649" s="64"/>
      <c r="K649" s="64"/>
      <c r="L649" s="55"/>
      <c r="M649" s="55"/>
      <c r="N649" s="55"/>
      <c r="O649" s="55"/>
      <c r="P649" s="55"/>
      <c r="Q649" s="55"/>
      <c r="R649" s="56"/>
      <c r="S649" s="57"/>
      <c r="T649" s="60"/>
    </row>
    <row r="650">
      <c r="A650" s="55"/>
      <c r="B650" s="55"/>
      <c r="C650" s="55"/>
      <c r="D650" s="56"/>
      <c r="E650" s="57"/>
      <c r="F650" s="58"/>
      <c r="G650" s="60"/>
      <c r="H650" s="63"/>
      <c r="I650" s="60"/>
      <c r="J650" s="64"/>
      <c r="K650" s="64"/>
      <c r="L650" s="55"/>
      <c r="M650" s="55"/>
      <c r="N650" s="55"/>
      <c r="O650" s="55"/>
      <c r="P650" s="55"/>
      <c r="Q650" s="55"/>
      <c r="R650" s="56"/>
      <c r="S650" s="57"/>
      <c r="T650" s="60"/>
    </row>
    <row r="651">
      <c r="A651" s="55"/>
      <c r="B651" s="55"/>
      <c r="C651" s="55"/>
      <c r="D651" s="56"/>
      <c r="E651" s="57"/>
      <c r="F651" s="58"/>
      <c r="G651" s="60"/>
      <c r="H651" s="63"/>
      <c r="I651" s="60"/>
      <c r="J651" s="64"/>
      <c r="K651" s="64"/>
      <c r="L651" s="55"/>
      <c r="M651" s="55"/>
      <c r="N651" s="55"/>
      <c r="O651" s="55"/>
      <c r="P651" s="55"/>
      <c r="Q651" s="55"/>
      <c r="R651" s="56"/>
      <c r="S651" s="57"/>
      <c r="T651" s="60"/>
    </row>
    <row r="652">
      <c r="A652" s="55"/>
      <c r="B652" s="55"/>
      <c r="C652" s="55"/>
      <c r="D652" s="56"/>
      <c r="E652" s="57"/>
      <c r="F652" s="58"/>
      <c r="G652" s="60"/>
      <c r="H652" s="63"/>
      <c r="I652" s="60"/>
      <c r="J652" s="64"/>
      <c r="K652" s="64"/>
      <c r="L652" s="55"/>
      <c r="M652" s="55"/>
      <c r="N652" s="55"/>
      <c r="O652" s="55"/>
      <c r="P652" s="55"/>
      <c r="Q652" s="55"/>
      <c r="R652" s="56"/>
      <c r="S652" s="57"/>
      <c r="T652" s="60"/>
    </row>
    <row r="653">
      <c r="A653" s="55"/>
      <c r="B653" s="55"/>
      <c r="C653" s="55"/>
      <c r="D653" s="56"/>
      <c r="E653" s="57"/>
      <c r="F653" s="58"/>
      <c r="G653" s="60"/>
      <c r="H653" s="63"/>
      <c r="I653" s="60"/>
      <c r="J653" s="64"/>
      <c r="K653" s="64"/>
      <c r="L653" s="55"/>
      <c r="M653" s="55"/>
      <c r="N653" s="55"/>
      <c r="O653" s="55"/>
      <c r="P653" s="55"/>
      <c r="Q653" s="55"/>
      <c r="R653" s="56"/>
      <c r="S653" s="57"/>
      <c r="T653" s="60"/>
    </row>
    <row r="654">
      <c r="A654" s="55"/>
      <c r="B654" s="55"/>
      <c r="C654" s="55"/>
      <c r="D654" s="56"/>
      <c r="E654" s="57"/>
      <c r="F654" s="58"/>
      <c r="G654" s="60"/>
      <c r="H654" s="63"/>
      <c r="I654" s="60"/>
      <c r="J654" s="64"/>
      <c r="K654" s="64"/>
      <c r="L654" s="55"/>
      <c r="M654" s="55"/>
      <c r="N654" s="55"/>
      <c r="O654" s="55"/>
      <c r="P654" s="55"/>
      <c r="Q654" s="55"/>
      <c r="R654" s="56"/>
      <c r="S654" s="57"/>
      <c r="T654" s="60"/>
    </row>
    <row r="655">
      <c r="A655" s="55"/>
      <c r="B655" s="55"/>
      <c r="C655" s="55"/>
      <c r="D655" s="56"/>
      <c r="E655" s="57"/>
      <c r="F655" s="58"/>
      <c r="G655" s="60"/>
      <c r="H655" s="63"/>
      <c r="I655" s="60"/>
      <c r="J655" s="64"/>
      <c r="K655" s="64"/>
      <c r="L655" s="55"/>
      <c r="M655" s="55"/>
      <c r="N655" s="55"/>
      <c r="O655" s="55"/>
      <c r="P655" s="55"/>
      <c r="Q655" s="55"/>
      <c r="R655" s="56"/>
      <c r="S655" s="57"/>
      <c r="T655" s="60"/>
    </row>
    <row r="656">
      <c r="A656" s="55"/>
      <c r="B656" s="55"/>
      <c r="C656" s="55"/>
      <c r="D656" s="56"/>
      <c r="E656" s="57"/>
      <c r="F656" s="58"/>
      <c r="G656" s="60"/>
      <c r="H656" s="63"/>
      <c r="I656" s="60"/>
      <c r="J656" s="64"/>
      <c r="K656" s="64"/>
      <c r="L656" s="55"/>
      <c r="M656" s="55"/>
      <c r="N656" s="55"/>
      <c r="O656" s="55"/>
      <c r="P656" s="55"/>
      <c r="Q656" s="55"/>
      <c r="R656" s="56"/>
      <c r="S656" s="57"/>
      <c r="T656" s="60"/>
    </row>
    <row r="657">
      <c r="A657" s="55"/>
      <c r="B657" s="55"/>
      <c r="C657" s="55"/>
      <c r="D657" s="56"/>
      <c r="E657" s="57"/>
      <c r="F657" s="58"/>
      <c r="G657" s="60"/>
      <c r="H657" s="63"/>
      <c r="I657" s="60"/>
      <c r="J657" s="64"/>
      <c r="K657" s="64"/>
      <c r="L657" s="55"/>
      <c r="M657" s="55"/>
      <c r="N657" s="55"/>
      <c r="O657" s="55"/>
      <c r="P657" s="55"/>
      <c r="Q657" s="55"/>
      <c r="R657" s="56"/>
      <c r="S657" s="57"/>
      <c r="T657" s="60"/>
    </row>
    <row r="658">
      <c r="A658" s="55"/>
      <c r="B658" s="55"/>
      <c r="C658" s="55"/>
      <c r="D658" s="56"/>
      <c r="E658" s="57"/>
      <c r="F658" s="58"/>
      <c r="G658" s="60"/>
      <c r="H658" s="63"/>
      <c r="I658" s="60"/>
      <c r="J658" s="64"/>
      <c r="K658" s="64"/>
      <c r="L658" s="55"/>
      <c r="M658" s="55"/>
      <c r="N658" s="55"/>
      <c r="O658" s="55"/>
      <c r="P658" s="55"/>
      <c r="Q658" s="55"/>
      <c r="R658" s="56"/>
      <c r="S658" s="57"/>
      <c r="T658" s="60"/>
    </row>
    <row r="659">
      <c r="A659" s="55"/>
      <c r="B659" s="55"/>
      <c r="C659" s="55"/>
      <c r="D659" s="56"/>
      <c r="E659" s="57"/>
      <c r="F659" s="58"/>
      <c r="G659" s="60"/>
      <c r="H659" s="63"/>
      <c r="I659" s="60"/>
      <c r="J659" s="64"/>
      <c r="K659" s="64"/>
      <c r="L659" s="55"/>
      <c r="M659" s="55"/>
      <c r="N659" s="55"/>
      <c r="O659" s="55"/>
      <c r="P659" s="55"/>
      <c r="Q659" s="55"/>
      <c r="R659" s="56"/>
      <c r="S659" s="57"/>
      <c r="T659" s="60"/>
    </row>
    <row r="660">
      <c r="A660" s="55"/>
      <c r="B660" s="55"/>
      <c r="C660" s="55"/>
      <c r="D660" s="56"/>
      <c r="E660" s="57"/>
      <c r="F660" s="58"/>
      <c r="G660" s="60"/>
      <c r="H660" s="63"/>
      <c r="I660" s="60"/>
      <c r="J660" s="64"/>
      <c r="K660" s="64"/>
      <c r="L660" s="55"/>
      <c r="M660" s="55"/>
      <c r="N660" s="55"/>
      <c r="O660" s="55"/>
      <c r="P660" s="55"/>
      <c r="Q660" s="55"/>
      <c r="R660" s="56"/>
      <c r="S660" s="57"/>
      <c r="T660" s="60"/>
    </row>
    <row r="661">
      <c r="A661" s="55"/>
      <c r="B661" s="55"/>
      <c r="C661" s="55"/>
      <c r="D661" s="56"/>
      <c r="E661" s="57"/>
      <c r="F661" s="58"/>
      <c r="G661" s="60"/>
      <c r="H661" s="63"/>
      <c r="I661" s="60"/>
      <c r="J661" s="64"/>
      <c r="K661" s="64"/>
      <c r="L661" s="55"/>
      <c r="M661" s="55"/>
      <c r="N661" s="55"/>
      <c r="O661" s="55"/>
      <c r="P661" s="55"/>
      <c r="Q661" s="55"/>
      <c r="R661" s="56"/>
      <c r="S661" s="57"/>
      <c r="T661" s="60"/>
    </row>
    <row r="662">
      <c r="A662" s="55"/>
      <c r="B662" s="55"/>
      <c r="C662" s="55"/>
      <c r="D662" s="56"/>
      <c r="E662" s="57"/>
      <c r="F662" s="58"/>
      <c r="G662" s="60"/>
      <c r="H662" s="63"/>
      <c r="I662" s="60"/>
      <c r="J662" s="64"/>
      <c r="K662" s="64"/>
      <c r="L662" s="55"/>
      <c r="M662" s="55"/>
      <c r="N662" s="55"/>
      <c r="O662" s="55"/>
      <c r="P662" s="55"/>
      <c r="Q662" s="55"/>
      <c r="R662" s="56"/>
      <c r="S662" s="57"/>
      <c r="T662" s="60"/>
    </row>
    <row r="663">
      <c r="A663" s="55"/>
      <c r="B663" s="55"/>
      <c r="C663" s="55"/>
      <c r="D663" s="56"/>
      <c r="E663" s="57"/>
      <c r="F663" s="58"/>
      <c r="G663" s="60"/>
      <c r="H663" s="63"/>
      <c r="I663" s="60"/>
      <c r="J663" s="64"/>
      <c r="K663" s="64"/>
      <c r="L663" s="55"/>
      <c r="M663" s="55"/>
      <c r="N663" s="55"/>
      <c r="O663" s="55"/>
      <c r="P663" s="55"/>
      <c r="Q663" s="55"/>
      <c r="R663" s="56"/>
      <c r="S663" s="57"/>
      <c r="T663" s="60"/>
    </row>
    <row r="664">
      <c r="A664" s="55"/>
      <c r="B664" s="55"/>
      <c r="C664" s="55"/>
      <c r="D664" s="56"/>
      <c r="E664" s="57"/>
      <c r="F664" s="58"/>
      <c r="G664" s="60"/>
      <c r="H664" s="63"/>
      <c r="I664" s="60"/>
      <c r="J664" s="64"/>
      <c r="K664" s="64"/>
      <c r="L664" s="55"/>
      <c r="M664" s="55"/>
      <c r="N664" s="55"/>
      <c r="O664" s="55"/>
      <c r="P664" s="55"/>
      <c r="Q664" s="55"/>
      <c r="R664" s="56"/>
      <c r="S664" s="57"/>
      <c r="T664" s="60"/>
    </row>
    <row r="665">
      <c r="A665" s="55"/>
      <c r="B665" s="55"/>
      <c r="C665" s="55"/>
      <c r="D665" s="56"/>
      <c r="E665" s="57"/>
      <c r="F665" s="58"/>
      <c r="G665" s="60"/>
      <c r="H665" s="63"/>
      <c r="I665" s="60"/>
      <c r="J665" s="64"/>
      <c r="K665" s="64"/>
      <c r="L665" s="55"/>
      <c r="M665" s="55"/>
      <c r="N665" s="55"/>
      <c r="O665" s="55"/>
      <c r="P665" s="55"/>
      <c r="Q665" s="55"/>
      <c r="R665" s="56"/>
      <c r="S665" s="57"/>
      <c r="T665" s="60"/>
    </row>
    <row r="666">
      <c r="A666" s="55"/>
      <c r="B666" s="55"/>
      <c r="C666" s="55"/>
      <c r="D666" s="56"/>
      <c r="E666" s="57"/>
      <c r="F666" s="58"/>
      <c r="G666" s="60"/>
      <c r="H666" s="63"/>
      <c r="I666" s="60"/>
      <c r="J666" s="64"/>
      <c r="K666" s="64"/>
      <c r="L666" s="55"/>
      <c r="M666" s="55"/>
      <c r="N666" s="55"/>
      <c r="O666" s="55"/>
      <c r="P666" s="55"/>
      <c r="Q666" s="55"/>
      <c r="R666" s="56"/>
      <c r="S666" s="57"/>
      <c r="T666" s="60"/>
    </row>
    <row r="667">
      <c r="A667" s="55"/>
      <c r="B667" s="55"/>
      <c r="C667" s="55"/>
      <c r="D667" s="56"/>
      <c r="E667" s="57"/>
      <c r="F667" s="58"/>
      <c r="G667" s="60"/>
      <c r="H667" s="63"/>
      <c r="I667" s="60"/>
      <c r="J667" s="64"/>
      <c r="K667" s="64"/>
      <c r="L667" s="55"/>
      <c r="M667" s="55"/>
      <c r="N667" s="55"/>
      <c r="O667" s="55"/>
      <c r="P667" s="55"/>
      <c r="Q667" s="55"/>
      <c r="R667" s="56"/>
      <c r="S667" s="57"/>
      <c r="T667" s="60"/>
    </row>
    <row r="668">
      <c r="A668" s="55"/>
      <c r="B668" s="55"/>
      <c r="C668" s="55"/>
      <c r="D668" s="56"/>
      <c r="E668" s="57"/>
      <c r="F668" s="58"/>
      <c r="G668" s="60"/>
      <c r="H668" s="63"/>
      <c r="I668" s="60"/>
      <c r="J668" s="64"/>
      <c r="K668" s="64"/>
      <c r="L668" s="55"/>
      <c r="M668" s="55"/>
      <c r="N668" s="55"/>
      <c r="O668" s="55"/>
      <c r="P668" s="55"/>
      <c r="Q668" s="55"/>
      <c r="R668" s="56"/>
      <c r="S668" s="57"/>
      <c r="T668" s="60"/>
    </row>
    <row r="669">
      <c r="A669" s="55"/>
      <c r="B669" s="55"/>
      <c r="C669" s="55"/>
      <c r="D669" s="56"/>
      <c r="E669" s="57"/>
      <c r="F669" s="58"/>
      <c r="G669" s="60"/>
      <c r="H669" s="63"/>
      <c r="I669" s="60"/>
      <c r="J669" s="64"/>
      <c r="K669" s="64"/>
      <c r="L669" s="55"/>
      <c r="M669" s="55"/>
      <c r="N669" s="55"/>
      <c r="O669" s="55"/>
      <c r="P669" s="55"/>
      <c r="Q669" s="55"/>
      <c r="R669" s="56"/>
      <c r="S669" s="57"/>
      <c r="T669" s="60"/>
    </row>
    <row r="670">
      <c r="A670" s="55"/>
      <c r="B670" s="55"/>
      <c r="C670" s="55"/>
      <c r="D670" s="56"/>
      <c r="E670" s="57"/>
      <c r="F670" s="58"/>
      <c r="G670" s="60"/>
      <c r="H670" s="63"/>
      <c r="I670" s="60"/>
      <c r="J670" s="64"/>
      <c r="K670" s="64"/>
      <c r="L670" s="55"/>
      <c r="M670" s="55"/>
      <c r="N670" s="55"/>
      <c r="O670" s="55"/>
      <c r="P670" s="55"/>
      <c r="Q670" s="55"/>
      <c r="R670" s="56"/>
      <c r="S670" s="57"/>
      <c r="T670" s="60"/>
    </row>
    <row r="671">
      <c r="A671" s="55"/>
      <c r="B671" s="55"/>
      <c r="C671" s="55"/>
      <c r="D671" s="56"/>
      <c r="E671" s="57"/>
      <c r="F671" s="58"/>
      <c r="G671" s="60"/>
      <c r="H671" s="63"/>
      <c r="I671" s="60"/>
      <c r="J671" s="64"/>
      <c r="K671" s="64"/>
      <c r="L671" s="55"/>
      <c r="M671" s="55"/>
      <c r="N671" s="55"/>
      <c r="O671" s="55"/>
      <c r="P671" s="55"/>
      <c r="Q671" s="55"/>
      <c r="R671" s="56"/>
      <c r="S671" s="57"/>
      <c r="T671" s="60"/>
    </row>
    <row r="672">
      <c r="A672" s="55"/>
      <c r="B672" s="55"/>
      <c r="C672" s="55"/>
      <c r="D672" s="56"/>
      <c r="E672" s="57"/>
      <c r="F672" s="58"/>
      <c r="G672" s="60"/>
      <c r="H672" s="63"/>
      <c r="I672" s="60"/>
      <c r="J672" s="64"/>
      <c r="K672" s="64"/>
      <c r="L672" s="55"/>
      <c r="M672" s="55"/>
      <c r="N672" s="55"/>
      <c r="O672" s="55"/>
      <c r="P672" s="55"/>
      <c r="Q672" s="55"/>
      <c r="R672" s="56"/>
      <c r="S672" s="57"/>
      <c r="T672" s="60"/>
    </row>
    <row r="673">
      <c r="A673" s="55"/>
      <c r="B673" s="55"/>
      <c r="C673" s="55"/>
      <c r="D673" s="56"/>
      <c r="E673" s="57"/>
      <c r="F673" s="58"/>
      <c r="G673" s="60"/>
      <c r="H673" s="63"/>
      <c r="I673" s="60"/>
      <c r="J673" s="64"/>
      <c r="K673" s="64"/>
      <c r="L673" s="55"/>
      <c r="M673" s="55"/>
      <c r="N673" s="55"/>
      <c r="O673" s="55"/>
      <c r="P673" s="55"/>
      <c r="Q673" s="55"/>
      <c r="R673" s="56"/>
      <c r="S673" s="57"/>
      <c r="T673" s="60"/>
    </row>
    <row r="674">
      <c r="A674" s="55"/>
      <c r="B674" s="55"/>
      <c r="C674" s="55"/>
      <c r="D674" s="56"/>
      <c r="E674" s="57"/>
      <c r="F674" s="58"/>
      <c r="G674" s="60"/>
      <c r="H674" s="63"/>
      <c r="I674" s="60"/>
      <c r="J674" s="64"/>
      <c r="K674" s="64"/>
      <c r="L674" s="55"/>
      <c r="M674" s="55"/>
      <c r="N674" s="55"/>
      <c r="O674" s="55"/>
      <c r="P674" s="55"/>
      <c r="Q674" s="55"/>
      <c r="R674" s="56"/>
      <c r="S674" s="57"/>
      <c r="T674" s="60"/>
    </row>
    <row r="675">
      <c r="A675" s="55"/>
      <c r="B675" s="55"/>
      <c r="C675" s="55"/>
      <c r="D675" s="56"/>
      <c r="E675" s="57"/>
      <c r="F675" s="58"/>
      <c r="G675" s="60"/>
      <c r="H675" s="63"/>
      <c r="I675" s="60"/>
      <c r="J675" s="64"/>
      <c r="K675" s="64"/>
      <c r="L675" s="55"/>
      <c r="M675" s="55"/>
      <c r="N675" s="55"/>
      <c r="O675" s="55"/>
      <c r="P675" s="55"/>
      <c r="Q675" s="55"/>
      <c r="R675" s="56"/>
      <c r="S675" s="57"/>
      <c r="T675" s="60"/>
    </row>
    <row r="676">
      <c r="A676" s="55"/>
      <c r="B676" s="55"/>
      <c r="C676" s="55"/>
      <c r="D676" s="56"/>
      <c r="E676" s="57"/>
      <c r="F676" s="58"/>
      <c r="G676" s="60"/>
      <c r="H676" s="63"/>
      <c r="I676" s="60"/>
      <c r="J676" s="64"/>
      <c r="K676" s="64"/>
      <c r="L676" s="55"/>
      <c r="M676" s="55"/>
      <c r="N676" s="55"/>
      <c r="O676" s="55"/>
      <c r="P676" s="55"/>
      <c r="Q676" s="55"/>
      <c r="R676" s="56"/>
      <c r="S676" s="57"/>
      <c r="T676" s="60"/>
    </row>
    <row r="677">
      <c r="A677" s="55"/>
      <c r="B677" s="55"/>
      <c r="C677" s="55"/>
      <c r="D677" s="56"/>
      <c r="E677" s="57"/>
      <c r="F677" s="58"/>
      <c r="G677" s="60"/>
      <c r="H677" s="63"/>
      <c r="I677" s="60"/>
      <c r="J677" s="64"/>
      <c r="K677" s="64"/>
      <c r="L677" s="55"/>
      <c r="M677" s="55"/>
      <c r="N677" s="55"/>
      <c r="O677" s="55"/>
      <c r="P677" s="55"/>
      <c r="Q677" s="55"/>
      <c r="R677" s="56"/>
      <c r="S677" s="57"/>
      <c r="T677" s="60"/>
    </row>
    <row r="678">
      <c r="A678" s="55"/>
      <c r="B678" s="55"/>
      <c r="C678" s="55"/>
      <c r="D678" s="56"/>
      <c r="E678" s="57"/>
      <c r="F678" s="58"/>
      <c r="G678" s="60"/>
      <c r="H678" s="63"/>
      <c r="I678" s="60"/>
      <c r="J678" s="64"/>
      <c r="K678" s="64"/>
      <c r="L678" s="55"/>
      <c r="M678" s="55"/>
      <c r="N678" s="55"/>
      <c r="O678" s="55"/>
      <c r="P678" s="55"/>
      <c r="Q678" s="55"/>
      <c r="R678" s="56"/>
      <c r="S678" s="57"/>
      <c r="T678" s="60"/>
    </row>
    <row r="679">
      <c r="A679" s="55"/>
      <c r="B679" s="55"/>
      <c r="C679" s="55"/>
      <c r="D679" s="56"/>
      <c r="E679" s="57"/>
      <c r="F679" s="58"/>
      <c r="G679" s="60"/>
      <c r="H679" s="63"/>
      <c r="I679" s="60"/>
      <c r="J679" s="64"/>
      <c r="K679" s="64"/>
      <c r="L679" s="55"/>
      <c r="M679" s="55"/>
      <c r="N679" s="55"/>
      <c r="O679" s="55"/>
      <c r="P679" s="55"/>
      <c r="Q679" s="55"/>
      <c r="R679" s="56"/>
      <c r="S679" s="57"/>
      <c r="T679" s="60"/>
    </row>
    <row r="680">
      <c r="A680" s="55"/>
      <c r="B680" s="55"/>
      <c r="C680" s="55"/>
      <c r="D680" s="56"/>
      <c r="E680" s="57"/>
      <c r="F680" s="58"/>
      <c r="G680" s="60"/>
      <c r="H680" s="63"/>
      <c r="I680" s="60"/>
      <c r="J680" s="64"/>
      <c r="K680" s="64"/>
      <c r="L680" s="55"/>
      <c r="M680" s="55"/>
      <c r="N680" s="55"/>
      <c r="O680" s="55"/>
      <c r="P680" s="55"/>
      <c r="Q680" s="55"/>
      <c r="R680" s="56"/>
      <c r="S680" s="57"/>
      <c r="T680" s="60"/>
    </row>
    <row r="681">
      <c r="A681" s="55"/>
      <c r="B681" s="55"/>
      <c r="C681" s="55"/>
      <c r="D681" s="56"/>
      <c r="E681" s="57"/>
      <c r="F681" s="58"/>
      <c r="G681" s="60"/>
      <c r="H681" s="63"/>
      <c r="I681" s="60"/>
      <c r="J681" s="64"/>
      <c r="K681" s="64"/>
      <c r="L681" s="55"/>
      <c r="M681" s="55"/>
      <c r="N681" s="55"/>
      <c r="O681" s="55"/>
      <c r="P681" s="55"/>
      <c r="Q681" s="55"/>
      <c r="R681" s="56"/>
      <c r="S681" s="57"/>
      <c r="T681" s="60"/>
    </row>
    <row r="682">
      <c r="A682" s="55"/>
      <c r="B682" s="55"/>
      <c r="C682" s="55"/>
      <c r="D682" s="56"/>
      <c r="E682" s="57"/>
      <c r="F682" s="58"/>
      <c r="G682" s="60"/>
      <c r="H682" s="63"/>
      <c r="I682" s="60"/>
      <c r="J682" s="64"/>
      <c r="K682" s="64"/>
      <c r="L682" s="55"/>
      <c r="M682" s="55"/>
      <c r="N682" s="55"/>
      <c r="O682" s="55"/>
      <c r="P682" s="55"/>
      <c r="Q682" s="55"/>
      <c r="R682" s="56"/>
      <c r="S682" s="57"/>
      <c r="T682" s="60"/>
    </row>
    <row r="683">
      <c r="A683" s="55"/>
      <c r="B683" s="55"/>
      <c r="C683" s="55"/>
      <c r="D683" s="56"/>
      <c r="E683" s="57"/>
      <c r="F683" s="58"/>
      <c r="G683" s="60"/>
      <c r="H683" s="63"/>
      <c r="I683" s="60"/>
      <c r="J683" s="64"/>
      <c r="K683" s="64"/>
      <c r="L683" s="55"/>
      <c r="M683" s="55"/>
      <c r="N683" s="55"/>
      <c r="O683" s="55"/>
      <c r="P683" s="55"/>
      <c r="Q683" s="55"/>
      <c r="R683" s="56"/>
      <c r="S683" s="57"/>
      <c r="T683" s="60"/>
    </row>
    <row r="684">
      <c r="A684" s="55"/>
      <c r="B684" s="55"/>
      <c r="C684" s="55"/>
      <c r="D684" s="56"/>
      <c r="E684" s="57"/>
      <c r="F684" s="58"/>
      <c r="G684" s="60"/>
      <c r="H684" s="63"/>
      <c r="I684" s="60"/>
      <c r="J684" s="64"/>
      <c r="K684" s="64"/>
      <c r="L684" s="55"/>
      <c r="M684" s="55"/>
      <c r="N684" s="55"/>
      <c r="O684" s="55"/>
      <c r="P684" s="55"/>
      <c r="Q684" s="55"/>
      <c r="R684" s="56"/>
      <c r="S684" s="57"/>
      <c r="T684" s="60"/>
    </row>
    <row r="685">
      <c r="A685" s="55"/>
      <c r="B685" s="55"/>
      <c r="C685" s="55"/>
      <c r="D685" s="56"/>
      <c r="E685" s="57"/>
      <c r="F685" s="58"/>
      <c r="G685" s="60"/>
      <c r="H685" s="63"/>
      <c r="I685" s="60"/>
      <c r="J685" s="64"/>
      <c r="K685" s="64"/>
      <c r="L685" s="55"/>
      <c r="M685" s="55"/>
      <c r="N685" s="55"/>
      <c r="O685" s="55"/>
      <c r="P685" s="55"/>
      <c r="Q685" s="55"/>
      <c r="R685" s="56"/>
      <c r="S685" s="57"/>
      <c r="T685" s="60"/>
    </row>
    <row r="686">
      <c r="A686" s="55"/>
      <c r="B686" s="55"/>
      <c r="C686" s="55"/>
      <c r="D686" s="56"/>
      <c r="E686" s="57"/>
      <c r="F686" s="58"/>
      <c r="G686" s="60"/>
      <c r="H686" s="63"/>
      <c r="I686" s="60"/>
      <c r="J686" s="64"/>
      <c r="K686" s="64"/>
      <c r="L686" s="55"/>
      <c r="M686" s="55"/>
      <c r="N686" s="55"/>
      <c r="O686" s="55"/>
      <c r="P686" s="55"/>
      <c r="Q686" s="55"/>
      <c r="R686" s="56"/>
      <c r="S686" s="57"/>
      <c r="T686" s="60"/>
    </row>
    <row r="687">
      <c r="A687" s="55"/>
      <c r="B687" s="55"/>
      <c r="C687" s="55"/>
      <c r="D687" s="56"/>
      <c r="E687" s="57"/>
      <c r="F687" s="58"/>
      <c r="G687" s="60"/>
      <c r="H687" s="63"/>
      <c r="I687" s="60"/>
      <c r="J687" s="64"/>
      <c r="K687" s="64"/>
      <c r="L687" s="55"/>
      <c r="M687" s="55"/>
      <c r="N687" s="55"/>
      <c r="O687" s="55"/>
      <c r="P687" s="55"/>
      <c r="Q687" s="55"/>
      <c r="R687" s="56"/>
      <c r="S687" s="57"/>
      <c r="T687" s="60"/>
    </row>
    <row r="688">
      <c r="A688" s="55"/>
      <c r="B688" s="55"/>
      <c r="C688" s="55"/>
      <c r="D688" s="56"/>
      <c r="E688" s="57"/>
      <c r="F688" s="58"/>
      <c r="G688" s="60"/>
      <c r="H688" s="63"/>
      <c r="I688" s="60"/>
      <c r="J688" s="64"/>
      <c r="K688" s="64"/>
      <c r="L688" s="55"/>
      <c r="M688" s="55"/>
      <c r="N688" s="55"/>
      <c r="O688" s="55"/>
      <c r="P688" s="55"/>
      <c r="Q688" s="55"/>
      <c r="R688" s="56"/>
      <c r="S688" s="57"/>
      <c r="T688" s="60"/>
    </row>
    <row r="689">
      <c r="A689" s="55"/>
      <c r="B689" s="55"/>
      <c r="C689" s="55"/>
      <c r="D689" s="56"/>
      <c r="E689" s="57"/>
      <c r="F689" s="58"/>
      <c r="G689" s="60"/>
      <c r="H689" s="63"/>
      <c r="I689" s="60"/>
      <c r="J689" s="64"/>
      <c r="K689" s="64"/>
      <c r="L689" s="55"/>
      <c r="M689" s="55"/>
      <c r="N689" s="55"/>
      <c r="O689" s="55"/>
      <c r="P689" s="55"/>
      <c r="Q689" s="55"/>
      <c r="R689" s="56"/>
      <c r="S689" s="57"/>
      <c r="T689" s="60"/>
    </row>
    <row r="690">
      <c r="A690" s="55"/>
      <c r="B690" s="55"/>
      <c r="C690" s="55"/>
      <c r="D690" s="56"/>
      <c r="E690" s="57"/>
      <c r="F690" s="58"/>
      <c r="G690" s="60"/>
      <c r="H690" s="63"/>
      <c r="I690" s="60"/>
      <c r="J690" s="64"/>
      <c r="K690" s="64"/>
      <c r="L690" s="55"/>
      <c r="M690" s="55"/>
      <c r="N690" s="55"/>
      <c r="O690" s="55"/>
      <c r="P690" s="55"/>
      <c r="Q690" s="55"/>
      <c r="R690" s="56"/>
      <c r="S690" s="57"/>
      <c r="T690" s="60"/>
    </row>
    <row r="691">
      <c r="A691" s="55"/>
      <c r="B691" s="55"/>
      <c r="C691" s="55"/>
      <c r="D691" s="56"/>
      <c r="E691" s="57"/>
      <c r="F691" s="58"/>
      <c r="G691" s="60"/>
      <c r="H691" s="63"/>
      <c r="I691" s="60"/>
      <c r="J691" s="64"/>
      <c r="K691" s="64"/>
      <c r="L691" s="55"/>
      <c r="M691" s="55"/>
      <c r="N691" s="55"/>
      <c r="O691" s="55"/>
      <c r="P691" s="55"/>
      <c r="Q691" s="55"/>
      <c r="R691" s="56"/>
      <c r="S691" s="57"/>
      <c r="T691" s="60"/>
    </row>
    <row r="692">
      <c r="A692" s="55"/>
      <c r="B692" s="55"/>
      <c r="C692" s="55"/>
      <c r="D692" s="56"/>
      <c r="E692" s="57"/>
      <c r="F692" s="58"/>
      <c r="G692" s="60"/>
      <c r="H692" s="63"/>
      <c r="I692" s="60"/>
      <c r="J692" s="64"/>
      <c r="K692" s="64"/>
      <c r="L692" s="55"/>
      <c r="M692" s="55"/>
      <c r="N692" s="55"/>
      <c r="O692" s="55"/>
      <c r="P692" s="55"/>
      <c r="Q692" s="55"/>
      <c r="R692" s="56"/>
      <c r="S692" s="57"/>
      <c r="T692" s="60"/>
    </row>
    <row r="693">
      <c r="A693" s="55"/>
      <c r="B693" s="55"/>
      <c r="C693" s="55"/>
      <c r="D693" s="56"/>
      <c r="E693" s="57"/>
      <c r="F693" s="58"/>
      <c r="G693" s="60"/>
      <c r="H693" s="63"/>
      <c r="I693" s="60"/>
      <c r="J693" s="64"/>
      <c r="K693" s="64"/>
      <c r="L693" s="55"/>
      <c r="M693" s="55"/>
      <c r="N693" s="55"/>
      <c r="O693" s="55"/>
      <c r="P693" s="55"/>
      <c r="Q693" s="55"/>
      <c r="R693" s="56"/>
      <c r="S693" s="57"/>
      <c r="T693" s="60"/>
    </row>
    <row r="694">
      <c r="A694" s="55"/>
      <c r="B694" s="55"/>
      <c r="C694" s="55"/>
      <c r="D694" s="56"/>
      <c r="E694" s="57"/>
      <c r="F694" s="58"/>
      <c r="G694" s="60"/>
      <c r="H694" s="63"/>
      <c r="I694" s="60"/>
      <c r="J694" s="64"/>
      <c r="K694" s="64"/>
      <c r="L694" s="55"/>
      <c r="M694" s="55"/>
      <c r="N694" s="55"/>
      <c r="O694" s="55"/>
      <c r="P694" s="55"/>
      <c r="Q694" s="55"/>
      <c r="R694" s="56"/>
      <c r="S694" s="57"/>
      <c r="T694" s="60"/>
    </row>
    <row r="695">
      <c r="A695" s="55"/>
      <c r="B695" s="55"/>
      <c r="C695" s="55"/>
      <c r="D695" s="56"/>
      <c r="E695" s="57"/>
      <c r="F695" s="58"/>
      <c r="G695" s="60"/>
      <c r="H695" s="63"/>
      <c r="I695" s="60"/>
      <c r="J695" s="64"/>
      <c r="K695" s="64"/>
      <c r="L695" s="55"/>
      <c r="M695" s="55"/>
      <c r="N695" s="55"/>
      <c r="O695" s="55"/>
      <c r="P695" s="55"/>
      <c r="Q695" s="55"/>
      <c r="R695" s="56"/>
      <c r="S695" s="57"/>
      <c r="T695" s="60"/>
    </row>
    <row r="696">
      <c r="A696" s="55"/>
      <c r="B696" s="55"/>
      <c r="C696" s="55"/>
      <c r="D696" s="56"/>
      <c r="E696" s="57"/>
      <c r="F696" s="58"/>
      <c r="G696" s="60"/>
      <c r="H696" s="63"/>
      <c r="I696" s="60"/>
      <c r="J696" s="64"/>
      <c r="K696" s="64"/>
      <c r="L696" s="55"/>
      <c r="M696" s="55"/>
      <c r="N696" s="55"/>
      <c r="O696" s="55"/>
      <c r="P696" s="55"/>
      <c r="Q696" s="55"/>
      <c r="R696" s="56"/>
      <c r="S696" s="57"/>
      <c r="T696" s="60"/>
    </row>
    <row r="697">
      <c r="A697" s="55"/>
      <c r="B697" s="55"/>
      <c r="C697" s="55"/>
      <c r="D697" s="56"/>
      <c r="E697" s="57"/>
      <c r="F697" s="58"/>
      <c r="G697" s="60"/>
      <c r="H697" s="63"/>
      <c r="I697" s="60"/>
      <c r="J697" s="64"/>
      <c r="K697" s="64"/>
      <c r="L697" s="55"/>
      <c r="M697" s="55"/>
      <c r="N697" s="55"/>
      <c r="O697" s="55"/>
      <c r="P697" s="55"/>
      <c r="Q697" s="55"/>
      <c r="R697" s="56"/>
      <c r="S697" s="57"/>
      <c r="T697" s="60"/>
    </row>
    <row r="698">
      <c r="A698" s="55"/>
      <c r="B698" s="55"/>
      <c r="C698" s="55"/>
      <c r="D698" s="56"/>
      <c r="E698" s="57"/>
      <c r="F698" s="58"/>
      <c r="G698" s="60"/>
      <c r="H698" s="63"/>
      <c r="I698" s="60"/>
      <c r="J698" s="64"/>
      <c r="K698" s="64"/>
      <c r="L698" s="55"/>
      <c r="M698" s="55"/>
      <c r="N698" s="55"/>
      <c r="O698" s="55"/>
      <c r="P698" s="55"/>
      <c r="Q698" s="55"/>
      <c r="R698" s="56"/>
      <c r="S698" s="57"/>
      <c r="T698" s="60"/>
    </row>
    <row r="699">
      <c r="A699" s="55"/>
      <c r="B699" s="55"/>
      <c r="C699" s="55"/>
      <c r="D699" s="56"/>
      <c r="E699" s="57"/>
      <c r="F699" s="58"/>
      <c r="G699" s="60"/>
      <c r="H699" s="63"/>
      <c r="I699" s="60"/>
      <c r="J699" s="64"/>
      <c r="K699" s="64"/>
      <c r="L699" s="55"/>
      <c r="M699" s="55"/>
      <c r="N699" s="55"/>
      <c r="O699" s="55"/>
      <c r="P699" s="55"/>
      <c r="Q699" s="55"/>
      <c r="R699" s="56"/>
      <c r="S699" s="57"/>
      <c r="T699" s="60"/>
    </row>
    <row r="700">
      <c r="A700" s="55"/>
      <c r="B700" s="55"/>
      <c r="C700" s="55"/>
      <c r="D700" s="56"/>
      <c r="E700" s="57"/>
      <c r="F700" s="58"/>
      <c r="G700" s="60"/>
      <c r="H700" s="63"/>
      <c r="I700" s="60"/>
      <c r="J700" s="64"/>
      <c r="K700" s="64"/>
      <c r="L700" s="55"/>
      <c r="M700" s="55"/>
      <c r="N700" s="55"/>
      <c r="O700" s="55"/>
      <c r="P700" s="55"/>
      <c r="Q700" s="55"/>
      <c r="R700" s="56"/>
      <c r="S700" s="57"/>
      <c r="T700" s="60"/>
    </row>
    <row r="701">
      <c r="A701" s="55"/>
      <c r="B701" s="55"/>
      <c r="C701" s="55"/>
      <c r="D701" s="56"/>
      <c r="E701" s="57"/>
      <c r="F701" s="58"/>
      <c r="G701" s="60"/>
      <c r="H701" s="63"/>
      <c r="I701" s="60"/>
      <c r="J701" s="64"/>
      <c r="K701" s="64"/>
      <c r="L701" s="55"/>
      <c r="M701" s="55"/>
      <c r="N701" s="55"/>
      <c r="O701" s="55"/>
      <c r="P701" s="55"/>
      <c r="Q701" s="55"/>
      <c r="R701" s="56"/>
      <c r="S701" s="57"/>
      <c r="T701" s="60"/>
    </row>
    <row r="702">
      <c r="A702" s="55"/>
      <c r="B702" s="55"/>
      <c r="C702" s="55"/>
      <c r="D702" s="56"/>
      <c r="E702" s="57"/>
      <c r="F702" s="58"/>
      <c r="G702" s="60"/>
      <c r="H702" s="63"/>
      <c r="I702" s="60"/>
      <c r="J702" s="64"/>
      <c r="K702" s="64"/>
      <c r="L702" s="55"/>
      <c r="M702" s="55"/>
      <c r="N702" s="55"/>
      <c r="O702" s="55"/>
      <c r="P702" s="55"/>
      <c r="Q702" s="55"/>
      <c r="R702" s="56"/>
      <c r="S702" s="57"/>
      <c r="T702" s="60"/>
    </row>
    <row r="703">
      <c r="A703" s="55"/>
      <c r="B703" s="55"/>
      <c r="C703" s="55"/>
      <c r="D703" s="56"/>
      <c r="E703" s="57"/>
      <c r="F703" s="58"/>
      <c r="G703" s="60"/>
      <c r="H703" s="63"/>
      <c r="I703" s="60"/>
      <c r="J703" s="64"/>
      <c r="K703" s="64"/>
      <c r="L703" s="55"/>
      <c r="M703" s="55"/>
      <c r="N703" s="55"/>
      <c r="O703" s="55"/>
      <c r="P703" s="55"/>
      <c r="Q703" s="55"/>
      <c r="R703" s="56"/>
      <c r="S703" s="57"/>
      <c r="T703" s="60"/>
    </row>
    <row r="704">
      <c r="A704" s="55"/>
      <c r="B704" s="55"/>
      <c r="C704" s="55"/>
      <c r="D704" s="56"/>
      <c r="E704" s="57"/>
      <c r="F704" s="58"/>
      <c r="G704" s="60"/>
      <c r="H704" s="63"/>
      <c r="I704" s="60"/>
      <c r="J704" s="64"/>
      <c r="K704" s="64"/>
      <c r="L704" s="55"/>
      <c r="M704" s="55"/>
      <c r="N704" s="55"/>
      <c r="O704" s="55"/>
      <c r="P704" s="55"/>
      <c r="Q704" s="55"/>
      <c r="R704" s="56"/>
      <c r="S704" s="57"/>
      <c r="T704" s="60"/>
    </row>
    <row r="705">
      <c r="A705" s="55"/>
      <c r="B705" s="55"/>
      <c r="C705" s="55"/>
      <c r="D705" s="56"/>
      <c r="E705" s="57"/>
      <c r="F705" s="58"/>
      <c r="G705" s="60"/>
      <c r="H705" s="63"/>
      <c r="I705" s="60"/>
      <c r="J705" s="64"/>
      <c r="K705" s="64"/>
      <c r="L705" s="55"/>
      <c r="M705" s="55"/>
      <c r="N705" s="55"/>
      <c r="O705" s="55"/>
      <c r="P705" s="55"/>
      <c r="Q705" s="55"/>
      <c r="R705" s="56"/>
      <c r="S705" s="57"/>
      <c r="T705" s="60"/>
    </row>
    <row r="706">
      <c r="A706" s="55"/>
      <c r="B706" s="55"/>
      <c r="C706" s="55"/>
      <c r="D706" s="56"/>
      <c r="E706" s="57"/>
      <c r="F706" s="58"/>
      <c r="G706" s="60"/>
      <c r="H706" s="63"/>
      <c r="I706" s="60"/>
      <c r="J706" s="64"/>
      <c r="K706" s="64"/>
      <c r="L706" s="55"/>
      <c r="M706" s="55"/>
      <c r="N706" s="55"/>
      <c r="O706" s="55"/>
      <c r="P706" s="55"/>
      <c r="Q706" s="55"/>
      <c r="R706" s="56"/>
      <c r="S706" s="57"/>
      <c r="T706" s="60"/>
    </row>
    <row r="707">
      <c r="A707" s="55"/>
      <c r="B707" s="55"/>
      <c r="C707" s="55"/>
      <c r="D707" s="56"/>
      <c r="E707" s="57"/>
      <c r="F707" s="58"/>
      <c r="G707" s="60"/>
      <c r="H707" s="63"/>
      <c r="I707" s="60"/>
      <c r="J707" s="64"/>
      <c r="K707" s="64"/>
      <c r="L707" s="55"/>
      <c r="M707" s="55"/>
      <c r="N707" s="55"/>
      <c r="O707" s="55"/>
      <c r="P707" s="55"/>
      <c r="Q707" s="55"/>
      <c r="R707" s="56"/>
      <c r="S707" s="57"/>
      <c r="T707" s="60"/>
    </row>
    <row r="708">
      <c r="A708" s="55"/>
      <c r="B708" s="55"/>
      <c r="C708" s="55"/>
      <c r="D708" s="56"/>
      <c r="E708" s="57"/>
      <c r="F708" s="58"/>
      <c r="G708" s="60"/>
      <c r="H708" s="63"/>
      <c r="I708" s="60"/>
      <c r="J708" s="64"/>
      <c r="K708" s="64"/>
      <c r="L708" s="55"/>
      <c r="M708" s="55"/>
      <c r="N708" s="55"/>
      <c r="O708" s="55"/>
      <c r="P708" s="55"/>
      <c r="Q708" s="55"/>
      <c r="R708" s="56"/>
      <c r="S708" s="57"/>
      <c r="T708" s="60"/>
    </row>
    <row r="709">
      <c r="A709" s="55"/>
      <c r="B709" s="55"/>
      <c r="C709" s="55"/>
      <c r="D709" s="56"/>
      <c r="E709" s="57"/>
      <c r="F709" s="58"/>
      <c r="G709" s="60"/>
      <c r="H709" s="63"/>
      <c r="I709" s="60"/>
      <c r="J709" s="64"/>
      <c r="K709" s="64"/>
      <c r="L709" s="55"/>
      <c r="M709" s="55"/>
      <c r="N709" s="55"/>
      <c r="O709" s="55"/>
      <c r="P709" s="55"/>
      <c r="Q709" s="55"/>
      <c r="R709" s="56"/>
      <c r="S709" s="57"/>
      <c r="T709" s="60"/>
    </row>
    <row r="710">
      <c r="A710" s="55"/>
      <c r="B710" s="55"/>
      <c r="C710" s="55"/>
      <c r="D710" s="56"/>
      <c r="E710" s="57"/>
      <c r="F710" s="58"/>
      <c r="G710" s="60"/>
      <c r="H710" s="63"/>
      <c r="I710" s="60"/>
      <c r="J710" s="64"/>
      <c r="K710" s="64"/>
      <c r="L710" s="55"/>
      <c r="M710" s="55"/>
      <c r="N710" s="55"/>
      <c r="O710" s="55"/>
      <c r="P710" s="55"/>
      <c r="Q710" s="55"/>
      <c r="R710" s="56"/>
      <c r="S710" s="57"/>
      <c r="T710" s="60"/>
    </row>
    <row r="711">
      <c r="A711" s="55"/>
      <c r="B711" s="55"/>
      <c r="C711" s="55"/>
      <c r="D711" s="56"/>
      <c r="E711" s="57"/>
      <c r="F711" s="58"/>
      <c r="G711" s="60"/>
      <c r="H711" s="63"/>
      <c r="I711" s="60"/>
      <c r="J711" s="64"/>
      <c r="K711" s="64"/>
      <c r="L711" s="55"/>
      <c r="M711" s="55"/>
      <c r="N711" s="55"/>
      <c r="O711" s="55"/>
      <c r="P711" s="55"/>
      <c r="Q711" s="55"/>
      <c r="R711" s="56"/>
      <c r="S711" s="57"/>
      <c r="T711" s="60"/>
    </row>
    <row r="712">
      <c r="A712" s="55"/>
      <c r="B712" s="55"/>
      <c r="C712" s="55"/>
      <c r="D712" s="56"/>
      <c r="E712" s="57"/>
      <c r="F712" s="58"/>
      <c r="G712" s="60"/>
      <c r="H712" s="63"/>
      <c r="I712" s="60"/>
      <c r="J712" s="64"/>
      <c r="K712" s="64"/>
      <c r="L712" s="55"/>
      <c r="M712" s="55"/>
      <c r="N712" s="55"/>
      <c r="O712" s="55"/>
      <c r="P712" s="55"/>
      <c r="Q712" s="55"/>
      <c r="R712" s="56"/>
      <c r="S712" s="57"/>
      <c r="T712" s="60"/>
    </row>
    <row r="713">
      <c r="A713" s="55"/>
      <c r="B713" s="55"/>
      <c r="C713" s="55"/>
      <c r="D713" s="56"/>
      <c r="E713" s="57"/>
      <c r="F713" s="58"/>
      <c r="G713" s="60"/>
      <c r="H713" s="63"/>
      <c r="I713" s="60"/>
      <c r="J713" s="64"/>
      <c r="K713" s="64"/>
      <c r="L713" s="55"/>
      <c r="M713" s="55"/>
      <c r="N713" s="55"/>
      <c r="O713" s="55"/>
      <c r="P713" s="55"/>
      <c r="Q713" s="55"/>
      <c r="R713" s="56"/>
      <c r="S713" s="57"/>
      <c r="T713" s="60"/>
    </row>
    <row r="714">
      <c r="A714" s="55"/>
      <c r="B714" s="55"/>
      <c r="C714" s="55"/>
      <c r="D714" s="56"/>
      <c r="E714" s="57"/>
      <c r="F714" s="58"/>
      <c r="G714" s="60"/>
      <c r="H714" s="63"/>
      <c r="I714" s="60"/>
      <c r="J714" s="64"/>
      <c r="K714" s="64"/>
      <c r="L714" s="55"/>
      <c r="M714" s="55"/>
      <c r="N714" s="55"/>
      <c r="O714" s="55"/>
      <c r="P714" s="55"/>
      <c r="Q714" s="55"/>
      <c r="R714" s="56"/>
      <c r="S714" s="57"/>
      <c r="T714" s="60"/>
    </row>
    <row r="715">
      <c r="A715" s="55"/>
      <c r="B715" s="55"/>
      <c r="C715" s="55"/>
      <c r="D715" s="56"/>
      <c r="E715" s="57"/>
      <c r="F715" s="58"/>
      <c r="G715" s="60"/>
      <c r="H715" s="63"/>
      <c r="I715" s="60"/>
      <c r="J715" s="64"/>
      <c r="K715" s="64"/>
      <c r="L715" s="55"/>
      <c r="M715" s="55"/>
      <c r="N715" s="55"/>
      <c r="O715" s="55"/>
      <c r="P715" s="55"/>
      <c r="Q715" s="55"/>
      <c r="R715" s="56"/>
      <c r="S715" s="57"/>
      <c r="T715" s="60"/>
    </row>
    <row r="716">
      <c r="A716" s="55"/>
      <c r="B716" s="55"/>
      <c r="C716" s="55"/>
      <c r="D716" s="56"/>
      <c r="E716" s="57"/>
      <c r="F716" s="58"/>
      <c r="G716" s="60"/>
      <c r="H716" s="63"/>
      <c r="I716" s="60"/>
      <c r="J716" s="64"/>
      <c r="K716" s="64"/>
      <c r="L716" s="55"/>
      <c r="M716" s="55"/>
      <c r="N716" s="55"/>
      <c r="O716" s="55"/>
      <c r="P716" s="55"/>
      <c r="Q716" s="55"/>
      <c r="R716" s="56"/>
      <c r="S716" s="57"/>
      <c r="T716" s="60"/>
    </row>
    <row r="717">
      <c r="A717" s="55"/>
      <c r="B717" s="55"/>
      <c r="C717" s="55"/>
      <c r="D717" s="56"/>
      <c r="E717" s="57"/>
      <c r="F717" s="58"/>
      <c r="G717" s="60"/>
      <c r="H717" s="63"/>
      <c r="I717" s="60"/>
      <c r="J717" s="64"/>
      <c r="K717" s="64"/>
      <c r="L717" s="55"/>
      <c r="M717" s="55"/>
      <c r="N717" s="55"/>
      <c r="O717" s="55"/>
      <c r="P717" s="55"/>
      <c r="Q717" s="55"/>
      <c r="R717" s="56"/>
      <c r="S717" s="57"/>
      <c r="T717" s="60"/>
    </row>
    <row r="718">
      <c r="A718" s="55"/>
      <c r="B718" s="55"/>
      <c r="C718" s="55"/>
      <c r="D718" s="56"/>
      <c r="E718" s="57"/>
      <c r="F718" s="58"/>
      <c r="G718" s="60"/>
      <c r="H718" s="63"/>
      <c r="I718" s="60"/>
      <c r="J718" s="64"/>
      <c r="K718" s="64"/>
      <c r="L718" s="55"/>
      <c r="M718" s="55"/>
      <c r="N718" s="55"/>
      <c r="O718" s="55"/>
      <c r="P718" s="55"/>
      <c r="Q718" s="55"/>
      <c r="R718" s="56"/>
      <c r="S718" s="57"/>
      <c r="T718" s="60"/>
    </row>
    <row r="719">
      <c r="A719" s="55"/>
      <c r="B719" s="55"/>
      <c r="C719" s="55"/>
      <c r="D719" s="56"/>
      <c r="E719" s="57"/>
      <c r="F719" s="58"/>
      <c r="G719" s="60"/>
      <c r="H719" s="63"/>
      <c r="I719" s="60"/>
      <c r="J719" s="64"/>
      <c r="K719" s="64"/>
      <c r="L719" s="55"/>
      <c r="M719" s="55"/>
      <c r="N719" s="55"/>
      <c r="O719" s="55"/>
      <c r="P719" s="55"/>
      <c r="Q719" s="55"/>
      <c r="R719" s="56"/>
      <c r="S719" s="57"/>
      <c r="T719" s="60"/>
    </row>
    <row r="720">
      <c r="A720" s="55"/>
      <c r="B720" s="55"/>
      <c r="C720" s="55"/>
      <c r="D720" s="56"/>
      <c r="E720" s="57"/>
      <c r="F720" s="58"/>
      <c r="G720" s="60"/>
      <c r="H720" s="63"/>
      <c r="I720" s="60"/>
      <c r="J720" s="64"/>
      <c r="K720" s="64"/>
      <c r="L720" s="55"/>
      <c r="M720" s="55"/>
      <c r="N720" s="55"/>
      <c r="O720" s="55"/>
      <c r="P720" s="55"/>
      <c r="Q720" s="55"/>
      <c r="R720" s="56"/>
      <c r="S720" s="57"/>
      <c r="T720" s="60"/>
    </row>
    <row r="721">
      <c r="A721" s="55"/>
      <c r="B721" s="55"/>
      <c r="C721" s="55"/>
      <c r="D721" s="56"/>
      <c r="E721" s="57"/>
      <c r="F721" s="58"/>
      <c r="G721" s="60"/>
      <c r="H721" s="63"/>
      <c r="I721" s="60"/>
      <c r="J721" s="64"/>
      <c r="K721" s="64"/>
      <c r="L721" s="55"/>
      <c r="M721" s="55"/>
      <c r="N721" s="55"/>
      <c r="O721" s="55"/>
      <c r="P721" s="55"/>
      <c r="Q721" s="55"/>
      <c r="R721" s="56"/>
      <c r="S721" s="57"/>
      <c r="T721" s="60"/>
    </row>
    <row r="722">
      <c r="A722" s="55"/>
      <c r="B722" s="55"/>
      <c r="C722" s="55"/>
      <c r="D722" s="56"/>
      <c r="E722" s="57"/>
      <c r="F722" s="58"/>
      <c r="G722" s="60"/>
      <c r="H722" s="63"/>
      <c r="I722" s="60"/>
      <c r="J722" s="64"/>
      <c r="K722" s="64"/>
      <c r="L722" s="55"/>
      <c r="M722" s="55"/>
      <c r="N722" s="55"/>
      <c r="O722" s="55"/>
      <c r="P722" s="55"/>
      <c r="Q722" s="55"/>
      <c r="R722" s="56"/>
      <c r="S722" s="57"/>
      <c r="T722" s="60"/>
    </row>
    <row r="723">
      <c r="A723" s="55"/>
      <c r="B723" s="55"/>
      <c r="C723" s="55"/>
      <c r="D723" s="56"/>
      <c r="E723" s="57"/>
      <c r="F723" s="58"/>
      <c r="G723" s="60"/>
      <c r="H723" s="63"/>
      <c r="I723" s="60"/>
      <c r="J723" s="64"/>
      <c r="K723" s="64"/>
      <c r="L723" s="55"/>
      <c r="M723" s="55"/>
      <c r="N723" s="55"/>
      <c r="O723" s="55"/>
      <c r="P723" s="55"/>
      <c r="Q723" s="55"/>
      <c r="R723" s="56"/>
      <c r="S723" s="57"/>
      <c r="T723" s="60"/>
    </row>
    <row r="724">
      <c r="A724" s="55"/>
      <c r="B724" s="55"/>
      <c r="C724" s="55"/>
      <c r="D724" s="56"/>
      <c r="E724" s="57"/>
      <c r="F724" s="58"/>
      <c r="G724" s="60"/>
      <c r="H724" s="63"/>
      <c r="I724" s="60"/>
      <c r="J724" s="64"/>
      <c r="K724" s="64"/>
      <c r="L724" s="55"/>
      <c r="M724" s="55"/>
      <c r="N724" s="55"/>
      <c r="O724" s="55"/>
      <c r="P724" s="55"/>
      <c r="Q724" s="55"/>
      <c r="R724" s="56"/>
      <c r="S724" s="57"/>
      <c r="T724" s="60"/>
    </row>
    <row r="725">
      <c r="A725" s="55"/>
      <c r="B725" s="55"/>
      <c r="C725" s="55"/>
      <c r="D725" s="56"/>
      <c r="E725" s="57"/>
      <c r="F725" s="58"/>
      <c r="G725" s="60"/>
      <c r="H725" s="63"/>
      <c r="I725" s="60"/>
      <c r="J725" s="64"/>
      <c r="K725" s="64"/>
      <c r="L725" s="55"/>
      <c r="M725" s="55"/>
      <c r="N725" s="55"/>
      <c r="O725" s="55"/>
      <c r="P725" s="55"/>
      <c r="Q725" s="55"/>
      <c r="R725" s="56"/>
      <c r="S725" s="57"/>
      <c r="T725" s="60"/>
    </row>
    <row r="726">
      <c r="A726" s="55"/>
      <c r="B726" s="55"/>
      <c r="C726" s="55"/>
      <c r="D726" s="56"/>
      <c r="E726" s="57"/>
      <c r="F726" s="58"/>
      <c r="G726" s="60"/>
      <c r="H726" s="63"/>
      <c r="I726" s="60"/>
      <c r="J726" s="64"/>
      <c r="K726" s="64"/>
      <c r="L726" s="55"/>
      <c r="M726" s="55"/>
      <c r="N726" s="55"/>
      <c r="O726" s="55"/>
      <c r="P726" s="55"/>
      <c r="Q726" s="55"/>
      <c r="R726" s="56"/>
      <c r="S726" s="57"/>
      <c r="T726" s="60"/>
    </row>
    <row r="727">
      <c r="A727" s="55"/>
      <c r="B727" s="55"/>
      <c r="C727" s="55"/>
      <c r="D727" s="56"/>
      <c r="E727" s="57"/>
      <c r="F727" s="58"/>
      <c r="G727" s="60"/>
      <c r="H727" s="63"/>
      <c r="I727" s="60"/>
      <c r="J727" s="64"/>
      <c r="K727" s="64"/>
      <c r="L727" s="55"/>
      <c r="M727" s="55"/>
      <c r="N727" s="55"/>
      <c r="O727" s="55"/>
      <c r="P727" s="55"/>
      <c r="Q727" s="55"/>
      <c r="R727" s="56"/>
      <c r="S727" s="57"/>
      <c r="T727" s="60"/>
    </row>
    <row r="728">
      <c r="A728" s="55"/>
      <c r="B728" s="55"/>
      <c r="C728" s="55"/>
      <c r="D728" s="56"/>
      <c r="E728" s="57"/>
      <c r="F728" s="58"/>
      <c r="G728" s="60"/>
      <c r="H728" s="63"/>
      <c r="I728" s="60"/>
      <c r="J728" s="64"/>
      <c r="K728" s="64"/>
      <c r="L728" s="55"/>
      <c r="M728" s="55"/>
      <c r="N728" s="55"/>
      <c r="O728" s="55"/>
      <c r="P728" s="55"/>
      <c r="Q728" s="55"/>
      <c r="R728" s="56"/>
      <c r="S728" s="57"/>
      <c r="T728" s="60"/>
    </row>
    <row r="729">
      <c r="A729" s="55"/>
      <c r="B729" s="55"/>
      <c r="C729" s="55"/>
      <c r="D729" s="56"/>
      <c r="E729" s="57"/>
      <c r="F729" s="58"/>
      <c r="G729" s="60"/>
      <c r="H729" s="63"/>
      <c r="I729" s="60"/>
      <c r="J729" s="64"/>
      <c r="K729" s="64"/>
      <c r="L729" s="55"/>
      <c r="M729" s="55"/>
      <c r="N729" s="55"/>
      <c r="O729" s="55"/>
      <c r="P729" s="55"/>
      <c r="Q729" s="55"/>
      <c r="R729" s="56"/>
      <c r="S729" s="57"/>
      <c r="T729" s="60"/>
    </row>
    <row r="730">
      <c r="A730" s="55"/>
      <c r="B730" s="55"/>
      <c r="C730" s="55"/>
      <c r="D730" s="56"/>
      <c r="E730" s="57"/>
      <c r="F730" s="58"/>
      <c r="G730" s="60"/>
      <c r="H730" s="63"/>
      <c r="I730" s="60"/>
      <c r="J730" s="64"/>
      <c r="K730" s="64"/>
      <c r="L730" s="55"/>
      <c r="M730" s="55"/>
      <c r="N730" s="55"/>
      <c r="O730" s="55"/>
      <c r="P730" s="55"/>
      <c r="Q730" s="55"/>
      <c r="R730" s="56"/>
      <c r="S730" s="57"/>
      <c r="T730" s="60"/>
    </row>
    <row r="731">
      <c r="A731" s="55"/>
      <c r="B731" s="55"/>
      <c r="C731" s="55"/>
      <c r="D731" s="56"/>
      <c r="E731" s="57"/>
      <c r="F731" s="58"/>
      <c r="G731" s="60"/>
      <c r="H731" s="63"/>
      <c r="I731" s="60"/>
      <c r="J731" s="64"/>
      <c r="K731" s="64"/>
      <c r="L731" s="55"/>
      <c r="M731" s="55"/>
      <c r="N731" s="55"/>
      <c r="O731" s="55"/>
      <c r="P731" s="55"/>
      <c r="Q731" s="55"/>
      <c r="R731" s="56"/>
      <c r="S731" s="57"/>
      <c r="T731" s="60"/>
    </row>
    <row r="732">
      <c r="A732" s="55"/>
      <c r="B732" s="55"/>
      <c r="C732" s="55"/>
      <c r="D732" s="56"/>
      <c r="E732" s="57"/>
      <c r="F732" s="58"/>
      <c r="G732" s="60"/>
      <c r="H732" s="63"/>
      <c r="I732" s="60"/>
      <c r="J732" s="64"/>
      <c r="K732" s="64"/>
      <c r="L732" s="55"/>
      <c r="M732" s="55"/>
      <c r="N732" s="55"/>
      <c r="O732" s="55"/>
      <c r="P732" s="55"/>
      <c r="Q732" s="55"/>
      <c r="R732" s="56"/>
      <c r="S732" s="57"/>
      <c r="T732" s="60"/>
    </row>
    <row r="733">
      <c r="A733" s="55"/>
      <c r="B733" s="55"/>
      <c r="C733" s="55"/>
      <c r="D733" s="56"/>
      <c r="E733" s="57"/>
      <c r="F733" s="58"/>
      <c r="G733" s="60"/>
      <c r="H733" s="63"/>
      <c r="I733" s="60"/>
      <c r="J733" s="64"/>
      <c r="K733" s="64"/>
      <c r="L733" s="55"/>
      <c r="M733" s="55"/>
      <c r="N733" s="55"/>
      <c r="O733" s="55"/>
      <c r="P733" s="55"/>
      <c r="Q733" s="55"/>
      <c r="R733" s="56"/>
      <c r="S733" s="57"/>
      <c r="T733" s="60"/>
    </row>
    <row r="734">
      <c r="A734" s="55"/>
      <c r="B734" s="55"/>
      <c r="C734" s="55"/>
      <c r="D734" s="56"/>
      <c r="E734" s="57"/>
      <c r="F734" s="58"/>
      <c r="G734" s="60"/>
      <c r="H734" s="63"/>
      <c r="I734" s="60"/>
      <c r="J734" s="64"/>
      <c r="K734" s="64"/>
      <c r="L734" s="55"/>
      <c r="M734" s="55"/>
      <c r="N734" s="55"/>
      <c r="O734" s="55"/>
      <c r="P734" s="55"/>
      <c r="Q734" s="55"/>
      <c r="R734" s="56"/>
      <c r="S734" s="57"/>
      <c r="T734" s="60"/>
    </row>
    <row r="735">
      <c r="A735" s="55"/>
      <c r="B735" s="55"/>
      <c r="C735" s="55"/>
      <c r="D735" s="56"/>
      <c r="E735" s="57"/>
      <c r="F735" s="58"/>
      <c r="G735" s="60"/>
      <c r="H735" s="63"/>
      <c r="I735" s="60"/>
      <c r="J735" s="64"/>
      <c r="K735" s="64"/>
      <c r="L735" s="55"/>
      <c r="M735" s="55"/>
      <c r="N735" s="55"/>
      <c r="O735" s="55"/>
      <c r="P735" s="55"/>
      <c r="Q735" s="55"/>
      <c r="R735" s="56"/>
      <c r="S735" s="57"/>
      <c r="T735" s="60"/>
    </row>
    <row r="736">
      <c r="A736" s="55"/>
      <c r="B736" s="55"/>
      <c r="C736" s="55"/>
      <c r="D736" s="56"/>
      <c r="E736" s="57"/>
      <c r="F736" s="58"/>
      <c r="G736" s="60"/>
      <c r="H736" s="63"/>
      <c r="I736" s="60"/>
      <c r="J736" s="64"/>
      <c r="K736" s="64"/>
      <c r="L736" s="55"/>
      <c r="M736" s="55"/>
      <c r="N736" s="55"/>
      <c r="O736" s="55"/>
      <c r="P736" s="55"/>
      <c r="Q736" s="55"/>
      <c r="R736" s="56"/>
      <c r="S736" s="57"/>
      <c r="T736" s="60"/>
    </row>
    <row r="737">
      <c r="A737" s="55"/>
      <c r="B737" s="55"/>
      <c r="C737" s="55"/>
      <c r="D737" s="56"/>
      <c r="E737" s="57"/>
      <c r="F737" s="58"/>
      <c r="G737" s="60"/>
      <c r="H737" s="63"/>
      <c r="I737" s="60"/>
      <c r="J737" s="64"/>
      <c r="K737" s="64"/>
      <c r="L737" s="55"/>
      <c r="M737" s="55"/>
      <c r="N737" s="55"/>
      <c r="O737" s="55"/>
      <c r="P737" s="55"/>
      <c r="Q737" s="55"/>
      <c r="R737" s="56"/>
      <c r="S737" s="57"/>
      <c r="T737" s="60"/>
    </row>
    <row r="738">
      <c r="A738" s="55"/>
      <c r="B738" s="55"/>
      <c r="C738" s="55"/>
      <c r="D738" s="56"/>
      <c r="E738" s="57"/>
      <c r="F738" s="58"/>
      <c r="G738" s="60"/>
      <c r="H738" s="63"/>
      <c r="I738" s="60"/>
      <c r="J738" s="64"/>
      <c r="K738" s="64"/>
      <c r="L738" s="55"/>
      <c r="M738" s="55"/>
      <c r="N738" s="55"/>
      <c r="O738" s="55"/>
      <c r="P738" s="55"/>
      <c r="Q738" s="55"/>
      <c r="R738" s="56"/>
      <c r="S738" s="57"/>
      <c r="T738" s="60"/>
    </row>
    <row r="739">
      <c r="A739" s="55"/>
      <c r="B739" s="55"/>
      <c r="C739" s="55"/>
      <c r="D739" s="56"/>
      <c r="E739" s="57"/>
      <c r="F739" s="58"/>
      <c r="G739" s="60"/>
      <c r="H739" s="63"/>
      <c r="I739" s="60"/>
      <c r="J739" s="64"/>
      <c r="K739" s="64"/>
      <c r="L739" s="55"/>
      <c r="M739" s="55"/>
      <c r="N739" s="55"/>
      <c r="O739" s="55"/>
      <c r="P739" s="55"/>
      <c r="Q739" s="55"/>
      <c r="R739" s="56"/>
      <c r="S739" s="57"/>
      <c r="T739" s="60"/>
    </row>
    <row r="740">
      <c r="A740" s="55"/>
      <c r="B740" s="55"/>
      <c r="C740" s="55"/>
      <c r="D740" s="56"/>
      <c r="E740" s="57"/>
      <c r="F740" s="58"/>
      <c r="G740" s="60"/>
      <c r="H740" s="63"/>
      <c r="I740" s="60"/>
      <c r="J740" s="64"/>
      <c r="K740" s="64"/>
      <c r="L740" s="55"/>
      <c r="M740" s="55"/>
      <c r="N740" s="55"/>
      <c r="O740" s="55"/>
      <c r="P740" s="55"/>
      <c r="Q740" s="55"/>
      <c r="R740" s="56"/>
      <c r="S740" s="57"/>
      <c r="T740" s="60"/>
    </row>
    <row r="741">
      <c r="A741" s="55"/>
      <c r="B741" s="55"/>
      <c r="C741" s="55"/>
      <c r="D741" s="56"/>
      <c r="E741" s="57"/>
      <c r="F741" s="58"/>
      <c r="G741" s="60"/>
      <c r="H741" s="63"/>
      <c r="I741" s="60"/>
      <c r="J741" s="64"/>
      <c r="K741" s="64"/>
      <c r="L741" s="55"/>
      <c r="M741" s="55"/>
      <c r="N741" s="55"/>
      <c r="O741" s="55"/>
      <c r="P741" s="55"/>
      <c r="Q741" s="55"/>
      <c r="R741" s="56"/>
      <c r="S741" s="57"/>
      <c r="T741" s="60"/>
    </row>
    <row r="742">
      <c r="A742" s="55"/>
      <c r="B742" s="55"/>
      <c r="C742" s="55"/>
      <c r="D742" s="56"/>
      <c r="E742" s="57"/>
      <c r="F742" s="58"/>
      <c r="G742" s="60"/>
      <c r="H742" s="63"/>
      <c r="I742" s="60"/>
      <c r="J742" s="64"/>
      <c r="K742" s="64"/>
      <c r="L742" s="55"/>
      <c r="M742" s="55"/>
      <c r="N742" s="55"/>
      <c r="O742" s="55"/>
      <c r="P742" s="55"/>
      <c r="Q742" s="55"/>
      <c r="R742" s="56"/>
      <c r="S742" s="57"/>
      <c r="T742" s="60"/>
    </row>
    <row r="743">
      <c r="A743" s="55"/>
      <c r="B743" s="55"/>
      <c r="C743" s="55"/>
      <c r="D743" s="56"/>
      <c r="E743" s="57"/>
      <c r="F743" s="58"/>
      <c r="G743" s="60"/>
      <c r="H743" s="63"/>
      <c r="I743" s="60"/>
      <c r="J743" s="64"/>
      <c r="K743" s="64"/>
      <c r="L743" s="55"/>
      <c r="M743" s="55"/>
      <c r="N743" s="55"/>
      <c r="O743" s="55"/>
      <c r="P743" s="55"/>
      <c r="Q743" s="55"/>
      <c r="R743" s="56"/>
      <c r="S743" s="57"/>
      <c r="T743" s="60"/>
    </row>
    <row r="744">
      <c r="A744" s="55"/>
      <c r="B744" s="55"/>
      <c r="C744" s="55"/>
      <c r="D744" s="56"/>
      <c r="E744" s="57"/>
      <c r="F744" s="58"/>
      <c r="G744" s="60"/>
      <c r="H744" s="63"/>
      <c r="I744" s="60"/>
      <c r="J744" s="64"/>
      <c r="K744" s="64"/>
      <c r="L744" s="55"/>
      <c r="M744" s="55"/>
      <c r="N744" s="55"/>
      <c r="O744" s="55"/>
      <c r="P744" s="55"/>
      <c r="Q744" s="55"/>
      <c r="R744" s="56"/>
      <c r="S744" s="57"/>
      <c r="T744" s="60"/>
    </row>
    <row r="745">
      <c r="A745" s="55"/>
      <c r="B745" s="55"/>
      <c r="C745" s="55"/>
      <c r="D745" s="56"/>
      <c r="E745" s="57"/>
      <c r="F745" s="58"/>
      <c r="G745" s="60"/>
      <c r="H745" s="63"/>
      <c r="I745" s="60"/>
      <c r="J745" s="64"/>
      <c r="K745" s="64"/>
      <c r="L745" s="55"/>
      <c r="M745" s="55"/>
      <c r="N745" s="55"/>
      <c r="O745" s="55"/>
      <c r="P745" s="55"/>
      <c r="Q745" s="55"/>
      <c r="R745" s="56"/>
      <c r="S745" s="57"/>
      <c r="T745" s="60"/>
    </row>
    <row r="746">
      <c r="A746" s="55"/>
      <c r="B746" s="55"/>
      <c r="C746" s="55"/>
      <c r="D746" s="56"/>
      <c r="E746" s="57"/>
      <c r="F746" s="58"/>
      <c r="G746" s="60"/>
      <c r="H746" s="63"/>
      <c r="I746" s="60"/>
      <c r="J746" s="64"/>
      <c r="K746" s="64"/>
      <c r="L746" s="55"/>
      <c r="M746" s="55"/>
      <c r="N746" s="55"/>
      <c r="O746" s="55"/>
      <c r="P746" s="55"/>
      <c r="Q746" s="55"/>
      <c r="R746" s="56"/>
      <c r="S746" s="57"/>
      <c r="T746" s="60"/>
    </row>
    <row r="747">
      <c r="A747" s="55"/>
      <c r="B747" s="55"/>
      <c r="C747" s="55"/>
      <c r="D747" s="56"/>
      <c r="E747" s="57"/>
      <c r="F747" s="58"/>
      <c r="G747" s="60"/>
      <c r="H747" s="63"/>
      <c r="I747" s="60"/>
      <c r="J747" s="64"/>
      <c r="K747" s="64"/>
      <c r="L747" s="55"/>
      <c r="M747" s="55"/>
      <c r="N747" s="55"/>
      <c r="O747" s="55"/>
      <c r="P747" s="55"/>
      <c r="Q747" s="55"/>
      <c r="R747" s="56"/>
      <c r="S747" s="57"/>
      <c r="T747" s="60"/>
    </row>
    <row r="748">
      <c r="A748" s="55"/>
      <c r="B748" s="55"/>
      <c r="C748" s="55"/>
      <c r="D748" s="56"/>
      <c r="E748" s="57"/>
      <c r="F748" s="58"/>
      <c r="G748" s="60"/>
      <c r="H748" s="63"/>
      <c r="I748" s="60"/>
      <c r="J748" s="64"/>
      <c r="K748" s="64"/>
      <c r="L748" s="55"/>
      <c r="M748" s="55"/>
      <c r="N748" s="55"/>
      <c r="O748" s="55"/>
      <c r="P748" s="55"/>
      <c r="Q748" s="55"/>
      <c r="R748" s="56"/>
      <c r="S748" s="57"/>
      <c r="T748" s="60"/>
    </row>
    <row r="749">
      <c r="A749" s="55"/>
      <c r="B749" s="55"/>
      <c r="C749" s="55"/>
      <c r="D749" s="56"/>
      <c r="E749" s="57"/>
      <c r="F749" s="58"/>
      <c r="G749" s="60"/>
      <c r="H749" s="63"/>
      <c r="I749" s="60"/>
      <c r="J749" s="64"/>
      <c r="K749" s="64"/>
      <c r="L749" s="55"/>
      <c r="M749" s="55"/>
      <c r="N749" s="55"/>
      <c r="O749" s="55"/>
      <c r="P749" s="55"/>
      <c r="Q749" s="55"/>
      <c r="R749" s="56"/>
      <c r="S749" s="57"/>
      <c r="T749" s="60"/>
    </row>
    <row r="750">
      <c r="A750" s="55"/>
      <c r="B750" s="55"/>
      <c r="C750" s="55"/>
      <c r="D750" s="56"/>
      <c r="E750" s="57"/>
      <c r="F750" s="58"/>
      <c r="G750" s="60"/>
      <c r="H750" s="63"/>
      <c r="I750" s="60"/>
      <c r="J750" s="64"/>
      <c r="K750" s="64"/>
      <c r="L750" s="55"/>
      <c r="M750" s="55"/>
      <c r="N750" s="55"/>
      <c r="O750" s="55"/>
      <c r="P750" s="55"/>
      <c r="Q750" s="55"/>
      <c r="R750" s="56"/>
      <c r="S750" s="57"/>
      <c r="T750" s="60"/>
    </row>
    <row r="751">
      <c r="A751" s="55"/>
      <c r="B751" s="55"/>
      <c r="C751" s="55"/>
      <c r="D751" s="56"/>
      <c r="E751" s="57"/>
      <c r="F751" s="58"/>
      <c r="G751" s="60"/>
      <c r="H751" s="63"/>
      <c r="I751" s="60"/>
      <c r="J751" s="64"/>
      <c r="K751" s="64"/>
      <c r="L751" s="55"/>
      <c r="M751" s="55"/>
      <c r="N751" s="55"/>
      <c r="O751" s="55"/>
      <c r="P751" s="55"/>
      <c r="Q751" s="55"/>
      <c r="R751" s="56"/>
      <c r="S751" s="57"/>
      <c r="T751" s="60"/>
    </row>
    <row r="752">
      <c r="A752" s="55"/>
      <c r="B752" s="55"/>
      <c r="C752" s="55"/>
      <c r="D752" s="56"/>
      <c r="E752" s="57"/>
      <c r="F752" s="58"/>
      <c r="G752" s="60"/>
      <c r="H752" s="63"/>
      <c r="I752" s="60"/>
      <c r="J752" s="64"/>
      <c r="K752" s="64"/>
      <c r="L752" s="55"/>
      <c r="M752" s="55"/>
      <c r="N752" s="55"/>
      <c r="O752" s="55"/>
      <c r="P752" s="55"/>
      <c r="Q752" s="55"/>
      <c r="R752" s="56"/>
      <c r="S752" s="57"/>
      <c r="T752" s="60"/>
    </row>
    <row r="753">
      <c r="A753" s="55"/>
      <c r="B753" s="55"/>
      <c r="C753" s="55"/>
      <c r="D753" s="56"/>
      <c r="E753" s="57"/>
      <c r="F753" s="58"/>
      <c r="G753" s="60"/>
      <c r="H753" s="63"/>
      <c r="I753" s="60"/>
      <c r="J753" s="64"/>
      <c r="K753" s="64"/>
      <c r="L753" s="55"/>
      <c r="M753" s="55"/>
      <c r="N753" s="55"/>
      <c r="O753" s="55"/>
      <c r="P753" s="55"/>
      <c r="Q753" s="55"/>
      <c r="R753" s="56"/>
      <c r="S753" s="57"/>
      <c r="T753" s="60"/>
    </row>
    <row r="754">
      <c r="A754" s="55"/>
      <c r="B754" s="55"/>
      <c r="C754" s="55"/>
      <c r="D754" s="56"/>
      <c r="E754" s="57"/>
      <c r="F754" s="58"/>
      <c r="G754" s="60"/>
      <c r="H754" s="63"/>
      <c r="I754" s="60"/>
      <c r="J754" s="64"/>
      <c r="K754" s="64"/>
      <c r="L754" s="55"/>
      <c r="M754" s="55"/>
      <c r="N754" s="55"/>
      <c r="O754" s="55"/>
      <c r="P754" s="55"/>
      <c r="Q754" s="55"/>
      <c r="R754" s="56"/>
      <c r="S754" s="57"/>
      <c r="T754" s="60"/>
    </row>
    <row r="755">
      <c r="A755" s="55"/>
      <c r="B755" s="55"/>
      <c r="C755" s="55"/>
      <c r="D755" s="56"/>
      <c r="E755" s="57"/>
      <c r="F755" s="58"/>
      <c r="G755" s="60"/>
      <c r="H755" s="63"/>
      <c r="I755" s="60"/>
      <c r="J755" s="64"/>
      <c r="K755" s="64"/>
      <c r="L755" s="55"/>
      <c r="M755" s="55"/>
      <c r="N755" s="55"/>
      <c r="O755" s="55"/>
      <c r="P755" s="55"/>
      <c r="Q755" s="55"/>
      <c r="R755" s="56"/>
      <c r="S755" s="57"/>
      <c r="T755" s="60"/>
    </row>
    <row r="756">
      <c r="A756" s="55"/>
      <c r="B756" s="55"/>
      <c r="C756" s="55"/>
      <c r="D756" s="56"/>
      <c r="E756" s="57"/>
      <c r="F756" s="58"/>
      <c r="G756" s="60"/>
      <c r="H756" s="63"/>
      <c r="I756" s="60"/>
      <c r="J756" s="64"/>
      <c r="K756" s="64"/>
      <c r="L756" s="55"/>
      <c r="M756" s="55"/>
      <c r="N756" s="55"/>
      <c r="O756" s="55"/>
      <c r="P756" s="55"/>
      <c r="Q756" s="55"/>
      <c r="R756" s="56"/>
      <c r="S756" s="57"/>
      <c r="T756" s="60"/>
    </row>
    <row r="757">
      <c r="A757" s="55"/>
      <c r="B757" s="55"/>
      <c r="C757" s="55"/>
      <c r="D757" s="56"/>
      <c r="E757" s="57"/>
      <c r="F757" s="58"/>
      <c r="G757" s="60"/>
      <c r="H757" s="63"/>
      <c r="I757" s="60"/>
      <c r="J757" s="64"/>
      <c r="K757" s="64"/>
      <c r="L757" s="55"/>
      <c r="M757" s="55"/>
      <c r="N757" s="55"/>
      <c r="O757" s="55"/>
      <c r="P757" s="55"/>
      <c r="Q757" s="55"/>
      <c r="R757" s="56"/>
      <c r="S757" s="57"/>
      <c r="T757" s="60"/>
    </row>
    <row r="758">
      <c r="A758" s="55"/>
      <c r="B758" s="55"/>
      <c r="C758" s="55"/>
      <c r="D758" s="56"/>
      <c r="E758" s="57"/>
      <c r="F758" s="58"/>
      <c r="G758" s="60"/>
      <c r="H758" s="63"/>
      <c r="I758" s="60"/>
      <c r="J758" s="64"/>
      <c r="K758" s="64"/>
      <c r="L758" s="55"/>
      <c r="M758" s="55"/>
      <c r="N758" s="55"/>
      <c r="O758" s="55"/>
      <c r="P758" s="55"/>
      <c r="Q758" s="55"/>
      <c r="R758" s="56"/>
      <c r="S758" s="57"/>
      <c r="T758" s="60"/>
    </row>
    <row r="759">
      <c r="A759" s="55"/>
      <c r="B759" s="55"/>
      <c r="C759" s="55"/>
      <c r="D759" s="56"/>
      <c r="E759" s="57"/>
      <c r="F759" s="58"/>
      <c r="G759" s="60"/>
      <c r="H759" s="63"/>
      <c r="I759" s="60"/>
      <c r="J759" s="64"/>
      <c r="K759" s="64"/>
      <c r="L759" s="55"/>
      <c r="M759" s="55"/>
      <c r="N759" s="55"/>
      <c r="O759" s="55"/>
      <c r="P759" s="55"/>
      <c r="Q759" s="55"/>
      <c r="R759" s="56"/>
      <c r="S759" s="57"/>
      <c r="T759" s="60"/>
    </row>
    <row r="760">
      <c r="A760" s="55"/>
      <c r="B760" s="55"/>
      <c r="C760" s="55"/>
      <c r="D760" s="56"/>
      <c r="E760" s="57"/>
      <c r="F760" s="58"/>
      <c r="G760" s="60"/>
      <c r="H760" s="63"/>
      <c r="I760" s="60"/>
      <c r="J760" s="64"/>
      <c r="K760" s="64"/>
      <c r="L760" s="55"/>
      <c r="M760" s="55"/>
      <c r="N760" s="55"/>
      <c r="O760" s="55"/>
      <c r="P760" s="55"/>
      <c r="Q760" s="55"/>
      <c r="R760" s="56"/>
      <c r="S760" s="57"/>
      <c r="T760" s="60"/>
    </row>
    <row r="761">
      <c r="A761" s="55"/>
      <c r="B761" s="55"/>
      <c r="C761" s="55"/>
      <c r="D761" s="56"/>
      <c r="E761" s="57"/>
      <c r="F761" s="58"/>
      <c r="G761" s="60"/>
      <c r="H761" s="63"/>
      <c r="I761" s="60"/>
      <c r="J761" s="64"/>
      <c r="K761" s="64"/>
      <c r="L761" s="55"/>
      <c r="M761" s="55"/>
      <c r="N761" s="55"/>
      <c r="O761" s="55"/>
      <c r="P761" s="55"/>
      <c r="Q761" s="55"/>
      <c r="R761" s="56"/>
      <c r="S761" s="57"/>
      <c r="T761" s="60"/>
    </row>
    <row r="762">
      <c r="A762" s="55"/>
      <c r="B762" s="55"/>
      <c r="C762" s="55"/>
      <c r="D762" s="56"/>
      <c r="E762" s="57"/>
      <c r="F762" s="58"/>
      <c r="G762" s="60"/>
      <c r="H762" s="63"/>
      <c r="I762" s="60"/>
      <c r="J762" s="64"/>
      <c r="K762" s="64"/>
      <c r="L762" s="55"/>
      <c r="M762" s="55"/>
      <c r="N762" s="55"/>
      <c r="O762" s="55"/>
      <c r="P762" s="55"/>
      <c r="Q762" s="55"/>
      <c r="R762" s="56"/>
      <c r="S762" s="57"/>
      <c r="T762" s="60"/>
    </row>
    <row r="763">
      <c r="A763" s="55"/>
      <c r="B763" s="55"/>
      <c r="C763" s="55"/>
      <c r="D763" s="56"/>
      <c r="E763" s="57"/>
      <c r="F763" s="58"/>
      <c r="G763" s="60"/>
      <c r="H763" s="63"/>
      <c r="I763" s="60"/>
      <c r="J763" s="64"/>
      <c r="K763" s="64"/>
      <c r="L763" s="55"/>
      <c r="M763" s="55"/>
      <c r="N763" s="55"/>
      <c r="O763" s="55"/>
      <c r="P763" s="55"/>
      <c r="Q763" s="55"/>
      <c r="R763" s="56"/>
      <c r="S763" s="57"/>
      <c r="T763" s="60"/>
    </row>
    <row r="764">
      <c r="A764" s="55"/>
      <c r="B764" s="55"/>
      <c r="C764" s="55"/>
      <c r="D764" s="56"/>
      <c r="E764" s="57"/>
      <c r="F764" s="58"/>
      <c r="G764" s="60"/>
      <c r="H764" s="63"/>
      <c r="I764" s="60"/>
      <c r="J764" s="64"/>
      <c r="K764" s="64"/>
      <c r="L764" s="55"/>
      <c r="M764" s="55"/>
      <c r="N764" s="55"/>
      <c r="O764" s="55"/>
      <c r="P764" s="55"/>
      <c r="Q764" s="55"/>
      <c r="R764" s="56"/>
      <c r="S764" s="57"/>
      <c r="T764" s="60"/>
    </row>
    <row r="765">
      <c r="A765" s="55"/>
      <c r="B765" s="55"/>
      <c r="C765" s="55"/>
      <c r="D765" s="56"/>
      <c r="E765" s="57"/>
      <c r="F765" s="58"/>
      <c r="G765" s="60"/>
      <c r="H765" s="63"/>
      <c r="I765" s="60"/>
      <c r="J765" s="64"/>
      <c r="K765" s="64"/>
      <c r="L765" s="55"/>
      <c r="M765" s="55"/>
      <c r="N765" s="55"/>
      <c r="O765" s="55"/>
      <c r="P765" s="55"/>
      <c r="Q765" s="55"/>
      <c r="R765" s="56"/>
      <c r="S765" s="57"/>
      <c r="T765" s="60"/>
    </row>
    <row r="766">
      <c r="A766" s="55"/>
      <c r="B766" s="55"/>
      <c r="C766" s="55"/>
      <c r="D766" s="56"/>
      <c r="E766" s="57"/>
      <c r="F766" s="58"/>
      <c r="G766" s="60"/>
      <c r="H766" s="63"/>
      <c r="I766" s="60"/>
      <c r="J766" s="64"/>
      <c r="K766" s="64"/>
      <c r="L766" s="55"/>
      <c r="M766" s="55"/>
      <c r="N766" s="55"/>
      <c r="O766" s="55"/>
      <c r="P766" s="55"/>
      <c r="Q766" s="55"/>
      <c r="R766" s="56"/>
      <c r="S766" s="57"/>
      <c r="T766" s="60"/>
    </row>
    <row r="767">
      <c r="A767" s="55"/>
      <c r="B767" s="55"/>
      <c r="C767" s="55"/>
      <c r="D767" s="56"/>
      <c r="E767" s="57"/>
      <c r="F767" s="58"/>
      <c r="G767" s="60"/>
      <c r="H767" s="63"/>
      <c r="I767" s="60"/>
      <c r="J767" s="64"/>
      <c r="K767" s="64"/>
      <c r="L767" s="55"/>
      <c r="M767" s="55"/>
      <c r="N767" s="55"/>
      <c r="O767" s="55"/>
      <c r="P767" s="55"/>
      <c r="Q767" s="55"/>
      <c r="R767" s="56"/>
      <c r="S767" s="57"/>
      <c r="T767" s="60"/>
    </row>
    <row r="768">
      <c r="A768" s="55"/>
      <c r="B768" s="55"/>
      <c r="C768" s="55"/>
      <c r="D768" s="56"/>
      <c r="E768" s="57"/>
      <c r="F768" s="58"/>
      <c r="G768" s="60"/>
      <c r="H768" s="63"/>
      <c r="I768" s="60"/>
      <c r="J768" s="64"/>
      <c r="K768" s="64"/>
      <c r="L768" s="55"/>
      <c r="M768" s="55"/>
      <c r="N768" s="55"/>
      <c r="O768" s="55"/>
      <c r="P768" s="55"/>
      <c r="Q768" s="55"/>
      <c r="R768" s="56"/>
      <c r="S768" s="57"/>
      <c r="T768" s="60"/>
    </row>
    <row r="769">
      <c r="A769" s="55"/>
      <c r="B769" s="55"/>
      <c r="C769" s="55"/>
      <c r="D769" s="56"/>
      <c r="E769" s="57"/>
      <c r="F769" s="58"/>
      <c r="G769" s="60"/>
      <c r="H769" s="63"/>
      <c r="I769" s="60"/>
      <c r="J769" s="64"/>
      <c r="K769" s="64"/>
      <c r="L769" s="55"/>
      <c r="M769" s="55"/>
      <c r="N769" s="55"/>
      <c r="O769" s="55"/>
      <c r="P769" s="55"/>
      <c r="Q769" s="55"/>
      <c r="R769" s="56"/>
      <c r="S769" s="57"/>
      <c r="T769" s="60"/>
    </row>
    <row r="770">
      <c r="A770" s="55"/>
      <c r="B770" s="55"/>
      <c r="C770" s="55"/>
      <c r="D770" s="56"/>
      <c r="E770" s="57"/>
      <c r="F770" s="58"/>
      <c r="G770" s="60"/>
      <c r="H770" s="63"/>
      <c r="I770" s="60"/>
      <c r="J770" s="64"/>
      <c r="K770" s="64"/>
      <c r="L770" s="55"/>
      <c r="M770" s="55"/>
      <c r="N770" s="55"/>
      <c r="O770" s="55"/>
      <c r="P770" s="55"/>
      <c r="Q770" s="55"/>
      <c r="R770" s="56"/>
      <c r="S770" s="57"/>
      <c r="T770" s="60"/>
    </row>
    <row r="771">
      <c r="A771" s="55"/>
      <c r="B771" s="55"/>
      <c r="C771" s="55"/>
      <c r="D771" s="56"/>
      <c r="E771" s="57"/>
      <c r="F771" s="58"/>
      <c r="G771" s="60"/>
      <c r="H771" s="63"/>
      <c r="I771" s="60"/>
      <c r="J771" s="64"/>
      <c r="K771" s="64"/>
      <c r="L771" s="55"/>
      <c r="M771" s="55"/>
      <c r="N771" s="55"/>
      <c r="O771" s="55"/>
      <c r="P771" s="55"/>
      <c r="Q771" s="55"/>
      <c r="R771" s="56"/>
      <c r="S771" s="57"/>
      <c r="T771" s="60"/>
    </row>
    <row r="772">
      <c r="A772" s="55"/>
      <c r="B772" s="55"/>
      <c r="C772" s="55"/>
      <c r="D772" s="56"/>
      <c r="E772" s="57"/>
      <c r="F772" s="58"/>
      <c r="G772" s="60"/>
      <c r="H772" s="63"/>
      <c r="I772" s="60"/>
      <c r="J772" s="64"/>
      <c r="K772" s="64"/>
      <c r="L772" s="55"/>
      <c r="M772" s="55"/>
      <c r="N772" s="55"/>
      <c r="O772" s="55"/>
      <c r="P772" s="55"/>
      <c r="Q772" s="55"/>
      <c r="R772" s="56"/>
      <c r="S772" s="57"/>
      <c r="T772" s="60"/>
    </row>
    <row r="773">
      <c r="A773" s="55"/>
      <c r="B773" s="55"/>
      <c r="C773" s="55"/>
      <c r="D773" s="56"/>
      <c r="E773" s="57"/>
      <c r="F773" s="58"/>
      <c r="G773" s="60"/>
      <c r="H773" s="63"/>
      <c r="I773" s="60"/>
      <c r="J773" s="64"/>
      <c r="K773" s="64"/>
      <c r="L773" s="55"/>
      <c r="M773" s="55"/>
      <c r="N773" s="55"/>
      <c r="O773" s="55"/>
      <c r="P773" s="55"/>
      <c r="Q773" s="55"/>
      <c r="R773" s="56"/>
      <c r="S773" s="57"/>
      <c r="T773" s="60"/>
    </row>
    <row r="774">
      <c r="A774" s="55"/>
      <c r="B774" s="55"/>
      <c r="C774" s="55"/>
      <c r="D774" s="56"/>
      <c r="E774" s="57"/>
      <c r="F774" s="58"/>
      <c r="G774" s="60"/>
      <c r="H774" s="63"/>
      <c r="I774" s="60"/>
      <c r="J774" s="64"/>
      <c r="K774" s="64"/>
      <c r="L774" s="55"/>
      <c r="M774" s="55"/>
      <c r="N774" s="55"/>
      <c r="O774" s="55"/>
      <c r="P774" s="55"/>
      <c r="Q774" s="55"/>
      <c r="R774" s="56"/>
      <c r="S774" s="57"/>
      <c r="T774" s="60"/>
    </row>
    <row r="775">
      <c r="A775" s="55"/>
      <c r="B775" s="55"/>
      <c r="C775" s="55"/>
      <c r="D775" s="56"/>
      <c r="E775" s="57"/>
      <c r="F775" s="58"/>
      <c r="G775" s="60"/>
      <c r="H775" s="63"/>
      <c r="I775" s="60"/>
      <c r="J775" s="64"/>
      <c r="K775" s="64"/>
      <c r="L775" s="55"/>
      <c r="M775" s="55"/>
      <c r="N775" s="55"/>
      <c r="O775" s="55"/>
      <c r="P775" s="55"/>
      <c r="Q775" s="55"/>
      <c r="R775" s="56"/>
      <c r="S775" s="57"/>
      <c r="T775" s="60"/>
    </row>
    <row r="776">
      <c r="A776" s="55"/>
      <c r="B776" s="55"/>
      <c r="C776" s="55"/>
      <c r="D776" s="56"/>
      <c r="E776" s="57"/>
      <c r="F776" s="58"/>
      <c r="G776" s="60"/>
      <c r="H776" s="63"/>
      <c r="I776" s="60"/>
      <c r="J776" s="64"/>
      <c r="K776" s="64"/>
      <c r="L776" s="55"/>
      <c r="M776" s="55"/>
      <c r="N776" s="55"/>
      <c r="O776" s="55"/>
      <c r="P776" s="55"/>
      <c r="Q776" s="55"/>
      <c r="R776" s="56"/>
      <c r="S776" s="57"/>
      <c r="T776" s="60"/>
    </row>
    <row r="777">
      <c r="A777" s="55"/>
      <c r="B777" s="55"/>
      <c r="C777" s="55"/>
      <c r="D777" s="56"/>
      <c r="E777" s="57"/>
      <c r="F777" s="58"/>
      <c r="G777" s="60"/>
      <c r="H777" s="63"/>
      <c r="I777" s="60"/>
      <c r="J777" s="64"/>
      <c r="K777" s="64"/>
      <c r="L777" s="55"/>
      <c r="M777" s="55"/>
      <c r="N777" s="55"/>
      <c r="O777" s="55"/>
      <c r="P777" s="55"/>
      <c r="Q777" s="55"/>
      <c r="R777" s="56"/>
      <c r="S777" s="57"/>
      <c r="T777" s="60"/>
    </row>
    <row r="778">
      <c r="A778" s="55"/>
      <c r="B778" s="55"/>
      <c r="C778" s="55"/>
      <c r="D778" s="56"/>
      <c r="E778" s="57"/>
      <c r="F778" s="58"/>
      <c r="G778" s="60"/>
      <c r="H778" s="63"/>
      <c r="I778" s="60"/>
      <c r="J778" s="64"/>
      <c r="K778" s="64"/>
      <c r="L778" s="55"/>
      <c r="M778" s="55"/>
      <c r="N778" s="55"/>
      <c r="O778" s="55"/>
      <c r="P778" s="55"/>
      <c r="Q778" s="55"/>
      <c r="R778" s="56"/>
      <c r="S778" s="57"/>
      <c r="T778" s="60"/>
    </row>
    <row r="779">
      <c r="A779" s="55"/>
      <c r="B779" s="55"/>
      <c r="C779" s="55"/>
      <c r="D779" s="56"/>
      <c r="E779" s="57"/>
      <c r="F779" s="58"/>
      <c r="G779" s="60"/>
      <c r="H779" s="63"/>
      <c r="I779" s="60"/>
      <c r="J779" s="64"/>
      <c r="K779" s="64"/>
      <c r="L779" s="55"/>
      <c r="M779" s="55"/>
      <c r="N779" s="55"/>
      <c r="O779" s="55"/>
      <c r="P779" s="55"/>
      <c r="Q779" s="55"/>
      <c r="R779" s="56"/>
      <c r="S779" s="57"/>
      <c r="T779" s="60"/>
    </row>
    <row r="780">
      <c r="A780" s="55"/>
      <c r="B780" s="55"/>
      <c r="C780" s="55"/>
      <c r="D780" s="56"/>
      <c r="E780" s="57"/>
      <c r="F780" s="58"/>
      <c r="G780" s="60"/>
      <c r="H780" s="63"/>
      <c r="I780" s="60"/>
      <c r="J780" s="64"/>
      <c r="K780" s="64"/>
      <c r="L780" s="55"/>
      <c r="M780" s="55"/>
      <c r="N780" s="55"/>
      <c r="O780" s="55"/>
      <c r="P780" s="55"/>
      <c r="Q780" s="55"/>
      <c r="R780" s="56"/>
      <c r="S780" s="57"/>
      <c r="T780" s="60"/>
    </row>
    <row r="781">
      <c r="A781" s="55"/>
      <c r="B781" s="55"/>
      <c r="C781" s="55"/>
      <c r="D781" s="56"/>
      <c r="E781" s="57"/>
      <c r="F781" s="58"/>
      <c r="G781" s="60"/>
      <c r="H781" s="63"/>
      <c r="I781" s="60"/>
      <c r="J781" s="64"/>
      <c r="K781" s="64"/>
      <c r="L781" s="55"/>
      <c r="M781" s="55"/>
      <c r="N781" s="55"/>
      <c r="O781" s="55"/>
      <c r="P781" s="55"/>
      <c r="Q781" s="55"/>
      <c r="R781" s="56"/>
      <c r="S781" s="57"/>
      <c r="T781" s="60"/>
    </row>
    <row r="782">
      <c r="A782" s="55"/>
      <c r="B782" s="55"/>
      <c r="C782" s="55"/>
      <c r="D782" s="56"/>
      <c r="E782" s="57"/>
      <c r="F782" s="58"/>
      <c r="G782" s="60"/>
      <c r="H782" s="63"/>
      <c r="I782" s="60"/>
      <c r="J782" s="64"/>
      <c r="K782" s="64"/>
      <c r="L782" s="55"/>
      <c r="M782" s="55"/>
      <c r="N782" s="55"/>
      <c r="O782" s="55"/>
      <c r="P782" s="55"/>
      <c r="Q782" s="55"/>
      <c r="R782" s="56"/>
      <c r="S782" s="57"/>
      <c r="T782" s="60"/>
    </row>
    <row r="783">
      <c r="A783" s="55"/>
      <c r="B783" s="55"/>
      <c r="C783" s="55"/>
      <c r="D783" s="56"/>
      <c r="E783" s="57"/>
      <c r="F783" s="58"/>
      <c r="G783" s="60"/>
      <c r="H783" s="63"/>
      <c r="I783" s="60"/>
      <c r="J783" s="64"/>
      <c r="K783" s="64"/>
      <c r="L783" s="55"/>
      <c r="M783" s="55"/>
      <c r="N783" s="55"/>
      <c r="O783" s="55"/>
      <c r="P783" s="55"/>
      <c r="Q783" s="55"/>
      <c r="R783" s="56"/>
      <c r="S783" s="57"/>
      <c r="T783" s="60"/>
    </row>
    <row r="784">
      <c r="A784" s="55"/>
      <c r="B784" s="55"/>
      <c r="C784" s="55"/>
      <c r="D784" s="56"/>
      <c r="E784" s="57"/>
      <c r="F784" s="58"/>
      <c r="G784" s="60"/>
      <c r="H784" s="63"/>
      <c r="I784" s="60"/>
      <c r="J784" s="64"/>
      <c r="K784" s="64"/>
      <c r="L784" s="55"/>
      <c r="M784" s="55"/>
      <c r="N784" s="55"/>
      <c r="O784" s="55"/>
      <c r="P784" s="55"/>
      <c r="Q784" s="55"/>
      <c r="R784" s="56"/>
      <c r="S784" s="57"/>
      <c r="T784" s="60"/>
    </row>
    <row r="785">
      <c r="A785" s="55"/>
      <c r="B785" s="55"/>
      <c r="C785" s="55"/>
      <c r="D785" s="56"/>
      <c r="E785" s="57"/>
      <c r="F785" s="58"/>
      <c r="G785" s="60"/>
      <c r="H785" s="63"/>
      <c r="I785" s="60"/>
      <c r="J785" s="64"/>
      <c r="K785" s="64"/>
      <c r="L785" s="55"/>
      <c r="M785" s="55"/>
      <c r="N785" s="55"/>
      <c r="O785" s="55"/>
      <c r="P785" s="55"/>
      <c r="Q785" s="55"/>
      <c r="R785" s="56"/>
      <c r="S785" s="57"/>
      <c r="T785" s="60"/>
    </row>
    <row r="786">
      <c r="A786" s="55"/>
      <c r="B786" s="55"/>
      <c r="C786" s="55"/>
      <c r="D786" s="56"/>
      <c r="E786" s="57"/>
      <c r="F786" s="58"/>
      <c r="G786" s="60"/>
      <c r="H786" s="63"/>
      <c r="I786" s="60"/>
      <c r="J786" s="64"/>
      <c r="K786" s="64"/>
      <c r="L786" s="55"/>
      <c r="M786" s="55"/>
      <c r="N786" s="55"/>
      <c r="O786" s="55"/>
      <c r="P786" s="55"/>
      <c r="Q786" s="55"/>
      <c r="R786" s="56"/>
      <c r="S786" s="57"/>
      <c r="T786" s="60"/>
    </row>
    <row r="787">
      <c r="A787" s="55"/>
      <c r="B787" s="55"/>
      <c r="C787" s="55"/>
      <c r="D787" s="56"/>
      <c r="E787" s="57"/>
      <c r="F787" s="58"/>
      <c r="G787" s="60"/>
      <c r="H787" s="63"/>
      <c r="I787" s="60"/>
      <c r="J787" s="64"/>
      <c r="K787" s="64"/>
      <c r="L787" s="55"/>
      <c r="M787" s="55"/>
      <c r="N787" s="55"/>
      <c r="O787" s="55"/>
      <c r="P787" s="55"/>
      <c r="Q787" s="55"/>
      <c r="R787" s="56"/>
      <c r="S787" s="57"/>
      <c r="T787" s="60"/>
    </row>
    <row r="788">
      <c r="A788" s="55"/>
      <c r="B788" s="55"/>
      <c r="C788" s="55"/>
      <c r="D788" s="56"/>
      <c r="E788" s="57"/>
      <c r="F788" s="58"/>
      <c r="G788" s="60"/>
      <c r="H788" s="63"/>
      <c r="I788" s="60"/>
      <c r="J788" s="64"/>
      <c r="K788" s="64"/>
      <c r="L788" s="55"/>
      <c r="M788" s="55"/>
      <c r="N788" s="55"/>
      <c r="O788" s="55"/>
      <c r="P788" s="55"/>
      <c r="Q788" s="55"/>
      <c r="R788" s="56"/>
      <c r="S788" s="57"/>
      <c r="T788" s="60"/>
    </row>
    <row r="789">
      <c r="A789" s="55"/>
      <c r="B789" s="55"/>
      <c r="C789" s="55"/>
      <c r="D789" s="56"/>
      <c r="E789" s="57"/>
      <c r="F789" s="58"/>
      <c r="G789" s="60"/>
      <c r="H789" s="63"/>
      <c r="I789" s="60"/>
      <c r="J789" s="64"/>
      <c r="K789" s="64"/>
      <c r="L789" s="55"/>
      <c r="M789" s="55"/>
      <c r="N789" s="55"/>
      <c r="O789" s="55"/>
      <c r="P789" s="55"/>
      <c r="Q789" s="55"/>
      <c r="R789" s="56"/>
      <c r="S789" s="57"/>
      <c r="T789" s="60"/>
    </row>
    <row r="790">
      <c r="A790" s="55"/>
      <c r="B790" s="55"/>
      <c r="C790" s="55"/>
      <c r="D790" s="56"/>
      <c r="E790" s="57"/>
      <c r="F790" s="58"/>
      <c r="G790" s="60"/>
      <c r="H790" s="63"/>
      <c r="I790" s="60"/>
      <c r="J790" s="64"/>
      <c r="K790" s="64"/>
      <c r="L790" s="55"/>
      <c r="M790" s="55"/>
      <c r="N790" s="55"/>
      <c r="O790" s="55"/>
      <c r="P790" s="55"/>
      <c r="Q790" s="55"/>
      <c r="R790" s="56"/>
      <c r="S790" s="57"/>
      <c r="T790" s="60"/>
    </row>
    <row r="791">
      <c r="A791" s="55"/>
      <c r="B791" s="55"/>
      <c r="C791" s="55"/>
      <c r="D791" s="56"/>
      <c r="E791" s="57"/>
      <c r="F791" s="58"/>
      <c r="G791" s="60"/>
      <c r="H791" s="63"/>
      <c r="I791" s="60"/>
      <c r="J791" s="64"/>
      <c r="K791" s="64"/>
      <c r="L791" s="55"/>
      <c r="M791" s="55"/>
      <c r="N791" s="55"/>
      <c r="O791" s="55"/>
      <c r="P791" s="55"/>
      <c r="Q791" s="55"/>
      <c r="R791" s="56"/>
      <c r="S791" s="57"/>
      <c r="T791" s="60"/>
    </row>
    <row r="792">
      <c r="A792" s="55"/>
      <c r="B792" s="55"/>
      <c r="C792" s="55"/>
      <c r="D792" s="56"/>
      <c r="E792" s="57"/>
      <c r="F792" s="58"/>
      <c r="G792" s="60"/>
      <c r="H792" s="63"/>
      <c r="I792" s="60"/>
      <c r="J792" s="64"/>
      <c r="K792" s="64"/>
      <c r="L792" s="55"/>
      <c r="M792" s="55"/>
      <c r="N792" s="55"/>
      <c r="O792" s="55"/>
      <c r="P792" s="55"/>
      <c r="Q792" s="55"/>
      <c r="R792" s="56"/>
      <c r="S792" s="57"/>
      <c r="T792" s="60"/>
    </row>
    <row r="793">
      <c r="A793" s="55"/>
      <c r="B793" s="55"/>
      <c r="C793" s="55"/>
      <c r="D793" s="56"/>
      <c r="E793" s="57"/>
      <c r="F793" s="58"/>
      <c r="G793" s="60"/>
      <c r="H793" s="63"/>
      <c r="I793" s="60"/>
      <c r="J793" s="64"/>
      <c r="K793" s="64"/>
      <c r="L793" s="55"/>
      <c r="M793" s="55"/>
      <c r="N793" s="55"/>
      <c r="O793" s="55"/>
      <c r="P793" s="55"/>
      <c r="Q793" s="55"/>
      <c r="R793" s="56"/>
      <c r="S793" s="57"/>
      <c r="T793" s="60"/>
    </row>
    <row r="794">
      <c r="A794" s="55"/>
      <c r="B794" s="55"/>
      <c r="C794" s="55"/>
      <c r="D794" s="56"/>
      <c r="E794" s="57"/>
      <c r="F794" s="58"/>
      <c r="G794" s="60"/>
      <c r="H794" s="63"/>
      <c r="I794" s="60"/>
      <c r="J794" s="64"/>
      <c r="K794" s="64"/>
      <c r="L794" s="55"/>
      <c r="M794" s="55"/>
      <c r="N794" s="55"/>
      <c r="O794" s="55"/>
      <c r="P794" s="55"/>
      <c r="Q794" s="55"/>
      <c r="R794" s="56"/>
      <c r="S794" s="57"/>
      <c r="T794" s="60"/>
    </row>
    <row r="795">
      <c r="A795" s="55"/>
      <c r="B795" s="55"/>
      <c r="C795" s="55"/>
      <c r="D795" s="56"/>
      <c r="E795" s="57"/>
      <c r="F795" s="58"/>
      <c r="G795" s="60"/>
      <c r="H795" s="63"/>
      <c r="I795" s="60"/>
      <c r="J795" s="64"/>
      <c r="K795" s="64"/>
      <c r="L795" s="55"/>
      <c r="M795" s="55"/>
      <c r="N795" s="55"/>
      <c r="O795" s="55"/>
      <c r="P795" s="55"/>
      <c r="Q795" s="55"/>
      <c r="R795" s="56"/>
      <c r="S795" s="57"/>
      <c r="T795" s="60"/>
    </row>
    <row r="796">
      <c r="A796" s="55"/>
      <c r="B796" s="55"/>
      <c r="C796" s="55"/>
      <c r="D796" s="56"/>
      <c r="E796" s="57"/>
      <c r="F796" s="58"/>
      <c r="G796" s="60"/>
      <c r="H796" s="63"/>
      <c r="I796" s="60"/>
      <c r="J796" s="64"/>
      <c r="K796" s="64"/>
      <c r="L796" s="55"/>
      <c r="M796" s="55"/>
      <c r="N796" s="55"/>
      <c r="O796" s="55"/>
      <c r="P796" s="55"/>
      <c r="Q796" s="55"/>
      <c r="R796" s="56"/>
      <c r="S796" s="57"/>
      <c r="T796" s="60"/>
    </row>
    <row r="797">
      <c r="A797" s="55"/>
      <c r="B797" s="55"/>
      <c r="C797" s="55"/>
      <c r="D797" s="56"/>
      <c r="E797" s="57"/>
      <c r="F797" s="58"/>
      <c r="G797" s="60"/>
      <c r="H797" s="63"/>
      <c r="I797" s="60"/>
      <c r="J797" s="64"/>
      <c r="K797" s="64"/>
      <c r="L797" s="55"/>
      <c r="M797" s="55"/>
      <c r="N797" s="55"/>
      <c r="O797" s="55"/>
      <c r="P797" s="55"/>
      <c r="Q797" s="55"/>
      <c r="R797" s="56"/>
      <c r="S797" s="57"/>
      <c r="T797" s="60"/>
    </row>
    <row r="798">
      <c r="A798" s="55"/>
      <c r="B798" s="55"/>
      <c r="C798" s="55"/>
      <c r="D798" s="56"/>
      <c r="E798" s="57"/>
      <c r="F798" s="58"/>
      <c r="G798" s="60"/>
      <c r="H798" s="63"/>
      <c r="I798" s="60"/>
      <c r="J798" s="64"/>
      <c r="K798" s="64"/>
      <c r="L798" s="55"/>
      <c r="M798" s="55"/>
      <c r="N798" s="55"/>
      <c r="O798" s="55"/>
      <c r="P798" s="55"/>
      <c r="Q798" s="55"/>
      <c r="R798" s="56"/>
      <c r="S798" s="57"/>
      <c r="T798" s="60"/>
    </row>
    <row r="799">
      <c r="A799" s="55"/>
      <c r="B799" s="55"/>
      <c r="C799" s="55"/>
      <c r="D799" s="56"/>
      <c r="E799" s="57"/>
      <c r="F799" s="58"/>
      <c r="G799" s="60"/>
      <c r="H799" s="63"/>
      <c r="I799" s="60"/>
      <c r="J799" s="64"/>
      <c r="K799" s="64"/>
      <c r="L799" s="55"/>
      <c r="M799" s="55"/>
      <c r="N799" s="55"/>
      <c r="O799" s="55"/>
      <c r="P799" s="55"/>
      <c r="Q799" s="55"/>
      <c r="R799" s="56"/>
      <c r="S799" s="57"/>
      <c r="T799" s="60"/>
    </row>
    <row r="800">
      <c r="A800" s="55"/>
      <c r="B800" s="55"/>
      <c r="C800" s="55"/>
      <c r="D800" s="56"/>
      <c r="E800" s="57"/>
      <c r="F800" s="58"/>
      <c r="G800" s="60"/>
      <c r="H800" s="63"/>
      <c r="I800" s="60"/>
      <c r="J800" s="64"/>
      <c r="K800" s="64"/>
      <c r="L800" s="55"/>
      <c r="M800" s="55"/>
      <c r="N800" s="55"/>
      <c r="O800" s="55"/>
      <c r="P800" s="55"/>
      <c r="Q800" s="55"/>
      <c r="R800" s="56"/>
      <c r="S800" s="57"/>
      <c r="T800" s="60"/>
    </row>
    <row r="801">
      <c r="A801" s="55"/>
      <c r="B801" s="55"/>
      <c r="C801" s="55"/>
      <c r="D801" s="56"/>
      <c r="E801" s="57"/>
      <c r="F801" s="58"/>
      <c r="G801" s="60"/>
      <c r="H801" s="63"/>
      <c r="I801" s="60"/>
      <c r="J801" s="64"/>
      <c r="K801" s="64"/>
      <c r="L801" s="55"/>
      <c r="M801" s="55"/>
      <c r="N801" s="55"/>
      <c r="O801" s="55"/>
      <c r="P801" s="55"/>
      <c r="Q801" s="55"/>
      <c r="R801" s="56"/>
      <c r="S801" s="57"/>
      <c r="T801" s="60"/>
    </row>
    <row r="802">
      <c r="A802" s="55"/>
      <c r="B802" s="55"/>
      <c r="C802" s="55"/>
      <c r="D802" s="56"/>
      <c r="E802" s="57"/>
      <c r="F802" s="58"/>
      <c r="G802" s="60"/>
      <c r="H802" s="63"/>
      <c r="I802" s="60"/>
      <c r="J802" s="64"/>
      <c r="K802" s="64"/>
      <c r="L802" s="55"/>
      <c r="M802" s="55"/>
      <c r="N802" s="55"/>
      <c r="O802" s="55"/>
      <c r="P802" s="55"/>
      <c r="Q802" s="55"/>
      <c r="R802" s="56"/>
      <c r="S802" s="57"/>
      <c r="T802" s="60"/>
    </row>
    <row r="803">
      <c r="A803" s="55"/>
      <c r="B803" s="55"/>
      <c r="C803" s="55"/>
      <c r="D803" s="56"/>
      <c r="E803" s="57"/>
      <c r="F803" s="58"/>
      <c r="G803" s="60"/>
      <c r="H803" s="63"/>
      <c r="I803" s="60"/>
      <c r="J803" s="64"/>
      <c r="K803" s="64"/>
      <c r="L803" s="55"/>
      <c r="M803" s="55"/>
      <c r="N803" s="55"/>
      <c r="O803" s="55"/>
      <c r="P803" s="55"/>
      <c r="Q803" s="55"/>
      <c r="R803" s="56"/>
      <c r="S803" s="57"/>
      <c r="T803" s="60"/>
    </row>
    <row r="804">
      <c r="A804" s="55"/>
      <c r="B804" s="55"/>
      <c r="C804" s="55"/>
      <c r="D804" s="56"/>
      <c r="E804" s="57"/>
      <c r="F804" s="58"/>
      <c r="G804" s="60"/>
      <c r="H804" s="63"/>
      <c r="I804" s="60"/>
      <c r="J804" s="64"/>
      <c r="K804" s="64"/>
      <c r="L804" s="55"/>
      <c r="M804" s="55"/>
      <c r="N804" s="55"/>
      <c r="O804" s="55"/>
      <c r="P804" s="55"/>
      <c r="Q804" s="55"/>
      <c r="R804" s="56"/>
      <c r="S804" s="57"/>
      <c r="T804" s="60"/>
    </row>
    <row r="805">
      <c r="A805" s="55"/>
      <c r="B805" s="55"/>
      <c r="C805" s="55"/>
      <c r="D805" s="56"/>
      <c r="E805" s="57"/>
      <c r="F805" s="58"/>
      <c r="G805" s="60"/>
      <c r="H805" s="63"/>
      <c r="I805" s="60"/>
      <c r="J805" s="64"/>
      <c r="K805" s="64"/>
      <c r="L805" s="55"/>
      <c r="M805" s="55"/>
      <c r="N805" s="55"/>
      <c r="O805" s="55"/>
      <c r="P805" s="55"/>
      <c r="Q805" s="55"/>
      <c r="R805" s="56"/>
      <c r="S805" s="57"/>
      <c r="T805" s="60"/>
    </row>
    <row r="806">
      <c r="A806" s="55"/>
      <c r="B806" s="55"/>
      <c r="C806" s="55"/>
      <c r="D806" s="56"/>
      <c r="E806" s="57"/>
      <c r="F806" s="58"/>
      <c r="G806" s="60"/>
      <c r="H806" s="63"/>
      <c r="I806" s="60"/>
      <c r="J806" s="64"/>
      <c r="K806" s="64"/>
      <c r="L806" s="55"/>
      <c r="M806" s="55"/>
      <c r="N806" s="55"/>
      <c r="O806" s="55"/>
      <c r="P806" s="55"/>
      <c r="Q806" s="55"/>
      <c r="R806" s="56"/>
      <c r="S806" s="57"/>
      <c r="T806" s="60"/>
    </row>
    <row r="807">
      <c r="A807" s="55"/>
      <c r="B807" s="55"/>
      <c r="C807" s="55"/>
      <c r="D807" s="56"/>
      <c r="E807" s="57"/>
      <c r="F807" s="58"/>
      <c r="G807" s="60"/>
      <c r="H807" s="63"/>
      <c r="I807" s="60"/>
      <c r="J807" s="64"/>
      <c r="K807" s="64"/>
      <c r="L807" s="55"/>
      <c r="M807" s="55"/>
      <c r="N807" s="55"/>
      <c r="O807" s="55"/>
      <c r="P807" s="55"/>
      <c r="Q807" s="55"/>
      <c r="R807" s="56"/>
      <c r="S807" s="57"/>
      <c r="T807" s="60"/>
    </row>
    <row r="808">
      <c r="A808" s="55"/>
      <c r="B808" s="55"/>
      <c r="C808" s="55"/>
      <c r="D808" s="56"/>
      <c r="E808" s="57"/>
      <c r="F808" s="58"/>
      <c r="G808" s="60"/>
      <c r="H808" s="63"/>
      <c r="I808" s="60"/>
      <c r="J808" s="64"/>
      <c r="K808" s="64"/>
      <c r="L808" s="55"/>
      <c r="M808" s="55"/>
      <c r="N808" s="55"/>
      <c r="O808" s="55"/>
      <c r="P808" s="55"/>
      <c r="Q808" s="55"/>
      <c r="R808" s="56"/>
      <c r="S808" s="57"/>
      <c r="T808" s="60"/>
    </row>
    <row r="809">
      <c r="A809" s="55"/>
      <c r="B809" s="55"/>
      <c r="C809" s="55"/>
      <c r="D809" s="56"/>
      <c r="E809" s="57"/>
      <c r="F809" s="58"/>
      <c r="G809" s="60"/>
      <c r="H809" s="63"/>
      <c r="I809" s="60"/>
      <c r="J809" s="64"/>
      <c r="K809" s="64"/>
      <c r="L809" s="55"/>
      <c r="M809" s="55"/>
      <c r="N809" s="55"/>
      <c r="O809" s="55"/>
      <c r="P809" s="55"/>
      <c r="Q809" s="55"/>
      <c r="R809" s="56"/>
      <c r="S809" s="57"/>
      <c r="T809" s="60"/>
    </row>
    <row r="810">
      <c r="A810" s="55"/>
      <c r="B810" s="55"/>
      <c r="C810" s="55"/>
      <c r="D810" s="56"/>
      <c r="E810" s="57"/>
      <c r="F810" s="58"/>
      <c r="G810" s="60"/>
      <c r="H810" s="63"/>
      <c r="I810" s="60"/>
      <c r="J810" s="64"/>
      <c r="K810" s="64"/>
      <c r="L810" s="55"/>
      <c r="M810" s="55"/>
      <c r="N810" s="55"/>
      <c r="O810" s="55"/>
      <c r="P810" s="55"/>
      <c r="Q810" s="55"/>
      <c r="R810" s="56"/>
      <c r="S810" s="57"/>
      <c r="T810" s="60"/>
    </row>
    <row r="811">
      <c r="A811" s="55"/>
      <c r="B811" s="55"/>
      <c r="C811" s="55"/>
      <c r="D811" s="56"/>
      <c r="E811" s="57"/>
      <c r="F811" s="58"/>
      <c r="G811" s="60"/>
      <c r="H811" s="63"/>
      <c r="I811" s="60"/>
      <c r="J811" s="64"/>
      <c r="K811" s="64"/>
      <c r="L811" s="55"/>
      <c r="M811" s="55"/>
      <c r="N811" s="55"/>
      <c r="O811" s="55"/>
      <c r="P811" s="55"/>
      <c r="Q811" s="55"/>
      <c r="R811" s="56"/>
      <c r="S811" s="57"/>
      <c r="T811" s="60"/>
    </row>
    <row r="812">
      <c r="A812" s="55"/>
      <c r="B812" s="55"/>
      <c r="C812" s="55"/>
      <c r="D812" s="56"/>
      <c r="E812" s="57"/>
      <c r="F812" s="58"/>
      <c r="G812" s="60"/>
      <c r="H812" s="63"/>
      <c r="I812" s="60"/>
      <c r="J812" s="64"/>
      <c r="K812" s="64"/>
      <c r="L812" s="55"/>
      <c r="M812" s="55"/>
      <c r="N812" s="55"/>
      <c r="O812" s="55"/>
      <c r="P812" s="55"/>
      <c r="Q812" s="55"/>
      <c r="R812" s="56"/>
      <c r="S812" s="57"/>
      <c r="T812" s="60"/>
    </row>
    <row r="813">
      <c r="A813" s="55"/>
      <c r="B813" s="55"/>
      <c r="C813" s="55"/>
      <c r="D813" s="56"/>
      <c r="E813" s="57"/>
      <c r="F813" s="58"/>
      <c r="G813" s="60"/>
      <c r="H813" s="63"/>
      <c r="I813" s="60"/>
      <c r="J813" s="64"/>
      <c r="K813" s="64"/>
      <c r="L813" s="55"/>
      <c r="M813" s="55"/>
      <c r="N813" s="55"/>
      <c r="O813" s="55"/>
      <c r="P813" s="55"/>
      <c r="Q813" s="55"/>
      <c r="R813" s="56"/>
      <c r="S813" s="57"/>
      <c r="T813" s="60"/>
    </row>
    <row r="814">
      <c r="A814" s="55"/>
      <c r="B814" s="55"/>
      <c r="C814" s="55"/>
      <c r="D814" s="56"/>
      <c r="E814" s="57"/>
      <c r="F814" s="58"/>
      <c r="G814" s="60"/>
      <c r="H814" s="63"/>
      <c r="I814" s="60"/>
      <c r="J814" s="64"/>
      <c r="K814" s="64"/>
      <c r="L814" s="55"/>
      <c r="M814" s="55"/>
      <c r="N814" s="55"/>
      <c r="O814" s="55"/>
      <c r="P814" s="55"/>
      <c r="Q814" s="55"/>
      <c r="R814" s="56"/>
      <c r="S814" s="57"/>
      <c r="T814" s="60"/>
    </row>
    <row r="815">
      <c r="A815" s="55"/>
      <c r="B815" s="55"/>
      <c r="C815" s="55"/>
      <c r="D815" s="56"/>
      <c r="E815" s="57"/>
      <c r="F815" s="58"/>
      <c r="G815" s="60"/>
      <c r="H815" s="63"/>
      <c r="I815" s="60"/>
      <c r="J815" s="64"/>
      <c r="K815" s="64"/>
      <c r="L815" s="55"/>
      <c r="M815" s="55"/>
      <c r="N815" s="55"/>
      <c r="O815" s="55"/>
      <c r="P815" s="55"/>
      <c r="Q815" s="55"/>
      <c r="R815" s="56"/>
      <c r="S815" s="57"/>
      <c r="T815" s="60"/>
    </row>
    <row r="816">
      <c r="A816" s="55"/>
      <c r="B816" s="55"/>
      <c r="C816" s="55"/>
      <c r="D816" s="56"/>
      <c r="E816" s="57"/>
      <c r="F816" s="58"/>
      <c r="G816" s="60"/>
      <c r="H816" s="63"/>
      <c r="I816" s="60"/>
      <c r="J816" s="64"/>
      <c r="K816" s="64"/>
      <c r="L816" s="55"/>
      <c r="M816" s="55"/>
      <c r="N816" s="55"/>
      <c r="O816" s="55"/>
      <c r="P816" s="55"/>
      <c r="Q816" s="55"/>
      <c r="R816" s="56"/>
      <c r="S816" s="57"/>
      <c r="T816" s="60"/>
    </row>
    <row r="817">
      <c r="A817" s="55"/>
      <c r="B817" s="55"/>
      <c r="C817" s="55"/>
      <c r="D817" s="56"/>
      <c r="E817" s="57"/>
      <c r="F817" s="58"/>
      <c r="G817" s="60"/>
      <c r="H817" s="63"/>
      <c r="I817" s="60"/>
      <c r="J817" s="64"/>
      <c r="K817" s="64"/>
      <c r="L817" s="55"/>
      <c r="M817" s="55"/>
      <c r="N817" s="55"/>
      <c r="O817" s="55"/>
      <c r="P817" s="55"/>
      <c r="Q817" s="55"/>
      <c r="R817" s="56"/>
      <c r="S817" s="57"/>
      <c r="T817" s="60"/>
    </row>
    <row r="818">
      <c r="A818" s="55"/>
      <c r="B818" s="55"/>
      <c r="C818" s="55"/>
      <c r="D818" s="56"/>
      <c r="E818" s="57"/>
      <c r="F818" s="58"/>
      <c r="G818" s="60"/>
      <c r="H818" s="63"/>
      <c r="I818" s="60"/>
      <c r="J818" s="64"/>
      <c r="K818" s="64"/>
      <c r="L818" s="55"/>
      <c r="M818" s="55"/>
      <c r="N818" s="55"/>
      <c r="O818" s="55"/>
      <c r="P818" s="55"/>
      <c r="Q818" s="55"/>
      <c r="R818" s="56"/>
      <c r="S818" s="57"/>
      <c r="T818" s="60"/>
    </row>
    <row r="819">
      <c r="A819" s="55"/>
      <c r="B819" s="55"/>
      <c r="C819" s="55"/>
      <c r="D819" s="56"/>
      <c r="E819" s="57"/>
      <c r="F819" s="58"/>
      <c r="G819" s="60"/>
      <c r="H819" s="63"/>
      <c r="I819" s="60"/>
      <c r="J819" s="64"/>
      <c r="K819" s="64"/>
      <c r="L819" s="55"/>
      <c r="M819" s="55"/>
      <c r="N819" s="55"/>
      <c r="O819" s="55"/>
      <c r="P819" s="55"/>
      <c r="Q819" s="55"/>
      <c r="R819" s="56"/>
      <c r="S819" s="57"/>
      <c r="T819" s="60"/>
    </row>
    <row r="820">
      <c r="A820" s="55"/>
      <c r="B820" s="55"/>
      <c r="C820" s="55"/>
      <c r="D820" s="56"/>
      <c r="E820" s="57"/>
      <c r="F820" s="58"/>
      <c r="G820" s="60"/>
      <c r="H820" s="63"/>
      <c r="I820" s="60"/>
      <c r="J820" s="64"/>
      <c r="K820" s="64"/>
      <c r="L820" s="55"/>
      <c r="M820" s="55"/>
      <c r="N820" s="55"/>
      <c r="O820" s="55"/>
      <c r="P820" s="55"/>
      <c r="Q820" s="55"/>
      <c r="R820" s="56"/>
      <c r="S820" s="57"/>
      <c r="T820" s="60"/>
    </row>
    <row r="821">
      <c r="A821" s="55"/>
      <c r="B821" s="55"/>
      <c r="C821" s="55"/>
      <c r="D821" s="56"/>
      <c r="E821" s="57"/>
      <c r="F821" s="58"/>
      <c r="G821" s="60"/>
      <c r="H821" s="63"/>
      <c r="I821" s="60"/>
      <c r="J821" s="64"/>
      <c r="K821" s="64"/>
      <c r="L821" s="55"/>
      <c r="M821" s="55"/>
      <c r="N821" s="55"/>
      <c r="O821" s="55"/>
      <c r="P821" s="55"/>
      <c r="Q821" s="55"/>
      <c r="R821" s="56"/>
      <c r="S821" s="57"/>
      <c r="T821" s="60"/>
    </row>
    <row r="822">
      <c r="A822" s="55"/>
      <c r="B822" s="55"/>
      <c r="C822" s="55"/>
      <c r="D822" s="56"/>
      <c r="E822" s="57"/>
      <c r="F822" s="58"/>
      <c r="G822" s="60"/>
      <c r="H822" s="63"/>
      <c r="I822" s="60"/>
      <c r="J822" s="64"/>
      <c r="K822" s="64"/>
      <c r="L822" s="55"/>
      <c r="M822" s="55"/>
      <c r="N822" s="55"/>
      <c r="O822" s="55"/>
      <c r="P822" s="55"/>
      <c r="Q822" s="55"/>
      <c r="R822" s="56"/>
      <c r="S822" s="57"/>
      <c r="T822" s="60"/>
    </row>
    <row r="823">
      <c r="A823" s="55"/>
      <c r="B823" s="55"/>
      <c r="C823" s="55"/>
      <c r="D823" s="56"/>
      <c r="E823" s="57"/>
      <c r="F823" s="58"/>
      <c r="G823" s="60"/>
      <c r="H823" s="63"/>
      <c r="I823" s="60"/>
      <c r="J823" s="64"/>
      <c r="K823" s="64"/>
      <c r="L823" s="55"/>
      <c r="M823" s="55"/>
      <c r="N823" s="55"/>
      <c r="O823" s="55"/>
      <c r="P823" s="55"/>
      <c r="Q823" s="55"/>
      <c r="R823" s="56"/>
      <c r="S823" s="57"/>
      <c r="T823" s="60"/>
    </row>
    <row r="824">
      <c r="A824" s="55"/>
      <c r="B824" s="55"/>
      <c r="C824" s="55"/>
      <c r="D824" s="56"/>
      <c r="E824" s="57"/>
      <c r="F824" s="58"/>
      <c r="G824" s="60"/>
      <c r="H824" s="63"/>
      <c r="I824" s="60"/>
      <c r="J824" s="64"/>
      <c r="K824" s="64"/>
      <c r="L824" s="55"/>
      <c r="M824" s="55"/>
      <c r="N824" s="55"/>
      <c r="O824" s="55"/>
      <c r="P824" s="55"/>
      <c r="Q824" s="55"/>
      <c r="R824" s="56"/>
      <c r="S824" s="57"/>
      <c r="T824" s="60"/>
    </row>
    <row r="825">
      <c r="A825" s="55"/>
      <c r="B825" s="55"/>
      <c r="C825" s="55"/>
      <c r="D825" s="56"/>
      <c r="E825" s="57"/>
      <c r="F825" s="58"/>
      <c r="G825" s="60"/>
      <c r="H825" s="63"/>
      <c r="I825" s="60"/>
      <c r="J825" s="64"/>
      <c r="K825" s="64"/>
      <c r="L825" s="55"/>
      <c r="M825" s="55"/>
      <c r="N825" s="55"/>
      <c r="O825" s="55"/>
      <c r="P825" s="55"/>
      <c r="Q825" s="55"/>
      <c r="R825" s="56"/>
      <c r="S825" s="57"/>
      <c r="T825" s="60"/>
    </row>
    <row r="826">
      <c r="A826" s="55"/>
      <c r="B826" s="55"/>
      <c r="C826" s="55"/>
      <c r="D826" s="56"/>
      <c r="E826" s="57"/>
      <c r="F826" s="58"/>
      <c r="G826" s="60"/>
      <c r="H826" s="63"/>
      <c r="I826" s="60"/>
      <c r="J826" s="64"/>
      <c r="K826" s="64"/>
      <c r="L826" s="55"/>
      <c r="M826" s="55"/>
      <c r="N826" s="55"/>
      <c r="O826" s="55"/>
      <c r="P826" s="55"/>
      <c r="Q826" s="55"/>
      <c r="R826" s="56"/>
      <c r="S826" s="57"/>
      <c r="T826" s="60"/>
    </row>
    <row r="827">
      <c r="A827" s="55"/>
      <c r="B827" s="55"/>
      <c r="C827" s="55"/>
      <c r="D827" s="56"/>
      <c r="E827" s="57"/>
      <c r="F827" s="58"/>
      <c r="G827" s="60"/>
      <c r="H827" s="63"/>
      <c r="I827" s="60"/>
      <c r="J827" s="64"/>
      <c r="K827" s="64"/>
      <c r="L827" s="55"/>
      <c r="M827" s="55"/>
      <c r="N827" s="55"/>
      <c r="O827" s="55"/>
      <c r="P827" s="55"/>
      <c r="Q827" s="55"/>
      <c r="R827" s="56"/>
      <c r="S827" s="57"/>
      <c r="T827" s="60"/>
    </row>
    <row r="828">
      <c r="A828" s="55"/>
      <c r="B828" s="55"/>
      <c r="C828" s="55"/>
      <c r="D828" s="56"/>
      <c r="E828" s="57"/>
      <c r="F828" s="58"/>
      <c r="G828" s="60"/>
      <c r="H828" s="63"/>
      <c r="I828" s="60"/>
      <c r="J828" s="64"/>
      <c r="K828" s="64"/>
      <c r="L828" s="55"/>
      <c r="M828" s="55"/>
      <c r="N828" s="55"/>
      <c r="O828" s="55"/>
      <c r="P828" s="55"/>
      <c r="Q828" s="55"/>
      <c r="R828" s="56"/>
      <c r="S828" s="57"/>
      <c r="T828" s="60"/>
    </row>
    <row r="829">
      <c r="A829" s="55"/>
      <c r="B829" s="55"/>
      <c r="C829" s="55"/>
      <c r="D829" s="56"/>
      <c r="E829" s="57"/>
      <c r="F829" s="58"/>
      <c r="G829" s="60"/>
      <c r="H829" s="63"/>
      <c r="I829" s="60"/>
      <c r="J829" s="64"/>
      <c r="K829" s="64"/>
      <c r="L829" s="55"/>
      <c r="M829" s="55"/>
      <c r="N829" s="55"/>
      <c r="O829" s="55"/>
      <c r="P829" s="55"/>
      <c r="Q829" s="55"/>
      <c r="R829" s="56"/>
      <c r="S829" s="57"/>
      <c r="T829" s="60"/>
    </row>
    <row r="830">
      <c r="A830" s="55"/>
      <c r="B830" s="55"/>
      <c r="C830" s="55"/>
      <c r="D830" s="56"/>
      <c r="E830" s="57"/>
      <c r="F830" s="58"/>
      <c r="G830" s="60"/>
      <c r="H830" s="63"/>
      <c r="I830" s="60"/>
      <c r="J830" s="64"/>
      <c r="K830" s="64"/>
      <c r="L830" s="55"/>
      <c r="M830" s="55"/>
      <c r="N830" s="55"/>
      <c r="O830" s="55"/>
      <c r="P830" s="55"/>
      <c r="Q830" s="55"/>
      <c r="R830" s="56"/>
      <c r="S830" s="57"/>
      <c r="T830" s="60"/>
    </row>
    <row r="831">
      <c r="A831" s="55"/>
      <c r="B831" s="55"/>
      <c r="C831" s="55"/>
      <c r="D831" s="56"/>
      <c r="E831" s="57"/>
      <c r="F831" s="58"/>
      <c r="G831" s="60"/>
      <c r="H831" s="63"/>
      <c r="I831" s="60"/>
      <c r="J831" s="64"/>
      <c r="K831" s="64"/>
      <c r="L831" s="55"/>
      <c r="M831" s="55"/>
      <c r="N831" s="55"/>
      <c r="O831" s="55"/>
      <c r="P831" s="55"/>
      <c r="Q831" s="55"/>
      <c r="R831" s="56"/>
      <c r="S831" s="57"/>
      <c r="T831" s="60"/>
    </row>
    <row r="832">
      <c r="A832" s="55"/>
      <c r="B832" s="55"/>
      <c r="C832" s="55"/>
      <c r="D832" s="56"/>
      <c r="E832" s="57"/>
      <c r="F832" s="58"/>
      <c r="G832" s="60"/>
      <c r="H832" s="63"/>
      <c r="I832" s="60"/>
      <c r="J832" s="64"/>
      <c r="K832" s="64"/>
      <c r="L832" s="55"/>
      <c r="M832" s="55"/>
      <c r="N832" s="55"/>
      <c r="O832" s="55"/>
      <c r="P832" s="55"/>
      <c r="Q832" s="55"/>
      <c r="R832" s="56"/>
      <c r="S832" s="57"/>
      <c r="T832" s="60"/>
    </row>
    <row r="833">
      <c r="A833" s="55"/>
      <c r="B833" s="55"/>
      <c r="C833" s="55"/>
      <c r="D833" s="56"/>
      <c r="E833" s="57"/>
      <c r="F833" s="58"/>
      <c r="G833" s="60"/>
      <c r="H833" s="63"/>
      <c r="I833" s="60"/>
      <c r="J833" s="64"/>
      <c r="K833" s="64"/>
      <c r="L833" s="55"/>
      <c r="M833" s="55"/>
      <c r="N833" s="55"/>
      <c r="O833" s="55"/>
      <c r="P833" s="55"/>
      <c r="Q833" s="55"/>
      <c r="R833" s="56"/>
      <c r="S833" s="57"/>
      <c r="T833" s="60"/>
    </row>
    <row r="834">
      <c r="A834" s="55"/>
      <c r="B834" s="55"/>
      <c r="C834" s="55"/>
      <c r="D834" s="56"/>
      <c r="E834" s="57"/>
      <c r="F834" s="58"/>
      <c r="G834" s="60"/>
      <c r="H834" s="63"/>
      <c r="I834" s="60"/>
      <c r="J834" s="64"/>
      <c r="K834" s="64"/>
      <c r="L834" s="55"/>
      <c r="M834" s="55"/>
      <c r="N834" s="55"/>
      <c r="O834" s="55"/>
      <c r="P834" s="55"/>
      <c r="Q834" s="55"/>
      <c r="R834" s="56"/>
      <c r="S834" s="57"/>
      <c r="T834" s="60"/>
    </row>
    <row r="835">
      <c r="A835" s="55"/>
      <c r="B835" s="55"/>
      <c r="C835" s="55"/>
      <c r="D835" s="56"/>
      <c r="E835" s="57"/>
      <c r="F835" s="58"/>
      <c r="G835" s="60"/>
      <c r="H835" s="63"/>
      <c r="I835" s="60"/>
      <c r="J835" s="64"/>
      <c r="K835" s="64"/>
      <c r="L835" s="55"/>
      <c r="M835" s="55"/>
      <c r="N835" s="55"/>
      <c r="O835" s="55"/>
      <c r="P835" s="55"/>
      <c r="Q835" s="55"/>
      <c r="R835" s="56"/>
      <c r="S835" s="57"/>
      <c r="T835" s="60"/>
    </row>
    <row r="836">
      <c r="A836" s="55"/>
      <c r="B836" s="55"/>
      <c r="C836" s="55"/>
      <c r="D836" s="56"/>
      <c r="E836" s="57"/>
      <c r="F836" s="58"/>
      <c r="G836" s="60"/>
      <c r="H836" s="63"/>
      <c r="I836" s="60"/>
      <c r="J836" s="64"/>
      <c r="K836" s="64"/>
      <c r="L836" s="55"/>
      <c r="M836" s="55"/>
      <c r="N836" s="55"/>
      <c r="O836" s="55"/>
      <c r="P836" s="55"/>
      <c r="Q836" s="55"/>
      <c r="R836" s="56"/>
      <c r="S836" s="57"/>
      <c r="T836" s="60"/>
    </row>
    <row r="837">
      <c r="A837" s="55"/>
      <c r="B837" s="55"/>
      <c r="C837" s="55"/>
      <c r="D837" s="56"/>
      <c r="E837" s="57"/>
      <c r="F837" s="58"/>
      <c r="G837" s="60"/>
      <c r="H837" s="63"/>
      <c r="I837" s="60"/>
      <c r="J837" s="64"/>
      <c r="K837" s="64"/>
      <c r="L837" s="55"/>
      <c r="M837" s="55"/>
      <c r="N837" s="55"/>
      <c r="O837" s="55"/>
      <c r="P837" s="55"/>
      <c r="Q837" s="55"/>
      <c r="R837" s="56"/>
      <c r="S837" s="57"/>
      <c r="T837" s="60"/>
    </row>
    <row r="838">
      <c r="A838" s="55"/>
      <c r="B838" s="55"/>
      <c r="C838" s="55"/>
      <c r="D838" s="56"/>
      <c r="E838" s="57"/>
      <c r="F838" s="58"/>
      <c r="G838" s="60"/>
      <c r="H838" s="63"/>
      <c r="I838" s="60"/>
      <c r="J838" s="64"/>
      <c r="K838" s="64"/>
      <c r="L838" s="55"/>
      <c r="M838" s="55"/>
      <c r="N838" s="55"/>
      <c r="O838" s="55"/>
      <c r="P838" s="55"/>
      <c r="Q838" s="55"/>
      <c r="R838" s="56"/>
      <c r="S838" s="57"/>
      <c r="T838" s="60"/>
    </row>
    <row r="839">
      <c r="A839" s="55"/>
      <c r="B839" s="55"/>
      <c r="C839" s="55"/>
      <c r="D839" s="56"/>
      <c r="E839" s="57"/>
      <c r="F839" s="58"/>
      <c r="G839" s="60"/>
      <c r="H839" s="63"/>
      <c r="I839" s="60"/>
      <c r="J839" s="64"/>
      <c r="K839" s="64"/>
      <c r="L839" s="55"/>
      <c r="M839" s="55"/>
      <c r="N839" s="55"/>
      <c r="O839" s="55"/>
      <c r="P839" s="55"/>
      <c r="Q839" s="55"/>
      <c r="R839" s="56"/>
      <c r="S839" s="57"/>
      <c r="T839" s="60"/>
    </row>
    <row r="840">
      <c r="A840" s="55"/>
      <c r="B840" s="55"/>
      <c r="C840" s="55"/>
      <c r="D840" s="56"/>
      <c r="E840" s="57"/>
      <c r="F840" s="58"/>
      <c r="G840" s="60"/>
      <c r="H840" s="63"/>
      <c r="I840" s="60"/>
      <c r="J840" s="64"/>
      <c r="K840" s="64"/>
      <c r="L840" s="55"/>
      <c r="M840" s="55"/>
      <c r="N840" s="55"/>
      <c r="O840" s="55"/>
      <c r="P840" s="55"/>
      <c r="Q840" s="55"/>
      <c r="R840" s="56"/>
      <c r="S840" s="57"/>
      <c r="T840" s="60"/>
    </row>
    <row r="841">
      <c r="A841" s="55"/>
      <c r="B841" s="55"/>
      <c r="C841" s="55"/>
      <c r="D841" s="56"/>
      <c r="E841" s="57"/>
      <c r="F841" s="58"/>
      <c r="G841" s="60"/>
      <c r="H841" s="63"/>
      <c r="I841" s="60"/>
      <c r="J841" s="64"/>
      <c r="K841" s="64"/>
      <c r="L841" s="55"/>
      <c r="M841" s="55"/>
      <c r="N841" s="55"/>
      <c r="O841" s="55"/>
      <c r="P841" s="55"/>
      <c r="Q841" s="55"/>
      <c r="R841" s="56"/>
      <c r="S841" s="57"/>
      <c r="T841" s="60"/>
    </row>
    <row r="842">
      <c r="A842" s="55"/>
      <c r="B842" s="55"/>
      <c r="C842" s="55"/>
      <c r="D842" s="56"/>
      <c r="E842" s="57"/>
      <c r="F842" s="58"/>
      <c r="G842" s="60"/>
      <c r="H842" s="63"/>
      <c r="I842" s="60"/>
      <c r="J842" s="64"/>
      <c r="K842" s="64"/>
      <c r="L842" s="55"/>
      <c r="M842" s="55"/>
      <c r="N842" s="55"/>
      <c r="O842" s="55"/>
      <c r="P842" s="55"/>
      <c r="Q842" s="55"/>
      <c r="R842" s="56"/>
      <c r="S842" s="57"/>
      <c r="T842" s="60"/>
    </row>
    <row r="843">
      <c r="A843" s="55"/>
      <c r="B843" s="55"/>
      <c r="C843" s="55"/>
      <c r="D843" s="56"/>
      <c r="E843" s="57"/>
      <c r="F843" s="58"/>
      <c r="G843" s="60"/>
      <c r="H843" s="63"/>
      <c r="I843" s="60"/>
      <c r="J843" s="64"/>
      <c r="K843" s="64"/>
      <c r="L843" s="55"/>
      <c r="M843" s="55"/>
      <c r="N843" s="55"/>
      <c r="O843" s="55"/>
      <c r="P843" s="55"/>
      <c r="Q843" s="55"/>
      <c r="R843" s="56"/>
      <c r="S843" s="57"/>
      <c r="T843" s="60"/>
    </row>
    <row r="844">
      <c r="A844" s="55"/>
      <c r="B844" s="55"/>
      <c r="C844" s="55"/>
      <c r="D844" s="56"/>
      <c r="E844" s="57"/>
      <c r="F844" s="58"/>
      <c r="G844" s="60"/>
      <c r="H844" s="63"/>
      <c r="I844" s="60"/>
      <c r="J844" s="64"/>
      <c r="K844" s="64"/>
      <c r="L844" s="55"/>
      <c r="M844" s="55"/>
      <c r="N844" s="55"/>
      <c r="O844" s="55"/>
      <c r="P844" s="55"/>
      <c r="Q844" s="55"/>
      <c r="R844" s="56"/>
      <c r="S844" s="57"/>
      <c r="T844" s="60"/>
    </row>
    <row r="845">
      <c r="A845" s="55"/>
      <c r="B845" s="55"/>
      <c r="C845" s="55"/>
      <c r="D845" s="56"/>
      <c r="E845" s="57"/>
      <c r="F845" s="58"/>
      <c r="G845" s="60"/>
      <c r="H845" s="63"/>
      <c r="I845" s="60"/>
      <c r="J845" s="64"/>
      <c r="K845" s="64"/>
      <c r="L845" s="55"/>
      <c r="M845" s="55"/>
      <c r="N845" s="55"/>
      <c r="O845" s="55"/>
      <c r="P845" s="55"/>
      <c r="Q845" s="55"/>
      <c r="R845" s="56"/>
      <c r="S845" s="57"/>
      <c r="T845" s="60"/>
    </row>
    <row r="846">
      <c r="A846" s="55"/>
      <c r="B846" s="55"/>
      <c r="C846" s="55"/>
      <c r="D846" s="56"/>
      <c r="E846" s="57"/>
      <c r="F846" s="58"/>
      <c r="G846" s="60"/>
      <c r="H846" s="63"/>
      <c r="I846" s="60"/>
      <c r="J846" s="64"/>
      <c r="K846" s="64"/>
      <c r="L846" s="55"/>
      <c r="M846" s="55"/>
      <c r="N846" s="55"/>
      <c r="O846" s="55"/>
      <c r="P846" s="55"/>
      <c r="Q846" s="55"/>
      <c r="R846" s="56"/>
      <c r="S846" s="57"/>
      <c r="T846" s="60"/>
    </row>
    <row r="847">
      <c r="A847" s="55"/>
      <c r="B847" s="55"/>
      <c r="C847" s="55"/>
      <c r="D847" s="56"/>
      <c r="E847" s="57"/>
      <c r="F847" s="58"/>
      <c r="G847" s="60"/>
      <c r="H847" s="63"/>
      <c r="I847" s="60"/>
      <c r="J847" s="64"/>
      <c r="K847" s="64"/>
      <c r="L847" s="55"/>
      <c r="M847" s="55"/>
      <c r="N847" s="55"/>
      <c r="O847" s="55"/>
      <c r="P847" s="55"/>
      <c r="Q847" s="55"/>
      <c r="R847" s="56"/>
      <c r="S847" s="57"/>
      <c r="T847" s="60"/>
    </row>
    <row r="848">
      <c r="A848" s="55"/>
      <c r="B848" s="55"/>
      <c r="C848" s="55"/>
      <c r="D848" s="56"/>
      <c r="E848" s="57"/>
      <c r="F848" s="58"/>
      <c r="G848" s="60"/>
      <c r="H848" s="63"/>
      <c r="I848" s="60"/>
      <c r="J848" s="64"/>
      <c r="K848" s="64"/>
      <c r="L848" s="55"/>
      <c r="M848" s="55"/>
      <c r="N848" s="55"/>
      <c r="O848" s="55"/>
      <c r="P848" s="55"/>
      <c r="Q848" s="55"/>
      <c r="R848" s="56"/>
      <c r="S848" s="57"/>
      <c r="T848" s="60"/>
    </row>
    <row r="849">
      <c r="A849" s="55"/>
      <c r="B849" s="55"/>
      <c r="C849" s="55"/>
      <c r="D849" s="56"/>
      <c r="E849" s="57"/>
      <c r="F849" s="58"/>
      <c r="G849" s="60"/>
      <c r="H849" s="63"/>
      <c r="I849" s="60"/>
      <c r="J849" s="64"/>
      <c r="K849" s="64"/>
      <c r="L849" s="55"/>
      <c r="M849" s="55"/>
      <c r="N849" s="55"/>
      <c r="O849" s="55"/>
      <c r="P849" s="55"/>
      <c r="Q849" s="55"/>
      <c r="R849" s="56"/>
      <c r="S849" s="57"/>
      <c r="T849" s="60"/>
    </row>
    <row r="850">
      <c r="A850" s="55"/>
      <c r="B850" s="55"/>
      <c r="C850" s="55"/>
      <c r="D850" s="56"/>
      <c r="E850" s="57"/>
      <c r="F850" s="58"/>
      <c r="G850" s="60"/>
      <c r="H850" s="63"/>
      <c r="I850" s="60"/>
      <c r="J850" s="64"/>
      <c r="K850" s="64"/>
      <c r="L850" s="55"/>
      <c r="M850" s="55"/>
      <c r="N850" s="55"/>
      <c r="O850" s="55"/>
      <c r="P850" s="55"/>
      <c r="Q850" s="55"/>
      <c r="R850" s="56"/>
      <c r="S850" s="57"/>
      <c r="T850" s="60"/>
    </row>
    <row r="851">
      <c r="A851" s="55"/>
      <c r="B851" s="55"/>
      <c r="C851" s="55"/>
      <c r="D851" s="56"/>
      <c r="E851" s="57"/>
      <c r="F851" s="58"/>
      <c r="G851" s="60"/>
      <c r="H851" s="63"/>
      <c r="I851" s="60"/>
      <c r="J851" s="64"/>
      <c r="K851" s="64"/>
      <c r="L851" s="55"/>
      <c r="M851" s="55"/>
      <c r="N851" s="55"/>
      <c r="O851" s="55"/>
      <c r="P851" s="55"/>
      <c r="Q851" s="55"/>
      <c r="R851" s="56"/>
      <c r="S851" s="57"/>
      <c r="T851" s="60"/>
    </row>
    <row r="852">
      <c r="A852" s="55"/>
      <c r="B852" s="55"/>
      <c r="C852" s="55"/>
      <c r="D852" s="56"/>
      <c r="E852" s="57"/>
      <c r="F852" s="58"/>
      <c r="G852" s="60"/>
      <c r="H852" s="63"/>
      <c r="I852" s="60"/>
      <c r="J852" s="64"/>
      <c r="K852" s="64"/>
      <c r="L852" s="55"/>
      <c r="M852" s="55"/>
      <c r="N852" s="55"/>
      <c r="O852" s="55"/>
      <c r="P852" s="55"/>
      <c r="Q852" s="55"/>
      <c r="R852" s="56"/>
      <c r="S852" s="57"/>
      <c r="T852" s="60"/>
    </row>
    <row r="853">
      <c r="A853" s="55"/>
      <c r="B853" s="55"/>
      <c r="C853" s="55"/>
      <c r="D853" s="56"/>
      <c r="E853" s="57"/>
      <c r="F853" s="58"/>
      <c r="G853" s="60"/>
      <c r="H853" s="63"/>
      <c r="I853" s="60"/>
      <c r="J853" s="64"/>
      <c r="K853" s="64"/>
      <c r="L853" s="55"/>
      <c r="M853" s="55"/>
      <c r="N853" s="55"/>
      <c r="O853" s="55"/>
      <c r="P853" s="55"/>
      <c r="Q853" s="55"/>
      <c r="R853" s="56"/>
      <c r="S853" s="57"/>
      <c r="T853" s="60"/>
    </row>
    <row r="854">
      <c r="A854" s="55"/>
      <c r="B854" s="55"/>
      <c r="C854" s="55"/>
      <c r="D854" s="56"/>
      <c r="E854" s="57"/>
      <c r="F854" s="58"/>
      <c r="G854" s="60"/>
      <c r="H854" s="63"/>
      <c r="I854" s="60"/>
      <c r="J854" s="64"/>
      <c r="K854" s="64"/>
      <c r="L854" s="55"/>
      <c r="M854" s="55"/>
      <c r="N854" s="55"/>
      <c r="O854" s="55"/>
      <c r="P854" s="55"/>
      <c r="Q854" s="55"/>
      <c r="R854" s="56"/>
      <c r="S854" s="57"/>
      <c r="T854" s="60"/>
    </row>
    <row r="855">
      <c r="A855" s="55"/>
      <c r="B855" s="55"/>
      <c r="C855" s="55"/>
      <c r="D855" s="56"/>
      <c r="E855" s="57"/>
      <c r="F855" s="58"/>
      <c r="G855" s="60"/>
      <c r="H855" s="63"/>
      <c r="I855" s="60"/>
      <c r="J855" s="64"/>
      <c r="K855" s="64"/>
      <c r="L855" s="55"/>
      <c r="M855" s="55"/>
      <c r="N855" s="55"/>
      <c r="O855" s="55"/>
      <c r="P855" s="55"/>
      <c r="Q855" s="55"/>
      <c r="R855" s="56"/>
      <c r="S855" s="57"/>
      <c r="T855" s="60"/>
    </row>
    <row r="856">
      <c r="A856" s="55"/>
      <c r="B856" s="55"/>
      <c r="C856" s="55"/>
      <c r="D856" s="56"/>
      <c r="E856" s="57"/>
      <c r="F856" s="58"/>
      <c r="G856" s="60"/>
      <c r="H856" s="63"/>
      <c r="I856" s="60"/>
      <c r="J856" s="64"/>
      <c r="K856" s="64"/>
      <c r="L856" s="55"/>
      <c r="M856" s="55"/>
      <c r="N856" s="55"/>
      <c r="O856" s="55"/>
      <c r="P856" s="55"/>
      <c r="Q856" s="55"/>
      <c r="R856" s="56"/>
      <c r="S856" s="57"/>
      <c r="T856" s="60"/>
    </row>
    <row r="857">
      <c r="A857" s="55"/>
      <c r="B857" s="55"/>
      <c r="C857" s="55"/>
      <c r="D857" s="56"/>
      <c r="E857" s="57"/>
      <c r="F857" s="58"/>
      <c r="G857" s="60"/>
      <c r="H857" s="63"/>
      <c r="I857" s="60"/>
      <c r="J857" s="64"/>
      <c r="K857" s="64"/>
      <c r="L857" s="55"/>
      <c r="M857" s="55"/>
      <c r="N857" s="55"/>
      <c r="O857" s="55"/>
      <c r="P857" s="55"/>
      <c r="Q857" s="55"/>
      <c r="R857" s="56"/>
      <c r="S857" s="57"/>
      <c r="T857" s="60"/>
    </row>
    <row r="858">
      <c r="A858" s="55"/>
      <c r="B858" s="55"/>
      <c r="C858" s="55"/>
      <c r="D858" s="56"/>
      <c r="E858" s="57"/>
      <c r="F858" s="58"/>
      <c r="G858" s="60"/>
      <c r="H858" s="63"/>
      <c r="I858" s="60"/>
      <c r="J858" s="64"/>
      <c r="K858" s="64"/>
      <c r="L858" s="55"/>
      <c r="M858" s="55"/>
      <c r="N858" s="55"/>
      <c r="O858" s="55"/>
      <c r="P858" s="55"/>
      <c r="Q858" s="55"/>
      <c r="R858" s="56"/>
      <c r="S858" s="57"/>
      <c r="T858" s="60"/>
    </row>
    <row r="859">
      <c r="A859" s="55"/>
      <c r="B859" s="55"/>
      <c r="C859" s="55"/>
      <c r="D859" s="56"/>
      <c r="E859" s="57"/>
      <c r="F859" s="58"/>
      <c r="G859" s="60"/>
      <c r="H859" s="63"/>
      <c r="I859" s="60"/>
      <c r="J859" s="64"/>
      <c r="K859" s="64"/>
      <c r="L859" s="55"/>
      <c r="M859" s="55"/>
      <c r="N859" s="55"/>
      <c r="O859" s="55"/>
      <c r="P859" s="55"/>
      <c r="Q859" s="55"/>
      <c r="R859" s="56"/>
      <c r="S859" s="57"/>
      <c r="T859" s="60"/>
    </row>
    <row r="860">
      <c r="A860" s="55"/>
      <c r="B860" s="55"/>
      <c r="C860" s="55"/>
      <c r="D860" s="56"/>
      <c r="E860" s="57"/>
      <c r="F860" s="58"/>
      <c r="G860" s="60"/>
      <c r="H860" s="63"/>
      <c r="I860" s="60"/>
      <c r="J860" s="64"/>
      <c r="K860" s="64"/>
      <c r="L860" s="55"/>
      <c r="M860" s="55"/>
      <c r="N860" s="55"/>
      <c r="O860" s="55"/>
      <c r="P860" s="55"/>
      <c r="Q860" s="55"/>
      <c r="R860" s="56"/>
      <c r="S860" s="57"/>
      <c r="T860" s="60"/>
    </row>
    <row r="861">
      <c r="A861" s="55"/>
      <c r="B861" s="55"/>
      <c r="C861" s="55"/>
      <c r="D861" s="56"/>
      <c r="E861" s="57"/>
      <c r="F861" s="58"/>
      <c r="G861" s="60"/>
      <c r="H861" s="63"/>
      <c r="I861" s="60"/>
      <c r="J861" s="64"/>
      <c r="K861" s="64"/>
      <c r="L861" s="55"/>
      <c r="M861" s="55"/>
      <c r="N861" s="55"/>
      <c r="O861" s="55"/>
      <c r="P861" s="55"/>
      <c r="Q861" s="55"/>
      <c r="R861" s="56"/>
      <c r="S861" s="57"/>
      <c r="T861" s="60"/>
    </row>
    <row r="862">
      <c r="A862" s="55"/>
      <c r="B862" s="55"/>
      <c r="C862" s="55"/>
      <c r="D862" s="56"/>
      <c r="E862" s="57"/>
      <c r="F862" s="58"/>
      <c r="G862" s="60"/>
      <c r="H862" s="63"/>
      <c r="I862" s="60"/>
      <c r="J862" s="64"/>
      <c r="K862" s="64"/>
      <c r="L862" s="55"/>
      <c r="M862" s="55"/>
      <c r="N862" s="55"/>
      <c r="O862" s="55"/>
      <c r="P862" s="55"/>
      <c r="Q862" s="55"/>
      <c r="R862" s="56"/>
      <c r="S862" s="57"/>
      <c r="T862" s="60"/>
    </row>
    <row r="863">
      <c r="A863" s="55"/>
      <c r="B863" s="55"/>
      <c r="C863" s="55"/>
      <c r="D863" s="56"/>
      <c r="E863" s="57"/>
      <c r="F863" s="58"/>
      <c r="G863" s="60"/>
      <c r="H863" s="63"/>
      <c r="I863" s="60"/>
      <c r="J863" s="64"/>
      <c r="K863" s="64"/>
      <c r="L863" s="55"/>
      <c r="M863" s="55"/>
      <c r="N863" s="55"/>
      <c r="O863" s="55"/>
      <c r="P863" s="55"/>
      <c r="Q863" s="55"/>
      <c r="R863" s="56"/>
      <c r="S863" s="57"/>
      <c r="T863" s="60"/>
    </row>
    <row r="864">
      <c r="A864" s="55"/>
      <c r="B864" s="55"/>
      <c r="C864" s="55"/>
      <c r="D864" s="56"/>
      <c r="E864" s="57"/>
      <c r="F864" s="58"/>
      <c r="G864" s="60"/>
      <c r="H864" s="63"/>
      <c r="I864" s="60"/>
      <c r="J864" s="64"/>
      <c r="K864" s="64"/>
      <c r="L864" s="55"/>
      <c r="M864" s="55"/>
      <c r="N864" s="55"/>
      <c r="O864" s="55"/>
      <c r="P864" s="55"/>
      <c r="Q864" s="55"/>
      <c r="R864" s="56"/>
      <c r="S864" s="57"/>
      <c r="T864" s="60"/>
    </row>
    <row r="865">
      <c r="A865" s="55"/>
      <c r="B865" s="55"/>
      <c r="C865" s="55"/>
      <c r="D865" s="56"/>
      <c r="E865" s="57"/>
      <c r="F865" s="58"/>
      <c r="G865" s="60"/>
      <c r="H865" s="63"/>
      <c r="I865" s="60"/>
      <c r="J865" s="64"/>
      <c r="K865" s="64"/>
      <c r="L865" s="55"/>
      <c r="M865" s="55"/>
      <c r="N865" s="55"/>
      <c r="O865" s="55"/>
      <c r="P865" s="55"/>
      <c r="Q865" s="55"/>
      <c r="R865" s="56"/>
      <c r="S865" s="57"/>
      <c r="T865" s="60"/>
    </row>
    <row r="866">
      <c r="A866" s="55"/>
      <c r="B866" s="55"/>
      <c r="C866" s="55"/>
      <c r="D866" s="56"/>
      <c r="E866" s="57"/>
      <c r="F866" s="58"/>
      <c r="G866" s="60"/>
      <c r="H866" s="63"/>
      <c r="I866" s="60"/>
      <c r="J866" s="64"/>
      <c r="K866" s="64"/>
      <c r="L866" s="55"/>
      <c r="M866" s="55"/>
      <c r="N866" s="55"/>
      <c r="O866" s="55"/>
      <c r="P866" s="55"/>
      <c r="Q866" s="55"/>
      <c r="R866" s="56"/>
      <c r="S866" s="57"/>
      <c r="T866" s="60"/>
    </row>
    <row r="867">
      <c r="A867" s="55"/>
      <c r="B867" s="55"/>
      <c r="C867" s="55"/>
      <c r="D867" s="56"/>
      <c r="E867" s="57"/>
      <c r="F867" s="58"/>
      <c r="G867" s="60"/>
      <c r="H867" s="63"/>
      <c r="I867" s="60"/>
      <c r="J867" s="64"/>
      <c r="K867" s="64"/>
      <c r="L867" s="55"/>
      <c r="M867" s="55"/>
      <c r="N867" s="55"/>
      <c r="O867" s="55"/>
      <c r="P867" s="55"/>
      <c r="Q867" s="55"/>
      <c r="R867" s="56"/>
      <c r="S867" s="57"/>
      <c r="T867" s="60"/>
    </row>
    <row r="868">
      <c r="A868" s="55"/>
      <c r="B868" s="55"/>
      <c r="C868" s="55"/>
      <c r="D868" s="56"/>
      <c r="E868" s="57"/>
      <c r="F868" s="58"/>
      <c r="G868" s="60"/>
      <c r="H868" s="63"/>
      <c r="I868" s="60"/>
      <c r="J868" s="64"/>
      <c r="K868" s="64"/>
      <c r="L868" s="55"/>
      <c r="M868" s="55"/>
      <c r="N868" s="55"/>
      <c r="O868" s="55"/>
      <c r="P868" s="55"/>
      <c r="Q868" s="55"/>
      <c r="R868" s="56"/>
      <c r="S868" s="57"/>
      <c r="T868" s="60"/>
    </row>
    <row r="869">
      <c r="A869" s="55"/>
      <c r="B869" s="55"/>
      <c r="C869" s="55"/>
      <c r="D869" s="56"/>
      <c r="E869" s="57"/>
      <c r="F869" s="58"/>
      <c r="G869" s="60"/>
      <c r="H869" s="63"/>
      <c r="I869" s="60"/>
      <c r="J869" s="64"/>
      <c r="K869" s="64"/>
      <c r="L869" s="55"/>
      <c r="M869" s="55"/>
      <c r="N869" s="55"/>
      <c r="O869" s="55"/>
      <c r="P869" s="55"/>
      <c r="Q869" s="55"/>
      <c r="R869" s="56"/>
      <c r="S869" s="57"/>
      <c r="T869" s="60"/>
    </row>
    <row r="870">
      <c r="A870" s="55"/>
      <c r="B870" s="55"/>
      <c r="C870" s="55"/>
      <c r="D870" s="56"/>
      <c r="E870" s="57"/>
      <c r="F870" s="58"/>
      <c r="G870" s="60"/>
      <c r="H870" s="63"/>
      <c r="I870" s="60"/>
      <c r="J870" s="64"/>
      <c r="K870" s="64"/>
      <c r="L870" s="55"/>
      <c r="M870" s="55"/>
      <c r="N870" s="55"/>
      <c r="O870" s="55"/>
      <c r="P870" s="55"/>
      <c r="Q870" s="55"/>
      <c r="R870" s="56"/>
      <c r="S870" s="57"/>
      <c r="T870" s="60"/>
    </row>
    <row r="871">
      <c r="A871" s="55"/>
      <c r="B871" s="55"/>
      <c r="C871" s="55"/>
      <c r="D871" s="56"/>
      <c r="E871" s="57"/>
      <c r="F871" s="58"/>
      <c r="G871" s="60"/>
      <c r="H871" s="63"/>
      <c r="I871" s="60"/>
      <c r="J871" s="64"/>
      <c r="K871" s="64"/>
      <c r="L871" s="55"/>
      <c r="M871" s="55"/>
      <c r="N871" s="55"/>
      <c r="O871" s="55"/>
      <c r="P871" s="55"/>
      <c r="Q871" s="55"/>
      <c r="R871" s="56"/>
      <c r="S871" s="57"/>
      <c r="T871" s="60"/>
    </row>
    <row r="872">
      <c r="A872" s="55"/>
      <c r="B872" s="55"/>
      <c r="C872" s="55"/>
      <c r="D872" s="56"/>
      <c r="E872" s="57"/>
      <c r="F872" s="58"/>
      <c r="G872" s="60"/>
      <c r="H872" s="63"/>
      <c r="I872" s="60"/>
      <c r="J872" s="64"/>
      <c r="K872" s="64"/>
      <c r="L872" s="55"/>
      <c r="M872" s="55"/>
      <c r="N872" s="55"/>
      <c r="O872" s="55"/>
      <c r="P872" s="55"/>
      <c r="Q872" s="55"/>
      <c r="R872" s="56"/>
      <c r="S872" s="57"/>
      <c r="T872" s="60"/>
    </row>
    <row r="873">
      <c r="A873" s="55"/>
      <c r="B873" s="55"/>
      <c r="C873" s="55"/>
      <c r="D873" s="56"/>
      <c r="E873" s="57"/>
      <c r="F873" s="58"/>
      <c r="G873" s="60"/>
      <c r="H873" s="63"/>
      <c r="I873" s="60"/>
      <c r="J873" s="64"/>
      <c r="K873" s="64"/>
      <c r="L873" s="55"/>
      <c r="M873" s="55"/>
      <c r="N873" s="55"/>
      <c r="O873" s="55"/>
      <c r="P873" s="55"/>
      <c r="Q873" s="55"/>
      <c r="R873" s="56"/>
      <c r="S873" s="57"/>
      <c r="T873" s="60"/>
    </row>
    <row r="874">
      <c r="A874" s="55"/>
      <c r="B874" s="55"/>
      <c r="C874" s="55"/>
      <c r="D874" s="56"/>
      <c r="E874" s="57"/>
      <c r="F874" s="58"/>
      <c r="G874" s="60"/>
      <c r="H874" s="63"/>
      <c r="I874" s="60"/>
      <c r="J874" s="64"/>
      <c r="K874" s="64"/>
      <c r="L874" s="55"/>
      <c r="M874" s="55"/>
      <c r="N874" s="55"/>
      <c r="O874" s="55"/>
      <c r="P874" s="55"/>
      <c r="Q874" s="55"/>
      <c r="R874" s="56"/>
      <c r="S874" s="57"/>
      <c r="T874" s="60"/>
    </row>
    <row r="875">
      <c r="A875" s="55"/>
      <c r="B875" s="55"/>
      <c r="C875" s="55"/>
      <c r="D875" s="56"/>
      <c r="E875" s="57"/>
      <c r="F875" s="58"/>
      <c r="G875" s="60"/>
      <c r="H875" s="63"/>
      <c r="I875" s="60"/>
      <c r="J875" s="64"/>
      <c r="K875" s="64"/>
      <c r="L875" s="55"/>
      <c r="M875" s="55"/>
      <c r="N875" s="55"/>
      <c r="O875" s="55"/>
      <c r="P875" s="55"/>
      <c r="Q875" s="55"/>
      <c r="R875" s="56"/>
      <c r="S875" s="57"/>
      <c r="T875" s="60"/>
    </row>
    <row r="876">
      <c r="A876" s="55"/>
      <c r="B876" s="55"/>
      <c r="C876" s="55"/>
      <c r="D876" s="56"/>
      <c r="E876" s="57"/>
      <c r="F876" s="58"/>
      <c r="G876" s="60"/>
      <c r="H876" s="63"/>
      <c r="I876" s="60"/>
      <c r="J876" s="64"/>
      <c r="K876" s="64"/>
      <c r="L876" s="55"/>
      <c r="M876" s="55"/>
      <c r="N876" s="55"/>
      <c r="O876" s="55"/>
      <c r="P876" s="55"/>
      <c r="Q876" s="55"/>
      <c r="R876" s="56"/>
      <c r="S876" s="57"/>
      <c r="T876" s="60"/>
    </row>
    <row r="877">
      <c r="A877" s="55"/>
      <c r="B877" s="55"/>
      <c r="C877" s="55"/>
      <c r="D877" s="56"/>
      <c r="E877" s="57"/>
      <c r="F877" s="58"/>
      <c r="G877" s="60"/>
      <c r="H877" s="63"/>
      <c r="I877" s="60"/>
      <c r="J877" s="64"/>
      <c r="K877" s="64"/>
      <c r="L877" s="55"/>
      <c r="M877" s="55"/>
      <c r="N877" s="55"/>
      <c r="O877" s="55"/>
      <c r="P877" s="55"/>
      <c r="Q877" s="55"/>
      <c r="R877" s="56"/>
      <c r="S877" s="57"/>
      <c r="T877" s="60"/>
    </row>
    <row r="878">
      <c r="A878" s="55"/>
      <c r="B878" s="55"/>
      <c r="C878" s="55"/>
      <c r="D878" s="56"/>
      <c r="E878" s="57"/>
      <c r="F878" s="58"/>
      <c r="G878" s="60"/>
      <c r="H878" s="63"/>
      <c r="I878" s="60"/>
      <c r="J878" s="64"/>
      <c r="K878" s="64"/>
      <c r="L878" s="55"/>
      <c r="M878" s="55"/>
      <c r="N878" s="55"/>
      <c r="O878" s="55"/>
      <c r="P878" s="55"/>
      <c r="Q878" s="55"/>
      <c r="R878" s="56"/>
      <c r="S878" s="57"/>
      <c r="T878" s="60"/>
    </row>
    <row r="879">
      <c r="A879" s="55"/>
      <c r="B879" s="55"/>
      <c r="C879" s="55"/>
      <c r="D879" s="56"/>
      <c r="E879" s="57"/>
      <c r="F879" s="58"/>
      <c r="G879" s="60"/>
      <c r="H879" s="63"/>
      <c r="I879" s="60"/>
      <c r="J879" s="64"/>
      <c r="K879" s="64"/>
      <c r="L879" s="55"/>
      <c r="M879" s="55"/>
      <c r="N879" s="55"/>
      <c r="O879" s="55"/>
      <c r="P879" s="55"/>
      <c r="Q879" s="55"/>
      <c r="R879" s="56"/>
      <c r="S879" s="57"/>
      <c r="T879" s="60"/>
    </row>
    <row r="880">
      <c r="A880" s="55"/>
      <c r="B880" s="55"/>
      <c r="C880" s="55"/>
      <c r="D880" s="56"/>
      <c r="E880" s="57"/>
      <c r="F880" s="58"/>
      <c r="G880" s="60"/>
      <c r="H880" s="63"/>
      <c r="I880" s="60"/>
      <c r="J880" s="64"/>
      <c r="K880" s="64"/>
      <c r="L880" s="55"/>
      <c r="M880" s="55"/>
      <c r="N880" s="55"/>
      <c r="O880" s="55"/>
      <c r="P880" s="55"/>
      <c r="Q880" s="55"/>
      <c r="R880" s="56"/>
      <c r="S880" s="57"/>
      <c r="T880" s="60"/>
    </row>
    <row r="881">
      <c r="A881" s="55"/>
      <c r="B881" s="55"/>
      <c r="C881" s="55"/>
      <c r="D881" s="56"/>
      <c r="E881" s="57"/>
      <c r="F881" s="58"/>
      <c r="G881" s="60"/>
      <c r="H881" s="63"/>
      <c r="I881" s="60"/>
      <c r="J881" s="64"/>
      <c r="K881" s="64"/>
      <c r="L881" s="55"/>
      <c r="M881" s="55"/>
      <c r="N881" s="55"/>
      <c r="O881" s="55"/>
      <c r="P881" s="55"/>
      <c r="Q881" s="55"/>
      <c r="R881" s="56"/>
      <c r="S881" s="57"/>
      <c r="T881" s="60"/>
    </row>
    <row r="882">
      <c r="A882" s="55"/>
      <c r="B882" s="55"/>
      <c r="C882" s="55"/>
      <c r="D882" s="56"/>
      <c r="E882" s="57"/>
      <c r="F882" s="58"/>
      <c r="G882" s="60"/>
      <c r="H882" s="63"/>
      <c r="I882" s="60"/>
      <c r="J882" s="64"/>
      <c r="K882" s="64"/>
      <c r="L882" s="55"/>
      <c r="M882" s="55"/>
      <c r="N882" s="55"/>
      <c r="O882" s="55"/>
      <c r="P882" s="55"/>
      <c r="Q882" s="55"/>
      <c r="R882" s="56"/>
      <c r="S882" s="57"/>
      <c r="T882" s="60"/>
    </row>
    <row r="883">
      <c r="A883" s="55"/>
      <c r="B883" s="55"/>
      <c r="C883" s="55"/>
      <c r="D883" s="56"/>
      <c r="E883" s="57"/>
      <c r="F883" s="58"/>
      <c r="G883" s="60"/>
      <c r="H883" s="63"/>
      <c r="I883" s="60"/>
      <c r="J883" s="64"/>
      <c r="K883" s="64"/>
      <c r="L883" s="55"/>
      <c r="M883" s="55"/>
      <c r="N883" s="55"/>
      <c r="O883" s="55"/>
      <c r="P883" s="55"/>
      <c r="Q883" s="55"/>
      <c r="R883" s="56"/>
      <c r="S883" s="57"/>
      <c r="T883" s="60"/>
    </row>
    <row r="884">
      <c r="A884" s="55"/>
      <c r="B884" s="55"/>
      <c r="C884" s="55"/>
      <c r="D884" s="56"/>
      <c r="E884" s="57"/>
      <c r="F884" s="58"/>
      <c r="G884" s="60"/>
      <c r="H884" s="63"/>
      <c r="I884" s="60"/>
      <c r="J884" s="64"/>
      <c r="K884" s="64"/>
      <c r="L884" s="55"/>
      <c r="M884" s="55"/>
      <c r="N884" s="55"/>
      <c r="O884" s="55"/>
      <c r="P884" s="55"/>
      <c r="Q884" s="55"/>
      <c r="R884" s="56"/>
      <c r="S884" s="57"/>
      <c r="T884" s="60"/>
    </row>
    <row r="885">
      <c r="A885" s="55"/>
      <c r="B885" s="55"/>
      <c r="C885" s="55"/>
      <c r="D885" s="56"/>
      <c r="E885" s="57"/>
      <c r="F885" s="58"/>
      <c r="G885" s="60"/>
      <c r="H885" s="63"/>
      <c r="I885" s="60"/>
      <c r="J885" s="64"/>
      <c r="K885" s="64"/>
      <c r="L885" s="55"/>
      <c r="M885" s="55"/>
      <c r="N885" s="55"/>
      <c r="O885" s="55"/>
      <c r="P885" s="55"/>
      <c r="Q885" s="55"/>
      <c r="R885" s="56"/>
      <c r="S885" s="57"/>
      <c r="T885" s="60"/>
    </row>
    <row r="886">
      <c r="A886" s="55"/>
      <c r="B886" s="55"/>
      <c r="C886" s="55"/>
      <c r="D886" s="56"/>
      <c r="E886" s="57"/>
      <c r="F886" s="58"/>
      <c r="G886" s="60"/>
      <c r="H886" s="63"/>
      <c r="I886" s="60"/>
      <c r="J886" s="64"/>
      <c r="K886" s="64"/>
      <c r="L886" s="55"/>
      <c r="M886" s="55"/>
      <c r="N886" s="55"/>
      <c r="O886" s="55"/>
      <c r="P886" s="55"/>
      <c r="Q886" s="55"/>
      <c r="R886" s="56"/>
      <c r="S886" s="57"/>
      <c r="T886" s="60"/>
    </row>
    <row r="887">
      <c r="A887" s="55"/>
      <c r="B887" s="55"/>
      <c r="C887" s="55"/>
      <c r="D887" s="56"/>
      <c r="E887" s="57"/>
      <c r="F887" s="58"/>
      <c r="G887" s="60"/>
      <c r="H887" s="63"/>
      <c r="I887" s="60"/>
      <c r="J887" s="64"/>
      <c r="K887" s="64"/>
      <c r="L887" s="55"/>
      <c r="M887" s="55"/>
      <c r="N887" s="55"/>
      <c r="O887" s="55"/>
      <c r="P887" s="55"/>
      <c r="Q887" s="55"/>
      <c r="R887" s="56"/>
      <c r="S887" s="57"/>
      <c r="T887" s="60"/>
    </row>
    <row r="888">
      <c r="A888" s="55"/>
      <c r="B888" s="55"/>
      <c r="C888" s="55"/>
      <c r="D888" s="56"/>
      <c r="E888" s="57"/>
      <c r="F888" s="58"/>
      <c r="G888" s="60"/>
      <c r="H888" s="63"/>
      <c r="I888" s="60"/>
      <c r="J888" s="64"/>
      <c r="K888" s="64"/>
      <c r="L888" s="55"/>
      <c r="M888" s="55"/>
      <c r="N888" s="55"/>
      <c r="O888" s="55"/>
      <c r="P888" s="55"/>
      <c r="Q888" s="55"/>
      <c r="R888" s="56"/>
      <c r="S888" s="57"/>
      <c r="T888" s="60"/>
    </row>
    <row r="889">
      <c r="A889" s="55"/>
      <c r="B889" s="55"/>
      <c r="C889" s="55"/>
      <c r="D889" s="56"/>
      <c r="E889" s="57"/>
      <c r="F889" s="58"/>
      <c r="G889" s="60"/>
      <c r="H889" s="63"/>
      <c r="I889" s="60"/>
      <c r="J889" s="64"/>
      <c r="K889" s="64"/>
      <c r="L889" s="55"/>
      <c r="M889" s="55"/>
      <c r="N889" s="55"/>
      <c r="O889" s="55"/>
      <c r="P889" s="55"/>
      <c r="Q889" s="55"/>
      <c r="R889" s="56"/>
      <c r="S889" s="57"/>
      <c r="T889" s="60"/>
    </row>
    <row r="890">
      <c r="A890" s="55"/>
      <c r="B890" s="55"/>
      <c r="C890" s="55"/>
      <c r="D890" s="56"/>
      <c r="E890" s="57"/>
      <c r="F890" s="58"/>
      <c r="G890" s="60"/>
      <c r="H890" s="63"/>
      <c r="I890" s="60"/>
      <c r="J890" s="64"/>
      <c r="K890" s="64"/>
      <c r="L890" s="55"/>
      <c r="M890" s="55"/>
      <c r="N890" s="55"/>
      <c r="O890" s="55"/>
      <c r="P890" s="55"/>
      <c r="Q890" s="55"/>
      <c r="R890" s="56"/>
      <c r="S890" s="57"/>
      <c r="T890" s="60"/>
    </row>
    <row r="891">
      <c r="A891" s="55"/>
      <c r="B891" s="55"/>
      <c r="C891" s="55"/>
      <c r="D891" s="56"/>
      <c r="E891" s="57"/>
      <c r="F891" s="58"/>
      <c r="G891" s="60"/>
      <c r="H891" s="63"/>
      <c r="I891" s="60"/>
      <c r="J891" s="64"/>
      <c r="K891" s="64"/>
      <c r="L891" s="55"/>
      <c r="M891" s="55"/>
      <c r="N891" s="55"/>
      <c r="O891" s="55"/>
      <c r="P891" s="55"/>
      <c r="Q891" s="55"/>
      <c r="R891" s="56"/>
      <c r="S891" s="57"/>
      <c r="T891" s="60"/>
    </row>
    <row r="892">
      <c r="A892" s="55"/>
      <c r="B892" s="55"/>
      <c r="C892" s="55"/>
      <c r="D892" s="56"/>
      <c r="E892" s="57"/>
      <c r="F892" s="58"/>
      <c r="G892" s="60"/>
      <c r="H892" s="63"/>
      <c r="I892" s="60"/>
      <c r="J892" s="64"/>
      <c r="K892" s="64"/>
      <c r="L892" s="55"/>
      <c r="M892" s="55"/>
      <c r="N892" s="55"/>
      <c r="O892" s="55"/>
      <c r="P892" s="55"/>
      <c r="Q892" s="55"/>
      <c r="R892" s="56"/>
      <c r="S892" s="57"/>
      <c r="T892" s="60"/>
    </row>
    <row r="893">
      <c r="A893" s="55"/>
      <c r="B893" s="55"/>
      <c r="C893" s="55"/>
      <c r="D893" s="56"/>
      <c r="E893" s="57"/>
      <c r="F893" s="58"/>
      <c r="G893" s="60"/>
      <c r="H893" s="63"/>
      <c r="I893" s="60"/>
      <c r="J893" s="64"/>
      <c r="K893" s="64"/>
      <c r="L893" s="55"/>
      <c r="M893" s="55"/>
      <c r="N893" s="55"/>
      <c r="O893" s="55"/>
      <c r="P893" s="55"/>
      <c r="Q893" s="55"/>
      <c r="R893" s="56"/>
      <c r="S893" s="57"/>
      <c r="T893" s="60"/>
    </row>
    <row r="894">
      <c r="A894" s="55"/>
      <c r="B894" s="55"/>
      <c r="C894" s="55"/>
      <c r="D894" s="56"/>
      <c r="E894" s="57"/>
      <c r="F894" s="58"/>
      <c r="G894" s="60"/>
      <c r="H894" s="63"/>
      <c r="I894" s="60"/>
      <c r="J894" s="64"/>
      <c r="K894" s="64"/>
      <c r="L894" s="55"/>
      <c r="M894" s="55"/>
      <c r="N894" s="55"/>
      <c r="O894" s="55"/>
      <c r="P894" s="55"/>
      <c r="Q894" s="55"/>
      <c r="R894" s="56"/>
      <c r="S894" s="57"/>
      <c r="T894" s="60"/>
    </row>
    <row r="895">
      <c r="A895" s="55"/>
      <c r="B895" s="55"/>
      <c r="C895" s="55"/>
      <c r="D895" s="56"/>
      <c r="E895" s="57"/>
      <c r="F895" s="58"/>
      <c r="G895" s="60"/>
      <c r="H895" s="63"/>
      <c r="I895" s="60"/>
      <c r="J895" s="64"/>
      <c r="K895" s="64"/>
      <c r="L895" s="55"/>
      <c r="M895" s="55"/>
      <c r="N895" s="55"/>
      <c r="O895" s="55"/>
      <c r="P895" s="55"/>
      <c r="Q895" s="55"/>
      <c r="R895" s="56"/>
      <c r="S895" s="57"/>
      <c r="T895" s="60"/>
    </row>
    <row r="896">
      <c r="A896" s="55"/>
      <c r="B896" s="55"/>
      <c r="C896" s="55"/>
      <c r="D896" s="56"/>
      <c r="E896" s="57"/>
      <c r="F896" s="58"/>
      <c r="G896" s="60"/>
      <c r="H896" s="63"/>
      <c r="I896" s="60"/>
      <c r="J896" s="64"/>
      <c r="K896" s="64"/>
      <c r="L896" s="55"/>
      <c r="M896" s="55"/>
      <c r="N896" s="55"/>
      <c r="O896" s="55"/>
      <c r="P896" s="55"/>
      <c r="Q896" s="55"/>
      <c r="R896" s="56"/>
      <c r="S896" s="57"/>
      <c r="T896" s="60"/>
    </row>
    <row r="897">
      <c r="A897" s="55"/>
      <c r="B897" s="55"/>
      <c r="C897" s="55"/>
      <c r="D897" s="56"/>
      <c r="E897" s="57"/>
      <c r="F897" s="58"/>
      <c r="G897" s="60"/>
      <c r="H897" s="63"/>
      <c r="I897" s="60"/>
      <c r="J897" s="64"/>
      <c r="K897" s="64"/>
      <c r="L897" s="55"/>
      <c r="M897" s="55"/>
      <c r="N897" s="55"/>
      <c r="O897" s="55"/>
      <c r="P897" s="55"/>
      <c r="Q897" s="55"/>
      <c r="R897" s="56"/>
      <c r="S897" s="57"/>
      <c r="T897" s="60"/>
    </row>
    <row r="898">
      <c r="A898" s="55"/>
      <c r="B898" s="55"/>
      <c r="C898" s="55"/>
      <c r="D898" s="56"/>
      <c r="E898" s="57"/>
      <c r="F898" s="58"/>
      <c r="G898" s="60"/>
      <c r="H898" s="63"/>
      <c r="I898" s="60"/>
      <c r="J898" s="64"/>
      <c r="K898" s="64"/>
      <c r="L898" s="55"/>
      <c r="M898" s="55"/>
      <c r="N898" s="55"/>
      <c r="O898" s="55"/>
      <c r="P898" s="55"/>
      <c r="Q898" s="55"/>
      <c r="R898" s="56"/>
      <c r="S898" s="57"/>
      <c r="T898" s="60"/>
    </row>
    <row r="899">
      <c r="A899" s="55"/>
      <c r="B899" s="55"/>
      <c r="C899" s="55"/>
      <c r="D899" s="56"/>
      <c r="E899" s="57"/>
      <c r="F899" s="58"/>
      <c r="G899" s="60"/>
      <c r="H899" s="63"/>
      <c r="I899" s="60"/>
      <c r="J899" s="64"/>
      <c r="K899" s="64"/>
      <c r="L899" s="55"/>
      <c r="M899" s="55"/>
      <c r="N899" s="55"/>
      <c r="O899" s="55"/>
      <c r="P899" s="55"/>
      <c r="Q899" s="55"/>
      <c r="R899" s="56"/>
      <c r="S899" s="57"/>
      <c r="T899" s="60"/>
    </row>
    <row r="900">
      <c r="A900" s="55"/>
      <c r="B900" s="55"/>
      <c r="C900" s="55"/>
      <c r="D900" s="56"/>
      <c r="E900" s="57"/>
      <c r="F900" s="58"/>
      <c r="G900" s="60"/>
      <c r="H900" s="63"/>
      <c r="I900" s="60"/>
      <c r="J900" s="64"/>
      <c r="K900" s="64"/>
      <c r="L900" s="55"/>
      <c r="M900" s="55"/>
      <c r="N900" s="55"/>
      <c r="O900" s="55"/>
      <c r="P900" s="55"/>
      <c r="Q900" s="55"/>
      <c r="R900" s="56"/>
      <c r="S900" s="57"/>
      <c r="T900" s="60"/>
    </row>
    <row r="901">
      <c r="A901" s="55"/>
      <c r="B901" s="55"/>
      <c r="C901" s="55"/>
      <c r="D901" s="56"/>
      <c r="E901" s="57"/>
      <c r="F901" s="58"/>
      <c r="G901" s="60"/>
      <c r="H901" s="63"/>
      <c r="I901" s="60"/>
      <c r="J901" s="64"/>
      <c r="K901" s="64"/>
      <c r="L901" s="55"/>
      <c r="M901" s="55"/>
      <c r="N901" s="55"/>
      <c r="O901" s="55"/>
      <c r="P901" s="55"/>
      <c r="Q901" s="55"/>
      <c r="R901" s="56"/>
      <c r="S901" s="57"/>
      <c r="T901" s="60"/>
    </row>
    <row r="902">
      <c r="A902" s="55"/>
      <c r="B902" s="55"/>
      <c r="C902" s="55"/>
      <c r="D902" s="56"/>
      <c r="E902" s="57"/>
      <c r="F902" s="58"/>
      <c r="G902" s="60"/>
      <c r="H902" s="63"/>
      <c r="I902" s="60"/>
      <c r="J902" s="64"/>
      <c r="K902" s="64"/>
      <c r="L902" s="55"/>
      <c r="M902" s="55"/>
      <c r="N902" s="55"/>
      <c r="O902" s="55"/>
      <c r="P902" s="55"/>
      <c r="Q902" s="55"/>
      <c r="R902" s="56"/>
      <c r="S902" s="57"/>
      <c r="T902" s="60"/>
    </row>
    <row r="903">
      <c r="A903" s="55"/>
      <c r="B903" s="55"/>
      <c r="C903" s="55"/>
      <c r="D903" s="56"/>
      <c r="E903" s="57"/>
      <c r="F903" s="58"/>
      <c r="G903" s="60"/>
      <c r="H903" s="63"/>
      <c r="I903" s="60"/>
      <c r="J903" s="64"/>
      <c r="K903" s="64"/>
      <c r="L903" s="55"/>
      <c r="M903" s="55"/>
      <c r="N903" s="55"/>
      <c r="O903" s="55"/>
      <c r="P903" s="55"/>
      <c r="Q903" s="55"/>
      <c r="R903" s="56"/>
      <c r="S903" s="57"/>
      <c r="T903" s="60"/>
    </row>
    <row r="904">
      <c r="A904" s="55"/>
      <c r="B904" s="55"/>
      <c r="C904" s="55"/>
      <c r="D904" s="56"/>
      <c r="E904" s="57"/>
      <c r="F904" s="58"/>
      <c r="G904" s="60"/>
      <c r="H904" s="63"/>
      <c r="I904" s="60"/>
      <c r="J904" s="64"/>
      <c r="K904" s="64"/>
      <c r="L904" s="55"/>
      <c r="M904" s="55"/>
      <c r="N904" s="55"/>
      <c r="O904" s="55"/>
      <c r="P904" s="55"/>
      <c r="Q904" s="55"/>
      <c r="R904" s="56"/>
      <c r="S904" s="57"/>
      <c r="T904" s="60"/>
    </row>
    <row r="905">
      <c r="A905" s="55"/>
      <c r="B905" s="55"/>
      <c r="C905" s="55"/>
      <c r="D905" s="56"/>
      <c r="E905" s="57"/>
      <c r="F905" s="58"/>
      <c r="G905" s="60"/>
      <c r="H905" s="63"/>
      <c r="I905" s="60"/>
      <c r="J905" s="64"/>
      <c r="K905" s="64"/>
      <c r="L905" s="55"/>
      <c r="M905" s="55"/>
      <c r="N905" s="55"/>
      <c r="O905" s="55"/>
      <c r="P905" s="55"/>
      <c r="Q905" s="55"/>
      <c r="R905" s="56"/>
      <c r="S905" s="57"/>
      <c r="T905" s="60"/>
    </row>
    <row r="906">
      <c r="A906" s="55"/>
      <c r="B906" s="55"/>
      <c r="C906" s="55"/>
      <c r="D906" s="56"/>
      <c r="E906" s="57"/>
      <c r="F906" s="58"/>
      <c r="G906" s="60"/>
      <c r="H906" s="63"/>
      <c r="I906" s="60"/>
      <c r="J906" s="64"/>
      <c r="K906" s="64"/>
      <c r="L906" s="55"/>
      <c r="M906" s="55"/>
      <c r="N906" s="55"/>
      <c r="O906" s="55"/>
      <c r="P906" s="55"/>
      <c r="Q906" s="55"/>
      <c r="R906" s="56"/>
      <c r="S906" s="57"/>
      <c r="T906" s="60"/>
    </row>
    <row r="907">
      <c r="A907" s="55"/>
      <c r="B907" s="55"/>
      <c r="C907" s="55"/>
      <c r="D907" s="56"/>
      <c r="E907" s="57"/>
      <c r="F907" s="58"/>
      <c r="G907" s="60"/>
      <c r="H907" s="63"/>
      <c r="I907" s="60"/>
      <c r="J907" s="64"/>
      <c r="K907" s="64"/>
      <c r="L907" s="55"/>
      <c r="M907" s="55"/>
      <c r="N907" s="55"/>
      <c r="O907" s="55"/>
      <c r="P907" s="55"/>
      <c r="Q907" s="55"/>
      <c r="R907" s="56"/>
      <c r="S907" s="57"/>
      <c r="T907" s="60"/>
    </row>
    <row r="908">
      <c r="A908" s="55"/>
      <c r="B908" s="55"/>
      <c r="C908" s="55"/>
      <c r="D908" s="56"/>
      <c r="E908" s="57"/>
      <c r="F908" s="58"/>
      <c r="G908" s="60"/>
      <c r="H908" s="63"/>
      <c r="I908" s="60"/>
      <c r="J908" s="64"/>
      <c r="K908" s="64"/>
      <c r="L908" s="55"/>
      <c r="M908" s="55"/>
      <c r="N908" s="55"/>
      <c r="O908" s="55"/>
      <c r="P908" s="55"/>
      <c r="Q908" s="55"/>
      <c r="R908" s="56"/>
      <c r="S908" s="57"/>
      <c r="T908" s="60"/>
    </row>
    <row r="909">
      <c r="A909" s="55"/>
      <c r="B909" s="55"/>
      <c r="C909" s="55"/>
      <c r="D909" s="56"/>
      <c r="E909" s="57"/>
      <c r="F909" s="58"/>
      <c r="G909" s="60"/>
      <c r="H909" s="63"/>
      <c r="I909" s="60"/>
      <c r="J909" s="64"/>
      <c r="K909" s="64"/>
      <c r="L909" s="55"/>
      <c r="M909" s="55"/>
      <c r="N909" s="55"/>
      <c r="O909" s="55"/>
      <c r="P909" s="55"/>
      <c r="Q909" s="55"/>
      <c r="R909" s="56"/>
      <c r="S909" s="57"/>
      <c r="T909" s="60"/>
    </row>
    <row r="910">
      <c r="A910" s="55"/>
      <c r="B910" s="55"/>
      <c r="C910" s="55"/>
      <c r="D910" s="56"/>
      <c r="E910" s="57"/>
      <c r="F910" s="58"/>
      <c r="G910" s="60"/>
      <c r="H910" s="63"/>
      <c r="I910" s="60"/>
      <c r="J910" s="64"/>
      <c r="K910" s="64"/>
      <c r="L910" s="55"/>
      <c r="M910" s="55"/>
      <c r="N910" s="55"/>
      <c r="O910" s="55"/>
      <c r="P910" s="55"/>
      <c r="Q910" s="55"/>
      <c r="R910" s="56"/>
      <c r="S910" s="57"/>
      <c r="T910" s="60"/>
    </row>
    <row r="911">
      <c r="A911" s="55"/>
      <c r="B911" s="55"/>
      <c r="C911" s="55"/>
      <c r="D911" s="56"/>
      <c r="E911" s="57"/>
      <c r="F911" s="58"/>
      <c r="G911" s="60"/>
      <c r="H911" s="63"/>
      <c r="I911" s="60"/>
      <c r="J911" s="64"/>
      <c r="K911" s="64"/>
      <c r="L911" s="55"/>
      <c r="M911" s="55"/>
      <c r="N911" s="55"/>
      <c r="O911" s="55"/>
      <c r="P911" s="55"/>
      <c r="Q911" s="55"/>
      <c r="R911" s="56"/>
      <c r="S911" s="57"/>
      <c r="T911" s="60"/>
    </row>
    <row r="912">
      <c r="A912" s="55"/>
      <c r="B912" s="55"/>
      <c r="C912" s="55"/>
      <c r="D912" s="56"/>
      <c r="E912" s="57"/>
      <c r="F912" s="58"/>
      <c r="G912" s="60"/>
      <c r="H912" s="63"/>
      <c r="I912" s="60"/>
      <c r="J912" s="64"/>
      <c r="K912" s="64"/>
      <c r="L912" s="55"/>
      <c r="M912" s="55"/>
      <c r="N912" s="55"/>
      <c r="O912" s="55"/>
      <c r="P912" s="55"/>
      <c r="Q912" s="55"/>
      <c r="R912" s="56"/>
      <c r="S912" s="57"/>
      <c r="T912" s="60"/>
    </row>
    <row r="913">
      <c r="A913" s="55"/>
      <c r="B913" s="55"/>
      <c r="C913" s="55"/>
      <c r="D913" s="56"/>
      <c r="E913" s="57"/>
      <c r="F913" s="58"/>
      <c r="G913" s="60"/>
      <c r="H913" s="63"/>
      <c r="I913" s="60"/>
      <c r="J913" s="64"/>
      <c r="K913" s="64"/>
      <c r="L913" s="55"/>
      <c r="M913" s="55"/>
      <c r="N913" s="55"/>
      <c r="O913" s="55"/>
      <c r="P913" s="55"/>
      <c r="Q913" s="55"/>
      <c r="R913" s="56"/>
      <c r="S913" s="57"/>
      <c r="T913" s="60"/>
    </row>
    <row r="914">
      <c r="A914" s="55"/>
      <c r="B914" s="55"/>
      <c r="C914" s="55"/>
      <c r="D914" s="56"/>
      <c r="E914" s="57"/>
      <c r="F914" s="58"/>
      <c r="G914" s="60"/>
      <c r="H914" s="63"/>
      <c r="I914" s="60"/>
      <c r="J914" s="64"/>
      <c r="K914" s="64"/>
      <c r="L914" s="55"/>
      <c r="M914" s="55"/>
      <c r="N914" s="55"/>
      <c r="O914" s="55"/>
      <c r="P914" s="55"/>
      <c r="Q914" s="55"/>
      <c r="R914" s="56"/>
      <c r="S914" s="57"/>
      <c r="T914" s="60"/>
    </row>
    <row r="915">
      <c r="A915" s="55"/>
      <c r="B915" s="55"/>
      <c r="C915" s="55"/>
      <c r="D915" s="56"/>
      <c r="E915" s="57"/>
      <c r="F915" s="58"/>
      <c r="G915" s="60"/>
      <c r="H915" s="63"/>
      <c r="I915" s="60"/>
      <c r="J915" s="64"/>
      <c r="K915" s="64"/>
      <c r="L915" s="55"/>
      <c r="M915" s="55"/>
      <c r="N915" s="55"/>
      <c r="O915" s="55"/>
      <c r="P915" s="55"/>
      <c r="Q915" s="55"/>
      <c r="R915" s="56"/>
      <c r="S915" s="57"/>
      <c r="T915" s="60"/>
    </row>
    <row r="916">
      <c r="A916" s="55"/>
      <c r="B916" s="55"/>
      <c r="C916" s="55"/>
      <c r="D916" s="56"/>
      <c r="E916" s="57"/>
      <c r="F916" s="58"/>
      <c r="G916" s="60"/>
      <c r="H916" s="63"/>
      <c r="I916" s="60"/>
      <c r="J916" s="64"/>
      <c r="K916" s="64"/>
      <c r="L916" s="55"/>
      <c r="M916" s="55"/>
      <c r="N916" s="55"/>
      <c r="O916" s="55"/>
      <c r="P916" s="55"/>
      <c r="Q916" s="55"/>
      <c r="R916" s="56"/>
      <c r="S916" s="57"/>
      <c r="T916" s="60"/>
    </row>
    <row r="917">
      <c r="A917" s="55"/>
      <c r="B917" s="55"/>
      <c r="C917" s="55"/>
      <c r="D917" s="56"/>
      <c r="E917" s="57"/>
      <c r="F917" s="58"/>
      <c r="G917" s="60"/>
      <c r="H917" s="63"/>
      <c r="I917" s="60"/>
      <c r="J917" s="64"/>
      <c r="K917" s="64"/>
      <c r="L917" s="55"/>
      <c r="M917" s="55"/>
      <c r="N917" s="55"/>
      <c r="O917" s="55"/>
      <c r="P917" s="55"/>
      <c r="Q917" s="55"/>
      <c r="R917" s="56"/>
      <c r="S917" s="57"/>
      <c r="T917" s="60"/>
    </row>
    <row r="918">
      <c r="A918" s="55"/>
      <c r="B918" s="55"/>
      <c r="C918" s="55"/>
      <c r="D918" s="56"/>
      <c r="E918" s="57"/>
      <c r="F918" s="58"/>
      <c r="G918" s="60"/>
      <c r="H918" s="63"/>
      <c r="I918" s="60"/>
      <c r="J918" s="64"/>
      <c r="K918" s="64"/>
      <c r="L918" s="55"/>
      <c r="M918" s="55"/>
      <c r="N918" s="55"/>
      <c r="O918" s="55"/>
      <c r="P918" s="55"/>
      <c r="Q918" s="55"/>
      <c r="R918" s="56"/>
      <c r="S918" s="57"/>
      <c r="T918" s="60"/>
    </row>
    <row r="919">
      <c r="A919" s="55"/>
      <c r="B919" s="55"/>
      <c r="C919" s="55"/>
      <c r="D919" s="56"/>
      <c r="E919" s="57"/>
      <c r="F919" s="58"/>
      <c r="G919" s="60"/>
      <c r="H919" s="63"/>
      <c r="I919" s="60"/>
      <c r="J919" s="64"/>
      <c r="K919" s="64"/>
      <c r="L919" s="55"/>
      <c r="M919" s="55"/>
      <c r="N919" s="55"/>
      <c r="O919" s="55"/>
      <c r="P919" s="55"/>
      <c r="Q919" s="55"/>
      <c r="R919" s="56"/>
      <c r="S919" s="57"/>
      <c r="T919" s="60"/>
    </row>
    <row r="920">
      <c r="A920" s="55"/>
      <c r="B920" s="55"/>
      <c r="C920" s="55"/>
      <c r="D920" s="56"/>
      <c r="E920" s="57"/>
      <c r="F920" s="58"/>
      <c r="G920" s="60"/>
      <c r="H920" s="63"/>
      <c r="I920" s="60"/>
      <c r="J920" s="64"/>
      <c r="K920" s="64"/>
      <c r="L920" s="55"/>
      <c r="M920" s="55"/>
      <c r="N920" s="55"/>
      <c r="O920" s="55"/>
      <c r="P920" s="55"/>
      <c r="Q920" s="55"/>
      <c r="R920" s="56"/>
      <c r="S920" s="57"/>
      <c r="T920" s="60"/>
    </row>
    <row r="921">
      <c r="A921" s="55"/>
      <c r="B921" s="55"/>
      <c r="C921" s="55"/>
      <c r="D921" s="56"/>
      <c r="E921" s="57"/>
      <c r="F921" s="58"/>
      <c r="G921" s="60"/>
      <c r="H921" s="63"/>
      <c r="I921" s="60"/>
      <c r="J921" s="64"/>
      <c r="K921" s="64"/>
      <c r="L921" s="55"/>
      <c r="M921" s="55"/>
      <c r="N921" s="55"/>
      <c r="O921" s="55"/>
      <c r="P921" s="55"/>
      <c r="Q921" s="55"/>
      <c r="R921" s="56"/>
      <c r="S921" s="57"/>
      <c r="T921" s="60"/>
    </row>
    <row r="922">
      <c r="A922" s="55"/>
      <c r="B922" s="55"/>
      <c r="C922" s="55"/>
      <c r="D922" s="56"/>
      <c r="E922" s="57"/>
      <c r="F922" s="58"/>
      <c r="G922" s="60"/>
      <c r="H922" s="63"/>
      <c r="I922" s="60"/>
      <c r="J922" s="64"/>
      <c r="K922" s="64"/>
      <c r="L922" s="55"/>
      <c r="M922" s="55"/>
      <c r="N922" s="55"/>
      <c r="O922" s="55"/>
      <c r="P922" s="55"/>
      <c r="Q922" s="55"/>
      <c r="R922" s="56"/>
      <c r="S922" s="57"/>
      <c r="T922" s="60"/>
    </row>
    <row r="923">
      <c r="A923" s="55"/>
      <c r="B923" s="55"/>
      <c r="C923" s="55"/>
      <c r="D923" s="56"/>
      <c r="E923" s="57"/>
      <c r="F923" s="58"/>
      <c r="G923" s="60"/>
      <c r="H923" s="63"/>
      <c r="I923" s="60"/>
      <c r="J923" s="64"/>
      <c r="K923" s="64"/>
      <c r="L923" s="55"/>
      <c r="M923" s="55"/>
      <c r="N923" s="55"/>
      <c r="O923" s="55"/>
      <c r="P923" s="55"/>
      <c r="Q923" s="55"/>
      <c r="R923" s="56"/>
      <c r="S923" s="57"/>
      <c r="T923" s="60"/>
    </row>
    <row r="924">
      <c r="A924" s="55"/>
      <c r="B924" s="55"/>
      <c r="C924" s="55"/>
      <c r="D924" s="56"/>
      <c r="E924" s="57"/>
      <c r="F924" s="58"/>
      <c r="G924" s="60"/>
      <c r="H924" s="63"/>
      <c r="I924" s="60"/>
      <c r="J924" s="64"/>
      <c r="K924" s="64"/>
      <c r="L924" s="55"/>
      <c r="M924" s="55"/>
      <c r="N924" s="55"/>
      <c r="O924" s="55"/>
      <c r="P924" s="55"/>
      <c r="Q924" s="55"/>
      <c r="R924" s="56"/>
      <c r="S924" s="57"/>
      <c r="T924" s="60"/>
    </row>
    <row r="925">
      <c r="A925" s="55"/>
      <c r="B925" s="55"/>
      <c r="C925" s="55"/>
      <c r="D925" s="56"/>
      <c r="E925" s="57"/>
      <c r="F925" s="58"/>
      <c r="G925" s="60"/>
      <c r="H925" s="63"/>
      <c r="I925" s="60"/>
      <c r="J925" s="64"/>
      <c r="K925" s="64"/>
      <c r="L925" s="55"/>
      <c r="M925" s="55"/>
      <c r="N925" s="55"/>
      <c r="O925" s="55"/>
      <c r="P925" s="55"/>
      <c r="Q925" s="55"/>
      <c r="R925" s="56"/>
      <c r="S925" s="57"/>
      <c r="T925" s="60"/>
    </row>
    <row r="926">
      <c r="A926" s="55"/>
      <c r="B926" s="55"/>
      <c r="C926" s="55"/>
      <c r="D926" s="56"/>
      <c r="E926" s="57"/>
      <c r="F926" s="58"/>
      <c r="G926" s="60"/>
      <c r="H926" s="63"/>
      <c r="I926" s="60"/>
      <c r="J926" s="64"/>
      <c r="K926" s="64"/>
      <c r="L926" s="55"/>
      <c r="M926" s="55"/>
      <c r="N926" s="55"/>
      <c r="O926" s="55"/>
      <c r="P926" s="55"/>
      <c r="Q926" s="55"/>
      <c r="R926" s="56"/>
      <c r="S926" s="57"/>
      <c r="T926" s="60"/>
    </row>
    <row r="927">
      <c r="A927" s="55"/>
      <c r="B927" s="55"/>
      <c r="C927" s="55"/>
      <c r="D927" s="56"/>
      <c r="E927" s="57"/>
      <c r="F927" s="58"/>
      <c r="G927" s="60"/>
      <c r="H927" s="63"/>
      <c r="I927" s="60"/>
      <c r="J927" s="64"/>
      <c r="K927" s="64"/>
      <c r="L927" s="55"/>
      <c r="M927" s="55"/>
      <c r="N927" s="55"/>
      <c r="O927" s="55"/>
      <c r="P927" s="55"/>
      <c r="Q927" s="55"/>
      <c r="R927" s="56"/>
      <c r="S927" s="57"/>
      <c r="T927" s="60"/>
    </row>
    <row r="928">
      <c r="A928" s="55"/>
      <c r="B928" s="55"/>
      <c r="C928" s="55"/>
      <c r="D928" s="56"/>
      <c r="E928" s="57"/>
      <c r="F928" s="58"/>
      <c r="G928" s="60"/>
      <c r="H928" s="63"/>
      <c r="I928" s="60"/>
      <c r="J928" s="64"/>
      <c r="K928" s="64"/>
      <c r="L928" s="55"/>
      <c r="M928" s="55"/>
      <c r="N928" s="55"/>
      <c r="O928" s="55"/>
      <c r="P928" s="55"/>
      <c r="Q928" s="55"/>
      <c r="R928" s="56"/>
      <c r="S928" s="57"/>
      <c r="T928" s="60"/>
    </row>
    <row r="929">
      <c r="A929" s="55"/>
      <c r="B929" s="55"/>
      <c r="C929" s="55"/>
      <c r="D929" s="56"/>
      <c r="E929" s="57"/>
      <c r="F929" s="58"/>
      <c r="G929" s="60"/>
      <c r="H929" s="63"/>
      <c r="I929" s="60"/>
      <c r="J929" s="64"/>
      <c r="K929" s="64"/>
      <c r="L929" s="55"/>
      <c r="M929" s="55"/>
      <c r="N929" s="55"/>
      <c r="O929" s="55"/>
      <c r="P929" s="55"/>
      <c r="Q929" s="55"/>
      <c r="R929" s="56"/>
      <c r="S929" s="57"/>
      <c r="T929" s="60"/>
    </row>
    <row r="930">
      <c r="A930" s="55"/>
      <c r="B930" s="55"/>
      <c r="C930" s="55"/>
      <c r="D930" s="56"/>
      <c r="E930" s="57"/>
      <c r="F930" s="58"/>
      <c r="G930" s="60"/>
      <c r="H930" s="63"/>
      <c r="I930" s="60"/>
      <c r="J930" s="64"/>
      <c r="K930" s="64"/>
      <c r="L930" s="55"/>
      <c r="M930" s="55"/>
      <c r="N930" s="55"/>
      <c r="O930" s="55"/>
      <c r="P930" s="55"/>
      <c r="Q930" s="55"/>
      <c r="R930" s="56"/>
      <c r="S930" s="57"/>
      <c r="T930" s="60"/>
    </row>
    <row r="931">
      <c r="A931" s="55"/>
      <c r="B931" s="55"/>
      <c r="C931" s="55"/>
      <c r="D931" s="56"/>
      <c r="E931" s="57"/>
      <c r="F931" s="58"/>
      <c r="G931" s="60"/>
      <c r="H931" s="63"/>
      <c r="I931" s="60"/>
      <c r="J931" s="64"/>
      <c r="K931" s="64"/>
      <c r="L931" s="55"/>
      <c r="M931" s="55"/>
      <c r="N931" s="55"/>
      <c r="O931" s="55"/>
      <c r="P931" s="55"/>
      <c r="Q931" s="55"/>
      <c r="R931" s="56"/>
      <c r="S931" s="57"/>
      <c r="T931" s="60"/>
    </row>
    <row r="932">
      <c r="A932" s="55"/>
      <c r="B932" s="55"/>
      <c r="C932" s="55"/>
      <c r="D932" s="56"/>
      <c r="E932" s="57"/>
      <c r="F932" s="58"/>
      <c r="G932" s="60"/>
      <c r="H932" s="63"/>
      <c r="I932" s="60"/>
      <c r="J932" s="64"/>
      <c r="K932" s="64"/>
      <c r="L932" s="55"/>
      <c r="M932" s="55"/>
      <c r="N932" s="55"/>
      <c r="O932" s="55"/>
      <c r="P932" s="55"/>
      <c r="Q932" s="55"/>
      <c r="R932" s="56"/>
      <c r="S932" s="57"/>
      <c r="T932" s="60"/>
    </row>
    <row r="933">
      <c r="A933" s="55"/>
      <c r="B933" s="55"/>
      <c r="C933" s="55"/>
      <c r="D933" s="56"/>
      <c r="E933" s="57"/>
      <c r="F933" s="58"/>
      <c r="G933" s="60"/>
      <c r="H933" s="63"/>
      <c r="I933" s="60"/>
      <c r="J933" s="64"/>
      <c r="K933" s="64"/>
      <c r="L933" s="55"/>
      <c r="M933" s="55"/>
      <c r="N933" s="55"/>
      <c r="O933" s="55"/>
      <c r="P933" s="55"/>
      <c r="Q933" s="55"/>
      <c r="R933" s="56"/>
      <c r="S933" s="57"/>
      <c r="T933" s="60"/>
    </row>
    <row r="934">
      <c r="A934" s="55"/>
      <c r="B934" s="55"/>
      <c r="C934" s="55"/>
      <c r="D934" s="56"/>
      <c r="E934" s="57"/>
      <c r="F934" s="58"/>
      <c r="G934" s="60"/>
      <c r="H934" s="63"/>
      <c r="I934" s="60"/>
      <c r="J934" s="64"/>
      <c r="K934" s="64"/>
      <c r="L934" s="55"/>
      <c r="M934" s="55"/>
      <c r="N934" s="55"/>
      <c r="O934" s="55"/>
      <c r="P934" s="55"/>
      <c r="Q934" s="55"/>
      <c r="R934" s="56"/>
      <c r="S934" s="57"/>
      <c r="T934" s="60"/>
    </row>
    <row r="935">
      <c r="A935" s="55"/>
      <c r="B935" s="55"/>
      <c r="C935" s="55"/>
      <c r="D935" s="56"/>
      <c r="E935" s="57"/>
      <c r="F935" s="58"/>
      <c r="G935" s="60"/>
      <c r="H935" s="63"/>
      <c r="I935" s="60"/>
      <c r="J935" s="64"/>
      <c r="K935" s="64"/>
      <c r="L935" s="55"/>
      <c r="M935" s="55"/>
      <c r="N935" s="55"/>
      <c r="O935" s="55"/>
      <c r="P935" s="55"/>
      <c r="Q935" s="55"/>
      <c r="R935" s="56"/>
      <c r="S935" s="57"/>
      <c r="T935" s="60"/>
    </row>
    <row r="936">
      <c r="A936" s="55"/>
      <c r="B936" s="55"/>
      <c r="C936" s="55"/>
      <c r="D936" s="56"/>
      <c r="E936" s="57"/>
      <c r="F936" s="58"/>
      <c r="G936" s="60"/>
      <c r="H936" s="63"/>
      <c r="I936" s="60"/>
      <c r="J936" s="64"/>
      <c r="K936" s="64"/>
      <c r="L936" s="55"/>
      <c r="M936" s="55"/>
      <c r="N936" s="55"/>
      <c r="O936" s="55"/>
      <c r="P936" s="55"/>
      <c r="Q936" s="55"/>
      <c r="R936" s="56"/>
      <c r="S936" s="57"/>
      <c r="T936" s="60"/>
    </row>
    <row r="937">
      <c r="A937" s="55"/>
      <c r="B937" s="55"/>
      <c r="C937" s="55"/>
      <c r="D937" s="56"/>
      <c r="E937" s="57"/>
      <c r="F937" s="58"/>
      <c r="G937" s="60"/>
      <c r="H937" s="63"/>
      <c r="I937" s="60"/>
      <c r="J937" s="64"/>
      <c r="K937" s="64"/>
      <c r="L937" s="55"/>
      <c r="M937" s="55"/>
      <c r="N937" s="55"/>
      <c r="O937" s="55"/>
      <c r="P937" s="55"/>
      <c r="Q937" s="55"/>
      <c r="R937" s="56"/>
      <c r="S937" s="57"/>
      <c r="T937" s="60"/>
    </row>
    <row r="938">
      <c r="A938" s="55"/>
      <c r="B938" s="55"/>
      <c r="C938" s="55"/>
      <c r="D938" s="56"/>
      <c r="E938" s="57"/>
      <c r="F938" s="58"/>
      <c r="G938" s="60"/>
      <c r="H938" s="63"/>
      <c r="I938" s="60"/>
      <c r="J938" s="64"/>
      <c r="K938" s="64"/>
      <c r="L938" s="55"/>
      <c r="M938" s="55"/>
      <c r="N938" s="55"/>
      <c r="O938" s="55"/>
      <c r="P938" s="55"/>
      <c r="Q938" s="55"/>
      <c r="R938" s="56"/>
      <c r="S938" s="57"/>
      <c r="T938" s="60"/>
    </row>
    <row r="939">
      <c r="A939" s="55"/>
      <c r="B939" s="55"/>
      <c r="C939" s="55"/>
      <c r="D939" s="56"/>
      <c r="E939" s="57"/>
      <c r="F939" s="58"/>
      <c r="G939" s="60"/>
      <c r="H939" s="63"/>
      <c r="I939" s="60"/>
      <c r="J939" s="64"/>
      <c r="K939" s="64"/>
      <c r="L939" s="55"/>
      <c r="M939" s="55"/>
      <c r="N939" s="55"/>
      <c r="O939" s="55"/>
      <c r="P939" s="55"/>
      <c r="Q939" s="55"/>
      <c r="R939" s="56"/>
      <c r="S939" s="57"/>
      <c r="T939" s="60"/>
    </row>
    <row r="940">
      <c r="A940" s="55"/>
      <c r="B940" s="55"/>
      <c r="C940" s="55"/>
      <c r="D940" s="56"/>
      <c r="E940" s="57"/>
      <c r="F940" s="58"/>
      <c r="G940" s="60"/>
      <c r="H940" s="63"/>
      <c r="I940" s="60"/>
      <c r="J940" s="64"/>
      <c r="K940" s="64"/>
      <c r="L940" s="55"/>
      <c r="M940" s="55"/>
      <c r="N940" s="55"/>
      <c r="O940" s="55"/>
      <c r="P940" s="55"/>
      <c r="Q940" s="55"/>
      <c r="R940" s="56"/>
      <c r="S940" s="57"/>
      <c r="T940" s="60"/>
    </row>
    <row r="941">
      <c r="A941" s="55"/>
      <c r="B941" s="55"/>
      <c r="C941" s="55"/>
      <c r="D941" s="56"/>
      <c r="E941" s="57"/>
      <c r="F941" s="58"/>
      <c r="G941" s="60"/>
      <c r="H941" s="63"/>
      <c r="I941" s="60"/>
      <c r="J941" s="64"/>
      <c r="K941" s="64"/>
      <c r="L941" s="55"/>
      <c r="M941" s="55"/>
      <c r="N941" s="55"/>
      <c r="O941" s="55"/>
      <c r="P941" s="55"/>
      <c r="Q941" s="55"/>
      <c r="R941" s="56"/>
      <c r="S941" s="57"/>
      <c r="T941" s="60"/>
    </row>
    <row r="942">
      <c r="A942" s="55"/>
      <c r="B942" s="55"/>
      <c r="C942" s="55"/>
      <c r="D942" s="56"/>
      <c r="E942" s="57"/>
      <c r="F942" s="58"/>
      <c r="G942" s="60"/>
      <c r="H942" s="63"/>
      <c r="I942" s="60"/>
      <c r="J942" s="64"/>
      <c r="K942" s="64"/>
      <c r="L942" s="55"/>
      <c r="M942" s="55"/>
      <c r="N942" s="55"/>
      <c r="O942" s="55"/>
      <c r="P942" s="55"/>
      <c r="Q942" s="55"/>
      <c r="R942" s="56"/>
      <c r="S942" s="57"/>
      <c r="T942" s="60"/>
    </row>
    <row r="943">
      <c r="A943" s="55"/>
      <c r="B943" s="55"/>
      <c r="C943" s="55"/>
      <c r="D943" s="56"/>
      <c r="E943" s="57"/>
      <c r="F943" s="58"/>
      <c r="G943" s="60"/>
      <c r="H943" s="63"/>
      <c r="I943" s="60"/>
      <c r="J943" s="64"/>
      <c r="K943" s="64"/>
      <c r="L943" s="55"/>
      <c r="M943" s="55"/>
      <c r="N943" s="55"/>
      <c r="O943" s="55"/>
      <c r="P943" s="55"/>
      <c r="Q943" s="55"/>
      <c r="R943" s="56"/>
      <c r="S943" s="57"/>
      <c r="T943" s="60"/>
    </row>
    <row r="944">
      <c r="A944" s="55"/>
      <c r="B944" s="55"/>
      <c r="C944" s="55"/>
      <c r="D944" s="56"/>
      <c r="E944" s="57"/>
      <c r="F944" s="58"/>
      <c r="G944" s="60"/>
      <c r="H944" s="63"/>
      <c r="I944" s="60"/>
      <c r="J944" s="64"/>
      <c r="K944" s="64"/>
      <c r="L944" s="55"/>
      <c r="M944" s="55"/>
      <c r="N944" s="55"/>
      <c r="O944" s="55"/>
      <c r="P944" s="55"/>
      <c r="Q944" s="55"/>
      <c r="R944" s="56"/>
      <c r="S944" s="57"/>
      <c r="T944" s="60"/>
    </row>
    <row r="945">
      <c r="A945" s="55"/>
      <c r="B945" s="55"/>
      <c r="C945" s="55"/>
      <c r="D945" s="56"/>
      <c r="E945" s="57"/>
      <c r="F945" s="58"/>
      <c r="G945" s="60"/>
      <c r="H945" s="63"/>
      <c r="I945" s="60"/>
      <c r="J945" s="64"/>
      <c r="K945" s="64"/>
      <c r="L945" s="55"/>
      <c r="M945" s="55"/>
      <c r="N945" s="55"/>
      <c r="O945" s="55"/>
      <c r="P945" s="55"/>
      <c r="Q945" s="55"/>
      <c r="R945" s="56"/>
      <c r="S945" s="57"/>
      <c r="T945" s="60"/>
    </row>
    <row r="946">
      <c r="A946" s="55"/>
      <c r="B946" s="55"/>
      <c r="C946" s="55"/>
      <c r="D946" s="56"/>
      <c r="E946" s="57"/>
      <c r="F946" s="58"/>
      <c r="G946" s="60"/>
      <c r="H946" s="63"/>
      <c r="I946" s="60"/>
      <c r="J946" s="64"/>
      <c r="K946" s="64"/>
      <c r="L946" s="55"/>
      <c r="M946" s="55"/>
      <c r="N946" s="55"/>
      <c r="O946" s="55"/>
      <c r="P946" s="55"/>
      <c r="Q946" s="55"/>
      <c r="R946" s="56"/>
      <c r="S946" s="57"/>
      <c r="T946" s="60"/>
    </row>
    <row r="947">
      <c r="A947" s="55"/>
      <c r="B947" s="55"/>
      <c r="C947" s="55"/>
      <c r="D947" s="56"/>
      <c r="E947" s="57"/>
      <c r="F947" s="58"/>
      <c r="G947" s="60"/>
      <c r="H947" s="63"/>
      <c r="I947" s="60"/>
      <c r="J947" s="64"/>
      <c r="K947" s="64"/>
      <c r="L947" s="55"/>
      <c r="M947" s="55"/>
      <c r="N947" s="55"/>
      <c r="O947" s="55"/>
      <c r="P947" s="55"/>
      <c r="Q947" s="55"/>
      <c r="R947" s="56"/>
      <c r="S947" s="57"/>
      <c r="T947" s="60"/>
    </row>
    <row r="948">
      <c r="A948" s="55"/>
      <c r="B948" s="55"/>
      <c r="C948" s="55"/>
      <c r="D948" s="56"/>
      <c r="E948" s="57"/>
      <c r="F948" s="58"/>
      <c r="G948" s="60"/>
      <c r="H948" s="63"/>
      <c r="I948" s="60"/>
      <c r="J948" s="64"/>
      <c r="K948" s="64"/>
      <c r="L948" s="55"/>
      <c r="M948" s="55"/>
      <c r="N948" s="55"/>
      <c r="O948" s="55"/>
      <c r="P948" s="55"/>
      <c r="Q948" s="55"/>
      <c r="R948" s="56"/>
      <c r="S948" s="57"/>
      <c r="T948" s="60"/>
    </row>
    <row r="949">
      <c r="A949" s="55"/>
      <c r="B949" s="55"/>
      <c r="C949" s="55"/>
      <c r="D949" s="56"/>
      <c r="E949" s="57"/>
      <c r="F949" s="58"/>
      <c r="G949" s="60"/>
      <c r="H949" s="63"/>
      <c r="I949" s="60"/>
      <c r="J949" s="64"/>
      <c r="K949" s="64"/>
      <c r="L949" s="55"/>
      <c r="M949" s="55"/>
      <c r="N949" s="55"/>
      <c r="O949" s="55"/>
      <c r="P949" s="55"/>
      <c r="Q949" s="55"/>
      <c r="R949" s="56"/>
      <c r="S949" s="57"/>
      <c r="T949" s="60"/>
    </row>
    <row r="950">
      <c r="A950" s="55"/>
      <c r="B950" s="55"/>
      <c r="C950" s="55"/>
      <c r="D950" s="56"/>
      <c r="E950" s="57"/>
      <c r="F950" s="58"/>
      <c r="G950" s="60"/>
      <c r="H950" s="63"/>
      <c r="I950" s="60"/>
      <c r="J950" s="64"/>
      <c r="K950" s="64"/>
      <c r="L950" s="55"/>
      <c r="M950" s="55"/>
      <c r="N950" s="55"/>
      <c r="O950" s="55"/>
      <c r="P950" s="55"/>
      <c r="Q950" s="55"/>
      <c r="R950" s="56"/>
      <c r="S950" s="57"/>
      <c r="T950" s="60"/>
    </row>
    <row r="951">
      <c r="A951" s="55"/>
      <c r="B951" s="55"/>
      <c r="C951" s="55"/>
      <c r="D951" s="56"/>
      <c r="E951" s="57"/>
      <c r="F951" s="58"/>
      <c r="G951" s="60"/>
      <c r="H951" s="63"/>
      <c r="I951" s="60"/>
      <c r="J951" s="64"/>
      <c r="K951" s="64"/>
      <c r="L951" s="55"/>
      <c r="M951" s="55"/>
      <c r="N951" s="55"/>
      <c r="O951" s="55"/>
      <c r="P951" s="55"/>
      <c r="Q951" s="55"/>
      <c r="R951" s="56"/>
      <c r="S951" s="57"/>
      <c r="T951" s="60"/>
    </row>
    <row r="952">
      <c r="A952" s="55"/>
      <c r="B952" s="55"/>
      <c r="C952" s="55"/>
      <c r="D952" s="56"/>
      <c r="E952" s="57"/>
      <c r="F952" s="58"/>
      <c r="G952" s="60"/>
      <c r="H952" s="63"/>
      <c r="I952" s="60"/>
      <c r="J952" s="64"/>
      <c r="K952" s="64"/>
      <c r="L952" s="55"/>
      <c r="M952" s="55"/>
      <c r="N952" s="55"/>
      <c r="O952" s="55"/>
      <c r="P952" s="55"/>
      <c r="Q952" s="55"/>
      <c r="R952" s="56"/>
      <c r="S952" s="57"/>
      <c r="T952" s="60"/>
    </row>
    <row r="953">
      <c r="A953" s="55"/>
      <c r="B953" s="55"/>
      <c r="C953" s="55"/>
      <c r="D953" s="56"/>
      <c r="E953" s="57"/>
      <c r="F953" s="58"/>
      <c r="G953" s="60"/>
      <c r="H953" s="63"/>
      <c r="I953" s="60"/>
      <c r="J953" s="64"/>
      <c r="K953" s="64"/>
      <c r="L953" s="55"/>
      <c r="M953" s="55"/>
      <c r="N953" s="55"/>
      <c r="O953" s="55"/>
      <c r="P953" s="55"/>
      <c r="Q953" s="55"/>
      <c r="R953" s="56"/>
      <c r="S953" s="57"/>
      <c r="T953" s="60"/>
    </row>
    <row r="954">
      <c r="A954" s="55"/>
      <c r="B954" s="55"/>
      <c r="C954" s="55"/>
      <c r="D954" s="56"/>
      <c r="E954" s="57"/>
      <c r="F954" s="58"/>
      <c r="G954" s="60"/>
      <c r="H954" s="63"/>
      <c r="I954" s="60"/>
      <c r="J954" s="64"/>
      <c r="K954" s="64"/>
      <c r="L954" s="55"/>
      <c r="M954" s="55"/>
      <c r="N954" s="55"/>
      <c r="O954" s="55"/>
      <c r="P954" s="55"/>
      <c r="Q954" s="55"/>
      <c r="R954" s="56"/>
      <c r="S954" s="57"/>
      <c r="T954" s="60"/>
    </row>
    <row r="955">
      <c r="A955" s="55"/>
      <c r="B955" s="55"/>
      <c r="C955" s="55"/>
      <c r="D955" s="56"/>
      <c r="E955" s="57"/>
      <c r="F955" s="58"/>
      <c r="G955" s="60"/>
      <c r="H955" s="63"/>
      <c r="I955" s="60"/>
      <c r="J955" s="64"/>
      <c r="K955" s="64"/>
      <c r="L955" s="55"/>
      <c r="M955" s="55"/>
      <c r="N955" s="55"/>
      <c r="O955" s="55"/>
      <c r="P955" s="55"/>
      <c r="Q955" s="55"/>
      <c r="R955" s="56"/>
      <c r="S955" s="57"/>
      <c r="T955" s="60"/>
    </row>
    <row r="956">
      <c r="A956" s="55"/>
      <c r="B956" s="55"/>
      <c r="C956" s="55"/>
      <c r="D956" s="56"/>
      <c r="E956" s="57"/>
      <c r="F956" s="58"/>
      <c r="G956" s="60"/>
      <c r="H956" s="63"/>
      <c r="I956" s="60"/>
      <c r="J956" s="64"/>
      <c r="K956" s="64"/>
      <c r="L956" s="55"/>
      <c r="M956" s="55"/>
      <c r="N956" s="55"/>
      <c r="O956" s="55"/>
      <c r="P956" s="55"/>
      <c r="Q956" s="55"/>
      <c r="R956" s="56"/>
      <c r="S956" s="57"/>
      <c r="T956" s="60"/>
    </row>
    <row r="957">
      <c r="A957" s="55"/>
      <c r="B957" s="55"/>
      <c r="C957" s="55"/>
      <c r="D957" s="56"/>
      <c r="E957" s="57"/>
      <c r="F957" s="58"/>
      <c r="G957" s="60"/>
      <c r="H957" s="63"/>
      <c r="I957" s="60"/>
      <c r="J957" s="64"/>
      <c r="K957" s="64"/>
      <c r="L957" s="55"/>
      <c r="M957" s="55"/>
      <c r="N957" s="55"/>
      <c r="O957" s="55"/>
      <c r="P957" s="55"/>
      <c r="Q957" s="55"/>
      <c r="R957" s="56"/>
      <c r="S957" s="57"/>
      <c r="T957" s="60"/>
    </row>
    <row r="958">
      <c r="A958" s="55"/>
      <c r="B958" s="55"/>
      <c r="C958" s="55"/>
      <c r="D958" s="56"/>
      <c r="E958" s="57"/>
      <c r="F958" s="58"/>
      <c r="G958" s="60"/>
      <c r="H958" s="63"/>
      <c r="I958" s="60"/>
      <c r="J958" s="64"/>
      <c r="K958" s="64"/>
      <c r="L958" s="55"/>
      <c r="M958" s="55"/>
      <c r="N958" s="55"/>
      <c r="O958" s="55"/>
      <c r="P958" s="55"/>
      <c r="Q958" s="55"/>
      <c r="R958" s="56"/>
      <c r="S958" s="57"/>
      <c r="T958" s="60"/>
    </row>
    <row r="959">
      <c r="A959" s="55"/>
      <c r="B959" s="55"/>
      <c r="C959" s="55"/>
      <c r="D959" s="56"/>
      <c r="E959" s="57"/>
      <c r="F959" s="58"/>
      <c r="G959" s="60"/>
      <c r="H959" s="63"/>
      <c r="I959" s="60"/>
      <c r="J959" s="64"/>
      <c r="K959" s="64"/>
      <c r="L959" s="55"/>
      <c r="M959" s="55"/>
      <c r="N959" s="55"/>
      <c r="O959" s="55"/>
      <c r="P959" s="55"/>
      <c r="Q959" s="55"/>
      <c r="R959" s="56"/>
      <c r="S959" s="57"/>
      <c r="T959" s="60"/>
    </row>
    <row r="960">
      <c r="A960" s="55"/>
      <c r="B960" s="55"/>
      <c r="C960" s="55"/>
      <c r="D960" s="56"/>
      <c r="E960" s="57"/>
      <c r="F960" s="58"/>
      <c r="G960" s="60"/>
      <c r="H960" s="63"/>
      <c r="I960" s="60"/>
      <c r="J960" s="64"/>
      <c r="K960" s="64"/>
      <c r="L960" s="55"/>
      <c r="M960" s="55"/>
      <c r="N960" s="55"/>
      <c r="O960" s="55"/>
      <c r="P960" s="55"/>
      <c r="Q960" s="55"/>
      <c r="R960" s="56"/>
      <c r="S960" s="57"/>
      <c r="T960" s="60"/>
    </row>
    <row r="961">
      <c r="A961" s="55"/>
      <c r="B961" s="55"/>
      <c r="C961" s="55"/>
      <c r="D961" s="56"/>
      <c r="E961" s="57"/>
      <c r="F961" s="58"/>
      <c r="G961" s="60"/>
      <c r="H961" s="63"/>
      <c r="I961" s="60"/>
      <c r="J961" s="64"/>
      <c r="K961" s="64"/>
      <c r="L961" s="55"/>
      <c r="M961" s="55"/>
      <c r="N961" s="55"/>
      <c r="O961" s="55"/>
      <c r="P961" s="55"/>
      <c r="Q961" s="55"/>
      <c r="R961" s="56"/>
      <c r="S961" s="57"/>
      <c r="T961" s="60"/>
    </row>
    <row r="962">
      <c r="A962" s="55"/>
      <c r="B962" s="55"/>
      <c r="C962" s="55"/>
      <c r="D962" s="56"/>
      <c r="E962" s="57"/>
      <c r="F962" s="58"/>
      <c r="G962" s="60"/>
      <c r="H962" s="63"/>
      <c r="I962" s="60"/>
      <c r="J962" s="64"/>
      <c r="K962" s="64"/>
      <c r="L962" s="55"/>
      <c r="M962" s="55"/>
      <c r="N962" s="55"/>
      <c r="O962" s="55"/>
      <c r="P962" s="55"/>
      <c r="Q962" s="55"/>
      <c r="R962" s="56"/>
      <c r="S962" s="57"/>
      <c r="T962" s="60"/>
    </row>
    <row r="963">
      <c r="A963" s="55"/>
      <c r="B963" s="55"/>
      <c r="C963" s="55"/>
      <c r="D963" s="56"/>
      <c r="E963" s="57"/>
      <c r="F963" s="58"/>
      <c r="G963" s="60"/>
      <c r="H963" s="63"/>
      <c r="I963" s="60"/>
      <c r="J963" s="64"/>
      <c r="K963" s="64"/>
      <c r="L963" s="55"/>
      <c r="M963" s="55"/>
      <c r="N963" s="55"/>
      <c r="O963" s="55"/>
      <c r="P963" s="55"/>
      <c r="Q963" s="55"/>
      <c r="R963" s="56"/>
      <c r="S963" s="57"/>
      <c r="T963" s="60"/>
    </row>
    <row r="964">
      <c r="A964" s="55"/>
      <c r="B964" s="55"/>
      <c r="C964" s="55"/>
      <c r="D964" s="56"/>
      <c r="E964" s="57"/>
      <c r="F964" s="58"/>
      <c r="G964" s="60"/>
      <c r="H964" s="63"/>
      <c r="I964" s="60"/>
      <c r="J964" s="64"/>
      <c r="K964" s="64"/>
      <c r="L964" s="55"/>
      <c r="M964" s="55"/>
      <c r="N964" s="55"/>
      <c r="O964" s="55"/>
      <c r="P964" s="55"/>
      <c r="Q964" s="55"/>
      <c r="R964" s="56"/>
      <c r="S964" s="57"/>
      <c r="T964" s="60"/>
    </row>
    <row r="965">
      <c r="A965" s="55"/>
      <c r="B965" s="55"/>
      <c r="C965" s="55"/>
      <c r="D965" s="56"/>
      <c r="E965" s="57"/>
      <c r="F965" s="58"/>
      <c r="G965" s="60"/>
      <c r="H965" s="63"/>
      <c r="I965" s="60"/>
      <c r="J965" s="64"/>
      <c r="K965" s="64"/>
      <c r="L965" s="55"/>
      <c r="M965" s="55"/>
      <c r="N965" s="55"/>
      <c r="O965" s="55"/>
      <c r="P965" s="55"/>
      <c r="Q965" s="55"/>
      <c r="R965" s="56"/>
      <c r="S965" s="57"/>
      <c r="T965" s="60"/>
    </row>
    <row r="966">
      <c r="A966" s="55"/>
      <c r="B966" s="55"/>
      <c r="C966" s="55"/>
      <c r="D966" s="56"/>
      <c r="E966" s="57"/>
      <c r="F966" s="58"/>
      <c r="G966" s="60"/>
      <c r="H966" s="63"/>
      <c r="I966" s="60"/>
      <c r="J966" s="64"/>
      <c r="K966" s="64"/>
      <c r="L966" s="55"/>
      <c r="M966" s="55"/>
      <c r="N966" s="55"/>
      <c r="O966" s="55"/>
      <c r="P966" s="55"/>
      <c r="Q966" s="55"/>
      <c r="R966" s="56"/>
      <c r="S966" s="57"/>
      <c r="T966" s="60"/>
    </row>
    <row r="967">
      <c r="A967" s="55"/>
      <c r="B967" s="55"/>
      <c r="C967" s="55"/>
      <c r="D967" s="56"/>
      <c r="E967" s="57"/>
      <c r="F967" s="58"/>
      <c r="G967" s="60"/>
      <c r="H967" s="63"/>
      <c r="I967" s="60"/>
      <c r="J967" s="64"/>
      <c r="K967" s="64"/>
      <c r="L967" s="55"/>
      <c r="M967" s="55"/>
      <c r="N967" s="55"/>
      <c r="O967" s="55"/>
      <c r="P967" s="55"/>
      <c r="Q967" s="55"/>
      <c r="R967" s="56"/>
      <c r="S967" s="57"/>
      <c r="T967" s="60"/>
    </row>
    <row r="968">
      <c r="A968" s="55"/>
      <c r="B968" s="55"/>
      <c r="C968" s="55"/>
      <c r="D968" s="56"/>
      <c r="E968" s="57"/>
      <c r="F968" s="58"/>
      <c r="G968" s="60"/>
      <c r="H968" s="63"/>
      <c r="I968" s="60"/>
      <c r="J968" s="64"/>
      <c r="K968" s="64"/>
      <c r="L968" s="55"/>
      <c r="M968" s="55"/>
      <c r="N968" s="55"/>
      <c r="O968" s="55"/>
      <c r="P968" s="55"/>
      <c r="Q968" s="55"/>
      <c r="R968" s="56"/>
      <c r="S968" s="57"/>
      <c r="T968" s="60"/>
    </row>
    <row r="969">
      <c r="A969" s="55"/>
      <c r="B969" s="55"/>
      <c r="C969" s="55"/>
      <c r="D969" s="56"/>
      <c r="E969" s="57"/>
      <c r="F969" s="58"/>
      <c r="G969" s="60"/>
      <c r="H969" s="63"/>
      <c r="I969" s="60"/>
      <c r="J969" s="64"/>
      <c r="K969" s="64"/>
      <c r="L969" s="55"/>
      <c r="M969" s="55"/>
      <c r="N969" s="55"/>
      <c r="O969" s="55"/>
      <c r="P969" s="55"/>
      <c r="Q969" s="55"/>
      <c r="R969" s="56"/>
      <c r="S969" s="57"/>
      <c r="T969" s="60"/>
    </row>
    <row r="970">
      <c r="A970" s="55"/>
      <c r="B970" s="55"/>
      <c r="C970" s="55"/>
      <c r="D970" s="56"/>
      <c r="E970" s="57"/>
      <c r="F970" s="58"/>
      <c r="G970" s="60"/>
      <c r="H970" s="63"/>
      <c r="I970" s="60"/>
      <c r="J970" s="64"/>
      <c r="K970" s="64"/>
      <c r="L970" s="55"/>
      <c r="M970" s="55"/>
      <c r="N970" s="55"/>
      <c r="O970" s="55"/>
      <c r="P970" s="55"/>
      <c r="Q970" s="55"/>
      <c r="R970" s="56"/>
      <c r="S970" s="57"/>
      <c r="T970" s="60"/>
    </row>
    <row r="971">
      <c r="A971" s="55"/>
      <c r="B971" s="55"/>
      <c r="C971" s="55"/>
      <c r="D971" s="56"/>
      <c r="E971" s="57"/>
      <c r="F971" s="58"/>
      <c r="G971" s="60"/>
      <c r="H971" s="63"/>
      <c r="I971" s="60"/>
      <c r="J971" s="64"/>
      <c r="K971" s="64"/>
      <c r="L971" s="55"/>
      <c r="M971" s="55"/>
      <c r="N971" s="55"/>
      <c r="O971" s="55"/>
      <c r="P971" s="55"/>
      <c r="Q971" s="55"/>
      <c r="R971" s="56"/>
      <c r="S971" s="57"/>
      <c r="T971" s="60"/>
    </row>
    <row r="972">
      <c r="A972" s="55"/>
      <c r="B972" s="55"/>
      <c r="C972" s="55"/>
      <c r="D972" s="56"/>
      <c r="E972" s="57"/>
      <c r="F972" s="58"/>
      <c r="G972" s="60"/>
      <c r="H972" s="63"/>
      <c r="I972" s="60"/>
      <c r="J972" s="64"/>
      <c r="K972" s="64"/>
      <c r="L972" s="55"/>
      <c r="M972" s="55"/>
      <c r="N972" s="55"/>
      <c r="O972" s="55"/>
      <c r="P972" s="55"/>
      <c r="Q972" s="55"/>
      <c r="R972" s="56"/>
      <c r="S972" s="57"/>
      <c r="T972" s="60"/>
    </row>
    <row r="973">
      <c r="A973" s="55"/>
      <c r="B973" s="55"/>
      <c r="C973" s="55"/>
      <c r="D973" s="56"/>
      <c r="E973" s="57"/>
      <c r="F973" s="58"/>
      <c r="G973" s="60"/>
      <c r="H973" s="63"/>
      <c r="I973" s="60"/>
      <c r="J973" s="64"/>
      <c r="K973" s="64"/>
      <c r="L973" s="55"/>
      <c r="M973" s="55"/>
      <c r="N973" s="55"/>
      <c r="O973" s="55"/>
      <c r="P973" s="55"/>
      <c r="Q973" s="55"/>
      <c r="R973" s="56"/>
      <c r="S973" s="57"/>
      <c r="T973" s="60"/>
    </row>
    <row r="974">
      <c r="A974" s="55"/>
      <c r="B974" s="55"/>
      <c r="C974" s="55"/>
      <c r="D974" s="56"/>
      <c r="E974" s="57"/>
      <c r="F974" s="58"/>
      <c r="G974" s="60"/>
      <c r="H974" s="63"/>
      <c r="I974" s="60"/>
      <c r="J974" s="64"/>
      <c r="K974" s="64"/>
      <c r="L974" s="55"/>
      <c r="M974" s="55"/>
      <c r="N974" s="55"/>
      <c r="O974" s="55"/>
      <c r="P974" s="55"/>
      <c r="Q974" s="55"/>
      <c r="R974" s="56"/>
      <c r="S974" s="57"/>
      <c r="T974" s="60"/>
    </row>
    <row r="975">
      <c r="A975" s="55"/>
      <c r="B975" s="55"/>
      <c r="C975" s="55"/>
      <c r="D975" s="56"/>
      <c r="E975" s="57"/>
      <c r="F975" s="58"/>
      <c r="G975" s="60"/>
      <c r="H975" s="63"/>
      <c r="I975" s="60"/>
      <c r="J975" s="64"/>
      <c r="K975" s="64"/>
      <c r="L975" s="55"/>
      <c r="M975" s="55"/>
      <c r="N975" s="55"/>
      <c r="O975" s="55"/>
      <c r="P975" s="55"/>
      <c r="Q975" s="55"/>
      <c r="R975" s="56"/>
      <c r="S975" s="57"/>
      <c r="T975" s="60"/>
    </row>
    <row r="976">
      <c r="A976" s="55"/>
      <c r="B976" s="55"/>
      <c r="C976" s="55"/>
      <c r="D976" s="56"/>
      <c r="E976" s="57"/>
      <c r="F976" s="58"/>
      <c r="G976" s="60"/>
      <c r="H976" s="63"/>
      <c r="I976" s="60"/>
      <c r="J976" s="64"/>
      <c r="K976" s="64"/>
      <c r="L976" s="55"/>
      <c r="M976" s="55"/>
      <c r="N976" s="55"/>
      <c r="O976" s="55"/>
      <c r="P976" s="55"/>
      <c r="Q976" s="55"/>
      <c r="R976" s="56"/>
      <c r="S976" s="57"/>
      <c r="T976" s="60"/>
    </row>
    <row r="977">
      <c r="A977" s="55"/>
      <c r="B977" s="55"/>
      <c r="C977" s="55"/>
      <c r="D977" s="56"/>
      <c r="E977" s="57"/>
      <c r="F977" s="58"/>
      <c r="G977" s="60"/>
      <c r="H977" s="63"/>
      <c r="I977" s="60"/>
      <c r="J977" s="64"/>
      <c r="K977" s="64"/>
      <c r="L977" s="55"/>
      <c r="M977" s="55"/>
      <c r="N977" s="55"/>
      <c r="O977" s="55"/>
      <c r="P977" s="55"/>
      <c r="Q977" s="55"/>
      <c r="R977" s="56"/>
      <c r="S977" s="57"/>
      <c r="T977" s="60"/>
    </row>
    <row r="978">
      <c r="A978" s="55"/>
      <c r="B978" s="55"/>
      <c r="C978" s="55"/>
      <c r="D978" s="56"/>
      <c r="E978" s="57"/>
      <c r="F978" s="58"/>
      <c r="G978" s="60"/>
      <c r="H978" s="63"/>
      <c r="I978" s="60"/>
      <c r="J978" s="64"/>
      <c r="K978" s="64"/>
      <c r="L978" s="55"/>
      <c r="M978" s="55"/>
      <c r="N978" s="55"/>
      <c r="O978" s="55"/>
      <c r="P978" s="55"/>
      <c r="Q978" s="55"/>
      <c r="R978" s="56"/>
      <c r="S978" s="57"/>
      <c r="T978" s="60"/>
    </row>
    <row r="979">
      <c r="A979" s="55"/>
      <c r="B979" s="55"/>
      <c r="C979" s="55"/>
      <c r="D979" s="56"/>
      <c r="E979" s="57"/>
      <c r="F979" s="58"/>
      <c r="G979" s="60"/>
      <c r="H979" s="63"/>
      <c r="I979" s="60"/>
      <c r="J979" s="64"/>
      <c r="K979" s="64"/>
      <c r="L979" s="55"/>
      <c r="M979" s="55"/>
      <c r="N979" s="55"/>
      <c r="O979" s="55"/>
      <c r="P979" s="55"/>
      <c r="Q979" s="55"/>
      <c r="R979" s="56"/>
      <c r="S979" s="57"/>
      <c r="T979" s="60"/>
    </row>
    <row r="980">
      <c r="A980" s="55"/>
      <c r="B980" s="55"/>
      <c r="C980" s="55"/>
      <c r="D980" s="56"/>
      <c r="E980" s="57"/>
      <c r="F980" s="58"/>
      <c r="G980" s="60"/>
      <c r="H980" s="63"/>
      <c r="I980" s="60"/>
      <c r="J980" s="64"/>
      <c r="K980" s="64"/>
      <c r="L980" s="55"/>
      <c r="M980" s="55"/>
      <c r="N980" s="55"/>
      <c r="O980" s="55"/>
      <c r="P980" s="55"/>
      <c r="Q980" s="55"/>
      <c r="R980" s="56"/>
      <c r="S980" s="57"/>
      <c r="T980" s="60"/>
    </row>
    <row r="981">
      <c r="A981" s="55"/>
      <c r="B981" s="55"/>
      <c r="C981" s="55"/>
      <c r="D981" s="56"/>
      <c r="E981" s="57"/>
      <c r="F981" s="58"/>
      <c r="G981" s="60"/>
      <c r="H981" s="63"/>
      <c r="I981" s="60"/>
      <c r="J981" s="64"/>
      <c r="K981" s="64"/>
      <c r="L981" s="55"/>
      <c r="M981" s="55"/>
      <c r="N981" s="55"/>
      <c r="O981" s="55"/>
      <c r="P981" s="55"/>
      <c r="Q981" s="55"/>
      <c r="R981" s="56"/>
      <c r="S981" s="57"/>
      <c r="T981" s="60"/>
    </row>
    <row r="982">
      <c r="A982" s="55"/>
      <c r="B982" s="55"/>
      <c r="C982" s="55"/>
      <c r="D982" s="56"/>
      <c r="E982" s="57"/>
      <c r="F982" s="58"/>
      <c r="G982" s="60"/>
      <c r="H982" s="63"/>
      <c r="I982" s="60"/>
      <c r="J982" s="64"/>
      <c r="K982" s="64"/>
      <c r="L982" s="55"/>
      <c r="M982" s="55"/>
      <c r="N982" s="55"/>
      <c r="O982" s="55"/>
      <c r="P982" s="55"/>
      <c r="Q982" s="55"/>
      <c r="R982" s="56"/>
      <c r="S982" s="57"/>
      <c r="T982" s="60"/>
    </row>
    <row r="983">
      <c r="A983" s="55"/>
      <c r="B983" s="55"/>
      <c r="C983" s="55"/>
      <c r="D983" s="56"/>
      <c r="E983" s="57"/>
      <c r="F983" s="58"/>
      <c r="G983" s="60"/>
      <c r="H983" s="63"/>
      <c r="I983" s="60"/>
      <c r="J983" s="64"/>
      <c r="K983" s="64"/>
      <c r="L983" s="55"/>
      <c r="M983" s="55"/>
      <c r="N983" s="55"/>
      <c r="O983" s="55"/>
      <c r="P983" s="55"/>
      <c r="Q983" s="55"/>
      <c r="R983" s="56"/>
      <c r="S983" s="57"/>
      <c r="T983" s="60"/>
    </row>
    <row r="984">
      <c r="A984" s="55"/>
      <c r="B984" s="55"/>
      <c r="C984" s="55"/>
      <c r="D984" s="56"/>
      <c r="E984" s="57"/>
      <c r="F984" s="58"/>
      <c r="G984" s="60"/>
      <c r="H984" s="63"/>
      <c r="I984" s="60"/>
      <c r="J984" s="64"/>
      <c r="K984" s="64"/>
      <c r="L984" s="55"/>
      <c r="M984" s="55"/>
      <c r="N984" s="55"/>
      <c r="O984" s="55"/>
      <c r="P984" s="55"/>
      <c r="Q984" s="55"/>
      <c r="R984" s="56"/>
      <c r="S984" s="57"/>
      <c r="T984" s="60"/>
    </row>
    <row r="985">
      <c r="A985" s="55"/>
      <c r="B985" s="55"/>
      <c r="C985" s="55"/>
      <c r="D985" s="56"/>
      <c r="E985" s="57"/>
      <c r="F985" s="58"/>
      <c r="G985" s="60"/>
      <c r="H985" s="63"/>
      <c r="I985" s="60"/>
      <c r="J985" s="64"/>
      <c r="K985" s="64"/>
      <c r="L985" s="55"/>
      <c r="M985" s="55"/>
      <c r="N985" s="55"/>
      <c r="O985" s="55"/>
      <c r="P985" s="55"/>
      <c r="Q985" s="55"/>
      <c r="R985" s="56"/>
      <c r="S985" s="57"/>
      <c r="T985" s="60"/>
    </row>
    <row r="986">
      <c r="A986" s="55"/>
      <c r="B986" s="55"/>
      <c r="C986" s="55"/>
      <c r="D986" s="56"/>
      <c r="E986" s="57"/>
      <c r="F986" s="58"/>
      <c r="G986" s="60"/>
      <c r="H986" s="63"/>
      <c r="I986" s="60"/>
      <c r="J986" s="64"/>
      <c r="K986" s="64"/>
      <c r="L986" s="55"/>
      <c r="M986" s="55"/>
      <c r="N986" s="55"/>
      <c r="O986" s="55"/>
      <c r="P986" s="55"/>
      <c r="Q986" s="55"/>
      <c r="R986" s="56"/>
      <c r="S986" s="57"/>
      <c r="T986" s="60"/>
    </row>
    <row r="987">
      <c r="A987" s="55"/>
      <c r="B987" s="55"/>
      <c r="C987" s="55"/>
      <c r="D987" s="56"/>
      <c r="E987" s="57"/>
      <c r="F987" s="58"/>
      <c r="G987" s="60"/>
      <c r="H987" s="63"/>
      <c r="I987" s="60"/>
      <c r="J987" s="64"/>
      <c r="K987" s="64"/>
      <c r="L987" s="55"/>
      <c r="M987" s="55"/>
      <c r="N987" s="55"/>
      <c r="O987" s="55"/>
      <c r="P987" s="55"/>
      <c r="Q987" s="55"/>
      <c r="R987" s="56"/>
      <c r="S987" s="57"/>
      <c r="T987" s="60"/>
    </row>
    <row r="988">
      <c r="A988" s="55"/>
      <c r="B988" s="55"/>
      <c r="C988" s="55"/>
      <c r="D988" s="56"/>
      <c r="E988" s="57"/>
      <c r="F988" s="58"/>
      <c r="G988" s="60"/>
      <c r="H988" s="63"/>
      <c r="I988" s="60"/>
      <c r="J988" s="64"/>
      <c r="K988" s="64"/>
      <c r="L988" s="55"/>
      <c r="M988" s="55"/>
      <c r="N988" s="55"/>
      <c r="O988" s="55"/>
      <c r="P988" s="55"/>
      <c r="Q988" s="55"/>
      <c r="R988" s="56"/>
      <c r="S988" s="57"/>
      <c r="T988" s="60"/>
    </row>
    <row r="989">
      <c r="A989" s="55"/>
      <c r="B989" s="55"/>
      <c r="C989" s="55"/>
      <c r="D989" s="56"/>
      <c r="E989" s="57"/>
      <c r="F989" s="58"/>
      <c r="G989" s="60"/>
      <c r="H989" s="63"/>
      <c r="I989" s="60"/>
      <c r="J989" s="64"/>
      <c r="K989" s="64"/>
      <c r="L989" s="55"/>
      <c r="M989" s="55"/>
      <c r="N989" s="55"/>
      <c r="O989" s="55"/>
      <c r="P989" s="55"/>
      <c r="Q989" s="55"/>
      <c r="R989" s="56"/>
      <c r="S989" s="57"/>
      <c r="T989" s="60"/>
    </row>
    <row r="990">
      <c r="A990" s="55"/>
      <c r="B990" s="55"/>
      <c r="C990" s="55"/>
      <c r="D990" s="56"/>
      <c r="E990" s="57"/>
      <c r="F990" s="58"/>
      <c r="G990" s="60"/>
      <c r="H990" s="63"/>
      <c r="I990" s="60"/>
      <c r="J990" s="64"/>
      <c r="K990" s="64"/>
      <c r="L990" s="55"/>
      <c r="M990" s="55"/>
      <c r="N990" s="55"/>
      <c r="O990" s="55"/>
      <c r="P990" s="55"/>
      <c r="Q990" s="55"/>
      <c r="R990" s="56"/>
      <c r="S990" s="57"/>
      <c r="T990" s="60"/>
    </row>
    <row r="991">
      <c r="A991" s="55"/>
      <c r="B991" s="55"/>
      <c r="C991" s="55"/>
      <c r="D991" s="56"/>
      <c r="E991" s="57"/>
      <c r="F991" s="58"/>
      <c r="G991" s="60"/>
      <c r="H991" s="63"/>
      <c r="I991" s="60"/>
      <c r="J991" s="64"/>
      <c r="K991" s="64"/>
      <c r="L991" s="55"/>
      <c r="M991" s="55"/>
      <c r="N991" s="55"/>
      <c r="O991" s="55"/>
      <c r="P991" s="55"/>
      <c r="Q991" s="55"/>
      <c r="R991" s="56"/>
      <c r="S991" s="57"/>
      <c r="T991" s="60"/>
    </row>
    <row r="992">
      <c r="A992" s="55"/>
      <c r="B992" s="55"/>
      <c r="C992" s="55"/>
      <c r="D992" s="56"/>
      <c r="E992" s="57"/>
      <c r="F992" s="58"/>
      <c r="G992" s="60"/>
      <c r="H992" s="63"/>
      <c r="I992" s="60"/>
      <c r="J992" s="64"/>
      <c r="K992" s="64"/>
      <c r="L992" s="55"/>
      <c r="M992" s="55"/>
      <c r="N992" s="55"/>
      <c r="O992" s="55"/>
      <c r="P992" s="55"/>
      <c r="Q992" s="55"/>
      <c r="R992" s="56"/>
      <c r="S992" s="57"/>
      <c r="T992" s="60"/>
    </row>
    <row r="993">
      <c r="A993" s="55"/>
      <c r="B993" s="55"/>
      <c r="C993" s="55"/>
      <c r="D993" s="56"/>
      <c r="E993" s="57"/>
      <c r="F993" s="58"/>
      <c r="G993" s="60"/>
      <c r="H993" s="63"/>
      <c r="I993" s="60"/>
      <c r="J993" s="64"/>
      <c r="K993" s="64"/>
      <c r="L993" s="55"/>
      <c r="M993" s="55"/>
      <c r="N993" s="55"/>
      <c r="O993" s="55"/>
      <c r="P993" s="55"/>
      <c r="Q993" s="55"/>
      <c r="R993" s="56"/>
      <c r="S993" s="57"/>
      <c r="T993" s="60"/>
    </row>
    <row r="994">
      <c r="A994" s="55"/>
      <c r="B994" s="55"/>
      <c r="C994" s="55"/>
      <c r="D994" s="56"/>
      <c r="E994" s="57"/>
      <c r="F994" s="58"/>
      <c r="G994" s="60"/>
      <c r="H994" s="63"/>
      <c r="I994" s="60"/>
      <c r="J994" s="64"/>
      <c r="K994" s="64"/>
      <c r="L994" s="55"/>
      <c r="M994" s="55"/>
      <c r="N994" s="55"/>
      <c r="O994" s="55"/>
      <c r="P994" s="55"/>
      <c r="Q994" s="55"/>
      <c r="R994" s="56"/>
      <c r="S994" s="57"/>
      <c r="T994" s="60"/>
    </row>
    <row r="995">
      <c r="A995" s="55"/>
      <c r="B995" s="55"/>
      <c r="C995" s="55"/>
      <c r="D995" s="56"/>
      <c r="E995" s="57"/>
      <c r="F995" s="58"/>
      <c r="G995" s="60"/>
      <c r="H995" s="63"/>
      <c r="I995" s="60"/>
      <c r="J995" s="64"/>
      <c r="K995" s="64"/>
      <c r="L995" s="55"/>
      <c r="M995" s="55"/>
      <c r="N995" s="55"/>
      <c r="O995" s="55"/>
      <c r="P995" s="55"/>
      <c r="Q995" s="55"/>
      <c r="R995" s="56"/>
      <c r="S995" s="57"/>
      <c r="T995" s="60"/>
    </row>
    <row r="996">
      <c r="A996" s="55"/>
      <c r="B996" s="55"/>
      <c r="C996" s="55"/>
      <c r="D996" s="56"/>
      <c r="E996" s="57"/>
      <c r="F996" s="58"/>
      <c r="G996" s="60"/>
      <c r="H996" s="63"/>
      <c r="I996" s="60"/>
      <c r="J996" s="64"/>
      <c r="K996" s="64"/>
      <c r="L996" s="55"/>
      <c r="M996" s="55"/>
      <c r="N996" s="55"/>
      <c r="O996" s="55"/>
      <c r="P996" s="55"/>
      <c r="Q996" s="55"/>
      <c r="R996" s="56"/>
      <c r="S996" s="57"/>
      <c r="T996" s="60"/>
    </row>
    <row r="997">
      <c r="A997" s="55"/>
      <c r="B997" s="55"/>
      <c r="C997" s="55"/>
      <c r="D997" s="56"/>
      <c r="E997" s="57"/>
      <c r="F997" s="58"/>
      <c r="G997" s="60"/>
      <c r="H997" s="63"/>
      <c r="I997" s="60"/>
      <c r="J997" s="64"/>
      <c r="K997" s="64"/>
      <c r="L997" s="55"/>
      <c r="M997" s="55"/>
      <c r="N997" s="55"/>
      <c r="O997" s="55"/>
      <c r="P997" s="55"/>
      <c r="Q997" s="55"/>
      <c r="R997" s="56"/>
      <c r="S997" s="57"/>
      <c r="T997" s="60"/>
    </row>
    <row r="998">
      <c r="A998" s="55"/>
      <c r="B998" s="55"/>
      <c r="C998" s="55"/>
      <c r="D998" s="56"/>
      <c r="E998" s="57"/>
      <c r="F998" s="58"/>
      <c r="G998" s="60"/>
      <c r="H998" s="63"/>
      <c r="I998" s="60"/>
      <c r="J998" s="64"/>
      <c r="K998" s="64"/>
      <c r="L998" s="55"/>
      <c r="M998" s="55"/>
      <c r="N998" s="55"/>
      <c r="O998" s="55"/>
      <c r="P998" s="55"/>
      <c r="Q998" s="55"/>
      <c r="R998" s="56"/>
      <c r="S998" s="57"/>
      <c r="T998" s="60"/>
    </row>
    <row r="999">
      <c r="A999" s="55"/>
      <c r="B999" s="55"/>
      <c r="C999" s="55"/>
      <c r="D999" s="56"/>
      <c r="E999" s="57"/>
      <c r="F999" s="58"/>
      <c r="G999" s="60"/>
      <c r="H999" s="63"/>
      <c r="I999" s="60"/>
      <c r="J999" s="64"/>
      <c r="K999" s="64"/>
      <c r="L999" s="55"/>
      <c r="M999" s="55"/>
      <c r="N999" s="55"/>
      <c r="O999" s="55"/>
      <c r="P999" s="55"/>
      <c r="Q999" s="55"/>
      <c r="R999" s="56"/>
      <c r="S999" s="57"/>
      <c r="T999" s="60"/>
    </row>
    <row r="1000">
      <c r="A1000" s="55"/>
      <c r="B1000" s="55"/>
      <c r="C1000" s="55"/>
      <c r="D1000" s="56"/>
      <c r="E1000" s="57"/>
      <c r="F1000" s="58"/>
      <c r="G1000" s="60"/>
      <c r="H1000" s="63"/>
      <c r="I1000" s="60"/>
      <c r="J1000" s="64"/>
      <c r="K1000" s="64"/>
      <c r="L1000" s="55"/>
      <c r="M1000" s="55"/>
      <c r="N1000" s="55"/>
      <c r="O1000" s="55"/>
      <c r="P1000" s="55"/>
      <c r="Q1000" s="55"/>
      <c r="R1000" s="56"/>
      <c r="S1000" s="57"/>
      <c r="T1000" s="60"/>
    </row>
    <row r="1001">
      <c r="A1001" s="55"/>
      <c r="B1001" s="55"/>
      <c r="C1001" s="55"/>
      <c r="D1001" s="56"/>
      <c r="E1001" s="57"/>
      <c r="F1001" s="58"/>
      <c r="G1001" s="60"/>
      <c r="H1001" s="63"/>
      <c r="I1001" s="60"/>
      <c r="J1001" s="64"/>
      <c r="K1001" s="64"/>
      <c r="L1001" s="55"/>
      <c r="M1001" s="55"/>
      <c r="N1001" s="55"/>
      <c r="O1001" s="55"/>
      <c r="P1001" s="55"/>
      <c r="Q1001" s="55"/>
      <c r="R1001" s="56"/>
      <c r="S1001" s="57"/>
      <c r="T1001" s="60"/>
    </row>
    <row r="1002">
      <c r="A1002" s="55"/>
      <c r="B1002" s="55"/>
      <c r="C1002" s="55"/>
      <c r="D1002" s="56"/>
      <c r="E1002" s="57"/>
      <c r="F1002" s="58"/>
      <c r="G1002" s="60"/>
      <c r="H1002" s="63"/>
      <c r="I1002" s="60"/>
      <c r="J1002" s="64"/>
      <c r="K1002" s="64"/>
      <c r="L1002" s="55"/>
      <c r="M1002" s="55"/>
      <c r="N1002" s="55"/>
      <c r="O1002" s="55"/>
      <c r="P1002" s="55"/>
      <c r="Q1002" s="55"/>
      <c r="R1002" s="56"/>
      <c r="S1002" s="57"/>
      <c r="T1002" s="60"/>
    </row>
    <row r="1003">
      <c r="A1003" s="55"/>
      <c r="B1003" s="55"/>
      <c r="C1003" s="55"/>
      <c r="D1003" s="56"/>
      <c r="E1003" s="57"/>
      <c r="F1003" s="58"/>
      <c r="G1003" s="60"/>
      <c r="H1003" s="63"/>
      <c r="I1003" s="60"/>
      <c r="J1003" s="64"/>
      <c r="K1003" s="64"/>
      <c r="L1003" s="55"/>
      <c r="M1003" s="55"/>
      <c r="N1003" s="55"/>
      <c r="O1003" s="55"/>
      <c r="P1003" s="55"/>
      <c r="Q1003" s="55"/>
      <c r="R1003" s="56"/>
      <c r="S1003" s="57"/>
      <c r="T1003" s="60"/>
    </row>
    <row r="1004">
      <c r="A1004" s="55"/>
      <c r="B1004" s="55"/>
      <c r="C1004" s="55"/>
      <c r="D1004" s="56"/>
      <c r="E1004" s="57"/>
      <c r="F1004" s="58"/>
      <c r="G1004" s="60"/>
      <c r="H1004" s="63"/>
      <c r="I1004" s="60"/>
      <c r="J1004" s="64"/>
      <c r="K1004" s="64"/>
      <c r="L1004" s="55"/>
      <c r="M1004" s="55"/>
      <c r="N1004" s="55"/>
      <c r="O1004" s="55"/>
      <c r="P1004" s="55"/>
      <c r="Q1004" s="55"/>
      <c r="R1004" s="56"/>
      <c r="S1004" s="57"/>
      <c r="T1004" s="60"/>
    </row>
    <row r="1005">
      <c r="A1005" s="55"/>
      <c r="B1005" s="55"/>
      <c r="C1005" s="55"/>
      <c r="D1005" s="56"/>
      <c r="E1005" s="57"/>
      <c r="F1005" s="58"/>
      <c r="G1005" s="60"/>
      <c r="H1005" s="63"/>
      <c r="I1005" s="60"/>
      <c r="J1005" s="64"/>
      <c r="K1005" s="64"/>
      <c r="L1005" s="55"/>
      <c r="M1005" s="55"/>
      <c r="N1005" s="55"/>
      <c r="O1005" s="55"/>
      <c r="P1005" s="55"/>
      <c r="Q1005" s="55"/>
      <c r="R1005" s="56"/>
      <c r="S1005" s="57"/>
      <c r="T1005" s="60"/>
    </row>
    <row r="1006">
      <c r="A1006" s="55"/>
      <c r="B1006" s="55"/>
      <c r="C1006" s="55"/>
      <c r="D1006" s="56"/>
      <c r="E1006" s="57"/>
      <c r="F1006" s="58"/>
      <c r="G1006" s="60"/>
      <c r="H1006" s="63"/>
      <c r="I1006" s="60"/>
      <c r="J1006" s="64"/>
      <c r="K1006" s="64"/>
      <c r="L1006" s="55"/>
      <c r="M1006" s="55"/>
      <c r="N1006" s="55"/>
      <c r="O1006" s="55"/>
      <c r="P1006" s="55"/>
      <c r="Q1006" s="55"/>
      <c r="R1006" s="56"/>
      <c r="S1006" s="57"/>
      <c r="T1006" s="60"/>
    </row>
    <row r="1007">
      <c r="A1007" s="55"/>
      <c r="B1007" s="55"/>
      <c r="C1007" s="55"/>
      <c r="D1007" s="56"/>
      <c r="E1007" s="57"/>
      <c r="F1007" s="58"/>
      <c r="G1007" s="60"/>
      <c r="H1007" s="63"/>
      <c r="I1007" s="60"/>
      <c r="J1007" s="64"/>
      <c r="K1007" s="64"/>
      <c r="L1007" s="55"/>
      <c r="M1007" s="55"/>
      <c r="N1007" s="55"/>
      <c r="O1007" s="55"/>
      <c r="P1007" s="55"/>
      <c r="Q1007" s="55"/>
      <c r="R1007" s="56"/>
      <c r="S1007" s="57"/>
      <c r="T1007" s="60"/>
    </row>
    <row r="1008">
      <c r="A1008" s="55"/>
      <c r="B1008" s="55"/>
      <c r="C1008" s="55"/>
      <c r="D1008" s="56"/>
      <c r="E1008" s="57"/>
      <c r="F1008" s="58"/>
      <c r="G1008" s="60"/>
      <c r="H1008" s="63"/>
      <c r="I1008" s="60"/>
      <c r="J1008" s="64"/>
      <c r="K1008" s="64"/>
      <c r="L1008" s="55"/>
      <c r="M1008" s="55"/>
      <c r="N1008" s="55"/>
      <c r="O1008" s="55"/>
      <c r="P1008" s="55"/>
      <c r="Q1008" s="55"/>
      <c r="R1008" s="56"/>
      <c r="S1008" s="57"/>
      <c r="T1008" s="60"/>
    </row>
    <row r="1009">
      <c r="A1009" s="55"/>
      <c r="B1009" s="55"/>
      <c r="C1009" s="55"/>
      <c r="D1009" s="56"/>
      <c r="E1009" s="57"/>
      <c r="F1009" s="58"/>
      <c r="G1009" s="60"/>
      <c r="H1009" s="63"/>
      <c r="I1009" s="60"/>
      <c r="J1009" s="64"/>
      <c r="K1009" s="64"/>
      <c r="L1009" s="55"/>
      <c r="M1009" s="55"/>
      <c r="N1009" s="55"/>
      <c r="O1009" s="55"/>
      <c r="P1009" s="55"/>
      <c r="Q1009" s="55"/>
      <c r="R1009" s="56"/>
      <c r="S1009" s="57"/>
      <c r="T1009" s="60"/>
    </row>
    <row r="1010">
      <c r="A1010" s="55"/>
      <c r="B1010" s="55"/>
      <c r="C1010" s="55"/>
      <c r="D1010" s="56"/>
      <c r="E1010" s="57"/>
      <c r="F1010" s="58"/>
      <c r="G1010" s="60"/>
      <c r="H1010" s="63"/>
      <c r="I1010" s="60"/>
      <c r="J1010" s="64"/>
      <c r="K1010" s="64"/>
      <c r="L1010" s="55"/>
      <c r="M1010" s="55"/>
      <c r="N1010" s="55"/>
      <c r="O1010" s="55"/>
      <c r="P1010" s="55"/>
      <c r="Q1010" s="55"/>
      <c r="R1010" s="56"/>
      <c r="S1010" s="57"/>
      <c r="T1010" s="60"/>
    </row>
    <row r="1011">
      <c r="A1011" s="55"/>
      <c r="B1011" s="55"/>
      <c r="C1011" s="55"/>
      <c r="D1011" s="56"/>
      <c r="E1011" s="57"/>
      <c r="F1011" s="58"/>
      <c r="G1011" s="60"/>
      <c r="H1011" s="63"/>
      <c r="I1011" s="60"/>
      <c r="J1011" s="64"/>
      <c r="K1011" s="64"/>
      <c r="L1011" s="55"/>
      <c r="M1011" s="55"/>
      <c r="N1011" s="55"/>
      <c r="O1011" s="55"/>
      <c r="P1011" s="55"/>
      <c r="Q1011" s="55"/>
      <c r="R1011" s="56"/>
      <c r="S1011" s="57"/>
      <c r="T1011" s="60"/>
    </row>
    <row r="1012">
      <c r="A1012" s="55"/>
      <c r="B1012" s="55"/>
      <c r="C1012" s="55"/>
      <c r="D1012" s="56"/>
      <c r="E1012" s="57"/>
      <c r="F1012" s="58"/>
      <c r="G1012" s="60"/>
      <c r="H1012" s="63"/>
      <c r="I1012" s="60"/>
      <c r="J1012" s="64"/>
      <c r="K1012" s="64"/>
      <c r="L1012" s="55"/>
      <c r="M1012" s="55"/>
      <c r="N1012" s="55"/>
      <c r="O1012" s="55"/>
      <c r="P1012" s="55"/>
      <c r="Q1012" s="55"/>
      <c r="R1012" s="56"/>
      <c r="S1012" s="57"/>
      <c r="T1012" s="60"/>
    </row>
    <row r="1013">
      <c r="A1013" s="55"/>
      <c r="B1013" s="55"/>
      <c r="C1013" s="55"/>
      <c r="D1013" s="56"/>
      <c r="E1013" s="57"/>
      <c r="F1013" s="58"/>
      <c r="G1013" s="60"/>
      <c r="H1013" s="63"/>
      <c r="I1013" s="60"/>
      <c r="J1013" s="64"/>
      <c r="K1013" s="64"/>
      <c r="L1013" s="55"/>
      <c r="M1013" s="55"/>
      <c r="N1013" s="55"/>
      <c r="O1013" s="55"/>
      <c r="P1013" s="55"/>
      <c r="Q1013" s="55"/>
      <c r="R1013" s="56"/>
      <c r="S1013" s="57"/>
      <c r="T1013" s="60"/>
    </row>
    <row r="1014">
      <c r="A1014" s="55"/>
      <c r="B1014" s="55"/>
      <c r="C1014" s="55"/>
      <c r="D1014" s="56"/>
      <c r="E1014" s="57"/>
      <c r="F1014" s="58"/>
      <c r="G1014" s="60"/>
      <c r="H1014" s="63"/>
      <c r="I1014" s="60"/>
      <c r="J1014" s="64"/>
      <c r="K1014" s="64"/>
      <c r="L1014" s="55"/>
      <c r="M1014" s="55"/>
      <c r="N1014" s="55"/>
      <c r="O1014" s="55"/>
      <c r="P1014" s="55"/>
      <c r="Q1014" s="55"/>
      <c r="R1014" s="56"/>
      <c r="S1014" s="57"/>
      <c r="T1014" s="60"/>
    </row>
    <row r="1015">
      <c r="A1015" s="55"/>
      <c r="B1015" s="55"/>
      <c r="C1015" s="55"/>
      <c r="D1015" s="56"/>
      <c r="E1015" s="57"/>
      <c r="F1015" s="58"/>
      <c r="G1015" s="60"/>
      <c r="H1015" s="63"/>
      <c r="I1015" s="60"/>
      <c r="J1015" s="64"/>
      <c r="K1015" s="64"/>
      <c r="L1015" s="55"/>
      <c r="M1015" s="55"/>
      <c r="N1015" s="55"/>
      <c r="O1015" s="55"/>
      <c r="P1015" s="55"/>
      <c r="Q1015" s="55"/>
      <c r="R1015" s="56"/>
      <c r="S1015" s="57"/>
      <c r="T1015" s="60"/>
    </row>
    <row r="1016">
      <c r="A1016" s="55"/>
      <c r="B1016" s="55"/>
      <c r="C1016" s="55"/>
      <c r="D1016" s="56"/>
      <c r="E1016" s="57"/>
      <c r="F1016" s="58"/>
      <c r="G1016" s="60"/>
      <c r="H1016" s="63"/>
      <c r="I1016" s="60"/>
      <c r="J1016" s="64"/>
      <c r="K1016" s="64"/>
      <c r="L1016" s="55"/>
      <c r="M1016" s="55"/>
      <c r="N1016" s="55"/>
      <c r="O1016" s="55"/>
      <c r="P1016" s="55"/>
      <c r="Q1016" s="55"/>
      <c r="R1016" s="56"/>
      <c r="S1016" s="57"/>
      <c r="T1016" s="60"/>
    </row>
    <row r="1017">
      <c r="A1017" s="55"/>
      <c r="B1017" s="55"/>
      <c r="C1017" s="55"/>
      <c r="D1017" s="56"/>
      <c r="E1017" s="57"/>
      <c r="F1017" s="58"/>
      <c r="G1017" s="60"/>
      <c r="H1017" s="63"/>
      <c r="I1017" s="60"/>
      <c r="J1017" s="64"/>
      <c r="K1017" s="64"/>
      <c r="L1017" s="55"/>
      <c r="M1017" s="55"/>
      <c r="N1017" s="55"/>
      <c r="O1017" s="55"/>
      <c r="P1017" s="55"/>
      <c r="Q1017" s="55"/>
      <c r="R1017" s="56"/>
      <c r="S1017" s="57"/>
      <c r="T1017" s="60"/>
    </row>
    <row r="1018">
      <c r="A1018" s="55"/>
      <c r="B1018" s="55"/>
      <c r="C1018" s="55"/>
      <c r="D1018" s="56"/>
      <c r="E1018" s="57"/>
      <c r="F1018" s="58"/>
      <c r="G1018" s="60"/>
      <c r="H1018" s="63"/>
      <c r="I1018" s="60"/>
      <c r="J1018" s="64"/>
      <c r="K1018" s="64"/>
      <c r="L1018" s="55"/>
      <c r="M1018" s="55"/>
      <c r="N1018" s="55"/>
      <c r="O1018" s="55"/>
      <c r="P1018" s="55"/>
      <c r="Q1018" s="55"/>
      <c r="R1018" s="56"/>
      <c r="S1018" s="57"/>
      <c r="T1018" s="60"/>
    </row>
    <row r="1019">
      <c r="A1019" s="55"/>
      <c r="B1019" s="55"/>
      <c r="C1019" s="55"/>
      <c r="D1019" s="56"/>
      <c r="E1019" s="57"/>
      <c r="F1019" s="58"/>
      <c r="G1019" s="60"/>
      <c r="H1019" s="63"/>
      <c r="I1019" s="60"/>
      <c r="J1019" s="64"/>
      <c r="K1019" s="64"/>
      <c r="L1019" s="55"/>
      <c r="M1019" s="55"/>
      <c r="N1019" s="55"/>
      <c r="O1019" s="55"/>
      <c r="P1019" s="55"/>
      <c r="Q1019" s="55"/>
      <c r="R1019" s="56"/>
      <c r="S1019" s="57"/>
      <c r="T1019" s="60"/>
    </row>
    <row r="1020">
      <c r="A1020" s="55"/>
      <c r="B1020" s="55"/>
      <c r="C1020" s="55"/>
      <c r="D1020" s="56"/>
      <c r="E1020" s="57"/>
      <c r="F1020" s="58"/>
      <c r="G1020" s="60"/>
      <c r="H1020" s="63"/>
      <c r="I1020" s="60"/>
      <c r="J1020" s="64"/>
      <c r="K1020" s="64"/>
      <c r="L1020" s="55"/>
      <c r="M1020" s="55"/>
      <c r="N1020" s="55"/>
      <c r="O1020" s="55"/>
      <c r="P1020" s="55"/>
      <c r="Q1020" s="55"/>
      <c r="R1020" s="56"/>
      <c r="S1020" s="57"/>
      <c r="T1020" s="60"/>
    </row>
    <row r="1021">
      <c r="A1021" s="55"/>
      <c r="B1021" s="55"/>
      <c r="C1021" s="55"/>
      <c r="D1021" s="56"/>
      <c r="E1021" s="57"/>
      <c r="F1021" s="58"/>
      <c r="G1021" s="60"/>
      <c r="H1021" s="63"/>
      <c r="I1021" s="60"/>
      <c r="J1021" s="64"/>
      <c r="K1021" s="64"/>
      <c r="L1021" s="55"/>
      <c r="M1021" s="55"/>
      <c r="N1021" s="55"/>
      <c r="O1021" s="55"/>
      <c r="P1021" s="55"/>
      <c r="Q1021" s="55"/>
      <c r="R1021" s="56"/>
      <c r="S1021" s="57"/>
      <c r="T1021" s="60"/>
    </row>
    <row r="1022">
      <c r="A1022" s="55"/>
      <c r="B1022" s="55"/>
      <c r="C1022" s="55"/>
      <c r="D1022" s="56"/>
      <c r="E1022" s="57"/>
      <c r="F1022" s="58"/>
      <c r="G1022" s="60"/>
      <c r="H1022" s="63"/>
      <c r="I1022" s="60"/>
      <c r="J1022" s="64"/>
      <c r="K1022" s="64"/>
      <c r="L1022" s="55"/>
      <c r="M1022" s="55"/>
      <c r="N1022" s="55"/>
      <c r="O1022" s="55"/>
      <c r="P1022" s="55"/>
      <c r="Q1022" s="55"/>
      <c r="R1022" s="56"/>
      <c r="S1022" s="57"/>
      <c r="T1022" s="60"/>
    </row>
    <row r="1023">
      <c r="A1023" s="55"/>
      <c r="B1023" s="55"/>
      <c r="C1023" s="55"/>
      <c r="D1023" s="56"/>
      <c r="E1023" s="57"/>
      <c r="F1023" s="58"/>
      <c r="G1023" s="60"/>
      <c r="H1023" s="63"/>
      <c r="I1023" s="60"/>
      <c r="J1023" s="64"/>
      <c r="K1023" s="64"/>
      <c r="L1023" s="55"/>
      <c r="M1023" s="55"/>
      <c r="N1023" s="55"/>
      <c r="O1023" s="55"/>
      <c r="P1023" s="55"/>
      <c r="Q1023" s="55"/>
      <c r="R1023" s="56"/>
      <c r="S1023" s="57"/>
      <c r="T1023" s="60"/>
    </row>
    <row r="1024">
      <c r="A1024" s="55"/>
      <c r="B1024" s="55"/>
      <c r="C1024" s="55"/>
      <c r="D1024" s="56"/>
      <c r="E1024" s="57"/>
      <c r="F1024" s="58"/>
      <c r="G1024" s="60"/>
      <c r="H1024" s="63"/>
      <c r="I1024" s="60"/>
      <c r="J1024" s="64"/>
      <c r="K1024" s="64"/>
      <c r="L1024" s="55"/>
      <c r="M1024" s="55"/>
      <c r="N1024" s="55"/>
      <c r="O1024" s="55"/>
      <c r="P1024" s="55"/>
      <c r="Q1024" s="55"/>
      <c r="R1024" s="56"/>
      <c r="S1024" s="57"/>
      <c r="T1024" s="60"/>
    </row>
    <row r="1025">
      <c r="A1025" s="55"/>
      <c r="B1025" s="55"/>
      <c r="C1025" s="55"/>
      <c r="D1025" s="56"/>
      <c r="E1025" s="57"/>
      <c r="F1025" s="58"/>
      <c r="G1025" s="60"/>
      <c r="H1025" s="63"/>
      <c r="I1025" s="60"/>
      <c r="J1025" s="64"/>
      <c r="K1025" s="64"/>
      <c r="L1025" s="55"/>
      <c r="M1025" s="55"/>
      <c r="N1025" s="55"/>
      <c r="O1025" s="55"/>
      <c r="P1025" s="55"/>
      <c r="Q1025" s="55"/>
      <c r="R1025" s="56"/>
      <c r="S1025" s="57"/>
      <c r="T1025" s="60"/>
    </row>
    <row r="1026">
      <c r="A1026" s="55"/>
      <c r="B1026" s="55"/>
      <c r="C1026" s="55"/>
      <c r="D1026" s="56"/>
      <c r="E1026" s="57"/>
      <c r="F1026" s="58"/>
      <c r="G1026" s="60"/>
      <c r="H1026" s="63"/>
      <c r="I1026" s="60"/>
      <c r="J1026" s="64"/>
      <c r="K1026" s="64"/>
      <c r="L1026" s="55"/>
      <c r="M1026" s="55"/>
      <c r="N1026" s="55"/>
      <c r="O1026" s="55"/>
      <c r="P1026" s="55"/>
      <c r="Q1026" s="55"/>
      <c r="R1026" s="56"/>
      <c r="S1026" s="57"/>
      <c r="T1026" s="60"/>
    </row>
    <row r="1027">
      <c r="A1027" s="55"/>
      <c r="B1027" s="55"/>
      <c r="C1027" s="55"/>
      <c r="D1027" s="56"/>
      <c r="E1027" s="57"/>
      <c r="F1027" s="58"/>
      <c r="G1027" s="60"/>
      <c r="H1027" s="63"/>
      <c r="I1027" s="60"/>
      <c r="J1027" s="64"/>
      <c r="K1027" s="64"/>
      <c r="L1027" s="55"/>
      <c r="M1027" s="55"/>
      <c r="N1027" s="55"/>
      <c r="O1027" s="55"/>
      <c r="P1027" s="55"/>
      <c r="Q1027" s="55"/>
      <c r="R1027" s="56"/>
      <c r="S1027" s="57"/>
      <c r="T1027" s="60"/>
    </row>
    <row r="1028">
      <c r="A1028" s="55"/>
      <c r="B1028" s="55"/>
      <c r="C1028" s="55"/>
      <c r="D1028" s="56"/>
      <c r="E1028" s="57"/>
      <c r="F1028" s="58"/>
      <c r="G1028" s="60"/>
      <c r="H1028" s="63"/>
      <c r="I1028" s="60"/>
      <c r="J1028" s="64"/>
      <c r="K1028" s="64"/>
      <c r="L1028" s="55"/>
      <c r="M1028" s="55"/>
      <c r="N1028" s="55"/>
      <c r="O1028" s="55"/>
      <c r="P1028" s="55"/>
      <c r="Q1028" s="55"/>
      <c r="R1028" s="56"/>
      <c r="S1028" s="57"/>
      <c r="T1028" s="60"/>
    </row>
    <row r="1029">
      <c r="A1029" s="55"/>
      <c r="B1029" s="55"/>
      <c r="C1029" s="55"/>
      <c r="D1029" s="56"/>
      <c r="E1029" s="57"/>
      <c r="F1029" s="58"/>
      <c r="G1029" s="60"/>
      <c r="H1029" s="63"/>
      <c r="I1029" s="60"/>
      <c r="J1029" s="64"/>
      <c r="K1029" s="64"/>
      <c r="L1029" s="55"/>
      <c r="M1029" s="55"/>
      <c r="N1029" s="55"/>
      <c r="O1029" s="55"/>
      <c r="P1029" s="55"/>
      <c r="Q1029" s="55"/>
      <c r="R1029" s="56"/>
      <c r="S1029" s="57"/>
      <c r="T1029" s="60"/>
    </row>
    <row r="1030">
      <c r="A1030" s="55"/>
      <c r="B1030" s="55"/>
      <c r="C1030" s="55"/>
      <c r="D1030" s="56"/>
      <c r="E1030" s="57"/>
      <c r="F1030" s="58"/>
      <c r="G1030" s="60"/>
      <c r="H1030" s="63"/>
      <c r="I1030" s="60"/>
      <c r="J1030" s="64"/>
      <c r="K1030" s="64"/>
      <c r="L1030" s="55"/>
      <c r="M1030" s="55"/>
      <c r="N1030" s="55"/>
      <c r="O1030" s="55"/>
      <c r="P1030" s="55"/>
      <c r="Q1030" s="55"/>
      <c r="R1030" s="56"/>
      <c r="S1030" s="57"/>
      <c r="T1030" s="60"/>
    </row>
    <row r="1031">
      <c r="A1031" s="55"/>
      <c r="B1031" s="55"/>
      <c r="C1031" s="55"/>
      <c r="D1031" s="56"/>
      <c r="E1031" s="57"/>
      <c r="F1031" s="58"/>
      <c r="G1031" s="60"/>
      <c r="H1031" s="63"/>
      <c r="I1031" s="60"/>
      <c r="J1031" s="64"/>
      <c r="K1031" s="64"/>
      <c r="L1031" s="55"/>
      <c r="M1031" s="55"/>
      <c r="N1031" s="55"/>
      <c r="O1031" s="55"/>
      <c r="P1031" s="55"/>
      <c r="Q1031" s="55"/>
      <c r="R1031" s="56"/>
      <c r="S1031" s="57"/>
      <c r="T1031" s="60"/>
    </row>
    <row r="1032">
      <c r="A1032" s="55"/>
      <c r="B1032" s="55"/>
      <c r="C1032" s="55"/>
      <c r="D1032" s="56"/>
      <c r="E1032" s="57"/>
      <c r="F1032" s="58"/>
      <c r="G1032" s="60"/>
      <c r="H1032" s="63"/>
      <c r="I1032" s="60"/>
      <c r="J1032" s="64"/>
      <c r="K1032" s="64"/>
      <c r="L1032" s="55"/>
      <c r="M1032" s="55"/>
      <c r="N1032" s="55"/>
      <c r="O1032" s="55"/>
      <c r="P1032" s="55"/>
      <c r="Q1032" s="55"/>
      <c r="R1032" s="56"/>
      <c r="S1032" s="57"/>
      <c r="T1032" s="60"/>
    </row>
    <row r="1033">
      <c r="A1033" s="55"/>
      <c r="B1033" s="55"/>
      <c r="C1033" s="55"/>
      <c r="D1033" s="56"/>
      <c r="E1033" s="57"/>
      <c r="F1033" s="58"/>
      <c r="G1033" s="60"/>
      <c r="H1033" s="63"/>
      <c r="I1033" s="60"/>
      <c r="J1033" s="64"/>
      <c r="K1033" s="64"/>
      <c r="L1033" s="55"/>
      <c r="M1033" s="55"/>
      <c r="N1033" s="55"/>
      <c r="O1033" s="55"/>
      <c r="P1033" s="55"/>
      <c r="Q1033" s="55"/>
      <c r="R1033" s="56"/>
      <c r="S1033" s="57"/>
      <c r="T1033" s="60"/>
    </row>
    <row r="1034">
      <c r="A1034" s="55"/>
      <c r="B1034" s="55"/>
      <c r="C1034" s="55"/>
      <c r="D1034" s="56"/>
      <c r="E1034" s="57"/>
      <c r="F1034" s="58"/>
      <c r="G1034" s="60"/>
      <c r="H1034" s="63"/>
      <c r="I1034" s="60"/>
      <c r="J1034" s="64"/>
      <c r="K1034" s="64"/>
      <c r="L1034" s="55"/>
      <c r="M1034" s="55"/>
      <c r="N1034" s="55"/>
      <c r="O1034" s="55"/>
      <c r="P1034" s="55"/>
      <c r="Q1034" s="55"/>
      <c r="R1034" s="56"/>
      <c r="S1034" s="57"/>
      <c r="T1034" s="60"/>
    </row>
    <row r="1035">
      <c r="A1035" s="55"/>
      <c r="B1035" s="55"/>
      <c r="C1035" s="55"/>
      <c r="D1035" s="56"/>
      <c r="E1035" s="57"/>
      <c r="F1035" s="58"/>
      <c r="G1035" s="60"/>
      <c r="H1035" s="63"/>
      <c r="I1035" s="60"/>
      <c r="J1035" s="64"/>
      <c r="K1035" s="64"/>
      <c r="L1035" s="55"/>
      <c r="M1035" s="55"/>
      <c r="N1035" s="55"/>
      <c r="O1035" s="55"/>
      <c r="P1035" s="55"/>
      <c r="Q1035" s="55"/>
      <c r="R1035" s="56"/>
      <c r="S1035" s="57"/>
      <c r="T1035" s="60"/>
    </row>
    <row r="1036">
      <c r="A1036" s="55"/>
      <c r="B1036" s="55"/>
      <c r="C1036" s="55"/>
      <c r="D1036" s="56"/>
      <c r="E1036" s="57"/>
      <c r="F1036" s="58"/>
      <c r="G1036" s="60"/>
      <c r="H1036" s="63"/>
      <c r="I1036" s="60"/>
      <c r="J1036" s="64"/>
      <c r="K1036" s="64"/>
      <c r="L1036" s="55"/>
      <c r="M1036" s="55"/>
      <c r="N1036" s="55"/>
      <c r="O1036" s="55"/>
      <c r="P1036" s="55"/>
      <c r="Q1036" s="55"/>
      <c r="R1036" s="56"/>
      <c r="S1036" s="57"/>
      <c r="T1036" s="60"/>
    </row>
    <row r="1037">
      <c r="A1037" s="55"/>
      <c r="B1037" s="55"/>
      <c r="C1037" s="55"/>
      <c r="D1037" s="56"/>
      <c r="E1037" s="57"/>
      <c r="F1037" s="58"/>
      <c r="G1037" s="60"/>
      <c r="H1037" s="63"/>
      <c r="I1037" s="60"/>
      <c r="J1037" s="64"/>
      <c r="K1037" s="64"/>
      <c r="L1037" s="55"/>
      <c r="M1037" s="55"/>
      <c r="N1037" s="55"/>
      <c r="O1037" s="55"/>
      <c r="P1037" s="55"/>
      <c r="Q1037" s="55"/>
      <c r="R1037" s="56"/>
      <c r="S1037" s="57"/>
      <c r="T1037" s="60"/>
    </row>
    <row r="1038">
      <c r="A1038" s="55"/>
      <c r="B1038" s="55"/>
      <c r="C1038" s="55"/>
      <c r="D1038" s="56"/>
      <c r="E1038" s="57"/>
      <c r="F1038" s="58"/>
      <c r="G1038" s="60"/>
      <c r="H1038" s="63"/>
      <c r="I1038" s="60"/>
      <c r="J1038" s="64"/>
      <c r="K1038" s="64"/>
      <c r="L1038" s="55"/>
      <c r="M1038" s="55"/>
      <c r="N1038" s="55"/>
      <c r="O1038" s="55"/>
      <c r="P1038" s="55"/>
      <c r="Q1038" s="55"/>
      <c r="R1038" s="56"/>
      <c r="S1038" s="57"/>
      <c r="T1038" s="60"/>
    </row>
    <row r="1039">
      <c r="A1039" s="55"/>
      <c r="B1039" s="55"/>
      <c r="C1039" s="55"/>
      <c r="D1039" s="56"/>
      <c r="E1039" s="57"/>
      <c r="F1039" s="58"/>
      <c r="G1039" s="60"/>
      <c r="H1039" s="63"/>
      <c r="I1039" s="60"/>
      <c r="J1039" s="64"/>
      <c r="K1039" s="64"/>
      <c r="L1039" s="55"/>
      <c r="M1039" s="55"/>
      <c r="N1039" s="55"/>
      <c r="O1039" s="55"/>
      <c r="P1039" s="55"/>
      <c r="Q1039" s="55"/>
      <c r="R1039" s="56"/>
      <c r="S1039" s="57"/>
      <c r="T1039" s="60"/>
    </row>
    <row r="1040">
      <c r="A1040" s="55"/>
      <c r="B1040" s="55"/>
      <c r="C1040" s="55"/>
      <c r="D1040" s="56"/>
      <c r="E1040" s="57"/>
      <c r="F1040" s="58"/>
      <c r="G1040" s="60"/>
      <c r="H1040" s="63"/>
      <c r="I1040" s="60"/>
      <c r="J1040" s="64"/>
      <c r="K1040" s="64"/>
      <c r="L1040" s="55"/>
      <c r="M1040" s="55"/>
      <c r="N1040" s="55"/>
      <c r="O1040" s="55"/>
      <c r="P1040" s="55"/>
      <c r="Q1040" s="55"/>
      <c r="R1040" s="56"/>
      <c r="S1040" s="57"/>
      <c r="T1040" s="60"/>
    </row>
    <row r="1041">
      <c r="A1041" s="55"/>
      <c r="B1041" s="55"/>
      <c r="C1041" s="55"/>
      <c r="D1041" s="56"/>
      <c r="E1041" s="57"/>
      <c r="F1041" s="58"/>
      <c r="G1041" s="60"/>
      <c r="H1041" s="63"/>
      <c r="I1041" s="60"/>
      <c r="J1041" s="64"/>
      <c r="K1041" s="64"/>
      <c r="L1041" s="55"/>
      <c r="M1041" s="55"/>
      <c r="N1041" s="55"/>
      <c r="O1041" s="55"/>
      <c r="P1041" s="55"/>
      <c r="Q1041" s="55"/>
      <c r="R1041" s="56"/>
      <c r="S1041" s="57"/>
      <c r="T1041" s="60"/>
    </row>
    <row r="1042">
      <c r="A1042" s="55"/>
      <c r="B1042" s="55"/>
      <c r="C1042" s="55"/>
      <c r="D1042" s="56"/>
      <c r="E1042" s="57"/>
      <c r="F1042" s="58"/>
      <c r="G1042" s="60"/>
      <c r="H1042" s="63"/>
      <c r="I1042" s="60"/>
      <c r="J1042" s="64"/>
      <c r="K1042" s="64"/>
      <c r="L1042" s="55"/>
      <c r="M1042" s="55"/>
      <c r="N1042" s="55"/>
      <c r="O1042" s="55"/>
      <c r="P1042" s="55"/>
      <c r="Q1042" s="55"/>
      <c r="R1042" s="56"/>
      <c r="S1042" s="57"/>
      <c r="T1042" s="60"/>
    </row>
    <row r="1043">
      <c r="A1043" s="55"/>
      <c r="B1043" s="55"/>
      <c r="C1043" s="55"/>
      <c r="D1043" s="56"/>
      <c r="E1043" s="57"/>
      <c r="F1043" s="58"/>
      <c r="G1043" s="60"/>
      <c r="H1043" s="63"/>
      <c r="I1043" s="60"/>
      <c r="J1043" s="64"/>
      <c r="K1043" s="64"/>
      <c r="L1043" s="55"/>
      <c r="M1043" s="55"/>
      <c r="N1043" s="55"/>
      <c r="O1043" s="55"/>
      <c r="P1043" s="55"/>
      <c r="Q1043" s="55"/>
      <c r="R1043" s="56"/>
      <c r="S1043" s="57"/>
      <c r="T1043" s="60"/>
    </row>
    <row r="1044">
      <c r="A1044" s="55"/>
      <c r="B1044" s="55"/>
      <c r="C1044" s="55"/>
      <c r="D1044" s="56"/>
      <c r="E1044" s="57"/>
      <c r="F1044" s="58"/>
      <c r="G1044" s="60"/>
      <c r="H1044" s="63"/>
      <c r="I1044" s="60"/>
      <c r="J1044" s="64"/>
      <c r="K1044" s="64"/>
      <c r="L1044" s="55"/>
      <c r="M1044" s="55"/>
      <c r="N1044" s="55"/>
      <c r="O1044" s="55"/>
      <c r="P1044" s="55"/>
      <c r="Q1044" s="55"/>
      <c r="R1044" s="56"/>
      <c r="S1044" s="57"/>
      <c r="T1044" s="60"/>
    </row>
    <row r="1045">
      <c r="A1045" s="55"/>
      <c r="B1045" s="55"/>
      <c r="C1045" s="55"/>
      <c r="D1045" s="56"/>
      <c r="E1045" s="57"/>
      <c r="F1045" s="58"/>
      <c r="G1045" s="60"/>
      <c r="H1045" s="63"/>
      <c r="I1045" s="60"/>
      <c r="J1045" s="64"/>
      <c r="K1045" s="64"/>
      <c r="L1045" s="55"/>
      <c r="M1045" s="55"/>
      <c r="N1045" s="55"/>
      <c r="O1045" s="55"/>
      <c r="P1045" s="55"/>
      <c r="Q1045" s="55"/>
      <c r="R1045" s="56"/>
      <c r="S1045" s="57"/>
      <c r="T1045" s="60"/>
    </row>
    <row r="1046">
      <c r="A1046" s="55"/>
      <c r="B1046" s="55"/>
      <c r="C1046" s="55"/>
      <c r="D1046" s="56"/>
      <c r="E1046" s="57"/>
      <c r="F1046" s="58"/>
      <c r="G1046" s="60"/>
      <c r="H1046" s="63"/>
      <c r="I1046" s="60"/>
      <c r="J1046" s="64"/>
      <c r="K1046" s="64"/>
      <c r="L1046" s="55"/>
      <c r="M1046" s="55"/>
      <c r="N1046" s="55"/>
      <c r="O1046" s="55"/>
      <c r="P1046" s="55"/>
      <c r="Q1046" s="55"/>
      <c r="R1046" s="56"/>
      <c r="S1046" s="57"/>
      <c r="T1046" s="60"/>
    </row>
    <row r="1047">
      <c r="A1047" s="55"/>
      <c r="B1047" s="55"/>
      <c r="C1047" s="55"/>
      <c r="D1047" s="56"/>
      <c r="E1047" s="57"/>
      <c r="F1047" s="58"/>
      <c r="G1047" s="60"/>
      <c r="H1047" s="63"/>
      <c r="I1047" s="60"/>
      <c r="J1047" s="64"/>
      <c r="K1047" s="64"/>
      <c r="L1047" s="55"/>
      <c r="M1047" s="55"/>
      <c r="N1047" s="55"/>
      <c r="O1047" s="55"/>
      <c r="P1047" s="55"/>
      <c r="Q1047" s="55"/>
      <c r="R1047" s="56"/>
      <c r="S1047" s="57"/>
      <c r="T1047" s="60"/>
    </row>
    <row r="1048">
      <c r="A1048" s="55"/>
      <c r="B1048" s="55"/>
      <c r="C1048" s="55"/>
      <c r="D1048" s="56"/>
      <c r="E1048" s="57"/>
      <c r="F1048" s="58"/>
      <c r="G1048" s="60"/>
      <c r="H1048" s="63"/>
      <c r="I1048" s="60"/>
      <c r="J1048" s="64"/>
      <c r="K1048" s="64"/>
      <c r="L1048" s="55"/>
      <c r="M1048" s="55"/>
      <c r="N1048" s="55"/>
      <c r="O1048" s="55"/>
      <c r="P1048" s="55"/>
      <c r="Q1048" s="55"/>
      <c r="R1048" s="56"/>
      <c r="S1048" s="57"/>
      <c r="T1048" s="60"/>
    </row>
    <row r="1049">
      <c r="A1049" s="55"/>
      <c r="B1049" s="55"/>
      <c r="C1049" s="55"/>
      <c r="D1049" s="56"/>
      <c r="E1049" s="57"/>
      <c r="F1049" s="58"/>
      <c r="G1049" s="60"/>
      <c r="H1049" s="63"/>
      <c r="I1049" s="60"/>
      <c r="J1049" s="64"/>
      <c r="K1049" s="64"/>
      <c r="L1049" s="55"/>
      <c r="M1049" s="55"/>
      <c r="N1049" s="55"/>
      <c r="O1049" s="55"/>
      <c r="P1049" s="55"/>
      <c r="Q1049" s="55"/>
      <c r="R1049" s="56"/>
      <c r="S1049" s="57"/>
      <c r="T1049" s="60"/>
    </row>
    <row r="1050">
      <c r="A1050" s="55"/>
      <c r="B1050" s="55"/>
      <c r="C1050" s="55"/>
      <c r="D1050" s="56"/>
      <c r="E1050" s="57"/>
      <c r="F1050" s="58"/>
      <c r="G1050" s="60"/>
      <c r="H1050" s="63"/>
      <c r="I1050" s="60"/>
      <c r="J1050" s="64"/>
      <c r="K1050" s="64"/>
      <c r="L1050" s="55"/>
      <c r="M1050" s="55"/>
      <c r="N1050" s="55"/>
      <c r="O1050" s="55"/>
      <c r="P1050" s="55"/>
      <c r="Q1050" s="55"/>
      <c r="R1050" s="56"/>
      <c r="S1050" s="57"/>
      <c r="T1050" s="60"/>
    </row>
    <row r="1051">
      <c r="A1051" s="55"/>
      <c r="B1051" s="55"/>
      <c r="C1051" s="55"/>
      <c r="D1051" s="56"/>
      <c r="E1051" s="57"/>
      <c r="F1051" s="58"/>
      <c r="G1051" s="60"/>
      <c r="H1051" s="63"/>
      <c r="I1051" s="60"/>
      <c r="J1051" s="64"/>
      <c r="K1051" s="64"/>
      <c r="L1051" s="55"/>
      <c r="M1051" s="55"/>
      <c r="N1051" s="55"/>
      <c r="O1051" s="55"/>
      <c r="P1051" s="55"/>
      <c r="Q1051" s="55"/>
      <c r="R1051" s="56"/>
      <c r="S1051" s="57"/>
      <c r="T1051" s="60"/>
    </row>
    <row r="1052">
      <c r="A1052" s="55"/>
      <c r="B1052" s="55"/>
      <c r="C1052" s="55"/>
      <c r="D1052" s="56"/>
      <c r="E1052" s="57"/>
      <c r="F1052" s="58"/>
      <c r="G1052" s="60"/>
      <c r="H1052" s="63"/>
      <c r="I1052" s="60"/>
      <c r="J1052" s="64"/>
      <c r="K1052" s="64"/>
      <c r="L1052" s="55"/>
      <c r="M1052" s="55"/>
      <c r="N1052" s="55"/>
      <c r="O1052" s="55"/>
      <c r="P1052" s="55"/>
      <c r="Q1052" s="55"/>
      <c r="R1052" s="56"/>
      <c r="S1052" s="57"/>
      <c r="T1052" s="60"/>
    </row>
    <row r="1053">
      <c r="A1053" s="55"/>
      <c r="B1053" s="55"/>
      <c r="C1053" s="55"/>
      <c r="D1053" s="56"/>
      <c r="E1053" s="57"/>
      <c r="F1053" s="58"/>
      <c r="G1053" s="60"/>
      <c r="H1053" s="63"/>
      <c r="I1053" s="60"/>
      <c r="J1053" s="64"/>
      <c r="K1053" s="64"/>
      <c r="L1053" s="55"/>
      <c r="M1053" s="55"/>
      <c r="N1053" s="55"/>
      <c r="O1053" s="55"/>
      <c r="P1053" s="55"/>
      <c r="Q1053" s="55"/>
      <c r="R1053" s="56"/>
      <c r="S1053" s="57"/>
      <c r="T1053" s="60"/>
    </row>
    <row r="1054">
      <c r="A1054" s="55"/>
      <c r="B1054" s="55"/>
      <c r="C1054" s="55"/>
      <c r="D1054" s="56"/>
      <c r="E1054" s="57"/>
      <c r="F1054" s="58"/>
      <c r="G1054" s="60"/>
      <c r="H1054" s="63"/>
      <c r="I1054" s="60"/>
      <c r="J1054" s="64"/>
      <c r="K1054" s="64"/>
      <c r="L1054" s="55"/>
      <c r="M1054" s="55"/>
      <c r="N1054" s="55"/>
      <c r="O1054" s="55"/>
      <c r="P1054" s="55"/>
      <c r="Q1054" s="55"/>
      <c r="R1054" s="56"/>
      <c r="S1054" s="57"/>
      <c r="T1054" s="60"/>
    </row>
    <row r="1055">
      <c r="A1055" s="55"/>
      <c r="B1055" s="55"/>
      <c r="C1055" s="55"/>
      <c r="D1055" s="56"/>
      <c r="E1055" s="57"/>
      <c r="F1055" s="58"/>
      <c r="G1055" s="60"/>
      <c r="H1055" s="63"/>
      <c r="I1055" s="60"/>
      <c r="J1055" s="64"/>
      <c r="K1055" s="64"/>
      <c r="L1055" s="55"/>
      <c r="M1055" s="55"/>
      <c r="N1055" s="55"/>
      <c r="O1055" s="55"/>
      <c r="P1055" s="55"/>
      <c r="Q1055" s="55"/>
      <c r="R1055" s="56"/>
      <c r="S1055" s="57"/>
      <c r="T1055" s="60"/>
    </row>
    <row r="1056">
      <c r="A1056" s="55"/>
      <c r="B1056" s="55"/>
      <c r="C1056" s="55"/>
      <c r="D1056" s="56"/>
      <c r="E1056" s="57"/>
      <c r="F1056" s="58"/>
      <c r="G1056" s="60"/>
      <c r="H1056" s="63"/>
      <c r="I1056" s="60"/>
      <c r="J1056" s="64"/>
      <c r="K1056" s="64"/>
      <c r="L1056" s="55"/>
      <c r="M1056" s="55"/>
      <c r="N1056" s="55"/>
      <c r="O1056" s="55"/>
      <c r="P1056" s="55"/>
      <c r="Q1056" s="55"/>
      <c r="R1056" s="56"/>
      <c r="S1056" s="57"/>
      <c r="T1056" s="60"/>
    </row>
    <row r="1057">
      <c r="A1057" s="55"/>
      <c r="B1057" s="55"/>
      <c r="C1057" s="55"/>
      <c r="D1057" s="56"/>
      <c r="E1057" s="57"/>
      <c r="F1057" s="58"/>
      <c r="G1057" s="60"/>
      <c r="H1057" s="63"/>
      <c r="I1057" s="60"/>
      <c r="J1057" s="64"/>
      <c r="K1057" s="64"/>
      <c r="L1057" s="55"/>
      <c r="M1057" s="55"/>
      <c r="N1057" s="55"/>
      <c r="O1057" s="55"/>
      <c r="P1057" s="55"/>
      <c r="Q1057" s="55"/>
      <c r="R1057" s="56"/>
      <c r="S1057" s="57"/>
      <c r="T1057" s="60"/>
    </row>
    <row r="1058">
      <c r="A1058" s="55"/>
      <c r="B1058" s="55"/>
      <c r="C1058" s="55"/>
      <c r="D1058" s="56"/>
      <c r="E1058" s="57"/>
      <c r="F1058" s="58"/>
      <c r="G1058" s="60"/>
      <c r="H1058" s="63"/>
      <c r="I1058" s="60"/>
      <c r="J1058" s="64"/>
      <c r="K1058" s="64"/>
      <c r="L1058" s="55"/>
      <c r="M1058" s="55"/>
      <c r="N1058" s="55"/>
      <c r="O1058" s="55"/>
      <c r="P1058" s="55"/>
      <c r="Q1058" s="55"/>
      <c r="R1058" s="56"/>
      <c r="S1058" s="57"/>
      <c r="T1058" s="60"/>
    </row>
    <row r="1059">
      <c r="A1059" s="55"/>
      <c r="B1059" s="55"/>
      <c r="C1059" s="55"/>
      <c r="D1059" s="56"/>
      <c r="E1059" s="57"/>
      <c r="F1059" s="58"/>
      <c r="G1059" s="60"/>
      <c r="H1059" s="63"/>
      <c r="I1059" s="60"/>
      <c r="J1059" s="64"/>
      <c r="K1059" s="64"/>
      <c r="L1059" s="55"/>
      <c r="M1059" s="55"/>
      <c r="N1059" s="55"/>
      <c r="O1059" s="55"/>
      <c r="P1059" s="55"/>
      <c r="Q1059" s="55"/>
      <c r="R1059" s="56"/>
      <c r="S1059" s="57"/>
      <c r="T1059" s="60"/>
    </row>
    <row r="1060">
      <c r="A1060" s="55"/>
      <c r="B1060" s="55"/>
      <c r="C1060" s="55"/>
      <c r="D1060" s="56"/>
      <c r="E1060" s="57"/>
      <c r="F1060" s="58"/>
      <c r="G1060" s="60"/>
      <c r="H1060" s="63"/>
      <c r="I1060" s="60"/>
      <c r="J1060" s="64"/>
      <c r="K1060" s="64"/>
      <c r="L1060" s="55"/>
      <c r="M1060" s="55"/>
      <c r="N1060" s="55"/>
      <c r="O1060" s="55"/>
      <c r="P1060" s="55"/>
      <c r="Q1060" s="55"/>
      <c r="R1060" s="56"/>
      <c r="S1060" s="57"/>
      <c r="T1060" s="60"/>
    </row>
    <row r="1061">
      <c r="A1061" s="55"/>
      <c r="B1061" s="55"/>
      <c r="C1061" s="55"/>
      <c r="D1061" s="56"/>
      <c r="E1061" s="57"/>
      <c r="F1061" s="58"/>
      <c r="G1061" s="60"/>
      <c r="H1061" s="63"/>
      <c r="I1061" s="60"/>
      <c r="J1061" s="64"/>
      <c r="K1061" s="64"/>
      <c r="L1061" s="55"/>
      <c r="M1061" s="55"/>
      <c r="N1061" s="55"/>
      <c r="O1061" s="55"/>
      <c r="P1061" s="55"/>
      <c r="Q1061" s="55"/>
      <c r="R1061" s="56"/>
      <c r="S1061" s="57"/>
      <c r="T1061" s="60"/>
    </row>
    <row r="1062">
      <c r="A1062" s="55"/>
      <c r="B1062" s="55"/>
      <c r="C1062" s="55"/>
      <c r="D1062" s="56"/>
      <c r="E1062" s="57"/>
      <c r="F1062" s="58"/>
      <c r="G1062" s="60"/>
      <c r="H1062" s="63"/>
      <c r="I1062" s="60"/>
      <c r="J1062" s="64"/>
      <c r="K1062" s="64"/>
      <c r="L1062" s="55"/>
      <c r="M1062" s="55"/>
      <c r="N1062" s="55"/>
      <c r="O1062" s="55"/>
      <c r="P1062" s="55"/>
      <c r="Q1062" s="55"/>
      <c r="R1062" s="56"/>
      <c r="S1062" s="57"/>
      <c r="T1062" s="60"/>
    </row>
    <row r="1063">
      <c r="A1063" s="55"/>
      <c r="B1063" s="55"/>
      <c r="C1063" s="55"/>
      <c r="D1063" s="56"/>
      <c r="E1063" s="57"/>
      <c r="F1063" s="58"/>
      <c r="G1063" s="60"/>
      <c r="H1063" s="63"/>
      <c r="I1063" s="60"/>
      <c r="J1063" s="64"/>
      <c r="K1063" s="64"/>
      <c r="L1063" s="55"/>
      <c r="M1063" s="55"/>
      <c r="N1063" s="55"/>
      <c r="O1063" s="55"/>
      <c r="P1063" s="55"/>
      <c r="Q1063" s="55"/>
      <c r="R1063" s="56"/>
      <c r="S1063" s="57"/>
      <c r="T1063" s="60"/>
    </row>
    <row r="1064">
      <c r="A1064" s="55"/>
      <c r="B1064" s="55"/>
      <c r="C1064" s="55"/>
      <c r="D1064" s="56"/>
      <c r="E1064" s="57"/>
      <c r="F1064" s="58"/>
      <c r="G1064" s="60"/>
      <c r="H1064" s="63"/>
      <c r="I1064" s="60"/>
      <c r="J1064" s="64"/>
      <c r="K1064" s="64"/>
      <c r="L1064" s="55"/>
      <c r="M1064" s="55"/>
      <c r="N1064" s="55"/>
      <c r="O1064" s="55"/>
      <c r="P1064" s="55"/>
      <c r="Q1064" s="55"/>
      <c r="R1064" s="56"/>
      <c r="S1064" s="57"/>
      <c r="T1064" s="60"/>
    </row>
    <row r="1065">
      <c r="A1065" s="55"/>
      <c r="B1065" s="55"/>
      <c r="C1065" s="55"/>
      <c r="D1065" s="56"/>
      <c r="E1065" s="57"/>
      <c r="F1065" s="58"/>
      <c r="G1065" s="60"/>
      <c r="H1065" s="63"/>
      <c r="I1065" s="60"/>
      <c r="J1065" s="64"/>
      <c r="K1065" s="64"/>
      <c r="L1065" s="55"/>
      <c r="M1065" s="55"/>
      <c r="N1065" s="55"/>
      <c r="O1065" s="55"/>
      <c r="P1065" s="55"/>
      <c r="Q1065" s="55"/>
      <c r="R1065" s="56"/>
      <c r="S1065" s="57"/>
      <c r="T1065" s="60"/>
    </row>
    <row r="1066">
      <c r="A1066" s="55"/>
      <c r="B1066" s="55"/>
      <c r="C1066" s="55"/>
      <c r="D1066" s="56"/>
      <c r="E1066" s="57"/>
      <c r="F1066" s="58"/>
      <c r="G1066" s="60"/>
      <c r="H1066" s="63"/>
      <c r="I1066" s="60"/>
      <c r="J1066" s="64"/>
      <c r="K1066" s="64"/>
      <c r="L1066" s="55"/>
      <c r="M1066" s="55"/>
      <c r="N1066" s="55"/>
      <c r="O1066" s="55"/>
      <c r="P1066" s="55"/>
      <c r="Q1066" s="55"/>
      <c r="R1066" s="56"/>
      <c r="S1066" s="57"/>
      <c r="T1066" s="60"/>
    </row>
    <row r="1067">
      <c r="A1067" s="55"/>
      <c r="B1067" s="55"/>
      <c r="C1067" s="55"/>
      <c r="D1067" s="56"/>
      <c r="E1067" s="57"/>
      <c r="F1067" s="58"/>
      <c r="G1067" s="60"/>
      <c r="H1067" s="63"/>
      <c r="I1067" s="60"/>
      <c r="J1067" s="64"/>
      <c r="K1067" s="64"/>
      <c r="L1067" s="55"/>
      <c r="M1067" s="55"/>
      <c r="N1067" s="55"/>
      <c r="O1067" s="55"/>
      <c r="P1067" s="55"/>
      <c r="Q1067" s="55"/>
      <c r="R1067" s="56"/>
      <c r="S1067" s="57"/>
      <c r="T1067" s="60"/>
    </row>
    <row r="1068">
      <c r="A1068" s="55"/>
      <c r="B1068" s="55"/>
      <c r="C1068" s="55"/>
      <c r="D1068" s="56"/>
      <c r="E1068" s="57"/>
      <c r="F1068" s="58"/>
      <c r="G1068" s="60"/>
      <c r="H1068" s="63"/>
      <c r="I1068" s="60"/>
      <c r="J1068" s="64"/>
      <c r="K1068" s="64"/>
      <c r="L1068" s="55"/>
      <c r="M1068" s="55"/>
      <c r="N1068" s="55"/>
      <c r="O1068" s="55"/>
      <c r="P1068" s="55"/>
      <c r="Q1068" s="55"/>
      <c r="R1068" s="56"/>
      <c r="S1068" s="57"/>
      <c r="T1068" s="60"/>
    </row>
    <row r="1069">
      <c r="A1069" s="55"/>
      <c r="B1069" s="55"/>
      <c r="C1069" s="55"/>
      <c r="D1069" s="56"/>
      <c r="E1069" s="57"/>
      <c r="F1069" s="58"/>
      <c r="G1069" s="60"/>
      <c r="H1069" s="63"/>
      <c r="I1069" s="60"/>
      <c r="J1069" s="64"/>
      <c r="K1069" s="64"/>
      <c r="L1069" s="55"/>
      <c r="M1069" s="55"/>
      <c r="N1069" s="55"/>
      <c r="O1069" s="55"/>
      <c r="P1069" s="55"/>
      <c r="Q1069" s="55"/>
      <c r="R1069" s="56"/>
      <c r="S1069" s="57"/>
      <c r="T1069" s="60"/>
    </row>
    <row r="1070">
      <c r="A1070" s="55"/>
      <c r="B1070" s="55"/>
      <c r="C1070" s="55"/>
      <c r="D1070" s="56"/>
      <c r="E1070" s="57"/>
      <c r="F1070" s="58"/>
      <c r="G1070" s="60"/>
      <c r="H1070" s="63"/>
      <c r="I1070" s="60"/>
      <c r="J1070" s="64"/>
      <c r="K1070" s="64"/>
      <c r="L1070" s="55"/>
      <c r="M1070" s="55"/>
      <c r="N1070" s="55"/>
      <c r="O1070" s="55"/>
      <c r="P1070" s="55"/>
      <c r="Q1070" s="55"/>
      <c r="R1070" s="56"/>
      <c r="S1070" s="57"/>
      <c r="T1070" s="60"/>
    </row>
    <row r="1071">
      <c r="A1071" s="55"/>
      <c r="B1071" s="55"/>
      <c r="C1071" s="55"/>
      <c r="D1071" s="56"/>
      <c r="E1071" s="57"/>
      <c r="F1071" s="58"/>
      <c r="G1071" s="60"/>
      <c r="H1071" s="63"/>
      <c r="I1071" s="60"/>
      <c r="J1071" s="64"/>
      <c r="K1071" s="64"/>
      <c r="L1071" s="55"/>
      <c r="M1071" s="55"/>
      <c r="N1071" s="55"/>
      <c r="O1071" s="55"/>
      <c r="P1071" s="55"/>
      <c r="Q1071" s="55"/>
      <c r="R1071" s="56"/>
      <c r="S1071" s="57"/>
      <c r="T1071" s="60"/>
    </row>
    <row r="1072">
      <c r="A1072" s="55"/>
      <c r="B1072" s="55"/>
      <c r="C1072" s="55"/>
      <c r="D1072" s="56"/>
      <c r="E1072" s="57"/>
      <c r="F1072" s="58"/>
      <c r="G1072" s="60"/>
      <c r="H1072" s="63"/>
      <c r="I1072" s="60"/>
      <c r="J1072" s="64"/>
      <c r="K1072" s="64"/>
      <c r="L1072" s="55"/>
      <c r="M1072" s="55"/>
      <c r="N1072" s="55"/>
      <c r="O1072" s="55"/>
      <c r="P1072" s="55"/>
      <c r="Q1072" s="55"/>
      <c r="R1072" s="56"/>
      <c r="S1072" s="57"/>
      <c r="T1072" s="60"/>
    </row>
    <row r="1073">
      <c r="A1073" s="55"/>
      <c r="B1073" s="55"/>
      <c r="C1073" s="55"/>
      <c r="D1073" s="56"/>
      <c r="E1073" s="57"/>
      <c r="F1073" s="58"/>
      <c r="G1073" s="60"/>
      <c r="H1073" s="63"/>
      <c r="I1073" s="60"/>
      <c r="J1073" s="64"/>
      <c r="K1073" s="64"/>
      <c r="L1073" s="55"/>
      <c r="M1073" s="55"/>
      <c r="N1073" s="55"/>
      <c r="O1073" s="55"/>
      <c r="P1073" s="55"/>
      <c r="Q1073" s="55"/>
      <c r="R1073" s="56"/>
      <c r="S1073" s="57"/>
      <c r="T1073" s="60"/>
    </row>
    <row r="1074">
      <c r="A1074" s="55"/>
      <c r="B1074" s="55"/>
      <c r="C1074" s="55"/>
      <c r="D1074" s="56"/>
      <c r="E1074" s="57"/>
      <c r="F1074" s="58"/>
      <c r="G1074" s="60"/>
      <c r="H1074" s="63"/>
      <c r="I1074" s="60"/>
      <c r="J1074" s="64"/>
      <c r="K1074" s="64"/>
      <c r="L1074" s="55"/>
      <c r="M1074" s="55"/>
      <c r="N1074" s="55"/>
      <c r="O1074" s="55"/>
      <c r="P1074" s="55"/>
      <c r="Q1074" s="55"/>
      <c r="R1074" s="56"/>
      <c r="S1074" s="57"/>
      <c r="T1074" s="60"/>
    </row>
    <row r="1075">
      <c r="A1075" s="55"/>
      <c r="B1075" s="55"/>
      <c r="C1075" s="55"/>
      <c r="D1075" s="56"/>
      <c r="E1075" s="57"/>
      <c r="F1075" s="58"/>
      <c r="G1075" s="60"/>
      <c r="H1075" s="63"/>
      <c r="I1075" s="60"/>
      <c r="J1075" s="64"/>
      <c r="K1075" s="64"/>
      <c r="L1075" s="55"/>
      <c r="M1075" s="55"/>
      <c r="N1075" s="55"/>
      <c r="O1075" s="55"/>
      <c r="P1075" s="55"/>
      <c r="Q1075" s="55"/>
      <c r="R1075" s="56"/>
      <c r="S1075" s="57"/>
      <c r="T1075" s="60"/>
    </row>
    <row r="1076">
      <c r="A1076" s="55"/>
      <c r="B1076" s="55"/>
      <c r="C1076" s="55"/>
      <c r="D1076" s="56"/>
      <c r="E1076" s="57"/>
      <c r="F1076" s="58"/>
      <c r="G1076" s="60"/>
      <c r="H1076" s="63"/>
      <c r="I1076" s="60"/>
      <c r="J1076" s="64"/>
      <c r="K1076" s="64"/>
      <c r="L1076" s="55"/>
      <c r="M1076" s="55"/>
      <c r="N1076" s="55"/>
      <c r="O1076" s="55"/>
      <c r="P1076" s="55"/>
      <c r="Q1076" s="55"/>
      <c r="R1076" s="56"/>
      <c r="S1076" s="57"/>
      <c r="T1076" s="60"/>
    </row>
    <row r="1077">
      <c r="A1077" s="55"/>
      <c r="B1077" s="55"/>
      <c r="C1077" s="55"/>
      <c r="D1077" s="56"/>
      <c r="E1077" s="57"/>
      <c r="F1077" s="58"/>
      <c r="G1077" s="60"/>
      <c r="H1077" s="63"/>
      <c r="I1077" s="60"/>
      <c r="J1077" s="64"/>
      <c r="K1077" s="64"/>
      <c r="L1077" s="55"/>
      <c r="M1077" s="55"/>
      <c r="N1077" s="55"/>
      <c r="O1077" s="55"/>
      <c r="P1077" s="55"/>
      <c r="Q1077" s="55"/>
      <c r="R1077" s="56"/>
      <c r="S1077" s="57"/>
      <c r="T1077" s="60"/>
    </row>
    <row r="1078">
      <c r="A1078" s="55"/>
      <c r="B1078" s="55"/>
      <c r="C1078" s="55"/>
      <c r="D1078" s="56"/>
      <c r="E1078" s="57"/>
      <c r="F1078" s="58"/>
      <c r="G1078" s="60"/>
      <c r="H1078" s="63"/>
      <c r="I1078" s="60"/>
      <c r="J1078" s="64"/>
      <c r="K1078" s="64"/>
      <c r="L1078" s="55"/>
      <c r="M1078" s="55"/>
      <c r="N1078" s="55"/>
      <c r="O1078" s="55"/>
      <c r="P1078" s="55"/>
      <c r="Q1078" s="55"/>
      <c r="R1078" s="56"/>
      <c r="S1078" s="57"/>
      <c r="T1078" s="60"/>
    </row>
    <row r="1079">
      <c r="A1079" s="55"/>
      <c r="B1079" s="55"/>
      <c r="C1079" s="55"/>
      <c r="D1079" s="56"/>
      <c r="E1079" s="57"/>
      <c r="F1079" s="58"/>
      <c r="G1079" s="60"/>
      <c r="H1079" s="63"/>
      <c r="I1079" s="60"/>
      <c r="J1079" s="64"/>
      <c r="K1079" s="64"/>
      <c r="L1079" s="55"/>
      <c r="M1079" s="55"/>
      <c r="N1079" s="55"/>
      <c r="O1079" s="55"/>
      <c r="P1079" s="55"/>
      <c r="Q1079" s="55"/>
      <c r="R1079" s="56"/>
      <c r="S1079" s="57"/>
      <c r="T1079" s="60"/>
    </row>
    <row r="1080">
      <c r="A1080" s="55"/>
      <c r="B1080" s="55"/>
      <c r="C1080" s="55"/>
      <c r="D1080" s="56"/>
      <c r="E1080" s="57"/>
      <c r="F1080" s="58"/>
      <c r="G1080" s="60"/>
      <c r="H1080" s="63"/>
      <c r="I1080" s="60"/>
      <c r="J1080" s="64"/>
      <c r="K1080" s="64"/>
      <c r="L1080" s="55"/>
      <c r="M1080" s="55"/>
      <c r="N1080" s="55"/>
      <c r="O1080" s="55"/>
      <c r="P1080" s="55"/>
      <c r="Q1080" s="55"/>
      <c r="R1080" s="56"/>
      <c r="S1080" s="57"/>
      <c r="T1080" s="60"/>
    </row>
    <row r="1081">
      <c r="A1081" s="55"/>
      <c r="B1081" s="55"/>
      <c r="C1081" s="55"/>
      <c r="D1081" s="56"/>
      <c r="E1081" s="57"/>
      <c r="F1081" s="58"/>
      <c r="G1081" s="60"/>
      <c r="H1081" s="63"/>
      <c r="I1081" s="60"/>
      <c r="J1081" s="64"/>
      <c r="K1081" s="64"/>
      <c r="L1081" s="55"/>
      <c r="M1081" s="55"/>
      <c r="N1081" s="55"/>
      <c r="O1081" s="55"/>
      <c r="P1081" s="55"/>
      <c r="Q1081" s="55"/>
      <c r="R1081" s="56"/>
      <c r="S1081" s="57"/>
      <c r="T1081" s="60"/>
    </row>
    <row r="1082">
      <c r="A1082" s="55"/>
      <c r="B1082" s="55"/>
      <c r="C1082" s="55"/>
      <c r="D1082" s="56"/>
      <c r="E1082" s="57"/>
      <c r="F1082" s="58"/>
      <c r="G1082" s="60"/>
      <c r="H1082" s="63"/>
      <c r="I1082" s="60"/>
      <c r="J1082" s="64"/>
      <c r="K1082" s="64"/>
      <c r="L1082" s="55"/>
      <c r="M1082" s="55"/>
      <c r="N1082" s="55"/>
      <c r="O1082" s="55"/>
      <c r="P1082" s="55"/>
      <c r="Q1082" s="55"/>
      <c r="R1082" s="56"/>
      <c r="S1082" s="57"/>
      <c r="T1082" s="60"/>
    </row>
    <row r="1083">
      <c r="A1083" s="55"/>
      <c r="B1083" s="55"/>
      <c r="C1083" s="55"/>
      <c r="D1083" s="56"/>
      <c r="E1083" s="57"/>
      <c r="F1083" s="58"/>
      <c r="G1083" s="60"/>
      <c r="H1083" s="63"/>
      <c r="I1083" s="60"/>
      <c r="J1083" s="64"/>
      <c r="K1083" s="64"/>
      <c r="L1083" s="55"/>
      <c r="M1083" s="55"/>
      <c r="N1083" s="55"/>
      <c r="O1083" s="55"/>
      <c r="P1083" s="55"/>
      <c r="Q1083" s="55"/>
      <c r="R1083" s="56"/>
      <c r="S1083" s="57"/>
      <c r="T1083" s="60"/>
    </row>
    <row r="1084">
      <c r="A1084" s="55"/>
      <c r="B1084" s="55"/>
      <c r="C1084" s="55"/>
      <c r="D1084" s="56"/>
      <c r="E1084" s="57"/>
      <c r="F1084" s="58"/>
      <c r="G1084" s="60"/>
      <c r="H1084" s="63"/>
      <c r="I1084" s="60"/>
      <c r="J1084" s="64"/>
      <c r="K1084" s="64"/>
      <c r="L1084" s="55"/>
      <c r="M1084" s="55"/>
      <c r="N1084" s="55"/>
      <c r="O1084" s="55"/>
      <c r="P1084" s="55"/>
      <c r="Q1084" s="55"/>
      <c r="R1084" s="56"/>
      <c r="S1084" s="57"/>
      <c r="T1084" s="60"/>
    </row>
    <row r="1085">
      <c r="A1085" s="55"/>
      <c r="B1085" s="55"/>
      <c r="C1085" s="55"/>
      <c r="D1085" s="56"/>
      <c r="E1085" s="57"/>
      <c r="F1085" s="58"/>
      <c r="G1085" s="60"/>
      <c r="H1085" s="63"/>
      <c r="I1085" s="60"/>
      <c r="J1085" s="64"/>
      <c r="K1085" s="64"/>
      <c r="L1085" s="55"/>
      <c r="M1085" s="55"/>
      <c r="N1085" s="55"/>
      <c r="O1085" s="55"/>
      <c r="P1085" s="55"/>
      <c r="Q1085" s="55"/>
      <c r="R1085" s="56"/>
      <c r="S1085" s="57"/>
      <c r="T1085" s="60"/>
    </row>
    <row r="1086">
      <c r="A1086" s="55"/>
      <c r="B1086" s="55"/>
      <c r="C1086" s="55"/>
      <c r="D1086" s="56"/>
      <c r="E1086" s="57"/>
      <c r="F1086" s="58"/>
      <c r="G1086" s="60"/>
      <c r="H1086" s="63"/>
      <c r="I1086" s="60"/>
      <c r="J1086" s="64"/>
      <c r="K1086" s="64"/>
      <c r="L1086" s="55"/>
      <c r="M1086" s="55"/>
      <c r="N1086" s="55"/>
      <c r="O1086" s="55"/>
      <c r="P1086" s="55"/>
      <c r="Q1086" s="55"/>
      <c r="R1086" s="56"/>
      <c r="S1086" s="57"/>
      <c r="T1086" s="60"/>
    </row>
    <row r="1087">
      <c r="A1087" s="55"/>
      <c r="B1087" s="55"/>
      <c r="C1087" s="55"/>
      <c r="D1087" s="56"/>
      <c r="E1087" s="57"/>
      <c r="F1087" s="58"/>
      <c r="G1087" s="60"/>
      <c r="H1087" s="63"/>
      <c r="I1087" s="60"/>
      <c r="J1087" s="64"/>
      <c r="K1087" s="64"/>
      <c r="L1087" s="55"/>
      <c r="M1087" s="55"/>
      <c r="N1087" s="55"/>
      <c r="O1087" s="55"/>
      <c r="P1087" s="55"/>
      <c r="Q1087" s="55"/>
      <c r="R1087" s="56"/>
      <c r="S1087" s="57"/>
      <c r="T1087" s="60"/>
    </row>
    <row r="1088">
      <c r="A1088" s="55"/>
      <c r="B1088" s="55"/>
      <c r="C1088" s="55"/>
      <c r="D1088" s="56"/>
      <c r="E1088" s="57"/>
      <c r="F1088" s="58"/>
      <c r="G1088" s="60"/>
      <c r="H1088" s="63"/>
      <c r="I1088" s="60"/>
      <c r="J1088" s="64"/>
      <c r="K1088" s="64"/>
      <c r="L1088" s="55"/>
      <c r="M1088" s="55"/>
      <c r="N1088" s="55"/>
      <c r="O1088" s="55"/>
      <c r="P1088" s="55"/>
      <c r="Q1088" s="55"/>
      <c r="R1088" s="56"/>
      <c r="S1088" s="57"/>
      <c r="T1088" s="60"/>
    </row>
    <row r="1089">
      <c r="A1089" s="55"/>
      <c r="B1089" s="55"/>
      <c r="C1089" s="55"/>
      <c r="D1089" s="56"/>
      <c r="E1089" s="57"/>
      <c r="F1089" s="58"/>
      <c r="G1089" s="60"/>
      <c r="H1089" s="63"/>
      <c r="I1089" s="60"/>
      <c r="J1089" s="64"/>
      <c r="K1089" s="64"/>
      <c r="L1089" s="55"/>
      <c r="M1089" s="55"/>
      <c r="N1089" s="55"/>
      <c r="O1089" s="55"/>
      <c r="P1089" s="55"/>
      <c r="Q1089" s="55"/>
      <c r="R1089" s="56"/>
      <c r="S1089" s="57"/>
      <c r="T1089" s="60"/>
    </row>
    <row r="1090">
      <c r="A1090" s="55"/>
      <c r="B1090" s="55"/>
      <c r="C1090" s="55"/>
      <c r="D1090" s="56"/>
      <c r="E1090" s="57"/>
      <c r="F1090" s="58"/>
      <c r="G1090" s="60"/>
      <c r="H1090" s="63"/>
      <c r="I1090" s="60"/>
      <c r="J1090" s="64"/>
      <c r="K1090" s="64"/>
      <c r="L1090" s="55"/>
      <c r="M1090" s="55"/>
      <c r="N1090" s="55"/>
      <c r="O1090" s="55"/>
      <c r="P1090" s="55"/>
      <c r="Q1090" s="55"/>
      <c r="R1090" s="56"/>
      <c r="S1090" s="57"/>
      <c r="T1090" s="60"/>
    </row>
    <row r="1091">
      <c r="A1091" s="55"/>
      <c r="B1091" s="55"/>
      <c r="C1091" s="55"/>
      <c r="D1091" s="56"/>
      <c r="E1091" s="57"/>
      <c r="F1091" s="58"/>
      <c r="G1091" s="60"/>
      <c r="H1091" s="63"/>
      <c r="I1091" s="60"/>
      <c r="J1091" s="64"/>
      <c r="K1091" s="64"/>
      <c r="L1091" s="55"/>
      <c r="M1091" s="55"/>
      <c r="N1091" s="55"/>
      <c r="O1091" s="55"/>
      <c r="P1091" s="55"/>
      <c r="Q1091" s="55"/>
      <c r="R1091" s="56"/>
      <c r="S1091" s="57"/>
      <c r="T1091" s="60"/>
    </row>
    <row r="1092">
      <c r="A1092" s="55"/>
      <c r="B1092" s="55"/>
      <c r="C1092" s="55"/>
      <c r="D1092" s="56"/>
      <c r="E1092" s="57"/>
      <c r="F1092" s="58"/>
      <c r="G1092" s="60"/>
      <c r="H1092" s="63"/>
      <c r="I1092" s="60"/>
      <c r="J1092" s="64"/>
      <c r="K1092" s="64"/>
      <c r="L1092" s="55"/>
      <c r="M1092" s="55"/>
      <c r="N1092" s="55"/>
      <c r="O1092" s="55"/>
      <c r="P1092" s="55"/>
      <c r="Q1092" s="55"/>
      <c r="R1092" s="56"/>
      <c r="S1092" s="57"/>
      <c r="T1092" s="60"/>
    </row>
    <row r="1093">
      <c r="A1093" s="55"/>
      <c r="B1093" s="55"/>
      <c r="C1093" s="55"/>
      <c r="D1093" s="56"/>
      <c r="E1093" s="57"/>
      <c r="F1093" s="58"/>
      <c r="G1093" s="60"/>
      <c r="H1093" s="63"/>
      <c r="I1093" s="60"/>
      <c r="J1093" s="64"/>
      <c r="K1093" s="64"/>
      <c r="L1093" s="55"/>
      <c r="M1093" s="55"/>
      <c r="N1093" s="55"/>
      <c r="O1093" s="55"/>
      <c r="P1093" s="55"/>
      <c r="Q1093" s="55"/>
      <c r="R1093" s="56"/>
      <c r="S1093" s="57"/>
      <c r="T1093" s="60"/>
    </row>
    <row r="1094">
      <c r="A1094" s="55"/>
      <c r="B1094" s="55"/>
      <c r="C1094" s="55"/>
      <c r="D1094" s="56"/>
      <c r="E1094" s="57"/>
      <c r="F1094" s="58"/>
      <c r="G1094" s="60"/>
      <c r="H1094" s="63"/>
      <c r="I1094" s="60"/>
      <c r="J1094" s="64"/>
      <c r="K1094" s="64"/>
      <c r="L1094" s="55"/>
      <c r="M1094" s="55"/>
      <c r="N1094" s="55"/>
      <c r="O1094" s="55"/>
      <c r="P1094" s="55"/>
      <c r="Q1094" s="55"/>
      <c r="R1094" s="56"/>
      <c r="S1094" s="57"/>
      <c r="T1094" s="60"/>
    </row>
    <row r="1095">
      <c r="A1095" s="55"/>
      <c r="B1095" s="55"/>
      <c r="C1095" s="55"/>
      <c r="D1095" s="56"/>
      <c r="E1095" s="57"/>
      <c r="F1095" s="58"/>
      <c r="G1095" s="60"/>
      <c r="H1095" s="63"/>
      <c r="I1095" s="60"/>
      <c r="J1095" s="64"/>
      <c r="K1095" s="64"/>
      <c r="L1095" s="55"/>
      <c r="M1095" s="55"/>
      <c r="N1095" s="55"/>
      <c r="O1095" s="55"/>
      <c r="P1095" s="55"/>
      <c r="Q1095" s="55"/>
      <c r="R1095" s="56"/>
      <c r="S1095" s="57"/>
      <c r="T1095" s="60"/>
    </row>
    <row r="1096">
      <c r="A1096" s="55"/>
      <c r="B1096" s="55"/>
      <c r="C1096" s="55"/>
      <c r="D1096" s="56"/>
      <c r="E1096" s="57"/>
      <c r="F1096" s="58"/>
      <c r="G1096" s="60"/>
      <c r="H1096" s="63"/>
      <c r="I1096" s="60"/>
      <c r="J1096" s="64"/>
      <c r="K1096" s="64"/>
      <c r="L1096" s="55"/>
      <c r="M1096" s="55"/>
      <c r="N1096" s="55"/>
      <c r="O1096" s="55"/>
      <c r="P1096" s="55"/>
      <c r="Q1096" s="55"/>
      <c r="R1096" s="56"/>
      <c r="S1096" s="57"/>
      <c r="T1096" s="60"/>
    </row>
    <row r="1097">
      <c r="A1097" s="55"/>
      <c r="B1097" s="55"/>
      <c r="C1097" s="55"/>
      <c r="D1097" s="56"/>
      <c r="E1097" s="57"/>
      <c r="F1097" s="58"/>
      <c r="G1097" s="60"/>
      <c r="H1097" s="63"/>
      <c r="I1097" s="60"/>
      <c r="J1097" s="64"/>
      <c r="K1097" s="64"/>
      <c r="L1097" s="55"/>
      <c r="M1097" s="55"/>
      <c r="N1097" s="55"/>
      <c r="O1097" s="55"/>
      <c r="P1097" s="55"/>
      <c r="Q1097" s="55"/>
      <c r="R1097" s="56"/>
      <c r="S1097" s="57"/>
      <c r="T1097" s="60"/>
    </row>
    <row r="1098">
      <c r="A1098" s="55"/>
      <c r="B1098" s="55"/>
      <c r="C1098" s="55"/>
      <c r="D1098" s="56"/>
      <c r="E1098" s="57"/>
      <c r="F1098" s="58"/>
      <c r="G1098" s="60"/>
      <c r="H1098" s="63"/>
      <c r="I1098" s="60"/>
      <c r="J1098" s="64"/>
      <c r="K1098" s="64"/>
      <c r="L1098" s="55"/>
      <c r="M1098" s="55"/>
      <c r="N1098" s="55"/>
      <c r="O1098" s="55"/>
      <c r="P1098" s="55"/>
      <c r="Q1098" s="55"/>
      <c r="R1098" s="56"/>
      <c r="S1098" s="57"/>
      <c r="T1098" s="60"/>
    </row>
    <row r="1099">
      <c r="A1099" s="55"/>
      <c r="B1099" s="55"/>
      <c r="C1099" s="55"/>
      <c r="D1099" s="56"/>
      <c r="E1099" s="57"/>
      <c r="F1099" s="58"/>
      <c r="G1099" s="60"/>
      <c r="H1099" s="63"/>
      <c r="I1099" s="60"/>
      <c r="J1099" s="64"/>
      <c r="K1099" s="64"/>
      <c r="L1099" s="55"/>
      <c r="M1099" s="55"/>
      <c r="N1099" s="55"/>
      <c r="O1099" s="55"/>
      <c r="P1099" s="55"/>
      <c r="Q1099" s="55"/>
      <c r="R1099" s="56"/>
      <c r="S1099" s="57"/>
      <c r="T1099" s="60"/>
    </row>
    <row r="1100">
      <c r="A1100" s="55"/>
      <c r="B1100" s="55"/>
      <c r="C1100" s="55"/>
      <c r="D1100" s="56"/>
      <c r="E1100" s="57"/>
      <c r="F1100" s="58"/>
      <c r="G1100" s="60"/>
      <c r="H1100" s="63"/>
      <c r="I1100" s="60"/>
      <c r="J1100" s="64"/>
      <c r="K1100" s="64"/>
      <c r="L1100" s="55"/>
      <c r="M1100" s="55"/>
      <c r="N1100" s="55"/>
      <c r="O1100" s="55"/>
      <c r="P1100" s="55"/>
      <c r="Q1100" s="55"/>
      <c r="R1100" s="56"/>
      <c r="S1100" s="57"/>
      <c r="T1100" s="60"/>
    </row>
    <row r="1101">
      <c r="A1101" s="55"/>
      <c r="B1101" s="55"/>
      <c r="C1101" s="55"/>
      <c r="D1101" s="56"/>
      <c r="E1101" s="57"/>
      <c r="F1101" s="58"/>
      <c r="G1101" s="60"/>
      <c r="H1101" s="63"/>
      <c r="I1101" s="60"/>
      <c r="J1101" s="64"/>
      <c r="K1101" s="64"/>
      <c r="L1101" s="55"/>
      <c r="M1101" s="55"/>
      <c r="N1101" s="55"/>
      <c r="O1101" s="55"/>
      <c r="P1101" s="55"/>
      <c r="Q1101" s="55"/>
      <c r="R1101" s="56"/>
      <c r="S1101" s="57"/>
      <c r="T1101" s="60"/>
    </row>
    <row r="1102">
      <c r="A1102" s="55"/>
      <c r="B1102" s="55"/>
      <c r="C1102" s="55"/>
      <c r="D1102" s="56"/>
      <c r="E1102" s="57"/>
      <c r="F1102" s="58"/>
      <c r="G1102" s="60"/>
      <c r="H1102" s="63"/>
      <c r="I1102" s="60"/>
      <c r="J1102" s="64"/>
      <c r="K1102" s="64"/>
      <c r="L1102" s="55"/>
      <c r="M1102" s="55"/>
      <c r="N1102" s="55"/>
      <c r="O1102" s="55"/>
      <c r="P1102" s="55"/>
      <c r="Q1102" s="55"/>
      <c r="R1102" s="56"/>
      <c r="S1102" s="57"/>
      <c r="T1102" s="60"/>
    </row>
    <row r="1103">
      <c r="A1103" s="55"/>
      <c r="B1103" s="55"/>
      <c r="C1103" s="55"/>
      <c r="D1103" s="56"/>
      <c r="E1103" s="57"/>
      <c r="F1103" s="58"/>
      <c r="G1103" s="60"/>
      <c r="H1103" s="63"/>
      <c r="I1103" s="60"/>
      <c r="J1103" s="64"/>
      <c r="K1103" s="64"/>
      <c r="L1103" s="55"/>
      <c r="M1103" s="55"/>
      <c r="N1103" s="55"/>
      <c r="O1103" s="55"/>
      <c r="P1103" s="55"/>
      <c r="Q1103" s="55"/>
      <c r="R1103" s="56"/>
      <c r="S1103" s="57"/>
      <c r="T1103" s="60"/>
    </row>
    <row r="1104">
      <c r="A1104" s="55"/>
      <c r="B1104" s="55"/>
      <c r="C1104" s="55"/>
      <c r="D1104" s="56"/>
      <c r="E1104" s="57"/>
      <c r="F1104" s="58"/>
      <c r="G1104" s="60"/>
      <c r="H1104" s="63"/>
      <c r="I1104" s="60"/>
      <c r="J1104" s="64"/>
      <c r="K1104" s="64"/>
      <c r="L1104" s="55"/>
      <c r="M1104" s="55"/>
      <c r="N1104" s="55"/>
      <c r="O1104" s="55"/>
      <c r="P1104" s="55"/>
      <c r="Q1104" s="55"/>
      <c r="R1104" s="56"/>
      <c r="S1104" s="57"/>
      <c r="T1104" s="60"/>
    </row>
    <row r="1105">
      <c r="A1105" s="55"/>
      <c r="B1105" s="55"/>
      <c r="C1105" s="55"/>
      <c r="D1105" s="56"/>
      <c r="E1105" s="57"/>
      <c r="F1105" s="58"/>
      <c r="G1105" s="60"/>
      <c r="H1105" s="63"/>
      <c r="I1105" s="60"/>
      <c r="J1105" s="64"/>
      <c r="K1105" s="64"/>
      <c r="L1105" s="55"/>
      <c r="M1105" s="55"/>
      <c r="N1105" s="55"/>
      <c r="O1105" s="55"/>
      <c r="P1105" s="55"/>
      <c r="Q1105" s="55"/>
      <c r="R1105" s="56"/>
      <c r="S1105" s="57"/>
      <c r="T1105" s="60"/>
    </row>
    <row r="1106">
      <c r="A1106" s="55"/>
      <c r="B1106" s="55"/>
      <c r="C1106" s="55"/>
      <c r="D1106" s="56"/>
      <c r="E1106" s="57"/>
      <c r="F1106" s="58"/>
      <c r="G1106" s="60"/>
      <c r="H1106" s="63"/>
      <c r="I1106" s="60"/>
      <c r="J1106" s="64"/>
      <c r="K1106" s="64"/>
      <c r="L1106" s="55"/>
      <c r="M1106" s="55"/>
      <c r="N1106" s="55"/>
      <c r="O1106" s="55"/>
      <c r="P1106" s="55"/>
      <c r="Q1106" s="55"/>
      <c r="R1106" s="56"/>
      <c r="S1106" s="57"/>
      <c r="T1106" s="60"/>
    </row>
    <row r="1107">
      <c r="A1107" s="55"/>
      <c r="B1107" s="55"/>
      <c r="C1107" s="55"/>
      <c r="D1107" s="56"/>
      <c r="E1107" s="57"/>
      <c r="F1107" s="58"/>
      <c r="G1107" s="60"/>
      <c r="H1107" s="63"/>
      <c r="I1107" s="60"/>
      <c r="J1107" s="64"/>
      <c r="K1107" s="64"/>
      <c r="L1107" s="55"/>
      <c r="M1107" s="55"/>
      <c r="N1107" s="55"/>
      <c r="O1107" s="55"/>
      <c r="P1107" s="55"/>
      <c r="Q1107" s="55"/>
      <c r="R1107" s="56"/>
      <c r="S1107" s="57"/>
      <c r="T1107" s="60"/>
    </row>
    <row r="1108">
      <c r="A1108" s="55"/>
      <c r="B1108" s="55"/>
      <c r="C1108" s="55"/>
      <c r="D1108" s="56"/>
      <c r="E1108" s="57"/>
      <c r="F1108" s="58"/>
      <c r="G1108" s="60"/>
      <c r="H1108" s="63"/>
      <c r="I1108" s="60"/>
      <c r="J1108" s="64"/>
      <c r="K1108" s="64"/>
      <c r="L1108" s="55"/>
      <c r="M1108" s="55"/>
      <c r="N1108" s="55"/>
      <c r="O1108" s="55"/>
      <c r="P1108" s="55"/>
      <c r="Q1108" s="55"/>
      <c r="R1108" s="56"/>
      <c r="S1108" s="57"/>
      <c r="T1108" s="60"/>
    </row>
    <row r="1109">
      <c r="A1109" s="55"/>
      <c r="B1109" s="55"/>
      <c r="C1109" s="55"/>
      <c r="D1109" s="56"/>
      <c r="E1109" s="57"/>
      <c r="F1109" s="58"/>
      <c r="G1109" s="60"/>
      <c r="H1109" s="63"/>
      <c r="I1109" s="60"/>
      <c r="J1109" s="64"/>
      <c r="K1109" s="64"/>
      <c r="L1109" s="55"/>
      <c r="M1109" s="55"/>
      <c r="N1109" s="55"/>
      <c r="O1109" s="55"/>
      <c r="P1109" s="55"/>
      <c r="Q1109" s="55"/>
      <c r="R1109" s="56"/>
      <c r="S1109" s="57"/>
      <c r="T1109" s="60"/>
    </row>
    <row r="1110">
      <c r="A1110" s="55"/>
      <c r="B1110" s="55"/>
      <c r="C1110" s="55"/>
      <c r="D1110" s="56"/>
      <c r="E1110" s="57"/>
      <c r="F1110" s="58"/>
      <c r="G1110" s="60"/>
      <c r="H1110" s="63"/>
      <c r="I1110" s="60"/>
      <c r="J1110" s="64"/>
      <c r="K1110" s="64"/>
      <c r="L1110" s="55"/>
      <c r="M1110" s="55"/>
      <c r="N1110" s="55"/>
      <c r="O1110" s="55"/>
      <c r="P1110" s="55"/>
      <c r="Q1110" s="55"/>
      <c r="R1110" s="56"/>
      <c r="S1110" s="57"/>
      <c r="T1110" s="60"/>
    </row>
    <row r="1111">
      <c r="A1111" s="55"/>
      <c r="B1111" s="55"/>
      <c r="C1111" s="55"/>
      <c r="D1111" s="56"/>
      <c r="E1111" s="57"/>
      <c r="F1111" s="58"/>
      <c r="G1111" s="60"/>
      <c r="H1111" s="63"/>
      <c r="I1111" s="60"/>
      <c r="J1111" s="64"/>
      <c r="K1111" s="64"/>
      <c r="L1111" s="55"/>
      <c r="M1111" s="55"/>
      <c r="N1111" s="55"/>
      <c r="O1111" s="55"/>
      <c r="P1111" s="55"/>
      <c r="Q1111" s="55"/>
      <c r="R1111" s="56"/>
      <c r="S1111" s="57"/>
      <c r="T1111" s="60"/>
    </row>
    <row r="1112">
      <c r="A1112" s="55"/>
      <c r="B1112" s="55"/>
      <c r="C1112" s="55"/>
      <c r="D1112" s="56"/>
      <c r="E1112" s="57"/>
      <c r="F1112" s="58"/>
      <c r="G1112" s="60"/>
      <c r="H1112" s="63"/>
      <c r="I1112" s="60"/>
      <c r="J1112" s="64"/>
      <c r="K1112" s="64"/>
      <c r="L1112" s="55"/>
      <c r="M1112" s="55"/>
      <c r="N1112" s="55"/>
      <c r="O1112" s="55"/>
      <c r="P1112" s="55"/>
      <c r="Q1112" s="55"/>
      <c r="R1112" s="56"/>
      <c r="S1112" s="57"/>
      <c r="T1112" s="60"/>
    </row>
    <row r="1113">
      <c r="A1113" s="55"/>
      <c r="B1113" s="55"/>
      <c r="C1113" s="55"/>
      <c r="D1113" s="56"/>
      <c r="E1113" s="57"/>
      <c r="F1113" s="58"/>
      <c r="G1113" s="60"/>
      <c r="H1113" s="63"/>
      <c r="I1113" s="60"/>
      <c r="J1113" s="64"/>
      <c r="K1113" s="64"/>
      <c r="L1113" s="55"/>
      <c r="M1113" s="55"/>
      <c r="N1113" s="55"/>
      <c r="O1113" s="55"/>
      <c r="P1113" s="55"/>
      <c r="Q1113" s="55"/>
      <c r="R1113" s="56"/>
      <c r="S1113" s="57"/>
      <c r="T1113" s="60"/>
    </row>
    <row r="1114">
      <c r="A1114" s="55"/>
      <c r="B1114" s="55"/>
      <c r="C1114" s="55"/>
      <c r="D1114" s="56"/>
      <c r="E1114" s="57"/>
      <c r="F1114" s="58"/>
      <c r="G1114" s="60"/>
      <c r="H1114" s="63"/>
      <c r="I1114" s="60"/>
      <c r="J1114" s="64"/>
      <c r="K1114" s="64"/>
      <c r="L1114" s="55"/>
      <c r="M1114" s="55"/>
      <c r="N1114" s="55"/>
      <c r="O1114" s="55"/>
      <c r="P1114" s="55"/>
      <c r="Q1114" s="55"/>
      <c r="R1114" s="56"/>
      <c r="S1114" s="57"/>
      <c r="T1114" s="60"/>
    </row>
    <row r="1115">
      <c r="A1115" s="55"/>
      <c r="B1115" s="55"/>
      <c r="C1115" s="55"/>
      <c r="D1115" s="56"/>
      <c r="E1115" s="57"/>
      <c r="F1115" s="58"/>
      <c r="G1115" s="60"/>
      <c r="H1115" s="63"/>
      <c r="I1115" s="60"/>
      <c r="J1115" s="64"/>
      <c r="K1115" s="64"/>
      <c r="L1115" s="55"/>
      <c r="M1115" s="55"/>
      <c r="N1115" s="55"/>
      <c r="O1115" s="55"/>
      <c r="P1115" s="55"/>
      <c r="Q1115" s="55"/>
      <c r="R1115" s="56"/>
      <c r="S1115" s="57"/>
      <c r="T1115" s="60"/>
    </row>
    <row r="1116">
      <c r="A1116" s="55"/>
      <c r="B1116" s="55"/>
      <c r="C1116" s="55"/>
      <c r="D1116" s="56"/>
      <c r="E1116" s="57"/>
      <c r="F1116" s="58"/>
      <c r="G1116" s="60"/>
      <c r="H1116" s="63"/>
      <c r="I1116" s="60"/>
      <c r="J1116" s="64"/>
      <c r="K1116" s="64"/>
      <c r="L1116" s="55"/>
      <c r="M1116" s="55"/>
      <c r="N1116" s="55"/>
      <c r="O1116" s="55"/>
      <c r="P1116" s="55"/>
      <c r="Q1116" s="55"/>
      <c r="R1116" s="56"/>
      <c r="S1116" s="57"/>
      <c r="T1116" s="60"/>
    </row>
    <row r="1117">
      <c r="A1117" s="55"/>
      <c r="B1117" s="55"/>
      <c r="C1117" s="55"/>
      <c r="D1117" s="56"/>
      <c r="E1117" s="57"/>
      <c r="F1117" s="58"/>
      <c r="G1117" s="60"/>
      <c r="H1117" s="63"/>
      <c r="I1117" s="60"/>
      <c r="J1117" s="64"/>
      <c r="K1117" s="64"/>
      <c r="L1117" s="55"/>
      <c r="M1117" s="55"/>
      <c r="N1117" s="55"/>
      <c r="O1117" s="55"/>
      <c r="P1117" s="55"/>
      <c r="Q1117" s="55"/>
      <c r="R1117" s="56"/>
      <c r="S1117" s="57"/>
      <c r="T1117" s="60"/>
    </row>
    <row r="1118">
      <c r="A1118" s="55"/>
      <c r="B1118" s="55"/>
      <c r="C1118" s="55"/>
      <c r="D1118" s="56"/>
      <c r="E1118" s="57"/>
      <c r="F1118" s="58"/>
      <c r="G1118" s="60"/>
      <c r="H1118" s="63"/>
      <c r="I1118" s="60"/>
      <c r="J1118" s="64"/>
      <c r="K1118" s="64"/>
      <c r="L1118" s="55"/>
      <c r="M1118" s="55"/>
      <c r="N1118" s="55"/>
      <c r="O1118" s="55"/>
      <c r="P1118" s="55"/>
      <c r="Q1118" s="55"/>
      <c r="R1118" s="56"/>
      <c r="S1118" s="57"/>
      <c r="T1118" s="60"/>
    </row>
    <row r="1119">
      <c r="A1119" s="55"/>
      <c r="B1119" s="55"/>
      <c r="C1119" s="55"/>
      <c r="D1119" s="56"/>
      <c r="E1119" s="57"/>
      <c r="F1119" s="58"/>
      <c r="G1119" s="60"/>
      <c r="H1119" s="63"/>
      <c r="I1119" s="60"/>
      <c r="J1119" s="64"/>
      <c r="K1119" s="64"/>
      <c r="L1119" s="55"/>
      <c r="M1119" s="55"/>
      <c r="N1119" s="55"/>
      <c r="O1119" s="55"/>
      <c r="P1119" s="55"/>
      <c r="Q1119" s="55"/>
      <c r="R1119" s="56"/>
      <c r="S1119" s="57"/>
      <c r="T1119" s="60"/>
    </row>
    <row r="1120">
      <c r="A1120" s="55"/>
      <c r="B1120" s="55"/>
      <c r="C1120" s="55"/>
      <c r="D1120" s="56"/>
      <c r="E1120" s="57"/>
      <c r="F1120" s="58"/>
      <c r="G1120" s="60"/>
      <c r="H1120" s="63"/>
      <c r="I1120" s="60"/>
      <c r="J1120" s="64"/>
      <c r="K1120" s="64"/>
      <c r="L1120" s="55"/>
      <c r="M1120" s="55"/>
      <c r="N1120" s="55"/>
      <c r="O1120" s="55"/>
      <c r="P1120" s="55"/>
      <c r="Q1120" s="55"/>
      <c r="R1120" s="56"/>
      <c r="S1120" s="57"/>
      <c r="T1120" s="60"/>
    </row>
    <row r="1121">
      <c r="A1121" s="55"/>
      <c r="B1121" s="55"/>
      <c r="C1121" s="55"/>
      <c r="D1121" s="56"/>
      <c r="E1121" s="57"/>
      <c r="F1121" s="58"/>
      <c r="G1121" s="60"/>
      <c r="H1121" s="63"/>
      <c r="I1121" s="60"/>
      <c r="J1121" s="64"/>
      <c r="K1121" s="64"/>
      <c r="L1121" s="55"/>
      <c r="M1121" s="55"/>
      <c r="N1121" s="55"/>
      <c r="O1121" s="55"/>
      <c r="P1121" s="55"/>
      <c r="Q1121" s="55"/>
      <c r="R1121" s="56"/>
      <c r="S1121" s="57"/>
      <c r="T1121" s="60"/>
    </row>
    <row r="1122">
      <c r="A1122" s="55"/>
      <c r="B1122" s="55"/>
      <c r="C1122" s="55"/>
      <c r="D1122" s="56"/>
      <c r="E1122" s="57"/>
      <c r="F1122" s="58"/>
      <c r="G1122" s="60"/>
      <c r="H1122" s="63"/>
      <c r="I1122" s="60"/>
      <c r="J1122" s="64"/>
      <c r="K1122" s="64"/>
      <c r="L1122" s="55"/>
      <c r="M1122" s="55"/>
      <c r="N1122" s="55"/>
      <c r="O1122" s="55"/>
      <c r="P1122" s="55"/>
      <c r="Q1122" s="55"/>
      <c r="R1122" s="56"/>
      <c r="S1122" s="57"/>
      <c r="T1122" s="60"/>
    </row>
    <row r="1123">
      <c r="A1123" s="55"/>
      <c r="B1123" s="55"/>
      <c r="C1123" s="55"/>
      <c r="D1123" s="56"/>
      <c r="E1123" s="57"/>
      <c r="F1123" s="58"/>
      <c r="G1123" s="60"/>
      <c r="H1123" s="63"/>
      <c r="I1123" s="60"/>
      <c r="J1123" s="64"/>
      <c r="K1123" s="64"/>
      <c r="L1123" s="55"/>
      <c r="M1123" s="55"/>
      <c r="N1123" s="55"/>
      <c r="O1123" s="55"/>
      <c r="P1123" s="55"/>
      <c r="Q1123" s="55"/>
      <c r="R1123" s="56"/>
      <c r="S1123" s="57"/>
      <c r="T1123" s="60"/>
    </row>
    <row r="1124">
      <c r="A1124" s="55"/>
      <c r="B1124" s="55"/>
      <c r="C1124" s="55"/>
      <c r="D1124" s="56"/>
      <c r="E1124" s="57"/>
      <c r="F1124" s="58"/>
      <c r="G1124" s="60"/>
      <c r="H1124" s="63"/>
      <c r="I1124" s="60"/>
      <c r="J1124" s="64"/>
      <c r="K1124" s="64"/>
      <c r="L1124" s="55"/>
      <c r="M1124" s="55"/>
      <c r="N1124" s="55"/>
      <c r="O1124" s="55"/>
      <c r="P1124" s="55"/>
      <c r="Q1124" s="55"/>
      <c r="R1124" s="56"/>
      <c r="S1124" s="57"/>
      <c r="T1124" s="60"/>
    </row>
    <row r="1125">
      <c r="A1125" s="55"/>
      <c r="B1125" s="55"/>
      <c r="C1125" s="55"/>
      <c r="D1125" s="56"/>
      <c r="E1125" s="57"/>
      <c r="F1125" s="58"/>
      <c r="G1125" s="60"/>
      <c r="H1125" s="63"/>
      <c r="I1125" s="60"/>
      <c r="J1125" s="64"/>
      <c r="K1125" s="64"/>
      <c r="L1125" s="55"/>
      <c r="M1125" s="55"/>
      <c r="N1125" s="55"/>
      <c r="O1125" s="55"/>
      <c r="P1125" s="55"/>
      <c r="Q1125" s="55"/>
      <c r="R1125" s="56"/>
      <c r="S1125" s="57"/>
      <c r="T1125" s="60"/>
    </row>
    <row r="1126">
      <c r="A1126" s="55"/>
      <c r="B1126" s="55"/>
      <c r="C1126" s="55"/>
      <c r="D1126" s="56"/>
      <c r="E1126" s="57"/>
      <c r="F1126" s="58"/>
      <c r="G1126" s="60"/>
      <c r="H1126" s="63"/>
      <c r="I1126" s="60"/>
      <c r="J1126" s="64"/>
      <c r="K1126" s="64"/>
      <c r="L1126" s="55"/>
      <c r="M1126" s="55"/>
      <c r="N1126" s="55"/>
      <c r="O1126" s="55"/>
      <c r="P1126" s="55"/>
      <c r="Q1126" s="55"/>
      <c r="R1126" s="56"/>
      <c r="S1126" s="57"/>
      <c r="T1126" s="60"/>
    </row>
    <row r="1127">
      <c r="A1127" s="55"/>
      <c r="B1127" s="55"/>
      <c r="C1127" s="55"/>
      <c r="D1127" s="56"/>
      <c r="E1127" s="57"/>
      <c r="F1127" s="58"/>
      <c r="G1127" s="60"/>
      <c r="H1127" s="63"/>
      <c r="I1127" s="60"/>
      <c r="J1127" s="64"/>
      <c r="K1127" s="64"/>
      <c r="L1127" s="55"/>
      <c r="M1127" s="55"/>
      <c r="N1127" s="55"/>
      <c r="O1127" s="55"/>
      <c r="P1127" s="55"/>
      <c r="Q1127" s="55"/>
      <c r="R1127" s="56"/>
      <c r="S1127" s="57"/>
      <c r="T1127" s="60"/>
    </row>
    <row r="1128">
      <c r="A1128" s="55"/>
      <c r="B1128" s="55"/>
      <c r="C1128" s="55"/>
      <c r="D1128" s="56"/>
      <c r="E1128" s="57"/>
      <c r="F1128" s="58"/>
      <c r="G1128" s="60"/>
      <c r="H1128" s="63"/>
      <c r="I1128" s="60"/>
      <c r="J1128" s="64"/>
      <c r="K1128" s="64"/>
      <c r="L1128" s="55"/>
      <c r="M1128" s="55"/>
      <c r="N1128" s="55"/>
      <c r="O1128" s="55"/>
      <c r="P1128" s="55"/>
      <c r="Q1128" s="55"/>
      <c r="R1128" s="56"/>
      <c r="S1128" s="57"/>
      <c r="T1128" s="60"/>
    </row>
    <row r="1129">
      <c r="A1129" s="55"/>
      <c r="B1129" s="55"/>
      <c r="C1129" s="55"/>
      <c r="D1129" s="56"/>
      <c r="E1129" s="57"/>
      <c r="F1129" s="58"/>
      <c r="G1129" s="60"/>
      <c r="H1129" s="63"/>
      <c r="I1129" s="60"/>
      <c r="J1129" s="64"/>
      <c r="K1129" s="64"/>
      <c r="L1129" s="55"/>
      <c r="M1129" s="55"/>
      <c r="N1129" s="55"/>
      <c r="O1129" s="55"/>
      <c r="P1129" s="55"/>
      <c r="Q1129" s="55"/>
      <c r="R1129" s="56"/>
      <c r="S1129" s="57"/>
      <c r="T1129" s="60"/>
    </row>
    <row r="1130">
      <c r="A1130" s="55"/>
      <c r="B1130" s="55"/>
      <c r="C1130" s="55"/>
      <c r="D1130" s="56"/>
      <c r="E1130" s="57"/>
      <c r="F1130" s="58"/>
      <c r="G1130" s="60"/>
      <c r="H1130" s="63"/>
      <c r="I1130" s="60"/>
      <c r="J1130" s="64"/>
      <c r="K1130" s="64"/>
      <c r="L1130" s="55"/>
      <c r="M1130" s="55"/>
      <c r="N1130" s="55"/>
      <c r="O1130" s="55"/>
      <c r="P1130" s="55"/>
      <c r="Q1130" s="55"/>
      <c r="R1130" s="56"/>
      <c r="S1130" s="57"/>
      <c r="T1130" s="60"/>
    </row>
    <row r="1131">
      <c r="A1131" s="55"/>
      <c r="B1131" s="55"/>
      <c r="C1131" s="55"/>
      <c r="D1131" s="56"/>
      <c r="E1131" s="57"/>
      <c r="F1131" s="58"/>
      <c r="G1131" s="60"/>
      <c r="H1131" s="63"/>
      <c r="I1131" s="60"/>
      <c r="J1131" s="64"/>
      <c r="K1131" s="64"/>
      <c r="L1131" s="55"/>
      <c r="M1131" s="55"/>
      <c r="N1131" s="55"/>
      <c r="O1131" s="55"/>
      <c r="P1131" s="55"/>
      <c r="Q1131" s="55"/>
      <c r="R1131" s="56"/>
      <c r="S1131" s="57"/>
      <c r="T1131" s="60"/>
    </row>
    <row r="1132">
      <c r="A1132" s="55"/>
      <c r="B1132" s="55"/>
      <c r="C1132" s="55"/>
      <c r="D1132" s="56"/>
      <c r="E1132" s="57"/>
      <c r="F1132" s="58"/>
      <c r="G1132" s="60"/>
      <c r="H1132" s="63"/>
      <c r="I1132" s="60"/>
      <c r="J1132" s="64"/>
      <c r="K1132" s="64"/>
      <c r="L1132" s="55"/>
      <c r="M1132" s="55"/>
      <c r="N1132" s="55"/>
      <c r="O1132" s="55"/>
      <c r="P1132" s="55"/>
      <c r="Q1132" s="55"/>
      <c r="R1132" s="56"/>
      <c r="S1132" s="57"/>
      <c r="T1132" s="60"/>
    </row>
    <row r="1133">
      <c r="A1133" s="55"/>
      <c r="B1133" s="55"/>
      <c r="C1133" s="55"/>
      <c r="D1133" s="56"/>
      <c r="E1133" s="57"/>
      <c r="F1133" s="58"/>
      <c r="G1133" s="60"/>
      <c r="H1133" s="63"/>
      <c r="I1133" s="60"/>
      <c r="J1133" s="64"/>
      <c r="K1133" s="64"/>
      <c r="L1133" s="55"/>
      <c r="M1133" s="55"/>
      <c r="N1133" s="55"/>
      <c r="O1133" s="55"/>
      <c r="P1133" s="55"/>
      <c r="Q1133" s="55"/>
      <c r="R1133" s="56"/>
      <c r="S1133" s="57"/>
      <c r="T1133" s="60"/>
    </row>
    <row r="1134">
      <c r="A1134" s="55"/>
      <c r="B1134" s="55"/>
      <c r="C1134" s="55"/>
      <c r="D1134" s="56"/>
      <c r="E1134" s="57"/>
      <c r="F1134" s="58"/>
      <c r="G1134" s="60"/>
      <c r="H1134" s="63"/>
      <c r="I1134" s="60"/>
      <c r="J1134" s="64"/>
      <c r="K1134" s="64"/>
      <c r="L1134" s="55"/>
      <c r="M1134" s="55"/>
      <c r="N1134" s="55"/>
      <c r="O1134" s="55"/>
      <c r="P1134" s="55"/>
      <c r="Q1134" s="55"/>
      <c r="R1134" s="56"/>
      <c r="S1134" s="57"/>
      <c r="T1134" s="60"/>
    </row>
    <row r="1135">
      <c r="A1135" s="55"/>
      <c r="B1135" s="55"/>
      <c r="C1135" s="55"/>
      <c r="D1135" s="56"/>
      <c r="E1135" s="57"/>
      <c r="F1135" s="58"/>
      <c r="G1135" s="60"/>
      <c r="H1135" s="63"/>
      <c r="I1135" s="60"/>
      <c r="J1135" s="64"/>
      <c r="K1135" s="64"/>
      <c r="L1135" s="55"/>
      <c r="M1135" s="55"/>
      <c r="N1135" s="55"/>
      <c r="O1135" s="55"/>
      <c r="P1135" s="55"/>
      <c r="Q1135" s="55"/>
      <c r="R1135" s="56"/>
      <c r="S1135" s="57"/>
      <c r="T1135" s="60"/>
    </row>
    <row r="1136">
      <c r="A1136" s="55"/>
      <c r="B1136" s="55"/>
      <c r="C1136" s="55"/>
      <c r="D1136" s="56"/>
      <c r="E1136" s="57"/>
      <c r="F1136" s="58"/>
      <c r="G1136" s="60"/>
      <c r="H1136" s="63"/>
      <c r="I1136" s="60"/>
      <c r="J1136" s="64"/>
      <c r="K1136" s="64"/>
      <c r="L1136" s="55"/>
      <c r="M1136" s="55"/>
      <c r="N1136" s="55"/>
      <c r="O1136" s="55"/>
      <c r="P1136" s="55"/>
      <c r="Q1136" s="55"/>
      <c r="R1136" s="56"/>
      <c r="S1136" s="57"/>
      <c r="T1136" s="60"/>
    </row>
    <row r="1137">
      <c r="A1137" s="55"/>
      <c r="B1137" s="55"/>
      <c r="C1137" s="55"/>
      <c r="D1137" s="56"/>
      <c r="E1137" s="57"/>
      <c r="F1137" s="58"/>
      <c r="G1137" s="60"/>
      <c r="H1137" s="63"/>
      <c r="I1137" s="60"/>
      <c r="J1137" s="64"/>
      <c r="K1137" s="64"/>
      <c r="L1137" s="55"/>
      <c r="M1137" s="55"/>
      <c r="N1137" s="55"/>
      <c r="O1137" s="55"/>
      <c r="P1137" s="55"/>
      <c r="Q1137" s="55"/>
      <c r="R1137" s="56"/>
      <c r="S1137" s="57"/>
      <c r="T1137" s="60"/>
    </row>
    <row r="1138">
      <c r="A1138" s="55"/>
      <c r="B1138" s="55"/>
      <c r="C1138" s="55"/>
      <c r="D1138" s="56"/>
      <c r="E1138" s="57"/>
      <c r="F1138" s="58"/>
      <c r="G1138" s="60"/>
      <c r="H1138" s="63"/>
      <c r="I1138" s="60"/>
      <c r="J1138" s="64"/>
      <c r="K1138" s="64"/>
      <c r="L1138" s="55"/>
      <c r="M1138" s="55"/>
      <c r="N1138" s="55"/>
      <c r="O1138" s="55"/>
      <c r="P1138" s="55"/>
      <c r="Q1138" s="55"/>
      <c r="R1138" s="56"/>
      <c r="S1138" s="57"/>
      <c r="T1138" s="60"/>
    </row>
    <row r="1139">
      <c r="A1139" s="55"/>
      <c r="B1139" s="55"/>
      <c r="C1139" s="55"/>
      <c r="D1139" s="56"/>
      <c r="E1139" s="57"/>
      <c r="F1139" s="58"/>
      <c r="G1139" s="60"/>
      <c r="H1139" s="63"/>
      <c r="I1139" s="60"/>
      <c r="J1139" s="64"/>
      <c r="K1139" s="64"/>
      <c r="L1139" s="55"/>
      <c r="M1139" s="55"/>
      <c r="N1139" s="55"/>
      <c r="O1139" s="55"/>
      <c r="P1139" s="55"/>
      <c r="Q1139" s="55"/>
      <c r="R1139" s="56"/>
      <c r="S1139" s="57"/>
      <c r="T1139" s="60"/>
    </row>
    <row r="1140">
      <c r="A1140" s="55"/>
      <c r="B1140" s="55"/>
      <c r="C1140" s="55"/>
      <c r="D1140" s="56"/>
      <c r="E1140" s="57"/>
      <c r="F1140" s="58"/>
      <c r="G1140" s="60"/>
      <c r="H1140" s="63"/>
      <c r="I1140" s="60"/>
      <c r="J1140" s="64"/>
      <c r="K1140" s="64"/>
      <c r="L1140" s="55"/>
      <c r="M1140" s="55"/>
      <c r="N1140" s="55"/>
      <c r="O1140" s="55"/>
      <c r="P1140" s="55"/>
      <c r="Q1140" s="55"/>
      <c r="R1140" s="56"/>
      <c r="S1140" s="57"/>
      <c r="T1140" s="60"/>
    </row>
    <row r="1141">
      <c r="A1141" s="55"/>
      <c r="B1141" s="55"/>
      <c r="C1141" s="55"/>
      <c r="D1141" s="56"/>
      <c r="E1141" s="57"/>
      <c r="F1141" s="58"/>
      <c r="G1141" s="60"/>
      <c r="H1141" s="63"/>
      <c r="I1141" s="60"/>
      <c r="J1141" s="64"/>
      <c r="K1141" s="64"/>
      <c r="L1141" s="55"/>
      <c r="M1141" s="55"/>
      <c r="N1141" s="55"/>
      <c r="O1141" s="55"/>
      <c r="P1141" s="55"/>
      <c r="Q1141" s="55"/>
      <c r="R1141" s="56"/>
      <c r="S1141" s="57"/>
      <c r="T1141" s="60"/>
    </row>
    <row r="1142">
      <c r="A1142" s="55"/>
      <c r="B1142" s="55"/>
      <c r="C1142" s="55"/>
      <c r="D1142" s="56"/>
      <c r="E1142" s="57"/>
      <c r="F1142" s="58"/>
      <c r="G1142" s="60"/>
      <c r="H1142" s="63"/>
      <c r="I1142" s="60"/>
      <c r="J1142" s="64"/>
      <c r="K1142" s="64"/>
      <c r="L1142" s="55"/>
      <c r="M1142" s="55"/>
      <c r="N1142" s="55"/>
      <c r="O1142" s="55"/>
      <c r="P1142" s="55"/>
      <c r="Q1142" s="55"/>
      <c r="R1142" s="56"/>
      <c r="S1142" s="57"/>
      <c r="T1142" s="60"/>
    </row>
    <row r="1143">
      <c r="A1143" s="55"/>
      <c r="B1143" s="55"/>
      <c r="C1143" s="55"/>
      <c r="D1143" s="56"/>
      <c r="E1143" s="57"/>
      <c r="F1143" s="58"/>
      <c r="G1143" s="60"/>
      <c r="H1143" s="63"/>
      <c r="I1143" s="60"/>
      <c r="J1143" s="64"/>
      <c r="K1143" s="64"/>
      <c r="L1143" s="55"/>
      <c r="M1143" s="55"/>
      <c r="N1143" s="55"/>
      <c r="O1143" s="55"/>
      <c r="P1143" s="55"/>
      <c r="Q1143" s="55"/>
      <c r="R1143" s="56"/>
      <c r="S1143" s="57"/>
      <c r="T1143" s="60"/>
    </row>
    <row r="1144">
      <c r="A1144" s="55"/>
      <c r="B1144" s="55"/>
      <c r="C1144" s="55"/>
      <c r="D1144" s="56"/>
      <c r="E1144" s="57"/>
      <c r="F1144" s="58"/>
      <c r="G1144" s="60"/>
      <c r="H1144" s="63"/>
      <c r="I1144" s="60"/>
      <c r="J1144" s="64"/>
      <c r="K1144" s="64"/>
      <c r="L1144" s="55"/>
      <c r="M1144" s="55"/>
      <c r="N1144" s="55"/>
      <c r="O1144" s="55"/>
      <c r="P1144" s="55"/>
      <c r="Q1144" s="55"/>
      <c r="R1144" s="56"/>
      <c r="S1144" s="57"/>
      <c r="T1144" s="60"/>
    </row>
    <row r="1145">
      <c r="A1145" s="55"/>
      <c r="B1145" s="55"/>
      <c r="C1145" s="55"/>
      <c r="D1145" s="56"/>
      <c r="E1145" s="57"/>
      <c r="F1145" s="58"/>
      <c r="G1145" s="60"/>
      <c r="H1145" s="63"/>
      <c r="I1145" s="60"/>
      <c r="J1145" s="64"/>
      <c r="K1145" s="64"/>
      <c r="L1145" s="55"/>
      <c r="M1145" s="55"/>
      <c r="N1145" s="55"/>
      <c r="O1145" s="55"/>
      <c r="P1145" s="55"/>
      <c r="Q1145" s="55"/>
      <c r="R1145" s="56"/>
      <c r="S1145" s="57"/>
      <c r="T1145" s="60"/>
    </row>
    <row r="1146">
      <c r="A1146" s="55"/>
      <c r="B1146" s="55"/>
      <c r="C1146" s="55"/>
      <c r="D1146" s="56"/>
      <c r="E1146" s="57"/>
      <c r="F1146" s="58"/>
      <c r="G1146" s="60"/>
      <c r="H1146" s="63"/>
      <c r="I1146" s="60"/>
      <c r="J1146" s="64"/>
      <c r="K1146" s="64"/>
      <c r="L1146" s="55"/>
      <c r="M1146" s="55"/>
      <c r="N1146" s="55"/>
      <c r="O1146" s="55"/>
      <c r="P1146" s="55"/>
      <c r="Q1146" s="55"/>
      <c r="R1146" s="56"/>
      <c r="S1146" s="57"/>
      <c r="T1146" s="60"/>
    </row>
    <row r="1147">
      <c r="A1147" s="55"/>
      <c r="B1147" s="55"/>
      <c r="C1147" s="55"/>
      <c r="D1147" s="56"/>
      <c r="E1147" s="57"/>
      <c r="F1147" s="58"/>
      <c r="G1147" s="60"/>
      <c r="H1147" s="63"/>
      <c r="I1147" s="60"/>
      <c r="J1147" s="64"/>
      <c r="K1147" s="64"/>
      <c r="L1147" s="55"/>
      <c r="M1147" s="55"/>
      <c r="N1147" s="55"/>
      <c r="O1147" s="55"/>
      <c r="P1147" s="55"/>
      <c r="Q1147" s="55"/>
      <c r="R1147" s="56"/>
      <c r="S1147" s="57"/>
      <c r="T1147" s="60"/>
    </row>
    <row r="1148">
      <c r="A1148" s="55"/>
      <c r="B1148" s="55"/>
      <c r="C1148" s="55"/>
      <c r="D1148" s="56"/>
      <c r="E1148" s="57"/>
      <c r="F1148" s="58"/>
      <c r="G1148" s="60"/>
      <c r="H1148" s="63"/>
      <c r="I1148" s="60"/>
      <c r="J1148" s="64"/>
      <c r="K1148" s="64"/>
      <c r="L1148" s="55"/>
      <c r="M1148" s="55"/>
      <c r="N1148" s="55"/>
      <c r="O1148" s="55"/>
      <c r="P1148" s="55"/>
      <c r="Q1148" s="55"/>
      <c r="R1148" s="56"/>
      <c r="S1148" s="57"/>
      <c r="T1148" s="60"/>
    </row>
    <row r="1149">
      <c r="A1149" s="55"/>
      <c r="B1149" s="55"/>
      <c r="C1149" s="55"/>
      <c r="D1149" s="56"/>
      <c r="E1149" s="57"/>
      <c r="F1149" s="58"/>
      <c r="G1149" s="60"/>
      <c r="H1149" s="63"/>
      <c r="I1149" s="60"/>
      <c r="J1149" s="64"/>
      <c r="K1149" s="64"/>
      <c r="L1149" s="55"/>
      <c r="M1149" s="55"/>
      <c r="N1149" s="55"/>
      <c r="O1149" s="55"/>
      <c r="P1149" s="55"/>
      <c r="Q1149" s="55"/>
      <c r="R1149" s="56"/>
      <c r="S1149" s="57"/>
      <c r="T1149" s="60"/>
    </row>
    <row r="1150">
      <c r="A1150" s="55"/>
      <c r="B1150" s="55"/>
      <c r="C1150" s="55"/>
      <c r="D1150" s="56"/>
      <c r="E1150" s="57"/>
      <c r="F1150" s="58"/>
      <c r="G1150" s="60"/>
      <c r="H1150" s="63"/>
      <c r="I1150" s="60"/>
      <c r="J1150" s="64"/>
      <c r="K1150" s="64"/>
      <c r="L1150" s="55"/>
      <c r="M1150" s="55"/>
      <c r="N1150" s="55"/>
      <c r="O1150" s="55"/>
      <c r="P1150" s="55"/>
      <c r="Q1150" s="55"/>
      <c r="R1150" s="56"/>
      <c r="S1150" s="57"/>
      <c r="T1150" s="60"/>
    </row>
    <row r="1151">
      <c r="A1151" s="55"/>
      <c r="B1151" s="55"/>
      <c r="C1151" s="55"/>
      <c r="D1151" s="56"/>
      <c r="E1151" s="57"/>
      <c r="F1151" s="58"/>
      <c r="G1151" s="60"/>
      <c r="H1151" s="63"/>
      <c r="I1151" s="60"/>
      <c r="J1151" s="64"/>
      <c r="K1151" s="64"/>
      <c r="L1151" s="55"/>
      <c r="M1151" s="55"/>
      <c r="N1151" s="55"/>
      <c r="O1151" s="55"/>
      <c r="P1151" s="55"/>
      <c r="Q1151" s="55"/>
      <c r="R1151" s="56"/>
      <c r="S1151" s="57"/>
      <c r="T1151" s="60"/>
    </row>
    <row r="1152">
      <c r="A1152" s="55"/>
      <c r="B1152" s="55"/>
      <c r="C1152" s="55"/>
      <c r="D1152" s="56"/>
      <c r="E1152" s="57"/>
      <c r="F1152" s="58"/>
      <c r="G1152" s="60"/>
      <c r="H1152" s="63"/>
      <c r="I1152" s="60"/>
      <c r="J1152" s="64"/>
      <c r="K1152" s="64"/>
      <c r="L1152" s="55"/>
      <c r="M1152" s="55"/>
      <c r="N1152" s="55"/>
      <c r="O1152" s="55"/>
      <c r="P1152" s="55"/>
      <c r="Q1152" s="55"/>
      <c r="R1152" s="56"/>
      <c r="S1152" s="57"/>
      <c r="T1152" s="60"/>
    </row>
    <row r="1153">
      <c r="A1153" s="55"/>
      <c r="B1153" s="55"/>
      <c r="C1153" s="55"/>
      <c r="D1153" s="56"/>
      <c r="E1153" s="57"/>
      <c r="F1153" s="58"/>
      <c r="G1153" s="60"/>
      <c r="H1153" s="63"/>
      <c r="I1153" s="60"/>
      <c r="J1153" s="64"/>
      <c r="K1153" s="64"/>
      <c r="L1153" s="55"/>
      <c r="M1153" s="55"/>
      <c r="N1153" s="55"/>
      <c r="O1153" s="55"/>
      <c r="P1153" s="55"/>
      <c r="Q1153" s="55"/>
      <c r="R1153" s="56"/>
      <c r="S1153" s="57"/>
      <c r="T1153" s="60"/>
    </row>
    <row r="1154">
      <c r="A1154" s="55"/>
      <c r="B1154" s="55"/>
      <c r="C1154" s="55"/>
      <c r="D1154" s="56"/>
      <c r="E1154" s="57"/>
      <c r="F1154" s="58"/>
      <c r="G1154" s="60"/>
      <c r="H1154" s="63"/>
      <c r="I1154" s="60"/>
      <c r="J1154" s="64"/>
      <c r="K1154" s="64"/>
      <c r="L1154" s="55"/>
      <c r="M1154" s="55"/>
      <c r="N1154" s="55"/>
      <c r="O1154" s="55"/>
      <c r="P1154" s="55"/>
      <c r="Q1154" s="55"/>
      <c r="R1154" s="56"/>
      <c r="S1154" s="57"/>
      <c r="T1154" s="60"/>
    </row>
    <row r="1155">
      <c r="A1155" s="55"/>
      <c r="B1155" s="55"/>
      <c r="C1155" s="55"/>
      <c r="D1155" s="56"/>
      <c r="E1155" s="57"/>
      <c r="F1155" s="58"/>
      <c r="G1155" s="60"/>
      <c r="H1155" s="63"/>
      <c r="I1155" s="60"/>
      <c r="J1155" s="64"/>
      <c r="K1155" s="64"/>
      <c r="L1155" s="55"/>
      <c r="M1155" s="55"/>
      <c r="N1155" s="55"/>
      <c r="O1155" s="55"/>
      <c r="P1155" s="55"/>
      <c r="Q1155" s="55"/>
      <c r="R1155" s="56"/>
      <c r="S1155" s="57"/>
      <c r="T1155" s="60"/>
    </row>
    <row r="1156">
      <c r="A1156" s="55"/>
      <c r="B1156" s="55"/>
      <c r="C1156" s="55"/>
      <c r="D1156" s="56"/>
      <c r="E1156" s="57"/>
      <c r="F1156" s="58"/>
      <c r="G1156" s="60"/>
      <c r="H1156" s="63"/>
      <c r="I1156" s="60"/>
      <c r="J1156" s="64"/>
      <c r="K1156" s="64"/>
      <c r="L1156" s="55"/>
      <c r="M1156" s="55"/>
      <c r="N1156" s="55"/>
      <c r="O1156" s="55"/>
      <c r="P1156" s="55"/>
      <c r="Q1156" s="55"/>
      <c r="R1156" s="56"/>
      <c r="S1156" s="57"/>
      <c r="T1156" s="60"/>
    </row>
    <row r="1157">
      <c r="A1157" s="55"/>
      <c r="B1157" s="55"/>
      <c r="C1157" s="55"/>
      <c r="D1157" s="56"/>
      <c r="E1157" s="57"/>
      <c r="F1157" s="58"/>
      <c r="G1157" s="60"/>
      <c r="H1157" s="63"/>
      <c r="I1157" s="60"/>
      <c r="J1157" s="64"/>
      <c r="K1157" s="64"/>
      <c r="L1157" s="55"/>
      <c r="M1157" s="55"/>
      <c r="N1157" s="55"/>
      <c r="O1157" s="55"/>
      <c r="P1157" s="55"/>
      <c r="Q1157" s="55"/>
      <c r="R1157" s="56"/>
      <c r="S1157" s="57"/>
      <c r="T1157" s="60"/>
    </row>
    <row r="1158">
      <c r="A1158" s="55"/>
      <c r="B1158" s="55"/>
      <c r="C1158" s="55"/>
      <c r="D1158" s="56"/>
      <c r="E1158" s="57"/>
      <c r="F1158" s="58"/>
      <c r="G1158" s="60"/>
      <c r="H1158" s="63"/>
      <c r="I1158" s="60"/>
      <c r="J1158" s="64"/>
      <c r="K1158" s="64"/>
      <c r="L1158" s="55"/>
      <c r="M1158" s="55"/>
      <c r="N1158" s="55"/>
      <c r="O1158" s="55"/>
      <c r="P1158" s="55"/>
      <c r="Q1158" s="55"/>
      <c r="R1158" s="56"/>
      <c r="S1158" s="57"/>
      <c r="T1158" s="60"/>
    </row>
    <row r="1159">
      <c r="A1159" s="55"/>
      <c r="B1159" s="55"/>
      <c r="C1159" s="55"/>
      <c r="D1159" s="56"/>
      <c r="E1159" s="57"/>
      <c r="F1159" s="58"/>
      <c r="G1159" s="60"/>
      <c r="H1159" s="63"/>
      <c r="I1159" s="60"/>
      <c r="J1159" s="64"/>
      <c r="K1159" s="64"/>
      <c r="L1159" s="55"/>
      <c r="M1159" s="55"/>
      <c r="N1159" s="55"/>
      <c r="O1159" s="55"/>
      <c r="P1159" s="55"/>
      <c r="Q1159" s="55"/>
      <c r="R1159" s="56"/>
      <c r="S1159" s="57"/>
      <c r="T1159" s="60"/>
    </row>
    <row r="1160">
      <c r="A1160" s="55"/>
      <c r="B1160" s="55"/>
      <c r="C1160" s="55"/>
      <c r="D1160" s="56"/>
      <c r="E1160" s="57"/>
      <c r="F1160" s="58"/>
      <c r="G1160" s="60"/>
      <c r="H1160" s="63"/>
      <c r="I1160" s="60"/>
      <c r="J1160" s="64"/>
      <c r="K1160" s="64"/>
      <c r="L1160" s="55"/>
      <c r="M1160" s="55"/>
      <c r="N1160" s="55"/>
      <c r="O1160" s="55"/>
      <c r="P1160" s="55"/>
      <c r="Q1160" s="55"/>
      <c r="R1160" s="56"/>
      <c r="S1160" s="57"/>
      <c r="T1160" s="60"/>
    </row>
    <row r="1161">
      <c r="A1161" s="55"/>
      <c r="B1161" s="55"/>
      <c r="C1161" s="55"/>
      <c r="D1161" s="56"/>
      <c r="E1161" s="57"/>
      <c r="F1161" s="58"/>
      <c r="G1161" s="60"/>
      <c r="H1161" s="63"/>
      <c r="I1161" s="60"/>
      <c r="J1161" s="64"/>
      <c r="K1161" s="64"/>
      <c r="L1161" s="55"/>
      <c r="M1161" s="55"/>
      <c r="N1161" s="55"/>
      <c r="O1161" s="55"/>
      <c r="P1161" s="55"/>
      <c r="Q1161" s="55"/>
      <c r="R1161" s="56"/>
      <c r="S1161" s="57"/>
      <c r="T1161" s="60"/>
    </row>
    <row r="1162">
      <c r="A1162" s="55"/>
      <c r="B1162" s="55"/>
      <c r="C1162" s="55"/>
      <c r="D1162" s="56"/>
      <c r="E1162" s="57"/>
      <c r="F1162" s="58"/>
      <c r="G1162" s="60"/>
      <c r="H1162" s="63"/>
      <c r="I1162" s="60"/>
      <c r="J1162" s="64"/>
      <c r="K1162" s="64"/>
      <c r="L1162" s="55"/>
      <c r="M1162" s="55"/>
      <c r="N1162" s="55"/>
      <c r="O1162" s="55"/>
      <c r="P1162" s="55"/>
      <c r="Q1162" s="55"/>
      <c r="R1162" s="56"/>
      <c r="S1162" s="57"/>
      <c r="T1162" s="60"/>
    </row>
    <row r="1163">
      <c r="A1163" s="55"/>
      <c r="B1163" s="55"/>
      <c r="C1163" s="55"/>
      <c r="D1163" s="56"/>
      <c r="E1163" s="57"/>
      <c r="F1163" s="58"/>
      <c r="G1163" s="60"/>
      <c r="H1163" s="63"/>
      <c r="I1163" s="60"/>
      <c r="J1163" s="64"/>
      <c r="K1163" s="64"/>
      <c r="L1163" s="55"/>
      <c r="M1163" s="55"/>
      <c r="N1163" s="55"/>
      <c r="O1163" s="55"/>
      <c r="P1163" s="55"/>
      <c r="Q1163" s="55"/>
      <c r="R1163" s="56"/>
      <c r="S1163" s="57"/>
      <c r="T1163" s="60"/>
    </row>
    <row r="1164">
      <c r="A1164" s="55"/>
      <c r="B1164" s="55"/>
      <c r="C1164" s="55"/>
      <c r="D1164" s="56"/>
      <c r="E1164" s="57"/>
      <c r="F1164" s="58"/>
      <c r="G1164" s="60"/>
      <c r="H1164" s="63"/>
      <c r="I1164" s="60"/>
      <c r="J1164" s="64"/>
      <c r="K1164" s="64"/>
      <c r="L1164" s="55"/>
      <c r="M1164" s="55"/>
      <c r="N1164" s="55"/>
      <c r="O1164" s="55"/>
      <c r="P1164" s="55"/>
      <c r="Q1164" s="55"/>
      <c r="R1164" s="56"/>
      <c r="S1164" s="57"/>
      <c r="T1164" s="60"/>
    </row>
    <row r="1165">
      <c r="A1165" s="55"/>
      <c r="B1165" s="55"/>
      <c r="C1165" s="55"/>
      <c r="D1165" s="56"/>
      <c r="E1165" s="57"/>
      <c r="F1165" s="58"/>
      <c r="G1165" s="60"/>
      <c r="H1165" s="63"/>
      <c r="I1165" s="60"/>
      <c r="J1165" s="64"/>
      <c r="K1165" s="64"/>
      <c r="L1165" s="55"/>
      <c r="M1165" s="55"/>
      <c r="N1165" s="55"/>
      <c r="O1165" s="55"/>
      <c r="P1165" s="55"/>
      <c r="Q1165" s="55"/>
      <c r="R1165" s="56"/>
      <c r="S1165" s="57"/>
      <c r="T1165" s="60"/>
    </row>
    <row r="1166">
      <c r="A1166" s="55"/>
      <c r="B1166" s="55"/>
      <c r="C1166" s="55"/>
      <c r="D1166" s="56"/>
      <c r="E1166" s="57"/>
      <c r="F1166" s="58"/>
      <c r="G1166" s="60"/>
      <c r="H1166" s="63"/>
      <c r="I1166" s="60"/>
      <c r="J1166" s="64"/>
      <c r="K1166" s="64"/>
      <c r="L1166" s="55"/>
      <c r="M1166" s="55"/>
      <c r="N1166" s="55"/>
      <c r="O1166" s="55"/>
      <c r="P1166" s="55"/>
      <c r="Q1166" s="55"/>
      <c r="R1166" s="56"/>
      <c r="S1166" s="57"/>
      <c r="T1166" s="60"/>
    </row>
    <row r="1167">
      <c r="A1167" s="55"/>
      <c r="B1167" s="55"/>
      <c r="C1167" s="55"/>
      <c r="D1167" s="56"/>
      <c r="E1167" s="57"/>
      <c r="F1167" s="58"/>
      <c r="G1167" s="60"/>
      <c r="H1167" s="63"/>
      <c r="I1167" s="60"/>
      <c r="J1167" s="64"/>
      <c r="K1167" s="64"/>
      <c r="L1167" s="55"/>
      <c r="M1167" s="55"/>
      <c r="N1167" s="55"/>
      <c r="O1167" s="55"/>
      <c r="P1167" s="55"/>
      <c r="Q1167" s="55"/>
      <c r="R1167" s="56"/>
      <c r="S1167" s="57"/>
      <c r="T1167" s="60"/>
    </row>
    <row r="1168">
      <c r="A1168" s="55"/>
      <c r="B1168" s="55"/>
      <c r="C1168" s="55"/>
      <c r="D1168" s="56"/>
      <c r="E1168" s="57"/>
      <c r="F1168" s="58"/>
      <c r="G1168" s="60"/>
      <c r="H1168" s="63"/>
      <c r="I1168" s="60"/>
      <c r="J1168" s="64"/>
      <c r="K1168" s="64"/>
      <c r="L1168" s="55"/>
      <c r="M1168" s="55"/>
      <c r="N1168" s="55"/>
      <c r="O1168" s="55"/>
      <c r="P1168" s="55"/>
      <c r="Q1168" s="55"/>
      <c r="R1168" s="56"/>
      <c r="S1168" s="57"/>
      <c r="T1168" s="60"/>
    </row>
    <row r="1169">
      <c r="A1169" s="55"/>
      <c r="B1169" s="55"/>
      <c r="C1169" s="55"/>
      <c r="D1169" s="56"/>
      <c r="E1169" s="57"/>
      <c r="F1169" s="58"/>
      <c r="G1169" s="60"/>
      <c r="H1169" s="63"/>
      <c r="I1169" s="60"/>
      <c r="J1169" s="64"/>
      <c r="K1169" s="64"/>
      <c r="L1169" s="55"/>
      <c r="M1169" s="55"/>
      <c r="N1169" s="55"/>
      <c r="O1169" s="55"/>
      <c r="P1169" s="55"/>
      <c r="Q1169" s="55"/>
      <c r="R1169" s="56"/>
      <c r="S1169" s="57"/>
      <c r="T1169" s="60"/>
    </row>
    <row r="1170">
      <c r="A1170" s="55"/>
      <c r="B1170" s="55"/>
      <c r="C1170" s="55"/>
      <c r="D1170" s="56"/>
      <c r="E1170" s="57"/>
      <c r="F1170" s="58"/>
      <c r="G1170" s="60"/>
      <c r="H1170" s="63"/>
      <c r="I1170" s="60"/>
      <c r="J1170" s="64"/>
      <c r="K1170" s="64"/>
      <c r="L1170" s="55"/>
      <c r="M1170" s="55"/>
      <c r="N1170" s="55"/>
      <c r="O1170" s="55"/>
      <c r="P1170" s="55"/>
      <c r="Q1170" s="55"/>
      <c r="R1170" s="56"/>
      <c r="S1170" s="57"/>
      <c r="T1170" s="60"/>
    </row>
    <row r="1171">
      <c r="A1171" s="55"/>
      <c r="B1171" s="55"/>
      <c r="C1171" s="55"/>
      <c r="D1171" s="56"/>
      <c r="E1171" s="57"/>
      <c r="F1171" s="58"/>
      <c r="G1171" s="60"/>
      <c r="H1171" s="63"/>
      <c r="I1171" s="60"/>
      <c r="J1171" s="64"/>
      <c r="K1171" s="64"/>
      <c r="L1171" s="55"/>
      <c r="M1171" s="55"/>
      <c r="N1171" s="55"/>
      <c r="O1171" s="55"/>
      <c r="P1171" s="55"/>
      <c r="Q1171" s="55"/>
      <c r="R1171" s="56"/>
      <c r="S1171" s="57"/>
      <c r="T1171" s="60"/>
    </row>
    <row r="1172">
      <c r="A1172" s="55"/>
      <c r="B1172" s="55"/>
      <c r="C1172" s="55"/>
      <c r="D1172" s="56"/>
      <c r="E1172" s="57"/>
      <c r="F1172" s="58"/>
      <c r="G1172" s="60"/>
      <c r="H1172" s="63"/>
      <c r="I1172" s="60"/>
      <c r="J1172" s="64"/>
      <c r="K1172" s="64"/>
      <c r="L1172" s="55"/>
      <c r="M1172" s="55"/>
      <c r="N1172" s="55"/>
      <c r="O1172" s="55"/>
      <c r="P1172" s="55"/>
      <c r="Q1172" s="55"/>
      <c r="R1172" s="56"/>
      <c r="S1172" s="57"/>
      <c r="T1172" s="60"/>
    </row>
    <row r="1173">
      <c r="A1173" s="55"/>
      <c r="B1173" s="55"/>
      <c r="C1173" s="55"/>
      <c r="D1173" s="56"/>
      <c r="E1173" s="57"/>
      <c r="F1173" s="58"/>
      <c r="G1173" s="60"/>
      <c r="H1173" s="63"/>
      <c r="I1173" s="60"/>
      <c r="J1173" s="64"/>
      <c r="K1173" s="64"/>
      <c r="L1173" s="55"/>
      <c r="M1173" s="55"/>
      <c r="N1173" s="55"/>
      <c r="O1173" s="55"/>
      <c r="P1173" s="55"/>
      <c r="Q1173" s="55"/>
      <c r="R1173" s="56"/>
      <c r="S1173" s="57"/>
      <c r="T1173" s="60"/>
    </row>
    <row r="1174">
      <c r="A1174" s="55"/>
      <c r="B1174" s="55"/>
      <c r="C1174" s="55"/>
      <c r="D1174" s="56"/>
      <c r="E1174" s="57"/>
      <c r="F1174" s="58"/>
      <c r="G1174" s="60"/>
      <c r="H1174" s="63"/>
      <c r="I1174" s="60"/>
      <c r="J1174" s="64"/>
      <c r="K1174" s="64"/>
      <c r="L1174" s="55"/>
      <c r="M1174" s="55"/>
      <c r="N1174" s="55"/>
      <c r="O1174" s="55"/>
      <c r="P1174" s="55"/>
      <c r="Q1174" s="55"/>
      <c r="R1174" s="56"/>
      <c r="S1174" s="57"/>
      <c r="T1174" s="60"/>
    </row>
    <row r="1175">
      <c r="A1175" s="55"/>
      <c r="B1175" s="55"/>
      <c r="C1175" s="55"/>
      <c r="D1175" s="56"/>
      <c r="E1175" s="57"/>
      <c r="F1175" s="58"/>
      <c r="G1175" s="60"/>
      <c r="H1175" s="63"/>
      <c r="I1175" s="60"/>
      <c r="J1175" s="64"/>
      <c r="K1175" s="64"/>
      <c r="L1175" s="55"/>
      <c r="M1175" s="55"/>
      <c r="N1175" s="55"/>
      <c r="O1175" s="55"/>
      <c r="P1175" s="55"/>
      <c r="Q1175" s="55"/>
      <c r="R1175" s="56"/>
      <c r="S1175" s="57"/>
      <c r="T1175" s="60"/>
    </row>
    <row r="1176">
      <c r="A1176" s="55"/>
      <c r="B1176" s="55"/>
      <c r="C1176" s="55"/>
      <c r="D1176" s="56"/>
      <c r="E1176" s="57"/>
      <c r="F1176" s="58"/>
      <c r="G1176" s="60"/>
      <c r="H1176" s="63"/>
      <c r="I1176" s="60"/>
      <c r="J1176" s="64"/>
      <c r="K1176" s="64"/>
      <c r="L1176" s="55"/>
      <c r="M1176" s="55"/>
      <c r="N1176" s="55"/>
      <c r="O1176" s="55"/>
      <c r="P1176" s="55"/>
      <c r="Q1176" s="55"/>
      <c r="R1176" s="56"/>
      <c r="S1176" s="57"/>
      <c r="T1176" s="60"/>
    </row>
    <row r="1177">
      <c r="A1177" s="55"/>
      <c r="B1177" s="55"/>
      <c r="C1177" s="55"/>
      <c r="D1177" s="56"/>
      <c r="E1177" s="57"/>
      <c r="F1177" s="58"/>
      <c r="G1177" s="60"/>
      <c r="H1177" s="63"/>
      <c r="I1177" s="60"/>
      <c r="J1177" s="64"/>
      <c r="K1177" s="64"/>
      <c r="L1177" s="55"/>
      <c r="M1177" s="55"/>
      <c r="N1177" s="55"/>
      <c r="O1177" s="55"/>
      <c r="P1177" s="55"/>
      <c r="Q1177" s="55"/>
      <c r="R1177" s="56"/>
      <c r="S1177" s="57"/>
      <c r="T1177" s="60"/>
    </row>
    <row r="1178">
      <c r="A1178" s="55"/>
      <c r="B1178" s="55"/>
      <c r="C1178" s="55"/>
      <c r="D1178" s="56"/>
      <c r="E1178" s="57"/>
      <c r="F1178" s="58"/>
      <c r="G1178" s="60"/>
      <c r="H1178" s="63"/>
      <c r="I1178" s="60"/>
      <c r="J1178" s="64"/>
      <c r="K1178" s="64"/>
      <c r="L1178" s="55"/>
      <c r="M1178" s="55"/>
      <c r="N1178" s="55"/>
      <c r="O1178" s="55"/>
      <c r="P1178" s="55"/>
      <c r="Q1178" s="55"/>
      <c r="R1178" s="56"/>
      <c r="S1178" s="57"/>
      <c r="T1178" s="60"/>
    </row>
    <row r="1179">
      <c r="A1179" s="55"/>
      <c r="B1179" s="55"/>
      <c r="C1179" s="55"/>
      <c r="D1179" s="56"/>
      <c r="E1179" s="57"/>
      <c r="F1179" s="58"/>
      <c r="G1179" s="60"/>
      <c r="H1179" s="63"/>
      <c r="I1179" s="60"/>
      <c r="J1179" s="64"/>
      <c r="K1179" s="64"/>
      <c r="L1179" s="55"/>
      <c r="M1179" s="55"/>
      <c r="N1179" s="55"/>
      <c r="O1179" s="55"/>
      <c r="P1179" s="55"/>
      <c r="Q1179" s="55"/>
      <c r="R1179" s="56"/>
      <c r="S1179" s="57"/>
      <c r="T1179" s="60"/>
    </row>
    <row r="1180">
      <c r="A1180" s="55"/>
      <c r="B1180" s="55"/>
      <c r="C1180" s="55"/>
      <c r="D1180" s="56"/>
      <c r="E1180" s="57"/>
      <c r="F1180" s="58"/>
      <c r="G1180" s="60"/>
      <c r="H1180" s="63"/>
      <c r="I1180" s="60"/>
      <c r="J1180" s="64"/>
      <c r="K1180" s="64"/>
      <c r="L1180" s="55"/>
      <c r="M1180" s="55"/>
      <c r="N1180" s="55"/>
      <c r="O1180" s="55"/>
      <c r="P1180" s="55"/>
      <c r="Q1180" s="55"/>
      <c r="R1180" s="56"/>
      <c r="S1180" s="57"/>
      <c r="T1180" s="60"/>
    </row>
    <row r="1181">
      <c r="A1181" s="55"/>
      <c r="B1181" s="55"/>
      <c r="C1181" s="55"/>
      <c r="D1181" s="56"/>
      <c r="E1181" s="57"/>
      <c r="F1181" s="58"/>
      <c r="G1181" s="60"/>
      <c r="H1181" s="63"/>
      <c r="I1181" s="60"/>
      <c r="J1181" s="64"/>
      <c r="K1181" s="64"/>
      <c r="L1181" s="55"/>
      <c r="M1181" s="55"/>
      <c r="N1181" s="55"/>
      <c r="O1181" s="55"/>
      <c r="P1181" s="55"/>
      <c r="Q1181" s="55"/>
      <c r="R1181" s="56"/>
      <c r="S1181" s="57"/>
      <c r="T1181" s="60"/>
    </row>
    <row r="1182">
      <c r="A1182" s="55"/>
      <c r="B1182" s="55"/>
      <c r="C1182" s="55"/>
      <c r="D1182" s="56"/>
      <c r="E1182" s="57"/>
      <c r="F1182" s="58"/>
      <c r="G1182" s="60"/>
      <c r="H1182" s="63"/>
      <c r="I1182" s="60"/>
      <c r="J1182" s="64"/>
      <c r="K1182" s="64"/>
      <c r="L1182" s="55"/>
      <c r="M1182" s="55"/>
      <c r="N1182" s="55"/>
      <c r="O1182" s="55"/>
      <c r="P1182" s="55"/>
      <c r="Q1182" s="55"/>
      <c r="R1182" s="56"/>
      <c r="S1182" s="57"/>
      <c r="T1182" s="60"/>
    </row>
    <row r="1183">
      <c r="A1183" s="55"/>
      <c r="B1183" s="55"/>
      <c r="C1183" s="55"/>
      <c r="D1183" s="56"/>
      <c r="E1183" s="57"/>
      <c r="F1183" s="58"/>
      <c r="G1183" s="60"/>
      <c r="H1183" s="63"/>
      <c r="I1183" s="60"/>
      <c r="J1183" s="64"/>
      <c r="K1183" s="64"/>
      <c r="L1183" s="55"/>
      <c r="M1183" s="55"/>
      <c r="N1183" s="55"/>
      <c r="O1183" s="55"/>
      <c r="P1183" s="55"/>
      <c r="Q1183" s="55"/>
      <c r="R1183" s="56"/>
      <c r="S1183" s="57"/>
      <c r="T1183" s="60"/>
    </row>
    <row r="1184">
      <c r="A1184" s="55"/>
      <c r="B1184" s="55"/>
      <c r="C1184" s="55"/>
      <c r="D1184" s="56"/>
      <c r="E1184" s="57"/>
      <c r="F1184" s="58"/>
      <c r="G1184" s="60"/>
      <c r="H1184" s="63"/>
      <c r="I1184" s="60"/>
      <c r="J1184" s="64"/>
      <c r="K1184" s="64"/>
      <c r="L1184" s="55"/>
      <c r="M1184" s="55"/>
      <c r="N1184" s="55"/>
      <c r="O1184" s="55"/>
      <c r="P1184" s="55"/>
      <c r="Q1184" s="55"/>
      <c r="R1184" s="56"/>
      <c r="S1184" s="57"/>
      <c r="T1184" s="60"/>
    </row>
    <row r="1185">
      <c r="A1185" s="55"/>
      <c r="B1185" s="55"/>
      <c r="C1185" s="55"/>
      <c r="D1185" s="56"/>
      <c r="E1185" s="57"/>
      <c r="F1185" s="58"/>
      <c r="G1185" s="60"/>
      <c r="H1185" s="63"/>
      <c r="I1185" s="60"/>
      <c r="J1185" s="64"/>
      <c r="K1185" s="64"/>
      <c r="L1185" s="55"/>
      <c r="M1185" s="55"/>
      <c r="N1185" s="55"/>
      <c r="O1185" s="55"/>
      <c r="P1185" s="55"/>
      <c r="Q1185" s="55"/>
      <c r="R1185" s="56"/>
      <c r="S1185" s="57"/>
      <c r="T1185" s="60"/>
    </row>
    <row r="1186">
      <c r="A1186" s="55"/>
      <c r="B1186" s="55"/>
      <c r="C1186" s="55"/>
      <c r="D1186" s="56"/>
      <c r="E1186" s="57"/>
      <c r="F1186" s="58"/>
      <c r="G1186" s="60"/>
      <c r="H1186" s="63"/>
      <c r="I1186" s="60"/>
      <c r="J1186" s="64"/>
      <c r="K1186" s="64"/>
      <c r="L1186" s="55"/>
      <c r="M1186" s="55"/>
      <c r="N1186" s="55"/>
      <c r="O1186" s="55"/>
      <c r="P1186" s="55"/>
      <c r="Q1186" s="55"/>
      <c r="R1186" s="56"/>
      <c r="S1186" s="57"/>
      <c r="T1186" s="60"/>
    </row>
    <row r="1187">
      <c r="A1187" s="55"/>
      <c r="B1187" s="55"/>
      <c r="C1187" s="55"/>
      <c r="D1187" s="56"/>
      <c r="E1187" s="57"/>
      <c r="F1187" s="58"/>
      <c r="G1187" s="60"/>
      <c r="H1187" s="63"/>
      <c r="I1187" s="60"/>
      <c r="J1187" s="64"/>
      <c r="K1187" s="64"/>
      <c r="L1187" s="55"/>
      <c r="M1187" s="55"/>
      <c r="N1187" s="55"/>
      <c r="O1187" s="55"/>
      <c r="P1187" s="55"/>
      <c r="Q1187" s="55"/>
      <c r="R1187" s="56"/>
      <c r="S1187" s="57"/>
      <c r="T1187" s="60"/>
    </row>
    <row r="1188">
      <c r="A1188" s="55"/>
      <c r="B1188" s="55"/>
      <c r="C1188" s="55"/>
      <c r="D1188" s="56"/>
      <c r="E1188" s="57"/>
      <c r="F1188" s="58"/>
      <c r="G1188" s="60"/>
      <c r="H1188" s="63"/>
      <c r="I1188" s="60"/>
      <c r="J1188" s="64"/>
      <c r="K1188" s="64"/>
      <c r="L1188" s="55"/>
      <c r="M1188" s="55"/>
      <c r="N1188" s="55"/>
      <c r="O1188" s="55"/>
      <c r="P1188" s="55"/>
      <c r="Q1188" s="55"/>
      <c r="R1188" s="56"/>
      <c r="S1188" s="57"/>
      <c r="T1188" s="60"/>
    </row>
    <row r="1189">
      <c r="A1189" s="55"/>
      <c r="B1189" s="55"/>
      <c r="C1189" s="55"/>
      <c r="D1189" s="56"/>
      <c r="E1189" s="57"/>
      <c r="F1189" s="58"/>
      <c r="G1189" s="60"/>
      <c r="H1189" s="63"/>
      <c r="I1189" s="60"/>
      <c r="J1189" s="64"/>
      <c r="K1189" s="64"/>
      <c r="L1189" s="55"/>
      <c r="M1189" s="55"/>
      <c r="N1189" s="55"/>
      <c r="O1189" s="55"/>
      <c r="P1189" s="55"/>
      <c r="Q1189" s="55"/>
      <c r="R1189" s="56"/>
      <c r="S1189" s="57"/>
      <c r="T1189" s="60"/>
    </row>
    <row r="1190">
      <c r="A1190" s="55"/>
      <c r="B1190" s="55"/>
      <c r="C1190" s="55"/>
      <c r="D1190" s="56"/>
      <c r="E1190" s="57"/>
      <c r="F1190" s="58"/>
      <c r="G1190" s="60"/>
      <c r="H1190" s="63"/>
      <c r="I1190" s="60"/>
      <c r="J1190" s="64"/>
      <c r="K1190" s="64"/>
      <c r="L1190" s="55"/>
      <c r="M1190" s="55"/>
      <c r="N1190" s="55"/>
      <c r="O1190" s="55"/>
      <c r="P1190" s="55"/>
      <c r="Q1190" s="55"/>
      <c r="R1190" s="56"/>
      <c r="S1190" s="57"/>
      <c r="T1190" s="60"/>
    </row>
    <row r="1191">
      <c r="A1191" s="55"/>
      <c r="B1191" s="55"/>
      <c r="C1191" s="55"/>
      <c r="D1191" s="56"/>
      <c r="E1191" s="57"/>
      <c r="F1191" s="58"/>
      <c r="G1191" s="60"/>
      <c r="H1191" s="63"/>
      <c r="I1191" s="60"/>
      <c r="J1191" s="64"/>
      <c r="K1191" s="64"/>
      <c r="L1191" s="55"/>
      <c r="M1191" s="55"/>
      <c r="N1191" s="55"/>
      <c r="O1191" s="55"/>
      <c r="P1191" s="55"/>
      <c r="Q1191" s="55"/>
      <c r="R1191" s="56"/>
      <c r="S1191" s="57"/>
      <c r="T1191" s="60"/>
    </row>
    <row r="1192">
      <c r="A1192" s="55"/>
      <c r="B1192" s="55"/>
      <c r="C1192" s="55"/>
      <c r="D1192" s="56"/>
      <c r="E1192" s="57"/>
      <c r="F1192" s="58"/>
      <c r="G1192" s="60"/>
      <c r="H1192" s="63"/>
      <c r="I1192" s="60"/>
      <c r="J1192" s="64"/>
      <c r="K1192" s="64"/>
      <c r="L1192" s="55"/>
      <c r="M1192" s="55"/>
      <c r="N1192" s="55"/>
      <c r="O1192" s="55"/>
      <c r="P1192" s="55"/>
      <c r="Q1192" s="55"/>
      <c r="R1192" s="56"/>
      <c r="S1192" s="57"/>
      <c r="T1192" s="60"/>
    </row>
    <row r="1193">
      <c r="A1193" s="55"/>
      <c r="B1193" s="55"/>
      <c r="C1193" s="55"/>
      <c r="D1193" s="56"/>
      <c r="E1193" s="57"/>
      <c r="F1193" s="58"/>
      <c r="G1193" s="60"/>
      <c r="H1193" s="63"/>
      <c r="I1193" s="60"/>
      <c r="J1193" s="64"/>
      <c r="K1193" s="64"/>
      <c r="L1193" s="55"/>
      <c r="M1193" s="55"/>
      <c r="N1193" s="55"/>
      <c r="O1193" s="55"/>
      <c r="P1193" s="55"/>
      <c r="Q1193" s="55"/>
      <c r="R1193" s="56"/>
      <c r="S1193" s="57"/>
      <c r="T1193" s="60"/>
    </row>
    <row r="1194">
      <c r="A1194" s="55"/>
      <c r="B1194" s="55"/>
      <c r="C1194" s="55"/>
      <c r="D1194" s="56"/>
      <c r="E1194" s="57"/>
      <c r="F1194" s="58"/>
      <c r="G1194" s="60"/>
      <c r="H1194" s="63"/>
      <c r="I1194" s="60"/>
      <c r="J1194" s="64"/>
      <c r="K1194" s="64"/>
      <c r="L1194" s="55"/>
      <c r="M1194" s="55"/>
      <c r="N1194" s="55"/>
      <c r="O1194" s="55"/>
      <c r="P1194" s="55"/>
      <c r="Q1194" s="55"/>
      <c r="R1194" s="56"/>
      <c r="S1194" s="57"/>
      <c r="T1194" s="60"/>
    </row>
    <row r="1195">
      <c r="A1195" s="55"/>
      <c r="B1195" s="55"/>
      <c r="C1195" s="55"/>
      <c r="D1195" s="56"/>
      <c r="E1195" s="57"/>
      <c r="F1195" s="58"/>
      <c r="G1195" s="60"/>
      <c r="H1195" s="63"/>
      <c r="I1195" s="60"/>
      <c r="J1195" s="64"/>
      <c r="K1195" s="64"/>
      <c r="L1195" s="55"/>
      <c r="M1195" s="55"/>
      <c r="N1195" s="55"/>
      <c r="O1195" s="55"/>
      <c r="P1195" s="55"/>
      <c r="Q1195" s="55"/>
      <c r="R1195" s="56"/>
      <c r="S1195" s="57"/>
      <c r="T1195" s="60"/>
    </row>
    <row r="1196">
      <c r="A1196" s="55"/>
      <c r="B1196" s="55"/>
      <c r="C1196" s="55"/>
      <c r="D1196" s="56"/>
      <c r="E1196" s="57"/>
      <c r="F1196" s="58"/>
      <c r="G1196" s="60"/>
      <c r="H1196" s="63"/>
      <c r="I1196" s="60"/>
      <c r="J1196" s="64"/>
      <c r="K1196" s="64"/>
      <c r="L1196" s="55"/>
      <c r="M1196" s="55"/>
      <c r="N1196" s="55"/>
      <c r="O1196" s="55"/>
      <c r="P1196" s="55"/>
      <c r="Q1196" s="55"/>
      <c r="R1196" s="56"/>
      <c r="S1196" s="57"/>
      <c r="T1196" s="60"/>
    </row>
    <row r="1197">
      <c r="A1197" s="55"/>
      <c r="B1197" s="55"/>
      <c r="C1197" s="55"/>
      <c r="D1197" s="56"/>
      <c r="E1197" s="57"/>
      <c r="F1197" s="58"/>
      <c r="G1197" s="60"/>
      <c r="H1197" s="63"/>
      <c r="I1197" s="60"/>
      <c r="J1197" s="64"/>
      <c r="K1197" s="64"/>
      <c r="L1197" s="55"/>
      <c r="M1197" s="55"/>
      <c r="N1197" s="55"/>
      <c r="O1197" s="55"/>
      <c r="P1197" s="55"/>
      <c r="Q1197" s="55"/>
      <c r="R1197" s="56"/>
      <c r="S1197" s="57"/>
      <c r="T1197" s="60"/>
    </row>
    <row r="1198">
      <c r="A1198" s="55"/>
      <c r="B1198" s="55"/>
      <c r="C1198" s="55"/>
      <c r="D1198" s="56"/>
      <c r="E1198" s="57"/>
      <c r="F1198" s="58"/>
      <c r="G1198" s="60"/>
      <c r="H1198" s="63"/>
      <c r="I1198" s="60"/>
      <c r="J1198" s="64"/>
      <c r="K1198" s="64"/>
      <c r="L1198" s="55"/>
      <c r="M1198" s="55"/>
      <c r="N1198" s="55"/>
      <c r="O1198" s="55"/>
      <c r="P1198" s="55"/>
      <c r="Q1198" s="55"/>
      <c r="R1198" s="56"/>
      <c r="S1198" s="57"/>
      <c r="T1198" s="60"/>
    </row>
    <row r="1199">
      <c r="A1199" s="55"/>
      <c r="B1199" s="55"/>
      <c r="C1199" s="55"/>
      <c r="D1199" s="56"/>
      <c r="E1199" s="57"/>
      <c r="F1199" s="58"/>
      <c r="G1199" s="60"/>
      <c r="H1199" s="63"/>
      <c r="I1199" s="60"/>
      <c r="J1199" s="64"/>
      <c r="K1199" s="64"/>
      <c r="L1199" s="55"/>
      <c r="M1199" s="55"/>
      <c r="N1199" s="55"/>
      <c r="O1199" s="55"/>
      <c r="P1199" s="55"/>
      <c r="Q1199" s="55"/>
      <c r="R1199" s="56"/>
      <c r="S1199" s="57"/>
      <c r="T1199" s="60"/>
    </row>
    <row r="1200">
      <c r="A1200" s="55"/>
      <c r="B1200" s="55"/>
      <c r="C1200" s="55"/>
      <c r="D1200" s="56"/>
      <c r="E1200" s="57"/>
      <c r="F1200" s="58"/>
      <c r="G1200" s="60"/>
      <c r="H1200" s="63"/>
      <c r="I1200" s="60"/>
      <c r="J1200" s="64"/>
      <c r="K1200" s="64"/>
      <c r="L1200" s="55"/>
      <c r="M1200" s="55"/>
      <c r="N1200" s="55"/>
      <c r="O1200" s="55"/>
      <c r="P1200" s="55"/>
      <c r="Q1200" s="55"/>
      <c r="R1200" s="56"/>
      <c r="S1200" s="57"/>
      <c r="T1200" s="60"/>
    </row>
    <row r="1201">
      <c r="A1201" s="55"/>
      <c r="B1201" s="55"/>
      <c r="C1201" s="55"/>
      <c r="D1201" s="56"/>
      <c r="E1201" s="57"/>
      <c r="F1201" s="58"/>
      <c r="G1201" s="60"/>
      <c r="H1201" s="63"/>
      <c r="I1201" s="60"/>
      <c r="J1201" s="64"/>
      <c r="K1201" s="64"/>
      <c r="L1201" s="55"/>
      <c r="M1201" s="55"/>
      <c r="N1201" s="55"/>
      <c r="O1201" s="55"/>
      <c r="P1201" s="55"/>
      <c r="Q1201" s="55"/>
      <c r="R1201" s="56"/>
      <c r="S1201" s="57"/>
      <c r="T1201" s="60"/>
    </row>
    <row r="1202">
      <c r="A1202" s="55"/>
      <c r="B1202" s="55"/>
      <c r="C1202" s="55"/>
      <c r="D1202" s="56"/>
      <c r="E1202" s="57"/>
      <c r="F1202" s="58"/>
      <c r="G1202" s="60"/>
      <c r="H1202" s="63"/>
      <c r="I1202" s="60"/>
      <c r="J1202" s="64"/>
      <c r="K1202" s="64"/>
      <c r="L1202" s="55"/>
      <c r="M1202" s="55"/>
      <c r="N1202" s="55"/>
      <c r="O1202" s="55"/>
      <c r="P1202" s="55"/>
      <c r="Q1202" s="55"/>
      <c r="R1202" s="56"/>
      <c r="S1202" s="57"/>
      <c r="T1202" s="60"/>
    </row>
    <row r="1203">
      <c r="A1203" s="55"/>
      <c r="B1203" s="55"/>
      <c r="C1203" s="55"/>
      <c r="D1203" s="56"/>
      <c r="E1203" s="57"/>
      <c r="F1203" s="58"/>
      <c r="G1203" s="60"/>
      <c r="H1203" s="63"/>
      <c r="I1203" s="60"/>
      <c r="J1203" s="64"/>
      <c r="K1203" s="64"/>
      <c r="L1203" s="55"/>
      <c r="M1203" s="55"/>
      <c r="N1203" s="55"/>
      <c r="O1203" s="55"/>
      <c r="P1203" s="55"/>
      <c r="Q1203" s="55"/>
      <c r="R1203" s="56"/>
      <c r="S1203" s="57"/>
      <c r="T1203" s="60"/>
    </row>
    <row r="1204">
      <c r="A1204" s="55"/>
      <c r="B1204" s="55"/>
      <c r="C1204" s="55"/>
      <c r="D1204" s="56"/>
      <c r="E1204" s="57"/>
      <c r="F1204" s="58"/>
      <c r="G1204" s="60"/>
      <c r="H1204" s="63"/>
      <c r="I1204" s="60"/>
      <c r="J1204" s="64"/>
      <c r="K1204" s="64"/>
      <c r="L1204" s="55"/>
      <c r="M1204" s="55"/>
      <c r="N1204" s="55"/>
      <c r="O1204" s="55"/>
      <c r="P1204" s="55"/>
      <c r="Q1204" s="55"/>
      <c r="R1204" s="56"/>
      <c r="S1204" s="57"/>
      <c r="T1204" s="60"/>
    </row>
    <row r="1205">
      <c r="A1205" s="55"/>
      <c r="B1205" s="55"/>
      <c r="C1205" s="55"/>
      <c r="D1205" s="56"/>
      <c r="E1205" s="57"/>
      <c r="F1205" s="58"/>
      <c r="G1205" s="60"/>
      <c r="H1205" s="63"/>
      <c r="I1205" s="60"/>
      <c r="J1205" s="64"/>
      <c r="K1205" s="64"/>
      <c r="L1205" s="55"/>
      <c r="M1205" s="55"/>
      <c r="N1205" s="55"/>
      <c r="O1205" s="55"/>
      <c r="P1205" s="55"/>
      <c r="Q1205" s="55"/>
      <c r="R1205" s="56"/>
      <c r="S1205" s="57"/>
      <c r="T1205" s="60"/>
    </row>
    <row r="1206">
      <c r="A1206" s="55"/>
      <c r="B1206" s="55"/>
      <c r="C1206" s="55"/>
      <c r="D1206" s="56"/>
      <c r="E1206" s="57"/>
      <c r="F1206" s="58"/>
      <c r="G1206" s="60"/>
      <c r="H1206" s="63"/>
      <c r="I1206" s="60"/>
      <c r="J1206" s="64"/>
      <c r="K1206" s="64"/>
      <c r="L1206" s="55"/>
      <c r="M1206" s="55"/>
      <c r="N1206" s="55"/>
      <c r="O1206" s="55"/>
      <c r="P1206" s="55"/>
      <c r="Q1206" s="55"/>
      <c r="R1206" s="56"/>
      <c r="S1206" s="57"/>
      <c r="T1206" s="60"/>
    </row>
    <row r="1207">
      <c r="A1207" s="55"/>
      <c r="B1207" s="55"/>
      <c r="C1207" s="55"/>
      <c r="D1207" s="56"/>
      <c r="E1207" s="57"/>
      <c r="F1207" s="58"/>
      <c r="G1207" s="60"/>
      <c r="H1207" s="63"/>
      <c r="I1207" s="60"/>
      <c r="J1207" s="64"/>
      <c r="K1207" s="64"/>
      <c r="L1207" s="55"/>
      <c r="M1207" s="55"/>
      <c r="N1207" s="55"/>
      <c r="O1207" s="55"/>
      <c r="P1207" s="55"/>
      <c r="Q1207" s="55"/>
      <c r="R1207" s="56"/>
      <c r="S1207" s="57"/>
      <c r="T1207" s="60"/>
    </row>
    <row r="1208">
      <c r="A1208" s="55"/>
      <c r="B1208" s="55"/>
      <c r="C1208" s="55"/>
      <c r="D1208" s="56"/>
      <c r="E1208" s="57"/>
      <c r="F1208" s="58"/>
      <c r="G1208" s="60"/>
      <c r="H1208" s="63"/>
      <c r="I1208" s="60"/>
      <c r="J1208" s="64"/>
      <c r="K1208" s="64"/>
      <c r="L1208" s="55"/>
      <c r="M1208" s="55"/>
      <c r="N1208" s="55"/>
      <c r="O1208" s="55"/>
      <c r="P1208" s="55"/>
      <c r="Q1208" s="55"/>
      <c r="R1208" s="56"/>
      <c r="S1208" s="57"/>
      <c r="T1208" s="60"/>
    </row>
    <row r="1209">
      <c r="A1209" s="55"/>
      <c r="B1209" s="55"/>
      <c r="C1209" s="55"/>
      <c r="D1209" s="56"/>
      <c r="E1209" s="57"/>
      <c r="F1209" s="58"/>
      <c r="G1209" s="60"/>
      <c r="H1209" s="63"/>
      <c r="I1209" s="60"/>
      <c r="J1209" s="64"/>
      <c r="K1209" s="64"/>
      <c r="L1209" s="55"/>
      <c r="M1209" s="55"/>
      <c r="N1209" s="55"/>
      <c r="O1209" s="55"/>
      <c r="P1209" s="55"/>
      <c r="Q1209" s="55"/>
      <c r="R1209" s="56"/>
      <c r="S1209" s="57"/>
      <c r="T1209" s="60"/>
    </row>
    <row r="1210">
      <c r="A1210" s="55"/>
      <c r="B1210" s="55"/>
      <c r="C1210" s="55"/>
      <c r="D1210" s="56"/>
      <c r="E1210" s="57"/>
      <c r="F1210" s="58"/>
      <c r="G1210" s="60"/>
      <c r="H1210" s="63"/>
      <c r="I1210" s="60"/>
      <c r="J1210" s="64"/>
      <c r="K1210" s="64"/>
      <c r="L1210" s="55"/>
      <c r="M1210" s="55"/>
      <c r="N1210" s="55"/>
      <c r="O1210" s="55"/>
      <c r="P1210" s="55"/>
      <c r="Q1210" s="55"/>
      <c r="R1210" s="56"/>
      <c r="S1210" s="57"/>
      <c r="T1210" s="60"/>
    </row>
    <row r="1211">
      <c r="A1211" s="55"/>
      <c r="B1211" s="55"/>
      <c r="C1211" s="55"/>
      <c r="D1211" s="56"/>
      <c r="E1211" s="57"/>
      <c r="F1211" s="58"/>
      <c r="G1211" s="60"/>
      <c r="H1211" s="63"/>
      <c r="I1211" s="60"/>
      <c r="J1211" s="64"/>
      <c r="K1211" s="64"/>
      <c r="L1211" s="55"/>
      <c r="M1211" s="55"/>
      <c r="N1211" s="55"/>
      <c r="O1211" s="55"/>
      <c r="P1211" s="55"/>
      <c r="Q1211" s="55"/>
      <c r="R1211" s="56"/>
      <c r="S1211" s="57"/>
      <c r="T1211" s="60"/>
    </row>
    <row r="1212">
      <c r="A1212" s="55"/>
      <c r="B1212" s="55"/>
      <c r="C1212" s="55"/>
      <c r="D1212" s="56"/>
      <c r="E1212" s="57"/>
      <c r="F1212" s="58"/>
      <c r="G1212" s="60"/>
      <c r="H1212" s="63"/>
      <c r="I1212" s="60"/>
      <c r="J1212" s="64"/>
      <c r="K1212" s="64"/>
      <c r="L1212" s="55"/>
      <c r="M1212" s="55"/>
      <c r="N1212" s="55"/>
      <c r="O1212" s="55"/>
      <c r="P1212" s="55"/>
      <c r="Q1212" s="55"/>
      <c r="R1212" s="56"/>
      <c r="S1212" s="57"/>
      <c r="T1212" s="60"/>
    </row>
    <row r="1213">
      <c r="A1213" s="55"/>
      <c r="B1213" s="55"/>
      <c r="C1213" s="55"/>
      <c r="D1213" s="56"/>
      <c r="E1213" s="57"/>
      <c r="F1213" s="58"/>
      <c r="G1213" s="60"/>
      <c r="H1213" s="63"/>
      <c r="I1213" s="60"/>
      <c r="J1213" s="64"/>
      <c r="K1213" s="64"/>
      <c r="L1213" s="55"/>
      <c r="M1213" s="55"/>
      <c r="N1213" s="55"/>
      <c r="O1213" s="55"/>
      <c r="P1213" s="55"/>
      <c r="Q1213" s="55"/>
      <c r="R1213" s="56"/>
      <c r="S1213" s="57"/>
      <c r="T1213" s="60"/>
    </row>
    <row r="1214">
      <c r="A1214" s="55"/>
      <c r="B1214" s="55"/>
      <c r="C1214" s="55"/>
      <c r="D1214" s="56"/>
      <c r="E1214" s="57"/>
      <c r="F1214" s="58"/>
      <c r="G1214" s="60"/>
      <c r="H1214" s="63"/>
      <c r="I1214" s="60"/>
      <c r="J1214" s="64"/>
      <c r="K1214" s="64"/>
      <c r="L1214" s="55"/>
      <c r="M1214" s="55"/>
      <c r="N1214" s="55"/>
      <c r="O1214" s="55"/>
      <c r="P1214" s="55"/>
      <c r="Q1214" s="55"/>
      <c r="R1214" s="56"/>
      <c r="S1214" s="57"/>
      <c r="T1214" s="60"/>
    </row>
    <row r="1215">
      <c r="A1215" s="55"/>
      <c r="B1215" s="55"/>
      <c r="C1215" s="55"/>
      <c r="D1215" s="56"/>
      <c r="E1215" s="57"/>
      <c r="F1215" s="58"/>
      <c r="G1215" s="60"/>
      <c r="H1215" s="63"/>
      <c r="I1215" s="60"/>
      <c r="J1215" s="64"/>
      <c r="K1215" s="64"/>
      <c r="L1215" s="55"/>
      <c r="M1215" s="55"/>
      <c r="N1215" s="55"/>
      <c r="O1215" s="55"/>
      <c r="P1215" s="55"/>
      <c r="Q1215" s="55"/>
      <c r="R1215" s="56"/>
      <c r="S1215" s="57"/>
      <c r="T1215" s="60"/>
    </row>
    <row r="1216">
      <c r="A1216" s="55"/>
      <c r="B1216" s="55"/>
      <c r="C1216" s="55"/>
      <c r="D1216" s="56"/>
      <c r="E1216" s="57"/>
      <c r="F1216" s="58"/>
      <c r="G1216" s="60"/>
      <c r="H1216" s="63"/>
      <c r="I1216" s="60"/>
      <c r="J1216" s="64"/>
      <c r="K1216" s="64"/>
      <c r="L1216" s="55"/>
      <c r="M1216" s="55"/>
      <c r="N1216" s="55"/>
      <c r="O1216" s="55"/>
      <c r="P1216" s="55"/>
      <c r="Q1216" s="55"/>
      <c r="R1216" s="56"/>
      <c r="S1216" s="57"/>
      <c r="T1216" s="60"/>
    </row>
    <row r="1217">
      <c r="A1217" s="55"/>
      <c r="B1217" s="55"/>
      <c r="C1217" s="55"/>
      <c r="D1217" s="56"/>
      <c r="E1217" s="57"/>
      <c r="F1217" s="58"/>
      <c r="G1217" s="60"/>
      <c r="H1217" s="63"/>
      <c r="I1217" s="60"/>
      <c r="J1217" s="64"/>
      <c r="K1217" s="64"/>
      <c r="L1217" s="55"/>
      <c r="M1217" s="55"/>
      <c r="N1217" s="55"/>
      <c r="O1217" s="55"/>
      <c r="P1217" s="55"/>
      <c r="Q1217" s="55"/>
      <c r="R1217" s="56"/>
      <c r="S1217" s="57"/>
      <c r="T1217" s="60"/>
    </row>
    <row r="1218">
      <c r="A1218" s="55"/>
      <c r="B1218" s="55"/>
      <c r="C1218" s="55"/>
      <c r="D1218" s="56"/>
      <c r="E1218" s="57"/>
      <c r="F1218" s="58"/>
      <c r="G1218" s="60"/>
      <c r="H1218" s="63"/>
      <c r="I1218" s="60"/>
      <c r="J1218" s="64"/>
      <c r="K1218" s="64"/>
      <c r="L1218" s="55"/>
      <c r="M1218" s="55"/>
      <c r="N1218" s="55"/>
      <c r="O1218" s="55"/>
      <c r="P1218" s="55"/>
      <c r="Q1218" s="55"/>
      <c r="R1218" s="56"/>
      <c r="S1218" s="57"/>
      <c r="T1218" s="60"/>
    </row>
    <row r="1219">
      <c r="A1219" s="55"/>
      <c r="B1219" s="55"/>
      <c r="C1219" s="55"/>
      <c r="D1219" s="56"/>
      <c r="E1219" s="57"/>
      <c r="F1219" s="58"/>
      <c r="G1219" s="60"/>
      <c r="H1219" s="63"/>
      <c r="I1219" s="60"/>
      <c r="J1219" s="64"/>
      <c r="K1219" s="64"/>
      <c r="L1219" s="55"/>
      <c r="M1219" s="55"/>
      <c r="N1219" s="55"/>
      <c r="O1219" s="55"/>
      <c r="P1219" s="55"/>
      <c r="Q1219" s="55"/>
      <c r="R1219" s="56"/>
      <c r="S1219" s="57"/>
      <c r="T1219" s="60"/>
    </row>
    <row r="1220">
      <c r="A1220" s="55"/>
      <c r="B1220" s="55"/>
      <c r="C1220" s="55"/>
      <c r="D1220" s="56"/>
      <c r="E1220" s="57"/>
      <c r="F1220" s="58"/>
      <c r="G1220" s="60"/>
      <c r="H1220" s="63"/>
      <c r="I1220" s="60"/>
      <c r="J1220" s="64"/>
      <c r="K1220" s="64"/>
      <c r="L1220" s="55"/>
      <c r="M1220" s="55"/>
      <c r="N1220" s="55"/>
      <c r="O1220" s="55"/>
      <c r="P1220" s="55"/>
      <c r="Q1220" s="55"/>
      <c r="R1220" s="56"/>
      <c r="S1220" s="57"/>
      <c r="T1220" s="60"/>
    </row>
    <row r="1221">
      <c r="A1221" s="55"/>
      <c r="B1221" s="55"/>
      <c r="C1221" s="55"/>
      <c r="D1221" s="56"/>
      <c r="E1221" s="57"/>
      <c r="F1221" s="58"/>
      <c r="G1221" s="60"/>
      <c r="H1221" s="63"/>
      <c r="I1221" s="60"/>
      <c r="J1221" s="64"/>
      <c r="K1221" s="64"/>
      <c r="L1221" s="55"/>
      <c r="M1221" s="55"/>
      <c r="N1221" s="55"/>
      <c r="O1221" s="55"/>
      <c r="P1221" s="55"/>
      <c r="Q1221" s="55"/>
      <c r="R1221" s="56"/>
      <c r="S1221" s="57"/>
      <c r="T1221" s="60"/>
    </row>
    <row r="1222">
      <c r="A1222" s="55"/>
      <c r="B1222" s="55"/>
      <c r="C1222" s="55"/>
      <c r="D1222" s="56"/>
      <c r="E1222" s="57"/>
      <c r="F1222" s="58"/>
      <c r="G1222" s="60"/>
      <c r="H1222" s="63"/>
      <c r="I1222" s="60"/>
      <c r="J1222" s="64"/>
      <c r="K1222" s="64"/>
      <c r="L1222" s="55"/>
      <c r="M1222" s="55"/>
      <c r="N1222" s="55"/>
      <c r="O1222" s="55"/>
      <c r="P1222" s="55"/>
      <c r="Q1222" s="55"/>
      <c r="R1222" s="56"/>
      <c r="S1222" s="57"/>
      <c r="T1222" s="60"/>
    </row>
    <row r="1223">
      <c r="A1223" s="55"/>
      <c r="B1223" s="55"/>
      <c r="C1223" s="55"/>
      <c r="D1223" s="56"/>
      <c r="E1223" s="57"/>
      <c r="F1223" s="58"/>
      <c r="G1223" s="60"/>
      <c r="H1223" s="63"/>
      <c r="I1223" s="60"/>
      <c r="J1223" s="64"/>
      <c r="K1223" s="64"/>
      <c r="L1223" s="55"/>
      <c r="M1223" s="55"/>
      <c r="N1223" s="55"/>
      <c r="O1223" s="55"/>
      <c r="P1223" s="55"/>
      <c r="Q1223" s="55"/>
      <c r="R1223" s="56"/>
      <c r="S1223" s="57"/>
      <c r="T1223" s="60"/>
    </row>
    <row r="1224">
      <c r="A1224" s="55"/>
      <c r="B1224" s="55"/>
      <c r="C1224" s="55"/>
      <c r="D1224" s="56"/>
      <c r="E1224" s="57"/>
      <c r="F1224" s="58"/>
      <c r="G1224" s="60"/>
      <c r="H1224" s="63"/>
      <c r="I1224" s="60"/>
      <c r="J1224" s="64"/>
      <c r="K1224" s="64"/>
      <c r="L1224" s="55"/>
      <c r="M1224" s="55"/>
      <c r="N1224" s="55"/>
      <c r="O1224" s="55"/>
      <c r="P1224" s="55"/>
      <c r="Q1224" s="55"/>
      <c r="R1224" s="56"/>
      <c r="S1224" s="57"/>
      <c r="T1224" s="60"/>
    </row>
    <row r="1225">
      <c r="A1225" s="55"/>
      <c r="B1225" s="55"/>
      <c r="C1225" s="55"/>
      <c r="D1225" s="56"/>
      <c r="E1225" s="57"/>
      <c r="F1225" s="58"/>
      <c r="G1225" s="60"/>
      <c r="H1225" s="63"/>
      <c r="I1225" s="60"/>
      <c r="J1225" s="64"/>
      <c r="K1225" s="64"/>
      <c r="L1225" s="55"/>
      <c r="M1225" s="55"/>
      <c r="N1225" s="55"/>
      <c r="O1225" s="55"/>
      <c r="P1225" s="55"/>
      <c r="Q1225" s="55"/>
      <c r="R1225" s="56"/>
      <c r="S1225" s="57"/>
      <c r="T1225" s="60"/>
    </row>
    <row r="1226">
      <c r="A1226" s="55"/>
      <c r="B1226" s="55"/>
      <c r="C1226" s="55"/>
      <c r="D1226" s="56"/>
      <c r="E1226" s="57"/>
      <c r="F1226" s="58"/>
      <c r="G1226" s="60"/>
      <c r="H1226" s="63"/>
      <c r="I1226" s="60"/>
      <c r="J1226" s="64"/>
      <c r="K1226" s="64"/>
      <c r="L1226" s="55"/>
      <c r="M1226" s="55"/>
      <c r="N1226" s="55"/>
      <c r="O1226" s="55"/>
      <c r="P1226" s="55"/>
      <c r="Q1226" s="55"/>
      <c r="R1226" s="56"/>
      <c r="S1226" s="57"/>
      <c r="T1226" s="60"/>
    </row>
    <row r="1227">
      <c r="A1227" s="55"/>
      <c r="B1227" s="55"/>
      <c r="C1227" s="55"/>
      <c r="D1227" s="56"/>
      <c r="E1227" s="57"/>
      <c r="F1227" s="58"/>
      <c r="G1227" s="60"/>
      <c r="H1227" s="63"/>
      <c r="I1227" s="60"/>
      <c r="J1227" s="64"/>
      <c r="K1227" s="64"/>
      <c r="L1227" s="55"/>
      <c r="M1227" s="55"/>
      <c r="N1227" s="55"/>
      <c r="O1227" s="55"/>
      <c r="P1227" s="55"/>
      <c r="Q1227" s="55"/>
      <c r="R1227" s="56"/>
      <c r="S1227" s="57"/>
      <c r="T1227" s="60"/>
    </row>
    <row r="1228">
      <c r="A1228" s="55"/>
      <c r="B1228" s="55"/>
      <c r="C1228" s="55"/>
      <c r="D1228" s="56"/>
      <c r="E1228" s="57"/>
      <c r="F1228" s="58"/>
      <c r="G1228" s="60"/>
      <c r="H1228" s="63"/>
      <c r="I1228" s="60"/>
      <c r="J1228" s="64"/>
      <c r="K1228" s="64"/>
      <c r="L1228" s="55"/>
      <c r="M1228" s="55"/>
      <c r="N1228" s="55"/>
      <c r="O1228" s="55"/>
      <c r="P1228" s="55"/>
      <c r="Q1228" s="55"/>
      <c r="R1228" s="56"/>
      <c r="S1228" s="57"/>
      <c r="T1228" s="60"/>
    </row>
    <row r="1229">
      <c r="A1229" s="55"/>
      <c r="B1229" s="55"/>
      <c r="C1229" s="55"/>
      <c r="D1229" s="56"/>
      <c r="E1229" s="57"/>
      <c r="F1229" s="58"/>
      <c r="G1229" s="60"/>
      <c r="H1229" s="63"/>
      <c r="I1229" s="60"/>
      <c r="J1229" s="64"/>
      <c r="K1229" s="64"/>
      <c r="L1229" s="55"/>
      <c r="M1229" s="55"/>
      <c r="N1229" s="55"/>
      <c r="O1229" s="55"/>
      <c r="P1229" s="55"/>
      <c r="Q1229" s="55"/>
      <c r="R1229" s="56"/>
      <c r="S1229" s="57"/>
      <c r="T1229" s="60"/>
    </row>
    <row r="1230">
      <c r="A1230" s="55"/>
      <c r="B1230" s="55"/>
      <c r="C1230" s="55"/>
      <c r="D1230" s="56"/>
      <c r="E1230" s="57"/>
      <c r="F1230" s="58"/>
      <c r="G1230" s="60"/>
      <c r="H1230" s="63"/>
      <c r="I1230" s="60"/>
      <c r="J1230" s="64"/>
      <c r="K1230" s="64"/>
      <c r="L1230" s="55"/>
      <c r="M1230" s="55"/>
      <c r="N1230" s="55"/>
      <c r="O1230" s="55"/>
      <c r="P1230" s="55"/>
      <c r="Q1230" s="55"/>
      <c r="R1230" s="56"/>
      <c r="S1230" s="57"/>
      <c r="T1230" s="60"/>
    </row>
    <row r="1231">
      <c r="A1231" s="55"/>
      <c r="B1231" s="55"/>
      <c r="C1231" s="55"/>
      <c r="D1231" s="56"/>
      <c r="E1231" s="57"/>
      <c r="F1231" s="58"/>
      <c r="G1231" s="60"/>
      <c r="H1231" s="63"/>
      <c r="I1231" s="60"/>
      <c r="J1231" s="64"/>
      <c r="K1231" s="64"/>
      <c r="L1231" s="55"/>
      <c r="M1231" s="55"/>
      <c r="N1231" s="55"/>
      <c r="O1231" s="55"/>
      <c r="P1231" s="55"/>
      <c r="Q1231" s="55"/>
      <c r="R1231" s="56"/>
      <c r="S1231" s="57"/>
      <c r="T1231" s="60"/>
    </row>
    <row r="1232">
      <c r="A1232" s="55"/>
      <c r="B1232" s="55"/>
      <c r="C1232" s="55"/>
      <c r="D1232" s="56"/>
      <c r="E1232" s="57"/>
      <c r="F1232" s="58"/>
      <c r="G1232" s="60"/>
      <c r="H1232" s="63"/>
      <c r="I1232" s="60"/>
      <c r="J1232" s="64"/>
      <c r="K1232" s="64"/>
      <c r="L1232" s="55"/>
      <c r="M1232" s="55"/>
      <c r="N1232" s="55"/>
      <c r="O1232" s="55"/>
      <c r="P1232" s="55"/>
      <c r="Q1232" s="55"/>
      <c r="R1232" s="56"/>
      <c r="S1232" s="57"/>
      <c r="T1232" s="60"/>
    </row>
    <row r="1233">
      <c r="A1233" s="55"/>
      <c r="B1233" s="55"/>
      <c r="C1233" s="55"/>
      <c r="D1233" s="56"/>
      <c r="E1233" s="57"/>
      <c r="F1233" s="58"/>
      <c r="G1233" s="60"/>
      <c r="H1233" s="63"/>
      <c r="I1233" s="60"/>
      <c r="J1233" s="64"/>
      <c r="K1233" s="64"/>
      <c r="L1233" s="55"/>
      <c r="M1233" s="55"/>
      <c r="N1233" s="55"/>
      <c r="O1233" s="55"/>
      <c r="P1233" s="55"/>
      <c r="Q1233" s="55"/>
      <c r="R1233" s="56"/>
      <c r="S1233" s="57"/>
      <c r="T1233" s="60"/>
    </row>
    <row r="1234">
      <c r="A1234" s="55"/>
      <c r="B1234" s="55"/>
      <c r="C1234" s="55"/>
      <c r="D1234" s="56"/>
      <c r="E1234" s="57"/>
      <c r="F1234" s="58"/>
      <c r="G1234" s="60"/>
      <c r="H1234" s="63"/>
      <c r="I1234" s="60"/>
      <c r="J1234" s="64"/>
      <c r="K1234" s="64"/>
      <c r="L1234" s="55"/>
      <c r="M1234" s="55"/>
      <c r="N1234" s="55"/>
      <c r="O1234" s="55"/>
      <c r="P1234" s="55"/>
      <c r="Q1234" s="55"/>
      <c r="R1234" s="56"/>
      <c r="S1234" s="57"/>
      <c r="T1234" s="60"/>
    </row>
    <row r="1235">
      <c r="A1235" s="55"/>
      <c r="B1235" s="55"/>
      <c r="C1235" s="55"/>
      <c r="D1235" s="56"/>
      <c r="E1235" s="57"/>
      <c r="F1235" s="58"/>
      <c r="G1235" s="60"/>
      <c r="H1235" s="63"/>
      <c r="I1235" s="60"/>
      <c r="J1235" s="64"/>
      <c r="K1235" s="64"/>
      <c r="L1235" s="55"/>
      <c r="M1235" s="55"/>
      <c r="N1235" s="55"/>
      <c r="O1235" s="55"/>
      <c r="P1235" s="55"/>
      <c r="Q1235" s="55"/>
      <c r="R1235" s="56"/>
      <c r="S1235" s="57"/>
      <c r="T1235" s="60"/>
    </row>
    <row r="1236">
      <c r="A1236" s="55"/>
      <c r="B1236" s="55"/>
      <c r="C1236" s="55"/>
      <c r="D1236" s="56"/>
      <c r="E1236" s="57"/>
      <c r="F1236" s="58"/>
      <c r="G1236" s="60"/>
      <c r="H1236" s="63"/>
      <c r="I1236" s="60"/>
      <c r="J1236" s="64"/>
      <c r="K1236" s="64"/>
      <c r="L1236" s="55"/>
      <c r="M1236" s="55"/>
      <c r="N1236" s="55"/>
      <c r="O1236" s="55"/>
      <c r="P1236" s="55"/>
      <c r="Q1236" s="55"/>
      <c r="R1236" s="56"/>
      <c r="S1236" s="57"/>
      <c r="T1236" s="60"/>
    </row>
    <row r="1237">
      <c r="A1237" s="55"/>
      <c r="B1237" s="55"/>
      <c r="C1237" s="55"/>
      <c r="D1237" s="56"/>
      <c r="E1237" s="57"/>
      <c r="F1237" s="58"/>
      <c r="G1237" s="60"/>
      <c r="H1237" s="63"/>
      <c r="I1237" s="60"/>
      <c r="J1237" s="64"/>
      <c r="K1237" s="64"/>
      <c r="L1237" s="55"/>
      <c r="M1237" s="55"/>
      <c r="N1237" s="55"/>
      <c r="O1237" s="55"/>
      <c r="P1237" s="55"/>
      <c r="Q1237" s="55"/>
      <c r="R1237" s="56"/>
      <c r="S1237" s="57"/>
      <c r="T1237" s="60"/>
    </row>
    <row r="1238">
      <c r="A1238" s="55"/>
      <c r="B1238" s="55"/>
      <c r="C1238" s="55"/>
      <c r="D1238" s="56"/>
      <c r="E1238" s="57"/>
      <c r="F1238" s="58"/>
      <c r="G1238" s="60"/>
      <c r="H1238" s="63"/>
      <c r="I1238" s="60"/>
      <c r="J1238" s="64"/>
      <c r="K1238" s="64"/>
      <c r="L1238" s="55"/>
      <c r="M1238" s="55"/>
      <c r="N1238" s="55"/>
      <c r="O1238" s="55"/>
      <c r="P1238" s="55"/>
      <c r="Q1238" s="55"/>
      <c r="R1238" s="56"/>
      <c r="S1238" s="57"/>
      <c r="T1238" s="60"/>
    </row>
    <row r="1239">
      <c r="A1239" s="55"/>
      <c r="B1239" s="55"/>
      <c r="C1239" s="55"/>
      <c r="D1239" s="56"/>
      <c r="E1239" s="57"/>
      <c r="F1239" s="58"/>
      <c r="G1239" s="60"/>
      <c r="H1239" s="63"/>
      <c r="I1239" s="60"/>
      <c r="J1239" s="64"/>
      <c r="K1239" s="64"/>
      <c r="L1239" s="55"/>
      <c r="M1239" s="55"/>
      <c r="N1239" s="55"/>
      <c r="O1239" s="55"/>
      <c r="P1239" s="55"/>
      <c r="Q1239" s="55"/>
      <c r="R1239" s="56"/>
      <c r="S1239" s="57"/>
      <c r="T1239" s="60"/>
    </row>
    <row r="1240">
      <c r="A1240" s="55"/>
      <c r="B1240" s="55"/>
      <c r="C1240" s="55"/>
      <c r="D1240" s="56"/>
      <c r="E1240" s="57"/>
      <c r="F1240" s="58"/>
      <c r="G1240" s="60"/>
      <c r="H1240" s="63"/>
      <c r="I1240" s="60"/>
      <c r="J1240" s="64"/>
      <c r="K1240" s="64"/>
      <c r="L1240" s="55"/>
      <c r="M1240" s="55"/>
      <c r="N1240" s="55"/>
      <c r="O1240" s="55"/>
      <c r="P1240" s="55"/>
      <c r="Q1240" s="55"/>
      <c r="R1240" s="56"/>
      <c r="S1240" s="57"/>
      <c r="T1240" s="60"/>
    </row>
    <row r="1241">
      <c r="A1241" s="55"/>
      <c r="B1241" s="55"/>
      <c r="C1241" s="55"/>
      <c r="D1241" s="56"/>
      <c r="E1241" s="57"/>
      <c r="F1241" s="58"/>
      <c r="G1241" s="60"/>
      <c r="H1241" s="63"/>
      <c r="I1241" s="60"/>
      <c r="J1241" s="64"/>
      <c r="K1241" s="64"/>
      <c r="L1241" s="55"/>
      <c r="M1241" s="55"/>
      <c r="N1241" s="55"/>
      <c r="O1241" s="55"/>
      <c r="P1241" s="55"/>
      <c r="Q1241" s="55"/>
      <c r="R1241" s="56"/>
      <c r="S1241" s="57"/>
      <c r="T1241" s="60"/>
    </row>
    <row r="1242">
      <c r="A1242" s="55"/>
      <c r="B1242" s="55"/>
      <c r="C1242" s="55"/>
      <c r="D1242" s="56"/>
      <c r="E1242" s="57"/>
      <c r="F1242" s="58"/>
      <c r="G1242" s="60"/>
      <c r="H1242" s="63"/>
      <c r="I1242" s="60"/>
      <c r="J1242" s="64"/>
      <c r="K1242" s="64"/>
      <c r="L1242" s="55"/>
      <c r="M1242" s="55"/>
      <c r="N1242" s="55"/>
      <c r="O1242" s="55"/>
      <c r="P1242" s="55"/>
      <c r="Q1242" s="55"/>
      <c r="R1242" s="56"/>
      <c r="S1242" s="57"/>
      <c r="T1242" s="60"/>
    </row>
    <row r="1243">
      <c r="A1243" s="55"/>
      <c r="B1243" s="55"/>
      <c r="C1243" s="55"/>
      <c r="D1243" s="56"/>
      <c r="E1243" s="57"/>
      <c r="F1243" s="58"/>
      <c r="G1243" s="60"/>
      <c r="H1243" s="63"/>
      <c r="I1243" s="60"/>
      <c r="J1243" s="64"/>
      <c r="K1243" s="64"/>
      <c r="L1243" s="55"/>
      <c r="M1243" s="55"/>
      <c r="N1243" s="55"/>
      <c r="O1243" s="55"/>
      <c r="P1243" s="55"/>
      <c r="Q1243" s="55"/>
      <c r="R1243" s="56"/>
      <c r="S1243" s="57"/>
      <c r="T1243" s="60"/>
    </row>
    <row r="1244">
      <c r="A1244" s="55"/>
      <c r="B1244" s="55"/>
      <c r="C1244" s="55"/>
      <c r="D1244" s="56"/>
      <c r="E1244" s="57"/>
      <c r="F1244" s="58"/>
      <c r="G1244" s="60"/>
      <c r="H1244" s="63"/>
      <c r="I1244" s="60"/>
      <c r="J1244" s="64"/>
      <c r="K1244" s="64"/>
      <c r="L1244" s="55"/>
      <c r="M1244" s="55"/>
      <c r="N1244" s="55"/>
      <c r="O1244" s="55"/>
      <c r="P1244" s="55"/>
      <c r="Q1244" s="55"/>
      <c r="R1244" s="56"/>
      <c r="S1244" s="57"/>
      <c r="T1244" s="60"/>
    </row>
    <row r="1245">
      <c r="A1245" s="55"/>
      <c r="B1245" s="55"/>
      <c r="C1245" s="55"/>
      <c r="D1245" s="56"/>
      <c r="E1245" s="57"/>
      <c r="F1245" s="58"/>
      <c r="G1245" s="60"/>
      <c r="H1245" s="63"/>
      <c r="I1245" s="60"/>
      <c r="J1245" s="64"/>
      <c r="K1245" s="64"/>
      <c r="L1245" s="55"/>
      <c r="M1245" s="55"/>
      <c r="N1245" s="55"/>
      <c r="O1245" s="55"/>
      <c r="P1245" s="55"/>
      <c r="Q1245" s="55"/>
      <c r="R1245" s="56"/>
      <c r="S1245" s="57"/>
      <c r="T1245" s="60"/>
    </row>
    <row r="1246">
      <c r="A1246" s="55"/>
      <c r="B1246" s="55"/>
      <c r="C1246" s="55"/>
      <c r="D1246" s="56"/>
      <c r="E1246" s="57"/>
      <c r="F1246" s="58"/>
      <c r="G1246" s="60"/>
      <c r="H1246" s="63"/>
      <c r="I1246" s="60"/>
      <c r="J1246" s="64"/>
      <c r="K1246" s="64"/>
      <c r="L1246" s="55"/>
      <c r="M1246" s="55"/>
      <c r="N1246" s="55"/>
      <c r="O1246" s="55"/>
      <c r="P1246" s="55"/>
      <c r="Q1246" s="55"/>
      <c r="R1246" s="56"/>
      <c r="S1246" s="57"/>
      <c r="T1246" s="60"/>
    </row>
    <row r="1247">
      <c r="A1247" s="55"/>
      <c r="B1247" s="55"/>
      <c r="C1247" s="55"/>
      <c r="D1247" s="56"/>
      <c r="E1247" s="57"/>
      <c r="F1247" s="58"/>
      <c r="G1247" s="60"/>
      <c r="H1247" s="63"/>
      <c r="I1247" s="60"/>
      <c r="J1247" s="64"/>
      <c r="K1247" s="64"/>
      <c r="L1247" s="55"/>
      <c r="M1247" s="55"/>
      <c r="N1247" s="55"/>
      <c r="O1247" s="55"/>
      <c r="P1247" s="55"/>
      <c r="Q1247" s="55"/>
      <c r="R1247" s="56"/>
      <c r="S1247" s="57"/>
      <c r="T1247" s="60"/>
    </row>
    <row r="1248">
      <c r="A1248" s="55"/>
      <c r="B1248" s="55"/>
      <c r="C1248" s="55"/>
      <c r="D1248" s="56"/>
      <c r="E1248" s="57"/>
      <c r="F1248" s="58"/>
      <c r="G1248" s="60"/>
      <c r="H1248" s="63"/>
      <c r="I1248" s="60"/>
      <c r="J1248" s="64"/>
      <c r="K1248" s="64"/>
      <c r="L1248" s="55"/>
      <c r="M1248" s="55"/>
      <c r="N1248" s="55"/>
      <c r="O1248" s="55"/>
      <c r="P1248" s="55"/>
      <c r="Q1248" s="55"/>
      <c r="R1248" s="56"/>
      <c r="S1248" s="57"/>
      <c r="T1248" s="60"/>
    </row>
    <row r="1249">
      <c r="A1249" s="55"/>
      <c r="B1249" s="55"/>
      <c r="C1249" s="55"/>
      <c r="D1249" s="56"/>
      <c r="E1249" s="57"/>
      <c r="F1249" s="58"/>
      <c r="G1249" s="60"/>
      <c r="H1249" s="63"/>
      <c r="I1249" s="60"/>
      <c r="J1249" s="64"/>
      <c r="K1249" s="64"/>
      <c r="L1249" s="55"/>
      <c r="M1249" s="55"/>
      <c r="N1249" s="55"/>
      <c r="O1249" s="55"/>
      <c r="P1249" s="55"/>
      <c r="Q1249" s="55"/>
      <c r="R1249" s="56"/>
      <c r="S1249" s="57"/>
      <c r="T1249" s="60"/>
    </row>
    <row r="1250">
      <c r="A1250" s="55"/>
      <c r="B1250" s="55"/>
      <c r="C1250" s="55"/>
      <c r="D1250" s="56"/>
      <c r="E1250" s="57"/>
      <c r="F1250" s="58"/>
      <c r="G1250" s="60"/>
      <c r="H1250" s="63"/>
      <c r="I1250" s="60"/>
      <c r="J1250" s="64"/>
      <c r="K1250" s="64"/>
      <c r="L1250" s="55"/>
      <c r="M1250" s="55"/>
      <c r="N1250" s="55"/>
      <c r="O1250" s="55"/>
      <c r="P1250" s="55"/>
      <c r="Q1250" s="55"/>
      <c r="R1250" s="56"/>
      <c r="S1250" s="57"/>
      <c r="T1250" s="60"/>
    </row>
    <row r="1251">
      <c r="A1251" s="55"/>
      <c r="B1251" s="55"/>
      <c r="C1251" s="55"/>
      <c r="D1251" s="56"/>
      <c r="E1251" s="57"/>
      <c r="F1251" s="58"/>
      <c r="G1251" s="60"/>
      <c r="H1251" s="63"/>
      <c r="I1251" s="60"/>
      <c r="J1251" s="64"/>
      <c r="K1251" s="64"/>
      <c r="L1251" s="55"/>
      <c r="M1251" s="55"/>
      <c r="N1251" s="55"/>
      <c r="O1251" s="55"/>
      <c r="P1251" s="55"/>
      <c r="Q1251" s="55"/>
      <c r="R1251" s="56"/>
      <c r="S1251" s="57"/>
      <c r="T1251" s="60"/>
    </row>
    <row r="1252">
      <c r="A1252" s="55"/>
      <c r="B1252" s="55"/>
      <c r="C1252" s="55"/>
      <c r="D1252" s="56"/>
      <c r="E1252" s="57"/>
      <c r="F1252" s="58"/>
      <c r="G1252" s="60"/>
      <c r="H1252" s="63"/>
      <c r="I1252" s="60"/>
      <c r="J1252" s="64"/>
      <c r="K1252" s="64"/>
      <c r="L1252" s="55"/>
      <c r="M1252" s="55"/>
      <c r="N1252" s="55"/>
      <c r="O1252" s="55"/>
      <c r="P1252" s="55"/>
      <c r="Q1252" s="55"/>
      <c r="R1252" s="56"/>
      <c r="S1252" s="57"/>
      <c r="T1252" s="60"/>
    </row>
    <row r="1253">
      <c r="A1253" s="55"/>
      <c r="B1253" s="55"/>
      <c r="C1253" s="55"/>
      <c r="D1253" s="56"/>
      <c r="E1253" s="57"/>
      <c r="F1253" s="58"/>
      <c r="G1253" s="60"/>
      <c r="H1253" s="63"/>
      <c r="I1253" s="60"/>
      <c r="J1253" s="64"/>
      <c r="K1253" s="64"/>
      <c r="L1253" s="55"/>
      <c r="M1253" s="55"/>
      <c r="N1253" s="55"/>
      <c r="O1253" s="55"/>
      <c r="P1253" s="55"/>
      <c r="Q1253" s="55"/>
      <c r="R1253" s="56"/>
      <c r="S1253" s="57"/>
      <c r="T1253" s="60"/>
    </row>
    <row r="1254">
      <c r="A1254" s="55"/>
      <c r="B1254" s="55"/>
      <c r="C1254" s="55"/>
      <c r="D1254" s="56"/>
      <c r="E1254" s="57"/>
      <c r="F1254" s="58"/>
      <c r="G1254" s="60"/>
      <c r="H1254" s="63"/>
      <c r="I1254" s="60"/>
      <c r="J1254" s="64"/>
      <c r="K1254" s="64"/>
      <c r="L1254" s="55"/>
      <c r="M1254" s="55"/>
      <c r="N1254" s="55"/>
      <c r="O1254" s="55"/>
      <c r="P1254" s="55"/>
      <c r="Q1254" s="55"/>
      <c r="R1254" s="56"/>
      <c r="S1254" s="57"/>
      <c r="T1254" s="60"/>
    </row>
    <row r="1255">
      <c r="A1255" s="55"/>
      <c r="B1255" s="55"/>
      <c r="C1255" s="55"/>
      <c r="D1255" s="56"/>
      <c r="E1255" s="57"/>
      <c r="F1255" s="58"/>
      <c r="G1255" s="60"/>
      <c r="H1255" s="63"/>
      <c r="I1255" s="60"/>
      <c r="J1255" s="64"/>
      <c r="K1255" s="64"/>
      <c r="L1255" s="55"/>
      <c r="M1255" s="55"/>
      <c r="N1255" s="55"/>
      <c r="O1255" s="55"/>
      <c r="P1255" s="55"/>
      <c r="Q1255" s="55"/>
      <c r="R1255" s="56"/>
      <c r="S1255" s="57"/>
      <c r="T1255" s="60"/>
    </row>
    <row r="1256">
      <c r="A1256" s="55"/>
      <c r="B1256" s="55"/>
      <c r="C1256" s="55"/>
      <c r="D1256" s="56"/>
      <c r="E1256" s="57"/>
      <c r="F1256" s="58"/>
      <c r="G1256" s="60"/>
      <c r="H1256" s="63"/>
      <c r="I1256" s="60"/>
      <c r="J1256" s="64"/>
      <c r="K1256" s="64"/>
      <c r="L1256" s="55"/>
      <c r="M1256" s="55"/>
      <c r="N1256" s="55"/>
      <c r="O1256" s="55"/>
      <c r="P1256" s="55"/>
      <c r="Q1256" s="55"/>
      <c r="R1256" s="56"/>
      <c r="S1256" s="57"/>
      <c r="T1256" s="60"/>
    </row>
    <row r="1257">
      <c r="A1257" s="55"/>
      <c r="B1257" s="55"/>
      <c r="C1257" s="55"/>
      <c r="D1257" s="56"/>
      <c r="E1257" s="57"/>
      <c r="F1257" s="58"/>
      <c r="G1257" s="60"/>
      <c r="H1257" s="63"/>
      <c r="I1257" s="60"/>
      <c r="J1257" s="64"/>
      <c r="K1257" s="64"/>
      <c r="L1257" s="55"/>
      <c r="M1257" s="55"/>
      <c r="N1257" s="55"/>
      <c r="O1257" s="55"/>
      <c r="P1257" s="55"/>
      <c r="Q1257" s="55"/>
      <c r="R1257" s="56"/>
      <c r="S1257" s="57"/>
      <c r="T1257" s="60"/>
    </row>
    <row r="1258">
      <c r="A1258" s="55"/>
      <c r="B1258" s="55"/>
      <c r="C1258" s="55"/>
      <c r="D1258" s="56"/>
      <c r="E1258" s="57"/>
      <c r="F1258" s="58"/>
      <c r="G1258" s="60"/>
      <c r="H1258" s="63"/>
      <c r="I1258" s="60"/>
      <c r="J1258" s="64"/>
      <c r="K1258" s="64"/>
      <c r="L1258" s="55"/>
      <c r="M1258" s="55"/>
      <c r="N1258" s="55"/>
      <c r="O1258" s="55"/>
      <c r="P1258" s="55"/>
      <c r="Q1258" s="55"/>
      <c r="R1258" s="56"/>
      <c r="S1258" s="57"/>
      <c r="T1258" s="60"/>
    </row>
    <row r="1259">
      <c r="A1259" s="55"/>
      <c r="B1259" s="55"/>
      <c r="C1259" s="55"/>
      <c r="D1259" s="56"/>
      <c r="E1259" s="57"/>
      <c r="F1259" s="58"/>
      <c r="G1259" s="60"/>
      <c r="H1259" s="63"/>
      <c r="I1259" s="60"/>
      <c r="J1259" s="64"/>
      <c r="K1259" s="64"/>
      <c r="L1259" s="55"/>
      <c r="M1259" s="55"/>
      <c r="N1259" s="55"/>
      <c r="O1259" s="55"/>
      <c r="P1259" s="55"/>
      <c r="Q1259" s="55"/>
      <c r="R1259" s="56"/>
      <c r="S1259" s="57"/>
      <c r="T1259" s="60"/>
    </row>
    <row r="1260">
      <c r="A1260" s="55"/>
      <c r="B1260" s="55"/>
      <c r="C1260" s="55"/>
      <c r="D1260" s="56"/>
      <c r="E1260" s="57"/>
      <c r="F1260" s="58"/>
      <c r="G1260" s="60"/>
      <c r="H1260" s="63"/>
      <c r="I1260" s="60"/>
      <c r="J1260" s="64"/>
      <c r="K1260" s="64"/>
      <c r="L1260" s="55"/>
      <c r="M1260" s="55"/>
      <c r="N1260" s="55"/>
      <c r="O1260" s="55"/>
      <c r="P1260" s="55"/>
      <c r="Q1260" s="55"/>
      <c r="R1260" s="56"/>
      <c r="S1260" s="57"/>
      <c r="T1260" s="60"/>
    </row>
    <row r="1261">
      <c r="A1261" s="55"/>
      <c r="B1261" s="55"/>
      <c r="C1261" s="55"/>
      <c r="D1261" s="56"/>
      <c r="E1261" s="57"/>
      <c r="F1261" s="58"/>
      <c r="G1261" s="60"/>
      <c r="H1261" s="63"/>
      <c r="I1261" s="60"/>
      <c r="J1261" s="64"/>
      <c r="K1261" s="64"/>
      <c r="L1261" s="55"/>
      <c r="M1261" s="55"/>
      <c r="N1261" s="55"/>
      <c r="O1261" s="55"/>
      <c r="P1261" s="55"/>
      <c r="Q1261" s="55"/>
      <c r="R1261" s="56"/>
      <c r="S1261" s="57"/>
      <c r="T1261" s="60"/>
    </row>
    <row r="1262">
      <c r="A1262" s="55"/>
      <c r="B1262" s="55"/>
      <c r="C1262" s="55"/>
      <c r="D1262" s="56"/>
      <c r="E1262" s="57"/>
      <c r="F1262" s="58"/>
      <c r="G1262" s="60"/>
      <c r="H1262" s="63"/>
      <c r="I1262" s="60"/>
      <c r="J1262" s="64"/>
      <c r="K1262" s="64"/>
      <c r="L1262" s="55"/>
      <c r="M1262" s="55"/>
      <c r="N1262" s="55"/>
      <c r="O1262" s="55"/>
      <c r="P1262" s="55"/>
      <c r="Q1262" s="55"/>
      <c r="R1262" s="56"/>
      <c r="S1262" s="57"/>
      <c r="T1262" s="60"/>
    </row>
    <row r="1263">
      <c r="A1263" s="55"/>
      <c r="B1263" s="55"/>
      <c r="C1263" s="55"/>
      <c r="D1263" s="56"/>
      <c r="E1263" s="57"/>
      <c r="F1263" s="58"/>
      <c r="G1263" s="60"/>
      <c r="H1263" s="63"/>
      <c r="I1263" s="60"/>
      <c r="J1263" s="64"/>
      <c r="K1263" s="64"/>
      <c r="L1263" s="55"/>
      <c r="M1263" s="55"/>
      <c r="N1263" s="55"/>
      <c r="O1263" s="55"/>
      <c r="P1263" s="55"/>
      <c r="Q1263" s="55"/>
      <c r="R1263" s="56"/>
      <c r="S1263" s="57"/>
      <c r="T1263" s="60"/>
    </row>
    <row r="1264">
      <c r="A1264" s="55"/>
      <c r="B1264" s="55"/>
      <c r="C1264" s="55"/>
      <c r="D1264" s="56"/>
      <c r="E1264" s="57"/>
      <c r="F1264" s="58"/>
      <c r="G1264" s="60"/>
      <c r="H1264" s="63"/>
      <c r="I1264" s="60"/>
      <c r="J1264" s="64"/>
      <c r="K1264" s="64"/>
      <c r="L1264" s="55"/>
      <c r="M1264" s="55"/>
      <c r="N1264" s="55"/>
      <c r="O1264" s="55"/>
      <c r="P1264" s="55"/>
      <c r="Q1264" s="55"/>
      <c r="R1264" s="56"/>
      <c r="S1264" s="57"/>
      <c r="T1264" s="60"/>
    </row>
    <row r="1265">
      <c r="A1265" s="55"/>
      <c r="B1265" s="55"/>
      <c r="C1265" s="55"/>
      <c r="D1265" s="56"/>
      <c r="E1265" s="57"/>
      <c r="F1265" s="58"/>
      <c r="G1265" s="60"/>
      <c r="H1265" s="63"/>
      <c r="I1265" s="60"/>
      <c r="J1265" s="64"/>
      <c r="K1265" s="64"/>
      <c r="L1265" s="55"/>
      <c r="M1265" s="55"/>
      <c r="N1265" s="55"/>
      <c r="O1265" s="55"/>
      <c r="P1265" s="55"/>
      <c r="Q1265" s="55"/>
      <c r="R1265" s="56"/>
      <c r="S1265" s="57"/>
      <c r="T1265" s="60"/>
    </row>
    <row r="1266">
      <c r="A1266" s="55"/>
      <c r="B1266" s="55"/>
      <c r="C1266" s="55"/>
      <c r="D1266" s="56"/>
      <c r="E1266" s="57"/>
      <c r="F1266" s="58"/>
      <c r="G1266" s="60"/>
      <c r="H1266" s="63"/>
      <c r="I1266" s="60"/>
      <c r="J1266" s="64"/>
      <c r="K1266" s="64"/>
      <c r="L1266" s="55"/>
      <c r="M1266" s="55"/>
      <c r="N1266" s="55"/>
      <c r="O1266" s="55"/>
      <c r="P1266" s="55"/>
      <c r="Q1266" s="55"/>
      <c r="R1266" s="56"/>
      <c r="S1266" s="57"/>
      <c r="T1266" s="60"/>
    </row>
    <row r="1267">
      <c r="A1267" s="55"/>
      <c r="B1267" s="55"/>
      <c r="C1267" s="55"/>
      <c r="D1267" s="56"/>
      <c r="E1267" s="57"/>
      <c r="F1267" s="58"/>
      <c r="G1267" s="60"/>
      <c r="H1267" s="63"/>
      <c r="I1267" s="60"/>
      <c r="J1267" s="64"/>
      <c r="K1267" s="64"/>
      <c r="L1267" s="55"/>
      <c r="M1267" s="55"/>
      <c r="N1267" s="55"/>
      <c r="O1267" s="55"/>
      <c r="P1267" s="55"/>
      <c r="Q1267" s="55"/>
      <c r="R1267" s="56"/>
      <c r="S1267" s="57"/>
      <c r="T1267" s="60"/>
    </row>
    <row r="1268">
      <c r="A1268" s="55"/>
      <c r="B1268" s="55"/>
      <c r="C1268" s="55"/>
      <c r="D1268" s="56"/>
      <c r="E1268" s="57"/>
      <c r="F1268" s="58"/>
      <c r="G1268" s="60"/>
      <c r="H1268" s="63"/>
      <c r="I1268" s="60"/>
      <c r="J1268" s="64"/>
      <c r="K1268" s="64"/>
      <c r="L1268" s="55"/>
      <c r="M1268" s="55"/>
      <c r="N1268" s="55"/>
      <c r="O1268" s="55"/>
      <c r="P1268" s="55"/>
      <c r="Q1268" s="55"/>
      <c r="R1268" s="56"/>
      <c r="S1268" s="57"/>
      <c r="T1268" s="60"/>
    </row>
    <row r="1269">
      <c r="A1269" s="55"/>
      <c r="B1269" s="55"/>
      <c r="C1269" s="55"/>
      <c r="D1269" s="56"/>
      <c r="E1269" s="57"/>
      <c r="F1269" s="58"/>
      <c r="G1269" s="60"/>
      <c r="H1269" s="63"/>
      <c r="I1269" s="60"/>
      <c r="J1269" s="64"/>
      <c r="K1269" s="64"/>
      <c r="L1269" s="55"/>
      <c r="M1269" s="55"/>
      <c r="N1269" s="55"/>
      <c r="O1269" s="55"/>
      <c r="P1269" s="55"/>
      <c r="Q1269" s="55"/>
      <c r="R1269" s="56"/>
      <c r="S1269" s="57"/>
      <c r="T1269" s="60"/>
    </row>
    <row r="1270">
      <c r="A1270" s="55"/>
      <c r="B1270" s="55"/>
      <c r="C1270" s="55"/>
      <c r="D1270" s="56"/>
      <c r="E1270" s="57"/>
      <c r="F1270" s="58"/>
      <c r="G1270" s="60"/>
      <c r="H1270" s="63"/>
      <c r="I1270" s="60"/>
      <c r="J1270" s="64"/>
      <c r="K1270" s="64"/>
      <c r="L1270" s="55"/>
      <c r="M1270" s="55"/>
      <c r="N1270" s="55"/>
      <c r="O1270" s="55"/>
      <c r="P1270" s="55"/>
      <c r="Q1270" s="55"/>
      <c r="R1270" s="56"/>
      <c r="S1270" s="57"/>
      <c r="T1270" s="60"/>
    </row>
    <row r="1271">
      <c r="A1271" s="55"/>
      <c r="B1271" s="55"/>
      <c r="C1271" s="55"/>
      <c r="D1271" s="56"/>
      <c r="E1271" s="57"/>
      <c r="F1271" s="58"/>
      <c r="G1271" s="60"/>
      <c r="H1271" s="63"/>
      <c r="I1271" s="60"/>
      <c r="J1271" s="64"/>
      <c r="K1271" s="64"/>
      <c r="L1271" s="55"/>
      <c r="M1271" s="55"/>
      <c r="N1271" s="55"/>
      <c r="O1271" s="55"/>
      <c r="P1271" s="55"/>
      <c r="Q1271" s="55"/>
      <c r="R1271" s="56"/>
      <c r="S1271" s="57"/>
      <c r="T1271" s="60"/>
    </row>
    <row r="1272">
      <c r="A1272" s="55"/>
      <c r="B1272" s="55"/>
      <c r="C1272" s="55"/>
      <c r="D1272" s="56"/>
      <c r="E1272" s="57"/>
      <c r="F1272" s="58"/>
      <c r="G1272" s="60"/>
      <c r="H1272" s="63"/>
      <c r="I1272" s="60"/>
      <c r="J1272" s="64"/>
      <c r="K1272" s="64"/>
      <c r="L1272" s="55"/>
      <c r="M1272" s="55"/>
      <c r="N1272" s="55"/>
      <c r="O1272" s="55"/>
      <c r="P1272" s="55"/>
      <c r="Q1272" s="55"/>
      <c r="R1272" s="56"/>
      <c r="S1272" s="57"/>
      <c r="T1272" s="60"/>
    </row>
    <row r="1273">
      <c r="A1273" s="55"/>
      <c r="B1273" s="55"/>
      <c r="C1273" s="55"/>
      <c r="D1273" s="56"/>
      <c r="E1273" s="57"/>
      <c r="F1273" s="58"/>
      <c r="G1273" s="60"/>
      <c r="H1273" s="63"/>
      <c r="I1273" s="60"/>
      <c r="J1273" s="64"/>
      <c r="K1273" s="64"/>
      <c r="L1273" s="55"/>
      <c r="M1273" s="55"/>
      <c r="N1273" s="55"/>
      <c r="O1273" s="55"/>
      <c r="P1273" s="55"/>
      <c r="Q1273" s="55"/>
      <c r="R1273" s="56"/>
      <c r="S1273" s="57"/>
      <c r="T1273" s="60"/>
    </row>
    <row r="1274">
      <c r="A1274" s="55"/>
      <c r="B1274" s="55"/>
      <c r="C1274" s="55"/>
      <c r="D1274" s="56"/>
      <c r="E1274" s="57"/>
      <c r="F1274" s="58"/>
      <c r="G1274" s="60"/>
      <c r="H1274" s="63"/>
      <c r="I1274" s="60"/>
      <c r="J1274" s="64"/>
      <c r="K1274" s="64"/>
      <c r="L1274" s="55"/>
      <c r="M1274" s="55"/>
      <c r="N1274" s="55"/>
      <c r="O1274" s="55"/>
      <c r="P1274" s="55"/>
      <c r="Q1274" s="55"/>
      <c r="R1274" s="56"/>
      <c r="S1274" s="57"/>
      <c r="T1274" s="60"/>
    </row>
    <row r="1275">
      <c r="A1275" s="55"/>
      <c r="B1275" s="55"/>
      <c r="C1275" s="55"/>
      <c r="D1275" s="56"/>
      <c r="E1275" s="57"/>
      <c r="F1275" s="58"/>
      <c r="G1275" s="60"/>
      <c r="H1275" s="63"/>
      <c r="I1275" s="60"/>
      <c r="J1275" s="64"/>
      <c r="K1275" s="64"/>
      <c r="L1275" s="55"/>
      <c r="M1275" s="55"/>
      <c r="N1275" s="55"/>
      <c r="O1275" s="55"/>
      <c r="P1275" s="55"/>
      <c r="Q1275" s="55"/>
      <c r="R1275" s="56"/>
      <c r="S1275" s="57"/>
      <c r="T1275" s="60"/>
    </row>
    <row r="1276">
      <c r="A1276" s="55"/>
      <c r="B1276" s="55"/>
      <c r="C1276" s="55"/>
      <c r="D1276" s="56"/>
      <c r="E1276" s="57"/>
      <c r="F1276" s="58"/>
      <c r="G1276" s="60"/>
      <c r="H1276" s="63"/>
      <c r="I1276" s="60"/>
      <c r="J1276" s="64"/>
      <c r="K1276" s="64"/>
      <c r="L1276" s="55"/>
      <c r="M1276" s="55"/>
      <c r="N1276" s="55"/>
      <c r="O1276" s="55"/>
      <c r="P1276" s="55"/>
      <c r="Q1276" s="55"/>
      <c r="R1276" s="56"/>
      <c r="S1276" s="57"/>
      <c r="T1276" s="60"/>
    </row>
    <row r="1277">
      <c r="A1277" s="55"/>
      <c r="B1277" s="55"/>
      <c r="C1277" s="55"/>
      <c r="D1277" s="56"/>
      <c r="E1277" s="57"/>
      <c r="F1277" s="58"/>
      <c r="G1277" s="60"/>
      <c r="H1277" s="63"/>
      <c r="I1277" s="60"/>
      <c r="J1277" s="64"/>
      <c r="K1277" s="64"/>
      <c r="L1277" s="55"/>
      <c r="M1277" s="55"/>
      <c r="N1277" s="55"/>
      <c r="O1277" s="55"/>
      <c r="P1277" s="55"/>
      <c r="Q1277" s="55"/>
      <c r="R1277" s="56"/>
      <c r="S1277" s="57"/>
      <c r="T1277" s="60"/>
    </row>
    <row r="1278">
      <c r="A1278" s="55"/>
      <c r="B1278" s="55"/>
      <c r="C1278" s="55"/>
      <c r="D1278" s="56"/>
      <c r="E1278" s="57"/>
      <c r="F1278" s="58"/>
      <c r="G1278" s="60"/>
      <c r="H1278" s="63"/>
      <c r="I1278" s="60"/>
      <c r="J1278" s="64"/>
      <c r="K1278" s="64"/>
      <c r="L1278" s="55"/>
      <c r="M1278" s="55"/>
      <c r="N1278" s="55"/>
      <c r="O1278" s="55"/>
      <c r="P1278" s="55"/>
      <c r="Q1278" s="55"/>
      <c r="R1278" s="56"/>
      <c r="S1278" s="57"/>
      <c r="T1278" s="60"/>
    </row>
    <row r="1279">
      <c r="A1279" s="55"/>
      <c r="B1279" s="55"/>
      <c r="C1279" s="55"/>
      <c r="D1279" s="56"/>
      <c r="E1279" s="57"/>
      <c r="F1279" s="58"/>
      <c r="G1279" s="60"/>
      <c r="H1279" s="63"/>
      <c r="I1279" s="60"/>
      <c r="J1279" s="64"/>
      <c r="K1279" s="64"/>
      <c r="L1279" s="55"/>
      <c r="M1279" s="55"/>
      <c r="N1279" s="55"/>
      <c r="O1279" s="55"/>
      <c r="P1279" s="55"/>
      <c r="Q1279" s="55"/>
      <c r="R1279" s="56"/>
      <c r="S1279" s="57"/>
      <c r="T1279" s="60"/>
    </row>
    <row r="1280">
      <c r="A1280" s="55"/>
      <c r="B1280" s="55"/>
      <c r="C1280" s="55"/>
      <c r="D1280" s="56"/>
      <c r="E1280" s="57"/>
      <c r="F1280" s="58"/>
      <c r="G1280" s="60"/>
      <c r="H1280" s="63"/>
      <c r="I1280" s="60"/>
      <c r="J1280" s="64"/>
      <c r="K1280" s="64"/>
      <c r="L1280" s="55"/>
      <c r="M1280" s="55"/>
      <c r="N1280" s="55"/>
      <c r="O1280" s="55"/>
      <c r="P1280" s="55"/>
      <c r="Q1280" s="55"/>
      <c r="R1280" s="56"/>
      <c r="S1280" s="57"/>
      <c r="T1280" s="60"/>
    </row>
    <row r="1281">
      <c r="A1281" s="55"/>
      <c r="B1281" s="55"/>
      <c r="C1281" s="55"/>
      <c r="D1281" s="56"/>
      <c r="E1281" s="57"/>
      <c r="F1281" s="58"/>
      <c r="G1281" s="60"/>
      <c r="H1281" s="63"/>
      <c r="I1281" s="60"/>
      <c r="J1281" s="64"/>
      <c r="K1281" s="64"/>
      <c r="L1281" s="55"/>
      <c r="M1281" s="55"/>
      <c r="N1281" s="55"/>
      <c r="O1281" s="55"/>
      <c r="P1281" s="55"/>
      <c r="Q1281" s="55"/>
      <c r="R1281" s="56"/>
      <c r="S1281" s="57"/>
      <c r="T1281" s="60"/>
    </row>
    <row r="1282">
      <c r="A1282" s="55"/>
      <c r="B1282" s="55"/>
      <c r="C1282" s="55"/>
      <c r="D1282" s="56"/>
      <c r="E1282" s="57"/>
      <c r="F1282" s="58"/>
      <c r="G1282" s="60"/>
      <c r="H1282" s="63"/>
      <c r="I1282" s="60"/>
      <c r="J1282" s="64"/>
      <c r="K1282" s="64"/>
      <c r="L1282" s="55"/>
      <c r="M1282" s="55"/>
      <c r="N1282" s="55"/>
      <c r="O1282" s="55"/>
      <c r="P1282" s="55"/>
      <c r="Q1282" s="55"/>
      <c r="R1282" s="56"/>
      <c r="S1282" s="57"/>
      <c r="T1282" s="60"/>
    </row>
    <row r="1283">
      <c r="A1283" s="55"/>
      <c r="B1283" s="55"/>
      <c r="C1283" s="55"/>
      <c r="D1283" s="56"/>
      <c r="E1283" s="57"/>
      <c r="F1283" s="58"/>
      <c r="G1283" s="60"/>
      <c r="H1283" s="63"/>
      <c r="I1283" s="60"/>
      <c r="J1283" s="64"/>
      <c r="K1283" s="64"/>
      <c r="L1283" s="55"/>
      <c r="M1283" s="55"/>
      <c r="N1283" s="55"/>
      <c r="O1283" s="55"/>
      <c r="P1283" s="55"/>
      <c r="Q1283" s="55"/>
      <c r="R1283" s="56"/>
      <c r="S1283" s="57"/>
      <c r="T1283" s="60"/>
    </row>
    <row r="1284">
      <c r="A1284" s="55"/>
      <c r="B1284" s="55"/>
      <c r="C1284" s="55"/>
      <c r="D1284" s="56"/>
      <c r="E1284" s="57"/>
      <c r="F1284" s="58"/>
      <c r="G1284" s="60"/>
      <c r="H1284" s="63"/>
      <c r="I1284" s="60"/>
      <c r="J1284" s="64"/>
      <c r="K1284" s="64"/>
      <c r="L1284" s="55"/>
      <c r="M1284" s="55"/>
      <c r="N1284" s="55"/>
      <c r="O1284" s="55"/>
      <c r="P1284" s="55"/>
      <c r="Q1284" s="55"/>
      <c r="R1284" s="56"/>
      <c r="S1284" s="57"/>
      <c r="T1284" s="60"/>
    </row>
    <row r="1285">
      <c r="A1285" s="55"/>
      <c r="B1285" s="55"/>
      <c r="C1285" s="55"/>
      <c r="D1285" s="56"/>
      <c r="E1285" s="57"/>
      <c r="F1285" s="58"/>
      <c r="G1285" s="60"/>
      <c r="H1285" s="63"/>
      <c r="I1285" s="60"/>
      <c r="J1285" s="64"/>
      <c r="K1285" s="64"/>
      <c r="L1285" s="55"/>
      <c r="M1285" s="55"/>
      <c r="N1285" s="55"/>
      <c r="O1285" s="55"/>
      <c r="P1285" s="55"/>
      <c r="Q1285" s="55"/>
      <c r="R1285" s="56"/>
      <c r="S1285" s="57"/>
      <c r="T1285" s="60"/>
    </row>
    <row r="1286">
      <c r="A1286" s="55"/>
      <c r="B1286" s="55"/>
      <c r="C1286" s="55"/>
      <c r="D1286" s="56"/>
      <c r="E1286" s="57"/>
      <c r="F1286" s="58"/>
      <c r="G1286" s="60"/>
      <c r="H1286" s="63"/>
      <c r="I1286" s="60"/>
      <c r="J1286" s="64"/>
      <c r="K1286" s="64"/>
      <c r="L1286" s="55"/>
      <c r="M1286" s="55"/>
      <c r="N1286" s="55"/>
      <c r="O1286" s="55"/>
      <c r="P1286" s="55"/>
      <c r="Q1286" s="55"/>
      <c r="R1286" s="56"/>
      <c r="S1286" s="57"/>
      <c r="T1286" s="60"/>
    </row>
    <row r="1287">
      <c r="A1287" s="55"/>
      <c r="B1287" s="55"/>
      <c r="C1287" s="55"/>
      <c r="D1287" s="56"/>
      <c r="E1287" s="57"/>
      <c r="F1287" s="58"/>
      <c r="G1287" s="60"/>
      <c r="H1287" s="63"/>
      <c r="I1287" s="60"/>
      <c r="J1287" s="64"/>
      <c r="K1287" s="64"/>
      <c r="L1287" s="55"/>
      <c r="M1287" s="55"/>
      <c r="N1287" s="55"/>
      <c r="O1287" s="55"/>
      <c r="P1287" s="55"/>
      <c r="Q1287" s="55"/>
      <c r="R1287" s="56"/>
      <c r="S1287" s="57"/>
      <c r="T1287" s="60"/>
    </row>
    <row r="1288">
      <c r="A1288" s="55"/>
      <c r="B1288" s="55"/>
      <c r="C1288" s="55"/>
      <c r="D1288" s="56"/>
      <c r="E1288" s="57"/>
      <c r="F1288" s="58"/>
      <c r="G1288" s="60"/>
      <c r="H1288" s="63"/>
      <c r="I1288" s="60"/>
      <c r="J1288" s="64"/>
      <c r="K1288" s="64"/>
      <c r="L1288" s="55"/>
      <c r="M1288" s="55"/>
      <c r="N1288" s="55"/>
      <c r="O1288" s="55"/>
      <c r="P1288" s="55"/>
      <c r="Q1288" s="55"/>
      <c r="R1288" s="56"/>
      <c r="S1288" s="57"/>
      <c r="T1288" s="60"/>
    </row>
    <row r="1289">
      <c r="A1289" s="55"/>
      <c r="B1289" s="55"/>
      <c r="C1289" s="55"/>
      <c r="D1289" s="56"/>
      <c r="E1289" s="57"/>
      <c r="F1289" s="58"/>
      <c r="G1289" s="60"/>
      <c r="H1289" s="63"/>
      <c r="I1289" s="60"/>
      <c r="J1289" s="64"/>
      <c r="K1289" s="64"/>
      <c r="L1289" s="55"/>
      <c r="M1289" s="55"/>
      <c r="N1289" s="55"/>
      <c r="O1289" s="55"/>
      <c r="P1289" s="55"/>
      <c r="Q1289" s="55"/>
      <c r="R1289" s="56"/>
      <c r="S1289" s="57"/>
      <c r="T1289" s="60"/>
    </row>
    <row r="1290">
      <c r="A1290" s="55"/>
      <c r="B1290" s="55"/>
      <c r="C1290" s="55"/>
      <c r="D1290" s="56"/>
      <c r="E1290" s="57"/>
      <c r="F1290" s="58"/>
      <c r="G1290" s="60"/>
      <c r="H1290" s="63"/>
      <c r="I1290" s="60"/>
      <c r="J1290" s="64"/>
      <c r="K1290" s="64"/>
      <c r="L1290" s="55"/>
      <c r="M1290" s="55"/>
      <c r="N1290" s="55"/>
      <c r="O1290" s="55"/>
      <c r="P1290" s="55"/>
      <c r="Q1290" s="55"/>
      <c r="R1290" s="56"/>
      <c r="S1290" s="57"/>
      <c r="T1290" s="60"/>
    </row>
    <row r="1291">
      <c r="A1291" s="55"/>
      <c r="B1291" s="55"/>
      <c r="C1291" s="55"/>
      <c r="D1291" s="56"/>
      <c r="E1291" s="57"/>
      <c r="F1291" s="58"/>
      <c r="G1291" s="60"/>
      <c r="H1291" s="63"/>
      <c r="I1291" s="60"/>
      <c r="J1291" s="64"/>
      <c r="K1291" s="64"/>
      <c r="L1291" s="55"/>
      <c r="M1291" s="55"/>
      <c r="N1291" s="55"/>
      <c r="O1291" s="55"/>
      <c r="P1291" s="55"/>
      <c r="Q1291" s="55"/>
      <c r="R1291" s="56"/>
      <c r="S1291" s="57"/>
      <c r="T1291" s="60"/>
    </row>
    <row r="1292">
      <c r="A1292" s="55"/>
      <c r="B1292" s="55"/>
      <c r="C1292" s="55"/>
      <c r="D1292" s="56"/>
      <c r="E1292" s="57"/>
      <c r="F1292" s="58"/>
      <c r="G1292" s="60"/>
      <c r="H1292" s="63"/>
      <c r="I1292" s="60"/>
      <c r="J1292" s="64"/>
      <c r="K1292" s="64"/>
      <c r="L1292" s="55"/>
      <c r="M1292" s="55"/>
      <c r="N1292" s="55"/>
      <c r="O1292" s="55"/>
      <c r="P1292" s="55"/>
      <c r="Q1292" s="55"/>
      <c r="R1292" s="56"/>
      <c r="S1292" s="57"/>
      <c r="T1292" s="60"/>
    </row>
    <row r="1293">
      <c r="A1293" s="55"/>
      <c r="B1293" s="55"/>
      <c r="C1293" s="55"/>
      <c r="D1293" s="56"/>
      <c r="E1293" s="57"/>
      <c r="F1293" s="58"/>
      <c r="G1293" s="60"/>
      <c r="H1293" s="63"/>
      <c r="I1293" s="60"/>
      <c r="J1293" s="64"/>
      <c r="K1293" s="64"/>
      <c r="L1293" s="55"/>
      <c r="M1293" s="55"/>
      <c r="N1293" s="55"/>
      <c r="O1293" s="55"/>
      <c r="P1293" s="55"/>
      <c r="Q1293" s="55"/>
      <c r="R1293" s="56"/>
      <c r="S1293" s="57"/>
      <c r="T1293" s="60"/>
    </row>
    <row r="1294">
      <c r="A1294" s="55"/>
      <c r="B1294" s="55"/>
      <c r="C1294" s="55"/>
      <c r="D1294" s="56"/>
      <c r="E1294" s="57"/>
      <c r="F1294" s="58"/>
      <c r="G1294" s="60"/>
      <c r="H1294" s="63"/>
      <c r="I1294" s="60"/>
      <c r="J1294" s="64"/>
      <c r="K1294" s="64"/>
      <c r="L1294" s="55"/>
      <c r="M1294" s="55"/>
      <c r="N1294" s="55"/>
      <c r="O1294" s="55"/>
      <c r="P1294" s="55"/>
      <c r="Q1294" s="55"/>
      <c r="R1294" s="56"/>
      <c r="S1294" s="57"/>
      <c r="T1294" s="60"/>
    </row>
    <row r="1295">
      <c r="A1295" s="55"/>
      <c r="B1295" s="55"/>
      <c r="C1295" s="55"/>
      <c r="D1295" s="56"/>
      <c r="E1295" s="57"/>
      <c r="F1295" s="58"/>
      <c r="G1295" s="60"/>
      <c r="H1295" s="63"/>
      <c r="I1295" s="60"/>
      <c r="J1295" s="64"/>
      <c r="K1295" s="64"/>
      <c r="L1295" s="55"/>
      <c r="M1295" s="55"/>
      <c r="N1295" s="55"/>
      <c r="O1295" s="55"/>
      <c r="P1295" s="55"/>
      <c r="Q1295" s="55"/>
      <c r="R1295" s="56"/>
      <c r="S1295" s="57"/>
      <c r="T1295" s="60"/>
    </row>
    <row r="1296">
      <c r="A1296" s="55"/>
      <c r="B1296" s="55"/>
      <c r="C1296" s="55"/>
      <c r="D1296" s="56"/>
      <c r="E1296" s="57"/>
      <c r="F1296" s="58"/>
      <c r="G1296" s="60"/>
      <c r="H1296" s="63"/>
      <c r="I1296" s="60"/>
      <c r="J1296" s="64"/>
      <c r="K1296" s="64"/>
      <c r="L1296" s="55"/>
      <c r="M1296" s="55"/>
      <c r="N1296" s="55"/>
      <c r="O1296" s="55"/>
      <c r="P1296" s="55"/>
      <c r="Q1296" s="55"/>
      <c r="R1296" s="56"/>
      <c r="S1296" s="57"/>
      <c r="T1296" s="60"/>
    </row>
    <row r="1297">
      <c r="A1297" s="55"/>
      <c r="B1297" s="55"/>
      <c r="C1297" s="55"/>
      <c r="D1297" s="56"/>
      <c r="E1297" s="57"/>
      <c r="F1297" s="58"/>
      <c r="G1297" s="60"/>
      <c r="H1297" s="63"/>
      <c r="I1297" s="60"/>
      <c r="J1297" s="64"/>
      <c r="K1297" s="64"/>
      <c r="L1297" s="55"/>
      <c r="M1297" s="55"/>
      <c r="N1297" s="55"/>
      <c r="O1297" s="55"/>
      <c r="P1297" s="55"/>
      <c r="Q1297" s="55"/>
      <c r="R1297" s="56"/>
      <c r="S1297" s="57"/>
      <c r="T1297" s="60"/>
    </row>
    <row r="1298">
      <c r="A1298" s="55"/>
      <c r="B1298" s="55"/>
      <c r="C1298" s="55"/>
      <c r="D1298" s="56"/>
      <c r="E1298" s="57"/>
      <c r="F1298" s="58"/>
      <c r="G1298" s="60"/>
      <c r="H1298" s="63"/>
      <c r="I1298" s="60"/>
      <c r="J1298" s="64"/>
      <c r="K1298" s="64"/>
      <c r="L1298" s="55"/>
      <c r="M1298" s="55"/>
      <c r="N1298" s="55"/>
      <c r="O1298" s="55"/>
      <c r="P1298" s="55"/>
      <c r="Q1298" s="55"/>
      <c r="R1298" s="56"/>
      <c r="S1298" s="57"/>
      <c r="T1298" s="60"/>
    </row>
    <row r="1299">
      <c r="A1299" s="55"/>
      <c r="B1299" s="55"/>
      <c r="C1299" s="55"/>
      <c r="D1299" s="56"/>
      <c r="E1299" s="57"/>
      <c r="F1299" s="58"/>
      <c r="G1299" s="60"/>
      <c r="H1299" s="63"/>
      <c r="I1299" s="60"/>
      <c r="J1299" s="64"/>
      <c r="K1299" s="64"/>
      <c r="L1299" s="55"/>
      <c r="M1299" s="55"/>
      <c r="N1299" s="55"/>
      <c r="O1299" s="55"/>
      <c r="P1299" s="55"/>
      <c r="Q1299" s="55"/>
      <c r="R1299" s="56"/>
      <c r="S1299" s="57"/>
      <c r="T1299" s="60"/>
    </row>
    <row r="1300">
      <c r="A1300" s="55"/>
      <c r="B1300" s="55"/>
      <c r="C1300" s="55"/>
      <c r="D1300" s="56"/>
      <c r="E1300" s="57"/>
      <c r="F1300" s="58"/>
      <c r="G1300" s="60"/>
      <c r="H1300" s="63"/>
      <c r="I1300" s="60"/>
      <c r="J1300" s="64"/>
      <c r="K1300" s="64"/>
      <c r="L1300" s="55"/>
      <c r="M1300" s="55"/>
      <c r="N1300" s="55"/>
      <c r="O1300" s="55"/>
      <c r="P1300" s="55"/>
      <c r="Q1300" s="55"/>
      <c r="R1300" s="56"/>
      <c r="S1300" s="57"/>
      <c r="T1300" s="60"/>
    </row>
    <row r="1301">
      <c r="A1301" s="55"/>
      <c r="B1301" s="55"/>
      <c r="C1301" s="55"/>
      <c r="D1301" s="56"/>
      <c r="E1301" s="57"/>
      <c r="F1301" s="58"/>
      <c r="G1301" s="60"/>
      <c r="H1301" s="63"/>
      <c r="I1301" s="60"/>
      <c r="J1301" s="64"/>
      <c r="K1301" s="64"/>
      <c r="L1301" s="55"/>
      <c r="M1301" s="55"/>
      <c r="N1301" s="55"/>
      <c r="O1301" s="55"/>
      <c r="P1301" s="55"/>
      <c r="Q1301" s="55"/>
      <c r="R1301" s="56"/>
      <c r="S1301" s="57"/>
      <c r="T1301" s="60"/>
    </row>
    <row r="1302">
      <c r="A1302" s="55"/>
      <c r="B1302" s="55"/>
      <c r="C1302" s="55"/>
      <c r="D1302" s="56"/>
      <c r="E1302" s="57"/>
      <c r="F1302" s="58"/>
      <c r="G1302" s="60"/>
      <c r="H1302" s="63"/>
      <c r="I1302" s="60"/>
      <c r="J1302" s="64"/>
      <c r="K1302" s="64"/>
      <c r="L1302" s="55"/>
      <c r="M1302" s="55"/>
      <c r="N1302" s="55"/>
      <c r="O1302" s="55"/>
      <c r="P1302" s="55"/>
      <c r="Q1302" s="55"/>
      <c r="R1302" s="56"/>
      <c r="S1302" s="57"/>
      <c r="T1302" s="60"/>
    </row>
    <row r="1303">
      <c r="A1303" s="55"/>
      <c r="B1303" s="55"/>
      <c r="C1303" s="55"/>
      <c r="D1303" s="56"/>
      <c r="E1303" s="57"/>
      <c r="F1303" s="58"/>
      <c r="G1303" s="60"/>
      <c r="H1303" s="63"/>
      <c r="I1303" s="60"/>
      <c r="J1303" s="64"/>
      <c r="K1303" s="64"/>
      <c r="L1303" s="55"/>
      <c r="M1303" s="55"/>
      <c r="N1303" s="55"/>
      <c r="O1303" s="55"/>
      <c r="P1303" s="55"/>
      <c r="Q1303" s="55"/>
      <c r="R1303" s="56"/>
      <c r="S1303" s="57"/>
      <c r="T1303" s="60"/>
    </row>
    <row r="1304">
      <c r="A1304" s="55"/>
      <c r="B1304" s="55"/>
      <c r="C1304" s="55"/>
      <c r="D1304" s="56"/>
      <c r="E1304" s="57"/>
      <c r="F1304" s="58"/>
      <c r="G1304" s="60"/>
      <c r="H1304" s="63"/>
      <c r="I1304" s="60"/>
      <c r="J1304" s="64"/>
      <c r="K1304" s="64"/>
      <c r="L1304" s="55"/>
      <c r="M1304" s="55"/>
      <c r="N1304" s="55"/>
      <c r="O1304" s="55"/>
      <c r="P1304" s="55"/>
      <c r="Q1304" s="55"/>
      <c r="R1304" s="56"/>
      <c r="S1304" s="57"/>
      <c r="T1304" s="60"/>
    </row>
    <row r="1305">
      <c r="A1305" s="55"/>
      <c r="B1305" s="55"/>
      <c r="C1305" s="55"/>
      <c r="D1305" s="56"/>
      <c r="E1305" s="57"/>
      <c r="F1305" s="58"/>
      <c r="G1305" s="60"/>
      <c r="H1305" s="63"/>
      <c r="I1305" s="60"/>
      <c r="J1305" s="64"/>
      <c r="K1305" s="64"/>
      <c r="L1305" s="55"/>
      <c r="M1305" s="55"/>
      <c r="N1305" s="55"/>
      <c r="O1305" s="55"/>
      <c r="P1305" s="55"/>
      <c r="Q1305" s="55"/>
      <c r="R1305" s="56"/>
      <c r="S1305" s="57"/>
      <c r="T1305" s="60"/>
    </row>
    <row r="1306">
      <c r="A1306" s="55"/>
      <c r="B1306" s="55"/>
      <c r="C1306" s="55"/>
      <c r="D1306" s="56"/>
      <c r="E1306" s="57"/>
      <c r="F1306" s="58"/>
      <c r="G1306" s="60"/>
      <c r="H1306" s="63"/>
      <c r="I1306" s="60"/>
      <c r="J1306" s="64"/>
      <c r="K1306" s="64"/>
      <c r="L1306" s="55"/>
      <c r="M1306" s="55"/>
      <c r="N1306" s="55"/>
      <c r="O1306" s="55"/>
      <c r="P1306" s="55"/>
      <c r="Q1306" s="55"/>
      <c r="R1306" s="56"/>
      <c r="S1306" s="57"/>
      <c r="T1306" s="60"/>
    </row>
    <row r="1307">
      <c r="A1307" s="55"/>
      <c r="B1307" s="55"/>
      <c r="C1307" s="55"/>
      <c r="D1307" s="56"/>
      <c r="E1307" s="57"/>
      <c r="F1307" s="58"/>
      <c r="G1307" s="60"/>
      <c r="H1307" s="63"/>
      <c r="I1307" s="60"/>
      <c r="J1307" s="64"/>
      <c r="K1307" s="64"/>
      <c r="L1307" s="55"/>
      <c r="M1307" s="55"/>
      <c r="N1307" s="55"/>
      <c r="O1307" s="55"/>
      <c r="P1307" s="55"/>
      <c r="Q1307" s="55"/>
      <c r="R1307" s="56"/>
      <c r="S1307" s="57"/>
      <c r="T1307" s="60"/>
    </row>
    <row r="1308">
      <c r="A1308" s="55"/>
      <c r="B1308" s="55"/>
      <c r="C1308" s="55"/>
      <c r="D1308" s="56"/>
      <c r="E1308" s="57"/>
      <c r="F1308" s="58"/>
      <c r="G1308" s="60"/>
      <c r="H1308" s="63"/>
      <c r="I1308" s="60"/>
      <c r="J1308" s="64"/>
      <c r="K1308" s="64"/>
      <c r="L1308" s="55"/>
      <c r="M1308" s="55"/>
      <c r="N1308" s="55"/>
      <c r="O1308" s="55"/>
      <c r="P1308" s="55"/>
      <c r="Q1308" s="55"/>
      <c r="R1308" s="56"/>
      <c r="S1308" s="57"/>
      <c r="T1308" s="60"/>
    </row>
    <row r="1309">
      <c r="A1309" s="55"/>
      <c r="B1309" s="55"/>
      <c r="C1309" s="55"/>
      <c r="D1309" s="56"/>
      <c r="E1309" s="57"/>
      <c r="F1309" s="58"/>
      <c r="G1309" s="60"/>
      <c r="H1309" s="63"/>
      <c r="I1309" s="60"/>
      <c r="J1309" s="64"/>
      <c r="K1309" s="64"/>
      <c r="L1309" s="55"/>
      <c r="M1309" s="55"/>
      <c r="N1309" s="55"/>
      <c r="O1309" s="55"/>
      <c r="P1309" s="55"/>
      <c r="Q1309" s="55"/>
      <c r="R1309" s="56"/>
      <c r="S1309" s="57"/>
      <c r="T1309" s="60"/>
    </row>
    <row r="1310">
      <c r="A1310" s="55"/>
      <c r="B1310" s="55"/>
      <c r="C1310" s="55"/>
      <c r="D1310" s="56"/>
      <c r="E1310" s="57"/>
      <c r="F1310" s="58"/>
      <c r="G1310" s="60"/>
      <c r="H1310" s="63"/>
      <c r="I1310" s="60"/>
      <c r="J1310" s="64"/>
      <c r="K1310" s="64"/>
      <c r="L1310" s="55"/>
      <c r="M1310" s="55"/>
      <c r="N1310" s="55"/>
      <c r="O1310" s="55"/>
      <c r="P1310" s="55"/>
      <c r="Q1310" s="55"/>
      <c r="R1310" s="56"/>
      <c r="S1310" s="57"/>
      <c r="T1310" s="60"/>
    </row>
    <row r="1311">
      <c r="A1311" s="55"/>
      <c r="B1311" s="55"/>
      <c r="C1311" s="55"/>
      <c r="D1311" s="56"/>
      <c r="E1311" s="57"/>
      <c r="F1311" s="58"/>
      <c r="G1311" s="60"/>
      <c r="H1311" s="63"/>
      <c r="I1311" s="60"/>
      <c r="J1311" s="64"/>
      <c r="K1311" s="64"/>
      <c r="L1311" s="55"/>
      <c r="M1311" s="55"/>
      <c r="N1311" s="55"/>
      <c r="O1311" s="55"/>
      <c r="P1311" s="55"/>
      <c r="Q1311" s="55"/>
      <c r="R1311" s="56"/>
      <c r="S1311" s="57"/>
      <c r="T1311" s="60"/>
    </row>
    <row r="1312">
      <c r="A1312" s="55"/>
      <c r="B1312" s="55"/>
      <c r="C1312" s="55"/>
      <c r="D1312" s="56"/>
      <c r="E1312" s="57"/>
      <c r="F1312" s="58"/>
      <c r="G1312" s="60"/>
      <c r="H1312" s="63"/>
      <c r="I1312" s="60"/>
      <c r="J1312" s="64"/>
      <c r="K1312" s="64"/>
      <c r="L1312" s="55"/>
      <c r="M1312" s="55"/>
      <c r="N1312" s="55"/>
      <c r="O1312" s="55"/>
      <c r="P1312" s="55"/>
      <c r="Q1312" s="55"/>
      <c r="R1312" s="56"/>
      <c r="S1312" s="57"/>
      <c r="T1312" s="60"/>
    </row>
    <row r="1313">
      <c r="A1313" s="55"/>
      <c r="B1313" s="55"/>
      <c r="C1313" s="55"/>
      <c r="D1313" s="56"/>
      <c r="E1313" s="57"/>
      <c r="F1313" s="58"/>
      <c r="G1313" s="60"/>
      <c r="H1313" s="63"/>
      <c r="I1313" s="60"/>
      <c r="J1313" s="64"/>
      <c r="K1313" s="64"/>
      <c r="L1313" s="55"/>
      <c r="M1313" s="55"/>
      <c r="N1313" s="55"/>
      <c r="O1313" s="55"/>
      <c r="P1313" s="55"/>
      <c r="Q1313" s="55"/>
      <c r="R1313" s="56"/>
      <c r="S1313" s="57"/>
      <c r="T1313" s="60"/>
    </row>
    <row r="1314">
      <c r="A1314" s="55"/>
      <c r="B1314" s="55"/>
      <c r="C1314" s="55"/>
      <c r="D1314" s="56"/>
      <c r="E1314" s="57"/>
      <c r="F1314" s="58"/>
      <c r="G1314" s="60"/>
      <c r="H1314" s="63"/>
      <c r="I1314" s="60"/>
      <c r="J1314" s="64"/>
      <c r="K1314" s="64"/>
      <c r="L1314" s="55"/>
      <c r="M1314" s="55"/>
      <c r="N1314" s="55"/>
      <c r="O1314" s="55"/>
      <c r="P1314" s="55"/>
      <c r="Q1314" s="55"/>
      <c r="R1314" s="56"/>
      <c r="S1314" s="57"/>
      <c r="T1314" s="60"/>
    </row>
    <row r="1315">
      <c r="A1315" s="55"/>
      <c r="B1315" s="55"/>
      <c r="C1315" s="55"/>
      <c r="D1315" s="56"/>
      <c r="E1315" s="57"/>
      <c r="F1315" s="58"/>
      <c r="G1315" s="60"/>
      <c r="H1315" s="63"/>
      <c r="I1315" s="60"/>
      <c r="J1315" s="64"/>
      <c r="K1315" s="64"/>
      <c r="L1315" s="55"/>
      <c r="M1315" s="55"/>
      <c r="N1315" s="55"/>
      <c r="O1315" s="55"/>
      <c r="P1315" s="55"/>
      <c r="Q1315" s="55"/>
      <c r="R1315" s="56"/>
      <c r="S1315" s="57"/>
      <c r="T1315" s="60"/>
    </row>
    <row r="1316">
      <c r="A1316" s="55"/>
      <c r="B1316" s="55"/>
      <c r="C1316" s="55"/>
      <c r="D1316" s="56"/>
      <c r="E1316" s="57"/>
      <c r="F1316" s="58"/>
      <c r="G1316" s="60"/>
      <c r="H1316" s="63"/>
      <c r="I1316" s="60"/>
      <c r="J1316" s="64"/>
      <c r="K1316" s="64"/>
      <c r="L1316" s="55"/>
      <c r="M1316" s="55"/>
      <c r="N1316" s="55"/>
      <c r="O1316" s="55"/>
      <c r="P1316" s="55"/>
      <c r="Q1316" s="55"/>
      <c r="R1316" s="56"/>
      <c r="S1316" s="57"/>
      <c r="T1316" s="60"/>
    </row>
    <row r="1317">
      <c r="A1317" s="55"/>
      <c r="B1317" s="55"/>
      <c r="C1317" s="55"/>
      <c r="D1317" s="56"/>
      <c r="E1317" s="57"/>
      <c r="F1317" s="58"/>
      <c r="G1317" s="60"/>
      <c r="H1317" s="63"/>
      <c r="I1317" s="60"/>
      <c r="J1317" s="64"/>
      <c r="K1317" s="64"/>
      <c r="L1317" s="55"/>
      <c r="M1317" s="55"/>
      <c r="N1317" s="55"/>
      <c r="O1317" s="55"/>
      <c r="P1317" s="55"/>
      <c r="Q1317" s="55"/>
      <c r="R1317" s="56"/>
      <c r="S1317" s="57"/>
      <c r="T1317" s="60"/>
    </row>
    <row r="1318">
      <c r="A1318" s="55"/>
      <c r="B1318" s="55"/>
      <c r="C1318" s="55"/>
      <c r="D1318" s="56"/>
      <c r="E1318" s="57"/>
      <c r="F1318" s="58"/>
      <c r="G1318" s="60"/>
      <c r="H1318" s="63"/>
      <c r="I1318" s="60"/>
      <c r="J1318" s="64"/>
      <c r="K1318" s="64"/>
      <c r="L1318" s="55"/>
      <c r="M1318" s="55"/>
      <c r="N1318" s="55"/>
      <c r="O1318" s="55"/>
      <c r="P1318" s="55"/>
      <c r="Q1318" s="55"/>
      <c r="R1318" s="56"/>
      <c r="S1318" s="57"/>
      <c r="T1318" s="60"/>
    </row>
    <row r="1319">
      <c r="A1319" s="55"/>
      <c r="B1319" s="55"/>
      <c r="C1319" s="55"/>
      <c r="D1319" s="56"/>
      <c r="E1319" s="57"/>
      <c r="F1319" s="58"/>
      <c r="G1319" s="60"/>
      <c r="H1319" s="63"/>
      <c r="I1319" s="60"/>
      <c r="J1319" s="64"/>
      <c r="K1319" s="64"/>
      <c r="L1319" s="55"/>
      <c r="M1319" s="55"/>
      <c r="N1319" s="55"/>
      <c r="O1319" s="55"/>
      <c r="P1319" s="55"/>
      <c r="Q1319" s="55"/>
      <c r="R1319" s="56"/>
      <c r="S1319" s="57"/>
      <c r="T1319" s="60"/>
    </row>
    <row r="1320">
      <c r="A1320" s="55"/>
      <c r="B1320" s="55"/>
      <c r="C1320" s="55"/>
      <c r="D1320" s="56"/>
      <c r="E1320" s="57"/>
      <c r="F1320" s="58"/>
      <c r="G1320" s="60"/>
      <c r="H1320" s="63"/>
      <c r="I1320" s="60"/>
      <c r="J1320" s="64"/>
      <c r="K1320" s="64"/>
      <c r="L1320" s="55"/>
      <c r="M1320" s="55"/>
      <c r="N1320" s="55"/>
      <c r="O1320" s="55"/>
      <c r="P1320" s="55"/>
      <c r="Q1320" s="55"/>
      <c r="R1320" s="56"/>
      <c r="S1320" s="57"/>
      <c r="T1320" s="60"/>
    </row>
    <row r="1321">
      <c r="A1321" s="55"/>
      <c r="B1321" s="55"/>
      <c r="C1321" s="55"/>
      <c r="D1321" s="56"/>
      <c r="E1321" s="57"/>
      <c r="F1321" s="58"/>
      <c r="G1321" s="60"/>
      <c r="H1321" s="63"/>
      <c r="I1321" s="60"/>
      <c r="J1321" s="64"/>
      <c r="K1321" s="64"/>
      <c r="L1321" s="55"/>
      <c r="M1321" s="55"/>
      <c r="N1321" s="55"/>
      <c r="O1321" s="55"/>
      <c r="P1321" s="55"/>
      <c r="Q1321" s="55"/>
      <c r="R1321" s="56"/>
      <c r="S1321" s="57"/>
      <c r="T1321" s="60"/>
    </row>
    <row r="1322">
      <c r="A1322" s="55"/>
      <c r="B1322" s="55"/>
      <c r="C1322" s="55"/>
      <c r="D1322" s="56"/>
      <c r="E1322" s="57"/>
      <c r="F1322" s="58"/>
      <c r="G1322" s="60"/>
      <c r="H1322" s="63"/>
      <c r="I1322" s="60"/>
      <c r="J1322" s="64"/>
      <c r="K1322" s="64"/>
      <c r="L1322" s="55"/>
      <c r="M1322" s="55"/>
      <c r="N1322" s="55"/>
      <c r="O1322" s="55"/>
      <c r="P1322" s="55"/>
      <c r="Q1322" s="55"/>
      <c r="R1322" s="56"/>
      <c r="S1322" s="57"/>
      <c r="T1322" s="60"/>
    </row>
    <row r="1323">
      <c r="A1323" s="55"/>
      <c r="B1323" s="55"/>
      <c r="C1323" s="55"/>
      <c r="D1323" s="56"/>
      <c r="E1323" s="57"/>
      <c r="F1323" s="58"/>
      <c r="G1323" s="60"/>
      <c r="H1323" s="63"/>
      <c r="I1323" s="60"/>
      <c r="J1323" s="64"/>
      <c r="K1323" s="64"/>
      <c r="L1323" s="55"/>
      <c r="M1323" s="55"/>
      <c r="N1323" s="55"/>
      <c r="O1323" s="55"/>
      <c r="P1323" s="55"/>
      <c r="Q1323" s="55"/>
      <c r="R1323" s="56"/>
      <c r="S1323" s="57"/>
      <c r="T1323" s="60"/>
    </row>
    <row r="1324">
      <c r="A1324" s="55"/>
      <c r="B1324" s="55"/>
      <c r="C1324" s="55"/>
      <c r="D1324" s="56"/>
      <c r="E1324" s="57"/>
      <c r="F1324" s="58"/>
      <c r="G1324" s="60"/>
      <c r="H1324" s="63"/>
      <c r="I1324" s="60"/>
      <c r="J1324" s="64"/>
      <c r="K1324" s="64"/>
      <c r="L1324" s="55"/>
      <c r="M1324" s="55"/>
      <c r="N1324" s="55"/>
      <c r="O1324" s="55"/>
      <c r="P1324" s="55"/>
      <c r="Q1324" s="55"/>
      <c r="R1324" s="56"/>
      <c r="S1324" s="57"/>
      <c r="T1324" s="60"/>
    </row>
    <row r="1325">
      <c r="A1325" s="55"/>
      <c r="B1325" s="55"/>
      <c r="C1325" s="55"/>
      <c r="D1325" s="56"/>
      <c r="E1325" s="57"/>
      <c r="F1325" s="58"/>
      <c r="G1325" s="60"/>
      <c r="H1325" s="63"/>
      <c r="I1325" s="60"/>
      <c r="J1325" s="64"/>
      <c r="K1325" s="64"/>
      <c r="L1325" s="55"/>
      <c r="M1325" s="55"/>
      <c r="N1325" s="55"/>
      <c r="O1325" s="55"/>
      <c r="P1325" s="55"/>
      <c r="Q1325" s="55"/>
      <c r="R1325" s="56"/>
      <c r="S1325" s="57"/>
      <c r="T1325" s="60"/>
    </row>
    <row r="1326">
      <c r="A1326" s="55"/>
      <c r="B1326" s="55"/>
      <c r="C1326" s="55"/>
      <c r="D1326" s="56"/>
      <c r="E1326" s="57"/>
      <c r="F1326" s="58"/>
      <c r="G1326" s="60"/>
      <c r="H1326" s="63"/>
      <c r="I1326" s="60"/>
      <c r="J1326" s="64"/>
      <c r="K1326" s="64"/>
      <c r="L1326" s="55"/>
      <c r="M1326" s="55"/>
      <c r="N1326" s="55"/>
      <c r="O1326" s="55"/>
      <c r="P1326" s="55"/>
      <c r="Q1326" s="55"/>
      <c r="R1326" s="56"/>
      <c r="S1326" s="57"/>
      <c r="T1326" s="60"/>
    </row>
    <row r="1327">
      <c r="A1327" s="55"/>
      <c r="B1327" s="55"/>
      <c r="C1327" s="55"/>
      <c r="D1327" s="56"/>
      <c r="E1327" s="57"/>
      <c r="F1327" s="58"/>
      <c r="G1327" s="60"/>
      <c r="H1327" s="63"/>
      <c r="I1327" s="60"/>
      <c r="J1327" s="64"/>
      <c r="K1327" s="64"/>
      <c r="L1327" s="55"/>
      <c r="M1327" s="55"/>
      <c r="N1327" s="55"/>
      <c r="O1327" s="55"/>
      <c r="P1327" s="55"/>
      <c r="Q1327" s="55"/>
      <c r="R1327" s="56"/>
      <c r="S1327" s="57"/>
      <c r="T1327" s="60"/>
    </row>
    <row r="1328">
      <c r="A1328" s="55"/>
      <c r="B1328" s="55"/>
      <c r="C1328" s="55"/>
      <c r="D1328" s="56"/>
      <c r="E1328" s="57"/>
      <c r="F1328" s="58"/>
      <c r="G1328" s="60"/>
      <c r="H1328" s="63"/>
      <c r="I1328" s="60"/>
      <c r="J1328" s="64"/>
      <c r="K1328" s="64"/>
      <c r="L1328" s="55"/>
      <c r="M1328" s="55"/>
      <c r="N1328" s="55"/>
      <c r="O1328" s="55"/>
      <c r="P1328" s="55"/>
      <c r="Q1328" s="55"/>
      <c r="R1328" s="56"/>
      <c r="S1328" s="57"/>
      <c r="T1328" s="60"/>
    </row>
    <row r="1329">
      <c r="A1329" s="55"/>
      <c r="B1329" s="55"/>
      <c r="C1329" s="55"/>
      <c r="D1329" s="56"/>
      <c r="E1329" s="57"/>
      <c r="F1329" s="58"/>
      <c r="G1329" s="60"/>
      <c r="H1329" s="63"/>
      <c r="I1329" s="60"/>
      <c r="J1329" s="64"/>
      <c r="K1329" s="64"/>
      <c r="L1329" s="55"/>
      <c r="M1329" s="55"/>
      <c r="N1329" s="55"/>
      <c r="O1329" s="55"/>
      <c r="P1329" s="55"/>
      <c r="Q1329" s="55"/>
      <c r="R1329" s="56"/>
      <c r="S1329" s="57"/>
      <c r="T1329" s="60"/>
    </row>
    <row r="1330">
      <c r="A1330" s="55"/>
      <c r="B1330" s="55"/>
      <c r="C1330" s="55"/>
      <c r="D1330" s="56"/>
      <c r="E1330" s="57"/>
      <c r="F1330" s="58"/>
      <c r="G1330" s="60"/>
      <c r="H1330" s="63"/>
      <c r="I1330" s="60"/>
      <c r="J1330" s="64"/>
      <c r="K1330" s="64"/>
      <c r="L1330" s="55"/>
      <c r="M1330" s="55"/>
      <c r="N1330" s="55"/>
      <c r="O1330" s="55"/>
      <c r="P1330" s="55"/>
      <c r="Q1330" s="55"/>
      <c r="R1330" s="56"/>
      <c r="S1330" s="57"/>
      <c r="T1330" s="60"/>
    </row>
    <row r="1331">
      <c r="A1331" s="55"/>
      <c r="B1331" s="55"/>
      <c r="C1331" s="55"/>
      <c r="D1331" s="56"/>
      <c r="E1331" s="57"/>
      <c r="F1331" s="58"/>
      <c r="G1331" s="60"/>
      <c r="H1331" s="63"/>
      <c r="I1331" s="60"/>
      <c r="J1331" s="64"/>
      <c r="K1331" s="64"/>
      <c r="L1331" s="55"/>
      <c r="M1331" s="55"/>
      <c r="N1331" s="55"/>
      <c r="O1331" s="55"/>
      <c r="P1331" s="55"/>
      <c r="Q1331" s="55"/>
      <c r="R1331" s="56"/>
      <c r="S1331" s="57"/>
      <c r="T1331" s="60"/>
    </row>
    <row r="1332">
      <c r="A1332" s="55"/>
      <c r="B1332" s="55"/>
      <c r="C1332" s="55"/>
      <c r="D1332" s="56"/>
      <c r="E1332" s="57"/>
      <c r="F1332" s="58"/>
      <c r="G1332" s="60"/>
      <c r="H1332" s="63"/>
      <c r="I1332" s="60"/>
      <c r="J1332" s="64"/>
      <c r="K1332" s="64"/>
      <c r="L1332" s="55"/>
      <c r="M1332" s="55"/>
      <c r="N1332" s="55"/>
      <c r="O1332" s="55"/>
      <c r="P1332" s="55"/>
      <c r="Q1332" s="55"/>
      <c r="R1332" s="56"/>
      <c r="S1332" s="57"/>
      <c r="T1332" s="60"/>
    </row>
    <row r="1333">
      <c r="A1333" s="55"/>
      <c r="B1333" s="55"/>
      <c r="C1333" s="55"/>
      <c r="D1333" s="56"/>
      <c r="E1333" s="57"/>
      <c r="F1333" s="58"/>
      <c r="G1333" s="60"/>
      <c r="H1333" s="63"/>
      <c r="I1333" s="60"/>
      <c r="J1333" s="64"/>
      <c r="K1333" s="64"/>
      <c r="L1333" s="55"/>
      <c r="M1333" s="55"/>
      <c r="N1333" s="55"/>
      <c r="O1333" s="55"/>
      <c r="P1333" s="55"/>
      <c r="Q1333" s="55"/>
      <c r="R1333" s="56"/>
      <c r="S1333" s="57"/>
      <c r="T1333" s="60"/>
    </row>
    <row r="1334">
      <c r="A1334" s="55"/>
      <c r="B1334" s="55"/>
      <c r="C1334" s="55"/>
      <c r="D1334" s="56"/>
      <c r="E1334" s="57"/>
      <c r="F1334" s="58"/>
      <c r="G1334" s="60"/>
      <c r="H1334" s="63"/>
      <c r="I1334" s="60"/>
      <c r="J1334" s="64"/>
      <c r="K1334" s="64"/>
      <c r="L1334" s="55"/>
      <c r="M1334" s="55"/>
      <c r="N1334" s="55"/>
      <c r="O1334" s="55"/>
      <c r="P1334" s="55"/>
      <c r="Q1334" s="55"/>
      <c r="R1334" s="56"/>
      <c r="S1334" s="57"/>
      <c r="T1334" s="60"/>
    </row>
    <row r="1335">
      <c r="A1335" s="55"/>
      <c r="B1335" s="55"/>
      <c r="C1335" s="55"/>
      <c r="D1335" s="56"/>
      <c r="E1335" s="57"/>
      <c r="F1335" s="58"/>
      <c r="G1335" s="60"/>
      <c r="H1335" s="63"/>
      <c r="I1335" s="60"/>
      <c r="J1335" s="64"/>
      <c r="K1335" s="64"/>
      <c r="L1335" s="55"/>
      <c r="M1335" s="55"/>
      <c r="N1335" s="55"/>
      <c r="O1335" s="55"/>
      <c r="P1335" s="55"/>
      <c r="Q1335" s="55"/>
      <c r="R1335" s="56"/>
      <c r="S1335" s="57"/>
      <c r="T1335" s="60"/>
    </row>
    <row r="1336">
      <c r="A1336" s="55"/>
      <c r="B1336" s="55"/>
      <c r="C1336" s="55"/>
      <c r="D1336" s="56"/>
      <c r="E1336" s="57"/>
      <c r="F1336" s="58"/>
      <c r="G1336" s="60"/>
      <c r="H1336" s="63"/>
      <c r="I1336" s="60"/>
      <c r="J1336" s="64"/>
      <c r="K1336" s="64"/>
      <c r="L1336" s="55"/>
      <c r="M1336" s="55"/>
      <c r="N1336" s="55"/>
      <c r="O1336" s="55"/>
      <c r="P1336" s="55"/>
      <c r="Q1336" s="55"/>
      <c r="R1336" s="56"/>
      <c r="S1336" s="57"/>
      <c r="T1336" s="60"/>
    </row>
    <row r="1337">
      <c r="A1337" s="55"/>
      <c r="B1337" s="55"/>
      <c r="C1337" s="55"/>
      <c r="D1337" s="56"/>
      <c r="E1337" s="57"/>
      <c r="F1337" s="58"/>
      <c r="G1337" s="60"/>
      <c r="H1337" s="63"/>
      <c r="I1337" s="60"/>
      <c r="J1337" s="64"/>
      <c r="K1337" s="64"/>
      <c r="L1337" s="55"/>
      <c r="M1337" s="55"/>
      <c r="N1337" s="55"/>
      <c r="O1337" s="55"/>
      <c r="P1337" s="55"/>
      <c r="Q1337" s="55"/>
      <c r="R1337" s="56"/>
      <c r="S1337" s="57"/>
      <c r="T1337" s="60"/>
    </row>
    <row r="1338">
      <c r="A1338" s="55"/>
      <c r="B1338" s="55"/>
      <c r="C1338" s="55"/>
      <c r="D1338" s="56"/>
      <c r="E1338" s="57"/>
      <c r="F1338" s="58"/>
      <c r="G1338" s="60"/>
      <c r="H1338" s="63"/>
      <c r="I1338" s="60"/>
      <c r="J1338" s="64"/>
      <c r="K1338" s="64"/>
      <c r="L1338" s="55"/>
      <c r="M1338" s="55"/>
      <c r="N1338" s="55"/>
      <c r="O1338" s="55"/>
      <c r="P1338" s="55"/>
      <c r="Q1338" s="55"/>
      <c r="R1338" s="56"/>
      <c r="S1338" s="57"/>
      <c r="T1338" s="60"/>
    </row>
    <row r="1339">
      <c r="A1339" s="55"/>
      <c r="B1339" s="55"/>
      <c r="C1339" s="55"/>
      <c r="D1339" s="56"/>
      <c r="E1339" s="57"/>
      <c r="F1339" s="58"/>
      <c r="G1339" s="60"/>
      <c r="H1339" s="63"/>
      <c r="I1339" s="60"/>
      <c r="J1339" s="64"/>
      <c r="K1339" s="64"/>
      <c r="L1339" s="55"/>
      <c r="M1339" s="55"/>
      <c r="N1339" s="55"/>
      <c r="O1339" s="55"/>
      <c r="P1339" s="55"/>
      <c r="Q1339" s="55"/>
      <c r="R1339" s="56"/>
      <c r="S1339" s="57"/>
      <c r="T1339" s="60"/>
    </row>
    <row r="1340">
      <c r="A1340" s="55"/>
      <c r="B1340" s="55"/>
      <c r="C1340" s="55"/>
      <c r="D1340" s="56"/>
      <c r="E1340" s="57"/>
      <c r="F1340" s="58"/>
      <c r="G1340" s="60"/>
      <c r="H1340" s="63"/>
      <c r="I1340" s="60"/>
      <c r="J1340" s="64"/>
      <c r="K1340" s="64"/>
      <c r="L1340" s="55"/>
      <c r="M1340" s="55"/>
      <c r="N1340" s="55"/>
      <c r="O1340" s="55"/>
      <c r="P1340" s="55"/>
      <c r="Q1340" s="55"/>
      <c r="R1340" s="56"/>
      <c r="S1340" s="57"/>
      <c r="T1340" s="60"/>
    </row>
    <row r="1341">
      <c r="A1341" s="55"/>
      <c r="B1341" s="55"/>
      <c r="C1341" s="55"/>
      <c r="D1341" s="56"/>
      <c r="E1341" s="57"/>
      <c r="F1341" s="58"/>
      <c r="G1341" s="60"/>
      <c r="H1341" s="63"/>
      <c r="I1341" s="60"/>
      <c r="J1341" s="64"/>
      <c r="K1341" s="64"/>
      <c r="L1341" s="55"/>
      <c r="M1341" s="55"/>
      <c r="N1341" s="55"/>
      <c r="O1341" s="55"/>
      <c r="P1341" s="55"/>
      <c r="Q1341" s="55"/>
      <c r="R1341" s="56"/>
      <c r="S1341" s="57"/>
      <c r="T1341" s="60"/>
    </row>
    <row r="1342">
      <c r="A1342" s="55"/>
      <c r="B1342" s="55"/>
      <c r="C1342" s="55"/>
      <c r="D1342" s="56"/>
      <c r="E1342" s="57"/>
      <c r="F1342" s="58"/>
      <c r="G1342" s="60"/>
      <c r="H1342" s="63"/>
      <c r="I1342" s="60"/>
      <c r="J1342" s="64"/>
      <c r="K1342" s="64"/>
      <c r="L1342" s="55"/>
      <c r="M1342" s="55"/>
      <c r="N1342" s="55"/>
      <c r="O1342" s="55"/>
      <c r="P1342" s="55"/>
      <c r="Q1342" s="55"/>
      <c r="R1342" s="56"/>
      <c r="S1342" s="57"/>
      <c r="T1342" s="60"/>
    </row>
    <row r="1343">
      <c r="A1343" s="55"/>
      <c r="B1343" s="55"/>
      <c r="C1343" s="55"/>
      <c r="D1343" s="56"/>
      <c r="E1343" s="57"/>
      <c r="F1343" s="58"/>
      <c r="G1343" s="60"/>
      <c r="H1343" s="63"/>
      <c r="I1343" s="60"/>
      <c r="J1343" s="64"/>
      <c r="K1343" s="64"/>
      <c r="L1343" s="55"/>
      <c r="M1343" s="55"/>
      <c r="N1343" s="55"/>
      <c r="O1343" s="55"/>
      <c r="P1343" s="55"/>
      <c r="Q1343" s="55"/>
      <c r="R1343" s="56"/>
      <c r="S1343" s="57"/>
      <c r="T1343" s="60"/>
    </row>
    <row r="1344">
      <c r="A1344" s="55"/>
      <c r="B1344" s="55"/>
      <c r="C1344" s="55"/>
      <c r="D1344" s="56"/>
      <c r="E1344" s="57"/>
      <c r="F1344" s="58"/>
      <c r="G1344" s="60"/>
      <c r="H1344" s="63"/>
      <c r="I1344" s="60"/>
      <c r="J1344" s="64"/>
      <c r="K1344" s="64"/>
      <c r="L1344" s="55"/>
      <c r="M1344" s="55"/>
      <c r="N1344" s="55"/>
      <c r="O1344" s="55"/>
      <c r="P1344" s="55"/>
      <c r="Q1344" s="55"/>
      <c r="R1344" s="56"/>
      <c r="S1344" s="57"/>
      <c r="T1344" s="60"/>
    </row>
    <row r="1345">
      <c r="A1345" s="55"/>
      <c r="B1345" s="55"/>
      <c r="C1345" s="55"/>
      <c r="D1345" s="56"/>
      <c r="E1345" s="57"/>
      <c r="F1345" s="58"/>
      <c r="G1345" s="60"/>
      <c r="H1345" s="63"/>
      <c r="I1345" s="60"/>
      <c r="J1345" s="64"/>
      <c r="K1345" s="64"/>
      <c r="L1345" s="55"/>
      <c r="M1345" s="55"/>
      <c r="N1345" s="55"/>
      <c r="O1345" s="55"/>
      <c r="P1345" s="55"/>
      <c r="Q1345" s="55"/>
      <c r="R1345" s="56"/>
      <c r="S1345" s="57"/>
      <c r="T1345" s="60"/>
    </row>
    <row r="1346">
      <c r="A1346" s="55"/>
      <c r="B1346" s="55"/>
      <c r="C1346" s="55"/>
      <c r="D1346" s="56"/>
      <c r="E1346" s="57"/>
      <c r="F1346" s="58"/>
      <c r="G1346" s="60"/>
      <c r="H1346" s="63"/>
      <c r="I1346" s="60"/>
      <c r="J1346" s="64"/>
      <c r="K1346" s="64"/>
      <c r="L1346" s="55"/>
      <c r="M1346" s="55"/>
      <c r="N1346" s="55"/>
      <c r="O1346" s="55"/>
      <c r="P1346" s="55"/>
      <c r="Q1346" s="55"/>
      <c r="R1346" s="56"/>
      <c r="S1346" s="57"/>
      <c r="T1346" s="60"/>
    </row>
    <row r="1347">
      <c r="A1347" s="55"/>
      <c r="B1347" s="55"/>
      <c r="C1347" s="55"/>
      <c r="D1347" s="56"/>
      <c r="E1347" s="57"/>
      <c r="F1347" s="58"/>
      <c r="G1347" s="60"/>
      <c r="H1347" s="63"/>
      <c r="I1347" s="60"/>
      <c r="J1347" s="64"/>
      <c r="K1347" s="64"/>
      <c r="L1347" s="55"/>
      <c r="M1347" s="55"/>
      <c r="N1347" s="55"/>
      <c r="O1347" s="55"/>
      <c r="P1347" s="55"/>
      <c r="Q1347" s="55"/>
      <c r="R1347" s="56"/>
      <c r="S1347" s="57"/>
      <c r="T1347" s="60"/>
    </row>
    <row r="1348">
      <c r="A1348" s="55"/>
      <c r="B1348" s="55"/>
      <c r="C1348" s="55"/>
      <c r="D1348" s="56"/>
      <c r="E1348" s="57"/>
      <c r="F1348" s="58"/>
      <c r="G1348" s="60"/>
      <c r="H1348" s="63"/>
      <c r="I1348" s="60"/>
      <c r="J1348" s="64"/>
      <c r="K1348" s="64"/>
      <c r="L1348" s="55"/>
      <c r="M1348" s="55"/>
      <c r="N1348" s="55"/>
      <c r="O1348" s="55"/>
      <c r="P1348" s="55"/>
      <c r="Q1348" s="55"/>
      <c r="R1348" s="56"/>
      <c r="S1348" s="57"/>
      <c r="T1348" s="60"/>
    </row>
    <row r="1349">
      <c r="A1349" s="55"/>
      <c r="B1349" s="55"/>
      <c r="C1349" s="55"/>
      <c r="D1349" s="56"/>
      <c r="E1349" s="57"/>
      <c r="F1349" s="58"/>
      <c r="G1349" s="60"/>
      <c r="H1349" s="63"/>
      <c r="I1349" s="60"/>
      <c r="J1349" s="64"/>
      <c r="K1349" s="64"/>
      <c r="L1349" s="55"/>
      <c r="M1349" s="55"/>
      <c r="N1349" s="55"/>
      <c r="O1349" s="55"/>
      <c r="P1349" s="55"/>
      <c r="Q1349" s="55"/>
      <c r="R1349" s="56"/>
      <c r="S1349" s="57"/>
      <c r="T1349" s="60"/>
    </row>
    <row r="1350">
      <c r="A1350" s="55"/>
      <c r="B1350" s="55"/>
      <c r="C1350" s="55"/>
      <c r="D1350" s="56"/>
      <c r="E1350" s="57"/>
      <c r="F1350" s="58"/>
      <c r="G1350" s="60"/>
      <c r="H1350" s="63"/>
      <c r="I1350" s="60"/>
      <c r="J1350" s="64"/>
      <c r="K1350" s="64"/>
      <c r="L1350" s="55"/>
      <c r="M1350" s="55"/>
      <c r="N1350" s="55"/>
      <c r="O1350" s="55"/>
      <c r="P1350" s="55"/>
      <c r="Q1350" s="55"/>
      <c r="R1350" s="56"/>
      <c r="S1350" s="57"/>
      <c r="T1350" s="60"/>
    </row>
    <row r="1351">
      <c r="A1351" s="55"/>
      <c r="B1351" s="55"/>
      <c r="C1351" s="55"/>
      <c r="D1351" s="56"/>
      <c r="E1351" s="57"/>
      <c r="F1351" s="58"/>
      <c r="G1351" s="60"/>
      <c r="H1351" s="63"/>
      <c r="I1351" s="60"/>
      <c r="J1351" s="64"/>
      <c r="K1351" s="64"/>
      <c r="L1351" s="55"/>
      <c r="M1351" s="55"/>
      <c r="N1351" s="55"/>
      <c r="O1351" s="55"/>
      <c r="P1351" s="55"/>
      <c r="Q1351" s="55"/>
      <c r="R1351" s="56"/>
      <c r="S1351" s="57"/>
      <c r="T1351" s="60"/>
    </row>
    <row r="1352">
      <c r="A1352" s="55"/>
      <c r="B1352" s="55"/>
      <c r="C1352" s="55"/>
      <c r="D1352" s="56"/>
      <c r="E1352" s="57"/>
      <c r="F1352" s="58"/>
      <c r="G1352" s="60"/>
      <c r="H1352" s="63"/>
      <c r="I1352" s="60"/>
      <c r="J1352" s="64"/>
      <c r="K1352" s="64"/>
      <c r="L1352" s="55"/>
      <c r="M1352" s="55"/>
      <c r="N1352" s="55"/>
      <c r="O1352" s="55"/>
      <c r="P1352" s="55"/>
      <c r="Q1352" s="55"/>
      <c r="R1352" s="56"/>
      <c r="S1352" s="57"/>
      <c r="T1352" s="60"/>
    </row>
    <row r="1353">
      <c r="A1353" s="55"/>
      <c r="B1353" s="55"/>
      <c r="C1353" s="55"/>
      <c r="D1353" s="56"/>
      <c r="E1353" s="57"/>
      <c r="F1353" s="58"/>
      <c r="G1353" s="60"/>
      <c r="H1353" s="63"/>
      <c r="I1353" s="60"/>
      <c r="J1353" s="64"/>
      <c r="K1353" s="64"/>
      <c r="L1353" s="55"/>
      <c r="M1353" s="55"/>
      <c r="N1353" s="55"/>
      <c r="O1353" s="55"/>
      <c r="P1353" s="55"/>
      <c r="Q1353" s="55"/>
      <c r="R1353" s="56"/>
      <c r="S1353" s="57"/>
      <c r="T1353" s="60"/>
    </row>
    <row r="1354">
      <c r="A1354" s="55"/>
      <c r="B1354" s="55"/>
      <c r="C1354" s="55"/>
      <c r="D1354" s="56"/>
      <c r="E1354" s="57"/>
      <c r="F1354" s="58"/>
      <c r="G1354" s="60"/>
      <c r="H1354" s="63"/>
      <c r="I1354" s="60"/>
      <c r="J1354" s="64"/>
      <c r="K1354" s="64"/>
      <c r="L1354" s="55"/>
      <c r="M1354" s="55"/>
      <c r="N1354" s="55"/>
      <c r="O1354" s="55"/>
      <c r="P1354" s="55"/>
      <c r="Q1354" s="55"/>
      <c r="R1354" s="56"/>
      <c r="S1354" s="57"/>
      <c r="T1354" s="60"/>
    </row>
    <row r="1355">
      <c r="A1355" s="55"/>
      <c r="B1355" s="55"/>
      <c r="C1355" s="55"/>
      <c r="D1355" s="56"/>
      <c r="E1355" s="57"/>
      <c r="F1355" s="58"/>
      <c r="G1355" s="60"/>
      <c r="H1355" s="63"/>
      <c r="I1355" s="60"/>
      <c r="J1355" s="64"/>
      <c r="K1355" s="64"/>
      <c r="L1355" s="55"/>
      <c r="M1355" s="55"/>
      <c r="N1355" s="55"/>
      <c r="O1355" s="55"/>
      <c r="P1355" s="55"/>
      <c r="Q1355" s="55"/>
      <c r="R1355" s="56"/>
      <c r="S1355" s="57"/>
      <c r="T1355" s="60"/>
    </row>
    <row r="1356">
      <c r="A1356" s="55"/>
      <c r="B1356" s="55"/>
      <c r="C1356" s="55"/>
      <c r="D1356" s="56"/>
      <c r="E1356" s="57"/>
      <c r="F1356" s="58"/>
      <c r="G1356" s="60"/>
      <c r="H1356" s="63"/>
      <c r="I1356" s="60"/>
      <c r="J1356" s="64"/>
      <c r="K1356" s="64"/>
      <c r="L1356" s="55"/>
      <c r="M1356" s="55"/>
      <c r="N1356" s="55"/>
      <c r="O1356" s="55"/>
      <c r="P1356" s="55"/>
      <c r="Q1356" s="55"/>
      <c r="R1356" s="56"/>
      <c r="S1356" s="57"/>
      <c r="T1356" s="60"/>
    </row>
    <row r="1357">
      <c r="A1357" s="55"/>
      <c r="B1357" s="55"/>
      <c r="C1357" s="55"/>
      <c r="D1357" s="56"/>
      <c r="E1357" s="57"/>
      <c r="F1357" s="58"/>
      <c r="G1357" s="60"/>
      <c r="H1357" s="63"/>
      <c r="I1357" s="60"/>
      <c r="J1357" s="64"/>
      <c r="K1357" s="64"/>
      <c r="L1357" s="55"/>
      <c r="M1357" s="55"/>
      <c r="N1357" s="55"/>
      <c r="O1357" s="55"/>
      <c r="P1357" s="55"/>
      <c r="Q1357" s="55"/>
      <c r="R1357" s="56"/>
      <c r="S1357" s="57"/>
      <c r="T1357" s="60"/>
    </row>
    <row r="1358">
      <c r="A1358" s="55"/>
      <c r="B1358" s="55"/>
      <c r="C1358" s="55"/>
      <c r="D1358" s="56"/>
      <c r="E1358" s="57"/>
      <c r="F1358" s="58"/>
      <c r="G1358" s="60"/>
      <c r="H1358" s="63"/>
      <c r="I1358" s="60"/>
      <c r="J1358" s="64"/>
      <c r="K1358" s="64"/>
      <c r="L1358" s="55"/>
      <c r="M1358" s="55"/>
      <c r="N1358" s="55"/>
      <c r="O1358" s="55"/>
      <c r="P1358" s="55"/>
      <c r="Q1358" s="55"/>
      <c r="R1358" s="56"/>
      <c r="S1358" s="57"/>
      <c r="T1358" s="60"/>
    </row>
    <row r="1359">
      <c r="A1359" s="55"/>
      <c r="B1359" s="55"/>
      <c r="C1359" s="55"/>
      <c r="D1359" s="56"/>
      <c r="E1359" s="57"/>
      <c r="F1359" s="58"/>
      <c r="G1359" s="60"/>
      <c r="H1359" s="63"/>
      <c r="I1359" s="60"/>
      <c r="J1359" s="64"/>
      <c r="K1359" s="64"/>
      <c r="L1359" s="55"/>
      <c r="M1359" s="55"/>
      <c r="N1359" s="55"/>
      <c r="O1359" s="55"/>
      <c r="P1359" s="55"/>
      <c r="Q1359" s="55"/>
      <c r="R1359" s="56"/>
      <c r="S1359" s="57"/>
      <c r="T1359" s="60"/>
    </row>
    <row r="1360">
      <c r="A1360" s="55"/>
      <c r="B1360" s="55"/>
      <c r="C1360" s="55"/>
      <c r="D1360" s="56"/>
      <c r="E1360" s="57"/>
      <c r="F1360" s="58"/>
      <c r="G1360" s="60"/>
      <c r="H1360" s="63"/>
      <c r="I1360" s="60"/>
      <c r="J1360" s="64"/>
      <c r="K1360" s="64"/>
      <c r="L1360" s="55"/>
      <c r="M1360" s="55"/>
      <c r="N1360" s="55"/>
      <c r="O1360" s="55"/>
      <c r="P1360" s="55"/>
      <c r="Q1360" s="55"/>
      <c r="R1360" s="56"/>
      <c r="S1360" s="57"/>
      <c r="T1360" s="60"/>
    </row>
    <row r="1361">
      <c r="A1361" s="55"/>
      <c r="B1361" s="55"/>
      <c r="C1361" s="55"/>
      <c r="D1361" s="56"/>
      <c r="E1361" s="57"/>
      <c r="F1361" s="58"/>
      <c r="G1361" s="60"/>
      <c r="H1361" s="63"/>
      <c r="I1361" s="60"/>
      <c r="J1361" s="64"/>
      <c r="K1361" s="64"/>
      <c r="L1361" s="55"/>
      <c r="M1361" s="55"/>
      <c r="N1361" s="55"/>
      <c r="O1361" s="55"/>
      <c r="P1361" s="55"/>
      <c r="Q1361" s="55"/>
      <c r="R1361" s="56"/>
      <c r="S1361" s="57"/>
      <c r="T1361" s="60"/>
    </row>
    <row r="1362">
      <c r="A1362" s="55"/>
      <c r="B1362" s="55"/>
      <c r="C1362" s="55"/>
      <c r="D1362" s="56"/>
      <c r="E1362" s="57"/>
      <c r="F1362" s="58"/>
      <c r="G1362" s="60"/>
      <c r="H1362" s="63"/>
      <c r="I1362" s="60"/>
      <c r="J1362" s="64"/>
      <c r="K1362" s="64"/>
      <c r="L1362" s="55"/>
      <c r="M1362" s="55"/>
      <c r="N1362" s="55"/>
      <c r="O1362" s="55"/>
      <c r="P1362" s="55"/>
      <c r="Q1362" s="55"/>
      <c r="R1362" s="56"/>
      <c r="S1362" s="57"/>
      <c r="T1362" s="60"/>
    </row>
    <row r="1363">
      <c r="A1363" s="55"/>
      <c r="B1363" s="55"/>
      <c r="C1363" s="55"/>
      <c r="D1363" s="56"/>
      <c r="E1363" s="57"/>
      <c r="F1363" s="58"/>
      <c r="G1363" s="60"/>
      <c r="H1363" s="63"/>
      <c r="I1363" s="60"/>
      <c r="J1363" s="64"/>
      <c r="K1363" s="64"/>
      <c r="L1363" s="55"/>
      <c r="M1363" s="55"/>
      <c r="N1363" s="55"/>
      <c r="O1363" s="55"/>
      <c r="P1363" s="55"/>
      <c r="Q1363" s="55"/>
      <c r="R1363" s="56"/>
      <c r="S1363" s="57"/>
      <c r="T1363" s="60"/>
    </row>
    <row r="1364">
      <c r="A1364" s="55"/>
      <c r="B1364" s="55"/>
      <c r="C1364" s="55"/>
      <c r="D1364" s="56"/>
      <c r="E1364" s="57"/>
      <c r="F1364" s="58"/>
      <c r="G1364" s="60"/>
      <c r="H1364" s="63"/>
      <c r="I1364" s="60"/>
      <c r="J1364" s="64"/>
      <c r="K1364" s="64"/>
      <c r="L1364" s="55"/>
      <c r="M1364" s="55"/>
      <c r="N1364" s="55"/>
      <c r="O1364" s="55"/>
      <c r="P1364" s="55"/>
      <c r="Q1364" s="55"/>
      <c r="R1364" s="56"/>
      <c r="S1364" s="57"/>
      <c r="T1364" s="60"/>
    </row>
    <row r="1365">
      <c r="A1365" s="55"/>
      <c r="B1365" s="55"/>
      <c r="C1365" s="55"/>
      <c r="D1365" s="56"/>
      <c r="E1365" s="57"/>
      <c r="F1365" s="58"/>
      <c r="G1365" s="60"/>
      <c r="H1365" s="63"/>
      <c r="I1365" s="60"/>
      <c r="J1365" s="64"/>
      <c r="K1365" s="64"/>
      <c r="L1365" s="55"/>
      <c r="M1365" s="55"/>
      <c r="N1365" s="55"/>
      <c r="O1365" s="55"/>
      <c r="P1365" s="55"/>
      <c r="Q1365" s="55"/>
      <c r="R1365" s="56"/>
      <c r="S1365" s="57"/>
      <c r="T1365" s="60"/>
    </row>
    <row r="1366">
      <c r="A1366" s="55"/>
      <c r="B1366" s="55"/>
      <c r="C1366" s="55"/>
      <c r="D1366" s="56"/>
      <c r="E1366" s="57"/>
      <c r="F1366" s="58"/>
      <c r="G1366" s="60"/>
      <c r="H1366" s="63"/>
      <c r="I1366" s="60"/>
      <c r="J1366" s="64"/>
      <c r="K1366" s="64"/>
      <c r="L1366" s="55"/>
      <c r="M1366" s="55"/>
      <c r="N1366" s="55"/>
      <c r="O1366" s="55"/>
      <c r="P1366" s="55"/>
      <c r="Q1366" s="55"/>
      <c r="R1366" s="56"/>
      <c r="S1366" s="57"/>
      <c r="T1366" s="60"/>
    </row>
    <row r="1367">
      <c r="A1367" s="55"/>
      <c r="B1367" s="55"/>
      <c r="C1367" s="55"/>
      <c r="D1367" s="56"/>
      <c r="E1367" s="57"/>
      <c r="F1367" s="58"/>
      <c r="G1367" s="60"/>
      <c r="H1367" s="63"/>
      <c r="I1367" s="60"/>
      <c r="J1367" s="64"/>
      <c r="K1367" s="64"/>
      <c r="L1367" s="55"/>
      <c r="M1367" s="55"/>
      <c r="N1367" s="55"/>
      <c r="O1367" s="55"/>
      <c r="P1367" s="55"/>
      <c r="Q1367" s="55"/>
      <c r="R1367" s="56"/>
      <c r="S1367" s="57"/>
      <c r="T1367" s="60"/>
    </row>
    <row r="1368">
      <c r="A1368" s="55"/>
      <c r="B1368" s="55"/>
      <c r="C1368" s="55"/>
      <c r="D1368" s="56"/>
      <c r="E1368" s="57"/>
      <c r="F1368" s="58"/>
      <c r="G1368" s="60"/>
      <c r="H1368" s="63"/>
      <c r="I1368" s="60"/>
      <c r="J1368" s="64"/>
      <c r="K1368" s="64"/>
      <c r="L1368" s="55"/>
      <c r="M1368" s="55"/>
      <c r="N1368" s="55"/>
      <c r="O1368" s="55"/>
      <c r="P1368" s="55"/>
      <c r="Q1368" s="55"/>
      <c r="R1368" s="56"/>
      <c r="S1368" s="57"/>
      <c r="T1368" s="60"/>
    </row>
    <row r="1369">
      <c r="A1369" s="55"/>
      <c r="B1369" s="55"/>
      <c r="C1369" s="55"/>
      <c r="D1369" s="56"/>
      <c r="E1369" s="57"/>
      <c r="F1369" s="58"/>
      <c r="G1369" s="60"/>
      <c r="H1369" s="63"/>
      <c r="I1369" s="60"/>
      <c r="J1369" s="64"/>
      <c r="K1369" s="64"/>
      <c r="L1369" s="55"/>
      <c r="M1369" s="55"/>
      <c r="N1369" s="55"/>
      <c r="O1369" s="55"/>
      <c r="P1369" s="55"/>
      <c r="Q1369" s="55"/>
      <c r="R1369" s="56"/>
      <c r="S1369" s="57"/>
      <c r="T1369" s="60"/>
    </row>
    <row r="1370">
      <c r="A1370" s="55"/>
      <c r="B1370" s="55"/>
      <c r="C1370" s="55"/>
      <c r="D1370" s="56"/>
      <c r="E1370" s="57"/>
      <c r="F1370" s="58"/>
      <c r="G1370" s="60"/>
      <c r="H1370" s="63"/>
      <c r="I1370" s="60"/>
      <c r="J1370" s="64"/>
      <c r="K1370" s="64"/>
      <c r="L1370" s="55"/>
      <c r="M1370" s="55"/>
      <c r="N1370" s="55"/>
      <c r="O1370" s="55"/>
      <c r="P1370" s="55"/>
      <c r="Q1370" s="55"/>
      <c r="R1370" s="56"/>
      <c r="S1370" s="57"/>
      <c r="T1370" s="60"/>
    </row>
    <row r="1371">
      <c r="A1371" s="55"/>
      <c r="B1371" s="55"/>
      <c r="C1371" s="55"/>
      <c r="D1371" s="56"/>
      <c r="E1371" s="57"/>
      <c r="F1371" s="58"/>
      <c r="G1371" s="60"/>
      <c r="H1371" s="63"/>
      <c r="I1371" s="60"/>
      <c r="J1371" s="64"/>
      <c r="K1371" s="64"/>
      <c r="L1371" s="55"/>
      <c r="M1371" s="55"/>
      <c r="N1371" s="55"/>
      <c r="O1371" s="55"/>
      <c r="P1371" s="55"/>
      <c r="Q1371" s="55"/>
      <c r="R1371" s="56"/>
      <c r="S1371" s="57"/>
      <c r="T1371" s="60"/>
    </row>
    <row r="1372">
      <c r="A1372" s="55"/>
      <c r="B1372" s="55"/>
      <c r="C1372" s="55"/>
      <c r="D1372" s="56"/>
      <c r="E1372" s="57"/>
      <c r="F1372" s="58"/>
      <c r="G1372" s="60"/>
      <c r="H1372" s="63"/>
      <c r="I1372" s="60"/>
      <c r="J1372" s="64"/>
      <c r="K1372" s="64"/>
      <c r="L1372" s="55"/>
      <c r="M1372" s="55"/>
      <c r="N1372" s="55"/>
      <c r="O1372" s="55"/>
      <c r="P1372" s="55"/>
      <c r="Q1372" s="55"/>
      <c r="R1372" s="56"/>
      <c r="S1372" s="57"/>
      <c r="T1372" s="60"/>
    </row>
    <row r="1373">
      <c r="A1373" s="55"/>
      <c r="B1373" s="55"/>
      <c r="C1373" s="55"/>
      <c r="D1373" s="56"/>
      <c r="E1373" s="57"/>
      <c r="F1373" s="58"/>
      <c r="G1373" s="60"/>
      <c r="H1373" s="63"/>
      <c r="I1373" s="60"/>
      <c r="J1373" s="64"/>
      <c r="K1373" s="64"/>
      <c r="L1373" s="55"/>
      <c r="M1373" s="55"/>
      <c r="N1373" s="55"/>
      <c r="O1373" s="55"/>
      <c r="P1373" s="55"/>
      <c r="Q1373" s="55"/>
      <c r="R1373" s="56"/>
      <c r="S1373" s="57"/>
      <c r="T1373" s="60"/>
    </row>
    <row r="1374">
      <c r="A1374" s="55"/>
      <c r="B1374" s="55"/>
      <c r="C1374" s="55"/>
      <c r="D1374" s="56"/>
      <c r="E1374" s="57"/>
      <c r="F1374" s="58"/>
      <c r="G1374" s="60"/>
      <c r="H1374" s="63"/>
      <c r="I1374" s="60"/>
      <c r="J1374" s="64"/>
      <c r="K1374" s="64"/>
      <c r="L1374" s="55"/>
      <c r="M1374" s="55"/>
      <c r="N1374" s="55"/>
      <c r="O1374" s="55"/>
      <c r="P1374" s="55"/>
      <c r="Q1374" s="55"/>
      <c r="R1374" s="56"/>
      <c r="S1374" s="57"/>
      <c r="T1374" s="60"/>
    </row>
    <row r="1375">
      <c r="A1375" s="55"/>
      <c r="B1375" s="55"/>
      <c r="C1375" s="55"/>
      <c r="D1375" s="56"/>
      <c r="E1375" s="57"/>
      <c r="F1375" s="58"/>
      <c r="G1375" s="60"/>
      <c r="H1375" s="63"/>
      <c r="I1375" s="60"/>
      <c r="J1375" s="64"/>
      <c r="K1375" s="64"/>
      <c r="L1375" s="55"/>
      <c r="M1375" s="55"/>
      <c r="N1375" s="55"/>
      <c r="O1375" s="55"/>
      <c r="P1375" s="55"/>
      <c r="Q1375" s="55"/>
      <c r="R1375" s="56"/>
      <c r="S1375" s="57"/>
      <c r="T1375" s="60"/>
    </row>
    <row r="1376">
      <c r="A1376" s="55"/>
      <c r="B1376" s="55"/>
      <c r="C1376" s="55"/>
      <c r="D1376" s="56"/>
      <c r="E1376" s="57"/>
      <c r="F1376" s="58"/>
      <c r="G1376" s="60"/>
      <c r="H1376" s="63"/>
      <c r="I1376" s="60"/>
      <c r="J1376" s="64"/>
      <c r="K1376" s="64"/>
      <c r="L1376" s="55"/>
      <c r="M1376" s="55"/>
      <c r="N1376" s="55"/>
      <c r="O1376" s="55"/>
      <c r="P1376" s="55"/>
      <c r="Q1376" s="55"/>
      <c r="R1376" s="56"/>
      <c r="S1376" s="57"/>
      <c r="T1376" s="60"/>
    </row>
    <row r="1377">
      <c r="A1377" s="55"/>
      <c r="B1377" s="55"/>
      <c r="C1377" s="55"/>
      <c r="D1377" s="56"/>
      <c r="E1377" s="57"/>
      <c r="F1377" s="58"/>
      <c r="G1377" s="60"/>
      <c r="H1377" s="63"/>
      <c r="I1377" s="60"/>
      <c r="J1377" s="64"/>
      <c r="K1377" s="64"/>
      <c r="L1377" s="55"/>
      <c r="M1377" s="55"/>
      <c r="N1377" s="55"/>
      <c r="O1377" s="55"/>
      <c r="P1377" s="55"/>
      <c r="Q1377" s="55"/>
      <c r="R1377" s="56"/>
      <c r="S1377" s="57"/>
      <c r="T1377" s="60"/>
    </row>
    <row r="1378">
      <c r="A1378" s="55"/>
      <c r="B1378" s="55"/>
      <c r="C1378" s="55"/>
      <c r="D1378" s="56"/>
      <c r="E1378" s="57"/>
      <c r="F1378" s="58"/>
      <c r="G1378" s="60"/>
      <c r="H1378" s="63"/>
      <c r="I1378" s="60"/>
      <c r="J1378" s="64"/>
      <c r="K1378" s="64"/>
      <c r="L1378" s="55"/>
      <c r="M1378" s="55"/>
      <c r="N1378" s="55"/>
      <c r="O1378" s="55"/>
      <c r="P1378" s="55"/>
      <c r="Q1378" s="55"/>
      <c r="R1378" s="56"/>
      <c r="S1378" s="57"/>
      <c r="T1378" s="60"/>
    </row>
    <row r="1379">
      <c r="A1379" s="55"/>
      <c r="B1379" s="55"/>
      <c r="C1379" s="55"/>
      <c r="D1379" s="56"/>
      <c r="E1379" s="57"/>
      <c r="F1379" s="58"/>
      <c r="G1379" s="60"/>
      <c r="H1379" s="63"/>
      <c r="I1379" s="60"/>
      <c r="J1379" s="64"/>
      <c r="K1379" s="64"/>
      <c r="L1379" s="55"/>
      <c r="M1379" s="55"/>
      <c r="N1379" s="55"/>
      <c r="O1379" s="55"/>
      <c r="P1379" s="55"/>
      <c r="Q1379" s="55"/>
      <c r="R1379" s="56"/>
      <c r="S1379" s="57"/>
      <c r="T1379" s="60"/>
    </row>
    <row r="1380">
      <c r="A1380" s="55"/>
      <c r="B1380" s="55"/>
      <c r="C1380" s="55"/>
      <c r="D1380" s="56"/>
      <c r="E1380" s="57"/>
      <c r="F1380" s="58"/>
      <c r="G1380" s="60"/>
      <c r="H1380" s="63"/>
      <c r="I1380" s="60"/>
      <c r="J1380" s="64"/>
      <c r="K1380" s="64"/>
      <c r="L1380" s="55"/>
      <c r="M1380" s="55"/>
      <c r="N1380" s="55"/>
      <c r="O1380" s="55"/>
      <c r="P1380" s="55"/>
      <c r="Q1380" s="55"/>
      <c r="R1380" s="56"/>
      <c r="S1380" s="57"/>
      <c r="T1380" s="60"/>
    </row>
    <row r="1381">
      <c r="A1381" s="55"/>
      <c r="B1381" s="55"/>
      <c r="C1381" s="55"/>
      <c r="D1381" s="56"/>
      <c r="E1381" s="57"/>
      <c r="F1381" s="58"/>
      <c r="G1381" s="60"/>
      <c r="H1381" s="63"/>
      <c r="I1381" s="60"/>
      <c r="J1381" s="64"/>
      <c r="K1381" s="64"/>
      <c r="L1381" s="55"/>
      <c r="M1381" s="55"/>
      <c r="N1381" s="55"/>
      <c r="O1381" s="55"/>
      <c r="P1381" s="55"/>
      <c r="Q1381" s="55"/>
      <c r="R1381" s="56"/>
      <c r="S1381" s="57"/>
      <c r="T1381" s="60"/>
    </row>
    <row r="1382">
      <c r="A1382" s="55"/>
      <c r="B1382" s="55"/>
      <c r="C1382" s="55"/>
      <c r="D1382" s="56"/>
      <c r="E1382" s="57"/>
      <c r="F1382" s="58"/>
      <c r="G1382" s="60"/>
      <c r="H1382" s="63"/>
      <c r="I1382" s="60"/>
      <c r="J1382" s="64"/>
      <c r="K1382" s="64"/>
      <c r="L1382" s="55"/>
      <c r="M1382" s="55"/>
      <c r="N1382" s="55"/>
      <c r="O1382" s="55"/>
      <c r="P1382" s="55"/>
      <c r="Q1382" s="55"/>
      <c r="R1382" s="56"/>
      <c r="S1382" s="57"/>
      <c r="T1382" s="60"/>
    </row>
    <row r="1383">
      <c r="A1383" s="55"/>
      <c r="B1383" s="55"/>
      <c r="C1383" s="55"/>
      <c r="D1383" s="56"/>
      <c r="E1383" s="57"/>
      <c r="F1383" s="58"/>
      <c r="G1383" s="60"/>
      <c r="H1383" s="63"/>
      <c r="I1383" s="60"/>
      <c r="J1383" s="64"/>
      <c r="K1383" s="64"/>
      <c r="L1383" s="55"/>
      <c r="M1383" s="55"/>
      <c r="N1383" s="55"/>
      <c r="O1383" s="55"/>
      <c r="P1383" s="55"/>
      <c r="Q1383" s="55"/>
      <c r="R1383" s="56"/>
      <c r="S1383" s="57"/>
      <c r="T1383" s="60"/>
    </row>
    <row r="1384">
      <c r="A1384" s="55"/>
      <c r="B1384" s="55"/>
      <c r="C1384" s="55"/>
      <c r="D1384" s="56"/>
      <c r="E1384" s="57"/>
      <c r="F1384" s="58"/>
      <c r="G1384" s="60"/>
      <c r="H1384" s="63"/>
      <c r="I1384" s="60"/>
      <c r="J1384" s="64"/>
      <c r="K1384" s="64"/>
      <c r="L1384" s="55"/>
      <c r="M1384" s="55"/>
      <c r="N1384" s="55"/>
      <c r="O1384" s="55"/>
      <c r="P1384" s="55"/>
      <c r="Q1384" s="55"/>
      <c r="R1384" s="56"/>
      <c r="S1384" s="57"/>
      <c r="T1384" s="60"/>
    </row>
    <row r="1385">
      <c r="A1385" s="55"/>
      <c r="B1385" s="55"/>
      <c r="C1385" s="55"/>
      <c r="D1385" s="56"/>
      <c r="E1385" s="57"/>
      <c r="F1385" s="58"/>
      <c r="G1385" s="60"/>
      <c r="H1385" s="63"/>
      <c r="I1385" s="60"/>
      <c r="J1385" s="64"/>
      <c r="K1385" s="64"/>
      <c r="L1385" s="55"/>
      <c r="M1385" s="55"/>
      <c r="N1385" s="55"/>
      <c r="O1385" s="55"/>
      <c r="P1385" s="55"/>
      <c r="Q1385" s="55"/>
      <c r="R1385" s="56"/>
      <c r="S1385" s="57"/>
      <c r="T1385" s="60"/>
    </row>
    <row r="1386">
      <c r="A1386" s="55"/>
      <c r="B1386" s="55"/>
      <c r="C1386" s="55"/>
      <c r="D1386" s="56"/>
      <c r="E1386" s="57"/>
      <c r="F1386" s="58"/>
      <c r="G1386" s="60"/>
      <c r="H1386" s="63"/>
      <c r="I1386" s="60"/>
      <c r="J1386" s="64"/>
      <c r="K1386" s="64"/>
      <c r="L1386" s="55"/>
      <c r="M1386" s="55"/>
      <c r="N1386" s="55"/>
      <c r="O1386" s="55"/>
      <c r="P1386" s="55"/>
      <c r="Q1386" s="55"/>
      <c r="R1386" s="56"/>
      <c r="S1386" s="57"/>
      <c r="T1386" s="60"/>
    </row>
    <row r="1387">
      <c r="A1387" s="55"/>
      <c r="B1387" s="55"/>
      <c r="C1387" s="55"/>
      <c r="D1387" s="56"/>
      <c r="E1387" s="57"/>
      <c r="F1387" s="58"/>
      <c r="G1387" s="60"/>
      <c r="H1387" s="63"/>
      <c r="I1387" s="60"/>
      <c r="J1387" s="64"/>
      <c r="K1387" s="64"/>
      <c r="L1387" s="55"/>
      <c r="M1387" s="55"/>
      <c r="N1387" s="55"/>
      <c r="O1387" s="55"/>
      <c r="P1387" s="55"/>
      <c r="Q1387" s="55"/>
      <c r="R1387" s="56"/>
      <c r="S1387" s="57"/>
      <c r="T1387" s="60"/>
    </row>
    <row r="1388">
      <c r="A1388" s="55"/>
      <c r="B1388" s="55"/>
      <c r="C1388" s="55"/>
      <c r="D1388" s="56"/>
      <c r="E1388" s="57"/>
      <c r="F1388" s="58"/>
      <c r="G1388" s="60"/>
      <c r="H1388" s="63"/>
      <c r="I1388" s="60"/>
      <c r="J1388" s="64"/>
      <c r="K1388" s="64"/>
      <c r="L1388" s="55"/>
      <c r="M1388" s="55"/>
      <c r="N1388" s="55"/>
      <c r="O1388" s="55"/>
      <c r="P1388" s="55"/>
      <c r="Q1388" s="55"/>
      <c r="R1388" s="56"/>
      <c r="S1388" s="57"/>
      <c r="T1388" s="60"/>
    </row>
    <row r="1389">
      <c r="A1389" s="55"/>
      <c r="B1389" s="55"/>
      <c r="C1389" s="55"/>
      <c r="D1389" s="56"/>
      <c r="E1389" s="57"/>
      <c r="F1389" s="58"/>
      <c r="G1389" s="60"/>
      <c r="H1389" s="63"/>
      <c r="I1389" s="60"/>
      <c r="J1389" s="64"/>
      <c r="K1389" s="64"/>
      <c r="L1389" s="55"/>
      <c r="M1389" s="55"/>
      <c r="N1389" s="55"/>
      <c r="O1389" s="55"/>
      <c r="P1389" s="55"/>
      <c r="Q1389" s="55"/>
      <c r="R1389" s="56"/>
      <c r="S1389" s="57"/>
      <c r="T1389" s="60"/>
    </row>
    <row r="1390">
      <c r="A1390" s="55"/>
      <c r="B1390" s="55"/>
      <c r="C1390" s="55"/>
      <c r="D1390" s="56"/>
      <c r="E1390" s="57"/>
      <c r="F1390" s="58"/>
      <c r="G1390" s="60"/>
      <c r="H1390" s="63"/>
      <c r="I1390" s="60"/>
      <c r="J1390" s="64"/>
      <c r="K1390" s="64"/>
      <c r="L1390" s="55"/>
      <c r="M1390" s="55"/>
      <c r="N1390" s="55"/>
      <c r="O1390" s="55"/>
      <c r="P1390" s="55"/>
      <c r="Q1390" s="55"/>
      <c r="R1390" s="56"/>
      <c r="S1390" s="57"/>
      <c r="T1390" s="60"/>
    </row>
    <row r="1391">
      <c r="A1391" s="55"/>
      <c r="B1391" s="55"/>
      <c r="C1391" s="55"/>
      <c r="D1391" s="56"/>
      <c r="E1391" s="57"/>
      <c r="F1391" s="58"/>
      <c r="G1391" s="60"/>
      <c r="H1391" s="63"/>
      <c r="I1391" s="60"/>
      <c r="J1391" s="64"/>
      <c r="K1391" s="64"/>
      <c r="L1391" s="55"/>
      <c r="M1391" s="55"/>
      <c r="N1391" s="55"/>
      <c r="O1391" s="55"/>
      <c r="P1391" s="55"/>
      <c r="Q1391" s="55"/>
      <c r="R1391" s="56"/>
      <c r="S1391" s="57"/>
      <c r="T1391" s="60"/>
    </row>
    <row r="1392">
      <c r="A1392" s="55"/>
      <c r="B1392" s="55"/>
      <c r="C1392" s="55"/>
      <c r="D1392" s="56"/>
      <c r="E1392" s="57"/>
      <c r="F1392" s="58"/>
      <c r="G1392" s="60"/>
      <c r="H1392" s="63"/>
      <c r="I1392" s="60"/>
      <c r="J1392" s="64"/>
      <c r="K1392" s="64"/>
      <c r="L1392" s="55"/>
      <c r="M1392" s="55"/>
      <c r="N1392" s="55"/>
      <c r="O1392" s="55"/>
      <c r="P1392" s="55"/>
      <c r="Q1392" s="55"/>
      <c r="R1392" s="56"/>
      <c r="S1392" s="57"/>
      <c r="T1392" s="60"/>
    </row>
    <row r="1393">
      <c r="A1393" s="55"/>
      <c r="B1393" s="55"/>
      <c r="C1393" s="55"/>
      <c r="D1393" s="56"/>
      <c r="E1393" s="57"/>
      <c r="F1393" s="58"/>
      <c r="G1393" s="60"/>
      <c r="H1393" s="63"/>
      <c r="I1393" s="60"/>
      <c r="J1393" s="64"/>
      <c r="K1393" s="64"/>
      <c r="L1393" s="55"/>
      <c r="M1393" s="55"/>
      <c r="N1393" s="55"/>
      <c r="O1393" s="55"/>
      <c r="P1393" s="55"/>
      <c r="Q1393" s="55"/>
      <c r="R1393" s="56"/>
      <c r="S1393" s="57"/>
      <c r="T1393" s="60"/>
    </row>
    <row r="1394">
      <c r="A1394" s="55"/>
      <c r="B1394" s="55"/>
      <c r="C1394" s="55"/>
      <c r="D1394" s="56"/>
      <c r="E1394" s="57"/>
      <c r="F1394" s="58"/>
      <c r="G1394" s="60"/>
      <c r="H1394" s="63"/>
      <c r="I1394" s="60"/>
      <c r="J1394" s="64"/>
      <c r="K1394" s="64"/>
      <c r="L1394" s="55"/>
      <c r="M1394" s="55"/>
      <c r="N1394" s="55"/>
      <c r="O1394" s="55"/>
      <c r="P1394" s="55"/>
      <c r="Q1394" s="55"/>
      <c r="R1394" s="56"/>
      <c r="S1394" s="57"/>
      <c r="T1394" s="60"/>
    </row>
    <row r="1395">
      <c r="A1395" s="55"/>
      <c r="B1395" s="55"/>
      <c r="C1395" s="55"/>
      <c r="D1395" s="56"/>
      <c r="E1395" s="57"/>
      <c r="F1395" s="58"/>
      <c r="G1395" s="60"/>
      <c r="H1395" s="63"/>
      <c r="I1395" s="60"/>
      <c r="J1395" s="64"/>
      <c r="K1395" s="64"/>
      <c r="L1395" s="55"/>
      <c r="M1395" s="55"/>
      <c r="N1395" s="55"/>
      <c r="O1395" s="55"/>
      <c r="P1395" s="55"/>
      <c r="Q1395" s="55"/>
      <c r="R1395" s="56"/>
      <c r="S1395" s="57"/>
      <c r="T1395" s="60"/>
    </row>
    <row r="1396">
      <c r="A1396" s="55"/>
      <c r="B1396" s="55"/>
      <c r="C1396" s="55"/>
      <c r="D1396" s="56"/>
      <c r="E1396" s="57"/>
      <c r="F1396" s="58"/>
      <c r="G1396" s="60"/>
      <c r="H1396" s="63"/>
      <c r="I1396" s="60"/>
      <c r="J1396" s="64"/>
      <c r="K1396" s="64"/>
      <c r="L1396" s="55"/>
      <c r="M1396" s="55"/>
      <c r="N1396" s="55"/>
      <c r="O1396" s="55"/>
      <c r="P1396" s="55"/>
      <c r="Q1396" s="55"/>
      <c r="R1396" s="56"/>
      <c r="S1396" s="57"/>
      <c r="T1396" s="60"/>
    </row>
    <row r="1397">
      <c r="A1397" s="55"/>
      <c r="B1397" s="55"/>
      <c r="C1397" s="55"/>
      <c r="D1397" s="56"/>
      <c r="E1397" s="57"/>
      <c r="F1397" s="58"/>
      <c r="G1397" s="60"/>
      <c r="H1397" s="63"/>
      <c r="I1397" s="60"/>
      <c r="J1397" s="64"/>
      <c r="K1397" s="64"/>
      <c r="L1397" s="55"/>
      <c r="M1397" s="55"/>
      <c r="N1397" s="55"/>
      <c r="O1397" s="55"/>
      <c r="P1397" s="55"/>
      <c r="Q1397" s="55"/>
      <c r="R1397" s="56"/>
      <c r="S1397" s="57"/>
      <c r="T1397" s="60"/>
    </row>
    <row r="1398">
      <c r="A1398" s="55"/>
      <c r="B1398" s="55"/>
      <c r="C1398" s="55"/>
      <c r="D1398" s="56"/>
      <c r="E1398" s="57"/>
      <c r="F1398" s="58"/>
      <c r="G1398" s="60"/>
      <c r="H1398" s="63"/>
      <c r="I1398" s="60"/>
      <c r="J1398" s="64"/>
      <c r="K1398" s="64"/>
      <c r="L1398" s="55"/>
      <c r="M1398" s="55"/>
      <c r="N1398" s="55"/>
      <c r="O1398" s="55"/>
      <c r="P1398" s="55"/>
      <c r="Q1398" s="55"/>
      <c r="R1398" s="56"/>
      <c r="S1398" s="57"/>
      <c r="T1398" s="60"/>
    </row>
    <row r="1399">
      <c r="A1399" s="55"/>
      <c r="B1399" s="55"/>
      <c r="C1399" s="55"/>
      <c r="D1399" s="56"/>
      <c r="E1399" s="57"/>
      <c r="F1399" s="58"/>
      <c r="G1399" s="60"/>
      <c r="H1399" s="63"/>
      <c r="I1399" s="60"/>
      <c r="J1399" s="64"/>
      <c r="K1399" s="64"/>
      <c r="L1399" s="55"/>
      <c r="M1399" s="55"/>
      <c r="N1399" s="55"/>
      <c r="O1399" s="55"/>
      <c r="P1399" s="55"/>
      <c r="Q1399" s="55"/>
      <c r="R1399" s="56"/>
      <c r="S1399" s="57"/>
      <c r="T1399" s="60"/>
    </row>
    <row r="1400">
      <c r="A1400" s="55"/>
      <c r="B1400" s="55"/>
      <c r="C1400" s="55"/>
      <c r="D1400" s="56"/>
      <c r="E1400" s="57"/>
      <c r="F1400" s="58"/>
      <c r="G1400" s="60"/>
      <c r="H1400" s="63"/>
      <c r="I1400" s="60"/>
      <c r="J1400" s="64"/>
      <c r="K1400" s="64"/>
      <c r="L1400" s="55"/>
      <c r="M1400" s="55"/>
      <c r="N1400" s="55"/>
      <c r="O1400" s="55"/>
      <c r="P1400" s="55"/>
      <c r="Q1400" s="55"/>
      <c r="R1400" s="56"/>
      <c r="S1400" s="57"/>
      <c r="T1400" s="60"/>
    </row>
    <row r="1401">
      <c r="A1401" s="55"/>
      <c r="B1401" s="55"/>
      <c r="C1401" s="55"/>
      <c r="D1401" s="56"/>
      <c r="E1401" s="57"/>
      <c r="F1401" s="58"/>
      <c r="G1401" s="60"/>
      <c r="H1401" s="63"/>
      <c r="I1401" s="60"/>
      <c r="J1401" s="64"/>
      <c r="K1401" s="64"/>
      <c r="L1401" s="55"/>
      <c r="M1401" s="55"/>
      <c r="N1401" s="55"/>
      <c r="O1401" s="55"/>
      <c r="P1401" s="55"/>
      <c r="Q1401" s="55"/>
      <c r="R1401" s="56"/>
      <c r="S1401" s="57"/>
      <c r="T1401" s="60"/>
    </row>
    <row r="1402">
      <c r="A1402" s="55"/>
      <c r="B1402" s="55"/>
      <c r="C1402" s="55"/>
      <c r="D1402" s="56"/>
      <c r="E1402" s="57"/>
      <c r="F1402" s="58"/>
      <c r="G1402" s="60"/>
      <c r="H1402" s="63"/>
      <c r="I1402" s="60"/>
      <c r="J1402" s="64"/>
      <c r="K1402" s="64"/>
      <c r="L1402" s="55"/>
      <c r="M1402" s="55"/>
      <c r="N1402" s="55"/>
      <c r="O1402" s="55"/>
      <c r="P1402" s="55"/>
      <c r="Q1402" s="55"/>
      <c r="R1402" s="56"/>
      <c r="S1402" s="57"/>
      <c r="T1402" s="60"/>
    </row>
    <row r="1403">
      <c r="A1403" s="55"/>
      <c r="B1403" s="55"/>
      <c r="C1403" s="55"/>
      <c r="D1403" s="56"/>
      <c r="E1403" s="57"/>
      <c r="F1403" s="58"/>
      <c r="G1403" s="60"/>
      <c r="H1403" s="63"/>
      <c r="I1403" s="60"/>
      <c r="J1403" s="64"/>
      <c r="K1403" s="64"/>
      <c r="L1403" s="55"/>
      <c r="M1403" s="55"/>
      <c r="N1403" s="55"/>
      <c r="O1403" s="55"/>
      <c r="P1403" s="55"/>
      <c r="Q1403" s="55"/>
      <c r="R1403" s="56"/>
      <c r="S1403" s="57"/>
      <c r="T1403" s="60"/>
    </row>
    <row r="1404">
      <c r="A1404" s="55"/>
      <c r="B1404" s="55"/>
      <c r="C1404" s="55"/>
      <c r="D1404" s="56"/>
      <c r="E1404" s="57"/>
      <c r="F1404" s="58"/>
      <c r="G1404" s="60"/>
      <c r="H1404" s="63"/>
      <c r="I1404" s="60"/>
      <c r="J1404" s="64"/>
      <c r="K1404" s="64"/>
      <c r="L1404" s="55"/>
      <c r="M1404" s="55"/>
      <c r="N1404" s="55"/>
      <c r="O1404" s="55"/>
      <c r="P1404" s="55"/>
      <c r="Q1404" s="55"/>
      <c r="R1404" s="56"/>
      <c r="S1404" s="57"/>
      <c r="T1404" s="60"/>
    </row>
    <row r="1405">
      <c r="A1405" s="55"/>
      <c r="B1405" s="55"/>
      <c r="C1405" s="55"/>
      <c r="D1405" s="56"/>
      <c r="E1405" s="57"/>
      <c r="F1405" s="58"/>
      <c r="G1405" s="60"/>
      <c r="H1405" s="63"/>
      <c r="I1405" s="60"/>
      <c r="J1405" s="64"/>
      <c r="K1405" s="64"/>
      <c r="L1405" s="55"/>
      <c r="M1405" s="55"/>
      <c r="N1405" s="55"/>
      <c r="O1405" s="55"/>
      <c r="P1405" s="55"/>
      <c r="Q1405" s="55"/>
      <c r="R1405" s="56"/>
      <c r="S1405" s="57"/>
      <c r="T1405" s="60"/>
    </row>
    <row r="1406">
      <c r="A1406" s="55"/>
      <c r="B1406" s="55"/>
      <c r="C1406" s="55"/>
      <c r="D1406" s="56"/>
      <c r="E1406" s="57"/>
      <c r="F1406" s="58"/>
      <c r="G1406" s="60"/>
      <c r="H1406" s="63"/>
      <c r="I1406" s="60"/>
      <c r="J1406" s="64"/>
      <c r="K1406" s="64"/>
      <c r="L1406" s="55"/>
      <c r="M1406" s="55"/>
      <c r="N1406" s="55"/>
      <c r="O1406" s="55"/>
      <c r="P1406" s="55"/>
      <c r="Q1406" s="55"/>
      <c r="R1406" s="56"/>
      <c r="S1406" s="57"/>
      <c r="T1406" s="60"/>
    </row>
    <row r="1407">
      <c r="A1407" s="55"/>
      <c r="B1407" s="55"/>
      <c r="C1407" s="55"/>
      <c r="D1407" s="56"/>
      <c r="E1407" s="57"/>
      <c r="F1407" s="58"/>
      <c r="G1407" s="60"/>
      <c r="H1407" s="63"/>
      <c r="I1407" s="60"/>
      <c r="J1407" s="64"/>
      <c r="K1407" s="64"/>
      <c r="L1407" s="55"/>
      <c r="M1407" s="55"/>
      <c r="N1407" s="55"/>
      <c r="O1407" s="55"/>
      <c r="P1407" s="55"/>
      <c r="Q1407" s="55"/>
      <c r="R1407" s="56"/>
      <c r="S1407" s="57"/>
      <c r="T1407" s="60"/>
    </row>
    <row r="1408">
      <c r="A1408" s="55"/>
      <c r="B1408" s="55"/>
      <c r="C1408" s="55"/>
      <c r="D1408" s="56"/>
      <c r="E1408" s="57"/>
      <c r="F1408" s="58"/>
      <c r="G1408" s="60"/>
      <c r="H1408" s="63"/>
      <c r="I1408" s="60"/>
      <c r="J1408" s="64"/>
      <c r="K1408" s="64"/>
      <c r="L1408" s="55"/>
      <c r="M1408" s="55"/>
      <c r="N1408" s="55"/>
      <c r="O1408" s="55"/>
      <c r="P1408" s="55"/>
      <c r="Q1408" s="55"/>
      <c r="R1408" s="56"/>
      <c r="S1408" s="57"/>
      <c r="T1408" s="60"/>
    </row>
    <row r="1409">
      <c r="A1409" s="55"/>
      <c r="B1409" s="55"/>
      <c r="C1409" s="55"/>
      <c r="D1409" s="56"/>
      <c r="E1409" s="57"/>
      <c r="F1409" s="58"/>
      <c r="G1409" s="60"/>
      <c r="H1409" s="63"/>
      <c r="I1409" s="60"/>
      <c r="J1409" s="64"/>
      <c r="K1409" s="64"/>
      <c r="L1409" s="55"/>
      <c r="M1409" s="55"/>
      <c r="N1409" s="55"/>
      <c r="O1409" s="55"/>
      <c r="P1409" s="55"/>
      <c r="Q1409" s="55"/>
      <c r="R1409" s="56"/>
      <c r="S1409" s="57"/>
      <c r="T1409" s="60"/>
    </row>
    <row r="1410">
      <c r="A1410" s="55"/>
      <c r="B1410" s="55"/>
      <c r="C1410" s="55"/>
      <c r="D1410" s="56"/>
      <c r="E1410" s="57"/>
      <c r="F1410" s="58"/>
      <c r="G1410" s="60"/>
      <c r="H1410" s="63"/>
      <c r="I1410" s="60"/>
      <c r="J1410" s="64"/>
      <c r="K1410" s="64"/>
      <c r="L1410" s="55"/>
      <c r="M1410" s="55"/>
      <c r="N1410" s="55"/>
      <c r="O1410" s="55"/>
      <c r="P1410" s="55"/>
      <c r="Q1410" s="55"/>
      <c r="R1410" s="56"/>
      <c r="S1410" s="57"/>
      <c r="T1410" s="60"/>
    </row>
    <row r="1411">
      <c r="A1411" s="55"/>
      <c r="B1411" s="55"/>
      <c r="C1411" s="55"/>
      <c r="D1411" s="56"/>
      <c r="E1411" s="57"/>
      <c r="F1411" s="58"/>
      <c r="G1411" s="60"/>
      <c r="H1411" s="63"/>
      <c r="I1411" s="60"/>
      <c r="J1411" s="64"/>
      <c r="K1411" s="64"/>
      <c r="L1411" s="55"/>
      <c r="M1411" s="55"/>
      <c r="N1411" s="55"/>
      <c r="O1411" s="55"/>
      <c r="P1411" s="55"/>
      <c r="Q1411" s="55"/>
      <c r="R1411" s="56"/>
      <c r="S1411" s="57"/>
      <c r="T1411" s="60"/>
    </row>
    <row r="1412">
      <c r="A1412" s="55"/>
      <c r="B1412" s="55"/>
      <c r="C1412" s="55"/>
      <c r="D1412" s="56"/>
      <c r="E1412" s="57"/>
      <c r="F1412" s="58"/>
      <c r="G1412" s="60"/>
      <c r="H1412" s="63"/>
      <c r="I1412" s="60"/>
      <c r="J1412" s="64"/>
      <c r="K1412" s="64"/>
      <c r="L1412" s="55"/>
      <c r="M1412" s="55"/>
      <c r="N1412" s="55"/>
      <c r="O1412" s="55"/>
      <c r="P1412" s="55"/>
      <c r="Q1412" s="55"/>
      <c r="R1412" s="56"/>
      <c r="S1412" s="57"/>
      <c r="T1412" s="60"/>
    </row>
    <row r="1413">
      <c r="A1413" s="55"/>
      <c r="B1413" s="55"/>
      <c r="C1413" s="55"/>
      <c r="D1413" s="56"/>
      <c r="E1413" s="57"/>
      <c r="F1413" s="58"/>
      <c r="G1413" s="60"/>
      <c r="H1413" s="63"/>
      <c r="I1413" s="60"/>
      <c r="J1413" s="64"/>
      <c r="K1413" s="64"/>
      <c r="L1413" s="55"/>
      <c r="M1413" s="55"/>
      <c r="N1413" s="55"/>
      <c r="O1413" s="55"/>
      <c r="P1413" s="55"/>
      <c r="Q1413" s="55"/>
      <c r="R1413" s="56"/>
      <c r="S1413" s="57"/>
      <c r="T1413" s="60"/>
    </row>
    <row r="1414">
      <c r="A1414" s="55"/>
      <c r="B1414" s="55"/>
      <c r="C1414" s="55"/>
      <c r="D1414" s="56"/>
      <c r="E1414" s="57"/>
      <c r="F1414" s="58"/>
      <c r="G1414" s="60"/>
      <c r="H1414" s="63"/>
      <c r="I1414" s="60"/>
      <c r="J1414" s="64"/>
      <c r="K1414" s="64"/>
      <c r="L1414" s="55"/>
      <c r="M1414" s="55"/>
      <c r="N1414" s="55"/>
      <c r="O1414" s="55"/>
      <c r="P1414" s="55"/>
      <c r="Q1414" s="55"/>
      <c r="R1414" s="56"/>
      <c r="S1414" s="57"/>
      <c r="T1414" s="60"/>
    </row>
    <row r="1415">
      <c r="A1415" s="55"/>
      <c r="B1415" s="55"/>
      <c r="C1415" s="55"/>
      <c r="D1415" s="56"/>
      <c r="E1415" s="57"/>
      <c r="F1415" s="58"/>
      <c r="G1415" s="60"/>
      <c r="H1415" s="63"/>
      <c r="I1415" s="60"/>
      <c r="J1415" s="64"/>
      <c r="K1415" s="64"/>
      <c r="L1415" s="55"/>
      <c r="M1415" s="55"/>
      <c r="N1415" s="55"/>
      <c r="O1415" s="55"/>
      <c r="P1415" s="55"/>
      <c r="Q1415" s="55"/>
      <c r="R1415" s="56"/>
      <c r="S1415" s="57"/>
      <c r="T1415" s="60"/>
    </row>
    <row r="1416">
      <c r="A1416" s="55"/>
      <c r="B1416" s="55"/>
      <c r="C1416" s="55"/>
      <c r="D1416" s="56"/>
      <c r="E1416" s="57"/>
      <c r="F1416" s="58"/>
      <c r="G1416" s="60"/>
      <c r="H1416" s="63"/>
      <c r="I1416" s="60"/>
      <c r="J1416" s="64"/>
      <c r="K1416" s="64"/>
      <c r="L1416" s="55"/>
      <c r="M1416" s="55"/>
      <c r="N1416" s="55"/>
      <c r="O1416" s="55"/>
      <c r="P1416" s="55"/>
      <c r="Q1416" s="55"/>
      <c r="R1416" s="56"/>
      <c r="S1416" s="57"/>
      <c r="T1416" s="60"/>
    </row>
    <row r="1417">
      <c r="A1417" s="55"/>
      <c r="B1417" s="55"/>
      <c r="C1417" s="55"/>
      <c r="D1417" s="56"/>
      <c r="E1417" s="57"/>
      <c r="F1417" s="58"/>
      <c r="G1417" s="60"/>
      <c r="H1417" s="63"/>
      <c r="I1417" s="60"/>
      <c r="J1417" s="64"/>
      <c r="K1417" s="64"/>
      <c r="L1417" s="55"/>
      <c r="M1417" s="55"/>
      <c r="N1417" s="55"/>
      <c r="O1417" s="55"/>
      <c r="P1417" s="55"/>
      <c r="Q1417" s="55"/>
      <c r="R1417" s="56"/>
      <c r="S1417" s="57"/>
      <c r="T1417" s="60"/>
    </row>
    <row r="1418">
      <c r="A1418" s="55"/>
      <c r="B1418" s="55"/>
      <c r="C1418" s="55"/>
      <c r="D1418" s="56"/>
      <c r="E1418" s="57"/>
      <c r="F1418" s="58"/>
      <c r="G1418" s="60"/>
      <c r="H1418" s="63"/>
      <c r="I1418" s="60"/>
      <c r="J1418" s="64"/>
      <c r="K1418" s="64"/>
      <c r="L1418" s="55"/>
      <c r="M1418" s="55"/>
      <c r="N1418" s="55"/>
      <c r="O1418" s="55"/>
      <c r="P1418" s="55"/>
      <c r="Q1418" s="55"/>
      <c r="R1418" s="56"/>
      <c r="S1418" s="57"/>
      <c r="T1418" s="60"/>
    </row>
    <row r="1419">
      <c r="A1419" s="55"/>
      <c r="B1419" s="55"/>
      <c r="C1419" s="55"/>
      <c r="D1419" s="56"/>
      <c r="E1419" s="57"/>
      <c r="F1419" s="58"/>
      <c r="G1419" s="60"/>
      <c r="H1419" s="63"/>
      <c r="I1419" s="60"/>
      <c r="J1419" s="64"/>
      <c r="K1419" s="64"/>
      <c r="L1419" s="55"/>
      <c r="M1419" s="55"/>
      <c r="N1419" s="55"/>
      <c r="O1419" s="55"/>
      <c r="P1419" s="55"/>
      <c r="Q1419" s="55"/>
      <c r="R1419" s="56"/>
      <c r="S1419" s="57"/>
      <c r="T1419" s="60"/>
    </row>
    <row r="1420">
      <c r="A1420" s="55"/>
      <c r="B1420" s="55"/>
      <c r="C1420" s="55"/>
      <c r="D1420" s="56"/>
      <c r="E1420" s="57"/>
      <c r="F1420" s="58"/>
      <c r="G1420" s="60"/>
      <c r="H1420" s="63"/>
      <c r="I1420" s="60"/>
      <c r="J1420" s="64"/>
      <c r="K1420" s="64"/>
      <c r="L1420" s="55"/>
      <c r="M1420" s="55"/>
      <c r="N1420" s="55"/>
      <c r="O1420" s="55"/>
      <c r="P1420" s="55"/>
      <c r="Q1420" s="55"/>
      <c r="R1420" s="56"/>
      <c r="S1420" s="57"/>
      <c r="T1420" s="60"/>
    </row>
    <row r="1421">
      <c r="A1421" s="55"/>
      <c r="B1421" s="55"/>
      <c r="C1421" s="55"/>
      <c r="D1421" s="56"/>
      <c r="E1421" s="57"/>
      <c r="F1421" s="58"/>
      <c r="G1421" s="60"/>
      <c r="H1421" s="63"/>
      <c r="I1421" s="60"/>
      <c r="J1421" s="64"/>
      <c r="K1421" s="64"/>
      <c r="L1421" s="55"/>
      <c r="M1421" s="55"/>
      <c r="N1421" s="55"/>
      <c r="O1421" s="55"/>
      <c r="P1421" s="55"/>
      <c r="Q1421" s="55"/>
      <c r="R1421" s="56"/>
      <c r="S1421" s="57"/>
      <c r="T1421" s="60"/>
    </row>
    <row r="1422">
      <c r="A1422" s="55"/>
      <c r="B1422" s="55"/>
      <c r="C1422" s="55"/>
      <c r="D1422" s="56"/>
      <c r="E1422" s="57"/>
      <c r="F1422" s="58"/>
      <c r="G1422" s="60"/>
      <c r="H1422" s="63"/>
      <c r="I1422" s="60"/>
      <c r="J1422" s="64"/>
      <c r="K1422" s="64"/>
      <c r="L1422" s="55"/>
      <c r="M1422" s="55"/>
      <c r="N1422" s="55"/>
      <c r="O1422" s="55"/>
      <c r="P1422" s="55"/>
      <c r="Q1422" s="55"/>
      <c r="R1422" s="56"/>
      <c r="S1422" s="57"/>
      <c r="T1422" s="60"/>
    </row>
    <row r="1423">
      <c r="A1423" s="55"/>
      <c r="B1423" s="55"/>
      <c r="C1423" s="55"/>
      <c r="D1423" s="56"/>
      <c r="E1423" s="57"/>
      <c r="F1423" s="58"/>
      <c r="G1423" s="60"/>
      <c r="H1423" s="63"/>
      <c r="I1423" s="60"/>
      <c r="J1423" s="64"/>
      <c r="K1423" s="64"/>
      <c r="L1423" s="55"/>
      <c r="M1423" s="55"/>
      <c r="N1423" s="55"/>
      <c r="O1423" s="55"/>
      <c r="P1423" s="55"/>
      <c r="Q1423" s="55"/>
      <c r="R1423" s="56"/>
      <c r="S1423" s="57"/>
      <c r="T1423" s="60"/>
    </row>
    <row r="1424">
      <c r="A1424" s="55"/>
      <c r="B1424" s="55"/>
      <c r="C1424" s="55"/>
      <c r="D1424" s="56"/>
      <c r="E1424" s="57"/>
      <c r="F1424" s="58"/>
      <c r="G1424" s="60"/>
      <c r="H1424" s="63"/>
      <c r="I1424" s="60"/>
      <c r="J1424" s="64"/>
      <c r="K1424" s="64"/>
      <c r="L1424" s="55"/>
      <c r="M1424" s="55"/>
      <c r="N1424" s="55"/>
      <c r="O1424" s="55"/>
      <c r="P1424" s="55"/>
      <c r="Q1424" s="55"/>
      <c r="R1424" s="56"/>
      <c r="S1424" s="57"/>
      <c r="T1424" s="60"/>
    </row>
    <row r="1425">
      <c r="A1425" s="55"/>
      <c r="B1425" s="55"/>
      <c r="C1425" s="55"/>
      <c r="D1425" s="56"/>
      <c r="E1425" s="57"/>
      <c r="F1425" s="58"/>
      <c r="G1425" s="60"/>
      <c r="H1425" s="63"/>
      <c r="I1425" s="60"/>
      <c r="J1425" s="64"/>
      <c r="K1425" s="64"/>
      <c r="L1425" s="55"/>
      <c r="M1425" s="55"/>
      <c r="N1425" s="55"/>
      <c r="O1425" s="55"/>
      <c r="P1425" s="55"/>
      <c r="Q1425" s="55"/>
      <c r="R1425" s="56"/>
      <c r="S1425" s="57"/>
      <c r="T1425" s="60"/>
    </row>
    <row r="1426">
      <c r="A1426" s="55"/>
      <c r="B1426" s="55"/>
      <c r="C1426" s="55"/>
      <c r="D1426" s="56"/>
      <c r="E1426" s="57"/>
      <c r="F1426" s="58"/>
      <c r="G1426" s="60"/>
      <c r="H1426" s="63"/>
      <c r="I1426" s="60"/>
      <c r="J1426" s="64"/>
      <c r="K1426" s="64"/>
      <c r="L1426" s="55"/>
      <c r="M1426" s="55"/>
      <c r="N1426" s="55"/>
      <c r="O1426" s="55"/>
      <c r="P1426" s="55"/>
      <c r="Q1426" s="55"/>
      <c r="R1426" s="56"/>
      <c r="S1426" s="57"/>
      <c r="T1426" s="60"/>
    </row>
    <row r="1427">
      <c r="A1427" s="55"/>
      <c r="B1427" s="55"/>
      <c r="C1427" s="55"/>
      <c r="D1427" s="56"/>
      <c r="E1427" s="57"/>
      <c r="F1427" s="58"/>
      <c r="G1427" s="60"/>
      <c r="H1427" s="63"/>
      <c r="I1427" s="60"/>
      <c r="J1427" s="64"/>
      <c r="K1427" s="64"/>
      <c r="L1427" s="55"/>
      <c r="M1427" s="55"/>
      <c r="N1427" s="55"/>
      <c r="O1427" s="55"/>
      <c r="P1427" s="55"/>
      <c r="Q1427" s="55"/>
      <c r="R1427" s="56"/>
      <c r="S1427" s="57"/>
      <c r="T1427" s="60"/>
    </row>
    <row r="1428">
      <c r="A1428" s="55"/>
      <c r="B1428" s="55"/>
      <c r="C1428" s="55"/>
      <c r="D1428" s="56"/>
      <c r="E1428" s="57"/>
      <c r="F1428" s="58"/>
      <c r="G1428" s="60"/>
      <c r="H1428" s="63"/>
      <c r="I1428" s="60"/>
      <c r="J1428" s="64"/>
      <c r="K1428" s="64"/>
      <c r="L1428" s="55"/>
      <c r="M1428" s="55"/>
      <c r="N1428" s="55"/>
      <c r="O1428" s="55"/>
      <c r="P1428" s="55"/>
      <c r="Q1428" s="55"/>
      <c r="R1428" s="56"/>
      <c r="S1428" s="57"/>
      <c r="T1428" s="60"/>
    </row>
    <row r="1429">
      <c r="A1429" s="55"/>
      <c r="B1429" s="55"/>
      <c r="C1429" s="55"/>
      <c r="D1429" s="56"/>
      <c r="E1429" s="57"/>
      <c r="F1429" s="58"/>
      <c r="G1429" s="60"/>
      <c r="H1429" s="63"/>
      <c r="I1429" s="60"/>
      <c r="J1429" s="64"/>
      <c r="K1429" s="64"/>
      <c r="L1429" s="55"/>
      <c r="M1429" s="55"/>
      <c r="N1429" s="55"/>
      <c r="O1429" s="55"/>
      <c r="P1429" s="55"/>
      <c r="Q1429" s="55"/>
      <c r="R1429" s="56"/>
      <c r="S1429" s="57"/>
      <c r="T1429" s="60"/>
    </row>
    <row r="1430">
      <c r="A1430" s="55"/>
      <c r="B1430" s="55"/>
      <c r="C1430" s="55"/>
      <c r="D1430" s="56"/>
      <c r="E1430" s="57"/>
      <c r="F1430" s="58"/>
      <c r="G1430" s="60"/>
      <c r="H1430" s="63"/>
      <c r="I1430" s="60"/>
      <c r="J1430" s="64"/>
      <c r="K1430" s="64"/>
      <c r="L1430" s="55"/>
      <c r="M1430" s="55"/>
      <c r="N1430" s="55"/>
      <c r="O1430" s="55"/>
      <c r="P1430" s="55"/>
      <c r="Q1430" s="55"/>
      <c r="R1430" s="56"/>
      <c r="S1430" s="57"/>
      <c r="T1430" s="60"/>
    </row>
    <row r="1431">
      <c r="A1431" s="55"/>
      <c r="B1431" s="55"/>
      <c r="C1431" s="55"/>
      <c r="D1431" s="56"/>
      <c r="E1431" s="57"/>
      <c r="F1431" s="58"/>
      <c r="G1431" s="60"/>
      <c r="H1431" s="63"/>
      <c r="I1431" s="60"/>
      <c r="J1431" s="64"/>
      <c r="K1431" s="64"/>
      <c r="L1431" s="55"/>
      <c r="M1431" s="55"/>
      <c r="N1431" s="55"/>
      <c r="O1431" s="55"/>
      <c r="P1431" s="55"/>
      <c r="Q1431" s="55"/>
      <c r="R1431" s="56"/>
      <c r="S1431" s="57"/>
      <c r="T1431" s="60"/>
    </row>
    <row r="1432">
      <c r="A1432" s="55"/>
      <c r="B1432" s="55"/>
      <c r="C1432" s="55"/>
      <c r="D1432" s="56"/>
      <c r="E1432" s="57"/>
      <c r="F1432" s="58"/>
      <c r="G1432" s="60"/>
      <c r="H1432" s="63"/>
      <c r="I1432" s="60"/>
      <c r="J1432" s="64"/>
      <c r="K1432" s="64"/>
      <c r="L1432" s="55"/>
      <c r="M1432" s="55"/>
      <c r="N1432" s="55"/>
      <c r="O1432" s="55"/>
      <c r="P1432" s="55"/>
      <c r="Q1432" s="55"/>
      <c r="R1432" s="56"/>
      <c r="S1432" s="57"/>
      <c r="T1432" s="60"/>
    </row>
    <row r="1433">
      <c r="A1433" s="55"/>
      <c r="B1433" s="55"/>
      <c r="C1433" s="55"/>
      <c r="D1433" s="56"/>
      <c r="E1433" s="57"/>
      <c r="F1433" s="58"/>
      <c r="G1433" s="60"/>
      <c r="H1433" s="63"/>
      <c r="I1433" s="60"/>
      <c r="J1433" s="64"/>
      <c r="K1433" s="64"/>
      <c r="L1433" s="55"/>
      <c r="M1433" s="55"/>
      <c r="N1433" s="55"/>
      <c r="O1433" s="55"/>
      <c r="P1433" s="55"/>
      <c r="Q1433" s="55"/>
      <c r="R1433" s="56"/>
      <c r="S1433" s="57"/>
      <c r="T1433" s="60"/>
    </row>
    <row r="1434">
      <c r="A1434" s="55"/>
      <c r="B1434" s="55"/>
      <c r="C1434" s="55"/>
      <c r="D1434" s="56"/>
      <c r="E1434" s="57"/>
      <c r="F1434" s="58"/>
      <c r="G1434" s="60"/>
      <c r="H1434" s="63"/>
      <c r="I1434" s="60"/>
      <c r="J1434" s="64"/>
      <c r="K1434" s="64"/>
      <c r="L1434" s="55"/>
      <c r="M1434" s="55"/>
      <c r="N1434" s="55"/>
      <c r="O1434" s="55"/>
      <c r="P1434" s="55"/>
      <c r="Q1434" s="55"/>
      <c r="R1434" s="56"/>
      <c r="S1434" s="57"/>
      <c r="T1434" s="60"/>
    </row>
    <row r="1435">
      <c r="A1435" s="55"/>
      <c r="B1435" s="55"/>
      <c r="C1435" s="55"/>
      <c r="D1435" s="56"/>
      <c r="E1435" s="57"/>
      <c r="F1435" s="58"/>
      <c r="G1435" s="60"/>
      <c r="H1435" s="63"/>
      <c r="I1435" s="60"/>
      <c r="J1435" s="64"/>
      <c r="K1435" s="64"/>
      <c r="L1435" s="55"/>
      <c r="M1435" s="55"/>
      <c r="N1435" s="55"/>
      <c r="O1435" s="55"/>
      <c r="P1435" s="55"/>
      <c r="Q1435" s="55"/>
      <c r="R1435" s="56"/>
      <c r="S1435" s="57"/>
      <c r="T1435" s="60"/>
    </row>
    <row r="1436">
      <c r="A1436" s="55"/>
      <c r="B1436" s="55"/>
      <c r="C1436" s="55"/>
      <c r="D1436" s="56"/>
      <c r="E1436" s="57"/>
      <c r="F1436" s="58"/>
      <c r="G1436" s="60"/>
      <c r="H1436" s="63"/>
      <c r="I1436" s="60"/>
      <c r="J1436" s="64"/>
      <c r="K1436" s="64"/>
      <c r="L1436" s="55"/>
      <c r="M1436" s="55"/>
      <c r="N1436" s="55"/>
      <c r="O1436" s="55"/>
      <c r="P1436" s="55"/>
      <c r="Q1436" s="55"/>
      <c r="R1436" s="56"/>
      <c r="S1436" s="57"/>
      <c r="T1436" s="60"/>
    </row>
    <row r="1437">
      <c r="A1437" s="55"/>
      <c r="B1437" s="55"/>
      <c r="C1437" s="55"/>
      <c r="D1437" s="56"/>
      <c r="E1437" s="57"/>
      <c r="F1437" s="58"/>
      <c r="G1437" s="60"/>
      <c r="H1437" s="63"/>
      <c r="I1437" s="60"/>
      <c r="J1437" s="64"/>
      <c r="K1437" s="64"/>
      <c r="L1437" s="55"/>
      <c r="M1437" s="55"/>
      <c r="N1437" s="55"/>
      <c r="O1437" s="55"/>
      <c r="P1437" s="55"/>
      <c r="Q1437" s="55"/>
      <c r="R1437" s="56"/>
      <c r="S1437" s="57"/>
      <c r="T1437" s="60"/>
    </row>
    <row r="1438">
      <c r="A1438" s="55"/>
      <c r="B1438" s="55"/>
      <c r="C1438" s="55"/>
      <c r="D1438" s="56"/>
      <c r="E1438" s="57"/>
      <c r="F1438" s="58"/>
      <c r="G1438" s="60"/>
      <c r="H1438" s="63"/>
      <c r="I1438" s="60"/>
      <c r="J1438" s="64"/>
      <c r="K1438" s="64"/>
      <c r="L1438" s="55"/>
      <c r="M1438" s="55"/>
      <c r="N1438" s="55"/>
      <c r="O1438" s="55"/>
      <c r="P1438" s="55"/>
      <c r="Q1438" s="55"/>
      <c r="R1438" s="56"/>
      <c r="S1438" s="57"/>
      <c r="T1438" s="60"/>
    </row>
    <row r="1439">
      <c r="A1439" s="55"/>
      <c r="B1439" s="55"/>
      <c r="C1439" s="55"/>
      <c r="D1439" s="56"/>
      <c r="E1439" s="57"/>
      <c r="F1439" s="58"/>
      <c r="G1439" s="60"/>
      <c r="H1439" s="63"/>
      <c r="I1439" s="60"/>
      <c r="J1439" s="64"/>
      <c r="K1439" s="64"/>
      <c r="L1439" s="55"/>
      <c r="M1439" s="55"/>
      <c r="N1439" s="55"/>
      <c r="O1439" s="55"/>
      <c r="P1439" s="55"/>
      <c r="Q1439" s="55"/>
      <c r="R1439" s="56"/>
      <c r="S1439" s="57"/>
      <c r="T1439" s="60"/>
    </row>
    <row r="1440">
      <c r="A1440" s="55"/>
      <c r="B1440" s="55"/>
      <c r="C1440" s="55"/>
      <c r="D1440" s="56"/>
      <c r="E1440" s="57"/>
      <c r="F1440" s="58"/>
      <c r="G1440" s="60"/>
      <c r="H1440" s="63"/>
      <c r="I1440" s="60"/>
      <c r="J1440" s="64"/>
      <c r="K1440" s="64"/>
      <c r="L1440" s="55"/>
      <c r="M1440" s="55"/>
      <c r="N1440" s="55"/>
      <c r="O1440" s="55"/>
      <c r="P1440" s="55"/>
      <c r="Q1440" s="55"/>
      <c r="R1440" s="56"/>
      <c r="S1440" s="57"/>
      <c r="T1440" s="60"/>
    </row>
    <row r="1441">
      <c r="A1441" s="55"/>
      <c r="B1441" s="55"/>
      <c r="C1441" s="55"/>
      <c r="D1441" s="56"/>
      <c r="E1441" s="57"/>
      <c r="F1441" s="58"/>
      <c r="G1441" s="60"/>
      <c r="H1441" s="63"/>
      <c r="I1441" s="60"/>
      <c r="J1441" s="64"/>
      <c r="K1441" s="64"/>
      <c r="L1441" s="55"/>
      <c r="M1441" s="55"/>
      <c r="N1441" s="55"/>
      <c r="O1441" s="55"/>
      <c r="P1441" s="55"/>
      <c r="Q1441" s="55"/>
      <c r="R1441" s="56"/>
      <c r="S1441" s="57"/>
      <c r="T1441" s="60"/>
    </row>
    <row r="1442">
      <c r="A1442" s="55"/>
      <c r="B1442" s="55"/>
      <c r="C1442" s="55"/>
      <c r="D1442" s="56"/>
      <c r="E1442" s="57"/>
      <c r="F1442" s="58"/>
      <c r="G1442" s="60"/>
      <c r="H1442" s="63"/>
      <c r="I1442" s="60"/>
      <c r="J1442" s="64"/>
      <c r="K1442" s="64"/>
      <c r="L1442" s="55"/>
      <c r="M1442" s="55"/>
      <c r="N1442" s="55"/>
      <c r="O1442" s="55"/>
      <c r="P1442" s="55"/>
      <c r="Q1442" s="55"/>
      <c r="R1442" s="56"/>
      <c r="S1442" s="57"/>
      <c r="T1442" s="60"/>
    </row>
    <row r="1443">
      <c r="A1443" s="55"/>
      <c r="B1443" s="55"/>
      <c r="C1443" s="55"/>
      <c r="D1443" s="56"/>
      <c r="E1443" s="57"/>
      <c r="F1443" s="58"/>
      <c r="G1443" s="60"/>
      <c r="H1443" s="63"/>
      <c r="I1443" s="60"/>
      <c r="J1443" s="64"/>
      <c r="K1443" s="64"/>
      <c r="L1443" s="55"/>
      <c r="M1443" s="55"/>
      <c r="N1443" s="55"/>
      <c r="O1443" s="55"/>
      <c r="P1443" s="55"/>
      <c r="Q1443" s="55"/>
      <c r="R1443" s="56"/>
      <c r="S1443" s="57"/>
      <c r="T1443" s="60"/>
    </row>
    <row r="1444">
      <c r="A1444" s="55"/>
      <c r="B1444" s="55"/>
      <c r="C1444" s="55"/>
      <c r="D1444" s="56"/>
      <c r="E1444" s="57"/>
      <c r="F1444" s="58"/>
      <c r="G1444" s="60"/>
      <c r="H1444" s="63"/>
      <c r="I1444" s="60"/>
      <c r="J1444" s="64"/>
      <c r="K1444" s="64"/>
      <c r="L1444" s="55"/>
      <c r="M1444" s="55"/>
      <c r="N1444" s="55"/>
      <c r="O1444" s="55"/>
      <c r="P1444" s="55"/>
      <c r="Q1444" s="55"/>
      <c r="R1444" s="56"/>
      <c r="S1444" s="57"/>
      <c r="T1444" s="60"/>
    </row>
    <row r="1445">
      <c r="A1445" s="55"/>
      <c r="B1445" s="55"/>
      <c r="C1445" s="55"/>
      <c r="D1445" s="56"/>
      <c r="E1445" s="57"/>
      <c r="F1445" s="58"/>
      <c r="G1445" s="60"/>
      <c r="H1445" s="63"/>
      <c r="I1445" s="60"/>
      <c r="J1445" s="64"/>
      <c r="K1445" s="64"/>
      <c r="L1445" s="55"/>
      <c r="M1445" s="55"/>
      <c r="N1445" s="55"/>
      <c r="O1445" s="55"/>
      <c r="P1445" s="55"/>
      <c r="Q1445" s="55"/>
      <c r="R1445" s="56"/>
      <c r="S1445" s="57"/>
      <c r="T1445" s="60"/>
    </row>
    <row r="1446">
      <c r="A1446" s="55"/>
      <c r="B1446" s="55"/>
      <c r="C1446" s="55"/>
      <c r="D1446" s="56"/>
      <c r="E1446" s="57"/>
      <c r="F1446" s="58"/>
      <c r="G1446" s="60"/>
      <c r="H1446" s="63"/>
      <c r="I1446" s="60"/>
      <c r="J1446" s="64"/>
      <c r="K1446" s="64"/>
      <c r="L1446" s="55"/>
      <c r="M1446" s="55"/>
      <c r="N1446" s="55"/>
      <c r="O1446" s="55"/>
      <c r="P1446" s="55"/>
      <c r="Q1446" s="55"/>
      <c r="R1446" s="56"/>
      <c r="S1446" s="57"/>
      <c r="T1446" s="60"/>
    </row>
    <row r="1447">
      <c r="A1447" s="55"/>
      <c r="B1447" s="55"/>
      <c r="C1447" s="55"/>
      <c r="D1447" s="56"/>
      <c r="E1447" s="57"/>
      <c r="F1447" s="58"/>
      <c r="G1447" s="60"/>
      <c r="H1447" s="63"/>
      <c r="I1447" s="60"/>
      <c r="J1447" s="64"/>
      <c r="K1447" s="64"/>
      <c r="L1447" s="55"/>
      <c r="M1447" s="55"/>
      <c r="N1447" s="55"/>
      <c r="O1447" s="55"/>
      <c r="P1447" s="55"/>
      <c r="Q1447" s="55"/>
      <c r="R1447" s="56"/>
      <c r="S1447" s="57"/>
      <c r="T1447" s="60"/>
    </row>
    <row r="1448">
      <c r="A1448" s="55"/>
      <c r="B1448" s="55"/>
      <c r="C1448" s="55"/>
      <c r="D1448" s="56"/>
      <c r="E1448" s="57"/>
      <c r="F1448" s="58"/>
      <c r="G1448" s="60"/>
      <c r="H1448" s="63"/>
      <c r="I1448" s="60"/>
      <c r="J1448" s="64"/>
      <c r="K1448" s="64"/>
      <c r="L1448" s="55"/>
      <c r="M1448" s="55"/>
      <c r="N1448" s="55"/>
      <c r="O1448" s="55"/>
      <c r="P1448" s="55"/>
      <c r="Q1448" s="55"/>
      <c r="R1448" s="56"/>
      <c r="S1448" s="57"/>
      <c r="T1448" s="60"/>
    </row>
    <row r="1449">
      <c r="A1449" s="55"/>
      <c r="B1449" s="55"/>
      <c r="C1449" s="55"/>
      <c r="D1449" s="56"/>
      <c r="E1449" s="57"/>
      <c r="F1449" s="58"/>
      <c r="G1449" s="60"/>
      <c r="H1449" s="63"/>
      <c r="I1449" s="60"/>
      <c r="J1449" s="64"/>
      <c r="K1449" s="64"/>
      <c r="L1449" s="55"/>
      <c r="M1449" s="55"/>
      <c r="N1449" s="55"/>
      <c r="O1449" s="55"/>
      <c r="P1449" s="55"/>
      <c r="Q1449" s="55"/>
      <c r="R1449" s="56"/>
      <c r="S1449" s="57"/>
      <c r="T1449" s="60"/>
    </row>
    <row r="1450">
      <c r="A1450" s="55"/>
      <c r="B1450" s="55"/>
      <c r="C1450" s="55"/>
      <c r="D1450" s="56"/>
      <c r="E1450" s="57"/>
      <c r="F1450" s="58"/>
      <c r="G1450" s="60"/>
      <c r="H1450" s="63"/>
      <c r="I1450" s="60"/>
      <c r="J1450" s="64"/>
      <c r="K1450" s="64"/>
      <c r="L1450" s="55"/>
      <c r="M1450" s="55"/>
      <c r="N1450" s="55"/>
      <c r="O1450" s="55"/>
      <c r="P1450" s="55"/>
      <c r="Q1450" s="55"/>
      <c r="R1450" s="56"/>
      <c r="S1450" s="57"/>
      <c r="T1450" s="60"/>
    </row>
    <row r="1451">
      <c r="A1451" s="55"/>
      <c r="B1451" s="55"/>
      <c r="C1451" s="55"/>
      <c r="D1451" s="56"/>
      <c r="E1451" s="57"/>
      <c r="F1451" s="58"/>
      <c r="G1451" s="60"/>
      <c r="H1451" s="63"/>
      <c r="I1451" s="60"/>
      <c r="J1451" s="64"/>
      <c r="K1451" s="64"/>
      <c r="L1451" s="55"/>
      <c r="M1451" s="55"/>
      <c r="N1451" s="55"/>
      <c r="O1451" s="55"/>
      <c r="P1451" s="55"/>
      <c r="Q1451" s="55"/>
      <c r="R1451" s="56"/>
      <c r="S1451" s="57"/>
      <c r="T1451" s="60"/>
    </row>
    <row r="1452">
      <c r="A1452" s="55"/>
      <c r="B1452" s="55"/>
      <c r="C1452" s="55"/>
      <c r="D1452" s="56"/>
      <c r="E1452" s="57"/>
      <c r="F1452" s="58"/>
      <c r="G1452" s="60"/>
      <c r="H1452" s="63"/>
      <c r="I1452" s="60"/>
      <c r="J1452" s="64"/>
      <c r="K1452" s="64"/>
      <c r="L1452" s="55"/>
      <c r="M1452" s="55"/>
      <c r="N1452" s="55"/>
      <c r="O1452" s="55"/>
      <c r="P1452" s="55"/>
      <c r="Q1452" s="55"/>
      <c r="R1452" s="56"/>
      <c r="S1452" s="57"/>
      <c r="T1452" s="60"/>
    </row>
    <row r="1453">
      <c r="A1453" s="55"/>
      <c r="B1453" s="55"/>
      <c r="C1453" s="55"/>
      <c r="D1453" s="56"/>
      <c r="E1453" s="57"/>
      <c r="F1453" s="58"/>
      <c r="G1453" s="60"/>
      <c r="H1453" s="63"/>
      <c r="I1453" s="60"/>
      <c r="J1453" s="64"/>
      <c r="K1453" s="64"/>
      <c r="L1453" s="55"/>
      <c r="M1453" s="55"/>
      <c r="N1453" s="55"/>
      <c r="O1453" s="55"/>
      <c r="P1453" s="55"/>
      <c r="Q1453" s="55"/>
      <c r="R1453" s="56"/>
      <c r="S1453" s="57"/>
      <c r="T1453" s="60"/>
    </row>
    <row r="1454">
      <c r="A1454" s="55"/>
      <c r="B1454" s="55"/>
      <c r="C1454" s="55"/>
      <c r="D1454" s="56"/>
      <c r="E1454" s="57"/>
      <c r="F1454" s="58"/>
      <c r="G1454" s="60"/>
      <c r="H1454" s="63"/>
      <c r="I1454" s="60"/>
      <c r="J1454" s="64"/>
      <c r="K1454" s="64"/>
      <c r="L1454" s="55"/>
      <c r="M1454" s="55"/>
      <c r="N1454" s="55"/>
      <c r="O1454" s="55"/>
      <c r="P1454" s="55"/>
      <c r="Q1454" s="55"/>
      <c r="R1454" s="56"/>
      <c r="S1454" s="57"/>
      <c r="T1454" s="60"/>
    </row>
    <row r="1455">
      <c r="A1455" s="55"/>
      <c r="B1455" s="55"/>
      <c r="C1455" s="55"/>
      <c r="D1455" s="56"/>
      <c r="E1455" s="57"/>
      <c r="F1455" s="58"/>
      <c r="G1455" s="60"/>
      <c r="H1455" s="63"/>
      <c r="I1455" s="60"/>
      <c r="J1455" s="64"/>
      <c r="K1455" s="64"/>
      <c r="L1455" s="55"/>
      <c r="M1455" s="55"/>
      <c r="N1455" s="55"/>
      <c r="O1455" s="55"/>
      <c r="P1455" s="55"/>
      <c r="Q1455" s="55"/>
      <c r="R1455" s="56"/>
      <c r="S1455" s="57"/>
      <c r="T1455" s="60"/>
    </row>
    <row r="1456">
      <c r="A1456" s="55"/>
      <c r="B1456" s="55"/>
      <c r="C1456" s="55"/>
      <c r="D1456" s="56"/>
      <c r="E1456" s="57"/>
      <c r="F1456" s="58"/>
      <c r="G1456" s="60"/>
      <c r="H1456" s="63"/>
      <c r="I1456" s="60"/>
      <c r="J1456" s="64"/>
      <c r="K1456" s="64"/>
      <c r="L1456" s="55"/>
      <c r="M1456" s="55"/>
      <c r="N1456" s="55"/>
      <c r="O1456" s="55"/>
      <c r="P1456" s="55"/>
      <c r="Q1456" s="55"/>
      <c r="R1456" s="56"/>
      <c r="S1456" s="57"/>
      <c r="T1456" s="60"/>
    </row>
    <row r="1457">
      <c r="A1457" s="55"/>
      <c r="B1457" s="55"/>
      <c r="C1457" s="55"/>
      <c r="D1457" s="56"/>
      <c r="E1457" s="57"/>
      <c r="F1457" s="58"/>
      <c r="G1457" s="60"/>
      <c r="H1457" s="63"/>
      <c r="I1457" s="60"/>
      <c r="J1457" s="64"/>
      <c r="K1457" s="64"/>
      <c r="L1457" s="55"/>
      <c r="M1457" s="55"/>
      <c r="N1457" s="55"/>
      <c r="O1457" s="55"/>
      <c r="P1457" s="55"/>
      <c r="Q1457" s="55"/>
      <c r="R1457" s="56"/>
      <c r="S1457" s="57"/>
      <c r="T1457" s="60"/>
    </row>
    <row r="1458">
      <c r="A1458" s="55"/>
      <c r="B1458" s="55"/>
      <c r="C1458" s="55"/>
      <c r="D1458" s="56"/>
      <c r="E1458" s="57"/>
      <c r="F1458" s="58"/>
      <c r="G1458" s="60"/>
      <c r="H1458" s="63"/>
      <c r="I1458" s="60"/>
      <c r="J1458" s="64"/>
      <c r="K1458" s="64"/>
      <c r="L1458" s="55"/>
      <c r="M1458" s="55"/>
      <c r="N1458" s="55"/>
      <c r="O1458" s="55"/>
      <c r="P1458" s="55"/>
      <c r="Q1458" s="55"/>
      <c r="R1458" s="56"/>
      <c r="S1458" s="57"/>
      <c r="T1458" s="60"/>
    </row>
    <row r="1459">
      <c r="A1459" s="55"/>
      <c r="B1459" s="55"/>
      <c r="C1459" s="55"/>
      <c r="D1459" s="56"/>
      <c r="E1459" s="57"/>
      <c r="F1459" s="58"/>
      <c r="G1459" s="60"/>
      <c r="H1459" s="63"/>
      <c r="I1459" s="60"/>
      <c r="J1459" s="64"/>
      <c r="K1459" s="64"/>
      <c r="L1459" s="55"/>
      <c r="M1459" s="55"/>
      <c r="N1459" s="55"/>
      <c r="O1459" s="55"/>
      <c r="P1459" s="55"/>
      <c r="Q1459" s="55"/>
      <c r="R1459" s="56"/>
      <c r="S1459" s="57"/>
      <c r="T1459" s="60"/>
    </row>
    <row r="1460">
      <c r="A1460" s="55"/>
      <c r="B1460" s="55"/>
      <c r="C1460" s="55"/>
      <c r="D1460" s="56"/>
      <c r="E1460" s="57"/>
      <c r="F1460" s="58"/>
      <c r="G1460" s="60"/>
      <c r="H1460" s="63"/>
      <c r="I1460" s="60"/>
      <c r="J1460" s="64"/>
      <c r="K1460" s="64"/>
      <c r="L1460" s="55"/>
      <c r="M1460" s="55"/>
      <c r="N1460" s="55"/>
      <c r="O1460" s="55"/>
      <c r="P1460" s="55"/>
      <c r="Q1460" s="55"/>
      <c r="R1460" s="56"/>
      <c r="S1460" s="57"/>
      <c r="T1460" s="60"/>
    </row>
    <row r="1461">
      <c r="A1461" s="55"/>
      <c r="B1461" s="55"/>
      <c r="C1461" s="55"/>
      <c r="D1461" s="56"/>
      <c r="E1461" s="57"/>
      <c r="F1461" s="58"/>
      <c r="G1461" s="60"/>
      <c r="H1461" s="63"/>
      <c r="I1461" s="60"/>
      <c r="J1461" s="64"/>
      <c r="K1461" s="64"/>
      <c r="L1461" s="55"/>
      <c r="M1461" s="55"/>
      <c r="N1461" s="55"/>
      <c r="O1461" s="55"/>
      <c r="P1461" s="55"/>
      <c r="Q1461" s="55"/>
      <c r="R1461" s="56"/>
      <c r="S1461" s="57"/>
      <c r="T1461" s="60"/>
    </row>
    <row r="1462">
      <c r="A1462" s="55"/>
      <c r="B1462" s="55"/>
      <c r="C1462" s="55"/>
      <c r="D1462" s="56"/>
      <c r="E1462" s="57"/>
      <c r="F1462" s="58"/>
      <c r="G1462" s="60"/>
      <c r="H1462" s="63"/>
      <c r="I1462" s="60"/>
      <c r="J1462" s="64"/>
      <c r="K1462" s="64"/>
      <c r="L1462" s="55"/>
      <c r="M1462" s="55"/>
      <c r="N1462" s="55"/>
      <c r="O1462" s="55"/>
      <c r="P1462" s="55"/>
      <c r="Q1462" s="55"/>
      <c r="R1462" s="56"/>
      <c r="S1462" s="57"/>
      <c r="T1462" s="60"/>
    </row>
    <row r="1463">
      <c r="A1463" s="55"/>
      <c r="B1463" s="55"/>
      <c r="C1463" s="55"/>
      <c r="D1463" s="56"/>
      <c r="E1463" s="57"/>
      <c r="F1463" s="58"/>
      <c r="G1463" s="60"/>
      <c r="H1463" s="63"/>
      <c r="I1463" s="60"/>
      <c r="J1463" s="64"/>
      <c r="K1463" s="64"/>
      <c r="L1463" s="55"/>
      <c r="M1463" s="55"/>
      <c r="N1463" s="55"/>
      <c r="O1463" s="55"/>
      <c r="P1463" s="55"/>
      <c r="Q1463" s="55"/>
      <c r="R1463" s="56"/>
      <c r="S1463" s="57"/>
      <c r="T1463" s="60"/>
    </row>
    <row r="1464">
      <c r="A1464" s="55"/>
      <c r="B1464" s="55"/>
      <c r="C1464" s="55"/>
      <c r="D1464" s="56"/>
      <c r="E1464" s="57"/>
      <c r="F1464" s="58"/>
      <c r="G1464" s="60"/>
      <c r="H1464" s="63"/>
      <c r="I1464" s="60"/>
      <c r="J1464" s="64"/>
      <c r="K1464" s="64"/>
      <c r="L1464" s="55"/>
      <c r="M1464" s="55"/>
      <c r="N1464" s="55"/>
      <c r="O1464" s="55"/>
      <c r="P1464" s="55"/>
      <c r="Q1464" s="55"/>
      <c r="R1464" s="56"/>
      <c r="S1464" s="57"/>
      <c r="T1464" s="60"/>
    </row>
    <row r="1465">
      <c r="A1465" s="55"/>
      <c r="B1465" s="55"/>
      <c r="C1465" s="55"/>
      <c r="D1465" s="56"/>
      <c r="E1465" s="57"/>
      <c r="F1465" s="58"/>
      <c r="G1465" s="60"/>
      <c r="H1465" s="63"/>
      <c r="I1465" s="60"/>
      <c r="J1465" s="64"/>
      <c r="K1465" s="64"/>
      <c r="L1465" s="55"/>
      <c r="M1465" s="55"/>
      <c r="N1465" s="55"/>
      <c r="O1465" s="55"/>
      <c r="P1465" s="55"/>
      <c r="Q1465" s="55"/>
      <c r="R1465" s="56"/>
      <c r="S1465" s="57"/>
      <c r="T1465" s="60"/>
    </row>
    <row r="1466">
      <c r="A1466" s="55"/>
      <c r="B1466" s="55"/>
      <c r="C1466" s="55"/>
      <c r="D1466" s="56"/>
      <c r="E1466" s="57"/>
      <c r="F1466" s="58"/>
      <c r="G1466" s="60"/>
      <c r="H1466" s="63"/>
      <c r="I1466" s="60"/>
      <c r="J1466" s="64"/>
      <c r="K1466" s="64"/>
      <c r="L1466" s="55"/>
      <c r="M1466" s="55"/>
      <c r="N1466" s="55"/>
      <c r="O1466" s="55"/>
      <c r="P1466" s="55"/>
      <c r="Q1466" s="55"/>
      <c r="R1466" s="56"/>
      <c r="S1466" s="57"/>
      <c r="T1466" s="60"/>
    </row>
    <row r="1467">
      <c r="A1467" s="55"/>
      <c r="B1467" s="55"/>
      <c r="C1467" s="55"/>
      <c r="D1467" s="56"/>
      <c r="E1467" s="57"/>
      <c r="F1467" s="58"/>
      <c r="G1467" s="60"/>
      <c r="H1467" s="63"/>
      <c r="I1467" s="60"/>
      <c r="J1467" s="64"/>
      <c r="K1467" s="64"/>
      <c r="L1467" s="55"/>
      <c r="M1467" s="55"/>
      <c r="N1467" s="55"/>
      <c r="O1467" s="55"/>
      <c r="P1467" s="55"/>
      <c r="Q1467" s="55"/>
      <c r="R1467" s="56"/>
      <c r="S1467" s="57"/>
      <c r="T1467" s="60"/>
    </row>
    <row r="1468">
      <c r="A1468" s="55"/>
      <c r="B1468" s="55"/>
      <c r="C1468" s="55"/>
      <c r="D1468" s="56"/>
      <c r="E1468" s="57"/>
      <c r="F1468" s="58"/>
      <c r="G1468" s="60"/>
      <c r="H1468" s="63"/>
      <c r="I1468" s="60"/>
      <c r="J1468" s="64"/>
      <c r="K1468" s="64"/>
      <c r="L1468" s="55"/>
      <c r="M1468" s="55"/>
      <c r="N1468" s="55"/>
      <c r="O1468" s="55"/>
      <c r="P1468" s="55"/>
      <c r="Q1468" s="55"/>
      <c r="R1468" s="56"/>
      <c r="S1468" s="57"/>
      <c r="T1468" s="60"/>
    </row>
    <row r="1469">
      <c r="A1469" s="55"/>
      <c r="B1469" s="55"/>
      <c r="C1469" s="55"/>
      <c r="D1469" s="56"/>
      <c r="E1469" s="57"/>
      <c r="F1469" s="58"/>
      <c r="G1469" s="60"/>
      <c r="H1469" s="63"/>
      <c r="I1469" s="60"/>
      <c r="J1469" s="64"/>
      <c r="K1469" s="64"/>
      <c r="L1469" s="55"/>
      <c r="M1469" s="55"/>
      <c r="N1469" s="55"/>
      <c r="O1469" s="55"/>
      <c r="P1469" s="55"/>
      <c r="Q1469" s="55"/>
      <c r="R1469" s="56"/>
      <c r="S1469" s="57"/>
      <c r="T1469" s="60"/>
    </row>
    <row r="1470">
      <c r="A1470" s="55"/>
      <c r="B1470" s="55"/>
      <c r="C1470" s="55"/>
      <c r="D1470" s="56"/>
      <c r="E1470" s="57"/>
      <c r="F1470" s="58"/>
      <c r="G1470" s="60"/>
      <c r="H1470" s="63"/>
      <c r="I1470" s="60"/>
      <c r="J1470" s="64"/>
      <c r="K1470" s="64"/>
      <c r="L1470" s="55"/>
      <c r="M1470" s="55"/>
      <c r="N1470" s="55"/>
      <c r="O1470" s="55"/>
      <c r="P1470" s="55"/>
      <c r="Q1470" s="55"/>
      <c r="R1470" s="56"/>
      <c r="S1470" s="57"/>
      <c r="T1470" s="60"/>
    </row>
    <row r="1471">
      <c r="A1471" s="55"/>
      <c r="B1471" s="55"/>
      <c r="C1471" s="55"/>
      <c r="D1471" s="56"/>
      <c r="E1471" s="57"/>
      <c r="F1471" s="58"/>
      <c r="G1471" s="60"/>
      <c r="H1471" s="63"/>
      <c r="I1471" s="60"/>
      <c r="J1471" s="64"/>
      <c r="K1471" s="64"/>
      <c r="L1471" s="55"/>
      <c r="M1471" s="55"/>
      <c r="N1471" s="55"/>
      <c r="O1471" s="55"/>
      <c r="P1471" s="55"/>
      <c r="Q1471" s="55"/>
      <c r="R1471" s="56"/>
      <c r="S1471" s="57"/>
      <c r="T1471" s="60"/>
    </row>
    <row r="1472">
      <c r="A1472" s="55"/>
      <c r="B1472" s="55"/>
      <c r="C1472" s="55"/>
      <c r="D1472" s="56"/>
      <c r="E1472" s="57"/>
      <c r="F1472" s="58"/>
      <c r="G1472" s="60"/>
      <c r="H1472" s="63"/>
      <c r="I1472" s="60"/>
      <c r="J1472" s="64"/>
      <c r="K1472" s="64"/>
      <c r="L1472" s="55"/>
      <c r="M1472" s="55"/>
      <c r="N1472" s="55"/>
      <c r="O1472" s="55"/>
      <c r="P1472" s="55"/>
      <c r="Q1472" s="55"/>
      <c r="R1472" s="56"/>
      <c r="S1472" s="57"/>
      <c r="T1472" s="60"/>
    </row>
    <row r="1473">
      <c r="A1473" s="55"/>
      <c r="B1473" s="55"/>
      <c r="C1473" s="55"/>
      <c r="D1473" s="56"/>
      <c r="E1473" s="57"/>
      <c r="F1473" s="58"/>
      <c r="G1473" s="60"/>
      <c r="H1473" s="63"/>
      <c r="I1473" s="60"/>
      <c r="J1473" s="64"/>
      <c r="K1473" s="64"/>
      <c r="L1473" s="55"/>
      <c r="M1473" s="55"/>
      <c r="N1473" s="55"/>
      <c r="O1473" s="55"/>
      <c r="P1473" s="55"/>
      <c r="Q1473" s="55"/>
      <c r="R1473" s="56"/>
      <c r="S1473" s="57"/>
      <c r="T1473" s="60"/>
    </row>
    <row r="1474">
      <c r="A1474" s="55"/>
      <c r="B1474" s="55"/>
      <c r="C1474" s="55"/>
      <c r="D1474" s="56"/>
      <c r="E1474" s="57"/>
      <c r="F1474" s="58"/>
      <c r="G1474" s="60"/>
      <c r="H1474" s="63"/>
      <c r="I1474" s="60"/>
      <c r="J1474" s="64"/>
      <c r="K1474" s="64"/>
      <c r="L1474" s="55"/>
      <c r="M1474" s="55"/>
      <c r="N1474" s="55"/>
      <c r="O1474" s="55"/>
      <c r="P1474" s="55"/>
      <c r="Q1474" s="55"/>
      <c r="R1474" s="56"/>
      <c r="S1474" s="57"/>
      <c r="T1474" s="60"/>
    </row>
    <row r="1475">
      <c r="A1475" s="55"/>
      <c r="B1475" s="55"/>
      <c r="C1475" s="55"/>
      <c r="D1475" s="56"/>
      <c r="E1475" s="57"/>
      <c r="F1475" s="58"/>
      <c r="G1475" s="60"/>
      <c r="H1475" s="63"/>
      <c r="I1475" s="60"/>
      <c r="J1475" s="64"/>
      <c r="K1475" s="64"/>
      <c r="L1475" s="55"/>
      <c r="M1475" s="55"/>
      <c r="N1475" s="55"/>
      <c r="O1475" s="55"/>
      <c r="P1475" s="55"/>
      <c r="Q1475" s="55"/>
      <c r="R1475" s="56"/>
      <c r="S1475" s="57"/>
      <c r="T1475" s="60"/>
    </row>
    <row r="1476">
      <c r="A1476" s="55"/>
      <c r="B1476" s="55"/>
      <c r="C1476" s="55"/>
      <c r="D1476" s="56"/>
      <c r="E1476" s="57"/>
      <c r="F1476" s="58"/>
      <c r="G1476" s="60"/>
      <c r="H1476" s="63"/>
      <c r="I1476" s="60"/>
      <c r="J1476" s="64"/>
      <c r="K1476" s="64"/>
      <c r="L1476" s="55"/>
      <c r="M1476" s="55"/>
      <c r="N1476" s="55"/>
      <c r="O1476" s="55"/>
      <c r="P1476" s="55"/>
      <c r="Q1476" s="55"/>
      <c r="R1476" s="56"/>
      <c r="S1476" s="57"/>
      <c r="T1476" s="60"/>
    </row>
    <row r="1477">
      <c r="A1477" s="55"/>
      <c r="B1477" s="55"/>
      <c r="C1477" s="55"/>
      <c r="D1477" s="56"/>
      <c r="E1477" s="57"/>
      <c r="F1477" s="58"/>
      <c r="G1477" s="60"/>
      <c r="H1477" s="63"/>
      <c r="I1477" s="60"/>
      <c r="J1477" s="64"/>
      <c r="K1477" s="64"/>
      <c r="L1477" s="55"/>
      <c r="M1477" s="55"/>
      <c r="N1477" s="55"/>
      <c r="O1477" s="55"/>
      <c r="P1477" s="55"/>
      <c r="Q1477" s="55"/>
      <c r="R1477" s="56"/>
      <c r="S1477" s="57"/>
      <c r="T1477" s="60"/>
    </row>
    <row r="1478">
      <c r="A1478" s="55"/>
      <c r="B1478" s="55"/>
      <c r="C1478" s="55"/>
      <c r="D1478" s="56"/>
      <c r="E1478" s="57"/>
      <c r="F1478" s="58"/>
      <c r="G1478" s="60"/>
      <c r="H1478" s="63"/>
      <c r="I1478" s="60"/>
      <c r="J1478" s="64"/>
      <c r="K1478" s="64"/>
      <c r="L1478" s="55"/>
      <c r="M1478" s="55"/>
      <c r="N1478" s="55"/>
      <c r="O1478" s="55"/>
      <c r="P1478" s="55"/>
      <c r="Q1478" s="55"/>
      <c r="R1478" s="56"/>
      <c r="S1478" s="57"/>
      <c r="T1478" s="60"/>
    </row>
    <row r="1479">
      <c r="A1479" s="55"/>
      <c r="B1479" s="55"/>
      <c r="C1479" s="55"/>
      <c r="D1479" s="56"/>
      <c r="E1479" s="57"/>
      <c r="F1479" s="58"/>
      <c r="G1479" s="60"/>
      <c r="H1479" s="63"/>
      <c r="I1479" s="60"/>
      <c r="J1479" s="64"/>
      <c r="K1479" s="64"/>
      <c r="L1479" s="55"/>
      <c r="M1479" s="55"/>
      <c r="N1479" s="55"/>
      <c r="O1479" s="55"/>
      <c r="P1479" s="55"/>
      <c r="Q1479" s="55"/>
      <c r="R1479" s="56"/>
      <c r="S1479" s="57"/>
      <c r="T1479" s="60"/>
    </row>
    <row r="1480">
      <c r="A1480" s="55"/>
      <c r="B1480" s="55"/>
      <c r="C1480" s="55"/>
      <c r="D1480" s="56"/>
      <c r="E1480" s="57"/>
      <c r="F1480" s="58"/>
      <c r="G1480" s="60"/>
      <c r="H1480" s="63"/>
      <c r="I1480" s="60"/>
      <c r="J1480" s="64"/>
      <c r="K1480" s="64"/>
      <c r="L1480" s="55"/>
      <c r="M1480" s="55"/>
      <c r="N1480" s="55"/>
      <c r="O1480" s="55"/>
      <c r="P1480" s="55"/>
      <c r="Q1480" s="55"/>
      <c r="R1480" s="56"/>
      <c r="S1480" s="57"/>
      <c r="T1480" s="60"/>
    </row>
    <row r="1481">
      <c r="A1481" s="55"/>
      <c r="B1481" s="55"/>
      <c r="C1481" s="55"/>
      <c r="D1481" s="56"/>
      <c r="E1481" s="57"/>
      <c r="F1481" s="58"/>
      <c r="G1481" s="60"/>
      <c r="H1481" s="63"/>
      <c r="I1481" s="60"/>
      <c r="J1481" s="64"/>
      <c r="K1481" s="64"/>
      <c r="L1481" s="55"/>
      <c r="M1481" s="55"/>
      <c r="N1481" s="55"/>
      <c r="O1481" s="55"/>
      <c r="P1481" s="55"/>
      <c r="Q1481" s="55"/>
      <c r="R1481" s="56"/>
      <c r="S1481" s="57"/>
      <c r="T1481" s="60"/>
    </row>
    <row r="1482">
      <c r="A1482" s="55"/>
      <c r="B1482" s="55"/>
      <c r="C1482" s="55"/>
      <c r="D1482" s="56"/>
      <c r="E1482" s="57"/>
      <c r="F1482" s="58"/>
      <c r="G1482" s="60"/>
      <c r="H1482" s="63"/>
      <c r="I1482" s="60"/>
      <c r="J1482" s="64"/>
      <c r="K1482" s="64"/>
      <c r="L1482" s="55"/>
      <c r="M1482" s="55"/>
      <c r="N1482" s="55"/>
      <c r="O1482" s="55"/>
      <c r="P1482" s="55"/>
      <c r="Q1482" s="55"/>
      <c r="R1482" s="56"/>
      <c r="S1482" s="57"/>
      <c r="T1482" s="60"/>
    </row>
    <row r="1483">
      <c r="A1483" s="55"/>
      <c r="B1483" s="55"/>
      <c r="C1483" s="55"/>
      <c r="D1483" s="56"/>
      <c r="E1483" s="57"/>
      <c r="F1483" s="58"/>
      <c r="G1483" s="60"/>
      <c r="H1483" s="63"/>
      <c r="I1483" s="60"/>
      <c r="J1483" s="64"/>
      <c r="K1483" s="64"/>
      <c r="L1483" s="55"/>
      <c r="M1483" s="55"/>
      <c r="N1483" s="55"/>
      <c r="O1483" s="55"/>
      <c r="P1483" s="55"/>
      <c r="Q1483" s="55"/>
      <c r="R1483" s="56"/>
      <c r="S1483" s="57"/>
      <c r="T1483" s="60"/>
    </row>
    <row r="1484">
      <c r="A1484" s="55"/>
      <c r="B1484" s="55"/>
      <c r="C1484" s="55"/>
      <c r="D1484" s="56"/>
      <c r="E1484" s="57"/>
      <c r="F1484" s="58"/>
      <c r="G1484" s="60"/>
      <c r="H1484" s="63"/>
      <c r="I1484" s="60"/>
      <c r="J1484" s="64"/>
      <c r="K1484" s="64"/>
      <c r="L1484" s="55"/>
      <c r="M1484" s="55"/>
      <c r="N1484" s="55"/>
      <c r="O1484" s="55"/>
      <c r="P1484" s="55"/>
      <c r="Q1484" s="55"/>
      <c r="R1484" s="56"/>
      <c r="S1484" s="57"/>
      <c r="T1484" s="60"/>
    </row>
    <row r="1485">
      <c r="A1485" s="55"/>
      <c r="B1485" s="55"/>
      <c r="C1485" s="55"/>
      <c r="D1485" s="56"/>
      <c r="E1485" s="57"/>
      <c r="F1485" s="58"/>
      <c r="G1485" s="60"/>
      <c r="H1485" s="63"/>
      <c r="I1485" s="60"/>
      <c r="J1485" s="64"/>
      <c r="K1485" s="64"/>
      <c r="L1485" s="55"/>
      <c r="M1485" s="55"/>
      <c r="N1485" s="55"/>
      <c r="O1485" s="55"/>
      <c r="P1485" s="55"/>
      <c r="Q1485" s="55"/>
      <c r="R1485" s="56"/>
      <c r="S1485" s="57"/>
      <c r="T1485" s="60"/>
    </row>
    <row r="1486">
      <c r="A1486" s="55"/>
      <c r="B1486" s="55"/>
      <c r="C1486" s="55"/>
      <c r="D1486" s="56"/>
      <c r="E1486" s="57"/>
      <c r="F1486" s="58"/>
      <c r="G1486" s="60"/>
      <c r="H1486" s="63"/>
      <c r="I1486" s="60"/>
      <c r="J1486" s="64"/>
      <c r="K1486" s="64"/>
      <c r="L1486" s="55"/>
      <c r="M1486" s="55"/>
      <c r="N1486" s="55"/>
      <c r="O1486" s="55"/>
      <c r="P1486" s="55"/>
      <c r="Q1486" s="55"/>
      <c r="R1486" s="56"/>
      <c r="S1486" s="57"/>
      <c r="T1486" s="60"/>
    </row>
    <row r="1487">
      <c r="A1487" s="55"/>
      <c r="B1487" s="55"/>
      <c r="C1487" s="55"/>
      <c r="D1487" s="56"/>
      <c r="E1487" s="57"/>
      <c r="F1487" s="58"/>
      <c r="G1487" s="60"/>
      <c r="H1487" s="63"/>
      <c r="I1487" s="60"/>
      <c r="J1487" s="64"/>
      <c r="K1487" s="64"/>
      <c r="L1487" s="55"/>
      <c r="M1487" s="55"/>
      <c r="N1487" s="55"/>
      <c r="O1487" s="55"/>
      <c r="P1487" s="55"/>
      <c r="Q1487" s="55"/>
      <c r="R1487" s="56"/>
      <c r="S1487" s="57"/>
      <c r="T1487" s="60"/>
    </row>
    <row r="1488">
      <c r="A1488" s="55"/>
      <c r="B1488" s="55"/>
      <c r="C1488" s="55"/>
      <c r="D1488" s="56"/>
      <c r="E1488" s="57"/>
      <c r="F1488" s="58"/>
      <c r="G1488" s="60"/>
      <c r="H1488" s="63"/>
      <c r="I1488" s="60"/>
      <c r="J1488" s="64"/>
      <c r="K1488" s="64"/>
      <c r="L1488" s="55"/>
      <c r="M1488" s="55"/>
      <c r="N1488" s="55"/>
      <c r="O1488" s="55"/>
      <c r="P1488" s="55"/>
      <c r="Q1488" s="55"/>
      <c r="R1488" s="56"/>
      <c r="S1488" s="57"/>
      <c r="T1488" s="60"/>
    </row>
    <row r="1489">
      <c r="A1489" s="55"/>
      <c r="B1489" s="55"/>
      <c r="C1489" s="55"/>
      <c r="D1489" s="56"/>
      <c r="E1489" s="57"/>
      <c r="F1489" s="58"/>
      <c r="G1489" s="60"/>
      <c r="H1489" s="63"/>
      <c r="I1489" s="60"/>
      <c r="J1489" s="64"/>
      <c r="K1489" s="64"/>
      <c r="L1489" s="55"/>
      <c r="M1489" s="55"/>
      <c r="N1489" s="55"/>
      <c r="O1489" s="55"/>
      <c r="P1489" s="55"/>
      <c r="Q1489" s="55"/>
      <c r="R1489" s="56"/>
      <c r="S1489" s="57"/>
      <c r="T1489" s="60"/>
    </row>
    <row r="1490">
      <c r="A1490" s="55"/>
      <c r="B1490" s="55"/>
      <c r="C1490" s="55"/>
      <c r="D1490" s="56"/>
      <c r="E1490" s="57"/>
      <c r="F1490" s="58"/>
      <c r="G1490" s="60"/>
      <c r="H1490" s="63"/>
      <c r="I1490" s="60"/>
      <c r="J1490" s="64"/>
      <c r="K1490" s="64"/>
      <c r="L1490" s="55"/>
      <c r="M1490" s="55"/>
      <c r="N1490" s="55"/>
      <c r="O1490" s="55"/>
      <c r="P1490" s="55"/>
      <c r="Q1490" s="55"/>
      <c r="R1490" s="56"/>
      <c r="S1490" s="57"/>
      <c r="T1490" s="60"/>
    </row>
    <row r="1491">
      <c r="A1491" s="55"/>
      <c r="B1491" s="55"/>
      <c r="C1491" s="55"/>
      <c r="D1491" s="56"/>
      <c r="E1491" s="57"/>
      <c r="F1491" s="58"/>
      <c r="G1491" s="60"/>
      <c r="H1491" s="63"/>
      <c r="I1491" s="60"/>
      <c r="J1491" s="64"/>
      <c r="K1491" s="64"/>
      <c r="L1491" s="55"/>
      <c r="M1491" s="55"/>
      <c r="N1491" s="55"/>
      <c r="O1491" s="55"/>
      <c r="P1491" s="55"/>
      <c r="Q1491" s="55"/>
      <c r="R1491" s="56"/>
      <c r="S1491" s="57"/>
      <c r="T1491" s="60"/>
    </row>
    <row r="1492">
      <c r="A1492" s="55"/>
      <c r="B1492" s="55"/>
      <c r="C1492" s="55"/>
      <c r="D1492" s="56"/>
      <c r="E1492" s="57"/>
      <c r="F1492" s="58"/>
      <c r="G1492" s="60"/>
      <c r="H1492" s="63"/>
      <c r="I1492" s="60"/>
      <c r="J1492" s="64"/>
      <c r="K1492" s="64"/>
      <c r="L1492" s="55"/>
      <c r="M1492" s="55"/>
      <c r="N1492" s="55"/>
      <c r="O1492" s="55"/>
      <c r="P1492" s="55"/>
      <c r="Q1492" s="55"/>
      <c r="R1492" s="56"/>
      <c r="S1492" s="57"/>
      <c r="T1492" s="60"/>
    </row>
    <row r="1493">
      <c r="A1493" s="55"/>
      <c r="B1493" s="55"/>
      <c r="C1493" s="55"/>
      <c r="D1493" s="56"/>
      <c r="E1493" s="57"/>
      <c r="F1493" s="58"/>
      <c r="G1493" s="60"/>
      <c r="H1493" s="63"/>
      <c r="I1493" s="60"/>
      <c r="J1493" s="64"/>
      <c r="K1493" s="64"/>
      <c r="L1493" s="55"/>
      <c r="M1493" s="55"/>
      <c r="N1493" s="55"/>
      <c r="O1493" s="55"/>
      <c r="P1493" s="55"/>
      <c r="Q1493" s="55"/>
      <c r="R1493" s="56"/>
      <c r="S1493" s="57"/>
      <c r="T1493" s="60"/>
    </row>
    <row r="1494">
      <c r="A1494" s="55"/>
      <c r="B1494" s="55"/>
      <c r="C1494" s="55"/>
      <c r="D1494" s="56"/>
      <c r="E1494" s="57"/>
      <c r="F1494" s="58"/>
      <c r="G1494" s="60"/>
      <c r="H1494" s="63"/>
      <c r="I1494" s="60"/>
      <c r="J1494" s="64"/>
      <c r="K1494" s="64"/>
      <c r="L1494" s="55"/>
      <c r="M1494" s="55"/>
      <c r="N1494" s="55"/>
      <c r="O1494" s="55"/>
      <c r="P1494" s="55"/>
      <c r="Q1494" s="55"/>
      <c r="R1494" s="56"/>
      <c r="S1494" s="57"/>
      <c r="T1494" s="60"/>
    </row>
    <row r="1495">
      <c r="A1495" s="55"/>
      <c r="B1495" s="55"/>
      <c r="C1495" s="55"/>
      <c r="D1495" s="56"/>
      <c r="E1495" s="57"/>
      <c r="F1495" s="58"/>
      <c r="G1495" s="60"/>
      <c r="H1495" s="63"/>
      <c r="I1495" s="60"/>
      <c r="J1495" s="64"/>
      <c r="K1495" s="64"/>
      <c r="L1495" s="55"/>
      <c r="M1495" s="55"/>
      <c r="N1495" s="55"/>
      <c r="O1495" s="55"/>
      <c r="P1495" s="55"/>
      <c r="Q1495" s="55"/>
      <c r="R1495" s="56"/>
      <c r="S1495" s="57"/>
      <c r="T1495" s="60"/>
    </row>
    <row r="1496">
      <c r="A1496" s="55"/>
      <c r="B1496" s="55"/>
      <c r="C1496" s="55"/>
      <c r="D1496" s="56"/>
      <c r="E1496" s="57"/>
      <c r="F1496" s="58"/>
      <c r="G1496" s="60"/>
      <c r="H1496" s="63"/>
      <c r="I1496" s="60"/>
      <c r="J1496" s="64"/>
      <c r="K1496" s="64"/>
      <c r="L1496" s="55"/>
      <c r="M1496" s="55"/>
      <c r="N1496" s="55"/>
      <c r="O1496" s="55"/>
      <c r="P1496" s="55"/>
      <c r="Q1496" s="55"/>
      <c r="R1496" s="56"/>
      <c r="S1496" s="57"/>
      <c r="T1496" s="60"/>
    </row>
    <row r="1497">
      <c r="A1497" s="55"/>
      <c r="B1497" s="55"/>
      <c r="C1497" s="55"/>
      <c r="D1497" s="56"/>
      <c r="E1497" s="57"/>
      <c r="F1497" s="58"/>
      <c r="G1497" s="60"/>
      <c r="H1497" s="63"/>
      <c r="I1497" s="60"/>
      <c r="J1497" s="64"/>
      <c r="K1497" s="64"/>
      <c r="L1497" s="55"/>
      <c r="M1497" s="55"/>
      <c r="N1497" s="55"/>
      <c r="O1497" s="55"/>
      <c r="P1497" s="55"/>
      <c r="Q1497" s="55"/>
      <c r="R1497" s="56"/>
      <c r="S1497" s="57"/>
      <c r="T1497" s="60"/>
    </row>
    <row r="1498">
      <c r="A1498" s="55"/>
      <c r="B1498" s="55"/>
      <c r="C1498" s="55"/>
      <c r="D1498" s="56"/>
      <c r="E1498" s="57"/>
      <c r="F1498" s="58"/>
      <c r="G1498" s="60"/>
      <c r="H1498" s="63"/>
      <c r="I1498" s="60"/>
      <c r="J1498" s="64"/>
      <c r="K1498" s="64"/>
      <c r="L1498" s="55"/>
      <c r="M1498" s="55"/>
      <c r="N1498" s="55"/>
      <c r="O1498" s="55"/>
      <c r="P1498" s="55"/>
      <c r="Q1498" s="55"/>
      <c r="R1498" s="56"/>
      <c r="S1498" s="57"/>
      <c r="T1498" s="60"/>
    </row>
    <row r="1499">
      <c r="A1499" s="55"/>
      <c r="B1499" s="55"/>
      <c r="C1499" s="55"/>
      <c r="D1499" s="56"/>
      <c r="E1499" s="57"/>
      <c r="F1499" s="58"/>
      <c r="G1499" s="60"/>
      <c r="H1499" s="63"/>
      <c r="I1499" s="60"/>
      <c r="J1499" s="64"/>
      <c r="K1499" s="64"/>
      <c r="L1499" s="55"/>
      <c r="M1499" s="55"/>
      <c r="N1499" s="55"/>
      <c r="O1499" s="55"/>
      <c r="P1499" s="55"/>
      <c r="Q1499" s="55"/>
      <c r="R1499" s="56"/>
      <c r="S1499" s="57"/>
      <c r="T1499" s="60"/>
    </row>
    <row r="1500">
      <c r="A1500" s="55"/>
      <c r="B1500" s="55"/>
      <c r="C1500" s="55"/>
      <c r="D1500" s="56"/>
      <c r="E1500" s="57"/>
      <c r="F1500" s="58"/>
      <c r="G1500" s="60"/>
      <c r="H1500" s="63"/>
      <c r="I1500" s="60"/>
      <c r="J1500" s="64"/>
      <c r="K1500" s="64"/>
      <c r="L1500" s="55"/>
      <c r="M1500" s="55"/>
      <c r="N1500" s="55"/>
      <c r="O1500" s="55"/>
      <c r="P1500" s="55"/>
      <c r="Q1500" s="55"/>
      <c r="R1500" s="56"/>
      <c r="S1500" s="57"/>
      <c r="T1500" s="60"/>
    </row>
    <row r="1501">
      <c r="A1501" s="55"/>
      <c r="B1501" s="55"/>
      <c r="C1501" s="55"/>
      <c r="D1501" s="56"/>
      <c r="E1501" s="57"/>
      <c r="F1501" s="58"/>
      <c r="G1501" s="60"/>
      <c r="H1501" s="63"/>
      <c r="I1501" s="60"/>
      <c r="J1501" s="64"/>
      <c r="K1501" s="64"/>
      <c r="L1501" s="55"/>
      <c r="M1501" s="55"/>
      <c r="N1501" s="55"/>
      <c r="O1501" s="55"/>
      <c r="P1501" s="55"/>
      <c r="Q1501" s="55"/>
      <c r="R1501" s="56"/>
      <c r="S1501" s="57"/>
      <c r="T1501" s="60"/>
    </row>
    <row r="1502">
      <c r="A1502" s="55"/>
      <c r="B1502" s="55"/>
      <c r="C1502" s="55"/>
      <c r="D1502" s="56"/>
      <c r="E1502" s="57"/>
      <c r="F1502" s="58"/>
      <c r="G1502" s="60"/>
      <c r="H1502" s="63"/>
      <c r="I1502" s="60"/>
      <c r="J1502" s="64"/>
      <c r="K1502" s="64"/>
      <c r="L1502" s="55"/>
      <c r="M1502" s="55"/>
      <c r="N1502" s="55"/>
      <c r="O1502" s="55"/>
      <c r="P1502" s="55"/>
      <c r="Q1502" s="55"/>
      <c r="R1502" s="56"/>
      <c r="S1502" s="57"/>
      <c r="T1502" s="60"/>
    </row>
    <row r="1503">
      <c r="A1503" s="55"/>
      <c r="B1503" s="55"/>
      <c r="C1503" s="55"/>
      <c r="D1503" s="56"/>
      <c r="E1503" s="57"/>
      <c r="F1503" s="58"/>
      <c r="G1503" s="60"/>
      <c r="H1503" s="63"/>
      <c r="I1503" s="60"/>
      <c r="J1503" s="64"/>
      <c r="K1503" s="64"/>
      <c r="L1503" s="55"/>
      <c r="M1503" s="55"/>
      <c r="N1503" s="55"/>
      <c r="O1503" s="55"/>
      <c r="P1503" s="55"/>
      <c r="Q1503" s="55"/>
      <c r="R1503" s="56"/>
      <c r="S1503" s="57"/>
      <c r="T1503" s="60"/>
    </row>
    <row r="1504">
      <c r="A1504" s="55"/>
      <c r="B1504" s="55"/>
      <c r="C1504" s="55"/>
      <c r="D1504" s="56"/>
      <c r="E1504" s="57"/>
      <c r="F1504" s="58"/>
      <c r="G1504" s="60"/>
      <c r="H1504" s="63"/>
      <c r="I1504" s="60"/>
      <c r="J1504" s="64"/>
      <c r="K1504" s="64"/>
      <c r="L1504" s="55"/>
      <c r="M1504" s="55"/>
      <c r="N1504" s="55"/>
      <c r="O1504" s="55"/>
      <c r="P1504" s="55"/>
      <c r="Q1504" s="55"/>
      <c r="R1504" s="56"/>
      <c r="S1504" s="57"/>
      <c r="T1504" s="60"/>
    </row>
    <row r="1505">
      <c r="A1505" s="55"/>
      <c r="B1505" s="55"/>
      <c r="C1505" s="55"/>
      <c r="D1505" s="56"/>
      <c r="E1505" s="57"/>
      <c r="F1505" s="58"/>
      <c r="G1505" s="60"/>
      <c r="H1505" s="63"/>
      <c r="I1505" s="60"/>
      <c r="J1505" s="64"/>
      <c r="K1505" s="64"/>
      <c r="L1505" s="55"/>
      <c r="M1505" s="55"/>
      <c r="N1505" s="55"/>
      <c r="O1505" s="55"/>
      <c r="P1505" s="55"/>
      <c r="Q1505" s="55"/>
      <c r="R1505" s="56"/>
      <c r="S1505" s="57"/>
      <c r="T1505" s="60"/>
    </row>
    <row r="1506">
      <c r="A1506" s="55"/>
      <c r="B1506" s="55"/>
      <c r="C1506" s="55"/>
      <c r="D1506" s="56"/>
      <c r="E1506" s="57"/>
      <c r="F1506" s="58"/>
      <c r="G1506" s="60"/>
      <c r="H1506" s="63"/>
      <c r="I1506" s="60"/>
      <c r="J1506" s="64"/>
      <c r="K1506" s="64"/>
      <c r="L1506" s="55"/>
      <c r="M1506" s="55"/>
      <c r="N1506" s="55"/>
      <c r="O1506" s="55"/>
      <c r="P1506" s="55"/>
      <c r="Q1506" s="55"/>
      <c r="R1506" s="56"/>
      <c r="S1506" s="57"/>
      <c r="T1506" s="60"/>
    </row>
    <row r="1507">
      <c r="A1507" s="55"/>
      <c r="B1507" s="55"/>
      <c r="C1507" s="55"/>
      <c r="D1507" s="56"/>
      <c r="E1507" s="57"/>
      <c r="F1507" s="58"/>
      <c r="G1507" s="60"/>
      <c r="H1507" s="63"/>
      <c r="I1507" s="60"/>
      <c r="J1507" s="64"/>
      <c r="K1507" s="64"/>
      <c r="L1507" s="55"/>
      <c r="M1507" s="55"/>
      <c r="N1507" s="55"/>
      <c r="O1507" s="55"/>
      <c r="P1507" s="55"/>
      <c r="Q1507" s="55"/>
      <c r="R1507" s="56"/>
      <c r="S1507" s="57"/>
      <c r="T1507" s="60"/>
    </row>
    <row r="1508">
      <c r="A1508" s="55"/>
      <c r="B1508" s="55"/>
      <c r="C1508" s="55"/>
      <c r="D1508" s="56"/>
      <c r="E1508" s="57"/>
      <c r="F1508" s="58"/>
      <c r="G1508" s="60"/>
      <c r="H1508" s="63"/>
      <c r="I1508" s="60"/>
      <c r="J1508" s="64"/>
      <c r="K1508" s="64"/>
      <c r="L1508" s="55"/>
      <c r="M1508" s="55"/>
      <c r="N1508" s="55"/>
      <c r="O1508" s="55"/>
      <c r="P1508" s="55"/>
      <c r="Q1508" s="55"/>
      <c r="R1508" s="56"/>
      <c r="S1508" s="57"/>
      <c r="T1508" s="60"/>
    </row>
    <row r="1509">
      <c r="A1509" s="55"/>
      <c r="B1509" s="55"/>
      <c r="C1509" s="55"/>
      <c r="D1509" s="56"/>
      <c r="E1509" s="57"/>
      <c r="F1509" s="58"/>
      <c r="G1509" s="60"/>
      <c r="H1509" s="63"/>
      <c r="I1509" s="60"/>
      <c r="J1509" s="64"/>
      <c r="K1509" s="64"/>
      <c r="L1509" s="55"/>
      <c r="M1509" s="55"/>
      <c r="N1509" s="55"/>
      <c r="O1509" s="55"/>
      <c r="P1509" s="55"/>
      <c r="Q1509" s="55"/>
      <c r="R1509" s="56"/>
      <c r="S1509" s="57"/>
      <c r="T1509" s="60"/>
    </row>
    <row r="1510">
      <c r="A1510" s="55"/>
      <c r="B1510" s="55"/>
      <c r="C1510" s="55"/>
      <c r="D1510" s="56"/>
      <c r="E1510" s="57"/>
      <c r="F1510" s="58"/>
      <c r="G1510" s="60"/>
      <c r="H1510" s="63"/>
      <c r="I1510" s="60"/>
      <c r="J1510" s="64"/>
      <c r="K1510" s="64"/>
      <c r="L1510" s="55"/>
      <c r="M1510" s="55"/>
      <c r="N1510" s="55"/>
      <c r="O1510" s="55"/>
      <c r="P1510" s="55"/>
      <c r="Q1510" s="55"/>
      <c r="R1510" s="56"/>
      <c r="S1510" s="57"/>
      <c r="T1510" s="60"/>
    </row>
    <row r="1511">
      <c r="A1511" s="55"/>
      <c r="B1511" s="55"/>
      <c r="C1511" s="55"/>
      <c r="D1511" s="56"/>
      <c r="E1511" s="57"/>
      <c r="F1511" s="58"/>
      <c r="G1511" s="60"/>
      <c r="H1511" s="63"/>
      <c r="I1511" s="60"/>
      <c r="J1511" s="64"/>
      <c r="K1511" s="64"/>
      <c r="L1511" s="55"/>
      <c r="M1511" s="55"/>
      <c r="N1511" s="55"/>
      <c r="O1511" s="55"/>
      <c r="P1511" s="55"/>
      <c r="Q1511" s="55"/>
      <c r="R1511" s="56"/>
      <c r="S1511" s="57"/>
      <c r="T1511" s="60"/>
    </row>
    <row r="1512">
      <c r="A1512" s="55"/>
      <c r="B1512" s="55"/>
      <c r="C1512" s="55"/>
      <c r="D1512" s="56"/>
      <c r="E1512" s="57"/>
      <c r="F1512" s="58"/>
      <c r="G1512" s="60"/>
      <c r="H1512" s="63"/>
      <c r="I1512" s="60"/>
      <c r="J1512" s="64"/>
      <c r="K1512" s="64"/>
      <c r="L1512" s="55"/>
      <c r="M1512" s="55"/>
      <c r="N1512" s="55"/>
      <c r="O1512" s="55"/>
      <c r="P1512" s="55"/>
      <c r="Q1512" s="55"/>
      <c r="R1512" s="56"/>
      <c r="S1512" s="57"/>
      <c r="T1512" s="60"/>
    </row>
    <row r="1513">
      <c r="A1513" s="55"/>
      <c r="B1513" s="55"/>
      <c r="C1513" s="55"/>
      <c r="D1513" s="56"/>
      <c r="E1513" s="57"/>
      <c r="F1513" s="58"/>
      <c r="G1513" s="60"/>
      <c r="H1513" s="63"/>
      <c r="I1513" s="60"/>
      <c r="J1513" s="64"/>
      <c r="K1513" s="64"/>
      <c r="L1513" s="55"/>
      <c r="M1513" s="55"/>
      <c r="N1513" s="55"/>
      <c r="O1513" s="55"/>
      <c r="P1513" s="55"/>
      <c r="Q1513" s="55"/>
      <c r="R1513" s="56"/>
      <c r="S1513" s="57"/>
      <c r="T1513" s="60"/>
    </row>
    <row r="1514">
      <c r="A1514" s="55"/>
      <c r="B1514" s="55"/>
      <c r="C1514" s="55"/>
      <c r="D1514" s="56"/>
      <c r="E1514" s="57"/>
      <c r="F1514" s="58"/>
      <c r="G1514" s="60"/>
      <c r="H1514" s="63"/>
      <c r="I1514" s="60"/>
      <c r="J1514" s="64"/>
      <c r="K1514" s="64"/>
      <c r="L1514" s="55"/>
      <c r="M1514" s="55"/>
      <c r="N1514" s="55"/>
      <c r="O1514" s="55"/>
      <c r="P1514" s="55"/>
      <c r="Q1514" s="55"/>
      <c r="R1514" s="56"/>
      <c r="S1514" s="57"/>
      <c r="T1514" s="60"/>
    </row>
    <row r="1515">
      <c r="A1515" s="55"/>
      <c r="B1515" s="55"/>
      <c r="C1515" s="55"/>
      <c r="D1515" s="56"/>
      <c r="E1515" s="57"/>
      <c r="F1515" s="58"/>
      <c r="G1515" s="60"/>
      <c r="H1515" s="63"/>
      <c r="I1515" s="60"/>
      <c r="J1515" s="64"/>
      <c r="K1515" s="64"/>
      <c r="L1515" s="55"/>
      <c r="M1515" s="55"/>
      <c r="N1515" s="55"/>
      <c r="O1515" s="55"/>
      <c r="P1515" s="55"/>
      <c r="Q1515" s="55"/>
      <c r="R1515" s="56"/>
      <c r="S1515" s="57"/>
      <c r="T1515" s="60"/>
    </row>
    <row r="1516">
      <c r="A1516" s="55"/>
      <c r="B1516" s="55"/>
      <c r="C1516" s="55"/>
      <c r="D1516" s="56"/>
      <c r="E1516" s="57"/>
      <c r="F1516" s="58"/>
      <c r="G1516" s="60"/>
      <c r="H1516" s="63"/>
      <c r="I1516" s="60"/>
      <c r="J1516" s="64"/>
      <c r="K1516" s="64"/>
      <c r="L1516" s="55"/>
      <c r="M1516" s="55"/>
      <c r="N1516" s="55"/>
      <c r="O1516" s="55"/>
      <c r="P1516" s="55"/>
      <c r="Q1516" s="55"/>
      <c r="R1516" s="56"/>
      <c r="S1516" s="57"/>
      <c r="T1516" s="60"/>
    </row>
    <row r="1517">
      <c r="A1517" s="55"/>
      <c r="B1517" s="55"/>
      <c r="C1517" s="55"/>
      <c r="D1517" s="56"/>
      <c r="E1517" s="57"/>
      <c r="F1517" s="58"/>
      <c r="G1517" s="60"/>
      <c r="H1517" s="63"/>
      <c r="I1517" s="60"/>
      <c r="J1517" s="64"/>
      <c r="K1517" s="64"/>
      <c r="L1517" s="55"/>
      <c r="M1517" s="55"/>
      <c r="N1517" s="55"/>
      <c r="O1517" s="55"/>
      <c r="P1517" s="55"/>
      <c r="Q1517" s="55"/>
      <c r="R1517" s="56"/>
      <c r="S1517" s="57"/>
      <c r="T1517" s="60"/>
    </row>
    <row r="1518">
      <c r="A1518" s="55"/>
      <c r="B1518" s="55"/>
      <c r="C1518" s="55"/>
      <c r="D1518" s="56"/>
      <c r="E1518" s="57"/>
      <c r="F1518" s="58"/>
      <c r="G1518" s="60"/>
      <c r="H1518" s="63"/>
      <c r="I1518" s="60"/>
      <c r="J1518" s="64"/>
      <c r="K1518" s="64"/>
      <c r="L1518" s="55"/>
      <c r="M1518" s="55"/>
      <c r="N1518" s="55"/>
      <c r="O1518" s="55"/>
      <c r="P1518" s="55"/>
      <c r="Q1518" s="55"/>
      <c r="R1518" s="56"/>
      <c r="S1518" s="57"/>
      <c r="T1518" s="60"/>
    </row>
    <row r="1519">
      <c r="A1519" s="55"/>
      <c r="B1519" s="55"/>
      <c r="C1519" s="55"/>
      <c r="D1519" s="56"/>
      <c r="E1519" s="57"/>
      <c r="F1519" s="58"/>
      <c r="G1519" s="60"/>
      <c r="H1519" s="63"/>
      <c r="I1519" s="60"/>
      <c r="J1519" s="64"/>
      <c r="K1519" s="64"/>
      <c r="L1519" s="55"/>
      <c r="M1519" s="55"/>
      <c r="N1519" s="55"/>
      <c r="O1519" s="55"/>
      <c r="P1519" s="55"/>
      <c r="Q1519" s="55"/>
      <c r="R1519" s="56"/>
      <c r="S1519" s="57"/>
      <c r="T1519" s="60"/>
    </row>
    <row r="1520">
      <c r="A1520" s="55"/>
      <c r="B1520" s="55"/>
      <c r="C1520" s="55"/>
      <c r="D1520" s="56"/>
      <c r="E1520" s="57"/>
      <c r="F1520" s="58"/>
      <c r="G1520" s="60"/>
      <c r="H1520" s="63"/>
      <c r="I1520" s="60"/>
      <c r="J1520" s="64"/>
      <c r="K1520" s="64"/>
      <c r="L1520" s="55"/>
      <c r="M1520" s="55"/>
      <c r="N1520" s="55"/>
      <c r="O1520" s="55"/>
      <c r="P1520" s="55"/>
      <c r="Q1520" s="55"/>
      <c r="R1520" s="56"/>
      <c r="S1520" s="57"/>
      <c r="T1520" s="60"/>
    </row>
    <row r="1521">
      <c r="A1521" s="55"/>
      <c r="B1521" s="55"/>
      <c r="C1521" s="55"/>
      <c r="D1521" s="56"/>
      <c r="E1521" s="57"/>
      <c r="F1521" s="58"/>
      <c r="G1521" s="60"/>
      <c r="H1521" s="63"/>
      <c r="I1521" s="60"/>
      <c r="J1521" s="64"/>
      <c r="K1521" s="64"/>
      <c r="L1521" s="55"/>
      <c r="M1521" s="55"/>
      <c r="N1521" s="55"/>
      <c r="O1521" s="55"/>
      <c r="P1521" s="55"/>
      <c r="Q1521" s="55"/>
      <c r="R1521" s="56"/>
      <c r="S1521" s="57"/>
      <c r="T1521" s="60"/>
    </row>
    <row r="1522">
      <c r="A1522" s="55"/>
      <c r="B1522" s="55"/>
      <c r="C1522" s="55"/>
      <c r="D1522" s="56"/>
      <c r="E1522" s="57"/>
      <c r="F1522" s="58"/>
      <c r="G1522" s="60"/>
      <c r="H1522" s="63"/>
      <c r="I1522" s="60"/>
      <c r="J1522" s="64"/>
      <c r="K1522" s="64"/>
      <c r="L1522" s="55"/>
      <c r="M1522" s="55"/>
      <c r="N1522" s="55"/>
      <c r="O1522" s="55"/>
      <c r="P1522" s="55"/>
      <c r="Q1522" s="55"/>
      <c r="R1522" s="56"/>
      <c r="S1522" s="57"/>
      <c r="T1522" s="60"/>
    </row>
    <row r="1523">
      <c r="A1523" s="55"/>
      <c r="B1523" s="55"/>
      <c r="C1523" s="55"/>
      <c r="D1523" s="56"/>
      <c r="E1523" s="57"/>
      <c r="F1523" s="58"/>
      <c r="G1523" s="60"/>
      <c r="H1523" s="63"/>
      <c r="I1523" s="60"/>
      <c r="J1523" s="64"/>
      <c r="K1523" s="64"/>
      <c r="L1523" s="55"/>
      <c r="M1523" s="55"/>
      <c r="N1523" s="55"/>
      <c r="O1523" s="55"/>
      <c r="P1523" s="55"/>
      <c r="Q1523" s="55"/>
      <c r="R1523" s="56"/>
      <c r="S1523" s="57"/>
      <c r="T1523" s="60"/>
    </row>
    <row r="1524">
      <c r="A1524" s="55"/>
      <c r="B1524" s="55"/>
      <c r="C1524" s="55"/>
      <c r="D1524" s="56"/>
      <c r="E1524" s="57"/>
      <c r="F1524" s="58"/>
      <c r="G1524" s="60"/>
      <c r="H1524" s="63"/>
      <c r="I1524" s="60"/>
      <c r="J1524" s="64"/>
      <c r="K1524" s="64"/>
      <c r="L1524" s="55"/>
      <c r="M1524" s="55"/>
      <c r="N1524" s="55"/>
      <c r="O1524" s="55"/>
      <c r="P1524" s="55"/>
      <c r="Q1524" s="55"/>
      <c r="R1524" s="56"/>
      <c r="S1524" s="57"/>
      <c r="T1524" s="60"/>
    </row>
    <row r="1525">
      <c r="A1525" s="55"/>
      <c r="B1525" s="55"/>
      <c r="C1525" s="55"/>
      <c r="D1525" s="56"/>
      <c r="E1525" s="57"/>
      <c r="F1525" s="58"/>
      <c r="G1525" s="60"/>
      <c r="H1525" s="63"/>
      <c r="I1525" s="60"/>
      <c r="J1525" s="64"/>
      <c r="K1525" s="64"/>
      <c r="L1525" s="55"/>
      <c r="M1525" s="55"/>
      <c r="N1525" s="55"/>
      <c r="O1525" s="55"/>
      <c r="P1525" s="55"/>
      <c r="Q1525" s="55"/>
      <c r="R1525" s="56"/>
      <c r="S1525" s="57"/>
      <c r="T1525" s="60"/>
    </row>
    <row r="1526">
      <c r="A1526" s="55"/>
      <c r="B1526" s="55"/>
      <c r="C1526" s="55"/>
      <c r="D1526" s="56"/>
      <c r="E1526" s="57"/>
      <c r="F1526" s="58"/>
      <c r="G1526" s="60"/>
      <c r="H1526" s="63"/>
      <c r="I1526" s="60"/>
      <c r="J1526" s="64"/>
      <c r="K1526" s="64"/>
      <c r="L1526" s="55"/>
      <c r="M1526" s="55"/>
      <c r="N1526" s="55"/>
      <c r="O1526" s="55"/>
      <c r="P1526" s="55"/>
      <c r="Q1526" s="55"/>
      <c r="R1526" s="56"/>
      <c r="S1526" s="57"/>
      <c r="T1526" s="60"/>
    </row>
    <row r="1527">
      <c r="A1527" s="55"/>
      <c r="B1527" s="55"/>
      <c r="C1527" s="55"/>
      <c r="D1527" s="56"/>
      <c r="E1527" s="57"/>
      <c r="F1527" s="58"/>
      <c r="G1527" s="60"/>
      <c r="H1527" s="63"/>
      <c r="I1527" s="60"/>
      <c r="J1527" s="64"/>
      <c r="K1527" s="64"/>
      <c r="L1527" s="55"/>
      <c r="M1527" s="55"/>
      <c r="N1527" s="55"/>
      <c r="O1527" s="55"/>
      <c r="P1527" s="55"/>
      <c r="Q1527" s="55"/>
      <c r="R1527" s="56"/>
      <c r="S1527" s="57"/>
      <c r="T1527" s="60"/>
    </row>
    <row r="1528">
      <c r="A1528" s="55"/>
      <c r="B1528" s="55"/>
      <c r="C1528" s="55"/>
      <c r="D1528" s="56"/>
      <c r="E1528" s="57"/>
      <c r="F1528" s="58"/>
      <c r="G1528" s="60"/>
      <c r="H1528" s="63"/>
      <c r="I1528" s="60"/>
      <c r="J1528" s="64"/>
      <c r="K1528" s="64"/>
      <c r="L1528" s="55"/>
      <c r="M1528" s="55"/>
      <c r="N1528" s="55"/>
      <c r="O1528" s="55"/>
      <c r="P1528" s="55"/>
      <c r="Q1528" s="55"/>
      <c r="R1528" s="56"/>
      <c r="S1528" s="57"/>
      <c r="T1528" s="60"/>
    </row>
    <row r="1529">
      <c r="A1529" s="55"/>
      <c r="B1529" s="55"/>
      <c r="C1529" s="55"/>
      <c r="D1529" s="56"/>
      <c r="E1529" s="57"/>
      <c r="F1529" s="58"/>
      <c r="G1529" s="60"/>
      <c r="H1529" s="63"/>
      <c r="I1529" s="60"/>
      <c r="J1529" s="64"/>
      <c r="K1529" s="64"/>
      <c r="L1529" s="55"/>
      <c r="M1529" s="55"/>
      <c r="N1529" s="55"/>
      <c r="O1529" s="55"/>
      <c r="P1529" s="55"/>
      <c r="Q1529" s="55"/>
      <c r="R1529" s="56"/>
      <c r="S1529" s="57"/>
      <c r="T1529" s="60"/>
    </row>
    <row r="1530">
      <c r="A1530" s="55"/>
      <c r="B1530" s="55"/>
      <c r="C1530" s="55"/>
      <c r="D1530" s="56"/>
      <c r="E1530" s="57"/>
      <c r="F1530" s="58"/>
      <c r="G1530" s="60"/>
      <c r="H1530" s="63"/>
      <c r="I1530" s="60"/>
      <c r="J1530" s="64"/>
      <c r="K1530" s="64"/>
      <c r="L1530" s="55"/>
      <c r="M1530" s="55"/>
      <c r="N1530" s="55"/>
      <c r="O1530" s="55"/>
      <c r="P1530" s="55"/>
      <c r="Q1530" s="55"/>
      <c r="R1530" s="56"/>
      <c r="S1530" s="57"/>
      <c r="T1530" s="60"/>
    </row>
    <row r="1531">
      <c r="A1531" s="55"/>
      <c r="B1531" s="55"/>
      <c r="C1531" s="55"/>
      <c r="D1531" s="56"/>
      <c r="E1531" s="57"/>
      <c r="F1531" s="58"/>
      <c r="G1531" s="60"/>
      <c r="H1531" s="63"/>
      <c r="I1531" s="60"/>
      <c r="J1531" s="64"/>
      <c r="K1531" s="64"/>
      <c r="L1531" s="55"/>
      <c r="M1531" s="55"/>
      <c r="N1531" s="55"/>
      <c r="O1531" s="55"/>
      <c r="P1531" s="55"/>
      <c r="Q1531" s="55"/>
      <c r="R1531" s="56"/>
      <c r="S1531" s="57"/>
      <c r="T1531" s="60"/>
    </row>
    <row r="1532">
      <c r="A1532" s="55"/>
      <c r="B1532" s="55"/>
      <c r="C1532" s="55"/>
      <c r="D1532" s="56"/>
      <c r="E1532" s="57"/>
      <c r="F1532" s="58"/>
      <c r="G1532" s="60"/>
      <c r="H1532" s="63"/>
      <c r="I1532" s="60"/>
      <c r="J1532" s="64"/>
      <c r="K1532" s="64"/>
      <c r="L1532" s="55"/>
      <c r="M1532" s="55"/>
      <c r="N1532" s="55"/>
      <c r="O1532" s="55"/>
      <c r="P1532" s="55"/>
      <c r="Q1532" s="55"/>
      <c r="R1532" s="56"/>
      <c r="S1532" s="57"/>
      <c r="T1532" s="60"/>
    </row>
    <row r="1533">
      <c r="A1533" s="55"/>
      <c r="B1533" s="55"/>
      <c r="C1533" s="55"/>
      <c r="D1533" s="56"/>
      <c r="E1533" s="57"/>
      <c r="F1533" s="58"/>
      <c r="G1533" s="60"/>
      <c r="H1533" s="63"/>
      <c r="I1533" s="60"/>
      <c r="J1533" s="64"/>
      <c r="K1533" s="64"/>
      <c r="L1533" s="55"/>
      <c r="M1533" s="55"/>
      <c r="N1533" s="55"/>
      <c r="O1533" s="55"/>
      <c r="P1533" s="55"/>
      <c r="Q1533" s="55"/>
      <c r="R1533" s="56"/>
      <c r="S1533" s="57"/>
      <c r="T1533" s="60"/>
    </row>
    <row r="1534">
      <c r="A1534" s="55"/>
      <c r="B1534" s="55"/>
      <c r="C1534" s="55"/>
      <c r="D1534" s="56"/>
      <c r="E1534" s="57"/>
      <c r="F1534" s="58"/>
      <c r="G1534" s="60"/>
      <c r="H1534" s="63"/>
      <c r="I1534" s="60"/>
      <c r="J1534" s="64"/>
      <c r="K1534" s="64"/>
      <c r="L1534" s="55"/>
      <c r="M1534" s="55"/>
      <c r="N1534" s="55"/>
      <c r="O1534" s="55"/>
      <c r="P1534" s="55"/>
      <c r="Q1534" s="55"/>
      <c r="R1534" s="56"/>
      <c r="S1534" s="57"/>
      <c r="T1534" s="60"/>
    </row>
    <row r="1535">
      <c r="A1535" s="55"/>
      <c r="B1535" s="55"/>
      <c r="C1535" s="55"/>
      <c r="D1535" s="56"/>
      <c r="E1535" s="57"/>
      <c r="F1535" s="58"/>
      <c r="G1535" s="60"/>
      <c r="H1535" s="63"/>
      <c r="I1535" s="60"/>
      <c r="J1535" s="64"/>
      <c r="K1535" s="64"/>
      <c r="L1535" s="55"/>
      <c r="M1535" s="55"/>
      <c r="N1535" s="55"/>
      <c r="O1535" s="55"/>
      <c r="P1535" s="55"/>
      <c r="Q1535" s="55"/>
      <c r="R1535" s="56"/>
      <c r="S1535" s="57"/>
      <c r="T1535" s="60"/>
    </row>
    <row r="1536">
      <c r="A1536" s="55"/>
      <c r="B1536" s="55"/>
      <c r="C1536" s="55"/>
      <c r="D1536" s="56"/>
      <c r="E1536" s="57"/>
      <c r="F1536" s="58"/>
      <c r="G1536" s="60"/>
      <c r="H1536" s="63"/>
      <c r="I1536" s="60"/>
      <c r="J1536" s="64"/>
      <c r="K1536" s="64"/>
      <c r="L1536" s="55"/>
      <c r="M1536" s="55"/>
      <c r="N1536" s="55"/>
      <c r="O1536" s="55"/>
      <c r="P1536" s="55"/>
      <c r="Q1536" s="55"/>
      <c r="R1536" s="56"/>
      <c r="S1536" s="57"/>
      <c r="T1536" s="60"/>
    </row>
    <row r="1537">
      <c r="A1537" s="55"/>
      <c r="B1537" s="55"/>
      <c r="C1537" s="55"/>
      <c r="D1537" s="56"/>
      <c r="E1537" s="57"/>
      <c r="F1537" s="58"/>
      <c r="G1537" s="60"/>
      <c r="H1537" s="63"/>
      <c r="I1537" s="60"/>
      <c r="J1537" s="64"/>
      <c r="K1537" s="64"/>
      <c r="L1537" s="55"/>
      <c r="M1537" s="55"/>
      <c r="N1537" s="55"/>
      <c r="O1537" s="55"/>
      <c r="P1537" s="55"/>
      <c r="Q1537" s="55"/>
      <c r="R1537" s="56"/>
      <c r="S1537" s="57"/>
      <c r="T1537" s="60"/>
    </row>
    <row r="1538">
      <c r="A1538" s="55"/>
      <c r="B1538" s="55"/>
      <c r="C1538" s="55"/>
      <c r="D1538" s="56"/>
      <c r="E1538" s="57"/>
      <c r="F1538" s="58"/>
      <c r="G1538" s="60"/>
      <c r="H1538" s="63"/>
      <c r="I1538" s="60"/>
      <c r="J1538" s="64"/>
      <c r="K1538" s="64"/>
      <c r="L1538" s="55"/>
      <c r="M1538" s="55"/>
      <c r="N1538" s="55"/>
      <c r="O1538" s="55"/>
      <c r="P1538" s="55"/>
      <c r="Q1538" s="55"/>
      <c r="R1538" s="56"/>
      <c r="S1538" s="57"/>
      <c r="T1538" s="60"/>
    </row>
    <row r="1539">
      <c r="A1539" s="55"/>
      <c r="B1539" s="55"/>
      <c r="C1539" s="55"/>
      <c r="D1539" s="56"/>
      <c r="E1539" s="57"/>
      <c r="F1539" s="58"/>
      <c r="G1539" s="60"/>
      <c r="H1539" s="63"/>
      <c r="I1539" s="60"/>
      <c r="J1539" s="64"/>
      <c r="K1539" s="64"/>
      <c r="L1539" s="55"/>
      <c r="M1539" s="55"/>
      <c r="N1539" s="55"/>
      <c r="O1539" s="55"/>
      <c r="P1539" s="55"/>
      <c r="Q1539" s="55"/>
      <c r="R1539" s="56"/>
      <c r="S1539" s="57"/>
      <c r="T1539" s="60"/>
    </row>
    <row r="1540">
      <c r="A1540" s="55"/>
      <c r="B1540" s="55"/>
      <c r="C1540" s="55"/>
      <c r="D1540" s="56"/>
      <c r="E1540" s="57"/>
      <c r="F1540" s="58"/>
      <c r="G1540" s="60"/>
      <c r="H1540" s="63"/>
      <c r="I1540" s="60"/>
      <c r="J1540" s="64"/>
      <c r="K1540" s="64"/>
      <c r="L1540" s="55"/>
      <c r="M1540" s="55"/>
      <c r="N1540" s="55"/>
      <c r="O1540" s="55"/>
      <c r="P1540" s="55"/>
      <c r="Q1540" s="55"/>
      <c r="R1540" s="56"/>
      <c r="S1540" s="57"/>
      <c r="T1540" s="60"/>
    </row>
    <row r="1541">
      <c r="A1541" s="55"/>
      <c r="B1541" s="55"/>
      <c r="C1541" s="55"/>
      <c r="D1541" s="56"/>
      <c r="E1541" s="57"/>
      <c r="F1541" s="58"/>
      <c r="G1541" s="60"/>
      <c r="H1541" s="63"/>
      <c r="I1541" s="60"/>
      <c r="J1541" s="64"/>
      <c r="K1541" s="64"/>
      <c r="L1541" s="55"/>
      <c r="M1541" s="55"/>
      <c r="N1541" s="55"/>
      <c r="O1541" s="55"/>
      <c r="P1541" s="55"/>
      <c r="Q1541" s="55"/>
      <c r="R1541" s="56"/>
      <c r="S1541" s="57"/>
      <c r="T1541" s="60"/>
    </row>
    <row r="1542">
      <c r="A1542" s="55"/>
      <c r="B1542" s="55"/>
      <c r="C1542" s="55"/>
      <c r="D1542" s="56"/>
      <c r="E1542" s="57"/>
      <c r="F1542" s="58"/>
      <c r="G1542" s="60"/>
      <c r="H1542" s="63"/>
      <c r="I1542" s="60"/>
      <c r="J1542" s="64"/>
      <c r="K1542" s="64"/>
      <c r="L1542" s="55"/>
      <c r="M1542" s="55"/>
      <c r="N1542" s="55"/>
      <c r="O1542" s="55"/>
      <c r="P1542" s="55"/>
      <c r="Q1542" s="55"/>
      <c r="R1542" s="56"/>
      <c r="S1542" s="57"/>
      <c r="T1542" s="60"/>
    </row>
    <row r="1543">
      <c r="A1543" s="55"/>
      <c r="B1543" s="55"/>
      <c r="C1543" s="55"/>
      <c r="D1543" s="56"/>
      <c r="E1543" s="57"/>
      <c r="F1543" s="58"/>
      <c r="G1543" s="60"/>
      <c r="H1543" s="63"/>
      <c r="I1543" s="60"/>
      <c r="J1543" s="64"/>
      <c r="K1543" s="64"/>
      <c r="L1543" s="55"/>
      <c r="M1543" s="55"/>
      <c r="N1543" s="55"/>
      <c r="O1543" s="55"/>
      <c r="P1543" s="55"/>
      <c r="Q1543" s="55"/>
      <c r="R1543" s="56"/>
      <c r="S1543" s="57"/>
      <c r="T1543" s="60"/>
    </row>
    <row r="1544">
      <c r="A1544" s="55"/>
      <c r="B1544" s="55"/>
      <c r="C1544" s="55"/>
      <c r="D1544" s="56"/>
      <c r="E1544" s="57"/>
      <c r="F1544" s="58"/>
      <c r="G1544" s="60"/>
      <c r="H1544" s="63"/>
      <c r="I1544" s="60"/>
      <c r="J1544" s="64"/>
      <c r="K1544" s="64"/>
      <c r="L1544" s="55"/>
      <c r="M1544" s="55"/>
      <c r="N1544" s="55"/>
      <c r="O1544" s="55"/>
      <c r="P1544" s="55"/>
      <c r="Q1544" s="55"/>
      <c r="R1544" s="56"/>
      <c r="S1544" s="57"/>
      <c r="T1544" s="60"/>
    </row>
    <row r="1545">
      <c r="A1545" s="55"/>
      <c r="B1545" s="55"/>
      <c r="C1545" s="55"/>
      <c r="D1545" s="56"/>
      <c r="E1545" s="57"/>
      <c r="F1545" s="58"/>
      <c r="G1545" s="60"/>
      <c r="H1545" s="63"/>
      <c r="I1545" s="60"/>
      <c r="J1545" s="64"/>
      <c r="K1545" s="64"/>
      <c r="L1545" s="55"/>
      <c r="M1545" s="55"/>
      <c r="N1545" s="55"/>
      <c r="O1545" s="55"/>
      <c r="P1545" s="55"/>
      <c r="Q1545" s="55"/>
      <c r="R1545" s="56"/>
      <c r="S1545" s="57"/>
      <c r="T1545" s="60"/>
    </row>
    <row r="1546">
      <c r="A1546" s="55"/>
      <c r="B1546" s="55"/>
      <c r="C1546" s="55"/>
      <c r="D1546" s="56"/>
      <c r="E1546" s="57"/>
      <c r="F1546" s="58"/>
      <c r="G1546" s="60"/>
      <c r="H1546" s="63"/>
      <c r="I1546" s="60"/>
      <c r="J1546" s="64"/>
      <c r="K1546" s="64"/>
      <c r="L1546" s="55"/>
      <c r="M1546" s="55"/>
      <c r="N1546" s="55"/>
      <c r="O1546" s="55"/>
      <c r="P1546" s="55"/>
      <c r="Q1546" s="55"/>
      <c r="R1546" s="56"/>
      <c r="S1546" s="57"/>
      <c r="T1546" s="60"/>
    </row>
    <row r="1547">
      <c r="A1547" s="55"/>
      <c r="B1547" s="55"/>
      <c r="C1547" s="55"/>
      <c r="D1547" s="56"/>
      <c r="E1547" s="57"/>
      <c r="F1547" s="58"/>
      <c r="G1547" s="60"/>
      <c r="H1547" s="63"/>
      <c r="I1547" s="60"/>
      <c r="J1547" s="64"/>
      <c r="K1547" s="64"/>
      <c r="L1547" s="55"/>
      <c r="M1547" s="55"/>
      <c r="N1547" s="55"/>
      <c r="O1547" s="55"/>
      <c r="P1547" s="55"/>
      <c r="Q1547" s="55"/>
      <c r="R1547" s="56"/>
      <c r="S1547" s="57"/>
      <c r="T1547" s="60"/>
    </row>
    <row r="1548">
      <c r="A1548" s="55"/>
      <c r="B1548" s="55"/>
      <c r="C1548" s="55"/>
      <c r="D1548" s="56"/>
      <c r="E1548" s="57"/>
      <c r="F1548" s="58"/>
      <c r="G1548" s="60"/>
      <c r="H1548" s="63"/>
      <c r="I1548" s="60"/>
      <c r="J1548" s="64"/>
      <c r="K1548" s="64"/>
      <c r="L1548" s="55"/>
      <c r="M1548" s="55"/>
      <c r="N1548" s="55"/>
      <c r="O1548" s="55"/>
      <c r="P1548" s="55"/>
      <c r="Q1548" s="55"/>
      <c r="R1548" s="56"/>
      <c r="S1548" s="57"/>
      <c r="T1548" s="60"/>
    </row>
    <row r="1549">
      <c r="A1549" s="55"/>
      <c r="B1549" s="55"/>
      <c r="C1549" s="55"/>
      <c r="D1549" s="56"/>
      <c r="E1549" s="57"/>
      <c r="F1549" s="58"/>
      <c r="G1549" s="60"/>
      <c r="H1549" s="63"/>
      <c r="I1549" s="60"/>
      <c r="J1549" s="64"/>
      <c r="K1549" s="64"/>
      <c r="L1549" s="55"/>
      <c r="M1549" s="55"/>
      <c r="N1549" s="55"/>
      <c r="O1549" s="55"/>
      <c r="P1549" s="55"/>
      <c r="Q1549" s="55"/>
      <c r="R1549" s="56"/>
      <c r="S1549" s="57"/>
      <c r="T1549" s="60"/>
    </row>
    <row r="1550">
      <c r="A1550" s="55"/>
      <c r="B1550" s="55"/>
      <c r="C1550" s="55"/>
      <c r="D1550" s="56"/>
      <c r="E1550" s="57"/>
      <c r="F1550" s="58"/>
      <c r="G1550" s="60"/>
      <c r="H1550" s="63"/>
      <c r="I1550" s="60"/>
      <c r="J1550" s="64"/>
      <c r="K1550" s="64"/>
      <c r="L1550" s="55"/>
      <c r="M1550" s="55"/>
      <c r="N1550" s="55"/>
      <c r="O1550" s="55"/>
      <c r="P1550" s="55"/>
      <c r="Q1550" s="55"/>
      <c r="R1550" s="56"/>
      <c r="S1550" s="57"/>
      <c r="T1550" s="60"/>
    </row>
    <row r="1551">
      <c r="A1551" s="55"/>
      <c r="B1551" s="55"/>
      <c r="C1551" s="55"/>
      <c r="D1551" s="56"/>
      <c r="E1551" s="57"/>
      <c r="F1551" s="58"/>
      <c r="G1551" s="60"/>
      <c r="H1551" s="63"/>
      <c r="I1551" s="60"/>
      <c r="J1551" s="64"/>
      <c r="K1551" s="64"/>
      <c r="L1551" s="55"/>
      <c r="M1551" s="55"/>
      <c r="N1551" s="55"/>
      <c r="O1551" s="55"/>
      <c r="P1551" s="55"/>
      <c r="Q1551" s="55"/>
      <c r="R1551" s="56"/>
      <c r="S1551" s="57"/>
      <c r="T1551" s="60"/>
    </row>
    <row r="1552">
      <c r="A1552" s="55"/>
      <c r="B1552" s="55"/>
      <c r="C1552" s="55"/>
      <c r="D1552" s="56"/>
      <c r="E1552" s="57"/>
      <c r="F1552" s="58"/>
      <c r="G1552" s="60"/>
      <c r="H1552" s="63"/>
      <c r="I1552" s="60"/>
      <c r="J1552" s="64"/>
      <c r="K1552" s="64"/>
      <c r="L1552" s="55"/>
      <c r="M1552" s="55"/>
      <c r="N1552" s="55"/>
      <c r="O1552" s="55"/>
      <c r="P1552" s="55"/>
      <c r="Q1552" s="55"/>
      <c r="R1552" s="56"/>
      <c r="S1552" s="57"/>
      <c r="T1552" s="60"/>
    </row>
    <row r="1553">
      <c r="A1553" s="55"/>
      <c r="B1553" s="55"/>
      <c r="C1553" s="55"/>
      <c r="D1553" s="56"/>
      <c r="E1553" s="57"/>
      <c r="F1553" s="58"/>
      <c r="G1553" s="60"/>
      <c r="H1553" s="63"/>
      <c r="I1553" s="60"/>
      <c r="J1553" s="64"/>
      <c r="K1553" s="64"/>
      <c r="L1553" s="55"/>
      <c r="M1553" s="55"/>
      <c r="N1553" s="55"/>
      <c r="O1553" s="55"/>
      <c r="P1553" s="55"/>
      <c r="Q1553" s="55"/>
      <c r="R1553" s="56"/>
      <c r="S1553" s="57"/>
      <c r="T1553" s="60"/>
    </row>
    <row r="1554">
      <c r="A1554" s="55"/>
      <c r="B1554" s="55"/>
      <c r="C1554" s="55"/>
      <c r="D1554" s="56"/>
      <c r="E1554" s="57"/>
      <c r="F1554" s="58"/>
      <c r="G1554" s="60"/>
      <c r="H1554" s="63"/>
      <c r="I1554" s="60"/>
      <c r="J1554" s="64"/>
      <c r="K1554" s="64"/>
      <c r="L1554" s="55"/>
      <c r="M1554" s="55"/>
      <c r="N1554" s="55"/>
      <c r="O1554" s="55"/>
      <c r="P1554" s="55"/>
      <c r="Q1554" s="55"/>
      <c r="R1554" s="56"/>
      <c r="S1554" s="57"/>
      <c r="T1554" s="60"/>
    </row>
    <row r="1555">
      <c r="A1555" s="55"/>
      <c r="B1555" s="55"/>
      <c r="C1555" s="55"/>
      <c r="D1555" s="56"/>
      <c r="E1555" s="57"/>
      <c r="F1555" s="58"/>
      <c r="G1555" s="60"/>
      <c r="H1555" s="63"/>
      <c r="I1555" s="60"/>
      <c r="J1555" s="64"/>
      <c r="K1555" s="64"/>
      <c r="L1555" s="55"/>
      <c r="M1555" s="55"/>
      <c r="N1555" s="55"/>
      <c r="O1555" s="55"/>
      <c r="P1555" s="55"/>
      <c r="Q1555" s="55"/>
      <c r="R1555" s="56"/>
      <c r="S1555" s="57"/>
      <c r="T1555" s="60"/>
    </row>
    <row r="1556">
      <c r="A1556" s="55"/>
      <c r="B1556" s="55"/>
      <c r="C1556" s="55"/>
      <c r="D1556" s="56"/>
      <c r="E1556" s="57"/>
      <c r="F1556" s="58"/>
      <c r="G1556" s="60"/>
      <c r="H1556" s="63"/>
      <c r="I1556" s="60"/>
      <c r="J1556" s="64"/>
      <c r="K1556" s="64"/>
      <c r="L1556" s="55"/>
      <c r="M1556" s="55"/>
      <c r="N1556" s="55"/>
      <c r="O1556" s="55"/>
      <c r="P1556" s="55"/>
      <c r="Q1556" s="55"/>
      <c r="R1556" s="56"/>
      <c r="S1556" s="57"/>
      <c r="T1556" s="60"/>
    </row>
    <row r="1557">
      <c r="A1557" s="55"/>
      <c r="B1557" s="55"/>
      <c r="C1557" s="55"/>
      <c r="D1557" s="56"/>
      <c r="E1557" s="57"/>
      <c r="F1557" s="58"/>
      <c r="G1557" s="60"/>
      <c r="H1557" s="63"/>
      <c r="I1557" s="60"/>
      <c r="J1557" s="64"/>
      <c r="K1557" s="64"/>
      <c r="L1557" s="55"/>
      <c r="M1557" s="55"/>
      <c r="N1557" s="55"/>
      <c r="O1557" s="55"/>
      <c r="P1557" s="55"/>
      <c r="Q1557" s="55"/>
      <c r="R1557" s="56"/>
      <c r="S1557" s="57"/>
      <c r="T1557" s="60"/>
    </row>
    <row r="1558">
      <c r="A1558" s="55"/>
      <c r="B1558" s="55"/>
      <c r="C1558" s="55"/>
      <c r="D1558" s="56"/>
      <c r="E1558" s="57"/>
      <c r="F1558" s="58"/>
      <c r="G1558" s="60"/>
      <c r="H1558" s="63"/>
      <c r="I1558" s="60"/>
      <c r="J1558" s="64"/>
      <c r="K1558" s="64"/>
      <c r="L1558" s="55"/>
      <c r="M1558" s="55"/>
      <c r="N1558" s="55"/>
      <c r="O1558" s="55"/>
      <c r="P1558" s="55"/>
      <c r="Q1558" s="55"/>
      <c r="R1558" s="56"/>
      <c r="S1558" s="57"/>
      <c r="T1558" s="60"/>
    </row>
    <row r="1559">
      <c r="A1559" s="55"/>
      <c r="B1559" s="55"/>
      <c r="C1559" s="55"/>
      <c r="D1559" s="56"/>
      <c r="E1559" s="57"/>
      <c r="F1559" s="58"/>
      <c r="G1559" s="60"/>
      <c r="H1559" s="63"/>
      <c r="I1559" s="60"/>
      <c r="J1559" s="64"/>
      <c r="K1559" s="64"/>
      <c r="L1559" s="55"/>
      <c r="M1559" s="55"/>
      <c r="N1559" s="55"/>
      <c r="O1559" s="55"/>
      <c r="P1559" s="55"/>
      <c r="Q1559" s="55"/>
      <c r="R1559" s="56"/>
      <c r="S1559" s="57"/>
      <c r="T1559" s="60"/>
    </row>
    <row r="1560">
      <c r="A1560" s="55"/>
      <c r="B1560" s="55"/>
      <c r="C1560" s="55"/>
      <c r="D1560" s="56"/>
      <c r="E1560" s="57"/>
      <c r="F1560" s="58"/>
      <c r="G1560" s="60"/>
      <c r="H1560" s="63"/>
      <c r="I1560" s="60"/>
      <c r="J1560" s="64"/>
      <c r="K1560" s="64"/>
      <c r="L1560" s="55"/>
      <c r="M1560" s="55"/>
      <c r="N1560" s="55"/>
      <c r="O1560" s="55"/>
      <c r="P1560" s="55"/>
      <c r="Q1560" s="55"/>
      <c r="R1560" s="56"/>
      <c r="S1560" s="57"/>
      <c r="T1560" s="60"/>
    </row>
    <row r="1561">
      <c r="A1561" s="55"/>
      <c r="B1561" s="55"/>
      <c r="C1561" s="55"/>
      <c r="D1561" s="56"/>
      <c r="E1561" s="57"/>
      <c r="F1561" s="58"/>
      <c r="G1561" s="60"/>
      <c r="H1561" s="63"/>
      <c r="I1561" s="60"/>
      <c r="J1561" s="64"/>
      <c r="K1561" s="64"/>
      <c r="L1561" s="55"/>
      <c r="M1561" s="55"/>
      <c r="N1561" s="55"/>
      <c r="O1561" s="55"/>
      <c r="P1561" s="55"/>
      <c r="Q1561" s="55"/>
      <c r="R1561" s="56"/>
      <c r="S1561" s="57"/>
      <c r="T1561" s="60"/>
    </row>
    <row r="1562">
      <c r="A1562" s="55"/>
      <c r="B1562" s="55"/>
      <c r="C1562" s="55"/>
      <c r="D1562" s="56"/>
      <c r="E1562" s="57"/>
      <c r="F1562" s="58"/>
      <c r="G1562" s="60"/>
      <c r="H1562" s="63"/>
      <c r="I1562" s="60"/>
      <c r="J1562" s="64"/>
      <c r="K1562" s="64"/>
      <c r="L1562" s="55"/>
      <c r="M1562" s="55"/>
      <c r="N1562" s="55"/>
      <c r="O1562" s="55"/>
      <c r="P1562" s="55"/>
      <c r="Q1562" s="55"/>
      <c r="R1562" s="56"/>
      <c r="S1562" s="57"/>
      <c r="T1562" s="60"/>
    </row>
    <row r="1563">
      <c r="A1563" s="55"/>
      <c r="B1563" s="55"/>
      <c r="C1563" s="55"/>
      <c r="D1563" s="56"/>
      <c r="E1563" s="57"/>
      <c r="F1563" s="58"/>
      <c r="G1563" s="60"/>
      <c r="H1563" s="63"/>
      <c r="I1563" s="60"/>
      <c r="J1563" s="64"/>
      <c r="K1563" s="64"/>
      <c r="L1563" s="55"/>
      <c r="M1563" s="55"/>
      <c r="N1563" s="55"/>
      <c r="O1563" s="55"/>
      <c r="P1563" s="55"/>
      <c r="Q1563" s="55"/>
      <c r="R1563" s="56"/>
      <c r="S1563" s="57"/>
      <c r="T1563" s="60"/>
    </row>
    <row r="1564">
      <c r="A1564" s="55"/>
      <c r="B1564" s="55"/>
      <c r="C1564" s="55"/>
      <c r="D1564" s="56"/>
      <c r="E1564" s="57"/>
      <c r="F1564" s="58"/>
      <c r="G1564" s="60"/>
      <c r="H1564" s="63"/>
      <c r="I1564" s="60"/>
      <c r="J1564" s="64"/>
      <c r="K1564" s="64"/>
      <c r="L1564" s="55"/>
      <c r="M1564" s="55"/>
      <c r="N1564" s="55"/>
      <c r="O1564" s="55"/>
      <c r="P1564" s="55"/>
      <c r="Q1564" s="55"/>
      <c r="R1564" s="56"/>
      <c r="S1564" s="57"/>
      <c r="T1564" s="60"/>
    </row>
    <row r="1565">
      <c r="A1565" s="55"/>
      <c r="B1565" s="55"/>
      <c r="C1565" s="55"/>
      <c r="D1565" s="56"/>
      <c r="E1565" s="57"/>
      <c r="F1565" s="58"/>
      <c r="G1565" s="60"/>
      <c r="H1565" s="63"/>
      <c r="I1565" s="60"/>
      <c r="J1565" s="64"/>
      <c r="K1565" s="64"/>
      <c r="L1565" s="55"/>
      <c r="M1565" s="55"/>
      <c r="N1565" s="55"/>
      <c r="O1565" s="55"/>
      <c r="P1565" s="55"/>
      <c r="Q1565" s="55"/>
      <c r="R1565" s="56"/>
      <c r="S1565" s="57"/>
      <c r="T1565" s="60"/>
    </row>
    <row r="1566">
      <c r="A1566" s="55"/>
      <c r="B1566" s="55"/>
      <c r="C1566" s="55"/>
      <c r="D1566" s="56"/>
      <c r="E1566" s="57"/>
      <c r="F1566" s="58"/>
      <c r="G1566" s="60"/>
      <c r="H1566" s="63"/>
      <c r="I1566" s="60"/>
      <c r="J1566" s="64"/>
      <c r="K1566" s="64"/>
      <c r="L1566" s="55"/>
      <c r="M1566" s="55"/>
      <c r="N1566" s="55"/>
      <c r="O1566" s="55"/>
      <c r="P1566" s="55"/>
      <c r="Q1566" s="55"/>
      <c r="R1566" s="56"/>
      <c r="S1566" s="57"/>
      <c r="T1566" s="60"/>
    </row>
    <row r="1567">
      <c r="A1567" s="55"/>
      <c r="B1567" s="55"/>
      <c r="C1567" s="55"/>
      <c r="D1567" s="56"/>
      <c r="E1567" s="57"/>
      <c r="F1567" s="58"/>
      <c r="G1567" s="60"/>
      <c r="H1567" s="63"/>
      <c r="I1567" s="60"/>
      <c r="J1567" s="64"/>
      <c r="K1567" s="64"/>
      <c r="L1567" s="55"/>
      <c r="M1567" s="55"/>
      <c r="N1567" s="55"/>
      <c r="O1567" s="55"/>
      <c r="P1567" s="55"/>
      <c r="Q1567" s="55"/>
      <c r="R1567" s="56"/>
      <c r="S1567" s="57"/>
      <c r="T1567" s="60"/>
    </row>
    <row r="1568">
      <c r="A1568" s="55"/>
      <c r="B1568" s="55"/>
      <c r="C1568" s="55"/>
      <c r="D1568" s="56"/>
      <c r="E1568" s="57"/>
      <c r="F1568" s="58"/>
      <c r="G1568" s="60"/>
      <c r="H1568" s="63"/>
      <c r="I1568" s="60"/>
      <c r="J1568" s="64"/>
      <c r="K1568" s="64"/>
      <c r="L1568" s="55"/>
      <c r="M1568" s="55"/>
      <c r="N1568" s="55"/>
      <c r="O1568" s="55"/>
      <c r="P1568" s="55"/>
      <c r="Q1568" s="55"/>
      <c r="R1568" s="56"/>
      <c r="S1568" s="57"/>
      <c r="T1568" s="60"/>
    </row>
    <row r="1569">
      <c r="A1569" s="55"/>
      <c r="B1569" s="55"/>
      <c r="C1569" s="55"/>
      <c r="D1569" s="56"/>
      <c r="E1569" s="57"/>
      <c r="F1569" s="58"/>
      <c r="G1569" s="60"/>
      <c r="H1569" s="63"/>
      <c r="I1569" s="60"/>
      <c r="J1569" s="64"/>
      <c r="K1569" s="64"/>
      <c r="L1569" s="55"/>
      <c r="M1569" s="55"/>
      <c r="N1569" s="55"/>
      <c r="O1569" s="55"/>
      <c r="P1569" s="55"/>
      <c r="Q1569" s="55"/>
      <c r="R1569" s="56"/>
      <c r="S1569" s="57"/>
      <c r="T1569" s="60"/>
    </row>
    <row r="1570">
      <c r="A1570" s="55"/>
      <c r="B1570" s="55"/>
      <c r="C1570" s="55"/>
      <c r="D1570" s="56"/>
      <c r="E1570" s="57"/>
      <c r="F1570" s="58"/>
      <c r="G1570" s="60"/>
      <c r="H1570" s="63"/>
      <c r="I1570" s="60"/>
      <c r="J1570" s="64"/>
      <c r="K1570" s="64"/>
      <c r="L1570" s="55"/>
      <c r="M1570" s="55"/>
      <c r="N1570" s="55"/>
      <c r="O1570" s="55"/>
      <c r="P1570" s="55"/>
      <c r="Q1570" s="55"/>
      <c r="R1570" s="56"/>
      <c r="S1570" s="57"/>
      <c r="T1570" s="60"/>
    </row>
    <row r="1571">
      <c r="A1571" s="55"/>
      <c r="B1571" s="55"/>
      <c r="C1571" s="55"/>
      <c r="D1571" s="56"/>
      <c r="E1571" s="57"/>
      <c r="F1571" s="58"/>
      <c r="G1571" s="60"/>
      <c r="H1571" s="63"/>
      <c r="I1571" s="60"/>
      <c r="J1571" s="64"/>
      <c r="K1571" s="64"/>
      <c r="L1571" s="55"/>
      <c r="M1571" s="55"/>
      <c r="N1571" s="55"/>
      <c r="O1571" s="55"/>
      <c r="P1571" s="55"/>
      <c r="Q1571" s="55"/>
      <c r="R1571" s="56"/>
      <c r="S1571" s="57"/>
      <c r="T1571" s="60"/>
    </row>
    <row r="1572">
      <c r="A1572" s="55"/>
      <c r="B1572" s="55"/>
      <c r="C1572" s="55"/>
      <c r="D1572" s="56"/>
      <c r="E1572" s="57"/>
      <c r="F1572" s="58"/>
      <c r="G1572" s="60"/>
      <c r="H1572" s="63"/>
      <c r="I1572" s="60"/>
      <c r="J1572" s="64"/>
      <c r="K1572" s="64"/>
      <c r="L1572" s="55"/>
      <c r="M1572" s="55"/>
      <c r="N1572" s="55"/>
      <c r="O1572" s="55"/>
      <c r="P1572" s="55"/>
      <c r="Q1572" s="55"/>
      <c r="R1572" s="56"/>
      <c r="S1572" s="57"/>
      <c r="T1572" s="60"/>
    </row>
    <row r="1573">
      <c r="A1573" s="55"/>
      <c r="B1573" s="55"/>
      <c r="C1573" s="55"/>
      <c r="D1573" s="56"/>
      <c r="E1573" s="57"/>
      <c r="F1573" s="58"/>
      <c r="G1573" s="60"/>
      <c r="H1573" s="63"/>
      <c r="I1573" s="60"/>
      <c r="J1573" s="64"/>
      <c r="K1573" s="64"/>
      <c r="L1573" s="55"/>
      <c r="M1573" s="55"/>
      <c r="N1573" s="55"/>
      <c r="O1573" s="55"/>
      <c r="P1573" s="55"/>
      <c r="Q1573" s="55"/>
      <c r="R1573" s="56"/>
      <c r="S1573" s="57"/>
      <c r="T1573" s="60"/>
    </row>
    <row r="1574">
      <c r="A1574" s="55"/>
      <c r="B1574" s="55"/>
      <c r="C1574" s="55"/>
      <c r="D1574" s="56"/>
      <c r="E1574" s="57"/>
      <c r="F1574" s="58"/>
      <c r="G1574" s="60"/>
      <c r="H1574" s="63"/>
      <c r="I1574" s="60"/>
      <c r="J1574" s="64"/>
      <c r="K1574" s="64"/>
      <c r="L1574" s="55"/>
      <c r="M1574" s="55"/>
      <c r="N1574" s="55"/>
      <c r="O1574" s="55"/>
      <c r="P1574" s="55"/>
      <c r="Q1574" s="55"/>
      <c r="R1574" s="56"/>
      <c r="S1574" s="57"/>
      <c r="T1574" s="60"/>
    </row>
    <row r="1575">
      <c r="A1575" s="55"/>
      <c r="B1575" s="55"/>
      <c r="C1575" s="55"/>
      <c r="D1575" s="56"/>
      <c r="E1575" s="57"/>
      <c r="F1575" s="58"/>
      <c r="G1575" s="60"/>
      <c r="H1575" s="63"/>
      <c r="I1575" s="60"/>
      <c r="J1575" s="64"/>
      <c r="K1575" s="64"/>
      <c r="L1575" s="55"/>
      <c r="M1575" s="55"/>
      <c r="N1575" s="55"/>
      <c r="O1575" s="55"/>
      <c r="P1575" s="55"/>
      <c r="Q1575" s="55"/>
      <c r="R1575" s="56"/>
      <c r="S1575" s="57"/>
      <c r="T1575" s="60"/>
    </row>
    <row r="1576">
      <c r="A1576" s="55"/>
      <c r="B1576" s="55"/>
      <c r="C1576" s="55"/>
      <c r="D1576" s="56"/>
      <c r="E1576" s="57"/>
      <c r="F1576" s="58"/>
      <c r="G1576" s="60"/>
      <c r="H1576" s="63"/>
      <c r="I1576" s="60"/>
      <c r="J1576" s="64"/>
      <c r="K1576" s="64"/>
      <c r="L1576" s="55"/>
      <c r="M1576" s="55"/>
      <c r="N1576" s="55"/>
      <c r="O1576" s="55"/>
      <c r="P1576" s="55"/>
      <c r="Q1576" s="55"/>
      <c r="R1576" s="56"/>
      <c r="S1576" s="57"/>
      <c r="T1576" s="60"/>
    </row>
    <row r="1577">
      <c r="A1577" s="55"/>
      <c r="B1577" s="55"/>
      <c r="C1577" s="55"/>
      <c r="D1577" s="56"/>
      <c r="E1577" s="57"/>
      <c r="F1577" s="58"/>
      <c r="G1577" s="60"/>
      <c r="H1577" s="63"/>
      <c r="I1577" s="60"/>
      <c r="J1577" s="64"/>
      <c r="K1577" s="64"/>
      <c r="L1577" s="55"/>
      <c r="M1577" s="55"/>
      <c r="N1577" s="55"/>
      <c r="O1577" s="55"/>
      <c r="P1577" s="55"/>
      <c r="Q1577" s="55"/>
      <c r="R1577" s="56"/>
      <c r="S1577" s="57"/>
      <c r="T1577" s="60"/>
    </row>
    <row r="1578">
      <c r="A1578" s="55"/>
      <c r="B1578" s="55"/>
      <c r="C1578" s="55"/>
      <c r="D1578" s="56"/>
      <c r="E1578" s="57"/>
      <c r="F1578" s="58"/>
      <c r="G1578" s="60"/>
      <c r="H1578" s="63"/>
      <c r="I1578" s="60"/>
      <c r="J1578" s="64"/>
      <c r="K1578" s="64"/>
      <c r="L1578" s="55"/>
      <c r="M1578" s="55"/>
      <c r="N1578" s="55"/>
      <c r="O1578" s="55"/>
      <c r="P1578" s="55"/>
      <c r="Q1578" s="55"/>
      <c r="R1578" s="56"/>
      <c r="S1578" s="57"/>
      <c r="T1578" s="60"/>
    </row>
    <row r="1579">
      <c r="A1579" s="55"/>
      <c r="B1579" s="55"/>
      <c r="C1579" s="55"/>
      <c r="D1579" s="56"/>
      <c r="E1579" s="57"/>
      <c r="F1579" s="58"/>
      <c r="G1579" s="60"/>
      <c r="H1579" s="63"/>
      <c r="I1579" s="60"/>
      <c r="J1579" s="64"/>
      <c r="K1579" s="64"/>
      <c r="L1579" s="55"/>
      <c r="M1579" s="55"/>
      <c r="N1579" s="55"/>
      <c r="O1579" s="55"/>
      <c r="P1579" s="55"/>
      <c r="Q1579" s="55"/>
      <c r="R1579" s="56"/>
      <c r="S1579" s="57"/>
      <c r="T1579" s="60"/>
    </row>
    <row r="1580">
      <c r="A1580" s="55"/>
      <c r="B1580" s="55"/>
      <c r="C1580" s="55"/>
      <c r="D1580" s="56"/>
      <c r="E1580" s="57"/>
      <c r="F1580" s="58"/>
      <c r="G1580" s="60"/>
      <c r="H1580" s="63"/>
      <c r="I1580" s="60"/>
      <c r="J1580" s="64"/>
      <c r="K1580" s="64"/>
      <c r="L1580" s="55"/>
      <c r="M1580" s="55"/>
      <c r="N1580" s="55"/>
      <c r="O1580" s="55"/>
      <c r="P1580" s="55"/>
      <c r="Q1580" s="55"/>
      <c r="R1580" s="56"/>
      <c r="S1580" s="57"/>
      <c r="T1580" s="60"/>
    </row>
    <row r="1581">
      <c r="A1581" s="55"/>
      <c r="B1581" s="55"/>
      <c r="C1581" s="55"/>
      <c r="D1581" s="56"/>
      <c r="E1581" s="57"/>
      <c r="F1581" s="58"/>
      <c r="G1581" s="60"/>
      <c r="H1581" s="63"/>
      <c r="I1581" s="60"/>
      <c r="J1581" s="64"/>
      <c r="K1581" s="64"/>
      <c r="L1581" s="55"/>
      <c r="M1581" s="55"/>
      <c r="N1581" s="55"/>
      <c r="O1581" s="55"/>
      <c r="P1581" s="55"/>
      <c r="Q1581" s="55"/>
      <c r="R1581" s="56"/>
      <c r="S1581" s="57"/>
      <c r="T1581" s="60"/>
    </row>
    <row r="1582">
      <c r="A1582" s="55"/>
      <c r="B1582" s="55"/>
      <c r="C1582" s="55"/>
      <c r="D1582" s="56"/>
      <c r="E1582" s="57"/>
      <c r="F1582" s="58"/>
      <c r="G1582" s="60"/>
      <c r="H1582" s="63"/>
      <c r="I1582" s="60"/>
      <c r="J1582" s="64"/>
      <c r="K1582" s="64"/>
      <c r="L1582" s="55"/>
      <c r="M1582" s="55"/>
      <c r="N1582" s="55"/>
      <c r="O1582" s="55"/>
      <c r="P1582" s="55"/>
      <c r="Q1582" s="55"/>
      <c r="R1582" s="56"/>
      <c r="S1582" s="57"/>
      <c r="T1582" s="60"/>
    </row>
    <row r="1583">
      <c r="A1583" s="55"/>
      <c r="B1583" s="55"/>
      <c r="C1583" s="55"/>
      <c r="D1583" s="56"/>
      <c r="E1583" s="57"/>
      <c r="F1583" s="58"/>
      <c r="G1583" s="60"/>
      <c r="H1583" s="63"/>
      <c r="I1583" s="60"/>
      <c r="J1583" s="64"/>
      <c r="K1583" s="64"/>
      <c r="L1583" s="55"/>
      <c r="M1583" s="55"/>
      <c r="N1583" s="55"/>
      <c r="O1583" s="55"/>
      <c r="P1583" s="55"/>
      <c r="Q1583" s="55"/>
      <c r="R1583" s="56"/>
      <c r="S1583" s="57"/>
      <c r="T1583" s="60"/>
    </row>
    <row r="1584">
      <c r="A1584" s="55"/>
      <c r="B1584" s="55"/>
      <c r="C1584" s="55"/>
      <c r="D1584" s="56"/>
      <c r="E1584" s="57"/>
      <c r="F1584" s="58"/>
      <c r="G1584" s="60"/>
      <c r="H1584" s="63"/>
      <c r="I1584" s="60"/>
      <c r="J1584" s="64"/>
      <c r="K1584" s="64"/>
      <c r="L1584" s="55"/>
      <c r="M1584" s="55"/>
      <c r="N1584" s="55"/>
      <c r="O1584" s="55"/>
      <c r="P1584" s="55"/>
      <c r="Q1584" s="55"/>
      <c r="R1584" s="56"/>
      <c r="S1584" s="57"/>
      <c r="T1584" s="60"/>
    </row>
    <row r="1585">
      <c r="A1585" s="55"/>
      <c r="B1585" s="55"/>
      <c r="C1585" s="55"/>
      <c r="D1585" s="56"/>
      <c r="E1585" s="57"/>
      <c r="F1585" s="58"/>
      <c r="G1585" s="60"/>
      <c r="H1585" s="63"/>
      <c r="I1585" s="60"/>
      <c r="J1585" s="64"/>
      <c r="K1585" s="64"/>
      <c r="L1585" s="55"/>
      <c r="M1585" s="55"/>
      <c r="N1585" s="55"/>
      <c r="O1585" s="55"/>
      <c r="P1585" s="55"/>
      <c r="Q1585" s="55"/>
      <c r="R1585" s="56"/>
      <c r="S1585" s="57"/>
      <c r="T1585" s="60"/>
    </row>
    <row r="1586">
      <c r="A1586" s="55"/>
      <c r="B1586" s="55"/>
      <c r="C1586" s="55"/>
      <c r="D1586" s="56"/>
      <c r="E1586" s="57"/>
      <c r="F1586" s="58"/>
      <c r="G1586" s="60"/>
      <c r="H1586" s="63"/>
      <c r="I1586" s="60"/>
      <c r="J1586" s="64"/>
      <c r="K1586" s="64"/>
      <c r="L1586" s="55"/>
      <c r="M1586" s="55"/>
      <c r="N1586" s="55"/>
      <c r="O1586" s="55"/>
      <c r="P1586" s="55"/>
      <c r="Q1586" s="55"/>
      <c r="R1586" s="56"/>
      <c r="S1586" s="57"/>
      <c r="T1586" s="60"/>
    </row>
    <row r="1587">
      <c r="A1587" s="55"/>
      <c r="B1587" s="55"/>
      <c r="C1587" s="55"/>
      <c r="D1587" s="56"/>
      <c r="E1587" s="57"/>
      <c r="F1587" s="58"/>
      <c r="G1587" s="60"/>
      <c r="H1587" s="63"/>
      <c r="I1587" s="60"/>
      <c r="J1587" s="64"/>
      <c r="K1587" s="64"/>
      <c r="L1587" s="55"/>
      <c r="M1587" s="55"/>
      <c r="N1587" s="55"/>
      <c r="O1587" s="55"/>
      <c r="P1587" s="55"/>
      <c r="Q1587" s="55"/>
      <c r="R1587" s="56"/>
      <c r="S1587" s="57"/>
      <c r="T1587" s="60"/>
    </row>
    <row r="1588">
      <c r="A1588" s="55"/>
      <c r="B1588" s="55"/>
      <c r="C1588" s="55"/>
      <c r="D1588" s="56"/>
      <c r="E1588" s="57"/>
      <c r="F1588" s="58"/>
      <c r="G1588" s="60"/>
      <c r="H1588" s="63"/>
      <c r="I1588" s="60"/>
      <c r="J1588" s="64"/>
      <c r="K1588" s="64"/>
      <c r="L1588" s="55"/>
      <c r="M1588" s="55"/>
      <c r="N1588" s="55"/>
      <c r="O1588" s="55"/>
      <c r="P1588" s="55"/>
      <c r="Q1588" s="55"/>
      <c r="R1588" s="56"/>
      <c r="S1588" s="57"/>
      <c r="T1588" s="60"/>
    </row>
    <row r="1589">
      <c r="A1589" s="55"/>
      <c r="B1589" s="55"/>
      <c r="C1589" s="55"/>
      <c r="D1589" s="56"/>
      <c r="E1589" s="57"/>
      <c r="F1589" s="58"/>
      <c r="G1589" s="60"/>
      <c r="H1589" s="63"/>
      <c r="I1589" s="60"/>
      <c r="J1589" s="64"/>
      <c r="K1589" s="64"/>
      <c r="L1589" s="55"/>
      <c r="M1589" s="55"/>
      <c r="N1589" s="55"/>
      <c r="O1589" s="55"/>
      <c r="P1589" s="55"/>
      <c r="Q1589" s="55"/>
      <c r="R1589" s="56"/>
      <c r="S1589" s="57"/>
      <c r="T1589" s="60"/>
    </row>
    <row r="1590">
      <c r="A1590" s="55"/>
      <c r="B1590" s="55"/>
      <c r="C1590" s="55"/>
      <c r="D1590" s="56"/>
      <c r="E1590" s="57"/>
      <c r="F1590" s="58"/>
      <c r="G1590" s="60"/>
      <c r="H1590" s="63"/>
      <c r="I1590" s="60"/>
      <c r="J1590" s="64"/>
      <c r="K1590" s="64"/>
      <c r="L1590" s="55"/>
      <c r="M1590" s="55"/>
      <c r="N1590" s="55"/>
      <c r="O1590" s="55"/>
      <c r="P1590" s="55"/>
      <c r="Q1590" s="55"/>
      <c r="R1590" s="56"/>
      <c r="S1590" s="57"/>
      <c r="T1590" s="60"/>
    </row>
    <row r="1591">
      <c r="A1591" s="55"/>
      <c r="B1591" s="55"/>
      <c r="C1591" s="55"/>
      <c r="D1591" s="56"/>
      <c r="E1591" s="57"/>
      <c r="F1591" s="58"/>
      <c r="G1591" s="60"/>
      <c r="H1591" s="63"/>
      <c r="I1591" s="60"/>
      <c r="J1591" s="64"/>
      <c r="K1591" s="64"/>
      <c r="L1591" s="55"/>
      <c r="M1591" s="55"/>
      <c r="N1591" s="55"/>
      <c r="O1591" s="55"/>
      <c r="P1591" s="55"/>
      <c r="Q1591" s="55"/>
      <c r="R1591" s="56"/>
      <c r="S1591" s="57"/>
      <c r="T1591" s="60"/>
    </row>
    <row r="1592">
      <c r="A1592" s="55"/>
      <c r="B1592" s="55"/>
      <c r="C1592" s="55"/>
      <c r="D1592" s="56"/>
      <c r="E1592" s="57"/>
      <c r="F1592" s="58"/>
      <c r="G1592" s="60"/>
      <c r="H1592" s="63"/>
      <c r="I1592" s="60"/>
      <c r="J1592" s="64"/>
      <c r="K1592" s="64"/>
      <c r="L1592" s="55"/>
      <c r="M1592" s="55"/>
      <c r="N1592" s="55"/>
      <c r="O1592" s="55"/>
      <c r="P1592" s="55"/>
      <c r="Q1592" s="55"/>
      <c r="R1592" s="56"/>
      <c r="S1592" s="57"/>
      <c r="T1592" s="60"/>
    </row>
    <row r="1593">
      <c r="A1593" s="55"/>
      <c r="B1593" s="55"/>
      <c r="C1593" s="55"/>
      <c r="D1593" s="56"/>
      <c r="E1593" s="57"/>
      <c r="F1593" s="58"/>
      <c r="G1593" s="60"/>
      <c r="H1593" s="63"/>
      <c r="I1593" s="60"/>
      <c r="J1593" s="64"/>
      <c r="K1593" s="64"/>
      <c r="L1593" s="55"/>
      <c r="M1593" s="55"/>
      <c r="N1593" s="55"/>
      <c r="O1593" s="55"/>
      <c r="P1593" s="55"/>
      <c r="Q1593" s="55"/>
      <c r="R1593" s="56"/>
      <c r="S1593" s="57"/>
      <c r="T1593" s="60"/>
    </row>
    <row r="1594">
      <c r="A1594" s="55"/>
      <c r="B1594" s="55"/>
      <c r="C1594" s="55"/>
      <c r="D1594" s="56"/>
      <c r="E1594" s="57"/>
      <c r="F1594" s="58"/>
      <c r="G1594" s="60"/>
      <c r="H1594" s="63"/>
      <c r="I1594" s="60"/>
      <c r="J1594" s="64"/>
      <c r="K1594" s="64"/>
      <c r="L1594" s="55"/>
      <c r="M1594" s="55"/>
      <c r="N1594" s="55"/>
      <c r="O1594" s="55"/>
      <c r="P1594" s="55"/>
      <c r="Q1594" s="55"/>
      <c r="R1594" s="56"/>
      <c r="S1594" s="57"/>
      <c r="T1594" s="60"/>
    </row>
    <row r="1595">
      <c r="A1595" s="55"/>
      <c r="B1595" s="55"/>
      <c r="C1595" s="55"/>
      <c r="D1595" s="56"/>
      <c r="E1595" s="57"/>
      <c r="F1595" s="58"/>
      <c r="G1595" s="60"/>
      <c r="H1595" s="63"/>
      <c r="I1595" s="60"/>
      <c r="J1595" s="64"/>
      <c r="K1595" s="64"/>
      <c r="L1595" s="55"/>
      <c r="M1595" s="55"/>
      <c r="N1595" s="55"/>
      <c r="O1595" s="55"/>
      <c r="P1595" s="55"/>
      <c r="Q1595" s="55"/>
      <c r="R1595" s="56"/>
      <c r="S1595" s="57"/>
      <c r="T1595" s="60"/>
    </row>
    <row r="1596">
      <c r="A1596" s="55"/>
      <c r="B1596" s="55"/>
      <c r="C1596" s="55"/>
      <c r="D1596" s="56"/>
      <c r="E1596" s="57"/>
      <c r="F1596" s="58"/>
      <c r="G1596" s="60"/>
      <c r="H1596" s="63"/>
      <c r="I1596" s="60"/>
      <c r="J1596" s="64"/>
      <c r="K1596" s="64"/>
      <c r="L1596" s="55"/>
      <c r="M1596" s="55"/>
      <c r="N1596" s="55"/>
      <c r="O1596" s="55"/>
      <c r="P1596" s="55"/>
      <c r="Q1596" s="55"/>
      <c r="R1596" s="56"/>
      <c r="S1596" s="57"/>
      <c r="T1596" s="60"/>
    </row>
    <row r="1597">
      <c r="A1597" s="55"/>
      <c r="B1597" s="55"/>
      <c r="C1597" s="55"/>
      <c r="D1597" s="56"/>
      <c r="E1597" s="57"/>
      <c r="F1597" s="58"/>
      <c r="G1597" s="60"/>
      <c r="H1597" s="63"/>
      <c r="I1597" s="60"/>
      <c r="J1597" s="64"/>
      <c r="K1597" s="64"/>
      <c r="L1597" s="55"/>
      <c r="M1597" s="55"/>
      <c r="N1597" s="55"/>
      <c r="O1597" s="55"/>
      <c r="P1597" s="55"/>
      <c r="Q1597" s="55"/>
      <c r="R1597" s="56"/>
      <c r="S1597" s="57"/>
      <c r="T1597" s="60"/>
    </row>
    <row r="1598">
      <c r="A1598" s="55"/>
      <c r="B1598" s="55"/>
      <c r="C1598" s="55"/>
      <c r="D1598" s="56"/>
      <c r="E1598" s="57"/>
      <c r="F1598" s="58"/>
      <c r="G1598" s="60"/>
      <c r="H1598" s="63"/>
      <c r="I1598" s="60"/>
      <c r="J1598" s="64"/>
      <c r="K1598" s="64"/>
      <c r="L1598" s="55"/>
      <c r="M1598" s="55"/>
      <c r="N1598" s="55"/>
      <c r="O1598" s="55"/>
      <c r="P1598" s="55"/>
      <c r="Q1598" s="55"/>
      <c r="R1598" s="56"/>
      <c r="S1598" s="57"/>
      <c r="T1598" s="60"/>
    </row>
    <row r="1599">
      <c r="A1599" s="55"/>
      <c r="B1599" s="55"/>
      <c r="C1599" s="55"/>
      <c r="D1599" s="56"/>
      <c r="E1599" s="57"/>
      <c r="F1599" s="58"/>
      <c r="G1599" s="60"/>
      <c r="H1599" s="63"/>
      <c r="I1599" s="60"/>
      <c r="J1599" s="64"/>
      <c r="K1599" s="64"/>
      <c r="L1599" s="55"/>
      <c r="M1599" s="55"/>
      <c r="N1599" s="55"/>
      <c r="O1599" s="55"/>
      <c r="P1599" s="55"/>
      <c r="Q1599" s="55"/>
      <c r="R1599" s="56"/>
      <c r="S1599" s="57"/>
      <c r="T1599" s="60"/>
    </row>
    <row r="1600">
      <c r="A1600" s="55"/>
      <c r="B1600" s="55"/>
      <c r="C1600" s="55"/>
      <c r="D1600" s="56"/>
      <c r="E1600" s="57"/>
      <c r="F1600" s="58"/>
      <c r="G1600" s="60"/>
      <c r="H1600" s="63"/>
      <c r="I1600" s="60"/>
      <c r="J1600" s="64"/>
      <c r="K1600" s="64"/>
      <c r="L1600" s="55"/>
      <c r="M1600" s="55"/>
      <c r="N1600" s="55"/>
      <c r="O1600" s="55"/>
      <c r="P1600" s="55"/>
      <c r="Q1600" s="55"/>
      <c r="R1600" s="56"/>
      <c r="S1600" s="57"/>
      <c r="T1600" s="60"/>
    </row>
    <row r="1601">
      <c r="A1601" s="55"/>
      <c r="B1601" s="55"/>
      <c r="C1601" s="55"/>
      <c r="D1601" s="56"/>
      <c r="E1601" s="57"/>
      <c r="F1601" s="58"/>
      <c r="G1601" s="60"/>
      <c r="H1601" s="63"/>
      <c r="I1601" s="60"/>
      <c r="J1601" s="64"/>
      <c r="K1601" s="64"/>
      <c r="L1601" s="55"/>
      <c r="M1601" s="55"/>
      <c r="N1601" s="55"/>
      <c r="O1601" s="55"/>
      <c r="P1601" s="55"/>
      <c r="Q1601" s="55"/>
      <c r="R1601" s="56"/>
      <c r="S1601" s="57"/>
      <c r="T1601" s="60"/>
    </row>
    <row r="1602">
      <c r="A1602" s="55"/>
      <c r="B1602" s="55"/>
      <c r="C1602" s="55"/>
      <c r="D1602" s="56"/>
      <c r="E1602" s="57"/>
      <c r="F1602" s="58"/>
      <c r="G1602" s="60"/>
      <c r="H1602" s="63"/>
      <c r="I1602" s="60"/>
      <c r="J1602" s="64"/>
      <c r="K1602" s="64"/>
      <c r="L1602" s="55"/>
      <c r="M1602" s="55"/>
      <c r="N1602" s="55"/>
      <c r="O1602" s="55"/>
      <c r="P1602" s="55"/>
      <c r="Q1602" s="55"/>
      <c r="R1602" s="56"/>
      <c r="S1602" s="57"/>
      <c r="T1602" s="60"/>
    </row>
    <row r="1603">
      <c r="A1603" s="55"/>
      <c r="B1603" s="55"/>
      <c r="C1603" s="55"/>
      <c r="D1603" s="56"/>
      <c r="E1603" s="57"/>
      <c r="F1603" s="58"/>
      <c r="G1603" s="60"/>
      <c r="H1603" s="63"/>
      <c r="I1603" s="60"/>
      <c r="J1603" s="64"/>
      <c r="K1603" s="64"/>
      <c r="L1603" s="55"/>
      <c r="M1603" s="55"/>
      <c r="N1603" s="55"/>
      <c r="O1603" s="55"/>
      <c r="P1603" s="55"/>
      <c r="Q1603" s="55"/>
      <c r="R1603" s="56"/>
      <c r="S1603" s="57"/>
      <c r="T1603" s="60"/>
    </row>
    <row r="1604">
      <c r="A1604" s="55"/>
      <c r="B1604" s="55"/>
      <c r="C1604" s="55"/>
      <c r="D1604" s="56"/>
      <c r="E1604" s="57"/>
      <c r="F1604" s="58"/>
      <c r="G1604" s="60"/>
      <c r="H1604" s="63"/>
      <c r="I1604" s="60"/>
      <c r="J1604" s="64"/>
      <c r="K1604" s="64"/>
      <c r="L1604" s="55"/>
      <c r="M1604" s="55"/>
      <c r="N1604" s="55"/>
      <c r="O1604" s="55"/>
      <c r="P1604" s="55"/>
      <c r="Q1604" s="55"/>
      <c r="R1604" s="56"/>
      <c r="S1604" s="57"/>
      <c r="T1604" s="60"/>
    </row>
    <row r="1605">
      <c r="A1605" s="55"/>
      <c r="B1605" s="55"/>
      <c r="C1605" s="55"/>
      <c r="D1605" s="56"/>
      <c r="E1605" s="57"/>
      <c r="F1605" s="58"/>
      <c r="G1605" s="60"/>
      <c r="H1605" s="63"/>
      <c r="I1605" s="60"/>
      <c r="J1605" s="64"/>
      <c r="K1605" s="64"/>
      <c r="L1605" s="55"/>
      <c r="M1605" s="55"/>
      <c r="N1605" s="55"/>
      <c r="O1605" s="55"/>
      <c r="P1605" s="55"/>
      <c r="Q1605" s="55"/>
      <c r="R1605" s="56"/>
      <c r="S1605" s="57"/>
      <c r="T1605" s="60"/>
    </row>
    <row r="1606">
      <c r="A1606" s="55"/>
      <c r="B1606" s="55"/>
      <c r="C1606" s="55"/>
      <c r="D1606" s="56"/>
      <c r="E1606" s="57"/>
      <c r="F1606" s="58"/>
      <c r="G1606" s="60"/>
      <c r="H1606" s="63"/>
      <c r="I1606" s="60"/>
      <c r="J1606" s="64"/>
      <c r="K1606" s="64"/>
      <c r="L1606" s="55"/>
      <c r="M1606" s="55"/>
      <c r="N1606" s="55"/>
      <c r="O1606" s="55"/>
      <c r="P1606" s="55"/>
      <c r="Q1606" s="55"/>
      <c r="R1606" s="56"/>
      <c r="S1606" s="57"/>
      <c r="T1606" s="60"/>
    </row>
    <row r="1607">
      <c r="A1607" s="55"/>
      <c r="B1607" s="55"/>
      <c r="C1607" s="55"/>
      <c r="D1607" s="56"/>
      <c r="E1607" s="57"/>
      <c r="F1607" s="58"/>
      <c r="G1607" s="60"/>
      <c r="H1607" s="63"/>
      <c r="I1607" s="60"/>
      <c r="J1607" s="64"/>
      <c r="K1607" s="64"/>
      <c r="L1607" s="55"/>
      <c r="M1607" s="55"/>
      <c r="N1607" s="55"/>
      <c r="O1607" s="55"/>
      <c r="P1607" s="55"/>
      <c r="Q1607" s="55"/>
      <c r="R1607" s="56"/>
      <c r="S1607" s="57"/>
      <c r="T1607" s="60"/>
    </row>
    <row r="1608">
      <c r="A1608" s="55"/>
      <c r="B1608" s="55"/>
      <c r="C1608" s="55"/>
      <c r="D1608" s="56"/>
      <c r="E1608" s="57"/>
      <c r="F1608" s="58"/>
      <c r="G1608" s="60"/>
      <c r="H1608" s="63"/>
      <c r="I1608" s="60"/>
      <c r="J1608" s="64"/>
      <c r="K1608" s="64"/>
      <c r="L1608" s="55"/>
      <c r="M1608" s="55"/>
      <c r="N1608" s="55"/>
      <c r="O1608" s="55"/>
      <c r="P1608" s="55"/>
      <c r="Q1608" s="55"/>
      <c r="R1608" s="56"/>
      <c r="S1608" s="57"/>
      <c r="T1608" s="60"/>
    </row>
    <row r="1609">
      <c r="A1609" s="55"/>
      <c r="B1609" s="55"/>
      <c r="C1609" s="55"/>
      <c r="D1609" s="56"/>
      <c r="E1609" s="57"/>
      <c r="F1609" s="58"/>
      <c r="G1609" s="60"/>
      <c r="H1609" s="63"/>
      <c r="I1609" s="60"/>
      <c r="J1609" s="64"/>
      <c r="K1609" s="64"/>
      <c r="L1609" s="55"/>
      <c r="M1609" s="55"/>
      <c r="N1609" s="55"/>
      <c r="O1609" s="55"/>
      <c r="P1609" s="55"/>
      <c r="Q1609" s="55"/>
      <c r="R1609" s="56"/>
      <c r="S1609" s="57"/>
      <c r="T1609" s="60"/>
    </row>
    <row r="1610">
      <c r="A1610" s="55"/>
      <c r="B1610" s="55"/>
      <c r="C1610" s="55"/>
      <c r="D1610" s="56"/>
      <c r="E1610" s="57"/>
      <c r="F1610" s="58"/>
      <c r="G1610" s="60"/>
      <c r="H1610" s="63"/>
      <c r="I1610" s="60"/>
      <c r="J1610" s="64"/>
      <c r="K1610" s="64"/>
      <c r="L1610" s="55"/>
      <c r="M1610" s="55"/>
      <c r="N1610" s="55"/>
      <c r="O1610" s="55"/>
      <c r="P1610" s="55"/>
      <c r="Q1610" s="55"/>
      <c r="R1610" s="56"/>
      <c r="S1610" s="57"/>
      <c r="T1610" s="60"/>
    </row>
    <row r="1611">
      <c r="A1611" s="55"/>
      <c r="B1611" s="55"/>
      <c r="C1611" s="55"/>
      <c r="D1611" s="56"/>
      <c r="E1611" s="57"/>
      <c r="F1611" s="58"/>
      <c r="G1611" s="60"/>
      <c r="H1611" s="63"/>
      <c r="I1611" s="60"/>
      <c r="J1611" s="64"/>
      <c r="K1611" s="64"/>
      <c r="L1611" s="55"/>
      <c r="M1611" s="55"/>
      <c r="N1611" s="55"/>
      <c r="O1611" s="55"/>
      <c r="P1611" s="55"/>
      <c r="Q1611" s="55"/>
      <c r="R1611" s="56"/>
      <c r="S1611" s="57"/>
      <c r="T1611" s="60"/>
    </row>
    <row r="1612">
      <c r="A1612" s="55"/>
      <c r="B1612" s="55"/>
      <c r="C1612" s="55"/>
      <c r="D1612" s="56"/>
      <c r="E1612" s="57"/>
      <c r="F1612" s="58"/>
      <c r="G1612" s="60"/>
      <c r="H1612" s="63"/>
      <c r="I1612" s="60"/>
      <c r="J1612" s="64"/>
      <c r="K1612" s="64"/>
      <c r="L1612" s="55"/>
      <c r="M1612" s="55"/>
      <c r="N1612" s="55"/>
      <c r="O1612" s="55"/>
      <c r="P1612" s="55"/>
      <c r="Q1612" s="55"/>
      <c r="R1612" s="56"/>
      <c r="S1612" s="57"/>
      <c r="T1612" s="60"/>
    </row>
    <row r="1613">
      <c r="A1613" s="55"/>
      <c r="B1613" s="55"/>
      <c r="C1613" s="55"/>
      <c r="D1613" s="56"/>
      <c r="E1613" s="57"/>
      <c r="F1613" s="58"/>
      <c r="G1613" s="60"/>
      <c r="H1613" s="63"/>
      <c r="I1613" s="60"/>
      <c r="J1613" s="64"/>
      <c r="K1613" s="64"/>
      <c r="L1613" s="55"/>
      <c r="M1613" s="55"/>
      <c r="N1613" s="55"/>
      <c r="O1613" s="55"/>
      <c r="P1613" s="55"/>
      <c r="Q1613" s="55"/>
      <c r="R1613" s="56"/>
      <c r="S1613" s="57"/>
      <c r="T1613" s="60"/>
    </row>
    <row r="1614">
      <c r="A1614" s="55"/>
      <c r="B1614" s="55"/>
      <c r="C1614" s="55"/>
      <c r="D1614" s="56"/>
      <c r="E1614" s="57"/>
      <c r="F1614" s="58"/>
      <c r="G1614" s="60"/>
      <c r="H1614" s="63"/>
      <c r="I1614" s="60"/>
      <c r="J1614" s="64"/>
      <c r="K1614" s="64"/>
      <c r="L1614" s="55"/>
      <c r="M1614" s="55"/>
      <c r="N1614" s="55"/>
      <c r="O1614" s="55"/>
      <c r="P1614" s="55"/>
      <c r="Q1614" s="55"/>
      <c r="R1614" s="56"/>
      <c r="S1614" s="57"/>
      <c r="T1614" s="60"/>
    </row>
    <row r="1615">
      <c r="A1615" s="55"/>
      <c r="B1615" s="55"/>
      <c r="C1615" s="55"/>
      <c r="D1615" s="56"/>
      <c r="E1615" s="57"/>
      <c r="F1615" s="58"/>
      <c r="G1615" s="60"/>
      <c r="H1615" s="63"/>
      <c r="I1615" s="60"/>
      <c r="J1615" s="64"/>
      <c r="K1615" s="64"/>
      <c r="L1615" s="55"/>
      <c r="M1615" s="55"/>
      <c r="N1615" s="55"/>
      <c r="O1615" s="55"/>
      <c r="P1615" s="55"/>
      <c r="Q1615" s="55"/>
      <c r="R1615" s="56"/>
      <c r="S1615" s="57"/>
      <c r="T1615" s="60"/>
    </row>
    <row r="1616">
      <c r="A1616" s="55"/>
      <c r="B1616" s="55"/>
      <c r="C1616" s="55"/>
      <c r="D1616" s="56"/>
      <c r="E1616" s="57"/>
      <c r="F1616" s="58"/>
      <c r="G1616" s="60"/>
      <c r="H1616" s="63"/>
      <c r="I1616" s="60"/>
      <c r="J1616" s="64"/>
      <c r="K1616" s="64"/>
      <c r="L1616" s="55"/>
      <c r="M1616" s="55"/>
      <c r="N1616" s="55"/>
      <c r="O1616" s="55"/>
      <c r="P1616" s="55"/>
      <c r="Q1616" s="55"/>
      <c r="R1616" s="56"/>
      <c r="S1616" s="57"/>
      <c r="T1616" s="60"/>
    </row>
    <row r="1617">
      <c r="A1617" s="55"/>
      <c r="B1617" s="55"/>
      <c r="C1617" s="55"/>
      <c r="D1617" s="56"/>
      <c r="E1617" s="57"/>
      <c r="F1617" s="58"/>
      <c r="G1617" s="60"/>
      <c r="H1617" s="63"/>
      <c r="I1617" s="60"/>
      <c r="J1617" s="64"/>
      <c r="K1617" s="64"/>
      <c r="L1617" s="55"/>
      <c r="M1617" s="55"/>
      <c r="N1617" s="55"/>
      <c r="O1617" s="55"/>
      <c r="P1617" s="55"/>
      <c r="Q1617" s="55"/>
      <c r="R1617" s="56"/>
      <c r="S1617" s="57"/>
      <c r="T1617" s="60"/>
    </row>
    <row r="1618">
      <c r="A1618" s="55"/>
      <c r="B1618" s="55"/>
      <c r="C1618" s="55"/>
      <c r="D1618" s="56"/>
      <c r="E1618" s="57"/>
      <c r="F1618" s="58"/>
      <c r="G1618" s="60"/>
      <c r="H1618" s="63"/>
      <c r="I1618" s="60"/>
      <c r="J1618" s="64"/>
      <c r="K1618" s="64"/>
      <c r="L1618" s="55"/>
      <c r="M1618" s="55"/>
      <c r="N1618" s="55"/>
      <c r="O1618" s="55"/>
      <c r="P1618" s="55"/>
      <c r="Q1618" s="55"/>
      <c r="R1618" s="56"/>
      <c r="S1618" s="57"/>
      <c r="T1618" s="60"/>
    </row>
    <row r="1619">
      <c r="A1619" s="55"/>
      <c r="B1619" s="55"/>
      <c r="C1619" s="55"/>
      <c r="D1619" s="56"/>
      <c r="E1619" s="57"/>
      <c r="F1619" s="58"/>
      <c r="G1619" s="60"/>
      <c r="H1619" s="63"/>
      <c r="I1619" s="60"/>
      <c r="J1619" s="64"/>
      <c r="K1619" s="64"/>
      <c r="L1619" s="55"/>
      <c r="M1619" s="55"/>
      <c r="N1619" s="55"/>
      <c r="O1619" s="55"/>
      <c r="P1619" s="55"/>
      <c r="Q1619" s="55"/>
      <c r="R1619" s="56"/>
      <c r="S1619" s="57"/>
      <c r="T1619" s="60"/>
    </row>
    <row r="1620">
      <c r="A1620" s="55"/>
      <c r="B1620" s="55"/>
      <c r="C1620" s="55"/>
      <c r="D1620" s="56"/>
      <c r="E1620" s="57"/>
      <c r="F1620" s="58"/>
      <c r="G1620" s="60"/>
      <c r="H1620" s="63"/>
      <c r="I1620" s="60"/>
      <c r="J1620" s="64"/>
      <c r="K1620" s="64"/>
      <c r="L1620" s="55"/>
      <c r="M1620" s="55"/>
      <c r="N1620" s="55"/>
      <c r="O1620" s="55"/>
      <c r="P1620" s="55"/>
      <c r="Q1620" s="55"/>
      <c r="R1620" s="56"/>
      <c r="S1620" s="57"/>
      <c r="T1620" s="60"/>
    </row>
    <row r="1621">
      <c r="A1621" s="55"/>
      <c r="B1621" s="55"/>
      <c r="C1621" s="55"/>
      <c r="D1621" s="56"/>
      <c r="E1621" s="57"/>
      <c r="F1621" s="58"/>
      <c r="G1621" s="60"/>
      <c r="H1621" s="63"/>
      <c r="I1621" s="60"/>
      <c r="J1621" s="64"/>
      <c r="K1621" s="64"/>
      <c r="L1621" s="55"/>
      <c r="M1621" s="55"/>
      <c r="N1621" s="55"/>
      <c r="O1621" s="55"/>
      <c r="P1621" s="55"/>
      <c r="Q1621" s="55"/>
      <c r="R1621" s="56"/>
      <c r="S1621" s="57"/>
      <c r="T1621" s="60"/>
    </row>
    <row r="1622">
      <c r="A1622" s="55"/>
      <c r="B1622" s="55"/>
      <c r="C1622" s="55"/>
      <c r="D1622" s="56"/>
      <c r="E1622" s="57"/>
      <c r="F1622" s="58"/>
      <c r="G1622" s="60"/>
      <c r="H1622" s="63"/>
      <c r="I1622" s="60"/>
      <c r="J1622" s="64"/>
      <c r="K1622" s="64"/>
      <c r="L1622" s="55"/>
      <c r="M1622" s="55"/>
      <c r="N1622" s="55"/>
      <c r="O1622" s="55"/>
      <c r="P1622" s="55"/>
      <c r="Q1622" s="55"/>
      <c r="R1622" s="56"/>
      <c r="S1622" s="57"/>
      <c r="T1622" s="60"/>
    </row>
    <row r="1623">
      <c r="A1623" s="55"/>
      <c r="B1623" s="55"/>
      <c r="C1623" s="55"/>
      <c r="D1623" s="56"/>
      <c r="E1623" s="57"/>
      <c r="F1623" s="58"/>
      <c r="G1623" s="60"/>
      <c r="H1623" s="63"/>
      <c r="I1623" s="60"/>
      <c r="J1623" s="64"/>
      <c r="K1623" s="64"/>
      <c r="L1623" s="55"/>
      <c r="M1623" s="55"/>
      <c r="N1623" s="55"/>
      <c r="O1623" s="55"/>
      <c r="P1623" s="55"/>
      <c r="Q1623" s="55"/>
      <c r="R1623" s="56"/>
      <c r="S1623" s="57"/>
      <c r="T1623" s="60"/>
    </row>
    <row r="1624">
      <c r="A1624" s="55"/>
      <c r="B1624" s="55"/>
      <c r="C1624" s="55"/>
      <c r="D1624" s="56"/>
      <c r="E1624" s="57"/>
      <c r="F1624" s="58"/>
      <c r="G1624" s="60"/>
      <c r="H1624" s="63"/>
      <c r="I1624" s="60"/>
      <c r="J1624" s="64"/>
      <c r="K1624" s="64"/>
      <c r="L1624" s="55"/>
      <c r="M1624" s="55"/>
      <c r="N1624" s="55"/>
      <c r="O1624" s="55"/>
      <c r="P1624" s="55"/>
      <c r="Q1624" s="55"/>
      <c r="R1624" s="56"/>
      <c r="S1624" s="57"/>
      <c r="T1624" s="60"/>
    </row>
    <row r="1625">
      <c r="A1625" s="55"/>
      <c r="B1625" s="55"/>
      <c r="C1625" s="55"/>
      <c r="D1625" s="56"/>
      <c r="E1625" s="57"/>
      <c r="F1625" s="58"/>
      <c r="G1625" s="60"/>
      <c r="H1625" s="63"/>
      <c r="I1625" s="60"/>
      <c r="J1625" s="64"/>
      <c r="K1625" s="64"/>
      <c r="L1625" s="55"/>
      <c r="M1625" s="55"/>
      <c r="N1625" s="55"/>
      <c r="O1625" s="55"/>
      <c r="P1625" s="55"/>
      <c r="Q1625" s="55"/>
      <c r="R1625" s="56"/>
      <c r="S1625" s="57"/>
      <c r="T1625" s="60"/>
    </row>
    <row r="1626">
      <c r="A1626" s="55"/>
      <c r="B1626" s="55"/>
      <c r="C1626" s="55"/>
      <c r="D1626" s="56"/>
      <c r="E1626" s="57"/>
      <c r="F1626" s="58"/>
      <c r="G1626" s="60"/>
      <c r="H1626" s="63"/>
      <c r="I1626" s="60"/>
      <c r="J1626" s="64"/>
      <c r="K1626" s="64"/>
      <c r="L1626" s="55"/>
      <c r="M1626" s="55"/>
      <c r="N1626" s="55"/>
      <c r="O1626" s="55"/>
      <c r="P1626" s="55"/>
      <c r="Q1626" s="55"/>
      <c r="R1626" s="56"/>
      <c r="S1626" s="57"/>
      <c r="T1626" s="60"/>
    </row>
    <row r="1627">
      <c r="A1627" s="55"/>
      <c r="B1627" s="55"/>
      <c r="C1627" s="55"/>
      <c r="D1627" s="56"/>
      <c r="E1627" s="57"/>
      <c r="F1627" s="58"/>
      <c r="G1627" s="60"/>
      <c r="H1627" s="63"/>
      <c r="I1627" s="60"/>
      <c r="J1627" s="64"/>
      <c r="K1627" s="64"/>
      <c r="L1627" s="55"/>
      <c r="M1627" s="55"/>
      <c r="N1627" s="55"/>
      <c r="O1627" s="55"/>
      <c r="P1627" s="55"/>
      <c r="Q1627" s="55"/>
      <c r="R1627" s="56"/>
      <c r="S1627" s="57"/>
      <c r="T1627" s="60"/>
    </row>
    <row r="1628">
      <c r="A1628" s="55"/>
      <c r="B1628" s="55"/>
      <c r="C1628" s="55"/>
      <c r="D1628" s="56"/>
      <c r="E1628" s="57"/>
      <c r="F1628" s="58"/>
      <c r="G1628" s="60"/>
      <c r="H1628" s="63"/>
      <c r="I1628" s="60"/>
      <c r="J1628" s="64"/>
      <c r="K1628" s="64"/>
      <c r="L1628" s="55"/>
      <c r="M1628" s="55"/>
      <c r="N1628" s="55"/>
      <c r="O1628" s="55"/>
      <c r="P1628" s="55"/>
      <c r="Q1628" s="55"/>
      <c r="R1628" s="56"/>
      <c r="S1628" s="57"/>
      <c r="T1628" s="60"/>
    </row>
    <row r="1629">
      <c r="A1629" s="55"/>
      <c r="B1629" s="55"/>
      <c r="C1629" s="55"/>
      <c r="D1629" s="56"/>
      <c r="E1629" s="57"/>
      <c r="F1629" s="58"/>
      <c r="G1629" s="60"/>
      <c r="H1629" s="63"/>
      <c r="I1629" s="60"/>
      <c r="J1629" s="64"/>
      <c r="K1629" s="64"/>
      <c r="L1629" s="55"/>
      <c r="M1629" s="55"/>
      <c r="N1629" s="55"/>
      <c r="O1629" s="55"/>
      <c r="P1629" s="55"/>
      <c r="Q1629" s="55"/>
      <c r="R1629" s="56"/>
      <c r="S1629" s="57"/>
      <c r="T1629" s="60"/>
    </row>
    <row r="1630">
      <c r="A1630" s="55"/>
      <c r="B1630" s="55"/>
      <c r="C1630" s="55"/>
      <c r="D1630" s="56"/>
      <c r="E1630" s="57"/>
      <c r="F1630" s="58"/>
      <c r="G1630" s="60"/>
      <c r="H1630" s="63"/>
      <c r="I1630" s="60"/>
      <c r="J1630" s="64"/>
      <c r="K1630" s="64"/>
      <c r="L1630" s="55"/>
      <c r="M1630" s="55"/>
      <c r="N1630" s="55"/>
      <c r="O1630" s="55"/>
      <c r="P1630" s="55"/>
      <c r="Q1630" s="55"/>
      <c r="R1630" s="56"/>
      <c r="S1630" s="57"/>
      <c r="T1630" s="60"/>
    </row>
    <row r="1631">
      <c r="A1631" s="55"/>
      <c r="B1631" s="55"/>
      <c r="C1631" s="55"/>
      <c r="D1631" s="56"/>
      <c r="E1631" s="57"/>
      <c r="F1631" s="58"/>
      <c r="G1631" s="60"/>
      <c r="H1631" s="63"/>
      <c r="I1631" s="60"/>
      <c r="J1631" s="64"/>
      <c r="K1631" s="64"/>
      <c r="L1631" s="55"/>
      <c r="M1631" s="55"/>
      <c r="N1631" s="55"/>
      <c r="O1631" s="55"/>
      <c r="P1631" s="55"/>
      <c r="Q1631" s="55"/>
      <c r="R1631" s="56"/>
      <c r="S1631" s="57"/>
      <c r="T1631" s="60"/>
    </row>
    <row r="1632">
      <c r="A1632" s="55"/>
      <c r="B1632" s="55"/>
      <c r="C1632" s="55"/>
      <c r="D1632" s="56"/>
      <c r="E1632" s="57"/>
      <c r="F1632" s="58"/>
      <c r="G1632" s="60"/>
      <c r="H1632" s="63"/>
      <c r="I1632" s="60"/>
      <c r="J1632" s="64"/>
      <c r="K1632" s="64"/>
      <c r="L1632" s="55"/>
      <c r="M1632" s="55"/>
      <c r="N1632" s="55"/>
      <c r="O1632" s="55"/>
      <c r="P1632" s="55"/>
      <c r="Q1632" s="55"/>
      <c r="R1632" s="56"/>
      <c r="S1632" s="57"/>
      <c r="T1632" s="60"/>
    </row>
    <row r="1633">
      <c r="A1633" s="55"/>
      <c r="B1633" s="55"/>
      <c r="C1633" s="55"/>
      <c r="D1633" s="56"/>
      <c r="E1633" s="57"/>
      <c r="F1633" s="58"/>
      <c r="G1633" s="60"/>
      <c r="H1633" s="63"/>
      <c r="I1633" s="60"/>
      <c r="J1633" s="64"/>
      <c r="K1633" s="64"/>
      <c r="L1633" s="55"/>
      <c r="M1633" s="55"/>
      <c r="N1633" s="55"/>
      <c r="O1633" s="55"/>
      <c r="P1633" s="55"/>
      <c r="Q1633" s="55"/>
      <c r="R1633" s="56"/>
      <c r="S1633" s="57"/>
      <c r="T1633" s="60"/>
    </row>
    <row r="1634">
      <c r="A1634" s="55"/>
      <c r="B1634" s="55"/>
      <c r="C1634" s="55"/>
      <c r="D1634" s="56"/>
      <c r="E1634" s="57"/>
      <c r="F1634" s="58"/>
      <c r="G1634" s="60"/>
      <c r="H1634" s="63"/>
      <c r="I1634" s="60"/>
      <c r="J1634" s="64"/>
      <c r="K1634" s="64"/>
      <c r="L1634" s="55"/>
      <c r="M1634" s="55"/>
      <c r="N1634" s="55"/>
      <c r="O1634" s="55"/>
      <c r="P1634" s="55"/>
      <c r="Q1634" s="55"/>
      <c r="R1634" s="56"/>
      <c r="S1634" s="57"/>
      <c r="T1634" s="60"/>
    </row>
    <row r="1635">
      <c r="A1635" s="55"/>
      <c r="B1635" s="55"/>
      <c r="C1635" s="55"/>
      <c r="D1635" s="56"/>
      <c r="E1635" s="57"/>
      <c r="F1635" s="58"/>
      <c r="G1635" s="60"/>
      <c r="H1635" s="63"/>
      <c r="I1635" s="60"/>
      <c r="J1635" s="64"/>
      <c r="K1635" s="64"/>
      <c r="L1635" s="55"/>
      <c r="M1635" s="55"/>
      <c r="N1635" s="55"/>
      <c r="O1635" s="55"/>
      <c r="P1635" s="55"/>
      <c r="Q1635" s="55"/>
      <c r="R1635" s="56"/>
      <c r="S1635" s="57"/>
      <c r="T1635" s="60"/>
    </row>
    <row r="1636">
      <c r="A1636" s="55"/>
      <c r="B1636" s="55"/>
      <c r="C1636" s="55"/>
      <c r="D1636" s="56"/>
      <c r="E1636" s="57"/>
      <c r="F1636" s="58"/>
      <c r="G1636" s="60"/>
      <c r="H1636" s="63"/>
      <c r="I1636" s="60"/>
      <c r="J1636" s="64"/>
      <c r="K1636" s="64"/>
      <c r="L1636" s="55"/>
      <c r="M1636" s="55"/>
      <c r="N1636" s="55"/>
      <c r="O1636" s="55"/>
      <c r="P1636" s="55"/>
      <c r="Q1636" s="55"/>
      <c r="R1636" s="56"/>
      <c r="S1636" s="57"/>
      <c r="T1636" s="60"/>
    </row>
    <row r="1637">
      <c r="A1637" s="55"/>
      <c r="B1637" s="55"/>
      <c r="C1637" s="55"/>
      <c r="D1637" s="56"/>
      <c r="E1637" s="57"/>
      <c r="F1637" s="58"/>
      <c r="G1637" s="60"/>
      <c r="H1637" s="63"/>
      <c r="I1637" s="60"/>
      <c r="J1637" s="64"/>
      <c r="K1637" s="64"/>
      <c r="L1637" s="55"/>
      <c r="M1637" s="55"/>
      <c r="N1637" s="55"/>
      <c r="O1637" s="55"/>
      <c r="P1637" s="55"/>
      <c r="Q1637" s="55"/>
      <c r="R1637" s="56"/>
      <c r="S1637" s="57"/>
      <c r="T1637" s="60"/>
    </row>
    <row r="1638">
      <c r="A1638" s="55"/>
      <c r="B1638" s="55"/>
      <c r="C1638" s="55"/>
      <c r="D1638" s="56"/>
      <c r="E1638" s="57"/>
      <c r="F1638" s="58"/>
      <c r="G1638" s="60"/>
      <c r="H1638" s="63"/>
      <c r="I1638" s="60"/>
      <c r="J1638" s="64"/>
      <c r="K1638" s="64"/>
      <c r="L1638" s="55"/>
      <c r="M1638" s="55"/>
      <c r="N1638" s="55"/>
      <c r="O1638" s="55"/>
      <c r="P1638" s="55"/>
      <c r="Q1638" s="55"/>
      <c r="R1638" s="56"/>
      <c r="S1638" s="57"/>
      <c r="T1638" s="60"/>
    </row>
    <row r="1639">
      <c r="A1639" s="55"/>
      <c r="B1639" s="55"/>
      <c r="C1639" s="55"/>
      <c r="D1639" s="56"/>
      <c r="E1639" s="57"/>
      <c r="F1639" s="58"/>
      <c r="G1639" s="60"/>
      <c r="H1639" s="63"/>
      <c r="I1639" s="60"/>
      <c r="J1639" s="64"/>
      <c r="K1639" s="64"/>
      <c r="L1639" s="55"/>
      <c r="M1639" s="55"/>
      <c r="N1639" s="55"/>
      <c r="O1639" s="55"/>
      <c r="P1639" s="55"/>
      <c r="Q1639" s="55"/>
      <c r="R1639" s="56"/>
      <c r="S1639" s="57"/>
      <c r="T1639" s="60"/>
    </row>
    <row r="1640">
      <c r="A1640" s="55"/>
      <c r="B1640" s="55"/>
      <c r="C1640" s="55"/>
      <c r="D1640" s="56"/>
      <c r="E1640" s="57"/>
      <c r="F1640" s="58"/>
      <c r="G1640" s="60"/>
      <c r="H1640" s="63"/>
      <c r="I1640" s="60"/>
      <c r="J1640" s="64"/>
      <c r="K1640" s="64"/>
      <c r="L1640" s="55"/>
      <c r="M1640" s="55"/>
      <c r="N1640" s="55"/>
      <c r="O1640" s="55"/>
      <c r="P1640" s="55"/>
      <c r="Q1640" s="55"/>
      <c r="R1640" s="56"/>
      <c r="S1640" s="57"/>
      <c r="T1640" s="60"/>
    </row>
    <row r="1641">
      <c r="A1641" s="55"/>
      <c r="B1641" s="55"/>
      <c r="C1641" s="55"/>
      <c r="D1641" s="56"/>
      <c r="E1641" s="57"/>
      <c r="F1641" s="58"/>
      <c r="G1641" s="60"/>
      <c r="H1641" s="63"/>
      <c r="I1641" s="60"/>
      <c r="J1641" s="64"/>
      <c r="K1641" s="64"/>
      <c r="L1641" s="55"/>
      <c r="M1641" s="55"/>
      <c r="N1641" s="55"/>
      <c r="O1641" s="55"/>
      <c r="P1641" s="55"/>
      <c r="Q1641" s="55"/>
      <c r="R1641" s="56"/>
      <c r="S1641" s="57"/>
      <c r="T1641" s="60"/>
    </row>
    <row r="1642">
      <c r="A1642" s="55"/>
      <c r="B1642" s="55"/>
      <c r="C1642" s="55"/>
      <c r="D1642" s="56"/>
      <c r="E1642" s="57"/>
      <c r="F1642" s="58"/>
      <c r="G1642" s="60"/>
      <c r="H1642" s="63"/>
      <c r="I1642" s="60"/>
      <c r="J1642" s="64"/>
      <c r="K1642" s="64"/>
      <c r="L1642" s="55"/>
      <c r="M1642" s="55"/>
      <c r="N1642" s="55"/>
      <c r="O1642" s="55"/>
      <c r="P1642" s="55"/>
      <c r="Q1642" s="55"/>
      <c r="R1642" s="56"/>
      <c r="S1642" s="57"/>
      <c r="T1642" s="60"/>
    </row>
    <row r="1643">
      <c r="A1643" s="55"/>
      <c r="B1643" s="55"/>
      <c r="C1643" s="55"/>
      <c r="D1643" s="56"/>
      <c r="E1643" s="57"/>
      <c r="F1643" s="58"/>
      <c r="G1643" s="60"/>
      <c r="H1643" s="63"/>
      <c r="I1643" s="60"/>
      <c r="J1643" s="64"/>
      <c r="K1643" s="64"/>
      <c r="L1643" s="55"/>
      <c r="M1643" s="55"/>
      <c r="N1643" s="55"/>
      <c r="O1643" s="55"/>
      <c r="P1643" s="55"/>
      <c r="Q1643" s="55"/>
      <c r="R1643" s="56"/>
      <c r="S1643" s="57"/>
      <c r="T1643" s="60"/>
    </row>
    <row r="1644">
      <c r="A1644" s="55"/>
      <c r="B1644" s="55"/>
      <c r="C1644" s="55"/>
      <c r="D1644" s="56"/>
      <c r="E1644" s="57"/>
      <c r="F1644" s="58"/>
      <c r="G1644" s="60"/>
      <c r="H1644" s="63"/>
      <c r="I1644" s="60"/>
      <c r="J1644" s="64"/>
      <c r="K1644" s="64"/>
      <c r="L1644" s="55"/>
      <c r="M1644" s="55"/>
      <c r="N1644" s="55"/>
      <c r="O1644" s="55"/>
      <c r="P1644" s="55"/>
      <c r="Q1644" s="55"/>
      <c r="R1644" s="56"/>
      <c r="S1644" s="57"/>
      <c r="T1644" s="60"/>
    </row>
    <row r="1645">
      <c r="A1645" s="55"/>
      <c r="B1645" s="55"/>
      <c r="C1645" s="55"/>
      <c r="D1645" s="56"/>
      <c r="E1645" s="57"/>
      <c r="F1645" s="58"/>
      <c r="G1645" s="60"/>
      <c r="H1645" s="63"/>
      <c r="I1645" s="60"/>
      <c r="J1645" s="64"/>
      <c r="K1645" s="64"/>
      <c r="L1645" s="55"/>
      <c r="M1645" s="55"/>
      <c r="N1645" s="55"/>
      <c r="O1645" s="55"/>
      <c r="P1645" s="55"/>
      <c r="Q1645" s="55"/>
      <c r="R1645" s="56"/>
      <c r="S1645" s="57"/>
      <c r="T1645" s="60"/>
    </row>
    <row r="1646">
      <c r="A1646" s="55"/>
      <c r="B1646" s="55"/>
      <c r="C1646" s="55"/>
      <c r="D1646" s="56"/>
      <c r="E1646" s="57"/>
      <c r="F1646" s="58"/>
      <c r="G1646" s="60"/>
      <c r="H1646" s="63"/>
      <c r="I1646" s="60"/>
      <c r="J1646" s="64"/>
      <c r="K1646" s="64"/>
      <c r="L1646" s="55"/>
      <c r="M1646" s="55"/>
      <c r="N1646" s="55"/>
      <c r="O1646" s="55"/>
      <c r="P1646" s="55"/>
      <c r="Q1646" s="55"/>
      <c r="R1646" s="56"/>
      <c r="S1646" s="57"/>
      <c r="T1646" s="60"/>
    </row>
    <row r="1647">
      <c r="A1647" s="55"/>
      <c r="B1647" s="55"/>
      <c r="C1647" s="55"/>
      <c r="D1647" s="56"/>
      <c r="E1647" s="57"/>
      <c r="F1647" s="58"/>
      <c r="G1647" s="60"/>
      <c r="H1647" s="63"/>
      <c r="I1647" s="60"/>
      <c r="J1647" s="64"/>
      <c r="K1647" s="64"/>
      <c r="L1647" s="55"/>
      <c r="M1647" s="55"/>
      <c r="N1647" s="55"/>
      <c r="O1647" s="55"/>
      <c r="P1647" s="55"/>
      <c r="Q1647" s="55"/>
      <c r="R1647" s="56"/>
      <c r="S1647" s="57"/>
      <c r="T1647" s="60"/>
    </row>
    <row r="1648">
      <c r="A1648" s="55"/>
      <c r="B1648" s="55"/>
      <c r="C1648" s="55"/>
      <c r="D1648" s="56"/>
      <c r="E1648" s="57"/>
      <c r="F1648" s="58"/>
      <c r="G1648" s="60"/>
      <c r="H1648" s="63"/>
      <c r="I1648" s="60"/>
      <c r="J1648" s="64"/>
      <c r="K1648" s="64"/>
      <c r="L1648" s="55"/>
      <c r="M1648" s="55"/>
      <c r="N1648" s="55"/>
      <c r="O1648" s="55"/>
      <c r="P1648" s="55"/>
      <c r="Q1648" s="55"/>
      <c r="R1648" s="56"/>
      <c r="S1648" s="57"/>
      <c r="T1648" s="60"/>
    </row>
    <row r="1649">
      <c r="A1649" s="55"/>
      <c r="B1649" s="55"/>
      <c r="C1649" s="55"/>
      <c r="D1649" s="56"/>
      <c r="E1649" s="57"/>
      <c r="F1649" s="58"/>
      <c r="G1649" s="60"/>
      <c r="H1649" s="63"/>
      <c r="I1649" s="60"/>
      <c r="J1649" s="64"/>
      <c r="K1649" s="64"/>
      <c r="L1649" s="55"/>
      <c r="M1649" s="55"/>
      <c r="N1649" s="55"/>
      <c r="O1649" s="55"/>
      <c r="P1649" s="55"/>
      <c r="Q1649" s="55"/>
      <c r="R1649" s="56"/>
      <c r="S1649" s="57"/>
      <c r="T1649" s="60"/>
    </row>
    <row r="1650">
      <c r="A1650" s="55"/>
      <c r="B1650" s="55"/>
      <c r="C1650" s="55"/>
      <c r="D1650" s="56"/>
      <c r="E1650" s="57"/>
      <c r="F1650" s="58"/>
      <c r="G1650" s="60"/>
      <c r="H1650" s="63"/>
      <c r="I1650" s="60"/>
      <c r="J1650" s="64"/>
      <c r="K1650" s="64"/>
      <c r="L1650" s="55"/>
      <c r="M1650" s="55"/>
      <c r="N1650" s="55"/>
      <c r="O1650" s="55"/>
      <c r="P1650" s="55"/>
      <c r="Q1650" s="55"/>
      <c r="R1650" s="56"/>
      <c r="S1650" s="57"/>
      <c r="T1650" s="60"/>
    </row>
    <row r="1651">
      <c r="A1651" s="55"/>
      <c r="B1651" s="55"/>
      <c r="C1651" s="55"/>
      <c r="D1651" s="56"/>
      <c r="E1651" s="57"/>
      <c r="F1651" s="58"/>
      <c r="G1651" s="60"/>
      <c r="H1651" s="63"/>
      <c r="I1651" s="60"/>
      <c r="J1651" s="64"/>
      <c r="K1651" s="64"/>
      <c r="L1651" s="55"/>
      <c r="M1651" s="55"/>
      <c r="N1651" s="55"/>
      <c r="O1651" s="55"/>
      <c r="P1651" s="55"/>
      <c r="Q1651" s="55"/>
      <c r="R1651" s="56"/>
      <c r="S1651" s="57"/>
      <c r="T1651" s="60"/>
    </row>
    <row r="1652">
      <c r="A1652" s="55"/>
      <c r="B1652" s="55"/>
      <c r="C1652" s="55"/>
      <c r="D1652" s="56"/>
      <c r="E1652" s="57"/>
      <c r="F1652" s="58"/>
      <c r="G1652" s="60"/>
      <c r="H1652" s="63"/>
      <c r="I1652" s="60"/>
      <c r="J1652" s="64"/>
      <c r="K1652" s="64"/>
      <c r="L1652" s="55"/>
      <c r="M1652" s="55"/>
      <c r="N1652" s="55"/>
      <c r="O1652" s="55"/>
      <c r="P1652" s="55"/>
      <c r="Q1652" s="55"/>
      <c r="R1652" s="56"/>
      <c r="S1652" s="57"/>
      <c r="T1652" s="60"/>
    </row>
    <row r="1653">
      <c r="A1653" s="55"/>
      <c r="B1653" s="55"/>
      <c r="C1653" s="55"/>
      <c r="D1653" s="56"/>
      <c r="E1653" s="57"/>
      <c r="F1653" s="58"/>
      <c r="G1653" s="60"/>
      <c r="H1653" s="63"/>
      <c r="I1653" s="60"/>
      <c r="J1653" s="64"/>
      <c r="K1653" s="64"/>
      <c r="L1653" s="55"/>
      <c r="M1653" s="55"/>
      <c r="N1653" s="55"/>
      <c r="O1653" s="55"/>
      <c r="P1653" s="55"/>
      <c r="Q1653" s="55"/>
      <c r="R1653" s="56"/>
      <c r="S1653" s="57"/>
      <c r="T1653" s="60"/>
    </row>
    <row r="1654">
      <c r="A1654" s="55"/>
      <c r="B1654" s="55"/>
      <c r="C1654" s="55"/>
      <c r="D1654" s="56"/>
      <c r="E1654" s="57"/>
      <c r="F1654" s="58"/>
      <c r="G1654" s="60"/>
      <c r="H1654" s="63"/>
      <c r="I1654" s="60"/>
      <c r="J1654" s="64"/>
      <c r="K1654" s="64"/>
      <c r="L1654" s="55"/>
      <c r="M1654" s="55"/>
      <c r="N1654" s="55"/>
      <c r="O1654" s="55"/>
      <c r="P1654" s="55"/>
      <c r="Q1654" s="55"/>
      <c r="R1654" s="56"/>
      <c r="S1654" s="57"/>
      <c r="T1654" s="60"/>
    </row>
    <row r="1655">
      <c r="A1655" s="55"/>
      <c r="B1655" s="55"/>
      <c r="C1655" s="55"/>
      <c r="D1655" s="56"/>
      <c r="E1655" s="57"/>
      <c r="F1655" s="58"/>
      <c r="G1655" s="60"/>
      <c r="H1655" s="63"/>
      <c r="I1655" s="60"/>
      <c r="J1655" s="64"/>
      <c r="K1655" s="64"/>
      <c r="L1655" s="55"/>
      <c r="M1655" s="55"/>
      <c r="N1655" s="55"/>
      <c r="O1655" s="55"/>
      <c r="P1655" s="55"/>
      <c r="Q1655" s="55"/>
      <c r="R1655" s="56"/>
      <c r="S1655" s="57"/>
      <c r="T1655" s="60"/>
    </row>
    <row r="1656">
      <c r="A1656" s="55"/>
      <c r="B1656" s="55"/>
      <c r="C1656" s="55"/>
      <c r="D1656" s="56"/>
      <c r="E1656" s="57"/>
      <c r="F1656" s="58"/>
      <c r="G1656" s="60"/>
      <c r="H1656" s="63"/>
      <c r="I1656" s="60"/>
      <c r="J1656" s="64"/>
      <c r="K1656" s="64"/>
      <c r="L1656" s="55"/>
      <c r="M1656" s="55"/>
      <c r="N1656" s="55"/>
      <c r="O1656" s="55"/>
      <c r="P1656" s="55"/>
      <c r="Q1656" s="55"/>
      <c r="R1656" s="56"/>
      <c r="S1656" s="57"/>
      <c r="T1656" s="60"/>
    </row>
    <row r="1657">
      <c r="A1657" s="55"/>
      <c r="B1657" s="55"/>
      <c r="C1657" s="55"/>
      <c r="D1657" s="56"/>
      <c r="E1657" s="57"/>
      <c r="F1657" s="58"/>
      <c r="G1657" s="60"/>
      <c r="H1657" s="63"/>
      <c r="I1657" s="60"/>
      <c r="J1657" s="64"/>
      <c r="K1657" s="64"/>
      <c r="L1657" s="55"/>
      <c r="M1657" s="55"/>
      <c r="N1657" s="55"/>
      <c r="O1657" s="55"/>
      <c r="P1657" s="55"/>
      <c r="Q1657" s="55"/>
      <c r="R1657" s="56"/>
      <c r="S1657" s="57"/>
      <c r="T1657" s="60"/>
    </row>
    <row r="1658">
      <c r="A1658" s="55"/>
      <c r="B1658" s="55"/>
      <c r="C1658" s="55"/>
      <c r="D1658" s="56"/>
      <c r="E1658" s="57"/>
      <c r="F1658" s="58"/>
      <c r="G1658" s="60"/>
      <c r="H1658" s="63"/>
      <c r="I1658" s="60"/>
      <c r="J1658" s="64"/>
      <c r="K1658" s="64"/>
      <c r="L1658" s="55"/>
      <c r="M1658" s="55"/>
      <c r="N1658" s="55"/>
      <c r="O1658" s="55"/>
      <c r="P1658" s="55"/>
      <c r="Q1658" s="55"/>
      <c r="R1658" s="56"/>
      <c r="S1658" s="57"/>
      <c r="T1658" s="60"/>
    </row>
    <row r="1659">
      <c r="A1659" s="55"/>
      <c r="B1659" s="55"/>
      <c r="C1659" s="55"/>
      <c r="D1659" s="56"/>
      <c r="E1659" s="57"/>
      <c r="F1659" s="58"/>
      <c r="G1659" s="60"/>
      <c r="H1659" s="63"/>
      <c r="I1659" s="60"/>
      <c r="J1659" s="64"/>
      <c r="K1659" s="64"/>
      <c r="L1659" s="55"/>
      <c r="M1659" s="55"/>
      <c r="N1659" s="55"/>
      <c r="O1659" s="55"/>
      <c r="P1659" s="55"/>
      <c r="Q1659" s="55"/>
      <c r="R1659" s="56"/>
      <c r="S1659" s="57"/>
      <c r="T1659" s="60"/>
    </row>
    <row r="1660">
      <c r="A1660" s="55"/>
      <c r="B1660" s="55"/>
      <c r="C1660" s="55"/>
      <c r="D1660" s="56"/>
      <c r="E1660" s="57"/>
      <c r="F1660" s="58"/>
      <c r="G1660" s="60"/>
      <c r="H1660" s="63"/>
      <c r="I1660" s="60"/>
      <c r="J1660" s="64"/>
      <c r="K1660" s="64"/>
      <c r="L1660" s="55"/>
      <c r="M1660" s="55"/>
      <c r="N1660" s="55"/>
      <c r="O1660" s="55"/>
      <c r="P1660" s="55"/>
      <c r="Q1660" s="55"/>
      <c r="R1660" s="56"/>
      <c r="S1660" s="57"/>
      <c r="T1660" s="60"/>
    </row>
    <row r="1661">
      <c r="A1661" s="55"/>
      <c r="B1661" s="55"/>
      <c r="C1661" s="55"/>
      <c r="D1661" s="56"/>
      <c r="E1661" s="57"/>
      <c r="F1661" s="58"/>
      <c r="G1661" s="60"/>
      <c r="H1661" s="63"/>
      <c r="I1661" s="60"/>
      <c r="J1661" s="64"/>
      <c r="K1661" s="64"/>
      <c r="L1661" s="55"/>
      <c r="M1661" s="55"/>
      <c r="N1661" s="55"/>
      <c r="O1661" s="55"/>
      <c r="P1661" s="55"/>
      <c r="Q1661" s="55"/>
      <c r="R1661" s="56"/>
      <c r="S1661" s="57"/>
      <c r="T1661" s="60"/>
    </row>
    <row r="1662">
      <c r="A1662" s="55"/>
      <c r="B1662" s="55"/>
      <c r="C1662" s="55"/>
      <c r="D1662" s="56"/>
      <c r="E1662" s="57"/>
      <c r="F1662" s="58"/>
      <c r="G1662" s="60"/>
      <c r="H1662" s="63"/>
      <c r="I1662" s="60"/>
      <c r="J1662" s="64"/>
      <c r="K1662" s="64"/>
      <c r="L1662" s="55"/>
      <c r="M1662" s="55"/>
      <c r="N1662" s="55"/>
      <c r="O1662" s="55"/>
      <c r="P1662" s="55"/>
      <c r="Q1662" s="55"/>
      <c r="R1662" s="56"/>
      <c r="S1662" s="57"/>
      <c r="T1662" s="60"/>
    </row>
    <row r="1663">
      <c r="A1663" s="55"/>
      <c r="B1663" s="55"/>
      <c r="C1663" s="55"/>
      <c r="D1663" s="56"/>
      <c r="E1663" s="57"/>
      <c r="F1663" s="58"/>
      <c r="G1663" s="60"/>
      <c r="H1663" s="63"/>
      <c r="I1663" s="60"/>
      <c r="J1663" s="64"/>
      <c r="K1663" s="64"/>
      <c r="L1663" s="55"/>
      <c r="M1663" s="55"/>
      <c r="N1663" s="55"/>
      <c r="O1663" s="55"/>
      <c r="P1663" s="55"/>
      <c r="Q1663" s="55"/>
      <c r="R1663" s="56"/>
      <c r="S1663" s="57"/>
      <c r="T1663" s="60"/>
    </row>
    <row r="1664">
      <c r="A1664" s="55"/>
      <c r="B1664" s="55"/>
      <c r="C1664" s="55"/>
      <c r="D1664" s="56"/>
      <c r="E1664" s="57"/>
      <c r="F1664" s="58"/>
      <c r="G1664" s="60"/>
      <c r="H1664" s="63"/>
      <c r="I1664" s="60"/>
      <c r="J1664" s="64"/>
      <c r="K1664" s="64"/>
      <c r="L1664" s="55"/>
      <c r="M1664" s="55"/>
      <c r="N1664" s="55"/>
      <c r="O1664" s="55"/>
      <c r="P1664" s="55"/>
      <c r="Q1664" s="55"/>
      <c r="R1664" s="56"/>
      <c r="S1664" s="57"/>
      <c r="T1664" s="60"/>
    </row>
    <row r="1665">
      <c r="A1665" s="66"/>
      <c r="B1665" s="66"/>
      <c r="C1665" s="66"/>
      <c r="D1665" s="66"/>
      <c r="E1665" s="15"/>
      <c r="F1665" s="66"/>
      <c r="G1665" s="18"/>
      <c r="H1665" s="15"/>
      <c r="I1665" s="18"/>
      <c r="J1665" s="22"/>
      <c r="K1665" s="108"/>
      <c r="L1665" s="66"/>
      <c r="M1665" s="66"/>
      <c r="N1665" s="66"/>
      <c r="O1665" s="66"/>
      <c r="P1665" s="66"/>
      <c r="Q1665" s="66"/>
      <c r="R1665" s="56"/>
      <c r="S1665" s="57"/>
      <c r="T1665" s="60"/>
    </row>
    <row r="1666">
      <c r="A1666" s="66"/>
      <c r="B1666" s="66"/>
      <c r="C1666" s="66"/>
      <c r="D1666" s="66"/>
      <c r="E1666" s="15"/>
      <c r="F1666" s="66"/>
      <c r="G1666" s="18"/>
      <c r="H1666" s="15"/>
      <c r="I1666" s="18"/>
      <c r="J1666" s="22"/>
      <c r="K1666" s="108"/>
      <c r="L1666" s="66"/>
      <c r="M1666" s="66"/>
      <c r="N1666" s="66"/>
      <c r="O1666" s="66"/>
      <c r="P1666" s="66"/>
      <c r="Q1666" s="66"/>
      <c r="R1666" s="66"/>
      <c r="S1666" s="66"/>
      <c r="T1666" s="66"/>
    </row>
    <row r="1667">
      <c r="A1667" s="66"/>
      <c r="B1667" s="66"/>
      <c r="C1667" s="66"/>
      <c r="D1667" s="66"/>
      <c r="E1667" s="15"/>
      <c r="F1667" s="66"/>
      <c r="G1667" s="18"/>
      <c r="H1667" s="15"/>
      <c r="I1667" s="18"/>
      <c r="J1667" s="22"/>
      <c r="K1667" s="108"/>
      <c r="L1667" s="66"/>
      <c r="M1667" s="66"/>
      <c r="N1667" s="66"/>
      <c r="O1667" s="66"/>
      <c r="P1667" s="66"/>
      <c r="Q1667" s="66"/>
      <c r="R1667" s="66"/>
      <c r="S1667" s="66"/>
      <c r="T1667" s="66"/>
    </row>
    <row r="1668">
      <c r="A1668" s="66"/>
      <c r="B1668" s="66"/>
      <c r="C1668" s="66"/>
      <c r="D1668" s="66"/>
      <c r="E1668" s="15"/>
      <c r="F1668" s="66"/>
      <c r="G1668" s="18"/>
      <c r="H1668" s="15"/>
      <c r="I1668" s="18"/>
      <c r="J1668" s="22"/>
      <c r="K1668" s="108"/>
      <c r="L1668" s="66"/>
      <c r="M1668" s="66"/>
      <c r="N1668" s="66"/>
      <c r="O1668" s="66"/>
      <c r="P1668" s="66"/>
      <c r="Q1668" s="66"/>
      <c r="R1668" s="66"/>
      <c r="S1668" s="66"/>
      <c r="T1668" s="66"/>
    </row>
    <row r="1669">
      <c r="A1669" s="66"/>
      <c r="B1669" s="66"/>
      <c r="C1669" s="66"/>
      <c r="D1669" s="66"/>
      <c r="E1669" s="15"/>
      <c r="F1669" s="66"/>
      <c r="G1669" s="18"/>
      <c r="H1669" s="15"/>
      <c r="I1669" s="18"/>
      <c r="J1669" s="22"/>
      <c r="K1669" s="108"/>
      <c r="L1669" s="66"/>
      <c r="M1669" s="66"/>
      <c r="N1669" s="66"/>
      <c r="O1669" s="66"/>
      <c r="P1669" s="66"/>
      <c r="Q1669" s="66"/>
      <c r="R1669" s="66"/>
      <c r="S1669" s="66"/>
      <c r="T1669" s="66"/>
    </row>
    <row r="1670">
      <c r="A1670" s="66"/>
      <c r="B1670" s="66"/>
      <c r="C1670" s="66"/>
      <c r="D1670" s="66"/>
      <c r="E1670" s="15"/>
      <c r="F1670" s="66"/>
      <c r="G1670" s="18"/>
      <c r="H1670" s="15"/>
      <c r="I1670" s="18"/>
      <c r="J1670" s="22"/>
      <c r="K1670" s="108"/>
      <c r="L1670" s="66"/>
      <c r="M1670" s="66"/>
      <c r="N1670" s="66"/>
      <c r="O1670" s="66"/>
      <c r="P1670" s="66"/>
      <c r="Q1670" s="66"/>
      <c r="R1670" s="66"/>
      <c r="S1670" s="66"/>
      <c r="T1670" s="66"/>
    </row>
    <row r="1671">
      <c r="A1671" s="66"/>
      <c r="B1671" s="66"/>
      <c r="C1671" s="66"/>
      <c r="D1671" s="66"/>
      <c r="E1671" s="15"/>
      <c r="F1671" s="66"/>
      <c r="G1671" s="18"/>
      <c r="H1671" s="15"/>
      <c r="I1671" s="18"/>
      <c r="J1671" s="22"/>
      <c r="K1671" s="108"/>
      <c r="L1671" s="66"/>
      <c r="M1671" s="66"/>
      <c r="N1671" s="66"/>
      <c r="O1671" s="66"/>
      <c r="P1671" s="66"/>
      <c r="Q1671" s="66"/>
      <c r="R1671" s="66"/>
      <c r="S1671" s="66"/>
      <c r="T1671" s="66"/>
    </row>
    <row r="1672">
      <c r="A1672" s="66"/>
      <c r="B1672" s="66"/>
      <c r="C1672" s="66"/>
      <c r="D1672" s="66"/>
      <c r="E1672" s="15"/>
      <c r="F1672" s="66"/>
      <c r="G1672" s="18"/>
      <c r="H1672" s="15"/>
      <c r="I1672" s="18"/>
      <c r="J1672" s="22"/>
      <c r="K1672" s="108"/>
      <c r="L1672" s="66"/>
      <c r="M1672" s="66"/>
      <c r="N1672" s="66"/>
      <c r="O1672" s="66"/>
      <c r="P1672" s="66"/>
      <c r="Q1672" s="66"/>
      <c r="R1672" s="66"/>
      <c r="S1672" s="66"/>
      <c r="T1672" s="66"/>
    </row>
    <row r="1673">
      <c r="A1673" s="66"/>
      <c r="B1673" s="66"/>
      <c r="C1673" s="66"/>
      <c r="D1673" s="66"/>
      <c r="E1673" s="15"/>
      <c r="F1673" s="66"/>
      <c r="G1673" s="18"/>
      <c r="H1673" s="15"/>
      <c r="I1673" s="18"/>
      <c r="J1673" s="22"/>
      <c r="K1673" s="108"/>
      <c r="L1673" s="66"/>
      <c r="M1673" s="66"/>
      <c r="N1673" s="66"/>
      <c r="O1673" s="66"/>
      <c r="P1673" s="66"/>
      <c r="Q1673" s="66"/>
      <c r="R1673" s="66"/>
      <c r="S1673" s="66"/>
      <c r="T1673" s="66"/>
    </row>
    <row r="1674">
      <c r="A1674" s="66"/>
      <c r="B1674" s="66"/>
      <c r="C1674" s="66"/>
      <c r="D1674" s="66"/>
      <c r="E1674" s="15"/>
      <c r="F1674" s="66"/>
      <c r="G1674" s="18"/>
      <c r="H1674" s="15"/>
      <c r="I1674" s="18"/>
      <c r="J1674" s="22"/>
      <c r="K1674" s="108"/>
      <c r="L1674" s="66"/>
      <c r="M1674" s="66"/>
      <c r="N1674" s="66"/>
      <c r="O1674" s="66"/>
      <c r="P1674" s="66"/>
      <c r="Q1674" s="66"/>
      <c r="R1674" s="66"/>
      <c r="S1674" s="66"/>
      <c r="T1674" s="66"/>
    </row>
    <row r="1675">
      <c r="A1675" s="66"/>
      <c r="B1675" s="66"/>
      <c r="C1675" s="66"/>
      <c r="D1675" s="66"/>
      <c r="E1675" s="15"/>
      <c r="F1675" s="66"/>
      <c r="G1675" s="18"/>
      <c r="H1675" s="15"/>
      <c r="I1675" s="18"/>
      <c r="J1675" s="22"/>
      <c r="K1675" s="108"/>
      <c r="L1675" s="66"/>
      <c r="M1675" s="66"/>
      <c r="N1675" s="66"/>
      <c r="O1675" s="66"/>
      <c r="P1675" s="66"/>
      <c r="Q1675" s="66"/>
      <c r="R1675" s="66"/>
      <c r="S1675" s="66"/>
      <c r="T1675" s="66"/>
    </row>
    <row r="1676">
      <c r="A1676" s="66"/>
      <c r="B1676" s="66"/>
      <c r="C1676" s="66"/>
      <c r="D1676" s="66"/>
      <c r="E1676" s="15"/>
      <c r="F1676" s="66"/>
      <c r="G1676" s="18"/>
      <c r="H1676" s="15"/>
      <c r="I1676" s="18"/>
      <c r="J1676" s="22"/>
      <c r="K1676" s="108"/>
      <c r="L1676" s="66"/>
      <c r="M1676" s="66"/>
      <c r="N1676" s="66"/>
      <c r="O1676" s="66"/>
      <c r="P1676" s="66"/>
      <c r="Q1676" s="66"/>
      <c r="R1676" s="66"/>
      <c r="S1676" s="66"/>
      <c r="T1676" s="66"/>
    </row>
    <row r="1677">
      <c r="A1677" s="66"/>
      <c r="B1677" s="66"/>
      <c r="C1677" s="66"/>
      <c r="D1677" s="66"/>
      <c r="E1677" s="15"/>
      <c r="F1677" s="66"/>
      <c r="G1677" s="18"/>
      <c r="H1677" s="15"/>
      <c r="I1677" s="18"/>
      <c r="J1677" s="22"/>
      <c r="K1677" s="108"/>
      <c r="L1677" s="66"/>
      <c r="M1677" s="66"/>
      <c r="N1677" s="66"/>
      <c r="O1677" s="66"/>
      <c r="P1677" s="66"/>
      <c r="Q1677" s="66"/>
      <c r="R1677" s="66"/>
      <c r="S1677" s="66"/>
      <c r="T1677" s="66"/>
    </row>
    <row r="1678">
      <c r="A1678" s="66"/>
      <c r="B1678" s="66"/>
      <c r="C1678" s="66"/>
      <c r="D1678" s="66"/>
      <c r="E1678" s="15"/>
      <c r="F1678" s="66"/>
      <c r="G1678" s="18"/>
      <c r="H1678" s="15"/>
      <c r="I1678" s="18"/>
      <c r="J1678" s="22"/>
      <c r="K1678" s="108"/>
      <c r="L1678" s="66"/>
      <c r="M1678" s="66"/>
      <c r="N1678" s="66"/>
      <c r="O1678" s="66"/>
      <c r="P1678" s="66"/>
      <c r="Q1678" s="66"/>
      <c r="R1678" s="66"/>
      <c r="S1678" s="66"/>
      <c r="T1678" s="66"/>
    </row>
    <row r="1679">
      <c r="A1679" s="66"/>
      <c r="B1679" s="66"/>
      <c r="C1679" s="66"/>
      <c r="D1679" s="66"/>
      <c r="E1679" s="15"/>
      <c r="F1679" s="66"/>
      <c r="G1679" s="18"/>
      <c r="H1679" s="15"/>
      <c r="I1679" s="18"/>
      <c r="J1679" s="22"/>
      <c r="K1679" s="108"/>
      <c r="L1679" s="66"/>
      <c r="M1679" s="66"/>
      <c r="N1679" s="66"/>
      <c r="O1679" s="66"/>
      <c r="P1679" s="66"/>
      <c r="Q1679" s="66"/>
      <c r="R1679" s="66"/>
      <c r="S1679" s="66"/>
      <c r="T1679" s="66"/>
    </row>
    <row r="1680">
      <c r="A1680" s="66"/>
      <c r="B1680" s="66"/>
      <c r="C1680" s="66"/>
      <c r="D1680" s="66"/>
      <c r="E1680" s="15"/>
      <c r="F1680" s="66"/>
      <c r="G1680" s="18"/>
      <c r="H1680" s="15"/>
      <c r="I1680" s="18"/>
      <c r="J1680" s="22"/>
      <c r="K1680" s="108"/>
      <c r="L1680" s="66"/>
      <c r="M1680" s="66"/>
      <c r="N1680" s="66"/>
      <c r="O1680" s="66"/>
      <c r="P1680" s="66"/>
      <c r="Q1680" s="66"/>
      <c r="R1680" s="66"/>
      <c r="S1680" s="66"/>
      <c r="T1680" s="66"/>
    </row>
    <row r="1681">
      <c r="A1681" s="66"/>
      <c r="B1681" s="66"/>
      <c r="C1681" s="66"/>
      <c r="D1681" s="66"/>
      <c r="E1681" s="15"/>
      <c r="F1681" s="66"/>
      <c r="G1681" s="18"/>
      <c r="H1681" s="15"/>
      <c r="I1681" s="18"/>
      <c r="J1681" s="22"/>
      <c r="K1681" s="108"/>
      <c r="L1681" s="66"/>
      <c r="M1681" s="66"/>
      <c r="N1681" s="66"/>
      <c r="O1681" s="66"/>
      <c r="P1681" s="66"/>
      <c r="Q1681" s="66"/>
      <c r="R1681" s="66"/>
      <c r="S1681" s="66"/>
      <c r="T1681" s="66"/>
    </row>
    <row r="1682">
      <c r="A1682" s="66"/>
      <c r="B1682" s="66"/>
      <c r="C1682" s="66"/>
      <c r="D1682" s="66"/>
      <c r="E1682" s="15"/>
      <c r="F1682" s="66"/>
      <c r="G1682" s="18"/>
      <c r="H1682" s="15"/>
      <c r="I1682" s="18"/>
      <c r="J1682" s="22"/>
      <c r="K1682" s="108"/>
      <c r="L1682" s="66"/>
      <c r="M1682" s="66"/>
      <c r="N1682" s="66"/>
      <c r="O1682" s="66"/>
      <c r="P1682" s="66"/>
      <c r="Q1682" s="66"/>
      <c r="R1682" s="66"/>
      <c r="S1682" s="66"/>
      <c r="T1682" s="66"/>
    </row>
    <row r="1683">
      <c r="A1683" s="66"/>
      <c r="B1683" s="66"/>
      <c r="C1683" s="66"/>
      <c r="D1683" s="66"/>
      <c r="E1683" s="15"/>
      <c r="F1683" s="66"/>
      <c r="G1683" s="18"/>
      <c r="H1683" s="15"/>
      <c r="I1683" s="18"/>
      <c r="J1683" s="22"/>
      <c r="K1683" s="108"/>
      <c r="L1683" s="66"/>
      <c r="M1683" s="66"/>
      <c r="N1683" s="66"/>
      <c r="O1683" s="66"/>
      <c r="P1683" s="66"/>
      <c r="Q1683" s="66"/>
      <c r="R1683" s="66"/>
      <c r="S1683" s="66"/>
      <c r="T1683" s="66"/>
    </row>
    <row r="1684">
      <c r="A1684" s="66"/>
      <c r="B1684" s="66"/>
      <c r="C1684" s="66"/>
      <c r="D1684" s="66"/>
      <c r="E1684" s="15"/>
      <c r="F1684" s="66"/>
      <c r="G1684" s="18"/>
      <c r="H1684" s="15"/>
      <c r="I1684" s="18"/>
      <c r="J1684" s="22"/>
      <c r="K1684" s="108"/>
      <c r="L1684" s="66"/>
      <c r="M1684" s="66"/>
      <c r="N1684" s="66"/>
      <c r="O1684" s="66"/>
      <c r="P1684" s="66"/>
      <c r="Q1684" s="66"/>
      <c r="R1684" s="66"/>
      <c r="S1684" s="66"/>
      <c r="T1684" s="66"/>
    </row>
    <row r="1685">
      <c r="A1685" s="66"/>
      <c r="B1685" s="66"/>
      <c r="C1685" s="66"/>
      <c r="D1685" s="66"/>
      <c r="E1685" s="15"/>
      <c r="F1685" s="66"/>
      <c r="G1685" s="18"/>
      <c r="H1685" s="15"/>
      <c r="I1685" s="18"/>
      <c r="J1685" s="22"/>
      <c r="K1685" s="108"/>
      <c r="L1685" s="66"/>
      <c r="M1685" s="66"/>
      <c r="N1685" s="66"/>
      <c r="O1685" s="66"/>
      <c r="P1685" s="66"/>
      <c r="Q1685" s="66"/>
      <c r="R1685" s="66"/>
      <c r="S1685" s="66"/>
      <c r="T1685" s="66"/>
    </row>
    <row r="1686">
      <c r="A1686" s="66"/>
      <c r="B1686" s="66"/>
      <c r="C1686" s="66"/>
      <c r="D1686" s="66"/>
      <c r="E1686" s="15"/>
      <c r="F1686" s="66"/>
      <c r="G1686" s="18"/>
      <c r="H1686" s="15"/>
      <c r="I1686" s="18"/>
      <c r="J1686" s="22"/>
      <c r="K1686" s="108"/>
      <c r="L1686" s="66"/>
      <c r="M1686" s="66"/>
      <c r="N1686" s="66"/>
      <c r="O1686" s="66"/>
      <c r="P1686" s="66"/>
      <c r="Q1686" s="66"/>
      <c r="R1686" s="66"/>
      <c r="S1686" s="66"/>
      <c r="T1686" s="66"/>
    </row>
    <row r="1687">
      <c r="A1687" s="66"/>
      <c r="B1687" s="66"/>
      <c r="C1687" s="66"/>
      <c r="D1687" s="66"/>
      <c r="E1687" s="15"/>
      <c r="F1687" s="66"/>
      <c r="G1687" s="18"/>
      <c r="H1687" s="15"/>
      <c r="I1687" s="18"/>
      <c r="J1687" s="22"/>
      <c r="K1687" s="108"/>
      <c r="L1687" s="66"/>
      <c r="M1687" s="66"/>
      <c r="N1687" s="66"/>
      <c r="O1687" s="66"/>
      <c r="P1687" s="66"/>
      <c r="Q1687" s="66"/>
      <c r="R1687" s="66"/>
      <c r="S1687" s="66"/>
      <c r="T1687" s="66"/>
    </row>
    <row r="1688">
      <c r="A1688" s="66"/>
      <c r="B1688" s="66"/>
      <c r="C1688" s="66"/>
      <c r="D1688" s="66"/>
      <c r="E1688" s="15"/>
      <c r="F1688" s="66"/>
      <c r="G1688" s="18"/>
      <c r="H1688" s="15"/>
      <c r="I1688" s="18"/>
      <c r="J1688" s="22"/>
      <c r="K1688" s="108"/>
      <c r="L1688" s="66"/>
      <c r="M1688" s="66"/>
      <c r="N1688" s="66"/>
      <c r="O1688" s="66"/>
      <c r="P1688" s="66"/>
      <c r="Q1688" s="66"/>
      <c r="R1688" s="66"/>
      <c r="S1688" s="66"/>
      <c r="T1688" s="66"/>
    </row>
    <row r="1689">
      <c r="A1689" s="66"/>
      <c r="B1689" s="66"/>
      <c r="C1689" s="66"/>
      <c r="D1689" s="66"/>
      <c r="E1689" s="15"/>
      <c r="F1689" s="66"/>
      <c r="G1689" s="18"/>
      <c r="H1689" s="15"/>
      <c r="I1689" s="18"/>
      <c r="J1689" s="22"/>
      <c r="K1689" s="108"/>
      <c r="L1689" s="66"/>
      <c r="M1689" s="66"/>
      <c r="N1689" s="66"/>
      <c r="O1689" s="66"/>
      <c r="P1689" s="66"/>
      <c r="Q1689" s="66"/>
      <c r="R1689" s="66"/>
      <c r="S1689" s="66"/>
      <c r="T1689" s="66"/>
    </row>
    <row r="1690">
      <c r="A1690" s="66"/>
      <c r="B1690" s="66"/>
      <c r="C1690" s="66"/>
      <c r="D1690" s="66"/>
      <c r="E1690" s="15"/>
      <c r="F1690" s="66"/>
      <c r="G1690" s="18"/>
      <c r="H1690" s="15"/>
      <c r="I1690" s="18"/>
      <c r="J1690" s="22"/>
      <c r="K1690" s="108"/>
      <c r="L1690" s="66"/>
      <c r="M1690" s="66"/>
      <c r="N1690" s="66"/>
      <c r="O1690" s="66"/>
      <c r="P1690" s="66"/>
      <c r="Q1690" s="66"/>
      <c r="R1690" s="66"/>
      <c r="S1690" s="66"/>
      <c r="T1690" s="66"/>
    </row>
    <row r="1691">
      <c r="A1691" s="66"/>
      <c r="B1691" s="66"/>
      <c r="C1691" s="66"/>
      <c r="D1691" s="66"/>
      <c r="E1691" s="15"/>
      <c r="F1691" s="66"/>
      <c r="G1691" s="18"/>
      <c r="H1691" s="15"/>
      <c r="I1691" s="18"/>
      <c r="J1691" s="22"/>
      <c r="K1691" s="108"/>
      <c r="L1691" s="66"/>
      <c r="M1691" s="66"/>
      <c r="N1691" s="66"/>
      <c r="O1691" s="66"/>
      <c r="P1691" s="66"/>
      <c r="Q1691" s="66"/>
      <c r="R1691" s="66"/>
      <c r="S1691" s="66"/>
      <c r="T1691" s="66"/>
    </row>
    <row r="1692">
      <c r="A1692" s="66"/>
      <c r="B1692" s="66"/>
      <c r="C1692" s="66"/>
      <c r="D1692" s="66"/>
      <c r="E1692" s="15"/>
      <c r="F1692" s="66"/>
      <c r="G1692" s="18"/>
      <c r="H1692" s="15"/>
      <c r="I1692" s="18"/>
      <c r="J1692" s="22"/>
      <c r="K1692" s="108"/>
      <c r="L1692" s="66"/>
      <c r="M1692" s="66"/>
      <c r="N1692" s="66"/>
      <c r="O1692" s="66"/>
      <c r="P1692" s="66"/>
      <c r="Q1692" s="66"/>
      <c r="R1692" s="66"/>
      <c r="S1692" s="66"/>
      <c r="T1692" s="66"/>
    </row>
    <row r="1693">
      <c r="A1693" s="66"/>
      <c r="B1693" s="66"/>
      <c r="C1693" s="66"/>
      <c r="D1693" s="66"/>
      <c r="E1693" s="15"/>
      <c r="F1693" s="66"/>
      <c r="G1693" s="18"/>
      <c r="H1693" s="15"/>
      <c r="I1693" s="18"/>
      <c r="J1693" s="22"/>
      <c r="K1693" s="108"/>
      <c r="L1693" s="66"/>
      <c r="M1693" s="66"/>
      <c r="N1693" s="66"/>
      <c r="O1693" s="66"/>
      <c r="P1693" s="66"/>
      <c r="Q1693" s="66"/>
      <c r="R1693" s="66"/>
      <c r="S1693" s="66"/>
      <c r="T1693" s="66"/>
    </row>
    <row r="1694">
      <c r="A1694" s="66"/>
      <c r="B1694" s="66"/>
      <c r="C1694" s="66"/>
      <c r="D1694" s="66"/>
      <c r="E1694" s="15"/>
      <c r="F1694" s="66"/>
      <c r="G1694" s="18"/>
      <c r="H1694" s="15"/>
      <c r="I1694" s="18"/>
      <c r="J1694" s="22"/>
      <c r="K1694" s="108"/>
      <c r="L1694" s="66"/>
      <c r="M1694" s="66"/>
      <c r="N1694" s="66"/>
      <c r="O1694" s="66"/>
      <c r="P1694" s="66"/>
      <c r="Q1694" s="66"/>
      <c r="R1694" s="66"/>
      <c r="S1694" s="66"/>
      <c r="T1694" s="66"/>
    </row>
    <row r="1695">
      <c r="A1695" s="66"/>
      <c r="B1695" s="66"/>
      <c r="C1695" s="66"/>
      <c r="D1695" s="66"/>
      <c r="E1695" s="15"/>
      <c r="F1695" s="66"/>
      <c r="G1695" s="18"/>
      <c r="H1695" s="15"/>
      <c r="I1695" s="18"/>
      <c r="J1695" s="22"/>
      <c r="K1695" s="108"/>
      <c r="L1695" s="66"/>
      <c r="M1695" s="66"/>
      <c r="N1695" s="66"/>
      <c r="O1695" s="66"/>
      <c r="P1695" s="66"/>
      <c r="Q1695" s="66"/>
      <c r="R1695" s="66"/>
      <c r="S1695" s="66"/>
      <c r="T1695" s="66"/>
    </row>
    <row r="1696">
      <c r="A1696" s="66"/>
      <c r="B1696" s="66"/>
      <c r="C1696" s="66"/>
      <c r="D1696" s="66"/>
      <c r="E1696" s="15"/>
      <c r="F1696" s="66"/>
      <c r="G1696" s="18"/>
      <c r="H1696" s="15"/>
      <c r="I1696" s="18"/>
      <c r="J1696" s="22"/>
      <c r="K1696" s="108"/>
      <c r="L1696" s="66"/>
      <c r="M1696" s="66"/>
      <c r="N1696" s="66"/>
      <c r="O1696" s="66"/>
      <c r="P1696" s="66"/>
      <c r="Q1696" s="66"/>
      <c r="R1696" s="66"/>
      <c r="S1696" s="66"/>
      <c r="T1696" s="66"/>
    </row>
    <row r="1697">
      <c r="A1697" s="66"/>
      <c r="B1697" s="66"/>
      <c r="C1697" s="66"/>
      <c r="D1697" s="66"/>
      <c r="E1697" s="15"/>
      <c r="F1697" s="66"/>
      <c r="G1697" s="18"/>
      <c r="H1697" s="15"/>
      <c r="I1697" s="18"/>
      <c r="J1697" s="22"/>
      <c r="K1697" s="108"/>
      <c r="L1697" s="66"/>
      <c r="M1697" s="66"/>
      <c r="N1697" s="66"/>
      <c r="O1697" s="66"/>
      <c r="P1697" s="66"/>
      <c r="Q1697" s="66"/>
      <c r="R1697" s="66"/>
      <c r="S1697" s="66"/>
      <c r="T1697" s="66"/>
    </row>
    <row r="1698">
      <c r="A1698" s="66"/>
      <c r="B1698" s="66"/>
      <c r="C1698" s="66"/>
      <c r="D1698" s="66"/>
      <c r="E1698" s="15"/>
      <c r="F1698" s="66"/>
      <c r="G1698" s="18"/>
      <c r="H1698" s="15"/>
      <c r="I1698" s="18"/>
      <c r="J1698" s="22"/>
      <c r="K1698" s="108"/>
      <c r="L1698" s="66"/>
      <c r="M1698" s="66"/>
      <c r="N1698" s="66"/>
      <c r="O1698" s="66"/>
      <c r="P1698" s="66"/>
      <c r="Q1698" s="66"/>
      <c r="R1698" s="66"/>
      <c r="S1698" s="66"/>
      <c r="T1698" s="66"/>
    </row>
    <row r="1699">
      <c r="A1699" s="66"/>
      <c r="B1699" s="66"/>
      <c r="C1699" s="66"/>
      <c r="D1699" s="66"/>
      <c r="E1699" s="15"/>
      <c r="F1699" s="66"/>
      <c r="G1699" s="18"/>
      <c r="H1699" s="15"/>
      <c r="I1699" s="18"/>
      <c r="J1699" s="22"/>
      <c r="K1699" s="108"/>
      <c r="L1699" s="66"/>
      <c r="M1699" s="66"/>
      <c r="N1699" s="66"/>
      <c r="O1699" s="66"/>
      <c r="P1699" s="66"/>
      <c r="Q1699" s="66"/>
      <c r="R1699" s="66"/>
      <c r="S1699" s="66"/>
      <c r="T1699" s="66"/>
    </row>
    <row r="1700">
      <c r="A1700" s="66"/>
      <c r="B1700" s="66"/>
      <c r="C1700" s="66"/>
      <c r="D1700" s="66"/>
      <c r="E1700" s="15"/>
      <c r="F1700" s="66"/>
      <c r="G1700" s="18"/>
      <c r="H1700" s="15"/>
      <c r="I1700" s="18"/>
      <c r="J1700" s="22"/>
      <c r="K1700" s="108"/>
      <c r="L1700" s="66"/>
      <c r="M1700" s="66"/>
      <c r="N1700" s="66"/>
      <c r="O1700" s="66"/>
      <c r="P1700" s="66"/>
      <c r="Q1700" s="66"/>
      <c r="R1700" s="66"/>
      <c r="S1700" s="66"/>
      <c r="T1700" s="66"/>
    </row>
    <row r="1701">
      <c r="A1701" s="66"/>
      <c r="B1701" s="66"/>
      <c r="C1701" s="66"/>
      <c r="D1701" s="66"/>
      <c r="E1701" s="15"/>
      <c r="F1701" s="66"/>
      <c r="G1701" s="18"/>
      <c r="H1701" s="15"/>
      <c r="I1701" s="18"/>
      <c r="J1701" s="22"/>
      <c r="K1701" s="108"/>
      <c r="L1701" s="66"/>
      <c r="M1701" s="66"/>
      <c r="N1701" s="66"/>
      <c r="O1701" s="66"/>
      <c r="P1701" s="66"/>
      <c r="Q1701" s="66"/>
      <c r="R1701" s="66"/>
      <c r="S1701" s="66"/>
      <c r="T1701" s="66"/>
    </row>
    <row r="1702">
      <c r="A1702" s="66"/>
      <c r="B1702" s="66"/>
      <c r="C1702" s="66"/>
      <c r="D1702" s="66"/>
      <c r="E1702" s="15"/>
      <c r="F1702" s="66"/>
      <c r="G1702" s="18"/>
      <c r="H1702" s="15"/>
      <c r="I1702" s="18"/>
      <c r="J1702" s="22"/>
      <c r="K1702" s="108"/>
      <c r="L1702" s="66"/>
      <c r="M1702" s="66"/>
      <c r="N1702" s="66"/>
      <c r="O1702" s="66"/>
      <c r="P1702" s="66"/>
      <c r="Q1702" s="66"/>
      <c r="R1702" s="66"/>
      <c r="S1702" s="66"/>
      <c r="T1702" s="66"/>
    </row>
    <row r="1703">
      <c r="A1703" s="66"/>
      <c r="B1703" s="66"/>
      <c r="C1703" s="66"/>
      <c r="D1703" s="66"/>
      <c r="E1703" s="15"/>
      <c r="F1703" s="66"/>
      <c r="G1703" s="18"/>
      <c r="H1703" s="15"/>
      <c r="I1703" s="18"/>
      <c r="J1703" s="22"/>
      <c r="K1703" s="108"/>
      <c r="L1703" s="66"/>
      <c r="M1703" s="66"/>
      <c r="N1703" s="66"/>
      <c r="O1703" s="66"/>
      <c r="P1703" s="66"/>
      <c r="Q1703" s="66"/>
      <c r="R1703" s="66"/>
      <c r="S1703" s="66"/>
      <c r="T1703" s="66"/>
    </row>
    <row r="1704">
      <c r="A1704" s="66"/>
      <c r="B1704" s="66"/>
      <c r="C1704" s="66"/>
      <c r="D1704" s="66"/>
      <c r="E1704" s="15"/>
      <c r="F1704" s="66"/>
      <c r="G1704" s="18"/>
      <c r="H1704" s="15"/>
      <c r="I1704" s="18"/>
      <c r="J1704" s="22"/>
      <c r="K1704" s="108"/>
      <c r="L1704" s="66"/>
      <c r="M1704" s="66"/>
      <c r="N1704" s="66"/>
      <c r="O1704" s="66"/>
      <c r="P1704" s="66"/>
      <c r="Q1704" s="66"/>
      <c r="R1704" s="66"/>
      <c r="S1704" s="66"/>
      <c r="T1704" s="66"/>
    </row>
    <row r="1705">
      <c r="A1705" s="66"/>
      <c r="B1705" s="66"/>
      <c r="C1705" s="66"/>
      <c r="D1705" s="66"/>
      <c r="E1705" s="15"/>
      <c r="F1705" s="66"/>
      <c r="G1705" s="18"/>
      <c r="H1705" s="15"/>
      <c r="I1705" s="18"/>
      <c r="J1705" s="22"/>
      <c r="K1705" s="108"/>
      <c r="L1705" s="66"/>
      <c r="M1705" s="66"/>
      <c r="N1705" s="66"/>
      <c r="O1705" s="66"/>
      <c r="P1705" s="66"/>
      <c r="Q1705" s="66"/>
      <c r="R1705" s="66"/>
      <c r="S1705" s="66"/>
      <c r="T1705" s="66"/>
    </row>
    <row r="1706">
      <c r="A1706" s="66"/>
      <c r="B1706" s="66"/>
      <c r="C1706" s="66"/>
      <c r="D1706" s="66"/>
      <c r="E1706" s="15"/>
      <c r="F1706" s="66"/>
      <c r="G1706" s="18"/>
      <c r="H1706" s="15"/>
      <c r="I1706" s="18"/>
      <c r="J1706" s="22"/>
      <c r="K1706" s="108"/>
      <c r="L1706" s="66"/>
      <c r="M1706" s="66"/>
      <c r="N1706" s="66"/>
      <c r="O1706" s="66"/>
      <c r="P1706" s="66"/>
      <c r="Q1706" s="66"/>
      <c r="R1706" s="66"/>
      <c r="S1706" s="66"/>
      <c r="T1706" s="66"/>
    </row>
    <row r="1707">
      <c r="A1707" s="66"/>
      <c r="B1707" s="66"/>
      <c r="C1707" s="66"/>
      <c r="D1707" s="66"/>
      <c r="E1707" s="15"/>
      <c r="F1707" s="66"/>
      <c r="G1707" s="18"/>
      <c r="H1707" s="15"/>
      <c r="I1707" s="18"/>
      <c r="J1707" s="22"/>
      <c r="K1707" s="108"/>
      <c r="L1707" s="66"/>
      <c r="M1707" s="66"/>
      <c r="N1707" s="66"/>
      <c r="O1707" s="66"/>
      <c r="P1707" s="66"/>
      <c r="Q1707" s="66"/>
      <c r="R1707" s="66"/>
      <c r="S1707" s="66"/>
      <c r="T1707" s="66"/>
    </row>
    <row r="1708">
      <c r="A1708" s="66"/>
      <c r="B1708" s="66"/>
      <c r="C1708" s="66"/>
      <c r="D1708" s="66"/>
      <c r="E1708" s="15"/>
      <c r="F1708" s="66"/>
      <c r="G1708" s="18"/>
      <c r="H1708" s="15"/>
      <c r="I1708" s="18"/>
      <c r="J1708" s="22"/>
      <c r="K1708" s="108"/>
      <c r="L1708" s="66"/>
      <c r="M1708" s="66"/>
      <c r="N1708" s="66"/>
      <c r="O1708" s="66"/>
      <c r="P1708" s="66"/>
      <c r="Q1708" s="66"/>
      <c r="R1708" s="66"/>
      <c r="S1708" s="66"/>
      <c r="T1708" s="66"/>
    </row>
    <row r="1709">
      <c r="A1709" s="66"/>
      <c r="B1709" s="66"/>
      <c r="C1709" s="66"/>
      <c r="D1709" s="66"/>
      <c r="E1709" s="15"/>
      <c r="F1709" s="66"/>
      <c r="G1709" s="18"/>
      <c r="H1709" s="15"/>
      <c r="I1709" s="18"/>
      <c r="J1709" s="22"/>
      <c r="K1709" s="108"/>
      <c r="L1709" s="66"/>
      <c r="M1709" s="66"/>
      <c r="N1709" s="66"/>
      <c r="O1709" s="66"/>
      <c r="P1709" s="66"/>
      <c r="Q1709" s="66"/>
      <c r="R1709" s="66"/>
      <c r="S1709" s="66"/>
      <c r="T1709" s="66"/>
    </row>
    <row r="1710">
      <c r="A1710" s="66"/>
      <c r="B1710" s="66"/>
      <c r="C1710" s="66"/>
      <c r="D1710" s="66"/>
      <c r="E1710" s="15"/>
      <c r="F1710" s="66"/>
      <c r="G1710" s="18"/>
      <c r="H1710" s="15"/>
      <c r="I1710" s="18"/>
      <c r="J1710" s="22"/>
      <c r="K1710" s="108"/>
      <c r="L1710" s="66"/>
      <c r="M1710" s="66"/>
      <c r="N1710" s="66"/>
      <c r="O1710" s="66"/>
      <c r="P1710" s="66"/>
      <c r="Q1710" s="66"/>
      <c r="R1710" s="66"/>
      <c r="S1710" s="66"/>
      <c r="T1710" s="66"/>
    </row>
    <row r="1711">
      <c r="A1711" s="66"/>
      <c r="B1711" s="66"/>
      <c r="C1711" s="66"/>
      <c r="D1711" s="66"/>
      <c r="E1711" s="15"/>
      <c r="F1711" s="66"/>
      <c r="G1711" s="18"/>
      <c r="H1711" s="15"/>
      <c r="I1711" s="18"/>
      <c r="J1711" s="22"/>
      <c r="K1711" s="108"/>
      <c r="L1711" s="66"/>
      <c r="M1711" s="66"/>
      <c r="N1711" s="66"/>
      <c r="O1711" s="66"/>
      <c r="P1711" s="66"/>
      <c r="Q1711" s="66"/>
      <c r="R1711" s="66"/>
      <c r="S1711" s="66"/>
      <c r="T1711" s="66"/>
    </row>
    <row r="1712">
      <c r="A1712" s="66"/>
      <c r="B1712" s="66"/>
      <c r="C1712" s="66"/>
      <c r="D1712" s="66"/>
      <c r="E1712" s="15"/>
      <c r="F1712" s="66"/>
      <c r="G1712" s="18"/>
      <c r="H1712" s="15"/>
      <c r="I1712" s="18"/>
      <c r="J1712" s="22"/>
      <c r="K1712" s="108"/>
      <c r="L1712" s="66"/>
      <c r="M1712" s="66"/>
      <c r="N1712" s="66"/>
      <c r="O1712" s="66"/>
      <c r="P1712" s="66"/>
      <c r="Q1712" s="66"/>
      <c r="R1712" s="66"/>
      <c r="S1712" s="66"/>
      <c r="T1712" s="66"/>
    </row>
    <row r="1713">
      <c r="A1713" s="66"/>
      <c r="B1713" s="66"/>
      <c r="C1713" s="66"/>
      <c r="D1713" s="66"/>
      <c r="E1713" s="15"/>
      <c r="F1713" s="66"/>
      <c r="G1713" s="18"/>
      <c r="H1713" s="15"/>
      <c r="I1713" s="18"/>
      <c r="J1713" s="22"/>
      <c r="K1713" s="108"/>
      <c r="L1713" s="66"/>
      <c r="M1713" s="66"/>
      <c r="N1713" s="66"/>
      <c r="O1713" s="66"/>
      <c r="P1713" s="66"/>
      <c r="Q1713" s="66"/>
      <c r="R1713" s="66"/>
      <c r="S1713" s="66"/>
      <c r="T1713" s="66"/>
    </row>
    <row r="1714">
      <c r="A1714" s="66"/>
      <c r="B1714" s="66"/>
      <c r="C1714" s="66"/>
      <c r="D1714" s="66"/>
      <c r="E1714" s="15"/>
      <c r="F1714" s="66"/>
      <c r="G1714" s="18"/>
      <c r="H1714" s="15"/>
      <c r="I1714" s="18"/>
      <c r="J1714" s="22"/>
      <c r="K1714" s="108"/>
      <c r="L1714" s="66"/>
      <c r="M1714" s="66"/>
      <c r="N1714" s="66"/>
      <c r="O1714" s="66"/>
      <c r="P1714" s="66"/>
      <c r="Q1714" s="66"/>
      <c r="R1714" s="66"/>
      <c r="S1714" s="66"/>
      <c r="T1714" s="66"/>
    </row>
    <row r="1715">
      <c r="A1715" s="66"/>
      <c r="B1715" s="66"/>
      <c r="C1715" s="66"/>
      <c r="D1715" s="66"/>
      <c r="E1715" s="15"/>
      <c r="F1715" s="66"/>
      <c r="G1715" s="18"/>
      <c r="H1715" s="15"/>
      <c r="I1715" s="18"/>
      <c r="J1715" s="22"/>
      <c r="K1715" s="108"/>
      <c r="L1715" s="66"/>
      <c r="M1715" s="66"/>
      <c r="N1715" s="66"/>
      <c r="O1715" s="66"/>
      <c r="P1715" s="66"/>
      <c r="Q1715" s="66"/>
      <c r="R1715" s="66"/>
      <c r="S1715" s="66"/>
      <c r="T1715" s="66"/>
    </row>
    <row r="1716">
      <c r="A1716" s="66"/>
      <c r="B1716" s="66"/>
      <c r="C1716" s="66"/>
      <c r="D1716" s="66"/>
      <c r="E1716" s="15"/>
      <c r="F1716" s="66"/>
      <c r="G1716" s="18"/>
      <c r="H1716" s="15"/>
      <c r="I1716" s="18"/>
      <c r="J1716" s="22"/>
      <c r="K1716" s="108"/>
      <c r="L1716" s="66"/>
      <c r="M1716" s="66"/>
      <c r="N1716" s="66"/>
      <c r="O1716" s="66"/>
      <c r="P1716" s="66"/>
      <c r="Q1716" s="66"/>
      <c r="R1716" s="66"/>
      <c r="S1716" s="66"/>
      <c r="T1716" s="66"/>
    </row>
    <row r="1717">
      <c r="A1717" s="66"/>
      <c r="B1717" s="66"/>
      <c r="C1717" s="66"/>
      <c r="D1717" s="66"/>
      <c r="E1717" s="15"/>
      <c r="F1717" s="66"/>
      <c r="G1717" s="18"/>
      <c r="H1717" s="15"/>
      <c r="I1717" s="18"/>
      <c r="J1717" s="22"/>
      <c r="K1717" s="108"/>
      <c r="L1717" s="66"/>
      <c r="M1717" s="66"/>
      <c r="N1717" s="66"/>
      <c r="O1717" s="66"/>
      <c r="P1717" s="66"/>
      <c r="Q1717" s="66"/>
      <c r="R1717" s="66"/>
      <c r="S1717" s="66"/>
      <c r="T1717" s="66"/>
    </row>
    <row r="1718">
      <c r="A1718" s="66"/>
      <c r="B1718" s="66"/>
      <c r="C1718" s="66"/>
      <c r="D1718" s="66"/>
      <c r="E1718" s="15"/>
      <c r="F1718" s="66"/>
      <c r="G1718" s="18"/>
      <c r="H1718" s="15"/>
      <c r="I1718" s="18"/>
      <c r="J1718" s="22"/>
      <c r="K1718" s="108"/>
      <c r="L1718" s="66"/>
      <c r="M1718" s="66"/>
      <c r="N1718" s="66"/>
      <c r="O1718" s="66"/>
      <c r="P1718" s="66"/>
      <c r="Q1718" s="66"/>
      <c r="R1718" s="66"/>
      <c r="S1718" s="66"/>
      <c r="T1718" s="66"/>
    </row>
    <row r="1719">
      <c r="A1719" s="66"/>
      <c r="B1719" s="66"/>
      <c r="C1719" s="66"/>
      <c r="D1719" s="66"/>
      <c r="E1719" s="15"/>
      <c r="F1719" s="66"/>
      <c r="G1719" s="18"/>
      <c r="H1719" s="15"/>
      <c r="I1719" s="18"/>
      <c r="J1719" s="22"/>
      <c r="K1719" s="108"/>
      <c r="L1719" s="66"/>
      <c r="M1719" s="66"/>
      <c r="N1719" s="66"/>
      <c r="O1719" s="66"/>
      <c r="P1719" s="66"/>
      <c r="Q1719" s="66"/>
      <c r="R1719" s="66"/>
      <c r="S1719" s="66"/>
      <c r="T1719" s="66"/>
    </row>
    <row r="1720">
      <c r="A1720" s="66"/>
      <c r="B1720" s="66"/>
      <c r="C1720" s="66"/>
      <c r="D1720" s="66"/>
      <c r="E1720" s="15"/>
      <c r="F1720" s="66"/>
      <c r="G1720" s="18"/>
      <c r="H1720" s="15"/>
      <c r="I1720" s="18"/>
      <c r="J1720" s="22"/>
      <c r="K1720" s="108"/>
      <c r="L1720" s="66"/>
      <c r="M1720" s="66"/>
      <c r="N1720" s="66"/>
      <c r="O1720" s="66"/>
      <c r="P1720" s="66"/>
      <c r="Q1720" s="66"/>
      <c r="R1720" s="66"/>
      <c r="S1720" s="66"/>
      <c r="T1720" s="66"/>
    </row>
    <row r="1721">
      <c r="A1721" s="66"/>
      <c r="B1721" s="66"/>
      <c r="C1721" s="66"/>
      <c r="D1721" s="66"/>
      <c r="E1721" s="15"/>
      <c r="F1721" s="66"/>
      <c r="G1721" s="18"/>
      <c r="H1721" s="15"/>
      <c r="I1721" s="18"/>
      <c r="J1721" s="22"/>
      <c r="K1721" s="108"/>
      <c r="L1721" s="66"/>
      <c r="M1721" s="66"/>
      <c r="N1721" s="66"/>
      <c r="O1721" s="66"/>
      <c r="P1721" s="66"/>
      <c r="Q1721" s="66"/>
      <c r="R1721" s="66"/>
      <c r="S1721" s="66"/>
      <c r="T1721" s="66"/>
    </row>
    <row r="1722">
      <c r="A1722" s="66"/>
      <c r="B1722" s="66"/>
      <c r="C1722" s="66"/>
      <c r="D1722" s="66"/>
      <c r="E1722" s="15"/>
      <c r="F1722" s="66"/>
      <c r="G1722" s="18"/>
      <c r="H1722" s="15"/>
      <c r="I1722" s="18"/>
      <c r="J1722" s="22"/>
      <c r="K1722" s="108"/>
      <c r="L1722" s="66"/>
      <c r="M1722" s="66"/>
      <c r="N1722" s="66"/>
      <c r="O1722" s="66"/>
      <c r="P1722" s="66"/>
      <c r="Q1722" s="66"/>
      <c r="R1722" s="66"/>
      <c r="S1722" s="66"/>
      <c r="T1722" s="66"/>
    </row>
    <row r="1723">
      <c r="A1723" s="66"/>
      <c r="B1723" s="66"/>
      <c r="C1723" s="66"/>
      <c r="D1723" s="66"/>
      <c r="E1723" s="15"/>
      <c r="F1723" s="66"/>
      <c r="G1723" s="18"/>
      <c r="H1723" s="15"/>
      <c r="I1723" s="18"/>
      <c r="J1723" s="22"/>
      <c r="K1723" s="108"/>
      <c r="L1723" s="66"/>
      <c r="M1723" s="66"/>
      <c r="N1723" s="66"/>
      <c r="O1723" s="66"/>
      <c r="P1723" s="66"/>
      <c r="Q1723" s="66"/>
      <c r="R1723" s="66"/>
      <c r="S1723" s="66"/>
      <c r="T1723" s="66"/>
    </row>
    <row r="1724">
      <c r="A1724" s="66"/>
      <c r="B1724" s="66"/>
      <c r="C1724" s="66"/>
      <c r="D1724" s="66"/>
      <c r="E1724" s="15"/>
      <c r="F1724" s="66"/>
      <c r="G1724" s="18"/>
      <c r="H1724" s="15"/>
      <c r="I1724" s="18"/>
      <c r="J1724" s="22"/>
      <c r="K1724" s="108"/>
      <c r="L1724" s="66"/>
      <c r="M1724" s="66"/>
      <c r="N1724" s="66"/>
      <c r="O1724" s="66"/>
      <c r="P1724" s="66"/>
      <c r="Q1724" s="66"/>
      <c r="R1724" s="66"/>
      <c r="S1724" s="66"/>
      <c r="T1724" s="66"/>
    </row>
    <row r="1725">
      <c r="A1725" s="66"/>
      <c r="B1725" s="66"/>
      <c r="C1725" s="66"/>
      <c r="D1725" s="66"/>
      <c r="E1725" s="15"/>
      <c r="F1725" s="66"/>
      <c r="G1725" s="18"/>
      <c r="H1725" s="15"/>
      <c r="I1725" s="18"/>
      <c r="J1725" s="22"/>
      <c r="K1725" s="108"/>
      <c r="L1725" s="66"/>
      <c r="M1725" s="66"/>
      <c r="N1725" s="66"/>
      <c r="O1725" s="66"/>
      <c r="P1725" s="66"/>
      <c r="Q1725" s="66"/>
      <c r="R1725" s="66"/>
      <c r="S1725" s="66"/>
      <c r="T1725" s="66"/>
    </row>
    <row r="1726">
      <c r="A1726" s="66"/>
      <c r="B1726" s="66"/>
      <c r="C1726" s="66"/>
      <c r="D1726" s="66"/>
      <c r="E1726" s="15"/>
      <c r="F1726" s="66"/>
      <c r="G1726" s="18"/>
      <c r="H1726" s="15"/>
      <c r="I1726" s="18"/>
      <c r="J1726" s="22"/>
      <c r="K1726" s="108"/>
      <c r="L1726" s="66"/>
      <c r="M1726" s="66"/>
      <c r="N1726" s="66"/>
      <c r="O1726" s="66"/>
      <c r="P1726" s="66"/>
      <c r="Q1726" s="66"/>
      <c r="R1726" s="66"/>
      <c r="S1726" s="66"/>
      <c r="T1726" s="66"/>
    </row>
    <row r="1727">
      <c r="A1727" s="66"/>
      <c r="B1727" s="66"/>
      <c r="C1727" s="66"/>
      <c r="D1727" s="66"/>
      <c r="E1727" s="15"/>
      <c r="F1727" s="66"/>
      <c r="G1727" s="18"/>
      <c r="H1727" s="15"/>
      <c r="I1727" s="18"/>
      <c r="J1727" s="22"/>
      <c r="K1727" s="108"/>
      <c r="L1727" s="66"/>
      <c r="M1727" s="66"/>
      <c r="N1727" s="66"/>
      <c r="O1727" s="66"/>
      <c r="P1727" s="66"/>
      <c r="Q1727" s="66"/>
      <c r="R1727" s="66"/>
      <c r="S1727" s="66"/>
      <c r="T1727" s="66"/>
    </row>
    <row r="1728">
      <c r="A1728" s="66"/>
      <c r="B1728" s="66"/>
      <c r="C1728" s="66"/>
      <c r="D1728" s="66"/>
      <c r="E1728" s="15"/>
      <c r="F1728" s="66"/>
      <c r="G1728" s="18"/>
      <c r="H1728" s="15"/>
      <c r="I1728" s="18"/>
      <c r="J1728" s="22"/>
      <c r="K1728" s="108"/>
      <c r="L1728" s="66"/>
      <c r="M1728" s="66"/>
      <c r="N1728" s="66"/>
      <c r="O1728" s="66"/>
      <c r="P1728" s="66"/>
      <c r="Q1728" s="66"/>
      <c r="R1728" s="66"/>
      <c r="S1728" s="66"/>
      <c r="T1728" s="66"/>
    </row>
    <row r="1729">
      <c r="A1729" s="66"/>
      <c r="B1729" s="66"/>
      <c r="C1729" s="66"/>
      <c r="D1729" s="66"/>
      <c r="E1729" s="15"/>
      <c r="F1729" s="66"/>
      <c r="G1729" s="18"/>
      <c r="H1729" s="15"/>
      <c r="I1729" s="18"/>
      <c r="J1729" s="22"/>
      <c r="K1729" s="108"/>
      <c r="L1729" s="66"/>
      <c r="M1729" s="66"/>
      <c r="N1729" s="66"/>
      <c r="O1729" s="66"/>
      <c r="P1729" s="66"/>
      <c r="Q1729" s="66"/>
      <c r="R1729" s="66"/>
      <c r="S1729" s="66"/>
      <c r="T1729" s="66"/>
    </row>
    <row r="1730">
      <c r="A1730" s="66"/>
      <c r="B1730" s="66"/>
      <c r="C1730" s="66"/>
      <c r="D1730" s="66"/>
      <c r="E1730" s="15"/>
      <c r="F1730" s="66"/>
      <c r="G1730" s="18"/>
      <c r="H1730" s="15"/>
      <c r="I1730" s="18"/>
      <c r="J1730" s="22"/>
      <c r="K1730" s="108"/>
      <c r="L1730" s="66"/>
      <c r="M1730" s="66"/>
      <c r="N1730" s="66"/>
      <c r="O1730" s="66"/>
      <c r="P1730" s="66"/>
      <c r="Q1730" s="66"/>
      <c r="R1730" s="66"/>
      <c r="S1730" s="66"/>
      <c r="T1730" s="66"/>
    </row>
    <row r="1731">
      <c r="A1731" s="66"/>
      <c r="B1731" s="66"/>
      <c r="C1731" s="66"/>
      <c r="D1731" s="66"/>
      <c r="E1731" s="15"/>
      <c r="F1731" s="66"/>
      <c r="G1731" s="18"/>
      <c r="H1731" s="15"/>
      <c r="I1731" s="18"/>
      <c r="J1731" s="22"/>
      <c r="K1731" s="108"/>
      <c r="L1731" s="66"/>
      <c r="M1731" s="66"/>
      <c r="N1731" s="66"/>
      <c r="O1731" s="66"/>
      <c r="P1731" s="66"/>
      <c r="Q1731" s="66"/>
      <c r="R1731" s="66"/>
      <c r="S1731" s="66"/>
      <c r="T1731" s="66"/>
    </row>
    <row r="1732">
      <c r="A1732" s="66"/>
      <c r="B1732" s="66"/>
      <c r="C1732" s="66"/>
      <c r="D1732" s="66"/>
      <c r="E1732" s="15"/>
      <c r="F1732" s="66"/>
      <c r="G1732" s="18"/>
      <c r="H1732" s="15"/>
      <c r="I1732" s="18"/>
      <c r="J1732" s="22"/>
      <c r="K1732" s="108"/>
      <c r="L1732" s="66"/>
      <c r="M1732" s="66"/>
      <c r="N1732" s="66"/>
      <c r="O1732" s="66"/>
      <c r="P1732" s="66"/>
      <c r="Q1732" s="66"/>
      <c r="R1732" s="66"/>
      <c r="S1732" s="66"/>
      <c r="T1732" s="66"/>
    </row>
    <row r="1733">
      <c r="A1733" s="66"/>
      <c r="B1733" s="66"/>
      <c r="C1733" s="66"/>
      <c r="D1733" s="66"/>
      <c r="E1733" s="15"/>
      <c r="F1733" s="66"/>
      <c r="G1733" s="18"/>
      <c r="H1733" s="15"/>
      <c r="I1733" s="18"/>
      <c r="J1733" s="22"/>
      <c r="K1733" s="108"/>
      <c r="L1733" s="66"/>
      <c r="M1733" s="66"/>
      <c r="N1733" s="66"/>
      <c r="O1733" s="66"/>
      <c r="P1733" s="66"/>
      <c r="Q1733" s="66"/>
      <c r="R1733" s="66"/>
      <c r="S1733" s="66"/>
      <c r="T1733" s="66"/>
    </row>
    <row r="1734">
      <c r="A1734" s="66"/>
      <c r="B1734" s="66"/>
      <c r="C1734" s="66"/>
      <c r="D1734" s="66"/>
      <c r="E1734" s="15"/>
      <c r="F1734" s="66"/>
      <c r="G1734" s="18"/>
      <c r="H1734" s="15"/>
      <c r="I1734" s="18"/>
      <c r="J1734" s="22"/>
      <c r="K1734" s="108"/>
      <c r="L1734" s="66"/>
      <c r="M1734" s="66"/>
      <c r="N1734" s="66"/>
      <c r="O1734" s="66"/>
      <c r="P1734" s="66"/>
      <c r="Q1734" s="66"/>
      <c r="R1734" s="66"/>
      <c r="S1734" s="66"/>
      <c r="T1734" s="66"/>
    </row>
    <row r="1735">
      <c r="A1735" s="66"/>
      <c r="B1735" s="66"/>
      <c r="C1735" s="66"/>
      <c r="D1735" s="66"/>
      <c r="E1735" s="15"/>
      <c r="F1735" s="66"/>
      <c r="G1735" s="18"/>
      <c r="H1735" s="15"/>
      <c r="I1735" s="18"/>
      <c r="J1735" s="22"/>
      <c r="K1735" s="108"/>
      <c r="L1735" s="66"/>
      <c r="M1735" s="66"/>
      <c r="N1735" s="66"/>
      <c r="O1735" s="66"/>
      <c r="P1735" s="66"/>
      <c r="Q1735" s="66"/>
      <c r="R1735" s="66"/>
      <c r="S1735" s="66"/>
      <c r="T1735" s="66"/>
    </row>
    <row r="1736">
      <c r="A1736" s="66"/>
      <c r="B1736" s="66"/>
      <c r="C1736" s="66"/>
      <c r="D1736" s="66"/>
      <c r="E1736" s="15"/>
      <c r="F1736" s="66"/>
      <c r="G1736" s="18"/>
      <c r="H1736" s="15"/>
      <c r="I1736" s="18"/>
      <c r="J1736" s="22"/>
      <c r="K1736" s="108"/>
      <c r="L1736" s="66"/>
      <c r="M1736" s="66"/>
      <c r="N1736" s="66"/>
      <c r="O1736" s="66"/>
      <c r="P1736" s="66"/>
      <c r="Q1736" s="66"/>
      <c r="R1736" s="66"/>
      <c r="S1736" s="66"/>
      <c r="T1736" s="66"/>
    </row>
    <row r="1737">
      <c r="A1737" s="66"/>
      <c r="B1737" s="66"/>
      <c r="C1737" s="66"/>
      <c r="D1737" s="66"/>
      <c r="E1737" s="15"/>
      <c r="F1737" s="66"/>
      <c r="G1737" s="18"/>
      <c r="H1737" s="15"/>
      <c r="I1737" s="18"/>
      <c r="J1737" s="22"/>
      <c r="K1737" s="108"/>
      <c r="L1737" s="66"/>
      <c r="M1737" s="66"/>
      <c r="N1737" s="66"/>
      <c r="O1737" s="66"/>
      <c r="P1737" s="66"/>
      <c r="Q1737" s="66"/>
      <c r="R1737" s="66"/>
      <c r="S1737" s="66"/>
      <c r="T1737" s="66"/>
    </row>
    <row r="1738">
      <c r="A1738" s="66"/>
      <c r="B1738" s="66"/>
      <c r="C1738" s="66"/>
      <c r="D1738" s="66"/>
      <c r="E1738" s="15"/>
      <c r="F1738" s="66"/>
      <c r="G1738" s="18"/>
      <c r="H1738" s="15"/>
      <c r="I1738" s="18"/>
      <c r="J1738" s="22"/>
      <c r="K1738" s="108"/>
      <c r="L1738" s="66"/>
      <c r="M1738" s="66"/>
      <c r="N1738" s="66"/>
      <c r="O1738" s="66"/>
      <c r="P1738" s="66"/>
      <c r="Q1738" s="66"/>
      <c r="R1738" s="66"/>
      <c r="S1738" s="66"/>
      <c r="T1738" s="66"/>
    </row>
    <row r="1739">
      <c r="A1739" s="66"/>
      <c r="B1739" s="66"/>
      <c r="C1739" s="66"/>
      <c r="D1739" s="66"/>
      <c r="E1739" s="15"/>
      <c r="F1739" s="66"/>
      <c r="G1739" s="18"/>
      <c r="H1739" s="15"/>
      <c r="I1739" s="18"/>
      <c r="J1739" s="22"/>
      <c r="K1739" s="108"/>
      <c r="L1739" s="66"/>
      <c r="M1739" s="66"/>
      <c r="N1739" s="66"/>
      <c r="O1739" s="66"/>
      <c r="P1739" s="66"/>
      <c r="Q1739" s="66"/>
      <c r="R1739" s="66"/>
      <c r="S1739" s="66"/>
      <c r="T1739" s="66"/>
    </row>
    <row r="1740">
      <c r="A1740" s="66"/>
      <c r="B1740" s="66"/>
      <c r="C1740" s="66"/>
      <c r="D1740" s="66"/>
      <c r="E1740" s="15"/>
      <c r="F1740" s="66"/>
      <c r="G1740" s="18"/>
      <c r="H1740" s="15"/>
      <c r="I1740" s="18"/>
      <c r="J1740" s="22"/>
      <c r="K1740" s="108"/>
      <c r="L1740" s="66"/>
      <c r="M1740" s="66"/>
      <c r="N1740" s="66"/>
      <c r="O1740" s="66"/>
      <c r="P1740" s="66"/>
      <c r="Q1740" s="66"/>
      <c r="R1740" s="66"/>
      <c r="S1740" s="66"/>
      <c r="T1740" s="66"/>
    </row>
    <row r="1741">
      <c r="A1741" s="66"/>
      <c r="B1741" s="66"/>
      <c r="C1741" s="66"/>
      <c r="D1741" s="66"/>
      <c r="E1741" s="15"/>
      <c r="F1741" s="66"/>
      <c r="G1741" s="18"/>
      <c r="H1741" s="15"/>
      <c r="I1741" s="18"/>
      <c r="J1741" s="22"/>
      <c r="K1741" s="108"/>
      <c r="L1741" s="66"/>
      <c r="M1741" s="66"/>
      <c r="N1741" s="66"/>
      <c r="O1741" s="66"/>
      <c r="P1741" s="66"/>
      <c r="Q1741" s="66"/>
      <c r="R1741" s="66"/>
      <c r="S1741" s="66"/>
      <c r="T1741" s="66"/>
    </row>
    <row r="1742">
      <c r="A1742" s="66"/>
      <c r="B1742" s="66"/>
      <c r="C1742" s="66"/>
      <c r="D1742" s="66"/>
      <c r="E1742" s="15"/>
      <c r="F1742" s="66"/>
      <c r="G1742" s="18"/>
      <c r="H1742" s="15"/>
      <c r="I1742" s="18"/>
      <c r="J1742" s="22"/>
      <c r="K1742" s="108"/>
      <c r="L1742" s="66"/>
      <c r="M1742" s="66"/>
      <c r="N1742" s="66"/>
      <c r="O1742" s="66"/>
      <c r="P1742" s="66"/>
      <c r="Q1742" s="66"/>
      <c r="R1742" s="66"/>
      <c r="S1742" s="66"/>
      <c r="T1742" s="66"/>
    </row>
    <row r="1743">
      <c r="A1743" s="66"/>
      <c r="B1743" s="66"/>
      <c r="C1743" s="66"/>
      <c r="D1743" s="66"/>
      <c r="E1743" s="15"/>
      <c r="F1743" s="66"/>
      <c r="G1743" s="18"/>
      <c r="H1743" s="15"/>
      <c r="I1743" s="18"/>
      <c r="J1743" s="22"/>
      <c r="K1743" s="108"/>
      <c r="L1743" s="66"/>
      <c r="M1743" s="66"/>
      <c r="N1743" s="66"/>
      <c r="O1743" s="66"/>
      <c r="P1743" s="66"/>
      <c r="Q1743" s="66"/>
      <c r="R1743" s="66"/>
      <c r="S1743" s="66"/>
      <c r="T1743" s="66"/>
    </row>
    <row r="1744">
      <c r="A1744" s="66"/>
      <c r="B1744" s="66"/>
      <c r="C1744" s="66"/>
      <c r="D1744" s="66"/>
      <c r="E1744" s="15"/>
      <c r="F1744" s="66"/>
      <c r="G1744" s="18"/>
      <c r="H1744" s="15"/>
      <c r="I1744" s="18"/>
      <c r="J1744" s="22"/>
      <c r="K1744" s="108"/>
      <c r="L1744" s="66"/>
      <c r="M1744" s="66"/>
      <c r="N1744" s="66"/>
      <c r="O1744" s="66"/>
      <c r="P1744" s="66"/>
      <c r="Q1744" s="66"/>
      <c r="R1744" s="66"/>
      <c r="S1744" s="66"/>
      <c r="T1744" s="66"/>
    </row>
    <row r="1745">
      <c r="A1745" s="66"/>
      <c r="B1745" s="66"/>
      <c r="C1745" s="66"/>
      <c r="D1745" s="66"/>
      <c r="E1745" s="15"/>
      <c r="F1745" s="66"/>
      <c r="G1745" s="18"/>
      <c r="H1745" s="15"/>
      <c r="I1745" s="18"/>
      <c r="J1745" s="22"/>
      <c r="K1745" s="108"/>
      <c r="L1745" s="66"/>
      <c r="M1745" s="66"/>
      <c r="N1745" s="66"/>
      <c r="O1745" s="66"/>
      <c r="P1745" s="66"/>
      <c r="Q1745" s="66"/>
      <c r="R1745" s="66"/>
      <c r="S1745" s="66"/>
      <c r="T1745" s="66"/>
    </row>
    <row r="1746">
      <c r="A1746" s="66"/>
      <c r="B1746" s="66"/>
      <c r="C1746" s="66"/>
      <c r="D1746" s="66"/>
      <c r="E1746" s="15"/>
      <c r="F1746" s="66"/>
      <c r="G1746" s="18"/>
      <c r="H1746" s="15"/>
      <c r="I1746" s="18"/>
      <c r="J1746" s="22"/>
      <c r="K1746" s="108"/>
      <c r="L1746" s="66"/>
      <c r="M1746" s="66"/>
      <c r="N1746" s="66"/>
      <c r="O1746" s="66"/>
      <c r="P1746" s="66"/>
      <c r="Q1746" s="66"/>
      <c r="R1746" s="66"/>
      <c r="S1746" s="66"/>
      <c r="T1746" s="66"/>
    </row>
    <row r="1747">
      <c r="A1747" s="66"/>
      <c r="B1747" s="66"/>
      <c r="C1747" s="66"/>
      <c r="D1747" s="66"/>
      <c r="E1747" s="15"/>
      <c r="F1747" s="66"/>
      <c r="G1747" s="18"/>
      <c r="H1747" s="15"/>
      <c r="I1747" s="18"/>
      <c r="J1747" s="22"/>
      <c r="K1747" s="108"/>
      <c r="L1747" s="66"/>
      <c r="M1747" s="66"/>
      <c r="N1747" s="66"/>
      <c r="O1747" s="66"/>
      <c r="P1747" s="66"/>
      <c r="Q1747" s="66"/>
      <c r="R1747" s="66"/>
      <c r="S1747" s="66"/>
      <c r="T1747" s="66"/>
    </row>
    <row r="1748">
      <c r="A1748" s="66"/>
      <c r="B1748" s="66"/>
      <c r="C1748" s="66"/>
      <c r="D1748" s="66"/>
      <c r="E1748" s="15"/>
      <c r="F1748" s="66"/>
      <c r="G1748" s="18"/>
      <c r="H1748" s="15"/>
      <c r="I1748" s="18"/>
      <c r="J1748" s="22"/>
      <c r="K1748" s="108"/>
      <c r="L1748" s="66"/>
      <c r="M1748" s="66"/>
      <c r="N1748" s="66"/>
      <c r="O1748" s="66"/>
      <c r="P1748" s="66"/>
      <c r="Q1748" s="66"/>
      <c r="R1748" s="66"/>
      <c r="S1748" s="66"/>
      <c r="T1748" s="66"/>
    </row>
    <row r="1749">
      <c r="A1749" s="66"/>
      <c r="B1749" s="66"/>
      <c r="C1749" s="66"/>
      <c r="D1749" s="66"/>
      <c r="E1749" s="15"/>
      <c r="F1749" s="66"/>
      <c r="G1749" s="18"/>
      <c r="H1749" s="15"/>
      <c r="I1749" s="18"/>
      <c r="J1749" s="22"/>
      <c r="K1749" s="108"/>
      <c r="L1749" s="66"/>
      <c r="M1749" s="66"/>
      <c r="N1749" s="66"/>
      <c r="O1749" s="66"/>
      <c r="P1749" s="66"/>
      <c r="Q1749" s="66"/>
      <c r="R1749" s="66"/>
      <c r="S1749" s="66"/>
      <c r="T1749" s="66"/>
    </row>
    <row r="1750">
      <c r="A1750" s="66"/>
      <c r="B1750" s="66"/>
      <c r="C1750" s="66"/>
      <c r="D1750" s="66"/>
      <c r="E1750" s="15"/>
      <c r="F1750" s="66"/>
      <c r="G1750" s="18"/>
      <c r="H1750" s="15"/>
      <c r="I1750" s="18"/>
      <c r="J1750" s="22"/>
      <c r="K1750" s="108"/>
      <c r="L1750" s="66"/>
      <c r="M1750" s="66"/>
      <c r="N1750" s="66"/>
      <c r="O1750" s="66"/>
      <c r="P1750" s="66"/>
      <c r="Q1750" s="66"/>
      <c r="R1750" s="66"/>
      <c r="S1750" s="66"/>
      <c r="T1750" s="66"/>
    </row>
    <row r="1751">
      <c r="A1751" s="66"/>
      <c r="B1751" s="66"/>
      <c r="C1751" s="66"/>
      <c r="D1751" s="66"/>
      <c r="E1751" s="15"/>
      <c r="F1751" s="66"/>
      <c r="G1751" s="18"/>
      <c r="H1751" s="15"/>
      <c r="I1751" s="18"/>
      <c r="J1751" s="22"/>
      <c r="K1751" s="108"/>
      <c r="L1751" s="66"/>
      <c r="M1751" s="66"/>
      <c r="N1751" s="66"/>
      <c r="O1751" s="66"/>
      <c r="P1751" s="66"/>
      <c r="Q1751" s="66"/>
      <c r="R1751" s="66"/>
      <c r="S1751" s="66"/>
      <c r="T1751" s="66"/>
    </row>
    <row r="1752">
      <c r="A1752" s="66"/>
      <c r="B1752" s="66"/>
      <c r="C1752" s="66"/>
      <c r="D1752" s="66"/>
      <c r="E1752" s="15"/>
      <c r="F1752" s="66"/>
      <c r="G1752" s="18"/>
      <c r="H1752" s="15"/>
      <c r="I1752" s="18"/>
      <c r="J1752" s="22"/>
      <c r="K1752" s="108"/>
      <c r="L1752" s="66"/>
      <c r="M1752" s="66"/>
      <c r="N1752" s="66"/>
      <c r="O1752" s="66"/>
      <c r="P1752" s="66"/>
      <c r="Q1752" s="66"/>
      <c r="R1752" s="66"/>
      <c r="S1752" s="66"/>
      <c r="T1752" s="66"/>
    </row>
    <row r="1753">
      <c r="A1753" s="66"/>
      <c r="B1753" s="66"/>
      <c r="C1753" s="66"/>
      <c r="D1753" s="66"/>
      <c r="E1753" s="15"/>
      <c r="F1753" s="66"/>
      <c r="G1753" s="18"/>
      <c r="H1753" s="15"/>
      <c r="I1753" s="18"/>
      <c r="J1753" s="22"/>
      <c r="K1753" s="108"/>
      <c r="L1753" s="66"/>
      <c r="M1753" s="66"/>
      <c r="N1753" s="66"/>
      <c r="O1753" s="66"/>
      <c r="P1753" s="66"/>
      <c r="Q1753" s="66"/>
      <c r="R1753" s="66"/>
      <c r="S1753" s="66"/>
      <c r="T1753" s="66"/>
    </row>
    <row r="1754">
      <c r="A1754" s="66"/>
      <c r="B1754" s="66"/>
      <c r="C1754" s="66"/>
      <c r="D1754" s="66"/>
      <c r="E1754" s="15"/>
      <c r="F1754" s="66"/>
      <c r="G1754" s="18"/>
      <c r="H1754" s="15"/>
      <c r="I1754" s="18"/>
      <c r="J1754" s="22"/>
      <c r="K1754" s="108"/>
      <c r="L1754" s="66"/>
      <c r="M1754" s="66"/>
      <c r="N1754" s="66"/>
      <c r="O1754" s="66"/>
      <c r="P1754" s="66"/>
      <c r="Q1754" s="66"/>
      <c r="R1754" s="66"/>
      <c r="S1754" s="66"/>
      <c r="T1754" s="66"/>
    </row>
    <row r="1755">
      <c r="A1755" s="66"/>
      <c r="B1755" s="66"/>
      <c r="C1755" s="66"/>
      <c r="D1755" s="66"/>
      <c r="E1755" s="15"/>
      <c r="F1755" s="66"/>
      <c r="G1755" s="18"/>
      <c r="H1755" s="15"/>
      <c r="I1755" s="18"/>
      <c r="J1755" s="22"/>
      <c r="K1755" s="108"/>
      <c r="L1755" s="66"/>
      <c r="M1755" s="66"/>
      <c r="N1755" s="66"/>
      <c r="O1755" s="66"/>
      <c r="P1755" s="66"/>
      <c r="Q1755" s="66"/>
      <c r="R1755" s="66"/>
      <c r="S1755" s="66"/>
      <c r="T1755" s="66"/>
    </row>
    <row r="1756">
      <c r="A1756" s="66"/>
      <c r="B1756" s="66"/>
      <c r="C1756" s="66"/>
      <c r="D1756" s="66"/>
      <c r="E1756" s="15"/>
      <c r="F1756" s="66"/>
      <c r="G1756" s="18"/>
      <c r="H1756" s="15"/>
      <c r="I1756" s="18"/>
      <c r="J1756" s="22"/>
      <c r="K1756" s="108"/>
      <c r="L1756" s="66"/>
      <c r="M1756" s="66"/>
      <c r="N1756" s="66"/>
      <c r="O1756" s="66"/>
      <c r="P1756" s="66"/>
      <c r="Q1756" s="66"/>
      <c r="R1756" s="66"/>
      <c r="S1756" s="66"/>
      <c r="T1756" s="66"/>
    </row>
    <row r="1757">
      <c r="A1757" s="66"/>
      <c r="B1757" s="66"/>
      <c r="C1757" s="66"/>
      <c r="D1757" s="66"/>
      <c r="E1757" s="15"/>
      <c r="F1757" s="66"/>
      <c r="G1757" s="18"/>
      <c r="H1757" s="15"/>
      <c r="I1757" s="18"/>
      <c r="J1757" s="22"/>
      <c r="K1757" s="108"/>
      <c r="L1757" s="66"/>
      <c r="M1757" s="66"/>
      <c r="N1757" s="66"/>
      <c r="O1757" s="66"/>
      <c r="P1757" s="66"/>
      <c r="Q1757" s="66"/>
      <c r="R1757" s="66"/>
      <c r="S1757" s="66"/>
      <c r="T1757" s="66"/>
    </row>
    <row r="1758">
      <c r="A1758" s="66"/>
      <c r="B1758" s="66"/>
      <c r="C1758" s="66"/>
      <c r="D1758" s="66"/>
      <c r="E1758" s="15"/>
      <c r="F1758" s="66"/>
      <c r="G1758" s="18"/>
      <c r="H1758" s="15"/>
      <c r="I1758" s="18"/>
      <c r="J1758" s="22"/>
      <c r="K1758" s="108"/>
      <c r="L1758" s="66"/>
      <c r="M1758" s="66"/>
      <c r="N1758" s="66"/>
      <c r="O1758" s="66"/>
      <c r="P1758" s="66"/>
      <c r="Q1758" s="66"/>
      <c r="R1758" s="66"/>
      <c r="S1758" s="66"/>
      <c r="T1758" s="66"/>
    </row>
    <row r="1759">
      <c r="A1759" s="66"/>
      <c r="B1759" s="66"/>
      <c r="C1759" s="66"/>
      <c r="D1759" s="66"/>
      <c r="E1759" s="15"/>
      <c r="F1759" s="66"/>
      <c r="G1759" s="18"/>
      <c r="H1759" s="15"/>
      <c r="I1759" s="18"/>
      <c r="J1759" s="22"/>
      <c r="K1759" s="108"/>
      <c r="L1759" s="66"/>
      <c r="M1759" s="66"/>
      <c r="N1759" s="66"/>
      <c r="O1759" s="66"/>
      <c r="P1759" s="66"/>
      <c r="Q1759" s="66"/>
      <c r="R1759" s="66"/>
      <c r="S1759" s="66"/>
      <c r="T1759" s="66"/>
    </row>
    <row r="1760">
      <c r="A1760" s="66"/>
      <c r="B1760" s="66"/>
      <c r="C1760" s="66"/>
      <c r="D1760" s="66"/>
      <c r="E1760" s="15"/>
      <c r="F1760" s="66"/>
      <c r="G1760" s="18"/>
      <c r="H1760" s="15"/>
      <c r="I1760" s="18"/>
      <c r="J1760" s="22"/>
      <c r="K1760" s="108"/>
      <c r="L1760" s="66"/>
      <c r="M1760" s="66"/>
      <c r="N1760" s="66"/>
      <c r="O1760" s="66"/>
      <c r="P1760" s="66"/>
      <c r="Q1760" s="66"/>
      <c r="R1760" s="66"/>
      <c r="S1760" s="66"/>
      <c r="T1760" s="66"/>
    </row>
    <row r="1761">
      <c r="A1761" s="66"/>
      <c r="B1761" s="66"/>
      <c r="C1761" s="66"/>
      <c r="D1761" s="66"/>
      <c r="E1761" s="15"/>
      <c r="F1761" s="66"/>
      <c r="G1761" s="18"/>
      <c r="H1761" s="15"/>
      <c r="I1761" s="18"/>
      <c r="J1761" s="22"/>
      <c r="K1761" s="108"/>
      <c r="L1761" s="66"/>
      <c r="M1761" s="66"/>
      <c r="N1761" s="66"/>
      <c r="O1761" s="66"/>
      <c r="P1761" s="66"/>
      <c r="Q1761" s="66"/>
      <c r="R1761" s="66"/>
      <c r="S1761" s="66"/>
      <c r="T1761" s="66"/>
    </row>
    <row r="1762">
      <c r="A1762" s="66"/>
      <c r="B1762" s="66"/>
      <c r="C1762" s="66"/>
      <c r="D1762" s="66"/>
      <c r="E1762" s="15"/>
      <c r="F1762" s="66"/>
      <c r="G1762" s="18"/>
      <c r="H1762" s="15"/>
      <c r="I1762" s="18"/>
      <c r="J1762" s="22"/>
      <c r="K1762" s="108"/>
      <c r="L1762" s="66"/>
      <c r="M1762" s="66"/>
      <c r="N1762" s="66"/>
      <c r="O1762" s="66"/>
      <c r="P1762" s="66"/>
      <c r="Q1762" s="66"/>
      <c r="R1762" s="66"/>
      <c r="S1762" s="66"/>
      <c r="T1762" s="66"/>
    </row>
    <row r="1763">
      <c r="A1763" s="66"/>
      <c r="B1763" s="66"/>
      <c r="C1763" s="66"/>
      <c r="D1763" s="66"/>
      <c r="E1763" s="15"/>
      <c r="F1763" s="66"/>
      <c r="G1763" s="18"/>
      <c r="H1763" s="15"/>
      <c r="I1763" s="18"/>
      <c r="J1763" s="22"/>
      <c r="K1763" s="108"/>
      <c r="L1763" s="66"/>
      <c r="M1763" s="66"/>
      <c r="N1763" s="66"/>
      <c r="O1763" s="66"/>
      <c r="P1763" s="66"/>
      <c r="Q1763" s="66"/>
      <c r="R1763" s="66"/>
      <c r="S1763" s="66"/>
      <c r="T1763" s="66"/>
    </row>
    <row r="1764">
      <c r="A1764" s="66"/>
      <c r="B1764" s="66"/>
      <c r="C1764" s="66"/>
      <c r="D1764" s="66"/>
      <c r="E1764" s="15"/>
      <c r="F1764" s="66"/>
      <c r="G1764" s="18"/>
      <c r="H1764" s="15"/>
      <c r="I1764" s="18"/>
      <c r="J1764" s="22"/>
      <c r="K1764" s="108"/>
      <c r="L1764" s="66"/>
      <c r="M1764" s="66"/>
      <c r="N1764" s="66"/>
      <c r="O1764" s="66"/>
      <c r="P1764" s="66"/>
      <c r="Q1764" s="66"/>
      <c r="R1764" s="66"/>
      <c r="S1764" s="66"/>
      <c r="T1764" s="66"/>
    </row>
    <row r="1765">
      <c r="A1765" s="66"/>
      <c r="B1765" s="66"/>
      <c r="C1765" s="66"/>
      <c r="D1765" s="66"/>
      <c r="E1765" s="15"/>
      <c r="F1765" s="66"/>
      <c r="G1765" s="18"/>
      <c r="H1765" s="15"/>
      <c r="I1765" s="18"/>
      <c r="J1765" s="22"/>
      <c r="K1765" s="108"/>
      <c r="L1765" s="66"/>
      <c r="M1765" s="66"/>
      <c r="N1765" s="66"/>
      <c r="O1765" s="66"/>
      <c r="P1765" s="66"/>
      <c r="Q1765" s="66"/>
      <c r="R1765" s="66"/>
      <c r="S1765" s="66"/>
      <c r="T1765" s="66"/>
    </row>
    <row r="1766">
      <c r="A1766" s="66"/>
      <c r="B1766" s="66"/>
      <c r="C1766" s="66"/>
      <c r="D1766" s="66"/>
      <c r="E1766" s="15"/>
      <c r="F1766" s="66"/>
      <c r="G1766" s="18"/>
      <c r="H1766" s="15"/>
      <c r="I1766" s="18"/>
      <c r="J1766" s="22"/>
      <c r="K1766" s="108"/>
      <c r="L1766" s="66"/>
      <c r="M1766" s="66"/>
      <c r="N1766" s="66"/>
      <c r="O1766" s="66"/>
      <c r="P1766" s="66"/>
      <c r="Q1766" s="66"/>
      <c r="R1766" s="66"/>
      <c r="S1766" s="66"/>
      <c r="T1766" s="66"/>
    </row>
    <row r="1767">
      <c r="A1767" s="66"/>
      <c r="B1767" s="66"/>
      <c r="C1767" s="66"/>
      <c r="D1767" s="66"/>
      <c r="E1767" s="15"/>
      <c r="F1767" s="66"/>
      <c r="G1767" s="18"/>
      <c r="H1767" s="15"/>
      <c r="I1767" s="18"/>
      <c r="J1767" s="22"/>
      <c r="K1767" s="108"/>
      <c r="L1767" s="66"/>
      <c r="M1767" s="66"/>
      <c r="N1767" s="66"/>
      <c r="O1767" s="66"/>
      <c r="P1767" s="66"/>
      <c r="Q1767" s="66"/>
      <c r="R1767" s="66"/>
      <c r="S1767" s="66"/>
      <c r="T1767" s="66"/>
    </row>
    <row r="1768">
      <c r="A1768" s="66"/>
      <c r="B1768" s="66"/>
      <c r="C1768" s="66"/>
      <c r="D1768" s="66"/>
      <c r="E1768" s="15"/>
      <c r="F1768" s="66"/>
      <c r="G1768" s="18"/>
      <c r="H1768" s="15"/>
      <c r="I1768" s="18"/>
      <c r="J1768" s="22"/>
      <c r="K1768" s="108"/>
      <c r="L1768" s="66"/>
      <c r="M1768" s="66"/>
      <c r="N1768" s="66"/>
      <c r="O1768" s="66"/>
      <c r="P1768" s="66"/>
      <c r="Q1768" s="66"/>
      <c r="R1768" s="66"/>
      <c r="S1768" s="66"/>
      <c r="T1768" s="66"/>
    </row>
    <row r="1769">
      <c r="A1769" s="66"/>
      <c r="B1769" s="66"/>
      <c r="C1769" s="66"/>
      <c r="D1769" s="66"/>
      <c r="E1769" s="15"/>
      <c r="F1769" s="66"/>
      <c r="G1769" s="18"/>
      <c r="H1769" s="15"/>
      <c r="I1769" s="18"/>
      <c r="J1769" s="22"/>
      <c r="K1769" s="108"/>
      <c r="L1769" s="66"/>
      <c r="M1769" s="66"/>
      <c r="N1769" s="66"/>
      <c r="O1769" s="66"/>
      <c r="P1769" s="66"/>
      <c r="Q1769" s="66"/>
      <c r="R1769" s="66"/>
      <c r="S1769" s="66"/>
      <c r="T1769" s="66"/>
    </row>
    <row r="1770">
      <c r="A1770" s="66"/>
      <c r="B1770" s="66"/>
      <c r="C1770" s="66"/>
      <c r="D1770" s="66"/>
      <c r="E1770" s="15"/>
      <c r="F1770" s="66"/>
      <c r="G1770" s="18"/>
      <c r="H1770" s="15"/>
      <c r="I1770" s="18"/>
      <c r="J1770" s="22"/>
      <c r="K1770" s="108"/>
      <c r="L1770" s="66"/>
      <c r="M1770" s="66"/>
      <c r="N1770" s="66"/>
      <c r="O1770" s="66"/>
      <c r="P1770" s="66"/>
      <c r="Q1770" s="66"/>
      <c r="R1770" s="66"/>
      <c r="S1770" s="66"/>
      <c r="T1770" s="66"/>
    </row>
    <row r="1771">
      <c r="A1771" s="66"/>
      <c r="B1771" s="66"/>
      <c r="C1771" s="66"/>
      <c r="D1771" s="66"/>
      <c r="E1771" s="15"/>
      <c r="F1771" s="66"/>
      <c r="G1771" s="18"/>
      <c r="H1771" s="15"/>
      <c r="I1771" s="18"/>
      <c r="J1771" s="22"/>
      <c r="K1771" s="108"/>
      <c r="L1771" s="66"/>
      <c r="M1771" s="66"/>
      <c r="N1771" s="66"/>
      <c r="O1771" s="66"/>
      <c r="P1771" s="66"/>
      <c r="Q1771" s="66"/>
      <c r="R1771" s="66"/>
      <c r="S1771" s="66"/>
      <c r="T1771" s="66"/>
    </row>
    <row r="1772">
      <c r="A1772" s="66"/>
      <c r="B1772" s="66"/>
      <c r="C1772" s="66"/>
      <c r="D1772" s="66"/>
      <c r="E1772" s="15"/>
      <c r="F1772" s="66"/>
      <c r="G1772" s="18"/>
      <c r="H1772" s="15"/>
      <c r="I1772" s="18"/>
      <c r="J1772" s="22"/>
      <c r="K1772" s="108"/>
      <c r="L1772" s="66"/>
      <c r="M1772" s="66"/>
      <c r="N1772" s="66"/>
      <c r="O1772" s="66"/>
      <c r="P1772" s="66"/>
      <c r="Q1772" s="66"/>
      <c r="R1772" s="66"/>
      <c r="S1772" s="66"/>
      <c r="T1772" s="66"/>
    </row>
    <row r="1773">
      <c r="A1773" s="66"/>
      <c r="B1773" s="66"/>
      <c r="C1773" s="66"/>
      <c r="D1773" s="66"/>
      <c r="E1773" s="15"/>
      <c r="F1773" s="66"/>
      <c r="G1773" s="18"/>
      <c r="H1773" s="15"/>
      <c r="I1773" s="18"/>
      <c r="J1773" s="22"/>
      <c r="K1773" s="108"/>
      <c r="L1773" s="66"/>
      <c r="M1773" s="66"/>
      <c r="N1773" s="66"/>
      <c r="O1773" s="66"/>
      <c r="P1773" s="66"/>
      <c r="Q1773" s="66"/>
      <c r="R1773" s="66"/>
      <c r="S1773" s="66"/>
      <c r="T1773" s="66"/>
    </row>
    <row r="1774">
      <c r="A1774" s="66"/>
      <c r="B1774" s="66"/>
      <c r="C1774" s="66"/>
      <c r="D1774" s="66"/>
      <c r="E1774" s="15"/>
      <c r="F1774" s="66"/>
      <c r="G1774" s="18"/>
      <c r="H1774" s="15"/>
      <c r="I1774" s="18"/>
      <c r="J1774" s="22"/>
      <c r="K1774" s="108"/>
      <c r="L1774" s="66"/>
      <c r="M1774" s="66"/>
      <c r="N1774" s="66"/>
      <c r="O1774" s="66"/>
      <c r="P1774" s="66"/>
      <c r="Q1774" s="66"/>
      <c r="R1774" s="66"/>
      <c r="S1774" s="66"/>
      <c r="T1774" s="66"/>
    </row>
    <row r="1775">
      <c r="A1775" s="66"/>
      <c r="B1775" s="66"/>
      <c r="C1775" s="66"/>
      <c r="D1775" s="66"/>
      <c r="E1775" s="15"/>
      <c r="F1775" s="66"/>
      <c r="G1775" s="18"/>
      <c r="H1775" s="15"/>
      <c r="I1775" s="18"/>
      <c r="J1775" s="22"/>
      <c r="K1775" s="108"/>
      <c r="L1775" s="66"/>
      <c r="M1775" s="66"/>
      <c r="N1775" s="66"/>
      <c r="O1775" s="66"/>
      <c r="P1775" s="66"/>
      <c r="Q1775" s="66"/>
      <c r="R1775" s="66"/>
      <c r="S1775" s="66"/>
      <c r="T1775" s="66"/>
    </row>
    <row r="1776">
      <c r="A1776" s="66"/>
      <c r="B1776" s="66"/>
      <c r="C1776" s="66"/>
      <c r="D1776" s="66"/>
      <c r="E1776" s="15"/>
      <c r="F1776" s="66"/>
      <c r="G1776" s="18"/>
      <c r="H1776" s="15"/>
      <c r="I1776" s="18"/>
      <c r="J1776" s="22"/>
      <c r="K1776" s="108"/>
      <c r="L1776" s="66"/>
      <c r="M1776" s="66"/>
      <c r="N1776" s="66"/>
      <c r="O1776" s="66"/>
      <c r="P1776" s="66"/>
      <c r="Q1776" s="66"/>
      <c r="R1776" s="66"/>
      <c r="S1776" s="66"/>
      <c r="T1776" s="66"/>
    </row>
    <row r="1777">
      <c r="A1777" s="66"/>
      <c r="B1777" s="66"/>
      <c r="C1777" s="66"/>
      <c r="D1777" s="66"/>
      <c r="E1777" s="15"/>
      <c r="F1777" s="66"/>
      <c r="G1777" s="18"/>
      <c r="H1777" s="15"/>
      <c r="I1777" s="18"/>
      <c r="J1777" s="22"/>
      <c r="K1777" s="108"/>
      <c r="L1777" s="66"/>
      <c r="M1777" s="66"/>
      <c r="N1777" s="66"/>
      <c r="O1777" s="66"/>
      <c r="P1777" s="66"/>
      <c r="Q1777" s="66"/>
      <c r="R1777" s="66"/>
      <c r="S1777" s="66"/>
      <c r="T1777" s="66"/>
    </row>
    <row r="1778">
      <c r="A1778" s="66"/>
      <c r="B1778" s="66"/>
      <c r="C1778" s="66"/>
      <c r="D1778" s="66"/>
      <c r="E1778" s="15"/>
      <c r="F1778" s="66"/>
      <c r="G1778" s="18"/>
      <c r="H1778" s="15"/>
      <c r="I1778" s="18"/>
      <c r="J1778" s="22"/>
      <c r="K1778" s="108"/>
      <c r="L1778" s="66"/>
      <c r="M1778" s="66"/>
      <c r="N1778" s="66"/>
      <c r="O1778" s="66"/>
      <c r="P1778" s="66"/>
      <c r="Q1778" s="66"/>
      <c r="R1778" s="66"/>
      <c r="S1778" s="66"/>
      <c r="T1778" s="66"/>
    </row>
    <row r="1779">
      <c r="A1779" s="66"/>
      <c r="B1779" s="66"/>
      <c r="C1779" s="66"/>
      <c r="D1779" s="66"/>
      <c r="E1779" s="15"/>
      <c r="F1779" s="66"/>
      <c r="G1779" s="18"/>
      <c r="H1779" s="15"/>
      <c r="I1779" s="18"/>
      <c r="J1779" s="22"/>
      <c r="K1779" s="108"/>
      <c r="L1779" s="66"/>
      <c r="M1779" s="66"/>
      <c r="N1779" s="66"/>
      <c r="O1779" s="66"/>
      <c r="P1779" s="66"/>
      <c r="Q1779" s="66"/>
      <c r="R1779" s="66"/>
      <c r="S1779" s="66"/>
      <c r="T1779" s="66"/>
    </row>
    <row r="1780">
      <c r="A1780" s="66"/>
      <c r="B1780" s="66"/>
      <c r="C1780" s="66"/>
      <c r="D1780" s="66"/>
      <c r="E1780" s="15"/>
      <c r="F1780" s="66"/>
      <c r="G1780" s="18"/>
      <c r="H1780" s="15"/>
      <c r="I1780" s="18"/>
      <c r="J1780" s="22"/>
      <c r="K1780" s="108"/>
      <c r="L1780" s="66"/>
      <c r="M1780" s="66"/>
      <c r="N1780" s="66"/>
      <c r="O1780" s="66"/>
      <c r="P1780" s="66"/>
      <c r="Q1780" s="66"/>
      <c r="R1780" s="66"/>
      <c r="S1780" s="66"/>
      <c r="T1780" s="66"/>
    </row>
    <row r="1781">
      <c r="A1781" s="66"/>
      <c r="B1781" s="66"/>
      <c r="C1781" s="66"/>
      <c r="D1781" s="66"/>
      <c r="E1781" s="15"/>
      <c r="F1781" s="66"/>
      <c r="G1781" s="18"/>
      <c r="H1781" s="15"/>
      <c r="I1781" s="18"/>
      <c r="J1781" s="22"/>
      <c r="K1781" s="108"/>
      <c r="L1781" s="66"/>
      <c r="M1781" s="66"/>
      <c r="N1781" s="66"/>
      <c r="O1781" s="66"/>
      <c r="P1781" s="66"/>
      <c r="Q1781" s="66"/>
      <c r="R1781" s="66"/>
      <c r="S1781" s="66"/>
      <c r="T1781" s="66"/>
    </row>
    <row r="1782">
      <c r="A1782" s="66"/>
      <c r="B1782" s="66"/>
      <c r="C1782" s="66"/>
      <c r="D1782" s="66"/>
      <c r="E1782" s="15"/>
      <c r="F1782" s="66"/>
      <c r="G1782" s="18"/>
      <c r="H1782" s="15"/>
      <c r="I1782" s="18"/>
      <c r="J1782" s="22"/>
      <c r="K1782" s="108"/>
      <c r="L1782" s="66"/>
      <c r="M1782" s="66"/>
      <c r="N1782" s="66"/>
      <c r="O1782" s="66"/>
      <c r="P1782" s="66"/>
      <c r="Q1782" s="66"/>
      <c r="R1782" s="66"/>
      <c r="S1782" s="66"/>
      <c r="T1782" s="66"/>
    </row>
    <row r="1783">
      <c r="A1783" s="66"/>
      <c r="B1783" s="66"/>
      <c r="C1783" s="66"/>
      <c r="D1783" s="66"/>
      <c r="E1783" s="15"/>
      <c r="F1783" s="66"/>
      <c r="G1783" s="18"/>
      <c r="H1783" s="15"/>
      <c r="I1783" s="18"/>
      <c r="J1783" s="22"/>
      <c r="K1783" s="108"/>
      <c r="L1783" s="66"/>
      <c r="M1783" s="66"/>
      <c r="N1783" s="66"/>
      <c r="O1783" s="66"/>
      <c r="P1783" s="66"/>
      <c r="Q1783" s="66"/>
      <c r="R1783" s="66"/>
      <c r="S1783" s="66"/>
      <c r="T1783" s="66"/>
    </row>
    <row r="1784">
      <c r="A1784" s="66"/>
      <c r="B1784" s="66"/>
      <c r="C1784" s="66"/>
      <c r="D1784" s="66"/>
      <c r="E1784" s="15"/>
      <c r="F1784" s="66"/>
      <c r="G1784" s="18"/>
      <c r="H1784" s="15"/>
      <c r="I1784" s="18"/>
      <c r="J1784" s="22"/>
      <c r="K1784" s="108"/>
      <c r="L1784" s="66"/>
      <c r="M1784" s="66"/>
      <c r="N1784" s="66"/>
      <c r="O1784" s="66"/>
      <c r="P1784" s="66"/>
      <c r="Q1784" s="66"/>
      <c r="R1784" s="66"/>
      <c r="S1784" s="66"/>
      <c r="T1784" s="66"/>
    </row>
    <row r="1785">
      <c r="A1785" s="66"/>
      <c r="B1785" s="66"/>
      <c r="C1785" s="66"/>
      <c r="D1785" s="66"/>
      <c r="E1785" s="15"/>
      <c r="F1785" s="66"/>
      <c r="G1785" s="18"/>
      <c r="H1785" s="15"/>
      <c r="I1785" s="18"/>
      <c r="J1785" s="22"/>
      <c r="K1785" s="108"/>
      <c r="L1785" s="66"/>
      <c r="M1785" s="66"/>
      <c r="N1785" s="66"/>
      <c r="O1785" s="66"/>
      <c r="P1785" s="66"/>
      <c r="Q1785" s="66"/>
      <c r="R1785" s="66"/>
      <c r="S1785" s="66"/>
      <c r="T1785" s="66"/>
    </row>
    <row r="1786">
      <c r="A1786" s="66"/>
      <c r="B1786" s="66"/>
      <c r="C1786" s="66"/>
      <c r="D1786" s="66"/>
      <c r="E1786" s="15"/>
      <c r="F1786" s="66"/>
      <c r="G1786" s="18"/>
      <c r="H1786" s="15"/>
      <c r="I1786" s="18"/>
      <c r="J1786" s="22"/>
      <c r="K1786" s="108"/>
      <c r="L1786" s="66"/>
      <c r="M1786" s="66"/>
      <c r="N1786" s="66"/>
      <c r="O1786" s="66"/>
      <c r="P1786" s="66"/>
      <c r="Q1786" s="66"/>
      <c r="R1786" s="66"/>
      <c r="S1786" s="66"/>
      <c r="T1786" s="66"/>
    </row>
    <row r="1787">
      <c r="A1787" s="66"/>
      <c r="B1787" s="66"/>
      <c r="C1787" s="66"/>
      <c r="D1787" s="66"/>
      <c r="E1787" s="15"/>
      <c r="F1787" s="66"/>
      <c r="G1787" s="18"/>
      <c r="H1787" s="15"/>
      <c r="I1787" s="18"/>
      <c r="J1787" s="22"/>
      <c r="K1787" s="108"/>
      <c r="L1787" s="66"/>
      <c r="M1787" s="66"/>
      <c r="N1787" s="66"/>
      <c r="O1787" s="66"/>
      <c r="P1787" s="66"/>
      <c r="Q1787" s="66"/>
      <c r="R1787" s="66"/>
      <c r="S1787" s="66"/>
      <c r="T1787" s="66"/>
    </row>
    <row r="1788">
      <c r="A1788" s="66"/>
      <c r="B1788" s="66"/>
      <c r="C1788" s="66"/>
      <c r="D1788" s="66"/>
      <c r="E1788" s="15"/>
      <c r="F1788" s="66"/>
      <c r="G1788" s="18"/>
      <c r="H1788" s="15"/>
      <c r="I1788" s="18"/>
      <c r="J1788" s="22"/>
      <c r="K1788" s="108"/>
      <c r="L1788" s="66"/>
      <c r="M1788" s="66"/>
      <c r="N1788" s="66"/>
      <c r="O1788" s="66"/>
      <c r="P1788" s="66"/>
      <c r="Q1788" s="66"/>
      <c r="R1788" s="66"/>
      <c r="S1788" s="66"/>
      <c r="T1788" s="66"/>
    </row>
    <row r="1789">
      <c r="A1789" s="66"/>
      <c r="B1789" s="66"/>
      <c r="C1789" s="66"/>
      <c r="D1789" s="66"/>
      <c r="E1789" s="15"/>
      <c r="F1789" s="66"/>
      <c r="G1789" s="18"/>
      <c r="H1789" s="15"/>
      <c r="I1789" s="18"/>
      <c r="J1789" s="22"/>
      <c r="K1789" s="108"/>
      <c r="L1789" s="66"/>
      <c r="M1789" s="66"/>
      <c r="N1789" s="66"/>
      <c r="O1789" s="66"/>
      <c r="P1789" s="66"/>
      <c r="Q1789" s="66"/>
      <c r="R1789" s="66"/>
      <c r="S1789" s="66"/>
      <c r="T1789" s="66"/>
    </row>
    <row r="1790">
      <c r="A1790" s="66"/>
      <c r="B1790" s="66"/>
      <c r="C1790" s="66"/>
      <c r="D1790" s="66"/>
      <c r="E1790" s="15"/>
      <c r="F1790" s="66"/>
      <c r="G1790" s="18"/>
      <c r="H1790" s="15"/>
      <c r="I1790" s="18"/>
      <c r="J1790" s="22"/>
      <c r="K1790" s="108"/>
      <c r="L1790" s="66"/>
      <c r="M1790" s="66"/>
      <c r="N1790" s="66"/>
      <c r="O1790" s="66"/>
      <c r="P1790" s="66"/>
      <c r="Q1790" s="66"/>
      <c r="R1790" s="66"/>
      <c r="S1790" s="66"/>
      <c r="T1790" s="66"/>
    </row>
    <row r="1791">
      <c r="A1791" s="66"/>
      <c r="B1791" s="66"/>
      <c r="C1791" s="66"/>
      <c r="D1791" s="66"/>
      <c r="E1791" s="15"/>
      <c r="F1791" s="66"/>
      <c r="G1791" s="18"/>
      <c r="H1791" s="15"/>
      <c r="I1791" s="18"/>
      <c r="J1791" s="22"/>
      <c r="K1791" s="108"/>
      <c r="L1791" s="66"/>
      <c r="M1791" s="66"/>
      <c r="N1791" s="66"/>
      <c r="O1791" s="66"/>
      <c r="P1791" s="66"/>
      <c r="Q1791" s="66"/>
      <c r="R1791" s="66"/>
      <c r="S1791" s="66"/>
      <c r="T1791" s="66"/>
    </row>
    <row r="1792">
      <c r="A1792" s="66"/>
      <c r="B1792" s="66"/>
      <c r="C1792" s="66"/>
      <c r="D1792" s="66"/>
      <c r="E1792" s="15"/>
      <c r="F1792" s="66"/>
      <c r="G1792" s="18"/>
      <c r="H1792" s="15"/>
      <c r="I1792" s="18"/>
      <c r="J1792" s="22"/>
      <c r="K1792" s="108"/>
      <c r="L1792" s="66"/>
      <c r="M1792" s="66"/>
      <c r="N1792" s="66"/>
      <c r="O1792" s="66"/>
      <c r="P1792" s="66"/>
      <c r="Q1792" s="66"/>
      <c r="R1792" s="66"/>
      <c r="S1792" s="66"/>
      <c r="T1792" s="66"/>
    </row>
    <row r="1793">
      <c r="A1793" s="66"/>
      <c r="B1793" s="66"/>
      <c r="C1793" s="66"/>
      <c r="D1793" s="66"/>
      <c r="E1793" s="15"/>
      <c r="F1793" s="66"/>
      <c r="G1793" s="18"/>
      <c r="H1793" s="15"/>
      <c r="I1793" s="18"/>
      <c r="J1793" s="22"/>
      <c r="K1793" s="108"/>
      <c r="L1793" s="66"/>
      <c r="M1793" s="66"/>
      <c r="N1793" s="66"/>
      <c r="O1793" s="66"/>
      <c r="P1793" s="66"/>
      <c r="Q1793" s="66"/>
      <c r="R1793" s="66"/>
      <c r="S1793" s="66"/>
      <c r="T1793" s="66"/>
    </row>
    <row r="1794">
      <c r="A1794" s="66"/>
      <c r="B1794" s="66"/>
      <c r="C1794" s="66"/>
      <c r="D1794" s="66"/>
      <c r="E1794" s="15"/>
      <c r="F1794" s="66"/>
      <c r="G1794" s="18"/>
      <c r="H1794" s="15"/>
      <c r="I1794" s="18"/>
      <c r="J1794" s="22"/>
      <c r="K1794" s="108"/>
      <c r="L1794" s="66"/>
      <c r="M1794" s="66"/>
      <c r="N1794" s="66"/>
      <c r="O1794" s="66"/>
      <c r="P1794" s="66"/>
      <c r="Q1794" s="66"/>
      <c r="R1794" s="66"/>
      <c r="S1794" s="66"/>
      <c r="T1794" s="66"/>
    </row>
    <row r="1795">
      <c r="A1795" s="66"/>
      <c r="B1795" s="66"/>
      <c r="C1795" s="66"/>
      <c r="D1795" s="66"/>
      <c r="E1795" s="15"/>
      <c r="F1795" s="66"/>
      <c r="G1795" s="18"/>
      <c r="H1795" s="15"/>
      <c r="I1795" s="18"/>
      <c r="J1795" s="22"/>
      <c r="K1795" s="108"/>
      <c r="L1795" s="66"/>
      <c r="M1795" s="66"/>
      <c r="N1795" s="66"/>
      <c r="O1795" s="66"/>
      <c r="P1795" s="66"/>
      <c r="Q1795" s="66"/>
      <c r="R1795" s="66"/>
      <c r="S1795" s="66"/>
      <c r="T1795" s="66"/>
    </row>
    <row r="1796">
      <c r="A1796" s="66"/>
      <c r="B1796" s="66"/>
      <c r="C1796" s="66"/>
      <c r="D1796" s="66"/>
      <c r="E1796" s="15"/>
      <c r="F1796" s="66"/>
      <c r="G1796" s="18"/>
      <c r="H1796" s="15"/>
      <c r="I1796" s="18"/>
      <c r="J1796" s="22"/>
      <c r="K1796" s="108"/>
      <c r="L1796" s="66"/>
      <c r="M1796" s="66"/>
      <c r="N1796" s="66"/>
      <c r="O1796" s="66"/>
      <c r="P1796" s="66"/>
      <c r="Q1796" s="66"/>
      <c r="R1796" s="66"/>
      <c r="S1796" s="66"/>
      <c r="T1796" s="66"/>
    </row>
    <row r="1797">
      <c r="A1797" s="66"/>
      <c r="B1797" s="66"/>
      <c r="C1797" s="66"/>
      <c r="D1797" s="66"/>
      <c r="E1797" s="15"/>
      <c r="F1797" s="66"/>
      <c r="G1797" s="18"/>
      <c r="H1797" s="15"/>
      <c r="I1797" s="18"/>
      <c r="J1797" s="22"/>
      <c r="K1797" s="108"/>
      <c r="L1797" s="66"/>
      <c r="M1797" s="66"/>
      <c r="N1797" s="66"/>
      <c r="O1797" s="66"/>
      <c r="P1797" s="66"/>
      <c r="Q1797" s="66"/>
      <c r="R1797" s="66"/>
      <c r="S1797" s="66"/>
      <c r="T1797" s="66"/>
    </row>
    <row r="1798">
      <c r="A1798" s="66"/>
      <c r="B1798" s="66"/>
      <c r="C1798" s="66"/>
      <c r="D1798" s="66"/>
      <c r="E1798" s="15"/>
      <c r="F1798" s="66"/>
      <c r="G1798" s="18"/>
      <c r="H1798" s="15"/>
      <c r="I1798" s="18"/>
      <c r="J1798" s="22"/>
      <c r="K1798" s="108"/>
      <c r="L1798" s="66"/>
      <c r="M1798" s="66"/>
      <c r="N1798" s="66"/>
      <c r="O1798" s="66"/>
      <c r="P1798" s="66"/>
      <c r="Q1798" s="66"/>
      <c r="R1798" s="66"/>
      <c r="S1798" s="66"/>
      <c r="T1798" s="66"/>
    </row>
    <row r="1799">
      <c r="A1799" s="66"/>
      <c r="B1799" s="66"/>
      <c r="C1799" s="66"/>
      <c r="D1799" s="66"/>
      <c r="E1799" s="15"/>
      <c r="F1799" s="66"/>
      <c r="G1799" s="18"/>
      <c r="H1799" s="15"/>
      <c r="I1799" s="18"/>
      <c r="J1799" s="22"/>
      <c r="K1799" s="108"/>
      <c r="L1799" s="66"/>
      <c r="M1799" s="66"/>
      <c r="N1799" s="66"/>
      <c r="O1799" s="66"/>
      <c r="P1799" s="66"/>
      <c r="Q1799" s="66"/>
      <c r="R1799" s="66"/>
      <c r="S1799" s="66"/>
      <c r="T1799" s="66"/>
    </row>
    <row r="1800">
      <c r="A1800" s="66"/>
      <c r="B1800" s="66"/>
      <c r="C1800" s="66"/>
      <c r="D1800" s="66"/>
      <c r="E1800" s="15"/>
      <c r="F1800" s="66"/>
      <c r="G1800" s="18"/>
      <c r="H1800" s="15"/>
      <c r="I1800" s="18"/>
      <c r="J1800" s="22"/>
      <c r="K1800" s="108"/>
      <c r="L1800" s="66"/>
      <c r="M1800" s="66"/>
      <c r="N1800" s="66"/>
      <c r="O1800" s="66"/>
      <c r="P1800" s="66"/>
      <c r="Q1800" s="66"/>
      <c r="R1800" s="66"/>
      <c r="S1800" s="66"/>
      <c r="T1800" s="66"/>
    </row>
    <row r="1801">
      <c r="A1801" s="66"/>
      <c r="B1801" s="66"/>
      <c r="C1801" s="66"/>
      <c r="D1801" s="66"/>
      <c r="E1801" s="15"/>
      <c r="F1801" s="66"/>
      <c r="G1801" s="18"/>
      <c r="H1801" s="15"/>
      <c r="I1801" s="18"/>
      <c r="J1801" s="22"/>
      <c r="K1801" s="108"/>
      <c r="L1801" s="66"/>
      <c r="M1801" s="66"/>
      <c r="N1801" s="66"/>
      <c r="O1801" s="66"/>
      <c r="P1801" s="66"/>
      <c r="Q1801" s="66"/>
      <c r="R1801" s="66"/>
      <c r="S1801" s="66"/>
      <c r="T1801" s="66"/>
    </row>
    <row r="1802">
      <c r="A1802" s="66"/>
      <c r="B1802" s="66"/>
      <c r="C1802" s="66"/>
      <c r="D1802" s="66"/>
      <c r="E1802" s="15"/>
      <c r="F1802" s="66"/>
      <c r="G1802" s="18"/>
      <c r="H1802" s="15"/>
      <c r="I1802" s="18"/>
      <c r="J1802" s="22"/>
      <c r="K1802" s="108"/>
      <c r="L1802" s="66"/>
      <c r="M1802" s="66"/>
      <c r="N1802" s="66"/>
      <c r="O1802" s="66"/>
      <c r="P1802" s="66"/>
      <c r="Q1802" s="66"/>
      <c r="R1802" s="66"/>
      <c r="S1802" s="66"/>
      <c r="T1802" s="66"/>
    </row>
    <row r="1803">
      <c r="A1803" s="66"/>
      <c r="B1803" s="66"/>
      <c r="C1803" s="66"/>
      <c r="D1803" s="66"/>
      <c r="E1803" s="15"/>
      <c r="F1803" s="66"/>
      <c r="G1803" s="18"/>
      <c r="H1803" s="15"/>
      <c r="I1803" s="18"/>
      <c r="J1803" s="22"/>
      <c r="K1803" s="108"/>
      <c r="L1803" s="66"/>
      <c r="M1803" s="66"/>
      <c r="N1803" s="66"/>
      <c r="O1803" s="66"/>
      <c r="P1803" s="66"/>
      <c r="Q1803" s="66"/>
      <c r="R1803" s="66"/>
      <c r="S1803" s="66"/>
      <c r="T1803" s="66"/>
    </row>
    <row r="1804">
      <c r="A1804" s="66"/>
      <c r="B1804" s="66"/>
      <c r="C1804" s="66"/>
      <c r="D1804" s="66"/>
      <c r="E1804" s="15"/>
      <c r="F1804" s="66"/>
      <c r="G1804" s="18"/>
      <c r="H1804" s="15"/>
      <c r="I1804" s="18"/>
      <c r="J1804" s="22"/>
      <c r="K1804" s="108"/>
      <c r="L1804" s="66"/>
      <c r="M1804" s="66"/>
      <c r="N1804" s="66"/>
      <c r="O1804" s="66"/>
      <c r="P1804" s="66"/>
      <c r="Q1804" s="66"/>
      <c r="R1804" s="66"/>
      <c r="S1804" s="66"/>
      <c r="T1804" s="66"/>
    </row>
    <row r="1805">
      <c r="A1805" s="66"/>
      <c r="B1805" s="66"/>
      <c r="C1805" s="66"/>
      <c r="D1805" s="66"/>
      <c r="E1805" s="15"/>
      <c r="F1805" s="66"/>
      <c r="G1805" s="18"/>
      <c r="H1805" s="15"/>
      <c r="I1805" s="18"/>
      <c r="J1805" s="22"/>
      <c r="K1805" s="108"/>
      <c r="L1805" s="66"/>
      <c r="M1805" s="66"/>
      <c r="N1805" s="66"/>
      <c r="O1805" s="66"/>
      <c r="P1805" s="66"/>
      <c r="Q1805" s="66"/>
      <c r="R1805" s="66"/>
      <c r="S1805" s="66"/>
      <c r="T1805" s="66"/>
    </row>
    <row r="1806">
      <c r="A1806" s="66"/>
      <c r="B1806" s="66"/>
      <c r="C1806" s="66"/>
      <c r="D1806" s="66"/>
      <c r="E1806" s="15"/>
      <c r="F1806" s="66"/>
      <c r="G1806" s="18"/>
      <c r="H1806" s="15"/>
      <c r="I1806" s="18"/>
      <c r="J1806" s="22"/>
      <c r="K1806" s="108"/>
      <c r="L1806" s="66"/>
      <c r="M1806" s="66"/>
      <c r="N1806" s="66"/>
      <c r="O1806" s="66"/>
      <c r="P1806" s="66"/>
      <c r="Q1806" s="66"/>
      <c r="R1806" s="66"/>
      <c r="S1806" s="66"/>
      <c r="T1806" s="66"/>
    </row>
    <row r="1807">
      <c r="A1807" s="66"/>
      <c r="B1807" s="66"/>
      <c r="C1807" s="66"/>
      <c r="D1807" s="66"/>
      <c r="E1807" s="15"/>
      <c r="F1807" s="66"/>
      <c r="G1807" s="18"/>
      <c r="H1807" s="15"/>
      <c r="I1807" s="18"/>
      <c r="J1807" s="22"/>
      <c r="K1807" s="108"/>
      <c r="L1807" s="66"/>
      <c r="M1807" s="66"/>
      <c r="N1807" s="66"/>
      <c r="O1807" s="66"/>
      <c r="P1807" s="66"/>
      <c r="Q1807" s="66"/>
      <c r="R1807" s="66"/>
      <c r="S1807" s="66"/>
      <c r="T1807" s="66"/>
    </row>
    <row r="1808">
      <c r="A1808" s="66"/>
      <c r="B1808" s="66"/>
      <c r="C1808" s="66"/>
      <c r="D1808" s="66"/>
      <c r="E1808" s="15"/>
      <c r="F1808" s="66"/>
      <c r="G1808" s="18"/>
      <c r="H1808" s="15"/>
      <c r="I1808" s="18"/>
      <c r="J1808" s="22"/>
      <c r="K1808" s="108"/>
      <c r="L1808" s="66"/>
      <c r="M1808" s="66"/>
      <c r="N1808" s="66"/>
      <c r="O1808" s="66"/>
      <c r="P1808" s="66"/>
      <c r="Q1808" s="66"/>
      <c r="R1808" s="66"/>
      <c r="S1808" s="66"/>
      <c r="T1808" s="66"/>
    </row>
    <row r="1809">
      <c r="A1809" s="66"/>
      <c r="B1809" s="66"/>
      <c r="C1809" s="66"/>
      <c r="D1809" s="66"/>
      <c r="E1809" s="15"/>
      <c r="F1809" s="66"/>
      <c r="G1809" s="18"/>
      <c r="H1809" s="15"/>
      <c r="I1809" s="18"/>
      <c r="J1809" s="22"/>
      <c r="K1809" s="108"/>
      <c r="L1809" s="66"/>
      <c r="M1809" s="66"/>
      <c r="N1809" s="66"/>
      <c r="O1809" s="66"/>
      <c r="P1809" s="66"/>
      <c r="Q1809" s="66"/>
      <c r="R1809" s="66"/>
      <c r="S1809" s="66"/>
      <c r="T1809" s="66"/>
    </row>
    <row r="1810">
      <c r="A1810" s="66"/>
      <c r="B1810" s="66"/>
      <c r="C1810" s="66"/>
      <c r="D1810" s="66"/>
      <c r="E1810" s="15"/>
      <c r="F1810" s="66"/>
      <c r="G1810" s="18"/>
      <c r="H1810" s="15"/>
      <c r="I1810" s="18"/>
      <c r="J1810" s="22"/>
      <c r="K1810" s="108"/>
      <c r="L1810" s="66"/>
      <c r="M1810" s="66"/>
      <c r="N1810" s="66"/>
      <c r="O1810" s="66"/>
      <c r="P1810" s="66"/>
      <c r="Q1810" s="66"/>
      <c r="R1810" s="66"/>
      <c r="S1810" s="66"/>
      <c r="T1810" s="66"/>
    </row>
    <row r="1811">
      <c r="A1811" s="66"/>
      <c r="B1811" s="66"/>
      <c r="C1811" s="66"/>
      <c r="D1811" s="66"/>
      <c r="E1811" s="15"/>
      <c r="F1811" s="66"/>
      <c r="G1811" s="18"/>
      <c r="H1811" s="15"/>
      <c r="I1811" s="18"/>
      <c r="J1811" s="22"/>
      <c r="K1811" s="108"/>
      <c r="L1811" s="66"/>
      <c r="M1811" s="66"/>
      <c r="N1811" s="66"/>
      <c r="O1811" s="66"/>
      <c r="P1811" s="66"/>
      <c r="Q1811" s="66"/>
      <c r="R1811" s="66"/>
      <c r="S1811" s="66"/>
      <c r="T1811" s="66"/>
    </row>
    <row r="1812">
      <c r="A1812" s="66"/>
      <c r="B1812" s="66"/>
      <c r="C1812" s="66"/>
      <c r="D1812" s="66"/>
      <c r="E1812" s="15"/>
      <c r="F1812" s="66"/>
      <c r="G1812" s="18"/>
      <c r="H1812" s="15"/>
      <c r="I1812" s="18"/>
      <c r="J1812" s="22"/>
      <c r="K1812" s="108"/>
      <c r="L1812" s="66"/>
      <c r="M1812" s="66"/>
      <c r="N1812" s="66"/>
      <c r="O1812" s="66"/>
      <c r="P1812" s="66"/>
      <c r="Q1812" s="66"/>
      <c r="R1812" s="66"/>
      <c r="S1812" s="66"/>
      <c r="T1812" s="66"/>
    </row>
    <row r="1813">
      <c r="A1813" s="66"/>
      <c r="B1813" s="66"/>
      <c r="C1813" s="66"/>
      <c r="D1813" s="66"/>
      <c r="E1813" s="15"/>
      <c r="F1813" s="66"/>
      <c r="G1813" s="18"/>
      <c r="H1813" s="15"/>
      <c r="I1813" s="18"/>
      <c r="J1813" s="22"/>
      <c r="K1813" s="108"/>
      <c r="L1813" s="66"/>
      <c r="M1813" s="66"/>
      <c r="N1813" s="66"/>
      <c r="O1813" s="66"/>
      <c r="P1813" s="66"/>
      <c r="Q1813" s="66"/>
      <c r="R1813" s="66"/>
      <c r="S1813" s="66"/>
      <c r="T1813" s="66"/>
    </row>
    <row r="1814">
      <c r="A1814" s="66"/>
      <c r="B1814" s="66"/>
      <c r="C1814" s="66"/>
      <c r="D1814" s="66"/>
      <c r="E1814" s="15"/>
      <c r="F1814" s="66"/>
      <c r="G1814" s="18"/>
      <c r="H1814" s="15"/>
      <c r="I1814" s="18"/>
      <c r="J1814" s="22"/>
      <c r="K1814" s="108"/>
      <c r="L1814" s="66"/>
      <c r="M1814" s="66"/>
      <c r="N1814" s="66"/>
      <c r="O1814" s="66"/>
      <c r="P1814" s="66"/>
      <c r="Q1814" s="66"/>
      <c r="R1814" s="66"/>
      <c r="S1814" s="66"/>
      <c r="T1814" s="66"/>
    </row>
    <row r="1815">
      <c r="A1815" s="66"/>
      <c r="B1815" s="66"/>
      <c r="C1815" s="66"/>
      <c r="D1815" s="66"/>
      <c r="E1815" s="15"/>
      <c r="F1815" s="66"/>
      <c r="G1815" s="18"/>
      <c r="H1815" s="15"/>
      <c r="I1815" s="18"/>
      <c r="J1815" s="22"/>
      <c r="K1815" s="108"/>
      <c r="L1815" s="66"/>
      <c r="M1815" s="66"/>
      <c r="N1815" s="66"/>
      <c r="O1815" s="66"/>
      <c r="P1815" s="66"/>
      <c r="Q1815" s="66"/>
      <c r="R1815" s="66"/>
      <c r="S1815" s="66"/>
      <c r="T1815" s="66"/>
    </row>
    <row r="1816">
      <c r="A1816" s="66"/>
      <c r="B1816" s="66"/>
      <c r="C1816" s="66"/>
      <c r="D1816" s="66"/>
      <c r="E1816" s="15"/>
      <c r="F1816" s="66"/>
      <c r="G1816" s="18"/>
      <c r="H1816" s="15"/>
      <c r="I1816" s="18"/>
      <c r="J1816" s="22"/>
      <c r="K1816" s="108"/>
      <c r="L1816" s="66"/>
      <c r="M1816" s="66"/>
      <c r="N1816" s="66"/>
      <c r="O1816" s="66"/>
      <c r="P1816" s="66"/>
      <c r="Q1816" s="66"/>
      <c r="R1816" s="66"/>
      <c r="S1816" s="66"/>
      <c r="T1816" s="66"/>
    </row>
    <row r="1817">
      <c r="A1817" s="66"/>
      <c r="B1817" s="66"/>
      <c r="C1817" s="66"/>
      <c r="D1817" s="66"/>
      <c r="E1817" s="15"/>
      <c r="F1817" s="66"/>
      <c r="G1817" s="18"/>
      <c r="H1817" s="15"/>
      <c r="I1817" s="18"/>
      <c r="J1817" s="22"/>
      <c r="K1817" s="108"/>
      <c r="L1817" s="66"/>
      <c r="M1817" s="66"/>
      <c r="N1817" s="66"/>
      <c r="O1817" s="66"/>
      <c r="P1817" s="66"/>
      <c r="Q1817" s="66"/>
      <c r="R1817" s="66"/>
      <c r="S1817" s="66"/>
      <c r="T1817" s="66"/>
    </row>
    <row r="1818">
      <c r="A1818" s="66"/>
      <c r="B1818" s="66"/>
      <c r="C1818" s="66"/>
      <c r="D1818" s="66"/>
      <c r="E1818" s="15"/>
      <c r="F1818" s="66"/>
      <c r="G1818" s="18"/>
      <c r="H1818" s="15"/>
      <c r="I1818" s="18"/>
      <c r="J1818" s="22"/>
      <c r="K1818" s="108"/>
      <c r="L1818" s="66"/>
      <c r="M1818" s="66"/>
      <c r="N1818" s="66"/>
      <c r="O1818" s="66"/>
      <c r="P1818" s="66"/>
      <c r="Q1818" s="66"/>
      <c r="R1818" s="66"/>
      <c r="S1818" s="66"/>
      <c r="T1818" s="66"/>
    </row>
    <row r="1819">
      <c r="A1819" s="66"/>
      <c r="B1819" s="66"/>
      <c r="C1819" s="66"/>
      <c r="D1819" s="66"/>
      <c r="E1819" s="15"/>
      <c r="F1819" s="66"/>
      <c r="G1819" s="18"/>
      <c r="H1819" s="15"/>
      <c r="I1819" s="18"/>
      <c r="J1819" s="22"/>
      <c r="K1819" s="108"/>
      <c r="L1819" s="66"/>
      <c r="M1819" s="66"/>
      <c r="N1819" s="66"/>
      <c r="O1819" s="66"/>
      <c r="P1819" s="66"/>
      <c r="Q1819" s="66"/>
      <c r="R1819" s="66"/>
      <c r="S1819" s="66"/>
      <c r="T1819" s="66"/>
    </row>
    <row r="1820">
      <c r="A1820" s="66"/>
      <c r="B1820" s="66"/>
      <c r="C1820" s="66"/>
      <c r="D1820" s="66"/>
      <c r="E1820" s="15"/>
      <c r="F1820" s="66"/>
      <c r="G1820" s="18"/>
      <c r="H1820" s="15"/>
      <c r="I1820" s="18"/>
      <c r="J1820" s="22"/>
      <c r="K1820" s="108"/>
      <c r="L1820" s="66"/>
      <c r="M1820" s="66"/>
      <c r="N1820" s="66"/>
      <c r="O1820" s="66"/>
      <c r="P1820" s="66"/>
      <c r="Q1820" s="66"/>
      <c r="R1820" s="66"/>
      <c r="S1820" s="66"/>
      <c r="T1820" s="66"/>
    </row>
    <row r="1821">
      <c r="A1821" s="66"/>
      <c r="B1821" s="66"/>
      <c r="C1821" s="66"/>
      <c r="D1821" s="66"/>
      <c r="E1821" s="15"/>
      <c r="F1821" s="66"/>
      <c r="G1821" s="18"/>
      <c r="H1821" s="15"/>
      <c r="I1821" s="18"/>
      <c r="J1821" s="22"/>
      <c r="K1821" s="108"/>
      <c r="L1821" s="66"/>
      <c r="M1821" s="66"/>
      <c r="N1821" s="66"/>
      <c r="O1821" s="66"/>
      <c r="P1821" s="66"/>
      <c r="Q1821" s="66"/>
      <c r="R1821" s="66"/>
      <c r="S1821" s="66"/>
      <c r="T1821" s="66"/>
    </row>
    <row r="1822">
      <c r="A1822" s="66"/>
      <c r="B1822" s="66"/>
      <c r="C1822" s="66"/>
      <c r="D1822" s="66"/>
      <c r="E1822" s="15"/>
      <c r="F1822" s="66"/>
      <c r="G1822" s="18"/>
      <c r="H1822" s="15"/>
      <c r="I1822" s="18"/>
      <c r="J1822" s="22"/>
      <c r="K1822" s="108"/>
      <c r="L1822" s="66"/>
      <c r="M1822" s="66"/>
      <c r="N1822" s="66"/>
      <c r="O1822" s="66"/>
      <c r="P1822" s="66"/>
      <c r="Q1822" s="66"/>
      <c r="R1822" s="66"/>
      <c r="S1822" s="66"/>
      <c r="T1822" s="66"/>
    </row>
    <row r="1823">
      <c r="A1823" s="66"/>
      <c r="B1823" s="66"/>
      <c r="C1823" s="66"/>
      <c r="D1823" s="66"/>
      <c r="E1823" s="15"/>
      <c r="F1823" s="66"/>
      <c r="G1823" s="18"/>
      <c r="H1823" s="15"/>
      <c r="I1823" s="18"/>
      <c r="J1823" s="22"/>
      <c r="K1823" s="108"/>
      <c r="L1823" s="66"/>
      <c r="M1823" s="66"/>
      <c r="N1823" s="66"/>
      <c r="O1823" s="66"/>
      <c r="P1823" s="66"/>
      <c r="Q1823" s="66"/>
      <c r="R1823" s="66"/>
      <c r="S1823" s="66"/>
      <c r="T1823" s="66"/>
    </row>
    <row r="1824">
      <c r="A1824" s="66"/>
      <c r="B1824" s="66"/>
      <c r="C1824" s="66"/>
      <c r="D1824" s="66"/>
      <c r="E1824" s="15"/>
      <c r="F1824" s="66"/>
      <c r="G1824" s="18"/>
      <c r="H1824" s="15"/>
      <c r="I1824" s="18"/>
      <c r="J1824" s="22"/>
      <c r="K1824" s="108"/>
      <c r="L1824" s="66"/>
      <c r="M1824" s="66"/>
      <c r="N1824" s="66"/>
      <c r="O1824" s="66"/>
      <c r="P1824" s="66"/>
      <c r="Q1824" s="66"/>
      <c r="R1824" s="66"/>
      <c r="S1824" s="66"/>
      <c r="T1824" s="66"/>
    </row>
    <row r="1825">
      <c r="A1825" s="66"/>
      <c r="B1825" s="66"/>
      <c r="C1825" s="66"/>
      <c r="D1825" s="66"/>
      <c r="E1825" s="15"/>
      <c r="F1825" s="66"/>
      <c r="G1825" s="18"/>
      <c r="H1825" s="15"/>
      <c r="I1825" s="18"/>
      <c r="J1825" s="22"/>
      <c r="K1825" s="108"/>
      <c r="L1825" s="66"/>
      <c r="M1825" s="66"/>
      <c r="N1825" s="66"/>
      <c r="O1825" s="66"/>
      <c r="P1825" s="66"/>
      <c r="Q1825" s="66"/>
      <c r="R1825" s="66"/>
      <c r="S1825" s="66"/>
      <c r="T1825" s="66"/>
    </row>
    <row r="1826">
      <c r="A1826" s="66"/>
      <c r="B1826" s="66"/>
      <c r="C1826" s="66"/>
      <c r="D1826" s="66"/>
      <c r="E1826" s="15"/>
      <c r="F1826" s="66"/>
      <c r="G1826" s="18"/>
      <c r="H1826" s="15"/>
      <c r="I1826" s="18"/>
      <c r="J1826" s="22"/>
      <c r="K1826" s="108"/>
      <c r="L1826" s="66"/>
      <c r="M1826" s="66"/>
      <c r="N1826" s="66"/>
      <c r="O1826" s="66"/>
      <c r="P1826" s="66"/>
      <c r="Q1826" s="66"/>
      <c r="R1826" s="66"/>
      <c r="S1826" s="66"/>
      <c r="T1826" s="66"/>
    </row>
    <row r="1827">
      <c r="A1827" s="66"/>
      <c r="B1827" s="66"/>
      <c r="C1827" s="66"/>
      <c r="D1827" s="66"/>
      <c r="E1827" s="15"/>
      <c r="F1827" s="66"/>
      <c r="G1827" s="18"/>
      <c r="H1827" s="15"/>
      <c r="I1827" s="18"/>
      <c r="J1827" s="22"/>
      <c r="K1827" s="108"/>
      <c r="L1827" s="66"/>
      <c r="M1827" s="66"/>
      <c r="N1827" s="66"/>
      <c r="O1827" s="66"/>
      <c r="P1827" s="66"/>
      <c r="Q1827" s="66"/>
      <c r="R1827" s="66"/>
      <c r="S1827" s="66"/>
      <c r="T1827" s="66"/>
    </row>
    <row r="1828">
      <c r="A1828" s="66"/>
      <c r="B1828" s="66"/>
      <c r="C1828" s="66"/>
      <c r="D1828" s="66"/>
      <c r="E1828" s="15"/>
      <c r="F1828" s="66"/>
      <c r="G1828" s="18"/>
      <c r="H1828" s="15"/>
      <c r="I1828" s="18"/>
      <c r="J1828" s="22"/>
      <c r="K1828" s="108"/>
      <c r="L1828" s="66"/>
      <c r="M1828" s="66"/>
      <c r="N1828" s="66"/>
      <c r="O1828" s="66"/>
      <c r="P1828" s="66"/>
      <c r="Q1828" s="66"/>
      <c r="R1828" s="66"/>
      <c r="S1828" s="66"/>
      <c r="T1828" s="66"/>
    </row>
    <row r="1829">
      <c r="A1829" s="66"/>
      <c r="B1829" s="66"/>
      <c r="C1829" s="66"/>
      <c r="D1829" s="66"/>
      <c r="E1829" s="15"/>
      <c r="F1829" s="66"/>
      <c r="G1829" s="18"/>
      <c r="H1829" s="15"/>
      <c r="I1829" s="18"/>
      <c r="J1829" s="22"/>
      <c r="K1829" s="108"/>
      <c r="L1829" s="66"/>
      <c r="M1829" s="66"/>
      <c r="N1829" s="66"/>
      <c r="O1829" s="66"/>
      <c r="P1829" s="66"/>
      <c r="Q1829" s="66"/>
      <c r="R1829" s="66"/>
      <c r="S1829" s="66"/>
      <c r="T1829" s="66"/>
    </row>
    <row r="1830">
      <c r="A1830" s="66"/>
      <c r="B1830" s="66"/>
      <c r="C1830" s="66"/>
      <c r="D1830" s="66"/>
      <c r="E1830" s="15"/>
      <c r="F1830" s="66"/>
      <c r="G1830" s="18"/>
      <c r="H1830" s="15"/>
      <c r="I1830" s="18"/>
      <c r="J1830" s="22"/>
      <c r="K1830" s="108"/>
      <c r="L1830" s="66"/>
      <c r="M1830" s="66"/>
      <c r="N1830" s="66"/>
      <c r="O1830" s="66"/>
      <c r="P1830" s="66"/>
      <c r="Q1830" s="66"/>
      <c r="R1830" s="66"/>
      <c r="S1830" s="66"/>
      <c r="T1830" s="66"/>
    </row>
    <row r="1831">
      <c r="A1831" s="66"/>
      <c r="B1831" s="66"/>
      <c r="C1831" s="66"/>
      <c r="D1831" s="66"/>
      <c r="E1831" s="15"/>
      <c r="F1831" s="66"/>
      <c r="G1831" s="18"/>
      <c r="H1831" s="15"/>
      <c r="I1831" s="18"/>
      <c r="J1831" s="22"/>
      <c r="K1831" s="108"/>
      <c r="L1831" s="66"/>
      <c r="M1831" s="66"/>
      <c r="N1831" s="66"/>
      <c r="O1831" s="66"/>
      <c r="P1831" s="66"/>
      <c r="Q1831" s="66"/>
      <c r="R1831" s="66"/>
      <c r="S1831" s="66"/>
      <c r="T1831" s="66"/>
    </row>
    <row r="1832">
      <c r="A1832" s="66"/>
      <c r="B1832" s="66"/>
      <c r="C1832" s="66"/>
      <c r="D1832" s="66"/>
      <c r="E1832" s="15"/>
      <c r="F1832" s="66"/>
      <c r="G1832" s="18"/>
      <c r="H1832" s="15"/>
      <c r="I1832" s="18"/>
      <c r="J1832" s="22"/>
      <c r="K1832" s="108"/>
      <c r="L1832" s="66"/>
      <c r="M1832" s="66"/>
      <c r="N1832" s="66"/>
      <c r="O1832" s="66"/>
      <c r="P1832" s="66"/>
      <c r="Q1832" s="66"/>
      <c r="R1832" s="66"/>
      <c r="S1832" s="66"/>
      <c r="T1832" s="66"/>
    </row>
    <row r="1833">
      <c r="A1833" s="66"/>
      <c r="B1833" s="66"/>
      <c r="C1833" s="66"/>
      <c r="D1833" s="66"/>
      <c r="E1833" s="15"/>
      <c r="F1833" s="66"/>
      <c r="G1833" s="18"/>
      <c r="H1833" s="15"/>
      <c r="I1833" s="18"/>
      <c r="J1833" s="22"/>
      <c r="K1833" s="108"/>
      <c r="L1833" s="66"/>
      <c r="M1833" s="66"/>
      <c r="N1833" s="66"/>
      <c r="O1833" s="66"/>
      <c r="P1833" s="66"/>
      <c r="Q1833" s="66"/>
      <c r="R1833" s="66"/>
      <c r="S1833" s="66"/>
      <c r="T1833" s="66"/>
    </row>
    <row r="1834">
      <c r="A1834" s="66"/>
      <c r="B1834" s="66"/>
      <c r="C1834" s="66"/>
      <c r="D1834" s="66"/>
      <c r="E1834" s="15"/>
      <c r="F1834" s="66"/>
      <c r="G1834" s="18"/>
      <c r="H1834" s="15"/>
      <c r="I1834" s="18"/>
      <c r="J1834" s="22"/>
      <c r="K1834" s="108"/>
      <c r="L1834" s="66"/>
      <c r="M1834" s="66"/>
      <c r="N1834" s="66"/>
      <c r="O1834" s="66"/>
      <c r="P1834" s="66"/>
      <c r="Q1834" s="66"/>
      <c r="R1834" s="66"/>
      <c r="S1834" s="66"/>
      <c r="T1834" s="66"/>
    </row>
    <row r="1835">
      <c r="A1835" s="66"/>
      <c r="B1835" s="66"/>
      <c r="C1835" s="66"/>
      <c r="D1835" s="66"/>
      <c r="E1835" s="15"/>
      <c r="F1835" s="66"/>
      <c r="G1835" s="18"/>
      <c r="H1835" s="15"/>
      <c r="I1835" s="18"/>
      <c r="J1835" s="22"/>
      <c r="K1835" s="108"/>
      <c r="L1835" s="66"/>
      <c r="M1835" s="66"/>
      <c r="N1835" s="66"/>
      <c r="O1835" s="66"/>
      <c r="P1835" s="66"/>
      <c r="Q1835" s="66"/>
      <c r="R1835" s="66"/>
      <c r="S1835" s="66"/>
      <c r="T1835" s="66"/>
    </row>
    <row r="1836">
      <c r="A1836" s="66"/>
      <c r="B1836" s="66"/>
      <c r="C1836" s="66"/>
      <c r="D1836" s="66"/>
      <c r="E1836" s="15"/>
      <c r="F1836" s="66"/>
      <c r="G1836" s="18"/>
      <c r="H1836" s="15"/>
      <c r="I1836" s="18"/>
      <c r="J1836" s="22"/>
      <c r="K1836" s="108"/>
      <c r="L1836" s="66"/>
      <c r="M1836" s="66"/>
      <c r="N1836" s="66"/>
      <c r="O1836" s="66"/>
      <c r="P1836" s="66"/>
      <c r="Q1836" s="66"/>
      <c r="R1836" s="66"/>
      <c r="S1836" s="66"/>
      <c r="T1836" s="66"/>
    </row>
    <row r="1837">
      <c r="A1837" s="66"/>
      <c r="B1837" s="66"/>
      <c r="C1837" s="66"/>
      <c r="D1837" s="66"/>
      <c r="E1837" s="15"/>
      <c r="F1837" s="66"/>
      <c r="G1837" s="18"/>
      <c r="H1837" s="15"/>
      <c r="I1837" s="18"/>
      <c r="J1837" s="22"/>
      <c r="K1837" s="108"/>
      <c r="L1837" s="66"/>
      <c r="M1837" s="66"/>
      <c r="N1837" s="66"/>
      <c r="O1837" s="66"/>
      <c r="P1837" s="66"/>
      <c r="Q1837" s="66"/>
      <c r="R1837" s="66"/>
      <c r="S1837" s="66"/>
      <c r="T1837" s="66"/>
    </row>
    <row r="1838">
      <c r="A1838" s="66"/>
      <c r="B1838" s="66"/>
      <c r="C1838" s="66"/>
      <c r="D1838" s="66"/>
      <c r="E1838" s="15"/>
      <c r="F1838" s="66"/>
      <c r="G1838" s="18"/>
      <c r="H1838" s="15"/>
      <c r="I1838" s="18"/>
      <c r="J1838" s="22"/>
      <c r="K1838" s="108"/>
      <c r="L1838" s="66"/>
      <c r="M1838" s="66"/>
      <c r="N1838" s="66"/>
      <c r="O1838" s="66"/>
      <c r="P1838" s="66"/>
      <c r="Q1838" s="66"/>
      <c r="R1838" s="66"/>
      <c r="S1838" s="66"/>
      <c r="T1838" s="66"/>
    </row>
    <row r="1839">
      <c r="A1839" s="66"/>
      <c r="B1839" s="66"/>
      <c r="C1839" s="66"/>
      <c r="D1839" s="66"/>
      <c r="E1839" s="15"/>
      <c r="F1839" s="66"/>
      <c r="G1839" s="18"/>
      <c r="H1839" s="15"/>
      <c r="I1839" s="18"/>
      <c r="J1839" s="22"/>
      <c r="K1839" s="108"/>
      <c r="L1839" s="66"/>
      <c r="M1839" s="66"/>
      <c r="N1839" s="66"/>
      <c r="O1839" s="66"/>
      <c r="P1839" s="66"/>
      <c r="Q1839" s="66"/>
      <c r="R1839" s="66"/>
      <c r="S1839" s="66"/>
      <c r="T1839" s="66"/>
    </row>
    <row r="1840">
      <c r="A1840" s="66"/>
      <c r="B1840" s="66"/>
      <c r="C1840" s="66"/>
      <c r="D1840" s="66"/>
      <c r="E1840" s="15"/>
      <c r="F1840" s="66"/>
      <c r="G1840" s="18"/>
      <c r="H1840" s="15"/>
      <c r="I1840" s="18"/>
      <c r="J1840" s="22"/>
      <c r="K1840" s="108"/>
      <c r="L1840" s="66"/>
      <c r="M1840" s="66"/>
      <c r="N1840" s="66"/>
      <c r="O1840" s="66"/>
      <c r="P1840" s="66"/>
      <c r="Q1840" s="66"/>
      <c r="R1840" s="66"/>
      <c r="S1840" s="66"/>
      <c r="T1840" s="66"/>
    </row>
    <row r="1841">
      <c r="A1841" s="66"/>
      <c r="B1841" s="66"/>
      <c r="C1841" s="66"/>
      <c r="D1841" s="66"/>
      <c r="E1841" s="15"/>
      <c r="F1841" s="66"/>
      <c r="G1841" s="18"/>
      <c r="H1841" s="15"/>
      <c r="I1841" s="18"/>
      <c r="J1841" s="22"/>
      <c r="K1841" s="108"/>
      <c r="L1841" s="66"/>
      <c r="M1841" s="66"/>
      <c r="N1841" s="66"/>
      <c r="O1841" s="66"/>
      <c r="P1841" s="66"/>
      <c r="Q1841" s="66"/>
      <c r="R1841" s="66"/>
      <c r="S1841" s="66"/>
      <c r="T1841" s="66"/>
    </row>
    <row r="1842">
      <c r="A1842" s="66"/>
      <c r="B1842" s="66"/>
      <c r="C1842" s="66"/>
      <c r="D1842" s="66"/>
      <c r="E1842" s="15"/>
      <c r="F1842" s="66"/>
      <c r="G1842" s="18"/>
      <c r="H1842" s="15"/>
      <c r="I1842" s="18"/>
      <c r="J1842" s="22"/>
      <c r="K1842" s="108"/>
      <c r="L1842" s="66"/>
      <c r="M1842" s="66"/>
      <c r="N1842" s="66"/>
      <c r="O1842" s="66"/>
      <c r="P1842" s="66"/>
      <c r="Q1842" s="66"/>
      <c r="R1842" s="66"/>
      <c r="S1842" s="66"/>
      <c r="T1842" s="66"/>
    </row>
    <row r="1843">
      <c r="A1843" s="66"/>
      <c r="B1843" s="66"/>
      <c r="C1843" s="66"/>
      <c r="D1843" s="66"/>
      <c r="E1843" s="15"/>
      <c r="F1843" s="66"/>
      <c r="G1843" s="18"/>
      <c r="H1843" s="15"/>
      <c r="I1843" s="18"/>
      <c r="J1843" s="22"/>
      <c r="K1843" s="108"/>
      <c r="L1843" s="66"/>
      <c r="M1843" s="66"/>
      <c r="N1843" s="66"/>
      <c r="O1843" s="66"/>
      <c r="P1843" s="66"/>
      <c r="Q1843" s="66"/>
      <c r="R1843" s="66"/>
      <c r="S1843" s="66"/>
      <c r="T1843" s="66"/>
    </row>
    <row r="1844">
      <c r="A1844" s="66"/>
      <c r="B1844" s="66"/>
      <c r="C1844" s="66"/>
      <c r="D1844" s="66"/>
      <c r="E1844" s="15"/>
      <c r="F1844" s="66"/>
      <c r="G1844" s="18"/>
      <c r="H1844" s="15"/>
      <c r="I1844" s="18"/>
      <c r="J1844" s="22"/>
      <c r="K1844" s="108"/>
      <c r="L1844" s="66"/>
      <c r="M1844" s="66"/>
      <c r="N1844" s="66"/>
      <c r="O1844" s="66"/>
      <c r="P1844" s="66"/>
      <c r="Q1844" s="66"/>
      <c r="R1844" s="66"/>
      <c r="S1844" s="66"/>
      <c r="T1844" s="66"/>
    </row>
    <row r="1845">
      <c r="A1845" s="66"/>
      <c r="B1845" s="66"/>
      <c r="C1845" s="66"/>
      <c r="D1845" s="66"/>
      <c r="E1845" s="15"/>
      <c r="F1845" s="66"/>
      <c r="G1845" s="18"/>
      <c r="H1845" s="15"/>
      <c r="I1845" s="18"/>
      <c r="J1845" s="22"/>
      <c r="K1845" s="108"/>
      <c r="L1845" s="66"/>
      <c r="M1845" s="66"/>
      <c r="N1845" s="66"/>
      <c r="O1845" s="66"/>
      <c r="P1845" s="66"/>
      <c r="Q1845" s="66"/>
      <c r="R1845" s="66"/>
      <c r="S1845" s="66"/>
      <c r="T1845" s="66"/>
    </row>
    <row r="1846">
      <c r="A1846" s="66"/>
      <c r="B1846" s="66"/>
      <c r="C1846" s="66"/>
      <c r="D1846" s="66"/>
      <c r="E1846" s="15"/>
      <c r="F1846" s="66"/>
      <c r="G1846" s="18"/>
      <c r="H1846" s="15"/>
      <c r="I1846" s="18"/>
      <c r="J1846" s="22"/>
      <c r="K1846" s="108"/>
      <c r="L1846" s="66"/>
      <c r="M1846" s="66"/>
      <c r="N1846" s="66"/>
      <c r="O1846" s="66"/>
      <c r="P1846" s="66"/>
      <c r="Q1846" s="66"/>
      <c r="R1846" s="66"/>
      <c r="S1846" s="66"/>
      <c r="T1846" s="66"/>
    </row>
    <row r="1847">
      <c r="A1847" s="66"/>
      <c r="B1847" s="66"/>
      <c r="C1847" s="66"/>
      <c r="D1847" s="66"/>
      <c r="E1847" s="15"/>
      <c r="F1847" s="66"/>
      <c r="G1847" s="18"/>
      <c r="H1847" s="15"/>
      <c r="I1847" s="18"/>
      <c r="J1847" s="22"/>
      <c r="K1847" s="108"/>
      <c r="L1847" s="66"/>
      <c r="M1847" s="66"/>
      <c r="N1847" s="66"/>
      <c r="O1847" s="66"/>
      <c r="P1847" s="66"/>
      <c r="Q1847" s="66"/>
      <c r="R1847" s="66"/>
      <c r="S1847" s="66"/>
      <c r="T1847" s="66"/>
    </row>
    <row r="1848">
      <c r="A1848" s="66"/>
      <c r="B1848" s="66"/>
      <c r="C1848" s="66"/>
      <c r="D1848" s="66"/>
      <c r="E1848" s="15"/>
      <c r="F1848" s="66"/>
      <c r="G1848" s="18"/>
      <c r="H1848" s="15"/>
      <c r="I1848" s="18"/>
      <c r="J1848" s="22"/>
      <c r="K1848" s="108"/>
      <c r="L1848" s="66"/>
      <c r="M1848" s="66"/>
      <c r="N1848" s="66"/>
      <c r="O1848" s="66"/>
      <c r="P1848" s="66"/>
      <c r="Q1848" s="66"/>
      <c r="R1848" s="66"/>
      <c r="S1848" s="66"/>
      <c r="T1848" s="66"/>
    </row>
    <row r="1849">
      <c r="A1849" s="66"/>
      <c r="B1849" s="66"/>
      <c r="C1849" s="66"/>
      <c r="D1849" s="66"/>
      <c r="E1849" s="15"/>
      <c r="F1849" s="66"/>
      <c r="G1849" s="18"/>
      <c r="H1849" s="15"/>
      <c r="I1849" s="18"/>
      <c r="J1849" s="22"/>
      <c r="K1849" s="108"/>
      <c r="L1849" s="66"/>
      <c r="M1849" s="66"/>
      <c r="N1849" s="66"/>
      <c r="O1849" s="66"/>
      <c r="P1849" s="66"/>
      <c r="Q1849" s="66"/>
      <c r="R1849" s="66"/>
      <c r="S1849" s="66"/>
      <c r="T1849" s="66"/>
    </row>
    <row r="1850">
      <c r="A1850" s="66"/>
      <c r="B1850" s="66"/>
      <c r="C1850" s="66"/>
      <c r="D1850" s="66"/>
      <c r="E1850" s="15"/>
      <c r="F1850" s="66"/>
      <c r="G1850" s="18"/>
      <c r="H1850" s="15"/>
      <c r="I1850" s="18"/>
      <c r="J1850" s="22"/>
      <c r="K1850" s="108"/>
      <c r="L1850" s="66"/>
      <c r="M1850" s="66"/>
      <c r="N1850" s="66"/>
      <c r="O1850" s="66"/>
      <c r="P1850" s="66"/>
      <c r="Q1850" s="66"/>
      <c r="R1850" s="66"/>
      <c r="S1850" s="66"/>
      <c r="T1850" s="66"/>
    </row>
    <row r="1851">
      <c r="A1851" s="66"/>
      <c r="B1851" s="66"/>
      <c r="C1851" s="66"/>
      <c r="D1851" s="66"/>
      <c r="E1851" s="15"/>
      <c r="F1851" s="66"/>
      <c r="G1851" s="18"/>
      <c r="H1851" s="15"/>
      <c r="I1851" s="18"/>
      <c r="J1851" s="22"/>
      <c r="K1851" s="108"/>
      <c r="L1851" s="66"/>
      <c r="M1851" s="66"/>
      <c r="N1851" s="66"/>
      <c r="O1851" s="66"/>
      <c r="P1851" s="66"/>
      <c r="Q1851" s="66"/>
      <c r="R1851" s="66"/>
      <c r="S1851" s="66"/>
      <c r="T1851" s="66"/>
    </row>
    <row r="1852">
      <c r="A1852" s="66"/>
      <c r="B1852" s="66"/>
      <c r="C1852" s="66"/>
      <c r="D1852" s="66"/>
      <c r="E1852" s="15"/>
      <c r="F1852" s="66"/>
      <c r="G1852" s="18"/>
      <c r="H1852" s="15"/>
      <c r="I1852" s="18"/>
      <c r="J1852" s="22"/>
      <c r="K1852" s="108"/>
      <c r="L1852" s="66"/>
      <c r="M1852" s="66"/>
      <c r="N1852" s="66"/>
      <c r="O1852" s="66"/>
      <c r="P1852" s="66"/>
      <c r="Q1852" s="66"/>
      <c r="R1852" s="66"/>
      <c r="S1852" s="66"/>
      <c r="T1852" s="66"/>
    </row>
    <row r="1853">
      <c r="A1853" s="66"/>
      <c r="B1853" s="66"/>
      <c r="C1853" s="66"/>
      <c r="D1853" s="66"/>
      <c r="E1853" s="15"/>
      <c r="F1853" s="66"/>
      <c r="G1853" s="18"/>
      <c r="H1853" s="15"/>
      <c r="I1853" s="18"/>
      <c r="J1853" s="22"/>
      <c r="K1853" s="108"/>
      <c r="L1853" s="66"/>
      <c r="M1853" s="66"/>
      <c r="N1853" s="66"/>
      <c r="O1853" s="66"/>
      <c r="P1853" s="66"/>
      <c r="Q1853" s="66"/>
      <c r="R1853" s="66"/>
      <c r="S1853" s="66"/>
      <c r="T1853" s="66"/>
    </row>
    <row r="1854">
      <c r="A1854" s="66"/>
      <c r="B1854" s="66"/>
      <c r="C1854" s="66"/>
      <c r="D1854" s="66"/>
      <c r="E1854" s="15"/>
      <c r="F1854" s="66"/>
      <c r="G1854" s="18"/>
      <c r="H1854" s="15"/>
      <c r="I1854" s="18"/>
      <c r="J1854" s="22"/>
      <c r="K1854" s="108"/>
      <c r="L1854" s="66"/>
      <c r="M1854" s="66"/>
      <c r="N1854" s="66"/>
      <c r="O1854" s="66"/>
      <c r="P1854" s="66"/>
      <c r="Q1854" s="66"/>
      <c r="R1854" s="66"/>
      <c r="S1854" s="66"/>
      <c r="T1854" s="66"/>
    </row>
    <row r="1855">
      <c r="A1855" s="66"/>
      <c r="B1855" s="66"/>
      <c r="C1855" s="66"/>
      <c r="D1855" s="66"/>
      <c r="E1855" s="15"/>
      <c r="F1855" s="66"/>
      <c r="G1855" s="18"/>
      <c r="H1855" s="15"/>
      <c r="I1855" s="18"/>
      <c r="J1855" s="22"/>
      <c r="K1855" s="108"/>
      <c r="L1855" s="66"/>
      <c r="M1855" s="66"/>
      <c r="N1855" s="66"/>
      <c r="O1855" s="66"/>
      <c r="P1855" s="66"/>
      <c r="Q1855" s="66"/>
      <c r="R1855" s="66"/>
      <c r="S1855" s="66"/>
      <c r="T1855" s="66"/>
    </row>
    <row r="1856">
      <c r="A1856" s="66"/>
      <c r="B1856" s="66"/>
      <c r="C1856" s="66"/>
      <c r="D1856" s="66"/>
      <c r="E1856" s="15"/>
      <c r="F1856" s="66"/>
      <c r="G1856" s="18"/>
      <c r="H1856" s="15"/>
      <c r="I1856" s="18"/>
      <c r="J1856" s="22"/>
      <c r="K1856" s="108"/>
      <c r="L1856" s="66"/>
      <c r="M1856" s="66"/>
      <c r="N1856" s="66"/>
      <c r="O1856" s="66"/>
      <c r="P1856" s="66"/>
      <c r="Q1856" s="66"/>
      <c r="R1856" s="66"/>
      <c r="S1856" s="66"/>
      <c r="T1856" s="66"/>
    </row>
    <row r="1857">
      <c r="A1857" s="66"/>
      <c r="B1857" s="66"/>
      <c r="C1857" s="66"/>
      <c r="D1857" s="66"/>
      <c r="E1857" s="15"/>
      <c r="F1857" s="66"/>
      <c r="G1857" s="18"/>
      <c r="H1857" s="15"/>
      <c r="I1857" s="18"/>
      <c r="J1857" s="22"/>
      <c r="K1857" s="108"/>
      <c r="L1857" s="66"/>
      <c r="M1857" s="66"/>
      <c r="N1857" s="66"/>
      <c r="O1857" s="66"/>
      <c r="P1857" s="66"/>
      <c r="Q1857" s="66"/>
      <c r="R1857" s="66"/>
      <c r="S1857" s="66"/>
      <c r="T1857" s="66"/>
    </row>
    <row r="1858">
      <c r="A1858" s="66"/>
      <c r="B1858" s="66"/>
      <c r="C1858" s="66"/>
      <c r="D1858" s="66"/>
      <c r="E1858" s="15"/>
      <c r="F1858" s="66"/>
      <c r="G1858" s="18"/>
      <c r="H1858" s="15"/>
      <c r="I1858" s="18"/>
      <c r="J1858" s="22"/>
      <c r="K1858" s="108"/>
      <c r="L1858" s="66"/>
      <c r="M1858" s="66"/>
      <c r="N1858" s="66"/>
      <c r="O1858" s="66"/>
      <c r="P1858" s="66"/>
      <c r="Q1858" s="66"/>
      <c r="R1858" s="66"/>
      <c r="S1858" s="66"/>
      <c r="T1858" s="66"/>
    </row>
    <row r="1859">
      <c r="A1859" s="66"/>
      <c r="B1859" s="66"/>
      <c r="C1859" s="66"/>
      <c r="D1859" s="66"/>
      <c r="E1859" s="15"/>
      <c r="F1859" s="66"/>
      <c r="G1859" s="18"/>
      <c r="H1859" s="15"/>
      <c r="I1859" s="18"/>
      <c r="J1859" s="22"/>
      <c r="K1859" s="108"/>
      <c r="L1859" s="66"/>
      <c r="M1859" s="66"/>
      <c r="N1859" s="66"/>
      <c r="O1859" s="66"/>
      <c r="P1859" s="66"/>
      <c r="Q1859" s="66"/>
      <c r="R1859" s="66"/>
      <c r="S1859" s="66"/>
      <c r="T1859" s="66"/>
    </row>
    <row r="1860">
      <c r="A1860" s="66"/>
      <c r="B1860" s="66"/>
      <c r="C1860" s="66"/>
      <c r="D1860" s="66"/>
      <c r="E1860" s="15"/>
      <c r="F1860" s="66"/>
      <c r="G1860" s="18"/>
      <c r="H1860" s="15"/>
      <c r="I1860" s="18"/>
      <c r="J1860" s="22"/>
      <c r="K1860" s="108"/>
      <c r="L1860" s="66"/>
      <c r="M1860" s="66"/>
      <c r="N1860" s="66"/>
      <c r="O1860" s="66"/>
      <c r="P1860" s="66"/>
      <c r="Q1860" s="66"/>
      <c r="R1860" s="66"/>
      <c r="S1860" s="66"/>
      <c r="T1860" s="66"/>
    </row>
    <row r="1861">
      <c r="A1861" s="66"/>
      <c r="B1861" s="66"/>
      <c r="C1861" s="66"/>
      <c r="D1861" s="66"/>
      <c r="E1861" s="15"/>
      <c r="F1861" s="66"/>
      <c r="G1861" s="18"/>
      <c r="H1861" s="15"/>
      <c r="I1861" s="18"/>
      <c r="J1861" s="22"/>
      <c r="K1861" s="108"/>
      <c r="L1861" s="66"/>
      <c r="M1861" s="66"/>
      <c r="N1861" s="66"/>
      <c r="O1861" s="66"/>
      <c r="P1861" s="66"/>
      <c r="Q1861" s="66"/>
      <c r="R1861" s="66"/>
      <c r="S1861" s="66"/>
      <c r="T1861" s="66"/>
    </row>
    <row r="1862">
      <c r="A1862" s="66"/>
      <c r="B1862" s="66"/>
      <c r="C1862" s="66"/>
      <c r="D1862" s="66"/>
      <c r="E1862" s="15"/>
      <c r="F1862" s="66"/>
      <c r="G1862" s="18"/>
      <c r="H1862" s="15"/>
      <c r="I1862" s="18"/>
      <c r="J1862" s="22"/>
      <c r="K1862" s="108"/>
      <c r="L1862" s="66"/>
      <c r="M1862" s="66"/>
      <c r="N1862" s="66"/>
      <c r="O1862" s="66"/>
      <c r="P1862" s="66"/>
      <c r="Q1862" s="66"/>
      <c r="R1862" s="66"/>
      <c r="S1862" s="66"/>
      <c r="T1862" s="66"/>
    </row>
    <row r="1863">
      <c r="A1863" s="66"/>
      <c r="B1863" s="66"/>
      <c r="C1863" s="66"/>
      <c r="D1863" s="66"/>
      <c r="E1863" s="15"/>
      <c r="F1863" s="66"/>
      <c r="G1863" s="18"/>
      <c r="H1863" s="15"/>
      <c r="I1863" s="18"/>
      <c r="J1863" s="22"/>
      <c r="K1863" s="108"/>
      <c r="L1863" s="66"/>
      <c r="M1863" s="66"/>
      <c r="N1863" s="66"/>
      <c r="O1863" s="66"/>
      <c r="P1863" s="66"/>
      <c r="Q1863" s="66"/>
      <c r="R1863" s="66"/>
      <c r="S1863" s="66"/>
      <c r="T1863" s="66"/>
    </row>
    <row r="1864">
      <c r="A1864" s="66"/>
      <c r="B1864" s="66"/>
      <c r="C1864" s="66"/>
      <c r="D1864" s="66"/>
      <c r="E1864" s="15"/>
      <c r="F1864" s="66"/>
      <c r="G1864" s="18"/>
      <c r="H1864" s="15"/>
      <c r="I1864" s="18"/>
      <c r="J1864" s="22"/>
      <c r="K1864" s="108"/>
      <c r="L1864" s="66"/>
      <c r="M1864" s="66"/>
      <c r="N1864" s="66"/>
      <c r="O1864" s="66"/>
      <c r="P1864" s="66"/>
      <c r="Q1864" s="66"/>
      <c r="R1864" s="66"/>
      <c r="S1864" s="66"/>
      <c r="T1864" s="66"/>
    </row>
    <row r="1865">
      <c r="A1865" s="66"/>
      <c r="B1865" s="66"/>
      <c r="C1865" s="66"/>
      <c r="D1865" s="66"/>
      <c r="E1865" s="15"/>
      <c r="F1865" s="66"/>
      <c r="G1865" s="18"/>
      <c r="H1865" s="15"/>
      <c r="I1865" s="18"/>
      <c r="J1865" s="22"/>
      <c r="K1865" s="108"/>
      <c r="L1865" s="66"/>
      <c r="M1865" s="66"/>
      <c r="N1865" s="66"/>
      <c r="O1865" s="66"/>
      <c r="P1865" s="66"/>
      <c r="Q1865" s="66"/>
      <c r="R1865" s="66"/>
      <c r="S1865" s="66"/>
      <c r="T1865" s="66"/>
    </row>
    <row r="1866">
      <c r="A1866" s="66"/>
      <c r="B1866" s="66"/>
      <c r="C1866" s="66"/>
      <c r="D1866" s="66"/>
      <c r="E1866" s="15"/>
      <c r="F1866" s="66"/>
      <c r="G1866" s="18"/>
      <c r="H1866" s="15"/>
      <c r="I1866" s="18"/>
      <c r="J1866" s="22"/>
      <c r="K1866" s="108"/>
      <c r="L1866" s="66"/>
      <c r="M1866" s="66"/>
      <c r="N1866" s="66"/>
      <c r="O1866" s="66"/>
      <c r="P1866" s="66"/>
      <c r="Q1866" s="66"/>
      <c r="R1866" s="66"/>
      <c r="S1866" s="66"/>
      <c r="T1866" s="66"/>
    </row>
    <row r="1867">
      <c r="A1867" s="66"/>
      <c r="B1867" s="66"/>
      <c r="C1867" s="66"/>
      <c r="D1867" s="66"/>
      <c r="E1867" s="15"/>
      <c r="F1867" s="66"/>
      <c r="G1867" s="18"/>
      <c r="H1867" s="15"/>
      <c r="I1867" s="18"/>
      <c r="J1867" s="22"/>
      <c r="K1867" s="108"/>
      <c r="L1867" s="66"/>
      <c r="M1867" s="66"/>
      <c r="N1867" s="66"/>
      <c r="O1867" s="66"/>
      <c r="P1867" s="66"/>
      <c r="Q1867" s="66"/>
      <c r="R1867" s="66"/>
      <c r="S1867" s="66"/>
      <c r="T1867" s="66"/>
    </row>
    <row r="1868">
      <c r="A1868" s="66"/>
      <c r="B1868" s="66"/>
      <c r="C1868" s="66"/>
      <c r="D1868" s="66"/>
      <c r="E1868" s="15"/>
      <c r="F1868" s="66"/>
      <c r="G1868" s="18"/>
      <c r="H1868" s="15"/>
      <c r="I1868" s="18"/>
      <c r="J1868" s="22"/>
      <c r="K1868" s="108"/>
      <c r="L1868" s="66"/>
      <c r="M1868" s="66"/>
      <c r="N1868" s="66"/>
      <c r="O1868" s="66"/>
      <c r="P1868" s="66"/>
      <c r="Q1868" s="66"/>
      <c r="R1868" s="66"/>
      <c r="S1868" s="66"/>
      <c r="T1868" s="66"/>
    </row>
    <row r="1869">
      <c r="A1869" s="66"/>
      <c r="B1869" s="66"/>
      <c r="C1869" s="66"/>
      <c r="D1869" s="66"/>
      <c r="E1869" s="15"/>
      <c r="F1869" s="66"/>
      <c r="G1869" s="18"/>
      <c r="H1869" s="15"/>
      <c r="I1869" s="18"/>
      <c r="J1869" s="22"/>
      <c r="K1869" s="108"/>
      <c r="L1869" s="66"/>
      <c r="M1869" s="66"/>
      <c r="N1869" s="66"/>
      <c r="O1869" s="66"/>
      <c r="P1869" s="66"/>
      <c r="Q1869" s="66"/>
      <c r="R1869" s="66"/>
      <c r="S1869" s="66"/>
      <c r="T1869" s="66"/>
    </row>
    <row r="1870">
      <c r="A1870" s="66"/>
      <c r="B1870" s="66"/>
      <c r="C1870" s="66"/>
      <c r="D1870" s="66"/>
      <c r="E1870" s="15"/>
      <c r="F1870" s="66"/>
      <c r="G1870" s="18"/>
      <c r="H1870" s="15"/>
      <c r="I1870" s="18"/>
      <c r="J1870" s="22"/>
      <c r="K1870" s="108"/>
      <c r="L1870" s="66"/>
      <c r="M1870" s="66"/>
      <c r="N1870" s="66"/>
      <c r="O1870" s="66"/>
      <c r="P1870" s="66"/>
      <c r="Q1870" s="66"/>
      <c r="R1870" s="66"/>
      <c r="S1870" s="66"/>
      <c r="T1870" s="66"/>
    </row>
    <row r="1871">
      <c r="A1871" s="66"/>
      <c r="B1871" s="66"/>
      <c r="C1871" s="66"/>
      <c r="D1871" s="66"/>
      <c r="E1871" s="15"/>
      <c r="F1871" s="66"/>
      <c r="G1871" s="18"/>
      <c r="H1871" s="15"/>
      <c r="I1871" s="18"/>
      <c r="J1871" s="22"/>
      <c r="K1871" s="108"/>
      <c r="L1871" s="66"/>
      <c r="M1871" s="66"/>
      <c r="N1871" s="66"/>
      <c r="O1871" s="66"/>
      <c r="P1871" s="66"/>
      <c r="Q1871" s="66"/>
      <c r="R1871" s="66"/>
      <c r="S1871" s="66"/>
      <c r="T1871" s="66"/>
    </row>
    <row r="1872">
      <c r="A1872" s="66"/>
      <c r="B1872" s="66"/>
      <c r="C1872" s="66"/>
      <c r="D1872" s="66"/>
      <c r="E1872" s="15"/>
      <c r="F1872" s="66"/>
      <c r="G1872" s="18"/>
      <c r="H1872" s="15"/>
      <c r="I1872" s="18"/>
      <c r="J1872" s="22"/>
      <c r="K1872" s="108"/>
      <c r="L1872" s="66"/>
      <c r="M1872" s="66"/>
      <c r="N1872" s="66"/>
      <c r="O1872" s="66"/>
      <c r="P1872" s="66"/>
      <c r="Q1872" s="66"/>
      <c r="R1872" s="66"/>
      <c r="S1872" s="66"/>
      <c r="T1872" s="66"/>
    </row>
    <row r="1873">
      <c r="A1873" s="66"/>
      <c r="B1873" s="66"/>
      <c r="C1873" s="66"/>
      <c r="D1873" s="66"/>
      <c r="E1873" s="15"/>
      <c r="F1873" s="66"/>
      <c r="G1873" s="18"/>
      <c r="H1873" s="15"/>
      <c r="I1873" s="18"/>
      <c r="J1873" s="22"/>
      <c r="K1873" s="108"/>
      <c r="L1873" s="66"/>
      <c r="M1873" s="66"/>
      <c r="N1873" s="66"/>
      <c r="O1873" s="66"/>
      <c r="P1873" s="66"/>
      <c r="Q1873" s="66"/>
      <c r="R1873" s="66"/>
      <c r="S1873" s="66"/>
      <c r="T1873" s="66"/>
    </row>
    <row r="1874">
      <c r="A1874" s="66"/>
      <c r="B1874" s="66"/>
      <c r="C1874" s="66"/>
      <c r="D1874" s="66"/>
      <c r="E1874" s="15"/>
      <c r="F1874" s="66"/>
      <c r="G1874" s="18"/>
      <c r="H1874" s="15"/>
      <c r="I1874" s="18"/>
      <c r="J1874" s="22"/>
      <c r="K1874" s="108"/>
      <c r="L1874" s="66"/>
      <c r="M1874" s="66"/>
      <c r="N1874" s="66"/>
      <c r="O1874" s="66"/>
      <c r="P1874" s="66"/>
      <c r="Q1874" s="66"/>
      <c r="R1874" s="66"/>
      <c r="S1874" s="66"/>
      <c r="T1874" s="66"/>
    </row>
    <row r="1875">
      <c r="A1875" s="66"/>
      <c r="B1875" s="66"/>
      <c r="C1875" s="66"/>
      <c r="D1875" s="66"/>
      <c r="E1875" s="15"/>
      <c r="F1875" s="66"/>
      <c r="G1875" s="18"/>
      <c r="H1875" s="15"/>
      <c r="I1875" s="18"/>
      <c r="J1875" s="22"/>
      <c r="K1875" s="108"/>
      <c r="L1875" s="66"/>
      <c r="M1875" s="66"/>
      <c r="N1875" s="66"/>
      <c r="O1875" s="66"/>
      <c r="P1875" s="66"/>
      <c r="Q1875" s="66"/>
      <c r="R1875" s="66"/>
      <c r="S1875" s="66"/>
      <c r="T1875" s="66"/>
    </row>
    <row r="1876">
      <c r="A1876" s="66"/>
      <c r="B1876" s="66"/>
      <c r="C1876" s="66"/>
      <c r="D1876" s="66"/>
      <c r="E1876" s="15"/>
      <c r="F1876" s="66"/>
      <c r="G1876" s="18"/>
      <c r="H1876" s="15"/>
      <c r="I1876" s="18"/>
      <c r="J1876" s="22"/>
      <c r="K1876" s="108"/>
      <c r="L1876" s="66"/>
      <c r="M1876" s="66"/>
      <c r="N1876" s="66"/>
      <c r="O1876" s="66"/>
      <c r="P1876" s="66"/>
      <c r="Q1876" s="66"/>
      <c r="R1876" s="66"/>
      <c r="S1876" s="66"/>
      <c r="T1876" s="66"/>
    </row>
    <row r="1877">
      <c r="A1877" s="66"/>
      <c r="B1877" s="66"/>
      <c r="C1877" s="66"/>
      <c r="D1877" s="66"/>
      <c r="E1877" s="15"/>
      <c r="F1877" s="66"/>
      <c r="G1877" s="18"/>
      <c r="H1877" s="15"/>
      <c r="I1877" s="18"/>
      <c r="J1877" s="22"/>
      <c r="K1877" s="108"/>
      <c r="L1877" s="66"/>
      <c r="M1877" s="66"/>
      <c r="N1877" s="66"/>
      <c r="O1877" s="66"/>
      <c r="P1877" s="66"/>
      <c r="Q1877" s="66"/>
      <c r="R1877" s="66"/>
      <c r="S1877" s="66"/>
      <c r="T1877" s="66"/>
    </row>
    <row r="1878">
      <c r="A1878" s="66"/>
      <c r="B1878" s="66"/>
      <c r="C1878" s="66"/>
      <c r="D1878" s="66"/>
      <c r="E1878" s="15"/>
      <c r="F1878" s="66"/>
      <c r="G1878" s="18"/>
      <c r="H1878" s="15"/>
      <c r="I1878" s="18"/>
      <c r="J1878" s="22"/>
      <c r="K1878" s="108"/>
      <c r="L1878" s="66"/>
      <c r="M1878" s="66"/>
      <c r="N1878" s="66"/>
      <c r="O1878" s="66"/>
      <c r="P1878" s="66"/>
      <c r="Q1878" s="66"/>
      <c r="R1878" s="66"/>
      <c r="S1878" s="66"/>
      <c r="T1878" s="66"/>
    </row>
    <row r="1879">
      <c r="A1879" s="66"/>
      <c r="B1879" s="66"/>
      <c r="C1879" s="66"/>
      <c r="D1879" s="66"/>
      <c r="E1879" s="15"/>
      <c r="F1879" s="66"/>
      <c r="G1879" s="18"/>
      <c r="H1879" s="15"/>
      <c r="I1879" s="18"/>
      <c r="J1879" s="22"/>
      <c r="K1879" s="108"/>
      <c r="L1879" s="66"/>
      <c r="M1879" s="66"/>
      <c r="N1879" s="66"/>
      <c r="O1879" s="66"/>
      <c r="P1879" s="66"/>
      <c r="Q1879" s="66"/>
      <c r="R1879" s="66"/>
      <c r="S1879" s="66"/>
      <c r="T1879" s="66"/>
    </row>
    <row r="1880">
      <c r="A1880" s="66"/>
      <c r="B1880" s="66"/>
      <c r="C1880" s="66"/>
      <c r="D1880" s="66"/>
      <c r="E1880" s="15"/>
      <c r="F1880" s="66"/>
      <c r="G1880" s="18"/>
      <c r="H1880" s="15"/>
      <c r="I1880" s="18"/>
      <c r="J1880" s="22"/>
      <c r="K1880" s="108"/>
      <c r="L1880" s="66"/>
      <c r="M1880" s="66"/>
      <c r="N1880" s="66"/>
      <c r="O1880" s="66"/>
      <c r="P1880" s="66"/>
      <c r="Q1880" s="66"/>
      <c r="R1880" s="66"/>
      <c r="S1880" s="66"/>
      <c r="T1880" s="66"/>
    </row>
    <row r="1881">
      <c r="A1881" s="66"/>
      <c r="B1881" s="66"/>
      <c r="C1881" s="66"/>
      <c r="D1881" s="66"/>
      <c r="E1881" s="15"/>
      <c r="F1881" s="66"/>
      <c r="G1881" s="18"/>
      <c r="H1881" s="15"/>
      <c r="I1881" s="18"/>
      <c r="J1881" s="22"/>
      <c r="K1881" s="108"/>
      <c r="L1881" s="66"/>
      <c r="M1881" s="66"/>
      <c r="N1881" s="66"/>
      <c r="O1881" s="66"/>
      <c r="P1881" s="66"/>
      <c r="Q1881" s="66"/>
      <c r="R1881" s="66"/>
      <c r="S1881" s="66"/>
      <c r="T1881" s="66"/>
    </row>
    <row r="1882">
      <c r="A1882" s="66"/>
      <c r="B1882" s="66"/>
      <c r="C1882" s="66"/>
      <c r="D1882" s="66"/>
      <c r="E1882" s="15"/>
      <c r="F1882" s="66"/>
      <c r="G1882" s="18"/>
      <c r="H1882" s="15"/>
      <c r="I1882" s="18"/>
      <c r="J1882" s="22"/>
      <c r="K1882" s="108"/>
      <c r="L1882" s="66"/>
      <c r="M1882" s="66"/>
      <c r="N1882" s="66"/>
      <c r="O1882" s="66"/>
      <c r="P1882" s="66"/>
      <c r="Q1882" s="66"/>
      <c r="R1882" s="66"/>
      <c r="S1882" s="66"/>
      <c r="T1882" s="66"/>
    </row>
    <row r="1883">
      <c r="A1883" s="66"/>
      <c r="B1883" s="66"/>
      <c r="C1883" s="66"/>
      <c r="D1883" s="66"/>
      <c r="E1883" s="15"/>
      <c r="F1883" s="66"/>
      <c r="G1883" s="18"/>
      <c r="H1883" s="15"/>
      <c r="I1883" s="18"/>
      <c r="J1883" s="22"/>
      <c r="K1883" s="108"/>
      <c r="L1883" s="66"/>
      <c r="M1883" s="66"/>
      <c r="N1883" s="66"/>
      <c r="O1883" s="66"/>
      <c r="P1883" s="66"/>
      <c r="Q1883" s="66"/>
      <c r="R1883" s="66"/>
      <c r="S1883" s="66"/>
      <c r="T1883" s="66"/>
    </row>
    <row r="1884">
      <c r="A1884" s="66"/>
      <c r="B1884" s="66"/>
      <c r="C1884" s="66"/>
      <c r="D1884" s="66"/>
      <c r="E1884" s="15"/>
      <c r="F1884" s="66"/>
      <c r="G1884" s="18"/>
      <c r="H1884" s="15"/>
      <c r="I1884" s="18"/>
      <c r="J1884" s="22"/>
      <c r="K1884" s="108"/>
      <c r="L1884" s="66"/>
      <c r="M1884" s="66"/>
      <c r="N1884" s="66"/>
      <c r="O1884" s="66"/>
      <c r="P1884" s="66"/>
      <c r="Q1884" s="66"/>
      <c r="R1884" s="66"/>
      <c r="S1884" s="66"/>
      <c r="T1884" s="66"/>
    </row>
    <row r="1885">
      <c r="A1885" s="66"/>
      <c r="B1885" s="66"/>
      <c r="C1885" s="66"/>
      <c r="D1885" s="66"/>
      <c r="E1885" s="15"/>
      <c r="F1885" s="66"/>
      <c r="G1885" s="18"/>
      <c r="H1885" s="15"/>
      <c r="I1885" s="18"/>
      <c r="J1885" s="22"/>
      <c r="K1885" s="108"/>
      <c r="L1885" s="66"/>
      <c r="M1885" s="66"/>
      <c r="N1885" s="66"/>
      <c r="O1885" s="66"/>
      <c r="P1885" s="66"/>
      <c r="Q1885" s="66"/>
      <c r="R1885" s="66"/>
      <c r="S1885" s="66"/>
      <c r="T1885" s="66"/>
    </row>
    <row r="1886">
      <c r="A1886" s="66"/>
      <c r="B1886" s="66"/>
      <c r="C1886" s="66"/>
      <c r="D1886" s="66"/>
      <c r="E1886" s="15"/>
      <c r="F1886" s="66"/>
      <c r="G1886" s="18"/>
      <c r="H1886" s="15"/>
      <c r="I1886" s="18"/>
      <c r="J1886" s="22"/>
      <c r="K1886" s="108"/>
      <c r="L1886" s="66"/>
      <c r="M1886" s="66"/>
      <c r="N1886" s="66"/>
      <c r="O1886" s="66"/>
      <c r="P1886" s="66"/>
      <c r="Q1886" s="66"/>
      <c r="R1886" s="66"/>
      <c r="S1886" s="66"/>
      <c r="T1886" s="66"/>
    </row>
    <row r="1887">
      <c r="A1887" s="66"/>
      <c r="B1887" s="66"/>
      <c r="C1887" s="66"/>
      <c r="D1887" s="66"/>
      <c r="E1887" s="15"/>
      <c r="F1887" s="66"/>
      <c r="G1887" s="18"/>
      <c r="H1887" s="15"/>
      <c r="I1887" s="18"/>
      <c r="J1887" s="22"/>
      <c r="K1887" s="108"/>
      <c r="L1887" s="66"/>
      <c r="M1887" s="66"/>
      <c r="N1887" s="66"/>
      <c r="O1887" s="66"/>
      <c r="P1887" s="66"/>
      <c r="Q1887" s="66"/>
      <c r="R1887" s="66"/>
      <c r="S1887" s="66"/>
      <c r="T1887" s="66"/>
    </row>
    <row r="1888">
      <c r="A1888" s="66"/>
      <c r="B1888" s="66"/>
      <c r="C1888" s="66"/>
      <c r="D1888" s="66"/>
      <c r="E1888" s="15"/>
      <c r="F1888" s="66"/>
      <c r="G1888" s="18"/>
      <c r="H1888" s="15"/>
      <c r="I1888" s="18"/>
      <c r="J1888" s="22"/>
      <c r="K1888" s="108"/>
      <c r="L1888" s="66"/>
      <c r="M1888" s="66"/>
      <c r="N1888" s="66"/>
      <c r="O1888" s="66"/>
      <c r="P1888" s="66"/>
      <c r="Q1888" s="66"/>
      <c r="R1888" s="66"/>
      <c r="S1888" s="66"/>
      <c r="T1888" s="66"/>
    </row>
    <row r="1889">
      <c r="A1889" s="66"/>
      <c r="B1889" s="66"/>
      <c r="C1889" s="66"/>
      <c r="D1889" s="66"/>
      <c r="E1889" s="15"/>
      <c r="F1889" s="66"/>
      <c r="G1889" s="18"/>
      <c r="H1889" s="15"/>
      <c r="I1889" s="18"/>
      <c r="J1889" s="22"/>
      <c r="K1889" s="108"/>
      <c r="L1889" s="66"/>
      <c r="M1889" s="66"/>
      <c r="N1889" s="66"/>
      <c r="O1889" s="66"/>
      <c r="P1889" s="66"/>
      <c r="Q1889" s="66"/>
      <c r="R1889" s="66"/>
      <c r="S1889" s="66"/>
      <c r="T1889" s="66"/>
    </row>
    <row r="1890">
      <c r="A1890" s="66"/>
      <c r="B1890" s="66"/>
      <c r="C1890" s="66"/>
      <c r="D1890" s="66"/>
      <c r="E1890" s="15"/>
      <c r="F1890" s="66"/>
      <c r="G1890" s="18"/>
      <c r="H1890" s="15"/>
      <c r="I1890" s="18"/>
      <c r="J1890" s="22"/>
      <c r="K1890" s="108"/>
      <c r="L1890" s="66"/>
      <c r="M1890" s="66"/>
      <c r="N1890" s="66"/>
      <c r="O1890" s="66"/>
      <c r="P1890" s="66"/>
      <c r="Q1890" s="66"/>
      <c r="R1890" s="66"/>
      <c r="S1890" s="66"/>
      <c r="T1890" s="66"/>
    </row>
    <row r="1891">
      <c r="A1891" s="66"/>
      <c r="B1891" s="66"/>
      <c r="C1891" s="66"/>
      <c r="D1891" s="66"/>
      <c r="E1891" s="15"/>
      <c r="F1891" s="66"/>
      <c r="G1891" s="18"/>
      <c r="H1891" s="15"/>
      <c r="I1891" s="18"/>
      <c r="J1891" s="22"/>
      <c r="K1891" s="108"/>
      <c r="L1891" s="66"/>
      <c r="M1891" s="66"/>
      <c r="N1891" s="66"/>
      <c r="O1891" s="66"/>
      <c r="P1891" s="66"/>
      <c r="Q1891" s="66"/>
      <c r="R1891" s="66"/>
      <c r="S1891" s="66"/>
      <c r="T1891" s="66"/>
    </row>
    <row r="1892">
      <c r="A1892" s="66"/>
      <c r="B1892" s="66"/>
      <c r="C1892" s="66"/>
      <c r="D1892" s="66"/>
      <c r="E1892" s="15"/>
      <c r="F1892" s="66"/>
      <c r="G1892" s="18"/>
      <c r="H1892" s="15"/>
      <c r="I1892" s="18"/>
      <c r="J1892" s="22"/>
      <c r="K1892" s="108"/>
      <c r="L1892" s="66"/>
      <c r="M1892" s="66"/>
      <c r="N1892" s="66"/>
      <c r="O1892" s="66"/>
      <c r="P1892" s="66"/>
      <c r="Q1892" s="66"/>
      <c r="R1892" s="66"/>
      <c r="S1892" s="66"/>
      <c r="T1892" s="66"/>
    </row>
    <row r="1893">
      <c r="A1893" s="66"/>
      <c r="B1893" s="66"/>
      <c r="C1893" s="66"/>
      <c r="D1893" s="66"/>
      <c r="E1893" s="15"/>
      <c r="F1893" s="66"/>
      <c r="G1893" s="18"/>
      <c r="H1893" s="15"/>
      <c r="I1893" s="18"/>
      <c r="J1893" s="22"/>
      <c r="K1893" s="108"/>
      <c r="L1893" s="66"/>
      <c r="M1893" s="66"/>
      <c r="N1893" s="66"/>
      <c r="O1893" s="66"/>
      <c r="P1893" s="66"/>
      <c r="Q1893" s="66"/>
      <c r="R1893" s="66"/>
      <c r="S1893" s="66"/>
      <c r="T1893" s="66"/>
    </row>
    <row r="1894">
      <c r="A1894" s="66"/>
      <c r="B1894" s="66"/>
      <c r="C1894" s="66"/>
      <c r="D1894" s="66"/>
      <c r="E1894" s="15"/>
      <c r="F1894" s="66"/>
      <c r="G1894" s="18"/>
      <c r="H1894" s="15"/>
      <c r="I1894" s="18"/>
      <c r="J1894" s="22"/>
      <c r="K1894" s="108"/>
      <c r="L1894" s="66"/>
      <c r="M1894" s="66"/>
      <c r="N1894" s="66"/>
      <c r="O1894" s="66"/>
      <c r="P1894" s="66"/>
      <c r="Q1894" s="66"/>
      <c r="R1894" s="66"/>
      <c r="S1894" s="66"/>
      <c r="T1894" s="66"/>
    </row>
    <row r="1895">
      <c r="A1895" s="66"/>
      <c r="B1895" s="66"/>
      <c r="C1895" s="66"/>
      <c r="D1895" s="66"/>
      <c r="E1895" s="15"/>
      <c r="F1895" s="66"/>
      <c r="G1895" s="18"/>
      <c r="H1895" s="15"/>
      <c r="I1895" s="18"/>
      <c r="J1895" s="22"/>
      <c r="K1895" s="108"/>
      <c r="L1895" s="66"/>
      <c r="M1895" s="66"/>
      <c r="N1895" s="66"/>
      <c r="O1895" s="66"/>
      <c r="P1895" s="66"/>
      <c r="Q1895" s="66"/>
      <c r="R1895" s="66"/>
      <c r="S1895" s="66"/>
      <c r="T1895" s="66"/>
    </row>
    <row r="1896">
      <c r="A1896" s="66"/>
      <c r="B1896" s="66"/>
      <c r="C1896" s="66"/>
      <c r="D1896" s="66"/>
      <c r="E1896" s="15"/>
      <c r="F1896" s="66"/>
      <c r="G1896" s="18"/>
      <c r="H1896" s="15"/>
      <c r="I1896" s="18"/>
      <c r="J1896" s="22"/>
      <c r="K1896" s="108"/>
      <c r="L1896" s="66"/>
      <c r="M1896" s="66"/>
      <c r="N1896" s="66"/>
      <c r="O1896" s="66"/>
      <c r="P1896" s="66"/>
      <c r="Q1896" s="66"/>
      <c r="R1896" s="66"/>
      <c r="S1896" s="66"/>
      <c r="T1896" s="66"/>
    </row>
    <row r="1897">
      <c r="A1897" s="66"/>
      <c r="B1897" s="66"/>
      <c r="C1897" s="66"/>
      <c r="D1897" s="66"/>
      <c r="E1897" s="15"/>
      <c r="F1897" s="66"/>
      <c r="G1897" s="18"/>
      <c r="H1897" s="15"/>
      <c r="I1897" s="18"/>
      <c r="J1897" s="22"/>
      <c r="K1897" s="108"/>
      <c r="L1897" s="66"/>
      <c r="M1897" s="66"/>
      <c r="N1897" s="66"/>
      <c r="O1897" s="66"/>
      <c r="P1897" s="66"/>
      <c r="Q1897" s="66"/>
      <c r="R1897" s="66"/>
      <c r="S1897" s="66"/>
      <c r="T1897" s="66"/>
    </row>
    <row r="1898">
      <c r="A1898" s="66"/>
      <c r="B1898" s="66"/>
      <c r="C1898" s="66"/>
      <c r="D1898" s="66"/>
      <c r="E1898" s="15"/>
      <c r="F1898" s="66"/>
      <c r="G1898" s="18"/>
      <c r="H1898" s="15"/>
      <c r="I1898" s="18"/>
      <c r="J1898" s="22"/>
      <c r="K1898" s="108"/>
      <c r="L1898" s="66"/>
      <c r="M1898" s="66"/>
      <c r="N1898" s="66"/>
      <c r="O1898" s="66"/>
      <c r="P1898" s="66"/>
      <c r="Q1898" s="66"/>
      <c r="R1898" s="66"/>
      <c r="S1898" s="66"/>
      <c r="T1898" s="66"/>
    </row>
    <row r="1899">
      <c r="A1899" s="66"/>
      <c r="B1899" s="66"/>
      <c r="C1899" s="66"/>
      <c r="D1899" s="66"/>
      <c r="E1899" s="15"/>
      <c r="F1899" s="66"/>
      <c r="G1899" s="18"/>
      <c r="H1899" s="15"/>
      <c r="I1899" s="18"/>
      <c r="J1899" s="22"/>
      <c r="K1899" s="108"/>
      <c r="L1899" s="66"/>
      <c r="M1899" s="66"/>
      <c r="N1899" s="66"/>
      <c r="O1899" s="66"/>
      <c r="P1899" s="66"/>
      <c r="Q1899" s="66"/>
      <c r="R1899" s="66"/>
      <c r="S1899" s="66"/>
      <c r="T1899" s="66"/>
    </row>
    <row r="1900">
      <c r="A1900" s="66"/>
      <c r="B1900" s="66"/>
      <c r="C1900" s="66"/>
      <c r="D1900" s="66"/>
      <c r="E1900" s="15"/>
      <c r="F1900" s="66"/>
      <c r="G1900" s="18"/>
      <c r="H1900" s="15"/>
      <c r="I1900" s="18"/>
      <c r="J1900" s="22"/>
      <c r="K1900" s="108"/>
      <c r="L1900" s="66"/>
      <c r="M1900" s="66"/>
      <c r="N1900" s="66"/>
      <c r="O1900" s="66"/>
      <c r="P1900" s="66"/>
      <c r="Q1900" s="66"/>
      <c r="R1900" s="66"/>
      <c r="S1900" s="66"/>
      <c r="T1900" s="66"/>
    </row>
    <row r="1901">
      <c r="A1901" s="66"/>
      <c r="B1901" s="66"/>
      <c r="C1901" s="66"/>
      <c r="D1901" s="66"/>
      <c r="E1901" s="15"/>
      <c r="F1901" s="66"/>
      <c r="G1901" s="18"/>
      <c r="H1901" s="15"/>
      <c r="I1901" s="18"/>
      <c r="J1901" s="22"/>
      <c r="K1901" s="108"/>
      <c r="L1901" s="66"/>
      <c r="M1901" s="66"/>
      <c r="N1901" s="66"/>
      <c r="O1901" s="66"/>
      <c r="P1901" s="66"/>
      <c r="Q1901" s="66"/>
      <c r="R1901" s="66"/>
      <c r="S1901" s="66"/>
      <c r="T1901" s="66"/>
    </row>
    <row r="1902">
      <c r="A1902" s="66"/>
      <c r="B1902" s="66"/>
      <c r="C1902" s="66"/>
      <c r="D1902" s="66"/>
      <c r="E1902" s="15"/>
      <c r="F1902" s="66"/>
      <c r="G1902" s="18"/>
      <c r="H1902" s="15"/>
      <c r="I1902" s="18"/>
      <c r="J1902" s="22"/>
      <c r="K1902" s="108"/>
      <c r="L1902" s="66"/>
      <c r="M1902" s="66"/>
      <c r="N1902" s="66"/>
      <c r="O1902" s="66"/>
      <c r="P1902" s="66"/>
      <c r="Q1902" s="66"/>
      <c r="R1902" s="66"/>
      <c r="S1902" s="66"/>
      <c r="T1902" s="66"/>
    </row>
    <row r="1903">
      <c r="A1903" s="66"/>
      <c r="B1903" s="66"/>
      <c r="C1903" s="66"/>
      <c r="D1903" s="66"/>
      <c r="E1903" s="15"/>
      <c r="F1903" s="66"/>
      <c r="G1903" s="18"/>
      <c r="H1903" s="15"/>
      <c r="I1903" s="18"/>
      <c r="J1903" s="22"/>
      <c r="K1903" s="108"/>
      <c r="L1903" s="66"/>
      <c r="M1903" s="66"/>
      <c r="N1903" s="66"/>
      <c r="O1903" s="66"/>
      <c r="P1903" s="66"/>
      <c r="Q1903" s="66"/>
      <c r="R1903" s="66"/>
      <c r="S1903" s="66"/>
      <c r="T1903" s="66"/>
    </row>
    <row r="1904">
      <c r="A1904" s="66"/>
      <c r="B1904" s="66"/>
      <c r="C1904" s="66"/>
      <c r="D1904" s="66"/>
      <c r="E1904" s="15"/>
      <c r="F1904" s="66"/>
      <c r="G1904" s="18"/>
      <c r="H1904" s="15"/>
      <c r="I1904" s="18"/>
      <c r="J1904" s="22"/>
      <c r="K1904" s="108"/>
      <c r="L1904" s="66"/>
      <c r="M1904" s="66"/>
      <c r="N1904" s="66"/>
      <c r="O1904" s="66"/>
      <c r="P1904" s="66"/>
      <c r="Q1904" s="66"/>
      <c r="R1904" s="66"/>
      <c r="S1904" s="66"/>
      <c r="T1904" s="66"/>
    </row>
    <row r="1905">
      <c r="A1905" s="66"/>
      <c r="B1905" s="66"/>
      <c r="C1905" s="66"/>
      <c r="D1905" s="66"/>
      <c r="E1905" s="15"/>
      <c r="F1905" s="66"/>
      <c r="G1905" s="18"/>
      <c r="H1905" s="15"/>
      <c r="I1905" s="18"/>
      <c r="J1905" s="22"/>
      <c r="K1905" s="108"/>
      <c r="L1905" s="66"/>
      <c r="M1905" s="66"/>
      <c r="N1905" s="66"/>
      <c r="O1905" s="66"/>
      <c r="P1905" s="66"/>
      <c r="Q1905" s="66"/>
      <c r="R1905" s="66"/>
      <c r="S1905" s="66"/>
      <c r="T1905" s="66"/>
    </row>
    <row r="1906">
      <c r="A1906" s="66"/>
      <c r="B1906" s="66"/>
      <c r="C1906" s="66"/>
      <c r="D1906" s="66"/>
      <c r="E1906" s="15"/>
      <c r="F1906" s="66"/>
      <c r="G1906" s="18"/>
      <c r="H1906" s="15"/>
      <c r="I1906" s="18"/>
      <c r="J1906" s="22"/>
      <c r="K1906" s="108"/>
      <c r="L1906" s="66"/>
      <c r="M1906" s="66"/>
      <c r="N1906" s="66"/>
      <c r="O1906" s="66"/>
      <c r="P1906" s="66"/>
      <c r="Q1906" s="66"/>
      <c r="R1906" s="66"/>
      <c r="S1906" s="66"/>
      <c r="T1906" s="66"/>
    </row>
    <row r="1907">
      <c r="A1907" s="66"/>
      <c r="B1907" s="66"/>
      <c r="C1907" s="66"/>
      <c r="D1907" s="66"/>
      <c r="E1907" s="15"/>
      <c r="F1907" s="66"/>
      <c r="G1907" s="18"/>
      <c r="H1907" s="15"/>
      <c r="I1907" s="18"/>
      <c r="J1907" s="22"/>
      <c r="K1907" s="108"/>
      <c r="L1907" s="66"/>
      <c r="M1907" s="66"/>
      <c r="N1907" s="66"/>
      <c r="O1907" s="66"/>
      <c r="P1907" s="66"/>
      <c r="Q1907" s="66"/>
      <c r="R1907" s="66"/>
      <c r="S1907" s="66"/>
      <c r="T1907" s="66"/>
    </row>
    <row r="1908">
      <c r="A1908" s="66"/>
      <c r="B1908" s="66"/>
      <c r="C1908" s="66"/>
      <c r="D1908" s="66"/>
      <c r="E1908" s="15"/>
      <c r="F1908" s="66"/>
      <c r="G1908" s="18"/>
      <c r="H1908" s="15"/>
      <c r="I1908" s="18"/>
      <c r="J1908" s="22"/>
      <c r="K1908" s="108"/>
      <c r="L1908" s="66"/>
      <c r="M1908" s="66"/>
      <c r="N1908" s="66"/>
      <c r="O1908" s="66"/>
      <c r="P1908" s="66"/>
      <c r="Q1908" s="66"/>
      <c r="R1908" s="66"/>
      <c r="S1908" s="66"/>
      <c r="T1908" s="66"/>
    </row>
    <row r="1909">
      <c r="A1909" s="66"/>
      <c r="B1909" s="66"/>
      <c r="C1909" s="66"/>
      <c r="D1909" s="66"/>
      <c r="E1909" s="15"/>
      <c r="F1909" s="66"/>
      <c r="G1909" s="18"/>
      <c r="H1909" s="15"/>
      <c r="I1909" s="18"/>
      <c r="J1909" s="22"/>
      <c r="K1909" s="108"/>
      <c r="L1909" s="66"/>
      <c r="M1909" s="66"/>
      <c r="N1909" s="66"/>
      <c r="O1909" s="66"/>
      <c r="P1909" s="66"/>
      <c r="Q1909" s="66"/>
      <c r="R1909" s="66"/>
      <c r="S1909" s="66"/>
      <c r="T1909" s="66"/>
    </row>
    <row r="1910">
      <c r="A1910" s="66"/>
      <c r="B1910" s="66"/>
      <c r="C1910" s="66"/>
      <c r="D1910" s="66"/>
      <c r="E1910" s="15"/>
      <c r="F1910" s="66"/>
      <c r="G1910" s="18"/>
      <c r="H1910" s="15"/>
      <c r="I1910" s="18"/>
      <c r="J1910" s="22"/>
      <c r="K1910" s="108"/>
      <c r="L1910" s="66"/>
      <c r="M1910" s="66"/>
      <c r="N1910" s="66"/>
      <c r="O1910" s="66"/>
      <c r="P1910" s="66"/>
      <c r="Q1910" s="66"/>
      <c r="R1910" s="66"/>
      <c r="S1910" s="66"/>
      <c r="T1910" s="66"/>
    </row>
    <row r="1911">
      <c r="A1911" s="66"/>
      <c r="B1911" s="66"/>
      <c r="C1911" s="66"/>
      <c r="D1911" s="66"/>
      <c r="E1911" s="15"/>
      <c r="F1911" s="66"/>
      <c r="G1911" s="18"/>
      <c r="H1911" s="15"/>
      <c r="I1911" s="18"/>
      <c r="J1911" s="22"/>
      <c r="K1911" s="108"/>
      <c r="L1911" s="66"/>
      <c r="M1911" s="66"/>
      <c r="N1911" s="66"/>
      <c r="O1911" s="66"/>
      <c r="P1911" s="66"/>
      <c r="Q1911" s="66"/>
      <c r="R1911" s="66"/>
      <c r="S1911" s="66"/>
      <c r="T1911" s="66"/>
    </row>
    <row r="1912">
      <c r="A1912" s="66"/>
      <c r="B1912" s="66"/>
      <c r="C1912" s="66"/>
      <c r="D1912" s="66"/>
      <c r="E1912" s="15"/>
      <c r="F1912" s="66"/>
      <c r="G1912" s="18"/>
      <c r="H1912" s="15"/>
      <c r="I1912" s="18"/>
      <c r="J1912" s="22"/>
      <c r="K1912" s="108"/>
      <c r="L1912" s="66"/>
      <c r="M1912" s="66"/>
      <c r="N1912" s="66"/>
      <c r="O1912" s="66"/>
      <c r="P1912" s="66"/>
      <c r="Q1912" s="66"/>
      <c r="R1912" s="66"/>
      <c r="S1912" s="66"/>
      <c r="T1912" s="66"/>
    </row>
    <row r="1913">
      <c r="A1913" s="66"/>
      <c r="B1913" s="66"/>
      <c r="C1913" s="66"/>
      <c r="D1913" s="66"/>
      <c r="E1913" s="15"/>
      <c r="F1913" s="66"/>
      <c r="G1913" s="18"/>
      <c r="H1913" s="15"/>
      <c r="I1913" s="18"/>
      <c r="J1913" s="22"/>
      <c r="K1913" s="108"/>
      <c r="L1913" s="66"/>
      <c r="M1913" s="66"/>
      <c r="N1913" s="66"/>
      <c r="O1913" s="66"/>
      <c r="P1913" s="66"/>
      <c r="Q1913" s="66"/>
      <c r="R1913" s="66"/>
      <c r="S1913" s="66"/>
      <c r="T1913" s="66"/>
    </row>
    <row r="1914">
      <c r="A1914" s="66"/>
      <c r="B1914" s="66"/>
      <c r="C1914" s="66"/>
      <c r="D1914" s="66"/>
      <c r="E1914" s="15"/>
      <c r="F1914" s="66"/>
      <c r="G1914" s="18"/>
      <c r="H1914" s="15"/>
      <c r="I1914" s="18"/>
      <c r="J1914" s="22"/>
      <c r="K1914" s="108"/>
      <c r="L1914" s="66"/>
      <c r="M1914" s="66"/>
      <c r="N1914" s="66"/>
      <c r="O1914" s="66"/>
      <c r="P1914" s="66"/>
      <c r="Q1914" s="66"/>
      <c r="R1914" s="66"/>
      <c r="S1914" s="66"/>
      <c r="T1914" s="66"/>
    </row>
    <row r="1915">
      <c r="A1915" s="66"/>
      <c r="B1915" s="66"/>
      <c r="C1915" s="66"/>
      <c r="D1915" s="66"/>
      <c r="E1915" s="15"/>
      <c r="F1915" s="66"/>
      <c r="G1915" s="18"/>
      <c r="H1915" s="15"/>
      <c r="I1915" s="18"/>
      <c r="J1915" s="22"/>
      <c r="K1915" s="108"/>
      <c r="L1915" s="66"/>
      <c r="M1915" s="66"/>
      <c r="N1915" s="66"/>
      <c r="O1915" s="66"/>
      <c r="P1915" s="66"/>
      <c r="Q1915" s="66"/>
      <c r="R1915" s="66"/>
      <c r="S1915" s="66"/>
      <c r="T1915" s="66"/>
    </row>
    <row r="1916">
      <c r="A1916" s="66"/>
      <c r="B1916" s="66"/>
      <c r="C1916" s="66"/>
      <c r="D1916" s="66"/>
      <c r="E1916" s="15"/>
      <c r="F1916" s="66"/>
      <c r="G1916" s="18"/>
      <c r="H1916" s="15"/>
      <c r="I1916" s="18"/>
      <c r="J1916" s="22"/>
      <c r="K1916" s="108"/>
      <c r="L1916" s="66"/>
      <c r="M1916" s="66"/>
      <c r="N1916" s="66"/>
      <c r="O1916" s="66"/>
      <c r="P1916" s="66"/>
      <c r="Q1916" s="66"/>
      <c r="R1916" s="66"/>
      <c r="S1916" s="66"/>
      <c r="T1916" s="66"/>
    </row>
    <row r="1917">
      <c r="A1917" s="66"/>
      <c r="B1917" s="66"/>
      <c r="C1917" s="66"/>
      <c r="D1917" s="66"/>
      <c r="E1917" s="15"/>
      <c r="F1917" s="66"/>
      <c r="G1917" s="18"/>
      <c r="H1917" s="15"/>
      <c r="I1917" s="18"/>
      <c r="J1917" s="22"/>
      <c r="K1917" s="108"/>
      <c r="L1917" s="66"/>
      <c r="M1917" s="66"/>
      <c r="N1917" s="66"/>
      <c r="O1917" s="66"/>
      <c r="P1917" s="66"/>
      <c r="Q1917" s="66"/>
      <c r="R1917" s="66"/>
      <c r="S1917" s="66"/>
      <c r="T1917" s="66"/>
    </row>
    <row r="1918">
      <c r="A1918" s="66"/>
      <c r="B1918" s="66"/>
      <c r="C1918" s="66"/>
      <c r="D1918" s="66"/>
      <c r="E1918" s="15"/>
      <c r="F1918" s="66"/>
      <c r="G1918" s="18"/>
      <c r="H1918" s="15"/>
      <c r="I1918" s="18"/>
      <c r="J1918" s="22"/>
      <c r="K1918" s="108"/>
      <c r="L1918" s="66"/>
      <c r="M1918" s="66"/>
      <c r="N1918" s="66"/>
      <c r="O1918" s="66"/>
      <c r="P1918" s="66"/>
      <c r="Q1918" s="66"/>
      <c r="R1918" s="66"/>
      <c r="S1918" s="66"/>
      <c r="T1918" s="66"/>
    </row>
    <row r="1919">
      <c r="A1919" s="66"/>
      <c r="B1919" s="66"/>
      <c r="C1919" s="66"/>
      <c r="D1919" s="66"/>
      <c r="E1919" s="15"/>
      <c r="F1919" s="66"/>
      <c r="G1919" s="18"/>
      <c r="H1919" s="15"/>
      <c r="I1919" s="18"/>
      <c r="J1919" s="22"/>
      <c r="K1919" s="108"/>
      <c r="L1919" s="66"/>
      <c r="M1919" s="66"/>
      <c r="N1919" s="66"/>
      <c r="O1919" s="66"/>
      <c r="P1919" s="66"/>
      <c r="Q1919" s="66"/>
      <c r="R1919" s="66"/>
      <c r="S1919" s="66"/>
      <c r="T1919" s="66"/>
    </row>
    <row r="1920">
      <c r="A1920" s="66"/>
      <c r="B1920" s="66"/>
      <c r="C1920" s="66"/>
      <c r="D1920" s="66"/>
      <c r="E1920" s="15"/>
      <c r="F1920" s="66"/>
      <c r="G1920" s="18"/>
      <c r="H1920" s="15"/>
      <c r="I1920" s="18"/>
      <c r="J1920" s="22"/>
      <c r="K1920" s="108"/>
      <c r="L1920" s="66"/>
      <c r="M1920" s="66"/>
      <c r="N1920" s="66"/>
      <c r="O1920" s="66"/>
      <c r="P1920" s="66"/>
      <c r="Q1920" s="66"/>
      <c r="R1920" s="66"/>
      <c r="S1920" s="66"/>
      <c r="T1920" s="66"/>
    </row>
    <row r="1921">
      <c r="A1921" s="66"/>
      <c r="B1921" s="66"/>
      <c r="C1921" s="66"/>
      <c r="D1921" s="66"/>
      <c r="E1921" s="15"/>
      <c r="F1921" s="66"/>
      <c r="G1921" s="18"/>
      <c r="H1921" s="15"/>
      <c r="I1921" s="18"/>
      <c r="J1921" s="22"/>
      <c r="K1921" s="108"/>
      <c r="L1921" s="66"/>
      <c r="M1921" s="66"/>
      <c r="N1921" s="66"/>
      <c r="O1921" s="66"/>
      <c r="P1921" s="66"/>
      <c r="Q1921" s="66"/>
      <c r="R1921" s="66"/>
      <c r="S1921" s="66"/>
      <c r="T1921" s="66"/>
    </row>
    <row r="1922">
      <c r="A1922" s="66"/>
      <c r="B1922" s="66"/>
      <c r="C1922" s="66"/>
      <c r="D1922" s="66"/>
      <c r="E1922" s="15"/>
      <c r="F1922" s="66"/>
      <c r="G1922" s="18"/>
      <c r="H1922" s="15"/>
      <c r="I1922" s="18"/>
      <c r="J1922" s="22"/>
      <c r="K1922" s="108"/>
      <c r="L1922" s="66"/>
      <c r="M1922" s="66"/>
      <c r="N1922" s="66"/>
      <c r="O1922" s="66"/>
      <c r="P1922" s="66"/>
      <c r="Q1922" s="66"/>
      <c r="R1922" s="66"/>
      <c r="S1922" s="66"/>
      <c r="T1922" s="66"/>
    </row>
    <row r="1923">
      <c r="A1923" s="66"/>
      <c r="B1923" s="66"/>
      <c r="C1923" s="66"/>
      <c r="D1923" s="66"/>
      <c r="E1923" s="15"/>
      <c r="F1923" s="66"/>
      <c r="G1923" s="18"/>
      <c r="H1923" s="15"/>
      <c r="I1923" s="18"/>
      <c r="J1923" s="22"/>
      <c r="K1923" s="108"/>
      <c r="L1923" s="66"/>
      <c r="M1923" s="66"/>
      <c r="N1923" s="66"/>
      <c r="O1923" s="66"/>
      <c r="P1923" s="66"/>
      <c r="Q1923" s="66"/>
      <c r="R1923" s="66"/>
      <c r="S1923" s="66"/>
      <c r="T1923" s="66"/>
    </row>
    <row r="1924">
      <c r="A1924" s="66"/>
      <c r="B1924" s="66"/>
      <c r="C1924" s="66"/>
      <c r="D1924" s="66"/>
      <c r="E1924" s="15"/>
      <c r="F1924" s="66"/>
      <c r="G1924" s="18"/>
      <c r="H1924" s="15"/>
      <c r="I1924" s="18"/>
      <c r="J1924" s="22"/>
      <c r="K1924" s="108"/>
      <c r="L1924" s="66"/>
      <c r="M1924" s="66"/>
      <c r="N1924" s="66"/>
      <c r="O1924" s="66"/>
      <c r="P1924" s="66"/>
      <c r="Q1924" s="66"/>
      <c r="R1924" s="66"/>
      <c r="S1924" s="66"/>
      <c r="T1924" s="66"/>
    </row>
    <row r="1925">
      <c r="A1925" s="66"/>
      <c r="B1925" s="66"/>
      <c r="C1925" s="66"/>
      <c r="D1925" s="66"/>
      <c r="E1925" s="15"/>
      <c r="F1925" s="66"/>
      <c r="G1925" s="18"/>
      <c r="H1925" s="15"/>
      <c r="I1925" s="18"/>
      <c r="J1925" s="22"/>
      <c r="K1925" s="108"/>
      <c r="L1925" s="66"/>
      <c r="M1925" s="66"/>
      <c r="N1925" s="66"/>
      <c r="O1925" s="66"/>
      <c r="P1925" s="66"/>
      <c r="Q1925" s="66"/>
      <c r="R1925" s="66"/>
      <c r="S1925" s="66"/>
      <c r="T1925" s="66"/>
    </row>
    <row r="1926">
      <c r="A1926" s="66"/>
      <c r="B1926" s="66"/>
      <c r="C1926" s="66"/>
      <c r="D1926" s="66"/>
      <c r="E1926" s="15"/>
      <c r="F1926" s="66"/>
      <c r="G1926" s="18"/>
      <c r="H1926" s="15"/>
      <c r="I1926" s="18"/>
      <c r="J1926" s="22"/>
      <c r="K1926" s="108"/>
      <c r="L1926" s="66"/>
      <c r="M1926" s="66"/>
      <c r="N1926" s="66"/>
      <c r="O1926" s="66"/>
      <c r="P1926" s="66"/>
      <c r="Q1926" s="66"/>
      <c r="R1926" s="66"/>
      <c r="S1926" s="66"/>
      <c r="T1926" s="66"/>
    </row>
    <row r="1927">
      <c r="A1927" s="66"/>
      <c r="B1927" s="66"/>
      <c r="C1927" s="66"/>
      <c r="D1927" s="66"/>
      <c r="E1927" s="15"/>
      <c r="F1927" s="66"/>
      <c r="G1927" s="18"/>
      <c r="H1927" s="15"/>
      <c r="I1927" s="18"/>
      <c r="J1927" s="22"/>
      <c r="K1927" s="108"/>
      <c r="L1927" s="66"/>
      <c r="M1927" s="66"/>
      <c r="N1927" s="66"/>
      <c r="O1927" s="66"/>
      <c r="P1927" s="66"/>
      <c r="Q1927" s="66"/>
      <c r="R1927" s="66"/>
      <c r="S1927" s="66"/>
      <c r="T1927" s="66"/>
    </row>
    <row r="1928">
      <c r="A1928" s="66"/>
      <c r="B1928" s="66"/>
      <c r="C1928" s="66"/>
      <c r="D1928" s="66"/>
      <c r="E1928" s="15"/>
      <c r="F1928" s="66"/>
      <c r="G1928" s="18"/>
      <c r="H1928" s="15"/>
      <c r="I1928" s="18"/>
      <c r="J1928" s="22"/>
      <c r="K1928" s="108"/>
      <c r="L1928" s="66"/>
      <c r="M1928" s="66"/>
      <c r="N1928" s="66"/>
      <c r="O1928" s="66"/>
      <c r="P1928" s="66"/>
      <c r="Q1928" s="66"/>
      <c r="R1928" s="66"/>
      <c r="S1928" s="66"/>
      <c r="T1928" s="66"/>
    </row>
    <row r="1929">
      <c r="A1929" s="66"/>
      <c r="B1929" s="66"/>
      <c r="C1929" s="66"/>
      <c r="D1929" s="66"/>
      <c r="E1929" s="15"/>
      <c r="F1929" s="66"/>
      <c r="G1929" s="18"/>
      <c r="H1929" s="15"/>
      <c r="I1929" s="18"/>
      <c r="J1929" s="22"/>
      <c r="K1929" s="108"/>
      <c r="L1929" s="66"/>
      <c r="M1929" s="66"/>
      <c r="N1929" s="66"/>
      <c r="O1929" s="66"/>
      <c r="P1929" s="66"/>
      <c r="Q1929" s="66"/>
      <c r="R1929" s="66"/>
      <c r="S1929" s="66"/>
      <c r="T1929" s="66"/>
    </row>
    <row r="1930">
      <c r="A1930" s="66"/>
      <c r="B1930" s="66"/>
      <c r="C1930" s="66"/>
      <c r="D1930" s="66"/>
      <c r="E1930" s="15"/>
      <c r="F1930" s="66"/>
      <c r="G1930" s="18"/>
      <c r="H1930" s="15"/>
      <c r="I1930" s="18"/>
      <c r="J1930" s="22"/>
      <c r="K1930" s="108"/>
      <c r="L1930" s="66"/>
      <c r="M1930" s="66"/>
      <c r="N1930" s="66"/>
      <c r="O1930" s="66"/>
      <c r="P1930" s="66"/>
      <c r="Q1930" s="66"/>
      <c r="R1930" s="66"/>
      <c r="S1930" s="66"/>
      <c r="T1930" s="66"/>
    </row>
    <row r="1931">
      <c r="A1931" s="66"/>
      <c r="B1931" s="66"/>
      <c r="C1931" s="66"/>
      <c r="D1931" s="66"/>
      <c r="E1931" s="15"/>
      <c r="F1931" s="66"/>
      <c r="G1931" s="18"/>
      <c r="H1931" s="15"/>
      <c r="I1931" s="18"/>
      <c r="J1931" s="22"/>
      <c r="K1931" s="108"/>
      <c r="L1931" s="66"/>
      <c r="M1931" s="66"/>
      <c r="N1931" s="66"/>
      <c r="O1931" s="66"/>
      <c r="P1931" s="66"/>
      <c r="Q1931" s="66"/>
      <c r="R1931" s="66"/>
      <c r="S1931" s="66"/>
      <c r="T1931" s="66"/>
    </row>
    <row r="1932">
      <c r="A1932" s="66"/>
      <c r="B1932" s="66"/>
      <c r="C1932" s="66"/>
      <c r="D1932" s="66"/>
      <c r="E1932" s="15"/>
      <c r="F1932" s="66"/>
      <c r="G1932" s="18"/>
      <c r="H1932" s="15"/>
      <c r="I1932" s="18"/>
      <c r="J1932" s="22"/>
      <c r="K1932" s="108"/>
      <c r="L1932" s="66"/>
      <c r="M1932" s="66"/>
      <c r="N1932" s="66"/>
      <c r="O1932" s="66"/>
      <c r="P1932" s="66"/>
      <c r="Q1932" s="66"/>
      <c r="R1932" s="66"/>
      <c r="S1932" s="66"/>
      <c r="T1932" s="66"/>
    </row>
    <row r="1933">
      <c r="A1933" s="66"/>
      <c r="B1933" s="66"/>
      <c r="C1933" s="66"/>
      <c r="D1933" s="66"/>
      <c r="E1933" s="15"/>
      <c r="F1933" s="66"/>
      <c r="G1933" s="18"/>
      <c r="H1933" s="15"/>
      <c r="I1933" s="18"/>
      <c r="J1933" s="22"/>
      <c r="K1933" s="108"/>
      <c r="L1933" s="66"/>
      <c r="M1933" s="66"/>
      <c r="N1933" s="66"/>
      <c r="O1933" s="66"/>
      <c r="P1933" s="66"/>
      <c r="Q1933" s="66"/>
      <c r="R1933" s="66"/>
      <c r="S1933" s="66"/>
      <c r="T1933" s="66"/>
    </row>
    <row r="1934">
      <c r="A1934" s="66"/>
      <c r="B1934" s="66"/>
      <c r="C1934" s="66"/>
      <c r="D1934" s="66"/>
      <c r="E1934" s="15"/>
      <c r="F1934" s="66"/>
      <c r="G1934" s="18"/>
      <c r="H1934" s="15"/>
      <c r="I1934" s="18"/>
      <c r="J1934" s="22"/>
      <c r="K1934" s="108"/>
      <c r="L1934" s="66"/>
      <c r="M1934" s="66"/>
      <c r="N1934" s="66"/>
      <c r="O1934" s="66"/>
      <c r="P1934" s="66"/>
      <c r="Q1934" s="66"/>
      <c r="R1934" s="66"/>
      <c r="S1934" s="66"/>
      <c r="T1934" s="66"/>
    </row>
    <row r="1935">
      <c r="A1935" s="66"/>
      <c r="B1935" s="66"/>
      <c r="C1935" s="66"/>
      <c r="D1935" s="66"/>
      <c r="E1935" s="15"/>
      <c r="F1935" s="66"/>
      <c r="G1935" s="18"/>
      <c r="H1935" s="15"/>
      <c r="I1935" s="18"/>
      <c r="J1935" s="22"/>
      <c r="K1935" s="108"/>
      <c r="L1935" s="66"/>
      <c r="M1935" s="66"/>
      <c r="N1935" s="66"/>
      <c r="O1935" s="66"/>
      <c r="P1935" s="66"/>
      <c r="Q1935" s="66"/>
      <c r="R1935" s="66"/>
      <c r="S1935" s="66"/>
      <c r="T1935" s="66"/>
    </row>
    <row r="1936">
      <c r="A1936" s="66"/>
      <c r="B1936" s="66"/>
      <c r="C1936" s="66"/>
      <c r="D1936" s="66"/>
      <c r="E1936" s="15"/>
      <c r="F1936" s="66"/>
      <c r="G1936" s="18"/>
      <c r="H1936" s="15"/>
      <c r="I1936" s="18"/>
      <c r="J1936" s="22"/>
      <c r="K1936" s="108"/>
      <c r="L1936" s="66"/>
      <c r="M1936" s="66"/>
      <c r="N1936" s="66"/>
      <c r="O1936" s="66"/>
      <c r="P1936" s="66"/>
      <c r="Q1936" s="66"/>
      <c r="R1936" s="66"/>
      <c r="S1936" s="66"/>
      <c r="T1936" s="66"/>
    </row>
    <row r="1937">
      <c r="A1937" s="66"/>
      <c r="B1937" s="66"/>
      <c r="C1937" s="66"/>
      <c r="D1937" s="66"/>
      <c r="E1937" s="15"/>
      <c r="F1937" s="66"/>
      <c r="G1937" s="18"/>
      <c r="H1937" s="15"/>
      <c r="I1937" s="18"/>
      <c r="J1937" s="22"/>
      <c r="K1937" s="108"/>
      <c r="L1937" s="66"/>
      <c r="M1937" s="66"/>
      <c r="N1937" s="66"/>
      <c r="O1937" s="66"/>
      <c r="P1937" s="66"/>
      <c r="Q1937" s="66"/>
      <c r="R1937" s="66"/>
      <c r="S1937" s="66"/>
      <c r="T1937" s="66"/>
    </row>
    <row r="1938">
      <c r="A1938" s="66"/>
      <c r="B1938" s="66"/>
      <c r="C1938" s="66"/>
      <c r="D1938" s="66"/>
      <c r="E1938" s="15"/>
      <c r="F1938" s="66"/>
      <c r="G1938" s="18"/>
      <c r="H1938" s="15"/>
      <c r="I1938" s="18"/>
      <c r="J1938" s="22"/>
      <c r="K1938" s="108"/>
      <c r="L1938" s="66"/>
      <c r="M1938" s="66"/>
      <c r="N1938" s="66"/>
      <c r="O1938" s="66"/>
      <c r="P1938" s="66"/>
      <c r="Q1938" s="66"/>
      <c r="R1938" s="66"/>
      <c r="S1938" s="66"/>
      <c r="T1938" s="66"/>
    </row>
    <row r="1939">
      <c r="A1939" s="66"/>
      <c r="B1939" s="66"/>
      <c r="C1939" s="66"/>
      <c r="D1939" s="66"/>
      <c r="E1939" s="15"/>
      <c r="F1939" s="66"/>
      <c r="G1939" s="18"/>
      <c r="H1939" s="15"/>
      <c r="I1939" s="18"/>
      <c r="J1939" s="22"/>
      <c r="K1939" s="108"/>
      <c r="L1939" s="66"/>
      <c r="M1939" s="66"/>
      <c r="N1939" s="66"/>
      <c r="O1939" s="66"/>
      <c r="P1939" s="66"/>
      <c r="Q1939" s="66"/>
      <c r="R1939" s="66"/>
      <c r="S1939" s="66"/>
      <c r="T1939" s="66"/>
    </row>
    <row r="1940">
      <c r="A1940" s="66"/>
      <c r="B1940" s="66"/>
      <c r="C1940" s="66"/>
      <c r="D1940" s="66"/>
      <c r="E1940" s="15"/>
      <c r="F1940" s="66"/>
      <c r="G1940" s="18"/>
      <c r="H1940" s="15"/>
      <c r="I1940" s="18"/>
      <c r="J1940" s="22"/>
      <c r="K1940" s="108"/>
      <c r="L1940" s="66"/>
      <c r="M1940" s="66"/>
      <c r="N1940" s="66"/>
      <c r="O1940" s="66"/>
      <c r="P1940" s="66"/>
      <c r="Q1940" s="66"/>
      <c r="R1940" s="66"/>
      <c r="S1940" s="66"/>
      <c r="T1940" s="66"/>
    </row>
    <row r="1941">
      <c r="A1941" s="66"/>
      <c r="B1941" s="66"/>
      <c r="C1941" s="66"/>
      <c r="D1941" s="66"/>
      <c r="E1941" s="15"/>
      <c r="F1941" s="66"/>
      <c r="G1941" s="18"/>
      <c r="H1941" s="15"/>
      <c r="I1941" s="18"/>
      <c r="J1941" s="22"/>
      <c r="K1941" s="108"/>
      <c r="L1941" s="66"/>
      <c r="M1941" s="66"/>
      <c r="N1941" s="66"/>
      <c r="O1941" s="66"/>
      <c r="P1941" s="66"/>
      <c r="Q1941" s="66"/>
      <c r="R1941" s="66"/>
      <c r="S1941" s="66"/>
      <c r="T1941" s="66"/>
    </row>
    <row r="1942">
      <c r="A1942" s="66"/>
      <c r="B1942" s="66"/>
      <c r="C1942" s="66"/>
      <c r="D1942" s="66"/>
      <c r="E1942" s="15"/>
      <c r="F1942" s="66"/>
      <c r="G1942" s="18"/>
      <c r="H1942" s="15"/>
      <c r="I1942" s="18"/>
      <c r="J1942" s="22"/>
      <c r="K1942" s="108"/>
      <c r="L1942" s="66"/>
      <c r="M1942" s="66"/>
      <c r="N1942" s="66"/>
      <c r="O1942" s="66"/>
      <c r="P1942" s="66"/>
      <c r="Q1942" s="66"/>
      <c r="R1942" s="66"/>
      <c r="S1942" s="66"/>
      <c r="T1942" s="66"/>
    </row>
    <row r="1943">
      <c r="A1943" s="66"/>
      <c r="B1943" s="66"/>
      <c r="C1943" s="66"/>
      <c r="D1943" s="66"/>
      <c r="E1943" s="15"/>
      <c r="F1943" s="66"/>
      <c r="G1943" s="18"/>
      <c r="H1943" s="15"/>
      <c r="I1943" s="18"/>
      <c r="J1943" s="22"/>
      <c r="K1943" s="108"/>
      <c r="L1943" s="66"/>
      <c r="M1943" s="66"/>
      <c r="N1943" s="66"/>
      <c r="O1943" s="66"/>
      <c r="P1943" s="66"/>
      <c r="Q1943" s="66"/>
      <c r="R1943" s="66"/>
      <c r="S1943" s="66"/>
      <c r="T1943" s="66"/>
    </row>
    <row r="1944">
      <c r="A1944" s="66"/>
      <c r="B1944" s="66"/>
      <c r="C1944" s="66"/>
      <c r="D1944" s="66"/>
      <c r="E1944" s="15"/>
      <c r="F1944" s="66"/>
      <c r="G1944" s="18"/>
      <c r="H1944" s="15"/>
      <c r="I1944" s="18"/>
      <c r="J1944" s="22"/>
      <c r="K1944" s="108"/>
      <c r="L1944" s="66"/>
      <c r="M1944" s="66"/>
      <c r="N1944" s="66"/>
      <c r="O1944" s="66"/>
      <c r="P1944" s="66"/>
      <c r="Q1944" s="66"/>
      <c r="R1944" s="66"/>
      <c r="S1944" s="66"/>
      <c r="T1944" s="66"/>
    </row>
    <row r="1945">
      <c r="A1945" s="66"/>
      <c r="B1945" s="66"/>
      <c r="C1945" s="66"/>
      <c r="D1945" s="66"/>
      <c r="E1945" s="15"/>
      <c r="F1945" s="66"/>
      <c r="G1945" s="18"/>
      <c r="H1945" s="15"/>
      <c r="I1945" s="18"/>
      <c r="J1945" s="22"/>
      <c r="K1945" s="108"/>
      <c r="L1945" s="66"/>
      <c r="M1945" s="66"/>
      <c r="N1945" s="66"/>
      <c r="O1945" s="66"/>
      <c r="P1945" s="66"/>
      <c r="Q1945" s="66"/>
      <c r="R1945" s="66"/>
      <c r="S1945" s="66"/>
      <c r="T1945" s="66"/>
    </row>
    <row r="1946">
      <c r="A1946" s="66"/>
      <c r="B1946" s="66"/>
      <c r="C1946" s="66"/>
      <c r="D1946" s="66"/>
      <c r="E1946" s="15"/>
      <c r="F1946" s="66"/>
      <c r="G1946" s="18"/>
      <c r="H1946" s="15"/>
      <c r="I1946" s="18"/>
      <c r="J1946" s="22"/>
      <c r="K1946" s="108"/>
      <c r="L1946" s="66"/>
      <c r="M1946" s="66"/>
      <c r="N1946" s="66"/>
      <c r="O1946" s="66"/>
      <c r="P1946" s="66"/>
      <c r="Q1946" s="66"/>
      <c r="R1946" s="66"/>
      <c r="S1946" s="66"/>
      <c r="T1946" s="66"/>
    </row>
    <row r="1947">
      <c r="A1947" s="66"/>
      <c r="B1947" s="66"/>
      <c r="C1947" s="66"/>
      <c r="D1947" s="66"/>
      <c r="E1947" s="15"/>
      <c r="F1947" s="66"/>
      <c r="G1947" s="18"/>
      <c r="H1947" s="15"/>
      <c r="I1947" s="18"/>
      <c r="J1947" s="22"/>
      <c r="K1947" s="108"/>
      <c r="L1947" s="66"/>
      <c r="M1947" s="66"/>
      <c r="N1947" s="66"/>
      <c r="O1947" s="66"/>
      <c r="P1947" s="66"/>
      <c r="Q1947" s="66"/>
      <c r="R1947" s="66"/>
      <c r="S1947" s="66"/>
      <c r="T1947" s="66"/>
    </row>
    <row r="1948">
      <c r="A1948" s="66"/>
      <c r="B1948" s="66"/>
      <c r="C1948" s="66"/>
      <c r="D1948" s="66"/>
      <c r="E1948" s="15"/>
      <c r="F1948" s="66"/>
      <c r="G1948" s="18"/>
      <c r="H1948" s="15"/>
      <c r="I1948" s="18"/>
      <c r="J1948" s="22"/>
      <c r="K1948" s="108"/>
      <c r="L1948" s="66"/>
      <c r="M1948" s="66"/>
      <c r="N1948" s="66"/>
      <c r="O1948" s="66"/>
      <c r="P1948" s="66"/>
      <c r="Q1948" s="66"/>
      <c r="R1948" s="66"/>
      <c r="S1948" s="66"/>
      <c r="T1948" s="66"/>
    </row>
    <row r="1949">
      <c r="A1949" s="66"/>
      <c r="B1949" s="66"/>
      <c r="C1949" s="66"/>
      <c r="D1949" s="66"/>
      <c r="E1949" s="15"/>
      <c r="F1949" s="66"/>
      <c r="G1949" s="18"/>
      <c r="H1949" s="15"/>
      <c r="I1949" s="18"/>
      <c r="J1949" s="22"/>
      <c r="K1949" s="108"/>
      <c r="L1949" s="66"/>
      <c r="M1949" s="66"/>
      <c r="N1949" s="66"/>
      <c r="O1949" s="66"/>
      <c r="P1949" s="66"/>
      <c r="Q1949" s="66"/>
      <c r="R1949" s="66"/>
      <c r="S1949" s="66"/>
      <c r="T1949" s="66"/>
    </row>
    <row r="1950">
      <c r="A1950" s="66"/>
      <c r="B1950" s="66"/>
      <c r="C1950" s="66"/>
      <c r="D1950" s="66"/>
      <c r="E1950" s="15"/>
      <c r="F1950" s="66"/>
      <c r="G1950" s="18"/>
      <c r="H1950" s="15"/>
      <c r="I1950" s="18"/>
      <c r="J1950" s="22"/>
      <c r="K1950" s="108"/>
      <c r="L1950" s="66"/>
      <c r="M1950" s="66"/>
      <c r="N1950" s="66"/>
      <c r="O1950" s="66"/>
      <c r="P1950" s="66"/>
      <c r="Q1950" s="66"/>
      <c r="R1950" s="66"/>
      <c r="S1950" s="66"/>
      <c r="T1950" s="66"/>
    </row>
    <row r="1951">
      <c r="A1951" s="66"/>
      <c r="B1951" s="66"/>
      <c r="C1951" s="66"/>
      <c r="D1951" s="66"/>
      <c r="E1951" s="15"/>
      <c r="F1951" s="66"/>
      <c r="G1951" s="18"/>
      <c r="H1951" s="15"/>
      <c r="I1951" s="18"/>
      <c r="J1951" s="22"/>
      <c r="K1951" s="108"/>
      <c r="L1951" s="66"/>
      <c r="M1951" s="66"/>
      <c r="N1951" s="66"/>
      <c r="O1951" s="66"/>
      <c r="P1951" s="66"/>
      <c r="Q1951" s="66"/>
      <c r="R1951" s="66"/>
      <c r="S1951" s="66"/>
      <c r="T1951" s="66"/>
    </row>
    <row r="1952">
      <c r="A1952" s="66"/>
      <c r="B1952" s="66"/>
      <c r="C1952" s="66"/>
      <c r="D1952" s="66"/>
      <c r="E1952" s="15"/>
      <c r="F1952" s="66"/>
      <c r="G1952" s="18"/>
      <c r="H1952" s="15"/>
      <c r="I1952" s="18"/>
      <c r="J1952" s="22"/>
      <c r="K1952" s="108"/>
      <c r="L1952" s="66"/>
      <c r="M1952" s="66"/>
      <c r="N1952" s="66"/>
      <c r="O1952" s="66"/>
      <c r="P1952" s="66"/>
      <c r="Q1952" s="66"/>
      <c r="R1952" s="66"/>
      <c r="S1952" s="66"/>
      <c r="T1952" s="66"/>
    </row>
    <row r="1953">
      <c r="A1953" s="66"/>
      <c r="B1953" s="66"/>
      <c r="C1953" s="66"/>
      <c r="D1953" s="66"/>
      <c r="E1953" s="15"/>
      <c r="F1953" s="66"/>
      <c r="G1953" s="18"/>
      <c r="H1953" s="15"/>
      <c r="I1953" s="18"/>
      <c r="J1953" s="22"/>
      <c r="K1953" s="108"/>
      <c r="L1953" s="66"/>
      <c r="M1953" s="66"/>
      <c r="N1953" s="66"/>
      <c r="O1953" s="66"/>
      <c r="P1953" s="66"/>
      <c r="Q1953" s="66"/>
      <c r="R1953" s="66"/>
      <c r="S1953" s="66"/>
      <c r="T1953" s="66"/>
    </row>
    <row r="1954">
      <c r="A1954" s="66"/>
      <c r="B1954" s="66"/>
      <c r="C1954" s="66"/>
      <c r="D1954" s="66"/>
      <c r="E1954" s="15"/>
      <c r="F1954" s="66"/>
      <c r="G1954" s="18"/>
      <c r="H1954" s="15"/>
      <c r="I1954" s="18"/>
      <c r="J1954" s="22"/>
      <c r="K1954" s="108"/>
      <c r="L1954" s="66"/>
      <c r="M1954" s="66"/>
      <c r="N1954" s="66"/>
      <c r="O1954" s="66"/>
      <c r="P1954" s="66"/>
      <c r="Q1954" s="66"/>
      <c r="R1954" s="66"/>
      <c r="S1954" s="66"/>
      <c r="T1954" s="66"/>
    </row>
    <row r="1955">
      <c r="A1955" s="66"/>
      <c r="B1955" s="66"/>
      <c r="C1955" s="66"/>
      <c r="D1955" s="66"/>
      <c r="E1955" s="15"/>
      <c r="F1955" s="66"/>
      <c r="G1955" s="18"/>
      <c r="H1955" s="15"/>
      <c r="I1955" s="18"/>
      <c r="J1955" s="22"/>
      <c r="K1955" s="108"/>
      <c r="L1955" s="66"/>
      <c r="M1955" s="66"/>
      <c r="N1955" s="66"/>
      <c r="O1955" s="66"/>
      <c r="P1955" s="66"/>
      <c r="Q1955" s="66"/>
      <c r="R1955" s="66"/>
      <c r="S1955" s="66"/>
      <c r="T1955" s="66"/>
    </row>
    <row r="1956">
      <c r="A1956" s="66"/>
      <c r="B1956" s="66"/>
      <c r="C1956" s="66"/>
      <c r="D1956" s="66"/>
      <c r="E1956" s="15"/>
      <c r="F1956" s="66"/>
      <c r="G1956" s="18"/>
      <c r="H1956" s="15"/>
      <c r="I1956" s="18"/>
      <c r="J1956" s="22"/>
      <c r="K1956" s="108"/>
      <c r="L1956" s="66"/>
      <c r="M1956" s="66"/>
      <c r="N1956" s="66"/>
      <c r="O1956" s="66"/>
      <c r="P1956" s="66"/>
      <c r="Q1956" s="66"/>
      <c r="R1956" s="66"/>
      <c r="S1956" s="66"/>
      <c r="T1956" s="66"/>
    </row>
    <row r="1957">
      <c r="A1957" s="66"/>
      <c r="B1957" s="66"/>
      <c r="C1957" s="66"/>
      <c r="D1957" s="66"/>
      <c r="E1957" s="15"/>
      <c r="F1957" s="66"/>
      <c r="G1957" s="18"/>
      <c r="H1957" s="15"/>
      <c r="I1957" s="18"/>
      <c r="J1957" s="22"/>
      <c r="K1957" s="108"/>
      <c r="L1957" s="66"/>
      <c r="M1957" s="66"/>
      <c r="N1957" s="66"/>
      <c r="O1957" s="66"/>
      <c r="P1957" s="66"/>
      <c r="Q1957" s="66"/>
      <c r="R1957" s="66"/>
      <c r="S1957" s="66"/>
      <c r="T1957" s="66"/>
    </row>
    <row r="1958">
      <c r="A1958" s="66"/>
      <c r="B1958" s="66"/>
      <c r="C1958" s="66"/>
      <c r="D1958" s="66"/>
      <c r="E1958" s="15"/>
      <c r="F1958" s="66"/>
      <c r="G1958" s="18"/>
      <c r="H1958" s="15"/>
      <c r="I1958" s="18"/>
      <c r="J1958" s="22"/>
      <c r="K1958" s="108"/>
      <c r="L1958" s="66"/>
      <c r="M1958" s="66"/>
      <c r="N1958" s="66"/>
      <c r="O1958" s="66"/>
      <c r="P1958" s="66"/>
      <c r="Q1958" s="66"/>
      <c r="R1958" s="66"/>
      <c r="S1958" s="66"/>
      <c r="T1958" s="66"/>
    </row>
    <row r="1959">
      <c r="A1959" s="66"/>
      <c r="B1959" s="66"/>
      <c r="C1959" s="66"/>
      <c r="D1959" s="66"/>
      <c r="E1959" s="15"/>
      <c r="F1959" s="66"/>
      <c r="G1959" s="18"/>
      <c r="H1959" s="15"/>
      <c r="I1959" s="18"/>
      <c r="J1959" s="22"/>
      <c r="K1959" s="108"/>
      <c r="L1959" s="66"/>
      <c r="M1959" s="66"/>
      <c r="N1959" s="66"/>
      <c r="O1959" s="66"/>
      <c r="P1959" s="66"/>
      <c r="Q1959" s="66"/>
      <c r="R1959" s="66"/>
      <c r="S1959" s="66"/>
      <c r="T1959" s="66"/>
    </row>
    <row r="1960">
      <c r="A1960" s="66"/>
      <c r="B1960" s="66"/>
      <c r="C1960" s="66"/>
      <c r="D1960" s="66"/>
      <c r="E1960" s="15"/>
      <c r="F1960" s="66"/>
      <c r="G1960" s="18"/>
      <c r="H1960" s="15"/>
      <c r="I1960" s="18"/>
      <c r="J1960" s="22"/>
      <c r="K1960" s="108"/>
      <c r="L1960" s="66"/>
      <c r="M1960" s="66"/>
      <c r="N1960" s="66"/>
      <c r="O1960" s="66"/>
      <c r="P1960" s="66"/>
      <c r="Q1960" s="66"/>
      <c r="R1960" s="66"/>
      <c r="S1960" s="66"/>
      <c r="T1960" s="66"/>
    </row>
    <row r="1961">
      <c r="A1961" s="66"/>
      <c r="B1961" s="66"/>
      <c r="C1961" s="66"/>
      <c r="D1961" s="66"/>
      <c r="E1961" s="15"/>
      <c r="F1961" s="66"/>
      <c r="G1961" s="18"/>
      <c r="H1961" s="15"/>
      <c r="I1961" s="18"/>
      <c r="J1961" s="22"/>
      <c r="K1961" s="108"/>
      <c r="L1961" s="66"/>
      <c r="M1961" s="66"/>
      <c r="N1961" s="66"/>
      <c r="O1961" s="66"/>
      <c r="P1961" s="66"/>
      <c r="Q1961" s="66"/>
      <c r="R1961" s="66"/>
      <c r="S1961" s="66"/>
      <c r="T1961" s="66"/>
    </row>
    <row r="1962">
      <c r="A1962" s="66"/>
      <c r="B1962" s="66"/>
      <c r="C1962" s="66"/>
      <c r="D1962" s="66"/>
      <c r="E1962" s="15"/>
      <c r="F1962" s="66"/>
      <c r="G1962" s="18"/>
      <c r="H1962" s="15"/>
      <c r="I1962" s="18"/>
      <c r="J1962" s="22"/>
      <c r="K1962" s="108"/>
      <c r="L1962" s="66"/>
      <c r="M1962" s="66"/>
      <c r="N1962" s="66"/>
      <c r="O1962" s="66"/>
      <c r="P1962" s="66"/>
      <c r="Q1962" s="66"/>
      <c r="R1962" s="66"/>
      <c r="S1962" s="66"/>
      <c r="T1962" s="66"/>
    </row>
    <row r="1963">
      <c r="A1963" s="66"/>
      <c r="B1963" s="66"/>
      <c r="C1963" s="66"/>
      <c r="D1963" s="66"/>
      <c r="E1963" s="15"/>
      <c r="F1963" s="66"/>
      <c r="G1963" s="18"/>
      <c r="H1963" s="15"/>
      <c r="I1963" s="18"/>
      <c r="J1963" s="22"/>
      <c r="K1963" s="108"/>
      <c r="L1963" s="66"/>
      <c r="M1963" s="66"/>
      <c r="N1963" s="66"/>
      <c r="O1963" s="66"/>
      <c r="P1963" s="66"/>
      <c r="Q1963" s="66"/>
      <c r="R1963" s="66"/>
      <c r="S1963" s="66"/>
      <c r="T1963" s="66"/>
    </row>
    <row r="1964">
      <c r="A1964" s="66"/>
      <c r="B1964" s="66"/>
      <c r="C1964" s="66"/>
      <c r="D1964" s="66"/>
      <c r="E1964" s="15"/>
      <c r="F1964" s="66"/>
      <c r="G1964" s="18"/>
      <c r="H1964" s="15"/>
      <c r="I1964" s="18"/>
      <c r="J1964" s="22"/>
      <c r="K1964" s="108"/>
      <c r="L1964" s="66"/>
      <c r="M1964" s="66"/>
      <c r="N1964" s="66"/>
      <c r="O1964" s="66"/>
      <c r="P1964" s="66"/>
      <c r="Q1964" s="66"/>
      <c r="R1964" s="66"/>
      <c r="S1964" s="66"/>
      <c r="T1964" s="66"/>
    </row>
    <row r="1965">
      <c r="A1965" s="66"/>
      <c r="B1965" s="66"/>
      <c r="C1965" s="66"/>
      <c r="D1965" s="66"/>
      <c r="E1965" s="15"/>
      <c r="F1965" s="66"/>
      <c r="G1965" s="18"/>
      <c r="H1965" s="15"/>
      <c r="I1965" s="18"/>
      <c r="J1965" s="22"/>
      <c r="K1965" s="108"/>
      <c r="L1965" s="66"/>
      <c r="M1965" s="66"/>
      <c r="N1965" s="66"/>
      <c r="O1965" s="66"/>
      <c r="P1965" s="66"/>
      <c r="Q1965" s="66"/>
      <c r="R1965" s="66"/>
      <c r="S1965" s="66"/>
      <c r="T1965" s="66"/>
    </row>
    <row r="1966">
      <c r="A1966" s="66"/>
      <c r="B1966" s="66"/>
      <c r="C1966" s="66"/>
      <c r="D1966" s="66"/>
      <c r="E1966" s="15"/>
      <c r="F1966" s="66"/>
      <c r="G1966" s="18"/>
      <c r="H1966" s="15"/>
      <c r="I1966" s="18"/>
      <c r="J1966" s="22"/>
      <c r="K1966" s="108"/>
      <c r="L1966" s="66"/>
      <c r="M1966" s="66"/>
      <c r="N1966" s="66"/>
      <c r="O1966" s="66"/>
      <c r="P1966" s="66"/>
      <c r="Q1966" s="66"/>
      <c r="R1966" s="66"/>
      <c r="S1966" s="66"/>
      <c r="T1966" s="66"/>
    </row>
    <row r="1967">
      <c r="A1967" s="66"/>
      <c r="B1967" s="66"/>
      <c r="C1967" s="66"/>
      <c r="D1967" s="66"/>
      <c r="E1967" s="15"/>
      <c r="F1967" s="66"/>
      <c r="G1967" s="18"/>
      <c r="H1967" s="15"/>
      <c r="I1967" s="18"/>
      <c r="J1967" s="22"/>
      <c r="K1967" s="108"/>
      <c r="L1967" s="66"/>
      <c r="M1967" s="66"/>
      <c r="N1967" s="66"/>
      <c r="O1967" s="66"/>
      <c r="P1967" s="66"/>
      <c r="Q1967" s="66"/>
      <c r="R1967" s="66"/>
      <c r="S1967" s="66"/>
      <c r="T1967" s="66"/>
    </row>
    <row r="1968">
      <c r="A1968" s="66"/>
      <c r="B1968" s="66"/>
      <c r="C1968" s="66"/>
      <c r="D1968" s="66"/>
      <c r="E1968" s="15"/>
      <c r="F1968" s="66"/>
      <c r="G1968" s="18"/>
      <c r="H1968" s="15"/>
      <c r="I1968" s="18"/>
      <c r="J1968" s="22"/>
      <c r="K1968" s="108"/>
      <c r="L1968" s="66"/>
      <c r="M1968" s="66"/>
      <c r="N1968" s="66"/>
      <c r="O1968" s="66"/>
      <c r="P1968" s="66"/>
      <c r="Q1968" s="66"/>
      <c r="R1968" s="66"/>
      <c r="S1968" s="66"/>
      <c r="T1968" s="66"/>
    </row>
    <row r="1969">
      <c r="A1969" s="66"/>
      <c r="B1969" s="66"/>
      <c r="C1969" s="66"/>
      <c r="D1969" s="66"/>
      <c r="E1969" s="15"/>
      <c r="F1969" s="66"/>
      <c r="G1969" s="18"/>
      <c r="H1969" s="15"/>
      <c r="I1969" s="18"/>
      <c r="J1969" s="22"/>
      <c r="K1969" s="108"/>
      <c r="L1969" s="66"/>
      <c r="M1969" s="66"/>
      <c r="N1969" s="66"/>
      <c r="O1969" s="66"/>
      <c r="P1969" s="66"/>
      <c r="Q1969" s="66"/>
      <c r="R1969" s="66"/>
      <c r="S1969" s="66"/>
      <c r="T1969" s="66"/>
    </row>
    <row r="1970">
      <c r="A1970" s="66"/>
      <c r="B1970" s="66"/>
      <c r="C1970" s="66"/>
      <c r="D1970" s="66"/>
      <c r="E1970" s="15"/>
      <c r="F1970" s="66"/>
      <c r="G1970" s="18"/>
      <c r="H1970" s="15"/>
      <c r="I1970" s="18"/>
      <c r="J1970" s="22"/>
      <c r="K1970" s="108"/>
      <c r="L1970" s="66"/>
      <c r="M1970" s="66"/>
      <c r="N1970" s="66"/>
      <c r="O1970" s="66"/>
      <c r="P1970" s="66"/>
      <c r="Q1970" s="66"/>
      <c r="R1970" s="66"/>
      <c r="S1970" s="66"/>
      <c r="T1970" s="66"/>
    </row>
    <row r="1971">
      <c r="A1971" s="66"/>
      <c r="B1971" s="66"/>
      <c r="C1971" s="66"/>
      <c r="D1971" s="66"/>
      <c r="E1971" s="15"/>
      <c r="F1971" s="66"/>
      <c r="G1971" s="18"/>
      <c r="H1971" s="15"/>
      <c r="I1971" s="18"/>
      <c r="J1971" s="22"/>
      <c r="K1971" s="108"/>
      <c r="L1971" s="66"/>
      <c r="M1971" s="66"/>
      <c r="N1971" s="66"/>
      <c r="O1971" s="66"/>
      <c r="P1971" s="66"/>
      <c r="Q1971" s="66"/>
      <c r="R1971" s="66"/>
      <c r="S1971" s="66"/>
      <c r="T1971" s="66"/>
    </row>
    <row r="1972">
      <c r="A1972" s="66"/>
      <c r="B1972" s="66"/>
      <c r="C1972" s="66"/>
      <c r="D1972" s="66"/>
      <c r="E1972" s="15"/>
      <c r="F1972" s="66"/>
      <c r="G1972" s="18"/>
      <c r="H1972" s="15"/>
      <c r="I1972" s="18"/>
      <c r="J1972" s="22"/>
      <c r="K1972" s="108"/>
      <c r="L1972" s="66"/>
      <c r="M1972" s="66"/>
      <c r="N1972" s="66"/>
      <c r="O1972" s="66"/>
      <c r="P1972" s="66"/>
      <c r="Q1972" s="66"/>
      <c r="R1972" s="66"/>
      <c r="S1972" s="66"/>
      <c r="T1972" s="66"/>
    </row>
    <row r="1973">
      <c r="A1973" s="66"/>
      <c r="B1973" s="66"/>
      <c r="C1973" s="66"/>
      <c r="D1973" s="66"/>
      <c r="E1973" s="15"/>
      <c r="F1973" s="66"/>
      <c r="G1973" s="18"/>
      <c r="H1973" s="15"/>
      <c r="I1973" s="18"/>
      <c r="J1973" s="22"/>
      <c r="K1973" s="108"/>
      <c r="L1973" s="66"/>
      <c r="M1973" s="66"/>
      <c r="N1973" s="66"/>
      <c r="O1973" s="66"/>
      <c r="P1973" s="66"/>
      <c r="Q1973" s="66"/>
      <c r="R1973" s="66"/>
      <c r="S1973" s="66"/>
      <c r="T1973" s="66"/>
    </row>
    <row r="1974">
      <c r="A1974" s="66"/>
      <c r="B1974" s="66"/>
      <c r="C1974" s="66"/>
      <c r="D1974" s="66"/>
      <c r="E1974" s="15"/>
      <c r="F1974" s="66"/>
      <c r="G1974" s="18"/>
      <c r="H1974" s="15"/>
      <c r="I1974" s="18"/>
      <c r="J1974" s="22"/>
      <c r="K1974" s="108"/>
      <c r="L1974" s="66"/>
      <c r="M1974" s="66"/>
      <c r="N1974" s="66"/>
      <c r="O1974" s="66"/>
      <c r="P1974" s="66"/>
      <c r="Q1974" s="66"/>
      <c r="R1974" s="66"/>
      <c r="S1974" s="66"/>
      <c r="T1974" s="66"/>
    </row>
    <row r="1975">
      <c r="A1975" s="66"/>
      <c r="B1975" s="66"/>
      <c r="C1975" s="66"/>
      <c r="D1975" s="66"/>
      <c r="E1975" s="15"/>
      <c r="F1975" s="66"/>
      <c r="G1975" s="18"/>
      <c r="H1975" s="15"/>
      <c r="I1975" s="18"/>
      <c r="J1975" s="22"/>
      <c r="K1975" s="108"/>
      <c r="L1975" s="66"/>
      <c r="M1975" s="66"/>
      <c r="N1975" s="66"/>
      <c r="O1975" s="66"/>
      <c r="P1975" s="66"/>
      <c r="Q1975" s="66"/>
      <c r="R1975" s="66"/>
      <c r="S1975" s="66"/>
      <c r="T1975" s="66"/>
    </row>
    <row r="1976">
      <c r="A1976" s="66"/>
      <c r="B1976" s="66"/>
      <c r="C1976" s="66"/>
      <c r="D1976" s="66"/>
      <c r="E1976" s="15"/>
      <c r="F1976" s="66"/>
      <c r="G1976" s="18"/>
      <c r="H1976" s="15"/>
      <c r="I1976" s="18"/>
      <c r="J1976" s="22"/>
      <c r="K1976" s="108"/>
      <c r="L1976" s="66"/>
      <c r="M1976" s="66"/>
      <c r="N1976" s="66"/>
      <c r="O1976" s="66"/>
      <c r="P1976" s="66"/>
      <c r="Q1976" s="66"/>
      <c r="R1976" s="66"/>
      <c r="S1976" s="66"/>
      <c r="T1976" s="66"/>
    </row>
    <row r="1977">
      <c r="A1977" s="66"/>
      <c r="B1977" s="66"/>
      <c r="C1977" s="66"/>
      <c r="D1977" s="66"/>
      <c r="E1977" s="15"/>
      <c r="F1977" s="66"/>
      <c r="G1977" s="18"/>
      <c r="H1977" s="15"/>
      <c r="I1977" s="18"/>
      <c r="J1977" s="22"/>
      <c r="K1977" s="108"/>
      <c r="L1977" s="66"/>
      <c r="M1977" s="66"/>
      <c r="N1977" s="66"/>
      <c r="O1977" s="66"/>
      <c r="P1977" s="66"/>
      <c r="Q1977" s="66"/>
      <c r="R1977" s="66"/>
      <c r="S1977" s="66"/>
      <c r="T1977" s="66"/>
    </row>
    <row r="1978">
      <c r="A1978" s="66"/>
      <c r="B1978" s="66"/>
      <c r="C1978" s="66"/>
      <c r="D1978" s="66"/>
      <c r="E1978" s="15"/>
      <c r="F1978" s="66"/>
      <c r="G1978" s="18"/>
      <c r="H1978" s="15"/>
      <c r="I1978" s="18"/>
      <c r="J1978" s="22"/>
      <c r="K1978" s="108"/>
      <c r="L1978" s="66"/>
      <c r="M1978" s="66"/>
      <c r="N1978" s="66"/>
      <c r="O1978" s="66"/>
      <c r="P1978" s="66"/>
      <c r="Q1978" s="66"/>
      <c r="R1978" s="66"/>
      <c r="S1978" s="66"/>
      <c r="T1978" s="66"/>
    </row>
    <row r="1979">
      <c r="A1979" s="66"/>
      <c r="B1979" s="66"/>
      <c r="C1979" s="66"/>
      <c r="D1979" s="66"/>
      <c r="E1979" s="15"/>
      <c r="F1979" s="66"/>
      <c r="G1979" s="18"/>
      <c r="H1979" s="15"/>
      <c r="I1979" s="18"/>
      <c r="J1979" s="22"/>
      <c r="K1979" s="108"/>
      <c r="L1979" s="66"/>
      <c r="M1979" s="66"/>
      <c r="N1979" s="66"/>
      <c r="O1979" s="66"/>
      <c r="P1979" s="66"/>
      <c r="Q1979" s="66"/>
      <c r="R1979" s="66"/>
      <c r="S1979" s="66"/>
      <c r="T1979" s="66"/>
    </row>
    <row r="1980">
      <c r="A1980" s="66"/>
      <c r="B1980" s="66"/>
      <c r="C1980" s="66"/>
      <c r="D1980" s="66"/>
      <c r="E1980" s="15"/>
      <c r="F1980" s="66"/>
      <c r="G1980" s="18"/>
      <c r="H1980" s="15"/>
      <c r="I1980" s="18"/>
      <c r="J1980" s="22"/>
      <c r="K1980" s="108"/>
      <c r="L1980" s="66"/>
      <c r="M1980" s="66"/>
      <c r="N1980" s="66"/>
      <c r="O1980" s="66"/>
      <c r="P1980" s="66"/>
      <c r="Q1980" s="66"/>
      <c r="R1980" s="66"/>
      <c r="S1980" s="66"/>
      <c r="T1980" s="66"/>
    </row>
    <row r="1981">
      <c r="A1981" s="66"/>
      <c r="B1981" s="66"/>
      <c r="C1981" s="66"/>
      <c r="D1981" s="66"/>
      <c r="E1981" s="15"/>
      <c r="F1981" s="66"/>
      <c r="G1981" s="18"/>
      <c r="H1981" s="15"/>
      <c r="I1981" s="18"/>
      <c r="J1981" s="22"/>
      <c r="K1981" s="108"/>
      <c r="L1981" s="66"/>
      <c r="M1981" s="66"/>
      <c r="N1981" s="66"/>
      <c r="O1981" s="66"/>
      <c r="P1981" s="66"/>
      <c r="Q1981" s="66"/>
      <c r="R1981" s="66"/>
      <c r="S1981" s="66"/>
      <c r="T1981" s="66"/>
    </row>
    <row r="1982">
      <c r="A1982" s="66"/>
      <c r="B1982" s="66"/>
      <c r="C1982" s="66"/>
      <c r="D1982" s="66"/>
      <c r="E1982" s="15"/>
      <c r="F1982" s="66"/>
      <c r="G1982" s="18"/>
      <c r="H1982" s="15"/>
      <c r="I1982" s="18"/>
      <c r="J1982" s="22"/>
      <c r="K1982" s="108"/>
      <c r="L1982" s="66"/>
      <c r="M1982" s="66"/>
      <c r="N1982" s="66"/>
      <c r="O1982" s="66"/>
      <c r="P1982" s="66"/>
      <c r="Q1982" s="66"/>
      <c r="R1982" s="66"/>
      <c r="S1982" s="66"/>
      <c r="T1982" s="66"/>
    </row>
    <row r="1983">
      <c r="A1983" s="66"/>
      <c r="B1983" s="66"/>
      <c r="C1983" s="66"/>
      <c r="D1983" s="66"/>
      <c r="E1983" s="15"/>
      <c r="F1983" s="66"/>
      <c r="G1983" s="18"/>
      <c r="H1983" s="15"/>
      <c r="I1983" s="18"/>
      <c r="J1983" s="22"/>
      <c r="K1983" s="108"/>
      <c r="L1983" s="66"/>
      <c r="M1983" s="66"/>
      <c r="N1983" s="66"/>
      <c r="O1983" s="66"/>
      <c r="P1983" s="66"/>
      <c r="Q1983" s="66"/>
      <c r="R1983" s="66"/>
      <c r="S1983" s="66"/>
      <c r="T1983" s="66"/>
    </row>
    <row r="1984">
      <c r="A1984" s="66"/>
      <c r="B1984" s="66"/>
      <c r="C1984" s="66"/>
      <c r="D1984" s="66"/>
      <c r="E1984" s="15"/>
      <c r="F1984" s="66"/>
      <c r="G1984" s="18"/>
      <c r="H1984" s="15"/>
      <c r="I1984" s="18"/>
      <c r="J1984" s="22"/>
      <c r="K1984" s="108"/>
      <c r="L1984" s="66"/>
      <c r="M1984" s="66"/>
      <c r="N1984" s="66"/>
      <c r="O1984" s="66"/>
      <c r="P1984" s="66"/>
      <c r="Q1984" s="66"/>
      <c r="R1984" s="66"/>
      <c r="S1984" s="66"/>
      <c r="T1984" s="66"/>
    </row>
    <row r="1985">
      <c r="A1985" s="66"/>
      <c r="B1985" s="66"/>
      <c r="C1985" s="66"/>
      <c r="D1985" s="66"/>
      <c r="E1985" s="15"/>
      <c r="F1985" s="66"/>
      <c r="G1985" s="18"/>
      <c r="H1985" s="15"/>
      <c r="I1985" s="18"/>
      <c r="J1985" s="22"/>
      <c r="K1985" s="108"/>
      <c r="L1985" s="66"/>
      <c r="M1985" s="66"/>
      <c r="N1985" s="66"/>
      <c r="O1985" s="66"/>
      <c r="P1985" s="66"/>
      <c r="Q1985" s="66"/>
      <c r="R1985" s="66"/>
      <c r="S1985" s="66"/>
      <c r="T1985" s="66"/>
    </row>
    <row r="1986">
      <c r="A1986" s="66"/>
      <c r="B1986" s="66"/>
      <c r="C1986" s="66"/>
      <c r="D1986" s="66"/>
      <c r="E1986" s="15"/>
      <c r="F1986" s="66"/>
      <c r="G1986" s="18"/>
      <c r="H1986" s="15"/>
      <c r="I1986" s="18"/>
      <c r="J1986" s="22"/>
      <c r="K1986" s="108"/>
      <c r="L1986" s="66"/>
      <c r="M1986" s="66"/>
      <c r="N1986" s="66"/>
      <c r="O1986" s="66"/>
      <c r="P1986" s="66"/>
      <c r="Q1986" s="66"/>
      <c r="R1986" s="66"/>
      <c r="S1986" s="66"/>
      <c r="T1986" s="66"/>
    </row>
    <row r="1987">
      <c r="A1987" s="66"/>
      <c r="B1987" s="66"/>
      <c r="C1987" s="66"/>
      <c r="D1987" s="66"/>
      <c r="E1987" s="15"/>
      <c r="F1987" s="66"/>
      <c r="G1987" s="18"/>
      <c r="H1987" s="15"/>
      <c r="I1987" s="18"/>
      <c r="J1987" s="22"/>
      <c r="K1987" s="108"/>
      <c r="L1987" s="66"/>
      <c r="M1987" s="66"/>
      <c r="N1987" s="66"/>
      <c r="O1987" s="66"/>
      <c r="P1987" s="66"/>
      <c r="Q1987" s="66"/>
      <c r="R1987" s="66"/>
      <c r="S1987" s="66"/>
      <c r="T1987" s="66"/>
    </row>
    <row r="1988">
      <c r="A1988" s="66"/>
      <c r="B1988" s="66"/>
      <c r="C1988" s="66"/>
      <c r="D1988" s="66"/>
      <c r="E1988" s="15"/>
      <c r="F1988" s="66"/>
      <c r="G1988" s="18"/>
      <c r="H1988" s="15"/>
      <c r="I1988" s="18"/>
      <c r="J1988" s="22"/>
      <c r="K1988" s="108"/>
      <c r="L1988" s="66"/>
      <c r="M1988" s="66"/>
      <c r="N1988" s="66"/>
      <c r="O1988" s="66"/>
      <c r="P1988" s="66"/>
      <c r="Q1988" s="66"/>
      <c r="R1988" s="66"/>
      <c r="S1988" s="66"/>
      <c r="T1988" s="66"/>
    </row>
    <row r="1989">
      <c r="A1989" s="66"/>
      <c r="B1989" s="66"/>
      <c r="C1989" s="66"/>
      <c r="D1989" s="66"/>
      <c r="E1989" s="15"/>
      <c r="F1989" s="66"/>
      <c r="G1989" s="18"/>
      <c r="H1989" s="15"/>
      <c r="I1989" s="18"/>
      <c r="J1989" s="22"/>
      <c r="K1989" s="108"/>
      <c r="L1989" s="66"/>
      <c r="M1989" s="66"/>
      <c r="N1989" s="66"/>
      <c r="O1989" s="66"/>
      <c r="P1989" s="66"/>
      <c r="Q1989" s="66"/>
      <c r="R1989" s="66"/>
      <c r="S1989" s="66"/>
      <c r="T1989" s="66"/>
    </row>
    <row r="1990">
      <c r="A1990" s="66"/>
      <c r="B1990" s="66"/>
      <c r="C1990" s="66"/>
      <c r="D1990" s="66"/>
      <c r="E1990" s="15"/>
      <c r="F1990" s="66"/>
      <c r="G1990" s="18"/>
      <c r="H1990" s="15"/>
      <c r="I1990" s="18"/>
      <c r="J1990" s="22"/>
      <c r="K1990" s="108"/>
      <c r="L1990" s="66"/>
      <c r="M1990" s="66"/>
      <c r="N1990" s="66"/>
      <c r="O1990" s="66"/>
      <c r="P1990" s="66"/>
      <c r="Q1990" s="66"/>
      <c r="R1990" s="66"/>
      <c r="S1990" s="66"/>
      <c r="T1990" s="66"/>
    </row>
    <row r="1991">
      <c r="A1991" s="66"/>
      <c r="B1991" s="66"/>
      <c r="C1991" s="66"/>
      <c r="D1991" s="66"/>
      <c r="E1991" s="15"/>
      <c r="F1991" s="66"/>
      <c r="G1991" s="18"/>
      <c r="H1991" s="15"/>
      <c r="I1991" s="18"/>
      <c r="J1991" s="22"/>
      <c r="K1991" s="108"/>
      <c r="L1991" s="66"/>
      <c r="M1991" s="66"/>
      <c r="N1991" s="66"/>
      <c r="O1991" s="66"/>
      <c r="P1991" s="66"/>
      <c r="Q1991" s="66"/>
      <c r="R1991" s="66"/>
      <c r="S1991" s="66"/>
      <c r="T1991" s="66"/>
    </row>
    <row r="1992">
      <c r="A1992" s="66"/>
      <c r="B1992" s="66"/>
      <c r="C1992" s="66"/>
      <c r="D1992" s="66"/>
      <c r="E1992" s="15"/>
      <c r="F1992" s="66"/>
      <c r="G1992" s="18"/>
      <c r="H1992" s="15"/>
      <c r="I1992" s="18"/>
      <c r="J1992" s="22"/>
      <c r="K1992" s="108"/>
      <c r="L1992" s="66"/>
      <c r="M1992" s="66"/>
      <c r="N1992" s="66"/>
      <c r="O1992" s="66"/>
      <c r="P1992" s="66"/>
      <c r="Q1992" s="66"/>
      <c r="R1992" s="66"/>
      <c r="S1992" s="66"/>
      <c r="T1992" s="66"/>
    </row>
    <row r="1993">
      <c r="A1993" s="66"/>
      <c r="B1993" s="66"/>
      <c r="C1993" s="66"/>
      <c r="D1993" s="66"/>
      <c r="E1993" s="15"/>
      <c r="F1993" s="66"/>
      <c r="G1993" s="18"/>
      <c r="H1993" s="15"/>
      <c r="I1993" s="18"/>
      <c r="J1993" s="22"/>
      <c r="K1993" s="108"/>
      <c r="L1993" s="66"/>
      <c r="M1993" s="66"/>
      <c r="N1993" s="66"/>
      <c r="O1993" s="66"/>
      <c r="P1993" s="66"/>
      <c r="Q1993" s="66"/>
      <c r="R1993" s="66"/>
      <c r="S1993" s="66"/>
      <c r="T1993" s="66"/>
    </row>
    <row r="1994">
      <c r="A1994" s="66"/>
      <c r="B1994" s="66"/>
      <c r="C1994" s="66"/>
      <c r="D1994" s="66"/>
      <c r="E1994" s="15"/>
      <c r="F1994" s="66"/>
      <c r="G1994" s="18"/>
      <c r="H1994" s="15"/>
      <c r="I1994" s="18"/>
      <c r="J1994" s="22"/>
      <c r="K1994" s="108"/>
      <c r="L1994" s="66"/>
      <c r="M1994" s="66"/>
      <c r="N1994" s="66"/>
      <c r="O1994" s="66"/>
      <c r="P1994" s="66"/>
      <c r="Q1994" s="66"/>
      <c r="R1994" s="66"/>
      <c r="S1994" s="66"/>
      <c r="T1994" s="66"/>
    </row>
    <row r="1995">
      <c r="A1995" s="66"/>
      <c r="B1995" s="66"/>
      <c r="C1995" s="66"/>
      <c r="D1995" s="66"/>
      <c r="E1995" s="15"/>
      <c r="F1995" s="66"/>
      <c r="G1995" s="18"/>
      <c r="H1995" s="15"/>
      <c r="I1995" s="18"/>
      <c r="J1995" s="22"/>
      <c r="K1995" s="108"/>
      <c r="L1995" s="66"/>
      <c r="M1995" s="66"/>
      <c r="N1995" s="66"/>
      <c r="O1995" s="66"/>
      <c r="P1995" s="66"/>
      <c r="Q1995" s="66"/>
      <c r="R1995" s="66"/>
      <c r="S1995" s="66"/>
      <c r="T1995" s="66"/>
    </row>
    <row r="1996">
      <c r="A1996" s="66"/>
      <c r="B1996" s="66"/>
      <c r="C1996" s="66"/>
      <c r="D1996" s="66"/>
      <c r="E1996" s="15"/>
      <c r="F1996" s="66"/>
      <c r="G1996" s="18"/>
      <c r="H1996" s="15"/>
      <c r="I1996" s="18"/>
      <c r="J1996" s="22"/>
      <c r="K1996" s="108"/>
      <c r="L1996" s="66"/>
      <c r="M1996" s="66"/>
      <c r="N1996" s="66"/>
      <c r="O1996" s="66"/>
      <c r="P1996" s="66"/>
      <c r="Q1996" s="66"/>
      <c r="R1996" s="66"/>
      <c r="S1996" s="66"/>
      <c r="T1996" s="66"/>
    </row>
    <row r="1997">
      <c r="A1997" s="66"/>
      <c r="B1997" s="66"/>
      <c r="C1997" s="66"/>
      <c r="D1997" s="66"/>
      <c r="E1997" s="15"/>
      <c r="F1997" s="66"/>
      <c r="G1997" s="18"/>
      <c r="H1997" s="15"/>
      <c r="I1997" s="18"/>
      <c r="J1997" s="22"/>
      <c r="K1997" s="108"/>
      <c r="L1997" s="66"/>
      <c r="M1997" s="66"/>
      <c r="N1997" s="66"/>
      <c r="O1997" s="66"/>
      <c r="P1997" s="66"/>
      <c r="Q1997" s="66"/>
      <c r="R1997" s="66"/>
      <c r="S1997" s="66"/>
      <c r="T1997" s="66"/>
    </row>
    <row r="1998">
      <c r="A1998" s="66"/>
      <c r="B1998" s="66"/>
      <c r="C1998" s="66"/>
      <c r="D1998" s="66"/>
      <c r="E1998" s="15"/>
      <c r="F1998" s="66"/>
      <c r="G1998" s="18"/>
      <c r="H1998" s="15"/>
      <c r="I1998" s="18"/>
      <c r="J1998" s="22"/>
      <c r="K1998" s="108"/>
      <c r="L1998" s="66"/>
      <c r="M1998" s="66"/>
      <c r="N1998" s="66"/>
      <c r="O1998" s="66"/>
      <c r="P1998" s="66"/>
      <c r="Q1998" s="66"/>
      <c r="R1998" s="66"/>
      <c r="S1998" s="66"/>
      <c r="T1998" s="66"/>
    </row>
    <row r="1999">
      <c r="A1999" s="66"/>
      <c r="B1999" s="66"/>
      <c r="C1999" s="66"/>
      <c r="D1999" s="66"/>
      <c r="E1999" s="15"/>
      <c r="F1999" s="66"/>
      <c r="G1999" s="18"/>
      <c r="H1999" s="15"/>
      <c r="I1999" s="18"/>
      <c r="J1999" s="22"/>
      <c r="K1999" s="108"/>
      <c r="L1999" s="66"/>
      <c r="M1999" s="66"/>
      <c r="N1999" s="66"/>
      <c r="O1999" s="66"/>
      <c r="P1999" s="66"/>
      <c r="Q1999" s="66"/>
      <c r="R1999" s="66"/>
      <c r="S1999" s="66"/>
      <c r="T1999" s="66"/>
    </row>
    <row r="2000">
      <c r="A2000" s="66"/>
      <c r="B2000" s="66"/>
      <c r="C2000" s="66"/>
      <c r="D2000" s="66"/>
      <c r="E2000" s="15"/>
      <c r="F2000" s="66"/>
      <c r="G2000" s="18"/>
      <c r="H2000" s="15"/>
      <c r="I2000" s="18"/>
      <c r="J2000" s="22"/>
      <c r="K2000" s="108"/>
      <c r="L2000" s="66"/>
      <c r="M2000" s="66"/>
      <c r="N2000" s="66"/>
      <c r="O2000" s="66"/>
      <c r="P2000" s="66"/>
      <c r="Q2000" s="66"/>
      <c r="R2000" s="66"/>
      <c r="S2000" s="66"/>
      <c r="T2000" s="66"/>
    </row>
    <row r="2001">
      <c r="A2001" s="66"/>
      <c r="B2001" s="66"/>
      <c r="C2001" s="66"/>
      <c r="D2001" s="66"/>
      <c r="E2001" s="15"/>
      <c r="F2001" s="66"/>
      <c r="G2001" s="18"/>
      <c r="H2001" s="15"/>
      <c r="I2001" s="18"/>
      <c r="J2001" s="22"/>
      <c r="K2001" s="108"/>
      <c r="L2001" s="66"/>
      <c r="M2001" s="66"/>
      <c r="N2001" s="66"/>
      <c r="O2001" s="66"/>
      <c r="P2001" s="66"/>
      <c r="Q2001" s="66"/>
      <c r="R2001" s="66"/>
      <c r="S2001" s="66"/>
      <c r="T2001" s="66"/>
    </row>
    <row r="2002">
      <c r="A2002" s="66"/>
      <c r="B2002" s="66"/>
      <c r="C2002" s="66"/>
      <c r="D2002" s="66"/>
      <c r="E2002" s="15"/>
      <c r="F2002" s="66"/>
      <c r="G2002" s="18"/>
      <c r="H2002" s="15"/>
      <c r="I2002" s="18"/>
      <c r="J2002" s="22"/>
      <c r="K2002" s="108"/>
      <c r="L2002" s="66"/>
      <c r="M2002" s="66"/>
      <c r="N2002" s="66"/>
      <c r="O2002" s="66"/>
      <c r="P2002" s="66"/>
      <c r="Q2002" s="66"/>
      <c r="R2002" s="66"/>
      <c r="S2002" s="66"/>
      <c r="T2002" s="66"/>
    </row>
    <row r="2003">
      <c r="A2003" s="66"/>
      <c r="B2003" s="66"/>
      <c r="C2003" s="66"/>
      <c r="D2003" s="66"/>
      <c r="E2003" s="15"/>
      <c r="F2003" s="66"/>
      <c r="G2003" s="18"/>
      <c r="H2003" s="15"/>
      <c r="I2003" s="18"/>
      <c r="J2003" s="22"/>
      <c r="K2003" s="108"/>
      <c r="L2003" s="66"/>
      <c r="M2003" s="66"/>
      <c r="N2003" s="66"/>
      <c r="O2003" s="66"/>
      <c r="P2003" s="66"/>
      <c r="Q2003" s="66"/>
      <c r="R2003" s="66"/>
      <c r="S2003" s="66"/>
      <c r="T2003" s="66"/>
    </row>
    <row r="2004">
      <c r="A2004" s="66"/>
      <c r="B2004" s="66"/>
      <c r="C2004" s="66"/>
      <c r="D2004" s="66"/>
      <c r="E2004" s="15"/>
      <c r="F2004" s="66"/>
      <c r="G2004" s="18"/>
      <c r="H2004" s="15"/>
      <c r="I2004" s="18"/>
      <c r="J2004" s="22"/>
      <c r="K2004" s="108"/>
      <c r="L2004" s="66"/>
      <c r="M2004" s="66"/>
      <c r="N2004" s="66"/>
      <c r="O2004" s="66"/>
      <c r="P2004" s="66"/>
      <c r="Q2004" s="66"/>
      <c r="R2004" s="66"/>
      <c r="S2004" s="66"/>
      <c r="T2004" s="66"/>
    </row>
    <row r="2005">
      <c r="A2005" s="66"/>
      <c r="B2005" s="66"/>
      <c r="C2005" s="66"/>
      <c r="D2005" s="66"/>
      <c r="E2005" s="15"/>
      <c r="F2005" s="66"/>
      <c r="G2005" s="18"/>
      <c r="H2005" s="15"/>
      <c r="I2005" s="18"/>
      <c r="J2005" s="22"/>
      <c r="K2005" s="108"/>
      <c r="L2005" s="66"/>
      <c r="M2005" s="66"/>
      <c r="N2005" s="66"/>
      <c r="O2005" s="66"/>
      <c r="P2005" s="66"/>
      <c r="Q2005" s="66"/>
      <c r="R2005" s="66"/>
      <c r="S2005" s="66"/>
      <c r="T2005" s="66"/>
    </row>
    <row r="2006">
      <c r="A2006" s="66"/>
      <c r="B2006" s="66"/>
      <c r="C2006" s="66"/>
      <c r="D2006" s="66"/>
      <c r="E2006" s="15"/>
      <c r="F2006" s="66"/>
      <c r="G2006" s="18"/>
      <c r="H2006" s="15"/>
      <c r="I2006" s="18"/>
      <c r="J2006" s="22"/>
      <c r="K2006" s="108"/>
      <c r="L2006" s="66"/>
      <c r="M2006" s="66"/>
      <c r="N2006" s="66"/>
      <c r="O2006" s="66"/>
      <c r="P2006" s="66"/>
      <c r="Q2006" s="66"/>
      <c r="R2006" s="66"/>
      <c r="S2006" s="66"/>
      <c r="T2006" s="66"/>
    </row>
    <row r="2007">
      <c r="A2007" s="66"/>
      <c r="B2007" s="66"/>
      <c r="C2007" s="66"/>
      <c r="D2007" s="66"/>
      <c r="E2007" s="15"/>
      <c r="F2007" s="66"/>
      <c r="G2007" s="18"/>
      <c r="H2007" s="15"/>
      <c r="I2007" s="18"/>
      <c r="J2007" s="22"/>
      <c r="K2007" s="108"/>
      <c r="L2007" s="66"/>
      <c r="M2007" s="66"/>
      <c r="N2007" s="66"/>
      <c r="O2007" s="66"/>
      <c r="P2007" s="66"/>
      <c r="Q2007" s="66"/>
      <c r="R2007" s="66"/>
      <c r="S2007" s="66"/>
      <c r="T2007" s="66"/>
    </row>
    <row r="2008">
      <c r="A2008" s="66"/>
      <c r="B2008" s="66"/>
      <c r="C2008" s="66"/>
      <c r="D2008" s="66"/>
      <c r="E2008" s="15"/>
      <c r="F2008" s="66"/>
      <c r="G2008" s="18"/>
      <c r="H2008" s="15"/>
      <c r="I2008" s="18"/>
      <c r="J2008" s="22"/>
      <c r="K2008" s="108"/>
      <c r="L2008" s="66"/>
      <c r="M2008" s="66"/>
      <c r="N2008" s="66"/>
      <c r="O2008" s="66"/>
      <c r="P2008" s="66"/>
      <c r="Q2008" s="66"/>
      <c r="R2008" s="66"/>
      <c r="S2008" s="66"/>
      <c r="T2008" s="66"/>
    </row>
    <row r="2009">
      <c r="A2009" s="66"/>
      <c r="B2009" s="66"/>
      <c r="C2009" s="66"/>
      <c r="D2009" s="66"/>
      <c r="E2009" s="15"/>
      <c r="F2009" s="66"/>
      <c r="G2009" s="18"/>
      <c r="H2009" s="15"/>
      <c r="I2009" s="18"/>
      <c r="J2009" s="22"/>
      <c r="K2009" s="108"/>
      <c r="L2009" s="66"/>
      <c r="M2009" s="66"/>
      <c r="N2009" s="66"/>
      <c r="O2009" s="66"/>
      <c r="P2009" s="66"/>
      <c r="Q2009" s="66"/>
      <c r="R2009" s="66"/>
      <c r="S2009" s="66"/>
      <c r="T2009" s="66"/>
    </row>
    <row r="2010">
      <c r="A2010" s="66"/>
      <c r="B2010" s="66"/>
      <c r="C2010" s="66"/>
      <c r="D2010" s="66"/>
      <c r="E2010" s="15"/>
      <c r="F2010" s="66"/>
      <c r="G2010" s="18"/>
      <c r="H2010" s="15"/>
      <c r="I2010" s="18"/>
      <c r="J2010" s="22"/>
      <c r="K2010" s="108"/>
      <c r="L2010" s="66"/>
      <c r="M2010" s="66"/>
      <c r="N2010" s="66"/>
      <c r="O2010" s="66"/>
      <c r="P2010" s="66"/>
      <c r="Q2010" s="66"/>
      <c r="R2010" s="66"/>
      <c r="S2010" s="66"/>
      <c r="T2010" s="66"/>
    </row>
    <row r="2011">
      <c r="A2011" s="66"/>
      <c r="B2011" s="66"/>
      <c r="C2011" s="66"/>
      <c r="D2011" s="66"/>
      <c r="E2011" s="15"/>
      <c r="F2011" s="66"/>
      <c r="G2011" s="18"/>
      <c r="H2011" s="15"/>
      <c r="I2011" s="18"/>
      <c r="J2011" s="22"/>
      <c r="K2011" s="108"/>
      <c r="L2011" s="66"/>
      <c r="M2011" s="66"/>
      <c r="N2011" s="66"/>
      <c r="O2011" s="66"/>
      <c r="P2011" s="66"/>
      <c r="Q2011" s="66"/>
      <c r="R2011" s="66"/>
      <c r="S2011" s="66"/>
      <c r="T2011" s="66"/>
    </row>
    <row r="2012">
      <c r="A2012" s="66"/>
      <c r="B2012" s="66"/>
      <c r="C2012" s="66"/>
      <c r="D2012" s="66"/>
      <c r="E2012" s="15"/>
      <c r="F2012" s="66"/>
      <c r="G2012" s="18"/>
      <c r="H2012" s="15"/>
      <c r="I2012" s="18"/>
      <c r="J2012" s="22"/>
      <c r="K2012" s="108"/>
      <c r="L2012" s="66"/>
      <c r="M2012" s="66"/>
      <c r="N2012" s="66"/>
      <c r="O2012" s="66"/>
      <c r="P2012" s="66"/>
      <c r="Q2012" s="66"/>
      <c r="R2012" s="66"/>
      <c r="S2012" s="66"/>
      <c r="T2012" s="66"/>
    </row>
    <row r="2013">
      <c r="A2013" s="66"/>
      <c r="B2013" s="66"/>
      <c r="C2013" s="66"/>
      <c r="D2013" s="66"/>
      <c r="E2013" s="15"/>
      <c r="F2013" s="66"/>
      <c r="G2013" s="18"/>
      <c r="H2013" s="15"/>
      <c r="I2013" s="18"/>
      <c r="J2013" s="22"/>
      <c r="K2013" s="108"/>
      <c r="L2013" s="66"/>
      <c r="M2013" s="66"/>
      <c r="N2013" s="66"/>
      <c r="O2013" s="66"/>
      <c r="P2013" s="66"/>
      <c r="Q2013" s="66"/>
      <c r="R2013" s="66"/>
      <c r="S2013" s="66"/>
      <c r="T2013" s="66"/>
    </row>
    <row r="2014">
      <c r="A2014" s="66"/>
      <c r="B2014" s="66"/>
      <c r="C2014" s="66"/>
      <c r="D2014" s="66"/>
      <c r="E2014" s="15"/>
      <c r="F2014" s="66"/>
      <c r="G2014" s="18"/>
      <c r="H2014" s="15"/>
      <c r="I2014" s="18"/>
      <c r="J2014" s="22"/>
      <c r="K2014" s="108"/>
      <c r="L2014" s="66"/>
      <c r="M2014" s="66"/>
      <c r="N2014" s="66"/>
      <c r="O2014" s="66"/>
      <c r="P2014" s="66"/>
      <c r="Q2014" s="66"/>
      <c r="R2014" s="66"/>
      <c r="S2014" s="66"/>
      <c r="T2014" s="66"/>
    </row>
    <row r="2015">
      <c r="A2015" s="66"/>
      <c r="B2015" s="66"/>
      <c r="C2015" s="66"/>
      <c r="D2015" s="66"/>
      <c r="E2015" s="15"/>
      <c r="F2015" s="66"/>
      <c r="G2015" s="18"/>
      <c r="H2015" s="15"/>
      <c r="I2015" s="18"/>
      <c r="J2015" s="22"/>
      <c r="K2015" s="108"/>
      <c r="L2015" s="66"/>
      <c r="M2015" s="66"/>
      <c r="N2015" s="66"/>
      <c r="O2015" s="66"/>
      <c r="P2015" s="66"/>
      <c r="Q2015" s="66"/>
      <c r="R2015" s="66"/>
      <c r="S2015" s="66"/>
      <c r="T2015" s="66"/>
    </row>
    <row r="2016">
      <c r="A2016" s="66"/>
      <c r="B2016" s="66"/>
      <c r="C2016" s="66"/>
      <c r="D2016" s="66"/>
      <c r="E2016" s="15"/>
      <c r="F2016" s="66"/>
      <c r="G2016" s="18"/>
      <c r="H2016" s="15"/>
      <c r="I2016" s="18"/>
      <c r="J2016" s="22"/>
      <c r="K2016" s="108"/>
      <c r="L2016" s="66"/>
      <c r="M2016" s="66"/>
      <c r="N2016" s="66"/>
      <c r="O2016" s="66"/>
      <c r="P2016" s="66"/>
      <c r="Q2016" s="66"/>
      <c r="R2016" s="66"/>
      <c r="S2016" s="66"/>
      <c r="T2016" s="66"/>
    </row>
    <row r="2017">
      <c r="A2017" s="66"/>
      <c r="B2017" s="66"/>
      <c r="C2017" s="66"/>
      <c r="D2017" s="66"/>
      <c r="E2017" s="15"/>
      <c r="F2017" s="66"/>
      <c r="G2017" s="18"/>
      <c r="H2017" s="15"/>
      <c r="I2017" s="18"/>
      <c r="J2017" s="22"/>
      <c r="K2017" s="108"/>
      <c r="L2017" s="66"/>
      <c r="M2017" s="66"/>
      <c r="N2017" s="66"/>
      <c r="O2017" s="66"/>
      <c r="P2017" s="66"/>
      <c r="Q2017" s="66"/>
      <c r="R2017" s="66"/>
      <c r="S2017" s="66"/>
      <c r="T2017" s="66"/>
    </row>
    <row r="2018">
      <c r="A2018" s="66"/>
      <c r="B2018" s="66"/>
      <c r="C2018" s="66"/>
      <c r="D2018" s="66"/>
      <c r="E2018" s="15"/>
      <c r="F2018" s="66"/>
      <c r="G2018" s="18"/>
      <c r="H2018" s="15"/>
      <c r="I2018" s="18"/>
      <c r="J2018" s="22"/>
      <c r="K2018" s="108"/>
      <c r="L2018" s="66"/>
      <c r="M2018" s="66"/>
      <c r="N2018" s="66"/>
      <c r="O2018" s="66"/>
      <c r="P2018" s="66"/>
      <c r="Q2018" s="66"/>
      <c r="R2018" s="66"/>
      <c r="S2018" s="66"/>
      <c r="T2018" s="66"/>
    </row>
    <row r="2019">
      <c r="A2019" s="66"/>
      <c r="B2019" s="66"/>
      <c r="C2019" s="66"/>
      <c r="D2019" s="66"/>
      <c r="E2019" s="15"/>
      <c r="F2019" s="66"/>
      <c r="G2019" s="18"/>
      <c r="H2019" s="15"/>
      <c r="I2019" s="18"/>
      <c r="J2019" s="22"/>
      <c r="K2019" s="108"/>
      <c r="L2019" s="66"/>
      <c r="M2019" s="66"/>
      <c r="N2019" s="66"/>
      <c r="O2019" s="66"/>
      <c r="P2019" s="66"/>
      <c r="Q2019" s="66"/>
      <c r="R2019" s="66"/>
      <c r="S2019" s="66"/>
      <c r="T2019" s="66"/>
    </row>
    <row r="2020">
      <c r="A2020" s="66"/>
      <c r="B2020" s="66"/>
      <c r="C2020" s="66"/>
      <c r="D2020" s="66"/>
      <c r="E2020" s="15"/>
      <c r="F2020" s="66"/>
      <c r="G2020" s="18"/>
      <c r="H2020" s="15"/>
      <c r="I2020" s="18"/>
      <c r="J2020" s="22"/>
      <c r="K2020" s="108"/>
      <c r="L2020" s="66"/>
      <c r="M2020" s="66"/>
      <c r="N2020" s="66"/>
      <c r="O2020" s="66"/>
      <c r="P2020" s="66"/>
      <c r="Q2020" s="66"/>
      <c r="R2020" s="66"/>
      <c r="S2020" s="66"/>
      <c r="T2020" s="66"/>
    </row>
    <row r="2021">
      <c r="A2021" s="66"/>
      <c r="B2021" s="66"/>
      <c r="C2021" s="66"/>
      <c r="D2021" s="66"/>
      <c r="E2021" s="15"/>
      <c r="F2021" s="66"/>
      <c r="G2021" s="18"/>
      <c r="H2021" s="15"/>
      <c r="I2021" s="18"/>
      <c r="J2021" s="22"/>
      <c r="K2021" s="108"/>
      <c r="L2021" s="66"/>
      <c r="M2021" s="66"/>
      <c r="N2021" s="66"/>
      <c r="O2021" s="66"/>
      <c r="P2021" s="66"/>
      <c r="Q2021" s="66"/>
      <c r="R2021" s="66"/>
      <c r="S2021" s="66"/>
      <c r="T2021" s="66"/>
    </row>
    <row r="2022">
      <c r="A2022" s="66"/>
      <c r="B2022" s="66"/>
      <c r="C2022" s="66"/>
      <c r="D2022" s="66"/>
      <c r="E2022" s="15"/>
      <c r="F2022" s="66"/>
      <c r="G2022" s="18"/>
      <c r="H2022" s="15"/>
      <c r="I2022" s="18"/>
      <c r="J2022" s="22"/>
      <c r="K2022" s="108"/>
      <c r="L2022" s="66"/>
      <c r="M2022" s="66"/>
      <c r="N2022" s="66"/>
      <c r="O2022" s="66"/>
      <c r="P2022" s="66"/>
      <c r="Q2022" s="66"/>
      <c r="R2022" s="66"/>
      <c r="S2022" s="66"/>
      <c r="T2022" s="66"/>
    </row>
    <row r="2023">
      <c r="A2023" s="66"/>
      <c r="B2023" s="66"/>
      <c r="C2023" s="66"/>
      <c r="D2023" s="66"/>
      <c r="E2023" s="15"/>
      <c r="F2023" s="66"/>
      <c r="G2023" s="18"/>
      <c r="H2023" s="15"/>
      <c r="I2023" s="18"/>
      <c r="J2023" s="22"/>
      <c r="K2023" s="108"/>
      <c r="L2023" s="66"/>
      <c r="M2023" s="66"/>
      <c r="N2023" s="66"/>
      <c r="O2023" s="66"/>
      <c r="P2023" s="66"/>
      <c r="Q2023" s="66"/>
      <c r="R2023" s="66"/>
      <c r="S2023" s="66"/>
      <c r="T2023" s="66"/>
    </row>
    <row r="2024">
      <c r="A2024" s="66"/>
      <c r="B2024" s="66"/>
      <c r="C2024" s="66"/>
      <c r="D2024" s="66"/>
      <c r="E2024" s="15"/>
      <c r="F2024" s="66"/>
      <c r="G2024" s="18"/>
      <c r="H2024" s="15"/>
      <c r="I2024" s="18"/>
      <c r="J2024" s="22"/>
      <c r="K2024" s="108"/>
      <c r="L2024" s="66"/>
      <c r="M2024" s="66"/>
      <c r="N2024" s="66"/>
      <c r="O2024" s="66"/>
      <c r="P2024" s="66"/>
      <c r="Q2024" s="66"/>
      <c r="R2024" s="66"/>
      <c r="S2024" s="66"/>
      <c r="T2024" s="66"/>
    </row>
    <row r="2025">
      <c r="A2025" s="66"/>
      <c r="B2025" s="66"/>
      <c r="C2025" s="66"/>
      <c r="D2025" s="66"/>
      <c r="E2025" s="15"/>
      <c r="F2025" s="66"/>
      <c r="G2025" s="18"/>
      <c r="H2025" s="15"/>
      <c r="I2025" s="18"/>
      <c r="J2025" s="22"/>
      <c r="K2025" s="108"/>
      <c r="L2025" s="66"/>
      <c r="M2025" s="66"/>
      <c r="N2025" s="66"/>
      <c r="O2025" s="66"/>
      <c r="P2025" s="66"/>
      <c r="Q2025" s="66"/>
      <c r="R2025" s="66"/>
      <c r="S2025" s="66"/>
      <c r="T2025" s="66"/>
    </row>
    <row r="2026">
      <c r="A2026" s="66"/>
      <c r="B2026" s="66"/>
      <c r="C2026" s="66"/>
      <c r="D2026" s="66"/>
      <c r="E2026" s="15"/>
      <c r="F2026" s="66"/>
      <c r="G2026" s="18"/>
      <c r="H2026" s="15"/>
      <c r="I2026" s="18"/>
      <c r="J2026" s="22"/>
      <c r="K2026" s="108"/>
      <c r="L2026" s="66"/>
      <c r="M2026" s="66"/>
      <c r="N2026" s="66"/>
      <c r="O2026" s="66"/>
      <c r="P2026" s="66"/>
      <c r="Q2026" s="66"/>
      <c r="R2026" s="66"/>
      <c r="S2026" s="66"/>
      <c r="T2026" s="66"/>
    </row>
    <row r="2027">
      <c r="A2027" s="66"/>
      <c r="B2027" s="66"/>
      <c r="C2027" s="66"/>
      <c r="D2027" s="66"/>
      <c r="E2027" s="15"/>
      <c r="F2027" s="66"/>
      <c r="G2027" s="18"/>
      <c r="H2027" s="15"/>
      <c r="I2027" s="18"/>
      <c r="J2027" s="22"/>
      <c r="K2027" s="108"/>
      <c r="L2027" s="66"/>
      <c r="M2027" s="66"/>
      <c r="N2027" s="66"/>
      <c r="O2027" s="66"/>
      <c r="P2027" s="66"/>
      <c r="Q2027" s="66"/>
      <c r="R2027" s="66"/>
      <c r="S2027" s="66"/>
      <c r="T2027" s="66"/>
    </row>
    <row r="2028">
      <c r="A2028" s="66"/>
      <c r="B2028" s="66"/>
      <c r="C2028" s="66"/>
      <c r="D2028" s="66"/>
      <c r="E2028" s="15"/>
      <c r="F2028" s="66"/>
      <c r="G2028" s="18"/>
      <c r="H2028" s="15"/>
      <c r="I2028" s="18"/>
      <c r="J2028" s="22"/>
      <c r="K2028" s="108"/>
      <c r="L2028" s="66"/>
      <c r="M2028" s="66"/>
      <c r="N2028" s="66"/>
      <c r="O2028" s="66"/>
      <c r="P2028" s="66"/>
      <c r="Q2028" s="66"/>
      <c r="R2028" s="66"/>
      <c r="S2028" s="66"/>
      <c r="T2028" s="66"/>
    </row>
    <row r="2029">
      <c r="A2029" s="66"/>
      <c r="B2029" s="66"/>
      <c r="C2029" s="66"/>
      <c r="D2029" s="66"/>
      <c r="E2029" s="15"/>
      <c r="F2029" s="66"/>
      <c r="G2029" s="18"/>
      <c r="H2029" s="15"/>
      <c r="I2029" s="18"/>
      <c r="J2029" s="22"/>
      <c r="K2029" s="108"/>
      <c r="L2029" s="66"/>
      <c r="M2029" s="66"/>
      <c r="N2029" s="66"/>
      <c r="O2029" s="66"/>
      <c r="P2029" s="66"/>
      <c r="Q2029" s="66"/>
      <c r="R2029" s="66"/>
      <c r="S2029" s="66"/>
      <c r="T2029" s="66"/>
    </row>
    <row r="2030">
      <c r="A2030" s="66"/>
      <c r="B2030" s="66"/>
      <c r="C2030" s="66"/>
      <c r="D2030" s="66"/>
      <c r="E2030" s="15"/>
      <c r="F2030" s="66"/>
      <c r="G2030" s="18"/>
      <c r="H2030" s="15"/>
      <c r="I2030" s="18"/>
      <c r="J2030" s="22"/>
      <c r="K2030" s="108"/>
      <c r="L2030" s="66"/>
      <c r="M2030" s="66"/>
      <c r="N2030" s="66"/>
      <c r="O2030" s="66"/>
      <c r="P2030" s="66"/>
      <c r="Q2030" s="66"/>
      <c r="R2030" s="66"/>
      <c r="S2030" s="66"/>
      <c r="T2030" s="66"/>
    </row>
    <row r="2031">
      <c r="A2031" s="66"/>
      <c r="B2031" s="66"/>
      <c r="C2031" s="66"/>
      <c r="D2031" s="66"/>
      <c r="E2031" s="15"/>
      <c r="F2031" s="66"/>
      <c r="G2031" s="18"/>
      <c r="H2031" s="15"/>
      <c r="I2031" s="18"/>
      <c r="J2031" s="22"/>
      <c r="K2031" s="108"/>
      <c r="L2031" s="66"/>
      <c r="M2031" s="66"/>
      <c r="N2031" s="66"/>
      <c r="O2031" s="66"/>
      <c r="P2031" s="66"/>
      <c r="Q2031" s="66"/>
      <c r="R2031" s="66"/>
      <c r="S2031" s="66"/>
      <c r="T2031" s="66"/>
    </row>
    <row r="2032">
      <c r="A2032" s="66"/>
      <c r="B2032" s="66"/>
      <c r="C2032" s="66"/>
      <c r="D2032" s="66"/>
      <c r="E2032" s="15"/>
      <c r="F2032" s="66"/>
      <c r="G2032" s="18"/>
      <c r="H2032" s="15"/>
      <c r="I2032" s="18"/>
      <c r="J2032" s="22"/>
      <c r="K2032" s="108"/>
      <c r="L2032" s="66"/>
      <c r="M2032" s="66"/>
      <c r="N2032" s="66"/>
      <c r="O2032" s="66"/>
      <c r="P2032" s="66"/>
      <c r="Q2032" s="66"/>
      <c r="R2032" s="66"/>
      <c r="S2032" s="66"/>
      <c r="T2032" s="66"/>
    </row>
    <row r="2033">
      <c r="A2033" s="66"/>
      <c r="B2033" s="66"/>
      <c r="C2033" s="66"/>
      <c r="D2033" s="66"/>
      <c r="E2033" s="15"/>
      <c r="F2033" s="66"/>
      <c r="G2033" s="18"/>
      <c r="H2033" s="15"/>
      <c r="I2033" s="18"/>
      <c r="J2033" s="22"/>
      <c r="K2033" s="108"/>
      <c r="L2033" s="66"/>
      <c r="M2033" s="66"/>
      <c r="N2033" s="66"/>
      <c r="O2033" s="66"/>
      <c r="P2033" s="66"/>
      <c r="Q2033" s="66"/>
      <c r="R2033" s="66"/>
      <c r="S2033" s="66"/>
      <c r="T2033" s="66"/>
    </row>
    <row r="2034">
      <c r="A2034" s="66"/>
      <c r="B2034" s="66"/>
      <c r="C2034" s="66"/>
      <c r="D2034" s="66"/>
      <c r="E2034" s="15"/>
      <c r="F2034" s="66"/>
      <c r="G2034" s="18"/>
      <c r="H2034" s="15"/>
      <c r="I2034" s="18"/>
      <c r="J2034" s="22"/>
      <c r="K2034" s="108"/>
      <c r="L2034" s="66"/>
      <c r="M2034" s="66"/>
      <c r="N2034" s="66"/>
      <c r="O2034" s="66"/>
      <c r="P2034" s="66"/>
      <c r="Q2034" s="66"/>
      <c r="R2034" s="66"/>
      <c r="S2034" s="66"/>
      <c r="T2034" s="66"/>
    </row>
    <row r="2035">
      <c r="A2035" s="66"/>
      <c r="B2035" s="66"/>
      <c r="C2035" s="66"/>
      <c r="D2035" s="66"/>
      <c r="E2035" s="15"/>
      <c r="F2035" s="66"/>
      <c r="G2035" s="18"/>
      <c r="H2035" s="15"/>
      <c r="I2035" s="18"/>
      <c r="J2035" s="22"/>
      <c r="K2035" s="108"/>
      <c r="L2035" s="66"/>
      <c r="M2035" s="66"/>
      <c r="N2035" s="66"/>
      <c r="O2035" s="66"/>
      <c r="P2035" s="66"/>
      <c r="Q2035" s="66"/>
      <c r="R2035" s="66"/>
      <c r="S2035" s="66"/>
      <c r="T2035" s="66"/>
    </row>
    <row r="2036">
      <c r="A2036" s="66"/>
      <c r="B2036" s="66"/>
      <c r="C2036" s="66"/>
      <c r="D2036" s="66"/>
      <c r="E2036" s="15"/>
      <c r="F2036" s="66"/>
      <c r="G2036" s="18"/>
      <c r="H2036" s="15"/>
      <c r="I2036" s="18"/>
      <c r="J2036" s="22"/>
      <c r="K2036" s="108"/>
      <c r="L2036" s="66"/>
      <c r="M2036" s="66"/>
      <c r="N2036" s="66"/>
      <c r="O2036" s="66"/>
      <c r="P2036" s="66"/>
      <c r="Q2036" s="66"/>
      <c r="R2036" s="66"/>
      <c r="S2036" s="66"/>
      <c r="T2036" s="66"/>
    </row>
    <row r="2037">
      <c r="A2037" s="66"/>
      <c r="B2037" s="66"/>
      <c r="C2037" s="66"/>
      <c r="D2037" s="66"/>
      <c r="E2037" s="15"/>
      <c r="F2037" s="66"/>
      <c r="G2037" s="18"/>
      <c r="H2037" s="15"/>
      <c r="I2037" s="18"/>
      <c r="J2037" s="22"/>
      <c r="K2037" s="108"/>
      <c r="L2037" s="66"/>
      <c r="M2037" s="66"/>
      <c r="N2037" s="66"/>
      <c r="O2037" s="66"/>
      <c r="P2037" s="66"/>
      <c r="Q2037" s="66"/>
      <c r="R2037" s="66"/>
      <c r="S2037" s="66"/>
      <c r="T2037" s="66"/>
    </row>
    <row r="2038">
      <c r="A2038" s="66"/>
      <c r="B2038" s="66"/>
      <c r="C2038" s="66"/>
      <c r="D2038" s="66"/>
      <c r="E2038" s="15"/>
      <c r="F2038" s="66"/>
      <c r="G2038" s="18"/>
      <c r="H2038" s="15"/>
      <c r="I2038" s="18"/>
      <c r="J2038" s="22"/>
      <c r="K2038" s="108"/>
      <c r="L2038" s="66"/>
      <c r="M2038" s="66"/>
      <c r="N2038" s="66"/>
      <c r="O2038" s="66"/>
      <c r="P2038" s="66"/>
      <c r="Q2038" s="66"/>
      <c r="R2038" s="66"/>
      <c r="S2038" s="66"/>
      <c r="T2038" s="66"/>
    </row>
    <row r="2039">
      <c r="A2039" s="66"/>
      <c r="B2039" s="66"/>
      <c r="C2039" s="66"/>
      <c r="D2039" s="66"/>
      <c r="E2039" s="15"/>
      <c r="F2039" s="66"/>
      <c r="G2039" s="18"/>
      <c r="H2039" s="15"/>
      <c r="I2039" s="18"/>
      <c r="J2039" s="22"/>
      <c r="K2039" s="108"/>
      <c r="L2039" s="66"/>
      <c r="M2039" s="66"/>
      <c r="N2039" s="66"/>
      <c r="O2039" s="66"/>
      <c r="P2039" s="66"/>
      <c r="Q2039" s="66"/>
      <c r="R2039" s="66"/>
      <c r="S2039" s="66"/>
      <c r="T2039" s="66"/>
    </row>
    <row r="2040">
      <c r="A2040" s="66"/>
      <c r="B2040" s="66"/>
      <c r="C2040" s="66"/>
      <c r="D2040" s="66"/>
      <c r="E2040" s="15"/>
      <c r="F2040" s="66"/>
      <c r="G2040" s="18"/>
      <c r="H2040" s="15"/>
      <c r="I2040" s="18"/>
      <c r="J2040" s="22"/>
      <c r="K2040" s="108"/>
      <c r="L2040" s="66"/>
      <c r="M2040" s="66"/>
      <c r="N2040" s="66"/>
      <c r="O2040" s="66"/>
      <c r="P2040" s="66"/>
      <c r="Q2040" s="66"/>
      <c r="R2040" s="66"/>
      <c r="S2040" s="66"/>
      <c r="T2040" s="66"/>
    </row>
    <row r="2041">
      <c r="A2041" s="66"/>
      <c r="B2041" s="66"/>
      <c r="C2041" s="66"/>
      <c r="D2041" s="66"/>
      <c r="E2041" s="15"/>
      <c r="F2041" s="66"/>
      <c r="G2041" s="18"/>
      <c r="H2041" s="15"/>
      <c r="I2041" s="18"/>
      <c r="J2041" s="22"/>
      <c r="K2041" s="108"/>
      <c r="L2041" s="66"/>
      <c r="M2041" s="66"/>
      <c r="N2041" s="66"/>
      <c r="O2041" s="66"/>
      <c r="P2041" s="66"/>
      <c r="Q2041" s="66"/>
      <c r="R2041" s="66"/>
      <c r="S2041" s="66"/>
      <c r="T2041" s="66"/>
    </row>
    <row r="2042">
      <c r="A2042" s="66"/>
      <c r="B2042" s="66"/>
      <c r="C2042" s="66"/>
      <c r="D2042" s="66"/>
      <c r="E2042" s="15"/>
      <c r="F2042" s="66"/>
      <c r="G2042" s="18"/>
      <c r="H2042" s="15"/>
      <c r="I2042" s="18"/>
      <c r="J2042" s="22"/>
      <c r="K2042" s="108"/>
      <c r="L2042" s="66"/>
      <c r="M2042" s="66"/>
      <c r="N2042" s="66"/>
      <c r="O2042" s="66"/>
      <c r="P2042" s="66"/>
      <c r="Q2042" s="66"/>
      <c r="R2042" s="66"/>
      <c r="S2042" s="66"/>
      <c r="T2042" s="66"/>
    </row>
    <row r="2043">
      <c r="A2043" s="66"/>
      <c r="B2043" s="66"/>
      <c r="C2043" s="66"/>
      <c r="D2043" s="66"/>
      <c r="E2043" s="15"/>
      <c r="F2043" s="66"/>
      <c r="G2043" s="18"/>
      <c r="H2043" s="15"/>
      <c r="I2043" s="18"/>
      <c r="J2043" s="22"/>
      <c r="K2043" s="108"/>
      <c r="L2043" s="66"/>
      <c r="M2043" s="66"/>
      <c r="N2043" s="66"/>
      <c r="O2043" s="66"/>
      <c r="P2043" s="66"/>
      <c r="Q2043" s="66"/>
      <c r="R2043" s="66"/>
      <c r="S2043" s="66"/>
      <c r="T2043" s="66"/>
    </row>
    <row r="2044">
      <c r="A2044" s="66"/>
      <c r="B2044" s="66"/>
      <c r="C2044" s="66"/>
      <c r="D2044" s="66"/>
      <c r="E2044" s="15"/>
      <c r="F2044" s="66"/>
      <c r="G2044" s="18"/>
      <c r="H2044" s="15"/>
      <c r="I2044" s="18"/>
      <c r="J2044" s="22"/>
      <c r="K2044" s="108"/>
      <c r="L2044" s="66"/>
      <c r="M2044" s="66"/>
      <c r="N2044" s="66"/>
      <c r="O2044" s="66"/>
      <c r="P2044" s="66"/>
      <c r="Q2044" s="66"/>
      <c r="R2044" s="66"/>
      <c r="S2044" s="66"/>
      <c r="T2044" s="66"/>
    </row>
    <row r="2045">
      <c r="A2045" s="66"/>
      <c r="B2045" s="66"/>
      <c r="C2045" s="66"/>
      <c r="D2045" s="66"/>
      <c r="E2045" s="15"/>
      <c r="F2045" s="66"/>
      <c r="G2045" s="18"/>
      <c r="H2045" s="15"/>
      <c r="I2045" s="18"/>
      <c r="J2045" s="22"/>
      <c r="K2045" s="108"/>
      <c r="L2045" s="66"/>
      <c r="M2045" s="66"/>
      <c r="N2045" s="66"/>
      <c r="O2045" s="66"/>
      <c r="P2045" s="66"/>
      <c r="Q2045" s="66"/>
      <c r="R2045" s="66"/>
      <c r="S2045" s="66"/>
      <c r="T2045" s="66"/>
    </row>
    <row r="2046">
      <c r="A2046" s="66"/>
      <c r="B2046" s="66"/>
      <c r="C2046" s="66"/>
      <c r="D2046" s="66"/>
      <c r="E2046" s="15"/>
      <c r="F2046" s="66"/>
      <c r="G2046" s="18"/>
      <c r="H2046" s="15"/>
      <c r="I2046" s="18"/>
      <c r="J2046" s="22"/>
      <c r="K2046" s="108"/>
      <c r="L2046" s="66"/>
      <c r="M2046" s="66"/>
      <c r="N2046" s="66"/>
      <c r="O2046" s="66"/>
      <c r="P2046" s="66"/>
      <c r="Q2046" s="66"/>
      <c r="R2046" s="66"/>
      <c r="S2046" s="66"/>
      <c r="T2046" s="66"/>
    </row>
    <row r="2047">
      <c r="A2047" s="66"/>
      <c r="B2047" s="66"/>
      <c r="C2047" s="66"/>
      <c r="D2047" s="66"/>
      <c r="E2047" s="15"/>
      <c r="F2047" s="66"/>
      <c r="G2047" s="18"/>
      <c r="H2047" s="15"/>
      <c r="I2047" s="18"/>
      <c r="J2047" s="22"/>
      <c r="K2047" s="108"/>
      <c r="L2047" s="66"/>
      <c r="M2047" s="66"/>
      <c r="N2047" s="66"/>
      <c r="O2047" s="66"/>
      <c r="P2047" s="66"/>
      <c r="Q2047" s="66"/>
      <c r="R2047" s="66"/>
      <c r="S2047" s="66"/>
      <c r="T2047" s="66"/>
    </row>
    <row r="2048">
      <c r="A2048" s="66"/>
      <c r="B2048" s="66"/>
      <c r="C2048" s="66"/>
      <c r="D2048" s="66"/>
      <c r="E2048" s="15"/>
      <c r="F2048" s="66"/>
      <c r="G2048" s="18"/>
      <c r="H2048" s="15"/>
      <c r="I2048" s="18"/>
      <c r="J2048" s="22"/>
      <c r="K2048" s="108"/>
      <c r="L2048" s="66"/>
      <c r="M2048" s="66"/>
      <c r="N2048" s="66"/>
      <c r="O2048" s="66"/>
      <c r="P2048" s="66"/>
      <c r="Q2048" s="66"/>
      <c r="R2048" s="66"/>
      <c r="S2048" s="66"/>
      <c r="T2048" s="66"/>
    </row>
    <row r="2049">
      <c r="A2049" s="66"/>
      <c r="B2049" s="66"/>
      <c r="C2049" s="66"/>
      <c r="D2049" s="66"/>
      <c r="E2049" s="15"/>
      <c r="F2049" s="66"/>
      <c r="G2049" s="18"/>
      <c r="H2049" s="15"/>
      <c r="I2049" s="18"/>
      <c r="J2049" s="22"/>
      <c r="K2049" s="108"/>
      <c r="L2049" s="66"/>
      <c r="M2049" s="66"/>
      <c r="N2049" s="66"/>
      <c r="O2049" s="66"/>
      <c r="P2049" s="66"/>
      <c r="Q2049" s="66"/>
      <c r="R2049" s="66"/>
      <c r="S2049" s="66"/>
      <c r="T2049" s="66"/>
    </row>
    <row r="2050">
      <c r="A2050" s="66"/>
      <c r="B2050" s="66"/>
      <c r="C2050" s="66"/>
      <c r="D2050" s="66"/>
      <c r="E2050" s="15"/>
      <c r="F2050" s="66"/>
      <c r="G2050" s="18"/>
      <c r="H2050" s="15"/>
      <c r="I2050" s="18"/>
      <c r="J2050" s="22"/>
      <c r="K2050" s="108"/>
      <c r="L2050" s="66"/>
      <c r="M2050" s="66"/>
      <c r="N2050" s="66"/>
      <c r="O2050" s="66"/>
      <c r="P2050" s="66"/>
      <c r="Q2050" s="66"/>
      <c r="R2050" s="66"/>
      <c r="S2050" s="66"/>
      <c r="T2050" s="66"/>
    </row>
    <row r="2051">
      <c r="A2051" s="66"/>
      <c r="B2051" s="66"/>
      <c r="C2051" s="66"/>
      <c r="D2051" s="66"/>
      <c r="E2051" s="15"/>
      <c r="F2051" s="66"/>
      <c r="G2051" s="18"/>
      <c r="H2051" s="15"/>
      <c r="I2051" s="18"/>
      <c r="J2051" s="22"/>
      <c r="K2051" s="108"/>
      <c r="L2051" s="66"/>
      <c r="M2051" s="66"/>
      <c r="N2051" s="66"/>
      <c r="O2051" s="66"/>
      <c r="P2051" s="66"/>
      <c r="Q2051" s="66"/>
      <c r="R2051" s="66"/>
      <c r="S2051" s="66"/>
      <c r="T2051" s="66"/>
    </row>
    <row r="2052">
      <c r="A2052" s="66"/>
      <c r="B2052" s="66"/>
      <c r="C2052" s="66"/>
      <c r="D2052" s="66"/>
      <c r="E2052" s="15"/>
      <c r="F2052" s="66"/>
      <c r="G2052" s="18"/>
      <c r="H2052" s="15"/>
      <c r="I2052" s="18"/>
      <c r="J2052" s="22"/>
      <c r="K2052" s="108"/>
      <c r="L2052" s="66"/>
      <c r="M2052" s="66"/>
      <c r="N2052" s="66"/>
      <c r="O2052" s="66"/>
      <c r="P2052" s="66"/>
      <c r="Q2052" s="66"/>
      <c r="R2052" s="66"/>
      <c r="S2052" s="66"/>
      <c r="T2052" s="66"/>
    </row>
    <row r="2053">
      <c r="A2053" s="66"/>
      <c r="B2053" s="66"/>
      <c r="C2053" s="66"/>
      <c r="D2053" s="66"/>
      <c r="E2053" s="15"/>
      <c r="F2053" s="66"/>
      <c r="G2053" s="18"/>
      <c r="H2053" s="15"/>
      <c r="I2053" s="18"/>
      <c r="J2053" s="22"/>
      <c r="K2053" s="108"/>
      <c r="L2053" s="66"/>
      <c r="M2053" s="66"/>
      <c r="N2053" s="66"/>
      <c r="O2053" s="66"/>
      <c r="P2053" s="66"/>
      <c r="Q2053" s="66"/>
      <c r="R2053" s="66"/>
      <c r="S2053" s="66"/>
      <c r="T2053" s="66"/>
    </row>
    <row r="2054">
      <c r="A2054" s="66"/>
      <c r="B2054" s="66"/>
      <c r="C2054" s="66"/>
      <c r="D2054" s="66"/>
      <c r="E2054" s="15"/>
      <c r="F2054" s="66"/>
      <c r="G2054" s="18"/>
      <c r="H2054" s="15"/>
      <c r="I2054" s="18"/>
      <c r="J2054" s="22"/>
      <c r="K2054" s="108"/>
      <c r="L2054" s="66"/>
      <c r="M2054" s="66"/>
      <c r="N2054" s="66"/>
      <c r="O2054" s="66"/>
      <c r="P2054" s="66"/>
      <c r="Q2054" s="66"/>
      <c r="R2054" s="66"/>
      <c r="S2054" s="66"/>
      <c r="T2054" s="66"/>
    </row>
    <row r="2055">
      <c r="A2055" s="66"/>
      <c r="B2055" s="66"/>
      <c r="C2055" s="66"/>
      <c r="D2055" s="66"/>
      <c r="E2055" s="15"/>
      <c r="F2055" s="66"/>
      <c r="G2055" s="18"/>
      <c r="H2055" s="15"/>
      <c r="I2055" s="18"/>
      <c r="J2055" s="22"/>
      <c r="K2055" s="108"/>
      <c r="L2055" s="66"/>
      <c r="M2055" s="66"/>
      <c r="N2055" s="66"/>
      <c r="O2055" s="66"/>
      <c r="P2055" s="66"/>
      <c r="Q2055" s="66"/>
      <c r="R2055" s="66"/>
      <c r="S2055" s="66"/>
      <c r="T2055" s="66"/>
    </row>
    <row r="2056">
      <c r="A2056" s="66"/>
      <c r="B2056" s="66"/>
      <c r="C2056" s="66"/>
      <c r="D2056" s="66"/>
      <c r="E2056" s="15"/>
      <c r="F2056" s="66"/>
      <c r="G2056" s="18"/>
      <c r="H2056" s="15"/>
      <c r="I2056" s="18"/>
      <c r="J2056" s="22"/>
      <c r="K2056" s="108"/>
      <c r="L2056" s="66"/>
      <c r="M2056" s="66"/>
      <c r="N2056" s="66"/>
      <c r="O2056" s="66"/>
      <c r="P2056" s="66"/>
      <c r="Q2056" s="66"/>
      <c r="R2056" s="66"/>
      <c r="S2056" s="66"/>
      <c r="T2056" s="66"/>
    </row>
    <row r="2057">
      <c r="A2057" s="66"/>
      <c r="B2057" s="66"/>
      <c r="C2057" s="66"/>
      <c r="D2057" s="66"/>
      <c r="E2057" s="15"/>
      <c r="F2057" s="66"/>
      <c r="G2057" s="18"/>
      <c r="H2057" s="15"/>
      <c r="I2057" s="18"/>
      <c r="J2057" s="22"/>
      <c r="K2057" s="108"/>
      <c r="L2057" s="66"/>
      <c r="M2057" s="66"/>
      <c r="N2057" s="66"/>
      <c r="O2057" s="66"/>
      <c r="P2057" s="66"/>
      <c r="Q2057" s="66"/>
      <c r="R2057" s="66"/>
      <c r="S2057" s="66"/>
      <c r="T2057" s="66"/>
    </row>
    <row r="2058">
      <c r="A2058" s="66"/>
      <c r="B2058" s="66"/>
      <c r="C2058" s="66"/>
      <c r="D2058" s="66"/>
      <c r="E2058" s="15"/>
      <c r="F2058" s="66"/>
      <c r="G2058" s="18"/>
      <c r="H2058" s="15"/>
      <c r="I2058" s="18"/>
      <c r="J2058" s="22"/>
      <c r="K2058" s="108"/>
      <c r="L2058" s="66"/>
      <c r="M2058" s="66"/>
      <c r="N2058" s="66"/>
      <c r="O2058" s="66"/>
      <c r="P2058" s="66"/>
      <c r="Q2058" s="66"/>
      <c r="R2058" s="66"/>
      <c r="S2058" s="66"/>
      <c r="T2058" s="66"/>
    </row>
    <row r="2059">
      <c r="A2059" s="66"/>
      <c r="B2059" s="66"/>
      <c r="C2059" s="66"/>
      <c r="D2059" s="66"/>
      <c r="E2059" s="15"/>
      <c r="F2059" s="66"/>
      <c r="G2059" s="18"/>
      <c r="H2059" s="15"/>
      <c r="I2059" s="18"/>
      <c r="J2059" s="22"/>
      <c r="K2059" s="108"/>
      <c r="L2059" s="66"/>
      <c r="M2059" s="66"/>
      <c r="N2059" s="66"/>
      <c r="O2059" s="66"/>
      <c r="P2059" s="66"/>
      <c r="Q2059" s="66"/>
      <c r="R2059" s="66"/>
      <c r="S2059" s="66"/>
      <c r="T2059" s="66"/>
    </row>
    <row r="2060">
      <c r="A2060" s="66"/>
      <c r="B2060" s="66"/>
      <c r="C2060" s="66"/>
      <c r="D2060" s="66"/>
      <c r="E2060" s="15"/>
      <c r="F2060" s="66"/>
      <c r="G2060" s="18"/>
      <c r="H2060" s="15"/>
      <c r="I2060" s="18"/>
      <c r="J2060" s="22"/>
      <c r="K2060" s="108"/>
      <c r="L2060" s="66"/>
      <c r="M2060" s="66"/>
      <c r="N2060" s="66"/>
      <c r="O2060" s="66"/>
      <c r="P2060" s="66"/>
      <c r="Q2060" s="66"/>
      <c r="R2060" s="66"/>
      <c r="S2060" s="66"/>
      <c r="T2060" s="66"/>
    </row>
    <row r="2061">
      <c r="A2061" s="66"/>
      <c r="B2061" s="66"/>
      <c r="C2061" s="66"/>
      <c r="D2061" s="66"/>
      <c r="E2061" s="15"/>
      <c r="F2061" s="66"/>
      <c r="G2061" s="18"/>
      <c r="H2061" s="15"/>
      <c r="I2061" s="18"/>
      <c r="J2061" s="22"/>
      <c r="K2061" s="108"/>
      <c r="L2061" s="66"/>
      <c r="M2061" s="66"/>
      <c r="N2061" s="66"/>
      <c r="O2061" s="66"/>
      <c r="P2061" s="66"/>
      <c r="Q2061" s="66"/>
      <c r="R2061" s="66"/>
      <c r="S2061" s="66"/>
      <c r="T2061" s="66"/>
    </row>
    <row r="2062">
      <c r="A2062" s="66"/>
      <c r="B2062" s="66"/>
      <c r="C2062" s="66"/>
      <c r="D2062" s="66"/>
      <c r="E2062" s="15"/>
      <c r="F2062" s="66"/>
      <c r="G2062" s="18"/>
      <c r="H2062" s="15"/>
      <c r="I2062" s="18"/>
      <c r="J2062" s="22"/>
      <c r="K2062" s="108"/>
      <c r="L2062" s="66"/>
      <c r="M2062" s="66"/>
      <c r="N2062" s="66"/>
      <c r="O2062" s="66"/>
      <c r="P2062" s="66"/>
      <c r="Q2062" s="66"/>
      <c r="R2062" s="66"/>
      <c r="S2062" s="66"/>
      <c r="T2062" s="66"/>
    </row>
    <row r="2063">
      <c r="A2063" s="66"/>
      <c r="B2063" s="66"/>
      <c r="C2063" s="66"/>
      <c r="D2063" s="66"/>
      <c r="E2063" s="15"/>
      <c r="F2063" s="66"/>
      <c r="G2063" s="18"/>
      <c r="H2063" s="15"/>
      <c r="I2063" s="18"/>
      <c r="J2063" s="22"/>
      <c r="K2063" s="108"/>
      <c r="L2063" s="66"/>
      <c r="M2063" s="66"/>
      <c r="N2063" s="66"/>
      <c r="O2063" s="66"/>
      <c r="P2063" s="66"/>
      <c r="Q2063" s="66"/>
      <c r="R2063" s="66"/>
      <c r="S2063" s="66"/>
      <c r="T2063" s="66"/>
    </row>
    <row r="2064">
      <c r="A2064" s="66"/>
      <c r="B2064" s="66"/>
      <c r="C2064" s="66"/>
      <c r="D2064" s="66"/>
      <c r="E2064" s="15"/>
      <c r="F2064" s="66"/>
      <c r="G2064" s="18"/>
      <c r="H2064" s="15"/>
      <c r="I2064" s="18"/>
      <c r="J2064" s="22"/>
      <c r="K2064" s="108"/>
      <c r="L2064" s="66"/>
      <c r="M2064" s="66"/>
      <c r="N2064" s="66"/>
      <c r="O2064" s="66"/>
      <c r="P2064" s="66"/>
      <c r="Q2064" s="66"/>
      <c r="R2064" s="66"/>
      <c r="S2064" s="66"/>
      <c r="T2064" s="66"/>
    </row>
    <row r="2065">
      <c r="A2065" s="66"/>
      <c r="B2065" s="66"/>
      <c r="C2065" s="66"/>
      <c r="D2065" s="66"/>
      <c r="E2065" s="15"/>
      <c r="F2065" s="66"/>
      <c r="G2065" s="18"/>
      <c r="H2065" s="15"/>
      <c r="I2065" s="18"/>
      <c r="J2065" s="22"/>
      <c r="K2065" s="108"/>
      <c r="L2065" s="66"/>
      <c r="M2065" s="66"/>
      <c r="N2065" s="66"/>
      <c r="O2065" s="66"/>
      <c r="P2065" s="66"/>
      <c r="Q2065" s="66"/>
      <c r="R2065" s="66"/>
      <c r="S2065" s="66"/>
      <c r="T2065" s="66"/>
    </row>
    <row r="2066">
      <c r="A2066" s="66"/>
      <c r="B2066" s="66"/>
      <c r="C2066" s="66"/>
      <c r="D2066" s="66"/>
      <c r="E2066" s="15"/>
      <c r="F2066" s="66"/>
      <c r="G2066" s="18"/>
      <c r="H2066" s="15"/>
      <c r="I2066" s="18"/>
      <c r="J2066" s="22"/>
      <c r="K2066" s="108"/>
      <c r="L2066" s="66"/>
      <c r="M2066" s="66"/>
      <c r="N2066" s="66"/>
      <c r="O2066" s="66"/>
      <c r="P2066" s="66"/>
      <c r="Q2066" s="66"/>
      <c r="R2066" s="66"/>
      <c r="S2066" s="66"/>
      <c r="T2066" s="66"/>
    </row>
    <row r="2067">
      <c r="A2067" s="66"/>
      <c r="B2067" s="66"/>
      <c r="C2067" s="66"/>
      <c r="D2067" s="66"/>
      <c r="E2067" s="15"/>
      <c r="F2067" s="66"/>
      <c r="G2067" s="18"/>
      <c r="H2067" s="15"/>
      <c r="I2067" s="18"/>
      <c r="J2067" s="22"/>
      <c r="K2067" s="108"/>
      <c r="L2067" s="66"/>
      <c r="M2067" s="66"/>
      <c r="N2067" s="66"/>
      <c r="O2067" s="66"/>
      <c r="P2067" s="66"/>
      <c r="Q2067" s="66"/>
      <c r="R2067" s="66"/>
      <c r="S2067" s="66"/>
      <c r="T2067" s="66"/>
    </row>
    <row r="2068">
      <c r="A2068" s="66"/>
      <c r="B2068" s="66"/>
      <c r="C2068" s="66"/>
      <c r="D2068" s="66"/>
      <c r="E2068" s="15"/>
      <c r="F2068" s="66"/>
      <c r="G2068" s="18"/>
      <c r="H2068" s="15"/>
      <c r="I2068" s="18"/>
      <c r="J2068" s="22"/>
      <c r="K2068" s="108"/>
      <c r="L2068" s="66"/>
      <c r="M2068" s="66"/>
      <c r="N2068" s="66"/>
      <c r="O2068" s="66"/>
      <c r="P2068" s="66"/>
      <c r="Q2068" s="66"/>
      <c r="R2068" s="66"/>
      <c r="S2068" s="66"/>
      <c r="T2068" s="66"/>
    </row>
    <row r="2069">
      <c r="A2069" s="66"/>
      <c r="B2069" s="66"/>
      <c r="C2069" s="66"/>
      <c r="D2069" s="66"/>
      <c r="E2069" s="15"/>
      <c r="F2069" s="66"/>
      <c r="G2069" s="18"/>
      <c r="H2069" s="15"/>
      <c r="I2069" s="18"/>
      <c r="J2069" s="22"/>
      <c r="K2069" s="108"/>
      <c r="L2069" s="66"/>
      <c r="M2069" s="66"/>
      <c r="N2069" s="66"/>
      <c r="O2069" s="66"/>
      <c r="P2069" s="66"/>
      <c r="Q2069" s="66"/>
      <c r="R2069" s="66"/>
      <c r="S2069" s="66"/>
      <c r="T2069" s="66"/>
    </row>
    <row r="2070">
      <c r="A2070" s="66"/>
      <c r="B2070" s="66"/>
      <c r="C2070" s="66"/>
      <c r="D2070" s="66"/>
      <c r="E2070" s="15"/>
      <c r="F2070" s="66"/>
      <c r="G2070" s="18"/>
      <c r="H2070" s="15"/>
      <c r="I2070" s="18"/>
      <c r="J2070" s="22"/>
      <c r="K2070" s="108"/>
      <c r="L2070" s="66"/>
      <c r="M2070" s="66"/>
      <c r="N2070" s="66"/>
      <c r="O2070" s="66"/>
      <c r="P2070" s="66"/>
      <c r="Q2070" s="66"/>
      <c r="R2070" s="66"/>
      <c r="S2070" s="66"/>
      <c r="T2070" s="66"/>
    </row>
    <row r="2071">
      <c r="A2071" s="66"/>
      <c r="B2071" s="66"/>
      <c r="C2071" s="66"/>
      <c r="D2071" s="66"/>
      <c r="E2071" s="15"/>
      <c r="F2071" s="66"/>
      <c r="G2071" s="18"/>
      <c r="H2071" s="15"/>
      <c r="I2071" s="18"/>
      <c r="J2071" s="22"/>
      <c r="K2071" s="108"/>
      <c r="L2071" s="66"/>
      <c r="M2071" s="66"/>
      <c r="N2071" s="66"/>
      <c r="O2071" s="66"/>
      <c r="P2071" s="66"/>
      <c r="Q2071" s="66"/>
      <c r="R2071" s="66"/>
      <c r="S2071" s="66"/>
      <c r="T2071" s="66"/>
    </row>
    <row r="2072">
      <c r="A2072" s="66"/>
      <c r="B2072" s="66"/>
      <c r="C2072" s="66"/>
      <c r="D2072" s="66"/>
      <c r="E2072" s="15"/>
      <c r="F2072" s="66"/>
      <c r="G2072" s="18"/>
      <c r="H2072" s="15"/>
      <c r="I2072" s="18"/>
      <c r="J2072" s="22"/>
      <c r="K2072" s="108"/>
      <c r="L2072" s="66"/>
      <c r="M2072" s="66"/>
      <c r="N2072" s="66"/>
      <c r="O2072" s="66"/>
      <c r="P2072" s="66"/>
      <c r="Q2072" s="66"/>
      <c r="R2072" s="66"/>
      <c r="S2072" s="66"/>
      <c r="T2072" s="66"/>
    </row>
    <row r="2073">
      <c r="A2073" s="66"/>
      <c r="B2073" s="66"/>
      <c r="C2073" s="66"/>
      <c r="D2073" s="66"/>
      <c r="E2073" s="15"/>
      <c r="F2073" s="66"/>
      <c r="G2073" s="18"/>
      <c r="H2073" s="15"/>
      <c r="I2073" s="18"/>
      <c r="J2073" s="22"/>
      <c r="K2073" s="108"/>
      <c r="L2073" s="66"/>
      <c r="M2073" s="66"/>
      <c r="N2073" s="66"/>
      <c r="O2073" s="66"/>
      <c r="P2073" s="66"/>
      <c r="Q2073" s="66"/>
      <c r="R2073" s="66"/>
      <c r="S2073" s="66"/>
      <c r="T2073" s="66"/>
    </row>
    <row r="2074">
      <c r="A2074" s="66"/>
      <c r="B2074" s="66"/>
      <c r="C2074" s="66"/>
      <c r="D2074" s="66"/>
      <c r="E2074" s="15"/>
      <c r="F2074" s="66"/>
      <c r="G2074" s="18"/>
      <c r="H2074" s="15"/>
      <c r="I2074" s="18"/>
      <c r="J2074" s="22"/>
      <c r="K2074" s="108"/>
      <c r="L2074" s="66"/>
      <c r="M2074" s="66"/>
      <c r="N2074" s="66"/>
      <c r="O2074" s="66"/>
      <c r="P2074" s="66"/>
      <c r="Q2074" s="66"/>
      <c r="R2074" s="66"/>
      <c r="S2074" s="66"/>
      <c r="T2074" s="66"/>
    </row>
    <row r="2075">
      <c r="A2075" s="66"/>
      <c r="B2075" s="66"/>
      <c r="C2075" s="66"/>
      <c r="D2075" s="66"/>
      <c r="E2075" s="15"/>
      <c r="F2075" s="66"/>
      <c r="G2075" s="18"/>
      <c r="H2075" s="15"/>
      <c r="I2075" s="18"/>
      <c r="J2075" s="22"/>
      <c r="K2075" s="108"/>
      <c r="L2075" s="66"/>
      <c r="M2075" s="66"/>
      <c r="N2075" s="66"/>
      <c r="O2075" s="66"/>
      <c r="P2075" s="66"/>
      <c r="Q2075" s="66"/>
      <c r="R2075" s="66"/>
      <c r="S2075" s="66"/>
      <c r="T2075" s="66"/>
    </row>
    <row r="2076">
      <c r="A2076" s="66"/>
      <c r="B2076" s="66"/>
      <c r="C2076" s="66"/>
      <c r="D2076" s="66"/>
      <c r="E2076" s="15"/>
      <c r="F2076" s="66"/>
      <c r="G2076" s="18"/>
      <c r="H2076" s="15"/>
      <c r="I2076" s="18"/>
      <c r="J2076" s="22"/>
      <c r="K2076" s="108"/>
      <c r="L2076" s="66"/>
      <c r="M2076" s="66"/>
      <c r="N2076" s="66"/>
      <c r="O2076" s="66"/>
      <c r="P2076" s="66"/>
      <c r="Q2076" s="66"/>
      <c r="R2076" s="66"/>
      <c r="S2076" s="66"/>
      <c r="T2076" s="66"/>
    </row>
    <row r="2077">
      <c r="A2077" s="66"/>
      <c r="B2077" s="66"/>
      <c r="C2077" s="66"/>
      <c r="D2077" s="66"/>
      <c r="E2077" s="15"/>
      <c r="F2077" s="66"/>
      <c r="G2077" s="18"/>
      <c r="H2077" s="15"/>
      <c r="I2077" s="18"/>
      <c r="J2077" s="22"/>
      <c r="K2077" s="108"/>
      <c r="L2077" s="66"/>
      <c r="M2077" s="66"/>
      <c r="N2077" s="66"/>
      <c r="O2077" s="66"/>
      <c r="P2077" s="66"/>
      <c r="Q2077" s="66"/>
      <c r="R2077" s="66"/>
      <c r="S2077" s="66"/>
      <c r="T2077" s="66"/>
    </row>
    <row r="2078">
      <c r="A2078" s="66"/>
      <c r="B2078" s="66"/>
      <c r="C2078" s="66"/>
      <c r="D2078" s="66"/>
      <c r="E2078" s="15"/>
      <c r="F2078" s="66"/>
      <c r="G2078" s="18"/>
      <c r="H2078" s="15"/>
      <c r="I2078" s="18"/>
      <c r="J2078" s="22"/>
      <c r="K2078" s="108"/>
      <c r="L2078" s="66"/>
      <c r="M2078" s="66"/>
      <c r="N2078" s="66"/>
      <c r="O2078" s="66"/>
      <c r="P2078" s="66"/>
      <c r="Q2078" s="66"/>
      <c r="R2078" s="66"/>
      <c r="S2078" s="66"/>
      <c r="T2078" s="66"/>
    </row>
    <row r="2079">
      <c r="A2079" s="66"/>
      <c r="B2079" s="66"/>
      <c r="C2079" s="66"/>
      <c r="D2079" s="66"/>
      <c r="E2079" s="15"/>
      <c r="F2079" s="66"/>
      <c r="G2079" s="18"/>
      <c r="H2079" s="15"/>
      <c r="I2079" s="18"/>
      <c r="J2079" s="22"/>
      <c r="K2079" s="108"/>
      <c r="L2079" s="66"/>
      <c r="M2079" s="66"/>
      <c r="N2079" s="66"/>
      <c r="O2079" s="66"/>
      <c r="P2079" s="66"/>
      <c r="Q2079" s="66"/>
      <c r="R2079" s="66"/>
      <c r="S2079" s="66"/>
      <c r="T2079" s="66"/>
    </row>
    <row r="2080">
      <c r="A2080" s="66"/>
      <c r="B2080" s="66"/>
      <c r="C2080" s="66"/>
      <c r="D2080" s="66"/>
      <c r="E2080" s="15"/>
      <c r="F2080" s="66"/>
      <c r="G2080" s="18"/>
      <c r="H2080" s="15"/>
      <c r="I2080" s="18"/>
      <c r="J2080" s="22"/>
      <c r="K2080" s="108"/>
      <c r="L2080" s="66"/>
      <c r="M2080" s="66"/>
      <c r="N2080" s="66"/>
      <c r="O2080" s="66"/>
      <c r="P2080" s="66"/>
      <c r="Q2080" s="66"/>
      <c r="R2080" s="66"/>
      <c r="S2080" s="66"/>
      <c r="T2080" s="66"/>
    </row>
    <row r="2081">
      <c r="A2081" s="66"/>
      <c r="B2081" s="66"/>
      <c r="C2081" s="66"/>
      <c r="D2081" s="66"/>
      <c r="E2081" s="15"/>
      <c r="F2081" s="66"/>
      <c r="G2081" s="18"/>
      <c r="H2081" s="15"/>
      <c r="I2081" s="18"/>
      <c r="J2081" s="22"/>
      <c r="K2081" s="108"/>
      <c r="L2081" s="66"/>
      <c r="M2081" s="66"/>
      <c r="N2081" s="66"/>
      <c r="O2081" s="66"/>
      <c r="P2081" s="66"/>
      <c r="Q2081" s="66"/>
      <c r="R2081" s="66"/>
      <c r="S2081" s="66"/>
      <c r="T2081" s="66"/>
    </row>
    <row r="2082">
      <c r="A2082" s="66"/>
      <c r="B2082" s="66"/>
      <c r="C2082" s="66"/>
      <c r="D2082" s="66"/>
      <c r="E2082" s="15"/>
      <c r="F2082" s="66"/>
      <c r="G2082" s="18"/>
      <c r="H2082" s="15"/>
      <c r="I2082" s="18"/>
      <c r="J2082" s="22"/>
      <c r="K2082" s="108"/>
      <c r="L2082" s="66"/>
      <c r="M2082" s="66"/>
      <c r="N2082" s="66"/>
      <c r="O2082" s="66"/>
      <c r="P2082" s="66"/>
      <c r="Q2082" s="66"/>
      <c r="R2082" s="66"/>
      <c r="S2082" s="66"/>
      <c r="T2082" s="66"/>
    </row>
    <row r="2083">
      <c r="A2083" s="66"/>
      <c r="B2083" s="66"/>
      <c r="C2083" s="66"/>
      <c r="D2083" s="66"/>
      <c r="E2083" s="15"/>
      <c r="F2083" s="66"/>
      <c r="G2083" s="18"/>
      <c r="H2083" s="15"/>
      <c r="I2083" s="18"/>
      <c r="J2083" s="22"/>
      <c r="K2083" s="108"/>
      <c r="L2083" s="66"/>
      <c r="M2083" s="66"/>
      <c r="N2083" s="66"/>
      <c r="O2083" s="66"/>
      <c r="P2083" s="66"/>
      <c r="Q2083" s="66"/>
      <c r="R2083" s="66"/>
      <c r="S2083" s="66"/>
      <c r="T2083" s="66"/>
    </row>
    <row r="2084">
      <c r="A2084" s="66"/>
      <c r="B2084" s="66"/>
      <c r="C2084" s="66"/>
      <c r="D2084" s="66"/>
      <c r="E2084" s="15"/>
      <c r="F2084" s="66"/>
      <c r="G2084" s="18"/>
      <c r="H2084" s="15"/>
      <c r="I2084" s="18"/>
      <c r="J2084" s="22"/>
      <c r="K2084" s="108"/>
      <c r="L2084" s="66"/>
      <c r="M2084" s="66"/>
      <c r="N2084" s="66"/>
      <c r="O2084" s="66"/>
      <c r="P2084" s="66"/>
      <c r="Q2084" s="66"/>
      <c r="R2084" s="66"/>
      <c r="S2084" s="66"/>
      <c r="T2084" s="66"/>
    </row>
    <row r="2085">
      <c r="A2085" s="66"/>
      <c r="B2085" s="66"/>
      <c r="C2085" s="66"/>
      <c r="D2085" s="66"/>
      <c r="E2085" s="15"/>
      <c r="F2085" s="66"/>
      <c r="G2085" s="18"/>
      <c r="H2085" s="15"/>
      <c r="I2085" s="18"/>
      <c r="J2085" s="22"/>
      <c r="K2085" s="108"/>
      <c r="L2085" s="66"/>
      <c r="M2085" s="66"/>
      <c r="N2085" s="66"/>
      <c r="O2085" s="66"/>
      <c r="P2085" s="66"/>
      <c r="Q2085" s="66"/>
      <c r="R2085" s="66"/>
      <c r="S2085" s="66"/>
      <c r="T2085" s="66"/>
    </row>
    <row r="2086">
      <c r="A2086" s="66"/>
      <c r="B2086" s="66"/>
      <c r="C2086" s="66"/>
      <c r="D2086" s="66"/>
      <c r="E2086" s="15"/>
      <c r="F2086" s="66"/>
      <c r="G2086" s="18"/>
      <c r="H2086" s="15"/>
      <c r="I2086" s="18"/>
      <c r="J2086" s="22"/>
      <c r="K2086" s="108"/>
      <c r="L2086" s="66"/>
      <c r="M2086" s="66"/>
      <c r="N2086" s="66"/>
      <c r="O2086" s="66"/>
      <c r="P2086" s="66"/>
      <c r="Q2086" s="66"/>
      <c r="R2086" s="66"/>
      <c r="S2086" s="66"/>
      <c r="T2086" s="66"/>
    </row>
    <row r="2087">
      <c r="A2087" s="66"/>
      <c r="B2087" s="66"/>
      <c r="C2087" s="66"/>
      <c r="D2087" s="66"/>
      <c r="E2087" s="15"/>
      <c r="F2087" s="66"/>
      <c r="G2087" s="18"/>
      <c r="H2087" s="15"/>
      <c r="I2087" s="18"/>
      <c r="J2087" s="22"/>
      <c r="K2087" s="108"/>
      <c r="L2087" s="66"/>
      <c r="M2087" s="66"/>
      <c r="N2087" s="66"/>
      <c r="O2087" s="66"/>
      <c r="P2087" s="66"/>
      <c r="Q2087" s="66"/>
      <c r="R2087" s="66"/>
      <c r="S2087" s="66"/>
      <c r="T2087" s="66"/>
    </row>
    <row r="2088">
      <c r="A2088" s="66"/>
      <c r="B2088" s="66"/>
      <c r="C2088" s="66"/>
      <c r="D2088" s="66"/>
      <c r="E2088" s="15"/>
      <c r="F2088" s="66"/>
      <c r="G2088" s="18"/>
      <c r="H2088" s="15"/>
      <c r="I2088" s="18"/>
      <c r="J2088" s="22"/>
      <c r="K2088" s="108"/>
      <c r="L2088" s="66"/>
      <c r="M2088" s="66"/>
      <c r="N2088" s="66"/>
      <c r="O2088" s="66"/>
      <c r="P2088" s="66"/>
      <c r="Q2088" s="66"/>
      <c r="R2088" s="66"/>
      <c r="S2088" s="66"/>
      <c r="T2088" s="66"/>
    </row>
    <row r="2089">
      <c r="A2089" s="66"/>
      <c r="B2089" s="66"/>
      <c r="C2089" s="66"/>
      <c r="D2089" s="66"/>
      <c r="E2089" s="15"/>
      <c r="F2089" s="66"/>
      <c r="G2089" s="18"/>
      <c r="H2089" s="15"/>
      <c r="I2089" s="18"/>
      <c r="J2089" s="22"/>
      <c r="K2089" s="108"/>
      <c r="L2089" s="66"/>
      <c r="M2089" s="66"/>
      <c r="N2089" s="66"/>
      <c r="O2089" s="66"/>
      <c r="P2089" s="66"/>
      <c r="Q2089" s="66"/>
      <c r="R2089" s="66"/>
      <c r="S2089" s="66"/>
      <c r="T2089" s="66"/>
    </row>
    <row r="2090">
      <c r="A2090" s="66"/>
      <c r="B2090" s="66"/>
      <c r="C2090" s="66"/>
      <c r="D2090" s="66"/>
      <c r="E2090" s="15"/>
      <c r="F2090" s="66"/>
      <c r="G2090" s="18"/>
      <c r="H2090" s="15"/>
      <c r="I2090" s="18"/>
      <c r="J2090" s="22"/>
      <c r="K2090" s="108"/>
      <c r="L2090" s="66"/>
      <c r="M2090" s="66"/>
      <c r="N2090" s="66"/>
      <c r="O2090" s="66"/>
      <c r="P2090" s="66"/>
      <c r="Q2090" s="66"/>
      <c r="R2090" s="66"/>
      <c r="S2090" s="66"/>
      <c r="T2090" s="66"/>
    </row>
    <row r="2091">
      <c r="A2091" s="66"/>
      <c r="B2091" s="66"/>
      <c r="C2091" s="66"/>
      <c r="D2091" s="66"/>
      <c r="E2091" s="15"/>
      <c r="F2091" s="66"/>
      <c r="G2091" s="18"/>
      <c r="H2091" s="15"/>
      <c r="I2091" s="18"/>
      <c r="J2091" s="22"/>
      <c r="K2091" s="108"/>
      <c r="L2091" s="66"/>
      <c r="M2091" s="66"/>
      <c r="N2091" s="66"/>
      <c r="O2091" s="66"/>
      <c r="P2091" s="66"/>
      <c r="Q2091" s="66"/>
      <c r="R2091" s="66"/>
      <c r="S2091" s="66"/>
      <c r="T2091" s="66"/>
    </row>
    <row r="2092">
      <c r="A2092" s="66"/>
      <c r="B2092" s="66"/>
      <c r="C2092" s="66"/>
      <c r="D2092" s="66"/>
      <c r="E2092" s="15"/>
      <c r="F2092" s="66"/>
      <c r="G2092" s="18"/>
      <c r="H2092" s="15"/>
      <c r="I2092" s="18"/>
      <c r="J2092" s="22"/>
      <c r="K2092" s="108"/>
      <c r="L2092" s="66"/>
      <c r="M2092" s="66"/>
      <c r="N2092" s="66"/>
      <c r="O2092" s="66"/>
      <c r="P2092" s="66"/>
      <c r="Q2092" s="66"/>
      <c r="R2092" s="66"/>
      <c r="S2092" s="66"/>
      <c r="T2092" s="66"/>
    </row>
    <row r="2093">
      <c r="A2093" s="66"/>
      <c r="B2093" s="66"/>
      <c r="C2093" s="66"/>
      <c r="D2093" s="66"/>
      <c r="E2093" s="15"/>
      <c r="F2093" s="66"/>
      <c r="G2093" s="18"/>
      <c r="H2093" s="15"/>
      <c r="I2093" s="18"/>
      <c r="J2093" s="22"/>
      <c r="K2093" s="108"/>
      <c r="L2093" s="66"/>
      <c r="M2093" s="66"/>
      <c r="N2093" s="66"/>
      <c r="O2093" s="66"/>
      <c r="P2093" s="66"/>
      <c r="Q2093" s="66"/>
      <c r="R2093" s="66"/>
      <c r="S2093" s="66"/>
      <c r="T2093" s="66"/>
    </row>
    <row r="2094">
      <c r="A2094" s="66"/>
      <c r="B2094" s="66"/>
      <c r="C2094" s="66"/>
      <c r="D2094" s="66"/>
      <c r="E2094" s="15"/>
      <c r="F2094" s="66"/>
      <c r="G2094" s="18"/>
      <c r="H2094" s="15"/>
      <c r="I2094" s="18"/>
      <c r="J2094" s="22"/>
      <c r="K2094" s="108"/>
      <c r="L2094" s="66"/>
      <c r="M2094" s="66"/>
      <c r="N2094" s="66"/>
      <c r="O2094" s="66"/>
      <c r="P2094" s="66"/>
      <c r="Q2094" s="66"/>
      <c r="R2094" s="66"/>
      <c r="S2094" s="66"/>
      <c r="T2094" s="66"/>
    </row>
    <row r="2095">
      <c r="A2095" s="66"/>
      <c r="B2095" s="66"/>
      <c r="C2095" s="66"/>
      <c r="D2095" s="66"/>
      <c r="E2095" s="15"/>
      <c r="F2095" s="66"/>
      <c r="G2095" s="18"/>
      <c r="H2095" s="15"/>
      <c r="I2095" s="18"/>
      <c r="J2095" s="22"/>
      <c r="K2095" s="108"/>
      <c r="L2095" s="66"/>
      <c r="M2095" s="66"/>
      <c r="N2095" s="66"/>
      <c r="O2095" s="66"/>
      <c r="P2095" s="66"/>
      <c r="Q2095" s="66"/>
      <c r="R2095" s="66"/>
      <c r="S2095" s="66"/>
      <c r="T2095" s="66"/>
    </row>
    <row r="2096">
      <c r="A2096" s="66"/>
      <c r="B2096" s="66"/>
      <c r="C2096" s="66"/>
      <c r="D2096" s="66"/>
      <c r="E2096" s="15"/>
      <c r="F2096" s="66"/>
      <c r="G2096" s="18"/>
      <c r="H2096" s="15"/>
      <c r="I2096" s="18"/>
      <c r="J2096" s="22"/>
      <c r="K2096" s="108"/>
      <c r="L2096" s="66"/>
      <c r="M2096" s="66"/>
      <c r="N2096" s="66"/>
      <c r="O2096" s="66"/>
      <c r="P2096" s="66"/>
      <c r="Q2096" s="66"/>
      <c r="R2096" s="66"/>
      <c r="S2096" s="66"/>
      <c r="T2096" s="66"/>
    </row>
    <row r="2097">
      <c r="A2097" s="66"/>
      <c r="B2097" s="66"/>
      <c r="C2097" s="66"/>
      <c r="D2097" s="66"/>
      <c r="E2097" s="15"/>
      <c r="F2097" s="66"/>
      <c r="G2097" s="18"/>
      <c r="H2097" s="15"/>
      <c r="I2097" s="18"/>
      <c r="J2097" s="22"/>
      <c r="K2097" s="108"/>
      <c r="L2097" s="66"/>
      <c r="M2097" s="66"/>
      <c r="N2097" s="66"/>
      <c r="O2097" s="66"/>
      <c r="P2097" s="66"/>
      <c r="Q2097" s="66"/>
      <c r="R2097" s="66"/>
      <c r="S2097" s="66"/>
      <c r="T2097" s="66"/>
    </row>
    <row r="2098">
      <c r="A2098" s="66"/>
      <c r="B2098" s="66"/>
      <c r="C2098" s="66"/>
      <c r="D2098" s="66"/>
      <c r="E2098" s="15"/>
      <c r="F2098" s="66"/>
      <c r="G2098" s="18"/>
      <c r="H2098" s="15"/>
      <c r="I2098" s="18"/>
      <c r="J2098" s="22"/>
      <c r="K2098" s="108"/>
      <c r="L2098" s="66"/>
      <c r="M2098" s="66"/>
      <c r="N2098" s="66"/>
      <c r="O2098" s="66"/>
      <c r="P2098" s="66"/>
      <c r="Q2098" s="66"/>
      <c r="R2098" s="66"/>
      <c r="S2098" s="66"/>
      <c r="T2098" s="66"/>
    </row>
    <row r="2099">
      <c r="A2099" s="66"/>
      <c r="B2099" s="66"/>
      <c r="C2099" s="66"/>
      <c r="D2099" s="66"/>
      <c r="E2099" s="15"/>
      <c r="F2099" s="66"/>
      <c r="G2099" s="18"/>
      <c r="H2099" s="15"/>
      <c r="I2099" s="18"/>
      <c r="J2099" s="22"/>
      <c r="K2099" s="108"/>
      <c r="L2099" s="66"/>
      <c r="M2099" s="66"/>
      <c r="N2099" s="66"/>
      <c r="O2099" s="66"/>
      <c r="P2099" s="66"/>
      <c r="Q2099" s="66"/>
      <c r="R2099" s="66"/>
      <c r="S2099" s="66"/>
      <c r="T2099" s="66"/>
    </row>
    <row r="2100">
      <c r="A2100" s="66"/>
      <c r="B2100" s="66"/>
      <c r="C2100" s="66"/>
      <c r="D2100" s="66"/>
      <c r="E2100" s="15"/>
      <c r="F2100" s="66"/>
      <c r="G2100" s="18"/>
      <c r="H2100" s="15"/>
      <c r="I2100" s="18"/>
      <c r="J2100" s="22"/>
      <c r="K2100" s="108"/>
      <c r="L2100" s="66"/>
      <c r="M2100" s="66"/>
      <c r="N2100" s="66"/>
      <c r="O2100" s="66"/>
      <c r="P2100" s="66"/>
      <c r="Q2100" s="66"/>
      <c r="R2100" s="66"/>
      <c r="S2100" s="66"/>
      <c r="T2100" s="66"/>
    </row>
    <row r="2101">
      <c r="A2101" s="66"/>
      <c r="B2101" s="66"/>
      <c r="C2101" s="66"/>
      <c r="D2101" s="66"/>
      <c r="E2101" s="15"/>
      <c r="F2101" s="66"/>
      <c r="G2101" s="18"/>
      <c r="H2101" s="15"/>
      <c r="I2101" s="18"/>
      <c r="J2101" s="22"/>
      <c r="K2101" s="108"/>
      <c r="L2101" s="66"/>
      <c r="M2101" s="66"/>
      <c r="N2101" s="66"/>
      <c r="O2101" s="66"/>
      <c r="P2101" s="66"/>
      <c r="Q2101" s="66"/>
      <c r="R2101" s="66"/>
      <c r="S2101" s="66"/>
      <c r="T2101" s="66"/>
    </row>
    <row r="2102">
      <c r="A2102" s="66"/>
      <c r="B2102" s="66"/>
      <c r="C2102" s="66"/>
      <c r="D2102" s="66"/>
      <c r="E2102" s="15"/>
      <c r="F2102" s="66"/>
      <c r="G2102" s="18"/>
      <c r="H2102" s="15"/>
      <c r="I2102" s="18"/>
      <c r="J2102" s="22"/>
      <c r="K2102" s="108"/>
      <c r="L2102" s="66"/>
      <c r="M2102" s="66"/>
      <c r="N2102" s="66"/>
      <c r="O2102" s="66"/>
      <c r="P2102" s="66"/>
      <c r="Q2102" s="66"/>
      <c r="R2102" s="66"/>
      <c r="S2102" s="66"/>
      <c r="T2102" s="66"/>
    </row>
    <row r="2103">
      <c r="A2103" s="66"/>
      <c r="B2103" s="66"/>
      <c r="C2103" s="66"/>
      <c r="D2103" s="66"/>
      <c r="E2103" s="15"/>
      <c r="F2103" s="66"/>
      <c r="G2103" s="18"/>
      <c r="H2103" s="15"/>
      <c r="I2103" s="18"/>
      <c r="J2103" s="22"/>
      <c r="K2103" s="108"/>
      <c r="L2103" s="66"/>
      <c r="M2103" s="66"/>
      <c r="N2103" s="66"/>
      <c r="O2103" s="66"/>
      <c r="P2103" s="66"/>
      <c r="Q2103" s="66"/>
      <c r="R2103" s="66"/>
      <c r="S2103" s="66"/>
      <c r="T2103" s="66"/>
    </row>
    <row r="2104">
      <c r="A2104" s="66"/>
      <c r="B2104" s="66"/>
      <c r="C2104" s="66"/>
      <c r="D2104" s="66"/>
      <c r="E2104" s="15"/>
      <c r="F2104" s="66"/>
      <c r="G2104" s="18"/>
      <c r="H2104" s="15"/>
      <c r="I2104" s="18"/>
      <c r="J2104" s="22"/>
      <c r="K2104" s="108"/>
      <c r="L2104" s="66"/>
      <c r="M2104" s="66"/>
      <c r="N2104" s="66"/>
      <c r="O2104" s="66"/>
      <c r="P2104" s="66"/>
      <c r="Q2104" s="66"/>
      <c r="R2104" s="66"/>
      <c r="S2104" s="66"/>
      <c r="T2104" s="66"/>
    </row>
    <row r="2105">
      <c r="A2105" s="66"/>
      <c r="B2105" s="66"/>
      <c r="C2105" s="66"/>
      <c r="D2105" s="66"/>
      <c r="E2105" s="15"/>
      <c r="F2105" s="66"/>
      <c r="G2105" s="18"/>
      <c r="H2105" s="15"/>
      <c r="I2105" s="18"/>
      <c r="J2105" s="22"/>
      <c r="K2105" s="108"/>
      <c r="L2105" s="66"/>
      <c r="M2105" s="66"/>
      <c r="N2105" s="66"/>
      <c r="O2105" s="66"/>
      <c r="P2105" s="66"/>
      <c r="Q2105" s="66"/>
      <c r="R2105" s="66"/>
      <c r="S2105" s="66"/>
      <c r="T2105" s="66"/>
    </row>
    <row r="2106">
      <c r="A2106" s="66"/>
      <c r="B2106" s="66"/>
      <c r="C2106" s="66"/>
      <c r="D2106" s="66"/>
      <c r="E2106" s="15"/>
      <c r="F2106" s="66"/>
      <c r="G2106" s="18"/>
      <c r="H2106" s="15"/>
      <c r="I2106" s="18"/>
      <c r="J2106" s="22"/>
      <c r="K2106" s="108"/>
      <c r="L2106" s="66"/>
      <c r="M2106" s="66"/>
      <c r="N2106" s="66"/>
      <c r="O2106" s="66"/>
      <c r="P2106" s="66"/>
      <c r="Q2106" s="66"/>
      <c r="R2106" s="66"/>
      <c r="S2106" s="66"/>
      <c r="T2106" s="66"/>
    </row>
    <row r="2107">
      <c r="A2107" s="66"/>
      <c r="B2107" s="66"/>
      <c r="C2107" s="66"/>
      <c r="D2107" s="66"/>
      <c r="E2107" s="15"/>
      <c r="F2107" s="66"/>
      <c r="G2107" s="18"/>
      <c r="H2107" s="15"/>
      <c r="I2107" s="18"/>
      <c r="J2107" s="22"/>
      <c r="K2107" s="108"/>
      <c r="L2107" s="66"/>
      <c r="M2107" s="66"/>
      <c r="N2107" s="66"/>
      <c r="O2107" s="66"/>
      <c r="P2107" s="66"/>
      <c r="Q2107" s="66"/>
      <c r="R2107" s="66"/>
      <c r="S2107" s="66"/>
      <c r="T2107" s="66"/>
    </row>
    <row r="2108">
      <c r="A2108" s="66"/>
      <c r="B2108" s="66"/>
      <c r="C2108" s="66"/>
      <c r="D2108" s="66"/>
      <c r="E2108" s="15"/>
      <c r="F2108" s="66"/>
      <c r="G2108" s="18"/>
      <c r="H2108" s="15"/>
      <c r="I2108" s="18"/>
      <c r="J2108" s="22"/>
      <c r="K2108" s="108"/>
      <c r="L2108" s="66"/>
      <c r="M2108" s="66"/>
      <c r="N2108" s="66"/>
      <c r="O2108" s="66"/>
      <c r="P2108" s="66"/>
      <c r="Q2108" s="66"/>
      <c r="R2108" s="66"/>
      <c r="S2108" s="66"/>
      <c r="T2108" s="66"/>
    </row>
    <row r="2109">
      <c r="A2109" s="66"/>
      <c r="B2109" s="66"/>
      <c r="C2109" s="66"/>
      <c r="D2109" s="66"/>
      <c r="E2109" s="15"/>
      <c r="F2109" s="66"/>
      <c r="G2109" s="18"/>
      <c r="H2109" s="15"/>
      <c r="I2109" s="18"/>
      <c r="J2109" s="22"/>
      <c r="K2109" s="108"/>
      <c r="L2109" s="66"/>
      <c r="M2109" s="66"/>
      <c r="N2109" s="66"/>
      <c r="O2109" s="66"/>
      <c r="P2109" s="66"/>
      <c r="Q2109" s="66"/>
      <c r="R2109" s="66"/>
      <c r="S2109" s="66"/>
      <c r="T2109" s="66"/>
    </row>
    <row r="2110">
      <c r="A2110" s="66"/>
      <c r="B2110" s="66"/>
      <c r="C2110" s="66"/>
      <c r="D2110" s="66"/>
      <c r="E2110" s="15"/>
      <c r="F2110" s="66"/>
      <c r="G2110" s="18"/>
      <c r="H2110" s="15"/>
      <c r="I2110" s="18"/>
      <c r="J2110" s="22"/>
      <c r="K2110" s="108"/>
      <c r="L2110" s="66"/>
      <c r="M2110" s="66"/>
      <c r="N2110" s="66"/>
      <c r="O2110" s="66"/>
      <c r="P2110" s="66"/>
      <c r="Q2110" s="66"/>
      <c r="R2110" s="66"/>
      <c r="S2110" s="66"/>
      <c r="T2110" s="66"/>
    </row>
    <row r="2111">
      <c r="A2111" s="66"/>
      <c r="B2111" s="66"/>
      <c r="C2111" s="66"/>
      <c r="D2111" s="66"/>
      <c r="E2111" s="15"/>
      <c r="F2111" s="66"/>
      <c r="G2111" s="18"/>
      <c r="H2111" s="15"/>
      <c r="I2111" s="18"/>
      <c r="J2111" s="22"/>
      <c r="K2111" s="108"/>
      <c r="L2111" s="66"/>
      <c r="M2111" s="66"/>
      <c r="N2111" s="66"/>
      <c r="O2111" s="66"/>
      <c r="P2111" s="66"/>
      <c r="Q2111" s="66"/>
      <c r="R2111" s="66"/>
      <c r="S2111" s="66"/>
      <c r="T2111" s="66"/>
    </row>
    <row r="2112">
      <c r="A2112" s="66"/>
      <c r="B2112" s="66"/>
      <c r="C2112" s="66"/>
      <c r="D2112" s="66"/>
      <c r="E2112" s="15"/>
      <c r="F2112" s="66"/>
      <c r="G2112" s="18"/>
      <c r="H2112" s="15"/>
      <c r="I2112" s="18"/>
      <c r="J2112" s="22"/>
      <c r="K2112" s="108"/>
      <c r="L2112" s="66"/>
      <c r="M2112" s="66"/>
      <c r="N2112" s="66"/>
      <c r="O2112" s="66"/>
      <c r="P2112" s="66"/>
      <c r="Q2112" s="66"/>
      <c r="R2112" s="66"/>
      <c r="S2112" s="66"/>
      <c r="T2112" s="66"/>
    </row>
    <row r="2113">
      <c r="A2113" s="66"/>
      <c r="B2113" s="66"/>
      <c r="C2113" s="66"/>
      <c r="D2113" s="66"/>
      <c r="E2113" s="15"/>
      <c r="F2113" s="66"/>
      <c r="G2113" s="18"/>
      <c r="H2113" s="15"/>
      <c r="I2113" s="18"/>
      <c r="J2113" s="22"/>
      <c r="K2113" s="108"/>
      <c r="L2113" s="66"/>
      <c r="M2113" s="66"/>
      <c r="N2113" s="66"/>
      <c r="O2113" s="66"/>
      <c r="P2113" s="66"/>
      <c r="Q2113" s="66"/>
      <c r="R2113" s="66"/>
      <c r="S2113" s="66"/>
      <c r="T2113" s="66"/>
    </row>
    <row r="2114">
      <c r="A2114" s="66"/>
      <c r="B2114" s="66"/>
      <c r="C2114" s="66"/>
      <c r="D2114" s="66"/>
      <c r="E2114" s="15"/>
      <c r="F2114" s="66"/>
      <c r="G2114" s="18"/>
      <c r="H2114" s="15"/>
      <c r="I2114" s="18"/>
      <c r="J2114" s="22"/>
      <c r="K2114" s="108"/>
      <c r="L2114" s="66"/>
      <c r="M2114" s="66"/>
      <c r="N2114" s="66"/>
      <c r="O2114" s="66"/>
      <c r="P2114" s="66"/>
      <c r="Q2114" s="66"/>
      <c r="R2114" s="66"/>
      <c r="S2114" s="66"/>
      <c r="T2114" s="66"/>
    </row>
    <row r="2115">
      <c r="A2115" s="66"/>
      <c r="B2115" s="66"/>
      <c r="C2115" s="66"/>
      <c r="D2115" s="66"/>
      <c r="E2115" s="15"/>
      <c r="F2115" s="66"/>
      <c r="G2115" s="18"/>
      <c r="H2115" s="15"/>
      <c r="I2115" s="18"/>
      <c r="J2115" s="22"/>
      <c r="K2115" s="108"/>
      <c r="L2115" s="66"/>
      <c r="M2115" s="66"/>
      <c r="N2115" s="66"/>
      <c r="O2115" s="66"/>
      <c r="P2115" s="66"/>
      <c r="Q2115" s="66"/>
      <c r="R2115" s="66"/>
      <c r="S2115" s="66"/>
      <c r="T2115" s="66"/>
    </row>
    <row r="2116">
      <c r="A2116" s="66"/>
      <c r="B2116" s="66"/>
      <c r="C2116" s="66"/>
      <c r="D2116" s="66"/>
      <c r="E2116" s="15"/>
      <c r="F2116" s="66"/>
      <c r="G2116" s="18"/>
      <c r="H2116" s="15"/>
      <c r="I2116" s="18"/>
      <c r="J2116" s="22"/>
      <c r="K2116" s="108"/>
      <c r="L2116" s="66"/>
      <c r="M2116" s="66"/>
      <c r="N2116" s="66"/>
      <c r="O2116" s="66"/>
      <c r="P2116" s="66"/>
      <c r="Q2116" s="66"/>
      <c r="R2116" s="66"/>
      <c r="S2116" s="66"/>
      <c r="T2116" s="66"/>
    </row>
    <row r="2117">
      <c r="A2117" s="66"/>
      <c r="B2117" s="66"/>
      <c r="C2117" s="66"/>
      <c r="D2117" s="66"/>
      <c r="E2117" s="15"/>
      <c r="F2117" s="66"/>
      <c r="G2117" s="18"/>
      <c r="H2117" s="15"/>
      <c r="I2117" s="18"/>
      <c r="J2117" s="22"/>
      <c r="K2117" s="108"/>
      <c r="L2117" s="66"/>
      <c r="M2117" s="66"/>
      <c r="N2117" s="66"/>
      <c r="O2117" s="66"/>
      <c r="P2117" s="66"/>
      <c r="Q2117" s="66"/>
      <c r="R2117" s="66"/>
      <c r="S2117" s="66"/>
      <c r="T2117" s="66"/>
    </row>
    <row r="2118">
      <c r="A2118" s="66"/>
      <c r="B2118" s="66"/>
      <c r="C2118" s="66"/>
      <c r="D2118" s="66"/>
      <c r="E2118" s="15"/>
      <c r="F2118" s="66"/>
      <c r="G2118" s="18"/>
      <c r="H2118" s="15"/>
      <c r="I2118" s="18"/>
      <c r="J2118" s="22"/>
      <c r="K2118" s="108"/>
      <c r="L2118" s="66"/>
      <c r="M2118" s="66"/>
      <c r="N2118" s="66"/>
      <c r="O2118" s="66"/>
      <c r="P2118" s="66"/>
      <c r="Q2118" s="66"/>
      <c r="R2118" s="66"/>
      <c r="S2118" s="66"/>
      <c r="T2118" s="66"/>
    </row>
    <row r="2119">
      <c r="A2119" s="66"/>
      <c r="B2119" s="66"/>
      <c r="C2119" s="66"/>
      <c r="D2119" s="66"/>
      <c r="E2119" s="15"/>
      <c r="F2119" s="66"/>
      <c r="G2119" s="18"/>
      <c r="H2119" s="15"/>
      <c r="I2119" s="18"/>
      <c r="J2119" s="22"/>
      <c r="K2119" s="108"/>
      <c r="L2119" s="66"/>
      <c r="M2119" s="66"/>
      <c r="N2119" s="66"/>
      <c r="O2119" s="66"/>
      <c r="P2119" s="66"/>
      <c r="Q2119" s="66"/>
      <c r="R2119" s="66"/>
      <c r="S2119" s="66"/>
      <c r="T2119" s="66"/>
    </row>
    <row r="2120">
      <c r="A2120" s="66"/>
      <c r="B2120" s="66"/>
      <c r="C2120" s="66"/>
      <c r="D2120" s="66"/>
      <c r="E2120" s="15"/>
      <c r="F2120" s="66"/>
      <c r="G2120" s="18"/>
      <c r="H2120" s="15"/>
      <c r="I2120" s="18"/>
      <c r="J2120" s="22"/>
      <c r="K2120" s="108"/>
      <c r="L2120" s="66"/>
      <c r="M2120" s="66"/>
      <c r="N2120" s="66"/>
      <c r="O2120" s="66"/>
      <c r="P2120" s="66"/>
      <c r="Q2120" s="66"/>
      <c r="R2120" s="66"/>
      <c r="S2120" s="66"/>
      <c r="T2120" s="66"/>
    </row>
    <row r="2121">
      <c r="A2121" s="66"/>
      <c r="B2121" s="66"/>
      <c r="C2121" s="66"/>
      <c r="D2121" s="66"/>
      <c r="E2121" s="15"/>
      <c r="F2121" s="66"/>
      <c r="G2121" s="18"/>
      <c r="H2121" s="15"/>
      <c r="I2121" s="18"/>
      <c r="J2121" s="22"/>
      <c r="K2121" s="108"/>
      <c r="L2121" s="66"/>
      <c r="M2121" s="66"/>
      <c r="N2121" s="66"/>
      <c r="O2121" s="66"/>
      <c r="P2121" s="66"/>
      <c r="Q2121" s="66"/>
      <c r="R2121" s="66"/>
      <c r="S2121" s="66"/>
      <c r="T2121" s="66"/>
    </row>
    <row r="2122">
      <c r="A2122" s="66"/>
      <c r="B2122" s="66"/>
      <c r="C2122" s="66"/>
      <c r="D2122" s="66"/>
      <c r="E2122" s="15"/>
      <c r="F2122" s="66"/>
      <c r="G2122" s="18"/>
      <c r="H2122" s="15"/>
      <c r="I2122" s="18"/>
      <c r="J2122" s="22"/>
      <c r="K2122" s="108"/>
      <c r="L2122" s="66"/>
      <c r="M2122" s="66"/>
      <c r="N2122" s="66"/>
      <c r="O2122" s="66"/>
      <c r="P2122" s="66"/>
      <c r="Q2122" s="66"/>
      <c r="R2122" s="66"/>
      <c r="S2122" s="66"/>
      <c r="T2122" s="66"/>
    </row>
    <row r="2123">
      <c r="A2123" s="66"/>
      <c r="B2123" s="66"/>
      <c r="C2123" s="66"/>
      <c r="D2123" s="66"/>
      <c r="E2123" s="15"/>
      <c r="F2123" s="66"/>
      <c r="G2123" s="18"/>
      <c r="H2123" s="15"/>
      <c r="I2123" s="18"/>
      <c r="J2123" s="22"/>
      <c r="K2123" s="108"/>
      <c r="L2123" s="66"/>
      <c r="M2123" s="66"/>
      <c r="N2123" s="66"/>
      <c r="O2123" s="66"/>
      <c r="P2123" s="66"/>
      <c r="Q2123" s="66"/>
      <c r="R2123" s="66"/>
      <c r="S2123" s="66"/>
      <c r="T2123" s="66"/>
    </row>
    <row r="2124">
      <c r="A2124" s="66"/>
      <c r="B2124" s="66"/>
      <c r="C2124" s="66"/>
      <c r="D2124" s="66"/>
      <c r="E2124" s="15"/>
      <c r="F2124" s="66"/>
      <c r="G2124" s="18"/>
      <c r="H2124" s="15"/>
      <c r="I2124" s="18"/>
      <c r="J2124" s="22"/>
      <c r="K2124" s="108"/>
      <c r="L2124" s="66"/>
      <c r="M2124" s="66"/>
      <c r="N2124" s="66"/>
      <c r="O2124" s="66"/>
      <c r="P2124" s="66"/>
      <c r="Q2124" s="66"/>
      <c r="R2124" s="66"/>
      <c r="S2124" s="66"/>
      <c r="T2124" s="66"/>
    </row>
    <row r="2125">
      <c r="A2125" s="66"/>
      <c r="B2125" s="66"/>
      <c r="C2125" s="66"/>
      <c r="D2125" s="66"/>
      <c r="E2125" s="15"/>
      <c r="F2125" s="66"/>
      <c r="G2125" s="18"/>
      <c r="H2125" s="15"/>
      <c r="I2125" s="18"/>
      <c r="J2125" s="22"/>
      <c r="K2125" s="108"/>
      <c r="L2125" s="66"/>
      <c r="M2125" s="66"/>
      <c r="N2125" s="66"/>
      <c r="O2125" s="66"/>
      <c r="P2125" s="66"/>
      <c r="Q2125" s="66"/>
      <c r="R2125" s="66"/>
      <c r="S2125" s="66"/>
      <c r="T2125" s="66"/>
    </row>
    <row r="2126">
      <c r="A2126" s="66"/>
      <c r="B2126" s="66"/>
      <c r="C2126" s="66"/>
      <c r="D2126" s="66"/>
      <c r="E2126" s="15"/>
      <c r="F2126" s="66"/>
      <c r="G2126" s="18"/>
      <c r="H2126" s="15"/>
      <c r="I2126" s="18"/>
      <c r="J2126" s="22"/>
      <c r="K2126" s="108"/>
      <c r="L2126" s="66"/>
      <c r="M2126" s="66"/>
      <c r="N2126" s="66"/>
      <c r="O2126" s="66"/>
      <c r="P2126" s="66"/>
      <c r="Q2126" s="66"/>
      <c r="R2126" s="66"/>
      <c r="S2126" s="66"/>
      <c r="T2126" s="66"/>
    </row>
    <row r="2127">
      <c r="A2127" s="66"/>
      <c r="B2127" s="66"/>
      <c r="C2127" s="66"/>
      <c r="D2127" s="66"/>
      <c r="E2127" s="15"/>
      <c r="F2127" s="66"/>
      <c r="G2127" s="18"/>
      <c r="H2127" s="15"/>
      <c r="I2127" s="18"/>
      <c r="J2127" s="22"/>
      <c r="K2127" s="108"/>
      <c r="L2127" s="66"/>
      <c r="M2127" s="66"/>
      <c r="N2127" s="66"/>
      <c r="O2127" s="66"/>
      <c r="P2127" s="66"/>
      <c r="Q2127" s="66"/>
      <c r="R2127" s="66"/>
      <c r="S2127" s="66"/>
      <c r="T2127" s="66"/>
    </row>
    <row r="2128">
      <c r="A2128" s="66"/>
      <c r="B2128" s="66"/>
      <c r="C2128" s="66"/>
      <c r="D2128" s="66"/>
      <c r="E2128" s="15"/>
      <c r="F2128" s="66"/>
      <c r="G2128" s="18"/>
      <c r="H2128" s="15"/>
      <c r="I2128" s="18"/>
      <c r="J2128" s="22"/>
      <c r="K2128" s="108"/>
      <c r="L2128" s="66"/>
      <c r="M2128" s="66"/>
      <c r="N2128" s="66"/>
      <c r="O2128" s="66"/>
      <c r="P2128" s="66"/>
      <c r="Q2128" s="66"/>
      <c r="R2128" s="66"/>
      <c r="S2128" s="66"/>
      <c r="T2128" s="66"/>
    </row>
    <row r="2129">
      <c r="A2129" s="66"/>
      <c r="B2129" s="66"/>
      <c r="C2129" s="66"/>
      <c r="D2129" s="66"/>
      <c r="E2129" s="15"/>
      <c r="F2129" s="66"/>
      <c r="G2129" s="18"/>
      <c r="H2129" s="15"/>
      <c r="I2129" s="18"/>
      <c r="J2129" s="22"/>
      <c r="K2129" s="108"/>
      <c r="L2129" s="66"/>
      <c r="M2129" s="66"/>
      <c r="N2129" s="66"/>
      <c r="O2129" s="66"/>
      <c r="P2129" s="66"/>
      <c r="Q2129" s="66"/>
      <c r="R2129" s="66"/>
      <c r="S2129" s="66"/>
      <c r="T2129" s="66"/>
    </row>
    <row r="2130">
      <c r="A2130" s="66"/>
      <c r="B2130" s="66"/>
      <c r="C2130" s="66"/>
      <c r="D2130" s="66"/>
      <c r="E2130" s="15"/>
      <c r="F2130" s="66"/>
      <c r="G2130" s="18"/>
      <c r="H2130" s="15"/>
      <c r="I2130" s="18"/>
      <c r="J2130" s="22"/>
      <c r="K2130" s="108"/>
      <c r="L2130" s="66"/>
      <c r="M2130" s="66"/>
      <c r="N2130" s="66"/>
      <c r="O2130" s="66"/>
      <c r="P2130" s="66"/>
      <c r="Q2130" s="66"/>
      <c r="R2130" s="66"/>
      <c r="S2130" s="66"/>
      <c r="T2130" s="66"/>
    </row>
    <row r="2131">
      <c r="A2131" s="66"/>
      <c r="B2131" s="66"/>
      <c r="C2131" s="66"/>
      <c r="D2131" s="66"/>
      <c r="E2131" s="15"/>
      <c r="F2131" s="66"/>
      <c r="G2131" s="18"/>
      <c r="H2131" s="15"/>
      <c r="I2131" s="18"/>
      <c r="J2131" s="22"/>
      <c r="K2131" s="108"/>
      <c r="L2131" s="66"/>
      <c r="M2131" s="66"/>
      <c r="N2131" s="66"/>
      <c r="O2131" s="66"/>
      <c r="P2131" s="66"/>
      <c r="Q2131" s="66"/>
      <c r="R2131" s="66"/>
      <c r="S2131" s="66"/>
      <c r="T2131" s="66"/>
    </row>
    <row r="2132">
      <c r="A2132" s="66"/>
      <c r="B2132" s="66"/>
      <c r="C2132" s="66"/>
      <c r="D2132" s="66"/>
      <c r="E2132" s="15"/>
      <c r="F2132" s="66"/>
      <c r="G2132" s="18"/>
      <c r="H2132" s="15"/>
      <c r="I2132" s="18"/>
      <c r="J2132" s="22"/>
      <c r="K2132" s="108"/>
      <c r="L2132" s="66"/>
      <c r="M2132" s="66"/>
      <c r="N2132" s="66"/>
      <c r="O2132" s="66"/>
      <c r="P2132" s="66"/>
      <c r="Q2132" s="66"/>
      <c r="R2132" s="66"/>
      <c r="S2132" s="66"/>
      <c r="T2132" s="66"/>
    </row>
    <row r="2133">
      <c r="A2133" s="66"/>
      <c r="B2133" s="66"/>
      <c r="C2133" s="66"/>
      <c r="D2133" s="66"/>
      <c r="E2133" s="15"/>
      <c r="F2133" s="66"/>
      <c r="G2133" s="18"/>
      <c r="H2133" s="15"/>
      <c r="I2133" s="18"/>
      <c r="J2133" s="22"/>
      <c r="K2133" s="108"/>
      <c r="L2133" s="66"/>
      <c r="M2133" s="66"/>
      <c r="N2133" s="66"/>
      <c r="O2133" s="66"/>
      <c r="P2133" s="66"/>
      <c r="Q2133" s="66"/>
      <c r="R2133" s="66"/>
      <c r="S2133" s="66"/>
      <c r="T2133" s="66"/>
    </row>
    <row r="2134">
      <c r="A2134" s="66"/>
      <c r="B2134" s="66"/>
      <c r="C2134" s="66"/>
      <c r="D2134" s="66"/>
      <c r="E2134" s="15"/>
      <c r="F2134" s="66"/>
      <c r="G2134" s="18"/>
      <c r="H2134" s="15"/>
      <c r="I2134" s="18"/>
      <c r="J2134" s="22"/>
      <c r="K2134" s="108"/>
      <c r="L2134" s="66"/>
      <c r="M2134" s="66"/>
      <c r="N2134" s="66"/>
      <c r="O2134" s="66"/>
      <c r="P2134" s="66"/>
      <c r="Q2134" s="66"/>
      <c r="R2134" s="66"/>
      <c r="S2134" s="66"/>
      <c r="T2134" s="66"/>
    </row>
    <row r="2135">
      <c r="A2135" s="66"/>
      <c r="B2135" s="66"/>
      <c r="C2135" s="66"/>
      <c r="D2135" s="66"/>
      <c r="E2135" s="15"/>
      <c r="F2135" s="66"/>
      <c r="G2135" s="18"/>
      <c r="H2135" s="15"/>
      <c r="I2135" s="18"/>
      <c r="J2135" s="22"/>
      <c r="K2135" s="108"/>
      <c r="L2135" s="66"/>
      <c r="M2135" s="66"/>
      <c r="N2135" s="66"/>
      <c r="O2135" s="66"/>
      <c r="P2135" s="66"/>
      <c r="Q2135" s="66"/>
      <c r="R2135" s="66"/>
      <c r="S2135" s="66"/>
      <c r="T2135" s="66"/>
    </row>
    <row r="2136">
      <c r="A2136" s="66"/>
      <c r="B2136" s="66"/>
      <c r="C2136" s="66"/>
      <c r="D2136" s="66"/>
      <c r="E2136" s="15"/>
      <c r="F2136" s="66"/>
      <c r="G2136" s="18"/>
      <c r="H2136" s="15"/>
      <c r="I2136" s="18"/>
      <c r="J2136" s="22"/>
      <c r="K2136" s="108"/>
      <c r="L2136" s="66"/>
      <c r="M2136" s="66"/>
      <c r="N2136" s="66"/>
      <c r="O2136" s="66"/>
      <c r="P2136" s="66"/>
      <c r="Q2136" s="66"/>
      <c r="R2136" s="66"/>
      <c r="S2136" s="66"/>
      <c r="T2136" s="66"/>
    </row>
    <row r="2137">
      <c r="A2137" s="66"/>
      <c r="B2137" s="66"/>
      <c r="C2137" s="66"/>
      <c r="D2137" s="66"/>
      <c r="E2137" s="15"/>
      <c r="F2137" s="66"/>
      <c r="G2137" s="18"/>
      <c r="H2137" s="15"/>
      <c r="I2137" s="18"/>
      <c r="J2137" s="22"/>
      <c r="K2137" s="108"/>
      <c r="L2137" s="66"/>
      <c r="M2137" s="66"/>
      <c r="N2137" s="66"/>
      <c r="O2137" s="66"/>
      <c r="P2137" s="66"/>
      <c r="Q2137" s="66"/>
      <c r="R2137" s="66"/>
      <c r="S2137" s="66"/>
      <c r="T2137" s="66"/>
    </row>
    <row r="2138">
      <c r="A2138" s="66"/>
      <c r="B2138" s="66"/>
      <c r="C2138" s="66"/>
      <c r="D2138" s="66"/>
      <c r="E2138" s="15"/>
      <c r="F2138" s="66"/>
      <c r="G2138" s="18"/>
      <c r="H2138" s="15"/>
      <c r="I2138" s="18"/>
      <c r="J2138" s="22"/>
      <c r="K2138" s="108"/>
      <c r="L2138" s="66"/>
      <c r="M2138" s="66"/>
      <c r="N2138" s="66"/>
      <c r="O2138" s="66"/>
      <c r="P2138" s="66"/>
      <c r="Q2138" s="66"/>
      <c r="R2138" s="66"/>
      <c r="S2138" s="66"/>
      <c r="T2138" s="66"/>
    </row>
    <row r="2139">
      <c r="A2139" s="66"/>
      <c r="B2139" s="66"/>
      <c r="C2139" s="66"/>
      <c r="D2139" s="66"/>
      <c r="E2139" s="15"/>
      <c r="F2139" s="66"/>
      <c r="G2139" s="18"/>
      <c r="H2139" s="15"/>
      <c r="I2139" s="18"/>
      <c r="J2139" s="22"/>
      <c r="K2139" s="108"/>
      <c r="L2139" s="66"/>
      <c r="M2139" s="66"/>
      <c r="N2139" s="66"/>
      <c r="O2139" s="66"/>
      <c r="P2139" s="66"/>
      <c r="Q2139" s="66"/>
      <c r="R2139" s="66"/>
      <c r="S2139" s="66"/>
      <c r="T2139" s="66"/>
    </row>
    <row r="2140">
      <c r="A2140" s="66"/>
      <c r="B2140" s="66"/>
      <c r="C2140" s="66"/>
      <c r="D2140" s="66"/>
      <c r="E2140" s="15"/>
      <c r="F2140" s="66"/>
      <c r="G2140" s="18"/>
      <c r="H2140" s="15"/>
      <c r="I2140" s="18"/>
      <c r="J2140" s="22"/>
      <c r="K2140" s="108"/>
      <c r="L2140" s="66"/>
      <c r="M2140" s="66"/>
      <c r="N2140" s="66"/>
      <c r="O2140" s="66"/>
      <c r="P2140" s="66"/>
      <c r="Q2140" s="66"/>
      <c r="R2140" s="66"/>
      <c r="S2140" s="66"/>
      <c r="T2140" s="66"/>
    </row>
    <row r="2141">
      <c r="A2141" s="66"/>
      <c r="B2141" s="66"/>
      <c r="C2141" s="66"/>
      <c r="D2141" s="66"/>
      <c r="E2141" s="15"/>
      <c r="F2141" s="66"/>
      <c r="G2141" s="18"/>
      <c r="H2141" s="15"/>
      <c r="I2141" s="18"/>
      <c r="J2141" s="22"/>
      <c r="K2141" s="108"/>
      <c r="L2141" s="66"/>
      <c r="M2141" s="66"/>
      <c r="N2141" s="66"/>
      <c r="O2141" s="66"/>
      <c r="P2141" s="66"/>
      <c r="Q2141" s="66"/>
      <c r="R2141" s="66"/>
      <c r="S2141" s="66"/>
      <c r="T2141" s="66"/>
    </row>
    <row r="2142">
      <c r="A2142" s="66"/>
      <c r="B2142" s="66"/>
      <c r="C2142" s="66"/>
      <c r="D2142" s="66"/>
      <c r="E2142" s="15"/>
      <c r="F2142" s="66"/>
      <c r="G2142" s="18"/>
      <c r="H2142" s="15"/>
      <c r="I2142" s="18"/>
      <c r="J2142" s="22"/>
      <c r="K2142" s="108"/>
      <c r="L2142" s="66"/>
      <c r="M2142" s="66"/>
      <c r="N2142" s="66"/>
      <c r="O2142" s="66"/>
      <c r="P2142" s="66"/>
      <c r="Q2142" s="66"/>
      <c r="R2142" s="66"/>
      <c r="S2142" s="66"/>
      <c r="T2142" s="66"/>
    </row>
    <row r="2143">
      <c r="A2143" s="66"/>
      <c r="B2143" s="66"/>
      <c r="C2143" s="66"/>
      <c r="D2143" s="66"/>
      <c r="E2143" s="15"/>
      <c r="F2143" s="66"/>
      <c r="G2143" s="18"/>
      <c r="H2143" s="15"/>
      <c r="I2143" s="18"/>
      <c r="J2143" s="22"/>
      <c r="K2143" s="108"/>
      <c r="L2143" s="66"/>
      <c r="M2143" s="66"/>
      <c r="N2143" s="66"/>
      <c r="O2143" s="66"/>
      <c r="P2143" s="66"/>
      <c r="Q2143" s="66"/>
      <c r="R2143" s="66"/>
      <c r="S2143" s="66"/>
      <c r="T2143" s="66"/>
    </row>
    <row r="2144">
      <c r="A2144" s="66"/>
      <c r="B2144" s="66"/>
      <c r="C2144" s="66"/>
      <c r="D2144" s="66"/>
      <c r="E2144" s="15"/>
      <c r="F2144" s="66"/>
      <c r="G2144" s="18"/>
      <c r="H2144" s="15"/>
      <c r="I2144" s="18"/>
      <c r="J2144" s="22"/>
      <c r="K2144" s="108"/>
      <c r="L2144" s="66"/>
      <c r="M2144" s="66"/>
      <c r="N2144" s="66"/>
      <c r="O2144" s="66"/>
      <c r="P2144" s="66"/>
      <c r="Q2144" s="66"/>
      <c r="R2144" s="66"/>
      <c r="S2144" s="66"/>
      <c r="T2144" s="66"/>
    </row>
    <row r="2145">
      <c r="A2145" s="66"/>
      <c r="B2145" s="66"/>
      <c r="C2145" s="66"/>
      <c r="D2145" s="66"/>
      <c r="E2145" s="15"/>
      <c r="F2145" s="66"/>
      <c r="G2145" s="18"/>
      <c r="H2145" s="15"/>
      <c r="I2145" s="18"/>
      <c r="J2145" s="22"/>
      <c r="K2145" s="108"/>
      <c r="L2145" s="66"/>
      <c r="M2145" s="66"/>
      <c r="N2145" s="66"/>
      <c r="O2145" s="66"/>
      <c r="P2145" s="66"/>
      <c r="Q2145" s="66"/>
      <c r="R2145" s="66"/>
      <c r="S2145" s="66"/>
      <c r="T2145" s="66"/>
    </row>
    <row r="2146">
      <c r="A2146" s="66"/>
      <c r="B2146" s="66"/>
      <c r="C2146" s="66"/>
      <c r="D2146" s="66"/>
      <c r="E2146" s="15"/>
      <c r="F2146" s="66"/>
      <c r="G2146" s="18"/>
      <c r="H2146" s="15"/>
      <c r="I2146" s="18"/>
      <c r="J2146" s="22"/>
      <c r="K2146" s="108"/>
      <c r="L2146" s="66"/>
      <c r="M2146" s="66"/>
      <c r="N2146" s="66"/>
      <c r="O2146" s="66"/>
      <c r="P2146" s="66"/>
      <c r="Q2146" s="66"/>
      <c r="R2146" s="66"/>
      <c r="S2146" s="66"/>
      <c r="T2146" s="66"/>
    </row>
    <row r="2147">
      <c r="A2147" s="66"/>
      <c r="B2147" s="66"/>
      <c r="C2147" s="66"/>
      <c r="D2147" s="66"/>
      <c r="E2147" s="15"/>
      <c r="F2147" s="66"/>
      <c r="G2147" s="18"/>
      <c r="H2147" s="15"/>
      <c r="I2147" s="18"/>
      <c r="J2147" s="22"/>
      <c r="K2147" s="108"/>
      <c r="L2147" s="66"/>
      <c r="M2147" s="66"/>
      <c r="N2147" s="66"/>
      <c r="O2147" s="66"/>
      <c r="P2147" s="66"/>
      <c r="Q2147" s="66"/>
      <c r="R2147" s="66"/>
      <c r="S2147" s="66"/>
      <c r="T2147" s="66"/>
    </row>
    <row r="2148">
      <c r="A2148" s="66"/>
      <c r="B2148" s="66"/>
      <c r="C2148" s="66"/>
      <c r="D2148" s="66"/>
      <c r="E2148" s="15"/>
      <c r="F2148" s="66"/>
      <c r="G2148" s="18"/>
      <c r="H2148" s="15"/>
      <c r="I2148" s="18"/>
      <c r="J2148" s="22"/>
      <c r="K2148" s="108"/>
      <c r="L2148" s="66"/>
      <c r="M2148" s="66"/>
      <c r="N2148" s="66"/>
      <c r="O2148" s="66"/>
      <c r="P2148" s="66"/>
      <c r="Q2148" s="66"/>
      <c r="R2148" s="66"/>
      <c r="S2148" s="66"/>
      <c r="T2148" s="66"/>
    </row>
    <row r="2149">
      <c r="A2149" s="66"/>
      <c r="B2149" s="66"/>
      <c r="C2149" s="66"/>
      <c r="D2149" s="66"/>
      <c r="E2149" s="15"/>
      <c r="F2149" s="66"/>
      <c r="G2149" s="18"/>
      <c r="H2149" s="15"/>
      <c r="I2149" s="18"/>
      <c r="J2149" s="22"/>
      <c r="K2149" s="108"/>
      <c r="L2149" s="66"/>
      <c r="M2149" s="66"/>
      <c r="N2149" s="66"/>
      <c r="O2149" s="66"/>
      <c r="P2149" s="66"/>
      <c r="Q2149" s="66"/>
      <c r="R2149" s="66"/>
      <c r="S2149" s="66"/>
      <c r="T2149" s="66"/>
    </row>
    <row r="2150">
      <c r="A2150" s="66"/>
      <c r="B2150" s="66"/>
      <c r="C2150" s="66"/>
      <c r="D2150" s="66"/>
      <c r="E2150" s="15"/>
      <c r="F2150" s="66"/>
      <c r="G2150" s="18"/>
      <c r="H2150" s="15"/>
      <c r="I2150" s="18"/>
      <c r="J2150" s="22"/>
      <c r="K2150" s="108"/>
      <c r="L2150" s="66"/>
      <c r="M2150" s="66"/>
      <c r="N2150" s="66"/>
      <c r="O2150" s="66"/>
      <c r="P2150" s="66"/>
      <c r="Q2150" s="66"/>
      <c r="R2150" s="66"/>
      <c r="S2150" s="66"/>
      <c r="T2150" s="66"/>
    </row>
    <row r="2151">
      <c r="A2151" s="66"/>
      <c r="B2151" s="66"/>
      <c r="C2151" s="66"/>
      <c r="D2151" s="66"/>
      <c r="E2151" s="15"/>
      <c r="F2151" s="66"/>
      <c r="G2151" s="18"/>
      <c r="H2151" s="15"/>
      <c r="I2151" s="18"/>
      <c r="J2151" s="22"/>
      <c r="K2151" s="108"/>
      <c r="L2151" s="66"/>
      <c r="M2151" s="66"/>
      <c r="N2151" s="66"/>
      <c r="O2151" s="66"/>
      <c r="P2151" s="66"/>
      <c r="Q2151" s="66"/>
      <c r="R2151" s="66"/>
      <c r="S2151" s="66"/>
      <c r="T2151" s="66"/>
    </row>
    <row r="2152">
      <c r="A2152" s="66"/>
      <c r="B2152" s="66"/>
      <c r="C2152" s="66"/>
      <c r="D2152" s="66"/>
      <c r="E2152" s="15"/>
      <c r="F2152" s="66"/>
      <c r="G2152" s="18"/>
      <c r="H2152" s="15"/>
      <c r="I2152" s="18"/>
      <c r="J2152" s="22"/>
      <c r="K2152" s="108"/>
      <c r="L2152" s="66"/>
      <c r="M2152" s="66"/>
      <c r="N2152" s="66"/>
      <c r="O2152" s="66"/>
      <c r="P2152" s="66"/>
      <c r="Q2152" s="66"/>
      <c r="R2152" s="66"/>
      <c r="S2152" s="66"/>
      <c r="T2152" s="66"/>
    </row>
    <row r="2153">
      <c r="A2153" s="66"/>
      <c r="B2153" s="66"/>
      <c r="C2153" s="66"/>
      <c r="D2153" s="66"/>
      <c r="E2153" s="15"/>
      <c r="F2153" s="66"/>
      <c r="G2153" s="18"/>
      <c r="H2153" s="15"/>
      <c r="I2153" s="18"/>
      <c r="J2153" s="22"/>
      <c r="K2153" s="108"/>
      <c r="L2153" s="66"/>
      <c r="M2153" s="66"/>
      <c r="N2153" s="66"/>
      <c r="O2153" s="66"/>
      <c r="P2153" s="66"/>
      <c r="Q2153" s="66"/>
      <c r="R2153" s="66"/>
      <c r="S2153" s="66"/>
      <c r="T2153" s="66"/>
    </row>
    <row r="2154">
      <c r="A2154" s="66"/>
      <c r="B2154" s="66"/>
      <c r="C2154" s="66"/>
      <c r="D2154" s="66"/>
      <c r="E2154" s="15"/>
      <c r="F2154" s="66"/>
      <c r="G2154" s="18"/>
      <c r="H2154" s="15"/>
      <c r="I2154" s="18"/>
      <c r="J2154" s="22"/>
      <c r="K2154" s="108"/>
      <c r="L2154" s="66"/>
      <c r="M2154" s="66"/>
      <c r="N2154" s="66"/>
      <c r="O2154" s="66"/>
      <c r="P2154" s="66"/>
      <c r="Q2154" s="66"/>
      <c r="R2154" s="66"/>
      <c r="S2154" s="66"/>
      <c r="T2154" s="66"/>
    </row>
    <row r="2155">
      <c r="A2155" s="66"/>
      <c r="B2155" s="66"/>
      <c r="C2155" s="66"/>
      <c r="D2155" s="66"/>
      <c r="E2155" s="15"/>
      <c r="F2155" s="66"/>
      <c r="G2155" s="18"/>
      <c r="H2155" s="15"/>
      <c r="I2155" s="18"/>
      <c r="J2155" s="22"/>
      <c r="K2155" s="108"/>
      <c r="L2155" s="66"/>
      <c r="M2155" s="66"/>
      <c r="N2155" s="66"/>
      <c r="O2155" s="66"/>
      <c r="P2155" s="66"/>
      <c r="Q2155" s="66"/>
      <c r="R2155" s="66"/>
      <c r="S2155" s="66"/>
      <c r="T2155" s="66"/>
    </row>
    <row r="2156">
      <c r="A2156" s="66"/>
      <c r="B2156" s="66"/>
      <c r="C2156" s="66"/>
      <c r="D2156" s="66"/>
      <c r="E2156" s="15"/>
      <c r="F2156" s="66"/>
      <c r="G2156" s="18"/>
      <c r="H2156" s="15"/>
      <c r="I2156" s="18"/>
      <c r="J2156" s="22"/>
      <c r="K2156" s="108"/>
      <c r="L2156" s="66"/>
      <c r="M2156" s="66"/>
      <c r="N2156" s="66"/>
      <c r="O2156" s="66"/>
      <c r="P2156" s="66"/>
      <c r="Q2156" s="66"/>
      <c r="R2156" s="66"/>
      <c r="S2156" s="66"/>
      <c r="T2156" s="66"/>
    </row>
    <row r="2157">
      <c r="A2157" s="66"/>
      <c r="B2157" s="66"/>
      <c r="C2157" s="66"/>
      <c r="D2157" s="66"/>
      <c r="E2157" s="15"/>
      <c r="F2157" s="66"/>
      <c r="G2157" s="18"/>
      <c r="H2157" s="15"/>
      <c r="I2157" s="18"/>
      <c r="J2157" s="22"/>
      <c r="K2157" s="108"/>
      <c r="L2157" s="66"/>
      <c r="M2157" s="66"/>
      <c r="N2157" s="66"/>
      <c r="O2157" s="66"/>
      <c r="P2157" s="66"/>
      <c r="Q2157" s="66"/>
      <c r="R2157" s="66"/>
      <c r="S2157" s="66"/>
      <c r="T2157" s="66"/>
    </row>
    <row r="2158">
      <c r="A2158" s="66"/>
      <c r="B2158" s="66"/>
      <c r="C2158" s="66"/>
      <c r="D2158" s="66"/>
      <c r="E2158" s="15"/>
      <c r="F2158" s="66"/>
      <c r="G2158" s="18"/>
      <c r="H2158" s="15"/>
      <c r="I2158" s="18"/>
      <c r="J2158" s="22"/>
      <c r="K2158" s="108"/>
      <c r="L2158" s="66"/>
      <c r="M2158" s="66"/>
      <c r="N2158" s="66"/>
      <c r="O2158" s="66"/>
      <c r="P2158" s="66"/>
      <c r="Q2158" s="66"/>
      <c r="R2158" s="66"/>
      <c r="S2158" s="66"/>
      <c r="T2158" s="66"/>
    </row>
    <row r="2159">
      <c r="A2159" s="66"/>
      <c r="B2159" s="66"/>
      <c r="C2159" s="66"/>
      <c r="D2159" s="66"/>
      <c r="E2159" s="15"/>
      <c r="F2159" s="66"/>
      <c r="G2159" s="18"/>
      <c r="H2159" s="15"/>
      <c r="I2159" s="18"/>
      <c r="J2159" s="22"/>
      <c r="K2159" s="108"/>
      <c r="L2159" s="66"/>
      <c r="M2159" s="66"/>
      <c r="N2159" s="66"/>
      <c r="O2159" s="66"/>
      <c r="P2159" s="66"/>
      <c r="Q2159" s="66"/>
      <c r="R2159" s="66"/>
      <c r="S2159" s="66"/>
      <c r="T2159" s="66"/>
    </row>
    <row r="2160">
      <c r="A2160" s="66"/>
      <c r="B2160" s="66"/>
      <c r="C2160" s="66"/>
      <c r="D2160" s="66"/>
      <c r="E2160" s="15"/>
      <c r="F2160" s="66"/>
      <c r="G2160" s="18"/>
      <c r="H2160" s="15"/>
      <c r="I2160" s="18"/>
      <c r="J2160" s="22"/>
      <c r="K2160" s="108"/>
      <c r="L2160" s="66"/>
      <c r="M2160" s="66"/>
      <c r="N2160" s="66"/>
      <c r="O2160" s="66"/>
      <c r="P2160" s="66"/>
      <c r="Q2160" s="66"/>
      <c r="R2160" s="66"/>
      <c r="S2160" s="66"/>
      <c r="T2160" s="66"/>
    </row>
    <row r="2161">
      <c r="A2161" s="66"/>
      <c r="B2161" s="66"/>
      <c r="C2161" s="66"/>
      <c r="D2161" s="66"/>
      <c r="E2161" s="15"/>
      <c r="F2161" s="66"/>
      <c r="G2161" s="18"/>
      <c r="H2161" s="15"/>
      <c r="I2161" s="18"/>
      <c r="J2161" s="22"/>
      <c r="K2161" s="108"/>
      <c r="L2161" s="66"/>
      <c r="M2161" s="66"/>
      <c r="N2161" s="66"/>
      <c r="O2161" s="66"/>
      <c r="P2161" s="66"/>
      <c r="Q2161" s="66"/>
      <c r="R2161" s="66"/>
      <c r="S2161" s="66"/>
      <c r="T2161" s="66"/>
    </row>
    <row r="2162">
      <c r="A2162" s="66"/>
      <c r="B2162" s="66"/>
      <c r="C2162" s="66"/>
      <c r="D2162" s="66"/>
      <c r="E2162" s="15"/>
      <c r="F2162" s="66"/>
      <c r="G2162" s="18"/>
      <c r="H2162" s="15"/>
      <c r="I2162" s="18"/>
      <c r="J2162" s="22"/>
      <c r="K2162" s="108"/>
      <c r="L2162" s="66"/>
      <c r="M2162" s="66"/>
      <c r="N2162" s="66"/>
      <c r="O2162" s="66"/>
      <c r="P2162" s="66"/>
      <c r="Q2162" s="66"/>
      <c r="R2162" s="66"/>
      <c r="S2162" s="66"/>
      <c r="T2162" s="66"/>
    </row>
    <row r="2163">
      <c r="A2163" s="66"/>
      <c r="B2163" s="66"/>
      <c r="C2163" s="66"/>
      <c r="D2163" s="66"/>
      <c r="E2163" s="15"/>
      <c r="F2163" s="66"/>
      <c r="G2163" s="18"/>
      <c r="H2163" s="15"/>
      <c r="I2163" s="18"/>
      <c r="J2163" s="22"/>
      <c r="K2163" s="108"/>
      <c r="L2163" s="66"/>
      <c r="M2163" s="66"/>
      <c r="N2163" s="66"/>
      <c r="O2163" s="66"/>
      <c r="P2163" s="66"/>
      <c r="Q2163" s="66"/>
      <c r="R2163" s="66"/>
      <c r="S2163" s="66"/>
      <c r="T2163" s="66"/>
    </row>
    <row r="2164">
      <c r="A2164" s="66"/>
      <c r="B2164" s="66"/>
      <c r="C2164" s="66"/>
      <c r="D2164" s="66"/>
      <c r="E2164" s="15"/>
      <c r="F2164" s="66"/>
      <c r="G2164" s="18"/>
      <c r="H2164" s="15"/>
      <c r="I2164" s="18"/>
      <c r="J2164" s="22"/>
      <c r="K2164" s="108"/>
      <c r="L2164" s="66"/>
      <c r="M2164" s="66"/>
      <c r="N2164" s="66"/>
      <c r="O2164" s="66"/>
      <c r="P2164" s="66"/>
      <c r="Q2164" s="66"/>
      <c r="R2164" s="66"/>
      <c r="S2164" s="66"/>
      <c r="T2164" s="66"/>
    </row>
    <row r="2165">
      <c r="A2165" s="66"/>
      <c r="B2165" s="66"/>
      <c r="C2165" s="66"/>
      <c r="D2165" s="66"/>
      <c r="E2165" s="15"/>
      <c r="F2165" s="66"/>
      <c r="G2165" s="18"/>
      <c r="H2165" s="15"/>
      <c r="I2165" s="18"/>
      <c r="J2165" s="22"/>
      <c r="K2165" s="108"/>
      <c r="L2165" s="66"/>
      <c r="M2165" s="66"/>
      <c r="N2165" s="66"/>
      <c r="O2165" s="66"/>
      <c r="P2165" s="66"/>
      <c r="Q2165" s="66"/>
      <c r="R2165" s="66"/>
      <c r="S2165" s="66"/>
      <c r="T2165" s="66"/>
    </row>
    <row r="2166">
      <c r="A2166" s="66"/>
      <c r="B2166" s="66"/>
      <c r="C2166" s="66"/>
      <c r="D2166" s="66"/>
      <c r="E2166" s="15"/>
      <c r="F2166" s="66"/>
      <c r="G2166" s="18"/>
      <c r="H2166" s="15"/>
      <c r="I2166" s="18"/>
      <c r="J2166" s="22"/>
      <c r="K2166" s="108"/>
      <c r="L2166" s="66"/>
      <c r="M2166" s="66"/>
      <c r="N2166" s="66"/>
      <c r="O2166" s="66"/>
      <c r="P2166" s="66"/>
      <c r="Q2166" s="66"/>
      <c r="R2166" s="66"/>
      <c r="S2166" s="66"/>
      <c r="T2166" s="66"/>
    </row>
    <row r="2167">
      <c r="A2167" s="66"/>
      <c r="B2167" s="66"/>
      <c r="C2167" s="66"/>
      <c r="D2167" s="66"/>
      <c r="E2167" s="15"/>
      <c r="F2167" s="66"/>
      <c r="G2167" s="18"/>
      <c r="H2167" s="15"/>
      <c r="I2167" s="18"/>
      <c r="J2167" s="22"/>
      <c r="K2167" s="108"/>
      <c r="L2167" s="66"/>
      <c r="M2167" s="66"/>
      <c r="N2167" s="66"/>
      <c r="O2167" s="66"/>
      <c r="P2167" s="66"/>
      <c r="Q2167" s="66"/>
      <c r="R2167" s="66"/>
      <c r="S2167" s="66"/>
      <c r="T2167" s="66"/>
    </row>
    <row r="2168">
      <c r="A2168" s="66"/>
      <c r="B2168" s="66"/>
      <c r="C2168" s="66"/>
      <c r="D2168" s="66"/>
      <c r="E2168" s="15"/>
      <c r="F2168" s="66"/>
      <c r="G2168" s="18"/>
      <c r="H2168" s="15"/>
      <c r="I2168" s="18"/>
      <c r="J2168" s="22"/>
      <c r="K2168" s="108"/>
      <c r="L2168" s="66"/>
      <c r="M2168" s="66"/>
      <c r="N2168" s="66"/>
      <c r="O2168" s="66"/>
      <c r="P2168" s="66"/>
      <c r="Q2168" s="66"/>
      <c r="R2168" s="66"/>
      <c r="S2168" s="66"/>
      <c r="T2168" s="66"/>
    </row>
    <row r="2169">
      <c r="A2169" s="66"/>
      <c r="B2169" s="66"/>
      <c r="C2169" s="66"/>
      <c r="D2169" s="66"/>
      <c r="E2169" s="15"/>
      <c r="F2169" s="66"/>
      <c r="G2169" s="18"/>
      <c r="H2169" s="15"/>
      <c r="I2169" s="18"/>
      <c r="J2169" s="22"/>
      <c r="K2169" s="108"/>
      <c r="L2169" s="66"/>
      <c r="M2169" s="66"/>
      <c r="N2169" s="66"/>
      <c r="O2169" s="66"/>
      <c r="P2169" s="66"/>
      <c r="Q2169" s="66"/>
      <c r="R2169" s="66"/>
      <c r="S2169" s="66"/>
      <c r="T2169" s="66"/>
    </row>
    <row r="2170">
      <c r="A2170" s="66"/>
      <c r="B2170" s="66"/>
      <c r="C2170" s="66"/>
      <c r="D2170" s="66"/>
      <c r="E2170" s="15"/>
      <c r="F2170" s="66"/>
      <c r="G2170" s="18"/>
      <c r="H2170" s="15"/>
      <c r="I2170" s="18"/>
      <c r="J2170" s="22"/>
      <c r="K2170" s="108"/>
      <c r="L2170" s="66"/>
      <c r="M2170" s="66"/>
      <c r="N2170" s="66"/>
      <c r="O2170" s="66"/>
      <c r="P2170" s="66"/>
      <c r="Q2170" s="66"/>
      <c r="R2170" s="66"/>
      <c r="S2170" s="66"/>
      <c r="T2170" s="66"/>
    </row>
    <row r="2171">
      <c r="A2171" s="66"/>
      <c r="B2171" s="66"/>
      <c r="C2171" s="66"/>
      <c r="D2171" s="66"/>
      <c r="E2171" s="15"/>
      <c r="F2171" s="66"/>
      <c r="G2171" s="18"/>
      <c r="H2171" s="15"/>
      <c r="I2171" s="18"/>
      <c r="J2171" s="22"/>
      <c r="K2171" s="108"/>
      <c r="L2171" s="66"/>
      <c r="M2171" s="66"/>
      <c r="N2171" s="66"/>
      <c r="O2171" s="66"/>
      <c r="P2171" s="66"/>
      <c r="Q2171" s="66"/>
      <c r="R2171" s="66"/>
      <c r="S2171" s="66"/>
      <c r="T2171" s="66"/>
    </row>
    <row r="2172">
      <c r="A2172" s="66"/>
      <c r="B2172" s="66"/>
      <c r="C2172" s="66"/>
      <c r="D2172" s="66"/>
      <c r="E2172" s="15"/>
      <c r="F2172" s="66"/>
      <c r="G2172" s="18"/>
      <c r="H2172" s="15"/>
      <c r="I2172" s="18"/>
      <c r="J2172" s="22"/>
      <c r="K2172" s="108"/>
      <c r="L2172" s="66"/>
      <c r="M2172" s="66"/>
      <c r="N2172" s="66"/>
      <c r="O2172" s="66"/>
      <c r="P2172" s="66"/>
      <c r="Q2172" s="66"/>
      <c r="R2172" s="66"/>
      <c r="S2172" s="66"/>
      <c r="T2172" s="66"/>
    </row>
    <row r="2173">
      <c r="A2173" s="66"/>
      <c r="B2173" s="66"/>
      <c r="C2173" s="66"/>
      <c r="D2173" s="66"/>
      <c r="E2173" s="15"/>
      <c r="F2173" s="66"/>
      <c r="G2173" s="18"/>
      <c r="H2173" s="15"/>
      <c r="I2173" s="18"/>
      <c r="J2173" s="22"/>
      <c r="K2173" s="108"/>
      <c r="L2173" s="66"/>
      <c r="M2173" s="66"/>
      <c r="N2173" s="66"/>
      <c r="O2173" s="66"/>
      <c r="P2173" s="66"/>
      <c r="Q2173" s="66"/>
      <c r="R2173" s="66"/>
      <c r="S2173" s="66"/>
      <c r="T2173" s="66"/>
    </row>
    <row r="2174">
      <c r="A2174" s="66"/>
      <c r="B2174" s="66"/>
      <c r="C2174" s="66"/>
      <c r="D2174" s="66"/>
      <c r="E2174" s="15"/>
      <c r="F2174" s="66"/>
      <c r="G2174" s="18"/>
      <c r="H2174" s="15"/>
      <c r="I2174" s="18"/>
      <c r="J2174" s="22"/>
      <c r="K2174" s="108"/>
      <c r="L2174" s="66"/>
      <c r="M2174" s="66"/>
      <c r="N2174" s="66"/>
      <c r="O2174" s="66"/>
      <c r="P2174" s="66"/>
      <c r="Q2174" s="66"/>
      <c r="R2174" s="66"/>
      <c r="S2174" s="66"/>
      <c r="T2174" s="66"/>
    </row>
    <row r="2175">
      <c r="A2175" s="66"/>
      <c r="B2175" s="66"/>
      <c r="C2175" s="66"/>
      <c r="D2175" s="66"/>
      <c r="E2175" s="15"/>
      <c r="F2175" s="66"/>
      <c r="G2175" s="18"/>
      <c r="H2175" s="15"/>
      <c r="I2175" s="18"/>
      <c r="J2175" s="22"/>
      <c r="K2175" s="108"/>
      <c r="L2175" s="66"/>
      <c r="M2175" s="66"/>
      <c r="N2175" s="66"/>
      <c r="O2175" s="66"/>
      <c r="P2175" s="66"/>
      <c r="Q2175" s="66"/>
      <c r="R2175" s="66"/>
      <c r="S2175" s="66"/>
      <c r="T2175" s="66"/>
    </row>
    <row r="2176">
      <c r="A2176" s="66"/>
      <c r="B2176" s="66"/>
      <c r="C2176" s="66"/>
      <c r="D2176" s="66"/>
      <c r="E2176" s="15"/>
      <c r="F2176" s="66"/>
      <c r="G2176" s="18"/>
      <c r="H2176" s="15"/>
      <c r="I2176" s="18"/>
      <c r="J2176" s="22"/>
      <c r="K2176" s="108"/>
      <c r="L2176" s="66"/>
      <c r="M2176" s="66"/>
      <c r="N2176" s="66"/>
      <c r="O2176" s="66"/>
      <c r="P2176" s="66"/>
      <c r="Q2176" s="66"/>
      <c r="R2176" s="66"/>
      <c r="S2176" s="66"/>
      <c r="T2176" s="66"/>
    </row>
    <row r="2177">
      <c r="A2177" s="66"/>
      <c r="B2177" s="66"/>
      <c r="C2177" s="66"/>
      <c r="D2177" s="66"/>
      <c r="E2177" s="15"/>
      <c r="F2177" s="66"/>
      <c r="G2177" s="18"/>
      <c r="H2177" s="15"/>
      <c r="I2177" s="18"/>
      <c r="J2177" s="22"/>
      <c r="K2177" s="108"/>
      <c r="L2177" s="66"/>
      <c r="M2177" s="66"/>
      <c r="N2177" s="66"/>
      <c r="O2177" s="66"/>
      <c r="P2177" s="66"/>
      <c r="Q2177" s="66"/>
      <c r="R2177" s="66"/>
      <c r="S2177" s="66"/>
      <c r="T2177" s="66"/>
    </row>
    <row r="2178">
      <c r="A2178" s="66"/>
      <c r="B2178" s="66"/>
      <c r="C2178" s="66"/>
      <c r="D2178" s="66"/>
      <c r="E2178" s="15"/>
      <c r="F2178" s="66"/>
      <c r="G2178" s="18"/>
      <c r="H2178" s="15"/>
      <c r="I2178" s="18"/>
      <c r="J2178" s="22"/>
      <c r="K2178" s="108"/>
      <c r="L2178" s="66"/>
      <c r="M2178" s="66"/>
      <c r="N2178" s="66"/>
      <c r="O2178" s="66"/>
      <c r="P2178" s="66"/>
      <c r="Q2178" s="66"/>
      <c r="R2178" s="66"/>
      <c r="S2178" s="66"/>
      <c r="T2178" s="66"/>
    </row>
    <row r="2179">
      <c r="A2179" s="66"/>
      <c r="B2179" s="66"/>
      <c r="C2179" s="66"/>
      <c r="D2179" s="66"/>
      <c r="E2179" s="15"/>
      <c r="F2179" s="66"/>
      <c r="G2179" s="18"/>
      <c r="H2179" s="15"/>
      <c r="I2179" s="18"/>
      <c r="J2179" s="22"/>
      <c r="K2179" s="108"/>
      <c r="L2179" s="66"/>
      <c r="M2179" s="66"/>
      <c r="N2179" s="66"/>
      <c r="O2179" s="66"/>
      <c r="P2179" s="66"/>
      <c r="Q2179" s="66"/>
      <c r="R2179" s="66"/>
      <c r="S2179" s="66"/>
      <c r="T2179" s="66"/>
    </row>
    <row r="2180">
      <c r="A2180" s="66"/>
      <c r="B2180" s="66"/>
      <c r="C2180" s="66"/>
      <c r="D2180" s="66"/>
      <c r="E2180" s="15"/>
      <c r="F2180" s="66"/>
      <c r="G2180" s="18"/>
      <c r="H2180" s="15"/>
      <c r="I2180" s="18"/>
      <c r="J2180" s="22"/>
      <c r="K2180" s="108"/>
      <c r="L2180" s="66"/>
      <c r="M2180" s="66"/>
      <c r="N2180" s="66"/>
      <c r="O2180" s="66"/>
      <c r="P2180" s="66"/>
      <c r="Q2180" s="66"/>
      <c r="R2180" s="66"/>
      <c r="S2180" s="66"/>
      <c r="T2180" s="66"/>
    </row>
    <row r="2181">
      <c r="A2181" s="66"/>
      <c r="B2181" s="66"/>
      <c r="C2181" s="66"/>
      <c r="D2181" s="66"/>
      <c r="E2181" s="15"/>
      <c r="F2181" s="66"/>
      <c r="G2181" s="18"/>
      <c r="H2181" s="15"/>
      <c r="I2181" s="18"/>
      <c r="J2181" s="22"/>
      <c r="K2181" s="108"/>
      <c r="L2181" s="66"/>
      <c r="M2181" s="66"/>
      <c r="N2181" s="66"/>
      <c r="O2181" s="66"/>
      <c r="P2181" s="66"/>
      <c r="Q2181" s="66"/>
      <c r="R2181" s="66"/>
      <c r="S2181" s="66"/>
      <c r="T2181" s="66"/>
    </row>
    <row r="2182">
      <c r="A2182" s="66"/>
      <c r="B2182" s="66"/>
      <c r="C2182" s="66"/>
      <c r="D2182" s="66"/>
      <c r="E2182" s="15"/>
      <c r="F2182" s="66"/>
      <c r="G2182" s="18"/>
      <c r="H2182" s="15"/>
      <c r="I2182" s="18"/>
      <c r="J2182" s="22"/>
      <c r="K2182" s="108"/>
      <c r="L2182" s="66"/>
      <c r="M2182" s="66"/>
      <c r="N2182" s="66"/>
      <c r="O2182" s="66"/>
      <c r="P2182" s="66"/>
      <c r="Q2182" s="66"/>
      <c r="R2182" s="66"/>
      <c r="S2182" s="66"/>
      <c r="T2182" s="66"/>
    </row>
    <row r="2183">
      <c r="A2183" s="66"/>
      <c r="B2183" s="66"/>
      <c r="C2183" s="66"/>
      <c r="D2183" s="66"/>
      <c r="E2183" s="15"/>
      <c r="F2183" s="66"/>
      <c r="G2183" s="18"/>
      <c r="H2183" s="15"/>
      <c r="I2183" s="18"/>
      <c r="J2183" s="22"/>
      <c r="K2183" s="108"/>
      <c r="L2183" s="66"/>
      <c r="M2183" s="66"/>
      <c r="N2183" s="66"/>
      <c r="O2183" s="66"/>
      <c r="P2183" s="66"/>
      <c r="Q2183" s="66"/>
      <c r="R2183" s="66"/>
      <c r="S2183" s="66"/>
      <c r="T2183" s="66"/>
    </row>
    <row r="2184">
      <c r="A2184" s="66"/>
      <c r="B2184" s="66"/>
      <c r="C2184" s="66"/>
      <c r="D2184" s="66"/>
      <c r="E2184" s="15"/>
      <c r="F2184" s="66"/>
      <c r="G2184" s="18"/>
      <c r="H2184" s="15"/>
      <c r="I2184" s="18"/>
      <c r="J2184" s="22"/>
      <c r="K2184" s="108"/>
      <c r="L2184" s="66"/>
      <c r="M2184" s="66"/>
      <c r="N2184" s="66"/>
      <c r="O2184" s="66"/>
      <c r="P2184" s="66"/>
      <c r="Q2184" s="66"/>
      <c r="R2184" s="66"/>
      <c r="S2184" s="66"/>
      <c r="T2184" s="66"/>
    </row>
    <row r="2185">
      <c r="A2185" s="66"/>
      <c r="B2185" s="66"/>
      <c r="C2185" s="66"/>
      <c r="D2185" s="66"/>
      <c r="E2185" s="15"/>
      <c r="F2185" s="66"/>
      <c r="G2185" s="18"/>
      <c r="H2185" s="15"/>
      <c r="I2185" s="18"/>
      <c r="J2185" s="22"/>
      <c r="K2185" s="108"/>
      <c r="L2185" s="66"/>
      <c r="M2185" s="66"/>
      <c r="N2185" s="66"/>
      <c r="O2185" s="66"/>
      <c r="P2185" s="66"/>
      <c r="Q2185" s="66"/>
      <c r="R2185" s="66"/>
      <c r="S2185" s="66"/>
      <c r="T2185" s="66"/>
    </row>
    <row r="2186">
      <c r="A2186" s="66"/>
      <c r="B2186" s="66"/>
      <c r="C2186" s="66"/>
      <c r="D2186" s="66"/>
      <c r="E2186" s="15"/>
      <c r="F2186" s="66"/>
      <c r="G2186" s="18"/>
      <c r="H2186" s="15"/>
      <c r="I2186" s="18"/>
      <c r="J2186" s="22"/>
      <c r="K2186" s="108"/>
      <c r="L2186" s="66"/>
      <c r="M2186" s="66"/>
      <c r="N2186" s="66"/>
      <c r="O2186" s="66"/>
      <c r="P2186" s="66"/>
      <c r="Q2186" s="66"/>
      <c r="R2186" s="66"/>
      <c r="S2186" s="66"/>
      <c r="T2186" s="66"/>
    </row>
    <row r="2187">
      <c r="A2187" s="66"/>
      <c r="B2187" s="66"/>
      <c r="C2187" s="66"/>
      <c r="D2187" s="66"/>
      <c r="E2187" s="15"/>
      <c r="F2187" s="66"/>
      <c r="G2187" s="18"/>
      <c r="H2187" s="15"/>
      <c r="I2187" s="18"/>
      <c r="J2187" s="22"/>
      <c r="K2187" s="108"/>
      <c r="L2187" s="66"/>
      <c r="M2187" s="66"/>
      <c r="N2187" s="66"/>
      <c r="O2187" s="66"/>
      <c r="P2187" s="66"/>
      <c r="Q2187" s="66"/>
      <c r="R2187" s="66"/>
      <c r="S2187" s="66"/>
      <c r="T2187" s="66"/>
    </row>
    <row r="2188">
      <c r="A2188" s="66"/>
      <c r="B2188" s="66"/>
      <c r="C2188" s="66"/>
      <c r="D2188" s="66"/>
      <c r="E2188" s="15"/>
      <c r="F2188" s="66"/>
      <c r="G2188" s="18"/>
      <c r="H2188" s="15"/>
      <c r="I2188" s="18"/>
      <c r="J2188" s="22"/>
      <c r="K2188" s="108"/>
      <c r="L2188" s="66"/>
      <c r="M2188" s="66"/>
      <c r="N2188" s="66"/>
      <c r="O2188" s="66"/>
      <c r="P2188" s="66"/>
      <c r="Q2188" s="66"/>
      <c r="R2188" s="66"/>
      <c r="S2188" s="66"/>
      <c r="T2188" s="66"/>
    </row>
    <row r="2189">
      <c r="A2189" s="66"/>
      <c r="B2189" s="66"/>
      <c r="C2189" s="66"/>
      <c r="D2189" s="66"/>
      <c r="E2189" s="15"/>
      <c r="F2189" s="66"/>
      <c r="G2189" s="18"/>
      <c r="H2189" s="15"/>
      <c r="I2189" s="18"/>
      <c r="J2189" s="22"/>
      <c r="K2189" s="108"/>
      <c r="L2189" s="66"/>
      <c r="M2189" s="66"/>
      <c r="N2189" s="66"/>
      <c r="O2189" s="66"/>
      <c r="P2189" s="66"/>
      <c r="Q2189" s="66"/>
      <c r="R2189" s="66"/>
      <c r="S2189" s="66"/>
      <c r="T2189" s="66"/>
    </row>
    <row r="2190">
      <c r="A2190" s="66"/>
      <c r="B2190" s="66"/>
      <c r="C2190" s="66"/>
      <c r="D2190" s="66"/>
      <c r="E2190" s="15"/>
      <c r="F2190" s="66"/>
      <c r="G2190" s="18"/>
      <c r="H2190" s="15"/>
      <c r="I2190" s="18"/>
      <c r="J2190" s="22"/>
      <c r="K2190" s="108"/>
      <c r="L2190" s="66"/>
      <c r="M2190" s="66"/>
      <c r="N2190" s="66"/>
      <c r="O2190" s="66"/>
      <c r="P2190" s="66"/>
      <c r="Q2190" s="66"/>
      <c r="R2190" s="66"/>
      <c r="S2190" s="66"/>
      <c r="T2190" s="66"/>
    </row>
    <row r="2191">
      <c r="A2191" s="66"/>
      <c r="B2191" s="66"/>
      <c r="C2191" s="66"/>
      <c r="D2191" s="66"/>
      <c r="E2191" s="15"/>
      <c r="F2191" s="66"/>
      <c r="G2191" s="18"/>
      <c r="H2191" s="15"/>
      <c r="I2191" s="18"/>
      <c r="J2191" s="22"/>
      <c r="K2191" s="108"/>
      <c r="L2191" s="66"/>
      <c r="M2191" s="66"/>
      <c r="N2191" s="66"/>
      <c r="O2191" s="66"/>
      <c r="P2191" s="66"/>
      <c r="Q2191" s="66"/>
      <c r="R2191" s="66"/>
      <c r="S2191" s="66"/>
      <c r="T2191" s="66"/>
    </row>
    <row r="2192">
      <c r="A2192" s="66"/>
      <c r="B2192" s="66"/>
      <c r="C2192" s="66"/>
      <c r="D2192" s="66"/>
      <c r="E2192" s="15"/>
      <c r="F2192" s="66"/>
      <c r="G2192" s="18"/>
      <c r="H2192" s="15"/>
      <c r="I2192" s="18"/>
      <c r="J2192" s="22"/>
      <c r="K2192" s="108"/>
      <c r="L2192" s="66"/>
      <c r="M2192" s="66"/>
      <c r="N2192" s="66"/>
      <c r="O2192" s="66"/>
      <c r="P2192" s="66"/>
      <c r="Q2192" s="66"/>
      <c r="R2192" s="66"/>
      <c r="S2192" s="66"/>
      <c r="T2192" s="66"/>
    </row>
    <row r="2193">
      <c r="A2193" s="66"/>
      <c r="B2193" s="66"/>
      <c r="C2193" s="66"/>
      <c r="D2193" s="66"/>
      <c r="E2193" s="15"/>
      <c r="F2193" s="66"/>
      <c r="G2193" s="18"/>
      <c r="H2193" s="15"/>
      <c r="I2193" s="18"/>
      <c r="J2193" s="22"/>
      <c r="K2193" s="108"/>
      <c r="L2193" s="66"/>
      <c r="M2193" s="66"/>
      <c r="N2193" s="66"/>
      <c r="O2193" s="66"/>
      <c r="P2193" s="66"/>
      <c r="Q2193" s="66"/>
      <c r="R2193" s="66"/>
      <c r="S2193" s="66"/>
      <c r="T2193" s="66"/>
    </row>
    <row r="2194">
      <c r="A2194" s="66"/>
      <c r="B2194" s="66"/>
      <c r="C2194" s="66"/>
      <c r="D2194" s="66"/>
      <c r="E2194" s="15"/>
      <c r="F2194" s="66"/>
      <c r="G2194" s="18"/>
      <c r="H2194" s="15"/>
      <c r="I2194" s="18"/>
      <c r="J2194" s="22"/>
      <c r="K2194" s="108"/>
      <c r="L2194" s="66"/>
      <c r="M2194" s="66"/>
      <c r="N2194" s="66"/>
      <c r="O2194" s="66"/>
      <c r="P2194" s="66"/>
      <c r="Q2194" s="66"/>
      <c r="R2194" s="66"/>
      <c r="S2194" s="66"/>
      <c r="T2194" s="66"/>
    </row>
    <row r="2195">
      <c r="A2195" s="66"/>
      <c r="B2195" s="66"/>
      <c r="C2195" s="66"/>
      <c r="D2195" s="66"/>
      <c r="E2195" s="15"/>
      <c r="F2195" s="66"/>
      <c r="G2195" s="18"/>
      <c r="H2195" s="15"/>
      <c r="I2195" s="18"/>
      <c r="J2195" s="22"/>
      <c r="K2195" s="108"/>
      <c r="L2195" s="66"/>
      <c r="M2195" s="66"/>
      <c r="N2195" s="66"/>
      <c r="O2195" s="66"/>
      <c r="P2195" s="66"/>
      <c r="Q2195" s="66"/>
      <c r="R2195" s="66"/>
      <c r="S2195" s="66"/>
      <c r="T2195" s="66"/>
    </row>
    <row r="2196">
      <c r="A2196" s="66"/>
      <c r="B2196" s="66"/>
      <c r="C2196" s="66"/>
      <c r="D2196" s="66"/>
      <c r="E2196" s="15"/>
      <c r="F2196" s="66"/>
      <c r="G2196" s="18"/>
      <c r="H2196" s="15"/>
      <c r="I2196" s="18"/>
      <c r="J2196" s="22"/>
      <c r="K2196" s="108"/>
      <c r="L2196" s="66"/>
      <c r="M2196" s="66"/>
      <c r="N2196" s="66"/>
      <c r="O2196" s="66"/>
      <c r="P2196" s="66"/>
      <c r="Q2196" s="66"/>
      <c r="R2196" s="66"/>
      <c r="S2196" s="66"/>
      <c r="T2196" s="66"/>
    </row>
    <row r="2197">
      <c r="A2197" s="66"/>
      <c r="B2197" s="66"/>
      <c r="C2197" s="66"/>
      <c r="D2197" s="66"/>
      <c r="E2197" s="15"/>
      <c r="F2197" s="66"/>
      <c r="G2197" s="18"/>
      <c r="H2197" s="15"/>
      <c r="I2197" s="18"/>
      <c r="J2197" s="22"/>
      <c r="K2197" s="108"/>
      <c r="L2197" s="66"/>
      <c r="M2197" s="66"/>
      <c r="N2197" s="66"/>
      <c r="O2197" s="66"/>
      <c r="P2197" s="66"/>
      <c r="Q2197" s="66"/>
      <c r="R2197" s="66"/>
      <c r="S2197" s="66"/>
      <c r="T2197" s="66"/>
    </row>
    <row r="2198">
      <c r="A2198" s="66"/>
      <c r="B2198" s="66"/>
      <c r="C2198" s="66"/>
      <c r="D2198" s="66"/>
      <c r="E2198" s="15"/>
      <c r="F2198" s="66"/>
      <c r="G2198" s="18"/>
      <c r="H2198" s="15"/>
      <c r="I2198" s="18"/>
      <c r="J2198" s="22"/>
      <c r="K2198" s="108"/>
      <c r="L2198" s="66"/>
      <c r="M2198" s="66"/>
      <c r="N2198" s="66"/>
      <c r="O2198" s="66"/>
      <c r="P2198" s="66"/>
      <c r="Q2198" s="66"/>
      <c r="R2198" s="66"/>
      <c r="S2198" s="66"/>
      <c r="T2198" s="66"/>
    </row>
    <row r="2199">
      <c r="A2199" s="66"/>
      <c r="B2199" s="66"/>
      <c r="C2199" s="66"/>
      <c r="D2199" s="66"/>
      <c r="E2199" s="15"/>
      <c r="F2199" s="66"/>
      <c r="G2199" s="18"/>
      <c r="H2199" s="15"/>
      <c r="I2199" s="18"/>
      <c r="J2199" s="22"/>
      <c r="K2199" s="108"/>
      <c r="L2199" s="66"/>
      <c r="M2199" s="66"/>
      <c r="N2199" s="66"/>
      <c r="O2199" s="66"/>
      <c r="P2199" s="66"/>
      <c r="Q2199" s="66"/>
      <c r="R2199" s="66"/>
      <c r="S2199" s="66"/>
      <c r="T2199" s="66"/>
    </row>
    <row r="2200">
      <c r="A2200" s="66"/>
      <c r="B2200" s="66"/>
      <c r="C2200" s="66"/>
      <c r="D2200" s="66"/>
      <c r="E2200" s="15"/>
      <c r="F2200" s="66"/>
      <c r="G2200" s="18"/>
      <c r="H2200" s="15"/>
      <c r="I2200" s="18"/>
      <c r="J2200" s="22"/>
      <c r="K2200" s="108"/>
      <c r="L2200" s="66"/>
      <c r="M2200" s="66"/>
      <c r="N2200" s="66"/>
      <c r="O2200" s="66"/>
      <c r="P2200" s="66"/>
      <c r="Q2200" s="66"/>
      <c r="R2200" s="66"/>
      <c r="S2200" s="66"/>
      <c r="T2200" s="66"/>
    </row>
    <row r="2201">
      <c r="A2201" s="66"/>
      <c r="B2201" s="66"/>
      <c r="C2201" s="66"/>
      <c r="D2201" s="66"/>
      <c r="E2201" s="15"/>
      <c r="F2201" s="66"/>
      <c r="G2201" s="18"/>
      <c r="H2201" s="15"/>
      <c r="I2201" s="18"/>
      <c r="J2201" s="22"/>
      <c r="K2201" s="108"/>
      <c r="L2201" s="66"/>
      <c r="M2201" s="66"/>
      <c r="N2201" s="66"/>
      <c r="O2201" s="66"/>
      <c r="P2201" s="66"/>
      <c r="Q2201" s="66"/>
      <c r="R2201" s="66"/>
      <c r="S2201" s="66"/>
      <c r="T2201" s="66"/>
    </row>
    <row r="2202">
      <c r="A2202" s="66"/>
      <c r="B2202" s="66"/>
      <c r="C2202" s="66"/>
      <c r="D2202" s="66"/>
      <c r="E2202" s="15"/>
      <c r="F2202" s="66"/>
      <c r="G2202" s="18"/>
      <c r="H2202" s="15"/>
      <c r="I2202" s="18"/>
      <c r="J2202" s="22"/>
      <c r="K2202" s="108"/>
      <c r="L2202" s="66"/>
      <c r="M2202" s="66"/>
      <c r="N2202" s="66"/>
      <c r="O2202" s="66"/>
      <c r="P2202" s="66"/>
      <c r="Q2202" s="66"/>
      <c r="R2202" s="66"/>
      <c r="S2202" s="66"/>
      <c r="T2202" s="66"/>
    </row>
    <row r="2203">
      <c r="A2203" s="66"/>
      <c r="B2203" s="66"/>
      <c r="C2203" s="66"/>
      <c r="D2203" s="66"/>
      <c r="E2203" s="15"/>
      <c r="F2203" s="66"/>
      <c r="G2203" s="18"/>
      <c r="H2203" s="15"/>
      <c r="I2203" s="18"/>
      <c r="J2203" s="22"/>
      <c r="K2203" s="108"/>
      <c r="L2203" s="66"/>
      <c r="M2203" s="66"/>
      <c r="N2203" s="66"/>
      <c r="O2203" s="66"/>
      <c r="P2203" s="66"/>
      <c r="Q2203" s="66"/>
      <c r="R2203" s="66"/>
      <c r="S2203" s="66"/>
      <c r="T2203" s="66"/>
    </row>
    <row r="2204">
      <c r="A2204" s="66"/>
      <c r="B2204" s="66"/>
      <c r="C2204" s="66"/>
      <c r="D2204" s="66"/>
      <c r="E2204" s="15"/>
      <c r="F2204" s="66"/>
      <c r="G2204" s="18"/>
      <c r="H2204" s="15"/>
      <c r="I2204" s="18"/>
      <c r="J2204" s="22"/>
      <c r="K2204" s="108"/>
      <c r="L2204" s="66"/>
      <c r="M2204" s="66"/>
      <c r="N2204" s="66"/>
      <c r="O2204" s="66"/>
      <c r="P2204" s="66"/>
      <c r="Q2204" s="66"/>
      <c r="R2204" s="66"/>
      <c r="S2204" s="66"/>
      <c r="T2204" s="66"/>
    </row>
    <row r="2205">
      <c r="A2205" s="66"/>
      <c r="B2205" s="66"/>
      <c r="C2205" s="66"/>
      <c r="D2205" s="66"/>
      <c r="E2205" s="15"/>
      <c r="F2205" s="66"/>
      <c r="G2205" s="18"/>
      <c r="H2205" s="15"/>
      <c r="I2205" s="18"/>
      <c r="J2205" s="22"/>
      <c r="K2205" s="108"/>
      <c r="L2205" s="66"/>
      <c r="M2205" s="66"/>
      <c r="N2205" s="66"/>
      <c r="O2205" s="66"/>
      <c r="P2205" s="66"/>
      <c r="Q2205" s="66"/>
      <c r="R2205" s="66"/>
      <c r="S2205" s="66"/>
      <c r="T2205" s="66"/>
    </row>
    <row r="2206">
      <c r="A2206" s="66"/>
      <c r="B2206" s="66"/>
      <c r="C2206" s="66"/>
      <c r="D2206" s="66"/>
      <c r="E2206" s="15"/>
      <c r="F2206" s="66"/>
      <c r="G2206" s="18"/>
      <c r="H2206" s="15"/>
      <c r="I2206" s="18"/>
      <c r="J2206" s="22"/>
      <c r="K2206" s="108"/>
      <c r="L2206" s="66"/>
      <c r="M2206" s="66"/>
      <c r="N2206" s="66"/>
      <c r="O2206" s="66"/>
      <c r="P2206" s="66"/>
      <c r="Q2206" s="66"/>
      <c r="R2206" s="66"/>
      <c r="S2206" s="66"/>
      <c r="T2206" s="66"/>
    </row>
    <row r="2207">
      <c r="A2207" s="66"/>
      <c r="B2207" s="66"/>
      <c r="C2207" s="66"/>
      <c r="D2207" s="66"/>
      <c r="E2207" s="15"/>
      <c r="F2207" s="66"/>
      <c r="G2207" s="18"/>
      <c r="H2207" s="15"/>
      <c r="I2207" s="18"/>
      <c r="J2207" s="22"/>
      <c r="K2207" s="108"/>
      <c r="L2207" s="66"/>
      <c r="M2207" s="66"/>
      <c r="N2207" s="66"/>
      <c r="O2207" s="66"/>
      <c r="P2207" s="66"/>
      <c r="Q2207" s="66"/>
      <c r="R2207" s="66"/>
      <c r="S2207" s="66"/>
      <c r="T2207" s="66"/>
    </row>
    <row r="2208">
      <c r="A2208" s="66"/>
      <c r="B2208" s="66"/>
      <c r="C2208" s="66"/>
      <c r="D2208" s="66"/>
      <c r="E2208" s="15"/>
      <c r="F2208" s="66"/>
      <c r="G2208" s="18"/>
      <c r="H2208" s="15"/>
      <c r="I2208" s="18"/>
      <c r="J2208" s="22"/>
      <c r="K2208" s="108"/>
      <c r="L2208" s="66"/>
      <c r="M2208" s="66"/>
      <c r="N2208" s="66"/>
      <c r="O2208" s="66"/>
      <c r="P2208" s="66"/>
      <c r="Q2208" s="66"/>
      <c r="R2208" s="66"/>
      <c r="S2208" s="66"/>
      <c r="T2208" s="66"/>
    </row>
    <row r="2209">
      <c r="A2209" s="66"/>
      <c r="B2209" s="66"/>
      <c r="C2209" s="66"/>
      <c r="D2209" s="66"/>
      <c r="E2209" s="15"/>
      <c r="F2209" s="66"/>
      <c r="G2209" s="18"/>
      <c r="H2209" s="15"/>
      <c r="I2209" s="18"/>
      <c r="J2209" s="22"/>
      <c r="K2209" s="108"/>
      <c r="L2209" s="66"/>
      <c r="M2209" s="66"/>
      <c r="N2209" s="66"/>
      <c r="O2209" s="66"/>
      <c r="P2209" s="66"/>
      <c r="Q2209" s="66"/>
      <c r="R2209" s="66"/>
      <c r="S2209" s="66"/>
      <c r="T2209" s="66"/>
    </row>
    <row r="2210">
      <c r="A2210" s="66"/>
      <c r="B2210" s="66"/>
      <c r="C2210" s="66"/>
      <c r="D2210" s="66"/>
      <c r="E2210" s="15"/>
      <c r="F2210" s="66"/>
      <c r="G2210" s="18"/>
      <c r="H2210" s="15"/>
      <c r="I2210" s="18"/>
      <c r="J2210" s="22"/>
      <c r="K2210" s="108"/>
      <c r="L2210" s="66"/>
      <c r="M2210" s="66"/>
      <c r="N2210" s="66"/>
      <c r="O2210" s="66"/>
      <c r="P2210" s="66"/>
      <c r="Q2210" s="66"/>
      <c r="R2210" s="66"/>
      <c r="S2210" s="66"/>
      <c r="T2210" s="66"/>
    </row>
    <row r="2211">
      <c r="A2211" s="66"/>
      <c r="B2211" s="66"/>
      <c r="C2211" s="66"/>
      <c r="D2211" s="66"/>
      <c r="E2211" s="15"/>
      <c r="F2211" s="66"/>
      <c r="G2211" s="18"/>
      <c r="H2211" s="15"/>
      <c r="I2211" s="18"/>
      <c r="J2211" s="22"/>
      <c r="K2211" s="108"/>
      <c r="L2211" s="66"/>
      <c r="M2211" s="66"/>
      <c r="N2211" s="66"/>
      <c r="O2211" s="66"/>
      <c r="P2211" s="66"/>
      <c r="Q2211" s="66"/>
      <c r="R2211" s="66"/>
      <c r="S2211" s="66"/>
      <c r="T2211" s="66"/>
    </row>
    <row r="2212">
      <c r="A2212" s="66"/>
      <c r="B2212" s="66"/>
      <c r="C2212" s="66"/>
      <c r="D2212" s="66"/>
      <c r="E2212" s="15"/>
      <c r="F2212" s="66"/>
      <c r="G2212" s="18"/>
      <c r="H2212" s="15"/>
      <c r="I2212" s="18"/>
      <c r="J2212" s="22"/>
      <c r="K2212" s="108"/>
      <c r="L2212" s="66"/>
      <c r="M2212" s="66"/>
      <c r="N2212" s="66"/>
      <c r="O2212" s="66"/>
      <c r="P2212" s="66"/>
      <c r="Q2212" s="66"/>
      <c r="R2212" s="66"/>
      <c r="S2212" s="66"/>
      <c r="T2212" s="66"/>
    </row>
    <row r="2213">
      <c r="A2213" s="66"/>
      <c r="B2213" s="66"/>
      <c r="C2213" s="66"/>
      <c r="D2213" s="66"/>
      <c r="E2213" s="15"/>
      <c r="F2213" s="66"/>
      <c r="G2213" s="18"/>
      <c r="H2213" s="15"/>
      <c r="I2213" s="18"/>
      <c r="J2213" s="22"/>
      <c r="K2213" s="108"/>
      <c r="L2213" s="66"/>
      <c r="M2213" s="66"/>
      <c r="N2213" s="66"/>
      <c r="O2213" s="66"/>
      <c r="P2213" s="66"/>
      <c r="Q2213" s="66"/>
      <c r="R2213" s="66"/>
      <c r="S2213" s="66"/>
      <c r="T2213" s="66"/>
    </row>
    <row r="2214">
      <c r="A2214" s="66"/>
      <c r="B2214" s="66"/>
      <c r="C2214" s="66"/>
      <c r="D2214" s="66"/>
      <c r="E2214" s="15"/>
      <c r="F2214" s="66"/>
      <c r="G2214" s="18"/>
      <c r="H2214" s="15"/>
      <c r="I2214" s="18"/>
      <c r="J2214" s="22"/>
      <c r="K2214" s="108"/>
      <c r="L2214" s="66"/>
      <c r="M2214" s="66"/>
      <c r="N2214" s="66"/>
      <c r="O2214" s="66"/>
      <c r="P2214" s="66"/>
      <c r="Q2214" s="66"/>
      <c r="R2214" s="66"/>
      <c r="S2214" s="66"/>
      <c r="T2214" s="66"/>
    </row>
    <row r="2215">
      <c r="A2215" s="66"/>
      <c r="B2215" s="66"/>
      <c r="C2215" s="66"/>
      <c r="D2215" s="66"/>
      <c r="E2215" s="15"/>
      <c r="F2215" s="66"/>
      <c r="G2215" s="18"/>
      <c r="H2215" s="15"/>
      <c r="I2215" s="18"/>
      <c r="J2215" s="22"/>
      <c r="K2215" s="108"/>
      <c r="L2215" s="66"/>
      <c r="M2215" s="66"/>
      <c r="N2215" s="66"/>
      <c r="O2215" s="66"/>
      <c r="P2215" s="66"/>
      <c r="Q2215" s="66"/>
      <c r="R2215" s="66"/>
      <c r="S2215" s="66"/>
      <c r="T2215" s="66"/>
    </row>
    <row r="2216">
      <c r="A2216" s="66"/>
      <c r="B2216" s="66"/>
      <c r="C2216" s="66"/>
      <c r="D2216" s="66"/>
      <c r="E2216" s="15"/>
      <c r="F2216" s="66"/>
      <c r="G2216" s="18"/>
      <c r="H2216" s="15"/>
      <c r="I2216" s="18"/>
      <c r="J2216" s="22"/>
      <c r="K2216" s="108"/>
      <c r="L2216" s="66"/>
      <c r="M2216" s="66"/>
      <c r="N2216" s="66"/>
      <c r="O2216" s="66"/>
      <c r="P2216" s="66"/>
      <c r="Q2216" s="66"/>
      <c r="R2216" s="66"/>
      <c r="S2216" s="66"/>
      <c r="T2216" s="66"/>
    </row>
    <row r="2217">
      <c r="A2217" s="66"/>
      <c r="B2217" s="66"/>
      <c r="C2217" s="66"/>
      <c r="D2217" s="66"/>
      <c r="E2217" s="15"/>
      <c r="F2217" s="66"/>
      <c r="G2217" s="18"/>
      <c r="H2217" s="15"/>
      <c r="I2217" s="18"/>
      <c r="J2217" s="22"/>
      <c r="K2217" s="108"/>
      <c r="L2217" s="66"/>
      <c r="M2217" s="66"/>
      <c r="N2217" s="66"/>
      <c r="O2217" s="66"/>
      <c r="P2217" s="66"/>
      <c r="Q2217" s="66"/>
      <c r="R2217" s="66"/>
      <c r="S2217" s="66"/>
      <c r="T2217" s="66"/>
    </row>
    <row r="2218">
      <c r="A2218" s="66"/>
      <c r="B2218" s="66"/>
      <c r="C2218" s="66"/>
      <c r="D2218" s="66"/>
      <c r="E2218" s="15"/>
      <c r="F2218" s="66"/>
      <c r="G2218" s="18"/>
      <c r="H2218" s="15"/>
      <c r="I2218" s="18"/>
      <c r="J2218" s="22"/>
      <c r="K2218" s="108"/>
      <c r="L2218" s="66"/>
      <c r="M2218" s="66"/>
      <c r="N2218" s="66"/>
      <c r="O2218" s="66"/>
      <c r="P2218" s="66"/>
      <c r="Q2218" s="66"/>
      <c r="R2218" s="66"/>
      <c r="S2218" s="66"/>
      <c r="T2218" s="66"/>
    </row>
    <row r="2219">
      <c r="A2219" s="66"/>
      <c r="B2219" s="66"/>
      <c r="C2219" s="66"/>
      <c r="D2219" s="66"/>
      <c r="E2219" s="15"/>
      <c r="F2219" s="66"/>
      <c r="G2219" s="18"/>
      <c r="H2219" s="15"/>
      <c r="I2219" s="18"/>
      <c r="J2219" s="22"/>
      <c r="K2219" s="108"/>
      <c r="L2219" s="66"/>
      <c r="M2219" s="66"/>
      <c r="N2219" s="66"/>
      <c r="O2219" s="66"/>
      <c r="P2219" s="66"/>
      <c r="Q2219" s="66"/>
      <c r="R2219" s="66"/>
      <c r="S2219" s="66"/>
      <c r="T2219" s="66"/>
    </row>
    <row r="2220">
      <c r="A2220" s="66"/>
      <c r="B2220" s="66"/>
      <c r="C2220" s="66"/>
      <c r="D2220" s="66"/>
      <c r="E2220" s="15"/>
      <c r="F2220" s="66"/>
      <c r="G2220" s="18"/>
      <c r="H2220" s="15"/>
      <c r="I2220" s="18"/>
      <c r="J2220" s="22"/>
      <c r="K2220" s="108"/>
      <c r="L2220" s="66"/>
      <c r="M2220" s="66"/>
      <c r="N2220" s="66"/>
      <c r="O2220" s="66"/>
      <c r="P2220" s="66"/>
      <c r="Q2220" s="66"/>
      <c r="R2220" s="66"/>
      <c r="S2220" s="66"/>
      <c r="T2220" s="66"/>
    </row>
    <row r="2221">
      <c r="A2221" s="66"/>
      <c r="B2221" s="66"/>
      <c r="C2221" s="66"/>
      <c r="D2221" s="66"/>
      <c r="E2221" s="15"/>
      <c r="F2221" s="66"/>
      <c r="G2221" s="18"/>
      <c r="H2221" s="15"/>
      <c r="I2221" s="18"/>
      <c r="J2221" s="22"/>
      <c r="K2221" s="108"/>
      <c r="L2221" s="66"/>
      <c r="M2221" s="66"/>
      <c r="N2221" s="66"/>
      <c r="O2221" s="66"/>
      <c r="P2221" s="66"/>
      <c r="Q2221" s="66"/>
      <c r="R2221" s="66"/>
      <c r="S2221" s="66"/>
      <c r="T2221" s="66"/>
    </row>
    <row r="2222">
      <c r="A2222" s="66"/>
      <c r="B2222" s="66"/>
      <c r="C2222" s="66"/>
      <c r="D2222" s="66"/>
      <c r="E2222" s="15"/>
      <c r="F2222" s="66"/>
      <c r="G2222" s="18"/>
      <c r="H2222" s="15"/>
      <c r="I2222" s="18"/>
      <c r="J2222" s="22"/>
      <c r="K2222" s="108"/>
      <c r="L2222" s="66"/>
      <c r="M2222" s="66"/>
      <c r="N2222" s="66"/>
      <c r="O2222" s="66"/>
      <c r="P2222" s="66"/>
      <c r="Q2222" s="66"/>
      <c r="R2222" s="66"/>
      <c r="S2222" s="66"/>
      <c r="T2222" s="66"/>
    </row>
    <row r="2223">
      <c r="A2223" s="66"/>
      <c r="B2223" s="66"/>
      <c r="C2223" s="66"/>
      <c r="D2223" s="66"/>
      <c r="E2223" s="15"/>
      <c r="F2223" s="66"/>
      <c r="G2223" s="18"/>
      <c r="H2223" s="15"/>
      <c r="I2223" s="18"/>
      <c r="J2223" s="22"/>
      <c r="K2223" s="108"/>
      <c r="L2223" s="66"/>
      <c r="M2223" s="66"/>
      <c r="N2223" s="66"/>
      <c r="O2223" s="66"/>
      <c r="P2223" s="66"/>
      <c r="Q2223" s="66"/>
      <c r="R2223" s="66"/>
      <c r="S2223" s="66"/>
      <c r="T2223" s="66"/>
    </row>
    <row r="2224">
      <c r="A2224" s="66"/>
      <c r="B2224" s="66"/>
      <c r="C2224" s="66"/>
      <c r="D2224" s="66"/>
      <c r="E2224" s="15"/>
      <c r="F2224" s="66"/>
      <c r="G2224" s="18"/>
      <c r="H2224" s="15"/>
      <c r="I2224" s="18"/>
      <c r="J2224" s="22"/>
      <c r="K2224" s="108"/>
      <c r="L2224" s="66"/>
      <c r="M2224" s="66"/>
      <c r="N2224" s="66"/>
      <c r="O2224" s="66"/>
      <c r="P2224" s="66"/>
      <c r="Q2224" s="66"/>
      <c r="R2224" s="66"/>
      <c r="S2224" s="66"/>
      <c r="T2224" s="66"/>
    </row>
    <row r="2225">
      <c r="A2225" s="66"/>
      <c r="B2225" s="66"/>
      <c r="C2225" s="66"/>
      <c r="D2225" s="66"/>
      <c r="E2225" s="15"/>
      <c r="F2225" s="66"/>
      <c r="G2225" s="18"/>
      <c r="H2225" s="15"/>
      <c r="I2225" s="18"/>
      <c r="J2225" s="22"/>
      <c r="K2225" s="108"/>
      <c r="L2225" s="66"/>
      <c r="M2225" s="66"/>
      <c r="N2225" s="66"/>
      <c r="O2225" s="66"/>
      <c r="P2225" s="66"/>
      <c r="Q2225" s="66"/>
      <c r="R2225" s="66"/>
      <c r="S2225" s="66"/>
      <c r="T2225" s="66"/>
    </row>
    <row r="2226">
      <c r="A2226" s="66"/>
      <c r="B2226" s="66"/>
      <c r="C2226" s="66"/>
      <c r="D2226" s="66"/>
      <c r="E2226" s="15"/>
      <c r="F2226" s="66"/>
      <c r="G2226" s="18"/>
      <c r="H2226" s="15"/>
      <c r="I2226" s="18"/>
      <c r="J2226" s="22"/>
      <c r="K2226" s="108"/>
      <c r="L2226" s="66"/>
      <c r="M2226" s="66"/>
      <c r="N2226" s="66"/>
      <c r="O2226" s="66"/>
      <c r="P2226" s="66"/>
      <c r="Q2226" s="66"/>
      <c r="R2226" s="66"/>
      <c r="S2226" s="66"/>
      <c r="T2226" s="66"/>
    </row>
    <row r="2227">
      <c r="A2227" s="66"/>
      <c r="B2227" s="66"/>
      <c r="C2227" s="66"/>
      <c r="D2227" s="66"/>
      <c r="E2227" s="15"/>
      <c r="F2227" s="66"/>
      <c r="G2227" s="18"/>
      <c r="H2227" s="15"/>
      <c r="I2227" s="18"/>
      <c r="J2227" s="22"/>
      <c r="K2227" s="108"/>
      <c r="L2227" s="66"/>
      <c r="M2227" s="66"/>
      <c r="N2227" s="66"/>
      <c r="O2227" s="66"/>
      <c r="P2227" s="66"/>
      <c r="Q2227" s="66"/>
      <c r="R2227" s="66"/>
      <c r="S2227" s="66"/>
      <c r="T2227" s="66"/>
    </row>
    <row r="2228">
      <c r="A2228" s="66"/>
      <c r="B2228" s="66"/>
      <c r="C2228" s="66"/>
      <c r="D2228" s="66"/>
      <c r="E2228" s="15"/>
      <c r="F2228" s="66"/>
      <c r="G2228" s="18"/>
      <c r="H2228" s="15"/>
      <c r="I2228" s="18"/>
      <c r="J2228" s="22"/>
      <c r="K2228" s="108"/>
      <c r="L2228" s="66"/>
      <c r="M2228" s="66"/>
      <c r="N2228" s="66"/>
      <c r="O2228" s="66"/>
      <c r="P2228" s="66"/>
      <c r="Q2228" s="66"/>
      <c r="R2228" s="66"/>
      <c r="S2228" s="66"/>
      <c r="T2228" s="66"/>
    </row>
    <row r="2229">
      <c r="A2229" s="66"/>
      <c r="B2229" s="66"/>
      <c r="C2229" s="66"/>
      <c r="D2229" s="66"/>
      <c r="E2229" s="15"/>
      <c r="F2229" s="66"/>
      <c r="G2229" s="18"/>
      <c r="H2229" s="15"/>
      <c r="I2229" s="18"/>
      <c r="J2229" s="22"/>
      <c r="K2229" s="108"/>
      <c r="L2229" s="66"/>
      <c r="M2229" s="66"/>
      <c r="N2229" s="66"/>
      <c r="O2229" s="66"/>
      <c r="P2229" s="66"/>
      <c r="Q2229" s="66"/>
      <c r="R2229" s="66"/>
      <c r="S2229" s="66"/>
      <c r="T2229" s="66"/>
    </row>
    <row r="2230">
      <c r="A2230" s="66"/>
      <c r="B2230" s="66"/>
      <c r="C2230" s="66"/>
      <c r="D2230" s="66"/>
      <c r="E2230" s="15"/>
      <c r="F2230" s="66"/>
      <c r="G2230" s="18"/>
      <c r="H2230" s="15"/>
      <c r="I2230" s="18"/>
      <c r="J2230" s="22"/>
      <c r="K2230" s="108"/>
      <c r="L2230" s="66"/>
      <c r="M2230" s="66"/>
      <c r="N2230" s="66"/>
      <c r="O2230" s="66"/>
      <c r="P2230" s="66"/>
      <c r="Q2230" s="66"/>
      <c r="R2230" s="66"/>
      <c r="S2230" s="66"/>
      <c r="T2230" s="66"/>
    </row>
    <row r="2231">
      <c r="A2231" s="66"/>
      <c r="B2231" s="66"/>
      <c r="C2231" s="66"/>
      <c r="D2231" s="66"/>
      <c r="E2231" s="15"/>
      <c r="F2231" s="66"/>
      <c r="G2231" s="18"/>
      <c r="H2231" s="15"/>
      <c r="I2231" s="18"/>
      <c r="J2231" s="22"/>
      <c r="K2231" s="108"/>
      <c r="L2231" s="66"/>
      <c r="M2231" s="66"/>
      <c r="N2231" s="66"/>
      <c r="O2231" s="66"/>
      <c r="P2231" s="66"/>
      <c r="Q2231" s="66"/>
      <c r="R2231" s="66"/>
      <c r="S2231" s="66"/>
      <c r="T2231" s="66"/>
    </row>
    <row r="2232">
      <c r="A2232" s="66"/>
      <c r="B2232" s="66"/>
      <c r="C2232" s="66"/>
      <c r="D2232" s="66"/>
      <c r="E2232" s="15"/>
      <c r="F2232" s="66"/>
      <c r="G2232" s="18"/>
      <c r="H2232" s="15"/>
      <c r="I2232" s="18"/>
      <c r="J2232" s="22"/>
      <c r="K2232" s="108"/>
      <c r="L2232" s="66"/>
      <c r="M2232" s="66"/>
      <c r="N2232" s="66"/>
      <c r="O2232" s="66"/>
      <c r="P2232" s="66"/>
      <c r="Q2232" s="66"/>
      <c r="R2232" s="66"/>
      <c r="S2232" s="66"/>
      <c r="T2232" s="66"/>
    </row>
    <row r="2233">
      <c r="A2233" s="66"/>
      <c r="B2233" s="66"/>
      <c r="C2233" s="66"/>
      <c r="D2233" s="66"/>
      <c r="E2233" s="15"/>
      <c r="F2233" s="66"/>
      <c r="G2233" s="18"/>
      <c r="H2233" s="15"/>
      <c r="I2233" s="18"/>
      <c r="J2233" s="22"/>
      <c r="K2233" s="108"/>
      <c r="L2233" s="66"/>
      <c r="M2233" s="66"/>
      <c r="N2233" s="66"/>
      <c r="O2233" s="66"/>
      <c r="P2233" s="66"/>
      <c r="Q2233" s="66"/>
      <c r="R2233" s="66"/>
      <c r="S2233" s="66"/>
      <c r="T2233" s="66"/>
    </row>
    <row r="2234">
      <c r="A2234" s="66"/>
      <c r="B2234" s="66"/>
      <c r="C2234" s="66"/>
      <c r="D2234" s="66"/>
      <c r="E2234" s="15"/>
      <c r="F2234" s="66"/>
      <c r="G2234" s="18"/>
      <c r="H2234" s="15"/>
      <c r="I2234" s="18"/>
      <c r="J2234" s="22"/>
      <c r="K2234" s="108"/>
      <c r="L2234" s="66"/>
      <c r="M2234" s="66"/>
      <c r="N2234" s="66"/>
      <c r="O2234" s="66"/>
      <c r="P2234" s="66"/>
      <c r="Q2234" s="66"/>
      <c r="R2234" s="66"/>
      <c r="S2234" s="66"/>
      <c r="T2234" s="66"/>
    </row>
    <row r="2235">
      <c r="A2235" s="66"/>
      <c r="B2235" s="66"/>
      <c r="C2235" s="66"/>
      <c r="D2235" s="66"/>
      <c r="E2235" s="15"/>
      <c r="F2235" s="66"/>
      <c r="G2235" s="18"/>
      <c r="H2235" s="15"/>
      <c r="I2235" s="18"/>
      <c r="J2235" s="22"/>
      <c r="K2235" s="108"/>
      <c r="L2235" s="66"/>
      <c r="M2235" s="66"/>
      <c r="N2235" s="66"/>
      <c r="O2235" s="66"/>
      <c r="P2235" s="66"/>
      <c r="Q2235" s="66"/>
      <c r="R2235" s="66"/>
      <c r="S2235" s="66"/>
      <c r="T2235" s="66"/>
    </row>
    <row r="2236">
      <c r="A2236" s="66"/>
      <c r="B2236" s="66"/>
      <c r="C2236" s="66"/>
      <c r="D2236" s="66"/>
      <c r="E2236" s="15"/>
      <c r="F2236" s="66"/>
      <c r="G2236" s="18"/>
      <c r="H2236" s="15"/>
      <c r="I2236" s="18"/>
      <c r="J2236" s="22"/>
      <c r="K2236" s="108"/>
      <c r="L2236" s="66"/>
      <c r="M2236" s="66"/>
      <c r="N2236" s="66"/>
      <c r="O2236" s="66"/>
      <c r="P2236" s="66"/>
      <c r="Q2236" s="66"/>
      <c r="R2236" s="66"/>
      <c r="S2236" s="66"/>
      <c r="T2236" s="66"/>
    </row>
    <row r="2237">
      <c r="A2237" s="66"/>
      <c r="B2237" s="66"/>
      <c r="C2237" s="66"/>
      <c r="D2237" s="66"/>
      <c r="E2237" s="15"/>
      <c r="F2237" s="66"/>
      <c r="G2237" s="18"/>
      <c r="H2237" s="15"/>
      <c r="I2237" s="18"/>
      <c r="J2237" s="22"/>
      <c r="K2237" s="108"/>
      <c r="L2237" s="66"/>
      <c r="M2237" s="66"/>
      <c r="N2237" s="66"/>
      <c r="O2237" s="66"/>
      <c r="P2237" s="66"/>
      <c r="Q2237" s="66"/>
      <c r="R2237" s="66"/>
      <c r="S2237" s="66"/>
      <c r="T2237" s="66"/>
    </row>
    <row r="2238">
      <c r="A2238" s="66"/>
      <c r="B2238" s="66"/>
      <c r="C2238" s="66"/>
      <c r="D2238" s="66"/>
      <c r="E2238" s="15"/>
      <c r="F2238" s="66"/>
      <c r="G2238" s="18"/>
      <c r="H2238" s="15"/>
      <c r="I2238" s="18"/>
      <c r="J2238" s="22"/>
      <c r="K2238" s="108"/>
      <c r="L2238" s="66"/>
      <c r="M2238" s="66"/>
      <c r="N2238" s="66"/>
      <c r="O2238" s="66"/>
      <c r="P2238" s="66"/>
      <c r="Q2238" s="66"/>
      <c r="R2238" s="66"/>
      <c r="S2238" s="66"/>
      <c r="T2238" s="66"/>
    </row>
    <row r="2239">
      <c r="A2239" s="66"/>
      <c r="B2239" s="66"/>
      <c r="C2239" s="66"/>
      <c r="D2239" s="66"/>
      <c r="E2239" s="15"/>
      <c r="F2239" s="66"/>
      <c r="G2239" s="18"/>
      <c r="H2239" s="15"/>
      <c r="I2239" s="18"/>
      <c r="J2239" s="22"/>
      <c r="K2239" s="108"/>
      <c r="L2239" s="66"/>
      <c r="M2239" s="66"/>
      <c r="N2239" s="66"/>
      <c r="O2239" s="66"/>
      <c r="P2239" s="66"/>
      <c r="Q2239" s="66"/>
      <c r="R2239" s="66"/>
      <c r="S2239" s="66"/>
      <c r="T2239" s="66"/>
    </row>
    <row r="2240">
      <c r="A2240" s="66"/>
      <c r="B2240" s="66"/>
      <c r="C2240" s="66"/>
      <c r="D2240" s="66"/>
      <c r="E2240" s="15"/>
      <c r="F2240" s="66"/>
      <c r="G2240" s="18"/>
      <c r="H2240" s="15"/>
      <c r="I2240" s="18"/>
      <c r="J2240" s="22"/>
      <c r="K2240" s="108"/>
      <c r="L2240" s="66"/>
      <c r="M2240" s="66"/>
      <c r="N2240" s="66"/>
      <c r="O2240" s="66"/>
      <c r="P2240" s="66"/>
      <c r="Q2240" s="66"/>
      <c r="R2240" s="66"/>
      <c r="S2240" s="66"/>
      <c r="T2240" s="66"/>
    </row>
    <row r="2241">
      <c r="A2241" s="66"/>
      <c r="B2241" s="66"/>
      <c r="C2241" s="66"/>
      <c r="D2241" s="66"/>
      <c r="E2241" s="15"/>
      <c r="F2241" s="66"/>
      <c r="G2241" s="18"/>
      <c r="H2241" s="15"/>
      <c r="I2241" s="18"/>
      <c r="J2241" s="22"/>
      <c r="K2241" s="108"/>
      <c r="L2241" s="66"/>
      <c r="M2241" s="66"/>
      <c r="N2241" s="66"/>
      <c r="O2241" s="66"/>
      <c r="P2241" s="66"/>
      <c r="Q2241" s="66"/>
      <c r="R2241" s="66"/>
      <c r="S2241" s="66"/>
      <c r="T2241" s="66"/>
    </row>
    <row r="2242">
      <c r="A2242" s="66"/>
      <c r="B2242" s="66"/>
      <c r="C2242" s="66"/>
      <c r="D2242" s="66"/>
      <c r="E2242" s="15"/>
      <c r="F2242" s="66"/>
      <c r="G2242" s="18"/>
      <c r="H2242" s="15"/>
      <c r="I2242" s="18"/>
      <c r="J2242" s="22"/>
      <c r="K2242" s="108"/>
      <c r="L2242" s="66"/>
      <c r="M2242" s="66"/>
      <c r="N2242" s="66"/>
      <c r="O2242" s="66"/>
      <c r="P2242" s="66"/>
      <c r="Q2242" s="66"/>
      <c r="R2242" s="66"/>
      <c r="S2242" s="66"/>
      <c r="T2242" s="66"/>
    </row>
    <row r="2243">
      <c r="A2243" s="66"/>
      <c r="B2243" s="66"/>
      <c r="C2243" s="66"/>
      <c r="D2243" s="66"/>
      <c r="E2243" s="15"/>
      <c r="F2243" s="66"/>
      <c r="G2243" s="18"/>
      <c r="H2243" s="15"/>
      <c r="I2243" s="18"/>
      <c r="J2243" s="22"/>
      <c r="K2243" s="108"/>
      <c r="L2243" s="66"/>
      <c r="M2243" s="66"/>
      <c r="N2243" s="66"/>
      <c r="O2243" s="66"/>
      <c r="P2243" s="66"/>
      <c r="Q2243" s="66"/>
      <c r="R2243" s="66"/>
      <c r="S2243" s="66"/>
      <c r="T2243" s="66"/>
    </row>
    <row r="2244">
      <c r="A2244" s="66"/>
      <c r="B2244" s="66"/>
      <c r="C2244" s="66"/>
      <c r="D2244" s="66"/>
      <c r="E2244" s="15"/>
      <c r="F2244" s="66"/>
      <c r="G2244" s="18"/>
      <c r="H2244" s="15"/>
      <c r="I2244" s="18"/>
      <c r="J2244" s="22"/>
      <c r="K2244" s="108"/>
      <c r="L2244" s="66"/>
      <c r="M2244" s="66"/>
      <c r="N2244" s="66"/>
      <c r="O2244" s="66"/>
      <c r="P2244" s="66"/>
      <c r="Q2244" s="66"/>
      <c r="R2244" s="66"/>
      <c r="S2244" s="66"/>
      <c r="T2244" s="66"/>
    </row>
    <row r="2245">
      <c r="A2245" s="66"/>
      <c r="B2245" s="66"/>
      <c r="C2245" s="66"/>
      <c r="D2245" s="66"/>
      <c r="E2245" s="15"/>
      <c r="F2245" s="66"/>
      <c r="G2245" s="18"/>
      <c r="H2245" s="15"/>
      <c r="I2245" s="18"/>
      <c r="J2245" s="22"/>
      <c r="K2245" s="108"/>
      <c r="L2245" s="66"/>
      <c r="M2245" s="66"/>
      <c r="N2245" s="66"/>
      <c r="O2245" s="66"/>
      <c r="P2245" s="66"/>
      <c r="Q2245" s="66"/>
      <c r="R2245" s="66"/>
      <c r="S2245" s="66"/>
      <c r="T2245" s="66"/>
    </row>
    <row r="2246">
      <c r="A2246" s="66"/>
      <c r="B2246" s="66"/>
      <c r="C2246" s="66"/>
      <c r="D2246" s="66"/>
      <c r="E2246" s="15"/>
      <c r="F2246" s="66"/>
      <c r="G2246" s="18"/>
      <c r="H2246" s="15"/>
      <c r="I2246" s="18"/>
      <c r="J2246" s="22"/>
      <c r="K2246" s="108"/>
      <c r="L2246" s="66"/>
      <c r="M2246" s="66"/>
      <c r="N2246" s="66"/>
      <c r="O2246" s="66"/>
      <c r="P2246" s="66"/>
      <c r="Q2246" s="66"/>
      <c r="R2246" s="66"/>
      <c r="S2246" s="66"/>
      <c r="T2246" s="66"/>
    </row>
    <row r="2247">
      <c r="A2247" s="66"/>
      <c r="B2247" s="66"/>
      <c r="C2247" s="66"/>
      <c r="D2247" s="66"/>
      <c r="E2247" s="15"/>
      <c r="F2247" s="66"/>
      <c r="G2247" s="18"/>
      <c r="H2247" s="15"/>
      <c r="I2247" s="18"/>
      <c r="J2247" s="22"/>
      <c r="K2247" s="108"/>
      <c r="L2247" s="66"/>
      <c r="M2247" s="66"/>
      <c r="N2247" s="66"/>
      <c r="O2247" s="66"/>
      <c r="P2247" s="66"/>
      <c r="Q2247" s="66"/>
      <c r="R2247" s="66"/>
      <c r="S2247" s="66"/>
      <c r="T2247" s="66"/>
    </row>
    <row r="2248">
      <c r="A2248" s="66"/>
      <c r="B2248" s="66"/>
      <c r="C2248" s="66"/>
      <c r="D2248" s="66"/>
      <c r="E2248" s="15"/>
      <c r="F2248" s="66"/>
      <c r="G2248" s="18"/>
      <c r="H2248" s="15"/>
      <c r="I2248" s="18"/>
      <c r="J2248" s="22"/>
      <c r="K2248" s="108"/>
      <c r="L2248" s="66"/>
      <c r="M2248" s="66"/>
      <c r="N2248" s="66"/>
      <c r="O2248" s="66"/>
      <c r="P2248" s="66"/>
      <c r="Q2248" s="66"/>
      <c r="R2248" s="66"/>
      <c r="S2248" s="66"/>
      <c r="T2248" s="66"/>
    </row>
    <row r="2249">
      <c r="A2249" s="66"/>
      <c r="B2249" s="66"/>
      <c r="C2249" s="66"/>
      <c r="D2249" s="66"/>
      <c r="E2249" s="15"/>
      <c r="F2249" s="66"/>
      <c r="G2249" s="18"/>
      <c r="H2249" s="15"/>
      <c r="I2249" s="18"/>
      <c r="J2249" s="22"/>
      <c r="K2249" s="108"/>
      <c r="L2249" s="66"/>
      <c r="M2249" s="66"/>
      <c r="N2249" s="66"/>
      <c r="O2249" s="66"/>
      <c r="P2249" s="66"/>
      <c r="Q2249" s="66"/>
      <c r="R2249" s="66"/>
      <c r="S2249" s="66"/>
      <c r="T2249" s="66"/>
    </row>
    <row r="2250">
      <c r="A2250" s="66"/>
      <c r="B2250" s="66"/>
      <c r="C2250" s="66"/>
      <c r="D2250" s="66"/>
      <c r="E2250" s="15"/>
      <c r="F2250" s="66"/>
      <c r="G2250" s="18"/>
      <c r="H2250" s="15"/>
      <c r="I2250" s="18"/>
      <c r="J2250" s="22"/>
      <c r="K2250" s="108"/>
      <c r="L2250" s="66"/>
      <c r="M2250" s="66"/>
      <c r="N2250" s="66"/>
      <c r="O2250" s="66"/>
      <c r="P2250" s="66"/>
      <c r="Q2250" s="66"/>
      <c r="R2250" s="66"/>
      <c r="S2250" s="66"/>
      <c r="T2250" s="66"/>
    </row>
    <row r="2251">
      <c r="A2251" s="66"/>
      <c r="B2251" s="66"/>
      <c r="C2251" s="66"/>
      <c r="D2251" s="66"/>
      <c r="E2251" s="15"/>
      <c r="F2251" s="66"/>
      <c r="G2251" s="18"/>
      <c r="H2251" s="15"/>
      <c r="I2251" s="18"/>
      <c r="J2251" s="22"/>
      <c r="K2251" s="108"/>
      <c r="L2251" s="66"/>
      <c r="M2251" s="66"/>
      <c r="N2251" s="66"/>
      <c r="O2251" s="66"/>
      <c r="P2251" s="66"/>
      <c r="Q2251" s="66"/>
      <c r="R2251" s="66"/>
      <c r="S2251" s="66"/>
      <c r="T2251" s="66"/>
    </row>
    <row r="2252">
      <c r="A2252" s="66"/>
      <c r="B2252" s="66"/>
      <c r="C2252" s="66"/>
      <c r="D2252" s="66"/>
      <c r="E2252" s="15"/>
      <c r="F2252" s="66"/>
      <c r="G2252" s="18"/>
      <c r="H2252" s="15"/>
      <c r="I2252" s="18"/>
      <c r="J2252" s="22"/>
      <c r="K2252" s="108"/>
      <c r="L2252" s="66"/>
      <c r="M2252" s="66"/>
      <c r="N2252" s="66"/>
      <c r="O2252" s="66"/>
      <c r="P2252" s="66"/>
      <c r="Q2252" s="66"/>
      <c r="R2252" s="66"/>
      <c r="S2252" s="66"/>
      <c r="T2252" s="66"/>
    </row>
    <row r="2253">
      <c r="A2253" s="66"/>
      <c r="B2253" s="66"/>
      <c r="C2253" s="66"/>
      <c r="D2253" s="66"/>
      <c r="E2253" s="15"/>
      <c r="F2253" s="66"/>
      <c r="G2253" s="18"/>
      <c r="H2253" s="15"/>
      <c r="I2253" s="18"/>
      <c r="J2253" s="22"/>
      <c r="K2253" s="108"/>
      <c r="L2253" s="66"/>
      <c r="M2253" s="66"/>
      <c r="N2253" s="66"/>
      <c r="O2253" s="66"/>
      <c r="P2253" s="66"/>
      <c r="Q2253" s="66"/>
      <c r="R2253" s="66"/>
      <c r="S2253" s="66"/>
      <c r="T2253" s="66"/>
    </row>
    <row r="2254">
      <c r="A2254" s="66"/>
      <c r="B2254" s="66"/>
      <c r="C2254" s="66"/>
      <c r="D2254" s="66"/>
      <c r="E2254" s="15"/>
      <c r="F2254" s="66"/>
      <c r="G2254" s="18"/>
      <c r="H2254" s="15"/>
      <c r="I2254" s="18"/>
      <c r="J2254" s="22"/>
      <c r="K2254" s="108"/>
      <c r="L2254" s="66"/>
      <c r="M2254" s="66"/>
      <c r="N2254" s="66"/>
      <c r="O2254" s="66"/>
      <c r="P2254" s="66"/>
      <c r="Q2254" s="66"/>
      <c r="R2254" s="66"/>
      <c r="S2254" s="66"/>
      <c r="T2254" s="66"/>
    </row>
    <row r="2255">
      <c r="A2255" s="66"/>
      <c r="B2255" s="66"/>
      <c r="C2255" s="66"/>
      <c r="D2255" s="66"/>
      <c r="E2255" s="15"/>
      <c r="F2255" s="66"/>
      <c r="G2255" s="18"/>
      <c r="H2255" s="15"/>
      <c r="I2255" s="18"/>
      <c r="J2255" s="22"/>
      <c r="K2255" s="108"/>
      <c r="L2255" s="66"/>
      <c r="M2255" s="66"/>
      <c r="N2255" s="66"/>
      <c r="O2255" s="66"/>
      <c r="P2255" s="66"/>
      <c r="Q2255" s="66"/>
      <c r="R2255" s="66"/>
      <c r="S2255" s="66"/>
      <c r="T2255" s="66"/>
    </row>
    <row r="2256">
      <c r="A2256" s="66"/>
      <c r="B2256" s="66"/>
      <c r="C2256" s="66"/>
      <c r="D2256" s="66"/>
      <c r="E2256" s="15"/>
      <c r="F2256" s="66"/>
      <c r="G2256" s="18"/>
      <c r="H2256" s="15"/>
      <c r="I2256" s="18"/>
      <c r="J2256" s="22"/>
      <c r="K2256" s="108"/>
      <c r="L2256" s="66"/>
      <c r="M2256" s="66"/>
      <c r="N2256" s="66"/>
      <c r="O2256" s="66"/>
      <c r="P2256" s="66"/>
      <c r="Q2256" s="66"/>
      <c r="R2256" s="66"/>
      <c r="S2256" s="66"/>
      <c r="T2256" s="66"/>
    </row>
    <row r="2257">
      <c r="A2257" s="66"/>
      <c r="B2257" s="66"/>
      <c r="C2257" s="66"/>
      <c r="D2257" s="66"/>
      <c r="E2257" s="15"/>
      <c r="F2257" s="66"/>
      <c r="G2257" s="18"/>
      <c r="H2257" s="15"/>
      <c r="I2257" s="18"/>
      <c r="J2257" s="22"/>
      <c r="K2257" s="108"/>
      <c r="L2257" s="66"/>
      <c r="M2257" s="66"/>
      <c r="N2257" s="66"/>
      <c r="O2257" s="66"/>
      <c r="P2257" s="66"/>
      <c r="Q2257" s="66"/>
      <c r="R2257" s="66"/>
      <c r="S2257" s="66"/>
      <c r="T2257" s="66"/>
    </row>
    <row r="2258">
      <c r="A2258" s="66"/>
      <c r="B2258" s="66"/>
      <c r="C2258" s="66"/>
      <c r="D2258" s="66"/>
      <c r="E2258" s="15"/>
      <c r="F2258" s="66"/>
      <c r="G2258" s="18"/>
      <c r="H2258" s="15"/>
      <c r="I2258" s="18"/>
      <c r="J2258" s="22"/>
      <c r="K2258" s="108"/>
      <c r="L2258" s="66"/>
      <c r="M2258" s="66"/>
      <c r="N2258" s="66"/>
      <c r="O2258" s="66"/>
      <c r="P2258" s="66"/>
      <c r="Q2258" s="66"/>
      <c r="R2258" s="66"/>
      <c r="S2258" s="66"/>
      <c r="T2258" s="66"/>
    </row>
    <row r="2259">
      <c r="A2259" s="66"/>
      <c r="B2259" s="66"/>
      <c r="C2259" s="66"/>
      <c r="D2259" s="66"/>
      <c r="E2259" s="15"/>
      <c r="F2259" s="66"/>
      <c r="G2259" s="18"/>
      <c r="H2259" s="15"/>
      <c r="I2259" s="18"/>
      <c r="J2259" s="22"/>
      <c r="K2259" s="108"/>
      <c r="L2259" s="66"/>
      <c r="M2259" s="66"/>
      <c r="N2259" s="66"/>
      <c r="O2259" s="66"/>
      <c r="P2259" s="66"/>
      <c r="Q2259" s="66"/>
      <c r="R2259" s="66"/>
      <c r="S2259" s="66"/>
      <c r="T2259" s="66"/>
    </row>
    <row r="2260">
      <c r="A2260" s="66"/>
      <c r="B2260" s="66"/>
      <c r="C2260" s="66"/>
      <c r="D2260" s="66"/>
      <c r="E2260" s="15"/>
      <c r="F2260" s="66"/>
      <c r="G2260" s="18"/>
      <c r="H2260" s="15"/>
      <c r="I2260" s="18"/>
      <c r="J2260" s="22"/>
      <c r="K2260" s="108"/>
      <c r="L2260" s="66"/>
      <c r="M2260" s="66"/>
      <c r="N2260" s="66"/>
      <c r="O2260" s="66"/>
      <c r="P2260" s="66"/>
      <c r="Q2260" s="66"/>
      <c r="R2260" s="66"/>
      <c r="S2260" s="66"/>
      <c r="T2260" s="66"/>
    </row>
    <row r="2261">
      <c r="A2261" s="66"/>
      <c r="B2261" s="66"/>
      <c r="C2261" s="66"/>
      <c r="D2261" s="66"/>
      <c r="E2261" s="15"/>
      <c r="F2261" s="66"/>
      <c r="G2261" s="18"/>
      <c r="H2261" s="15"/>
      <c r="I2261" s="18"/>
      <c r="J2261" s="22"/>
      <c r="K2261" s="108"/>
      <c r="L2261" s="66"/>
      <c r="M2261" s="66"/>
      <c r="N2261" s="66"/>
      <c r="O2261" s="66"/>
      <c r="P2261" s="66"/>
      <c r="Q2261" s="66"/>
      <c r="R2261" s="66"/>
      <c r="S2261" s="66"/>
      <c r="T2261" s="66"/>
    </row>
    <row r="2262">
      <c r="A2262" s="66"/>
      <c r="B2262" s="66"/>
      <c r="C2262" s="66"/>
      <c r="D2262" s="66"/>
      <c r="E2262" s="15"/>
      <c r="F2262" s="66"/>
      <c r="G2262" s="18"/>
      <c r="H2262" s="15"/>
      <c r="I2262" s="18"/>
      <c r="J2262" s="22"/>
      <c r="K2262" s="108"/>
      <c r="L2262" s="66"/>
      <c r="M2262" s="66"/>
      <c r="N2262" s="66"/>
      <c r="O2262" s="66"/>
      <c r="P2262" s="66"/>
      <c r="Q2262" s="66"/>
      <c r="R2262" s="66"/>
      <c r="S2262" s="66"/>
      <c r="T2262" s="66"/>
    </row>
    <row r="2263">
      <c r="A2263" s="66"/>
      <c r="B2263" s="66"/>
      <c r="C2263" s="66"/>
      <c r="D2263" s="66"/>
      <c r="E2263" s="15"/>
      <c r="F2263" s="66"/>
      <c r="G2263" s="18"/>
      <c r="H2263" s="15"/>
      <c r="I2263" s="18"/>
      <c r="J2263" s="22"/>
      <c r="K2263" s="108"/>
      <c r="L2263" s="66"/>
      <c r="M2263" s="66"/>
      <c r="N2263" s="66"/>
      <c r="O2263" s="66"/>
      <c r="P2263" s="66"/>
      <c r="Q2263" s="66"/>
      <c r="R2263" s="66"/>
      <c r="S2263" s="66"/>
      <c r="T2263" s="66"/>
    </row>
    <row r="2264">
      <c r="A2264" s="66"/>
      <c r="B2264" s="66"/>
      <c r="C2264" s="66"/>
      <c r="D2264" s="66"/>
      <c r="E2264" s="15"/>
      <c r="F2264" s="66"/>
      <c r="G2264" s="18"/>
      <c r="H2264" s="15"/>
      <c r="I2264" s="18"/>
      <c r="J2264" s="22"/>
      <c r="K2264" s="108"/>
      <c r="L2264" s="66"/>
      <c r="M2264" s="66"/>
      <c r="N2264" s="66"/>
      <c r="O2264" s="66"/>
      <c r="P2264" s="66"/>
      <c r="Q2264" s="66"/>
      <c r="R2264" s="66"/>
      <c r="S2264" s="66"/>
      <c r="T2264" s="66"/>
    </row>
    <row r="2265">
      <c r="A2265" s="66"/>
      <c r="B2265" s="66"/>
      <c r="C2265" s="66"/>
      <c r="D2265" s="66"/>
      <c r="E2265" s="15"/>
      <c r="F2265" s="66"/>
      <c r="G2265" s="18"/>
      <c r="H2265" s="15"/>
      <c r="I2265" s="18"/>
      <c r="J2265" s="22"/>
      <c r="K2265" s="108"/>
      <c r="L2265" s="66"/>
      <c r="M2265" s="66"/>
      <c r="N2265" s="66"/>
      <c r="O2265" s="66"/>
      <c r="P2265" s="66"/>
      <c r="Q2265" s="66"/>
      <c r="R2265" s="66"/>
      <c r="S2265" s="66"/>
      <c r="T2265" s="66"/>
    </row>
    <row r="2266">
      <c r="A2266" s="66"/>
      <c r="B2266" s="66"/>
      <c r="C2266" s="66"/>
      <c r="D2266" s="66"/>
      <c r="E2266" s="15"/>
      <c r="F2266" s="66"/>
      <c r="G2266" s="18"/>
      <c r="H2266" s="15"/>
      <c r="I2266" s="18"/>
      <c r="J2266" s="22"/>
      <c r="K2266" s="108"/>
      <c r="L2266" s="66"/>
      <c r="M2266" s="66"/>
      <c r="N2266" s="66"/>
      <c r="O2266" s="66"/>
      <c r="P2266" s="66"/>
      <c r="Q2266" s="66"/>
      <c r="R2266" s="66"/>
      <c r="S2266" s="66"/>
      <c r="T2266" s="66"/>
    </row>
    <row r="2267">
      <c r="A2267" s="66"/>
      <c r="B2267" s="66"/>
      <c r="C2267" s="66"/>
      <c r="D2267" s="66"/>
      <c r="E2267" s="15"/>
      <c r="F2267" s="66"/>
      <c r="G2267" s="18"/>
      <c r="H2267" s="15"/>
      <c r="I2267" s="18"/>
      <c r="J2267" s="22"/>
      <c r="K2267" s="108"/>
      <c r="L2267" s="66"/>
      <c r="M2267" s="66"/>
      <c r="N2267" s="66"/>
      <c r="O2267" s="66"/>
      <c r="P2267" s="66"/>
      <c r="Q2267" s="66"/>
      <c r="R2267" s="66"/>
      <c r="S2267" s="66"/>
      <c r="T2267" s="66"/>
    </row>
    <row r="2268">
      <c r="A2268" s="66"/>
      <c r="B2268" s="66"/>
      <c r="C2268" s="66"/>
      <c r="D2268" s="66"/>
      <c r="E2268" s="15"/>
      <c r="F2268" s="66"/>
      <c r="G2268" s="18"/>
      <c r="H2268" s="15"/>
      <c r="I2268" s="18"/>
      <c r="J2268" s="22"/>
      <c r="K2268" s="108"/>
      <c r="L2268" s="66"/>
      <c r="M2268" s="66"/>
      <c r="N2268" s="66"/>
      <c r="O2268" s="66"/>
      <c r="P2268" s="66"/>
      <c r="Q2268" s="66"/>
      <c r="R2268" s="66"/>
      <c r="S2268" s="66"/>
      <c r="T2268" s="66"/>
    </row>
    <row r="2269">
      <c r="A2269" s="66"/>
      <c r="B2269" s="66"/>
      <c r="C2269" s="66"/>
      <c r="D2269" s="66"/>
      <c r="E2269" s="15"/>
      <c r="F2269" s="66"/>
      <c r="G2269" s="18"/>
      <c r="H2269" s="15"/>
      <c r="I2269" s="18"/>
      <c r="J2269" s="22"/>
      <c r="K2269" s="108"/>
      <c r="L2269" s="66"/>
      <c r="M2269" s="66"/>
      <c r="N2269" s="66"/>
      <c r="O2269" s="66"/>
      <c r="P2269" s="66"/>
      <c r="Q2269" s="66"/>
      <c r="R2269" s="66"/>
      <c r="S2269" s="66"/>
      <c r="T2269" s="66"/>
    </row>
    <row r="2270">
      <c r="A2270" s="66"/>
      <c r="B2270" s="66"/>
      <c r="C2270" s="66"/>
      <c r="D2270" s="66"/>
      <c r="E2270" s="15"/>
      <c r="F2270" s="66"/>
      <c r="G2270" s="18"/>
      <c r="H2270" s="15"/>
      <c r="I2270" s="18"/>
      <c r="J2270" s="22"/>
      <c r="K2270" s="108"/>
      <c r="L2270" s="66"/>
      <c r="M2270" s="66"/>
      <c r="N2270" s="66"/>
      <c r="O2270" s="66"/>
      <c r="P2270" s="66"/>
      <c r="Q2270" s="66"/>
      <c r="R2270" s="66"/>
      <c r="S2270" s="66"/>
      <c r="T2270" s="66"/>
    </row>
    <row r="2271">
      <c r="A2271" s="66"/>
      <c r="B2271" s="66"/>
      <c r="C2271" s="66"/>
      <c r="D2271" s="66"/>
      <c r="E2271" s="15"/>
      <c r="F2271" s="66"/>
      <c r="G2271" s="18"/>
      <c r="H2271" s="15"/>
      <c r="I2271" s="18"/>
      <c r="J2271" s="22"/>
      <c r="K2271" s="108"/>
      <c r="L2271" s="66"/>
      <c r="M2271" s="66"/>
      <c r="N2271" s="66"/>
      <c r="O2271" s="66"/>
      <c r="P2271" s="66"/>
      <c r="Q2271" s="66"/>
      <c r="R2271" s="66"/>
      <c r="S2271" s="66"/>
      <c r="T2271" s="66"/>
    </row>
    <row r="2272">
      <c r="A2272" s="66"/>
      <c r="B2272" s="66"/>
      <c r="C2272" s="66"/>
      <c r="D2272" s="66"/>
      <c r="E2272" s="15"/>
      <c r="F2272" s="66"/>
      <c r="G2272" s="18"/>
      <c r="H2272" s="15"/>
      <c r="I2272" s="18"/>
      <c r="J2272" s="22"/>
      <c r="K2272" s="108"/>
      <c r="L2272" s="66"/>
      <c r="M2272" s="66"/>
      <c r="N2272" s="66"/>
      <c r="O2272" s="66"/>
      <c r="P2272" s="66"/>
      <c r="Q2272" s="66"/>
      <c r="R2272" s="66"/>
      <c r="S2272" s="66"/>
      <c r="T2272" s="66"/>
    </row>
    <row r="2273">
      <c r="A2273" s="66"/>
      <c r="B2273" s="66"/>
      <c r="C2273" s="66"/>
      <c r="D2273" s="66"/>
      <c r="E2273" s="15"/>
      <c r="F2273" s="66"/>
      <c r="G2273" s="18"/>
      <c r="H2273" s="15"/>
      <c r="I2273" s="18"/>
      <c r="J2273" s="22"/>
      <c r="K2273" s="108"/>
      <c r="L2273" s="66"/>
      <c r="M2273" s="66"/>
      <c r="N2273" s="66"/>
      <c r="O2273" s="66"/>
      <c r="P2273" s="66"/>
      <c r="Q2273" s="66"/>
      <c r="R2273" s="66"/>
      <c r="S2273" s="66"/>
      <c r="T2273" s="66"/>
    </row>
    <row r="2274">
      <c r="A2274" s="66"/>
      <c r="B2274" s="66"/>
      <c r="C2274" s="66"/>
      <c r="D2274" s="66"/>
      <c r="E2274" s="15"/>
      <c r="F2274" s="66"/>
      <c r="G2274" s="18"/>
      <c r="H2274" s="15"/>
      <c r="I2274" s="18"/>
      <c r="J2274" s="22"/>
      <c r="K2274" s="108"/>
      <c r="L2274" s="66"/>
      <c r="M2274" s="66"/>
      <c r="N2274" s="66"/>
      <c r="O2274" s="66"/>
      <c r="P2274" s="66"/>
      <c r="Q2274" s="66"/>
      <c r="R2274" s="66"/>
      <c r="S2274" s="66"/>
      <c r="T2274" s="66"/>
    </row>
    <row r="2275">
      <c r="A2275" s="66"/>
      <c r="B2275" s="66"/>
      <c r="C2275" s="66"/>
      <c r="D2275" s="66"/>
      <c r="E2275" s="15"/>
      <c r="F2275" s="66"/>
      <c r="G2275" s="18"/>
      <c r="H2275" s="15"/>
      <c r="I2275" s="18"/>
      <c r="J2275" s="22"/>
      <c r="K2275" s="108"/>
      <c r="L2275" s="66"/>
      <c r="M2275" s="66"/>
      <c r="N2275" s="66"/>
      <c r="O2275" s="66"/>
      <c r="P2275" s="66"/>
      <c r="Q2275" s="66"/>
      <c r="R2275" s="66"/>
      <c r="S2275" s="66"/>
      <c r="T2275" s="66"/>
    </row>
    <row r="2276">
      <c r="A2276" s="66"/>
      <c r="B2276" s="66"/>
      <c r="C2276" s="66"/>
      <c r="D2276" s="66"/>
      <c r="E2276" s="15"/>
      <c r="F2276" s="66"/>
      <c r="G2276" s="18"/>
      <c r="H2276" s="15"/>
      <c r="I2276" s="18"/>
      <c r="J2276" s="22"/>
      <c r="K2276" s="108"/>
      <c r="L2276" s="66"/>
      <c r="M2276" s="66"/>
      <c r="N2276" s="66"/>
      <c r="O2276" s="66"/>
      <c r="P2276" s="66"/>
      <c r="Q2276" s="66"/>
      <c r="R2276" s="66"/>
      <c r="S2276" s="66"/>
      <c r="T2276" s="66"/>
    </row>
    <row r="2277">
      <c r="A2277" s="66"/>
      <c r="B2277" s="66"/>
      <c r="C2277" s="66"/>
      <c r="D2277" s="66"/>
      <c r="E2277" s="15"/>
      <c r="F2277" s="66"/>
      <c r="G2277" s="18"/>
      <c r="H2277" s="15"/>
      <c r="I2277" s="18"/>
      <c r="J2277" s="22"/>
      <c r="K2277" s="108"/>
      <c r="L2277" s="66"/>
      <c r="M2277" s="66"/>
      <c r="N2277" s="66"/>
      <c r="O2277" s="66"/>
      <c r="P2277" s="66"/>
      <c r="Q2277" s="66"/>
      <c r="R2277" s="66"/>
      <c r="S2277" s="66"/>
      <c r="T2277" s="66"/>
    </row>
    <row r="2278">
      <c r="A2278" s="66"/>
      <c r="B2278" s="66"/>
      <c r="C2278" s="66"/>
      <c r="D2278" s="66"/>
      <c r="E2278" s="15"/>
      <c r="F2278" s="66"/>
      <c r="G2278" s="18"/>
      <c r="H2278" s="15"/>
      <c r="I2278" s="18"/>
      <c r="J2278" s="22"/>
      <c r="K2278" s="108"/>
      <c r="L2278" s="66"/>
      <c r="M2278" s="66"/>
      <c r="N2278" s="66"/>
      <c r="O2278" s="66"/>
      <c r="P2278" s="66"/>
      <c r="Q2278" s="66"/>
      <c r="R2278" s="66"/>
      <c r="S2278" s="66"/>
      <c r="T2278" s="66"/>
    </row>
    <row r="2279">
      <c r="A2279" s="66"/>
      <c r="B2279" s="66"/>
      <c r="C2279" s="66"/>
      <c r="D2279" s="66"/>
      <c r="E2279" s="15"/>
      <c r="F2279" s="66"/>
      <c r="G2279" s="18"/>
      <c r="H2279" s="15"/>
      <c r="I2279" s="18"/>
      <c r="J2279" s="22"/>
      <c r="K2279" s="108"/>
      <c r="L2279" s="66"/>
      <c r="M2279" s="66"/>
      <c r="N2279" s="66"/>
      <c r="O2279" s="66"/>
      <c r="P2279" s="66"/>
      <c r="Q2279" s="66"/>
      <c r="R2279" s="66"/>
      <c r="S2279" s="66"/>
      <c r="T2279" s="66"/>
    </row>
    <row r="2280">
      <c r="A2280" s="66"/>
      <c r="B2280" s="66"/>
      <c r="C2280" s="66"/>
      <c r="D2280" s="66"/>
      <c r="E2280" s="15"/>
      <c r="F2280" s="66"/>
      <c r="G2280" s="18"/>
      <c r="H2280" s="15"/>
      <c r="I2280" s="18"/>
      <c r="J2280" s="22"/>
      <c r="K2280" s="108"/>
      <c r="L2280" s="66"/>
      <c r="M2280" s="66"/>
      <c r="N2280" s="66"/>
      <c r="O2280" s="66"/>
      <c r="P2280" s="66"/>
      <c r="Q2280" s="66"/>
      <c r="R2280" s="66"/>
      <c r="S2280" s="66"/>
      <c r="T2280" s="66"/>
    </row>
    <row r="2281">
      <c r="A2281" s="66"/>
      <c r="B2281" s="66"/>
      <c r="C2281" s="66"/>
      <c r="D2281" s="66"/>
      <c r="E2281" s="15"/>
      <c r="F2281" s="66"/>
      <c r="G2281" s="18"/>
      <c r="H2281" s="15"/>
      <c r="I2281" s="18"/>
      <c r="J2281" s="22"/>
      <c r="K2281" s="108"/>
      <c r="L2281" s="66"/>
      <c r="M2281" s="66"/>
      <c r="N2281" s="66"/>
      <c r="O2281" s="66"/>
      <c r="P2281" s="66"/>
      <c r="Q2281" s="66"/>
      <c r="R2281" s="66"/>
      <c r="S2281" s="66"/>
      <c r="T2281" s="66"/>
    </row>
    <row r="2282">
      <c r="A2282" s="66"/>
      <c r="B2282" s="66"/>
      <c r="C2282" s="66"/>
      <c r="D2282" s="66"/>
      <c r="E2282" s="15"/>
      <c r="F2282" s="66"/>
      <c r="G2282" s="18"/>
      <c r="H2282" s="15"/>
      <c r="I2282" s="18"/>
      <c r="J2282" s="22"/>
      <c r="K2282" s="108"/>
      <c r="L2282" s="66"/>
      <c r="M2282" s="66"/>
      <c r="N2282" s="66"/>
      <c r="O2282" s="66"/>
      <c r="P2282" s="66"/>
      <c r="Q2282" s="66"/>
      <c r="R2282" s="66"/>
      <c r="S2282" s="66"/>
      <c r="T2282" s="66"/>
    </row>
    <row r="2283">
      <c r="A2283" s="66"/>
      <c r="B2283" s="66"/>
      <c r="C2283" s="66"/>
      <c r="D2283" s="66"/>
      <c r="E2283" s="15"/>
      <c r="F2283" s="66"/>
      <c r="G2283" s="18"/>
      <c r="H2283" s="15"/>
      <c r="I2283" s="18"/>
      <c r="J2283" s="22"/>
      <c r="K2283" s="108"/>
      <c r="L2283" s="66"/>
      <c r="M2283" s="66"/>
      <c r="N2283" s="66"/>
      <c r="O2283" s="66"/>
      <c r="P2283" s="66"/>
      <c r="Q2283" s="66"/>
      <c r="R2283" s="66"/>
      <c r="S2283" s="66"/>
      <c r="T2283" s="66"/>
    </row>
    <row r="2284">
      <c r="A2284" s="66"/>
      <c r="B2284" s="66"/>
      <c r="C2284" s="66"/>
      <c r="D2284" s="66"/>
      <c r="E2284" s="15"/>
      <c r="F2284" s="66"/>
      <c r="G2284" s="18"/>
      <c r="H2284" s="15"/>
      <c r="I2284" s="18"/>
      <c r="J2284" s="22"/>
      <c r="K2284" s="108"/>
      <c r="L2284" s="66"/>
      <c r="M2284" s="66"/>
      <c r="N2284" s="66"/>
      <c r="O2284" s="66"/>
      <c r="P2284" s="66"/>
      <c r="Q2284" s="66"/>
      <c r="R2284" s="66"/>
      <c r="S2284" s="66"/>
      <c r="T2284" s="66"/>
    </row>
    <row r="2285">
      <c r="A2285" s="66"/>
      <c r="B2285" s="66"/>
      <c r="C2285" s="66"/>
      <c r="D2285" s="66"/>
      <c r="E2285" s="15"/>
      <c r="F2285" s="66"/>
      <c r="G2285" s="18"/>
      <c r="H2285" s="15"/>
      <c r="I2285" s="18"/>
      <c r="J2285" s="22"/>
      <c r="K2285" s="108"/>
      <c r="L2285" s="66"/>
      <c r="M2285" s="66"/>
      <c r="N2285" s="66"/>
      <c r="O2285" s="66"/>
      <c r="P2285" s="66"/>
      <c r="Q2285" s="66"/>
      <c r="R2285" s="66"/>
      <c r="S2285" s="66"/>
      <c r="T2285" s="66"/>
    </row>
    <row r="2286">
      <c r="A2286" s="66"/>
      <c r="B2286" s="66"/>
      <c r="C2286" s="66"/>
      <c r="D2286" s="66"/>
      <c r="E2286" s="15"/>
      <c r="F2286" s="66"/>
      <c r="G2286" s="18"/>
      <c r="H2286" s="15"/>
      <c r="I2286" s="18"/>
      <c r="J2286" s="22"/>
      <c r="K2286" s="108"/>
      <c r="L2286" s="66"/>
      <c r="M2286" s="66"/>
      <c r="N2286" s="66"/>
      <c r="O2286" s="66"/>
      <c r="P2286" s="66"/>
      <c r="Q2286" s="66"/>
      <c r="R2286" s="66"/>
      <c r="S2286" s="66"/>
      <c r="T2286" s="66"/>
    </row>
    <row r="2287">
      <c r="A2287" s="66"/>
      <c r="B2287" s="66"/>
      <c r="C2287" s="66"/>
      <c r="D2287" s="66"/>
      <c r="E2287" s="15"/>
      <c r="F2287" s="66"/>
      <c r="G2287" s="18"/>
      <c r="H2287" s="15"/>
      <c r="I2287" s="18"/>
      <c r="J2287" s="22"/>
      <c r="K2287" s="108"/>
      <c r="L2287" s="66"/>
      <c r="M2287" s="66"/>
      <c r="N2287" s="66"/>
      <c r="O2287" s="66"/>
      <c r="P2287" s="66"/>
      <c r="Q2287" s="66"/>
      <c r="R2287" s="66"/>
      <c r="S2287" s="66"/>
      <c r="T2287" s="66"/>
    </row>
    <row r="2288">
      <c r="A2288" s="66"/>
      <c r="B2288" s="66"/>
      <c r="C2288" s="66"/>
      <c r="D2288" s="66"/>
      <c r="E2288" s="15"/>
      <c r="F2288" s="66"/>
      <c r="G2288" s="18"/>
      <c r="H2288" s="15"/>
      <c r="I2288" s="18"/>
      <c r="J2288" s="22"/>
      <c r="K2288" s="108"/>
      <c r="L2288" s="66"/>
      <c r="M2288" s="66"/>
      <c r="N2288" s="66"/>
      <c r="O2288" s="66"/>
      <c r="P2288" s="66"/>
      <c r="Q2288" s="66"/>
      <c r="R2288" s="66"/>
      <c r="S2288" s="66"/>
      <c r="T2288" s="66"/>
    </row>
    <row r="2289">
      <c r="A2289" s="66"/>
      <c r="B2289" s="66"/>
      <c r="C2289" s="66"/>
      <c r="D2289" s="66"/>
      <c r="E2289" s="15"/>
      <c r="F2289" s="66"/>
      <c r="G2289" s="18"/>
      <c r="H2289" s="15"/>
      <c r="I2289" s="18"/>
      <c r="J2289" s="22"/>
      <c r="K2289" s="108"/>
      <c r="L2289" s="66"/>
      <c r="M2289" s="66"/>
      <c r="N2289" s="66"/>
      <c r="O2289" s="66"/>
      <c r="P2289" s="66"/>
      <c r="Q2289" s="66"/>
      <c r="R2289" s="66"/>
      <c r="S2289" s="66"/>
      <c r="T2289" s="66"/>
    </row>
    <row r="2290">
      <c r="A2290" s="66"/>
      <c r="B2290" s="66"/>
      <c r="C2290" s="66"/>
      <c r="D2290" s="66"/>
      <c r="E2290" s="15"/>
      <c r="F2290" s="66"/>
      <c r="G2290" s="18"/>
      <c r="H2290" s="15"/>
      <c r="I2290" s="18"/>
      <c r="J2290" s="22"/>
      <c r="K2290" s="108"/>
      <c r="L2290" s="66"/>
      <c r="M2290" s="66"/>
      <c r="N2290" s="66"/>
      <c r="O2290" s="66"/>
      <c r="P2290" s="66"/>
      <c r="Q2290" s="66"/>
      <c r="R2290" s="66"/>
      <c r="S2290" s="66"/>
      <c r="T2290" s="66"/>
    </row>
    <row r="2291">
      <c r="A2291" s="66"/>
      <c r="B2291" s="66"/>
      <c r="C2291" s="66"/>
      <c r="D2291" s="66"/>
      <c r="E2291" s="15"/>
      <c r="F2291" s="66"/>
      <c r="G2291" s="18"/>
      <c r="H2291" s="15"/>
      <c r="I2291" s="18"/>
      <c r="J2291" s="22"/>
      <c r="K2291" s="108"/>
      <c r="L2291" s="66"/>
      <c r="M2291" s="66"/>
      <c r="N2291" s="66"/>
      <c r="O2291" s="66"/>
      <c r="P2291" s="66"/>
      <c r="Q2291" s="66"/>
      <c r="R2291" s="66"/>
      <c r="S2291" s="66"/>
      <c r="T2291" s="66"/>
    </row>
    <row r="2292">
      <c r="A2292" s="66"/>
      <c r="B2292" s="66"/>
      <c r="C2292" s="66"/>
      <c r="D2292" s="66"/>
      <c r="E2292" s="15"/>
      <c r="F2292" s="66"/>
      <c r="G2292" s="18"/>
      <c r="H2292" s="15"/>
      <c r="I2292" s="18"/>
      <c r="J2292" s="22"/>
      <c r="K2292" s="108"/>
      <c r="L2292" s="66"/>
      <c r="M2292" s="66"/>
      <c r="N2292" s="66"/>
      <c r="O2292" s="66"/>
      <c r="P2292" s="66"/>
      <c r="Q2292" s="66"/>
      <c r="R2292" s="66"/>
      <c r="S2292" s="66"/>
      <c r="T2292" s="66"/>
    </row>
    <row r="2293">
      <c r="A2293" s="66"/>
      <c r="B2293" s="66"/>
      <c r="C2293" s="66"/>
      <c r="D2293" s="66"/>
      <c r="E2293" s="15"/>
      <c r="F2293" s="66"/>
      <c r="G2293" s="18"/>
      <c r="H2293" s="15"/>
      <c r="I2293" s="18"/>
      <c r="J2293" s="22"/>
      <c r="K2293" s="108"/>
      <c r="L2293" s="66"/>
      <c r="M2293" s="66"/>
      <c r="N2293" s="66"/>
      <c r="O2293" s="66"/>
      <c r="P2293" s="66"/>
      <c r="Q2293" s="66"/>
      <c r="R2293" s="66"/>
      <c r="S2293" s="66"/>
      <c r="T2293" s="66"/>
    </row>
    <row r="2294">
      <c r="A2294" s="66"/>
      <c r="B2294" s="66"/>
      <c r="C2294" s="66"/>
      <c r="D2294" s="66"/>
      <c r="E2294" s="15"/>
      <c r="F2294" s="66"/>
      <c r="G2294" s="18"/>
      <c r="H2294" s="15"/>
      <c r="I2294" s="18"/>
      <c r="J2294" s="22"/>
      <c r="K2294" s="108"/>
      <c r="L2294" s="66"/>
      <c r="M2294" s="66"/>
      <c r="N2294" s="66"/>
      <c r="O2294" s="66"/>
      <c r="P2294" s="66"/>
      <c r="Q2294" s="66"/>
      <c r="R2294" s="66"/>
      <c r="S2294" s="66"/>
      <c r="T2294" s="66"/>
    </row>
    <row r="2295">
      <c r="A2295" s="66"/>
      <c r="B2295" s="66"/>
      <c r="C2295" s="66"/>
      <c r="D2295" s="66"/>
      <c r="E2295" s="15"/>
      <c r="F2295" s="66"/>
      <c r="G2295" s="18"/>
      <c r="H2295" s="15"/>
      <c r="I2295" s="18"/>
      <c r="J2295" s="22"/>
      <c r="K2295" s="108"/>
      <c r="L2295" s="66"/>
      <c r="M2295" s="66"/>
      <c r="N2295" s="66"/>
      <c r="O2295" s="66"/>
      <c r="P2295" s="66"/>
      <c r="Q2295" s="66"/>
      <c r="R2295" s="66"/>
      <c r="S2295" s="66"/>
      <c r="T2295" s="66"/>
    </row>
    <row r="2296">
      <c r="A2296" s="66"/>
      <c r="B2296" s="66"/>
      <c r="C2296" s="66"/>
      <c r="D2296" s="66"/>
      <c r="E2296" s="15"/>
      <c r="F2296" s="66"/>
      <c r="G2296" s="18"/>
      <c r="H2296" s="15"/>
      <c r="I2296" s="18"/>
      <c r="J2296" s="22"/>
      <c r="K2296" s="108"/>
      <c r="L2296" s="66"/>
      <c r="M2296" s="66"/>
      <c r="N2296" s="66"/>
      <c r="O2296" s="66"/>
      <c r="P2296" s="66"/>
      <c r="Q2296" s="66"/>
      <c r="R2296" s="66"/>
      <c r="S2296" s="66"/>
      <c r="T2296" s="66"/>
    </row>
    <row r="2297">
      <c r="A2297" s="66"/>
      <c r="B2297" s="66"/>
      <c r="C2297" s="66"/>
      <c r="D2297" s="66"/>
      <c r="E2297" s="15"/>
      <c r="F2297" s="66"/>
      <c r="G2297" s="18"/>
      <c r="H2297" s="15"/>
      <c r="I2297" s="18"/>
      <c r="J2297" s="22"/>
      <c r="K2297" s="108"/>
      <c r="L2297" s="66"/>
      <c r="M2297" s="66"/>
      <c r="N2297" s="66"/>
      <c r="O2297" s="66"/>
      <c r="P2297" s="66"/>
      <c r="Q2297" s="66"/>
      <c r="R2297" s="66"/>
      <c r="S2297" s="66"/>
      <c r="T2297" s="66"/>
    </row>
    <row r="2298">
      <c r="A2298" s="66"/>
      <c r="B2298" s="66"/>
      <c r="C2298" s="66"/>
      <c r="D2298" s="66"/>
      <c r="E2298" s="15"/>
      <c r="F2298" s="66"/>
      <c r="G2298" s="18"/>
      <c r="H2298" s="15"/>
      <c r="I2298" s="18"/>
      <c r="J2298" s="22"/>
      <c r="K2298" s="108"/>
      <c r="L2298" s="66"/>
      <c r="M2298" s="66"/>
      <c r="N2298" s="66"/>
      <c r="O2298" s="66"/>
      <c r="P2298" s="66"/>
      <c r="Q2298" s="66"/>
      <c r="R2298" s="66"/>
      <c r="S2298" s="66"/>
      <c r="T2298" s="66"/>
    </row>
    <row r="2299">
      <c r="A2299" s="66"/>
      <c r="B2299" s="66"/>
      <c r="C2299" s="66"/>
      <c r="D2299" s="66"/>
      <c r="E2299" s="15"/>
      <c r="F2299" s="66"/>
      <c r="G2299" s="18"/>
      <c r="H2299" s="15"/>
      <c r="I2299" s="18"/>
      <c r="J2299" s="22"/>
      <c r="K2299" s="108"/>
      <c r="L2299" s="66"/>
      <c r="M2299" s="66"/>
      <c r="N2299" s="66"/>
      <c r="O2299" s="66"/>
      <c r="P2299" s="66"/>
      <c r="Q2299" s="66"/>
      <c r="R2299" s="66"/>
      <c r="S2299" s="66"/>
      <c r="T2299" s="66"/>
    </row>
    <row r="2300">
      <c r="A2300" s="66"/>
      <c r="B2300" s="66"/>
      <c r="C2300" s="66"/>
      <c r="D2300" s="66"/>
      <c r="E2300" s="15"/>
      <c r="F2300" s="66"/>
      <c r="G2300" s="18"/>
      <c r="H2300" s="15"/>
      <c r="I2300" s="18"/>
      <c r="J2300" s="22"/>
      <c r="K2300" s="108"/>
      <c r="L2300" s="66"/>
      <c r="M2300" s="66"/>
      <c r="N2300" s="66"/>
      <c r="O2300" s="66"/>
      <c r="P2300" s="66"/>
      <c r="Q2300" s="66"/>
      <c r="R2300" s="66"/>
      <c r="S2300" s="66"/>
      <c r="T2300" s="66"/>
    </row>
    <row r="2301">
      <c r="A2301" s="66"/>
      <c r="B2301" s="66"/>
      <c r="C2301" s="66"/>
      <c r="D2301" s="66"/>
      <c r="E2301" s="15"/>
      <c r="F2301" s="66"/>
      <c r="G2301" s="18"/>
      <c r="H2301" s="15"/>
      <c r="I2301" s="18"/>
      <c r="J2301" s="22"/>
      <c r="K2301" s="108"/>
      <c r="L2301" s="66"/>
      <c r="M2301" s="66"/>
      <c r="N2301" s="66"/>
      <c r="O2301" s="66"/>
      <c r="P2301" s="66"/>
      <c r="Q2301" s="66"/>
      <c r="R2301" s="66"/>
      <c r="S2301" s="66"/>
      <c r="T2301" s="66"/>
    </row>
    <row r="2302">
      <c r="A2302" s="66"/>
      <c r="B2302" s="66"/>
      <c r="C2302" s="66"/>
      <c r="D2302" s="66"/>
      <c r="E2302" s="15"/>
      <c r="F2302" s="66"/>
      <c r="G2302" s="18"/>
      <c r="H2302" s="15"/>
      <c r="I2302" s="18"/>
      <c r="J2302" s="22"/>
      <c r="K2302" s="108"/>
      <c r="L2302" s="66"/>
      <c r="M2302" s="66"/>
      <c r="N2302" s="66"/>
      <c r="O2302" s="66"/>
      <c r="P2302" s="66"/>
      <c r="Q2302" s="66"/>
      <c r="R2302" s="66"/>
      <c r="S2302" s="66"/>
      <c r="T2302" s="66"/>
    </row>
    <row r="2303">
      <c r="A2303" s="66"/>
      <c r="B2303" s="66"/>
      <c r="C2303" s="66"/>
      <c r="D2303" s="66"/>
      <c r="E2303" s="15"/>
      <c r="F2303" s="66"/>
      <c r="G2303" s="18"/>
      <c r="H2303" s="15"/>
      <c r="I2303" s="18"/>
      <c r="J2303" s="22"/>
      <c r="K2303" s="108"/>
      <c r="L2303" s="66"/>
      <c r="M2303" s="66"/>
      <c r="N2303" s="66"/>
      <c r="O2303" s="66"/>
      <c r="P2303" s="66"/>
      <c r="Q2303" s="66"/>
      <c r="R2303" s="66"/>
      <c r="S2303" s="66"/>
      <c r="T2303" s="66"/>
    </row>
    <row r="2304">
      <c r="A2304" s="66"/>
      <c r="B2304" s="66"/>
      <c r="C2304" s="66"/>
      <c r="D2304" s="66"/>
      <c r="E2304" s="15"/>
      <c r="F2304" s="66"/>
      <c r="G2304" s="18"/>
      <c r="H2304" s="15"/>
      <c r="I2304" s="18"/>
      <c r="J2304" s="22"/>
      <c r="K2304" s="108"/>
      <c r="L2304" s="66"/>
      <c r="M2304" s="66"/>
      <c r="N2304" s="66"/>
      <c r="O2304" s="66"/>
      <c r="P2304" s="66"/>
      <c r="Q2304" s="66"/>
      <c r="R2304" s="66"/>
      <c r="S2304" s="66"/>
      <c r="T2304" s="66"/>
    </row>
    <row r="2305">
      <c r="A2305" s="66"/>
      <c r="B2305" s="66"/>
      <c r="C2305" s="66"/>
      <c r="D2305" s="66"/>
      <c r="E2305" s="15"/>
      <c r="F2305" s="66"/>
      <c r="G2305" s="18"/>
      <c r="H2305" s="15"/>
      <c r="I2305" s="18"/>
      <c r="J2305" s="22"/>
      <c r="K2305" s="108"/>
      <c r="L2305" s="66"/>
      <c r="M2305" s="66"/>
      <c r="N2305" s="66"/>
      <c r="O2305" s="66"/>
      <c r="P2305" s="66"/>
      <c r="Q2305" s="66"/>
      <c r="R2305" s="66"/>
      <c r="S2305" s="66"/>
      <c r="T2305" s="66"/>
    </row>
    <row r="2306">
      <c r="A2306" s="66"/>
      <c r="B2306" s="66"/>
      <c r="C2306" s="66"/>
      <c r="D2306" s="66"/>
      <c r="E2306" s="15"/>
      <c r="F2306" s="66"/>
      <c r="G2306" s="18"/>
      <c r="H2306" s="15"/>
      <c r="I2306" s="18"/>
      <c r="J2306" s="22"/>
      <c r="K2306" s="108"/>
      <c r="L2306" s="66"/>
      <c r="M2306" s="66"/>
      <c r="N2306" s="66"/>
      <c r="O2306" s="66"/>
      <c r="P2306" s="66"/>
      <c r="Q2306" s="66"/>
      <c r="R2306" s="66"/>
      <c r="S2306" s="66"/>
      <c r="T2306" s="66"/>
    </row>
    <row r="2307">
      <c r="A2307" s="66"/>
      <c r="B2307" s="66"/>
      <c r="C2307" s="66"/>
      <c r="D2307" s="66"/>
      <c r="E2307" s="15"/>
      <c r="F2307" s="66"/>
      <c r="G2307" s="18"/>
      <c r="H2307" s="15"/>
      <c r="I2307" s="18"/>
      <c r="J2307" s="22"/>
      <c r="K2307" s="108"/>
      <c r="L2307" s="66"/>
      <c r="M2307" s="66"/>
      <c r="N2307" s="66"/>
      <c r="O2307" s="66"/>
      <c r="P2307" s="66"/>
      <c r="Q2307" s="66"/>
      <c r="R2307" s="66"/>
      <c r="S2307" s="66"/>
      <c r="T2307" s="66"/>
    </row>
    <row r="2308">
      <c r="A2308" s="66"/>
      <c r="B2308" s="66"/>
      <c r="C2308" s="66"/>
      <c r="D2308" s="66"/>
      <c r="E2308" s="15"/>
      <c r="F2308" s="66"/>
      <c r="G2308" s="18"/>
      <c r="H2308" s="15"/>
      <c r="I2308" s="18"/>
      <c r="J2308" s="22"/>
      <c r="K2308" s="108"/>
      <c r="L2308" s="66"/>
      <c r="M2308" s="66"/>
      <c r="N2308" s="66"/>
      <c r="O2308" s="66"/>
      <c r="P2308" s="66"/>
      <c r="Q2308" s="66"/>
      <c r="R2308" s="66"/>
      <c r="S2308" s="66"/>
      <c r="T2308" s="66"/>
    </row>
    <row r="2309">
      <c r="A2309" s="66"/>
      <c r="B2309" s="66"/>
      <c r="C2309" s="66"/>
      <c r="D2309" s="66"/>
      <c r="E2309" s="15"/>
      <c r="F2309" s="66"/>
      <c r="G2309" s="18"/>
      <c r="H2309" s="15"/>
      <c r="I2309" s="18"/>
      <c r="J2309" s="22"/>
      <c r="K2309" s="108"/>
      <c r="L2309" s="66"/>
      <c r="M2309" s="66"/>
      <c r="N2309" s="66"/>
      <c r="O2309" s="66"/>
      <c r="P2309" s="66"/>
      <c r="Q2309" s="66"/>
      <c r="R2309" s="66"/>
      <c r="S2309" s="66"/>
      <c r="T2309" s="66"/>
    </row>
    <row r="2310">
      <c r="A2310" s="66"/>
      <c r="B2310" s="66"/>
      <c r="C2310" s="66"/>
      <c r="D2310" s="66"/>
      <c r="E2310" s="15"/>
      <c r="F2310" s="66"/>
      <c r="G2310" s="18"/>
      <c r="H2310" s="15"/>
      <c r="I2310" s="18"/>
      <c r="J2310" s="22"/>
      <c r="K2310" s="108"/>
      <c r="L2310" s="66"/>
      <c r="M2310" s="66"/>
      <c r="N2310" s="66"/>
      <c r="O2310" s="66"/>
      <c r="P2310" s="66"/>
      <c r="Q2310" s="66"/>
      <c r="R2310" s="66"/>
      <c r="S2310" s="66"/>
      <c r="T2310" s="66"/>
    </row>
    <row r="2311">
      <c r="A2311" s="66"/>
      <c r="B2311" s="66"/>
      <c r="C2311" s="66"/>
      <c r="D2311" s="66"/>
      <c r="E2311" s="15"/>
      <c r="F2311" s="66"/>
      <c r="G2311" s="18"/>
      <c r="H2311" s="15"/>
      <c r="I2311" s="18"/>
      <c r="J2311" s="22"/>
      <c r="K2311" s="108"/>
      <c r="L2311" s="66"/>
      <c r="M2311" s="66"/>
      <c r="N2311" s="66"/>
      <c r="O2311" s="66"/>
      <c r="P2311" s="66"/>
      <c r="Q2311" s="66"/>
      <c r="R2311" s="66"/>
      <c r="S2311" s="66"/>
      <c r="T2311" s="66"/>
    </row>
    <row r="2312">
      <c r="A2312" s="66"/>
      <c r="B2312" s="66"/>
      <c r="C2312" s="66"/>
      <c r="D2312" s="66"/>
      <c r="E2312" s="15"/>
      <c r="F2312" s="66"/>
      <c r="G2312" s="18"/>
      <c r="H2312" s="15"/>
      <c r="I2312" s="18"/>
      <c r="J2312" s="22"/>
      <c r="K2312" s="108"/>
      <c r="L2312" s="66"/>
      <c r="M2312" s="66"/>
      <c r="N2312" s="66"/>
      <c r="O2312" s="66"/>
      <c r="P2312" s="66"/>
      <c r="Q2312" s="66"/>
      <c r="R2312" s="66"/>
      <c r="S2312" s="66"/>
      <c r="T2312" s="66"/>
    </row>
    <row r="2313">
      <c r="A2313" s="66"/>
      <c r="B2313" s="66"/>
      <c r="C2313" s="66"/>
      <c r="D2313" s="66"/>
      <c r="E2313" s="15"/>
      <c r="F2313" s="66"/>
      <c r="G2313" s="18"/>
      <c r="H2313" s="15"/>
      <c r="I2313" s="18"/>
      <c r="J2313" s="22"/>
      <c r="K2313" s="108"/>
      <c r="L2313" s="66"/>
      <c r="M2313" s="66"/>
      <c r="N2313" s="66"/>
      <c r="O2313" s="66"/>
      <c r="P2313" s="66"/>
      <c r="Q2313" s="66"/>
      <c r="R2313" s="66"/>
      <c r="S2313" s="66"/>
      <c r="T2313" s="66"/>
    </row>
    <row r="2314">
      <c r="A2314" s="66"/>
      <c r="B2314" s="66"/>
      <c r="C2314" s="66"/>
      <c r="D2314" s="66"/>
      <c r="E2314" s="15"/>
      <c r="F2314" s="66"/>
      <c r="G2314" s="18"/>
      <c r="H2314" s="15"/>
      <c r="I2314" s="18"/>
      <c r="J2314" s="22"/>
      <c r="K2314" s="108"/>
      <c r="L2314" s="66"/>
      <c r="M2314" s="66"/>
      <c r="N2314" s="66"/>
      <c r="O2314" s="66"/>
      <c r="P2314" s="66"/>
      <c r="Q2314" s="66"/>
      <c r="R2314" s="66"/>
      <c r="S2314" s="66"/>
      <c r="T2314" s="66"/>
    </row>
    <row r="2315">
      <c r="A2315" s="66"/>
      <c r="B2315" s="66"/>
      <c r="C2315" s="66"/>
      <c r="D2315" s="66"/>
      <c r="E2315" s="15"/>
      <c r="F2315" s="66"/>
      <c r="G2315" s="18"/>
      <c r="H2315" s="15"/>
      <c r="I2315" s="18"/>
      <c r="J2315" s="22"/>
      <c r="K2315" s="108"/>
      <c r="L2315" s="66"/>
      <c r="M2315" s="66"/>
      <c r="N2315" s="66"/>
      <c r="O2315" s="66"/>
      <c r="P2315" s="66"/>
      <c r="Q2315" s="66"/>
      <c r="R2315" s="66"/>
      <c r="S2315" s="66"/>
      <c r="T2315" s="66"/>
    </row>
    <row r="2316">
      <c r="A2316" s="66"/>
      <c r="B2316" s="66"/>
      <c r="C2316" s="66"/>
      <c r="D2316" s="66"/>
      <c r="E2316" s="15"/>
      <c r="F2316" s="66"/>
      <c r="G2316" s="18"/>
      <c r="H2316" s="15"/>
      <c r="I2316" s="18"/>
      <c r="J2316" s="22"/>
      <c r="K2316" s="108"/>
      <c r="L2316" s="66"/>
      <c r="M2316" s="66"/>
      <c r="N2316" s="66"/>
      <c r="O2316" s="66"/>
      <c r="P2316" s="66"/>
      <c r="Q2316" s="66"/>
      <c r="R2316" s="66"/>
      <c r="S2316" s="66"/>
      <c r="T2316" s="66"/>
    </row>
    <row r="2317">
      <c r="A2317" s="66"/>
      <c r="B2317" s="66"/>
      <c r="C2317" s="66"/>
      <c r="D2317" s="66"/>
      <c r="E2317" s="15"/>
      <c r="F2317" s="66"/>
      <c r="G2317" s="18"/>
      <c r="H2317" s="15"/>
      <c r="I2317" s="18"/>
      <c r="J2317" s="22"/>
      <c r="K2317" s="108"/>
      <c r="L2317" s="66"/>
      <c r="M2317" s="66"/>
      <c r="N2317" s="66"/>
      <c r="O2317" s="66"/>
      <c r="P2317" s="66"/>
      <c r="Q2317" s="66"/>
      <c r="R2317" s="66"/>
      <c r="S2317" s="66"/>
      <c r="T2317" s="66"/>
    </row>
    <row r="2318">
      <c r="A2318" s="66"/>
      <c r="B2318" s="66"/>
      <c r="C2318" s="66"/>
      <c r="D2318" s="66"/>
      <c r="E2318" s="15"/>
      <c r="F2318" s="66"/>
      <c r="G2318" s="18"/>
      <c r="H2318" s="15"/>
      <c r="I2318" s="18"/>
      <c r="J2318" s="22"/>
      <c r="K2318" s="108"/>
      <c r="L2318" s="66"/>
      <c r="M2318" s="66"/>
      <c r="N2318" s="66"/>
      <c r="O2318" s="66"/>
      <c r="P2318" s="66"/>
      <c r="Q2318" s="66"/>
      <c r="R2318" s="66"/>
      <c r="S2318" s="66"/>
      <c r="T2318" s="66"/>
    </row>
    <row r="2319">
      <c r="A2319" s="66"/>
      <c r="B2319" s="66"/>
      <c r="C2319" s="66"/>
      <c r="D2319" s="66"/>
      <c r="E2319" s="15"/>
      <c r="F2319" s="66"/>
      <c r="G2319" s="18"/>
      <c r="H2319" s="15"/>
      <c r="I2319" s="18"/>
      <c r="J2319" s="22"/>
      <c r="K2319" s="108"/>
      <c r="L2319" s="66"/>
      <c r="M2319" s="66"/>
      <c r="N2319" s="66"/>
      <c r="O2319" s="66"/>
      <c r="P2319" s="66"/>
      <c r="Q2319" s="66"/>
      <c r="R2319" s="66"/>
      <c r="S2319" s="66"/>
      <c r="T2319" s="66"/>
    </row>
    <row r="2320">
      <c r="A2320" s="66"/>
      <c r="B2320" s="66"/>
      <c r="C2320" s="66"/>
      <c r="D2320" s="66"/>
      <c r="E2320" s="15"/>
      <c r="F2320" s="66"/>
      <c r="G2320" s="18"/>
      <c r="H2320" s="15"/>
      <c r="I2320" s="18"/>
      <c r="J2320" s="22"/>
      <c r="K2320" s="108"/>
      <c r="L2320" s="66"/>
      <c r="M2320" s="66"/>
      <c r="N2320" s="66"/>
      <c r="O2320" s="66"/>
      <c r="P2320" s="66"/>
      <c r="Q2320" s="66"/>
      <c r="R2320" s="66"/>
      <c r="S2320" s="66"/>
      <c r="T2320" s="66"/>
    </row>
    <row r="2321">
      <c r="A2321" s="66"/>
      <c r="B2321" s="66"/>
      <c r="C2321" s="66"/>
      <c r="D2321" s="66"/>
      <c r="E2321" s="15"/>
      <c r="F2321" s="66"/>
      <c r="G2321" s="18"/>
      <c r="H2321" s="15"/>
      <c r="I2321" s="18"/>
      <c r="J2321" s="22"/>
      <c r="K2321" s="108"/>
      <c r="L2321" s="66"/>
      <c r="M2321" s="66"/>
      <c r="N2321" s="66"/>
      <c r="O2321" s="66"/>
      <c r="P2321" s="66"/>
      <c r="Q2321" s="66"/>
      <c r="R2321" s="66"/>
      <c r="S2321" s="66"/>
      <c r="T2321" s="66"/>
    </row>
    <row r="2322">
      <c r="A2322" s="66"/>
      <c r="B2322" s="66"/>
      <c r="C2322" s="66"/>
      <c r="D2322" s="66"/>
      <c r="E2322" s="15"/>
      <c r="F2322" s="66"/>
      <c r="G2322" s="18"/>
      <c r="H2322" s="15"/>
      <c r="I2322" s="18"/>
      <c r="J2322" s="22"/>
      <c r="K2322" s="108"/>
      <c r="L2322" s="66"/>
      <c r="M2322" s="66"/>
      <c r="N2322" s="66"/>
      <c r="O2322" s="66"/>
      <c r="P2322" s="66"/>
      <c r="Q2322" s="66"/>
      <c r="R2322" s="66"/>
      <c r="S2322" s="66"/>
      <c r="T2322" s="66"/>
    </row>
    <row r="2323">
      <c r="A2323" s="66"/>
      <c r="B2323" s="66"/>
      <c r="C2323" s="66"/>
      <c r="D2323" s="66"/>
      <c r="E2323" s="15"/>
      <c r="F2323" s="66"/>
      <c r="G2323" s="18"/>
      <c r="H2323" s="15"/>
      <c r="I2323" s="18"/>
      <c r="J2323" s="22"/>
      <c r="K2323" s="108"/>
      <c r="L2323" s="66"/>
      <c r="M2323" s="66"/>
      <c r="N2323" s="66"/>
      <c r="O2323" s="66"/>
      <c r="P2323" s="66"/>
      <c r="Q2323" s="66"/>
      <c r="R2323" s="66"/>
      <c r="S2323" s="66"/>
      <c r="T2323" s="66"/>
    </row>
    <row r="2324">
      <c r="A2324" s="66"/>
      <c r="B2324" s="66"/>
      <c r="C2324" s="66"/>
      <c r="D2324" s="66"/>
      <c r="E2324" s="15"/>
      <c r="F2324" s="66"/>
      <c r="G2324" s="18"/>
      <c r="H2324" s="15"/>
      <c r="I2324" s="18"/>
      <c r="J2324" s="22"/>
      <c r="K2324" s="108"/>
      <c r="L2324" s="66"/>
      <c r="M2324" s="66"/>
      <c r="N2324" s="66"/>
      <c r="O2324" s="66"/>
      <c r="P2324" s="66"/>
      <c r="Q2324" s="66"/>
      <c r="R2324" s="66"/>
      <c r="S2324" s="66"/>
      <c r="T2324" s="66"/>
    </row>
    <row r="2325">
      <c r="A2325" s="66"/>
      <c r="B2325" s="66"/>
      <c r="C2325" s="66"/>
      <c r="D2325" s="66"/>
      <c r="E2325" s="15"/>
      <c r="F2325" s="66"/>
      <c r="G2325" s="18"/>
      <c r="H2325" s="15"/>
      <c r="I2325" s="18"/>
      <c r="J2325" s="22"/>
      <c r="K2325" s="108"/>
      <c r="L2325" s="66"/>
      <c r="M2325" s="66"/>
      <c r="N2325" s="66"/>
      <c r="O2325" s="66"/>
      <c r="P2325" s="66"/>
      <c r="Q2325" s="66"/>
      <c r="R2325" s="66"/>
      <c r="S2325" s="66"/>
      <c r="T2325" s="66"/>
    </row>
    <row r="2326">
      <c r="A2326" s="66"/>
      <c r="B2326" s="66"/>
      <c r="C2326" s="66"/>
      <c r="D2326" s="66"/>
      <c r="E2326" s="15"/>
      <c r="F2326" s="66"/>
      <c r="G2326" s="18"/>
      <c r="H2326" s="15"/>
      <c r="I2326" s="18"/>
      <c r="J2326" s="22"/>
      <c r="K2326" s="108"/>
      <c r="L2326" s="66"/>
      <c r="M2326" s="66"/>
      <c r="N2326" s="66"/>
      <c r="O2326" s="66"/>
      <c r="P2326" s="66"/>
      <c r="Q2326" s="66"/>
      <c r="R2326" s="66"/>
      <c r="S2326" s="66"/>
      <c r="T2326" s="66"/>
    </row>
    <row r="2327">
      <c r="A2327" s="66"/>
      <c r="B2327" s="66"/>
      <c r="C2327" s="66"/>
      <c r="D2327" s="66"/>
      <c r="E2327" s="15"/>
      <c r="F2327" s="66"/>
      <c r="G2327" s="18"/>
      <c r="H2327" s="15"/>
      <c r="I2327" s="18"/>
      <c r="J2327" s="22"/>
      <c r="K2327" s="108"/>
      <c r="L2327" s="66"/>
      <c r="M2327" s="66"/>
      <c r="N2327" s="66"/>
      <c r="O2327" s="66"/>
      <c r="P2327" s="66"/>
      <c r="Q2327" s="66"/>
      <c r="R2327" s="66"/>
      <c r="S2327" s="66"/>
      <c r="T2327" s="66"/>
    </row>
    <row r="2328">
      <c r="A2328" s="66"/>
      <c r="B2328" s="66"/>
      <c r="C2328" s="66"/>
      <c r="D2328" s="66"/>
      <c r="E2328" s="15"/>
      <c r="F2328" s="66"/>
      <c r="G2328" s="18"/>
      <c r="H2328" s="15"/>
      <c r="I2328" s="18"/>
      <c r="J2328" s="22"/>
      <c r="K2328" s="108"/>
      <c r="L2328" s="66"/>
      <c r="M2328" s="66"/>
      <c r="N2328" s="66"/>
      <c r="O2328" s="66"/>
      <c r="P2328" s="66"/>
      <c r="Q2328" s="66"/>
      <c r="R2328" s="66"/>
      <c r="S2328" s="66"/>
      <c r="T2328" s="66"/>
    </row>
    <row r="2329">
      <c r="A2329" s="66"/>
      <c r="B2329" s="66"/>
      <c r="C2329" s="66"/>
      <c r="D2329" s="66"/>
      <c r="E2329" s="15"/>
      <c r="F2329" s="66"/>
      <c r="G2329" s="18"/>
      <c r="H2329" s="15"/>
      <c r="I2329" s="18"/>
      <c r="J2329" s="22"/>
      <c r="K2329" s="108"/>
      <c r="L2329" s="66"/>
      <c r="M2329" s="66"/>
      <c r="N2329" s="66"/>
      <c r="O2329" s="66"/>
      <c r="P2329" s="66"/>
      <c r="Q2329" s="66"/>
      <c r="R2329" s="66"/>
      <c r="S2329" s="66"/>
      <c r="T2329" s="66"/>
    </row>
    <row r="2330">
      <c r="A2330" s="66"/>
      <c r="B2330" s="66"/>
      <c r="C2330" s="66"/>
      <c r="D2330" s="66"/>
      <c r="E2330" s="15"/>
      <c r="F2330" s="66"/>
      <c r="G2330" s="18"/>
      <c r="H2330" s="15"/>
      <c r="I2330" s="18"/>
      <c r="J2330" s="22"/>
      <c r="K2330" s="108"/>
      <c r="L2330" s="66"/>
      <c r="M2330" s="66"/>
      <c r="N2330" s="66"/>
      <c r="O2330" s="66"/>
      <c r="P2330" s="66"/>
      <c r="Q2330" s="66"/>
      <c r="R2330" s="66"/>
      <c r="S2330" s="66"/>
      <c r="T2330" s="66"/>
    </row>
    <row r="2331">
      <c r="A2331" s="66"/>
      <c r="B2331" s="66"/>
      <c r="C2331" s="66"/>
      <c r="D2331" s="66"/>
      <c r="E2331" s="15"/>
      <c r="F2331" s="66"/>
      <c r="G2331" s="18"/>
      <c r="H2331" s="15"/>
      <c r="I2331" s="18"/>
      <c r="J2331" s="22"/>
      <c r="K2331" s="108"/>
      <c r="L2331" s="66"/>
      <c r="M2331" s="66"/>
      <c r="N2331" s="66"/>
      <c r="O2331" s="66"/>
      <c r="P2331" s="66"/>
      <c r="Q2331" s="66"/>
      <c r="R2331" s="66"/>
      <c r="S2331" s="66"/>
      <c r="T2331" s="66"/>
    </row>
    <row r="2332">
      <c r="A2332" s="66"/>
      <c r="B2332" s="66"/>
      <c r="C2332" s="66"/>
      <c r="D2332" s="66"/>
      <c r="E2332" s="15"/>
      <c r="F2332" s="66"/>
      <c r="G2332" s="18"/>
      <c r="H2332" s="15"/>
      <c r="I2332" s="18"/>
      <c r="J2332" s="22"/>
      <c r="K2332" s="108"/>
      <c r="L2332" s="66"/>
      <c r="M2332" s="66"/>
      <c r="N2332" s="66"/>
      <c r="O2332" s="66"/>
      <c r="P2332" s="66"/>
      <c r="Q2332" s="66"/>
      <c r="R2332" s="66"/>
      <c r="S2332" s="66"/>
      <c r="T2332" s="66"/>
    </row>
    <row r="2333">
      <c r="A2333" s="66"/>
      <c r="B2333" s="66"/>
      <c r="C2333" s="66"/>
      <c r="D2333" s="66"/>
      <c r="E2333" s="15"/>
      <c r="F2333" s="66"/>
      <c r="G2333" s="18"/>
      <c r="H2333" s="15"/>
      <c r="I2333" s="18"/>
      <c r="J2333" s="22"/>
      <c r="K2333" s="108"/>
      <c r="L2333" s="66"/>
      <c r="M2333" s="66"/>
      <c r="N2333" s="66"/>
      <c r="O2333" s="66"/>
      <c r="P2333" s="66"/>
      <c r="Q2333" s="66"/>
      <c r="R2333" s="66"/>
      <c r="S2333" s="66"/>
      <c r="T2333" s="66"/>
    </row>
    <row r="2334">
      <c r="A2334" s="66"/>
      <c r="B2334" s="66"/>
      <c r="C2334" s="66"/>
      <c r="D2334" s="66"/>
      <c r="E2334" s="15"/>
      <c r="F2334" s="66"/>
      <c r="G2334" s="18"/>
      <c r="H2334" s="15"/>
      <c r="I2334" s="18"/>
      <c r="J2334" s="22"/>
      <c r="K2334" s="108"/>
      <c r="L2334" s="66"/>
      <c r="M2334" s="66"/>
      <c r="N2334" s="66"/>
      <c r="O2334" s="66"/>
      <c r="P2334" s="66"/>
      <c r="Q2334" s="66"/>
      <c r="R2334" s="66"/>
      <c r="S2334" s="66"/>
      <c r="T2334" s="66"/>
    </row>
    <row r="2335">
      <c r="A2335" s="66"/>
      <c r="B2335" s="66"/>
      <c r="C2335" s="66"/>
      <c r="D2335" s="66"/>
      <c r="E2335" s="15"/>
      <c r="F2335" s="66"/>
      <c r="G2335" s="18"/>
      <c r="H2335" s="15"/>
      <c r="I2335" s="18"/>
      <c r="J2335" s="22"/>
      <c r="K2335" s="108"/>
      <c r="L2335" s="66"/>
      <c r="M2335" s="66"/>
      <c r="N2335" s="66"/>
      <c r="O2335" s="66"/>
      <c r="P2335" s="66"/>
      <c r="Q2335" s="66"/>
      <c r="R2335" s="66"/>
      <c r="S2335" s="66"/>
      <c r="T2335" s="66"/>
    </row>
    <row r="2336">
      <c r="A2336" s="66"/>
      <c r="B2336" s="66"/>
      <c r="C2336" s="66"/>
      <c r="D2336" s="66"/>
      <c r="E2336" s="15"/>
      <c r="F2336" s="66"/>
      <c r="G2336" s="18"/>
      <c r="H2336" s="15"/>
      <c r="I2336" s="18"/>
      <c r="J2336" s="22"/>
      <c r="K2336" s="108"/>
      <c r="L2336" s="66"/>
      <c r="M2336" s="66"/>
      <c r="N2336" s="66"/>
      <c r="O2336" s="66"/>
      <c r="P2336" s="66"/>
      <c r="Q2336" s="66"/>
      <c r="R2336" s="66"/>
      <c r="S2336" s="66"/>
      <c r="T2336" s="66"/>
    </row>
    <row r="2337">
      <c r="A2337" s="66"/>
      <c r="B2337" s="66"/>
      <c r="C2337" s="66"/>
      <c r="D2337" s="66"/>
      <c r="E2337" s="15"/>
      <c r="F2337" s="66"/>
      <c r="G2337" s="18"/>
      <c r="H2337" s="15"/>
      <c r="I2337" s="18"/>
      <c r="J2337" s="22"/>
      <c r="K2337" s="108"/>
      <c r="L2337" s="66"/>
      <c r="M2337" s="66"/>
      <c r="N2337" s="66"/>
      <c r="O2337" s="66"/>
      <c r="P2337" s="66"/>
      <c r="Q2337" s="66"/>
      <c r="R2337" s="66"/>
      <c r="S2337" s="66"/>
      <c r="T2337" s="66"/>
    </row>
    <row r="2338">
      <c r="A2338" s="66"/>
      <c r="B2338" s="66"/>
      <c r="C2338" s="66"/>
      <c r="D2338" s="66"/>
      <c r="E2338" s="15"/>
      <c r="F2338" s="66"/>
      <c r="G2338" s="18"/>
      <c r="H2338" s="15"/>
      <c r="I2338" s="18"/>
      <c r="J2338" s="22"/>
      <c r="K2338" s="108"/>
      <c r="L2338" s="66"/>
      <c r="M2338" s="66"/>
      <c r="N2338" s="66"/>
      <c r="O2338" s="66"/>
      <c r="P2338" s="66"/>
      <c r="Q2338" s="66"/>
      <c r="R2338" s="66"/>
      <c r="S2338" s="66"/>
      <c r="T2338" s="66"/>
    </row>
    <row r="2339">
      <c r="A2339" s="66"/>
      <c r="B2339" s="66"/>
      <c r="C2339" s="66"/>
      <c r="D2339" s="66"/>
      <c r="E2339" s="15"/>
      <c r="F2339" s="66"/>
      <c r="G2339" s="18"/>
      <c r="H2339" s="15"/>
      <c r="I2339" s="18"/>
      <c r="J2339" s="22"/>
      <c r="K2339" s="108"/>
      <c r="L2339" s="66"/>
      <c r="M2339" s="66"/>
      <c r="N2339" s="66"/>
      <c r="O2339" s="66"/>
      <c r="P2339" s="66"/>
      <c r="Q2339" s="66"/>
      <c r="R2339" s="66"/>
      <c r="S2339" s="66"/>
      <c r="T2339" s="66"/>
    </row>
    <row r="2340">
      <c r="A2340" s="66"/>
      <c r="B2340" s="66"/>
      <c r="C2340" s="66"/>
      <c r="D2340" s="66"/>
      <c r="E2340" s="15"/>
      <c r="F2340" s="66"/>
      <c r="G2340" s="18"/>
      <c r="H2340" s="15"/>
      <c r="I2340" s="18"/>
      <c r="J2340" s="22"/>
      <c r="K2340" s="108"/>
      <c r="L2340" s="66"/>
      <c r="M2340" s="66"/>
      <c r="N2340" s="66"/>
      <c r="O2340" s="66"/>
      <c r="P2340" s="66"/>
      <c r="Q2340" s="66"/>
      <c r="R2340" s="66"/>
      <c r="S2340" s="66"/>
      <c r="T2340" s="66"/>
    </row>
    <row r="2341">
      <c r="A2341" s="66"/>
      <c r="B2341" s="66"/>
      <c r="C2341" s="66"/>
      <c r="D2341" s="66"/>
      <c r="E2341" s="15"/>
      <c r="F2341" s="66"/>
      <c r="G2341" s="18"/>
      <c r="H2341" s="15"/>
      <c r="I2341" s="18"/>
      <c r="J2341" s="22"/>
      <c r="K2341" s="108"/>
      <c r="L2341" s="66"/>
      <c r="M2341" s="66"/>
      <c r="N2341" s="66"/>
      <c r="O2341" s="66"/>
      <c r="P2341" s="66"/>
      <c r="Q2341" s="66"/>
      <c r="R2341" s="66"/>
      <c r="S2341" s="66"/>
      <c r="T2341" s="66"/>
    </row>
    <row r="2342">
      <c r="A2342" s="66"/>
      <c r="B2342" s="66"/>
      <c r="C2342" s="66"/>
      <c r="D2342" s="66"/>
      <c r="E2342" s="15"/>
      <c r="F2342" s="66"/>
      <c r="G2342" s="18"/>
      <c r="H2342" s="15"/>
      <c r="I2342" s="18"/>
      <c r="J2342" s="22"/>
      <c r="K2342" s="108"/>
      <c r="L2342" s="66"/>
      <c r="M2342" s="66"/>
      <c r="N2342" s="66"/>
      <c r="O2342" s="66"/>
      <c r="P2342" s="66"/>
      <c r="Q2342" s="66"/>
      <c r="R2342" s="66"/>
      <c r="S2342" s="66"/>
      <c r="T2342" s="66"/>
    </row>
    <row r="2343">
      <c r="A2343" s="66"/>
      <c r="B2343" s="66"/>
      <c r="C2343" s="66"/>
      <c r="D2343" s="66"/>
      <c r="E2343" s="15"/>
      <c r="F2343" s="66"/>
      <c r="G2343" s="18"/>
      <c r="H2343" s="15"/>
      <c r="I2343" s="18"/>
      <c r="J2343" s="22"/>
      <c r="K2343" s="108"/>
      <c r="L2343" s="66"/>
      <c r="M2343" s="66"/>
      <c r="N2343" s="66"/>
      <c r="O2343" s="66"/>
      <c r="P2343" s="66"/>
      <c r="Q2343" s="66"/>
      <c r="R2343" s="66"/>
      <c r="S2343" s="66"/>
      <c r="T2343" s="66"/>
    </row>
    <row r="2344">
      <c r="A2344" s="66"/>
      <c r="B2344" s="66"/>
      <c r="C2344" s="66"/>
      <c r="D2344" s="66"/>
      <c r="E2344" s="15"/>
      <c r="F2344" s="66"/>
      <c r="G2344" s="18"/>
      <c r="H2344" s="15"/>
      <c r="I2344" s="18"/>
      <c r="J2344" s="22"/>
      <c r="K2344" s="108"/>
      <c r="L2344" s="66"/>
      <c r="M2344" s="66"/>
      <c r="N2344" s="66"/>
      <c r="O2344" s="66"/>
      <c r="P2344" s="66"/>
      <c r="Q2344" s="66"/>
      <c r="R2344" s="66"/>
      <c r="S2344" s="66"/>
      <c r="T2344" s="66"/>
    </row>
    <row r="2345">
      <c r="A2345" s="66"/>
      <c r="B2345" s="66"/>
      <c r="C2345" s="66"/>
      <c r="D2345" s="66"/>
      <c r="E2345" s="15"/>
      <c r="F2345" s="66"/>
      <c r="G2345" s="18"/>
      <c r="H2345" s="15"/>
      <c r="I2345" s="18"/>
      <c r="J2345" s="22"/>
      <c r="K2345" s="108"/>
      <c r="L2345" s="66"/>
      <c r="M2345" s="66"/>
      <c r="N2345" s="66"/>
      <c r="O2345" s="66"/>
      <c r="P2345" s="66"/>
      <c r="Q2345" s="66"/>
      <c r="R2345" s="66"/>
      <c r="S2345" s="66"/>
      <c r="T2345" s="66"/>
    </row>
    <row r="2346">
      <c r="A2346" s="66"/>
      <c r="B2346" s="66"/>
      <c r="C2346" s="66"/>
      <c r="D2346" s="66"/>
      <c r="E2346" s="15"/>
      <c r="F2346" s="66"/>
      <c r="G2346" s="18"/>
      <c r="H2346" s="15"/>
      <c r="I2346" s="18"/>
      <c r="J2346" s="22"/>
      <c r="K2346" s="108"/>
      <c r="L2346" s="66"/>
      <c r="M2346" s="66"/>
      <c r="N2346" s="66"/>
      <c r="O2346" s="66"/>
      <c r="P2346" s="66"/>
      <c r="Q2346" s="66"/>
      <c r="R2346" s="66"/>
      <c r="S2346" s="66"/>
      <c r="T2346" s="66"/>
    </row>
    <row r="2347">
      <c r="A2347" s="66"/>
      <c r="B2347" s="66"/>
      <c r="C2347" s="66"/>
      <c r="D2347" s="66"/>
      <c r="E2347" s="15"/>
      <c r="F2347" s="66"/>
      <c r="G2347" s="18"/>
      <c r="H2347" s="15"/>
      <c r="I2347" s="18"/>
      <c r="J2347" s="22"/>
      <c r="K2347" s="108"/>
      <c r="L2347" s="66"/>
      <c r="M2347" s="66"/>
      <c r="N2347" s="66"/>
      <c r="O2347" s="66"/>
      <c r="P2347" s="66"/>
      <c r="Q2347" s="66"/>
      <c r="R2347" s="66"/>
      <c r="S2347" s="66"/>
      <c r="T2347" s="66"/>
    </row>
    <row r="2348">
      <c r="A2348" s="66"/>
      <c r="B2348" s="66"/>
      <c r="C2348" s="66"/>
      <c r="D2348" s="66"/>
      <c r="E2348" s="15"/>
      <c r="F2348" s="66"/>
      <c r="G2348" s="18"/>
      <c r="H2348" s="15"/>
      <c r="I2348" s="18"/>
      <c r="J2348" s="22"/>
      <c r="K2348" s="108"/>
      <c r="L2348" s="66"/>
      <c r="M2348" s="66"/>
      <c r="N2348" s="66"/>
      <c r="O2348" s="66"/>
      <c r="P2348" s="66"/>
      <c r="Q2348" s="66"/>
      <c r="R2348" s="66"/>
      <c r="S2348" s="66"/>
      <c r="T2348" s="66"/>
    </row>
    <row r="2349">
      <c r="A2349" s="66"/>
      <c r="B2349" s="66"/>
      <c r="C2349" s="66"/>
      <c r="D2349" s="66"/>
      <c r="E2349" s="15"/>
      <c r="F2349" s="66"/>
      <c r="G2349" s="18"/>
      <c r="H2349" s="15"/>
      <c r="I2349" s="18"/>
      <c r="J2349" s="22"/>
      <c r="K2349" s="108"/>
      <c r="L2349" s="66"/>
      <c r="M2349" s="66"/>
      <c r="N2349" s="66"/>
      <c r="O2349" s="66"/>
      <c r="P2349" s="66"/>
      <c r="Q2349" s="66"/>
      <c r="R2349" s="66"/>
      <c r="S2349" s="66"/>
      <c r="T2349" s="66"/>
    </row>
    <row r="2350">
      <c r="A2350" s="66"/>
      <c r="B2350" s="66"/>
      <c r="C2350" s="66"/>
      <c r="D2350" s="66"/>
      <c r="E2350" s="15"/>
      <c r="F2350" s="66"/>
      <c r="G2350" s="18"/>
      <c r="H2350" s="15"/>
      <c r="I2350" s="18"/>
      <c r="J2350" s="22"/>
      <c r="K2350" s="108"/>
      <c r="L2350" s="66"/>
      <c r="M2350" s="66"/>
      <c r="N2350" s="66"/>
      <c r="O2350" s="66"/>
      <c r="P2350" s="66"/>
      <c r="Q2350" s="66"/>
      <c r="R2350" s="66"/>
      <c r="S2350" s="66"/>
      <c r="T2350" s="66"/>
    </row>
    <row r="2351">
      <c r="A2351" s="66"/>
      <c r="B2351" s="66"/>
      <c r="C2351" s="66"/>
      <c r="D2351" s="66"/>
      <c r="E2351" s="15"/>
      <c r="F2351" s="66"/>
      <c r="G2351" s="18"/>
      <c r="H2351" s="15"/>
      <c r="I2351" s="18"/>
      <c r="J2351" s="22"/>
      <c r="K2351" s="108"/>
      <c r="L2351" s="66"/>
      <c r="M2351" s="66"/>
      <c r="N2351" s="66"/>
      <c r="O2351" s="66"/>
      <c r="P2351" s="66"/>
      <c r="Q2351" s="66"/>
      <c r="R2351" s="66"/>
      <c r="S2351" s="66"/>
      <c r="T2351" s="66"/>
    </row>
    <row r="2352">
      <c r="A2352" s="66"/>
      <c r="B2352" s="66"/>
      <c r="C2352" s="66"/>
      <c r="D2352" s="66"/>
      <c r="E2352" s="15"/>
      <c r="F2352" s="66"/>
      <c r="G2352" s="18"/>
      <c r="H2352" s="15"/>
      <c r="I2352" s="18"/>
      <c r="J2352" s="22"/>
      <c r="K2352" s="108"/>
      <c r="L2352" s="66"/>
      <c r="M2352" s="66"/>
      <c r="N2352" s="66"/>
      <c r="O2352" s="66"/>
      <c r="P2352" s="66"/>
      <c r="Q2352" s="66"/>
      <c r="R2352" s="66"/>
      <c r="S2352" s="66"/>
      <c r="T2352" s="66"/>
    </row>
    <row r="2353">
      <c r="A2353" s="66"/>
      <c r="B2353" s="66"/>
      <c r="C2353" s="66"/>
      <c r="D2353" s="66"/>
      <c r="E2353" s="15"/>
      <c r="F2353" s="66"/>
      <c r="G2353" s="18"/>
      <c r="H2353" s="15"/>
      <c r="I2353" s="18"/>
      <c r="J2353" s="22"/>
      <c r="K2353" s="108"/>
      <c r="L2353" s="66"/>
      <c r="M2353" s="66"/>
      <c r="N2353" s="66"/>
      <c r="O2353" s="66"/>
      <c r="P2353" s="66"/>
      <c r="Q2353" s="66"/>
      <c r="R2353" s="66"/>
      <c r="S2353" s="66"/>
      <c r="T2353" s="66"/>
    </row>
    <row r="2354">
      <c r="A2354" s="66"/>
      <c r="B2354" s="66"/>
      <c r="C2354" s="66"/>
      <c r="D2354" s="66"/>
      <c r="E2354" s="15"/>
      <c r="F2354" s="66"/>
      <c r="G2354" s="18"/>
      <c r="H2354" s="15"/>
      <c r="I2354" s="18"/>
      <c r="J2354" s="22"/>
      <c r="K2354" s="108"/>
      <c r="L2354" s="66"/>
      <c r="M2354" s="66"/>
      <c r="N2354" s="66"/>
      <c r="O2354" s="66"/>
      <c r="P2354" s="66"/>
      <c r="Q2354" s="66"/>
      <c r="R2354" s="66"/>
      <c r="S2354" s="66"/>
      <c r="T2354" s="66"/>
    </row>
    <row r="2355">
      <c r="A2355" s="66"/>
      <c r="B2355" s="66"/>
      <c r="C2355" s="66"/>
      <c r="D2355" s="66"/>
      <c r="E2355" s="15"/>
      <c r="F2355" s="66"/>
      <c r="G2355" s="18"/>
      <c r="H2355" s="15"/>
      <c r="I2355" s="18"/>
      <c r="J2355" s="22"/>
      <c r="K2355" s="108"/>
      <c r="L2355" s="66"/>
      <c r="M2355" s="66"/>
      <c r="N2355" s="66"/>
      <c r="O2355" s="66"/>
      <c r="P2355" s="66"/>
      <c r="Q2355" s="66"/>
      <c r="R2355" s="66"/>
      <c r="S2355" s="66"/>
      <c r="T2355" s="66"/>
    </row>
    <row r="2356">
      <c r="A2356" s="66"/>
      <c r="B2356" s="66"/>
      <c r="C2356" s="66"/>
      <c r="D2356" s="66"/>
      <c r="E2356" s="15"/>
      <c r="F2356" s="66"/>
      <c r="G2356" s="18"/>
      <c r="H2356" s="15"/>
      <c r="I2356" s="18"/>
      <c r="J2356" s="22"/>
      <c r="K2356" s="108"/>
      <c r="L2356" s="66"/>
      <c r="M2356" s="66"/>
      <c r="N2356" s="66"/>
      <c r="O2356" s="66"/>
      <c r="P2356" s="66"/>
      <c r="Q2356" s="66"/>
      <c r="R2356" s="66"/>
      <c r="S2356" s="66"/>
      <c r="T2356" s="66"/>
    </row>
    <row r="2357">
      <c r="A2357" s="66"/>
      <c r="B2357" s="66"/>
      <c r="C2357" s="66"/>
      <c r="D2357" s="66"/>
      <c r="E2357" s="15"/>
      <c r="F2357" s="66"/>
      <c r="G2357" s="18"/>
      <c r="H2357" s="15"/>
      <c r="I2357" s="18"/>
      <c r="J2357" s="22"/>
      <c r="K2357" s="108"/>
      <c r="L2357" s="66"/>
      <c r="M2357" s="66"/>
      <c r="N2357" s="66"/>
      <c r="O2357" s="66"/>
      <c r="P2357" s="66"/>
      <c r="Q2357" s="66"/>
      <c r="R2357" s="66"/>
      <c r="S2357" s="66"/>
      <c r="T2357" s="66"/>
    </row>
    <row r="2358">
      <c r="A2358" s="66"/>
      <c r="B2358" s="66"/>
      <c r="C2358" s="66"/>
      <c r="D2358" s="66"/>
      <c r="E2358" s="15"/>
      <c r="F2358" s="66"/>
      <c r="G2358" s="18"/>
      <c r="H2358" s="15"/>
      <c r="I2358" s="18"/>
      <c r="J2358" s="22"/>
      <c r="K2358" s="108"/>
      <c r="L2358" s="66"/>
      <c r="M2358" s="66"/>
      <c r="N2358" s="66"/>
      <c r="O2358" s="66"/>
      <c r="P2358" s="66"/>
      <c r="Q2358" s="66"/>
      <c r="R2358" s="66"/>
      <c r="S2358" s="66"/>
      <c r="T2358" s="66"/>
    </row>
    <row r="2359">
      <c r="A2359" s="66"/>
      <c r="B2359" s="66"/>
      <c r="C2359" s="66"/>
      <c r="D2359" s="66"/>
      <c r="E2359" s="15"/>
      <c r="F2359" s="66"/>
      <c r="G2359" s="18"/>
      <c r="H2359" s="15"/>
      <c r="I2359" s="18"/>
      <c r="J2359" s="22"/>
      <c r="K2359" s="108"/>
      <c r="L2359" s="66"/>
      <c r="M2359" s="66"/>
      <c r="N2359" s="66"/>
      <c r="O2359" s="66"/>
      <c r="P2359" s="66"/>
      <c r="Q2359" s="66"/>
      <c r="R2359" s="66"/>
      <c r="S2359" s="66"/>
      <c r="T2359" s="66"/>
    </row>
    <row r="2360">
      <c r="A2360" s="66"/>
      <c r="B2360" s="66"/>
      <c r="C2360" s="66"/>
      <c r="D2360" s="66"/>
      <c r="E2360" s="15"/>
      <c r="F2360" s="66"/>
      <c r="G2360" s="18"/>
      <c r="H2360" s="15"/>
      <c r="I2360" s="18"/>
      <c r="J2360" s="22"/>
      <c r="K2360" s="108"/>
      <c r="L2360" s="66"/>
      <c r="M2360" s="66"/>
      <c r="N2360" s="66"/>
      <c r="O2360" s="66"/>
      <c r="P2360" s="66"/>
      <c r="Q2360" s="66"/>
      <c r="R2360" s="66"/>
      <c r="S2360" s="66"/>
      <c r="T2360" s="66"/>
    </row>
    <row r="2361">
      <c r="A2361" s="66"/>
      <c r="B2361" s="66"/>
      <c r="C2361" s="66"/>
      <c r="D2361" s="66"/>
      <c r="E2361" s="15"/>
      <c r="F2361" s="66"/>
      <c r="G2361" s="18"/>
      <c r="H2361" s="15"/>
      <c r="I2361" s="18"/>
      <c r="J2361" s="22"/>
      <c r="K2361" s="108"/>
      <c r="L2361" s="66"/>
      <c r="M2361" s="66"/>
      <c r="N2361" s="66"/>
      <c r="O2361" s="66"/>
      <c r="P2361" s="66"/>
      <c r="Q2361" s="66"/>
      <c r="R2361" s="66"/>
      <c r="S2361" s="66"/>
      <c r="T2361" s="66"/>
    </row>
    <row r="2362">
      <c r="A2362" s="66"/>
      <c r="B2362" s="66"/>
      <c r="C2362" s="66"/>
      <c r="D2362" s="66"/>
      <c r="E2362" s="15"/>
      <c r="F2362" s="66"/>
      <c r="G2362" s="18"/>
      <c r="H2362" s="15"/>
      <c r="I2362" s="18"/>
      <c r="J2362" s="22"/>
      <c r="K2362" s="108"/>
      <c r="L2362" s="66"/>
      <c r="M2362" s="66"/>
      <c r="N2362" s="66"/>
      <c r="O2362" s="66"/>
      <c r="P2362" s="66"/>
      <c r="Q2362" s="66"/>
      <c r="R2362" s="66"/>
      <c r="S2362" s="66"/>
      <c r="T2362" s="66"/>
    </row>
    <row r="2363">
      <c r="A2363" s="66"/>
      <c r="B2363" s="66"/>
      <c r="C2363" s="66"/>
      <c r="D2363" s="66"/>
      <c r="E2363" s="15"/>
      <c r="F2363" s="66"/>
      <c r="G2363" s="18"/>
      <c r="H2363" s="15"/>
      <c r="I2363" s="18"/>
      <c r="J2363" s="22"/>
      <c r="K2363" s="108"/>
      <c r="L2363" s="66"/>
      <c r="M2363" s="66"/>
      <c r="N2363" s="66"/>
      <c r="O2363" s="66"/>
      <c r="P2363" s="66"/>
      <c r="Q2363" s="66"/>
      <c r="R2363" s="66"/>
      <c r="S2363" s="66"/>
      <c r="T2363" s="66"/>
    </row>
    <row r="2364">
      <c r="A2364" s="66"/>
      <c r="B2364" s="66"/>
      <c r="C2364" s="66"/>
      <c r="D2364" s="66"/>
      <c r="E2364" s="15"/>
      <c r="F2364" s="66"/>
      <c r="G2364" s="18"/>
      <c r="H2364" s="15"/>
      <c r="I2364" s="18"/>
      <c r="J2364" s="22"/>
      <c r="K2364" s="108"/>
      <c r="L2364" s="66"/>
      <c r="M2364" s="66"/>
      <c r="N2364" s="66"/>
      <c r="O2364" s="66"/>
      <c r="P2364" s="66"/>
      <c r="Q2364" s="66"/>
      <c r="R2364" s="66"/>
      <c r="S2364" s="66"/>
      <c r="T2364" s="66"/>
    </row>
    <row r="2365">
      <c r="A2365" s="66"/>
      <c r="B2365" s="66"/>
      <c r="C2365" s="66"/>
      <c r="D2365" s="66"/>
      <c r="E2365" s="15"/>
      <c r="F2365" s="66"/>
      <c r="G2365" s="18"/>
      <c r="H2365" s="15"/>
      <c r="I2365" s="18"/>
      <c r="J2365" s="22"/>
      <c r="K2365" s="108"/>
      <c r="L2365" s="66"/>
      <c r="M2365" s="66"/>
      <c r="N2365" s="66"/>
      <c r="O2365" s="66"/>
      <c r="P2365" s="66"/>
      <c r="Q2365" s="66"/>
      <c r="R2365" s="66"/>
      <c r="S2365" s="66"/>
      <c r="T2365" s="66"/>
    </row>
    <row r="2366">
      <c r="A2366" s="66"/>
      <c r="B2366" s="66"/>
      <c r="C2366" s="66"/>
      <c r="D2366" s="66"/>
      <c r="E2366" s="15"/>
      <c r="F2366" s="66"/>
      <c r="G2366" s="18"/>
      <c r="H2366" s="15"/>
      <c r="I2366" s="18"/>
      <c r="J2366" s="22"/>
      <c r="K2366" s="108"/>
      <c r="L2366" s="66"/>
      <c r="M2366" s="66"/>
      <c r="N2366" s="66"/>
      <c r="O2366" s="66"/>
      <c r="P2366" s="66"/>
      <c r="Q2366" s="66"/>
      <c r="R2366" s="66"/>
      <c r="S2366" s="66"/>
      <c r="T2366" s="66"/>
    </row>
    <row r="2367">
      <c r="A2367" s="66"/>
      <c r="B2367" s="66"/>
      <c r="C2367" s="66"/>
      <c r="D2367" s="66"/>
      <c r="E2367" s="15"/>
      <c r="F2367" s="66"/>
      <c r="G2367" s="18"/>
      <c r="H2367" s="15"/>
      <c r="I2367" s="18"/>
      <c r="J2367" s="22"/>
      <c r="K2367" s="108"/>
      <c r="L2367" s="66"/>
      <c r="M2367" s="66"/>
      <c r="N2367" s="66"/>
      <c r="O2367" s="66"/>
      <c r="P2367" s="66"/>
      <c r="Q2367" s="66"/>
      <c r="R2367" s="66"/>
      <c r="S2367" s="66"/>
      <c r="T2367" s="66"/>
    </row>
    <row r="2368">
      <c r="A2368" s="66"/>
      <c r="B2368" s="66"/>
      <c r="C2368" s="66"/>
      <c r="D2368" s="66"/>
      <c r="E2368" s="15"/>
      <c r="F2368" s="66"/>
      <c r="G2368" s="18"/>
      <c r="H2368" s="15"/>
      <c r="I2368" s="18"/>
      <c r="J2368" s="22"/>
      <c r="K2368" s="108"/>
      <c r="L2368" s="66"/>
      <c r="M2368" s="66"/>
      <c r="N2368" s="66"/>
      <c r="O2368" s="66"/>
      <c r="P2368" s="66"/>
      <c r="Q2368" s="66"/>
      <c r="R2368" s="66"/>
      <c r="S2368" s="66"/>
      <c r="T2368" s="66"/>
    </row>
    <row r="2369">
      <c r="A2369" s="66"/>
      <c r="B2369" s="66"/>
      <c r="C2369" s="66"/>
      <c r="D2369" s="66"/>
      <c r="E2369" s="15"/>
      <c r="F2369" s="66"/>
      <c r="G2369" s="18"/>
      <c r="H2369" s="15"/>
      <c r="I2369" s="18"/>
      <c r="J2369" s="22"/>
      <c r="K2369" s="108"/>
      <c r="L2369" s="66"/>
      <c r="M2369" s="66"/>
      <c r="N2369" s="66"/>
      <c r="O2369" s="66"/>
      <c r="P2369" s="66"/>
      <c r="Q2369" s="66"/>
      <c r="R2369" s="66"/>
      <c r="S2369" s="66"/>
      <c r="T2369" s="66"/>
    </row>
    <row r="2370">
      <c r="A2370" s="66"/>
      <c r="B2370" s="66"/>
      <c r="C2370" s="66"/>
      <c r="D2370" s="66"/>
      <c r="E2370" s="15"/>
      <c r="F2370" s="66"/>
      <c r="G2370" s="18"/>
      <c r="H2370" s="15"/>
      <c r="I2370" s="18"/>
      <c r="J2370" s="22"/>
      <c r="K2370" s="108"/>
      <c r="L2370" s="66"/>
      <c r="M2370" s="66"/>
      <c r="N2370" s="66"/>
      <c r="O2370" s="66"/>
      <c r="P2370" s="66"/>
      <c r="Q2370" s="66"/>
      <c r="R2370" s="66"/>
      <c r="S2370" s="66"/>
      <c r="T2370" s="66"/>
    </row>
    <row r="2371">
      <c r="A2371" s="66"/>
      <c r="B2371" s="66"/>
      <c r="C2371" s="66"/>
      <c r="D2371" s="66"/>
      <c r="E2371" s="15"/>
      <c r="F2371" s="66"/>
      <c r="G2371" s="18"/>
      <c r="H2371" s="15"/>
      <c r="I2371" s="18"/>
      <c r="J2371" s="22"/>
      <c r="K2371" s="108"/>
      <c r="L2371" s="66"/>
      <c r="M2371" s="66"/>
      <c r="N2371" s="66"/>
      <c r="O2371" s="66"/>
      <c r="P2371" s="66"/>
      <c r="Q2371" s="66"/>
      <c r="R2371" s="66"/>
      <c r="S2371" s="66"/>
      <c r="T2371" s="66"/>
    </row>
    <row r="2372">
      <c r="A2372" s="66"/>
      <c r="B2372" s="66"/>
      <c r="C2372" s="66"/>
      <c r="D2372" s="66"/>
      <c r="E2372" s="15"/>
      <c r="F2372" s="66"/>
      <c r="G2372" s="18"/>
      <c r="H2372" s="15"/>
      <c r="I2372" s="18"/>
      <c r="J2372" s="22"/>
      <c r="K2372" s="108"/>
      <c r="L2372" s="66"/>
      <c r="M2372" s="66"/>
      <c r="N2372" s="66"/>
      <c r="O2372" s="66"/>
      <c r="P2372" s="66"/>
      <c r="Q2372" s="66"/>
      <c r="R2372" s="66"/>
      <c r="S2372" s="66"/>
      <c r="T2372" s="66"/>
    </row>
    <row r="2373">
      <c r="A2373" s="66"/>
      <c r="B2373" s="66"/>
      <c r="C2373" s="66"/>
      <c r="D2373" s="66"/>
      <c r="E2373" s="15"/>
      <c r="F2373" s="66"/>
      <c r="G2373" s="18"/>
      <c r="H2373" s="15"/>
      <c r="I2373" s="18"/>
      <c r="J2373" s="22"/>
      <c r="K2373" s="108"/>
      <c r="L2373" s="66"/>
      <c r="M2373" s="66"/>
      <c r="N2373" s="66"/>
      <c r="O2373" s="66"/>
      <c r="P2373" s="66"/>
      <c r="Q2373" s="66"/>
      <c r="R2373" s="66"/>
      <c r="S2373" s="66"/>
      <c r="T2373" s="66"/>
    </row>
    <row r="2374">
      <c r="A2374" s="66"/>
      <c r="B2374" s="66"/>
      <c r="C2374" s="66"/>
      <c r="D2374" s="66"/>
      <c r="E2374" s="15"/>
      <c r="F2374" s="66"/>
      <c r="G2374" s="18"/>
      <c r="H2374" s="15"/>
      <c r="I2374" s="18"/>
      <c r="J2374" s="22"/>
      <c r="K2374" s="108"/>
      <c r="L2374" s="66"/>
      <c r="M2374" s="66"/>
      <c r="N2374" s="66"/>
      <c r="O2374" s="66"/>
      <c r="P2374" s="66"/>
      <c r="Q2374" s="66"/>
      <c r="R2374" s="66"/>
      <c r="S2374" s="66"/>
      <c r="T2374" s="66"/>
    </row>
    <row r="2375">
      <c r="A2375" s="66"/>
      <c r="B2375" s="66"/>
      <c r="C2375" s="66"/>
      <c r="D2375" s="66"/>
      <c r="E2375" s="15"/>
      <c r="F2375" s="66"/>
      <c r="G2375" s="18"/>
      <c r="H2375" s="15"/>
      <c r="I2375" s="18"/>
      <c r="J2375" s="22"/>
      <c r="K2375" s="108"/>
      <c r="L2375" s="66"/>
      <c r="M2375" s="66"/>
      <c r="N2375" s="66"/>
      <c r="O2375" s="66"/>
      <c r="P2375" s="66"/>
      <c r="Q2375" s="66"/>
      <c r="R2375" s="66"/>
      <c r="S2375" s="66"/>
      <c r="T2375" s="66"/>
    </row>
    <row r="2376">
      <c r="A2376" s="66"/>
      <c r="B2376" s="66"/>
      <c r="C2376" s="66"/>
      <c r="D2376" s="66"/>
      <c r="E2376" s="15"/>
      <c r="F2376" s="66"/>
      <c r="G2376" s="18"/>
      <c r="H2376" s="15"/>
      <c r="I2376" s="18"/>
      <c r="J2376" s="22"/>
      <c r="K2376" s="108"/>
      <c r="L2376" s="66"/>
      <c r="M2376" s="66"/>
      <c r="N2376" s="66"/>
      <c r="O2376" s="66"/>
      <c r="P2376" s="66"/>
      <c r="Q2376" s="66"/>
      <c r="R2376" s="66"/>
      <c r="S2376" s="66"/>
      <c r="T2376" s="66"/>
    </row>
    <row r="2377">
      <c r="A2377" s="66"/>
      <c r="B2377" s="66"/>
      <c r="C2377" s="66"/>
      <c r="D2377" s="66"/>
      <c r="E2377" s="15"/>
      <c r="F2377" s="66"/>
      <c r="G2377" s="18"/>
      <c r="H2377" s="15"/>
      <c r="I2377" s="18"/>
      <c r="J2377" s="22"/>
      <c r="K2377" s="108"/>
      <c r="L2377" s="66"/>
      <c r="M2377" s="66"/>
      <c r="N2377" s="66"/>
      <c r="O2377" s="66"/>
      <c r="P2377" s="66"/>
      <c r="Q2377" s="66"/>
      <c r="R2377" s="66"/>
      <c r="S2377" s="66"/>
      <c r="T2377" s="66"/>
    </row>
    <row r="2378">
      <c r="A2378" s="66"/>
      <c r="B2378" s="66"/>
      <c r="C2378" s="66"/>
      <c r="D2378" s="66"/>
      <c r="E2378" s="15"/>
      <c r="F2378" s="66"/>
      <c r="G2378" s="18"/>
      <c r="H2378" s="15"/>
      <c r="I2378" s="18"/>
      <c r="J2378" s="22"/>
      <c r="K2378" s="108"/>
      <c r="L2378" s="66"/>
      <c r="M2378" s="66"/>
      <c r="N2378" s="66"/>
      <c r="O2378" s="66"/>
      <c r="P2378" s="66"/>
      <c r="Q2378" s="66"/>
      <c r="R2378" s="66"/>
      <c r="S2378" s="66"/>
      <c r="T2378" s="66"/>
    </row>
    <row r="2379">
      <c r="A2379" s="66"/>
      <c r="B2379" s="66"/>
      <c r="C2379" s="66"/>
      <c r="D2379" s="66"/>
      <c r="E2379" s="15"/>
      <c r="F2379" s="66"/>
      <c r="G2379" s="18"/>
      <c r="H2379" s="15"/>
      <c r="I2379" s="18"/>
      <c r="J2379" s="22"/>
      <c r="K2379" s="108"/>
      <c r="L2379" s="66"/>
      <c r="M2379" s="66"/>
      <c r="N2379" s="66"/>
      <c r="O2379" s="66"/>
      <c r="P2379" s="66"/>
      <c r="Q2379" s="66"/>
      <c r="R2379" s="66"/>
      <c r="S2379" s="66"/>
      <c r="T2379" s="66"/>
    </row>
    <row r="2380">
      <c r="A2380" s="66"/>
      <c r="B2380" s="66"/>
      <c r="C2380" s="66"/>
      <c r="D2380" s="66"/>
      <c r="E2380" s="15"/>
      <c r="F2380" s="66"/>
      <c r="G2380" s="18"/>
      <c r="H2380" s="15"/>
      <c r="I2380" s="18"/>
      <c r="J2380" s="22"/>
      <c r="K2380" s="108"/>
      <c r="L2380" s="66"/>
      <c r="M2380" s="66"/>
      <c r="N2380" s="66"/>
      <c r="O2380" s="66"/>
      <c r="P2380" s="66"/>
      <c r="Q2380" s="66"/>
      <c r="R2380" s="66"/>
      <c r="S2380" s="66"/>
      <c r="T2380" s="66"/>
    </row>
    <row r="2381">
      <c r="A2381" s="66"/>
      <c r="B2381" s="66"/>
      <c r="C2381" s="66"/>
      <c r="D2381" s="66"/>
      <c r="E2381" s="15"/>
      <c r="F2381" s="66"/>
      <c r="G2381" s="18"/>
      <c r="H2381" s="15"/>
      <c r="I2381" s="18"/>
      <c r="J2381" s="22"/>
      <c r="K2381" s="108"/>
      <c r="L2381" s="66"/>
      <c r="M2381" s="66"/>
      <c r="N2381" s="66"/>
      <c r="O2381" s="66"/>
      <c r="P2381" s="66"/>
      <c r="Q2381" s="66"/>
      <c r="R2381" s="66"/>
      <c r="S2381" s="66"/>
      <c r="T2381" s="66"/>
    </row>
    <row r="2382">
      <c r="A2382" s="66"/>
      <c r="B2382" s="66"/>
      <c r="C2382" s="66"/>
      <c r="D2382" s="66"/>
      <c r="E2382" s="15"/>
      <c r="F2382" s="66"/>
      <c r="G2382" s="18"/>
      <c r="H2382" s="15"/>
      <c r="I2382" s="18"/>
      <c r="J2382" s="22"/>
      <c r="K2382" s="108"/>
      <c r="L2382" s="66"/>
      <c r="M2382" s="66"/>
      <c r="N2382" s="66"/>
      <c r="O2382" s="66"/>
      <c r="P2382" s="66"/>
      <c r="Q2382" s="66"/>
      <c r="R2382" s="66"/>
      <c r="S2382" s="66"/>
      <c r="T2382" s="66"/>
    </row>
    <row r="2383">
      <c r="A2383" s="66"/>
      <c r="B2383" s="66"/>
      <c r="C2383" s="66"/>
      <c r="D2383" s="66"/>
      <c r="E2383" s="15"/>
      <c r="F2383" s="66"/>
      <c r="G2383" s="18"/>
      <c r="H2383" s="15"/>
      <c r="I2383" s="18"/>
      <c r="J2383" s="22"/>
      <c r="K2383" s="108"/>
      <c r="L2383" s="66"/>
      <c r="M2383" s="66"/>
      <c r="N2383" s="66"/>
      <c r="O2383" s="66"/>
      <c r="P2383" s="66"/>
      <c r="Q2383" s="66"/>
      <c r="R2383" s="66"/>
      <c r="S2383" s="66"/>
      <c r="T2383" s="66"/>
    </row>
    <row r="2384">
      <c r="A2384" s="66"/>
      <c r="B2384" s="66"/>
      <c r="C2384" s="66"/>
      <c r="D2384" s="66"/>
      <c r="E2384" s="15"/>
      <c r="F2384" s="66"/>
      <c r="G2384" s="18"/>
      <c r="H2384" s="15"/>
      <c r="I2384" s="18"/>
      <c r="J2384" s="22"/>
      <c r="K2384" s="108"/>
      <c r="L2384" s="66"/>
      <c r="M2384" s="66"/>
      <c r="N2384" s="66"/>
      <c r="O2384" s="66"/>
      <c r="P2384" s="66"/>
      <c r="Q2384" s="66"/>
      <c r="R2384" s="66"/>
      <c r="S2384" s="66"/>
      <c r="T2384" s="66"/>
    </row>
    <row r="2385">
      <c r="A2385" s="66"/>
      <c r="B2385" s="66"/>
      <c r="C2385" s="66"/>
      <c r="D2385" s="66"/>
      <c r="E2385" s="15"/>
      <c r="F2385" s="66"/>
      <c r="G2385" s="18"/>
      <c r="H2385" s="15"/>
      <c r="I2385" s="18"/>
      <c r="J2385" s="22"/>
      <c r="K2385" s="108"/>
      <c r="L2385" s="66"/>
      <c r="M2385" s="66"/>
      <c r="N2385" s="66"/>
      <c r="O2385" s="66"/>
      <c r="P2385" s="66"/>
      <c r="Q2385" s="66"/>
      <c r="R2385" s="66"/>
      <c r="S2385" s="66"/>
      <c r="T2385" s="66"/>
    </row>
    <row r="2386">
      <c r="A2386" s="66"/>
      <c r="B2386" s="66"/>
      <c r="C2386" s="66"/>
      <c r="D2386" s="66"/>
      <c r="E2386" s="15"/>
      <c r="F2386" s="66"/>
      <c r="G2386" s="18"/>
      <c r="H2386" s="15"/>
      <c r="I2386" s="18"/>
      <c r="J2386" s="22"/>
      <c r="K2386" s="108"/>
      <c r="L2386" s="66"/>
      <c r="M2386" s="66"/>
      <c r="N2386" s="66"/>
      <c r="O2386" s="66"/>
      <c r="P2386" s="66"/>
      <c r="Q2386" s="66"/>
      <c r="R2386" s="66"/>
      <c r="S2386" s="66"/>
      <c r="T2386" s="66"/>
    </row>
    <row r="2387">
      <c r="A2387" s="66"/>
      <c r="B2387" s="66"/>
      <c r="C2387" s="66"/>
      <c r="D2387" s="66"/>
      <c r="E2387" s="15"/>
      <c r="F2387" s="66"/>
      <c r="G2387" s="18"/>
      <c r="H2387" s="15"/>
      <c r="I2387" s="18"/>
      <c r="J2387" s="22"/>
      <c r="K2387" s="108"/>
      <c r="L2387" s="66"/>
      <c r="M2387" s="66"/>
      <c r="N2387" s="66"/>
      <c r="O2387" s="66"/>
      <c r="P2387" s="66"/>
      <c r="Q2387" s="66"/>
      <c r="R2387" s="66"/>
      <c r="S2387" s="66"/>
      <c r="T2387" s="66"/>
    </row>
    <row r="2388">
      <c r="A2388" s="66"/>
      <c r="B2388" s="66"/>
      <c r="C2388" s="66"/>
      <c r="D2388" s="66"/>
      <c r="E2388" s="15"/>
      <c r="F2388" s="66"/>
      <c r="G2388" s="18"/>
      <c r="H2388" s="15"/>
      <c r="I2388" s="18"/>
      <c r="J2388" s="22"/>
      <c r="K2388" s="108"/>
      <c r="L2388" s="66"/>
      <c r="M2388" s="66"/>
      <c r="N2388" s="66"/>
      <c r="O2388" s="66"/>
      <c r="P2388" s="66"/>
      <c r="Q2388" s="66"/>
      <c r="R2388" s="66"/>
      <c r="S2388" s="66"/>
      <c r="T2388" s="66"/>
    </row>
    <row r="2389">
      <c r="A2389" s="66"/>
      <c r="B2389" s="66"/>
      <c r="C2389" s="66"/>
      <c r="D2389" s="66"/>
      <c r="E2389" s="15"/>
      <c r="F2389" s="66"/>
      <c r="G2389" s="18"/>
      <c r="H2389" s="15"/>
      <c r="I2389" s="18"/>
      <c r="J2389" s="22"/>
      <c r="K2389" s="108"/>
      <c r="L2389" s="66"/>
      <c r="M2389" s="66"/>
      <c r="N2389" s="66"/>
      <c r="O2389" s="66"/>
      <c r="P2389" s="66"/>
      <c r="Q2389" s="66"/>
      <c r="R2389" s="66"/>
      <c r="S2389" s="66"/>
      <c r="T2389" s="66"/>
    </row>
    <row r="2390">
      <c r="A2390" s="66"/>
      <c r="B2390" s="66"/>
      <c r="C2390" s="66"/>
      <c r="D2390" s="66"/>
      <c r="E2390" s="15"/>
      <c r="F2390" s="66"/>
      <c r="G2390" s="18"/>
      <c r="H2390" s="15"/>
      <c r="I2390" s="18"/>
      <c r="J2390" s="22"/>
      <c r="K2390" s="108"/>
      <c r="L2390" s="66"/>
      <c r="M2390" s="66"/>
      <c r="N2390" s="66"/>
      <c r="O2390" s="66"/>
      <c r="P2390" s="66"/>
      <c r="Q2390" s="66"/>
      <c r="R2390" s="66"/>
      <c r="S2390" s="66"/>
      <c r="T2390" s="66"/>
    </row>
    <row r="2391">
      <c r="A2391" s="66"/>
      <c r="B2391" s="66"/>
      <c r="C2391" s="66"/>
      <c r="D2391" s="66"/>
      <c r="E2391" s="15"/>
      <c r="F2391" s="66"/>
      <c r="G2391" s="18"/>
      <c r="H2391" s="15"/>
      <c r="I2391" s="18"/>
      <c r="J2391" s="22"/>
      <c r="K2391" s="108"/>
      <c r="L2391" s="66"/>
      <c r="M2391" s="66"/>
      <c r="N2391" s="66"/>
      <c r="O2391" s="66"/>
      <c r="P2391" s="66"/>
      <c r="Q2391" s="66"/>
      <c r="R2391" s="66"/>
      <c r="S2391" s="66"/>
      <c r="T2391" s="66"/>
    </row>
    <row r="2392">
      <c r="A2392" s="66"/>
      <c r="B2392" s="66"/>
      <c r="C2392" s="66"/>
      <c r="D2392" s="66"/>
      <c r="E2392" s="15"/>
      <c r="F2392" s="66"/>
      <c r="G2392" s="18"/>
      <c r="H2392" s="15"/>
      <c r="I2392" s="18"/>
      <c r="J2392" s="22"/>
      <c r="K2392" s="108"/>
      <c r="L2392" s="66"/>
      <c r="M2392" s="66"/>
      <c r="N2392" s="66"/>
      <c r="O2392" s="66"/>
      <c r="P2392" s="66"/>
      <c r="Q2392" s="66"/>
      <c r="R2392" s="66"/>
      <c r="S2392" s="66"/>
      <c r="T2392" s="66"/>
    </row>
    <row r="2393">
      <c r="A2393" s="66"/>
      <c r="B2393" s="66"/>
      <c r="C2393" s="66"/>
      <c r="D2393" s="66"/>
      <c r="E2393" s="15"/>
      <c r="F2393" s="66"/>
      <c r="G2393" s="18"/>
      <c r="H2393" s="15"/>
      <c r="I2393" s="18"/>
      <c r="J2393" s="22"/>
      <c r="K2393" s="108"/>
      <c r="L2393" s="66"/>
      <c r="M2393" s="66"/>
      <c r="N2393" s="66"/>
      <c r="O2393" s="66"/>
      <c r="P2393" s="66"/>
      <c r="Q2393" s="66"/>
      <c r="R2393" s="66"/>
      <c r="S2393" s="66"/>
      <c r="T2393" s="66"/>
    </row>
    <row r="2394">
      <c r="A2394" s="66"/>
      <c r="B2394" s="66"/>
      <c r="C2394" s="66"/>
      <c r="D2394" s="66"/>
      <c r="E2394" s="15"/>
      <c r="F2394" s="66"/>
      <c r="G2394" s="18"/>
      <c r="H2394" s="15"/>
      <c r="I2394" s="18"/>
      <c r="J2394" s="22"/>
      <c r="K2394" s="108"/>
      <c r="L2394" s="66"/>
      <c r="M2394" s="66"/>
      <c r="N2394" s="66"/>
      <c r="O2394" s="66"/>
      <c r="P2394" s="66"/>
      <c r="Q2394" s="66"/>
      <c r="R2394" s="66"/>
      <c r="S2394" s="66"/>
      <c r="T2394" s="66"/>
    </row>
    <row r="2395">
      <c r="A2395" s="66"/>
      <c r="B2395" s="66"/>
      <c r="C2395" s="66"/>
      <c r="D2395" s="66"/>
      <c r="E2395" s="15"/>
      <c r="F2395" s="66"/>
      <c r="G2395" s="18"/>
      <c r="H2395" s="15"/>
      <c r="I2395" s="18"/>
      <c r="J2395" s="22"/>
      <c r="K2395" s="108"/>
      <c r="L2395" s="66"/>
      <c r="M2395" s="66"/>
      <c r="N2395" s="66"/>
      <c r="O2395" s="66"/>
      <c r="P2395" s="66"/>
      <c r="Q2395" s="66"/>
      <c r="R2395" s="66"/>
      <c r="S2395" s="66"/>
      <c r="T2395" s="66"/>
    </row>
    <row r="2396">
      <c r="A2396" s="66"/>
      <c r="B2396" s="66"/>
      <c r="C2396" s="66"/>
      <c r="D2396" s="66"/>
      <c r="E2396" s="15"/>
      <c r="F2396" s="66"/>
      <c r="G2396" s="18"/>
      <c r="H2396" s="15"/>
      <c r="I2396" s="18"/>
      <c r="J2396" s="22"/>
      <c r="K2396" s="108"/>
      <c r="L2396" s="66"/>
      <c r="M2396" s="66"/>
      <c r="N2396" s="66"/>
      <c r="O2396" s="66"/>
      <c r="P2396" s="66"/>
      <c r="Q2396" s="66"/>
      <c r="R2396" s="66"/>
      <c r="S2396" s="66"/>
      <c r="T2396" s="66"/>
    </row>
    <row r="2397">
      <c r="A2397" s="66"/>
      <c r="B2397" s="66"/>
      <c r="C2397" s="66"/>
      <c r="D2397" s="66"/>
      <c r="E2397" s="15"/>
      <c r="F2397" s="66"/>
      <c r="G2397" s="18"/>
      <c r="H2397" s="15"/>
      <c r="I2397" s="18"/>
      <c r="J2397" s="22"/>
      <c r="K2397" s="108"/>
      <c r="L2397" s="66"/>
      <c r="M2397" s="66"/>
      <c r="N2397" s="66"/>
      <c r="O2397" s="66"/>
      <c r="P2397" s="66"/>
      <c r="Q2397" s="66"/>
      <c r="R2397" s="66"/>
      <c r="S2397" s="66"/>
      <c r="T2397" s="66"/>
    </row>
    <row r="2398">
      <c r="A2398" s="66"/>
      <c r="B2398" s="66"/>
      <c r="C2398" s="66"/>
      <c r="D2398" s="66"/>
      <c r="E2398" s="15"/>
      <c r="F2398" s="66"/>
      <c r="G2398" s="18"/>
      <c r="H2398" s="15"/>
      <c r="I2398" s="18"/>
      <c r="J2398" s="22"/>
      <c r="K2398" s="108"/>
      <c r="L2398" s="66"/>
      <c r="M2398" s="66"/>
      <c r="N2398" s="66"/>
      <c r="O2398" s="66"/>
      <c r="P2398" s="66"/>
      <c r="Q2398" s="66"/>
      <c r="R2398" s="66"/>
      <c r="S2398" s="66"/>
      <c r="T2398" s="66"/>
    </row>
    <row r="2399">
      <c r="A2399" s="66"/>
      <c r="B2399" s="66"/>
      <c r="C2399" s="66"/>
      <c r="D2399" s="66"/>
      <c r="E2399" s="15"/>
      <c r="F2399" s="66"/>
      <c r="G2399" s="18"/>
      <c r="H2399" s="15"/>
      <c r="I2399" s="18"/>
      <c r="J2399" s="22"/>
      <c r="K2399" s="108"/>
      <c r="L2399" s="66"/>
      <c r="M2399" s="66"/>
      <c r="N2399" s="66"/>
      <c r="O2399" s="66"/>
      <c r="P2399" s="66"/>
      <c r="Q2399" s="66"/>
      <c r="R2399" s="66"/>
      <c r="S2399" s="66"/>
      <c r="T2399" s="66"/>
    </row>
    <row r="2400">
      <c r="A2400" s="66"/>
      <c r="B2400" s="66"/>
      <c r="C2400" s="66"/>
      <c r="D2400" s="66"/>
      <c r="E2400" s="15"/>
      <c r="F2400" s="66"/>
      <c r="G2400" s="18"/>
      <c r="H2400" s="15"/>
      <c r="I2400" s="18"/>
      <c r="J2400" s="22"/>
      <c r="K2400" s="108"/>
      <c r="L2400" s="66"/>
      <c r="M2400" s="66"/>
      <c r="N2400" s="66"/>
      <c r="O2400" s="66"/>
      <c r="P2400" s="66"/>
      <c r="Q2400" s="66"/>
      <c r="R2400" s="66"/>
      <c r="S2400" s="66"/>
      <c r="T2400" s="66"/>
    </row>
    <row r="2401">
      <c r="A2401" s="66"/>
      <c r="B2401" s="66"/>
      <c r="C2401" s="66"/>
      <c r="D2401" s="66"/>
      <c r="E2401" s="15"/>
      <c r="F2401" s="66"/>
      <c r="G2401" s="18"/>
      <c r="H2401" s="15"/>
      <c r="I2401" s="18"/>
      <c r="J2401" s="22"/>
      <c r="K2401" s="108"/>
      <c r="L2401" s="66"/>
      <c r="M2401" s="66"/>
      <c r="N2401" s="66"/>
      <c r="O2401" s="66"/>
      <c r="P2401" s="66"/>
      <c r="Q2401" s="66"/>
      <c r="R2401" s="66"/>
      <c r="S2401" s="66"/>
      <c r="T2401" s="66"/>
    </row>
    <row r="2402">
      <c r="A2402" s="66"/>
      <c r="B2402" s="66"/>
      <c r="C2402" s="66"/>
      <c r="D2402" s="66"/>
      <c r="E2402" s="15"/>
      <c r="F2402" s="66"/>
      <c r="G2402" s="18"/>
      <c r="H2402" s="15"/>
      <c r="I2402" s="18"/>
      <c r="J2402" s="22"/>
      <c r="K2402" s="108"/>
      <c r="L2402" s="66"/>
      <c r="M2402" s="66"/>
      <c r="N2402" s="66"/>
      <c r="O2402" s="66"/>
      <c r="P2402" s="66"/>
      <c r="Q2402" s="66"/>
      <c r="R2402" s="66"/>
      <c r="S2402" s="66"/>
      <c r="T2402" s="66"/>
    </row>
    <row r="2403">
      <c r="A2403" s="66"/>
      <c r="B2403" s="66"/>
      <c r="C2403" s="66"/>
      <c r="D2403" s="66"/>
      <c r="E2403" s="15"/>
      <c r="F2403" s="66"/>
      <c r="G2403" s="18"/>
      <c r="H2403" s="15"/>
      <c r="I2403" s="18"/>
      <c r="J2403" s="22"/>
      <c r="K2403" s="108"/>
      <c r="L2403" s="66"/>
      <c r="M2403" s="66"/>
      <c r="N2403" s="66"/>
      <c r="O2403" s="66"/>
      <c r="P2403" s="66"/>
      <c r="Q2403" s="66"/>
      <c r="R2403" s="66"/>
      <c r="S2403" s="66"/>
      <c r="T2403" s="66"/>
    </row>
    <row r="2404">
      <c r="A2404" s="66"/>
      <c r="B2404" s="66"/>
      <c r="C2404" s="66"/>
      <c r="D2404" s="66"/>
      <c r="E2404" s="15"/>
      <c r="F2404" s="66"/>
      <c r="G2404" s="18"/>
      <c r="H2404" s="15"/>
      <c r="I2404" s="18"/>
      <c r="J2404" s="22"/>
      <c r="K2404" s="108"/>
      <c r="L2404" s="66"/>
      <c r="M2404" s="66"/>
      <c r="N2404" s="66"/>
      <c r="O2404" s="66"/>
      <c r="P2404" s="66"/>
      <c r="Q2404" s="66"/>
      <c r="R2404" s="66"/>
      <c r="S2404" s="66"/>
      <c r="T2404" s="66"/>
    </row>
    <row r="2405">
      <c r="A2405" s="66"/>
      <c r="B2405" s="66"/>
      <c r="C2405" s="66"/>
      <c r="D2405" s="66"/>
      <c r="E2405" s="15"/>
      <c r="F2405" s="66"/>
      <c r="G2405" s="18"/>
      <c r="H2405" s="15"/>
      <c r="I2405" s="18"/>
      <c r="J2405" s="22"/>
      <c r="K2405" s="108"/>
      <c r="L2405" s="66"/>
      <c r="M2405" s="66"/>
      <c r="N2405" s="66"/>
      <c r="O2405" s="66"/>
      <c r="P2405" s="66"/>
      <c r="Q2405" s="66"/>
      <c r="R2405" s="66"/>
      <c r="S2405" s="66"/>
      <c r="T2405" s="66"/>
    </row>
    <row r="2406">
      <c r="A2406" s="66"/>
      <c r="B2406" s="66"/>
      <c r="C2406" s="66"/>
      <c r="D2406" s="66"/>
      <c r="E2406" s="15"/>
      <c r="F2406" s="66"/>
      <c r="G2406" s="18"/>
      <c r="H2406" s="15"/>
      <c r="I2406" s="18"/>
      <c r="J2406" s="22"/>
      <c r="K2406" s="108"/>
      <c r="L2406" s="66"/>
      <c r="M2406" s="66"/>
      <c r="N2406" s="66"/>
      <c r="O2406" s="66"/>
      <c r="P2406" s="66"/>
      <c r="Q2406" s="66"/>
      <c r="R2406" s="66"/>
      <c r="S2406" s="66"/>
      <c r="T2406" s="66"/>
    </row>
    <row r="2407">
      <c r="A2407" s="66"/>
      <c r="B2407" s="66"/>
      <c r="C2407" s="66"/>
      <c r="D2407" s="66"/>
      <c r="E2407" s="15"/>
      <c r="F2407" s="66"/>
      <c r="G2407" s="18"/>
      <c r="H2407" s="15"/>
      <c r="I2407" s="18"/>
      <c r="J2407" s="22"/>
      <c r="K2407" s="108"/>
      <c r="L2407" s="66"/>
      <c r="M2407" s="66"/>
      <c r="N2407" s="66"/>
      <c r="O2407" s="66"/>
      <c r="P2407" s="66"/>
      <c r="Q2407" s="66"/>
      <c r="R2407" s="66"/>
      <c r="S2407" s="66"/>
      <c r="T2407" s="66"/>
    </row>
    <row r="2408">
      <c r="A2408" s="66"/>
      <c r="B2408" s="66"/>
      <c r="C2408" s="66"/>
      <c r="D2408" s="66"/>
      <c r="E2408" s="15"/>
      <c r="F2408" s="66"/>
      <c r="G2408" s="18"/>
      <c r="H2408" s="15"/>
      <c r="I2408" s="18"/>
      <c r="J2408" s="22"/>
      <c r="K2408" s="108"/>
      <c r="L2408" s="66"/>
      <c r="M2408" s="66"/>
      <c r="N2408" s="66"/>
      <c r="O2408" s="66"/>
      <c r="P2408" s="66"/>
      <c r="Q2408" s="66"/>
      <c r="R2408" s="66"/>
      <c r="S2408" s="66"/>
      <c r="T2408" s="66"/>
    </row>
    <row r="2409">
      <c r="A2409" s="66"/>
      <c r="B2409" s="66"/>
      <c r="C2409" s="66"/>
      <c r="D2409" s="66"/>
      <c r="E2409" s="15"/>
      <c r="F2409" s="66"/>
      <c r="G2409" s="18"/>
      <c r="H2409" s="15"/>
      <c r="I2409" s="18"/>
      <c r="J2409" s="22"/>
      <c r="K2409" s="108"/>
      <c r="L2409" s="66"/>
      <c r="M2409" s="66"/>
      <c r="N2409" s="66"/>
      <c r="O2409" s="66"/>
      <c r="P2409" s="66"/>
      <c r="Q2409" s="66"/>
      <c r="R2409" s="66"/>
      <c r="S2409" s="66"/>
      <c r="T2409" s="66"/>
    </row>
    <row r="2410">
      <c r="A2410" s="66"/>
      <c r="B2410" s="66"/>
      <c r="C2410" s="66"/>
      <c r="D2410" s="66"/>
      <c r="E2410" s="15"/>
      <c r="F2410" s="66"/>
      <c r="G2410" s="18"/>
      <c r="H2410" s="15"/>
      <c r="I2410" s="18"/>
      <c r="J2410" s="22"/>
      <c r="K2410" s="108"/>
      <c r="L2410" s="66"/>
      <c r="M2410" s="66"/>
      <c r="N2410" s="66"/>
      <c r="O2410" s="66"/>
      <c r="P2410" s="66"/>
      <c r="Q2410" s="66"/>
      <c r="R2410" s="66"/>
      <c r="S2410" s="66"/>
      <c r="T2410" s="66"/>
    </row>
    <row r="2411">
      <c r="A2411" s="66"/>
      <c r="B2411" s="66"/>
      <c r="C2411" s="66"/>
      <c r="D2411" s="66"/>
      <c r="E2411" s="15"/>
      <c r="F2411" s="66"/>
      <c r="G2411" s="18"/>
      <c r="H2411" s="15"/>
      <c r="I2411" s="18"/>
      <c r="J2411" s="22"/>
      <c r="K2411" s="108"/>
      <c r="L2411" s="66"/>
      <c r="M2411" s="66"/>
      <c r="N2411" s="66"/>
      <c r="O2411" s="66"/>
      <c r="P2411" s="66"/>
      <c r="Q2411" s="66"/>
      <c r="R2411" s="66"/>
      <c r="S2411" s="66"/>
      <c r="T2411" s="66"/>
    </row>
    <row r="2412">
      <c r="A2412" s="66"/>
      <c r="B2412" s="66"/>
      <c r="C2412" s="66"/>
      <c r="D2412" s="66"/>
      <c r="E2412" s="15"/>
      <c r="F2412" s="66"/>
      <c r="G2412" s="18"/>
      <c r="H2412" s="15"/>
      <c r="I2412" s="18"/>
      <c r="J2412" s="22"/>
      <c r="K2412" s="108"/>
      <c r="L2412" s="66"/>
      <c r="M2412" s="66"/>
      <c r="N2412" s="66"/>
      <c r="O2412" s="66"/>
      <c r="P2412" s="66"/>
      <c r="Q2412" s="66"/>
      <c r="R2412" s="66"/>
      <c r="S2412" s="66"/>
      <c r="T2412" s="66"/>
    </row>
    <row r="2413">
      <c r="A2413" s="66"/>
      <c r="B2413" s="66"/>
      <c r="C2413" s="66"/>
      <c r="D2413" s="66"/>
      <c r="E2413" s="15"/>
      <c r="F2413" s="66"/>
      <c r="G2413" s="18"/>
      <c r="H2413" s="15"/>
      <c r="I2413" s="18"/>
      <c r="J2413" s="22"/>
      <c r="K2413" s="108"/>
      <c r="L2413" s="66"/>
      <c r="M2413" s="66"/>
      <c r="N2413" s="66"/>
      <c r="O2413" s="66"/>
      <c r="P2413" s="66"/>
      <c r="Q2413" s="66"/>
      <c r="R2413" s="66"/>
      <c r="S2413" s="66"/>
      <c r="T2413" s="66"/>
    </row>
    <row r="2414">
      <c r="A2414" s="66"/>
      <c r="B2414" s="66"/>
      <c r="C2414" s="66"/>
      <c r="D2414" s="66"/>
      <c r="E2414" s="15"/>
      <c r="F2414" s="66"/>
      <c r="G2414" s="18"/>
      <c r="H2414" s="15"/>
      <c r="I2414" s="18"/>
      <c r="J2414" s="22"/>
      <c r="K2414" s="108"/>
      <c r="L2414" s="66"/>
      <c r="M2414" s="66"/>
      <c r="N2414" s="66"/>
      <c r="O2414" s="66"/>
      <c r="P2414" s="66"/>
      <c r="Q2414" s="66"/>
      <c r="R2414" s="66"/>
      <c r="S2414" s="66"/>
      <c r="T2414" s="66"/>
    </row>
    <row r="2415">
      <c r="A2415" s="66"/>
      <c r="B2415" s="66"/>
      <c r="C2415" s="66"/>
      <c r="D2415" s="66"/>
      <c r="E2415" s="15"/>
      <c r="F2415" s="66"/>
      <c r="G2415" s="18"/>
      <c r="H2415" s="15"/>
      <c r="I2415" s="18"/>
      <c r="J2415" s="22"/>
      <c r="K2415" s="108"/>
      <c r="L2415" s="66"/>
      <c r="M2415" s="66"/>
      <c r="N2415" s="66"/>
      <c r="O2415" s="66"/>
      <c r="P2415" s="66"/>
      <c r="Q2415" s="66"/>
      <c r="R2415" s="66"/>
      <c r="S2415" s="66"/>
      <c r="T2415" s="66"/>
    </row>
    <row r="2416">
      <c r="A2416" s="66"/>
      <c r="B2416" s="66"/>
      <c r="C2416" s="66"/>
      <c r="D2416" s="66"/>
      <c r="E2416" s="15"/>
      <c r="F2416" s="66"/>
      <c r="G2416" s="18"/>
      <c r="H2416" s="15"/>
      <c r="I2416" s="18"/>
      <c r="J2416" s="22"/>
      <c r="K2416" s="108"/>
      <c r="L2416" s="66"/>
      <c r="M2416" s="66"/>
      <c r="N2416" s="66"/>
      <c r="O2416" s="66"/>
      <c r="P2416" s="66"/>
      <c r="Q2416" s="66"/>
      <c r="R2416" s="66"/>
      <c r="S2416" s="66"/>
      <c r="T2416" s="66"/>
    </row>
    <row r="2417">
      <c r="A2417" s="66"/>
      <c r="B2417" s="66"/>
      <c r="C2417" s="66"/>
      <c r="D2417" s="66"/>
      <c r="E2417" s="15"/>
      <c r="F2417" s="66"/>
      <c r="G2417" s="18"/>
      <c r="H2417" s="15"/>
      <c r="I2417" s="18"/>
      <c r="J2417" s="22"/>
      <c r="K2417" s="108"/>
      <c r="L2417" s="66"/>
      <c r="M2417" s="66"/>
      <c r="N2417" s="66"/>
      <c r="O2417" s="66"/>
      <c r="P2417" s="66"/>
      <c r="Q2417" s="66"/>
      <c r="R2417" s="66"/>
      <c r="S2417" s="66"/>
      <c r="T2417" s="66"/>
    </row>
    <row r="2418">
      <c r="A2418" s="66"/>
      <c r="B2418" s="66"/>
      <c r="C2418" s="66"/>
      <c r="D2418" s="66"/>
      <c r="E2418" s="15"/>
      <c r="F2418" s="66"/>
      <c r="G2418" s="18"/>
      <c r="H2418" s="15"/>
      <c r="I2418" s="18"/>
      <c r="J2418" s="22"/>
      <c r="K2418" s="108"/>
      <c r="L2418" s="66"/>
      <c r="M2418" s="66"/>
      <c r="N2418" s="66"/>
      <c r="O2418" s="66"/>
      <c r="P2418" s="66"/>
      <c r="Q2418" s="66"/>
      <c r="R2418" s="66"/>
      <c r="S2418" s="66"/>
      <c r="T2418" s="66"/>
    </row>
    <row r="2419">
      <c r="A2419" s="66"/>
      <c r="B2419" s="66"/>
      <c r="C2419" s="66"/>
      <c r="D2419" s="66"/>
      <c r="E2419" s="15"/>
      <c r="F2419" s="66"/>
      <c r="G2419" s="18"/>
      <c r="H2419" s="15"/>
      <c r="I2419" s="18"/>
      <c r="J2419" s="22"/>
      <c r="K2419" s="108"/>
      <c r="L2419" s="66"/>
      <c r="M2419" s="66"/>
      <c r="N2419" s="66"/>
      <c r="O2419" s="66"/>
      <c r="P2419" s="66"/>
      <c r="Q2419" s="66"/>
      <c r="R2419" s="66"/>
      <c r="S2419" s="66"/>
      <c r="T2419" s="66"/>
    </row>
    <row r="2420">
      <c r="A2420" s="66"/>
      <c r="B2420" s="66"/>
      <c r="C2420" s="66"/>
      <c r="D2420" s="66"/>
      <c r="E2420" s="15"/>
      <c r="F2420" s="66"/>
      <c r="G2420" s="18"/>
      <c r="H2420" s="15"/>
      <c r="I2420" s="18"/>
      <c r="J2420" s="22"/>
      <c r="K2420" s="108"/>
      <c r="L2420" s="66"/>
      <c r="M2420" s="66"/>
      <c r="N2420" s="66"/>
      <c r="O2420" s="66"/>
      <c r="P2420" s="66"/>
      <c r="Q2420" s="66"/>
      <c r="R2420" s="66"/>
      <c r="S2420" s="66"/>
      <c r="T2420" s="66"/>
    </row>
    <row r="2421">
      <c r="A2421" s="66"/>
      <c r="B2421" s="66"/>
      <c r="C2421" s="66"/>
      <c r="D2421" s="66"/>
      <c r="E2421" s="15"/>
      <c r="F2421" s="66"/>
      <c r="G2421" s="18"/>
      <c r="H2421" s="15"/>
      <c r="I2421" s="18"/>
      <c r="J2421" s="22"/>
      <c r="K2421" s="108"/>
      <c r="L2421" s="66"/>
      <c r="M2421" s="66"/>
      <c r="N2421" s="66"/>
      <c r="O2421" s="66"/>
      <c r="P2421" s="66"/>
      <c r="Q2421" s="66"/>
      <c r="R2421" s="66"/>
      <c r="S2421" s="66"/>
      <c r="T2421" s="66"/>
    </row>
    <row r="2422">
      <c r="A2422" s="66"/>
      <c r="B2422" s="66"/>
      <c r="C2422" s="66"/>
      <c r="D2422" s="66"/>
      <c r="E2422" s="15"/>
      <c r="F2422" s="66"/>
      <c r="G2422" s="18"/>
      <c r="H2422" s="15"/>
      <c r="I2422" s="18"/>
      <c r="J2422" s="22"/>
      <c r="K2422" s="108"/>
      <c r="L2422" s="66"/>
      <c r="M2422" s="66"/>
      <c r="N2422" s="66"/>
      <c r="O2422" s="66"/>
      <c r="P2422" s="66"/>
      <c r="Q2422" s="66"/>
      <c r="R2422" s="66"/>
      <c r="S2422" s="66"/>
      <c r="T2422" s="66"/>
    </row>
    <row r="2423">
      <c r="A2423" s="66"/>
      <c r="B2423" s="66"/>
      <c r="C2423" s="66"/>
      <c r="D2423" s="66"/>
      <c r="E2423" s="15"/>
      <c r="F2423" s="66"/>
      <c r="G2423" s="18"/>
      <c r="H2423" s="15"/>
      <c r="I2423" s="18"/>
      <c r="J2423" s="22"/>
      <c r="K2423" s="108"/>
      <c r="L2423" s="66"/>
      <c r="M2423" s="66"/>
      <c r="N2423" s="66"/>
      <c r="O2423" s="66"/>
      <c r="P2423" s="66"/>
      <c r="Q2423" s="66"/>
      <c r="R2423" s="66"/>
      <c r="S2423" s="66"/>
      <c r="T2423" s="66"/>
    </row>
    <row r="2424">
      <c r="A2424" s="66"/>
      <c r="B2424" s="66"/>
      <c r="C2424" s="66"/>
      <c r="D2424" s="66"/>
      <c r="E2424" s="15"/>
      <c r="F2424" s="66"/>
      <c r="G2424" s="18"/>
      <c r="H2424" s="15"/>
      <c r="I2424" s="18"/>
      <c r="J2424" s="22"/>
      <c r="K2424" s="108"/>
      <c r="L2424" s="66"/>
      <c r="M2424" s="66"/>
      <c r="N2424" s="66"/>
      <c r="O2424" s="66"/>
      <c r="P2424" s="66"/>
      <c r="Q2424" s="66"/>
      <c r="R2424" s="66"/>
      <c r="S2424" s="66"/>
      <c r="T2424" s="66"/>
    </row>
    <row r="2425">
      <c r="A2425" s="66"/>
      <c r="B2425" s="66"/>
      <c r="C2425" s="66"/>
      <c r="D2425" s="66"/>
      <c r="E2425" s="15"/>
      <c r="F2425" s="66"/>
      <c r="G2425" s="18"/>
      <c r="H2425" s="15"/>
      <c r="I2425" s="18"/>
      <c r="J2425" s="22"/>
      <c r="K2425" s="108"/>
      <c r="L2425" s="66"/>
      <c r="M2425" s="66"/>
      <c r="N2425" s="66"/>
      <c r="O2425" s="66"/>
      <c r="P2425" s="66"/>
      <c r="Q2425" s="66"/>
      <c r="R2425" s="66"/>
      <c r="S2425" s="66"/>
      <c r="T2425" s="66"/>
    </row>
    <row r="2426">
      <c r="A2426" s="66"/>
      <c r="B2426" s="66"/>
      <c r="C2426" s="66"/>
      <c r="D2426" s="66"/>
      <c r="E2426" s="15"/>
      <c r="F2426" s="66"/>
      <c r="G2426" s="18"/>
      <c r="H2426" s="15"/>
      <c r="I2426" s="18"/>
      <c r="J2426" s="22"/>
      <c r="K2426" s="108"/>
      <c r="L2426" s="66"/>
      <c r="M2426" s="66"/>
      <c r="N2426" s="66"/>
      <c r="O2426" s="66"/>
      <c r="P2426" s="66"/>
      <c r="Q2426" s="66"/>
      <c r="R2426" s="66"/>
      <c r="S2426" s="66"/>
      <c r="T2426" s="66"/>
    </row>
    <row r="2427">
      <c r="A2427" s="66"/>
      <c r="B2427" s="66"/>
      <c r="C2427" s="66"/>
      <c r="D2427" s="66"/>
      <c r="E2427" s="15"/>
      <c r="F2427" s="66"/>
      <c r="G2427" s="18"/>
      <c r="H2427" s="15"/>
      <c r="I2427" s="18"/>
      <c r="J2427" s="22"/>
      <c r="K2427" s="108"/>
      <c r="L2427" s="66"/>
      <c r="M2427" s="66"/>
      <c r="N2427" s="66"/>
      <c r="O2427" s="66"/>
      <c r="P2427" s="66"/>
      <c r="Q2427" s="66"/>
      <c r="R2427" s="66"/>
      <c r="S2427" s="66"/>
      <c r="T2427" s="66"/>
    </row>
    <row r="2428">
      <c r="A2428" s="66"/>
      <c r="B2428" s="66"/>
      <c r="C2428" s="66"/>
      <c r="D2428" s="66"/>
      <c r="E2428" s="15"/>
      <c r="F2428" s="66"/>
      <c r="G2428" s="18"/>
      <c r="H2428" s="15"/>
      <c r="I2428" s="18"/>
      <c r="J2428" s="22"/>
      <c r="K2428" s="108"/>
      <c r="L2428" s="66"/>
      <c r="M2428" s="66"/>
      <c r="N2428" s="66"/>
      <c r="O2428" s="66"/>
      <c r="P2428" s="66"/>
      <c r="Q2428" s="66"/>
      <c r="R2428" s="66"/>
      <c r="S2428" s="66"/>
      <c r="T2428" s="66"/>
    </row>
    <row r="2429">
      <c r="A2429" s="66"/>
      <c r="B2429" s="66"/>
      <c r="C2429" s="66"/>
      <c r="D2429" s="66"/>
      <c r="E2429" s="15"/>
      <c r="F2429" s="66"/>
      <c r="G2429" s="18"/>
      <c r="H2429" s="15"/>
      <c r="I2429" s="18"/>
      <c r="J2429" s="22"/>
      <c r="K2429" s="108"/>
      <c r="L2429" s="66"/>
      <c r="M2429" s="66"/>
      <c r="N2429" s="66"/>
      <c r="O2429" s="66"/>
      <c r="P2429" s="66"/>
      <c r="Q2429" s="66"/>
      <c r="R2429" s="66"/>
      <c r="S2429" s="66"/>
      <c r="T2429" s="66"/>
    </row>
    <row r="2430">
      <c r="A2430" s="66"/>
      <c r="B2430" s="66"/>
      <c r="C2430" s="66"/>
      <c r="D2430" s="66"/>
      <c r="E2430" s="15"/>
      <c r="F2430" s="66"/>
      <c r="G2430" s="18"/>
      <c r="H2430" s="15"/>
      <c r="I2430" s="18"/>
      <c r="J2430" s="22"/>
      <c r="K2430" s="108"/>
      <c r="L2430" s="66"/>
      <c r="M2430" s="66"/>
      <c r="N2430" s="66"/>
      <c r="O2430" s="66"/>
      <c r="P2430" s="66"/>
      <c r="Q2430" s="66"/>
      <c r="R2430" s="66"/>
      <c r="S2430" s="66"/>
      <c r="T2430" s="66"/>
    </row>
    <row r="2431">
      <c r="A2431" s="66"/>
      <c r="B2431" s="66"/>
      <c r="C2431" s="66"/>
      <c r="D2431" s="66"/>
      <c r="E2431" s="15"/>
      <c r="F2431" s="66"/>
      <c r="G2431" s="18"/>
      <c r="H2431" s="15"/>
      <c r="I2431" s="18"/>
      <c r="J2431" s="22"/>
      <c r="K2431" s="108"/>
      <c r="L2431" s="66"/>
      <c r="M2431" s="66"/>
      <c r="N2431" s="66"/>
      <c r="O2431" s="66"/>
      <c r="P2431" s="66"/>
      <c r="Q2431" s="66"/>
      <c r="R2431" s="66"/>
      <c r="S2431" s="66"/>
      <c r="T2431" s="66"/>
    </row>
    <row r="2432">
      <c r="A2432" s="66"/>
      <c r="B2432" s="66"/>
      <c r="C2432" s="66"/>
      <c r="D2432" s="66"/>
      <c r="E2432" s="15"/>
      <c r="F2432" s="66"/>
      <c r="G2432" s="18"/>
      <c r="H2432" s="15"/>
      <c r="I2432" s="18"/>
      <c r="J2432" s="22"/>
      <c r="K2432" s="108"/>
      <c r="L2432" s="66"/>
      <c r="M2432" s="66"/>
      <c r="N2432" s="66"/>
      <c r="O2432" s="66"/>
      <c r="P2432" s="66"/>
      <c r="Q2432" s="66"/>
      <c r="R2432" s="66"/>
      <c r="S2432" s="66"/>
      <c r="T2432" s="66"/>
    </row>
    <row r="2433">
      <c r="A2433" s="66"/>
      <c r="B2433" s="66"/>
      <c r="C2433" s="66"/>
      <c r="D2433" s="66"/>
      <c r="E2433" s="15"/>
      <c r="F2433" s="66"/>
      <c r="G2433" s="18"/>
      <c r="H2433" s="15"/>
      <c r="I2433" s="18"/>
      <c r="J2433" s="22"/>
      <c r="K2433" s="108"/>
      <c r="L2433" s="66"/>
      <c r="M2433" s="66"/>
      <c r="N2433" s="66"/>
      <c r="O2433" s="66"/>
      <c r="P2433" s="66"/>
      <c r="Q2433" s="66"/>
      <c r="R2433" s="66"/>
      <c r="S2433" s="66"/>
      <c r="T2433" s="66"/>
    </row>
    <row r="2434">
      <c r="A2434" s="66"/>
      <c r="B2434" s="66"/>
      <c r="C2434" s="66"/>
      <c r="D2434" s="66"/>
      <c r="E2434" s="15"/>
      <c r="F2434" s="66"/>
      <c r="G2434" s="18"/>
      <c r="H2434" s="15"/>
      <c r="I2434" s="18"/>
      <c r="J2434" s="22"/>
      <c r="K2434" s="108"/>
      <c r="L2434" s="66"/>
      <c r="M2434" s="66"/>
      <c r="N2434" s="66"/>
      <c r="O2434" s="66"/>
      <c r="P2434" s="66"/>
      <c r="Q2434" s="66"/>
      <c r="R2434" s="66"/>
      <c r="S2434" s="66"/>
      <c r="T2434" s="66"/>
    </row>
    <row r="2435">
      <c r="A2435" s="66"/>
      <c r="B2435" s="66"/>
      <c r="C2435" s="66"/>
      <c r="D2435" s="66"/>
      <c r="E2435" s="15"/>
      <c r="F2435" s="66"/>
      <c r="G2435" s="18"/>
      <c r="H2435" s="15"/>
      <c r="I2435" s="18"/>
      <c r="J2435" s="22"/>
      <c r="K2435" s="108"/>
      <c r="L2435" s="66"/>
      <c r="M2435" s="66"/>
      <c r="N2435" s="66"/>
      <c r="O2435" s="66"/>
      <c r="P2435" s="66"/>
      <c r="Q2435" s="66"/>
      <c r="R2435" s="66"/>
      <c r="S2435" s="66"/>
      <c r="T2435" s="66"/>
    </row>
    <row r="2436">
      <c r="A2436" s="66"/>
      <c r="B2436" s="66"/>
      <c r="C2436" s="66"/>
      <c r="D2436" s="66"/>
      <c r="E2436" s="15"/>
      <c r="F2436" s="66"/>
      <c r="G2436" s="18"/>
      <c r="H2436" s="15"/>
      <c r="I2436" s="18"/>
      <c r="J2436" s="22"/>
      <c r="K2436" s="108"/>
      <c r="L2436" s="66"/>
      <c r="M2436" s="66"/>
      <c r="N2436" s="66"/>
      <c r="O2436" s="66"/>
      <c r="P2436" s="66"/>
      <c r="Q2436" s="66"/>
      <c r="R2436" s="66"/>
      <c r="S2436" s="66"/>
      <c r="T2436" s="66"/>
    </row>
    <row r="2437">
      <c r="A2437" s="66"/>
      <c r="B2437" s="66"/>
      <c r="C2437" s="66"/>
      <c r="D2437" s="66"/>
      <c r="E2437" s="15"/>
      <c r="F2437" s="66"/>
      <c r="G2437" s="18"/>
      <c r="H2437" s="15"/>
      <c r="I2437" s="18"/>
      <c r="J2437" s="22"/>
      <c r="K2437" s="108"/>
      <c r="L2437" s="66"/>
      <c r="M2437" s="66"/>
      <c r="N2437" s="66"/>
      <c r="O2437" s="66"/>
      <c r="P2437" s="66"/>
      <c r="Q2437" s="66"/>
      <c r="R2437" s="66"/>
      <c r="S2437" s="66"/>
      <c r="T2437" s="66"/>
    </row>
    <row r="2438">
      <c r="A2438" s="66"/>
      <c r="B2438" s="66"/>
      <c r="C2438" s="66"/>
      <c r="D2438" s="66"/>
      <c r="E2438" s="15"/>
      <c r="F2438" s="66"/>
      <c r="G2438" s="18"/>
      <c r="H2438" s="15"/>
      <c r="I2438" s="18"/>
      <c r="J2438" s="22"/>
      <c r="K2438" s="108"/>
      <c r="L2438" s="66"/>
      <c r="M2438" s="66"/>
      <c r="N2438" s="66"/>
      <c r="O2438" s="66"/>
      <c r="P2438" s="66"/>
      <c r="Q2438" s="66"/>
      <c r="R2438" s="66"/>
      <c r="S2438" s="66"/>
      <c r="T2438" s="66"/>
    </row>
    <row r="2439">
      <c r="A2439" s="66"/>
      <c r="B2439" s="66"/>
      <c r="C2439" s="66"/>
      <c r="D2439" s="66"/>
      <c r="E2439" s="15"/>
      <c r="F2439" s="66"/>
      <c r="G2439" s="18"/>
      <c r="H2439" s="15"/>
      <c r="I2439" s="18"/>
      <c r="J2439" s="22"/>
      <c r="K2439" s="108"/>
      <c r="L2439" s="66"/>
      <c r="M2439" s="66"/>
      <c r="N2439" s="66"/>
      <c r="O2439" s="66"/>
      <c r="P2439" s="66"/>
      <c r="Q2439" s="66"/>
      <c r="R2439" s="66"/>
      <c r="S2439" s="66"/>
      <c r="T2439" s="66"/>
    </row>
    <row r="2440">
      <c r="A2440" s="66"/>
      <c r="B2440" s="66"/>
      <c r="C2440" s="66"/>
      <c r="D2440" s="66"/>
      <c r="E2440" s="15"/>
      <c r="F2440" s="66"/>
      <c r="G2440" s="18"/>
      <c r="H2440" s="15"/>
      <c r="I2440" s="18"/>
      <c r="J2440" s="22"/>
      <c r="K2440" s="108"/>
      <c r="L2440" s="66"/>
      <c r="M2440" s="66"/>
      <c r="N2440" s="66"/>
      <c r="O2440" s="66"/>
      <c r="P2440" s="66"/>
      <c r="Q2440" s="66"/>
      <c r="R2440" s="66"/>
      <c r="S2440" s="66"/>
      <c r="T2440" s="66"/>
    </row>
    <row r="2441">
      <c r="A2441" s="66"/>
      <c r="B2441" s="66"/>
      <c r="C2441" s="66"/>
      <c r="D2441" s="66"/>
      <c r="E2441" s="15"/>
      <c r="F2441" s="66"/>
      <c r="G2441" s="18"/>
      <c r="H2441" s="15"/>
      <c r="I2441" s="18"/>
      <c r="J2441" s="22"/>
      <c r="K2441" s="108"/>
      <c r="L2441" s="66"/>
      <c r="M2441" s="66"/>
      <c r="N2441" s="66"/>
      <c r="O2441" s="66"/>
      <c r="P2441" s="66"/>
      <c r="Q2441" s="66"/>
      <c r="R2441" s="66"/>
      <c r="S2441" s="66"/>
      <c r="T2441" s="66"/>
    </row>
    <row r="2442">
      <c r="A2442" s="66"/>
      <c r="B2442" s="66"/>
      <c r="C2442" s="66"/>
      <c r="D2442" s="66"/>
      <c r="E2442" s="15"/>
      <c r="F2442" s="66"/>
      <c r="G2442" s="18"/>
      <c r="H2442" s="15"/>
      <c r="I2442" s="18"/>
      <c r="J2442" s="22"/>
      <c r="K2442" s="108"/>
      <c r="L2442" s="66"/>
      <c r="M2442" s="66"/>
      <c r="N2442" s="66"/>
      <c r="O2442" s="66"/>
      <c r="P2442" s="66"/>
      <c r="Q2442" s="66"/>
      <c r="R2442" s="66"/>
      <c r="S2442" s="66"/>
      <c r="T2442" s="66"/>
    </row>
    <row r="2443">
      <c r="A2443" s="66"/>
      <c r="B2443" s="66"/>
      <c r="C2443" s="66"/>
      <c r="D2443" s="66"/>
      <c r="E2443" s="15"/>
      <c r="F2443" s="66"/>
      <c r="G2443" s="18"/>
      <c r="H2443" s="15"/>
      <c r="I2443" s="18"/>
      <c r="J2443" s="22"/>
      <c r="K2443" s="108"/>
      <c r="L2443" s="66"/>
      <c r="M2443" s="66"/>
      <c r="N2443" s="66"/>
      <c r="O2443" s="66"/>
      <c r="P2443" s="66"/>
      <c r="Q2443" s="66"/>
      <c r="R2443" s="66"/>
      <c r="S2443" s="66"/>
      <c r="T2443" s="66"/>
    </row>
    <row r="2444">
      <c r="A2444" s="66"/>
      <c r="B2444" s="66"/>
      <c r="C2444" s="66"/>
      <c r="D2444" s="66"/>
      <c r="E2444" s="15"/>
      <c r="F2444" s="66"/>
      <c r="G2444" s="18"/>
      <c r="H2444" s="15"/>
      <c r="I2444" s="18"/>
      <c r="J2444" s="22"/>
      <c r="K2444" s="108"/>
      <c r="L2444" s="66"/>
      <c r="M2444" s="66"/>
      <c r="N2444" s="66"/>
      <c r="O2444" s="66"/>
      <c r="P2444" s="66"/>
      <c r="Q2444" s="66"/>
      <c r="R2444" s="66"/>
      <c r="S2444" s="66"/>
      <c r="T2444" s="66"/>
    </row>
    <row r="2445">
      <c r="A2445" s="66"/>
      <c r="B2445" s="66"/>
      <c r="C2445" s="66"/>
      <c r="D2445" s="66"/>
      <c r="E2445" s="15"/>
      <c r="F2445" s="66"/>
      <c r="G2445" s="18"/>
      <c r="H2445" s="15"/>
      <c r="I2445" s="18"/>
      <c r="J2445" s="22"/>
      <c r="K2445" s="108"/>
      <c r="L2445" s="66"/>
      <c r="M2445" s="66"/>
      <c r="N2445" s="66"/>
      <c r="O2445" s="66"/>
      <c r="P2445" s="66"/>
      <c r="Q2445" s="66"/>
      <c r="R2445" s="66"/>
      <c r="S2445" s="66"/>
      <c r="T2445" s="66"/>
    </row>
    <row r="2446">
      <c r="A2446" s="66"/>
      <c r="B2446" s="66"/>
      <c r="C2446" s="66"/>
      <c r="D2446" s="66"/>
      <c r="E2446" s="15"/>
      <c r="F2446" s="66"/>
      <c r="G2446" s="18"/>
      <c r="H2446" s="15"/>
      <c r="I2446" s="18"/>
      <c r="J2446" s="22"/>
      <c r="K2446" s="108"/>
      <c r="L2446" s="66"/>
      <c r="M2446" s="66"/>
      <c r="N2446" s="66"/>
      <c r="O2446" s="66"/>
      <c r="P2446" s="66"/>
      <c r="Q2446" s="66"/>
      <c r="R2446" s="66"/>
      <c r="S2446" s="66"/>
      <c r="T2446" s="66"/>
    </row>
    <row r="2447">
      <c r="A2447" s="66"/>
      <c r="B2447" s="66"/>
      <c r="C2447" s="66"/>
      <c r="D2447" s="66"/>
      <c r="E2447" s="15"/>
      <c r="F2447" s="66"/>
      <c r="G2447" s="18"/>
      <c r="H2447" s="15"/>
      <c r="I2447" s="18"/>
      <c r="J2447" s="22"/>
      <c r="K2447" s="108"/>
      <c r="L2447" s="66"/>
      <c r="M2447" s="66"/>
      <c r="N2447" s="66"/>
      <c r="O2447" s="66"/>
      <c r="P2447" s="66"/>
      <c r="Q2447" s="66"/>
      <c r="R2447" s="66"/>
      <c r="S2447" s="66"/>
      <c r="T2447" s="66"/>
    </row>
    <row r="2448">
      <c r="A2448" s="66"/>
      <c r="B2448" s="66"/>
      <c r="C2448" s="66"/>
      <c r="D2448" s="66"/>
      <c r="E2448" s="15"/>
      <c r="F2448" s="66"/>
      <c r="G2448" s="18"/>
      <c r="H2448" s="15"/>
      <c r="I2448" s="18"/>
      <c r="J2448" s="22"/>
      <c r="K2448" s="108"/>
      <c r="L2448" s="66"/>
      <c r="M2448" s="66"/>
      <c r="N2448" s="66"/>
      <c r="O2448" s="66"/>
      <c r="P2448" s="66"/>
      <c r="Q2448" s="66"/>
      <c r="R2448" s="66"/>
      <c r="S2448" s="66"/>
      <c r="T2448" s="66"/>
    </row>
    <row r="2449">
      <c r="A2449" s="66"/>
      <c r="B2449" s="66"/>
      <c r="C2449" s="66"/>
      <c r="D2449" s="66"/>
      <c r="E2449" s="15"/>
      <c r="F2449" s="66"/>
      <c r="G2449" s="18"/>
      <c r="H2449" s="15"/>
      <c r="I2449" s="18"/>
      <c r="J2449" s="22"/>
      <c r="K2449" s="108"/>
      <c r="L2449" s="66"/>
      <c r="M2449" s="66"/>
      <c r="N2449" s="66"/>
      <c r="O2449" s="66"/>
      <c r="P2449" s="66"/>
      <c r="Q2449" s="66"/>
      <c r="R2449" s="66"/>
      <c r="S2449" s="66"/>
      <c r="T2449" s="66"/>
    </row>
    <row r="2450">
      <c r="A2450" s="66"/>
      <c r="B2450" s="66"/>
      <c r="C2450" s="66"/>
      <c r="D2450" s="66"/>
      <c r="E2450" s="15"/>
      <c r="F2450" s="66"/>
      <c r="G2450" s="18"/>
      <c r="H2450" s="15"/>
      <c r="I2450" s="18"/>
      <c r="J2450" s="22"/>
      <c r="K2450" s="108"/>
      <c r="L2450" s="66"/>
      <c r="M2450" s="66"/>
      <c r="N2450" s="66"/>
      <c r="O2450" s="66"/>
      <c r="P2450" s="66"/>
      <c r="Q2450" s="66"/>
      <c r="R2450" s="66"/>
      <c r="S2450" s="66"/>
      <c r="T2450" s="66"/>
    </row>
    <row r="2451">
      <c r="A2451" s="66"/>
      <c r="B2451" s="66"/>
      <c r="C2451" s="66"/>
      <c r="D2451" s="66"/>
      <c r="E2451" s="15"/>
      <c r="F2451" s="66"/>
      <c r="G2451" s="18"/>
      <c r="H2451" s="15"/>
      <c r="I2451" s="18"/>
      <c r="J2451" s="22"/>
      <c r="K2451" s="108"/>
      <c r="L2451" s="66"/>
      <c r="M2451" s="66"/>
      <c r="N2451" s="66"/>
      <c r="O2451" s="66"/>
      <c r="P2451" s="66"/>
      <c r="Q2451" s="66"/>
      <c r="R2451" s="66"/>
      <c r="S2451" s="66"/>
      <c r="T2451" s="66"/>
    </row>
    <row r="2452">
      <c r="A2452" s="66"/>
      <c r="B2452" s="66"/>
      <c r="C2452" s="66"/>
      <c r="D2452" s="66"/>
      <c r="E2452" s="15"/>
      <c r="F2452" s="66"/>
      <c r="G2452" s="18"/>
      <c r="H2452" s="15"/>
      <c r="I2452" s="18"/>
      <c r="J2452" s="22"/>
      <c r="K2452" s="108"/>
      <c r="L2452" s="66"/>
      <c r="M2452" s="66"/>
      <c r="N2452" s="66"/>
      <c r="O2452" s="66"/>
      <c r="P2452" s="66"/>
      <c r="Q2452" s="66"/>
      <c r="R2452" s="66"/>
      <c r="S2452" s="66"/>
      <c r="T2452" s="66"/>
    </row>
    <row r="2453">
      <c r="A2453" s="66"/>
      <c r="B2453" s="66"/>
      <c r="C2453" s="66"/>
      <c r="D2453" s="66"/>
      <c r="E2453" s="15"/>
      <c r="F2453" s="66"/>
      <c r="G2453" s="18"/>
      <c r="H2453" s="15"/>
      <c r="I2453" s="18"/>
      <c r="J2453" s="22"/>
      <c r="K2453" s="108"/>
      <c r="L2453" s="66"/>
      <c r="M2453" s="66"/>
      <c r="N2453" s="66"/>
      <c r="O2453" s="66"/>
      <c r="P2453" s="66"/>
      <c r="Q2453" s="66"/>
      <c r="R2453" s="66"/>
      <c r="S2453" s="66"/>
      <c r="T2453" s="66"/>
    </row>
    <row r="2454">
      <c r="A2454" s="66"/>
      <c r="B2454" s="66"/>
      <c r="C2454" s="66"/>
      <c r="D2454" s="66"/>
      <c r="E2454" s="15"/>
      <c r="F2454" s="66"/>
      <c r="G2454" s="18"/>
      <c r="H2454" s="15"/>
      <c r="I2454" s="18"/>
      <c r="J2454" s="22"/>
      <c r="K2454" s="108"/>
      <c r="L2454" s="66"/>
      <c r="M2454" s="66"/>
      <c r="N2454" s="66"/>
      <c r="O2454" s="66"/>
      <c r="P2454" s="66"/>
      <c r="Q2454" s="66"/>
      <c r="R2454" s="66"/>
      <c r="S2454" s="66"/>
      <c r="T2454" s="66"/>
    </row>
    <row r="2455">
      <c r="A2455" s="66"/>
      <c r="B2455" s="66"/>
      <c r="C2455" s="66"/>
      <c r="D2455" s="66"/>
      <c r="E2455" s="15"/>
      <c r="F2455" s="66"/>
      <c r="G2455" s="18"/>
      <c r="H2455" s="15"/>
      <c r="I2455" s="18"/>
      <c r="J2455" s="22"/>
      <c r="K2455" s="108"/>
      <c r="L2455" s="66"/>
      <c r="M2455" s="66"/>
      <c r="N2455" s="66"/>
      <c r="O2455" s="66"/>
      <c r="P2455" s="66"/>
      <c r="Q2455" s="66"/>
      <c r="R2455" s="66"/>
      <c r="S2455" s="66"/>
      <c r="T2455" s="66"/>
    </row>
    <row r="2456">
      <c r="A2456" s="66"/>
      <c r="B2456" s="66"/>
      <c r="C2456" s="66"/>
      <c r="D2456" s="66"/>
      <c r="E2456" s="15"/>
      <c r="F2456" s="66"/>
      <c r="G2456" s="18"/>
      <c r="H2456" s="15"/>
      <c r="I2456" s="18"/>
      <c r="J2456" s="22"/>
      <c r="K2456" s="108"/>
      <c r="L2456" s="66"/>
      <c r="M2456" s="66"/>
      <c r="N2456" s="66"/>
      <c r="O2456" s="66"/>
      <c r="P2456" s="66"/>
      <c r="Q2456" s="66"/>
      <c r="R2456" s="66"/>
      <c r="S2456" s="66"/>
      <c r="T2456" s="66"/>
    </row>
    <row r="2457">
      <c r="A2457" s="66"/>
      <c r="B2457" s="66"/>
      <c r="C2457" s="66"/>
      <c r="D2457" s="66"/>
      <c r="E2457" s="15"/>
      <c r="F2457" s="66"/>
      <c r="G2457" s="18"/>
      <c r="H2457" s="15"/>
      <c r="I2457" s="18"/>
      <c r="J2457" s="22"/>
      <c r="K2457" s="108"/>
      <c r="L2457" s="66"/>
      <c r="M2457" s="66"/>
      <c r="N2457" s="66"/>
      <c r="O2457" s="66"/>
      <c r="P2457" s="66"/>
      <c r="Q2457" s="66"/>
      <c r="R2457" s="66"/>
      <c r="S2457" s="66"/>
      <c r="T2457" s="66"/>
    </row>
    <row r="2458">
      <c r="A2458" s="66"/>
      <c r="B2458" s="66"/>
      <c r="C2458" s="66"/>
      <c r="D2458" s="66"/>
      <c r="E2458" s="15"/>
      <c r="F2458" s="66"/>
      <c r="G2458" s="18"/>
      <c r="H2458" s="15"/>
      <c r="I2458" s="18"/>
      <c r="J2458" s="22"/>
      <c r="K2458" s="108"/>
      <c r="L2458" s="66"/>
      <c r="M2458" s="66"/>
      <c r="N2458" s="66"/>
      <c r="O2458" s="66"/>
      <c r="P2458" s="66"/>
      <c r="Q2458" s="66"/>
      <c r="R2458" s="66"/>
      <c r="S2458" s="66"/>
      <c r="T2458" s="66"/>
    </row>
    <row r="2459">
      <c r="A2459" s="66"/>
      <c r="B2459" s="66"/>
      <c r="C2459" s="66"/>
      <c r="D2459" s="66"/>
      <c r="E2459" s="15"/>
      <c r="F2459" s="66"/>
      <c r="G2459" s="18"/>
      <c r="H2459" s="15"/>
      <c r="I2459" s="18"/>
      <c r="J2459" s="22"/>
      <c r="K2459" s="108"/>
      <c r="L2459" s="66"/>
      <c r="M2459" s="66"/>
      <c r="N2459" s="66"/>
      <c r="O2459" s="66"/>
      <c r="P2459" s="66"/>
      <c r="Q2459" s="66"/>
      <c r="R2459" s="66"/>
      <c r="S2459" s="66"/>
      <c r="T2459" s="66"/>
    </row>
    <row r="2460">
      <c r="A2460" s="66"/>
      <c r="B2460" s="66"/>
      <c r="C2460" s="66"/>
      <c r="D2460" s="66"/>
      <c r="E2460" s="15"/>
      <c r="F2460" s="66"/>
      <c r="G2460" s="18"/>
      <c r="H2460" s="15"/>
      <c r="I2460" s="18"/>
      <c r="J2460" s="22"/>
      <c r="K2460" s="108"/>
      <c r="L2460" s="66"/>
      <c r="M2460" s="66"/>
      <c r="N2460" s="66"/>
      <c r="O2460" s="66"/>
      <c r="P2460" s="66"/>
      <c r="Q2460" s="66"/>
      <c r="R2460" s="66"/>
      <c r="S2460" s="66"/>
      <c r="T2460" s="66"/>
    </row>
    <row r="2461">
      <c r="A2461" s="66"/>
      <c r="B2461" s="66"/>
      <c r="C2461" s="66"/>
      <c r="D2461" s="66"/>
      <c r="E2461" s="15"/>
      <c r="F2461" s="66"/>
      <c r="G2461" s="18"/>
      <c r="H2461" s="15"/>
      <c r="I2461" s="18"/>
      <c r="J2461" s="22"/>
      <c r="K2461" s="108"/>
      <c r="L2461" s="66"/>
      <c r="M2461" s="66"/>
      <c r="N2461" s="66"/>
      <c r="O2461" s="66"/>
      <c r="P2461" s="66"/>
      <c r="Q2461" s="66"/>
      <c r="R2461" s="66"/>
      <c r="S2461" s="66"/>
      <c r="T2461" s="66"/>
    </row>
    <row r="2462">
      <c r="A2462" s="66"/>
      <c r="B2462" s="66"/>
      <c r="C2462" s="66"/>
      <c r="D2462" s="66"/>
      <c r="E2462" s="15"/>
      <c r="F2462" s="66"/>
      <c r="G2462" s="18"/>
      <c r="H2462" s="15"/>
      <c r="I2462" s="18"/>
      <c r="J2462" s="22"/>
      <c r="K2462" s="108"/>
      <c r="L2462" s="66"/>
      <c r="M2462" s="66"/>
      <c r="N2462" s="66"/>
      <c r="O2462" s="66"/>
      <c r="P2462" s="66"/>
      <c r="Q2462" s="66"/>
      <c r="R2462" s="66"/>
      <c r="S2462" s="66"/>
      <c r="T2462" s="66"/>
    </row>
    <row r="2463">
      <c r="A2463" s="66"/>
      <c r="B2463" s="66"/>
      <c r="C2463" s="66"/>
      <c r="D2463" s="66"/>
      <c r="E2463" s="15"/>
      <c r="F2463" s="66"/>
      <c r="G2463" s="18"/>
      <c r="H2463" s="15"/>
      <c r="I2463" s="18"/>
      <c r="J2463" s="22"/>
      <c r="K2463" s="108"/>
      <c r="L2463" s="66"/>
      <c r="M2463" s="66"/>
      <c r="N2463" s="66"/>
      <c r="O2463" s="66"/>
      <c r="P2463" s="66"/>
      <c r="Q2463" s="66"/>
      <c r="R2463" s="66"/>
      <c r="S2463" s="66"/>
      <c r="T2463" s="66"/>
    </row>
    <row r="2464">
      <c r="A2464" s="66"/>
      <c r="B2464" s="66"/>
      <c r="C2464" s="66"/>
      <c r="D2464" s="66"/>
      <c r="E2464" s="15"/>
      <c r="F2464" s="66"/>
      <c r="G2464" s="18"/>
      <c r="H2464" s="15"/>
      <c r="I2464" s="18"/>
      <c r="J2464" s="22"/>
      <c r="K2464" s="108"/>
      <c r="L2464" s="66"/>
      <c r="M2464" s="66"/>
      <c r="N2464" s="66"/>
      <c r="O2464" s="66"/>
      <c r="P2464" s="66"/>
      <c r="Q2464" s="66"/>
      <c r="R2464" s="66"/>
      <c r="S2464" s="66"/>
      <c r="T2464" s="66"/>
    </row>
    <row r="2465">
      <c r="A2465" s="66"/>
      <c r="B2465" s="66"/>
      <c r="C2465" s="66"/>
      <c r="D2465" s="66"/>
      <c r="E2465" s="15"/>
      <c r="F2465" s="66"/>
      <c r="G2465" s="18"/>
      <c r="H2465" s="15"/>
      <c r="I2465" s="18"/>
      <c r="J2465" s="22"/>
      <c r="K2465" s="108"/>
      <c r="L2465" s="66"/>
      <c r="M2465" s="66"/>
      <c r="N2465" s="66"/>
      <c r="O2465" s="66"/>
      <c r="P2465" s="66"/>
      <c r="Q2465" s="66"/>
      <c r="R2465" s="66"/>
      <c r="S2465" s="66"/>
      <c r="T2465" s="66"/>
    </row>
    <row r="2466">
      <c r="A2466" s="66"/>
      <c r="B2466" s="66"/>
      <c r="C2466" s="66"/>
      <c r="D2466" s="66"/>
      <c r="E2466" s="15"/>
      <c r="F2466" s="66"/>
      <c r="G2466" s="18"/>
      <c r="H2466" s="15"/>
      <c r="I2466" s="18"/>
      <c r="J2466" s="22"/>
      <c r="K2466" s="108"/>
      <c r="L2466" s="66"/>
      <c r="M2466" s="66"/>
      <c r="N2466" s="66"/>
      <c r="O2466" s="66"/>
      <c r="P2466" s="66"/>
      <c r="Q2466" s="66"/>
      <c r="R2466" s="66"/>
      <c r="S2466" s="66"/>
      <c r="T2466" s="66"/>
    </row>
    <row r="2467">
      <c r="A2467" s="66"/>
      <c r="B2467" s="66"/>
      <c r="C2467" s="66"/>
      <c r="D2467" s="66"/>
      <c r="E2467" s="15"/>
      <c r="F2467" s="66"/>
      <c r="G2467" s="18"/>
      <c r="H2467" s="15"/>
      <c r="I2467" s="18"/>
      <c r="J2467" s="22"/>
      <c r="K2467" s="108"/>
      <c r="L2467" s="66"/>
      <c r="M2467" s="66"/>
      <c r="N2467" s="66"/>
      <c r="O2467" s="66"/>
      <c r="P2467" s="66"/>
      <c r="Q2467" s="66"/>
      <c r="R2467" s="66"/>
      <c r="S2467" s="66"/>
      <c r="T2467" s="66"/>
    </row>
    <row r="2468">
      <c r="A2468" s="66"/>
      <c r="B2468" s="66"/>
      <c r="C2468" s="66"/>
      <c r="D2468" s="66"/>
      <c r="E2468" s="15"/>
      <c r="F2468" s="66"/>
      <c r="G2468" s="18"/>
      <c r="H2468" s="15"/>
      <c r="I2468" s="18"/>
      <c r="J2468" s="22"/>
      <c r="K2468" s="108"/>
      <c r="L2468" s="66"/>
      <c r="M2468" s="66"/>
      <c r="N2468" s="66"/>
      <c r="O2468" s="66"/>
      <c r="P2468" s="66"/>
      <c r="Q2468" s="66"/>
      <c r="R2468" s="66"/>
      <c r="S2468" s="66"/>
      <c r="T2468" s="66"/>
    </row>
    <row r="2469">
      <c r="A2469" s="66"/>
      <c r="B2469" s="66"/>
      <c r="C2469" s="66"/>
      <c r="D2469" s="66"/>
      <c r="E2469" s="15"/>
      <c r="F2469" s="66"/>
      <c r="G2469" s="18"/>
      <c r="H2469" s="15"/>
      <c r="I2469" s="18"/>
      <c r="J2469" s="22"/>
      <c r="K2469" s="108"/>
      <c r="L2469" s="66"/>
      <c r="M2469" s="66"/>
      <c r="N2469" s="66"/>
      <c r="O2469" s="66"/>
      <c r="P2469" s="66"/>
      <c r="Q2469" s="66"/>
      <c r="R2469" s="66"/>
      <c r="S2469" s="66"/>
      <c r="T2469" s="66"/>
    </row>
    <row r="2470">
      <c r="A2470" s="66"/>
      <c r="B2470" s="66"/>
      <c r="C2470" s="66"/>
      <c r="D2470" s="66"/>
      <c r="E2470" s="15"/>
      <c r="F2470" s="66"/>
      <c r="G2470" s="18"/>
      <c r="H2470" s="15"/>
      <c r="I2470" s="18"/>
      <c r="J2470" s="22"/>
      <c r="K2470" s="108"/>
      <c r="L2470" s="66"/>
      <c r="M2470" s="66"/>
      <c r="N2470" s="66"/>
      <c r="O2470" s="66"/>
      <c r="P2470" s="66"/>
      <c r="Q2470" s="66"/>
      <c r="R2470" s="66"/>
      <c r="S2470" s="66"/>
      <c r="T2470" s="66"/>
    </row>
    <row r="2471">
      <c r="A2471" s="66"/>
      <c r="B2471" s="66"/>
      <c r="C2471" s="66"/>
      <c r="D2471" s="66"/>
      <c r="E2471" s="15"/>
      <c r="F2471" s="66"/>
      <c r="G2471" s="18"/>
      <c r="H2471" s="15"/>
      <c r="I2471" s="18"/>
      <c r="J2471" s="22"/>
      <c r="K2471" s="108"/>
      <c r="L2471" s="66"/>
      <c r="M2471" s="66"/>
      <c r="N2471" s="66"/>
      <c r="O2471" s="66"/>
      <c r="P2471" s="66"/>
      <c r="Q2471" s="66"/>
      <c r="R2471" s="66"/>
      <c r="S2471" s="66"/>
      <c r="T2471" s="66"/>
    </row>
    <row r="2472">
      <c r="A2472" s="66"/>
      <c r="B2472" s="66"/>
      <c r="C2472" s="66"/>
      <c r="D2472" s="66"/>
      <c r="E2472" s="15"/>
      <c r="F2472" s="66"/>
      <c r="G2472" s="18"/>
      <c r="H2472" s="15"/>
      <c r="I2472" s="18"/>
      <c r="J2472" s="22"/>
      <c r="K2472" s="108"/>
      <c r="L2472" s="66"/>
      <c r="M2472" s="66"/>
      <c r="N2472" s="66"/>
      <c r="O2472" s="66"/>
      <c r="P2472" s="66"/>
      <c r="Q2472" s="66"/>
      <c r="R2472" s="66"/>
      <c r="S2472" s="66"/>
      <c r="T2472" s="66"/>
    </row>
    <row r="2473">
      <c r="A2473" s="66"/>
      <c r="B2473" s="66"/>
      <c r="C2473" s="66"/>
      <c r="D2473" s="66"/>
      <c r="E2473" s="15"/>
      <c r="F2473" s="66"/>
      <c r="G2473" s="18"/>
      <c r="H2473" s="15"/>
      <c r="I2473" s="18"/>
      <c r="J2473" s="22"/>
      <c r="K2473" s="108"/>
      <c r="L2473" s="66"/>
      <c r="M2473" s="66"/>
      <c r="N2473" s="66"/>
      <c r="O2473" s="66"/>
      <c r="P2473" s="66"/>
      <c r="Q2473" s="66"/>
      <c r="R2473" s="66"/>
      <c r="S2473" s="66"/>
      <c r="T2473" s="66"/>
    </row>
    <row r="2474">
      <c r="A2474" s="66"/>
      <c r="B2474" s="66"/>
      <c r="C2474" s="66"/>
      <c r="D2474" s="66"/>
      <c r="E2474" s="15"/>
      <c r="F2474" s="66"/>
      <c r="G2474" s="18"/>
      <c r="H2474" s="15"/>
      <c r="I2474" s="18"/>
      <c r="J2474" s="22"/>
      <c r="K2474" s="108"/>
      <c r="L2474" s="66"/>
      <c r="M2474" s="66"/>
      <c r="N2474" s="66"/>
      <c r="O2474" s="66"/>
      <c r="P2474" s="66"/>
      <c r="Q2474" s="66"/>
      <c r="R2474" s="66"/>
      <c r="S2474" s="66"/>
      <c r="T2474" s="66"/>
    </row>
    <row r="2475">
      <c r="A2475" s="66"/>
      <c r="B2475" s="66"/>
      <c r="C2475" s="66"/>
      <c r="D2475" s="66"/>
      <c r="E2475" s="15"/>
      <c r="F2475" s="66"/>
      <c r="G2475" s="18"/>
      <c r="H2475" s="15"/>
      <c r="I2475" s="18"/>
      <c r="J2475" s="22"/>
      <c r="K2475" s="108"/>
      <c r="L2475" s="66"/>
      <c r="M2475" s="66"/>
      <c r="N2475" s="66"/>
      <c r="O2475" s="66"/>
      <c r="P2475" s="66"/>
      <c r="Q2475" s="66"/>
      <c r="R2475" s="66"/>
      <c r="S2475" s="66"/>
      <c r="T2475" s="66"/>
    </row>
    <row r="2476">
      <c r="A2476" s="66"/>
      <c r="B2476" s="66"/>
      <c r="C2476" s="66"/>
      <c r="D2476" s="66"/>
      <c r="E2476" s="15"/>
      <c r="F2476" s="66"/>
      <c r="G2476" s="18"/>
      <c r="H2476" s="15"/>
      <c r="I2476" s="18"/>
      <c r="J2476" s="22"/>
      <c r="K2476" s="108"/>
      <c r="L2476" s="66"/>
      <c r="M2476" s="66"/>
      <c r="N2476" s="66"/>
      <c r="O2476" s="66"/>
      <c r="P2476" s="66"/>
      <c r="Q2476" s="66"/>
      <c r="R2476" s="66"/>
      <c r="S2476" s="66"/>
      <c r="T2476" s="66"/>
    </row>
    <row r="2477">
      <c r="A2477" s="66"/>
      <c r="B2477" s="66"/>
      <c r="C2477" s="66"/>
      <c r="D2477" s="66"/>
      <c r="E2477" s="15"/>
      <c r="F2477" s="66"/>
      <c r="G2477" s="18"/>
      <c r="H2477" s="15"/>
      <c r="I2477" s="18"/>
      <c r="J2477" s="22"/>
      <c r="K2477" s="108"/>
      <c r="L2477" s="66"/>
      <c r="M2477" s="66"/>
      <c r="N2477" s="66"/>
      <c r="O2477" s="66"/>
      <c r="P2477" s="66"/>
      <c r="Q2477" s="66"/>
      <c r="R2477" s="66"/>
      <c r="S2477" s="66"/>
      <c r="T2477" s="66"/>
    </row>
    <row r="2478">
      <c r="A2478" s="66"/>
      <c r="B2478" s="66"/>
      <c r="C2478" s="66"/>
      <c r="D2478" s="66"/>
      <c r="E2478" s="15"/>
      <c r="F2478" s="66"/>
      <c r="G2478" s="18"/>
      <c r="H2478" s="15"/>
      <c r="I2478" s="18"/>
      <c r="J2478" s="22"/>
      <c r="K2478" s="108"/>
      <c r="L2478" s="66"/>
      <c r="M2478" s="66"/>
      <c r="N2478" s="66"/>
      <c r="O2478" s="66"/>
      <c r="P2478" s="66"/>
      <c r="Q2478" s="66"/>
      <c r="R2478" s="66"/>
      <c r="S2478" s="66"/>
      <c r="T2478" s="66"/>
    </row>
    <row r="2479">
      <c r="A2479" s="66"/>
      <c r="B2479" s="66"/>
      <c r="C2479" s="66"/>
      <c r="D2479" s="66"/>
      <c r="E2479" s="15"/>
      <c r="F2479" s="66"/>
      <c r="G2479" s="18"/>
      <c r="H2479" s="15"/>
      <c r="I2479" s="18"/>
      <c r="J2479" s="22"/>
      <c r="K2479" s="108"/>
      <c r="L2479" s="66"/>
      <c r="M2479" s="66"/>
      <c r="N2479" s="66"/>
      <c r="O2479" s="66"/>
      <c r="P2479" s="66"/>
      <c r="Q2479" s="66"/>
      <c r="R2479" s="66"/>
      <c r="S2479" s="66"/>
      <c r="T2479" s="66"/>
    </row>
    <row r="2480">
      <c r="A2480" s="66"/>
      <c r="B2480" s="66"/>
      <c r="C2480" s="66"/>
      <c r="D2480" s="66"/>
      <c r="E2480" s="15"/>
      <c r="F2480" s="66"/>
      <c r="G2480" s="18"/>
      <c r="H2480" s="15"/>
      <c r="I2480" s="18"/>
      <c r="J2480" s="22"/>
      <c r="K2480" s="108"/>
      <c r="L2480" s="66"/>
      <c r="M2480" s="66"/>
      <c r="N2480" s="66"/>
      <c r="O2480" s="66"/>
      <c r="P2480" s="66"/>
      <c r="Q2480" s="66"/>
      <c r="R2480" s="66"/>
      <c r="S2480" s="66"/>
      <c r="T2480" s="66"/>
    </row>
    <row r="2481">
      <c r="A2481" s="66"/>
      <c r="B2481" s="66"/>
      <c r="C2481" s="66"/>
      <c r="D2481" s="66"/>
      <c r="E2481" s="15"/>
      <c r="F2481" s="66"/>
      <c r="G2481" s="18"/>
      <c r="H2481" s="15"/>
      <c r="I2481" s="18"/>
      <c r="J2481" s="22"/>
      <c r="K2481" s="108"/>
      <c r="L2481" s="66"/>
      <c r="M2481" s="66"/>
      <c r="N2481" s="66"/>
      <c r="O2481" s="66"/>
      <c r="P2481" s="66"/>
      <c r="Q2481" s="66"/>
      <c r="R2481" s="66"/>
      <c r="S2481" s="66"/>
      <c r="T2481" s="66"/>
    </row>
    <row r="2482">
      <c r="A2482" s="66"/>
      <c r="B2482" s="66"/>
      <c r="C2482" s="66"/>
      <c r="D2482" s="66"/>
      <c r="E2482" s="15"/>
      <c r="F2482" s="66"/>
      <c r="G2482" s="18"/>
      <c r="H2482" s="15"/>
      <c r="I2482" s="18"/>
      <c r="J2482" s="22"/>
      <c r="K2482" s="108"/>
      <c r="L2482" s="66"/>
      <c r="M2482" s="66"/>
      <c r="N2482" s="66"/>
      <c r="O2482" s="66"/>
      <c r="P2482" s="66"/>
      <c r="Q2482" s="66"/>
      <c r="R2482" s="66"/>
      <c r="S2482" s="66"/>
      <c r="T2482" s="66"/>
    </row>
    <row r="2483">
      <c r="A2483" s="66"/>
      <c r="B2483" s="66"/>
      <c r="C2483" s="66"/>
      <c r="D2483" s="66"/>
      <c r="E2483" s="15"/>
      <c r="F2483" s="66"/>
      <c r="G2483" s="18"/>
      <c r="H2483" s="15"/>
      <c r="I2483" s="18"/>
      <c r="J2483" s="22"/>
      <c r="K2483" s="108"/>
      <c r="L2483" s="66"/>
      <c r="M2483" s="66"/>
      <c r="N2483" s="66"/>
      <c r="O2483" s="66"/>
      <c r="P2483" s="66"/>
      <c r="Q2483" s="66"/>
      <c r="R2483" s="66"/>
      <c r="S2483" s="66"/>
      <c r="T2483" s="66"/>
    </row>
    <row r="2484">
      <c r="A2484" s="66"/>
      <c r="B2484" s="66"/>
      <c r="C2484" s="66"/>
      <c r="D2484" s="66"/>
      <c r="E2484" s="15"/>
      <c r="F2484" s="66"/>
      <c r="G2484" s="18"/>
      <c r="H2484" s="15"/>
      <c r="I2484" s="18"/>
      <c r="J2484" s="22"/>
      <c r="K2484" s="108"/>
      <c r="L2484" s="66"/>
      <c r="M2484" s="66"/>
      <c r="N2484" s="66"/>
      <c r="O2484" s="66"/>
      <c r="P2484" s="66"/>
      <c r="Q2484" s="66"/>
      <c r="R2484" s="66"/>
      <c r="S2484" s="66"/>
      <c r="T2484" s="66"/>
    </row>
    <row r="2485">
      <c r="A2485" s="66"/>
      <c r="B2485" s="66"/>
      <c r="C2485" s="66"/>
      <c r="D2485" s="66"/>
      <c r="E2485" s="15"/>
      <c r="F2485" s="66"/>
      <c r="G2485" s="18"/>
      <c r="H2485" s="15"/>
      <c r="I2485" s="18"/>
      <c r="J2485" s="22"/>
      <c r="K2485" s="108"/>
      <c r="L2485" s="66"/>
      <c r="M2485" s="66"/>
      <c r="N2485" s="66"/>
      <c r="O2485" s="66"/>
      <c r="P2485" s="66"/>
      <c r="Q2485" s="66"/>
      <c r="R2485" s="66"/>
      <c r="S2485" s="66"/>
      <c r="T2485" s="66"/>
    </row>
    <row r="2486">
      <c r="A2486" s="66"/>
      <c r="B2486" s="66"/>
      <c r="C2486" s="66"/>
      <c r="D2486" s="66"/>
      <c r="E2486" s="15"/>
      <c r="F2486" s="66"/>
      <c r="G2486" s="18"/>
      <c r="H2486" s="15"/>
      <c r="I2486" s="18"/>
      <c r="J2486" s="22"/>
      <c r="K2486" s="108"/>
      <c r="L2486" s="66"/>
      <c r="M2486" s="66"/>
      <c r="N2486" s="66"/>
      <c r="O2486" s="66"/>
      <c r="P2486" s="66"/>
      <c r="Q2486" s="66"/>
      <c r="R2486" s="66"/>
      <c r="S2486" s="66"/>
      <c r="T2486" s="66"/>
    </row>
    <row r="2487">
      <c r="A2487" s="66"/>
      <c r="B2487" s="66"/>
      <c r="C2487" s="66"/>
      <c r="D2487" s="66"/>
      <c r="E2487" s="15"/>
      <c r="F2487" s="66"/>
      <c r="G2487" s="18"/>
      <c r="H2487" s="15"/>
      <c r="I2487" s="18"/>
      <c r="J2487" s="22"/>
      <c r="K2487" s="108"/>
      <c r="L2487" s="66"/>
      <c r="M2487" s="66"/>
      <c r="N2487" s="66"/>
      <c r="O2487" s="66"/>
      <c r="P2487" s="66"/>
      <c r="Q2487" s="66"/>
      <c r="R2487" s="66"/>
      <c r="S2487" s="66"/>
      <c r="T2487" s="66"/>
    </row>
    <row r="2488">
      <c r="A2488" s="66"/>
      <c r="B2488" s="66"/>
      <c r="C2488" s="66"/>
      <c r="D2488" s="66"/>
      <c r="E2488" s="15"/>
      <c r="F2488" s="66"/>
      <c r="G2488" s="18"/>
      <c r="H2488" s="15"/>
      <c r="I2488" s="18"/>
      <c r="J2488" s="22"/>
      <c r="K2488" s="108"/>
      <c r="L2488" s="66"/>
      <c r="M2488" s="66"/>
      <c r="N2488" s="66"/>
      <c r="O2488" s="66"/>
      <c r="P2488" s="66"/>
      <c r="Q2488" s="66"/>
      <c r="R2488" s="66"/>
      <c r="S2488" s="66"/>
      <c r="T2488" s="66"/>
    </row>
    <row r="2489">
      <c r="A2489" s="66"/>
      <c r="B2489" s="66"/>
      <c r="C2489" s="66"/>
      <c r="D2489" s="66"/>
      <c r="E2489" s="15"/>
      <c r="F2489" s="66"/>
      <c r="G2489" s="18"/>
      <c r="H2489" s="15"/>
      <c r="I2489" s="18"/>
      <c r="J2489" s="22"/>
      <c r="K2489" s="108"/>
      <c r="L2489" s="66"/>
      <c r="M2489" s="66"/>
      <c r="N2489" s="66"/>
      <c r="O2489" s="66"/>
      <c r="P2489" s="66"/>
      <c r="Q2489" s="66"/>
      <c r="R2489" s="66"/>
      <c r="S2489" s="66"/>
      <c r="T2489" s="66"/>
    </row>
    <row r="2490">
      <c r="A2490" s="66"/>
      <c r="B2490" s="66"/>
      <c r="C2490" s="66"/>
      <c r="D2490" s="66"/>
      <c r="E2490" s="15"/>
      <c r="F2490" s="66"/>
      <c r="G2490" s="18"/>
      <c r="H2490" s="15"/>
      <c r="I2490" s="18"/>
      <c r="J2490" s="22"/>
      <c r="K2490" s="108"/>
      <c r="L2490" s="66"/>
      <c r="M2490" s="66"/>
      <c r="N2490" s="66"/>
      <c r="O2490" s="66"/>
      <c r="P2490" s="66"/>
      <c r="Q2490" s="66"/>
      <c r="R2490" s="66"/>
      <c r="S2490" s="66"/>
      <c r="T2490" s="66"/>
    </row>
    <row r="2491">
      <c r="A2491" s="66"/>
      <c r="B2491" s="66"/>
      <c r="C2491" s="66"/>
      <c r="D2491" s="66"/>
      <c r="E2491" s="15"/>
      <c r="F2491" s="66"/>
      <c r="G2491" s="18"/>
      <c r="H2491" s="15"/>
      <c r="I2491" s="18"/>
      <c r="J2491" s="22"/>
      <c r="K2491" s="108"/>
      <c r="L2491" s="66"/>
      <c r="M2491" s="66"/>
      <c r="N2491" s="66"/>
      <c r="O2491" s="66"/>
      <c r="P2491" s="66"/>
      <c r="Q2491" s="66"/>
      <c r="R2491" s="66"/>
      <c r="S2491" s="66"/>
      <c r="T2491" s="66"/>
    </row>
    <row r="2492">
      <c r="A2492" s="66"/>
      <c r="B2492" s="66"/>
      <c r="C2492" s="66"/>
      <c r="D2492" s="66"/>
      <c r="E2492" s="15"/>
      <c r="F2492" s="66"/>
      <c r="G2492" s="18"/>
      <c r="H2492" s="15"/>
      <c r="I2492" s="18"/>
      <c r="J2492" s="22"/>
      <c r="K2492" s="108"/>
      <c r="L2492" s="66"/>
      <c r="M2492" s="66"/>
      <c r="N2492" s="66"/>
      <c r="O2492" s="66"/>
      <c r="P2492" s="66"/>
      <c r="Q2492" s="66"/>
      <c r="R2492" s="66"/>
      <c r="S2492" s="66"/>
      <c r="T2492" s="66"/>
    </row>
    <row r="2493">
      <c r="A2493" s="66"/>
      <c r="B2493" s="66"/>
      <c r="C2493" s="66"/>
      <c r="D2493" s="66"/>
      <c r="E2493" s="15"/>
      <c r="F2493" s="66"/>
      <c r="G2493" s="18"/>
      <c r="H2493" s="15"/>
      <c r="I2493" s="18"/>
      <c r="J2493" s="22"/>
      <c r="K2493" s="108"/>
      <c r="L2493" s="66"/>
      <c r="M2493" s="66"/>
      <c r="N2493" s="66"/>
      <c r="O2493" s="66"/>
      <c r="P2493" s="66"/>
      <c r="Q2493" s="66"/>
      <c r="R2493" s="66"/>
      <c r="S2493" s="66"/>
      <c r="T2493" s="66"/>
    </row>
    <row r="2494">
      <c r="A2494" s="66"/>
      <c r="B2494" s="66"/>
      <c r="C2494" s="66"/>
      <c r="D2494" s="66"/>
      <c r="E2494" s="15"/>
      <c r="F2494" s="66"/>
      <c r="G2494" s="18"/>
      <c r="H2494" s="15"/>
      <c r="I2494" s="18"/>
      <c r="J2494" s="22"/>
      <c r="K2494" s="108"/>
      <c r="L2494" s="66"/>
      <c r="M2494" s="66"/>
      <c r="N2494" s="66"/>
      <c r="O2494" s="66"/>
      <c r="P2494" s="66"/>
      <c r="Q2494" s="66"/>
      <c r="R2494" s="66"/>
      <c r="S2494" s="66"/>
      <c r="T2494" s="66"/>
    </row>
    <row r="2495">
      <c r="A2495" s="66"/>
      <c r="B2495" s="66"/>
      <c r="C2495" s="66"/>
      <c r="D2495" s="66"/>
      <c r="E2495" s="15"/>
      <c r="F2495" s="66"/>
      <c r="G2495" s="18"/>
      <c r="H2495" s="15"/>
      <c r="I2495" s="18"/>
      <c r="J2495" s="22"/>
      <c r="K2495" s="108"/>
      <c r="L2495" s="66"/>
      <c r="M2495" s="66"/>
      <c r="N2495" s="66"/>
      <c r="O2495" s="66"/>
      <c r="P2495" s="66"/>
      <c r="Q2495" s="66"/>
      <c r="R2495" s="66"/>
      <c r="S2495" s="66"/>
      <c r="T2495" s="66"/>
    </row>
    <row r="2496">
      <c r="A2496" s="66"/>
      <c r="B2496" s="66"/>
      <c r="C2496" s="66"/>
      <c r="D2496" s="66"/>
      <c r="E2496" s="15"/>
      <c r="F2496" s="66"/>
      <c r="G2496" s="18"/>
      <c r="H2496" s="15"/>
      <c r="I2496" s="18"/>
      <c r="J2496" s="22"/>
      <c r="K2496" s="108"/>
      <c r="L2496" s="66"/>
      <c r="M2496" s="66"/>
      <c r="N2496" s="66"/>
      <c r="O2496" s="66"/>
      <c r="P2496" s="66"/>
      <c r="Q2496" s="66"/>
      <c r="R2496" s="66"/>
      <c r="S2496" s="66"/>
      <c r="T2496" s="66"/>
    </row>
    <row r="2497">
      <c r="A2497" s="66"/>
      <c r="B2497" s="66"/>
      <c r="C2497" s="66"/>
      <c r="D2497" s="66"/>
      <c r="E2497" s="15"/>
      <c r="F2497" s="66"/>
      <c r="G2497" s="18"/>
      <c r="H2497" s="15"/>
      <c r="I2497" s="18"/>
      <c r="J2497" s="22"/>
      <c r="K2497" s="108"/>
      <c r="L2497" s="66"/>
      <c r="M2497" s="66"/>
      <c r="N2497" s="66"/>
      <c r="O2497" s="66"/>
      <c r="P2497" s="66"/>
      <c r="Q2497" s="66"/>
      <c r="R2497" s="66"/>
      <c r="S2497" s="66"/>
      <c r="T2497" s="66"/>
    </row>
    <row r="2498">
      <c r="A2498" s="66"/>
      <c r="B2498" s="66"/>
      <c r="C2498" s="66"/>
      <c r="D2498" s="66"/>
      <c r="E2498" s="15"/>
      <c r="F2498" s="66"/>
      <c r="G2498" s="18"/>
      <c r="H2498" s="15"/>
      <c r="I2498" s="18"/>
      <c r="J2498" s="22"/>
      <c r="K2498" s="108"/>
      <c r="L2498" s="66"/>
      <c r="M2498" s="66"/>
      <c r="N2498" s="66"/>
      <c r="O2498" s="66"/>
      <c r="P2498" s="66"/>
      <c r="Q2498" s="66"/>
      <c r="R2498" s="66"/>
      <c r="S2498" s="66"/>
      <c r="T2498" s="66"/>
    </row>
    <row r="2499">
      <c r="A2499" s="66"/>
      <c r="B2499" s="66"/>
      <c r="C2499" s="66"/>
      <c r="D2499" s="66"/>
      <c r="E2499" s="15"/>
      <c r="F2499" s="66"/>
      <c r="G2499" s="18"/>
      <c r="H2499" s="15"/>
      <c r="I2499" s="18"/>
      <c r="J2499" s="22"/>
      <c r="K2499" s="108"/>
      <c r="L2499" s="66"/>
      <c r="M2499" s="66"/>
      <c r="N2499" s="66"/>
      <c r="O2499" s="66"/>
      <c r="P2499" s="66"/>
      <c r="Q2499" s="66"/>
      <c r="R2499" s="66"/>
      <c r="S2499" s="66"/>
      <c r="T2499" s="66"/>
    </row>
    <row r="2500">
      <c r="A2500" s="66"/>
      <c r="B2500" s="66"/>
      <c r="C2500" s="66"/>
      <c r="D2500" s="66"/>
      <c r="E2500" s="15"/>
      <c r="F2500" s="66"/>
      <c r="G2500" s="18"/>
      <c r="H2500" s="15"/>
      <c r="I2500" s="18"/>
      <c r="J2500" s="22"/>
      <c r="K2500" s="108"/>
      <c r="L2500" s="66"/>
      <c r="M2500" s="66"/>
      <c r="N2500" s="66"/>
      <c r="O2500" s="66"/>
      <c r="P2500" s="66"/>
      <c r="Q2500" s="66"/>
      <c r="R2500" s="66"/>
      <c r="S2500" s="66"/>
      <c r="T2500" s="66"/>
    </row>
    <row r="2501">
      <c r="A2501" s="66"/>
      <c r="B2501" s="66"/>
      <c r="C2501" s="66"/>
      <c r="D2501" s="66"/>
      <c r="E2501" s="15"/>
      <c r="F2501" s="66"/>
      <c r="G2501" s="18"/>
      <c r="H2501" s="15"/>
      <c r="I2501" s="18"/>
      <c r="J2501" s="22"/>
      <c r="K2501" s="108"/>
      <c r="L2501" s="66"/>
      <c r="M2501" s="66"/>
      <c r="N2501" s="66"/>
      <c r="O2501" s="66"/>
      <c r="P2501" s="66"/>
      <c r="Q2501" s="66"/>
      <c r="R2501" s="66"/>
      <c r="S2501" s="66"/>
      <c r="T2501" s="66"/>
    </row>
    <row r="2502">
      <c r="A2502" s="66"/>
      <c r="B2502" s="66"/>
      <c r="C2502" s="66"/>
      <c r="D2502" s="66"/>
      <c r="E2502" s="15"/>
      <c r="F2502" s="66"/>
      <c r="G2502" s="18"/>
      <c r="H2502" s="15"/>
      <c r="I2502" s="18"/>
      <c r="J2502" s="22"/>
      <c r="K2502" s="108"/>
      <c r="L2502" s="66"/>
      <c r="M2502" s="66"/>
      <c r="N2502" s="66"/>
      <c r="O2502" s="66"/>
      <c r="P2502" s="66"/>
      <c r="Q2502" s="66"/>
      <c r="R2502" s="66"/>
      <c r="S2502" s="66"/>
      <c r="T2502" s="66"/>
    </row>
    <row r="2503">
      <c r="A2503" s="66"/>
      <c r="B2503" s="66"/>
      <c r="C2503" s="66"/>
      <c r="D2503" s="66"/>
      <c r="E2503" s="15"/>
      <c r="F2503" s="66"/>
      <c r="G2503" s="18"/>
      <c r="H2503" s="15"/>
      <c r="I2503" s="18"/>
      <c r="J2503" s="22"/>
      <c r="K2503" s="108"/>
      <c r="L2503" s="66"/>
      <c r="M2503" s="66"/>
      <c r="N2503" s="66"/>
      <c r="O2503" s="66"/>
      <c r="P2503" s="66"/>
      <c r="Q2503" s="66"/>
      <c r="R2503" s="66"/>
      <c r="S2503" s="66"/>
      <c r="T2503" s="66"/>
    </row>
    <row r="2504">
      <c r="A2504" s="66"/>
      <c r="B2504" s="66"/>
      <c r="C2504" s="66"/>
      <c r="D2504" s="66"/>
      <c r="E2504" s="15"/>
      <c r="F2504" s="66"/>
      <c r="G2504" s="18"/>
      <c r="H2504" s="15"/>
      <c r="I2504" s="18"/>
      <c r="J2504" s="22"/>
      <c r="K2504" s="108"/>
      <c r="L2504" s="66"/>
      <c r="M2504" s="66"/>
      <c r="N2504" s="66"/>
      <c r="O2504" s="66"/>
      <c r="P2504" s="66"/>
      <c r="Q2504" s="66"/>
      <c r="R2504" s="66"/>
      <c r="S2504" s="66"/>
      <c r="T2504" s="66"/>
    </row>
    <row r="2505">
      <c r="A2505" s="66"/>
      <c r="B2505" s="66"/>
      <c r="C2505" s="66"/>
      <c r="D2505" s="66"/>
      <c r="E2505" s="15"/>
      <c r="F2505" s="66"/>
      <c r="G2505" s="18"/>
      <c r="H2505" s="15"/>
      <c r="I2505" s="18"/>
      <c r="J2505" s="22"/>
      <c r="K2505" s="108"/>
      <c r="L2505" s="66"/>
      <c r="M2505" s="66"/>
      <c r="N2505" s="66"/>
      <c r="O2505" s="66"/>
      <c r="P2505" s="66"/>
      <c r="Q2505" s="66"/>
      <c r="R2505" s="66"/>
      <c r="S2505" s="66"/>
      <c r="T2505" s="66"/>
    </row>
    <row r="2506">
      <c r="A2506" s="66"/>
      <c r="B2506" s="66"/>
      <c r="C2506" s="66"/>
      <c r="D2506" s="66"/>
      <c r="E2506" s="15"/>
      <c r="F2506" s="66"/>
      <c r="G2506" s="18"/>
      <c r="H2506" s="15"/>
      <c r="I2506" s="18"/>
      <c r="J2506" s="22"/>
      <c r="K2506" s="108"/>
      <c r="L2506" s="66"/>
      <c r="M2506" s="66"/>
      <c r="N2506" s="66"/>
      <c r="O2506" s="66"/>
      <c r="P2506" s="66"/>
      <c r="Q2506" s="66"/>
      <c r="R2506" s="66"/>
      <c r="S2506" s="66"/>
      <c r="T2506" s="66"/>
    </row>
    <row r="2507">
      <c r="A2507" s="66"/>
      <c r="B2507" s="66"/>
      <c r="C2507" s="66"/>
      <c r="D2507" s="66"/>
      <c r="E2507" s="15"/>
      <c r="F2507" s="66"/>
      <c r="G2507" s="18"/>
      <c r="H2507" s="15"/>
      <c r="I2507" s="18"/>
      <c r="J2507" s="22"/>
      <c r="K2507" s="108"/>
      <c r="L2507" s="66"/>
      <c r="M2507" s="66"/>
      <c r="N2507" s="66"/>
      <c r="O2507" s="66"/>
      <c r="P2507" s="66"/>
      <c r="Q2507" s="66"/>
      <c r="R2507" s="66"/>
      <c r="S2507" s="66"/>
      <c r="T2507" s="66"/>
    </row>
    <row r="2508">
      <c r="A2508" s="66"/>
      <c r="B2508" s="66"/>
      <c r="C2508" s="66"/>
      <c r="D2508" s="66"/>
      <c r="E2508" s="15"/>
      <c r="F2508" s="66"/>
      <c r="G2508" s="18"/>
      <c r="H2508" s="15"/>
      <c r="I2508" s="18"/>
      <c r="J2508" s="22"/>
      <c r="K2508" s="108"/>
      <c r="L2508" s="66"/>
      <c r="M2508" s="66"/>
      <c r="N2508" s="66"/>
      <c r="O2508" s="66"/>
      <c r="P2508" s="66"/>
      <c r="Q2508" s="66"/>
      <c r="R2508" s="66"/>
      <c r="S2508" s="66"/>
      <c r="T2508" s="66"/>
    </row>
    <row r="2509">
      <c r="A2509" s="66"/>
      <c r="B2509" s="66"/>
      <c r="C2509" s="66"/>
      <c r="D2509" s="66"/>
      <c r="E2509" s="15"/>
      <c r="F2509" s="66"/>
      <c r="G2509" s="18"/>
      <c r="H2509" s="15"/>
      <c r="I2509" s="18"/>
      <c r="J2509" s="22"/>
      <c r="K2509" s="108"/>
      <c r="L2509" s="66"/>
      <c r="M2509" s="66"/>
      <c r="N2509" s="66"/>
      <c r="O2509" s="66"/>
      <c r="P2509" s="66"/>
      <c r="Q2509" s="66"/>
      <c r="R2509" s="66"/>
      <c r="S2509" s="66"/>
      <c r="T2509" s="66"/>
    </row>
    <row r="2510">
      <c r="A2510" s="66"/>
      <c r="B2510" s="66"/>
      <c r="C2510" s="66"/>
      <c r="D2510" s="66"/>
      <c r="E2510" s="15"/>
      <c r="F2510" s="66"/>
      <c r="G2510" s="18"/>
      <c r="H2510" s="15"/>
      <c r="I2510" s="18"/>
      <c r="J2510" s="22"/>
      <c r="K2510" s="108"/>
      <c r="L2510" s="66"/>
      <c r="M2510" s="66"/>
      <c r="N2510" s="66"/>
      <c r="O2510" s="66"/>
      <c r="P2510" s="66"/>
      <c r="Q2510" s="66"/>
      <c r="R2510" s="66"/>
      <c r="S2510" s="66"/>
      <c r="T2510" s="66"/>
    </row>
    <row r="2511">
      <c r="A2511" s="66"/>
      <c r="B2511" s="66"/>
      <c r="C2511" s="66"/>
      <c r="D2511" s="66"/>
      <c r="E2511" s="15"/>
      <c r="F2511" s="66"/>
      <c r="G2511" s="18"/>
      <c r="H2511" s="15"/>
      <c r="I2511" s="18"/>
      <c r="J2511" s="22"/>
      <c r="K2511" s="108"/>
      <c r="L2511" s="66"/>
      <c r="M2511" s="66"/>
      <c r="N2511" s="66"/>
      <c r="O2511" s="66"/>
      <c r="P2511" s="66"/>
      <c r="Q2511" s="66"/>
      <c r="R2511" s="66"/>
      <c r="S2511" s="66"/>
      <c r="T2511" s="66"/>
    </row>
    <row r="2512">
      <c r="A2512" s="66"/>
      <c r="B2512" s="66"/>
      <c r="C2512" s="66"/>
      <c r="D2512" s="66"/>
      <c r="E2512" s="15"/>
      <c r="F2512" s="66"/>
      <c r="G2512" s="18"/>
      <c r="H2512" s="15"/>
      <c r="I2512" s="18"/>
      <c r="J2512" s="22"/>
      <c r="K2512" s="108"/>
      <c r="L2512" s="66"/>
      <c r="M2512" s="66"/>
      <c r="N2512" s="66"/>
      <c r="O2512" s="66"/>
      <c r="P2512" s="66"/>
      <c r="Q2512" s="66"/>
      <c r="R2512" s="66"/>
      <c r="S2512" s="66"/>
      <c r="T2512" s="66"/>
    </row>
    <row r="2513">
      <c r="A2513" s="66"/>
      <c r="B2513" s="66"/>
      <c r="C2513" s="66"/>
      <c r="D2513" s="66"/>
      <c r="E2513" s="15"/>
      <c r="F2513" s="66"/>
      <c r="G2513" s="18"/>
      <c r="H2513" s="15"/>
      <c r="I2513" s="18"/>
      <c r="J2513" s="22"/>
      <c r="K2513" s="108"/>
      <c r="L2513" s="66"/>
      <c r="M2513" s="66"/>
      <c r="N2513" s="66"/>
      <c r="O2513" s="66"/>
      <c r="P2513" s="66"/>
      <c r="Q2513" s="66"/>
      <c r="R2513" s="66"/>
      <c r="S2513" s="66"/>
      <c r="T2513" s="66"/>
    </row>
    <row r="2514">
      <c r="A2514" s="66"/>
      <c r="B2514" s="66"/>
      <c r="C2514" s="66"/>
      <c r="D2514" s="66"/>
      <c r="E2514" s="15"/>
      <c r="F2514" s="66"/>
      <c r="G2514" s="18"/>
      <c r="H2514" s="15"/>
      <c r="I2514" s="18"/>
      <c r="J2514" s="22"/>
      <c r="K2514" s="108"/>
      <c r="L2514" s="66"/>
      <c r="M2514" s="66"/>
      <c r="N2514" s="66"/>
      <c r="O2514" s="66"/>
      <c r="P2514" s="66"/>
      <c r="Q2514" s="66"/>
      <c r="R2514" s="66"/>
      <c r="S2514" s="66"/>
      <c r="T2514" s="66"/>
    </row>
    <row r="2515">
      <c r="A2515" s="66"/>
      <c r="B2515" s="66"/>
      <c r="C2515" s="66"/>
      <c r="D2515" s="66"/>
      <c r="E2515" s="15"/>
      <c r="F2515" s="66"/>
      <c r="G2515" s="18"/>
      <c r="H2515" s="15"/>
      <c r="I2515" s="18"/>
      <c r="J2515" s="22"/>
      <c r="K2515" s="108"/>
      <c r="L2515" s="66"/>
      <c r="M2515" s="66"/>
      <c r="N2515" s="66"/>
      <c r="O2515" s="66"/>
      <c r="P2515" s="66"/>
      <c r="Q2515" s="66"/>
      <c r="R2515" s="66"/>
      <c r="S2515" s="66"/>
      <c r="T2515" s="66"/>
    </row>
    <row r="2516">
      <c r="A2516" s="66"/>
      <c r="B2516" s="66"/>
      <c r="C2516" s="66"/>
      <c r="D2516" s="66"/>
      <c r="E2516" s="15"/>
      <c r="F2516" s="66"/>
      <c r="G2516" s="18"/>
      <c r="H2516" s="15"/>
      <c r="I2516" s="18"/>
      <c r="J2516" s="22"/>
      <c r="K2516" s="108"/>
      <c r="L2516" s="66"/>
      <c r="M2516" s="66"/>
      <c r="N2516" s="66"/>
      <c r="O2516" s="66"/>
      <c r="P2516" s="66"/>
      <c r="Q2516" s="66"/>
      <c r="R2516" s="66"/>
      <c r="S2516" s="66"/>
      <c r="T2516" s="66"/>
    </row>
    <row r="2517">
      <c r="A2517" s="66"/>
      <c r="B2517" s="66"/>
      <c r="C2517" s="66"/>
      <c r="D2517" s="66"/>
      <c r="E2517" s="15"/>
      <c r="F2517" s="66"/>
      <c r="G2517" s="18"/>
      <c r="H2517" s="15"/>
      <c r="I2517" s="18"/>
      <c r="J2517" s="22"/>
      <c r="K2517" s="108"/>
      <c r="L2517" s="66"/>
      <c r="M2517" s="66"/>
      <c r="N2517" s="66"/>
      <c r="O2517" s="66"/>
      <c r="P2517" s="66"/>
      <c r="Q2517" s="66"/>
      <c r="R2517" s="66"/>
      <c r="S2517" s="66"/>
      <c r="T2517" s="66"/>
    </row>
    <row r="2518">
      <c r="A2518" s="66"/>
      <c r="B2518" s="66"/>
      <c r="C2518" s="66"/>
      <c r="D2518" s="66"/>
      <c r="E2518" s="15"/>
      <c r="F2518" s="66"/>
      <c r="G2518" s="18"/>
      <c r="H2518" s="15"/>
      <c r="I2518" s="18"/>
      <c r="J2518" s="22"/>
      <c r="K2518" s="108"/>
      <c r="L2518" s="66"/>
      <c r="M2518" s="66"/>
      <c r="N2518" s="66"/>
      <c r="O2518" s="66"/>
      <c r="P2518" s="66"/>
      <c r="Q2518" s="66"/>
      <c r="R2518" s="66"/>
      <c r="S2518" s="66"/>
      <c r="T2518" s="66"/>
    </row>
    <row r="2519">
      <c r="A2519" s="66"/>
      <c r="B2519" s="66"/>
      <c r="C2519" s="66"/>
      <c r="D2519" s="66"/>
      <c r="E2519" s="15"/>
      <c r="F2519" s="66"/>
      <c r="G2519" s="18"/>
      <c r="H2519" s="15"/>
      <c r="I2519" s="18"/>
      <c r="J2519" s="22"/>
      <c r="K2519" s="108"/>
      <c r="L2519" s="66"/>
      <c r="M2519" s="66"/>
      <c r="N2519" s="66"/>
      <c r="O2519" s="66"/>
      <c r="P2519" s="66"/>
      <c r="Q2519" s="66"/>
      <c r="R2519" s="66"/>
      <c r="S2519" s="66"/>
      <c r="T2519" s="66"/>
    </row>
    <row r="2520">
      <c r="A2520" s="66"/>
      <c r="B2520" s="66"/>
      <c r="C2520" s="66"/>
      <c r="D2520" s="66"/>
      <c r="E2520" s="15"/>
      <c r="F2520" s="66"/>
      <c r="G2520" s="18"/>
      <c r="H2520" s="15"/>
      <c r="I2520" s="18"/>
      <c r="J2520" s="22"/>
      <c r="K2520" s="108"/>
      <c r="L2520" s="66"/>
      <c r="M2520" s="66"/>
      <c r="N2520" s="66"/>
      <c r="O2520" s="66"/>
      <c r="P2520" s="66"/>
      <c r="Q2520" s="66"/>
      <c r="R2520" s="66"/>
      <c r="S2520" s="66"/>
      <c r="T2520" s="66"/>
    </row>
    <row r="2521">
      <c r="A2521" s="66"/>
      <c r="B2521" s="66"/>
      <c r="C2521" s="66"/>
      <c r="D2521" s="66"/>
      <c r="E2521" s="15"/>
      <c r="F2521" s="66"/>
      <c r="G2521" s="18"/>
      <c r="H2521" s="15"/>
      <c r="I2521" s="18"/>
      <c r="J2521" s="22"/>
      <c r="K2521" s="108"/>
      <c r="L2521" s="66"/>
      <c r="M2521" s="66"/>
      <c r="N2521" s="66"/>
      <c r="O2521" s="66"/>
      <c r="P2521" s="66"/>
      <c r="Q2521" s="66"/>
      <c r="R2521" s="66"/>
      <c r="S2521" s="66"/>
      <c r="T2521" s="66"/>
    </row>
    <row r="2522">
      <c r="A2522" s="66"/>
      <c r="B2522" s="66"/>
      <c r="C2522" s="66"/>
      <c r="D2522" s="66"/>
      <c r="E2522" s="15"/>
      <c r="F2522" s="66"/>
      <c r="G2522" s="18"/>
      <c r="H2522" s="15"/>
      <c r="I2522" s="18"/>
      <c r="J2522" s="22"/>
      <c r="K2522" s="108"/>
      <c r="L2522" s="66"/>
      <c r="M2522" s="66"/>
      <c r="N2522" s="66"/>
      <c r="O2522" s="66"/>
      <c r="P2522" s="66"/>
      <c r="Q2522" s="66"/>
      <c r="R2522" s="66"/>
      <c r="S2522" s="66"/>
      <c r="T2522" s="66"/>
    </row>
    <row r="2523">
      <c r="A2523" s="66"/>
      <c r="B2523" s="66"/>
      <c r="C2523" s="66"/>
      <c r="D2523" s="66"/>
      <c r="E2523" s="15"/>
      <c r="F2523" s="66"/>
      <c r="G2523" s="18"/>
      <c r="H2523" s="15"/>
      <c r="I2523" s="18"/>
      <c r="J2523" s="22"/>
      <c r="K2523" s="108"/>
      <c r="L2523" s="66"/>
      <c r="M2523" s="66"/>
      <c r="N2523" s="66"/>
      <c r="O2523" s="66"/>
      <c r="P2523" s="66"/>
      <c r="Q2523" s="66"/>
      <c r="R2523" s="66"/>
      <c r="S2523" s="66"/>
      <c r="T2523" s="66"/>
    </row>
    <row r="2524">
      <c r="A2524" s="66"/>
      <c r="B2524" s="66"/>
      <c r="C2524" s="66"/>
      <c r="D2524" s="66"/>
      <c r="E2524" s="15"/>
      <c r="F2524" s="66"/>
      <c r="G2524" s="18"/>
      <c r="H2524" s="15"/>
      <c r="I2524" s="18"/>
      <c r="J2524" s="22"/>
      <c r="K2524" s="108"/>
      <c r="L2524" s="66"/>
      <c r="M2524" s="66"/>
      <c r="N2524" s="66"/>
      <c r="O2524" s="66"/>
      <c r="P2524" s="66"/>
      <c r="Q2524" s="66"/>
      <c r="R2524" s="66"/>
      <c r="S2524" s="66"/>
      <c r="T2524" s="66"/>
    </row>
    <row r="2525">
      <c r="A2525" s="66"/>
      <c r="B2525" s="66"/>
      <c r="C2525" s="66"/>
      <c r="D2525" s="66"/>
      <c r="E2525" s="15"/>
      <c r="F2525" s="66"/>
      <c r="G2525" s="18"/>
      <c r="H2525" s="15"/>
      <c r="I2525" s="18"/>
      <c r="J2525" s="22"/>
      <c r="K2525" s="108"/>
      <c r="L2525" s="66"/>
      <c r="M2525" s="66"/>
      <c r="N2525" s="66"/>
      <c r="O2525" s="66"/>
      <c r="P2525" s="66"/>
      <c r="Q2525" s="66"/>
      <c r="R2525" s="66"/>
      <c r="S2525" s="66"/>
      <c r="T2525" s="66"/>
    </row>
    <row r="2526">
      <c r="A2526" s="66"/>
      <c r="B2526" s="66"/>
      <c r="C2526" s="66"/>
      <c r="D2526" s="66"/>
      <c r="E2526" s="15"/>
      <c r="F2526" s="66"/>
      <c r="G2526" s="18"/>
      <c r="H2526" s="15"/>
      <c r="I2526" s="18"/>
      <c r="J2526" s="22"/>
      <c r="K2526" s="108"/>
      <c r="L2526" s="66"/>
      <c r="M2526" s="66"/>
      <c r="N2526" s="66"/>
      <c r="O2526" s="66"/>
      <c r="P2526" s="66"/>
      <c r="Q2526" s="66"/>
      <c r="R2526" s="66"/>
      <c r="S2526" s="66"/>
      <c r="T2526" s="66"/>
    </row>
    <row r="2527">
      <c r="A2527" s="66"/>
      <c r="B2527" s="66"/>
      <c r="C2527" s="66"/>
      <c r="D2527" s="66"/>
      <c r="E2527" s="15"/>
      <c r="F2527" s="66"/>
      <c r="G2527" s="18"/>
      <c r="H2527" s="15"/>
      <c r="I2527" s="18"/>
      <c r="J2527" s="22"/>
      <c r="K2527" s="108"/>
      <c r="L2527" s="66"/>
      <c r="M2527" s="66"/>
      <c r="N2527" s="66"/>
      <c r="O2527" s="66"/>
      <c r="P2527" s="66"/>
      <c r="Q2527" s="66"/>
      <c r="R2527" s="66"/>
      <c r="S2527" s="66"/>
      <c r="T2527" s="66"/>
    </row>
    <row r="2528">
      <c r="A2528" s="66"/>
      <c r="B2528" s="66"/>
      <c r="C2528" s="66"/>
      <c r="D2528" s="66"/>
      <c r="E2528" s="15"/>
      <c r="F2528" s="66"/>
      <c r="G2528" s="18"/>
      <c r="H2528" s="15"/>
      <c r="I2528" s="18"/>
      <c r="J2528" s="22"/>
      <c r="K2528" s="108"/>
      <c r="L2528" s="66"/>
      <c r="M2528" s="66"/>
      <c r="N2528" s="66"/>
      <c r="O2528" s="66"/>
      <c r="P2528" s="66"/>
      <c r="Q2528" s="66"/>
      <c r="R2528" s="66"/>
      <c r="S2528" s="66"/>
      <c r="T2528" s="66"/>
    </row>
    <row r="2529">
      <c r="A2529" s="66"/>
      <c r="B2529" s="66"/>
      <c r="C2529" s="66"/>
      <c r="D2529" s="66"/>
      <c r="E2529" s="15"/>
      <c r="F2529" s="66"/>
      <c r="G2529" s="18"/>
      <c r="H2529" s="15"/>
      <c r="I2529" s="18"/>
      <c r="J2529" s="22"/>
      <c r="K2529" s="108"/>
      <c r="L2529" s="66"/>
      <c r="M2529" s="66"/>
      <c r="N2529" s="66"/>
      <c r="O2529" s="66"/>
      <c r="P2529" s="66"/>
      <c r="Q2529" s="66"/>
      <c r="R2529" s="66"/>
      <c r="S2529" s="66"/>
      <c r="T2529" s="66"/>
    </row>
    <row r="2530">
      <c r="A2530" s="66"/>
      <c r="B2530" s="66"/>
      <c r="C2530" s="66"/>
      <c r="D2530" s="66"/>
      <c r="E2530" s="15"/>
      <c r="F2530" s="66"/>
      <c r="G2530" s="18"/>
      <c r="H2530" s="15"/>
      <c r="I2530" s="18"/>
      <c r="J2530" s="22"/>
      <c r="K2530" s="108"/>
      <c r="L2530" s="66"/>
      <c r="M2530" s="66"/>
      <c r="N2530" s="66"/>
      <c r="O2530" s="66"/>
      <c r="P2530" s="66"/>
      <c r="Q2530" s="66"/>
      <c r="R2530" s="66"/>
      <c r="S2530" s="66"/>
      <c r="T2530" s="66"/>
    </row>
    <row r="2531">
      <c r="A2531" s="66"/>
      <c r="B2531" s="66"/>
      <c r="C2531" s="66"/>
      <c r="D2531" s="66"/>
      <c r="E2531" s="15"/>
      <c r="F2531" s="66"/>
      <c r="G2531" s="18"/>
      <c r="H2531" s="15"/>
      <c r="I2531" s="18"/>
      <c r="J2531" s="22"/>
      <c r="K2531" s="108"/>
      <c r="L2531" s="66"/>
      <c r="M2531" s="66"/>
      <c r="N2531" s="66"/>
      <c r="O2531" s="66"/>
      <c r="P2531" s="66"/>
      <c r="Q2531" s="66"/>
      <c r="R2531" s="66"/>
      <c r="S2531" s="66"/>
      <c r="T2531" s="66"/>
    </row>
    <row r="2532">
      <c r="A2532" s="66"/>
      <c r="B2532" s="66"/>
      <c r="C2532" s="66"/>
      <c r="D2532" s="66"/>
      <c r="E2532" s="15"/>
      <c r="F2532" s="66"/>
      <c r="G2532" s="18"/>
      <c r="H2532" s="15"/>
      <c r="I2532" s="18"/>
      <c r="J2532" s="22"/>
      <c r="K2532" s="108"/>
      <c r="L2532" s="66"/>
      <c r="M2532" s="66"/>
      <c r="N2532" s="66"/>
      <c r="O2532" s="66"/>
      <c r="P2532" s="66"/>
      <c r="Q2532" s="66"/>
      <c r="R2532" s="66"/>
      <c r="S2532" s="66"/>
      <c r="T2532" s="66"/>
    </row>
    <row r="2533">
      <c r="A2533" s="66"/>
      <c r="B2533" s="66"/>
      <c r="C2533" s="66"/>
      <c r="D2533" s="66"/>
      <c r="E2533" s="15"/>
      <c r="F2533" s="66"/>
      <c r="G2533" s="18"/>
      <c r="H2533" s="15"/>
      <c r="I2533" s="18"/>
      <c r="J2533" s="22"/>
      <c r="K2533" s="108"/>
      <c r="L2533" s="66"/>
      <c r="M2533" s="66"/>
      <c r="N2533" s="66"/>
      <c r="O2533" s="66"/>
      <c r="P2533" s="66"/>
      <c r="Q2533" s="66"/>
      <c r="R2533" s="66"/>
      <c r="S2533" s="66"/>
      <c r="T2533" s="66"/>
    </row>
    <row r="2534">
      <c r="A2534" s="66"/>
      <c r="B2534" s="66"/>
      <c r="C2534" s="66"/>
      <c r="D2534" s="66"/>
      <c r="E2534" s="15"/>
      <c r="F2534" s="66"/>
      <c r="G2534" s="18"/>
      <c r="H2534" s="15"/>
      <c r="I2534" s="18"/>
      <c r="J2534" s="22"/>
      <c r="K2534" s="108"/>
      <c r="L2534" s="66"/>
      <c r="M2534" s="66"/>
      <c r="N2534" s="66"/>
      <c r="O2534" s="66"/>
      <c r="P2534" s="66"/>
      <c r="Q2534" s="66"/>
      <c r="R2534" s="66"/>
      <c r="S2534" s="66"/>
      <c r="T2534" s="66"/>
    </row>
    <row r="2535">
      <c r="A2535" s="66"/>
      <c r="B2535" s="66"/>
      <c r="C2535" s="66"/>
      <c r="D2535" s="66"/>
      <c r="E2535" s="15"/>
      <c r="F2535" s="66"/>
      <c r="G2535" s="18"/>
      <c r="H2535" s="15"/>
      <c r="I2535" s="18"/>
      <c r="J2535" s="22"/>
      <c r="K2535" s="108"/>
      <c r="L2535" s="66"/>
      <c r="M2535" s="66"/>
      <c r="N2535" s="66"/>
      <c r="O2535" s="66"/>
      <c r="P2535" s="66"/>
      <c r="Q2535" s="66"/>
      <c r="R2535" s="66"/>
      <c r="S2535" s="66"/>
      <c r="T2535" s="66"/>
    </row>
    <row r="2536">
      <c r="A2536" s="66"/>
      <c r="B2536" s="66"/>
      <c r="C2536" s="66"/>
      <c r="D2536" s="66"/>
      <c r="E2536" s="15"/>
      <c r="F2536" s="66"/>
      <c r="G2536" s="18"/>
      <c r="H2536" s="15"/>
      <c r="I2536" s="18"/>
      <c r="J2536" s="22"/>
      <c r="K2536" s="108"/>
      <c r="L2536" s="66"/>
      <c r="M2536" s="66"/>
      <c r="N2536" s="66"/>
      <c r="O2536" s="66"/>
      <c r="P2536" s="66"/>
      <c r="Q2536" s="66"/>
      <c r="R2536" s="66"/>
      <c r="S2536" s="66"/>
      <c r="T2536" s="66"/>
    </row>
    <row r="2537">
      <c r="A2537" s="66"/>
      <c r="B2537" s="66"/>
      <c r="C2537" s="66"/>
      <c r="D2537" s="66"/>
      <c r="E2537" s="15"/>
      <c r="F2537" s="66"/>
      <c r="G2537" s="18"/>
      <c r="H2537" s="15"/>
      <c r="I2537" s="18"/>
      <c r="J2537" s="22"/>
      <c r="K2537" s="108"/>
      <c r="L2537" s="66"/>
      <c r="M2537" s="66"/>
      <c r="N2537" s="66"/>
      <c r="O2537" s="66"/>
      <c r="P2537" s="66"/>
      <c r="Q2537" s="66"/>
      <c r="R2537" s="66"/>
      <c r="S2537" s="66"/>
      <c r="T2537" s="66"/>
    </row>
    <row r="2538">
      <c r="A2538" s="66"/>
      <c r="B2538" s="66"/>
      <c r="C2538" s="66"/>
      <c r="D2538" s="66"/>
      <c r="E2538" s="15"/>
      <c r="F2538" s="66"/>
      <c r="G2538" s="18"/>
      <c r="H2538" s="15"/>
      <c r="I2538" s="18"/>
      <c r="J2538" s="22"/>
      <c r="K2538" s="108"/>
      <c r="L2538" s="66"/>
      <c r="M2538" s="66"/>
      <c r="N2538" s="66"/>
      <c r="O2538" s="66"/>
      <c r="P2538" s="66"/>
      <c r="Q2538" s="66"/>
      <c r="R2538" s="66"/>
      <c r="S2538" s="66"/>
      <c r="T2538" s="66"/>
    </row>
    <row r="2539">
      <c r="A2539" s="66"/>
      <c r="B2539" s="66"/>
      <c r="C2539" s="66"/>
      <c r="D2539" s="66"/>
      <c r="E2539" s="15"/>
      <c r="F2539" s="66"/>
      <c r="G2539" s="18"/>
      <c r="H2539" s="15"/>
      <c r="I2539" s="18"/>
      <c r="J2539" s="22"/>
      <c r="K2539" s="108"/>
      <c r="L2539" s="66"/>
      <c r="M2539" s="66"/>
      <c r="N2539" s="66"/>
      <c r="O2539" s="66"/>
      <c r="P2539" s="66"/>
      <c r="Q2539" s="66"/>
      <c r="R2539" s="66"/>
      <c r="S2539" s="66"/>
      <c r="T2539" s="66"/>
    </row>
    <row r="2540">
      <c r="A2540" s="66"/>
      <c r="B2540" s="66"/>
      <c r="C2540" s="66"/>
      <c r="D2540" s="66"/>
      <c r="E2540" s="15"/>
      <c r="F2540" s="66"/>
      <c r="G2540" s="18"/>
      <c r="H2540" s="15"/>
      <c r="I2540" s="18"/>
      <c r="J2540" s="22"/>
      <c r="K2540" s="108"/>
      <c r="L2540" s="66"/>
      <c r="M2540" s="66"/>
      <c r="N2540" s="66"/>
      <c r="O2540" s="66"/>
      <c r="P2540" s="66"/>
      <c r="Q2540" s="66"/>
      <c r="R2540" s="66"/>
      <c r="S2540" s="66"/>
      <c r="T2540" s="66"/>
    </row>
    <row r="2541">
      <c r="A2541" s="66"/>
      <c r="B2541" s="66"/>
      <c r="C2541" s="66"/>
      <c r="D2541" s="66"/>
      <c r="E2541" s="15"/>
      <c r="F2541" s="66"/>
      <c r="G2541" s="18"/>
      <c r="H2541" s="15"/>
      <c r="I2541" s="18"/>
      <c r="J2541" s="22"/>
      <c r="K2541" s="108"/>
      <c r="L2541" s="66"/>
      <c r="M2541" s="66"/>
      <c r="N2541" s="66"/>
      <c r="O2541" s="66"/>
      <c r="P2541" s="66"/>
      <c r="Q2541" s="66"/>
      <c r="R2541" s="66"/>
      <c r="S2541" s="66"/>
      <c r="T2541" s="66"/>
    </row>
    <row r="2542">
      <c r="A2542" s="66"/>
      <c r="B2542" s="66"/>
      <c r="C2542" s="66"/>
      <c r="D2542" s="66"/>
      <c r="E2542" s="15"/>
      <c r="F2542" s="66"/>
      <c r="G2542" s="18"/>
      <c r="H2542" s="15"/>
      <c r="I2542" s="18"/>
      <c r="J2542" s="22"/>
      <c r="K2542" s="108"/>
      <c r="L2542" s="66"/>
      <c r="M2542" s="66"/>
      <c r="N2542" s="66"/>
      <c r="O2542" s="66"/>
      <c r="P2542" s="66"/>
      <c r="Q2542" s="66"/>
      <c r="R2542" s="66"/>
      <c r="S2542" s="66"/>
      <c r="T2542" s="66"/>
    </row>
    <row r="2543">
      <c r="A2543" s="66"/>
      <c r="B2543" s="66"/>
      <c r="C2543" s="66"/>
      <c r="D2543" s="66"/>
      <c r="E2543" s="15"/>
      <c r="F2543" s="66"/>
      <c r="G2543" s="18"/>
      <c r="H2543" s="15"/>
      <c r="I2543" s="18"/>
      <c r="J2543" s="22"/>
      <c r="K2543" s="108"/>
      <c r="L2543" s="66"/>
      <c r="M2543" s="66"/>
      <c r="N2543" s="66"/>
      <c r="O2543" s="66"/>
      <c r="P2543" s="66"/>
      <c r="Q2543" s="66"/>
      <c r="R2543" s="66"/>
      <c r="S2543" s="66"/>
      <c r="T2543" s="66"/>
    </row>
    <row r="2544">
      <c r="A2544" s="66"/>
      <c r="B2544" s="66"/>
      <c r="C2544" s="66"/>
      <c r="D2544" s="66"/>
      <c r="E2544" s="15"/>
      <c r="F2544" s="66"/>
      <c r="G2544" s="18"/>
      <c r="H2544" s="15"/>
      <c r="I2544" s="18"/>
      <c r="J2544" s="22"/>
      <c r="K2544" s="108"/>
      <c r="L2544" s="66"/>
      <c r="M2544" s="66"/>
      <c r="N2544" s="66"/>
      <c r="O2544" s="66"/>
      <c r="P2544" s="66"/>
      <c r="Q2544" s="66"/>
      <c r="R2544" s="66"/>
      <c r="S2544" s="66"/>
      <c r="T2544" s="66"/>
    </row>
    <row r="2545">
      <c r="A2545" s="66"/>
      <c r="B2545" s="66"/>
      <c r="C2545" s="66"/>
      <c r="D2545" s="66"/>
      <c r="E2545" s="15"/>
      <c r="F2545" s="66"/>
      <c r="G2545" s="18"/>
      <c r="H2545" s="15"/>
      <c r="I2545" s="18"/>
      <c r="J2545" s="22"/>
      <c r="K2545" s="108"/>
      <c r="L2545" s="66"/>
      <c r="M2545" s="66"/>
      <c r="N2545" s="66"/>
      <c r="O2545" s="66"/>
      <c r="P2545" s="66"/>
      <c r="Q2545" s="66"/>
      <c r="R2545" s="66"/>
      <c r="S2545" s="66"/>
      <c r="T2545" s="66"/>
    </row>
    <row r="2546">
      <c r="A2546" s="66"/>
      <c r="B2546" s="66"/>
      <c r="C2546" s="66"/>
      <c r="D2546" s="66"/>
      <c r="E2546" s="15"/>
      <c r="F2546" s="66"/>
      <c r="G2546" s="18"/>
      <c r="H2546" s="15"/>
      <c r="I2546" s="18"/>
      <c r="J2546" s="22"/>
      <c r="K2546" s="108"/>
      <c r="L2546" s="66"/>
      <c r="M2546" s="66"/>
      <c r="N2546" s="66"/>
      <c r="O2546" s="66"/>
      <c r="P2546" s="66"/>
      <c r="Q2546" s="66"/>
      <c r="R2546" s="66"/>
      <c r="S2546" s="66"/>
      <c r="T2546" s="66"/>
    </row>
    <row r="2547">
      <c r="A2547" s="66"/>
      <c r="B2547" s="66"/>
      <c r="C2547" s="66"/>
      <c r="D2547" s="66"/>
      <c r="E2547" s="15"/>
      <c r="F2547" s="66"/>
      <c r="G2547" s="18"/>
      <c r="H2547" s="15"/>
      <c r="I2547" s="18"/>
      <c r="J2547" s="22"/>
      <c r="K2547" s="108"/>
      <c r="L2547" s="66"/>
      <c r="M2547" s="66"/>
      <c r="N2547" s="66"/>
      <c r="O2547" s="66"/>
      <c r="P2547" s="66"/>
      <c r="Q2547" s="66"/>
      <c r="R2547" s="66"/>
      <c r="S2547" s="66"/>
      <c r="T2547" s="66"/>
    </row>
    <row r="2548">
      <c r="A2548" s="66"/>
      <c r="B2548" s="66"/>
      <c r="C2548" s="66"/>
      <c r="D2548" s="66"/>
      <c r="E2548" s="15"/>
      <c r="F2548" s="66"/>
      <c r="G2548" s="18"/>
      <c r="H2548" s="15"/>
      <c r="I2548" s="18"/>
      <c r="J2548" s="22"/>
      <c r="K2548" s="108"/>
      <c r="L2548" s="66"/>
      <c r="M2548" s="66"/>
      <c r="N2548" s="66"/>
      <c r="O2548" s="66"/>
      <c r="P2548" s="66"/>
      <c r="Q2548" s="66"/>
      <c r="R2548" s="66"/>
      <c r="S2548" s="66"/>
      <c r="T2548" s="66"/>
    </row>
    <row r="2549">
      <c r="A2549" s="66"/>
      <c r="B2549" s="66"/>
      <c r="C2549" s="66"/>
      <c r="D2549" s="66"/>
      <c r="E2549" s="15"/>
      <c r="F2549" s="66"/>
      <c r="G2549" s="18"/>
      <c r="H2549" s="15"/>
      <c r="I2549" s="18"/>
      <c r="J2549" s="22"/>
      <c r="K2549" s="108"/>
      <c r="L2549" s="66"/>
      <c r="M2549" s="66"/>
      <c r="N2549" s="66"/>
      <c r="O2549" s="66"/>
      <c r="P2549" s="66"/>
      <c r="Q2549" s="66"/>
      <c r="R2549" s="66"/>
      <c r="S2549" s="66"/>
      <c r="T2549" s="66"/>
    </row>
    <row r="2550">
      <c r="A2550" s="66"/>
      <c r="B2550" s="66"/>
      <c r="C2550" s="66"/>
      <c r="D2550" s="66"/>
      <c r="E2550" s="15"/>
      <c r="F2550" s="66"/>
      <c r="G2550" s="18"/>
      <c r="H2550" s="15"/>
      <c r="I2550" s="18"/>
      <c r="J2550" s="22"/>
      <c r="K2550" s="108"/>
      <c r="L2550" s="66"/>
      <c r="M2550" s="66"/>
      <c r="N2550" s="66"/>
      <c r="O2550" s="66"/>
      <c r="P2550" s="66"/>
      <c r="Q2550" s="66"/>
      <c r="R2550" s="66"/>
      <c r="S2550" s="66"/>
      <c r="T2550" s="66"/>
    </row>
    <row r="2551">
      <c r="A2551" s="66"/>
      <c r="B2551" s="66"/>
      <c r="C2551" s="66"/>
      <c r="D2551" s="66"/>
      <c r="E2551" s="15"/>
      <c r="F2551" s="66"/>
      <c r="G2551" s="18"/>
      <c r="H2551" s="15"/>
      <c r="I2551" s="18"/>
      <c r="J2551" s="22"/>
      <c r="K2551" s="108"/>
      <c r="L2551" s="66"/>
      <c r="M2551" s="66"/>
      <c r="N2551" s="66"/>
      <c r="O2551" s="66"/>
      <c r="P2551" s="66"/>
      <c r="Q2551" s="66"/>
      <c r="R2551" s="66"/>
      <c r="S2551" s="66"/>
      <c r="T2551" s="66"/>
    </row>
    <row r="2552">
      <c r="A2552" s="66"/>
      <c r="B2552" s="66"/>
      <c r="C2552" s="66"/>
      <c r="D2552" s="66"/>
      <c r="E2552" s="15"/>
      <c r="F2552" s="66"/>
      <c r="G2552" s="18"/>
      <c r="H2552" s="15"/>
      <c r="I2552" s="18"/>
      <c r="J2552" s="22"/>
      <c r="K2552" s="108"/>
      <c r="L2552" s="66"/>
      <c r="M2552" s="66"/>
      <c r="N2552" s="66"/>
      <c r="O2552" s="66"/>
      <c r="P2552" s="66"/>
      <c r="Q2552" s="66"/>
      <c r="R2552" s="66"/>
      <c r="S2552" s="66"/>
      <c r="T2552" s="66"/>
    </row>
    <row r="2553">
      <c r="A2553" s="66"/>
      <c r="B2553" s="66"/>
      <c r="C2553" s="66"/>
      <c r="D2553" s="66"/>
      <c r="E2553" s="15"/>
      <c r="F2553" s="66"/>
      <c r="G2553" s="18"/>
      <c r="H2553" s="15"/>
      <c r="I2553" s="18"/>
      <c r="J2553" s="22"/>
      <c r="K2553" s="108"/>
      <c r="L2553" s="66"/>
      <c r="M2553" s="66"/>
      <c r="N2553" s="66"/>
      <c r="O2553" s="66"/>
      <c r="P2553" s="66"/>
      <c r="Q2553" s="66"/>
      <c r="R2553" s="66"/>
      <c r="S2553" s="66"/>
      <c r="T2553" s="66"/>
    </row>
    <row r="2554">
      <c r="A2554" s="66"/>
      <c r="B2554" s="66"/>
      <c r="C2554" s="66"/>
      <c r="D2554" s="66"/>
      <c r="E2554" s="15"/>
      <c r="F2554" s="66"/>
      <c r="G2554" s="18"/>
      <c r="H2554" s="15"/>
      <c r="I2554" s="18"/>
      <c r="J2554" s="22"/>
      <c r="K2554" s="108"/>
      <c r="L2554" s="66"/>
      <c r="M2554" s="66"/>
      <c r="N2554" s="66"/>
      <c r="O2554" s="66"/>
      <c r="P2554" s="66"/>
      <c r="Q2554" s="66"/>
      <c r="R2554" s="66"/>
      <c r="S2554" s="66"/>
      <c r="T2554" s="66"/>
    </row>
    <row r="2555">
      <c r="A2555" s="66"/>
      <c r="B2555" s="66"/>
      <c r="C2555" s="66"/>
      <c r="D2555" s="66"/>
      <c r="E2555" s="15"/>
      <c r="F2555" s="66"/>
      <c r="G2555" s="18"/>
      <c r="H2555" s="15"/>
      <c r="I2555" s="18"/>
      <c r="J2555" s="22"/>
      <c r="K2555" s="108"/>
      <c r="L2555" s="66"/>
      <c r="M2555" s="66"/>
      <c r="N2555" s="66"/>
      <c r="O2555" s="66"/>
      <c r="P2555" s="66"/>
      <c r="Q2555" s="66"/>
      <c r="R2555" s="66"/>
      <c r="S2555" s="66"/>
      <c r="T2555" s="66"/>
    </row>
    <row r="2556">
      <c r="A2556" s="66"/>
      <c r="B2556" s="66"/>
      <c r="C2556" s="66"/>
      <c r="D2556" s="66"/>
      <c r="E2556" s="15"/>
      <c r="F2556" s="66"/>
      <c r="G2556" s="18"/>
      <c r="H2556" s="15"/>
      <c r="I2556" s="18"/>
      <c r="J2556" s="22"/>
      <c r="K2556" s="108"/>
      <c r="L2556" s="66"/>
      <c r="M2556" s="66"/>
      <c r="N2556" s="66"/>
      <c r="O2556" s="66"/>
      <c r="P2556" s="66"/>
      <c r="Q2556" s="66"/>
      <c r="R2556" s="66"/>
      <c r="S2556" s="66"/>
      <c r="T2556" s="66"/>
    </row>
    <row r="2557">
      <c r="A2557" s="66"/>
      <c r="B2557" s="66"/>
      <c r="C2557" s="66"/>
      <c r="D2557" s="66"/>
      <c r="E2557" s="15"/>
      <c r="F2557" s="66"/>
      <c r="G2557" s="18"/>
      <c r="H2557" s="15"/>
      <c r="I2557" s="18"/>
      <c r="J2557" s="22"/>
      <c r="K2557" s="108"/>
      <c r="L2557" s="66"/>
      <c r="M2557" s="66"/>
      <c r="N2557" s="66"/>
      <c r="O2557" s="66"/>
      <c r="P2557" s="66"/>
      <c r="Q2557" s="66"/>
      <c r="R2557" s="66"/>
      <c r="S2557" s="66"/>
      <c r="T2557" s="66"/>
    </row>
    <row r="2558">
      <c r="A2558" s="66"/>
      <c r="B2558" s="66"/>
      <c r="C2558" s="66"/>
      <c r="D2558" s="66"/>
      <c r="E2558" s="15"/>
      <c r="F2558" s="66"/>
      <c r="G2558" s="18"/>
      <c r="H2558" s="15"/>
      <c r="I2558" s="18"/>
      <c r="J2558" s="22"/>
      <c r="K2558" s="108"/>
      <c r="L2558" s="66"/>
      <c r="M2558" s="66"/>
      <c r="N2558" s="66"/>
      <c r="O2558" s="66"/>
      <c r="P2558" s="66"/>
      <c r="Q2558" s="66"/>
      <c r="R2558" s="66"/>
      <c r="S2558" s="66"/>
      <c r="T2558" s="66"/>
    </row>
    <row r="2559">
      <c r="A2559" s="66"/>
      <c r="B2559" s="66"/>
      <c r="C2559" s="66"/>
      <c r="D2559" s="66"/>
      <c r="E2559" s="15"/>
      <c r="F2559" s="66"/>
      <c r="G2559" s="18"/>
      <c r="H2559" s="15"/>
      <c r="I2559" s="18"/>
      <c r="J2559" s="22"/>
      <c r="K2559" s="108"/>
      <c r="L2559" s="66"/>
      <c r="M2559" s="66"/>
      <c r="N2559" s="66"/>
      <c r="O2559" s="66"/>
      <c r="P2559" s="66"/>
      <c r="Q2559" s="66"/>
      <c r="R2559" s="66"/>
      <c r="S2559" s="66"/>
      <c r="T2559" s="66"/>
    </row>
    <row r="2560">
      <c r="A2560" s="66"/>
      <c r="B2560" s="66"/>
      <c r="C2560" s="66"/>
      <c r="D2560" s="66"/>
      <c r="E2560" s="15"/>
      <c r="F2560" s="66"/>
      <c r="G2560" s="18"/>
      <c r="H2560" s="15"/>
      <c r="I2560" s="18"/>
      <c r="J2560" s="22"/>
      <c r="K2560" s="108"/>
      <c r="L2560" s="66"/>
      <c r="M2560" s="66"/>
      <c r="N2560" s="66"/>
      <c r="O2560" s="66"/>
      <c r="P2560" s="66"/>
      <c r="Q2560" s="66"/>
      <c r="R2560" s="66"/>
      <c r="S2560" s="66"/>
      <c r="T2560" s="66"/>
    </row>
    <row r="2561">
      <c r="A2561" s="66"/>
      <c r="B2561" s="66"/>
      <c r="C2561" s="66"/>
      <c r="D2561" s="66"/>
      <c r="E2561" s="15"/>
      <c r="F2561" s="66"/>
      <c r="G2561" s="18"/>
      <c r="H2561" s="15"/>
      <c r="I2561" s="18"/>
      <c r="J2561" s="22"/>
      <c r="K2561" s="108"/>
      <c r="L2561" s="66"/>
      <c r="M2561" s="66"/>
      <c r="N2561" s="66"/>
      <c r="O2561" s="66"/>
      <c r="P2561" s="66"/>
      <c r="Q2561" s="66"/>
      <c r="R2561" s="66"/>
      <c r="S2561" s="66"/>
      <c r="T2561" s="66"/>
    </row>
    <row r="2562">
      <c r="A2562" s="66"/>
      <c r="B2562" s="66"/>
      <c r="C2562" s="66"/>
      <c r="D2562" s="66"/>
      <c r="E2562" s="15"/>
      <c r="F2562" s="66"/>
      <c r="G2562" s="18"/>
      <c r="H2562" s="15"/>
      <c r="I2562" s="18"/>
      <c r="J2562" s="22"/>
      <c r="K2562" s="108"/>
      <c r="L2562" s="66"/>
      <c r="M2562" s="66"/>
      <c r="N2562" s="66"/>
      <c r="O2562" s="66"/>
      <c r="P2562" s="66"/>
      <c r="Q2562" s="66"/>
      <c r="R2562" s="66"/>
      <c r="S2562" s="66"/>
      <c r="T2562" s="66"/>
    </row>
    <row r="2563">
      <c r="A2563" s="66"/>
      <c r="B2563" s="66"/>
      <c r="C2563" s="66"/>
      <c r="D2563" s="66"/>
      <c r="E2563" s="15"/>
      <c r="F2563" s="66"/>
      <c r="G2563" s="18"/>
      <c r="H2563" s="15"/>
      <c r="I2563" s="18"/>
      <c r="J2563" s="22"/>
      <c r="K2563" s="108"/>
      <c r="L2563" s="66"/>
      <c r="M2563" s="66"/>
      <c r="N2563" s="66"/>
      <c r="O2563" s="66"/>
      <c r="P2563" s="66"/>
      <c r="Q2563" s="66"/>
      <c r="R2563" s="66"/>
      <c r="S2563" s="66"/>
      <c r="T2563" s="66"/>
    </row>
    <row r="2564">
      <c r="A2564" s="66"/>
      <c r="B2564" s="66"/>
      <c r="C2564" s="66"/>
      <c r="D2564" s="66"/>
      <c r="E2564" s="15"/>
      <c r="F2564" s="66"/>
      <c r="G2564" s="18"/>
      <c r="H2564" s="15"/>
      <c r="I2564" s="18"/>
      <c r="J2564" s="22"/>
      <c r="K2564" s="108"/>
      <c r="L2564" s="66"/>
      <c r="M2564" s="66"/>
      <c r="N2564" s="66"/>
      <c r="O2564" s="66"/>
      <c r="P2564" s="66"/>
      <c r="Q2564" s="66"/>
      <c r="R2564" s="66"/>
      <c r="S2564" s="66"/>
      <c r="T2564" s="66"/>
    </row>
    <row r="2565">
      <c r="A2565" s="66"/>
      <c r="B2565" s="66"/>
      <c r="C2565" s="66"/>
      <c r="D2565" s="66"/>
      <c r="E2565" s="15"/>
      <c r="F2565" s="66"/>
      <c r="G2565" s="18"/>
      <c r="H2565" s="15"/>
      <c r="I2565" s="18"/>
      <c r="J2565" s="22"/>
      <c r="K2565" s="108"/>
      <c r="L2565" s="66"/>
      <c r="M2565" s="66"/>
      <c r="N2565" s="66"/>
      <c r="O2565" s="66"/>
      <c r="P2565" s="66"/>
      <c r="Q2565" s="66"/>
      <c r="R2565" s="66"/>
      <c r="S2565" s="66"/>
      <c r="T2565" s="66"/>
    </row>
    <row r="2566">
      <c r="A2566" s="66"/>
      <c r="B2566" s="66"/>
      <c r="C2566" s="66"/>
      <c r="D2566" s="66"/>
      <c r="E2566" s="15"/>
      <c r="F2566" s="66"/>
      <c r="G2566" s="18"/>
      <c r="H2566" s="15"/>
      <c r="I2566" s="18"/>
      <c r="J2566" s="22"/>
      <c r="K2566" s="108"/>
      <c r="L2566" s="66"/>
      <c r="M2566" s="66"/>
      <c r="N2566" s="66"/>
      <c r="O2566" s="66"/>
      <c r="P2566" s="66"/>
      <c r="Q2566" s="66"/>
      <c r="R2566" s="66"/>
      <c r="S2566" s="66"/>
      <c r="T2566" s="66"/>
    </row>
    <row r="2567">
      <c r="A2567" s="66"/>
      <c r="B2567" s="66"/>
      <c r="C2567" s="66"/>
      <c r="D2567" s="66"/>
      <c r="E2567" s="15"/>
      <c r="F2567" s="66"/>
      <c r="G2567" s="18"/>
      <c r="H2567" s="15"/>
      <c r="I2567" s="18"/>
      <c r="J2567" s="22"/>
      <c r="K2567" s="108"/>
      <c r="L2567" s="66"/>
      <c r="M2567" s="66"/>
      <c r="N2567" s="66"/>
      <c r="O2567" s="66"/>
      <c r="P2567" s="66"/>
      <c r="Q2567" s="66"/>
      <c r="R2567" s="66"/>
      <c r="S2567" s="66"/>
      <c r="T2567" s="66"/>
    </row>
    <row r="2568">
      <c r="A2568" s="66"/>
      <c r="B2568" s="66"/>
      <c r="C2568" s="66"/>
      <c r="D2568" s="66"/>
      <c r="E2568" s="15"/>
      <c r="F2568" s="66"/>
      <c r="G2568" s="18"/>
      <c r="H2568" s="15"/>
      <c r="I2568" s="18"/>
      <c r="J2568" s="22"/>
      <c r="K2568" s="108"/>
      <c r="L2568" s="66"/>
      <c r="M2568" s="66"/>
      <c r="N2568" s="66"/>
      <c r="O2568" s="66"/>
      <c r="P2568" s="66"/>
      <c r="Q2568" s="66"/>
      <c r="R2568" s="66"/>
      <c r="S2568" s="66"/>
      <c r="T2568" s="66"/>
    </row>
    <row r="2569">
      <c r="A2569" s="66"/>
      <c r="B2569" s="66"/>
      <c r="C2569" s="66"/>
      <c r="D2569" s="66"/>
      <c r="E2569" s="15"/>
      <c r="F2569" s="66"/>
      <c r="G2569" s="18"/>
      <c r="H2569" s="15"/>
      <c r="I2569" s="18"/>
      <c r="J2569" s="22"/>
      <c r="K2569" s="108"/>
      <c r="L2569" s="66"/>
      <c r="M2569" s="66"/>
      <c r="N2569" s="66"/>
      <c r="O2569" s="66"/>
      <c r="P2569" s="66"/>
      <c r="Q2569" s="66"/>
      <c r="R2569" s="66"/>
      <c r="S2569" s="66"/>
      <c r="T2569" s="66"/>
    </row>
    <row r="2570">
      <c r="A2570" s="66"/>
      <c r="B2570" s="66"/>
      <c r="C2570" s="66"/>
      <c r="D2570" s="66"/>
      <c r="E2570" s="15"/>
      <c r="F2570" s="66"/>
      <c r="G2570" s="18"/>
      <c r="H2570" s="15"/>
      <c r="I2570" s="18"/>
      <c r="J2570" s="22"/>
      <c r="K2570" s="108"/>
      <c r="L2570" s="66"/>
      <c r="M2570" s="66"/>
      <c r="N2570" s="66"/>
      <c r="O2570" s="66"/>
      <c r="P2570" s="66"/>
      <c r="Q2570" s="66"/>
      <c r="R2570" s="66"/>
      <c r="S2570" s="66"/>
      <c r="T2570" s="66"/>
    </row>
    <row r="2571">
      <c r="A2571" s="66"/>
      <c r="B2571" s="66"/>
      <c r="C2571" s="66"/>
      <c r="D2571" s="66"/>
      <c r="E2571" s="15"/>
      <c r="F2571" s="66"/>
      <c r="G2571" s="18"/>
      <c r="H2571" s="15"/>
      <c r="I2571" s="18"/>
      <c r="J2571" s="22"/>
      <c r="K2571" s="108"/>
      <c r="L2571" s="66"/>
      <c r="M2571" s="66"/>
      <c r="N2571" s="66"/>
      <c r="O2571" s="66"/>
      <c r="P2571" s="66"/>
      <c r="Q2571" s="66"/>
      <c r="R2571" s="66"/>
      <c r="S2571" s="66"/>
      <c r="T2571" s="66"/>
    </row>
    <row r="2572">
      <c r="A2572" s="66"/>
      <c r="B2572" s="66"/>
      <c r="C2572" s="66"/>
      <c r="D2572" s="66"/>
      <c r="E2572" s="15"/>
      <c r="F2572" s="66"/>
      <c r="G2572" s="18"/>
      <c r="H2572" s="15"/>
      <c r="I2572" s="18"/>
      <c r="J2572" s="22"/>
      <c r="K2572" s="108"/>
      <c r="L2572" s="66"/>
      <c r="M2572" s="66"/>
      <c r="N2572" s="66"/>
      <c r="O2572" s="66"/>
      <c r="P2572" s="66"/>
      <c r="Q2572" s="66"/>
      <c r="R2572" s="66"/>
      <c r="S2572" s="66"/>
      <c r="T2572" s="66"/>
    </row>
    <row r="2573">
      <c r="A2573" s="66"/>
      <c r="B2573" s="66"/>
      <c r="C2573" s="66"/>
      <c r="D2573" s="66"/>
      <c r="E2573" s="15"/>
      <c r="F2573" s="66"/>
      <c r="G2573" s="18"/>
      <c r="H2573" s="15"/>
      <c r="I2573" s="18"/>
      <c r="J2573" s="22"/>
      <c r="K2573" s="108"/>
      <c r="L2573" s="66"/>
      <c r="M2573" s="66"/>
      <c r="N2573" s="66"/>
      <c r="O2573" s="66"/>
      <c r="P2573" s="66"/>
      <c r="Q2573" s="66"/>
      <c r="R2573" s="66"/>
      <c r="S2573" s="66"/>
      <c r="T2573" s="66"/>
    </row>
    <row r="2574">
      <c r="A2574" s="66"/>
      <c r="B2574" s="66"/>
      <c r="C2574" s="66"/>
      <c r="D2574" s="66"/>
      <c r="E2574" s="15"/>
      <c r="F2574" s="66"/>
      <c r="G2574" s="18"/>
      <c r="H2574" s="15"/>
      <c r="I2574" s="18"/>
      <c r="J2574" s="22"/>
      <c r="K2574" s="108"/>
      <c r="L2574" s="66"/>
      <c r="M2574" s="66"/>
      <c r="N2574" s="66"/>
      <c r="O2574" s="66"/>
      <c r="P2574" s="66"/>
      <c r="Q2574" s="66"/>
      <c r="R2574" s="66"/>
      <c r="S2574" s="66"/>
      <c r="T2574" s="66"/>
    </row>
    <row r="2575">
      <c r="A2575" s="66"/>
      <c r="B2575" s="66"/>
      <c r="C2575" s="66"/>
      <c r="D2575" s="66"/>
      <c r="E2575" s="15"/>
      <c r="F2575" s="66"/>
      <c r="G2575" s="18"/>
      <c r="H2575" s="15"/>
      <c r="I2575" s="18"/>
      <c r="J2575" s="22"/>
      <c r="K2575" s="108"/>
      <c r="L2575" s="66"/>
      <c r="M2575" s="66"/>
      <c r="N2575" s="66"/>
      <c r="O2575" s="66"/>
      <c r="P2575" s="66"/>
      <c r="Q2575" s="66"/>
      <c r="R2575" s="66"/>
      <c r="S2575" s="66"/>
      <c r="T2575" s="66"/>
    </row>
    <row r="2576">
      <c r="A2576" s="66"/>
      <c r="B2576" s="66"/>
      <c r="C2576" s="66"/>
      <c r="D2576" s="66"/>
      <c r="E2576" s="15"/>
      <c r="F2576" s="66"/>
      <c r="G2576" s="18"/>
      <c r="H2576" s="15"/>
      <c r="I2576" s="18"/>
      <c r="J2576" s="22"/>
      <c r="K2576" s="108"/>
      <c r="L2576" s="66"/>
      <c r="M2576" s="66"/>
      <c r="N2576" s="66"/>
      <c r="O2576" s="66"/>
      <c r="P2576" s="66"/>
      <c r="Q2576" s="66"/>
      <c r="R2576" s="66"/>
      <c r="S2576" s="66"/>
      <c r="T2576" s="66"/>
    </row>
    <row r="2577">
      <c r="A2577" s="66"/>
      <c r="B2577" s="66"/>
      <c r="C2577" s="66"/>
      <c r="D2577" s="66"/>
      <c r="E2577" s="15"/>
      <c r="F2577" s="66"/>
      <c r="G2577" s="18"/>
      <c r="H2577" s="15"/>
      <c r="I2577" s="18"/>
      <c r="J2577" s="22"/>
      <c r="K2577" s="108"/>
      <c r="L2577" s="66"/>
      <c r="M2577" s="66"/>
      <c r="N2577" s="66"/>
      <c r="O2577" s="66"/>
      <c r="P2577" s="66"/>
      <c r="Q2577" s="66"/>
      <c r="R2577" s="66"/>
      <c r="S2577" s="66"/>
      <c r="T2577" s="66"/>
    </row>
    <row r="2578">
      <c r="A2578" s="66"/>
      <c r="B2578" s="66"/>
      <c r="C2578" s="66"/>
      <c r="D2578" s="66"/>
      <c r="E2578" s="15"/>
      <c r="F2578" s="66"/>
      <c r="G2578" s="18"/>
      <c r="H2578" s="15"/>
      <c r="I2578" s="18"/>
      <c r="J2578" s="22"/>
      <c r="K2578" s="108"/>
      <c r="L2578" s="66"/>
      <c r="M2578" s="66"/>
      <c r="N2578" s="66"/>
      <c r="O2578" s="66"/>
      <c r="P2578" s="66"/>
      <c r="Q2578" s="66"/>
      <c r="R2578" s="66"/>
      <c r="S2578" s="66"/>
      <c r="T2578" s="66"/>
    </row>
    <row r="2579">
      <c r="A2579" s="66"/>
      <c r="B2579" s="66"/>
      <c r="C2579" s="66"/>
      <c r="D2579" s="66"/>
      <c r="E2579" s="15"/>
      <c r="F2579" s="66"/>
      <c r="G2579" s="18"/>
      <c r="H2579" s="15"/>
      <c r="I2579" s="18"/>
      <c r="J2579" s="22"/>
      <c r="K2579" s="108"/>
      <c r="L2579" s="66"/>
      <c r="M2579" s="66"/>
      <c r="N2579" s="66"/>
      <c r="O2579" s="66"/>
      <c r="P2579" s="66"/>
      <c r="Q2579" s="66"/>
      <c r="R2579" s="66"/>
      <c r="S2579" s="66"/>
      <c r="T2579" s="66"/>
    </row>
    <row r="2580">
      <c r="A2580" s="66"/>
      <c r="B2580" s="66"/>
      <c r="C2580" s="66"/>
      <c r="D2580" s="66"/>
      <c r="E2580" s="15"/>
      <c r="F2580" s="66"/>
      <c r="G2580" s="18"/>
      <c r="H2580" s="15"/>
      <c r="I2580" s="18"/>
      <c r="J2580" s="22"/>
      <c r="K2580" s="108"/>
      <c r="L2580" s="66"/>
      <c r="M2580" s="66"/>
      <c r="N2580" s="66"/>
      <c r="O2580" s="66"/>
      <c r="P2580" s="66"/>
      <c r="Q2580" s="66"/>
      <c r="R2580" s="66"/>
      <c r="S2580" s="66"/>
      <c r="T2580" s="66"/>
    </row>
    <row r="2581">
      <c r="A2581" s="66"/>
      <c r="B2581" s="66"/>
      <c r="C2581" s="66"/>
      <c r="D2581" s="66"/>
      <c r="E2581" s="15"/>
      <c r="F2581" s="66"/>
      <c r="G2581" s="18"/>
      <c r="H2581" s="15"/>
      <c r="I2581" s="18"/>
      <c r="J2581" s="22"/>
      <c r="K2581" s="108"/>
      <c r="L2581" s="66"/>
      <c r="M2581" s="66"/>
      <c r="N2581" s="66"/>
      <c r="O2581" s="66"/>
      <c r="P2581" s="66"/>
      <c r="Q2581" s="66"/>
      <c r="R2581" s="66"/>
      <c r="S2581" s="66"/>
      <c r="T2581" s="66"/>
    </row>
    <row r="2582">
      <c r="A2582" s="66"/>
      <c r="B2582" s="66"/>
      <c r="C2582" s="66"/>
      <c r="D2582" s="66"/>
      <c r="E2582" s="15"/>
      <c r="F2582" s="66"/>
      <c r="G2582" s="18"/>
      <c r="H2582" s="15"/>
      <c r="I2582" s="18"/>
      <c r="J2582" s="22"/>
      <c r="K2582" s="108"/>
      <c r="L2582" s="66"/>
      <c r="M2582" s="66"/>
      <c r="N2582" s="66"/>
      <c r="O2582" s="66"/>
      <c r="P2582" s="66"/>
      <c r="Q2582" s="66"/>
      <c r="R2582" s="66"/>
      <c r="S2582" s="66"/>
      <c r="T2582" s="66"/>
    </row>
    <row r="2583">
      <c r="A2583" s="66"/>
      <c r="B2583" s="66"/>
      <c r="C2583" s="66"/>
      <c r="D2583" s="66"/>
      <c r="E2583" s="15"/>
      <c r="F2583" s="66"/>
      <c r="G2583" s="18"/>
      <c r="H2583" s="15"/>
      <c r="I2583" s="18"/>
      <c r="J2583" s="22"/>
      <c r="K2583" s="108"/>
      <c r="L2583" s="66"/>
      <c r="M2583" s="66"/>
      <c r="N2583" s="66"/>
      <c r="O2583" s="66"/>
      <c r="P2583" s="66"/>
      <c r="Q2583" s="66"/>
      <c r="R2583" s="66"/>
      <c r="S2583" s="66"/>
      <c r="T2583" s="66"/>
    </row>
    <row r="2584">
      <c r="A2584" s="66"/>
      <c r="B2584" s="66"/>
      <c r="C2584" s="66"/>
      <c r="D2584" s="66"/>
      <c r="E2584" s="15"/>
      <c r="F2584" s="66"/>
      <c r="G2584" s="18"/>
      <c r="H2584" s="15"/>
      <c r="I2584" s="18"/>
      <c r="J2584" s="22"/>
      <c r="K2584" s="108"/>
      <c r="L2584" s="66"/>
      <c r="M2584" s="66"/>
      <c r="N2584" s="66"/>
      <c r="O2584" s="66"/>
      <c r="P2584" s="66"/>
      <c r="Q2584" s="66"/>
      <c r="R2584" s="66"/>
      <c r="S2584" s="66"/>
      <c r="T2584" s="66"/>
    </row>
    <row r="2585">
      <c r="A2585" s="66"/>
      <c r="B2585" s="66"/>
      <c r="C2585" s="66"/>
      <c r="D2585" s="66"/>
      <c r="E2585" s="15"/>
      <c r="F2585" s="66"/>
      <c r="G2585" s="18"/>
      <c r="H2585" s="15"/>
      <c r="I2585" s="18"/>
      <c r="J2585" s="22"/>
      <c r="K2585" s="108"/>
      <c r="L2585" s="66"/>
      <c r="M2585" s="66"/>
      <c r="N2585" s="66"/>
      <c r="O2585" s="66"/>
      <c r="P2585" s="66"/>
      <c r="Q2585" s="66"/>
      <c r="R2585" s="66"/>
      <c r="S2585" s="66"/>
      <c r="T2585" s="66"/>
    </row>
    <row r="2586">
      <c r="A2586" s="66"/>
      <c r="B2586" s="66"/>
      <c r="C2586" s="66"/>
      <c r="D2586" s="66"/>
      <c r="E2586" s="15"/>
      <c r="F2586" s="66"/>
      <c r="G2586" s="18"/>
      <c r="H2586" s="15"/>
      <c r="I2586" s="18"/>
      <c r="J2586" s="22"/>
      <c r="K2586" s="108"/>
      <c r="L2586" s="66"/>
      <c r="M2586" s="66"/>
      <c r="N2586" s="66"/>
      <c r="O2586" s="66"/>
      <c r="P2586" s="66"/>
      <c r="Q2586" s="66"/>
      <c r="R2586" s="66"/>
      <c r="S2586" s="66"/>
      <c r="T2586" s="66"/>
    </row>
    <row r="2587">
      <c r="A2587" s="66"/>
      <c r="B2587" s="66"/>
      <c r="C2587" s="66"/>
      <c r="D2587" s="66"/>
      <c r="E2587" s="15"/>
      <c r="F2587" s="66"/>
      <c r="G2587" s="18"/>
      <c r="H2587" s="15"/>
      <c r="I2587" s="18"/>
      <c r="J2587" s="22"/>
      <c r="K2587" s="108"/>
      <c r="L2587" s="66"/>
      <c r="M2587" s="66"/>
      <c r="N2587" s="66"/>
      <c r="O2587" s="66"/>
      <c r="P2587" s="66"/>
      <c r="Q2587" s="66"/>
      <c r="R2587" s="66"/>
      <c r="S2587" s="66"/>
      <c r="T2587" s="66"/>
    </row>
    <row r="2588">
      <c r="A2588" s="66"/>
      <c r="B2588" s="66"/>
      <c r="C2588" s="66"/>
      <c r="D2588" s="66"/>
      <c r="E2588" s="15"/>
      <c r="F2588" s="66"/>
      <c r="G2588" s="18"/>
      <c r="H2588" s="15"/>
      <c r="I2588" s="18"/>
      <c r="J2588" s="22"/>
      <c r="K2588" s="108"/>
      <c r="L2588" s="66"/>
      <c r="M2588" s="66"/>
      <c r="N2588" s="66"/>
      <c r="O2588" s="66"/>
      <c r="P2588" s="66"/>
      <c r="Q2588" s="66"/>
      <c r="R2588" s="66"/>
      <c r="S2588" s="66"/>
      <c r="T2588" s="66"/>
    </row>
    <row r="2589">
      <c r="A2589" s="66"/>
      <c r="B2589" s="66"/>
      <c r="C2589" s="66"/>
      <c r="D2589" s="66"/>
      <c r="E2589" s="15"/>
      <c r="F2589" s="66"/>
      <c r="G2589" s="18"/>
      <c r="H2589" s="15"/>
      <c r="I2589" s="18"/>
      <c r="J2589" s="22"/>
      <c r="K2589" s="108"/>
      <c r="L2589" s="66"/>
      <c r="M2589" s="66"/>
      <c r="N2589" s="66"/>
      <c r="O2589" s="66"/>
      <c r="P2589" s="66"/>
      <c r="Q2589" s="66"/>
      <c r="R2589" s="66"/>
      <c r="S2589" s="66"/>
      <c r="T2589" s="66"/>
    </row>
    <row r="2590">
      <c r="A2590" s="66"/>
      <c r="B2590" s="66"/>
      <c r="C2590" s="66"/>
      <c r="D2590" s="66"/>
      <c r="E2590" s="15"/>
      <c r="F2590" s="66"/>
      <c r="G2590" s="18"/>
      <c r="H2590" s="15"/>
      <c r="I2590" s="18"/>
      <c r="J2590" s="22"/>
      <c r="K2590" s="108"/>
      <c r="L2590" s="66"/>
      <c r="M2590" s="66"/>
      <c r="N2590" s="66"/>
      <c r="O2590" s="66"/>
      <c r="P2590" s="66"/>
      <c r="Q2590" s="66"/>
      <c r="R2590" s="66"/>
      <c r="S2590" s="66"/>
      <c r="T2590" s="66"/>
    </row>
    <row r="2591">
      <c r="A2591" s="66"/>
      <c r="B2591" s="66"/>
      <c r="C2591" s="66"/>
      <c r="D2591" s="66"/>
      <c r="E2591" s="15"/>
      <c r="F2591" s="66"/>
      <c r="G2591" s="18"/>
      <c r="H2591" s="15"/>
      <c r="I2591" s="18"/>
      <c r="J2591" s="22"/>
      <c r="K2591" s="108"/>
      <c r="L2591" s="66"/>
      <c r="M2591" s="66"/>
      <c r="N2591" s="66"/>
      <c r="O2591" s="66"/>
      <c r="P2591" s="66"/>
      <c r="Q2591" s="66"/>
      <c r="R2591" s="66"/>
      <c r="S2591" s="66"/>
      <c r="T2591" s="66"/>
    </row>
    <row r="2592">
      <c r="A2592" s="66"/>
      <c r="B2592" s="66"/>
      <c r="C2592" s="66"/>
      <c r="D2592" s="66"/>
      <c r="E2592" s="15"/>
      <c r="F2592" s="66"/>
      <c r="G2592" s="18"/>
      <c r="H2592" s="15"/>
      <c r="I2592" s="18"/>
      <c r="J2592" s="22"/>
      <c r="K2592" s="108"/>
      <c r="L2592" s="66"/>
      <c r="M2592" s="66"/>
      <c r="N2592" s="66"/>
      <c r="O2592" s="66"/>
      <c r="P2592" s="66"/>
      <c r="Q2592" s="66"/>
      <c r="R2592" s="66"/>
      <c r="S2592" s="66"/>
      <c r="T2592" s="66"/>
    </row>
    <row r="2593">
      <c r="A2593" s="66"/>
      <c r="B2593" s="66"/>
      <c r="C2593" s="66"/>
      <c r="D2593" s="66"/>
      <c r="E2593" s="15"/>
      <c r="F2593" s="66"/>
      <c r="G2593" s="18"/>
      <c r="H2593" s="15"/>
      <c r="I2593" s="18"/>
      <c r="J2593" s="22"/>
      <c r="K2593" s="108"/>
      <c r="L2593" s="66"/>
      <c r="M2593" s="66"/>
      <c r="N2593" s="66"/>
      <c r="O2593" s="66"/>
      <c r="P2593" s="66"/>
      <c r="Q2593" s="66"/>
      <c r="R2593" s="66"/>
      <c r="S2593" s="66"/>
      <c r="T2593" s="66"/>
    </row>
    <row r="2594">
      <c r="A2594" s="66"/>
      <c r="B2594" s="66"/>
      <c r="C2594" s="66"/>
      <c r="D2594" s="66"/>
      <c r="E2594" s="15"/>
      <c r="F2594" s="66"/>
      <c r="G2594" s="18"/>
      <c r="H2594" s="15"/>
      <c r="I2594" s="18"/>
      <c r="J2594" s="22"/>
      <c r="K2594" s="108"/>
      <c r="L2594" s="66"/>
      <c r="M2594" s="66"/>
      <c r="N2594" s="66"/>
      <c r="O2594" s="66"/>
      <c r="P2594" s="66"/>
      <c r="Q2594" s="66"/>
      <c r="R2594" s="66"/>
      <c r="S2594" s="66"/>
      <c r="T2594" s="66"/>
    </row>
    <row r="2595">
      <c r="A2595" s="66"/>
      <c r="B2595" s="66"/>
      <c r="C2595" s="66"/>
      <c r="D2595" s="66"/>
      <c r="E2595" s="15"/>
      <c r="F2595" s="66"/>
      <c r="G2595" s="18"/>
      <c r="H2595" s="15"/>
      <c r="I2595" s="18"/>
      <c r="J2595" s="22"/>
      <c r="K2595" s="108"/>
      <c r="L2595" s="66"/>
      <c r="M2595" s="66"/>
      <c r="N2595" s="66"/>
      <c r="O2595" s="66"/>
      <c r="P2595" s="66"/>
      <c r="Q2595" s="66"/>
      <c r="R2595" s="66"/>
      <c r="S2595" s="66"/>
      <c r="T2595" s="66"/>
    </row>
    <row r="2596">
      <c r="A2596" s="66"/>
      <c r="B2596" s="66"/>
      <c r="C2596" s="66"/>
      <c r="D2596" s="66"/>
      <c r="E2596" s="15"/>
      <c r="F2596" s="66"/>
      <c r="G2596" s="18"/>
      <c r="H2596" s="15"/>
      <c r="I2596" s="18"/>
      <c r="J2596" s="22"/>
      <c r="K2596" s="108"/>
      <c r="L2596" s="66"/>
      <c r="M2596" s="66"/>
      <c r="N2596" s="66"/>
      <c r="O2596" s="66"/>
      <c r="P2596" s="66"/>
      <c r="Q2596" s="66"/>
      <c r="R2596" s="66"/>
      <c r="S2596" s="66"/>
      <c r="T2596" s="66"/>
    </row>
    <row r="2597">
      <c r="A2597" s="66"/>
      <c r="B2597" s="66"/>
      <c r="C2597" s="66"/>
      <c r="D2597" s="66"/>
      <c r="E2597" s="15"/>
      <c r="F2597" s="66"/>
      <c r="G2597" s="18"/>
      <c r="H2597" s="15"/>
      <c r="I2597" s="18"/>
      <c r="J2597" s="22"/>
      <c r="K2597" s="108"/>
      <c r="L2597" s="66"/>
      <c r="M2597" s="66"/>
      <c r="N2597" s="66"/>
      <c r="O2597" s="66"/>
      <c r="P2597" s="66"/>
      <c r="Q2597" s="66"/>
      <c r="R2597" s="66"/>
      <c r="S2597" s="66"/>
      <c r="T2597" s="66"/>
    </row>
    <row r="2598">
      <c r="A2598" s="66"/>
      <c r="B2598" s="66"/>
      <c r="C2598" s="66"/>
      <c r="D2598" s="66"/>
      <c r="E2598" s="15"/>
      <c r="F2598" s="66"/>
      <c r="G2598" s="18"/>
      <c r="H2598" s="15"/>
      <c r="I2598" s="18"/>
      <c r="J2598" s="22"/>
      <c r="K2598" s="108"/>
      <c r="L2598" s="66"/>
      <c r="M2598" s="66"/>
      <c r="N2598" s="66"/>
      <c r="O2598" s="66"/>
      <c r="P2598" s="66"/>
      <c r="Q2598" s="66"/>
      <c r="R2598" s="66"/>
      <c r="S2598" s="66"/>
      <c r="T2598" s="66"/>
    </row>
    <row r="2599">
      <c r="A2599" s="66"/>
      <c r="B2599" s="66"/>
      <c r="C2599" s="66"/>
      <c r="D2599" s="66"/>
      <c r="E2599" s="15"/>
      <c r="F2599" s="66"/>
      <c r="G2599" s="18"/>
      <c r="H2599" s="15"/>
      <c r="I2599" s="18"/>
      <c r="J2599" s="22"/>
      <c r="K2599" s="108"/>
      <c r="L2599" s="66"/>
      <c r="M2599" s="66"/>
      <c r="N2599" s="66"/>
      <c r="O2599" s="66"/>
      <c r="P2599" s="66"/>
      <c r="Q2599" s="66"/>
      <c r="R2599" s="66"/>
      <c r="S2599" s="66"/>
      <c r="T2599" s="66"/>
    </row>
    <row r="2600">
      <c r="A2600" s="66"/>
      <c r="B2600" s="66"/>
      <c r="C2600" s="66"/>
      <c r="D2600" s="66"/>
      <c r="E2600" s="15"/>
      <c r="F2600" s="66"/>
      <c r="G2600" s="18"/>
      <c r="H2600" s="15"/>
      <c r="I2600" s="18"/>
      <c r="J2600" s="22"/>
      <c r="K2600" s="108"/>
      <c r="L2600" s="66"/>
      <c r="M2600" s="66"/>
      <c r="N2600" s="66"/>
      <c r="O2600" s="66"/>
      <c r="P2600" s="66"/>
      <c r="Q2600" s="66"/>
      <c r="R2600" s="66"/>
      <c r="S2600" s="66"/>
      <c r="T2600" s="66"/>
    </row>
    <row r="2601">
      <c r="A2601" s="66"/>
      <c r="B2601" s="66"/>
      <c r="C2601" s="66"/>
      <c r="D2601" s="66"/>
      <c r="E2601" s="15"/>
      <c r="F2601" s="66"/>
      <c r="G2601" s="18"/>
      <c r="H2601" s="15"/>
      <c r="I2601" s="18"/>
      <c r="J2601" s="22"/>
      <c r="K2601" s="108"/>
      <c r="L2601" s="66"/>
      <c r="M2601" s="66"/>
      <c r="N2601" s="66"/>
      <c r="O2601" s="66"/>
      <c r="P2601" s="66"/>
      <c r="Q2601" s="66"/>
      <c r="R2601" s="66"/>
      <c r="S2601" s="66"/>
      <c r="T2601" s="66"/>
    </row>
    <row r="2602">
      <c r="A2602" s="66"/>
      <c r="B2602" s="66"/>
      <c r="C2602" s="66"/>
      <c r="D2602" s="66"/>
      <c r="E2602" s="15"/>
      <c r="F2602" s="66"/>
      <c r="G2602" s="18"/>
      <c r="H2602" s="15"/>
      <c r="I2602" s="18"/>
      <c r="J2602" s="22"/>
      <c r="K2602" s="108"/>
      <c r="L2602" s="66"/>
      <c r="M2602" s="66"/>
      <c r="N2602" s="66"/>
      <c r="O2602" s="66"/>
      <c r="P2602" s="66"/>
      <c r="Q2602" s="66"/>
      <c r="R2602" s="66"/>
      <c r="S2602" s="66"/>
      <c r="T2602" s="66"/>
    </row>
    <row r="2603">
      <c r="A2603" s="66"/>
      <c r="B2603" s="66"/>
      <c r="C2603" s="66"/>
      <c r="D2603" s="66"/>
      <c r="E2603" s="15"/>
      <c r="F2603" s="66"/>
      <c r="G2603" s="18"/>
      <c r="H2603" s="15"/>
      <c r="I2603" s="18"/>
      <c r="J2603" s="22"/>
      <c r="K2603" s="108"/>
      <c r="L2603" s="66"/>
      <c r="M2603" s="66"/>
      <c r="N2603" s="66"/>
      <c r="O2603" s="66"/>
      <c r="P2603" s="66"/>
      <c r="Q2603" s="66"/>
      <c r="R2603" s="66"/>
      <c r="S2603" s="66"/>
      <c r="T2603" s="66"/>
    </row>
    <row r="2604">
      <c r="A2604" s="66"/>
      <c r="B2604" s="66"/>
      <c r="C2604" s="66"/>
      <c r="D2604" s="66"/>
      <c r="E2604" s="15"/>
      <c r="F2604" s="66"/>
      <c r="G2604" s="18"/>
      <c r="H2604" s="15"/>
      <c r="I2604" s="18"/>
      <c r="J2604" s="22"/>
      <c r="K2604" s="108"/>
      <c r="L2604" s="66"/>
      <c r="M2604" s="66"/>
      <c r="N2604" s="66"/>
      <c r="O2604" s="66"/>
      <c r="P2604" s="66"/>
      <c r="Q2604" s="66"/>
      <c r="R2604" s="66"/>
      <c r="S2604" s="66"/>
      <c r="T2604" s="66"/>
    </row>
    <row r="2605">
      <c r="A2605" s="66"/>
      <c r="B2605" s="66"/>
      <c r="C2605" s="66"/>
      <c r="D2605" s="66"/>
      <c r="E2605" s="15"/>
      <c r="F2605" s="66"/>
      <c r="G2605" s="18"/>
      <c r="H2605" s="15"/>
      <c r="I2605" s="18"/>
      <c r="J2605" s="22"/>
      <c r="K2605" s="108"/>
      <c r="L2605" s="66"/>
      <c r="M2605" s="66"/>
      <c r="N2605" s="66"/>
      <c r="O2605" s="66"/>
      <c r="P2605" s="66"/>
      <c r="Q2605" s="66"/>
      <c r="R2605" s="66"/>
      <c r="S2605" s="66"/>
      <c r="T2605" s="66"/>
    </row>
    <row r="2606">
      <c r="A2606" s="66"/>
      <c r="B2606" s="66"/>
      <c r="C2606" s="66"/>
      <c r="D2606" s="66"/>
      <c r="E2606" s="15"/>
      <c r="F2606" s="66"/>
      <c r="G2606" s="18"/>
      <c r="H2606" s="15"/>
      <c r="I2606" s="18"/>
      <c r="J2606" s="22"/>
      <c r="K2606" s="108"/>
      <c r="L2606" s="66"/>
      <c r="M2606" s="66"/>
      <c r="N2606" s="66"/>
      <c r="O2606" s="66"/>
      <c r="P2606" s="66"/>
      <c r="Q2606" s="66"/>
      <c r="R2606" s="66"/>
      <c r="S2606" s="66"/>
      <c r="T2606" s="66"/>
    </row>
    <row r="2607">
      <c r="A2607" s="66"/>
      <c r="B2607" s="66"/>
      <c r="C2607" s="66"/>
      <c r="D2607" s="66"/>
      <c r="E2607" s="15"/>
      <c r="F2607" s="66"/>
      <c r="G2607" s="18"/>
      <c r="H2607" s="15"/>
      <c r="I2607" s="18"/>
      <c r="J2607" s="22"/>
      <c r="K2607" s="108"/>
      <c r="L2607" s="66"/>
      <c r="M2607" s="66"/>
      <c r="N2607" s="66"/>
      <c r="O2607" s="66"/>
      <c r="P2607" s="66"/>
      <c r="Q2607" s="66"/>
      <c r="R2607" s="66"/>
      <c r="S2607" s="66"/>
      <c r="T2607" s="66"/>
    </row>
    <row r="2608">
      <c r="A2608" s="66"/>
      <c r="B2608" s="66"/>
      <c r="C2608" s="66"/>
      <c r="D2608" s="66"/>
      <c r="E2608" s="15"/>
      <c r="F2608" s="66"/>
      <c r="G2608" s="18"/>
      <c r="H2608" s="15"/>
      <c r="I2608" s="18"/>
      <c r="J2608" s="22"/>
      <c r="K2608" s="108"/>
      <c r="L2608" s="66"/>
      <c r="M2608" s="66"/>
      <c r="N2608" s="66"/>
      <c r="O2608" s="66"/>
      <c r="P2608" s="66"/>
      <c r="Q2608" s="66"/>
      <c r="R2608" s="66"/>
      <c r="S2608" s="66"/>
      <c r="T2608" s="66"/>
    </row>
    <row r="2609">
      <c r="A2609" s="66"/>
      <c r="B2609" s="66"/>
      <c r="C2609" s="66"/>
      <c r="D2609" s="66"/>
      <c r="E2609" s="15"/>
      <c r="F2609" s="66"/>
      <c r="G2609" s="18"/>
      <c r="H2609" s="15"/>
      <c r="I2609" s="18"/>
      <c r="J2609" s="22"/>
      <c r="K2609" s="108"/>
      <c r="L2609" s="66"/>
      <c r="M2609" s="66"/>
      <c r="N2609" s="66"/>
      <c r="O2609" s="66"/>
      <c r="P2609" s="66"/>
      <c r="Q2609" s="66"/>
      <c r="R2609" s="66"/>
      <c r="S2609" s="66"/>
      <c r="T2609" s="66"/>
    </row>
    <row r="2610">
      <c r="A2610" s="66"/>
      <c r="B2610" s="66"/>
      <c r="C2610" s="66"/>
      <c r="D2610" s="66"/>
      <c r="E2610" s="15"/>
      <c r="F2610" s="66"/>
      <c r="G2610" s="18"/>
      <c r="H2610" s="15"/>
      <c r="I2610" s="18"/>
      <c r="J2610" s="22"/>
      <c r="K2610" s="108"/>
      <c r="L2610" s="66"/>
      <c r="M2610" s="66"/>
      <c r="N2610" s="66"/>
      <c r="O2610" s="66"/>
      <c r="P2610" s="66"/>
      <c r="Q2610" s="66"/>
      <c r="R2610" s="66"/>
      <c r="S2610" s="66"/>
      <c r="T2610" s="66"/>
    </row>
    <row r="2611">
      <c r="A2611" s="66"/>
      <c r="B2611" s="66"/>
      <c r="C2611" s="66"/>
      <c r="D2611" s="66"/>
      <c r="E2611" s="15"/>
      <c r="F2611" s="66"/>
      <c r="G2611" s="18"/>
      <c r="H2611" s="15"/>
      <c r="I2611" s="18"/>
      <c r="J2611" s="22"/>
      <c r="K2611" s="108"/>
      <c r="L2611" s="66"/>
      <c r="M2611" s="66"/>
      <c r="N2611" s="66"/>
      <c r="O2611" s="66"/>
      <c r="P2611" s="66"/>
      <c r="Q2611" s="66"/>
      <c r="R2611" s="66"/>
      <c r="S2611" s="66"/>
      <c r="T2611" s="66"/>
    </row>
    <row r="2612">
      <c r="A2612" s="66"/>
      <c r="B2612" s="66"/>
      <c r="C2612" s="66"/>
      <c r="D2612" s="66"/>
      <c r="E2612" s="15"/>
      <c r="F2612" s="66"/>
      <c r="G2612" s="18"/>
      <c r="H2612" s="15"/>
      <c r="I2612" s="18"/>
      <c r="J2612" s="22"/>
      <c r="K2612" s="108"/>
      <c r="L2612" s="66"/>
      <c r="M2612" s="66"/>
      <c r="N2612" s="66"/>
      <c r="O2612" s="66"/>
      <c r="P2612" s="66"/>
      <c r="Q2612" s="66"/>
      <c r="R2612" s="66"/>
      <c r="S2612" s="66"/>
      <c r="T2612" s="66"/>
    </row>
    <row r="2613">
      <c r="A2613" s="66"/>
      <c r="B2613" s="66"/>
      <c r="C2613" s="66"/>
      <c r="D2613" s="66"/>
      <c r="E2613" s="15"/>
      <c r="F2613" s="66"/>
      <c r="G2613" s="18"/>
      <c r="H2613" s="15"/>
      <c r="I2613" s="18"/>
      <c r="J2613" s="22"/>
      <c r="K2613" s="108"/>
      <c r="L2613" s="66"/>
      <c r="M2613" s="66"/>
      <c r="N2613" s="66"/>
      <c r="O2613" s="66"/>
      <c r="P2613" s="66"/>
      <c r="Q2613" s="66"/>
      <c r="R2613" s="66"/>
      <c r="S2613" s="66"/>
      <c r="T2613" s="66"/>
    </row>
    <row r="2614">
      <c r="A2614" s="66"/>
      <c r="B2614" s="66"/>
      <c r="C2614" s="66"/>
      <c r="D2614" s="66"/>
      <c r="E2614" s="15"/>
      <c r="F2614" s="66"/>
      <c r="G2614" s="18"/>
      <c r="H2614" s="15"/>
      <c r="I2614" s="18"/>
      <c r="J2614" s="22"/>
      <c r="K2614" s="108"/>
      <c r="L2614" s="66"/>
      <c r="M2614" s="66"/>
      <c r="N2614" s="66"/>
      <c r="O2614" s="66"/>
      <c r="P2614" s="66"/>
      <c r="Q2614" s="66"/>
      <c r="R2614" s="66"/>
      <c r="S2614" s="66"/>
      <c r="T2614" s="66"/>
    </row>
    <row r="2615">
      <c r="A2615" s="66"/>
      <c r="B2615" s="66"/>
      <c r="C2615" s="66"/>
      <c r="D2615" s="66"/>
      <c r="E2615" s="15"/>
      <c r="F2615" s="66"/>
      <c r="G2615" s="18"/>
      <c r="H2615" s="15"/>
      <c r="I2615" s="18"/>
      <c r="J2615" s="22"/>
      <c r="K2615" s="108"/>
      <c r="L2615" s="66"/>
      <c r="M2615" s="66"/>
      <c r="N2615" s="66"/>
      <c r="O2615" s="66"/>
      <c r="P2615" s="66"/>
      <c r="Q2615" s="66"/>
      <c r="R2615" s="66"/>
      <c r="S2615" s="66"/>
      <c r="T2615" s="66"/>
    </row>
    <row r="2616">
      <c r="A2616" s="66"/>
      <c r="B2616" s="66"/>
      <c r="C2616" s="66"/>
      <c r="D2616" s="66"/>
      <c r="E2616" s="15"/>
      <c r="F2616" s="66"/>
      <c r="G2616" s="18"/>
      <c r="H2616" s="15"/>
      <c r="I2616" s="18"/>
      <c r="J2616" s="22"/>
      <c r="K2616" s="108"/>
      <c r="L2616" s="66"/>
      <c r="M2616" s="66"/>
      <c r="N2616" s="66"/>
      <c r="O2616" s="66"/>
      <c r="P2616" s="66"/>
      <c r="Q2616" s="66"/>
      <c r="R2616" s="66"/>
      <c r="S2616" s="66"/>
      <c r="T2616" s="66"/>
    </row>
    <row r="2617">
      <c r="A2617" s="66"/>
      <c r="B2617" s="66"/>
      <c r="C2617" s="66"/>
      <c r="D2617" s="66"/>
      <c r="E2617" s="15"/>
      <c r="F2617" s="66"/>
      <c r="G2617" s="18"/>
      <c r="H2617" s="15"/>
      <c r="I2617" s="18"/>
      <c r="J2617" s="22"/>
      <c r="K2617" s="108"/>
      <c r="L2617" s="66"/>
      <c r="M2617" s="66"/>
      <c r="N2617" s="66"/>
      <c r="O2617" s="66"/>
      <c r="P2617" s="66"/>
      <c r="Q2617" s="66"/>
      <c r="R2617" s="66"/>
      <c r="S2617" s="66"/>
      <c r="T2617" s="66"/>
    </row>
    <row r="2618">
      <c r="A2618" s="66"/>
      <c r="B2618" s="66"/>
      <c r="C2618" s="66"/>
      <c r="D2618" s="66"/>
      <c r="E2618" s="15"/>
      <c r="F2618" s="66"/>
      <c r="G2618" s="18"/>
      <c r="H2618" s="15"/>
      <c r="I2618" s="18"/>
      <c r="J2618" s="22"/>
      <c r="K2618" s="108"/>
      <c r="L2618" s="66"/>
      <c r="M2618" s="66"/>
      <c r="N2618" s="66"/>
      <c r="O2618" s="66"/>
      <c r="P2618" s="66"/>
      <c r="Q2618" s="66"/>
      <c r="R2618" s="66"/>
      <c r="S2618" s="66"/>
      <c r="T2618" s="66"/>
    </row>
    <row r="2619">
      <c r="A2619" s="66"/>
      <c r="B2619" s="66"/>
      <c r="C2619" s="66"/>
      <c r="D2619" s="66"/>
      <c r="E2619" s="15"/>
      <c r="F2619" s="66"/>
      <c r="G2619" s="18"/>
      <c r="H2619" s="15"/>
      <c r="I2619" s="18"/>
      <c r="J2619" s="22"/>
      <c r="K2619" s="108"/>
      <c r="L2619" s="66"/>
      <c r="M2619" s="66"/>
      <c r="N2619" s="66"/>
      <c r="O2619" s="66"/>
      <c r="P2619" s="66"/>
      <c r="Q2619" s="66"/>
      <c r="R2619" s="66"/>
      <c r="S2619" s="66"/>
      <c r="T2619" s="66"/>
    </row>
    <row r="2620">
      <c r="A2620" s="66"/>
      <c r="B2620" s="66"/>
      <c r="C2620" s="66"/>
      <c r="D2620" s="66"/>
      <c r="E2620" s="15"/>
      <c r="F2620" s="66"/>
      <c r="G2620" s="18"/>
      <c r="H2620" s="15"/>
      <c r="I2620" s="18"/>
      <c r="J2620" s="22"/>
      <c r="K2620" s="108"/>
      <c r="L2620" s="66"/>
      <c r="M2620" s="66"/>
      <c r="N2620" s="66"/>
      <c r="O2620" s="66"/>
      <c r="P2620" s="66"/>
      <c r="Q2620" s="66"/>
      <c r="R2620" s="66"/>
      <c r="S2620" s="66"/>
      <c r="T2620" s="66"/>
    </row>
    <row r="2621">
      <c r="A2621" s="66"/>
      <c r="B2621" s="66"/>
      <c r="C2621" s="66"/>
      <c r="D2621" s="66"/>
      <c r="E2621" s="15"/>
      <c r="F2621" s="66"/>
      <c r="G2621" s="18"/>
      <c r="H2621" s="15"/>
      <c r="I2621" s="18"/>
      <c r="J2621" s="22"/>
      <c r="K2621" s="108"/>
      <c r="L2621" s="66"/>
      <c r="M2621" s="66"/>
      <c r="N2621" s="66"/>
      <c r="O2621" s="66"/>
      <c r="P2621" s="66"/>
      <c r="Q2621" s="66"/>
      <c r="R2621" s="66"/>
      <c r="S2621" s="66"/>
      <c r="T2621" s="66"/>
    </row>
    <row r="2622">
      <c r="A2622" s="66"/>
      <c r="B2622" s="66"/>
      <c r="C2622" s="66"/>
      <c r="D2622" s="66"/>
      <c r="E2622" s="15"/>
      <c r="F2622" s="66"/>
      <c r="G2622" s="18"/>
      <c r="H2622" s="15"/>
      <c r="I2622" s="18"/>
      <c r="J2622" s="22"/>
      <c r="K2622" s="108"/>
      <c r="L2622" s="66"/>
      <c r="M2622" s="66"/>
      <c r="N2622" s="66"/>
      <c r="O2622" s="66"/>
      <c r="P2622" s="66"/>
      <c r="Q2622" s="66"/>
      <c r="R2622" s="66"/>
      <c r="S2622" s="66"/>
      <c r="T2622" s="66"/>
    </row>
    <row r="2623">
      <c r="A2623" s="66"/>
      <c r="B2623" s="66"/>
      <c r="C2623" s="66"/>
      <c r="D2623" s="66"/>
      <c r="E2623" s="15"/>
      <c r="F2623" s="66"/>
      <c r="G2623" s="18"/>
      <c r="H2623" s="15"/>
      <c r="I2623" s="18"/>
      <c r="J2623" s="22"/>
      <c r="K2623" s="108"/>
      <c r="L2623" s="66"/>
      <c r="M2623" s="66"/>
      <c r="N2623" s="66"/>
      <c r="O2623" s="66"/>
      <c r="P2623" s="66"/>
      <c r="Q2623" s="66"/>
      <c r="R2623" s="66"/>
      <c r="S2623" s="66"/>
      <c r="T2623" s="66"/>
    </row>
    <row r="2624">
      <c r="A2624" s="66"/>
      <c r="B2624" s="66"/>
      <c r="C2624" s="66"/>
      <c r="D2624" s="66"/>
      <c r="E2624" s="15"/>
      <c r="F2624" s="66"/>
      <c r="G2624" s="18"/>
      <c r="H2624" s="15"/>
      <c r="I2624" s="18"/>
      <c r="J2624" s="22"/>
      <c r="K2624" s="108"/>
      <c r="L2624" s="66"/>
      <c r="M2624" s="66"/>
      <c r="N2624" s="66"/>
      <c r="O2624" s="66"/>
      <c r="P2624" s="66"/>
      <c r="Q2624" s="66"/>
      <c r="R2624" s="66"/>
      <c r="S2624" s="66"/>
      <c r="T2624" s="66"/>
    </row>
    <row r="2625">
      <c r="A2625" s="66"/>
      <c r="B2625" s="66"/>
      <c r="C2625" s="66"/>
      <c r="D2625" s="66"/>
      <c r="E2625" s="15"/>
      <c r="F2625" s="66"/>
      <c r="G2625" s="18"/>
      <c r="H2625" s="15"/>
      <c r="I2625" s="18"/>
      <c r="J2625" s="22"/>
      <c r="K2625" s="108"/>
      <c r="L2625" s="66"/>
      <c r="M2625" s="66"/>
      <c r="N2625" s="66"/>
      <c r="O2625" s="66"/>
      <c r="P2625" s="66"/>
      <c r="Q2625" s="66"/>
      <c r="R2625" s="66"/>
      <c r="S2625" s="66"/>
      <c r="T2625" s="66"/>
    </row>
    <row r="2626">
      <c r="A2626" s="66"/>
      <c r="B2626" s="66"/>
      <c r="C2626" s="66"/>
      <c r="D2626" s="66"/>
      <c r="E2626" s="15"/>
      <c r="F2626" s="66"/>
      <c r="G2626" s="18"/>
      <c r="H2626" s="15"/>
      <c r="I2626" s="18"/>
      <c r="J2626" s="22"/>
      <c r="K2626" s="108"/>
      <c r="L2626" s="66"/>
      <c r="M2626" s="66"/>
      <c r="N2626" s="66"/>
      <c r="O2626" s="66"/>
      <c r="P2626" s="66"/>
      <c r="Q2626" s="66"/>
      <c r="R2626" s="66"/>
      <c r="S2626" s="66"/>
      <c r="T2626" s="66"/>
    </row>
    <row r="2627">
      <c r="A2627" s="66"/>
      <c r="B2627" s="66"/>
      <c r="C2627" s="66"/>
      <c r="D2627" s="66"/>
      <c r="E2627" s="15"/>
      <c r="F2627" s="66"/>
      <c r="G2627" s="18"/>
      <c r="H2627" s="15"/>
      <c r="I2627" s="18"/>
      <c r="J2627" s="22"/>
      <c r="K2627" s="108"/>
      <c r="L2627" s="66"/>
      <c r="M2627" s="66"/>
      <c r="N2627" s="66"/>
      <c r="O2627" s="66"/>
      <c r="P2627" s="66"/>
      <c r="Q2627" s="66"/>
      <c r="R2627" s="66"/>
      <c r="S2627" s="66"/>
      <c r="T2627" s="66"/>
    </row>
    <row r="2628">
      <c r="A2628" s="66"/>
      <c r="B2628" s="66"/>
      <c r="C2628" s="66"/>
      <c r="D2628" s="66"/>
      <c r="E2628" s="15"/>
      <c r="F2628" s="66"/>
      <c r="G2628" s="18"/>
      <c r="H2628" s="15"/>
      <c r="I2628" s="18"/>
      <c r="J2628" s="22"/>
      <c r="K2628" s="108"/>
      <c r="L2628" s="66"/>
      <c r="M2628" s="66"/>
      <c r="N2628" s="66"/>
      <c r="O2628" s="66"/>
      <c r="P2628" s="66"/>
      <c r="Q2628" s="66"/>
      <c r="R2628" s="66"/>
      <c r="S2628" s="66"/>
      <c r="T2628" s="66"/>
    </row>
    <row r="2629">
      <c r="A2629" s="66"/>
      <c r="B2629" s="66"/>
      <c r="C2629" s="66"/>
      <c r="D2629" s="66"/>
      <c r="E2629" s="15"/>
      <c r="F2629" s="66"/>
      <c r="G2629" s="18"/>
      <c r="H2629" s="15"/>
      <c r="I2629" s="18"/>
      <c r="J2629" s="22"/>
      <c r="K2629" s="108"/>
      <c r="L2629" s="66"/>
      <c r="M2629" s="66"/>
      <c r="N2629" s="66"/>
      <c r="O2629" s="66"/>
      <c r="P2629" s="66"/>
      <c r="Q2629" s="66"/>
      <c r="R2629" s="66"/>
      <c r="S2629" s="66"/>
      <c r="T2629" s="66"/>
    </row>
    <row r="2630">
      <c r="A2630" s="66"/>
      <c r="B2630" s="66"/>
      <c r="C2630" s="66"/>
      <c r="D2630" s="66"/>
      <c r="E2630" s="15"/>
      <c r="F2630" s="66"/>
      <c r="G2630" s="18"/>
      <c r="H2630" s="15"/>
      <c r="I2630" s="18"/>
      <c r="J2630" s="22"/>
      <c r="K2630" s="108"/>
      <c r="L2630" s="66"/>
      <c r="M2630" s="66"/>
      <c r="N2630" s="66"/>
      <c r="O2630" s="66"/>
      <c r="P2630" s="66"/>
      <c r="Q2630" s="66"/>
      <c r="R2630" s="66"/>
      <c r="S2630" s="66"/>
      <c r="T2630" s="66"/>
    </row>
    <row r="2631">
      <c r="A2631" s="66"/>
      <c r="B2631" s="66"/>
      <c r="C2631" s="66"/>
      <c r="D2631" s="66"/>
      <c r="E2631" s="15"/>
      <c r="F2631" s="66"/>
      <c r="G2631" s="18"/>
      <c r="H2631" s="15"/>
      <c r="I2631" s="18"/>
      <c r="J2631" s="22"/>
      <c r="K2631" s="108"/>
      <c r="L2631" s="66"/>
      <c r="M2631" s="66"/>
      <c r="N2631" s="66"/>
      <c r="O2631" s="66"/>
      <c r="P2631" s="66"/>
      <c r="Q2631" s="66"/>
      <c r="R2631" s="66"/>
      <c r="S2631" s="66"/>
      <c r="T2631" s="66"/>
    </row>
    <row r="2632">
      <c r="A2632" s="66"/>
      <c r="B2632" s="66"/>
      <c r="C2632" s="66"/>
      <c r="D2632" s="66"/>
      <c r="E2632" s="15"/>
      <c r="F2632" s="66"/>
      <c r="G2632" s="18"/>
      <c r="H2632" s="15"/>
      <c r="I2632" s="18"/>
      <c r="J2632" s="22"/>
      <c r="K2632" s="108"/>
      <c r="L2632" s="66"/>
      <c r="M2632" s="66"/>
      <c r="N2632" s="66"/>
      <c r="O2632" s="66"/>
      <c r="P2632" s="66"/>
      <c r="Q2632" s="66"/>
      <c r="R2632" s="66"/>
      <c r="S2632" s="66"/>
      <c r="T2632" s="66"/>
    </row>
    <row r="2633">
      <c r="A2633" s="66"/>
      <c r="B2633" s="66"/>
      <c r="C2633" s="66"/>
      <c r="D2633" s="66"/>
      <c r="E2633" s="15"/>
      <c r="F2633" s="66"/>
      <c r="G2633" s="18"/>
      <c r="H2633" s="15"/>
      <c r="I2633" s="18"/>
      <c r="J2633" s="22"/>
      <c r="K2633" s="108"/>
      <c r="L2633" s="66"/>
      <c r="M2633" s="66"/>
      <c r="N2633" s="66"/>
      <c r="O2633" s="66"/>
      <c r="P2633" s="66"/>
      <c r="Q2633" s="66"/>
      <c r="R2633" s="66"/>
      <c r="S2633" s="66"/>
      <c r="T2633" s="66"/>
    </row>
    <row r="2634">
      <c r="A2634" s="66"/>
      <c r="B2634" s="66"/>
      <c r="C2634" s="66"/>
      <c r="D2634" s="66"/>
      <c r="E2634" s="15"/>
      <c r="F2634" s="66"/>
      <c r="G2634" s="18"/>
      <c r="H2634" s="15"/>
      <c r="I2634" s="18"/>
      <c r="J2634" s="22"/>
      <c r="K2634" s="108"/>
      <c r="L2634" s="66"/>
      <c r="M2634" s="66"/>
      <c r="N2634" s="66"/>
      <c r="O2634" s="66"/>
      <c r="P2634" s="66"/>
      <c r="Q2634" s="66"/>
      <c r="R2634" s="66"/>
      <c r="S2634" s="66"/>
      <c r="T2634" s="66"/>
    </row>
    <row r="2635">
      <c r="A2635" s="66"/>
      <c r="B2635" s="66"/>
      <c r="C2635" s="66"/>
      <c r="D2635" s="66"/>
      <c r="E2635" s="15"/>
      <c r="F2635" s="66"/>
      <c r="G2635" s="18"/>
      <c r="H2635" s="15"/>
      <c r="I2635" s="18"/>
      <c r="J2635" s="22"/>
      <c r="K2635" s="108"/>
      <c r="L2635" s="66"/>
      <c r="M2635" s="66"/>
      <c r="N2635" s="66"/>
      <c r="O2635" s="66"/>
      <c r="P2635" s="66"/>
      <c r="Q2635" s="66"/>
      <c r="R2635" s="66"/>
      <c r="S2635" s="66"/>
      <c r="T2635" s="66"/>
    </row>
    <row r="2636">
      <c r="A2636" s="66"/>
      <c r="B2636" s="66"/>
      <c r="C2636" s="66"/>
      <c r="D2636" s="66"/>
      <c r="E2636" s="15"/>
      <c r="F2636" s="66"/>
      <c r="G2636" s="18"/>
      <c r="H2636" s="15"/>
      <c r="I2636" s="18"/>
      <c r="J2636" s="22"/>
      <c r="K2636" s="108"/>
      <c r="L2636" s="66"/>
      <c r="M2636" s="66"/>
      <c r="N2636" s="66"/>
      <c r="O2636" s="66"/>
      <c r="P2636" s="66"/>
      <c r="Q2636" s="66"/>
      <c r="R2636" s="66"/>
      <c r="S2636" s="66"/>
      <c r="T2636" s="66"/>
    </row>
    <row r="2637">
      <c r="A2637" s="66"/>
      <c r="B2637" s="66"/>
      <c r="C2637" s="66"/>
      <c r="D2637" s="66"/>
      <c r="E2637" s="15"/>
      <c r="F2637" s="66"/>
      <c r="G2637" s="18"/>
      <c r="H2637" s="15"/>
      <c r="I2637" s="18"/>
      <c r="J2637" s="22"/>
      <c r="K2637" s="108"/>
      <c r="L2637" s="66"/>
      <c r="M2637" s="66"/>
      <c r="N2637" s="66"/>
      <c r="O2637" s="66"/>
      <c r="P2637" s="66"/>
      <c r="Q2637" s="66"/>
      <c r="R2637" s="66"/>
      <c r="S2637" s="66"/>
      <c r="T2637" s="66"/>
    </row>
    <row r="2638">
      <c r="A2638" s="66"/>
      <c r="B2638" s="66"/>
      <c r="C2638" s="66"/>
      <c r="D2638" s="66"/>
      <c r="E2638" s="15"/>
      <c r="F2638" s="66"/>
      <c r="G2638" s="18"/>
      <c r="H2638" s="15"/>
      <c r="I2638" s="18"/>
      <c r="J2638" s="22"/>
      <c r="K2638" s="108"/>
      <c r="L2638" s="66"/>
      <c r="M2638" s="66"/>
      <c r="N2638" s="66"/>
      <c r="O2638" s="66"/>
      <c r="P2638" s="66"/>
      <c r="Q2638" s="66"/>
      <c r="R2638" s="66"/>
      <c r="S2638" s="66"/>
      <c r="T2638" s="66"/>
    </row>
    <row r="2639">
      <c r="A2639" s="66"/>
      <c r="B2639" s="66"/>
      <c r="C2639" s="66"/>
      <c r="D2639" s="66"/>
      <c r="E2639" s="15"/>
      <c r="F2639" s="66"/>
      <c r="G2639" s="18"/>
      <c r="H2639" s="15"/>
      <c r="I2639" s="18"/>
      <c r="J2639" s="22"/>
      <c r="K2639" s="108"/>
      <c r="L2639" s="66"/>
      <c r="M2639" s="66"/>
      <c r="N2639" s="66"/>
      <c r="O2639" s="66"/>
      <c r="P2639" s="66"/>
      <c r="Q2639" s="66"/>
      <c r="R2639" s="66"/>
      <c r="S2639" s="66"/>
      <c r="T2639" s="66"/>
    </row>
    <row r="2640">
      <c r="A2640" s="66"/>
      <c r="B2640" s="66"/>
      <c r="C2640" s="66"/>
      <c r="D2640" s="66"/>
      <c r="E2640" s="15"/>
      <c r="F2640" s="66"/>
      <c r="G2640" s="18"/>
      <c r="H2640" s="15"/>
      <c r="I2640" s="18"/>
      <c r="J2640" s="22"/>
      <c r="K2640" s="108"/>
      <c r="L2640" s="66"/>
      <c r="M2640" s="66"/>
      <c r="N2640" s="66"/>
      <c r="O2640" s="66"/>
      <c r="P2640" s="66"/>
      <c r="Q2640" s="66"/>
      <c r="R2640" s="66"/>
      <c r="S2640" s="66"/>
      <c r="T2640" s="66"/>
    </row>
    <row r="2641">
      <c r="A2641" s="66"/>
      <c r="B2641" s="66"/>
      <c r="C2641" s="66"/>
      <c r="D2641" s="66"/>
      <c r="E2641" s="15"/>
      <c r="F2641" s="66"/>
      <c r="G2641" s="18"/>
      <c r="H2641" s="15"/>
      <c r="I2641" s="18"/>
      <c r="J2641" s="22"/>
      <c r="K2641" s="108"/>
      <c r="L2641" s="66"/>
      <c r="M2641" s="66"/>
      <c r="N2641" s="66"/>
      <c r="O2641" s="66"/>
      <c r="P2641" s="66"/>
      <c r="Q2641" s="66"/>
      <c r="R2641" s="66"/>
      <c r="S2641" s="66"/>
      <c r="T2641" s="66"/>
    </row>
    <row r="2642">
      <c r="A2642" s="66"/>
      <c r="B2642" s="66"/>
      <c r="C2642" s="66"/>
      <c r="D2642" s="66"/>
      <c r="E2642" s="15"/>
      <c r="F2642" s="66"/>
      <c r="G2642" s="18"/>
      <c r="H2642" s="15"/>
      <c r="I2642" s="18"/>
      <c r="J2642" s="22"/>
      <c r="K2642" s="108"/>
      <c r="L2642" s="66"/>
      <c r="M2642" s="66"/>
      <c r="N2642" s="66"/>
      <c r="O2642" s="66"/>
      <c r="P2642" s="66"/>
      <c r="Q2642" s="66"/>
      <c r="R2642" s="66"/>
      <c r="S2642" s="66"/>
      <c r="T2642" s="66"/>
    </row>
    <row r="2643">
      <c r="A2643" s="66"/>
      <c r="B2643" s="66"/>
      <c r="C2643" s="66"/>
      <c r="D2643" s="66"/>
      <c r="E2643" s="15"/>
      <c r="F2643" s="66"/>
      <c r="G2643" s="18"/>
      <c r="H2643" s="15"/>
      <c r="I2643" s="18"/>
      <c r="J2643" s="22"/>
      <c r="K2643" s="108"/>
      <c r="L2643" s="66"/>
      <c r="M2643" s="66"/>
      <c r="N2643" s="66"/>
      <c r="O2643" s="66"/>
      <c r="P2643" s="66"/>
      <c r="Q2643" s="66"/>
      <c r="R2643" s="66"/>
      <c r="S2643" s="66"/>
      <c r="T2643" s="66"/>
    </row>
    <row r="2644">
      <c r="A2644" s="66"/>
      <c r="B2644" s="66"/>
      <c r="C2644" s="66"/>
      <c r="D2644" s="66"/>
      <c r="E2644" s="15"/>
      <c r="F2644" s="66"/>
      <c r="G2644" s="18"/>
      <c r="H2644" s="15"/>
      <c r="I2644" s="18"/>
      <c r="J2644" s="22"/>
      <c r="K2644" s="108"/>
      <c r="L2644" s="66"/>
      <c r="M2644" s="66"/>
      <c r="N2644" s="66"/>
      <c r="O2644" s="66"/>
      <c r="P2644" s="66"/>
      <c r="Q2644" s="66"/>
      <c r="R2644" s="66"/>
      <c r="S2644" s="66"/>
      <c r="T2644" s="66"/>
    </row>
    <row r="2645">
      <c r="A2645" s="66"/>
      <c r="B2645" s="66"/>
      <c r="C2645" s="66"/>
      <c r="D2645" s="66"/>
      <c r="E2645" s="15"/>
      <c r="F2645" s="66"/>
      <c r="G2645" s="18"/>
      <c r="H2645" s="15"/>
      <c r="I2645" s="18"/>
      <c r="J2645" s="22"/>
      <c r="K2645" s="108"/>
      <c r="L2645" s="66"/>
      <c r="M2645" s="66"/>
      <c r="N2645" s="66"/>
      <c r="O2645" s="66"/>
      <c r="P2645" s="66"/>
      <c r="Q2645" s="66"/>
      <c r="R2645" s="66"/>
      <c r="S2645" s="66"/>
      <c r="T2645" s="66"/>
    </row>
    <row r="2646">
      <c r="A2646" s="66"/>
      <c r="B2646" s="66"/>
      <c r="C2646" s="66"/>
      <c r="D2646" s="66"/>
      <c r="E2646" s="15"/>
      <c r="F2646" s="66"/>
      <c r="G2646" s="18"/>
      <c r="H2646" s="15"/>
      <c r="I2646" s="18"/>
      <c r="J2646" s="22"/>
      <c r="K2646" s="108"/>
      <c r="L2646" s="66"/>
      <c r="M2646" s="66"/>
      <c r="N2646" s="66"/>
      <c r="O2646" s="66"/>
      <c r="P2646" s="66"/>
      <c r="Q2646" s="66"/>
      <c r="R2646" s="66"/>
      <c r="S2646" s="66"/>
      <c r="T2646" s="66"/>
    </row>
    <row r="2647">
      <c r="A2647" s="66"/>
      <c r="B2647" s="66"/>
      <c r="C2647" s="66"/>
      <c r="D2647" s="66"/>
      <c r="E2647" s="15"/>
      <c r="F2647" s="66"/>
      <c r="G2647" s="18"/>
      <c r="H2647" s="15"/>
      <c r="I2647" s="18"/>
      <c r="J2647" s="22"/>
      <c r="K2647" s="108"/>
      <c r="L2647" s="66"/>
      <c r="M2647" s="66"/>
      <c r="N2647" s="66"/>
      <c r="O2647" s="66"/>
      <c r="P2647" s="66"/>
      <c r="Q2647" s="66"/>
      <c r="R2647" s="66"/>
      <c r="S2647" s="66"/>
      <c r="T2647" s="66"/>
    </row>
    <row r="2648">
      <c r="A2648" s="66"/>
      <c r="B2648" s="66"/>
      <c r="C2648" s="66"/>
      <c r="D2648" s="66"/>
      <c r="E2648" s="15"/>
      <c r="F2648" s="66"/>
      <c r="G2648" s="18"/>
      <c r="H2648" s="15"/>
      <c r="I2648" s="18"/>
      <c r="J2648" s="22"/>
      <c r="K2648" s="108"/>
      <c r="L2648" s="66"/>
      <c r="M2648" s="66"/>
      <c r="N2648" s="66"/>
      <c r="O2648" s="66"/>
      <c r="P2648" s="66"/>
      <c r="Q2648" s="66"/>
      <c r="R2648" s="66"/>
      <c r="S2648" s="66"/>
      <c r="T2648" s="66"/>
    </row>
    <row r="2649">
      <c r="A2649" s="66"/>
      <c r="B2649" s="66"/>
      <c r="C2649" s="66"/>
      <c r="D2649" s="66"/>
      <c r="E2649" s="15"/>
      <c r="F2649" s="66"/>
      <c r="G2649" s="18"/>
      <c r="H2649" s="15"/>
      <c r="I2649" s="18"/>
      <c r="J2649" s="22"/>
      <c r="K2649" s="108"/>
      <c r="L2649" s="66"/>
      <c r="M2649" s="66"/>
      <c r="N2649" s="66"/>
      <c r="O2649" s="66"/>
      <c r="P2649" s="66"/>
      <c r="Q2649" s="66"/>
      <c r="R2649" s="66"/>
      <c r="S2649" s="66"/>
      <c r="T2649" s="66"/>
    </row>
    <row r="2650">
      <c r="A2650" s="66"/>
      <c r="B2650" s="66"/>
      <c r="C2650" s="66"/>
      <c r="D2650" s="66"/>
      <c r="E2650" s="15"/>
      <c r="F2650" s="66"/>
      <c r="G2650" s="18"/>
      <c r="H2650" s="15"/>
      <c r="I2650" s="18"/>
      <c r="J2650" s="22"/>
      <c r="K2650" s="108"/>
      <c r="L2650" s="66"/>
      <c r="M2650" s="66"/>
      <c r="N2650" s="66"/>
      <c r="O2650" s="66"/>
      <c r="P2650" s="66"/>
      <c r="Q2650" s="66"/>
      <c r="R2650" s="66"/>
      <c r="S2650" s="66"/>
      <c r="T2650" s="66"/>
    </row>
    <row r="2651">
      <c r="A2651" s="66"/>
      <c r="B2651" s="66"/>
      <c r="C2651" s="66"/>
      <c r="D2651" s="66"/>
      <c r="E2651" s="15"/>
      <c r="F2651" s="66"/>
      <c r="G2651" s="18"/>
      <c r="H2651" s="15"/>
      <c r="I2651" s="18"/>
      <c r="J2651" s="22"/>
      <c r="K2651" s="108"/>
      <c r="L2651" s="66"/>
      <c r="M2651" s="66"/>
      <c r="N2651" s="66"/>
      <c r="O2651" s="66"/>
      <c r="P2651" s="66"/>
      <c r="Q2651" s="66"/>
      <c r="R2651" s="66"/>
      <c r="S2651" s="66"/>
      <c r="T2651" s="66"/>
    </row>
    <row r="2652">
      <c r="A2652" s="66"/>
      <c r="B2652" s="66"/>
      <c r="C2652" s="66"/>
      <c r="D2652" s="66"/>
      <c r="E2652" s="15"/>
      <c r="F2652" s="66"/>
      <c r="G2652" s="18"/>
      <c r="H2652" s="15"/>
      <c r="I2652" s="18"/>
      <c r="J2652" s="22"/>
      <c r="K2652" s="108"/>
      <c r="L2652" s="66"/>
      <c r="M2652" s="66"/>
      <c r="N2652" s="66"/>
      <c r="O2652" s="66"/>
      <c r="P2652" s="66"/>
      <c r="Q2652" s="66"/>
      <c r="R2652" s="66"/>
      <c r="S2652" s="66"/>
      <c r="T2652" s="66"/>
    </row>
    <row r="2653">
      <c r="A2653" s="66"/>
      <c r="B2653" s="66"/>
      <c r="C2653" s="66"/>
      <c r="D2653" s="66"/>
      <c r="E2653" s="15"/>
      <c r="F2653" s="66"/>
      <c r="G2653" s="18"/>
      <c r="H2653" s="15"/>
      <c r="I2653" s="18"/>
      <c r="J2653" s="22"/>
      <c r="K2653" s="108"/>
      <c r="L2653" s="66"/>
      <c r="M2653" s="66"/>
      <c r="N2653" s="66"/>
      <c r="O2653" s="66"/>
      <c r="P2653" s="66"/>
      <c r="Q2653" s="66"/>
      <c r="R2653" s="66"/>
      <c r="S2653" s="66"/>
      <c r="T2653" s="66"/>
    </row>
    <row r="2654">
      <c r="A2654" s="66"/>
      <c r="B2654" s="66"/>
      <c r="C2654" s="66"/>
      <c r="D2654" s="66"/>
      <c r="E2654" s="15"/>
      <c r="F2654" s="66"/>
      <c r="G2654" s="18"/>
      <c r="H2654" s="15"/>
      <c r="I2654" s="18"/>
      <c r="J2654" s="22"/>
      <c r="K2654" s="108"/>
      <c r="L2654" s="66"/>
      <c r="M2654" s="66"/>
      <c r="N2654" s="66"/>
      <c r="O2654" s="66"/>
      <c r="P2654" s="66"/>
      <c r="Q2654" s="66"/>
      <c r="R2654" s="66"/>
      <c r="S2654" s="66"/>
      <c r="T2654" s="66"/>
    </row>
    <row r="2655">
      <c r="A2655" s="66"/>
      <c r="B2655" s="66"/>
      <c r="C2655" s="66"/>
      <c r="D2655" s="66"/>
      <c r="E2655" s="15"/>
      <c r="F2655" s="66"/>
      <c r="G2655" s="18"/>
      <c r="H2655" s="15"/>
      <c r="I2655" s="18"/>
      <c r="J2655" s="22"/>
      <c r="K2655" s="108"/>
      <c r="L2655" s="66"/>
      <c r="M2655" s="66"/>
      <c r="N2655" s="66"/>
      <c r="O2655" s="66"/>
      <c r="P2655" s="66"/>
      <c r="Q2655" s="66"/>
      <c r="R2655" s="66"/>
      <c r="S2655" s="66"/>
      <c r="T2655" s="66"/>
    </row>
    <row r="2656">
      <c r="A2656" s="66"/>
      <c r="B2656" s="66"/>
      <c r="C2656" s="66"/>
      <c r="D2656" s="66"/>
      <c r="E2656" s="15"/>
      <c r="F2656" s="66"/>
      <c r="G2656" s="18"/>
      <c r="H2656" s="15"/>
      <c r="I2656" s="18"/>
      <c r="J2656" s="22"/>
      <c r="K2656" s="108"/>
      <c r="L2656" s="66"/>
      <c r="M2656" s="66"/>
      <c r="N2656" s="66"/>
      <c r="O2656" s="66"/>
      <c r="P2656" s="66"/>
      <c r="Q2656" s="66"/>
      <c r="R2656" s="66"/>
      <c r="S2656" s="66"/>
      <c r="T2656" s="66"/>
    </row>
    <row r="2657">
      <c r="A2657" s="66"/>
      <c r="B2657" s="66"/>
      <c r="C2657" s="66"/>
      <c r="D2657" s="66"/>
      <c r="E2657" s="15"/>
      <c r="F2657" s="66"/>
      <c r="G2657" s="18"/>
      <c r="H2657" s="15"/>
      <c r="I2657" s="18"/>
      <c r="J2657" s="22"/>
      <c r="K2657" s="108"/>
      <c r="L2657" s="66"/>
      <c r="M2657" s="66"/>
      <c r="N2657" s="66"/>
      <c r="O2657" s="66"/>
      <c r="P2657" s="66"/>
      <c r="Q2657" s="66"/>
      <c r="R2657" s="66"/>
      <c r="S2657" s="66"/>
      <c r="T2657" s="66"/>
    </row>
    <row r="2658">
      <c r="A2658" s="66"/>
      <c r="B2658" s="66"/>
      <c r="C2658" s="66"/>
      <c r="D2658" s="66"/>
      <c r="E2658" s="15"/>
      <c r="F2658" s="66"/>
      <c r="G2658" s="18"/>
      <c r="H2658" s="15"/>
      <c r="I2658" s="18"/>
      <c r="J2658" s="22"/>
      <c r="K2658" s="108"/>
      <c r="L2658" s="66"/>
      <c r="M2658" s="66"/>
      <c r="N2658" s="66"/>
      <c r="O2658" s="66"/>
      <c r="P2658" s="66"/>
      <c r="Q2658" s="66"/>
      <c r="R2658" s="66"/>
      <c r="S2658" s="66"/>
      <c r="T2658" s="66"/>
    </row>
    <row r="2659">
      <c r="A2659" s="66"/>
      <c r="B2659" s="66"/>
      <c r="C2659" s="66"/>
      <c r="D2659" s="66"/>
      <c r="E2659" s="15"/>
      <c r="F2659" s="66"/>
      <c r="G2659" s="18"/>
      <c r="H2659" s="15"/>
      <c r="I2659" s="18"/>
      <c r="J2659" s="22"/>
      <c r="K2659" s="108"/>
      <c r="L2659" s="66"/>
      <c r="M2659" s="66"/>
      <c r="N2659" s="66"/>
      <c r="O2659" s="66"/>
      <c r="P2659" s="66"/>
      <c r="Q2659" s="66"/>
      <c r="R2659" s="66"/>
      <c r="S2659" s="66"/>
      <c r="T2659" s="66"/>
    </row>
    <row r="2660">
      <c r="A2660" s="66"/>
      <c r="B2660" s="66"/>
      <c r="C2660" s="66"/>
      <c r="D2660" s="66"/>
      <c r="E2660" s="15"/>
      <c r="F2660" s="66"/>
      <c r="G2660" s="18"/>
      <c r="H2660" s="15"/>
      <c r="I2660" s="18"/>
      <c r="J2660" s="22"/>
      <c r="K2660" s="108"/>
      <c r="L2660" s="66"/>
      <c r="M2660" s="66"/>
      <c r="N2660" s="66"/>
      <c r="O2660" s="66"/>
      <c r="P2660" s="66"/>
      <c r="Q2660" s="66"/>
      <c r="R2660" s="66"/>
      <c r="S2660" s="66"/>
      <c r="T2660" s="66"/>
    </row>
    <row r="2661">
      <c r="A2661" s="66"/>
      <c r="B2661" s="66"/>
      <c r="C2661" s="66"/>
      <c r="D2661" s="66"/>
      <c r="E2661" s="15"/>
      <c r="F2661" s="66"/>
      <c r="G2661" s="18"/>
      <c r="H2661" s="15"/>
      <c r="I2661" s="18"/>
      <c r="J2661" s="22"/>
      <c r="K2661" s="108"/>
      <c r="L2661" s="66"/>
      <c r="M2661" s="66"/>
      <c r="N2661" s="66"/>
      <c r="O2661" s="66"/>
      <c r="P2661" s="66"/>
      <c r="Q2661" s="66"/>
      <c r="R2661" s="66"/>
      <c r="S2661" s="66"/>
      <c r="T2661" s="66"/>
    </row>
    <row r="2662">
      <c r="A2662" s="66"/>
      <c r="B2662" s="66"/>
      <c r="C2662" s="66"/>
      <c r="D2662" s="66"/>
      <c r="E2662" s="15"/>
      <c r="F2662" s="66"/>
      <c r="G2662" s="18"/>
      <c r="H2662" s="15"/>
      <c r="I2662" s="18"/>
      <c r="J2662" s="22"/>
      <c r="K2662" s="108"/>
      <c r="L2662" s="66"/>
      <c r="M2662" s="66"/>
      <c r="N2662" s="66"/>
      <c r="O2662" s="66"/>
      <c r="P2662" s="66"/>
      <c r="Q2662" s="66"/>
      <c r="R2662" s="66"/>
      <c r="S2662" s="66"/>
      <c r="T2662" s="66"/>
    </row>
    <row r="2663">
      <c r="A2663" s="66"/>
      <c r="B2663" s="66"/>
      <c r="C2663" s="66"/>
      <c r="D2663" s="66"/>
      <c r="E2663" s="15"/>
      <c r="F2663" s="66"/>
      <c r="G2663" s="18"/>
      <c r="H2663" s="15"/>
      <c r="I2663" s="18"/>
      <c r="J2663" s="22"/>
      <c r="K2663" s="108"/>
      <c r="L2663" s="66"/>
      <c r="M2663" s="66"/>
      <c r="N2663" s="66"/>
      <c r="O2663" s="66"/>
      <c r="P2663" s="66"/>
      <c r="Q2663" s="66"/>
      <c r="R2663" s="66"/>
      <c r="S2663" s="66"/>
      <c r="T2663" s="66"/>
    </row>
    <row r="2664">
      <c r="A2664" s="66"/>
      <c r="B2664" s="66"/>
      <c r="C2664" s="66"/>
      <c r="D2664" s="66"/>
      <c r="E2664" s="15"/>
      <c r="F2664" s="66"/>
      <c r="G2664" s="18"/>
      <c r="H2664" s="15"/>
      <c r="I2664" s="18"/>
      <c r="J2664" s="22"/>
      <c r="K2664" s="108"/>
      <c r="L2664" s="66"/>
      <c r="M2664" s="66"/>
      <c r="N2664" s="66"/>
      <c r="O2664" s="66"/>
      <c r="P2664" s="66"/>
      <c r="Q2664" s="66"/>
      <c r="R2664" s="66"/>
      <c r="S2664" s="66"/>
      <c r="T2664" s="66"/>
    </row>
    <row r="2665">
      <c r="A2665" s="66"/>
      <c r="B2665" s="66"/>
      <c r="C2665" s="66"/>
      <c r="D2665" s="66"/>
      <c r="E2665" s="15"/>
      <c r="F2665" s="66"/>
      <c r="G2665" s="18"/>
      <c r="H2665" s="15"/>
      <c r="I2665" s="18"/>
      <c r="J2665" s="22"/>
      <c r="K2665" s="108"/>
      <c r="L2665" s="66"/>
      <c r="M2665" s="66"/>
      <c r="N2665" s="66"/>
      <c r="O2665" s="66"/>
      <c r="P2665" s="66"/>
      <c r="Q2665" s="66"/>
      <c r="R2665" s="66"/>
      <c r="S2665" s="66"/>
      <c r="T2665" s="66"/>
    </row>
    <row r="2666">
      <c r="A2666" s="66"/>
      <c r="B2666" s="66"/>
      <c r="C2666" s="66"/>
      <c r="D2666" s="66"/>
      <c r="E2666" s="15"/>
      <c r="F2666" s="66"/>
      <c r="G2666" s="18"/>
      <c r="H2666" s="15"/>
      <c r="I2666" s="18"/>
      <c r="J2666" s="22"/>
      <c r="K2666" s="108"/>
      <c r="L2666" s="66"/>
      <c r="M2666" s="66"/>
      <c r="N2666" s="66"/>
      <c r="O2666" s="66"/>
      <c r="P2666" s="66"/>
      <c r="Q2666" s="66"/>
      <c r="R2666" s="66"/>
      <c r="S2666" s="66"/>
      <c r="T2666" s="66"/>
    </row>
    <row r="2667">
      <c r="A2667" s="66"/>
      <c r="B2667" s="66"/>
      <c r="C2667" s="66"/>
      <c r="D2667" s="66"/>
      <c r="E2667" s="15"/>
      <c r="F2667" s="66"/>
      <c r="G2667" s="18"/>
      <c r="H2667" s="15"/>
      <c r="I2667" s="18"/>
      <c r="J2667" s="22"/>
      <c r="K2667" s="108"/>
      <c r="L2667" s="66"/>
      <c r="M2667" s="66"/>
      <c r="N2667" s="66"/>
      <c r="O2667" s="66"/>
      <c r="P2667" s="66"/>
      <c r="Q2667" s="66"/>
      <c r="R2667" s="66"/>
      <c r="S2667" s="66"/>
      <c r="T2667" s="66"/>
    </row>
    <row r="2668">
      <c r="A2668" s="66"/>
      <c r="B2668" s="66"/>
      <c r="C2668" s="66"/>
      <c r="D2668" s="66"/>
      <c r="E2668" s="15"/>
      <c r="F2668" s="66"/>
      <c r="G2668" s="18"/>
      <c r="H2668" s="15"/>
      <c r="I2668" s="18"/>
      <c r="J2668" s="22"/>
      <c r="K2668" s="108"/>
      <c r="L2668" s="66"/>
      <c r="M2668" s="66"/>
      <c r="N2668" s="66"/>
      <c r="O2668" s="66"/>
      <c r="P2668" s="66"/>
      <c r="Q2668" s="66"/>
      <c r="R2668" s="66"/>
      <c r="S2668" s="66"/>
      <c r="T2668" s="66"/>
    </row>
    <row r="2669">
      <c r="A2669" s="66"/>
      <c r="B2669" s="66"/>
      <c r="C2669" s="66"/>
      <c r="D2669" s="66"/>
      <c r="E2669" s="15"/>
      <c r="F2669" s="66"/>
      <c r="G2669" s="18"/>
      <c r="H2669" s="15"/>
      <c r="I2669" s="18"/>
      <c r="J2669" s="22"/>
      <c r="K2669" s="108"/>
      <c r="L2669" s="66"/>
      <c r="M2669" s="66"/>
      <c r="N2669" s="66"/>
      <c r="O2669" s="66"/>
      <c r="P2669" s="66"/>
      <c r="Q2669" s="66"/>
      <c r="R2669" s="66"/>
      <c r="S2669" s="66"/>
      <c r="T2669" s="66"/>
    </row>
    <row r="2670">
      <c r="A2670" s="66"/>
      <c r="B2670" s="66"/>
      <c r="C2670" s="66"/>
      <c r="D2670" s="66"/>
      <c r="E2670" s="15"/>
      <c r="F2670" s="66"/>
      <c r="G2670" s="18"/>
      <c r="H2670" s="15"/>
      <c r="I2670" s="18"/>
      <c r="J2670" s="22"/>
      <c r="K2670" s="108"/>
      <c r="L2670" s="66"/>
      <c r="M2670" s="66"/>
      <c r="N2670" s="66"/>
      <c r="O2670" s="66"/>
      <c r="P2670" s="66"/>
      <c r="Q2670" s="66"/>
      <c r="R2670" s="66"/>
      <c r="S2670" s="66"/>
      <c r="T2670" s="66"/>
    </row>
    <row r="2671">
      <c r="A2671" s="66"/>
      <c r="B2671" s="66"/>
      <c r="C2671" s="66"/>
      <c r="D2671" s="66"/>
      <c r="E2671" s="15"/>
      <c r="F2671" s="66"/>
      <c r="G2671" s="18"/>
      <c r="H2671" s="15"/>
      <c r="I2671" s="18"/>
      <c r="J2671" s="22"/>
      <c r="K2671" s="108"/>
      <c r="L2671" s="66"/>
      <c r="M2671" s="66"/>
      <c r="N2671" s="66"/>
      <c r="O2671" s="66"/>
      <c r="P2671" s="66"/>
      <c r="Q2671" s="66"/>
      <c r="R2671" s="66"/>
      <c r="S2671" s="66"/>
      <c r="T2671" s="66"/>
    </row>
    <row r="2672">
      <c r="A2672" s="66"/>
      <c r="B2672" s="66"/>
      <c r="C2672" s="66"/>
      <c r="D2672" s="66"/>
      <c r="E2672" s="15"/>
      <c r="F2672" s="66"/>
      <c r="G2672" s="18"/>
      <c r="H2672" s="15"/>
      <c r="I2672" s="18"/>
      <c r="J2672" s="22"/>
      <c r="K2672" s="108"/>
      <c r="L2672" s="66"/>
      <c r="M2672" s="66"/>
      <c r="N2672" s="66"/>
      <c r="O2672" s="66"/>
      <c r="P2672" s="66"/>
      <c r="Q2672" s="66"/>
      <c r="R2672" s="66"/>
      <c r="S2672" s="66"/>
      <c r="T2672" s="66"/>
    </row>
    <row r="2673">
      <c r="A2673" s="66"/>
      <c r="B2673" s="66"/>
      <c r="C2673" s="66"/>
      <c r="D2673" s="66"/>
      <c r="E2673" s="15"/>
      <c r="F2673" s="66"/>
      <c r="G2673" s="18"/>
      <c r="H2673" s="15"/>
      <c r="I2673" s="18"/>
      <c r="J2673" s="22"/>
      <c r="K2673" s="108"/>
      <c r="L2673" s="66"/>
      <c r="M2673" s="66"/>
      <c r="N2673" s="66"/>
      <c r="O2673" s="66"/>
      <c r="P2673" s="66"/>
      <c r="Q2673" s="66"/>
      <c r="R2673" s="66"/>
      <c r="S2673" s="66"/>
      <c r="T2673" s="66"/>
    </row>
    <row r="2674">
      <c r="A2674" s="66"/>
      <c r="B2674" s="66"/>
      <c r="C2674" s="66"/>
      <c r="D2674" s="66"/>
      <c r="E2674" s="15"/>
      <c r="F2674" s="66"/>
      <c r="G2674" s="18"/>
      <c r="H2674" s="15"/>
      <c r="I2674" s="18"/>
      <c r="J2674" s="22"/>
      <c r="K2674" s="108"/>
      <c r="L2674" s="66"/>
      <c r="M2674" s="66"/>
      <c r="N2674" s="66"/>
      <c r="O2674" s="66"/>
      <c r="P2674" s="66"/>
      <c r="Q2674" s="66"/>
      <c r="R2674" s="66"/>
      <c r="S2674" s="66"/>
      <c r="T2674" s="66"/>
    </row>
    <row r="2675">
      <c r="A2675" s="66"/>
      <c r="B2675" s="66"/>
      <c r="C2675" s="66"/>
      <c r="D2675" s="66"/>
      <c r="E2675" s="15"/>
      <c r="F2675" s="66"/>
      <c r="G2675" s="18"/>
      <c r="H2675" s="15"/>
      <c r="I2675" s="18"/>
      <c r="J2675" s="22"/>
      <c r="K2675" s="108"/>
      <c r="L2675" s="66"/>
      <c r="M2675" s="66"/>
      <c r="N2675" s="66"/>
      <c r="O2675" s="66"/>
      <c r="P2675" s="66"/>
      <c r="Q2675" s="66"/>
      <c r="R2675" s="66"/>
      <c r="S2675" s="66"/>
      <c r="T2675" s="66"/>
    </row>
    <row r="2676">
      <c r="A2676" s="66"/>
      <c r="B2676" s="66"/>
      <c r="C2676" s="66"/>
      <c r="D2676" s="66"/>
      <c r="E2676" s="15"/>
      <c r="F2676" s="66"/>
      <c r="G2676" s="18"/>
      <c r="H2676" s="15"/>
      <c r="I2676" s="18"/>
      <c r="J2676" s="22"/>
      <c r="K2676" s="108"/>
      <c r="L2676" s="66"/>
      <c r="M2676" s="66"/>
      <c r="N2676" s="66"/>
      <c r="O2676" s="66"/>
      <c r="P2676" s="66"/>
      <c r="Q2676" s="66"/>
      <c r="R2676" s="66"/>
      <c r="S2676" s="66"/>
      <c r="T2676" s="66"/>
    </row>
    <row r="2677">
      <c r="A2677" s="66"/>
      <c r="B2677" s="66"/>
      <c r="C2677" s="66"/>
      <c r="D2677" s="66"/>
      <c r="E2677" s="15"/>
      <c r="F2677" s="66"/>
      <c r="G2677" s="18"/>
      <c r="H2677" s="15"/>
      <c r="I2677" s="18"/>
      <c r="J2677" s="22"/>
      <c r="K2677" s="108"/>
      <c r="L2677" s="66"/>
      <c r="M2677" s="66"/>
      <c r="N2677" s="66"/>
      <c r="O2677" s="66"/>
      <c r="P2677" s="66"/>
      <c r="Q2677" s="66"/>
      <c r="R2677" s="66"/>
      <c r="S2677" s="66"/>
      <c r="T2677" s="66"/>
    </row>
    <row r="2678">
      <c r="A2678" s="66"/>
      <c r="B2678" s="66"/>
      <c r="C2678" s="66"/>
      <c r="D2678" s="66"/>
      <c r="E2678" s="15"/>
      <c r="F2678" s="66"/>
      <c r="G2678" s="18"/>
      <c r="H2678" s="15"/>
      <c r="I2678" s="18"/>
      <c r="J2678" s="22"/>
      <c r="K2678" s="108"/>
      <c r="L2678" s="66"/>
      <c r="M2678" s="66"/>
      <c r="N2678" s="66"/>
      <c r="O2678" s="66"/>
      <c r="P2678" s="66"/>
      <c r="Q2678" s="66"/>
      <c r="R2678" s="66"/>
      <c r="S2678" s="66"/>
      <c r="T2678" s="66"/>
    </row>
    <row r="2679">
      <c r="A2679" s="66"/>
      <c r="B2679" s="66"/>
      <c r="C2679" s="66"/>
      <c r="D2679" s="66"/>
      <c r="E2679" s="15"/>
      <c r="F2679" s="66"/>
      <c r="G2679" s="18"/>
      <c r="H2679" s="15"/>
      <c r="I2679" s="18"/>
      <c r="J2679" s="22"/>
      <c r="K2679" s="108"/>
      <c r="L2679" s="66"/>
      <c r="M2679" s="66"/>
      <c r="N2679" s="66"/>
      <c r="O2679" s="66"/>
      <c r="P2679" s="66"/>
      <c r="Q2679" s="66"/>
      <c r="R2679" s="66"/>
      <c r="S2679" s="66"/>
      <c r="T2679" s="66"/>
    </row>
    <row r="2680">
      <c r="A2680" s="66"/>
      <c r="B2680" s="66"/>
      <c r="C2680" s="66"/>
      <c r="D2680" s="66"/>
      <c r="E2680" s="15"/>
      <c r="F2680" s="66"/>
      <c r="G2680" s="18"/>
      <c r="H2680" s="15"/>
      <c r="I2680" s="18"/>
      <c r="J2680" s="22"/>
      <c r="K2680" s="108"/>
      <c r="L2680" s="66"/>
      <c r="M2680" s="66"/>
      <c r="N2680" s="66"/>
      <c r="O2680" s="66"/>
      <c r="P2680" s="66"/>
      <c r="Q2680" s="66"/>
      <c r="R2680" s="66"/>
      <c r="S2680" s="66"/>
      <c r="T2680" s="66"/>
    </row>
    <row r="2681">
      <c r="A2681" s="66"/>
      <c r="B2681" s="66"/>
      <c r="C2681" s="66"/>
      <c r="D2681" s="66"/>
      <c r="E2681" s="15"/>
      <c r="F2681" s="66"/>
      <c r="G2681" s="18"/>
      <c r="H2681" s="15"/>
      <c r="I2681" s="18"/>
      <c r="J2681" s="22"/>
      <c r="K2681" s="108"/>
      <c r="L2681" s="66"/>
      <c r="M2681" s="66"/>
      <c r="N2681" s="66"/>
      <c r="O2681" s="66"/>
      <c r="P2681" s="66"/>
      <c r="Q2681" s="66"/>
      <c r="R2681" s="66"/>
      <c r="S2681" s="66"/>
      <c r="T2681" s="66"/>
    </row>
    <row r="2682">
      <c r="A2682" s="66"/>
      <c r="B2682" s="66"/>
      <c r="C2682" s="66"/>
      <c r="D2682" s="66"/>
      <c r="E2682" s="15"/>
      <c r="F2682" s="66"/>
      <c r="G2682" s="18"/>
      <c r="H2682" s="15"/>
      <c r="I2682" s="18"/>
      <c r="J2682" s="22"/>
      <c r="K2682" s="108"/>
      <c r="L2682" s="66"/>
      <c r="M2682" s="66"/>
      <c r="N2682" s="66"/>
      <c r="O2682" s="66"/>
      <c r="P2682" s="66"/>
      <c r="Q2682" s="66"/>
      <c r="R2682" s="66"/>
      <c r="S2682" s="66"/>
      <c r="T2682" s="66"/>
    </row>
    <row r="2683">
      <c r="A2683" s="66"/>
      <c r="B2683" s="66"/>
      <c r="C2683" s="66"/>
      <c r="D2683" s="66"/>
      <c r="E2683" s="15"/>
      <c r="F2683" s="66"/>
      <c r="G2683" s="18"/>
      <c r="H2683" s="15"/>
      <c r="I2683" s="18"/>
      <c r="J2683" s="22"/>
      <c r="K2683" s="108"/>
      <c r="L2683" s="66"/>
      <c r="M2683" s="66"/>
      <c r="N2683" s="66"/>
      <c r="O2683" s="66"/>
      <c r="P2683" s="66"/>
      <c r="Q2683" s="66"/>
      <c r="R2683" s="66"/>
      <c r="S2683" s="66"/>
      <c r="T2683" s="66"/>
    </row>
    <row r="2684">
      <c r="A2684" s="66"/>
      <c r="B2684" s="66"/>
      <c r="C2684" s="66"/>
      <c r="D2684" s="66"/>
      <c r="E2684" s="15"/>
      <c r="F2684" s="66"/>
      <c r="G2684" s="18"/>
      <c r="H2684" s="15"/>
      <c r="I2684" s="18"/>
      <c r="J2684" s="22"/>
      <c r="K2684" s="108"/>
      <c r="L2684" s="66"/>
      <c r="M2684" s="66"/>
      <c r="N2684" s="66"/>
      <c r="O2684" s="66"/>
      <c r="P2684" s="66"/>
      <c r="Q2684" s="66"/>
      <c r="R2684" s="66"/>
      <c r="S2684" s="66"/>
      <c r="T2684" s="66"/>
    </row>
    <row r="2685">
      <c r="A2685" s="66"/>
      <c r="B2685" s="66"/>
      <c r="C2685" s="66"/>
      <c r="D2685" s="66"/>
      <c r="E2685" s="15"/>
      <c r="F2685" s="66"/>
      <c r="G2685" s="18"/>
      <c r="H2685" s="15"/>
      <c r="I2685" s="18"/>
      <c r="J2685" s="22"/>
      <c r="K2685" s="108"/>
      <c r="L2685" s="66"/>
      <c r="M2685" s="66"/>
      <c r="N2685" s="66"/>
      <c r="O2685" s="66"/>
      <c r="P2685" s="66"/>
      <c r="Q2685" s="66"/>
      <c r="R2685" s="66"/>
      <c r="S2685" s="66"/>
      <c r="T2685" s="66"/>
    </row>
    <row r="2686">
      <c r="A2686" s="66"/>
      <c r="B2686" s="66"/>
      <c r="C2686" s="66"/>
      <c r="D2686" s="66"/>
      <c r="E2686" s="15"/>
      <c r="F2686" s="66"/>
      <c r="G2686" s="18"/>
      <c r="H2686" s="15"/>
      <c r="I2686" s="18"/>
      <c r="J2686" s="22"/>
      <c r="K2686" s="108"/>
      <c r="L2686" s="66"/>
      <c r="M2686" s="66"/>
      <c r="N2686" s="66"/>
      <c r="O2686" s="66"/>
      <c r="P2686" s="66"/>
      <c r="Q2686" s="66"/>
      <c r="R2686" s="66"/>
      <c r="S2686" s="66"/>
      <c r="T2686" s="66"/>
    </row>
    <row r="2687">
      <c r="A2687" s="66"/>
      <c r="B2687" s="66"/>
      <c r="C2687" s="66"/>
      <c r="D2687" s="66"/>
      <c r="E2687" s="15"/>
      <c r="F2687" s="66"/>
      <c r="G2687" s="18"/>
      <c r="H2687" s="15"/>
      <c r="I2687" s="18"/>
      <c r="J2687" s="22"/>
      <c r="K2687" s="108"/>
      <c r="L2687" s="66"/>
      <c r="M2687" s="66"/>
      <c r="N2687" s="66"/>
      <c r="O2687" s="66"/>
      <c r="P2687" s="66"/>
      <c r="Q2687" s="66"/>
      <c r="R2687" s="66"/>
      <c r="S2687" s="66"/>
      <c r="T2687" s="66"/>
    </row>
    <row r="2688">
      <c r="A2688" s="66"/>
      <c r="B2688" s="66"/>
      <c r="C2688" s="66"/>
      <c r="D2688" s="66"/>
      <c r="E2688" s="15"/>
      <c r="F2688" s="66"/>
      <c r="G2688" s="18"/>
      <c r="H2688" s="15"/>
      <c r="I2688" s="18"/>
      <c r="J2688" s="22"/>
      <c r="K2688" s="108"/>
      <c r="L2688" s="66"/>
      <c r="M2688" s="66"/>
      <c r="N2688" s="66"/>
      <c r="O2688" s="66"/>
      <c r="P2688" s="66"/>
      <c r="Q2688" s="66"/>
      <c r="R2688" s="66"/>
      <c r="S2688" s="66"/>
      <c r="T2688" s="66"/>
    </row>
    <row r="2689">
      <c r="A2689" s="66"/>
      <c r="B2689" s="66"/>
      <c r="C2689" s="66"/>
      <c r="D2689" s="66"/>
      <c r="E2689" s="15"/>
      <c r="F2689" s="66"/>
      <c r="G2689" s="18"/>
      <c r="H2689" s="15"/>
      <c r="I2689" s="18"/>
      <c r="J2689" s="22"/>
      <c r="K2689" s="108"/>
      <c r="L2689" s="66"/>
      <c r="M2689" s="66"/>
      <c r="N2689" s="66"/>
      <c r="O2689" s="66"/>
      <c r="P2689" s="66"/>
      <c r="Q2689" s="66"/>
      <c r="R2689" s="66"/>
      <c r="S2689" s="66"/>
      <c r="T2689" s="66"/>
    </row>
    <row r="2690">
      <c r="A2690" s="66"/>
      <c r="B2690" s="66"/>
      <c r="C2690" s="66"/>
      <c r="D2690" s="66"/>
      <c r="E2690" s="15"/>
      <c r="F2690" s="66"/>
      <c r="G2690" s="18"/>
      <c r="H2690" s="15"/>
      <c r="I2690" s="18"/>
      <c r="J2690" s="22"/>
      <c r="K2690" s="108"/>
      <c r="L2690" s="66"/>
      <c r="M2690" s="66"/>
      <c r="N2690" s="66"/>
      <c r="O2690" s="66"/>
      <c r="P2690" s="66"/>
      <c r="Q2690" s="66"/>
      <c r="R2690" s="66"/>
      <c r="S2690" s="66"/>
      <c r="T2690" s="66"/>
    </row>
    <row r="2691">
      <c r="A2691" s="66"/>
      <c r="B2691" s="66"/>
      <c r="C2691" s="66"/>
      <c r="D2691" s="66"/>
      <c r="E2691" s="15"/>
      <c r="F2691" s="66"/>
      <c r="G2691" s="18"/>
      <c r="H2691" s="15"/>
      <c r="I2691" s="18"/>
      <c r="J2691" s="22"/>
      <c r="K2691" s="108"/>
      <c r="L2691" s="66"/>
      <c r="M2691" s="66"/>
      <c r="N2691" s="66"/>
      <c r="O2691" s="66"/>
      <c r="P2691" s="66"/>
      <c r="Q2691" s="66"/>
      <c r="R2691" s="66"/>
      <c r="S2691" s="66"/>
      <c r="T2691" s="66"/>
    </row>
    <row r="2692">
      <c r="A2692" s="66"/>
      <c r="B2692" s="66"/>
      <c r="C2692" s="66"/>
      <c r="D2692" s="66"/>
      <c r="E2692" s="15"/>
      <c r="F2692" s="66"/>
      <c r="G2692" s="18"/>
      <c r="H2692" s="15"/>
      <c r="I2692" s="18"/>
      <c r="J2692" s="22"/>
      <c r="K2692" s="108"/>
      <c r="L2692" s="66"/>
      <c r="M2692" s="66"/>
      <c r="N2692" s="66"/>
      <c r="O2692" s="66"/>
      <c r="P2692" s="66"/>
      <c r="Q2692" s="66"/>
      <c r="R2692" s="66"/>
      <c r="S2692" s="66"/>
      <c r="T2692" s="66"/>
    </row>
    <row r="2693">
      <c r="A2693" s="66"/>
      <c r="B2693" s="66"/>
      <c r="C2693" s="66"/>
      <c r="D2693" s="66"/>
      <c r="E2693" s="15"/>
      <c r="F2693" s="66"/>
      <c r="G2693" s="18"/>
      <c r="H2693" s="15"/>
      <c r="I2693" s="18"/>
      <c r="J2693" s="22"/>
      <c r="K2693" s="108"/>
      <c r="L2693" s="66"/>
      <c r="M2693" s="66"/>
      <c r="N2693" s="66"/>
      <c r="O2693" s="66"/>
      <c r="P2693" s="66"/>
      <c r="Q2693" s="66"/>
      <c r="R2693" s="66"/>
      <c r="S2693" s="66"/>
      <c r="T2693" s="66"/>
    </row>
    <row r="2694">
      <c r="A2694" s="66"/>
      <c r="B2694" s="66"/>
      <c r="C2694" s="66"/>
      <c r="D2694" s="66"/>
      <c r="E2694" s="15"/>
      <c r="F2694" s="66"/>
      <c r="G2694" s="18"/>
      <c r="H2694" s="15"/>
      <c r="I2694" s="18"/>
      <c r="J2694" s="22"/>
      <c r="K2694" s="108"/>
      <c r="L2694" s="66"/>
      <c r="M2694" s="66"/>
      <c r="N2694" s="66"/>
      <c r="O2694" s="66"/>
      <c r="P2694" s="66"/>
      <c r="Q2694" s="66"/>
      <c r="R2694" s="66"/>
      <c r="S2694" s="66"/>
      <c r="T2694" s="66"/>
    </row>
    <row r="2695">
      <c r="A2695" s="66"/>
      <c r="B2695" s="66"/>
      <c r="C2695" s="66"/>
      <c r="D2695" s="66"/>
      <c r="E2695" s="15"/>
      <c r="F2695" s="66"/>
      <c r="G2695" s="18"/>
      <c r="H2695" s="15"/>
      <c r="I2695" s="18"/>
      <c r="J2695" s="22"/>
      <c r="K2695" s="108"/>
      <c r="L2695" s="66"/>
      <c r="M2695" s="66"/>
      <c r="N2695" s="66"/>
      <c r="O2695" s="66"/>
      <c r="P2695" s="66"/>
      <c r="Q2695" s="66"/>
      <c r="R2695" s="66"/>
      <c r="S2695" s="66"/>
      <c r="T2695" s="66"/>
    </row>
    <row r="2696">
      <c r="A2696" s="66"/>
      <c r="B2696" s="66"/>
      <c r="C2696" s="66"/>
      <c r="D2696" s="66"/>
      <c r="E2696" s="15"/>
      <c r="F2696" s="66"/>
      <c r="G2696" s="18"/>
      <c r="H2696" s="15"/>
      <c r="I2696" s="18"/>
      <c r="J2696" s="22"/>
      <c r="K2696" s="108"/>
      <c r="L2696" s="66"/>
      <c r="M2696" s="66"/>
      <c r="N2696" s="66"/>
      <c r="O2696" s="66"/>
      <c r="P2696" s="66"/>
      <c r="Q2696" s="66"/>
      <c r="R2696" s="66"/>
      <c r="S2696" s="66"/>
      <c r="T2696" s="66"/>
    </row>
    <row r="2697">
      <c r="A2697" s="66"/>
      <c r="B2697" s="66"/>
      <c r="C2697" s="66"/>
      <c r="D2697" s="66"/>
      <c r="E2697" s="15"/>
      <c r="F2697" s="66"/>
      <c r="G2697" s="18"/>
      <c r="H2697" s="15"/>
      <c r="I2697" s="18"/>
      <c r="J2697" s="22"/>
      <c r="K2697" s="108"/>
      <c r="L2697" s="66"/>
      <c r="M2697" s="66"/>
      <c r="N2697" s="66"/>
      <c r="O2697" s="66"/>
      <c r="P2697" s="66"/>
      <c r="Q2697" s="66"/>
      <c r="R2697" s="66"/>
      <c r="S2697" s="66"/>
      <c r="T2697" s="66"/>
    </row>
    <row r="2698">
      <c r="A2698" s="66"/>
      <c r="B2698" s="66"/>
      <c r="C2698" s="66"/>
      <c r="D2698" s="66"/>
      <c r="E2698" s="15"/>
      <c r="F2698" s="66"/>
      <c r="G2698" s="18"/>
      <c r="H2698" s="15"/>
      <c r="I2698" s="18"/>
      <c r="J2698" s="22"/>
      <c r="K2698" s="108"/>
      <c r="L2698" s="66"/>
      <c r="M2698" s="66"/>
      <c r="N2698" s="66"/>
      <c r="O2698" s="66"/>
      <c r="P2698" s="66"/>
      <c r="Q2698" s="66"/>
      <c r="R2698" s="66"/>
      <c r="S2698" s="66"/>
      <c r="T2698" s="66"/>
    </row>
    <row r="2699">
      <c r="A2699" s="66"/>
      <c r="B2699" s="66"/>
      <c r="C2699" s="66"/>
      <c r="D2699" s="66"/>
      <c r="E2699" s="15"/>
      <c r="F2699" s="66"/>
      <c r="G2699" s="18"/>
      <c r="H2699" s="15"/>
      <c r="I2699" s="18"/>
      <c r="J2699" s="22"/>
      <c r="K2699" s="108"/>
      <c r="L2699" s="66"/>
      <c r="M2699" s="66"/>
      <c r="N2699" s="66"/>
      <c r="O2699" s="66"/>
      <c r="P2699" s="66"/>
      <c r="Q2699" s="66"/>
      <c r="R2699" s="66"/>
      <c r="S2699" s="66"/>
      <c r="T2699" s="66"/>
    </row>
    <row r="2700">
      <c r="A2700" s="66"/>
      <c r="B2700" s="66"/>
      <c r="C2700" s="66"/>
      <c r="D2700" s="66"/>
      <c r="E2700" s="15"/>
      <c r="F2700" s="66"/>
      <c r="G2700" s="18"/>
      <c r="H2700" s="15"/>
      <c r="I2700" s="18"/>
      <c r="J2700" s="22"/>
      <c r="K2700" s="108"/>
      <c r="L2700" s="66"/>
      <c r="M2700" s="66"/>
      <c r="N2700" s="66"/>
      <c r="O2700" s="66"/>
      <c r="P2700" s="66"/>
      <c r="Q2700" s="66"/>
      <c r="R2700" s="66"/>
      <c r="S2700" s="66"/>
      <c r="T2700" s="66"/>
    </row>
    <row r="2701">
      <c r="A2701" s="66"/>
      <c r="B2701" s="66"/>
      <c r="C2701" s="66"/>
      <c r="D2701" s="66"/>
      <c r="E2701" s="15"/>
      <c r="F2701" s="66"/>
      <c r="G2701" s="18"/>
      <c r="H2701" s="15"/>
      <c r="I2701" s="18"/>
      <c r="J2701" s="22"/>
      <c r="K2701" s="108"/>
      <c r="L2701" s="66"/>
      <c r="M2701" s="66"/>
      <c r="N2701" s="66"/>
      <c r="O2701" s="66"/>
      <c r="P2701" s="66"/>
      <c r="Q2701" s="66"/>
      <c r="R2701" s="66"/>
      <c r="S2701" s="66"/>
      <c r="T2701" s="66"/>
    </row>
    <row r="2702">
      <c r="A2702" s="66"/>
      <c r="B2702" s="66"/>
      <c r="C2702" s="66"/>
      <c r="D2702" s="66"/>
      <c r="E2702" s="15"/>
      <c r="F2702" s="66"/>
      <c r="G2702" s="18"/>
      <c r="H2702" s="15"/>
      <c r="I2702" s="18"/>
      <c r="J2702" s="22"/>
      <c r="K2702" s="108"/>
      <c r="L2702" s="66"/>
      <c r="M2702" s="66"/>
      <c r="N2702" s="66"/>
      <c r="O2702" s="66"/>
      <c r="P2702" s="66"/>
      <c r="Q2702" s="66"/>
      <c r="R2702" s="66"/>
      <c r="S2702" s="66"/>
      <c r="T2702" s="66"/>
    </row>
    <row r="2703">
      <c r="A2703" s="66"/>
      <c r="B2703" s="66"/>
      <c r="C2703" s="66"/>
      <c r="D2703" s="66"/>
      <c r="E2703" s="15"/>
      <c r="F2703" s="66"/>
      <c r="G2703" s="18"/>
      <c r="H2703" s="15"/>
      <c r="I2703" s="18"/>
      <c r="J2703" s="22"/>
      <c r="K2703" s="108"/>
      <c r="L2703" s="66"/>
      <c r="M2703" s="66"/>
      <c r="N2703" s="66"/>
      <c r="O2703" s="66"/>
      <c r="P2703" s="66"/>
      <c r="Q2703" s="66"/>
      <c r="R2703" s="66"/>
      <c r="S2703" s="66"/>
      <c r="T2703" s="66"/>
    </row>
    <row r="2704">
      <c r="A2704" s="66"/>
      <c r="B2704" s="66"/>
      <c r="C2704" s="66"/>
      <c r="D2704" s="66"/>
      <c r="E2704" s="15"/>
      <c r="F2704" s="66"/>
      <c r="G2704" s="18"/>
      <c r="H2704" s="15"/>
      <c r="I2704" s="18"/>
      <c r="J2704" s="22"/>
      <c r="K2704" s="108"/>
      <c r="L2704" s="66"/>
      <c r="M2704" s="66"/>
      <c r="N2704" s="66"/>
      <c r="O2704" s="66"/>
      <c r="P2704" s="66"/>
      <c r="Q2704" s="66"/>
      <c r="R2704" s="66"/>
      <c r="S2704" s="66"/>
      <c r="T2704" s="66"/>
    </row>
    <row r="2705">
      <c r="A2705" s="66"/>
      <c r="B2705" s="66"/>
      <c r="C2705" s="66"/>
      <c r="D2705" s="66"/>
      <c r="E2705" s="15"/>
      <c r="F2705" s="66"/>
      <c r="G2705" s="18"/>
      <c r="H2705" s="15"/>
      <c r="I2705" s="18"/>
      <c r="J2705" s="22"/>
      <c r="K2705" s="108"/>
      <c r="L2705" s="66"/>
      <c r="M2705" s="66"/>
      <c r="N2705" s="66"/>
      <c r="O2705" s="66"/>
      <c r="P2705" s="66"/>
      <c r="Q2705" s="66"/>
      <c r="R2705" s="66"/>
      <c r="S2705" s="66"/>
      <c r="T2705" s="66"/>
    </row>
    <row r="2706">
      <c r="A2706" s="66"/>
      <c r="B2706" s="66"/>
      <c r="C2706" s="66"/>
      <c r="D2706" s="66"/>
      <c r="E2706" s="15"/>
      <c r="F2706" s="66"/>
      <c r="G2706" s="18"/>
      <c r="H2706" s="15"/>
      <c r="I2706" s="18"/>
      <c r="J2706" s="22"/>
      <c r="K2706" s="108"/>
      <c r="L2706" s="66"/>
      <c r="M2706" s="66"/>
      <c r="N2706" s="66"/>
      <c r="O2706" s="66"/>
      <c r="P2706" s="66"/>
      <c r="Q2706" s="66"/>
      <c r="R2706" s="66"/>
      <c r="S2706" s="66"/>
      <c r="T2706" s="66"/>
    </row>
    <row r="2707">
      <c r="A2707" s="66"/>
      <c r="B2707" s="66"/>
      <c r="C2707" s="66"/>
      <c r="D2707" s="66"/>
      <c r="E2707" s="15"/>
      <c r="F2707" s="66"/>
      <c r="G2707" s="18"/>
      <c r="H2707" s="15"/>
      <c r="I2707" s="18"/>
      <c r="J2707" s="22"/>
      <c r="K2707" s="108"/>
      <c r="L2707" s="66"/>
      <c r="M2707" s="66"/>
      <c r="N2707" s="66"/>
      <c r="O2707" s="66"/>
      <c r="P2707" s="66"/>
      <c r="Q2707" s="66"/>
      <c r="R2707" s="66"/>
      <c r="S2707" s="66"/>
      <c r="T2707" s="66"/>
    </row>
    <row r="2708">
      <c r="A2708" s="66"/>
      <c r="B2708" s="66"/>
      <c r="C2708" s="66"/>
      <c r="D2708" s="66"/>
      <c r="E2708" s="15"/>
      <c r="F2708" s="66"/>
      <c r="G2708" s="18"/>
      <c r="H2708" s="15"/>
      <c r="I2708" s="18"/>
      <c r="J2708" s="22"/>
      <c r="K2708" s="108"/>
      <c r="L2708" s="66"/>
      <c r="M2708" s="66"/>
      <c r="N2708" s="66"/>
      <c r="O2708" s="66"/>
      <c r="P2708" s="66"/>
      <c r="Q2708" s="66"/>
      <c r="R2708" s="66"/>
      <c r="S2708" s="66"/>
      <c r="T2708" s="66"/>
    </row>
    <row r="2709">
      <c r="A2709" s="66"/>
      <c r="B2709" s="66"/>
      <c r="C2709" s="66"/>
      <c r="D2709" s="66"/>
      <c r="E2709" s="15"/>
      <c r="F2709" s="66"/>
      <c r="G2709" s="18"/>
      <c r="H2709" s="15"/>
      <c r="I2709" s="18"/>
      <c r="J2709" s="22"/>
      <c r="K2709" s="108"/>
      <c r="L2709" s="66"/>
      <c r="M2709" s="66"/>
      <c r="N2709" s="66"/>
      <c r="O2709" s="66"/>
      <c r="P2709" s="66"/>
      <c r="Q2709" s="66"/>
      <c r="R2709" s="66"/>
      <c r="S2709" s="66"/>
      <c r="T2709" s="66"/>
    </row>
    <row r="2710">
      <c r="A2710" s="66"/>
      <c r="B2710" s="66"/>
      <c r="C2710" s="66"/>
      <c r="D2710" s="66"/>
      <c r="E2710" s="15"/>
      <c r="F2710" s="66"/>
      <c r="G2710" s="18"/>
      <c r="H2710" s="15"/>
      <c r="I2710" s="18"/>
      <c r="J2710" s="22"/>
      <c r="K2710" s="108"/>
      <c r="L2710" s="66"/>
      <c r="M2710" s="66"/>
      <c r="N2710" s="66"/>
      <c r="O2710" s="66"/>
      <c r="P2710" s="66"/>
      <c r="Q2710" s="66"/>
      <c r="R2710" s="66"/>
      <c r="S2710" s="66"/>
      <c r="T2710" s="66"/>
    </row>
    <row r="2711">
      <c r="A2711" s="66"/>
      <c r="B2711" s="66"/>
      <c r="C2711" s="66"/>
      <c r="D2711" s="66"/>
      <c r="E2711" s="15"/>
      <c r="F2711" s="66"/>
      <c r="G2711" s="18"/>
      <c r="H2711" s="15"/>
      <c r="I2711" s="18"/>
      <c r="J2711" s="22"/>
      <c r="K2711" s="108"/>
      <c r="L2711" s="66"/>
      <c r="M2711" s="66"/>
      <c r="N2711" s="66"/>
      <c r="O2711" s="66"/>
      <c r="P2711" s="66"/>
      <c r="Q2711" s="66"/>
      <c r="R2711" s="66"/>
      <c r="S2711" s="66"/>
      <c r="T2711" s="66"/>
    </row>
    <row r="2712">
      <c r="A2712" s="66"/>
      <c r="B2712" s="66"/>
      <c r="C2712" s="66"/>
      <c r="D2712" s="66"/>
      <c r="E2712" s="15"/>
      <c r="F2712" s="66"/>
      <c r="G2712" s="18"/>
      <c r="H2712" s="15"/>
      <c r="I2712" s="18"/>
      <c r="J2712" s="22"/>
      <c r="K2712" s="108"/>
      <c r="L2712" s="66"/>
      <c r="M2712" s="66"/>
      <c r="N2712" s="66"/>
      <c r="O2712" s="66"/>
      <c r="P2712" s="66"/>
      <c r="Q2712" s="66"/>
      <c r="R2712" s="66"/>
      <c r="S2712" s="66"/>
      <c r="T2712" s="66"/>
    </row>
    <row r="2713">
      <c r="A2713" s="66"/>
      <c r="B2713" s="66"/>
      <c r="C2713" s="66"/>
      <c r="D2713" s="66"/>
      <c r="E2713" s="15"/>
      <c r="F2713" s="66"/>
      <c r="G2713" s="18"/>
      <c r="H2713" s="15"/>
      <c r="I2713" s="18"/>
      <c r="J2713" s="22"/>
      <c r="K2713" s="108"/>
      <c r="L2713" s="66"/>
      <c r="M2713" s="66"/>
      <c r="N2713" s="66"/>
      <c r="O2713" s="66"/>
      <c r="P2713" s="66"/>
      <c r="Q2713" s="66"/>
      <c r="R2713" s="66"/>
      <c r="S2713" s="66"/>
      <c r="T2713" s="66"/>
    </row>
    <row r="2714">
      <c r="A2714" s="66"/>
      <c r="B2714" s="66"/>
      <c r="C2714" s="66"/>
      <c r="D2714" s="66"/>
      <c r="E2714" s="15"/>
      <c r="F2714" s="66"/>
      <c r="G2714" s="18"/>
      <c r="H2714" s="15"/>
      <c r="I2714" s="18"/>
      <c r="J2714" s="22"/>
      <c r="K2714" s="108"/>
      <c r="L2714" s="66"/>
      <c r="M2714" s="66"/>
      <c r="N2714" s="66"/>
      <c r="O2714" s="66"/>
      <c r="P2714" s="66"/>
      <c r="Q2714" s="66"/>
      <c r="R2714" s="66"/>
      <c r="S2714" s="66"/>
      <c r="T2714" s="66"/>
    </row>
    <row r="2715">
      <c r="A2715" s="66"/>
      <c r="B2715" s="66"/>
      <c r="C2715" s="66"/>
      <c r="D2715" s="66"/>
      <c r="E2715" s="15"/>
      <c r="F2715" s="66"/>
      <c r="G2715" s="18"/>
      <c r="H2715" s="15"/>
      <c r="I2715" s="18"/>
      <c r="J2715" s="22"/>
      <c r="K2715" s="108"/>
      <c r="L2715" s="66"/>
      <c r="M2715" s="66"/>
      <c r="N2715" s="66"/>
      <c r="O2715" s="66"/>
      <c r="P2715" s="66"/>
      <c r="Q2715" s="66"/>
      <c r="R2715" s="66"/>
      <c r="S2715" s="66"/>
      <c r="T2715" s="66"/>
    </row>
    <row r="2716">
      <c r="A2716" s="66"/>
      <c r="B2716" s="66"/>
      <c r="C2716" s="66"/>
      <c r="D2716" s="66"/>
      <c r="E2716" s="15"/>
      <c r="F2716" s="66"/>
      <c r="G2716" s="18"/>
      <c r="H2716" s="15"/>
      <c r="I2716" s="18"/>
      <c r="J2716" s="22"/>
      <c r="K2716" s="108"/>
      <c r="L2716" s="66"/>
      <c r="M2716" s="66"/>
      <c r="N2716" s="66"/>
      <c r="O2716" s="66"/>
      <c r="P2716" s="66"/>
      <c r="Q2716" s="66"/>
      <c r="R2716" s="66"/>
      <c r="S2716" s="66"/>
      <c r="T2716" s="66"/>
    </row>
    <row r="2717">
      <c r="A2717" s="66"/>
      <c r="B2717" s="66"/>
      <c r="C2717" s="66"/>
      <c r="D2717" s="66"/>
      <c r="E2717" s="15"/>
      <c r="F2717" s="66"/>
      <c r="G2717" s="18"/>
      <c r="H2717" s="15"/>
      <c r="I2717" s="18"/>
      <c r="J2717" s="22"/>
      <c r="K2717" s="108"/>
      <c r="L2717" s="66"/>
      <c r="M2717" s="66"/>
      <c r="N2717" s="66"/>
      <c r="O2717" s="66"/>
      <c r="P2717" s="66"/>
      <c r="Q2717" s="66"/>
      <c r="R2717" s="66"/>
      <c r="S2717" s="66"/>
      <c r="T2717" s="66"/>
    </row>
    <row r="2718">
      <c r="A2718" s="66"/>
      <c r="B2718" s="66"/>
      <c r="C2718" s="66"/>
      <c r="D2718" s="66"/>
      <c r="E2718" s="15"/>
      <c r="F2718" s="66"/>
      <c r="G2718" s="18"/>
      <c r="H2718" s="15"/>
      <c r="I2718" s="18"/>
      <c r="J2718" s="22"/>
      <c r="K2718" s="108"/>
      <c r="L2718" s="66"/>
      <c r="M2718" s="66"/>
      <c r="N2718" s="66"/>
      <c r="O2718" s="66"/>
      <c r="P2718" s="66"/>
      <c r="Q2718" s="66"/>
      <c r="R2718" s="66"/>
      <c r="S2718" s="66"/>
      <c r="T2718" s="66"/>
    </row>
    <row r="2719">
      <c r="A2719" s="66"/>
      <c r="B2719" s="66"/>
      <c r="C2719" s="66"/>
      <c r="D2719" s="66"/>
      <c r="E2719" s="15"/>
      <c r="F2719" s="66"/>
      <c r="G2719" s="18"/>
      <c r="H2719" s="15"/>
      <c r="I2719" s="18"/>
      <c r="J2719" s="22"/>
      <c r="K2719" s="108"/>
      <c r="L2719" s="66"/>
      <c r="M2719" s="66"/>
      <c r="N2719" s="66"/>
      <c r="O2719" s="66"/>
      <c r="P2719" s="66"/>
      <c r="Q2719" s="66"/>
      <c r="R2719" s="66"/>
      <c r="S2719" s="66"/>
      <c r="T2719" s="66"/>
    </row>
    <row r="2720">
      <c r="A2720" s="66"/>
      <c r="B2720" s="66"/>
      <c r="C2720" s="66"/>
      <c r="D2720" s="66"/>
      <c r="E2720" s="15"/>
      <c r="F2720" s="66"/>
      <c r="G2720" s="18"/>
      <c r="H2720" s="15"/>
      <c r="I2720" s="18"/>
      <c r="J2720" s="22"/>
      <c r="K2720" s="108"/>
      <c r="L2720" s="66"/>
      <c r="M2720" s="66"/>
      <c r="N2720" s="66"/>
      <c r="O2720" s="66"/>
      <c r="P2720" s="66"/>
      <c r="Q2720" s="66"/>
      <c r="R2720" s="66"/>
      <c r="S2720" s="66"/>
      <c r="T2720" s="66"/>
    </row>
    <row r="2721">
      <c r="A2721" s="66"/>
      <c r="B2721" s="66"/>
      <c r="C2721" s="66"/>
      <c r="D2721" s="66"/>
      <c r="E2721" s="15"/>
      <c r="F2721" s="66"/>
      <c r="G2721" s="18"/>
      <c r="H2721" s="15"/>
      <c r="I2721" s="18"/>
      <c r="J2721" s="22"/>
      <c r="K2721" s="108"/>
      <c r="L2721" s="66"/>
      <c r="M2721" s="66"/>
      <c r="N2721" s="66"/>
      <c r="O2721" s="66"/>
      <c r="P2721" s="66"/>
      <c r="Q2721" s="66"/>
      <c r="R2721" s="66"/>
      <c r="S2721" s="66"/>
      <c r="T2721" s="66"/>
    </row>
    <row r="2722">
      <c r="A2722" s="66"/>
      <c r="B2722" s="66"/>
      <c r="C2722" s="66"/>
      <c r="D2722" s="66"/>
      <c r="E2722" s="15"/>
      <c r="F2722" s="66"/>
      <c r="G2722" s="18"/>
      <c r="H2722" s="15"/>
      <c r="I2722" s="18"/>
      <c r="J2722" s="22"/>
      <c r="K2722" s="108"/>
      <c r="L2722" s="66"/>
      <c r="M2722" s="66"/>
      <c r="N2722" s="66"/>
      <c r="O2722" s="66"/>
      <c r="P2722" s="66"/>
      <c r="Q2722" s="66"/>
      <c r="R2722" s="66"/>
      <c r="S2722" s="66"/>
      <c r="T2722" s="66"/>
    </row>
    <row r="2723">
      <c r="A2723" s="66"/>
      <c r="B2723" s="66"/>
      <c r="C2723" s="66"/>
      <c r="D2723" s="66"/>
      <c r="E2723" s="15"/>
      <c r="F2723" s="66"/>
      <c r="G2723" s="18"/>
      <c r="H2723" s="15"/>
      <c r="I2723" s="18"/>
      <c r="J2723" s="22"/>
      <c r="K2723" s="108"/>
      <c r="L2723" s="66"/>
      <c r="M2723" s="66"/>
      <c r="N2723" s="66"/>
      <c r="O2723" s="66"/>
      <c r="P2723" s="66"/>
      <c r="Q2723" s="66"/>
      <c r="R2723" s="66"/>
      <c r="S2723" s="66"/>
      <c r="T2723" s="66"/>
    </row>
    <row r="2724">
      <c r="A2724" s="66"/>
      <c r="B2724" s="66"/>
      <c r="C2724" s="66"/>
      <c r="D2724" s="66"/>
      <c r="E2724" s="15"/>
      <c r="F2724" s="66"/>
      <c r="G2724" s="18"/>
      <c r="H2724" s="15"/>
      <c r="I2724" s="18"/>
      <c r="J2724" s="22"/>
      <c r="K2724" s="108"/>
      <c r="L2724" s="66"/>
      <c r="M2724" s="66"/>
      <c r="N2724" s="66"/>
      <c r="O2724" s="66"/>
      <c r="P2724" s="66"/>
      <c r="Q2724" s="66"/>
      <c r="R2724" s="66"/>
      <c r="S2724" s="66"/>
      <c r="T2724" s="66"/>
    </row>
    <row r="2725">
      <c r="A2725" s="66"/>
      <c r="B2725" s="66"/>
      <c r="C2725" s="66"/>
      <c r="D2725" s="66"/>
      <c r="E2725" s="15"/>
      <c r="F2725" s="66"/>
      <c r="G2725" s="18"/>
      <c r="H2725" s="15"/>
      <c r="I2725" s="18"/>
      <c r="J2725" s="22"/>
      <c r="K2725" s="108"/>
      <c r="L2725" s="66"/>
      <c r="M2725" s="66"/>
      <c r="N2725" s="66"/>
      <c r="O2725" s="66"/>
      <c r="P2725" s="66"/>
      <c r="Q2725" s="66"/>
      <c r="R2725" s="66"/>
      <c r="S2725" s="66"/>
      <c r="T2725" s="66"/>
    </row>
    <row r="2726">
      <c r="A2726" s="66"/>
      <c r="B2726" s="66"/>
      <c r="C2726" s="66"/>
      <c r="D2726" s="66"/>
      <c r="E2726" s="15"/>
      <c r="F2726" s="66"/>
      <c r="G2726" s="18"/>
      <c r="H2726" s="15"/>
      <c r="I2726" s="18"/>
      <c r="J2726" s="22"/>
      <c r="K2726" s="108"/>
      <c r="L2726" s="66"/>
      <c r="M2726" s="66"/>
      <c r="N2726" s="66"/>
      <c r="O2726" s="66"/>
      <c r="P2726" s="66"/>
      <c r="Q2726" s="66"/>
      <c r="R2726" s="66"/>
      <c r="S2726" s="66"/>
      <c r="T2726" s="66"/>
    </row>
    <row r="2727">
      <c r="A2727" s="66"/>
      <c r="B2727" s="66"/>
      <c r="C2727" s="66"/>
      <c r="D2727" s="66"/>
      <c r="E2727" s="15"/>
      <c r="F2727" s="66"/>
      <c r="G2727" s="18"/>
      <c r="H2727" s="15"/>
      <c r="I2727" s="18"/>
      <c r="J2727" s="22"/>
      <c r="K2727" s="108"/>
      <c r="L2727" s="66"/>
      <c r="M2727" s="66"/>
      <c r="N2727" s="66"/>
      <c r="O2727" s="66"/>
      <c r="P2727" s="66"/>
      <c r="Q2727" s="66"/>
      <c r="R2727" s="66"/>
      <c r="S2727" s="66"/>
      <c r="T2727" s="66"/>
    </row>
    <row r="2728">
      <c r="A2728" s="66"/>
      <c r="B2728" s="66"/>
      <c r="C2728" s="66"/>
      <c r="D2728" s="66"/>
      <c r="E2728" s="15"/>
      <c r="F2728" s="66"/>
      <c r="G2728" s="18"/>
      <c r="H2728" s="15"/>
      <c r="I2728" s="18"/>
      <c r="J2728" s="22"/>
      <c r="K2728" s="108"/>
      <c r="L2728" s="66"/>
      <c r="M2728" s="66"/>
      <c r="N2728" s="66"/>
      <c r="O2728" s="66"/>
      <c r="P2728" s="66"/>
      <c r="Q2728" s="66"/>
      <c r="R2728" s="66"/>
      <c r="S2728" s="66"/>
      <c r="T2728" s="66"/>
    </row>
    <row r="2729">
      <c r="A2729" s="66"/>
      <c r="B2729" s="66"/>
      <c r="C2729" s="66"/>
      <c r="D2729" s="66"/>
      <c r="E2729" s="15"/>
      <c r="F2729" s="66"/>
      <c r="G2729" s="18"/>
      <c r="H2729" s="15"/>
      <c r="I2729" s="18"/>
      <c r="J2729" s="22"/>
      <c r="K2729" s="108"/>
      <c r="L2729" s="66"/>
      <c r="M2729" s="66"/>
      <c r="N2729" s="66"/>
      <c r="O2729" s="66"/>
      <c r="P2729" s="66"/>
      <c r="Q2729" s="66"/>
      <c r="R2729" s="66"/>
      <c r="S2729" s="66"/>
      <c r="T2729" s="66"/>
    </row>
    <row r="2730">
      <c r="A2730" s="66"/>
      <c r="B2730" s="66"/>
      <c r="C2730" s="66"/>
      <c r="D2730" s="66"/>
      <c r="E2730" s="15"/>
      <c r="F2730" s="66"/>
      <c r="G2730" s="18"/>
      <c r="H2730" s="15"/>
      <c r="I2730" s="18"/>
      <c r="J2730" s="22"/>
      <c r="K2730" s="108"/>
      <c r="L2730" s="66"/>
      <c r="M2730" s="66"/>
      <c r="N2730" s="66"/>
      <c r="O2730" s="66"/>
      <c r="P2730" s="66"/>
      <c r="Q2730" s="66"/>
      <c r="R2730" s="66"/>
      <c r="S2730" s="66"/>
      <c r="T2730" s="66"/>
    </row>
    <row r="2731">
      <c r="A2731" s="66"/>
      <c r="B2731" s="66"/>
      <c r="C2731" s="66"/>
      <c r="D2731" s="66"/>
      <c r="E2731" s="15"/>
      <c r="F2731" s="66"/>
      <c r="G2731" s="18"/>
      <c r="H2731" s="15"/>
      <c r="I2731" s="18"/>
      <c r="J2731" s="22"/>
      <c r="K2731" s="108"/>
      <c r="L2731" s="66"/>
      <c r="M2731" s="66"/>
      <c r="N2731" s="66"/>
      <c r="O2731" s="66"/>
      <c r="P2731" s="66"/>
      <c r="Q2731" s="66"/>
      <c r="R2731" s="66"/>
      <c r="S2731" s="66"/>
      <c r="T2731" s="66"/>
    </row>
    <row r="2732">
      <c r="A2732" s="66"/>
      <c r="B2732" s="66"/>
      <c r="C2732" s="66"/>
      <c r="D2732" s="66"/>
      <c r="E2732" s="15"/>
      <c r="F2732" s="66"/>
      <c r="G2732" s="18"/>
      <c r="H2732" s="15"/>
      <c r="I2732" s="18"/>
      <c r="J2732" s="22"/>
      <c r="K2732" s="108"/>
      <c r="L2732" s="66"/>
      <c r="M2732" s="66"/>
      <c r="N2732" s="66"/>
      <c r="O2732" s="66"/>
      <c r="P2732" s="66"/>
      <c r="Q2732" s="66"/>
      <c r="R2732" s="66"/>
      <c r="S2732" s="66"/>
      <c r="T2732" s="66"/>
    </row>
    <row r="2733">
      <c r="A2733" s="66"/>
      <c r="B2733" s="66"/>
      <c r="C2733" s="66"/>
      <c r="D2733" s="66"/>
      <c r="E2733" s="15"/>
      <c r="F2733" s="66"/>
      <c r="G2733" s="18"/>
      <c r="H2733" s="15"/>
      <c r="I2733" s="18"/>
      <c r="J2733" s="22"/>
      <c r="K2733" s="108"/>
      <c r="L2733" s="66"/>
      <c r="M2733" s="66"/>
      <c r="N2733" s="66"/>
      <c r="O2733" s="66"/>
      <c r="P2733" s="66"/>
      <c r="Q2733" s="66"/>
      <c r="R2733" s="66"/>
      <c r="S2733" s="66"/>
      <c r="T2733" s="66"/>
    </row>
    <row r="2734">
      <c r="A2734" s="66"/>
      <c r="B2734" s="66"/>
      <c r="C2734" s="66"/>
      <c r="D2734" s="66"/>
      <c r="E2734" s="15"/>
      <c r="F2734" s="66"/>
      <c r="G2734" s="18"/>
      <c r="H2734" s="15"/>
      <c r="I2734" s="18"/>
      <c r="J2734" s="22"/>
      <c r="K2734" s="108"/>
      <c r="L2734" s="66"/>
      <c r="M2734" s="66"/>
      <c r="N2734" s="66"/>
      <c r="O2734" s="66"/>
      <c r="P2734" s="66"/>
      <c r="Q2734" s="66"/>
      <c r="R2734" s="66"/>
      <c r="S2734" s="66"/>
      <c r="T2734" s="66"/>
    </row>
    <row r="2735">
      <c r="A2735" s="66"/>
      <c r="B2735" s="66"/>
      <c r="C2735" s="66"/>
      <c r="D2735" s="66"/>
      <c r="E2735" s="15"/>
      <c r="F2735" s="66"/>
      <c r="G2735" s="18"/>
      <c r="H2735" s="15"/>
      <c r="I2735" s="18"/>
      <c r="J2735" s="22"/>
      <c r="K2735" s="108"/>
      <c r="L2735" s="66"/>
      <c r="M2735" s="66"/>
      <c r="N2735" s="66"/>
      <c r="O2735" s="66"/>
      <c r="P2735" s="66"/>
      <c r="Q2735" s="66"/>
      <c r="R2735" s="66"/>
      <c r="S2735" s="66"/>
      <c r="T2735" s="66"/>
    </row>
    <row r="2736">
      <c r="A2736" s="66"/>
      <c r="B2736" s="66"/>
      <c r="C2736" s="66"/>
      <c r="D2736" s="66"/>
      <c r="E2736" s="15"/>
      <c r="F2736" s="66"/>
      <c r="G2736" s="18"/>
      <c r="H2736" s="15"/>
      <c r="I2736" s="18"/>
      <c r="J2736" s="22"/>
      <c r="K2736" s="108"/>
      <c r="L2736" s="66"/>
      <c r="M2736" s="66"/>
      <c r="N2736" s="66"/>
      <c r="O2736" s="66"/>
      <c r="P2736" s="66"/>
      <c r="Q2736" s="66"/>
      <c r="R2736" s="66"/>
      <c r="S2736" s="66"/>
      <c r="T2736" s="66"/>
    </row>
    <row r="2737">
      <c r="A2737" s="66"/>
      <c r="B2737" s="66"/>
      <c r="C2737" s="66"/>
      <c r="D2737" s="66"/>
      <c r="E2737" s="15"/>
      <c r="F2737" s="66"/>
      <c r="G2737" s="18"/>
      <c r="H2737" s="15"/>
      <c r="I2737" s="18"/>
      <c r="J2737" s="22"/>
      <c r="K2737" s="108"/>
      <c r="L2737" s="66"/>
      <c r="M2737" s="66"/>
      <c r="N2737" s="66"/>
      <c r="O2737" s="66"/>
      <c r="P2737" s="66"/>
      <c r="Q2737" s="66"/>
      <c r="R2737" s="66"/>
      <c r="S2737" s="66"/>
      <c r="T2737" s="66"/>
    </row>
    <row r="2738">
      <c r="A2738" s="66"/>
      <c r="B2738" s="66"/>
      <c r="C2738" s="66"/>
      <c r="D2738" s="66"/>
      <c r="E2738" s="15"/>
      <c r="F2738" s="66"/>
      <c r="G2738" s="18"/>
      <c r="H2738" s="15"/>
      <c r="I2738" s="18"/>
      <c r="J2738" s="22"/>
      <c r="K2738" s="108"/>
      <c r="L2738" s="66"/>
      <c r="M2738" s="66"/>
      <c r="N2738" s="66"/>
      <c r="O2738" s="66"/>
      <c r="P2738" s="66"/>
      <c r="Q2738" s="66"/>
      <c r="R2738" s="66"/>
      <c r="S2738" s="66"/>
      <c r="T2738" s="66"/>
    </row>
    <row r="2739">
      <c r="A2739" s="66"/>
      <c r="B2739" s="66"/>
      <c r="C2739" s="66"/>
      <c r="D2739" s="66"/>
      <c r="E2739" s="15"/>
      <c r="F2739" s="66"/>
      <c r="G2739" s="18"/>
      <c r="H2739" s="15"/>
      <c r="I2739" s="18"/>
      <c r="J2739" s="22"/>
      <c r="K2739" s="108"/>
      <c r="L2739" s="66"/>
      <c r="M2739" s="66"/>
      <c r="N2739" s="66"/>
      <c r="O2739" s="66"/>
      <c r="P2739" s="66"/>
      <c r="Q2739" s="66"/>
      <c r="R2739" s="66"/>
      <c r="S2739" s="66"/>
      <c r="T2739" s="66"/>
    </row>
    <row r="2740">
      <c r="A2740" s="66"/>
      <c r="B2740" s="66"/>
      <c r="C2740" s="66"/>
      <c r="D2740" s="66"/>
      <c r="E2740" s="15"/>
      <c r="F2740" s="66"/>
      <c r="G2740" s="18"/>
      <c r="H2740" s="15"/>
      <c r="I2740" s="18"/>
      <c r="J2740" s="22"/>
      <c r="K2740" s="108"/>
      <c r="L2740" s="66"/>
      <c r="M2740" s="66"/>
      <c r="N2740" s="66"/>
      <c r="O2740" s="66"/>
      <c r="P2740" s="66"/>
      <c r="Q2740" s="66"/>
      <c r="R2740" s="66"/>
      <c r="S2740" s="66"/>
      <c r="T2740" s="66"/>
    </row>
    <row r="2741">
      <c r="A2741" s="66"/>
      <c r="B2741" s="66"/>
      <c r="C2741" s="66"/>
      <c r="D2741" s="66"/>
      <c r="E2741" s="15"/>
      <c r="F2741" s="66"/>
      <c r="G2741" s="18"/>
      <c r="H2741" s="15"/>
      <c r="I2741" s="18"/>
      <c r="J2741" s="22"/>
      <c r="K2741" s="108"/>
      <c r="L2741" s="66"/>
      <c r="M2741" s="66"/>
      <c r="N2741" s="66"/>
      <c r="O2741" s="66"/>
      <c r="P2741" s="66"/>
      <c r="Q2741" s="66"/>
      <c r="R2741" s="66"/>
      <c r="S2741" s="66"/>
      <c r="T2741" s="66"/>
    </row>
    <row r="2742">
      <c r="A2742" s="66"/>
      <c r="B2742" s="66"/>
      <c r="C2742" s="66"/>
      <c r="D2742" s="66"/>
      <c r="E2742" s="15"/>
      <c r="F2742" s="66"/>
      <c r="G2742" s="18"/>
      <c r="H2742" s="15"/>
      <c r="I2742" s="18"/>
      <c r="J2742" s="22"/>
      <c r="K2742" s="108"/>
      <c r="L2742" s="66"/>
      <c r="M2742" s="66"/>
      <c r="N2742" s="66"/>
      <c r="O2742" s="66"/>
      <c r="P2742" s="66"/>
      <c r="Q2742" s="66"/>
      <c r="R2742" s="66"/>
      <c r="S2742" s="66"/>
      <c r="T2742" s="66"/>
    </row>
    <row r="2743">
      <c r="A2743" s="66"/>
      <c r="B2743" s="66"/>
      <c r="C2743" s="66"/>
      <c r="D2743" s="66"/>
      <c r="E2743" s="15"/>
      <c r="F2743" s="66"/>
      <c r="G2743" s="18"/>
      <c r="H2743" s="15"/>
      <c r="I2743" s="18"/>
      <c r="J2743" s="22"/>
      <c r="K2743" s="108"/>
      <c r="L2743" s="66"/>
      <c r="M2743" s="66"/>
      <c r="N2743" s="66"/>
      <c r="O2743" s="66"/>
      <c r="P2743" s="66"/>
      <c r="Q2743" s="66"/>
      <c r="R2743" s="66"/>
      <c r="S2743" s="66"/>
      <c r="T2743" s="66"/>
    </row>
    <row r="2744">
      <c r="A2744" s="66"/>
      <c r="B2744" s="66"/>
      <c r="C2744" s="66"/>
      <c r="D2744" s="66"/>
      <c r="E2744" s="15"/>
      <c r="F2744" s="66"/>
      <c r="G2744" s="18"/>
      <c r="H2744" s="15"/>
      <c r="I2744" s="18"/>
      <c r="J2744" s="22"/>
      <c r="K2744" s="108"/>
      <c r="L2744" s="66"/>
      <c r="M2744" s="66"/>
      <c r="N2744" s="66"/>
      <c r="O2744" s="66"/>
      <c r="P2744" s="66"/>
      <c r="Q2744" s="66"/>
      <c r="R2744" s="66"/>
      <c r="S2744" s="66"/>
      <c r="T2744" s="66"/>
    </row>
    <row r="2745">
      <c r="A2745" s="66"/>
      <c r="B2745" s="66"/>
      <c r="C2745" s="66"/>
      <c r="D2745" s="66"/>
      <c r="E2745" s="15"/>
      <c r="F2745" s="66"/>
      <c r="G2745" s="18"/>
      <c r="H2745" s="15"/>
      <c r="I2745" s="18"/>
      <c r="J2745" s="22"/>
      <c r="K2745" s="108"/>
      <c r="L2745" s="66"/>
      <c r="M2745" s="66"/>
      <c r="N2745" s="66"/>
      <c r="O2745" s="66"/>
      <c r="P2745" s="66"/>
      <c r="Q2745" s="66"/>
      <c r="R2745" s="66"/>
      <c r="S2745" s="66"/>
      <c r="T2745" s="66"/>
    </row>
    <row r="2746">
      <c r="A2746" s="66"/>
      <c r="B2746" s="66"/>
      <c r="C2746" s="66"/>
      <c r="D2746" s="66"/>
      <c r="E2746" s="15"/>
      <c r="F2746" s="66"/>
      <c r="G2746" s="18"/>
      <c r="H2746" s="15"/>
      <c r="I2746" s="18"/>
      <c r="J2746" s="22"/>
      <c r="K2746" s="108"/>
      <c r="L2746" s="66"/>
      <c r="M2746" s="66"/>
      <c r="N2746" s="66"/>
      <c r="O2746" s="66"/>
      <c r="P2746" s="66"/>
      <c r="Q2746" s="66"/>
      <c r="R2746" s="66"/>
      <c r="S2746" s="66"/>
      <c r="T2746" s="66"/>
    </row>
    <row r="2747">
      <c r="A2747" s="66"/>
      <c r="B2747" s="66"/>
      <c r="C2747" s="66"/>
      <c r="D2747" s="66"/>
      <c r="E2747" s="15"/>
      <c r="F2747" s="66"/>
      <c r="G2747" s="18"/>
      <c r="H2747" s="15"/>
      <c r="I2747" s="18"/>
      <c r="J2747" s="22"/>
      <c r="K2747" s="108"/>
      <c r="L2747" s="66"/>
      <c r="M2747" s="66"/>
      <c r="N2747" s="66"/>
      <c r="O2747" s="66"/>
      <c r="P2747" s="66"/>
      <c r="Q2747" s="66"/>
      <c r="R2747" s="66"/>
      <c r="S2747" s="66"/>
      <c r="T2747" s="66"/>
    </row>
  </sheetData>
  <conditionalFormatting sqref="E3:E1664 I3:I1664 S3:S1665">
    <cfRule type="expression" dxfId="4" priority="1">
      <formula>AND($E3&lt;&gt;"",(($E3-$H3)/365*12)&lt;1)</formula>
    </cfRule>
  </conditionalFormatting>
  <conditionalFormatting sqref="J3:J1664">
    <cfRule type="cellIs" dxfId="5" priority="2" operator="between">
      <formula>75</formula>
      <formula>90</formula>
    </cfRule>
  </conditionalFormatting>
  <conditionalFormatting sqref="J3:J1664">
    <cfRule type="cellIs" dxfId="6" priority="3" operator="between">
      <formula>50</formula>
      <formula>75</formula>
    </cfRule>
  </conditionalFormatting>
  <conditionalFormatting sqref="J3:J1664">
    <cfRule type="cellIs" dxfId="7" priority="4" operator="between">
      <formula>1</formula>
      <formula>50</formula>
    </cfRule>
  </conditionalFormatting>
  <conditionalFormatting sqref="I3:I1664">
    <cfRule type="colorScale" priority="5">
      <colorScale>
        <cfvo type="min"/>
        <cfvo type="percentile" val="50"/>
        <cfvo type="max"/>
        <color rgb="FFB6D7A8"/>
        <color rgb="FFFFE599"/>
        <color rgb="FFEA9999"/>
      </colorScale>
    </cfRule>
  </conditionalFormatting>
  <conditionalFormatting sqref="J3:J1664">
    <cfRule type="cellIs" dxfId="8" priority="6" operator="between">
      <formula>90</formula>
      <formula>100</formula>
    </cfRule>
  </conditionalFormatting>
  <conditionalFormatting sqref="G3:G1664 T3:T1665">
    <cfRule type="expression" dxfId="9" priority="7">
      <formula>MATCH(A3,INDIRECT("'Xbox Game Studios'!A:A"),0)</formula>
    </cfRule>
  </conditionalFormatting>
  <conditionalFormatting sqref="G3:G1664 T3:T1665">
    <cfRule type="expression" dxfId="9" priority="8">
      <formula>MATCH(A3,INDIRECT("'EA Play'!A:A"),0)</formula>
    </cfRule>
  </conditionalFormatting>
  <conditionalFormatting sqref="G3:G1664 T3:T1665">
    <cfRule type="expression" dxfId="10" priority="9">
      <formula>AND(D3="Active",OR(AND(G3&gt;10.5,G3&lt;13),AND(G3&gt;22.5,G3&lt;25),AND(G3&gt;34.5,G3&lt;37),AND(G3&gt;46.5,G3&lt;49),AND(G3&gt;58.5,G3&lt;61)),)</formula>
    </cfRule>
  </conditionalFormatting>
  <conditionalFormatting sqref="B1">
    <cfRule type="cellIs" dxfId="4" priority="10" operator="equal">
      <formula>"Xbox"</formula>
    </cfRule>
  </conditionalFormatting>
  <conditionalFormatting sqref="J2:K1664 L2 O2">
    <cfRule type="containsBlanks" dxfId="11" priority="11">
      <formula>LEN(TRIM(J2))=0</formula>
    </cfRule>
  </conditionalFormatting>
  <conditionalFormatting sqref="O2">
    <cfRule type="containsText" dxfId="11" priority="12" operator="containsText" text="RP">
      <formula>NOT(ISERROR(SEARCH(("RP"),(O2))))</formula>
    </cfRule>
  </conditionalFormatting>
  <conditionalFormatting sqref="O2">
    <cfRule type="containsText" dxfId="12" priority="13" operator="containsText" text="NR">
      <formula>NOT(ISERROR(SEARCH(("NR"),(O2))))</formula>
    </cfRule>
  </conditionalFormatting>
  <conditionalFormatting sqref="A1:A2 D1:D1664 R3:R1665">
    <cfRule type="expression" dxfId="13" priority="14">
      <formula>$D1="Coming Soon"</formula>
    </cfRule>
  </conditionalFormatting>
  <conditionalFormatting sqref="A1:A2 D1:D1664 R3:R1665">
    <cfRule type="expression" dxfId="7" priority="15">
      <formula>$D1="Removed"</formula>
    </cfRule>
  </conditionalFormatting>
  <conditionalFormatting sqref="A1:A2 D1:D1664 R3:R1665">
    <cfRule type="expression" dxfId="10" priority="16">
      <formula>$D1="Leaving Soon"</formula>
    </cfRule>
  </conditionalFormatting>
  <conditionalFormatting sqref="J1:J2747">
    <cfRule type="cellIs" dxfId="5" priority="17" operator="between">
      <formula>75</formula>
      <formula>100</formula>
    </cfRule>
  </conditionalFormatting>
  <conditionalFormatting sqref="J1:J2747">
    <cfRule type="cellIs" dxfId="6" priority="18" operator="between">
      <formula>50</formula>
      <formula>74</formula>
    </cfRule>
  </conditionalFormatting>
  <conditionalFormatting sqref="J1:J2747">
    <cfRule type="cellIs" dxfId="7" priority="19" operator="between">
      <formula>1</formula>
      <formula>49</formula>
    </cfRule>
  </conditionalFormatting>
  <conditionalFormatting sqref="A1:A2 C1:C2">
    <cfRule type="expression" dxfId="7" priority="20">
      <formula>$C1="Removed"</formula>
    </cfRule>
  </conditionalFormatting>
  <conditionalFormatting sqref="A1:A2">
    <cfRule type="expression" dxfId="6" priority="21">
      <formula>MATCH(A1,INDIRECT("'Xbox Game Studios'!A:A"),0)</formula>
    </cfRule>
  </conditionalFormatting>
  <conditionalFormatting sqref="A1:A2 C1:C2">
    <cfRule type="expression" dxfId="10" priority="22">
      <formula>$C1="Leaving Soon"</formula>
    </cfRule>
  </conditionalFormatting>
  <drawing r:id="rId1"/>
  <tableParts count="2">
    <tablePart r:id="rId4"/>
    <tablePart r:id="rId5"/>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4C2F4"/>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2"/>
  <cols>
    <col customWidth="1" min="1" max="1" width="40.0"/>
    <col customWidth="1" min="2" max="2" width="8.5"/>
    <col customWidth="1" min="3" max="3" width="12.13"/>
    <col customWidth="1" min="4" max="4" width="6.13"/>
    <col customWidth="1" min="5" max="5" width="8.38"/>
    <col customWidth="1" min="6" max="6" width="8.5"/>
    <col customWidth="1" min="7" max="7" width="6.88"/>
    <col customWidth="1" min="8" max="8" width="13.88"/>
    <col customWidth="1" min="9" max="9" width="4.25"/>
    <col customWidth="1" min="10" max="10" width="8.75"/>
    <col customWidth="1" min="11" max="11" width="10.13"/>
    <col customWidth="1" min="12" max="12" width="33.75"/>
    <col customWidth="1" min="13" max="13" width="13.75"/>
    <col customWidth="1" min="14" max="14" width="33.5"/>
    <col customWidth="1" min="15" max="15" width="5.63"/>
    <col customWidth="1" min="16" max="16" width="15.88"/>
    <col customWidth="1" min="17" max="17" width="19.25"/>
    <col customWidth="1" min="18" max="18" width="16.25"/>
    <col customWidth="1" min="19" max="19" width="7.63"/>
  </cols>
  <sheetData>
    <row r="1">
      <c r="A1" s="10" t="s">
        <v>16</v>
      </c>
      <c r="B1" s="25">
        <f>COUNTIF(D2:D506,"Active")+COUNTIF(D2:D506,"Leaving Soon")</f>
        <v>41</v>
      </c>
      <c r="C1" s="232" t="s">
        <v>1968</v>
      </c>
      <c r="D1" s="10"/>
      <c r="E1" s="10"/>
      <c r="F1" s="25"/>
      <c r="G1" s="10"/>
      <c r="H1" s="28"/>
      <c r="I1" s="10"/>
      <c r="J1" s="10"/>
      <c r="K1" s="10"/>
      <c r="L1" s="10"/>
      <c r="M1" s="32"/>
      <c r="N1" s="33"/>
      <c r="O1" s="32"/>
      <c r="P1" s="33"/>
      <c r="Q1" s="32" t="s">
        <v>25</v>
      </c>
      <c r="R1" s="10"/>
      <c r="S1" s="10"/>
    </row>
    <row r="2">
      <c r="A2" s="39" t="s">
        <v>0</v>
      </c>
      <c r="B2" s="41" t="s">
        <v>2</v>
      </c>
      <c r="C2" s="43" t="s">
        <v>3</v>
      </c>
      <c r="D2" s="41" t="s">
        <v>4</v>
      </c>
      <c r="E2" s="41" t="s">
        <v>5</v>
      </c>
      <c r="F2" s="43" t="s">
        <v>6</v>
      </c>
      <c r="G2" s="44" t="s">
        <v>7</v>
      </c>
      <c r="H2" s="45" t="s">
        <v>8</v>
      </c>
      <c r="I2" s="45" t="s">
        <v>9</v>
      </c>
      <c r="J2" s="45" t="s">
        <v>10</v>
      </c>
      <c r="K2" s="45" t="s">
        <v>11</v>
      </c>
      <c r="L2" s="45" t="s">
        <v>12</v>
      </c>
      <c r="M2" s="45" t="s">
        <v>26</v>
      </c>
      <c r="N2" s="43" t="s">
        <v>27</v>
      </c>
      <c r="O2" s="48" t="s">
        <v>28</v>
      </c>
      <c r="P2" s="48" t="s">
        <v>29</v>
      </c>
      <c r="Q2" s="48" t="s">
        <v>22</v>
      </c>
      <c r="R2" s="49" t="s">
        <v>1970</v>
      </c>
      <c r="S2" s="49" t="s">
        <v>7</v>
      </c>
    </row>
    <row r="3">
      <c r="A3" s="55" t="str">
        <f>IFERROR(__xludf.DUMMYFUNCTION("SORT(FILTER('Master List'!A:Q, SEARCH(""Game Pass Essential"",'Master List'!N:N)),7,1)"),"Hades")</f>
        <v>Hades</v>
      </c>
      <c r="B3" s="55" t="str">
        <f>IFERROR(__xludf.DUMMYFUNCTION("""COMPUTED_VALUE"""),"Xbox / PC")</f>
        <v>Xbox / PC</v>
      </c>
      <c r="C3" s="55" t="str">
        <f>IFERROR(__xludf.DUMMYFUNCTION("""COMPUTED_VALUE"""),"Touch Controls")</f>
        <v>Touch Controls</v>
      </c>
      <c r="D3" s="56" t="str">
        <f>IFERROR(__xludf.DUMMYFUNCTION("""COMPUTED_VALUE"""),"Active")</f>
        <v>Active</v>
      </c>
      <c r="E3" s="57">
        <f>IFERROR(__xludf.DUMMYFUNCTION("""COMPUTED_VALUE"""),45919.0)</f>
        <v>45919</v>
      </c>
      <c r="F3" s="58"/>
      <c r="G3" s="60">
        <f>IFERROR(__xludf.DUMMYFUNCTION("""COMPUTED_VALUE"""),12.566666666666666)</f>
        <v>12.56666667</v>
      </c>
      <c r="H3" s="63">
        <f>IFERROR(__xludf.DUMMYFUNCTION("""COMPUTED_VALUE"""),43441.0)</f>
        <v>43441</v>
      </c>
      <c r="I3" s="60">
        <f>IFERROR(__xludf.DUMMYFUNCTION("""COMPUTED_VALUE"""),6.783333333333333)</f>
        <v>6.783333333</v>
      </c>
      <c r="J3" s="64">
        <f>IFERROR(__xludf.DUMMYFUNCTION("""COMPUTED_VALUE"""),93.5)</f>
        <v>93.5</v>
      </c>
      <c r="K3" s="64">
        <f>IFERROR(__xludf.DUMMYFUNCTION("""COMPUTED_VALUE"""),21.0)</f>
        <v>21</v>
      </c>
      <c r="L3" s="55" t="str">
        <f>IFERROR(__xludf.DUMMYFUNCTION("""COMPUTED_VALUE"""),"RPG")</f>
        <v>RPG</v>
      </c>
      <c r="M3" s="55" t="str">
        <f>IFERROR(__xludf.DUMMYFUNCTION("""COMPUTED_VALUE"""),"Optimized")</f>
        <v>Optimized</v>
      </c>
      <c r="N3" s="55" t="str">
        <f>IFERROR(__xludf.DUMMYFUNCTION("""COMPUTED_VALUE"""),"Game Pass Essential (10/1/25). Returning title: Joined 8/13/21, left 8/31/22")</f>
        <v>Game Pass Essential (10/1/25). Returning title: Joined 8/13/21, left 8/31/22</v>
      </c>
      <c r="O3" s="55" t="str">
        <f>IFERROR(__xludf.DUMMYFUNCTION("""COMPUTED_VALUE"""),"T")</f>
        <v>T</v>
      </c>
      <c r="P3" s="55" t="str">
        <f>IFERROR(__xludf.DUMMYFUNCTION("""COMPUTED_VALUE"""),"Blood, Suggestive Themes, Alcohol Reference, Mild Language, Violence")</f>
        <v>Blood, Suggestive Themes, Alcohol Reference, Mild Language, Violence</v>
      </c>
      <c r="Q3" s="55"/>
      <c r="R3" s="66" t="str">
        <f>IFERROR(__xludf.DUMMYFUNCTION("REGEXEXTRACT(N3,""\((.*?)\)"") "),"10/1/25")</f>
        <v>10/1/25</v>
      </c>
      <c r="S3" s="66">
        <f t="shared" ref="S3:S56" si="1">datedif(E3,R3,"m")</f>
        <v>0</v>
      </c>
    </row>
    <row r="4">
      <c r="A4" s="231" t="str">
        <f>IFERROR(__xludf.DUMMYFUNCTION("""COMPUTED_VALUE"""),"Warhammer: Vermintide 2")</f>
        <v>Warhammer: Vermintide 2</v>
      </c>
      <c r="B4" s="55" t="str">
        <f>IFERROR(__xludf.DUMMYFUNCTION("""COMPUTED_VALUE"""),"Xbox")</f>
        <v>Xbox</v>
      </c>
      <c r="C4" s="55" t="str">
        <f>IFERROR(__xludf.DUMMYFUNCTION("""COMPUTED_VALUE"""),"Yes")</f>
        <v>Yes</v>
      </c>
      <c r="D4" s="56" t="str">
        <f>IFERROR(__xludf.DUMMYFUNCTION("""COMPUTED_VALUE"""),"Active")</f>
        <v>Active</v>
      </c>
      <c r="E4" s="57">
        <f>IFERROR(__xludf.DUMMYFUNCTION("""COMPUTED_VALUE"""),45790.0)</f>
        <v>45790</v>
      </c>
      <c r="F4" s="58"/>
      <c r="G4" s="60">
        <f>IFERROR(__xludf.DUMMYFUNCTION("""COMPUTED_VALUE"""),16.766666666666666)</f>
        <v>16.76666667</v>
      </c>
      <c r="H4" s="63">
        <f>IFERROR(__xludf.DUMMYFUNCTION("""COMPUTED_VALUE"""),43167.0)</f>
        <v>43167</v>
      </c>
      <c r="I4" s="60">
        <f>IFERROR(__xludf.DUMMYFUNCTION("""COMPUTED_VALUE"""),7.180555555555555)</f>
        <v>7.180555556</v>
      </c>
      <c r="J4" s="64">
        <f>IFERROR(__xludf.DUMMYFUNCTION("""COMPUTED_VALUE"""),83.0)</f>
        <v>83</v>
      </c>
      <c r="K4" s="64">
        <f>IFERROR(__xludf.DUMMYFUNCTION("""COMPUTED_VALUE"""),20.0)</f>
        <v>20</v>
      </c>
      <c r="L4" s="55" t="str">
        <f>IFERROR(__xludf.DUMMYFUNCTION("""COMPUTED_VALUE"""),"Shooter")</f>
        <v>Shooter</v>
      </c>
      <c r="M4" s="55" t="str">
        <f>IFERROR(__xludf.DUMMYFUNCTION("""COMPUTED_VALUE"""),"Optimized")</f>
        <v>Optimized</v>
      </c>
      <c r="N4" s="55" t="str">
        <f>IFERROR(__xludf.DUMMYFUNCTION("""COMPUTED_VALUE"""),"Game Pass Essential (4/8/26). Returning title: joined 9/24/20, left 9/30/21. Left 7/1/19")</f>
        <v>Game Pass Essential (4/8/26). Returning title: joined 9/24/20, left 9/30/21. Left 7/1/19</v>
      </c>
      <c r="O4" s="55"/>
      <c r="P4" s="55"/>
      <c r="Q4" s="55"/>
      <c r="R4" s="66" t="str">
        <f>IFERROR(__xludf.DUMMYFUNCTION("REGEXEXTRACT(N4,""\((.*?)\)"") "),"4/8/26")</f>
        <v>4/8/26</v>
      </c>
      <c r="S4" s="66">
        <f t="shared" si="1"/>
        <v>10</v>
      </c>
    </row>
    <row r="5">
      <c r="A5" s="55" t="str">
        <f>IFERROR(__xludf.DUMMYFUNCTION("""COMPUTED_VALUE"""),"Goat Simulator")</f>
        <v>Goat Simulator</v>
      </c>
      <c r="B5" s="55" t="str">
        <f>IFERROR(__xludf.DUMMYFUNCTION("""COMPUTED_VALUE"""),"Xbox / PC")</f>
        <v>Xbox / PC</v>
      </c>
      <c r="C5" s="55" t="str">
        <f>IFERROR(__xludf.DUMMYFUNCTION("""COMPUTED_VALUE"""),"Yes")</f>
        <v>Yes</v>
      </c>
      <c r="D5" s="56" t="str">
        <f>IFERROR(__xludf.DUMMYFUNCTION("""COMPUTED_VALUE"""),"Removed")</f>
        <v>Removed</v>
      </c>
      <c r="E5" s="57">
        <f>IFERROR(__xludf.DUMMYFUNCTION("""COMPUTED_VALUE"""),45020.0)</f>
        <v>45020</v>
      </c>
      <c r="F5" s="58">
        <f>IFERROR(__xludf.DUMMYFUNCTION("""COMPUTED_VALUE"""),45611.0)</f>
        <v>45611</v>
      </c>
      <c r="G5" s="60">
        <f>IFERROR(__xludf.DUMMYFUNCTION("""COMPUTED_VALUE"""),19.366666666666667)</f>
        <v>19.36666667</v>
      </c>
      <c r="H5" s="63">
        <f>IFERROR(__xludf.DUMMYFUNCTION("""COMPUTED_VALUE"""),41730.0)</f>
        <v>41730</v>
      </c>
      <c r="I5" s="60">
        <f>IFERROR(__xludf.DUMMYFUNCTION("""COMPUTED_VALUE"""),9.008333333333333)</f>
        <v>9.008333333</v>
      </c>
      <c r="J5" s="64">
        <f>IFERROR(__xludf.DUMMYFUNCTION("""COMPUTED_VALUE"""),58.0)</f>
        <v>58</v>
      </c>
      <c r="K5" s="64">
        <f>IFERROR(__xludf.DUMMYFUNCTION("""COMPUTED_VALUE"""),2.0)</f>
        <v>2</v>
      </c>
      <c r="L5" s="55" t="str">
        <f>IFERROR(__xludf.DUMMYFUNCTION("""COMPUTED_VALUE"""),"Simulation")</f>
        <v>Simulation</v>
      </c>
      <c r="M5" s="55"/>
      <c r="N5" s="55" t="str">
        <f>IFERROR(__xludf.DUMMYFUNCTION("""COMPUTED_VALUE"""),"Game Pass Essential (12/4/24), Returning title: Joined 6/27/19, left 3/215/23")</f>
        <v>Game Pass Essential (12/4/24), Returning title: Joined 6/27/19, left 3/215/23</v>
      </c>
      <c r="O5" s="55" t="str">
        <f>IFERROR(__xludf.DUMMYFUNCTION("""COMPUTED_VALUE"""),"T")</f>
        <v>T</v>
      </c>
      <c r="P5" s="55" t="str">
        <f>IFERROR(__xludf.DUMMYFUNCTION("""COMPUTED_VALUE"""),"Blood, Violence")</f>
        <v>Blood, Violence</v>
      </c>
      <c r="Q5" s="55"/>
      <c r="R5" s="66" t="str">
        <f>IFERROR(__xludf.DUMMYFUNCTION("REGEXEXTRACT(N5,""\((.*?)\)"") "),"12/4/24")</f>
        <v>12/4/24</v>
      </c>
      <c r="S5" s="66">
        <f t="shared" si="1"/>
        <v>20</v>
      </c>
    </row>
    <row r="6">
      <c r="A6" s="55" t="str">
        <f>IFERROR(__xludf.DUMMYFUNCTION("""COMPUTED_VALUE"""),"Crash Team Racing: Nitro-Fueled")</f>
        <v>Crash Team Racing: Nitro-Fueled</v>
      </c>
      <c r="B6" s="55" t="str">
        <f>IFERROR(__xludf.DUMMYFUNCTION("""COMPUTED_VALUE"""),"Xbox")</f>
        <v>Xbox</v>
      </c>
      <c r="C6" s="55"/>
      <c r="D6" s="56" t="str">
        <f>IFERROR(__xludf.DUMMYFUNCTION("""COMPUTED_VALUE"""),"Active")</f>
        <v>Active</v>
      </c>
      <c r="E6" s="57">
        <f>IFERROR(__xludf.DUMMYFUNCTION("""COMPUTED_VALUE"""),45630.0)</f>
        <v>45630</v>
      </c>
      <c r="F6" s="58"/>
      <c r="G6" s="60">
        <f>IFERROR(__xludf.DUMMYFUNCTION("""COMPUTED_VALUE"""),22.066666666666666)</f>
        <v>22.06666667</v>
      </c>
      <c r="H6" s="63">
        <f>IFERROR(__xludf.DUMMYFUNCTION("""COMPUTED_VALUE"""),43637.0)</f>
        <v>43637</v>
      </c>
      <c r="I6" s="60">
        <f>IFERROR(__xludf.DUMMYFUNCTION("""COMPUTED_VALUE"""),5.4527777777777775)</f>
        <v>5.452777778</v>
      </c>
      <c r="J6" s="64">
        <f>IFERROR(__xludf.DUMMYFUNCTION("""COMPUTED_VALUE"""),83.0)</f>
        <v>83</v>
      </c>
      <c r="K6" s="64">
        <f>IFERROR(__xludf.DUMMYFUNCTION("""COMPUTED_VALUE"""),6.0)</f>
        <v>6</v>
      </c>
      <c r="L6" s="55" t="str">
        <f>IFERROR(__xludf.DUMMYFUNCTION("""COMPUTED_VALUE"""),"Racing")</f>
        <v>Racing</v>
      </c>
      <c r="M6" s="55"/>
      <c r="N6" s="55" t="str">
        <f>IFERROR(__xludf.DUMMYFUNCTION("""COMPUTED_VALUE"""),"Game Pass Essential (12/4/24)")</f>
        <v>Game Pass Essential (12/4/24)</v>
      </c>
      <c r="O6" s="55"/>
      <c r="P6" s="55"/>
      <c r="Q6" s="55"/>
      <c r="R6" s="66" t="str">
        <f>IFERROR(__xludf.DUMMYFUNCTION("REGEXEXTRACT(N6,""\((.*?)\)"") "),"12/4/24")</f>
        <v>12/4/24</v>
      </c>
      <c r="S6" s="66">
        <f t="shared" si="1"/>
        <v>0</v>
      </c>
    </row>
    <row r="7">
      <c r="A7" s="55" t="str">
        <f>IFERROR(__xludf.DUMMYFUNCTION("""COMPUTED_VALUE"""),"Superhot: Mind Control Delete")</f>
        <v>Superhot: Mind Control Delete</v>
      </c>
      <c r="B7" s="55" t="str">
        <f>IFERROR(__xludf.DUMMYFUNCTION("""COMPUTED_VALUE"""),"Xbox / PC")</f>
        <v>Xbox / PC</v>
      </c>
      <c r="C7" s="55" t="str">
        <f>IFERROR(__xludf.DUMMYFUNCTION("""COMPUTED_VALUE"""),"Yes")</f>
        <v>Yes</v>
      </c>
      <c r="D7" s="56" t="str">
        <f>IFERROR(__xludf.DUMMYFUNCTION("""COMPUTED_VALUE"""),"Active")</f>
        <v>Active</v>
      </c>
      <c r="E7" s="57">
        <f>IFERROR(__xludf.DUMMYFUNCTION("""COMPUTED_VALUE"""),45384.0)</f>
        <v>45384</v>
      </c>
      <c r="F7" s="58"/>
      <c r="G7" s="60">
        <f>IFERROR(__xludf.DUMMYFUNCTION("""COMPUTED_VALUE"""),30.133333333333333)</f>
        <v>30.13333333</v>
      </c>
      <c r="H7" s="63">
        <f>IFERROR(__xludf.DUMMYFUNCTION("""COMPUTED_VALUE"""),44028.0)</f>
        <v>44028</v>
      </c>
      <c r="I7" s="60">
        <f>IFERROR(__xludf.DUMMYFUNCTION("""COMPUTED_VALUE"""),3.7111111111111112)</f>
        <v>3.711111111</v>
      </c>
      <c r="J7" s="64">
        <f>IFERROR(__xludf.DUMMYFUNCTION("""COMPUTED_VALUE"""),82.0)</f>
        <v>82</v>
      </c>
      <c r="K7" s="64">
        <f>IFERROR(__xludf.DUMMYFUNCTION("""COMPUTED_VALUE"""),5.5)</f>
        <v>5.5</v>
      </c>
      <c r="L7" s="55" t="str">
        <f>IFERROR(__xludf.DUMMYFUNCTION("""COMPUTED_VALUE"""),"Shooter")</f>
        <v>Shooter</v>
      </c>
      <c r="M7" s="55" t="str">
        <f>IFERROR(__xludf.DUMMYFUNCTION("""COMPUTED_VALUE"""),"Optimized")</f>
        <v>Optimized</v>
      </c>
      <c r="N7" s="55" t="str">
        <f>IFERROR(__xludf.DUMMYFUNCTION("""COMPUTED_VALUE"""),"Game Pass Essential (4/23/24), Returning title: Added 12/10/20, left 5/31/22")</f>
        <v>Game Pass Essential (4/23/24), Returning title: Added 12/10/20, left 5/31/22</v>
      </c>
      <c r="O7" s="55" t="str">
        <f>IFERROR(__xludf.DUMMYFUNCTION("""COMPUTED_VALUE"""),"T")</f>
        <v>T</v>
      </c>
      <c r="P7" s="55" t="str">
        <f>IFERROR(__xludf.DUMMYFUNCTION("""COMPUTED_VALUE"""),"Violence")</f>
        <v>Violence</v>
      </c>
      <c r="Q7" s="55"/>
      <c r="R7" s="66" t="str">
        <f>IFERROR(__xludf.DUMMYFUNCTION("REGEXEXTRACT(N7,""\((.*?)\)"") "),"4/23/24")</f>
        <v>4/23/24</v>
      </c>
      <c r="S7" s="66">
        <f t="shared" si="1"/>
        <v>0</v>
      </c>
    </row>
    <row r="8">
      <c r="A8" s="55" t="str">
        <f>IFERROR(__xludf.DUMMYFUNCTION("""COMPUTED_VALUE"""),"World War Z: Aftermath")</f>
        <v>World War Z: Aftermath</v>
      </c>
      <c r="B8" s="55" t="str">
        <f>IFERROR(__xludf.DUMMYFUNCTION("""COMPUTED_VALUE"""),"Xbox / PC")</f>
        <v>Xbox / PC</v>
      </c>
      <c r="C8" s="55" t="str">
        <f>IFERROR(__xludf.DUMMYFUNCTION("""COMPUTED_VALUE"""),"Yes")</f>
        <v>Yes</v>
      </c>
      <c r="D8" s="56" t="str">
        <f>IFERROR(__xludf.DUMMYFUNCTION("""COMPUTED_VALUE"""),"Active")</f>
        <v>Active</v>
      </c>
      <c r="E8" s="57">
        <f>IFERROR(__xludf.DUMMYFUNCTION("""COMPUTED_VALUE"""),45265.0)</f>
        <v>45265</v>
      </c>
      <c r="F8" s="58"/>
      <c r="G8" s="60">
        <f>IFERROR(__xludf.DUMMYFUNCTION("""COMPUTED_VALUE"""),34.03333333333333)</f>
        <v>34.03333333</v>
      </c>
      <c r="H8" s="63">
        <f>IFERROR(__xludf.DUMMYFUNCTION("""COMPUTED_VALUE"""),43571.0)</f>
        <v>43571</v>
      </c>
      <c r="I8" s="60">
        <f>IFERROR(__xludf.DUMMYFUNCTION("""COMPUTED_VALUE"""),4.636111111111111)</f>
        <v>4.636111111</v>
      </c>
      <c r="J8" s="64">
        <f>IFERROR(__xludf.DUMMYFUNCTION("""COMPUTED_VALUE"""),73.0)</f>
        <v>73</v>
      </c>
      <c r="K8" s="64">
        <f>IFERROR(__xludf.DUMMYFUNCTION("""COMPUTED_VALUE"""),7.0)</f>
        <v>7</v>
      </c>
      <c r="L8" s="55" t="str">
        <f>IFERROR(__xludf.DUMMYFUNCTION("""COMPUTED_VALUE"""),"Action")</f>
        <v>Action</v>
      </c>
      <c r="M8" s="55"/>
      <c r="N8" s="55" t="str">
        <f>IFERROR(__xludf.DUMMYFUNCTION("""COMPUTED_VALUE"""),"Game Pass Essential (12/3/25), Returning title: Joined 10/10/19, left 8/31/22 (original game)")</f>
        <v>Game Pass Essential (12/3/25), Returning title: Joined 10/10/19, left 8/31/22 (original game)</v>
      </c>
      <c r="O8" s="55" t="str">
        <f>IFERROR(__xludf.DUMMYFUNCTION("""COMPUTED_VALUE"""),"M")</f>
        <v>M</v>
      </c>
      <c r="P8" s="55" t="str">
        <f>IFERROR(__xludf.DUMMYFUNCTION("""COMPUTED_VALUE"""),"Blood and Gore, Intense Violence, Strong Language")</f>
        <v>Blood and Gore, Intense Violence, Strong Language</v>
      </c>
      <c r="Q8" s="55"/>
      <c r="R8" s="66" t="str">
        <f>IFERROR(__xludf.DUMMYFUNCTION("REGEXEXTRACT(N8,""\((.*?)\)"") "),"12/3/25")</f>
        <v>12/3/25</v>
      </c>
      <c r="S8" s="66">
        <f t="shared" si="1"/>
        <v>23</v>
      </c>
    </row>
    <row r="9">
      <c r="A9" s="55" t="str">
        <f>IFERROR(__xludf.DUMMYFUNCTION("""COMPUTED_VALUE"""),"Firewatch")</f>
        <v>Firewatch</v>
      </c>
      <c r="B9" s="55" t="str">
        <f>IFERROR(__xludf.DUMMYFUNCTION("""COMPUTED_VALUE"""),"Xbox / PC")</f>
        <v>Xbox / PC</v>
      </c>
      <c r="C9" s="55" t="str">
        <f>IFERROR(__xludf.DUMMYFUNCTION("""COMPUTED_VALUE"""),"Touch Controls")</f>
        <v>Touch Controls</v>
      </c>
      <c r="D9" s="56" t="str">
        <f>IFERROR(__xludf.DUMMYFUNCTION("""COMPUTED_VALUE"""),"Removed")</f>
        <v>Removed</v>
      </c>
      <c r="E9" s="57">
        <f>IFERROR(__xludf.DUMMYFUNCTION("""COMPUTED_VALUE"""),45155.0)</f>
        <v>45155</v>
      </c>
      <c r="F9" s="58">
        <f>IFERROR(__xludf.DUMMYFUNCTION("""COMPUTED_VALUE"""),46249.0)</f>
        <v>46249</v>
      </c>
      <c r="G9" s="60">
        <f>IFERROR(__xludf.DUMMYFUNCTION("""COMPUTED_VALUE"""),35.93333333333334)</f>
        <v>35.93333333</v>
      </c>
      <c r="H9" s="63">
        <f>IFERROR(__xludf.DUMMYFUNCTION("""COMPUTED_VALUE"""),42409.0)</f>
        <v>42409</v>
      </c>
      <c r="I9" s="60">
        <f>IFERROR(__xludf.DUMMYFUNCTION("""COMPUTED_VALUE"""),7.522222222222222)</f>
        <v>7.522222222</v>
      </c>
      <c r="J9" s="64">
        <f>IFERROR(__xludf.DUMMYFUNCTION("""COMPUTED_VALUE"""),83.0)</f>
        <v>83</v>
      </c>
      <c r="K9" s="64">
        <f>IFERROR(__xludf.DUMMYFUNCTION("""COMPUTED_VALUE"""),4.0)</f>
        <v>4</v>
      </c>
      <c r="L9" s="55" t="str">
        <f>IFERROR(__xludf.DUMMYFUNCTION("""COMPUTED_VALUE"""),"Adventure")</f>
        <v>Adventure</v>
      </c>
      <c r="M9" s="55"/>
      <c r="N9" s="55" t="str">
        <f>IFERROR(__xludf.DUMMYFUNCTION("""COMPUTED_VALUE"""),"Game Pass Essential launch title (9/14/23), Returning title: Joined 2/16/21, left 12/15/22")</f>
        <v>Game Pass Essential launch title (9/14/23), Returning title: Joined 2/16/21, left 12/15/22</v>
      </c>
      <c r="O9" s="55" t="str">
        <f>IFERROR(__xludf.DUMMYFUNCTION("""COMPUTED_VALUE"""),"M")</f>
        <v>M</v>
      </c>
      <c r="P9" s="55" t="str">
        <f>IFERROR(__xludf.DUMMYFUNCTION("""COMPUTED_VALUE"""),"Nudity, Suggestive Themes, Alcohol Reference, Drug Reference, Strong Language")</f>
        <v>Nudity, Suggestive Themes, Alcohol Reference, Drug Reference, Strong Language</v>
      </c>
      <c r="Q9" s="55"/>
      <c r="R9" s="66" t="str">
        <f>IFERROR(__xludf.DUMMYFUNCTION("REGEXEXTRACT(N9,""\((.*?)\)"") "),"9/14/23")</f>
        <v>9/14/23</v>
      </c>
      <c r="S9" s="66">
        <f t="shared" si="1"/>
        <v>0</v>
      </c>
    </row>
    <row r="10">
      <c r="A10" s="55" t="str">
        <f>IFERROR(__xludf.DUMMYFUNCTION("""COMPUTED_VALUE"""),"Celeste")</f>
        <v>Celeste</v>
      </c>
      <c r="B10" s="55" t="str">
        <f>IFERROR(__xludf.DUMMYFUNCTION("""COMPUTED_VALUE"""),"Xbox / PC")</f>
        <v>Xbox / PC</v>
      </c>
      <c r="C10" s="55" t="str">
        <f>IFERROR(__xludf.DUMMYFUNCTION("""COMPUTED_VALUE"""),"Touch Controls")</f>
        <v>Touch Controls</v>
      </c>
      <c r="D10" s="56" t="str">
        <f>IFERROR(__xludf.DUMMYFUNCTION("""COMPUTED_VALUE"""),"Removed")</f>
        <v>Removed</v>
      </c>
      <c r="E10" s="57">
        <f>IFERROR(__xludf.DUMMYFUNCTION("""COMPUTED_VALUE"""),45139.0)</f>
        <v>45139</v>
      </c>
      <c r="F10" s="58">
        <f>IFERROR(__xludf.DUMMYFUNCTION("""COMPUTED_VALUE"""),46234.0)</f>
        <v>46234</v>
      </c>
      <c r="G10" s="60">
        <f>IFERROR(__xludf.DUMMYFUNCTION("""COMPUTED_VALUE"""),35.96666666666667)</f>
        <v>35.96666667</v>
      </c>
      <c r="H10" s="63">
        <f>IFERROR(__xludf.DUMMYFUNCTION("""COMPUTED_VALUE"""),43125.0)</f>
        <v>43125</v>
      </c>
      <c r="I10" s="60">
        <f>IFERROR(__xludf.DUMMYFUNCTION("""COMPUTED_VALUE"""),5.516666666666667)</f>
        <v>5.516666667</v>
      </c>
      <c r="J10" s="64">
        <f>IFERROR(__xludf.DUMMYFUNCTION("""COMPUTED_VALUE"""),91.0)</f>
        <v>91</v>
      </c>
      <c r="K10" s="64">
        <f>IFERROR(__xludf.DUMMYFUNCTION("""COMPUTED_VALUE"""),8.0)</f>
        <v>8</v>
      </c>
      <c r="L10" s="55" t="str">
        <f>IFERROR(__xludf.DUMMYFUNCTION("""COMPUTED_VALUE"""),"Platformer")</f>
        <v>Platformer</v>
      </c>
      <c r="M10" s="55"/>
      <c r="N10" s="55" t="str">
        <f>IFERROR(__xludf.DUMMYFUNCTION("""COMPUTED_VALUE"""),"Game Pass Essential launch title (9/14/23), Returning title: Joined 11/5/20, left 10/31/21")</f>
        <v>Game Pass Essential launch title (9/14/23), Returning title: Joined 11/5/20, left 10/31/21</v>
      </c>
      <c r="O10" s="55" t="str">
        <f>IFERROR(__xludf.DUMMYFUNCTION("""COMPUTED_VALUE"""),"E10+")</f>
        <v>E10+</v>
      </c>
      <c r="P10" s="55" t="str">
        <f>IFERROR(__xludf.DUMMYFUNCTION("""COMPUTED_VALUE"""),"Alcohol Reference, Fantasy Violence, Mild Language")</f>
        <v>Alcohol Reference, Fantasy Violence, Mild Language</v>
      </c>
      <c r="Q10" s="55"/>
      <c r="R10" s="66" t="str">
        <f>IFERROR(__xludf.DUMMYFUNCTION("REGEXEXTRACT(N10,""\((.*?)\)"") "),"9/14/23")</f>
        <v>9/14/23</v>
      </c>
      <c r="S10" s="66">
        <f t="shared" si="1"/>
        <v>1</v>
      </c>
    </row>
    <row r="11">
      <c r="A11" s="55" t="str">
        <f>IFERROR(__xludf.DUMMYFUNCTION("""COMPUTED_VALUE"""),"Spiritfarer")</f>
        <v>Spiritfarer</v>
      </c>
      <c r="B11" s="55" t="str">
        <f>IFERROR(__xludf.DUMMYFUNCTION("""COMPUTED_VALUE"""),"Xbox / PC")</f>
        <v>Xbox / PC</v>
      </c>
      <c r="C11" s="55" t="str">
        <f>IFERROR(__xludf.DUMMYFUNCTION("""COMPUTED_VALUE"""),"Touch Controls")</f>
        <v>Touch Controls</v>
      </c>
      <c r="D11" s="56" t="str">
        <f>IFERROR(__xludf.DUMMYFUNCTION("""COMPUTED_VALUE"""),"Removed")</f>
        <v>Removed</v>
      </c>
      <c r="E11" s="57">
        <f>IFERROR(__xludf.DUMMYFUNCTION("""COMPUTED_VALUE"""),45182.0)</f>
        <v>45182</v>
      </c>
      <c r="F11" s="58">
        <f>IFERROR(__xludf.DUMMYFUNCTION("""COMPUTED_VALUE"""),46280.0)</f>
        <v>46280</v>
      </c>
      <c r="G11" s="60">
        <f>IFERROR(__xludf.DUMMYFUNCTION("""COMPUTED_VALUE"""),36.06666666666666)</f>
        <v>36.06666667</v>
      </c>
      <c r="H11" s="63">
        <f>IFERROR(__xludf.DUMMYFUNCTION("""COMPUTED_VALUE"""),44061.0)</f>
        <v>44061</v>
      </c>
      <c r="I11" s="60">
        <f>IFERROR(__xludf.DUMMYFUNCTION("""COMPUTED_VALUE"""),3.0694444444444446)</f>
        <v>3.069444444</v>
      </c>
      <c r="J11" s="64">
        <f>IFERROR(__xludf.DUMMYFUNCTION("""COMPUTED_VALUE"""),86.0)</f>
        <v>86</v>
      </c>
      <c r="K11" s="64">
        <f>IFERROR(__xludf.DUMMYFUNCTION("""COMPUTED_VALUE"""),21.0)</f>
        <v>21</v>
      </c>
      <c r="L11" s="55" t="str">
        <f>IFERROR(__xludf.DUMMYFUNCTION("""COMPUTED_VALUE"""),"Adventure")</f>
        <v>Adventure</v>
      </c>
      <c r="M11" s="55"/>
      <c r="N11" s="55" t="str">
        <f>IFERROR(__xludf.DUMMYFUNCTION("""COMPUTED_VALUE"""),"Game Pass Essential launch title (9/14/23), Returning title: Joined 8/18/20, left 8/31/22")</f>
        <v>Game Pass Essential launch title (9/14/23), Returning title: Joined 8/18/20, left 8/31/22</v>
      </c>
      <c r="O11" s="55" t="str">
        <f>IFERROR(__xludf.DUMMYFUNCTION("""COMPUTED_VALUE"""),"T")</f>
        <v>T</v>
      </c>
      <c r="P11" s="55" t="str">
        <f>IFERROR(__xludf.DUMMYFUNCTION("""COMPUTED_VALUE"""),"Language, Use of Tobacco, Violent References")</f>
        <v>Language, Use of Tobacco, Violent References</v>
      </c>
      <c r="Q11" s="55"/>
      <c r="R11" s="66" t="str">
        <f>IFERROR(__xludf.DUMMYFUNCTION("REGEXEXTRACT(N11,""\((.*?)\)"") "),"9/14/23")</f>
        <v>9/14/23</v>
      </c>
      <c r="S11" s="66">
        <f t="shared" si="1"/>
        <v>0</v>
      </c>
    </row>
    <row r="12">
      <c r="A12" s="55" t="str">
        <f>IFERROR(__xludf.DUMMYFUNCTION("""COMPUTED_VALUE"""),"Limbo")</f>
        <v>Limbo</v>
      </c>
      <c r="B12" s="55" t="str">
        <f>IFERROR(__xludf.DUMMYFUNCTION("""COMPUTED_VALUE"""),"Xbox / PC")</f>
        <v>Xbox / PC</v>
      </c>
      <c r="C12" s="55" t="str">
        <f>IFERROR(__xludf.DUMMYFUNCTION("""COMPUTED_VALUE"""),"Yes")</f>
        <v>Yes</v>
      </c>
      <c r="D12" s="56" t="str">
        <f>IFERROR(__xludf.DUMMYFUNCTION("""COMPUTED_VALUE"""),"Active")</f>
        <v>Active</v>
      </c>
      <c r="E12" s="57">
        <f>IFERROR(__xludf.DUMMYFUNCTION("""COMPUTED_VALUE"""),45147.0)</f>
        <v>45147</v>
      </c>
      <c r="F12" s="58"/>
      <c r="G12" s="60">
        <f>IFERROR(__xludf.DUMMYFUNCTION("""COMPUTED_VALUE"""),37.9)</f>
        <v>37.9</v>
      </c>
      <c r="H12" s="63">
        <f>IFERROR(__xludf.DUMMYFUNCTION("""COMPUTED_VALUE"""),40380.0)</f>
        <v>40380</v>
      </c>
      <c r="I12" s="60">
        <f>IFERROR(__xludf.DUMMYFUNCTION("""COMPUTED_VALUE"""),13.05)</f>
        <v>13.05</v>
      </c>
      <c r="J12" s="64">
        <f>IFERROR(__xludf.DUMMYFUNCTION("""COMPUTED_VALUE"""),85.0)</f>
        <v>85</v>
      </c>
      <c r="K12" s="64">
        <f>IFERROR(__xludf.DUMMYFUNCTION("""COMPUTED_VALUE"""),3.5)</f>
        <v>3.5</v>
      </c>
      <c r="L12" s="55" t="str">
        <f>IFERROR(__xludf.DUMMYFUNCTION("""COMPUTED_VALUE"""),"Platformer")</f>
        <v>Platformer</v>
      </c>
      <c r="M12" s="55"/>
      <c r="N12" s="55" t="str">
        <f>IFERROR(__xludf.DUMMYFUNCTION("""COMPUTED_VALUE"""),"Game Pass Essential launch title (9/14/23), Returning title: Joined 8/1/17, left 6/15/22")</f>
        <v>Game Pass Essential launch title (9/14/23), Returning title: Joined 8/1/17, left 6/15/22</v>
      </c>
      <c r="O12" s="55" t="str">
        <f>IFERROR(__xludf.DUMMYFUNCTION("""COMPUTED_VALUE"""),"T")</f>
        <v>T</v>
      </c>
      <c r="P12" s="55" t="str">
        <f>IFERROR(__xludf.DUMMYFUNCTION("""COMPUTED_VALUE"""),"Blood, Violence")</f>
        <v>Blood, Violence</v>
      </c>
      <c r="Q12" s="55"/>
      <c r="R12" s="66" t="str">
        <f>IFERROR(__xludf.DUMMYFUNCTION("REGEXEXTRACT(N12,""\((.*?)\)"") "),"9/14/23")</f>
        <v>9/14/23</v>
      </c>
      <c r="S12" s="66">
        <f t="shared" si="1"/>
        <v>1</v>
      </c>
    </row>
    <row r="13">
      <c r="A13" s="55" t="str">
        <f>IFERROR(__xludf.DUMMYFUNCTION("""COMPUTED_VALUE"""),"Warhammer 40,000: Darktide")</f>
        <v>Warhammer 40,000: Darktide</v>
      </c>
      <c r="B13" s="55" t="str">
        <f>IFERROR(__xludf.DUMMYFUNCTION("""COMPUTED_VALUE"""),"Xbox / PC")</f>
        <v>Xbox / PC</v>
      </c>
      <c r="C13" s="55" t="str">
        <f>IFERROR(__xludf.DUMMYFUNCTION("""COMPUTED_VALUE"""),"Yes")</f>
        <v>Yes</v>
      </c>
      <c r="D13" s="56" t="str">
        <f>IFERROR(__xludf.DUMMYFUNCTION("""COMPUTED_VALUE"""),"Active")</f>
        <v>Active</v>
      </c>
      <c r="E13" s="57">
        <f>IFERROR(__xludf.DUMMYFUNCTION("""COMPUTED_VALUE"""),44895.0)</f>
        <v>44895</v>
      </c>
      <c r="F13" s="58"/>
      <c r="G13" s="60">
        <f>IFERROR(__xludf.DUMMYFUNCTION("""COMPUTED_VALUE"""),46.2)</f>
        <v>46.2</v>
      </c>
      <c r="H13" s="63">
        <f>IFERROR(__xludf.DUMMYFUNCTION("""COMPUTED_VALUE"""),44895.0)</f>
        <v>44895</v>
      </c>
      <c r="I13" s="60">
        <f>IFERROR(__xludf.DUMMYFUNCTION("""COMPUTED_VALUE"""),0.0)</f>
        <v>0</v>
      </c>
      <c r="J13" s="64">
        <f>IFERROR(__xludf.DUMMYFUNCTION("""COMPUTED_VALUE"""),78.0)</f>
        <v>78</v>
      </c>
      <c r="K13" s="64">
        <f>IFERROR(__xludf.DUMMYFUNCTION("""COMPUTED_VALUE"""),41.0)</f>
        <v>41</v>
      </c>
      <c r="L13" s="55" t="str">
        <f>IFERROR(__xludf.DUMMYFUNCTION("""COMPUTED_VALUE"""),"Action")</f>
        <v>Action</v>
      </c>
      <c r="M13" s="55" t="str">
        <f>IFERROR(__xludf.DUMMYFUNCTION("""COMPUTED_VALUE"""),"Exclusive")</f>
        <v>Exclusive</v>
      </c>
      <c r="N13" s="55" t="str">
        <f>IFERROR(__xludf.DUMMYFUNCTION("""COMPUTED_VALUE"""),"Game Pass Essential (10/1/25). Joined cloud and console 10/4/23")</f>
        <v>Game Pass Essential (10/1/25). Joined cloud and console 10/4/23</v>
      </c>
      <c r="O13" s="55" t="str">
        <f>IFERROR(__xludf.DUMMYFUNCTION("""COMPUTED_VALUE"""),"M")</f>
        <v>M</v>
      </c>
      <c r="P13" s="55" t="str">
        <f>IFERROR(__xludf.DUMMYFUNCTION("""COMPUTED_VALUE"""),"Intense Violence, Blood and Gore")</f>
        <v>Intense Violence, Blood and Gore</v>
      </c>
      <c r="Q13" s="55"/>
      <c r="R13" s="66" t="str">
        <f>IFERROR(__xludf.DUMMYFUNCTION("REGEXEXTRACT(N13,""\((.*?)\)"") "),"10/1/25")</f>
        <v>10/1/25</v>
      </c>
      <c r="S13" s="66">
        <f t="shared" si="1"/>
        <v>34</v>
      </c>
    </row>
    <row r="14">
      <c r="A14" s="55" t="str">
        <f>IFERROR(__xludf.DUMMYFUNCTION("""COMPUTED_VALUE"""),"Teenage Mutant Ninja Turtles: Shredder's Revenge")</f>
        <v>Teenage Mutant Ninja Turtles: Shredder's Revenge</v>
      </c>
      <c r="B14" s="55" t="str">
        <f>IFERROR(__xludf.DUMMYFUNCTION("""COMPUTED_VALUE"""),"Xbox / PC")</f>
        <v>Xbox / PC</v>
      </c>
      <c r="C14" s="55" t="str">
        <f>IFERROR(__xludf.DUMMYFUNCTION("""COMPUTED_VALUE"""),"Touch Controls")</f>
        <v>Touch Controls</v>
      </c>
      <c r="D14" s="56" t="str">
        <f>IFERROR(__xludf.DUMMYFUNCTION("""COMPUTED_VALUE"""),"Removed")</f>
        <v>Removed</v>
      </c>
      <c r="E14" s="57">
        <f>IFERROR(__xludf.DUMMYFUNCTION("""COMPUTED_VALUE"""),44728.0)</f>
        <v>44728</v>
      </c>
      <c r="F14" s="58">
        <f>IFERROR(__xludf.DUMMYFUNCTION("""COMPUTED_VALUE"""),46188.0)</f>
        <v>46188</v>
      </c>
      <c r="G14" s="60">
        <f>IFERROR(__xludf.DUMMYFUNCTION("""COMPUTED_VALUE"""),47.96666666666667)</f>
        <v>47.96666667</v>
      </c>
      <c r="H14" s="63">
        <f>IFERROR(__xludf.DUMMYFUNCTION("""COMPUTED_VALUE"""),44728.0)</f>
        <v>44728</v>
      </c>
      <c r="I14" s="60">
        <f>IFERROR(__xludf.DUMMYFUNCTION("""COMPUTED_VALUE"""),0.0)</f>
        <v>0</v>
      </c>
      <c r="J14" s="64">
        <f>IFERROR(__xludf.DUMMYFUNCTION("""COMPUTED_VALUE"""),86.0)</f>
        <v>86</v>
      </c>
      <c r="K14" s="64">
        <f>IFERROR(__xludf.DUMMYFUNCTION("""COMPUTED_VALUE"""),2.5)</f>
        <v>2.5</v>
      </c>
      <c r="L14" s="55" t="str">
        <f>IFERROR(__xludf.DUMMYFUNCTION("""COMPUTED_VALUE"""),"Brawler")</f>
        <v>Brawler</v>
      </c>
      <c r="M14" s="55"/>
      <c r="N14" s="55" t="str">
        <f>IFERROR(__xludf.DUMMYFUNCTION("""COMPUTED_VALUE"""),"Game Pass Essential launch title (9/14/23)")</f>
        <v>Game Pass Essential launch title (9/14/23)</v>
      </c>
      <c r="O14" s="55" t="str">
        <f>IFERROR(__xludf.DUMMYFUNCTION("""COMPUTED_VALUE"""),"E10+")</f>
        <v>E10+</v>
      </c>
      <c r="P14" s="55" t="str">
        <f>IFERROR(__xludf.DUMMYFUNCTION("""COMPUTED_VALUE"""),"Fantasy Violence")</f>
        <v>Fantasy Violence</v>
      </c>
      <c r="Q14" s="55"/>
      <c r="R14" s="66" t="str">
        <f>IFERROR(__xludf.DUMMYFUNCTION("REGEXEXTRACT(N14,""\((.*?)\)"") "),"9/14/23")</f>
        <v>9/14/23</v>
      </c>
      <c r="S14" s="66">
        <f t="shared" si="1"/>
        <v>14</v>
      </c>
    </row>
    <row r="15">
      <c r="A15" s="55" t="str">
        <f>IFERROR(__xludf.DUMMYFUNCTION("""COMPUTED_VALUE"""),"PowerWash Simulator")</f>
        <v>PowerWash Simulator</v>
      </c>
      <c r="B15" s="55" t="str">
        <f>IFERROR(__xludf.DUMMYFUNCTION("""COMPUTED_VALUE"""),"Xbox / PC")</f>
        <v>Xbox / PC</v>
      </c>
      <c r="C15" s="55" t="str">
        <f>IFERROR(__xludf.DUMMYFUNCTION("""COMPUTED_VALUE"""),"Yes")</f>
        <v>Yes</v>
      </c>
      <c r="D15" s="56" t="str">
        <f>IFERROR(__xludf.DUMMYFUNCTION("""COMPUTED_VALUE"""),"Removed")</f>
        <v>Removed</v>
      </c>
      <c r="E15" s="57">
        <f>IFERROR(__xludf.DUMMYFUNCTION("""COMPUTED_VALUE"""),44756.0)</f>
        <v>44756</v>
      </c>
      <c r="F15" s="58">
        <f>IFERROR(__xludf.DUMMYFUNCTION("""COMPUTED_VALUE"""),46218.0)</f>
        <v>46218</v>
      </c>
      <c r="G15" s="60">
        <f>IFERROR(__xludf.DUMMYFUNCTION("""COMPUTED_VALUE"""),48.03333333333334)</f>
        <v>48.03333333</v>
      </c>
      <c r="H15" s="63">
        <f>IFERROR(__xludf.DUMMYFUNCTION("""COMPUTED_VALUE"""),44335.0)</f>
        <v>44335</v>
      </c>
      <c r="I15" s="60">
        <f>IFERROR(__xludf.DUMMYFUNCTION("""COMPUTED_VALUE"""),1.1527777777777777)</f>
        <v>1.152777778</v>
      </c>
      <c r="J15" s="64">
        <f>IFERROR(__xludf.DUMMYFUNCTION("""COMPUTED_VALUE"""),76.0)</f>
        <v>76</v>
      </c>
      <c r="K15" s="64">
        <f>IFERROR(__xludf.DUMMYFUNCTION("""COMPUTED_VALUE"""),21.5)</f>
        <v>21.5</v>
      </c>
      <c r="L15" s="55" t="str">
        <f>IFERROR(__xludf.DUMMYFUNCTION("""COMPUTED_VALUE"""),"Simulation")</f>
        <v>Simulation</v>
      </c>
      <c r="M15" s="55"/>
      <c r="N15" s="55" t="str">
        <f>IFERROR(__xludf.DUMMYFUNCTION("""COMPUTED_VALUE"""),"Game Pass Essential launch title (9/14/23)")</f>
        <v>Game Pass Essential launch title (9/14/23)</v>
      </c>
      <c r="O15" s="55" t="str">
        <f>IFERROR(__xludf.DUMMYFUNCTION("""COMPUTED_VALUE"""),"E")</f>
        <v>E</v>
      </c>
      <c r="P15" s="55"/>
      <c r="Q15" s="55"/>
      <c r="R15" s="66" t="str">
        <f>IFERROR(__xludf.DUMMYFUNCTION("REGEXEXTRACT(N15,""\((.*?)\)"") "),"9/14/23")</f>
        <v>9/14/23</v>
      </c>
      <c r="S15" s="66">
        <f t="shared" si="1"/>
        <v>14</v>
      </c>
    </row>
    <row r="16">
      <c r="A16" s="55" t="str">
        <f>IFERROR(__xludf.DUMMYFUNCTION("""COMPUTED_VALUE"""),"Chivalry II")</f>
        <v>Chivalry II</v>
      </c>
      <c r="B16" s="55" t="str">
        <f>IFERROR(__xludf.DUMMYFUNCTION("""COMPUTED_VALUE"""),"Xbox / PC")</f>
        <v>Xbox / PC</v>
      </c>
      <c r="C16" s="55" t="str">
        <f>IFERROR(__xludf.DUMMYFUNCTION("""COMPUTED_VALUE"""),"Yes")</f>
        <v>Yes</v>
      </c>
      <c r="D16" s="56" t="str">
        <f>IFERROR(__xludf.DUMMYFUNCTION("""COMPUTED_VALUE"""),"Active")</f>
        <v>Active</v>
      </c>
      <c r="E16" s="57">
        <f>IFERROR(__xludf.DUMMYFUNCTION("""COMPUTED_VALUE"""),44838.0)</f>
        <v>44838</v>
      </c>
      <c r="F16" s="58"/>
      <c r="G16" s="60">
        <f>IFERROR(__xludf.DUMMYFUNCTION("""COMPUTED_VALUE"""),48.06666666666666)</f>
        <v>48.06666667</v>
      </c>
      <c r="H16" s="63">
        <f>IFERROR(__xludf.DUMMYFUNCTION("""COMPUTED_VALUE"""),44355.0)</f>
        <v>44355</v>
      </c>
      <c r="I16" s="60">
        <f>IFERROR(__xludf.DUMMYFUNCTION("""COMPUTED_VALUE"""),1.3222222222222222)</f>
        <v>1.322222222</v>
      </c>
      <c r="J16" s="64">
        <f>IFERROR(__xludf.DUMMYFUNCTION("""COMPUTED_VALUE"""),82.0)</f>
        <v>82</v>
      </c>
      <c r="K16" s="64">
        <f>IFERROR(__xludf.DUMMYFUNCTION("""COMPUTED_VALUE"""),42.5)</f>
        <v>42.5</v>
      </c>
      <c r="L16" s="55" t="str">
        <f>IFERROR(__xludf.DUMMYFUNCTION("""COMPUTED_VALUE"""),"Action")</f>
        <v>Action</v>
      </c>
      <c r="M16" s="55"/>
      <c r="N16" s="55" t="str">
        <f>IFERROR(__xludf.DUMMYFUNCTION("""COMPUTED_VALUE"""),"Game Pass Essential (12/6/23)")</f>
        <v>Game Pass Essential (12/6/23)</v>
      </c>
      <c r="O16" s="55" t="str">
        <f>IFERROR(__xludf.DUMMYFUNCTION("""COMPUTED_VALUE"""),"M")</f>
        <v>M</v>
      </c>
      <c r="P16" s="55" t="str">
        <f>IFERROR(__xludf.DUMMYFUNCTION("""COMPUTED_VALUE"""),"Use of Alcohol, Blood and Gore, Mild Sexual Themes, Language, Intense Violence")</f>
        <v>Use of Alcohol, Blood and Gore, Mild Sexual Themes, Language, Intense Violence</v>
      </c>
      <c r="Q16" s="55"/>
      <c r="R16" s="66" t="str">
        <f>IFERROR(__xludf.DUMMYFUNCTION("REGEXEXTRACT(N16,""\((.*?)\)"") "),"12/6/23")</f>
        <v>12/6/23</v>
      </c>
      <c r="S16" s="66">
        <f t="shared" si="1"/>
        <v>14</v>
      </c>
    </row>
    <row r="17">
      <c r="A17" s="55" t="str">
        <f>IFERROR(__xludf.DUMMYFUNCTION("""COMPUTED_VALUE"""),"Disney Dreamlight Valley: Founder's Edition")</f>
        <v>Disney Dreamlight Valley: Founder's Edition</v>
      </c>
      <c r="B17" s="55" t="str">
        <f>IFERROR(__xludf.DUMMYFUNCTION("""COMPUTED_VALUE"""),"Xbox / PC")</f>
        <v>Xbox / PC</v>
      </c>
      <c r="C17" s="55" t="str">
        <f>IFERROR(__xludf.DUMMYFUNCTION("""COMPUTED_VALUE"""),"Touch Controls")</f>
        <v>Touch Controls</v>
      </c>
      <c r="D17" s="56" t="str">
        <f>IFERROR(__xludf.DUMMYFUNCTION("""COMPUTED_VALUE"""),"Active")</f>
        <v>Active</v>
      </c>
      <c r="E17" s="57">
        <f>IFERROR(__xludf.DUMMYFUNCTION("""COMPUTED_VALUE"""),44810.0)</f>
        <v>44810</v>
      </c>
      <c r="F17" s="58"/>
      <c r="G17" s="60">
        <f>IFERROR(__xludf.DUMMYFUNCTION("""COMPUTED_VALUE"""),49.0)</f>
        <v>49</v>
      </c>
      <c r="H17" s="63">
        <f>IFERROR(__xludf.DUMMYFUNCTION("""COMPUTED_VALUE"""),44810.0)</f>
        <v>44810</v>
      </c>
      <c r="I17" s="60">
        <f>IFERROR(__xludf.DUMMYFUNCTION("""COMPUTED_VALUE"""),0.0)</f>
        <v>0</v>
      </c>
      <c r="J17" s="64">
        <f>IFERROR(__xludf.DUMMYFUNCTION("""COMPUTED_VALUE"""),75.0)</f>
        <v>75</v>
      </c>
      <c r="K17" s="64">
        <f>IFERROR(__xludf.DUMMYFUNCTION("""COMPUTED_VALUE"""),15.5)</f>
        <v>15.5</v>
      </c>
      <c r="L17" s="55" t="str">
        <f>IFERROR(__xludf.DUMMYFUNCTION("""COMPUTED_VALUE"""),"Simulation")</f>
        <v>Simulation</v>
      </c>
      <c r="M17" s="55"/>
      <c r="N17" s="55" t="str">
        <f>IFERROR(__xludf.DUMMYFUNCTION("""COMPUTED_VALUE"""),"Game Pass Essential (10/1/25)")</f>
        <v>Game Pass Essential (10/1/25)</v>
      </c>
      <c r="O17" s="55" t="str">
        <f>IFERROR(__xludf.DUMMYFUNCTION("""COMPUTED_VALUE"""),"E")</f>
        <v>E</v>
      </c>
      <c r="P17" s="55"/>
      <c r="Q17" s="55"/>
      <c r="R17" s="66" t="str">
        <f>IFERROR(__xludf.DUMMYFUNCTION("REGEXEXTRACT(N17,""\((.*?)\)"") "),"10/1/25")</f>
        <v>10/1/25</v>
      </c>
      <c r="S17" s="66">
        <f t="shared" si="1"/>
        <v>36</v>
      </c>
    </row>
    <row r="18">
      <c r="A18" s="55" t="str">
        <f>IFERROR(__xludf.DUMMYFUNCTION("""COMPUTED_VALUE"""),"Inside")</f>
        <v>Inside</v>
      </c>
      <c r="B18" s="55" t="str">
        <f>IFERROR(__xludf.DUMMYFUNCTION("""COMPUTED_VALUE"""),"Xbox / PC")</f>
        <v>Xbox / PC</v>
      </c>
      <c r="C18" s="55" t="str">
        <f>IFERROR(__xludf.DUMMYFUNCTION("""COMPUTED_VALUE"""),"Yes")</f>
        <v>Yes</v>
      </c>
      <c r="D18" s="56" t="str">
        <f>IFERROR(__xludf.DUMMYFUNCTION("""COMPUTED_VALUE"""),"Active")</f>
        <v>Active</v>
      </c>
      <c r="E18" s="57">
        <f>IFERROR(__xludf.DUMMYFUNCTION("""COMPUTED_VALUE"""),44763.0)</f>
        <v>44763</v>
      </c>
      <c r="F18" s="58"/>
      <c r="G18" s="60">
        <f>IFERROR(__xludf.DUMMYFUNCTION("""COMPUTED_VALUE"""),50.5)</f>
        <v>50.5</v>
      </c>
      <c r="H18" s="63">
        <f>IFERROR(__xludf.DUMMYFUNCTION("""COMPUTED_VALUE"""),42550.0)</f>
        <v>42550</v>
      </c>
      <c r="I18" s="60">
        <f>IFERROR(__xludf.DUMMYFUNCTION("""COMPUTED_VALUE"""),6.061111111111111)</f>
        <v>6.061111111</v>
      </c>
      <c r="J18" s="64">
        <f>IFERROR(__xludf.DUMMYFUNCTION("""COMPUTED_VALUE"""),93.0)</f>
        <v>93</v>
      </c>
      <c r="K18" s="64">
        <f>IFERROR(__xludf.DUMMYFUNCTION("""COMPUTED_VALUE"""),3.5)</f>
        <v>3.5</v>
      </c>
      <c r="L18" s="55" t="str">
        <f>IFERROR(__xludf.DUMMYFUNCTION("""COMPUTED_VALUE"""),"Platformer")</f>
        <v>Platformer</v>
      </c>
      <c r="M18" s="55"/>
      <c r="N18" s="55" t="str">
        <f>IFERROR(__xludf.DUMMYFUNCTION("""COMPUTED_VALUE"""),"Game Pass Essential launch title (9/14/23)")</f>
        <v>Game Pass Essential launch title (9/14/23)</v>
      </c>
      <c r="O18" s="55" t="str">
        <f>IFERROR(__xludf.DUMMYFUNCTION("""COMPUTED_VALUE"""),"M")</f>
        <v>M</v>
      </c>
      <c r="P18" s="55" t="str">
        <f>IFERROR(__xludf.DUMMYFUNCTION("""COMPUTED_VALUE"""),"Blood and Gore, Violence")</f>
        <v>Blood and Gore, Violence</v>
      </c>
      <c r="Q18" s="55"/>
      <c r="R18" s="66" t="str">
        <f>IFERROR(__xludf.DUMMYFUNCTION("REGEXEXTRACT(N18,""\((.*?)\)"") "),"9/14/23")</f>
        <v>9/14/23</v>
      </c>
      <c r="S18" s="66">
        <f t="shared" si="1"/>
        <v>13</v>
      </c>
    </row>
    <row r="19">
      <c r="A19" s="55" t="str">
        <f>IFERROR(__xludf.DUMMYFUNCTION("""COMPUTED_VALUE"""),"Vampire Survivors")</f>
        <v>Vampire Survivors</v>
      </c>
      <c r="B19" s="55" t="str">
        <f>IFERROR(__xludf.DUMMYFUNCTION("""COMPUTED_VALUE"""),"Xbox / PC")</f>
        <v>Xbox / PC</v>
      </c>
      <c r="C19" s="55" t="str">
        <f>IFERROR(__xludf.DUMMYFUNCTION("""COMPUTED_VALUE"""),"Yes")</f>
        <v>Yes</v>
      </c>
      <c r="D19" s="56" t="str">
        <f>IFERROR(__xludf.DUMMYFUNCTION("""COMPUTED_VALUE"""),"Active")</f>
        <v>Active</v>
      </c>
      <c r="E19" s="57">
        <f>IFERROR(__xludf.DUMMYFUNCTION("""COMPUTED_VALUE"""),44700.0)</f>
        <v>44700</v>
      </c>
      <c r="F19" s="58"/>
      <c r="G19" s="60">
        <f>IFERROR(__xludf.DUMMYFUNCTION("""COMPUTED_VALUE"""),52.56666666666666)</f>
        <v>52.56666667</v>
      </c>
      <c r="H19" s="63">
        <f>IFERROR(__xludf.DUMMYFUNCTION("""COMPUTED_VALUE"""),44547.0)</f>
        <v>44547</v>
      </c>
      <c r="I19" s="60">
        <f>IFERROR(__xludf.DUMMYFUNCTION("""COMPUTED_VALUE"""),0.4222222222222222)</f>
        <v>0.4222222222</v>
      </c>
      <c r="J19" s="64">
        <f>IFERROR(__xludf.DUMMYFUNCTION("""COMPUTED_VALUE"""),87.0)</f>
        <v>87</v>
      </c>
      <c r="K19" s="64">
        <f>IFERROR(__xludf.DUMMYFUNCTION("""COMPUTED_VALUE"""),4.5)</f>
        <v>4.5</v>
      </c>
      <c r="L19" s="55" t="str">
        <f>IFERROR(__xludf.DUMMYFUNCTION("""COMPUTED_VALUE"""),"Action")</f>
        <v>Action</v>
      </c>
      <c r="M19" s="55"/>
      <c r="N19" s="55" t="str">
        <f>IFERROR(__xludf.DUMMYFUNCTION("""COMPUTED_VALUE"""),"Game Pass Essential launch title (9/14/23), Joins console 11/10/22")</f>
        <v>Game Pass Essential launch title (9/14/23), Joins console 11/10/22</v>
      </c>
      <c r="O19" s="55" t="str">
        <f>IFERROR(__xludf.DUMMYFUNCTION("""COMPUTED_VALUE"""),"E10+")</f>
        <v>E10+</v>
      </c>
      <c r="P19" s="55" t="str">
        <f>IFERROR(__xludf.DUMMYFUNCTION("""COMPUTED_VALUE"""),"Fantasy Violence")</f>
        <v>Fantasy Violence</v>
      </c>
      <c r="Q19" s="55"/>
      <c r="R19" s="66" t="str">
        <f>IFERROR(__xludf.DUMMYFUNCTION("REGEXEXTRACT(N19,""\((.*?)\)"") "),"9/14/23")</f>
        <v>9/14/23</v>
      </c>
      <c r="S19" s="66">
        <f t="shared" si="1"/>
        <v>15</v>
      </c>
    </row>
    <row r="20">
      <c r="A20" s="55" t="str">
        <f>IFERROR(__xludf.DUMMYFUNCTION("""COMPUTED_VALUE"""),"Tunic")</f>
        <v>Tunic</v>
      </c>
      <c r="B20" s="55" t="str">
        <f>IFERROR(__xludf.DUMMYFUNCTION("""COMPUTED_VALUE"""),"Xbox / PC")</f>
        <v>Xbox / PC</v>
      </c>
      <c r="C20" s="55" t="str">
        <f>IFERROR(__xludf.DUMMYFUNCTION("""COMPUTED_VALUE"""),"Yes")</f>
        <v>Yes</v>
      </c>
      <c r="D20" s="56" t="str">
        <f>IFERROR(__xludf.DUMMYFUNCTION("""COMPUTED_VALUE"""),"Active")</f>
        <v>Active</v>
      </c>
      <c r="E20" s="57">
        <f>IFERROR(__xludf.DUMMYFUNCTION("""COMPUTED_VALUE"""),44636.0)</f>
        <v>44636</v>
      </c>
      <c r="F20" s="58"/>
      <c r="G20" s="60">
        <f>IFERROR(__xludf.DUMMYFUNCTION("""COMPUTED_VALUE"""),54.666666666666664)</f>
        <v>54.66666667</v>
      </c>
      <c r="H20" s="63">
        <f>IFERROR(__xludf.DUMMYFUNCTION("""COMPUTED_VALUE"""),44636.0)</f>
        <v>44636</v>
      </c>
      <c r="I20" s="60">
        <f>IFERROR(__xludf.DUMMYFUNCTION("""COMPUTED_VALUE"""),0.0)</f>
        <v>0</v>
      </c>
      <c r="J20" s="64">
        <f>IFERROR(__xludf.DUMMYFUNCTION("""COMPUTED_VALUE"""),83.5)</f>
        <v>83.5</v>
      </c>
      <c r="K20" s="64">
        <f>IFERROR(__xludf.DUMMYFUNCTION("""COMPUTED_VALUE"""),12.0)</f>
        <v>12</v>
      </c>
      <c r="L20" s="55" t="str">
        <f>IFERROR(__xludf.DUMMYFUNCTION("""COMPUTED_VALUE"""),"Action-Adventure")</f>
        <v>Action-Adventure</v>
      </c>
      <c r="M20" s="55"/>
      <c r="N20" s="55" t="str">
        <f>IFERROR(__xludf.DUMMYFUNCTION("""COMPUTED_VALUE"""),"Game Pass Essential (3/26/25)")</f>
        <v>Game Pass Essential (3/26/25)</v>
      </c>
      <c r="O20" s="55" t="str">
        <f>IFERROR(__xludf.DUMMYFUNCTION("""COMPUTED_VALUE"""),"E10+")</f>
        <v>E10+</v>
      </c>
      <c r="P20" s="55" t="str">
        <f>IFERROR(__xludf.DUMMYFUNCTION("""COMPUTED_VALUE"""),"Fantasy Violence")</f>
        <v>Fantasy Violence</v>
      </c>
      <c r="Q20" s="55"/>
      <c r="R20" s="66" t="str">
        <f>IFERROR(__xludf.DUMMYFUNCTION("REGEXEXTRACT(N20,""\((.*?)\)"") "),"3/26/25")</f>
        <v>3/26/25</v>
      </c>
      <c r="S20" s="66">
        <f t="shared" si="1"/>
        <v>36</v>
      </c>
    </row>
    <row r="21">
      <c r="A21" s="55" t="str">
        <f>IFERROR(__xludf.DUMMYFUNCTION("""COMPUTED_VALUE"""),"Unpacking")</f>
        <v>Unpacking</v>
      </c>
      <c r="B21" s="55" t="str">
        <f>IFERROR(__xludf.DUMMYFUNCTION("""COMPUTED_VALUE"""),"Xbox / PC")</f>
        <v>Xbox / PC</v>
      </c>
      <c r="C21" s="55" t="str">
        <f>IFERROR(__xludf.DUMMYFUNCTION("""COMPUTED_VALUE"""),"Touch Controls")</f>
        <v>Touch Controls</v>
      </c>
      <c r="D21" s="56" t="str">
        <f>IFERROR(__xludf.DUMMYFUNCTION("""COMPUTED_VALUE"""),"Removed")</f>
        <v>Removed</v>
      </c>
      <c r="E21" s="57">
        <f>IFERROR(__xludf.DUMMYFUNCTION("""COMPUTED_VALUE"""),44502.0)</f>
        <v>44502</v>
      </c>
      <c r="F21" s="58">
        <f>IFERROR(__xludf.DUMMYFUNCTION("""COMPUTED_VALUE"""),46203.0)</f>
        <v>46203</v>
      </c>
      <c r="G21" s="60">
        <f>IFERROR(__xludf.DUMMYFUNCTION("""COMPUTED_VALUE"""),55.93333333333334)</f>
        <v>55.93333333</v>
      </c>
      <c r="H21" s="63">
        <f>IFERROR(__xludf.DUMMYFUNCTION("""COMPUTED_VALUE"""),44502.0)</f>
        <v>44502</v>
      </c>
      <c r="I21" s="60">
        <f>IFERROR(__xludf.DUMMYFUNCTION("""COMPUTED_VALUE"""),0.0)</f>
        <v>0</v>
      </c>
      <c r="J21" s="64">
        <f>IFERROR(__xludf.DUMMYFUNCTION("""COMPUTED_VALUE"""),82.0)</f>
        <v>82</v>
      </c>
      <c r="K21" s="64">
        <f>IFERROR(__xludf.DUMMYFUNCTION("""COMPUTED_VALUE"""),3.5)</f>
        <v>3.5</v>
      </c>
      <c r="L21" s="55" t="str">
        <f>IFERROR(__xludf.DUMMYFUNCTION("""COMPUTED_VALUE"""),"Puzzle")</f>
        <v>Puzzle</v>
      </c>
      <c r="M21" s="55"/>
      <c r="N21" s="55" t="str">
        <f>IFERROR(__xludf.DUMMYFUNCTION("""COMPUTED_VALUE"""),"Game Pass Essential launch title (9/14/23)")</f>
        <v>Game Pass Essential launch title (9/14/23)</v>
      </c>
      <c r="O21" s="55" t="str">
        <f>IFERROR(__xludf.DUMMYFUNCTION("""COMPUTED_VALUE"""),"E")</f>
        <v>E</v>
      </c>
      <c r="P21" s="55"/>
      <c r="Q21" s="55"/>
      <c r="R21" s="66" t="str">
        <f>IFERROR(__xludf.DUMMYFUNCTION("REGEXEXTRACT(N21,""\((.*?)\)"") "),"9/14/23")</f>
        <v>9/14/23</v>
      </c>
      <c r="S21" s="66">
        <f t="shared" si="1"/>
        <v>22</v>
      </c>
    </row>
    <row r="22">
      <c r="A22" s="55" t="str">
        <f>IFERROR(__xludf.DUMMYFUNCTION("""COMPUTED_VALUE"""),"Stardew Valley")</f>
        <v>Stardew Valley</v>
      </c>
      <c r="B22" s="55" t="str">
        <f>IFERROR(__xludf.DUMMYFUNCTION("""COMPUTED_VALUE"""),"Xbox / PC")</f>
        <v>Xbox / PC</v>
      </c>
      <c r="C22" s="55" t="str">
        <f>IFERROR(__xludf.DUMMYFUNCTION("""COMPUTED_VALUE"""),"Touch Controls")</f>
        <v>Touch Controls</v>
      </c>
      <c r="D22" s="56" t="str">
        <f>IFERROR(__xludf.DUMMYFUNCTION("""COMPUTED_VALUE"""),"Active")</f>
        <v>Active</v>
      </c>
      <c r="E22" s="57">
        <f>IFERROR(__xludf.DUMMYFUNCTION("""COMPUTED_VALUE"""),44532.0)</f>
        <v>44532</v>
      </c>
      <c r="F22" s="58"/>
      <c r="G22" s="60">
        <f>IFERROR(__xludf.DUMMYFUNCTION("""COMPUTED_VALUE"""),58.133333333333326)</f>
        <v>58.13333333</v>
      </c>
      <c r="H22" s="63">
        <f>IFERROR(__xludf.DUMMYFUNCTION("""COMPUTED_VALUE"""),42426.0)</f>
        <v>42426</v>
      </c>
      <c r="I22" s="60">
        <f>IFERROR(__xludf.DUMMYFUNCTION("""COMPUTED_VALUE"""),5.766666666666667)</f>
        <v>5.766666667</v>
      </c>
      <c r="J22" s="64">
        <f>IFERROR(__xludf.DUMMYFUNCTION("""COMPUTED_VALUE"""),89.0)</f>
        <v>89</v>
      </c>
      <c r="K22" s="64">
        <f>IFERROR(__xludf.DUMMYFUNCTION("""COMPUTED_VALUE"""),52.5)</f>
        <v>52.5</v>
      </c>
      <c r="L22" s="55" t="str">
        <f>IFERROR(__xludf.DUMMYFUNCTION("""COMPUTED_VALUE"""),"RPG")</f>
        <v>RPG</v>
      </c>
      <c r="M22" s="55"/>
      <c r="N22" s="55" t="str">
        <f>IFERROR(__xludf.DUMMYFUNCTION("""COMPUTED_VALUE"""),"Game Pass Essential launch title (9/14/23)")</f>
        <v>Game Pass Essential launch title (9/14/23)</v>
      </c>
      <c r="O22" s="55" t="str">
        <f>IFERROR(__xludf.DUMMYFUNCTION("""COMPUTED_VALUE"""),"E10+")</f>
        <v>E10+</v>
      </c>
      <c r="P22" s="55" t="str">
        <f>IFERROR(__xludf.DUMMYFUNCTION("""COMPUTED_VALUE"""),"Fantasy Violence, Mild Blood, Mild Language, Simulated Gambling, Use of Alcohol And Tobacco")</f>
        <v>Fantasy Violence, Mild Blood, Mild Language, Simulated Gambling, Use of Alcohol And Tobacco</v>
      </c>
      <c r="Q22" s="55"/>
      <c r="R22" s="66" t="str">
        <f>IFERROR(__xludf.DUMMYFUNCTION("REGEXEXTRACT(N22,""\((.*?)\)"") "),"9/14/23")</f>
        <v>9/14/23</v>
      </c>
      <c r="S22" s="66">
        <f t="shared" si="1"/>
        <v>21</v>
      </c>
    </row>
    <row r="23">
      <c r="A23" s="55" t="str">
        <f>IFERROR(__xludf.DUMMYFUNCTION("""COMPUTED_VALUE"""),"Superliminal")</f>
        <v>Superliminal</v>
      </c>
      <c r="B23" s="55" t="str">
        <f>IFERROR(__xludf.DUMMYFUNCTION("""COMPUTED_VALUE"""),"Xbox / PC")</f>
        <v>Xbox / PC</v>
      </c>
      <c r="C23" s="55" t="str">
        <f>IFERROR(__xludf.DUMMYFUNCTION("""COMPUTED_VALUE"""),"Touch Controls")</f>
        <v>Touch Controls</v>
      </c>
      <c r="D23" s="56" t="str">
        <f>IFERROR(__xludf.DUMMYFUNCTION("""COMPUTED_VALUE"""),"Removed")</f>
        <v>Removed</v>
      </c>
      <c r="E23" s="57">
        <f>IFERROR(__xludf.DUMMYFUNCTION("""COMPUTED_VALUE"""),44455.0)</f>
        <v>44455</v>
      </c>
      <c r="F23" s="58">
        <f>IFERROR(__xludf.DUMMYFUNCTION("""COMPUTED_VALUE"""),46280.0)</f>
        <v>46280</v>
      </c>
      <c r="G23" s="60">
        <f>IFERROR(__xludf.DUMMYFUNCTION("""COMPUTED_VALUE"""),59.96666666666666)</f>
        <v>59.96666667</v>
      </c>
      <c r="H23" s="63">
        <f>IFERROR(__xludf.DUMMYFUNCTION("""COMPUTED_VALUE"""),43781.0)</f>
        <v>43781</v>
      </c>
      <c r="I23" s="60">
        <f>IFERROR(__xludf.DUMMYFUNCTION("""COMPUTED_VALUE"""),1.8444444444444446)</f>
        <v>1.844444444</v>
      </c>
      <c r="J23" s="64">
        <f>IFERROR(__xludf.DUMMYFUNCTION("""COMPUTED_VALUE"""),77.0)</f>
        <v>77</v>
      </c>
      <c r="K23" s="64">
        <f>IFERROR(__xludf.DUMMYFUNCTION("""COMPUTED_VALUE"""),2.5)</f>
        <v>2.5</v>
      </c>
      <c r="L23" s="55" t="str">
        <f>IFERROR(__xludf.DUMMYFUNCTION("""COMPUTED_VALUE"""),"Puzzle")</f>
        <v>Puzzle</v>
      </c>
      <c r="M23" s="55"/>
      <c r="N23" s="55" t="str">
        <f>IFERROR(__xludf.DUMMYFUNCTION("""COMPUTED_VALUE"""),"Game Pass Essential launch title (9/14/23)")</f>
        <v>Game Pass Essential launch title (9/14/23)</v>
      </c>
      <c r="O23" s="55" t="str">
        <f>IFERROR(__xludf.DUMMYFUNCTION("""COMPUTED_VALUE"""),"E")</f>
        <v>E</v>
      </c>
      <c r="P23" s="55" t="str">
        <f>IFERROR(__xludf.DUMMYFUNCTION("""COMPUTED_VALUE"""),"Mild Blood")</f>
        <v>Mild Blood</v>
      </c>
      <c r="Q23" s="55"/>
      <c r="R23" s="66" t="str">
        <f>IFERROR(__xludf.DUMMYFUNCTION("REGEXEXTRACT(N23,""\((.*?)\)"") "),"9/14/23")</f>
        <v>9/14/23</v>
      </c>
      <c r="S23" s="66">
        <f t="shared" si="1"/>
        <v>23</v>
      </c>
    </row>
    <row r="24">
      <c r="A24" s="55" t="str">
        <f>IFERROR(__xludf.DUMMYFUNCTION("""COMPUTED_VALUE"""),"Psychonauts 2")</f>
        <v>Psychonauts 2</v>
      </c>
      <c r="B24" s="55" t="str">
        <f>IFERROR(__xludf.DUMMYFUNCTION("""COMPUTED_VALUE"""),"Xbox / PC")</f>
        <v>Xbox / PC</v>
      </c>
      <c r="C24" s="55" t="str">
        <f>IFERROR(__xludf.DUMMYFUNCTION("""COMPUTED_VALUE"""),"Touch Controls")</f>
        <v>Touch Controls</v>
      </c>
      <c r="D24" s="56" t="str">
        <f>IFERROR(__xludf.DUMMYFUNCTION("""COMPUTED_VALUE"""),"Active")</f>
        <v>Active</v>
      </c>
      <c r="E24" s="57">
        <f>IFERROR(__xludf.DUMMYFUNCTION("""COMPUTED_VALUE"""),44433.0)</f>
        <v>44433</v>
      </c>
      <c r="F24" s="58"/>
      <c r="G24" s="60">
        <f>IFERROR(__xludf.DUMMYFUNCTION("""COMPUTED_VALUE"""),61.36666666666667)</f>
        <v>61.36666667</v>
      </c>
      <c r="H24" s="63">
        <f>IFERROR(__xludf.DUMMYFUNCTION("""COMPUTED_VALUE"""),44433.0)</f>
        <v>44433</v>
      </c>
      <c r="I24" s="60">
        <f>IFERROR(__xludf.DUMMYFUNCTION("""COMPUTED_VALUE"""),0.0)</f>
        <v>0</v>
      </c>
      <c r="J24" s="64">
        <f>IFERROR(__xludf.DUMMYFUNCTION("""COMPUTED_VALUE"""),89.0)</f>
        <v>89</v>
      </c>
      <c r="K24" s="64">
        <f>IFERROR(__xludf.DUMMYFUNCTION("""COMPUTED_VALUE"""),14.0)</f>
        <v>14</v>
      </c>
      <c r="L24" s="55" t="str">
        <f>IFERROR(__xludf.DUMMYFUNCTION("""COMPUTED_VALUE"""),"Platformer")</f>
        <v>Platformer</v>
      </c>
      <c r="M24" s="55"/>
      <c r="N24" s="55" t="str">
        <f>IFERROR(__xludf.DUMMYFUNCTION("""COMPUTED_VALUE"""),"Game Pass Essential launch title (9/14/23)")</f>
        <v>Game Pass Essential launch title (9/14/23)</v>
      </c>
      <c r="O24" s="55" t="str">
        <f>IFERROR(__xludf.DUMMYFUNCTION("""COMPUTED_VALUE"""),"T")</f>
        <v>T</v>
      </c>
      <c r="P24" s="55" t="str">
        <f>IFERROR(__xludf.DUMMYFUNCTION("""COMPUTED_VALUE"""),"Fantasy Violence, Crude Humor, Use of Tobacco, Alcohol Reference, Mild Language, Mild Suggestive Themes")</f>
        <v>Fantasy Violence, Crude Humor, Use of Tobacco, Alcohol Reference, Mild Language, Mild Suggestive Themes</v>
      </c>
      <c r="Q24" s="55"/>
      <c r="R24" s="66" t="str">
        <f>IFERROR(__xludf.DUMMYFUNCTION("REGEXEXTRACT(N24,""\((.*?)\)"") "),"9/14/23")</f>
        <v>9/14/23</v>
      </c>
      <c r="S24" s="66">
        <f t="shared" si="1"/>
        <v>24</v>
      </c>
    </row>
    <row r="25">
      <c r="A25" s="55" t="str">
        <f>IFERROR(__xludf.DUMMYFUNCTION("""COMPUTED_VALUE"""),"Gang Beasts")</f>
        <v>Gang Beasts</v>
      </c>
      <c r="B25" s="55" t="str">
        <f>IFERROR(__xludf.DUMMYFUNCTION("""COMPUTED_VALUE"""),"Xbox / PC")</f>
        <v>Xbox / PC</v>
      </c>
      <c r="C25" s="55" t="str">
        <f>IFERROR(__xludf.DUMMYFUNCTION("""COMPUTED_VALUE"""),"Yes")</f>
        <v>Yes</v>
      </c>
      <c r="D25" s="56" t="str">
        <f>IFERROR(__xludf.DUMMYFUNCTION("""COMPUTED_VALUE"""),"Active")</f>
        <v>Active</v>
      </c>
      <c r="E25" s="57">
        <f>IFERROR(__xludf.DUMMYFUNCTION("""COMPUTED_VALUE"""),44378.0)</f>
        <v>44378</v>
      </c>
      <c r="F25" s="58"/>
      <c r="G25" s="60">
        <f>IFERROR(__xludf.DUMMYFUNCTION("""COMPUTED_VALUE"""),63.16666666666667)</f>
        <v>63.16666667</v>
      </c>
      <c r="H25" s="63">
        <f>IFERROR(__xludf.DUMMYFUNCTION("""COMPUTED_VALUE"""),41880.0)</f>
        <v>41880</v>
      </c>
      <c r="I25" s="60">
        <f>IFERROR(__xludf.DUMMYFUNCTION("""COMPUTED_VALUE"""),6.838888888888889)</f>
        <v>6.838888889</v>
      </c>
      <c r="J25" s="64">
        <f>IFERROR(__xludf.DUMMYFUNCTION("""COMPUTED_VALUE"""),67.0)</f>
        <v>67</v>
      </c>
      <c r="K25" s="64">
        <f>IFERROR(__xludf.DUMMYFUNCTION("""COMPUTED_VALUE"""),3.5)</f>
        <v>3.5</v>
      </c>
      <c r="L25" s="55" t="str">
        <f>IFERROR(__xludf.DUMMYFUNCTION("""COMPUTED_VALUE"""),"Brawler")</f>
        <v>Brawler</v>
      </c>
      <c r="M25" s="55"/>
      <c r="N25" s="55" t="str">
        <f>IFERROR(__xludf.DUMMYFUNCTION("""COMPUTED_VALUE"""),"Game Pass Essential launch title (9/14/23)")</f>
        <v>Game Pass Essential launch title (9/14/23)</v>
      </c>
      <c r="O25" s="55" t="str">
        <f>IFERROR(__xludf.DUMMYFUNCTION("""COMPUTED_VALUE"""),"E10+")</f>
        <v>E10+</v>
      </c>
      <c r="P25" s="55" t="str">
        <f>IFERROR(__xludf.DUMMYFUNCTION("""COMPUTED_VALUE"""),"Cartoon Violence")</f>
        <v>Cartoon Violence</v>
      </c>
      <c r="Q25" s="55"/>
      <c r="R25" s="66" t="str">
        <f>IFERROR(__xludf.DUMMYFUNCTION("REGEXEXTRACT(N25,""\((.*?)\)"") "),"9/14/23")</f>
        <v>9/14/23</v>
      </c>
      <c r="S25" s="66">
        <f t="shared" si="1"/>
        <v>26</v>
      </c>
    </row>
    <row r="26">
      <c r="A26" s="55" t="str">
        <f>IFERROR(__xludf.DUMMYFUNCTION("""COMPUTED_VALUE"""),"Wreckfest")</f>
        <v>Wreckfest</v>
      </c>
      <c r="B26" s="55" t="str">
        <f>IFERROR(__xludf.DUMMYFUNCTION("""COMPUTED_VALUE"""),"Xbox / PC")</f>
        <v>Xbox / PC</v>
      </c>
      <c r="C26" s="55" t="str">
        <f>IFERROR(__xludf.DUMMYFUNCTION("""COMPUTED_VALUE"""),"Touch Controls")</f>
        <v>Touch Controls</v>
      </c>
      <c r="D26" s="56" t="str">
        <f>IFERROR(__xludf.DUMMYFUNCTION("""COMPUTED_VALUE"""),"Active")</f>
        <v>Active</v>
      </c>
      <c r="E26" s="57">
        <f>IFERROR(__xludf.DUMMYFUNCTION("""COMPUTED_VALUE"""),44245.0)</f>
        <v>44245</v>
      </c>
      <c r="F26" s="58"/>
      <c r="G26" s="60">
        <f>IFERROR(__xludf.DUMMYFUNCTION("""COMPUTED_VALUE"""),67.60000000000001)</f>
        <v>67.6</v>
      </c>
      <c r="H26" s="63">
        <f>IFERROR(__xludf.DUMMYFUNCTION("""COMPUTED_VALUE"""),43265.0)</f>
        <v>43265</v>
      </c>
      <c r="I26" s="60">
        <f>IFERROR(__xludf.DUMMYFUNCTION("""COMPUTED_VALUE"""),2.6777777777777776)</f>
        <v>2.677777778</v>
      </c>
      <c r="J26" s="64">
        <f>IFERROR(__xludf.DUMMYFUNCTION("""COMPUTED_VALUE"""),82.0)</f>
        <v>82</v>
      </c>
      <c r="K26" s="64">
        <f>IFERROR(__xludf.DUMMYFUNCTION("""COMPUTED_VALUE"""),19.5)</f>
        <v>19.5</v>
      </c>
      <c r="L26" s="55" t="str">
        <f>IFERROR(__xludf.DUMMYFUNCTION("""COMPUTED_VALUE"""),"Racing")</f>
        <v>Racing</v>
      </c>
      <c r="M26" s="55"/>
      <c r="N26" s="55" t="str">
        <f>IFERROR(__xludf.DUMMYFUNCTION("""COMPUTED_VALUE"""),"Game Pass Essential (4/23/24)")</f>
        <v>Game Pass Essential (4/23/24)</v>
      </c>
      <c r="O26" s="55" t="str">
        <f>IFERROR(__xludf.DUMMYFUNCTION("""COMPUTED_VALUE"""),"T")</f>
        <v>T</v>
      </c>
      <c r="P26" s="55" t="str">
        <f>IFERROR(__xludf.DUMMYFUNCTION("""COMPUTED_VALUE"""),"Mild Violence, Mild Lyrics")</f>
        <v>Mild Violence, Mild Lyrics</v>
      </c>
      <c r="Q26" s="55"/>
      <c r="R26" s="66" t="str">
        <f>IFERROR(__xludf.DUMMYFUNCTION("REGEXEXTRACT(N26,""\((.*?)\)"") "),"4/23/24")</f>
        <v>4/23/24</v>
      </c>
      <c r="S26" s="66">
        <f t="shared" si="1"/>
        <v>38</v>
      </c>
    </row>
    <row r="27">
      <c r="A27" s="55" t="str">
        <f>IFERROR(__xludf.DUMMYFUNCTION("""COMPUTED_VALUE"""),"Among Us")</f>
        <v>Among Us</v>
      </c>
      <c r="B27" s="55" t="str">
        <f>IFERROR(__xludf.DUMMYFUNCTION("""COMPUTED_VALUE"""),"Xbox / PC")</f>
        <v>Xbox / PC</v>
      </c>
      <c r="C27" s="55" t="str">
        <f>IFERROR(__xludf.DUMMYFUNCTION("""COMPUTED_VALUE"""),"Touch Controls")</f>
        <v>Touch Controls</v>
      </c>
      <c r="D27" s="56" t="str">
        <f>IFERROR(__xludf.DUMMYFUNCTION("""COMPUTED_VALUE"""),"Active")</f>
        <v>Active</v>
      </c>
      <c r="E27" s="57">
        <f>IFERROR(__xludf.DUMMYFUNCTION("""COMPUTED_VALUE"""),44182.0)</f>
        <v>44182</v>
      </c>
      <c r="F27" s="58"/>
      <c r="G27" s="60">
        <f>IFERROR(__xludf.DUMMYFUNCTION("""COMPUTED_VALUE"""),69.63333333333334)</f>
        <v>69.63333333</v>
      </c>
      <c r="H27" s="63">
        <f>IFERROR(__xludf.DUMMYFUNCTION("""COMPUTED_VALUE"""),43267.0)</f>
        <v>43267</v>
      </c>
      <c r="I27" s="60">
        <f>IFERROR(__xludf.DUMMYFUNCTION("""COMPUTED_VALUE"""),2.5027777777777778)</f>
        <v>2.502777778</v>
      </c>
      <c r="J27" s="64">
        <f>IFERROR(__xludf.DUMMYFUNCTION("""COMPUTED_VALUE"""),85.0)</f>
        <v>85</v>
      </c>
      <c r="K27" s="64">
        <f>IFERROR(__xludf.DUMMYFUNCTION("""COMPUTED_VALUE"""),14.0)</f>
        <v>14</v>
      </c>
      <c r="L27" s="55" t="str">
        <f>IFERROR(__xludf.DUMMYFUNCTION("""COMPUTED_VALUE"""),"Strategy")</f>
        <v>Strategy</v>
      </c>
      <c r="M27" s="55"/>
      <c r="N27" s="55" t="str">
        <f>IFERROR(__xludf.DUMMYFUNCTION("""COMPUTED_VALUE"""),"Game Pass Essential launch title (9/14/23), Joined console and cloud 12/14/21")</f>
        <v>Game Pass Essential launch title (9/14/23), Joined console and cloud 12/14/21</v>
      </c>
      <c r="O27" s="55" t="str">
        <f>IFERROR(__xludf.DUMMYFUNCTION("""COMPUTED_VALUE"""),"E10+")</f>
        <v>E10+</v>
      </c>
      <c r="P27" s="55" t="str">
        <f>IFERROR(__xludf.DUMMYFUNCTION("""COMPUTED_VALUE"""),"Fantasy Violence, Mild Blood")</f>
        <v>Fantasy Violence, Mild Blood</v>
      </c>
      <c r="Q27" s="55"/>
      <c r="R27" s="66" t="str">
        <f>IFERROR(__xludf.DUMMYFUNCTION("REGEXEXTRACT(N27,""\((.*?)\)"") "),"9/14/23")</f>
        <v>9/14/23</v>
      </c>
      <c r="S27" s="66">
        <f t="shared" si="1"/>
        <v>32</v>
      </c>
    </row>
    <row r="28">
      <c r="A28" s="55" t="str">
        <f>IFERROR(__xludf.DUMMYFUNCTION("""COMPUTED_VALUE"""),"Monster Sanctuary")</f>
        <v>Monster Sanctuary</v>
      </c>
      <c r="B28" s="55" t="str">
        <f>IFERROR(__xludf.DUMMYFUNCTION("""COMPUTED_VALUE"""),"Xbox / PC")</f>
        <v>Xbox / PC</v>
      </c>
      <c r="C28" s="55" t="str">
        <f>IFERROR(__xludf.DUMMYFUNCTION("""COMPUTED_VALUE"""),"Touch Controls")</f>
        <v>Touch Controls</v>
      </c>
      <c r="D28" s="56" t="str">
        <f>IFERROR(__xludf.DUMMYFUNCTION("""COMPUTED_VALUE"""),"Active")</f>
        <v>Active</v>
      </c>
      <c r="E28" s="57">
        <f>IFERROR(__xludf.DUMMYFUNCTION("""COMPUTED_VALUE"""),44173.0)</f>
        <v>44173</v>
      </c>
      <c r="F28" s="58"/>
      <c r="G28" s="60">
        <f>IFERROR(__xludf.DUMMYFUNCTION("""COMPUTED_VALUE"""),69.93333333333334)</f>
        <v>69.93333333</v>
      </c>
      <c r="H28" s="63">
        <f>IFERROR(__xludf.DUMMYFUNCTION("""COMPUTED_VALUE"""),43705.0)</f>
        <v>43705</v>
      </c>
      <c r="I28" s="60">
        <f>IFERROR(__xludf.DUMMYFUNCTION("""COMPUTED_VALUE"""),1.2777777777777777)</f>
        <v>1.277777778</v>
      </c>
      <c r="J28" s="64">
        <f>IFERROR(__xludf.DUMMYFUNCTION("""COMPUTED_VALUE"""),82.0)</f>
        <v>82</v>
      </c>
      <c r="K28" s="64">
        <f>IFERROR(__xludf.DUMMYFUNCTION("""COMPUTED_VALUE"""),27.0)</f>
        <v>27</v>
      </c>
      <c r="L28" s="55" t="str">
        <f>IFERROR(__xludf.DUMMYFUNCTION("""COMPUTED_VALUE"""),"Platformer")</f>
        <v>Platformer</v>
      </c>
      <c r="M28" s="55"/>
      <c r="N28" s="55" t="str">
        <f>IFERROR(__xludf.DUMMYFUNCTION("""COMPUTED_VALUE"""),"Game Pass Essential (3/26/25)")</f>
        <v>Game Pass Essential (3/26/25)</v>
      </c>
      <c r="O28" s="55" t="str">
        <f>IFERROR(__xludf.DUMMYFUNCTION("""COMPUTED_VALUE"""),"E10+")</f>
        <v>E10+</v>
      </c>
      <c r="P28" s="55" t="str">
        <f>IFERROR(__xludf.DUMMYFUNCTION("""COMPUTED_VALUE"""),"Fantasy Violence, Mild Blood, Tobacco Reference")</f>
        <v>Fantasy Violence, Mild Blood, Tobacco Reference</v>
      </c>
      <c r="Q28" s="55"/>
      <c r="R28" s="66" t="str">
        <f>IFERROR(__xludf.DUMMYFUNCTION("REGEXEXTRACT(N28,""\((.*?)\)"") "),"3/26/25")</f>
        <v>3/26/25</v>
      </c>
      <c r="S28" s="66">
        <f t="shared" si="1"/>
        <v>51</v>
      </c>
    </row>
    <row r="29">
      <c r="A29" s="55" t="str">
        <f>IFERROR(__xludf.DUMMYFUNCTION("""COMPUTED_VALUE"""),"Deep Rock Galactic")</f>
        <v>Deep Rock Galactic</v>
      </c>
      <c r="B29" s="55" t="str">
        <f>IFERROR(__xludf.DUMMYFUNCTION("""COMPUTED_VALUE"""),"Xbox / PC")</f>
        <v>Xbox / PC</v>
      </c>
      <c r="C29" s="55" t="str">
        <f>IFERROR(__xludf.DUMMYFUNCTION("""COMPUTED_VALUE"""),"M+KB")</f>
        <v>M+KB</v>
      </c>
      <c r="D29" s="56" t="str">
        <f>IFERROR(__xludf.DUMMYFUNCTION("""COMPUTED_VALUE"""),"Active")</f>
        <v>Active</v>
      </c>
      <c r="E29" s="57">
        <f>IFERROR(__xludf.DUMMYFUNCTION("""COMPUTED_VALUE"""),44140.0)</f>
        <v>44140</v>
      </c>
      <c r="F29" s="58"/>
      <c r="G29" s="60">
        <f>IFERROR(__xludf.DUMMYFUNCTION("""COMPUTED_VALUE"""),71.03333333333333)</f>
        <v>71.03333333</v>
      </c>
      <c r="H29" s="63">
        <f>IFERROR(__xludf.DUMMYFUNCTION("""COMPUTED_VALUE"""),43964.0)</f>
        <v>43964</v>
      </c>
      <c r="I29" s="60">
        <f>IFERROR(__xludf.DUMMYFUNCTION("""COMPUTED_VALUE"""),0.4777777777777778)</f>
        <v>0.4777777778</v>
      </c>
      <c r="J29" s="64">
        <f>IFERROR(__xludf.DUMMYFUNCTION("""COMPUTED_VALUE"""),84.0)</f>
        <v>84</v>
      </c>
      <c r="K29" s="64">
        <f>IFERROR(__xludf.DUMMYFUNCTION("""COMPUTED_VALUE"""),119.0)</f>
        <v>119</v>
      </c>
      <c r="L29" s="55" t="str">
        <f>IFERROR(__xludf.DUMMYFUNCTION("""COMPUTED_VALUE"""),"Shooter")</f>
        <v>Shooter</v>
      </c>
      <c r="M29" s="55"/>
      <c r="N29" s="55" t="str">
        <f>IFERROR(__xludf.DUMMYFUNCTION("""COMPUTED_VALUE"""),"Game Pass Essential (4/23/24)")</f>
        <v>Game Pass Essential (4/23/24)</v>
      </c>
      <c r="O29" s="55" t="str">
        <f>IFERROR(__xludf.DUMMYFUNCTION("""COMPUTED_VALUE"""),"T")</f>
        <v>T</v>
      </c>
      <c r="P29" s="55"/>
      <c r="Q29" s="55"/>
      <c r="R29" s="66" t="str">
        <f>IFERROR(__xludf.DUMMYFUNCTION("REGEXEXTRACT(N29,""\((.*?)\)"") "),"4/23/24")</f>
        <v>4/23/24</v>
      </c>
      <c r="S29" s="66">
        <f t="shared" si="1"/>
        <v>41</v>
      </c>
    </row>
    <row r="30">
      <c r="A30" s="55" t="str">
        <f>IFERROR(__xludf.DUMMYFUNCTION("""COMPUTED_VALUE"""),"DOOM Eternal")</f>
        <v>DOOM Eternal</v>
      </c>
      <c r="B30" s="55" t="str">
        <f>IFERROR(__xludf.DUMMYFUNCTION("""COMPUTED_VALUE"""),"Xbox / PC")</f>
        <v>Xbox / PC</v>
      </c>
      <c r="C30" s="55" t="str">
        <f>IFERROR(__xludf.DUMMYFUNCTION("""COMPUTED_VALUE"""),"Yes")</f>
        <v>Yes</v>
      </c>
      <c r="D30" s="56" t="str">
        <f>IFERROR(__xludf.DUMMYFUNCTION("""COMPUTED_VALUE"""),"Active")</f>
        <v>Active</v>
      </c>
      <c r="E30" s="57">
        <f>IFERROR(__xludf.DUMMYFUNCTION("""COMPUTED_VALUE"""),44105.0)</f>
        <v>44105</v>
      </c>
      <c r="F30" s="58"/>
      <c r="G30" s="60">
        <f>IFERROR(__xludf.DUMMYFUNCTION("""COMPUTED_VALUE"""),72.16666666666667)</f>
        <v>72.16666667</v>
      </c>
      <c r="H30" s="63">
        <f>IFERROR(__xludf.DUMMYFUNCTION("""COMPUTED_VALUE"""),43910.0)</f>
        <v>43910</v>
      </c>
      <c r="I30" s="60">
        <f>IFERROR(__xludf.DUMMYFUNCTION("""COMPUTED_VALUE"""),0.5305555555555556)</f>
        <v>0.5305555556</v>
      </c>
      <c r="J30" s="64">
        <f>IFERROR(__xludf.DUMMYFUNCTION("""COMPUTED_VALUE"""),88.0)</f>
        <v>88</v>
      </c>
      <c r="K30" s="64">
        <f>IFERROR(__xludf.DUMMYFUNCTION("""COMPUTED_VALUE"""),13.5)</f>
        <v>13.5</v>
      </c>
      <c r="L30" s="55" t="str">
        <f>IFERROR(__xludf.DUMMYFUNCTION("""COMPUTED_VALUE"""),"Shooter")</f>
        <v>Shooter</v>
      </c>
      <c r="M30" s="55" t="str">
        <f>IFERROR(__xludf.DUMMYFUNCTION("""COMPUTED_VALUE"""),"Optimized")</f>
        <v>Optimized</v>
      </c>
      <c r="N30" s="55" t="str">
        <f>IFERROR(__xludf.DUMMYFUNCTION("""COMPUTED_VALUE"""),"Game Pass Essential launch title (9/14/23)")</f>
        <v>Game Pass Essential launch title (9/14/23)</v>
      </c>
      <c r="O30" s="55" t="str">
        <f>IFERROR(__xludf.DUMMYFUNCTION("""COMPUTED_VALUE"""),"M")</f>
        <v>M</v>
      </c>
      <c r="P30" s="55" t="str">
        <f>IFERROR(__xludf.DUMMYFUNCTION("""COMPUTED_VALUE"""),"Blood and Gore, Intense Violence")</f>
        <v>Blood and Gore, Intense Violence</v>
      </c>
      <c r="Q30" s="55"/>
      <c r="R30" s="66" t="str">
        <f>IFERROR(__xludf.DUMMYFUNCTION("REGEXEXTRACT(N30,""\((.*?)\)"") "),"9/14/23")</f>
        <v>9/14/23</v>
      </c>
      <c r="S30" s="66">
        <f t="shared" si="1"/>
        <v>35</v>
      </c>
    </row>
    <row r="31">
      <c r="A31" s="55" t="str">
        <f>IFERROR(__xludf.DUMMYFUNCTION("""COMPUTED_VALUE"""),"Golf With Your Friends")</f>
        <v>Golf With Your Friends</v>
      </c>
      <c r="B31" s="55" t="str">
        <f>IFERROR(__xludf.DUMMYFUNCTION("""COMPUTED_VALUE"""),"Xbox / PC")</f>
        <v>Xbox / PC</v>
      </c>
      <c r="C31" s="55" t="str">
        <f>IFERROR(__xludf.DUMMYFUNCTION("""COMPUTED_VALUE"""),"Touch Controls")</f>
        <v>Touch Controls</v>
      </c>
      <c r="D31" s="56" t="str">
        <f>IFERROR(__xludf.DUMMYFUNCTION("""COMPUTED_VALUE"""),"Removed")</f>
        <v>Removed</v>
      </c>
      <c r="E31" s="57">
        <f>IFERROR(__xludf.DUMMYFUNCTION("""COMPUTED_VALUE"""),43970.0)</f>
        <v>43970</v>
      </c>
      <c r="F31" s="58">
        <f>IFERROR(__xludf.DUMMYFUNCTION("""COMPUTED_VALUE"""),46218.0)</f>
        <v>46218</v>
      </c>
      <c r="G31" s="60">
        <f>IFERROR(__xludf.DUMMYFUNCTION("""COMPUTED_VALUE"""),73.86666666666667)</f>
        <v>73.86666667</v>
      </c>
      <c r="H31" s="63">
        <f>IFERROR(__xludf.DUMMYFUNCTION("""COMPUTED_VALUE"""),43970.0)</f>
        <v>43970</v>
      </c>
      <c r="I31" s="60">
        <f>IFERROR(__xludf.DUMMYFUNCTION("""COMPUTED_VALUE"""),0.0)</f>
        <v>0</v>
      </c>
      <c r="J31" s="64">
        <f>IFERROR(__xludf.DUMMYFUNCTION("""COMPUTED_VALUE"""),68.0)</f>
        <v>68</v>
      </c>
      <c r="K31" s="64">
        <f>IFERROR(__xludf.DUMMYFUNCTION("""COMPUTED_VALUE"""),23.5)</f>
        <v>23.5</v>
      </c>
      <c r="L31" s="55" t="str">
        <f>IFERROR(__xludf.DUMMYFUNCTION("""COMPUTED_VALUE"""),"Sports")</f>
        <v>Sports</v>
      </c>
      <c r="M31" s="55" t="str">
        <f>IFERROR(__xludf.DUMMYFUNCTION("""COMPUTED_VALUE"""),"FPS Boost")</f>
        <v>FPS Boost</v>
      </c>
      <c r="N31" s="55" t="str">
        <f>IFERROR(__xludf.DUMMYFUNCTION("""COMPUTED_VALUE"""),"Game Pass Essential launch title (9/14/23)")</f>
        <v>Game Pass Essential launch title (9/14/23)</v>
      </c>
      <c r="O31" s="55" t="str">
        <f>IFERROR(__xludf.DUMMYFUNCTION("""COMPUTED_VALUE"""),"E10+")</f>
        <v>E10+</v>
      </c>
      <c r="P31" s="55" t="str">
        <f>IFERROR(__xludf.DUMMYFUNCTION("""COMPUTED_VALUE"""),"Mild Blood, Mild Fantasy Violence")</f>
        <v>Mild Blood, Mild Fantasy Violence</v>
      </c>
      <c r="Q31" s="55"/>
      <c r="R31" s="66" t="str">
        <f>IFERROR(__xludf.DUMMYFUNCTION("REGEXEXTRACT(N31,""\((.*?)\)"") "),"9/14/23")</f>
        <v>9/14/23</v>
      </c>
      <c r="S31" s="66">
        <f t="shared" si="1"/>
        <v>39</v>
      </c>
    </row>
    <row r="32">
      <c r="A32" s="55" t="str">
        <f>IFERROR(__xludf.DUMMYFUNCTION("""COMPUTED_VALUE"""),"Grounded")</f>
        <v>Grounded</v>
      </c>
      <c r="B32" s="55" t="str">
        <f>IFERROR(__xludf.DUMMYFUNCTION("""COMPUTED_VALUE"""),"Xbox / PC")</f>
        <v>Xbox / PC</v>
      </c>
      <c r="C32" s="55" t="str">
        <f>IFERROR(__xludf.DUMMYFUNCTION("""COMPUTED_VALUE"""),"M+KB")</f>
        <v>M+KB</v>
      </c>
      <c r="D32" s="56" t="str">
        <f>IFERROR(__xludf.DUMMYFUNCTION("""COMPUTED_VALUE"""),"Active")</f>
        <v>Active</v>
      </c>
      <c r="E32" s="57">
        <f>IFERROR(__xludf.DUMMYFUNCTION("""COMPUTED_VALUE"""),44040.0)</f>
        <v>44040</v>
      </c>
      <c r="F32" s="58"/>
      <c r="G32" s="60">
        <f>IFERROR(__xludf.DUMMYFUNCTION("""COMPUTED_VALUE"""),74.26666666666667)</f>
        <v>74.26666667</v>
      </c>
      <c r="H32" s="63">
        <f>IFERROR(__xludf.DUMMYFUNCTION("""COMPUTED_VALUE"""),44040.0)</f>
        <v>44040</v>
      </c>
      <c r="I32" s="60">
        <f>IFERROR(__xludf.DUMMYFUNCTION("""COMPUTED_VALUE"""),0.0)</f>
        <v>0</v>
      </c>
      <c r="J32" s="64">
        <f>IFERROR(__xludf.DUMMYFUNCTION("""COMPUTED_VALUE"""),65.0)</f>
        <v>65</v>
      </c>
      <c r="K32" s="64">
        <f>IFERROR(__xludf.DUMMYFUNCTION("""COMPUTED_VALUE"""),6.5)</f>
        <v>6.5</v>
      </c>
      <c r="L32" s="55" t="str">
        <f>IFERROR(__xludf.DUMMYFUNCTION("""COMPUTED_VALUE"""),"Action-Adventure")</f>
        <v>Action-Adventure</v>
      </c>
      <c r="M32" s="55" t="str">
        <f>IFERROR(__xludf.DUMMYFUNCTION("""COMPUTED_VALUE"""),"Optimized")</f>
        <v>Optimized</v>
      </c>
      <c r="N32" s="55" t="str">
        <f>IFERROR(__xludf.DUMMYFUNCTION("""COMPUTED_VALUE"""),"Game Pass Essential launch title (9/14/23), Game launches with campaign 9/27/22, game preview up until then")</f>
        <v>Game Pass Essential launch title (9/14/23), Game launches with campaign 9/27/22, game preview up until then</v>
      </c>
      <c r="O32" s="55" t="str">
        <f>IFERROR(__xludf.DUMMYFUNCTION("""COMPUTED_VALUE"""),"T")</f>
        <v>T</v>
      </c>
      <c r="P32" s="55" t="str">
        <f>IFERROR(__xludf.DUMMYFUNCTION("""COMPUTED_VALUE"""),"Violence, Blood, Drug Reference, Language")</f>
        <v>Violence, Blood, Drug Reference, Language</v>
      </c>
      <c r="Q32" s="55"/>
      <c r="R32" s="66" t="str">
        <f>IFERROR(__xludf.DUMMYFUNCTION("REGEXEXTRACT(N32,""\((.*?)\)"") "),"9/14/23")</f>
        <v>9/14/23</v>
      </c>
      <c r="S32" s="66">
        <f t="shared" si="1"/>
        <v>37</v>
      </c>
    </row>
    <row r="33">
      <c r="A33" s="55" t="str">
        <f>IFERROR(__xludf.DUMMYFUNCTION("""COMPUTED_VALUE"""),"Forza Horizon 4")</f>
        <v>Forza Horizon 4</v>
      </c>
      <c r="B33" s="55" t="str">
        <f>IFERROR(__xludf.DUMMYFUNCTION("""COMPUTED_VALUE"""),"Xbox / PC")</f>
        <v>Xbox / PC</v>
      </c>
      <c r="C33" s="55" t="str">
        <f>IFERROR(__xludf.DUMMYFUNCTION("""COMPUTED_VALUE"""),"Yes")</f>
        <v>Yes</v>
      </c>
      <c r="D33" s="56" t="str">
        <f>IFERROR(__xludf.DUMMYFUNCTION("""COMPUTED_VALUE"""),"Removed")</f>
        <v>Removed</v>
      </c>
      <c r="E33" s="57">
        <f>IFERROR(__xludf.DUMMYFUNCTION("""COMPUTED_VALUE"""),43375.0)</f>
        <v>43375</v>
      </c>
      <c r="F33" s="58">
        <f>IFERROR(__xludf.DUMMYFUNCTION("""COMPUTED_VALUE"""),45641.0)</f>
        <v>45641</v>
      </c>
      <c r="G33" s="60">
        <f>IFERROR(__xludf.DUMMYFUNCTION("""COMPUTED_VALUE"""),74.43333333333334)</f>
        <v>74.43333333</v>
      </c>
      <c r="H33" s="63">
        <f>IFERROR(__xludf.DUMMYFUNCTION("""COMPUTED_VALUE"""),43371.0)</f>
        <v>43371</v>
      </c>
      <c r="I33" s="60">
        <f>IFERROR(__xludf.DUMMYFUNCTION("""COMPUTED_VALUE"""),0.011111111111111112)</f>
        <v>0.01111111111</v>
      </c>
      <c r="J33" s="64">
        <f>IFERROR(__xludf.DUMMYFUNCTION("""COMPUTED_VALUE"""),92.0)</f>
        <v>92</v>
      </c>
      <c r="K33" s="64">
        <f>IFERROR(__xludf.DUMMYFUNCTION("""COMPUTED_VALUE"""),11.0)</f>
        <v>11</v>
      </c>
      <c r="L33" s="55" t="str">
        <f>IFERROR(__xludf.DUMMYFUNCTION("""COMPUTED_VALUE"""),"Racing")</f>
        <v>Racing</v>
      </c>
      <c r="M33" s="55" t="str">
        <f>IFERROR(__xludf.DUMMYFUNCTION("""COMPUTED_VALUE"""),"Optimized")</f>
        <v>Optimized</v>
      </c>
      <c r="N33" s="55" t="str">
        <f>IFERROR(__xludf.DUMMYFUNCTION("""COMPUTED_VALUE"""),"Game Pass Essential launch title (9/14/23)")</f>
        <v>Game Pass Essential launch title (9/14/23)</v>
      </c>
      <c r="O33" s="55" t="str">
        <f>IFERROR(__xludf.DUMMYFUNCTION("""COMPUTED_VALUE"""),"E")</f>
        <v>E</v>
      </c>
      <c r="P33" s="55"/>
      <c r="Q33" s="55"/>
      <c r="R33" s="66" t="str">
        <f>IFERROR(__xludf.DUMMYFUNCTION("REGEXEXTRACT(N33,""\((.*?)\)"") "),"9/14/23")</f>
        <v>9/14/23</v>
      </c>
      <c r="S33" s="66">
        <f t="shared" si="1"/>
        <v>59</v>
      </c>
    </row>
    <row r="34">
      <c r="A34" s="55" t="str">
        <f>IFERROR(__xludf.DUMMYFUNCTION("""COMPUTED_VALUE"""),"Fallout 76")</f>
        <v>Fallout 76</v>
      </c>
      <c r="B34" s="55" t="str">
        <f>IFERROR(__xludf.DUMMYFUNCTION("""COMPUTED_VALUE"""),"Xbox / PC")</f>
        <v>Xbox / PC</v>
      </c>
      <c r="C34" s="55" t="str">
        <f>IFERROR(__xludf.DUMMYFUNCTION("""COMPUTED_VALUE"""),"Yes")</f>
        <v>Yes</v>
      </c>
      <c r="D34" s="56" t="str">
        <f>IFERROR(__xludf.DUMMYFUNCTION("""COMPUTED_VALUE"""),"Active")</f>
        <v>Active</v>
      </c>
      <c r="E34" s="57">
        <f>IFERROR(__xludf.DUMMYFUNCTION("""COMPUTED_VALUE"""),44021.0)</f>
        <v>44021</v>
      </c>
      <c r="F34" s="58"/>
      <c r="G34" s="60">
        <f>IFERROR(__xludf.DUMMYFUNCTION("""COMPUTED_VALUE"""),74.89999999999999)</f>
        <v>74.9</v>
      </c>
      <c r="H34" s="63">
        <f>IFERROR(__xludf.DUMMYFUNCTION("""COMPUTED_VALUE"""),43418.0)</f>
        <v>43418</v>
      </c>
      <c r="I34" s="60">
        <f>IFERROR(__xludf.DUMMYFUNCTION("""COMPUTED_VALUE"""),1.6527777777777777)</f>
        <v>1.652777778</v>
      </c>
      <c r="J34" s="64">
        <f>IFERROR(__xludf.DUMMYFUNCTION("""COMPUTED_VALUE"""),68.0)</f>
        <v>68</v>
      </c>
      <c r="K34" s="64">
        <f>IFERROR(__xludf.DUMMYFUNCTION("""COMPUTED_VALUE"""),29.5)</f>
        <v>29.5</v>
      </c>
      <c r="L34" s="55" t="str">
        <f>IFERROR(__xludf.DUMMYFUNCTION("""COMPUTED_VALUE"""),"RPG")</f>
        <v>RPG</v>
      </c>
      <c r="M34" s="55" t="str">
        <f>IFERROR(__xludf.DUMMYFUNCTION("""COMPUTED_VALUE"""),"FPS Boost")</f>
        <v>FPS Boost</v>
      </c>
      <c r="N34" s="55" t="str">
        <f>IFERROR(__xludf.DUMMYFUNCTION("""COMPUTED_VALUE"""),"Game Pass Essential launch title (9/14/23), Official PC Mod Support")</f>
        <v>Game Pass Essential launch title (9/14/23), Official PC Mod Support</v>
      </c>
      <c r="O34" s="55" t="str">
        <f>IFERROR(__xludf.DUMMYFUNCTION("""COMPUTED_VALUE"""),"M")</f>
        <v>M</v>
      </c>
      <c r="P34" s="55" t="str">
        <f>IFERROR(__xludf.DUMMYFUNCTION("""COMPUTED_VALUE"""),"Use of Alcohol, Blood and Gore, Suggestive Themes, Drug Reference, Strong Language, Intense Violence")</f>
        <v>Use of Alcohol, Blood and Gore, Suggestive Themes, Drug Reference, Strong Language, Intense Violence</v>
      </c>
      <c r="Q34" s="55"/>
      <c r="R34" s="66" t="str">
        <f>IFERROR(__xludf.DUMMYFUNCTION("REGEXEXTRACT(N34,""\((.*?)\)"") "),"9/14/23")</f>
        <v>9/14/23</v>
      </c>
      <c r="S34" s="66">
        <f t="shared" si="1"/>
        <v>38</v>
      </c>
    </row>
    <row r="35">
      <c r="A35" s="55" t="str">
        <f>IFERROR(__xludf.DUMMYFUNCTION("""COMPUTED_VALUE"""),"DayZ")</f>
        <v>DayZ</v>
      </c>
      <c r="B35" s="55" t="str">
        <f>IFERROR(__xludf.DUMMYFUNCTION("""COMPUTED_VALUE"""),"Xbox / PC")</f>
        <v>Xbox / PC</v>
      </c>
      <c r="C35" s="55" t="str">
        <f>IFERROR(__xludf.DUMMYFUNCTION("""COMPUTED_VALUE"""),"Yes")</f>
        <v>Yes</v>
      </c>
      <c r="D35" s="56" t="str">
        <f>IFERROR(__xludf.DUMMYFUNCTION("""COMPUTED_VALUE"""),"Active")</f>
        <v>Active</v>
      </c>
      <c r="E35" s="57">
        <f>IFERROR(__xludf.DUMMYFUNCTION("""COMPUTED_VALUE"""),43958.0)</f>
        <v>43958</v>
      </c>
      <c r="F35" s="58"/>
      <c r="G35" s="60">
        <f>IFERROR(__xludf.DUMMYFUNCTION("""COMPUTED_VALUE"""),76.96666666666667)</f>
        <v>76.96666667</v>
      </c>
      <c r="H35" s="63">
        <f>IFERROR(__xludf.DUMMYFUNCTION("""COMPUTED_VALUE"""),41621.0)</f>
        <v>41621</v>
      </c>
      <c r="I35" s="60">
        <f>IFERROR(__xludf.DUMMYFUNCTION("""COMPUTED_VALUE"""),6.4)</f>
        <v>6.4</v>
      </c>
      <c r="J35" s="64">
        <f>IFERROR(__xludf.DUMMYFUNCTION("""COMPUTED_VALUE"""),56.0)</f>
        <v>56</v>
      </c>
      <c r="K35" s="64">
        <f>IFERROR(__xludf.DUMMYFUNCTION("""COMPUTED_VALUE"""),65.5)</f>
        <v>65.5</v>
      </c>
      <c r="L35" s="55" t="str">
        <f>IFERROR(__xludf.DUMMYFUNCTION("""COMPUTED_VALUE"""),"Shooter")</f>
        <v>Shooter</v>
      </c>
      <c r="M35" s="55"/>
      <c r="N35" s="55" t="str">
        <f>IFERROR(__xludf.DUMMYFUNCTION("""COMPUTED_VALUE"""),"Game Pass Essential (12/4/24). Joins PC on 4/8/26")</f>
        <v>Game Pass Essential (12/4/24). Joins PC on 4/8/26</v>
      </c>
      <c r="O35" s="55" t="str">
        <f>IFERROR(__xludf.DUMMYFUNCTION("""COMPUTED_VALUE"""),"M")</f>
        <v>M</v>
      </c>
      <c r="P35" s="55" t="str">
        <f>IFERROR(__xludf.DUMMYFUNCTION("""COMPUTED_VALUE"""),"Blood, Strong Language, Violence")</f>
        <v>Blood, Strong Language, Violence</v>
      </c>
      <c r="Q35" s="55"/>
      <c r="R35" s="66" t="str">
        <f>IFERROR(__xludf.DUMMYFUNCTION("REGEXEXTRACT(N35,""\((.*?)\)"") "),"12/4/24")</f>
        <v>12/4/24</v>
      </c>
      <c r="S35" s="66">
        <f t="shared" si="1"/>
        <v>54</v>
      </c>
    </row>
    <row r="36">
      <c r="A36" s="55" t="str">
        <f>IFERROR(__xludf.DUMMYFUNCTION("""COMPUTED_VALUE"""),"Totally Reliable Delivery Service")</f>
        <v>Totally Reliable Delivery Service</v>
      </c>
      <c r="B36" s="55" t="str">
        <f>IFERROR(__xludf.DUMMYFUNCTION("""COMPUTED_VALUE"""),"Xbox / PC")</f>
        <v>Xbox / PC</v>
      </c>
      <c r="C36" s="55" t="str">
        <f>IFERROR(__xludf.DUMMYFUNCTION("""COMPUTED_VALUE"""),"Yes")</f>
        <v>Yes</v>
      </c>
      <c r="D36" s="56" t="str">
        <f>IFERROR(__xludf.DUMMYFUNCTION("""COMPUTED_VALUE"""),"Active")</f>
        <v>Active</v>
      </c>
      <c r="E36" s="57">
        <f>IFERROR(__xludf.DUMMYFUNCTION("""COMPUTED_VALUE"""),43922.0)</f>
        <v>43922</v>
      </c>
      <c r="F36" s="58"/>
      <c r="G36" s="60">
        <f>IFERROR(__xludf.DUMMYFUNCTION("""COMPUTED_VALUE"""),78.16666666666667)</f>
        <v>78.16666667</v>
      </c>
      <c r="H36" s="63">
        <f>IFERROR(__xludf.DUMMYFUNCTION("""COMPUTED_VALUE"""),43922.0)</f>
        <v>43922</v>
      </c>
      <c r="I36" s="60">
        <f>IFERROR(__xludf.DUMMYFUNCTION("""COMPUTED_VALUE"""),0.0)</f>
        <v>0</v>
      </c>
      <c r="J36" s="64">
        <f>IFERROR(__xludf.DUMMYFUNCTION("""COMPUTED_VALUE"""),60.0)</f>
        <v>60</v>
      </c>
      <c r="K36" s="64">
        <f>IFERROR(__xludf.DUMMYFUNCTION("""COMPUTED_VALUE"""),1.0)</f>
        <v>1</v>
      </c>
      <c r="L36" s="55" t="str">
        <f>IFERROR(__xludf.DUMMYFUNCTION("""COMPUTED_VALUE"""),"Action")</f>
        <v>Action</v>
      </c>
      <c r="M36" s="55" t="str">
        <f>IFERROR(__xludf.DUMMYFUNCTION("""COMPUTED_VALUE"""),"FPS Boost")</f>
        <v>FPS Boost</v>
      </c>
      <c r="N36" s="55" t="str">
        <f>IFERROR(__xludf.DUMMYFUNCTION("""COMPUTED_VALUE"""),"Game Pass Essential (12/6/23), Joined PC 12/1/22")</f>
        <v>Game Pass Essential (12/6/23), Joined PC 12/1/22</v>
      </c>
      <c r="O36" s="55" t="str">
        <f>IFERROR(__xludf.DUMMYFUNCTION("""COMPUTED_VALUE"""),"E10+")</f>
        <v>E10+</v>
      </c>
      <c r="P36" s="55" t="str">
        <f>IFERROR(__xludf.DUMMYFUNCTION("""COMPUTED_VALUE"""),"Crude Humor, Mild Fantasy Violence")</f>
        <v>Crude Humor, Mild Fantasy Violence</v>
      </c>
      <c r="Q36" s="55"/>
      <c r="R36" s="66" t="str">
        <f>IFERROR(__xludf.DUMMYFUNCTION("REGEXEXTRACT(N36,""\((.*?)\)"") "),"12/6/23")</f>
        <v>12/6/23</v>
      </c>
      <c r="S36" s="66">
        <f t="shared" si="1"/>
        <v>44</v>
      </c>
    </row>
    <row r="37">
      <c r="A37" s="55" t="str">
        <f>IFERROR(__xludf.DUMMYFUNCTION("""COMPUTED_VALUE"""),"Ori and the Will of the Wisps")</f>
        <v>Ori and the Will of the Wisps</v>
      </c>
      <c r="B37" s="55" t="str">
        <f>IFERROR(__xludf.DUMMYFUNCTION("""COMPUTED_VALUE"""),"Xbox / PC")</f>
        <v>Xbox / PC</v>
      </c>
      <c r="C37" s="55" t="str">
        <f>IFERROR(__xludf.DUMMYFUNCTION("""COMPUTED_VALUE"""),"Yes")</f>
        <v>Yes</v>
      </c>
      <c r="D37" s="56" t="str">
        <f>IFERROR(__xludf.DUMMYFUNCTION("""COMPUTED_VALUE"""),"Active")</f>
        <v>Active</v>
      </c>
      <c r="E37" s="57">
        <f>IFERROR(__xludf.DUMMYFUNCTION("""COMPUTED_VALUE"""),43901.0)</f>
        <v>43901</v>
      </c>
      <c r="F37" s="58"/>
      <c r="G37" s="60">
        <f>IFERROR(__xludf.DUMMYFUNCTION("""COMPUTED_VALUE"""),78.83333333333334)</f>
        <v>78.83333333</v>
      </c>
      <c r="H37" s="63">
        <f>IFERROR(__xludf.DUMMYFUNCTION("""COMPUTED_VALUE"""),43901.0)</f>
        <v>43901</v>
      </c>
      <c r="I37" s="60">
        <f>IFERROR(__xludf.DUMMYFUNCTION("""COMPUTED_VALUE"""),0.0)</f>
        <v>0</v>
      </c>
      <c r="J37" s="64">
        <f>IFERROR(__xludf.DUMMYFUNCTION("""COMPUTED_VALUE"""),90.0)</f>
        <v>90</v>
      </c>
      <c r="K37" s="64">
        <f>IFERROR(__xludf.DUMMYFUNCTION("""COMPUTED_VALUE"""),11.0)</f>
        <v>11</v>
      </c>
      <c r="L37" s="55" t="str">
        <f>IFERROR(__xludf.DUMMYFUNCTION("""COMPUTED_VALUE"""),"Platformer")</f>
        <v>Platformer</v>
      </c>
      <c r="M37" s="55" t="str">
        <f>IFERROR(__xludf.DUMMYFUNCTION("""COMPUTED_VALUE"""),"Optimized")</f>
        <v>Optimized</v>
      </c>
      <c r="N37" s="55" t="str">
        <f>IFERROR(__xludf.DUMMYFUNCTION("""COMPUTED_VALUE"""),"Game Pass Essential launch title (9/14/23)")</f>
        <v>Game Pass Essential launch title (9/14/23)</v>
      </c>
      <c r="O37" s="55" t="str">
        <f>IFERROR(__xludf.DUMMYFUNCTION("""COMPUTED_VALUE"""),"E")</f>
        <v>E</v>
      </c>
      <c r="P37" s="55" t="str">
        <f>IFERROR(__xludf.DUMMYFUNCTION("""COMPUTED_VALUE"""),"Mild Fantasy Violence")</f>
        <v>Mild Fantasy Violence</v>
      </c>
      <c r="Q37" s="55"/>
      <c r="R37" s="66" t="str">
        <f>IFERROR(__xludf.DUMMYFUNCTION("REGEXEXTRACT(N37,""\((.*?)\)"") "),"9/14/23")</f>
        <v>9/14/23</v>
      </c>
      <c r="S37" s="66">
        <f t="shared" si="1"/>
        <v>42</v>
      </c>
    </row>
    <row r="38">
      <c r="A38" s="55" t="str">
        <f>IFERROR(__xludf.DUMMYFUNCTION("""COMPUTED_VALUE"""),"Overcooked! 2")</f>
        <v>Overcooked! 2</v>
      </c>
      <c r="B38" s="55" t="str">
        <f>IFERROR(__xludf.DUMMYFUNCTION("""COMPUTED_VALUE"""),"Xbox / PC")</f>
        <v>Xbox / PC</v>
      </c>
      <c r="C38" s="55" t="str">
        <f>IFERROR(__xludf.DUMMYFUNCTION("""COMPUTED_VALUE"""),"Touch Controls")</f>
        <v>Touch Controls</v>
      </c>
      <c r="D38" s="56" t="str">
        <f>IFERROR(__xludf.DUMMYFUNCTION("""COMPUTED_VALUE"""),"Active")</f>
        <v>Active</v>
      </c>
      <c r="E38" s="57">
        <f>IFERROR(__xludf.DUMMYFUNCTION("""COMPUTED_VALUE"""),43811.0)</f>
        <v>43811</v>
      </c>
      <c r="F38" s="58"/>
      <c r="G38" s="60">
        <f>IFERROR(__xludf.DUMMYFUNCTION("""COMPUTED_VALUE"""),81.8)</f>
        <v>81.8</v>
      </c>
      <c r="H38" s="63">
        <f>IFERROR(__xludf.DUMMYFUNCTION("""COMPUTED_VALUE"""),43319.0)</f>
        <v>43319</v>
      </c>
      <c r="I38" s="60">
        <f>IFERROR(__xludf.DUMMYFUNCTION("""COMPUTED_VALUE"""),1.3472222222222223)</f>
        <v>1.347222222</v>
      </c>
      <c r="J38" s="64">
        <f>IFERROR(__xludf.DUMMYFUNCTION("""COMPUTED_VALUE"""),83.0)</f>
        <v>83</v>
      </c>
      <c r="K38" s="64">
        <f>IFERROR(__xludf.DUMMYFUNCTION("""COMPUTED_VALUE"""),6.5)</f>
        <v>6.5</v>
      </c>
      <c r="L38" s="55" t="str">
        <f>IFERROR(__xludf.DUMMYFUNCTION("""COMPUTED_VALUE"""),"Simulation")</f>
        <v>Simulation</v>
      </c>
      <c r="M38" s="55" t="str">
        <f>IFERROR(__xludf.DUMMYFUNCTION("""COMPUTED_VALUE"""),"FPS Boost")</f>
        <v>FPS Boost</v>
      </c>
      <c r="N38" s="55" t="str">
        <f>IFERROR(__xludf.DUMMYFUNCTION("""COMPUTED_VALUE"""),"Game Pass Essential launch title (9/14/23)")</f>
        <v>Game Pass Essential launch title (9/14/23)</v>
      </c>
      <c r="O38" s="55" t="str">
        <f>IFERROR(__xludf.DUMMYFUNCTION("""COMPUTED_VALUE"""),"E")</f>
        <v>E</v>
      </c>
      <c r="P38" s="55"/>
      <c r="Q38" s="55"/>
      <c r="R38" s="66" t="str">
        <f>IFERROR(__xludf.DUMMYFUNCTION("REGEXEXTRACT(N38,""\((.*?)\)"") "),"9/14/23")</f>
        <v>9/14/23</v>
      </c>
      <c r="S38" s="66">
        <f t="shared" si="1"/>
        <v>45</v>
      </c>
    </row>
    <row r="39">
      <c r="A39" s="55" t="str">
        <f>IFERROR(__xludf.DUMMYFUNCTION("""COMPUTED_VALUE"""),"Slay the Spire")</f>
        <v>Slay the Spire</v>
      </c>
      <c r="B39" s="55" t="str">
        <f>IFERROR(__xludf.DUMMYFUNCTION("""COMPUTED_VALUE"""),"Xbox / PC")</f>
        <v>Xbox / PC</v>
      </c>
      <c r="C39" s="55" t="str">
        <f>IFERROR(__xludf.DUMMYFUNCTION("""COMPUTED_VALUE"""),"Touch Controls")</f>
        <v>Touch Controls</v>
      </c>
      <c r="D39" s="56" t="str">
        <f>IFERROR(__xludf.DUMMYFUNCTION("""COMPUTED_VALUE"""),"Removed")</f>
        <v>Removed</v>
      </c>
      <c r="E39" s="57">
        <f>IFERROR(__xludf.DUMMYFUNCTION("""COMPUTED_VALUE"""),43691.0)</f>
        <v>43691</v>
      </c>
      <c r="F39" s="58">
        <f>IFERROR(__xludf.DUMMYFUNCTION("""COMPUTED_VALUE"""),46203.0)</f>
        <v>46203</v>
      </c>
      <c r="G39" s="60">
        <f>IFERROR(__xludf.DUMMYFUNCTION("""COMPUTED_VALUE"""),82.53333333333333)</f>
        <v>82.53333333</v>
      </c>
      <c r="H39" s="63">
        <f>IFERROR(__xludf.DUMMYFUNCTION("""COMPUTED_VALUE"""),43054.0)</f>
        <v>43054</v>
      </c>
      <c r="I39" s="60">
        <f>IFERROR(__xludf.DUMMYFUNCTION("""COMPUTED_VALUE"""),1.7472222222222222)</f>
        <v>1.747222222</v>
      </c>
      <c r="J39" s="64">
        <f>IFERROR(__xludf.DUMMYFUNCTION("""COMPUTED_VALUE"""),88.0)</f>
        <v>88</v>
      </c>
      <c r="K39" s="64">
        <f>IFERROR(__xludf.DUMMYFUNCTION("""COMPUTED_VALUE"""),10.5)</f>
        <v>10.5</v>
      </c>
      <c r="L39" s="55" t="str">
        <f>IFERROR(__xludf.DUMMYFUNCTION("""COMPUTED_VALUE"""),"Strategy")</f>
        <v>Strategy</v>
      </c>
      <c r="M39" s="55"/>
      <c r="N39" s="55" t="str">
        <f>IFERROR(__xludf.DUMMYFUNCTION("""COMPUTED_VALUE"""),"Game Pass Essential launch title (9/14/23), Left EA Play 10/23/21")</f>
        <v>Game Pass Essential launch title (9/14/23), Left EA Play 10/23/21</v>
      </c>
      <c r="O39" s="55" t="str">
        <f>IFERROR(__xludf.DUMMYFUNCTION("""COMPUTED_VALUE"""),"E10+")</f>
        <v>E10+</v>
      </c>
      <c r="P39" s="55" t="str">
        <f>IFERROR(__xludf.DUMMYFUNCTION("""COMPUTED_VALUE"""),"Fantasy Violence, Mild Blood, Tobacco Reference")</f>
        <v>Fantasy Violence, Mild Blood, Tobacco Reference</v>
      </c>
      <c r="Q39" s="55"/>
      <c r="R39" s="66" t="str">
        <f>IFERROR(__xludf.DUMMYFUNCTION("REGEXEXTRACT(N39,""\((.*?)\)"") "),"9/14/23")</f>
        <v>9/14/23</v>
      </c>
      <c r="S39" s="66">
        <f t="shared" si="1"/>
        <v>49</v>
      </c>
    </row>
    <row r="40">
      <c r="A40" s="66" t="str">
        <f>IFERROR(__xludf.DUMMYFUNCTION("""COMPUTED_VALUE"""),"Stellaris")</f>
        <v>Stellaris</v>
      </c>
      <c r="B40" s="66" t="str">
        <f>IFERROR(__xludf.DUMMYFUNCTION("""COMPUTED_VALUE"""),"Xbox / PC")</f>
        <v>Xbox / PC</v>
      </c>
      <c r="C40" s="66" t="str">
        <f>IFERROR(__xludf.DUMMYFUNCTION("""COMPUTED_VALUE"""),"Yes")</f>
        <v>Yes</v>
      </c>
      <c r="D40" s="66" t="str">
        <f>IFERROR(__xludf.DUMMYFUNCTION("""COMPUTED_VALUE"""),"Removed")</f>
        <v>Removed</v>
      </c>
      <c r="E40" s="15">
        <f>IFERROR(__xludf.DUMMYFUNCTION("""COMPUTED_VALUE"""),43696.0)</f>
        <v>43696</v>
      </c>
      <c r="F40" s="66">
        <f>IFERROR(__xludf.DUMMYFUNCTION("""COMPUTED_VALUE"""),46218.0)</f>
        <v>46218</v>
      </c>
      <c r="G40" s="18">
        <f>IFERROR(__xludf.DUMMYFUNCTION("""COMPUTED_VALUE"""),82.86666666666667)</f>
        <v>82.86666667</v>
      </c>
      <c r="H40" s="15">
        <f>IFERROR(__xludf.DUMMYFUNCTION("""COMPUTED_VALUE"""),42499.0)</f>
        <v>42499</v>
      </c>
      <c r="I40" s="18">
        <f>IFERROR(__xludf.DUMMYFUNCTION("""COMPUTED_VALUE"""),3.2777777777777777)</f>
        <v>3.277777778</v>
      </c>
      <c r="J40" s="22">
        <f>IFERROR(__xludf.DUMMYFUNCTION("""COMPUTED_VALUE"""),81.0)</f>
        <v>81</v>
      </c>
      <c r="K40" s="22">
        <f>IFERROR(__xludf.DUMMYFUNCTION("""COMPUTED_VALUE"""),21.0)</f>
        <v>21</v>
      </c>
      <c r="L40" s="66" t="str">
        <f>IFERROR(__xludf.DUMMYFUNCTION("""COMPUTED_VALUE"""),"Strategy")</f>
        <v>Strategy</v>
      </c>
      <c r="M40" s="66" t="str">
        <f>IFERROR(__xludf.DUMMYFUNCTION("""COMPUTED_VALUE"""),"Optimized")</f>
        <v>Optimized</v>
      </c>
      <c r="N40" s="66" t="str">
        <f>IFERROR(__xludf.DUMMYFUNCTION("""COMPUTED_VALUE"""),"Game Pass Essential (12/3/25)")</f>
        <v>Game Pass Essential (12/3/25)</v>
      </c>
      <c r="O40" s="66" t="str">
        <f>IFERROR(__xludf.DUMMYFUNCTION("""COMPUTED_VALUE"""),"E10+")</f>
        <v>E10+</v>
      </c>
      <c r="P40" s="66" t="str">
        <f>IFERROR(__xludf.DUMMYFUNCTION("""COMPUTED_VALUE"""),"Violent References, Mild Language")</f>
        <v>Violent References, Mild Language</v>
      </c>
      <c r="Q40" s="66"/>
      <c r="R40" s="66" t="str">
        <f>IFERROR(__xludf.DUMMYFUNCTION("REGEXEXTRACT(N40,""\((.*?)\)"") "),"12/3/25")</f>
        <v>12/3/25</v>
      </c>
      <c r="S40" s="66">
        <f t="shared" si="1"/>
        <v>75</v>
      </c>
    </row>
    <row r="41">
      <c r="A41" s="66" t="str">
        <f>IFERROR(__xludf.DUMMYFUNCTION("""COMPUTED_VALUE"""),"Dishonored 2")</f>
        <v>Dishonored 2</v>
      </c>
      <c r="B41" s="66" t="str">
        <f>IFERROR(__xludf.DUMMYFUNCTION("""COMPUTED_VALUE"""),"Xbox / PC")</f>
        <v>Xbox / PC</v>
      </c>
      <c r="C41" s="66" t="str">
        <f>IFERROR(__xludf.DUMMYFUNCTION("""COMPUTED_VALUE"""),"Yes")</f>
        <v>Yes</v>
      </c>
      <c r="D41" s="66" t="str">
        <f>IFERROR(__xludf.DUMMYFUNCTION("""COMPUTED_VALUE"""),"Active")</f>
        <v>Active</v>
      </c>
      <c r="E41" s="15">
        <f>IFERROR(__xludf.DUMMYFUNCTION("""COMPUTED_VALUE"""),43741.0)</f>
        <v>43741</v>
      </c>
      <c r="F41" s="66"/>
      <c r="G41" s="18">
        <f>IFERROR(__xludf.DUMMYFUNCTION("""COMPUTED_VALUE"""),84.10000000000001)</f>
        <v>84.1</v>
      </c>
      <c r="H41" s="15">
        <f>IFERROR(__xludf.DUMMYFUNCTION("""COMPUTED_VALUE"""),42685.0)</f>
        <v>42685</v>
      </c>
      <c r="I41" s="18">
        <f>IFERROR(__xludf.DUMMYFUNCTION("""COMPUTED_VALUE"""),2.8944444444444444)</f>
        <v>2.894444444</v>
      </c>
      <c r="J41" s="22">
        <f>IFERROR(__xludf.DUMMYFUNCTION("""COMPUTED_VALUE"""),88.0)</f>
        <v>88</v>
      </c>
      <c r="K41" s="22">
        <f>IFERROR(__xludf.DUMMYFUNCTION("""COMPUTED_VALUE"""),12.5)</f>
        <v>12.5</v>
      </c>
      <c r="L41" s="66" t="str">
        <f>IFERROR(__xludf.DUMMYFUNCTION("""COMPUTED_VALUE"""),"Action-Adventure")</f>
        <v>Action-Adventure</v>
      </c>
      <c r="M41" s="66"/>
      <c r="N41" s="66" t="str">
        <f>IFERROR(__xludf.DUMMYFUNCTION("""COMPUTED_VALUE"""),"Game Pass Essential launch title (9/14/23)")</f>
        <v>Game Pass Essential launch title (9/14/23)</v>
      </c>
      <c r="O41" s="66" t="str">
        <f>IFERROR(__xludf.DUMMYFUNCTION("""COMPUTED_VALUE"""),"M")</f>
        <v>M</v>
      </c>
      <c r="P41" s="66" t="str">
        <f>IFERROR(__xludf.DUMMYFUNCTION("""COMPUTED_VALUE"""),"Blood and Gore, Suggestive Themes, Strong Language, Intense Violence")</f>
        <v>Blood and Gore, Suggestive Themes, Strong Language, Intense Violence</v>
      </c>
      <c r="Q41" s="66"/>
      <c r="R41" s="66" t="str">
        <f>IFERROR(__xludf.DUMMYFUNCTION("REGEXEXTRACT(N41,""\((.*?)\)"") "),"9/14/23")</f>
        <v>9/14/23</v>
      </c>
      <c r="S41" s="66">
        <f t="shared" si="1"/>
        <v>47</v>
      </c>
    </row>
    <row r="42">
      <c r="A42" s="66" t="str">
        <f>IFERROR(__xludf.DUMMYFUNCTION("""COMPUTED_VALUE"""),"Dead Cells")</f>
        <v>Dead Cells</v>
      </c>
      <c r="B42" s="66" t="str">
        <f>IFERROR(__xludf.DUMMYFUNCTION("""COMPUTED_VALUE"""),"Xbox / PC")</f>
        <v>Xbox / PC</v>
      </c>
      <c r="C42" s="66" t="str">
        <f>IFERROR(__xludf.DUMMYFUNCTION("""COMPUTED_VALUE"""),"Touch Controls")</f>
        <v>Touch Controls</v>
      </c>
      <c r="D42" s="66" t="str">
        <f>IFERROR(__xludf.DUMMYFUNCTION("""COMPUTED_VALUE"""),"Removed")</f>
        <v>Removed</v>
      </c>
      <c r="E42" s="15">
        <f>IFERROR(__xludf.DUMMYFUNCTION("""COMPUTED_VALUE"""),43713.0)</f>
        <v>43713</v>
      </c>
      <c r="F42" s="66">
        <f>IFERROR(__xludf.DUMMYFUNCTION("""COMPUTED_VALUE"""),46280.0)</f>
        <v>46280</v>
      </c>
      <c r="G42" s="18">
        <f>IFERROR(__xludf.DUMMYFUNCTION("""COMPUTED_VALUE"""),84.33333333333333)</f>
        <v>84.33333333</v>
      </c>
      <c r="H42" s="15">
        <f>IFERROR(__xludf.DUMMYFUNCTION("""COMPUTED_VALUE"""),42865.0)</f>
        <v>42865</v>
      </c>
      <c r="I42" s="18">
        <f>IFERROR(__xludf.DUMMYFUNCTION("""COMPUTED_VALUE"""),2.3194444444444446)</f>
        <v>2.319444444</v>
      </c>
      <c r="J42" s="22">
        <f>IFERROR(__xludf.DUMMYFUNCTION("""COMPUTED_VALUE"""),91.0)</f>
        <v>91</v>
      </c>
      <c r="K42" s="22">
        <f>IFERROR(__xludf.DUMMYFUNCTION("""COMPUTED_VALUE"""),13.0)</f>
        <v>13</v>
      </c>
      <c r="L42" s="66" t="str">
        <f>IFERROR(__xludf.DUMMYFUNCTION("""COMPUTED_VALUE"""),"Platformer")</f>
        <v>Platformer</v>
      </c>
      <c r="M42" s="66"/>
      <c r="N42" s="66" t="str">
        <f>IFERROR(__xludf.DUMMYFUNCTION("""COMPUTED_VALUE"""),"Game Pass Essential launch title (9/14/23), Left EA Play 10/23/21")</f>
        <v>Game Pass Essential launch title (9/14/23), Left EA Play 10/23/21</v>
      </c>
      <c r="O42" s="66" t="str">
        <f>IFERROR(__xludf.DUMMYFUNCTION("""COMPUTED_VALUE"""),"T")</f>
        <v>T</v>
      </c>
      <c r="P42" s="66" t="str">
        <f>IFERROR(__xludf.DUMMYFUNCTION("""COMPUTED_VALUE"""),"Blood and Gore, Language, Violence")</f>
        <v>Blood and Gore, Language, Violence</v>
      </c>
      <c r="Q42" s="66"/>
      <c r="R42" s="66" t="str">
        <f>IFERROR(__xludf.DUMMYFUNCTION("REGEXEXTRACT(N42,""\((.*?)\)"") "),"9/14/23")</f>
        <v>9/14/23</v>
      </c>
      <c r="S42" s="66">
        <f t="shared" si="1"/>
        <v>48</v>
      </c>
    </row>
    <row r="43">
      <c r="A43" s="66" t="str">
        <f>IFERROR(__xludf.DUMMYFUNCTION("""COMPUTED_VALUE"""),"Gears 5: Game of the Year Edition")</f>
        <v>Gears 5: Game of the Year Edition</v>
      </c>
      <c r="B43" s="66" t="str">
        <f>IFERROR(__xludf.DUMMYFUNCTION("""COMPUTED_VALUE"""),"Xbox / PC")</f>
        <v>Xbox / PC</v>
      </c>
      <c r="C43" s="66" t="str">
        <f>IFERROR(__xludf.DUMMYFUNCTION("""COMPUTED_VALUE"""),"Touch Controls")</f>
        <v>Touch Controls</v>
      </c>
      <c r="D43" s="66" t="str">
        <f>IFERROR(__xludf.DUMMYFUNCTION("""COMPUTED_VALUE"""),"Active")</f>
        <v>Active</v>
      </c>
      <c r="E43" s="15">
        <f>IFERROR(__xludf.DUMMYFUNCTION("""COMPUTED_VALUE"""),43718.0)</f>
        <v>43718</v>
      </c>
      <c r="F43" s="66"/>
      <c r="G43" s="18">
        <f>IFERROR(__xludf.DUMMYFUNCTION("""COMPUTED_VALUE"""),84.86666666666666)</f>
        <v>84.86666667</v>
      </c>
      <c r="H43" s="15">
        <f>IFERROR(__xludf.DUMMYFUNCTION("""COMPUTED_VALUE"""),43718.0)</f>
        <v>43718</v>
      </c>
      <c r="I43" s="18">
        <f>IFERROR(__xludf.DUMMYFUNCTION("""COMPUTED_VALUE"""),0.0)</f>
        <v>0</v>
      </c>
      <c r="J43" s="22">
        <f>IFERROR(__xludf.DUMMYFUNCTION("""COMPUTED_VALUE"""),83.0)</f>
        <v>83</v>
      </c>
      <c r="K43" s="22">
        <f>IFERROR(__xludf.DUMMYFUNCTION("""COMPUTED_VALUE"""),10.5)</f>
        <v>10.5</v>
      </c>
      <c r="L43" s="66" t="str">
        <f>IFERROR(__xludf.DUMMYFUNCTION("""COMPUTED_VALUE"""),"Action")</f>
        <v>Action</v>
      </c>
      <c r="M43" s="66" t="str">
        <f>IFERROR(__xludf.DUMMYFUNCTION("""COMPUTED_VALUE"""),"Optimized")</f>
        <v>Optimized</v>
      </c>
      <c r="N43" s="66" t="str">
        <f>IFERROR(__xludf.DUMMYFUNCTION("""COMPUTED_VALUE"""),"Game Pass Essential launch title (9/14/23)")</f>
        <v>Game Pass Essential launch title (9/14/23)</v>
      </c>
      <c r="O43" s="66" t="str">
        <f>IFERROR(__xludf.DUMMYFUNCTION("""COMPUTED_VALUE"""),"M")</f>
        <v>M</v>
      </c>
      <c r="P43" s="66" t="str">
        <f>IFERROR(__xludf.DUMMYFUNCTION("""COMPUTED_VALUE"""),"Blood and Gore, Strong Language, Intense Violence")</f>
        <v>Blood and Gore, Strong Language, Intense Violence</v>
      </c>
      <c r="Q43" s="66"/>
      <c r="R43" s="66" t="str">
        <f>IFERROR(__xludf.DUMMYFUNCTION("REGEXEXTRACT(N43,""\((.*?)\)"") "),"9/14/23")</f>
        <v>9/14/23</v>
      </c>
      <c r="S43" s="66">
        <f t="shared" si="1"/>
        <v>48</v>
      </c>
    </row>
    <row r="44">
      <c r="A44" s="66" t="str">
        <f>IFERROR(__xludf.DUMMYFUNCTION("""COMPUTED_VALUE"""),"ASTRONEER")</f>
        <v>ASTRONEER</v>
      </c>
      <c r="B44" s="66" t="str">
        <f>IFERROR(__xludf.DUMMYFUNCTION("""COMPUTED_VALUE"""),"Xbox / PC")</f>
        <v>Xbox / PC</v>
      </c>
      <c r="C44" s="66" t="str">
        <f>IFERROR(__xludf.DUMMYFUNCTION("""COMPUTED_VALUE"""),"Yes")</f>
        <v>Yes</v>
      </c>
      <c r="D44" s="66" t="str">
        <f>IFERROR(__xludf.DUMMYFUNCTION("""COMPUTED_VALUE"""),"Active")</f>
        <v>Active</v>
      </c>
      <c r="E44" s="15">
        <f>IFERROR(__xludf.DUMMYFUNCTION("""COMPUTED_VALUE"""),43625.0)</f>
        <v>43625</v>
      </c>
      <c r="F44" s="66"/>
      <c r="G44" s="18">
        <f>IFERROR(__xludf.DUMMYFUNCTION("""COMPUTED_VALUE"""),87.9)</f>
        <v>87.9</v>
      </c>
      <c r="H44" s="15">
        <f>IFERROR(__xludf.DUMMYFUNCTION("""COMPUTED_VALUE"""),42720.0)</f>
        <v>42720</v>
      </c>
      <c r="I44" s="18">
        <f>IFERROR(__xludf.DUMMYFUNCTION("""COMPUTED_VALUE"""),2.4805555555555556)</f>
        <v>2.480555556</v>
      </c>
      <c r="J44" s="22">
        <f>IFERROR(__xludf.DUMMYFUNCTION("""COMPUTED_VALUE"""),72.0)</f>
        <v>72</v>
      </c>
      <c r="K44" s="22">
        <f>IFERROR(__xludf.DUMMYFUNCTION("""COMPUTED_VALUE"""),18.5)</f>
        <v>18.5</v>
      </c>
      <c r="L44" s="66" t="str">
        <f>IFERROR(__xludf.DUMMYFUNCTION("""COMPUTED_VALUE"""),"Adventure")</f>
        <v>Adventure</v>
      </c>
      <c r="M44" s="66"/>
      <c r="N44" s="66" t="str">
        <f>IFERROR(__xludf.DUMMYFUNCTION("""COMPUTED_VALUE"""),"Game Pass Essential launch title (9/14/23)")</f>
        <v>Game Pass Essential launch title (9/14/23)</v>
      </c>
      <c r="O44" s="66" t="str">
        <f>IFERROR(__xludf.DUMMYFUNCTION("""COMPUTED_VALUE"""),"E")</f>
        <v>E</v>
      </c>
      <c r="P44" s="66" t="str">
        <f>IFERROR(__xludf.DUMMYFUNCTION("""COMPUTED_VALUE"""),"Mild Fantasy Violence")</f>
        <v>Mild Fantasy Violence</v>
      </c>
      <c r="Q44" s="66"/>
      <c r="R44" s="66" t="str">
        <f>IFERROR(__xludf.DUMMYFUNCTION("REGEXEXTRACT(N44,""\((.*?)\)"") "),"9/14/23")</f>
        <v>9/14/23</v>
      </c>
      <c r="S44" s="66">
        <f t="shared" si="1"/>
        <v>51</v>
      </c>
    </row>
    <row r="45">
      <c r="A45" s="66" t="str">
        <f>IFERROR(__xludf.DUMMYFUNCTION("""COMPUTED_VALUE"""),"Batman: Arkham Knight")</f>
        <v>Batman: Arkham Knight</v>
      </c>
      <c r="B45" s="66" t="str">
        <f>IFERROR(__xludf.DUMMYFUNCTION("""COMPUTED_VALUE"""),"Xbox / PC")</f>
        <v>Xbox / PC</v>
      </c>
      <c r="C45" s="66" t="str">
        <f>IFERROR(__xludf.DUMMYFUNCTION("""COMPUTED_VALUE"""),"Yes")</f>
        <v>Yes</v>
      </c>
      <c r="D45" s="66" t="str">
        <f>IFERROR(__xludf.DUMMYFUNCTION("""COMPUTED_VALUE"""),"Active")</f>
        <v>Active</v>
      </c>
      <c r="E45" s="15">
        <f>IFERROR(__xludf.DUMMYFUNCTION("""COMPUTED_VALUE"""),43625.0)</f>
        <v>43625</v>
      </c>
      <c r="F45" s="66"/>
      <c r="G45" s="18">
        <f>IFERROR(__xludf.DUMMYFUNCTION("""COMPUTED_VALUE"""),87.9)</f>
        <v>87.9</v>
      </c>
      <c r="H45" s="15">
        <f>IFERROR(__xludf.DUMMYFUNCTION("""COMPUTED_VALUE"""),42178.0)</f>
        <v>42178</v>
      </c>
      <c r="I45" s="18">
        <f>IFERROR(__xludf.DUMMYFUNCTION("""COMPUTED_VALUE"""),3.9611111111111112)</f>
        <v>3.961111111</v>
      </c>
      <c r="J45" s="22">
        <f>IFERROR(__xludf.DUMMYFUNCTION("""COMPUTED_VALUE"""),85.0)</f>
        <v>85</v>
      </c>
      <c r="K45" s="22">
        <f>IFERROR(__xludf.DUMMYFUNCTION("""COMPUTED_VALUE"""),16.5)</f>
        <v>16.5</v>
      </c>
      <c r="L45" s="66" t="str">
        <f>IFERROR(__xludf.DUMMYFUNCTION("""COMPUTED_VALUE"""),"Action-Adventure")</f>
        <v>Action-Adventure</v>
      </c>
      <c r="M45" s="66"/>
      <c r="N45" s="66" t="str">
        <f>IFERROR(__xludf.DUMMYFUNCTION("""COMPUTED_VALUE"""),"Game Pass Essential (3/26/25). Joined PC 65/16/26")</f>
        <v>Game Pass Essential (3/26/25). Joined PC 65/16/26</v>
      </c>
      <c r="O45" s="66" t="str">
        <f>IFERROR(__xludf.DUMMYFUNCTION("""COMPUTED_VALUE"""),"M")</f>
        <v>M</v>
      </c>
      <c r="P45" s="66" t="str">
        <f>IFERROR(__xludf.DUMMYFUNCTION("""COMPUTED_VALUE"""),"Blood, Suggestive Themes, Violence, Language")</f>
        <v>Blood, Suggestive Themes, Violence, Language</v>
      </c>
      <c r="Q45" s="66"/>
      <c r="R45" s="66" t="str">
        <f>IFERROR(__xludf.DUMMYFUNCTION("REGEXEXTRACT(N45,""\((.*?)\)"") "),"3/26/25")</f>
        <v>3/26/25</v>
      </c>
      <c r="S45" s="66">
        <f t="shared" si="1"/>
        <v>69</v>
      </c>
    </row>
    <row r="46">
      <c r="A46" s="66" t="str">
        <f>IFERROR(__xludf.DUMMYFUNCTION("""COMPUTED_VALUE"""),"Descenders")</f>
        <v>Descenders</v>
      </c>
      <c r="B46" s="66" t="str">
        <f>IFERROR(__xludf.DUMMYFUNCTION("""COMPUTED_VALUE"""),"Xbox / PC")</f>
        <v>Xbox / PC</v>
      </c>
      <c r="C46" s="66" t="str">
        <f>IFERROR(__xludf.DUMMYFUNCTION("""COMPUTED_VALUE"""),"Yes")</f>
        <v>Yes</v>
      </c>
      <c r="D46" s="66" t="str">
        <f>IFERROR(__xludf.DUMMYFUNCTION("""COMPUTED_VALUE"""),"Active")</f>
        <v>Active</v>
      </c>
      <c r="E46" s="15">
        <f>IFERROR(__xludf.DUMMYFUNCTION("""COMPUTED_VALUE"""),43592.0)</f>
        <v>43592</v>
      </c>
      <c r="F46" s="66"/>
      <c r="G46" s="18">
        <f>IFERROR(__xludf.DUMMYFUNCTION("""COMPUTED_VALUE"""),88.96666666666667)</f>
        <v>88.96666667</v>
      </c>
      <c r="H46" s="15">
        <f>IFERROR(__xludf.DUMMYFUNCTION("""COMPUTED_VALUE"""),43140.0)</f>
        <v>43140</v>
      </c>
      <c r="I46" s="18">
        <f>IFERROR(__xludf.DUMMYFUNCTION("""COMPUTED_VALUE"""),1.2444444444444445)</f>
        <v>1.244444444</v>
      </c>
      <c r="J46" s="22">
        <f>IFERROR(__xludf.DUMMYFUNCTION("""COMPUTED_VALUE"""),77.0)</f>
        <v>77</v>
      </c>
      <c r="K46" s="22">
        <f>IFERROR(__xludf.DUMMYFUNCTION("""COMPUTED_VALUE"""),4.0)</f>
        <v>4</v>
      </c>
      <c r="L46" s="66" t="str">
        <f>IFERROR(__xludf.DUMMYFUNCTION("""COMPUTED_VALUE"""),"Racing")</f>
        <v>Racing</v>
      </c>
      <c r="M46" s="66" t="str">
        <f>IFERROR(__xludf.DUMMYFUNCTION("""COMPUTED_VALUE"""),"Optimized")</f>
        <v>Optimized</v>
      </c>
      <c r="N46" s="66" t="str">
        <f>IFERROR(__xludf.DUMMYFUNCTION("""COMPUTED_VALUE"""),"Game Pass Essential launch title (9/14/23)")</f>
        <v>Game Pass Essential launch title (9/14/23)</v>
      </c>
      <c r="O46" s="66" t="str">
        <f>IFERROR(__xludf.DUMMYFUNCTION("""COMPUTED_VALUE"""),"E")</f>
        <v>E</v>
      </c>
      <c r="P46" s="66"/>
      <c r="Q46" s="66"/>
      <c r="R46" s="66" t="str">
        <f>IFERROR(__xludf.DUMMYFUNCTION("REGEXEXTRACT(N46,""\((.*?)\)"") "),"9/14/23")</f>
        <v>9/14/23</v>
      </c>
      <c r="S46" s="66">
        <f t="shared" si="1"/>
        <v>52</v>
      </c>
    </row>
    <row r="47">
      <c r="A47" s="66" t="str">
        <f>IFERROR(__xludf.DUMMYFUNCTION("""COMPUTED_VALUE"""),"Fallout 4")</f>
        <v>Fallout 4</v>
      </c>
      <c r="B47" s="66" t="str">
        <f>IFERROR(__xludf.DUMMYFUNCTION("""COMPUTED_VALUE"""),"Xbox / PC")</f>
        <v>Xbox / PC</v>
      </c>
      <c r="C47" s="66" t="str">
        <f>IFERROR(__xludf.DUMMYFUNCTION("""COMPUTED_VALUE"""),"Yes")</f>
        <v>Yes</v>
      </c>
      <c r="D47" s="66" t="str">
        <f>IFERROR(__xludf.DUMMYFUNCTION("""COMPUTED_VALUE"""),"Active")</f>
        <v>Active</v>
      </c>
      <c r="E47" s="15">
        <f>IFERROR(__xludf.DUMMYFUNCTION("""COMPUTED_VALUE"""),43538.0)</f>
        <v>43538</v>
      </c>
      <c r="F47" s="66"/>
      <c r="G47" s="18">
        <f>IFERROR(__xludf.DUMMYFUNCTION("""COMPUTED_VALUE"""),90.73333333333333)</f>
        <v>90.73333333</v>
      </c>
      <c r="H47" s="15">
        <f>IFERROR(__xludf.DUMMYFUNCTION("""COMPUTED_VALUE"""),42318.0)</f>
        <v>42318</v>
      </c>
      <c r="I47" s="18">
        <f>IFERROR(__xludf.DUMMYFUNCTION("""COMPUTED_VALUE"""),3.3444444444444446)</f>
        <v>3.344444444</v>
      </c>
      <c r="J47" s="22">
        <f>IFERROR(__xludf.DUMMYFUNCTION("""COMPUTED_VALUE"""),88.0)</f>
        <v>88</v>
      </c>
      <c r="K47" s="22">
        <f>IFERROR(__xludf.DUMMYFUNCTION("""COMPUTED_VALUE"""),26.5)</f>
        <v>26.5</v>
      </c>
      <c r="L47" s="66" t="str">
        <f>IFERROR(__xludf.DUMMYFUNCTION("""COMPUTED_VALUE"""),"Shooter")</f>
        <v>Shooter</v>
      </c>
      <c r="M47" s="66" t="str">
        <f>IFERROR(__xludf.DUMMYFUNCTION("""COMPUTED_VALUE"""),"FPS Boost")</f>
        <v>FPS Boost</v>
      </c>
      <c r="N47" s="66" t="str">
        <f>IFERROR(__xludf.DUMMYFUNCTION("""COMPUTED_VALUE"""),"Game Pass Essential launch title (9/14/23), Official PC Mod Support")</f>
        <v>Game Pass Essential launch title (9/14/23), Official PC Mod Support</v>
      </c>
      <c r="O47" s="66" t="str">
        <f>IFERROR(__xludf.DUMMYFUNCTION("""COMPUTED_VALUE"""),"M")</f>
        <v>M</v>
      </c>
      <c r="P47" s="66" t="str">
        <f>IFERROR(__xludf.DUMMYFUNCTION("""COMPUTED_VALUE"""),"Blood and Gore, Use of Drugs, Strong Language, Intense Violence")</f>
        <v>Blood and Gore, Use of Drugs, Strong Language, Intense Violence</v>
      </c>
      <c r="Q47" s="66"/>
      <c r="R47" s="66" t="str">
        <f>IFERROR(__xludf.DUMMYFUNCTION("REGEXEXTRACT(N47,""\((.*?)\)"") "),"9/14/23")</f>
        <v>9/14/23</v>
      </c>
      <c r="S47" s="66">
        <f t="shared" si="1"/>
        <v>54</v>
      </c>
    </row>
    <row r="48">
      <c r="A48" s="66" t="str">
        <f>IFERROR(__xludf.DUMMYFUNCTION("""COMPUTED_VALUE"""),"Hellblade: Senua's Sacrifice")</f>
        <v>Hellblade: Senua's Sacrifice</v>
      </c>
      <c r="B48" s="66" t="str">
        <f>IFERROR(__xludf.DUMMYFUNCTION("""COMPUTED_VALUE"""),"Xbox / PC")</f>
        <v>Xbox / PC</v>
      </c>
      <c r="C48" s="66" t="str">
        <f>IFERROR(__xludf.DUMMYFUNCTION("""COMPUTED_VALUE"""),"Touch Controls")</f>
        <v>Touch Controls</v>
      </c>
      <c r="D48" s="66" t="str">
        <f>IFERROR(__xludf.DUMMYFUNCTION("""COMPUTED_VALUE"""),"Active")</f>
        <v>Active</v>
      </c>
      <c r="E48" s="15">
        <f>IFERROR(__xludf.DUMMYFUNCTION("""COMPUTED_VALUE"""),43451.0)</f>
        <v>43451</v>
      </c>
      <c r="F48" s="66"/>
      <c r="G48" s="18">
        <f>IFERROR(__xludf.DUMMYFUNCTION("""COMPUTED_VALUE"""),93.63333333333334)</f>
        <v>93.63333333</v>
      </c>
      <c r="H48" s="15">
        <f>IFERROR(__xludf.DUMMYFUNCTION("""COMPUTED_VALUE"""),42955.0)</f>
        <v>42955</v>
      </c>
      <c r="I48" s="18">
        <f>IFERROR(__xludf.DUMMYFUNCTION("""COMPUTED_VALUE"""),1.3583333333333334)</f>
        <v>1.358333333</v>
      </c>
      <c r="J48" s="22">
        <f>IFERROR(__xludf.DUMMYFUNCTION("""COMPUTED_VALUE"""),88.0)</f>
        <v>88</v>
      </c>
      <c r="K48" s="22">
        <f>IFERROR(__xludf.DUMMYFUNCTION("""COMPUTED_VALUE"""),7.5)</f>
        <v>7.5</v>
      </c>
      <c r="L48" s="66" t="str">
        <f>IFERROR(__xludf.DUMMYFUNCTION("""COMPUTED_VALUE"""),"Action-Adventure")</f>
        <v>Action-Adventure</v>
      </c>
      <c r="M48" s="66" t="str">
        <f>IFERROR(__xludf.DUMMYFUNCTION("""COMPUTED_VALUE"""),"Optimized")</f>
        <v>Optimized</v>
      </c>
      <c r="N48" s="66" t="str">
        <f>IFERROR(__xludf.DUMMYFUNCTION("""COMPUTED_VALUE"""),"Game Pass Essential launch title (9/14/23)")</f>
        <v>Game Pass Essential launch title (9/14/23)</v>
      </c>
      <c r="O48" s="66" t="str">
        <f>IFERROR(__xludf.DUMMYFUNCTION("""COMPUTED_VALUE"""),"M")</f>
        <v>M</v>
      </c>
      <c r="P48" s="66" t="str">
        <f>IFERROR(__xludf.DUMMYFUNCTION("""COMPUTED_VALUE"""),"Blood and Gore, Strong Language, Intense Violence")</f>
        <v>Blood and Gore, Strong Language, Intense Violence</v>
      </c>
      <c r="Q48" s="66"/>
      <c r="R48" s="66" t="str">
        <f>IFERROR(__xludf.DUMMYFUNCTION("REGEXEXTRACT(N48,""\((.*?)\)"") "),"9/14/23")</f>
        <v>9/14/23</v>
      </c>
      <c r="S48" s="66">
        <f t="shared" si="1"/>
        <v>56</v>
      </c>
    </row>
    <row r="49">
      <c r="A49" s="66" t="str">
        <f>IFERROR(__xludf.DUMMYFUNCTION("""COMPUTED_VALUE"""),"DOOM (2016)")</f>
        <v>DOOM (2016)</v>
      </c>
      <c r="B49" s="66" t="str">
        <f>IFERROR(__xludf.DUMMYFUNCTION("""COMPUTED_VALUE"""),"Xbox")</f>
        <v>Xbox</v>
      </c>
      <c r="C49" s="66" t="str">
        <f>IFERROR(__xludf.DUMMYFUNCTION("""COMPUTED_VALUE"""),"Yes")</f>
        <v>Yes</v>
      </c>
      <c r="D49" s="66" t="str">
        <f>IFERROR(__xludf.DUMMYFUNCTION("""COMPUTED_VALUE"""),"Active")</f>
        <v>Active</v>
      </c>
      <c r="E49" s="15">
        <f>IFERROR(__xludf.DUMMYFUNCTION("""COMPUTED_VALUE"""),43322.0)</f>
        <v>43322</v>
      </c>
      <c r="F49" s="66"/>
      <c r="G49" s="18">
        <f>IFERROR(__xludf.DUMMYFUNCTION("""COMPUTED_VALUE"""),97.86666666666666)</f>
        <v>97.86666667</v>
      </c>
      <c r="H49" s="15">
        <f>IFERROR(__xludf.DUMMYFUNCTION("""COMPUTED_VALUE"""),42503.0)</f>
        <v>42503</v>
      </c>
      <c r="I49" s="18">
        <f>IFERROR(__xludf.DUMMYFUNCTION("""COMPUTED_VALUE"""),2.2416666666666667)</f>
        <v>2.241666667</v>
      </c>
      <c r="J49" s="22">
        <f>IFERROR(__xludf.DUMMYFUNCTION("""COMPUTED_VALUE"""),87.0)</f>
        <v>87</v>
      </c>
      <c r="K49" s="22">
        <f>IFERROR(__xludf.DUMMYFUNCTION("""COMPUTED_VALUE"""),11.5)</f>
        <v>11.5</v>
      </c>
      <c r="L49" s="66" t="str">
        <f>IFERROR(__xludf.DUMMYFUNCTION("""COMPUTED_VALUE"""),"Shooter")</f>
        <v>Shooter</v>
      </c>
      <c r="M49" s="66"/>
      <c r="N49" s="66" t="str">
        <f>IFERROR(__xludf.DUMMYFUNCTION("""COMPUTED_VALUE"""),"Game Pass Essential launch title (9/14/23)")</f>
        <v>Game Pass Essential launch title (9/14/23)</v>
      </c>
      <c r="O49" s="66" t="str">
        <f>IFERROR(__xludf.DUMMYFUNCTION("""COMPUTED_VALUE"""),"M")</f>
        <v>M</v>
      </c>
      <c r="P49" s="66" t="str">
        <f>IFERROR(__xludf.DUMMYFUNCTION("""COMPUTED_VALUE"""),"Blood and Gore, Strong Language, Intense Violence")</f>
        <v>Blood and Gore, Strong Language, Intense Violence</v>
      </c>
      <c r="Q49" s="66"/>
      <c r="R49" s="66" t="str">
        <f>IFERROR(__xludf.DUMMYFUNCTION("REGEXEXTRACT(N49,""\((.*?)\)"") "),"9/14/23")</f>
        <v>9/14/23</v>
      </c>
      <c r="S49" s="66">
        <f t="shared" si="1"/>
        <v>61</v>
      </c>
    </row>
    <row r="50">
      <c r="A50" s="66" t="str">
        <f>IFERROR(__xludf.DUMMYFUNCTION("""COMPUTED_VALUE"""),"Human: Fall Flat")</f>
        <v>Human: Fall Flat</v>
      </c>
      <c r="B50" s="66" t="str">
        <f>IFERROR(__xludf.DUMMYFUNCTION("""COMPUTED_VALUE"""),"Xbox / PC")</f>
        <v>Xbox / PC</v>
      </c>
      <c r="C50" s="66" t="str">
        <f>IFERROR(__xludf.DUMMYFUNCTION("""COMPUTED_VALUE"""),"Yes")</f>
        <v>Yes</v>
      </c>
      <c r="D50" s="66" t="str">
        <f>IFERROR(__xludf.DUMMYFUNCTION("""COMPUTED_VALUE"""),"Active")</f>
        <v>Active</v>
      </c>
      <c r="E50" s="15">
        <f>IFERROR(__xludf.DUMMYFUNCTION("""COMPUTED_VALUE"""),43282.0)</f>
        <v>43282</v>
      </c>
      <c r="F50" s="66"/>
      <c r="G50" s="18">
        <f>IFERROR(__xludf.DUMMYFUNCTION("""COMPUTED_VALUE"""),99.16666666666667)</f>
        <v>99.16666667</v>
      </c>
      <c r="H50" s="15">
        <f>IFERROR(__xludf.DUMMYFUNCTION("""COMPUTED_VALUE"""),42573.0)</f>
        <v>42573</v>
      </c>
      <c r="I50" s="18">
        <f>IFERROR(__xludf.DUMMYFUNCTION("""COMPUTED_VALUE"""),1.9416666666666667)</f>
        <v>1.941666667</v>
      </c>
      <c r="J50" s="22">
        <f>IFERROR(__xludf.DUMMYFUNCTION("""COMPUTED_VALUE"""),73.0)</f>
        <v>73</v>
      </c>
      <c r="K50" s="22">
        <f>IFERROR(__xludf.DUMMYFUNCTION("""COMPUTED_VALUE"""),5.5)</f>
        <v>5.5</v>
      </c>
      <c r="L50" s="66" t="str">
        <f>IFERROR(__xludf.DUMMYFUNCTION("""COMPUTED_VALUE"""),"Puzzle")</f>
        <v>Puzzle</v>
      </c>
      <c r="M50" s="66" t="str">
        <f>IFERROR(__xludf.DUMMYFUNCTION("""COMPUTED_VALUE"""),"Optimized")</f>
        <v>Optimized</v>
      </c>
      <c r="N50" s="66" t="str">
        <f>IFERROR(__xludf.DUMMYFUNCTION("""COMPUTED_VALUE"""),"Game Pass Essential launch title (9/14/23)")</f>
        <v>Game Pass Essential launch title (9/14/23)</v>
      </c>
      <c r="O50" s="66" t="str">
        <f>IFERROR(__xludf.DUMMYFUNCTION("""COMPUTED_VALUE"""),"E")</f>
        <v>E</v>
      </c>
      <c r="P50" s="66"/>
      <c r="Q50" s="66"/>
      <c r="R50" s="66" t="str">
        <f>IFERROR(__xludf.DUMMYFUNCTION("REGEXEXTRACT(N50,""\((.*?)\)"") "),"9/14/23")</f>
        <v>9/14/23</v>
      </c>
      <c r="S50" s="66">
        <f t="shared" si="1"/>
        <v>62</v>
      </c>
    </row>
    <row r="51">
      <c r="A51" s="66" t="str">
        <f>IFERROR(__xludf.DUMMYFUNCTION("""COMPUTED_VALUE"""),"The Elder Scrolls Online")</f>
        <v>The Elder Scrolls Online</v>
      </c>
      <c r="B51" s="66" t="str">
        <f>IFERROR(__xludf.DUMMYFUNCTION("""COMPUTED_VALUE"""),"Xbox / PC")</f>
        <v>Xbox / PC</v>
      </c>
      <c r="C51" s="66"/>
      <c r="D51" s="66" t="str">
        <f>IFERROR(__xludf.DUMMYFUNCTION("""COMPUTED_VALUE"""),"Active")</f>
        <v>Active</v>
      </c>
      <c r="E51" s="15">
        <f>IFERROR(__xludf.DUMMYFUNCTION("""COMPUTED_VALUE"""),43261.0)</f>
        <v>43261</v>
      </c>
      <c r="F51" s="66"/>
      <c r="G51" s="18">
        <f>IFERROR(__xludf.DUMMYFUNCTION("""COMPUTED_VALUE"""),99.86666666666667)</f>
        <v>99.86666667</v>
      </c>
      <c r="H51" s="15">
        <f>IFERROR(__xludf.DUMMYFUNCTION("""COMPUTED_VALUE"""),41733.0)</f>
        <v>41733</v>
      </c>
      <c r="I51" s="18">
        <f>IFERROR(__xludf.DUMMYFUNCTION("""COMPUTED_VALUE"""),4.183333333333334)</f>
        <v>4.183333333</v>
      </c>
      <c r="J51" s="22">
        <f>IFERROR(__xludf.DUMMYFUNCTION("""COMPUTED_VALUE"""),77.0)</f>
        <v>77</v>
      </c>
      <c r="K51" s="22">
        <f>IFERROR(__xludf.DUMMYFUNCTION("""COMPUTED_VALUE"""),87.0)</f>
        <v>87</v>
      </c>
      <c r="L51" s="66" t="str">
        <f>IFERROR(__xludf.DUMMYFUNCTION("""COMPUTED_VALUE"""),"MMORPG")</f>
        <v>MMORPG</v>
      </c>
      <c r="M51" s="66"/>
      <c r="N51" s="66" t="str">
        <f>IFERROR(__xludf.DUMMYFUNCTION("""COMPUTED_VALUE"""),"Joins PC 6/2/26. Game Pass Essential launch title (9/14/23), Temporarily removed from cloud 2/22/22 due to disconnect issues, reinstated 12/20/22")</f>
        <v>Joins PC 6/2/26. Game Pass Essential launch title (9/14/23), Temporarily removed from cloud 2/22/22 due to disconnect issues, reinstated 12/20/22</v>
      </c>
      <c r="O51" s="66" t="str">
        <f>IFERROR(__xludf.DUMMYFUNCTION("""COMPUTED_VALUE"""),"M")</f>
        <v>M</v>
      </c>
      <c r="P51" s="66" t="str">
        <f>IFERROR(__xludf.DUMMYFUNCTION("""COMPUTED_VALUE"""),"Use of Alcohol, Blood and Gore, Sexual Themes, Violence")</f>
        <v>Use of Alcohol, Blood and Gore, Sexual Themes, Violence</v>
      </c>
      <c r="Q51" s="66"/>
      <c r="R51" s="66" t="str">
        <f>IFERROR(__xludf.DUMMYFUNCTION("REGEXEXTRACT(N51,""\((.*?)\)"") "),"9/14/23")</f>
        <v>9/14/23</v>
      </c>
      <c r="S51" s="66">
        <f t="shared" si="1"/>
        <v>63</v>
      </c>
    </row>
    <row r="52">
      <c r="A52" s="66" t="str">
        <f>IFERROR(__xludf.DUMMYFUNCTION("""COMPUTED_VALUE"""),"State of Decay 2: Juggernaut Edition")</f>
        <v>State of Decay 2: Juggernaut Edition</v>
      </c>
      <c r="B52" s="66" t="str">
        <f>IFERROR(__xludf.DUMMYFUNCTION("""COMPUTED_VALUE"""),"Xbox / PC")</f>
        <v>Xbox / PC</v>
      </c>
      <c r="C52" s="66" t="str">
        <f>IFERROR(__xludf.DUMMYFUNCTION("""COMPUTED_VALUE"""),"M+KB")</f>
        <v>M+KB</v>
      </c>
      <c r="D52" s="66" t="str">
        <f>IFERROR(__xludf.DUMMYFUNCTION("""COMPUTED_VALUE"""),"Active")</f>
        <v>Active</v>
      </c>
      <c r="E52" s="15">
        <f>IFERROR(__xludf.DUMMYFUNCTION("""COMPUTED_VALUE"""),43242.0)</f>
        <v>43242</v>
      </c>
      <c r="F52" s="66"/>
      <c r="G52" s="18">
        <f>IFERROR(__xludf.DUMMYFUNCTION("""COMPUTED_VALUE"""),100.46666666666667)</f>
        <v>100.4666667</v>
      </c>
      <c r="H52" s="15">
        <f>IFERROR(__xludf.DUMMYFUNCTION("""COMPUTED_VALUE"""),43238.0)</f>
        <v>43238</v>
      </c>
      <c r="I52" s="18">
        <f>IFERROR(__xludf.DUMMYFUNCTION("""COMPUTED_VALUE"""),0.011111111111111112)</f>
        <v>0.01111111111</v>
      </c>
      <c r="J52" s="22">
        <f>IFERROR(__xludf.DUMMYFUNCTION("""COMPUTED_VALUE"""),78.0)</f>
        <v>78</v>
      </c>
      <c r="K52" s="22">
        <f>IFERROR(__xludf.DUMMYFUNCTION("""COMPUTED_VALUE"""),36.5)</f>
        <v>36.5</v>
      </c>
      <c r="L52" s="66" t="str">
        <f>IFERROR(__xludf.DUMMYFUNCTION("""COMPUTED_VALUE"""),"Action-Adventure")</f>
        <v>Action-Adventure</v>
      </c>
      <c r="M52" s="66" t="str">
        <f>IFERROR(__xludf.DUMMYFUNCTION("""COMPUTED_VALUE"""),"Optimized")</f>
        <v>Optimized</v>
      </c>
      <c r="N52" s="66" t="str">
        <f>IFERROR(__xludf.DUMMYFUNCTION("""COMPUTED_VALUE"""),"Game Pass Essential launch title (9/14/23), Official PC Mod Support")</f>
        <v>Game Pass Essential launch title (9/14/23), Official PC Mod Support</v>
      </c>
      <c r="O52" s="66" t="str">
        <f>IFERROR(__xludf.DUMMYFUNCTION("""COMPUTED_VALUE"""),"M")</f>
        <v>M</v>
      </c>
      <c r="P52" s="66" t="str">
        <f>IFERROR(__xludf.DUMMYFUNCTION("""COMPUTED_VALUE"""),"Blood and Gore, Drug Reference, Strong Language, Intense Violence")</f>
        <v>Blood and Gore, Drug Reference, Strong Language, Intense Violence</v>
      </c>
      <c r="Q52" s="66"/>
      <c r="R52" s="66" t="str">
        <f>IFERROR(__xludf.DUMMYFUNCTION("REGEXEXTRACT(N52,""\((.*?)\)"") "),"9/14/23")</f>
        <v>9/14/23</v>
      </c>
      <c r="S52" s="66">
        <f t="shared" si="1"/>
        <v>63</v>
      </c>
    </row>
    <row r="53">
      <c r="A53" s="66" t="str">
        <f>IFERROR(__xludf.DUMMYFUNCTION("""COMPUTED_VALUE"""),"Cities: Skylines - Remastered")</f>
        <v>Cities: Skylines - Remastered</v>
      </c>
      <c r="B53" s="66" t="str">
        <f>IFERROR(__xludf.DUMMYFUNCTION("""COMPUTED_VALUE"""),"Xbox / PC")</f>
        <v>Xbox / PC</v>
      </c>
      <c r="C53" s="66" t="str">
        <f>IFERROR(__xludf.DUMMYFUNCTION("""COMPUTED_VALUE"""),"M+KB")</f>
        <v>M+KB</v>
      </c>
      <c r="D53" s="66" t="str">
        <f>IFERROR(__xludf.DUMMYFUNCTION("""COMPUTED_VALUE"""),"Active")</f>
        <v>Active</v>
      </c>
      <c r="E53" s="15">
        <f>IFERROR(__xludf.DUMMYFUNCTION("""COMPUTED_VALUE"""),43191.0)</f>
        <v>43191</v>
      </c>
      <c r="F53" s="66"/>
      <c r="G53" s="18">
        <f>IFERROR(__xludf.DUMMYFUNCTION("""COMPUTED_VALUE"""),102.16666666666667)</f>
        <v>102.1666667</v>
      </c>
      <c r="H53" s="15">
        <f>IFERROR(__xludf.DUMMYFUNCTION("""COMPUTED_VALUE"""),42073.0)</f>
        <v>42073</v>
      </c>
      <c r="I53" s="18">
        <f>IFERROR(__xludf.DUMMYFUNCTION("""COMPUTED_VALUE"""),3.058333333333333)</f>
        <v>3.058333333</v>
      </c>
      <c r="J53" s="22">
        <f>IFERROR(__xludf.DUMMYFUNCTION("""COMPUTED_VALUE"""),83.0)</f>
        <v>83</v>
      </c>
      <c r="K53" s="22">
        <f>IFERROR(__xludf.DUMMYFUNCTION("""COMPUTED_VALUE"""),25.5)</f>
        <v>25.5</v>
      </c>
      <c r="L53" s="66" t="str">
        <f>IFERROR(__xludf.DUMMYFUNCTION("""COMPUTED_VALUE"""),"Simulation")</f>
        <v>Simulation</v>
      </c>
      <c r="M53" s="66"/>
      <c r="N53" s="66" t="str">
        <f>IFERROR(__xludf.DUMMYFUNCTION("""COMPUTED_VALUE"""),"Game Pass Essential (10/1/25). Remasted coming to Xbox Series X|S and cloud exclusively beginning 2/15/23. PC version is not remastered")</f>
        <v>Game Pass Essential (10/1/25). Remasted coming to Xbox Series X|S and cloud exclusively beginning 2/15/23. PC version is not remastered</v>
      </c>
      <c r="O53" s="66" t="str">
        <f>IFERROR(__xludf.DUMMYFUNCTION("""COMPUTED_VALUE"""),"E")</f>
        <v>E</v>
      </c>
      <c r="P53" s="66"/>
      <c r="Q53" s="66"/>
      <c r="R53" s="66" t="str">
        <f>IFERROR(__xludf.DUMMYFUNCTION("REGEXEXTRACT(N53,""\((.*?)\)"") "),"10/1/25")</f>
        <v>10/1/25</v>
      </c>
      <c r="S53" s="66">
        <f t="shared" si="1"/>
        <v>90</v>
      </c>
    </row>
    <row r="54">
      <c r="A54" s="66" t="str">
        <f>IFERROR(__xludf.DUMMYFUNCTION("""COMPUTED_VALUE"""),"Fable Anniversary")</f>
        <v>Fable Anniversary</v>
      </c>
      <c r="B54" s="66" t="str">
        <f>IFERROR(__xludf.DUMMYFUNCTION("""COMPUTED_VALUE"""),"Xbox")</f>
        <v>Xbox</v>
      </c>
      <c r="C54" s="66" t="str">
        <f>IFERROR(__xludf.DUMMYFUNCTION("""COMPUTED_VALUE"""),"Touch Controls")</f>
        <v>Touch Controls</v>
      </c>
      <c r="D54" s="66" t="str">
        <f>IFERROR(__xludf.DUMMYFUNCTION("""COMPUTED_VALUE"""),"Active")</f>
        <v>Active</v>
      </c>
      <c r="E54" s="15">
        <f>IFERROR(__xludf.DUMMYFUNCTION("""COMPUTED_VALUE"""),43132.0)</f>
        <v>43132</v>
      </c>
      <c r="F54" s="66"/>
      <c r="G54" s="18">
        <f>IFERROR(__xludf.DUMMYFUNCTION("""COMPUTED_VALUE"""),104.16666666666666)</f>
        <v>104.1666667</v>
      </c>
      <c r="H54" s="15">
        <f>IFERROR(__xludf.DUMMYFUNCTION("""COMPUTED_VALUE"""),41674.0)</f>
        <v>41674</v>
      </c>
      <c r="I54" s="18">
        <f>IFERROR(__xludf.DUMMYFUNCTION("""COMPUTED_VALUE"""),3.9916666666666667)</f>
        <v>3.991666667</v>
      </c>
      <c r="J54" s="22">
        <f>IFERROR(__xludf.DUMMYFUNCTION("""COMPUTED_VALUE"""),68.0)</f>
        <v>68</v>
      </c>
      <c r="K54" s="22">
        <f>IFERROR(__xludf.DUMMYFUNCTION("""COMPUTED_VALUE"""),14.0)</f>
        <v>14</v>
      </c>
      <c r="L54" s="66" t="str">
        <f>IFERROR(__xludf.DUMMYFUNCTION("""COMPUTED_VALUE"""),"RPG")</f>
        <v>RPG</v>
      </c>
      <c r="M54" s="66"/>
      <c r="N54" s="66" t="str">
        <f>IFERROR(__xludf.DUMMYFUNCTION("""COMPUTED_VALUE"""),"Game Pass Essential launch title (9/14/23)")</f>
        <v>Game Pass Essential launch title (9/14/23)</v>
      </c>
      <c r="O54" s="66" t="str">
        <f>IFERROR(__xludf.DUMMYFUNCTION("""COMPUTED_VALUE"""),"M")</f>
        <v>M</v>
      </c>
      <c r="P54" s="66" t="str">
        <f>IFERROR(__xludf.DUMMYFUNCTION("""COMPUTED_VALUE"""),"Blood and Gore, Language, Use of Alcohol, Violence, Sexual Content")</f>
        <v>Blood and Gore, Language, Use of Alcohol, Violence, Sexual Content</v>
      </c>
      <c r="Q54" s="66" t="str">
        <f>IFERROR(__xludf.DUMMYFUNCTION("""COMPUTED_VALUE"""),"Xbox 360")</f>
        <v>Xbox 360</v>
      </c>
      <c r="R54" s="66" t="str">
        <f>IFERROR(__xludf.DUMMYFUNCTION("REGEXEXTRACT(N54,""\((.*?)\)"") "),"9/14/23")</f>
        <v>9/14/23</v>
      </c>
      <c r="S54" s="66">
        <f t="shared" si="1"/>
        <v>67</v>
      </c>
    </row>
    <row r="55">
      <c r="A55" s="66" t="str">
        <f>IFERROR(__xludf.DUMMYFUNCTION("""COMPUTED_VALUE"""),"Halo Wars 2")</f>
        <v>Halo Wars 2</v>
      </c>
      <c r="B55" s="66" t="str">
        <f>IFERROR(__xludf.DUMMYFUNCTION("""COMPUTED_VALUE"""),"Xbox / PC")</f>
        <v>Xbox / PC</v>
      </c>
      <c r="C55" s="66" t="str">
        <f>IFERROR(__xludf.DUMMYFUNCTION("""COMPUTED_VALUE"""),"Touch Controls")</f>
        <v>Touch Controls</v>
      </c>
      <c r="D55" s="66" t="str">
        <f>IFERROR(__xludf.DUMMYFUNCTION("""COMPUTED_VALUE"""),"Active")</f>
        <v>Active</v>
      </c>
      <c r="E55" s="15">
        <f>IFERROR(__xludf.DUMMYFUNCTION("""COMPUTED_VALUE"""),43132.0)</f>
        <v>43132</v>
      </c>
      <c r="F55" s="66"/>
      <c r="G55" s="18">
        <f>IFERROR(__xludf.DUMMYFUNCTION("""COMPUTED_VALUE"""),104.16666666666666)</f>
        <v>104.1666667</v>
      </c>
      <c r="H55" s="15">
        <f>IFERROR(__xludf.DUMMYFUNCTION("""COMPUTED_VALUE"""),42783.0)</f>
        <v>42783</v>
      </c>
      <c r="I55" s="18">
        <f>IFERROR(__xludf.DUMMYFUNCTION("""COMPUTED_VALUE"""),0.9555555555555556)</f>
        <v>0.9555555556</v>
      </c>
      <c r="J55" s="22">
        <f>IFERROR(__xludf.DUMMYFUNCTION("""COMPUTED_VALUE"""),79.0)</f>
        <v>79</v>
      </c>
      <c r="K55" s="22">
        <f>IFERROR(__xludf.DUMMYFUNCTION("""COMPUTED_VALUE"""),8.0)</f>
        <v>8</v>
      </c>
      <c r="L55" s="66" t="str">
        <f>IFERROR(__xludf.DUMMYFUNCTION("""COMPUTED_VALUE"""),"Real-Time Strategy")</f>
        <v>Real-Time Strategy</v>
      </c>
      <c r="M55" s="66" t="str">
        <f>IFERROR(__xludf.DUMMYFUNCTION("""COMPUTED_VALUE"""),"FPS Boost")</f>
        <v>FPS Boost</v>
      </c>
      <c r="N55" s="66" t="str">
        <f>IFERROR(__xludf.DUMMYFUNCTION("""COMPUTED_VALUE"""),"Game Pass Essential launch title (9/14/23)")</f>
        <v>Game Pass Essential launch title (9/14/23)</v>
      </c>
      <c r="O55" s="66" t="str">
        <f>IFERROR(__xludf.DUMMYFUNCTION("""COMPUTED_VALUE"""),"T")</f>
        <v>T</v>
      </c>
      <c r="P55" s="66" t="str">
        <f>IFERROR(__xludf.DUMMYFUNCTION("""COMPUTED_VALUE"""),"Mild Blood, Mild Language, Violence")</f>
        <v>Mild Blood, Mild Language, Violence</v>
      </c>
      <c r="Q55" s="66"/>
      <c r="R55" s="66" t="str">
        <f>IFERROR(__xludf.DUMMYFUNCTION("REGEXEXTRACT(N55,""\((.*?)\)"") "),"9/14/23")</f>
        <v>9/14/23</v>
      </c>
      <c r="S55" s="66">
        <f t="shared" si="1"/>
        <v>67</v>
      </c>
    </row>
    <row r="56">
      <c r="A56" s="66" t="str">
        <f>IFERROR(__xludf.DUMMYFUNCTION("""COMPUTED_VALUE"""),"Payday 2: Crimewave Edition")</f>
        <v>Payday 2: Crimewave Edition</v>
      </c>
      <c r="B56" s="66" t="str">
        <f>IFERROR(__xludf.DUMMYFUNCTION("""COMPUTED_VALUE"""),"Xbox")</f>
        <v>Xbox</v>
      </c>
      <c r="C56" s="66"/>
      <c r="D56" s="66" t="str">
        <f>IFERROR(__xludf.DUMMYFUNCTION("""COMPUTED_VALUE"""),"Removed")</f>
        <v>Removed</v>
      </c>
      <c r="E56" s="15">
        <f>IFERROR(__xludf.DUMMYFUNCTION("""COMPUTED_VALUE"""),42887.0)</f>
        <v>42887</v>
      </c>
      <c r="F56" s="66">
        <f>IFERROR(__xludf.DUMMYFUNCTION("""COMPUTED_VALUE"""),46203.0)</f>
        <v>46203</v>
      </c>
      <c r="G56" s="18">
        <f>IFERROR(__xludf.DUMMYFUNCTION("""COMPUTED_VALUE"""),108.96666666666667)</f>
        <v>108.9666667</v>
      </c>
      <c r="H56" s="15">
        <f>IFERROR(__xludf.DUMMYFUNCTION("""COMPUTED_VALUE"""),41499.0)</f>
        <v>41499</v>
      </c>
      <c r="I56" s="18">
        <f>IFERROR(__xludf.DUMMYFUNCTION("""COMPUTED_VALUE"""),3.8)</f>
        <v>3.8</v>
      </c>
      <c r="J56" s="22">
        <f>IFERROR(__xludf.DUMMYFUNCTION("""COMPUTED_VALUE"""),65.0)</f>
        <v>65</v>
      </c>
      <c r="K56" s="22">
        <f>IFERROR(__xludf.DUMMYFUNCTION("""COMPUTED_VALUE"""),24.5)</f>
        <v>24.5</v>
      </c>
      <c r="L56" s="66" t="str">
        <f>IFERROR(__xludf.DUMMYFUNCTION("""COMPUTED_VALUE"""),"Shooter")</f>
        <v>Shooter</v>
      </c>
      <c r="M56" s="66"/>
      <c r="N56" s="66" t="str">
        <f>IFERROR(__xludf.DUMMYFUNCTION("""COMPUTED_VALUE"""),"Game Pass Essential launch title (9/14/23)")</f>
        <v>Game Pass Essential launch title (9/14/23)</v>
      </c>
      <c r="O56" s="66" t="str">
        <f>IFERROR(__xludf.DUMMYFUNCTION("""COMPUTED_VALUE"""),"M")</f>
        <v>M</v>
      </c>
      <c r="P56" s="66" t="str">
        <f>IFERROR(__xludf.DUMMYFUNCTION("""COMPUTED_VALUE"""),"Blood and Gore, Suggestive Themes, Drug Reference, Strong Language, Intense Violence")</f>
        <v>Blood and Gore, Suggestive Themes, Drug Reference, Strong Language, Intense Violence</v>
      </c>
      <c r="Q56" s="66"/>
      <c r="R56" s="66" t="str">
        <f>IFERROR(__xludf.DUMMYFUNCTION("REGEXEXTRACT(N56,""\((.*?)\)"") "),"9/14/23")</f>
        <v>9/14/23</v>
      </c>
      <c r="S56" s="66">
        <f t="shared" si="1"/>
        <v>75</v>
      </c>
    </row>
    <row r="57">
      <c r="A57" s="66" t="str">
        <f>IFERROR(__xludf.DUMMYFUNCTION("""COMPUTED_VALUE"""),"Halo 5: Guardians")</f>
        <v>Halo 5: Guardians</v>
      </c>
      <c r="B57" s="66" t="str">
        <f>IFERROR(__xludf.DUMMYFUNCTION("""COMPUTED_VALUE"""),"Xbox")</f>
        <v>Xbox</v>
      </c>
      <c r="C57" s="66" t="str">
        <f>IFERROR(__xludf.DUMMYFUNCTION("""COMPUTED_VALUE"""),"Yes")</f>
        <v>Yes</v>
      </c>
      <c r="D57" s="66" t="str">
        <f>IFERROR(__xludf.DUMMYFUNCTION("""COMPUTED_VALUE"""),"Active")</f>
        <v>Active</v>
      </c>
      <c r="E57" s="15">
        <f>IFERROR(__xludf.DUMMYFUNCTION("""COMPUTED_VALUE"""),42887.0)</f>
        <v>42887</v>
      </c>
      <c r="F57" s="66"/>
      <c r="G57" s="18">
        <f>IFERROR(__xludf.DUMMYFUNCTION("""COMPUTED_VALUE"""),112.16666666666666)</f>
        <v>112.1666667</v>
      </c>
      <c r="H57" s="15">
        <f>IFERROR(__xludf.DUMMYFUNCTION("""COMPUTED_VALUE"""),42304.0)</f>
        <v>42304</v>
      </c>
      <c r="I57" s="18">
        <f>IFERROR(__xludf.DUMMYFUNCTION("""COMPUTED_VALUE"""),1.5944444444444446)</f>
        <v>1.594444444</v>
      </c>
      <c r="J57" s="22">
        <f>IFERROR(__xludf.DUMMYFUNCTION("""COMPUTED_VALUE"""),84.0)</f>
        <v>84</v>
      </c>
      <c r="K57" s="22">
        <f>IFERROR(__xludf.DUMMYFUNCTION("""COMPUTED_VALUE"""),8.0)</f>
        <v>8</v>
      </c>
      <c r="L57" s="66" t="str">
        <f>IFERROR(__xludf.DUMMYFUNCTION("""COMPUTED_VALUE"""),"Shooter")</f>
        <v>Shooter</v>
      </c>
      <c r="M57" s="66"/>
      <c r="N57" s="66" t="str">
        <f>IFERROR(__xludf.DUMMYFUNCTION("""COMPUTED_VALUE"""),"Game Pass Essential launch title (9/14/23)")</f>
        <v>Game Pass Essential launch title (9/14/23)</v>
      </c>
      <c r="O57" s="66" t="str">
        <f>IFERROR(__xludf.DUMMYFUNCTION("""COMPUTED_VALUE"""),"T")</f>
        <v>T</v>
      </c>
      <c r="P57" s="66" t="str">
        <f>IFERROR(__xludf.DUMMYFUNCTION("""COMPUTED_VALUE"""),"Blood, Mild Language, Violence")</f>
        <v>Blood, Mild Language, Violence</v>
      </c>
      <c r="Q57" s="66"/>
      <c r="R57" s="66"/>
      <c r="S57" s="66"/>
    </row>
    <row r="58">
      <c r="A58" s="66"/>
      <c r="B58" s="66"/>
      <c r="C58" s="66"/>
      <c r="D58" s="66"/>
      <c r="E58" s="15"/>
      <c r="F58" s="66"/>
      <c r="G58" s="18"/>
      <c r="H58" s="15"/>
      <c r="I58" s="18"/>
      <c r="J58" s="22"/>
      <c r="K58" s="108"/>
      <c r="L58" s="66"/>
      <c r="M58" s="66"/>
      <c r="N58" s="66"/>
      <c r="O58" s="66"/>
      <c r="P58" s="66"/>
      <c r="Q58" s="66"/>
      <c r="R58" s="66"/>
      <c r="S58" s="66"/>
    </row>
    <row r="59">
      <c r="A59" s="66"/>
      <c r="B59" s="66"/>
      <c r="C59" s="66"/>
      <c r="D59" s="66"/>
      <c r="E59" s="15"/>
      <c r="F59" s="66"/>
      <c r="G59" s="18"/>
      <c r="H59" s="15"/>
      <c r="I59" s="18"/>
      <c r="J59" s="22"/>
      <c r="K59" s="108"/>
      <c r="L59" s="66"/>
      <c r="M59" s="66"/>
      <c r="N59" s="66"/>
      <c r="O59" s="66"/>
      <c r="P59" s="66"/>
      <c r="Q59" s="66"/>
      <c r="R59" s="66"/>
      <c r="S59" s="66"/>
    </row>
    <row r="60">
      <c r="A60" s="66"/>
      <c r="B60" s="66"/>
      <c r="C60" s="66"/>
      <c r="D60" s="66"/>
      <c r="E60" s="15"/>
      <c r="F60" s="66"/>
      <c r="G60" s="18"/>
      <c r="H60" s="15"/>
      <c r="I60" s="18"/>
      <c r="J60" s="22"/>
      <c r="K60" s="108"/>
      <c r="L60" s="66"/>
      <c r="M60" s="66"/>
      <c r="N60" s="66"/>
      <c r="O60" s="66"/>
      <c r="P60" s="66"/>
      <c r="Q60" s="66"/>
      <c r="R60" s="66"/>
      <c r="S60" s="66"/>
    </row>
    <row r="61">
      <c r="A61" s="66"/>
      <c r="B61" s="66"/>
      <c r="C61" s="66"/>
      <c r="D61" s="66"/>
      <c r="E61" s="15"/>
      <c r="F61" s="66"/>
      <c r="G61" s="18"/>
      <c r="H61" s="15"/>
      <c r="I61" s="18"/>
      <c r="J61" s="22"/>
      <c r="K61" s="108"/>
      <c r="L61" s="66"/>
      <c r="M61" s="66"/>
      <c r="N61" s="66"/>
      <c r="O61" s="66"/>
      <c r="P61" s="66"/>
      <c r="Q61" s="66"/>
      <c r="R61" s="66"/>
      <c r="S61" s="66"/>
    </row>
    <row r="62">
      <c r="A62" s="66"/>
      <c r="B62" s="66"/>
      <c r="C62" s="66"/>
      <c r="D62" s="66"/>
      <c r="E62" s="15"/>
      <c r="F62" s="66"/>
      <c r="G62" s="18"/>
      <c r="H62" s="15"/>
      <c r="I62" s="18"/>
      <c r="J62" s="22"/>
      <c r="K62" s="108"/>
      <c r="L62" s="66"/>
      <c r="M62" s="66"/>
      <c r="N62" s="66"/>
      <c r="O62" s="66"/>
      <c r="P62" s="66"/>
      <c r="Q62" s="66"/>
      <c r="R62" s="66"/>
      <c r="S62" s="66"/>
    </row>
    <row r="63">
      <c r="A63" s="66"/>
      <c r="B63" s="66"/>
      <c r="C63" s="66"/>
      <c r="D63" s="66"/>
      <c r="E63" s="15"/>
      <c r="F63" s="66"/>
      <c r="G63" s="18"/>
      <c r="H63" s="15"/>
      <c r="I63" s="18"/>
      <c r="J63" s="22"/>
      <c r="K63" s="108"/>
      <c r="L63" s="66"/>
      <c r="M63" s="66"/>
      <c r="N63" s="66"/>
      <c r="O63" s="66"/>
      <c r="P63" s="66"/>
      <c r="Q63" s="66"/>
      <c r="R63" s="66"/>
      <c r="S63" s="66"/>
    </row>
    <row r="64">
      <c r="A64" s="66"/>
      <c r="B64" s="66"/>
      <c r="C64" s="66"/>
      <c r="D64" s="66"/>
      <c r="E64" s="15"/>
      <c r="F64" s="66"/>
      <c r="G64" s="18"/>
      <c r="H64" s="15"/>
      <c r="I64" s="18"/>
      <c r="J64" s="22"/>
      <c r="K64" s="108"/>
      <c r="L64" s="66"/>
      <c r="M64" s="66"/>
      <c r="N64" s="66"/>
      <c r="O64" s="66"/>
      <c r="P64" s="66"/>
      <c r="Q64" s="66"/>
      <c r="R64" s="66"/>
      <c r="S64" s="66"/>
    </row>
    <row r="65">
      <c r="A65" s="66"/>
      <c r="B65" s="66"/>
      <c r="C65" s="66"/>
      <c r="D65" s="66"/>
      <c r="E65" s="15"/>
      <c r="F65" s="66"/>
      <c r="G65" s="18"/>
      <c r="H65" s="15"/>
      <c r="I65" s="18"/>
      <c r="J65" s="22"/>
      <c r="K65" s="108"/>
      <c r="L65" s="66"/>
      <c r="M65" s="66"/>
      <c r="N65" s="66"/>
      <c r="O65" s="66"/>
      <c r="P65" s="66"/>
      <c r="Q65" s="66"/>
      <c r="R65" s="66"/>
      <c r="S65" s="66"/>
    </row>
    <row r="66">
      <c r="A66" s="66"/>
      <c r="B66" s="66"/>
      <c r="C66" s="66"/>
      <c r="D66" s="66"/>
      <c r="E66" s="15"/>
      <c r="F66" s="66"/>
      <c r="G66" s="18"/>
      <c r="H66" s="15"/>
      <c r="I66" s="18"/>
      <c r="J66" s="22"/>
      <c r="K66" s="108"/>
      <c r="L66" s="66"/>
      <c r="M66" s="66"/>
      <c r="N66" s="66"/>
      <c r="O66" s="66"/>
      <c r="P66" s="66"/>
      <c r="Q66" s="66"/>
      <c r="R66" s="66"/>
      <c r="S66" s="66"/>
    </row>
    <row r="67">
      <c r="A67" s="66"/>
      <c r="B67" s="66"/>
      <c r="C67" s="66"/>
      <c r="D67" s="66"/>
      <c r="E67" s="15"/>
      <c r="F67" s="66"/>
      <c r="G67" s="18"/>
      <c r="H67" s="15"/>
      <c r="I67" s="18"/>
      <c r="J67" s="22"/>
      <c r="K67" s="108"/>
      <c r="L67" s="66"/>
      <c r="M67" s="66"/>
      <c r="N67" s="66"/>
      <c r="O67" s="66"/>
      <c r="P67" s="66"/>
      <c r="Q67" s="66"/>
      <c r="R67" s="66"/>
      <c r="S67" s="66"/>
    </row>
    <row r="68">
      <c r="A68" s="66"/>
      <c r="B68" s="66"/>
      <c r="C68" s="66"/>
      <c r="D68" s="66"/>
      <c r="E68" s="15"/>
      <c r="F68" s="66"/>
      <c r="G68" s="18"/>
      <c r="H68" s="15"/>
      <c r="I68" s="18"/>
      <c r="J68" s="22"/>
      <c r="K68" s="108"/>
      <c r="L68" s="66"/>
      <c r="M68" s="66"/>
      <c r="N68" s="66"/>
      <c r="O68" s="66"/>
      <c r="P68" s="66"/>
      <c r="Q68" s="66"/>
      <c r="R68" s="66"/>
      <c r="S68" s="66"/>
    </row>
    <row r="69">
      <c r="A69" s="66"/>
      <c r="B69" s="66"/>
      <c r="C69" s="66"/>
      <c r="D69" s="66"/>
      <c r="E69" s="15"/>
      <c r="F69" s="66"/>
      <c r="G69" s="18"/>
      <c r="H69" s="15"/>
      <c r="I69" s="18"/>
      <c r="J69" s="22"/>
      <c r="K69" s="108"/>
      <c r="L69" s="66"/>
      <c r="M69" s="66"/>
      <c r="N69" s="66"/>
      <c r="O69" s="66"/>
      <c r="P69" s="66"/>
      <c r="Q69" s="66"/>
      <c r="R69" s="66"/>
      <c r="S69" s="66"/>
    </row>
    <row r="70">
      <c r="A70" s="66"/>
      <c r="B70" s="66"/>
      <c r="C70" s="66"/>
      <c r="D70" s="66"/>
      <c r="E70" s="15"/>
      <c r="F70" s="66"/>
      <c r="G70" s="18"/>
      <c r="H70" s="15"/>
      <c r="I70" s="18"/>
      <c r="J70" s="22"/>
      <c r="K70" s="108"/>
      <c r="L70" s="66"/>
      <c r="M70" s="66"/>
      <c r="N70" s="66"/>
      <c r="O70" s="66"/>
      <c r="P70" s="66"/>
      <c r="Q70" s="66"/>
      <c r="R70" s="66"/>
      <c r="S70" s="66"/>
    </row>
    <row r="71">
      <c r="A71" s="66"/>
      <c r="B71" s="66"/>
      <c r="C71" s="66"/>
      <c r="D71" s="66"/>
      <c r="E71" s="15"/>
      <c r="F71" s="66"/>
      <c r="G71" s="18"/>
      <c r="H71" s="15"/>
      <c r="I71" s="18"/>
      <c r="J71" s="22"/>
      <c r="K71" s="108"/>
      <c r="L71" s="66"/>
      <c r="M71" s="66"/>
      <c r="N71" s="66"/>
      <c r="O71" s="66"/>
      <c r="P71" s="66"/>
      <c r="Q71" s="66"/>
      <c r="R71" s="66"/>
      <c r="S71" s="66"/>
    </row>
    <row r="72">
      <c r="A72" s="66"/>
      <c r="B72" s="66"/>
      <c r="C72" s="66"/>
      <c r="D72" s="66"/>
      <c r="E72" s="15"/>
      <c r="F72" s="66"/>
      <c r="G72" s="18"/>
      <c r="H72" s="15"/>
      <c r="I72" s="18"/>
      <c r="J72" s="22"/>
      <c r="K72" s="108"/>
      <c r="L72" s="66"/>
      <c r="M72" s="66"/>
      <c r="N72" s="66"/>
      <c r="O72" s="66"/>
      <c r="P72" s="66"/>
      <c r="Q72" s="66"/>
      <c r="R72" s="66"/>
      <c r="S72" s="66"/>
    </row>
    <row r="73">
      <c r="A73" s="66"/>
      <c r="B73" s="66"/>
      <c r="C73" s="66"/>
      <c r="D73" s="66"/>
      <c r="E73" s="15"/>
      <c r="F73" s="66"/>
      <c r="G73" s="18"/>
      <c r="H73" s="15"/>
      <c r="I73" s="18"/>
      <c r="J73" s="22"/>
      <c r="K73" s="108"/>
      <c r="L73" s="66"/>
      <c r="M73" s="66"/>
      <c r="N73" s="66"/>
      <c r="O73" s="66"/>
      <c r="P73" s="66"/>
      <c r="Q73" s="66"/>
      <c r="R73" s="66"/>
      <c r="S73" s="66"/>
    </row>
    <row r="74">
      <c r="A74" s="66"/>
      <c r="B74" s="66"/>
      <c r="C74" s="66"/>
      <c r="D74" s="66"/>
      <c r="E74" s="15"/>
      <c r="F74" s="66"/>
      <c r="G74" s="18"/>
      <c r="H74" s="15"/>
      <c r="I74" s="18"/>
      <c r="J74" s="22"/>
      <c r="K74" s="108"/>
      <c r="L74" s="66"/>
      <c r="M74" s="66"/>
      <c r="N74" s="66"/>
      <c r="O74" s="66"/>
      <c r="P74" s="66"/>
      <c r="Q74" s="66"/>
      <c r="R74" s="66"/>
      <c r="S74" s="66"/>
    </row>
    <row r="75">
      <c r="A75" s="66"/>
      <c r="B75" s="66"/>
      <c r="C75" s="66"/>
      <c r="D75" s="66"/>
      <c r="E75" s="15"/>
      <c r="F75" s="66"/>
      <c r="G75" s="18"/>
      <c r="H75" s="15"/>
      <c r="I75" s="18"/>
      <c r="J75" s="22"/>
      <c r="K75" s="108"/>
      <c r="L75" s="66"/>
      <c r="M75" s="66"/>
      <c r="N75" s="66"/>
      <c r="O75" s="66"/>
      <c r="P75" s="66"/>
      <c r="Q75" s="66"/>
      <c r="R75" s="66"/>
      <c r="S75" s="66"/>
    </row>
    <row r="76">
      <c r="A76" s="66"/>
      <c r="B76" s="66"/>
      <c r="C76" s="66"/>
      <c r="D76" s="66"/>
      <c r="E76" s="15"/>
      <c r="F76" s="66"/>
      <c r="G76" s="18"/>
      <c r="H76" s="15"/>
      <c r="I76" s="18"/>
      <c r="J76" s="22"/>
      <c r="K76" s="108"/>
      <c r="L76" s="66"/>
      <c r="M76" s="66"/>
      <c r="N76" s="66"/>
      <c r="O76" s="66"/>
      <c r="P76" s="66"/>
      <c r="Q76" s="66"/>
      <c r="R76" s="66"/>
      <c r="S76" s="66"/>
    </row>
    <row r="77">
      <c r="A77" s="66"/>
      <c r="B77" s="66"/>
      <c r="C77" s="66"/>
      <c r="D77" s="66"/>
      <c r="E77" s="15"/>
      <c r="F77" s="66"/>
      <c r="G77" s="18"/>
      <c r="H77" s="15"/>
      <c r="I77" s="18"/>
      <c r="J77" s="22"/>
      <c r="K77" s="108"/>
      <c r="L77" s="66"/>
      <c r="M77" s="66"/>
      <c r="N77" s="66"/>
      <c r="O77" s="66"/>
      <c r="P77" s="66"/>
      <c r="Q77" s="66"/>
      <c r="R77" s="66"/>
      <c r="S77" s="66"/>
    </row>
    <row r="78">
      <c r="A78" s="66"/>
      <c r="B78" s="66"/>
      <c r="C78" s="66"/>
      <c r="D78" s="66"/>
      <c r="E78" s="15"/>
      <c r="F78" s="66"/>
      <c r="G78" s="18"/>
      <c r="H78" s="15"/>
      <c r="I78" s="18"/>
      <c r="J78" s="22"/>
      <c r="K78" s="108"/>
      <c r="L78" s="66"/>
      <c r="M78" s="66"/>
      <c r="N78" s="66"/>
      <c r="O78" s="66"/>
      <c r="P78" s="66"/>
      <c r="Q78" s="66"/>
      <c r="R78" s="66"/>
      <c r="S78" s="66"/>
    </row>
    <row r="79">
      <c r="A79" s="66"/>
      <c r="B79" s="66"/>
      <c r="C79" s="66"/>
      <c r="D79" s="66"/>
      <c r="E79" s="15"/>
      <c r="F79" s="66"/>
      <c r="G79" s="18"/>
      <c r="H79" s="15"/>
      <c r="I79" s="18"/>
      <c r="J79" s="22"/>
      <c r="K79" s="108"/>
      <c r="L79" s="66"/>
      <c r="M79" s="66"/>
      <c r="N79" s="66"/>
      <c r="O79" s="66"/>
      <c r="P79" s="66"/>
      <c r="Q79" s="66"/>
      <c r="R79" s="66"/>
      <c r="S79" s="66"/>
    </row>
    <row r="80">
      <c r="A80" s="66"/>
      <c r="B80" s="66"/>
      <c r="C80" s="66"/>
      <c r="D80" s="66"/>
      <c r="E80" s="15"/>
      <c r="F80" s="66"/>
      <c r="G80" s="18"/>
      <c r="H80" s="15"/>
      <c r="I80" s="18"/>
      <c r="J80" s="22"/>
      <c r="K80" s="108"/>
      <c r="L80" s="66"/>
      <c r="M80" s="66"/>
      <c r="N80" s="66"/>
      <c r="O80" s="66"/>
      <c r="P80" s="66"/>
      <c r="Q80" s="66"/>
      <c r="R80" s="66"/>
      <c r="S80" s="66"/>
    </row>
    <row r="81">
      <c r="A81" s="66"/>
      <c r="B81" s="66"/>
      <c r="C81" s="66"/>
      <c r="D81" s="66"/>
      <c r="E81" s="15"/>
      <c r="F81" s="66"/>
      <c r="G81" s="18"/>
      <c r="H81" s="15"/>
      <c r="I81" s="18"/>
      <c r="J81" s="22"/>
      <c r="K81" s="108"/>
      <c r="L81" s="66"/>
      <c r="M81" s="66"/>
      <c r="N81" s="66"/>
      <c r="O81" s="66"/>
      <c r="P81" s="66"/>
      <c r="Q81" s="66"/>
      <c r="R81" s="66"/>
      <c r="S81" s="66"/>
    </row>
    <row r="82">
      <c r="A82" s="66"/>
      <c r="B82" s="66"/>
      <c r="C82" s="66"/>
      <c r="D82" s="66"/>
      <c r="E82" s="15"/>
      <c r="F82" s="66"/>
      <c r="G82" s="18"/>
      <c r="H82" s="15"/>
      <c r="I82" s="18"/>
      <c r="J82" s="22"/>
      <c r="K82" s="108"/>
      <c r="L82" s="66"/>
      <c r="M82" s="66"/>
      <c r="N82" s="66"/>
      <c r="O82" s="66"/>
      <c r="P82" s="66"/>
      <c r="Q82" s="66"/>
      <c r="R82" s="66"/>
      <c r="S82" s="66"/>
    </row>
    <row r="83">
      <c r="A83" s="66"/>
      <c r="B83" s="66"/>
      <c r="C83" s="66"/>
      <c r="D83" s="66"/>
      <c r="E83" s="15"/>
      <c r="F83" s="66"/>
      <c r="G83" s="18"/>
      <c r="H83" s="15"/>
      <c r="I83" s="18"/>
      <c r="J83" s="22"/>
      <c r="K83" s="108"/>
      <c r="L83" s="66"/>
      <c r="M83" s="66"/>
      <c r="N83" s="66"/>
      <c r="O83" s="66"/>
      <c r="P83" s="66"/>
      <c r="Q83" s="66"/>
      <c r="R83" s="66"/>
      <c r="S83" s="66"/>
    </row>
    <row r="84">
      <c r="A84" s="66"/>
      <c r="B84" s="66"/>
      <c r="C84" s="66"/>
      <c r="D84" s="66"/>
      <c r="E84" s="15"/>
      <c r="F84" s="66"/>
      <c r="G84" s="18"/>
      <c r="H84" s="15"/>
      <c r="I84" s="18"/>
      <c r="J84" s="22"/>
      <c r="K84" s="108"/>
      <c r="L84" s="66"/>
      <c r="M84" s="66"/>
      <c r="N84" s="66"/>
      <c r="O84" s="66"/>
      <c r="P84" s="66"/>
      <c r="Q84" s="66"/>
      <c r="R84" s="66"/>
      <c r="S84" s="66"/>
    </row>
    <row r="85">
      <c r="A85" s="66"/>
      <c r="B85" s="66"/>
      <c r="C85" s="66"/>
      <c r="D85" s="66"/>
      <c r="E85" s="15"/>
      <c r="F85" s="66"/>
      <c r="G85" s="18"/>
      <c r="H85" s="15"/>
      <c r="I85" s="18"/>
      <c r="J85" s="22"/>
      <c r="K85" s="108"/>
      <c r="L85" s="66"/>
      <c r="M85" s="66"/>
      <c r="N85" s="66"/>
      <c r="O85" s="66"/>
      <c r="P85" s="66"/>
      <c r="Q85" s="66"/>
      <c r="R85" s="66"/>
      <c r="S85" s="66"/>
    </row>
    <row r="86">
      <c r="A86" s="66"/>
      <c r="B86" s="66"/>
      <c r="C86" s="66"/>
      <c r="D86" s="66"/>
      <c r="E86" s="15"/>
      <c r="F86" s="66"/>
      <c r="G86" s="18"/>
      <c r="H86" s="15"/>
      <c r="I86" s="18"/>
      <c r="J86" s="22"/>
      <c r="K86" s="108"/>
      <c r="L86" s="66"/>
      <c r="M86" s="66"/>
      <c r="N86" s="66"/>
      <c r="O86" s="66"/>
      <c r="P86" s="66"/>
      <c r="Q86" s="66"/>
      <c r="R86" s="66"/>
      <c r="S86" s="66"/>
    </row>
    <row r="87">
      <c r="A87" s="66"/>
      <c r="B87" s="66"/>
      <c r="C87" s="66"/>
      <c r="D87" s="66"/>
      <c r="E87" s="15"/>
      <c r="F87" s="66"/>
      <c r="G87" s="18"/>
      <c r="H87" s="15"/>
      <c r="I87" s="18"/>
      <c r="J87" s="22"/>
      <c r="K87" s="108"/>
      <c r="L87" s="66"/>
      <c r="M87" s="66"/>
      <c r="N87" s="66"/>
      <c r="O87" s="66"/>
      <c r="P87" s="66"/>
      <c r="Q87" s="66"/>
      <c r="R87" s="66"/>
      <c r="S87" s="66"/>
    </row>
    <row r="88">
      <c r="A88" s="66"/>
      <c r="B88" s="66"/>
      <c r="C88" s="66"/>
      <c r="D88" s="66"/>
      <c r="E88" s="15"/>
      <c r="F88" s="66"/>
      <c r="G88" s="18"/>
      <c r="H88" s="15"/>
      <c r="I88" s="18"/>
      <c r="J88" s="22"/>
      <c r="K88" s="108"/>
      <c r="L88" s="66"/>
      <c r="M88" s="66"/>
      <c r="N88" s="66"/>
      <c r="O88" s="66"/>
      <c r="P88" s="66"/>
      <c r="Q88" s="66"/>
      <c r="R88" s="66"/>
      <c r="S88" s="66"/>
    </row>
    <row r="89">
      <c r="A89" s="66"/>
      <c r="B89" s="66"/>
      <c r="C89" s="66"/>
      <c r="D89" s="66"/>
      <c r="E89" s="15"/>
      <c r="F89" s="66"/>
      <c r="G89" s="18"/>
      <c r="H89" s="15"/>
      <c r="I89" s="18"/>
      <c r="J89" s="22"/>
      <c r="K89" s="108"/>
      <c r="L89" s="66"/>
      <c r="M89" s="66"/>
      <c r="N89" s="66"/>
      <c r="O89" s="66"/>
      <c r="P89" s="66"/>
      <c r="Q89" s="66"/>
      <c r="R89" s="66"/>
      <c r="S89" s="66"/>
    </row>
    <row r="90">
      <c r="A90" s="66"/>
      <c r="B90" s="66"/>
      <c r="C90" s="66"/>
      <c r="D90" s="66"/>
      <c r="E90" s="15"/>
      <c r="F90" s="66"/>
      <c r="G90" s="18"/>
      <c r="H90" s="15"/>
      <c r="I90" s="18"/>
      <c r="J90" s="22"/>
      <c r="K90" s="108"/>
      <c r="L90" s="66"/>
      <c r="M90" s="66"/>
      <c r="N90" s="66"/>
      <c r="O90" s="66"/>
      <c r="P90" s="66"/>
      <c r="Q90" s="66"/>
      <c r="R90" s="66"/>
      <c r="S90" s="66"/>
    </row>
    <row r="91">
      <c r="A91" s="66"/>
      <c r="B91" s="66"/>
      <c r="C91" s="66"/>
      <c r="D91" s="66"/>
      <c r="E91" s="15"/>
      <c r="F91" s="66"/>
      <c r="G91" s="18"/>
      <c r="H91" s="15"/>
      <c r="I91" s="18"/>
      <c r="J91" s="22"/>
      <c r="K91" s="108"/>
      <c r="L91" s="66"/>
      <c r="M91" s="66"/>
      <c r="N91" s="66"/>
      <c r="O91" s="66"/>
      <c r="P91" s="66"/>
      <c r="Q91" s="66"/>
      <c r="R91" s="66"/>
      <c r="S91" s="66"/>
    </row>
    <row r="92">
      <c r="A92" s="66"/>
      <c r="B92" s="66"/>
      <c r="C92" s="66"/>
      <c r="D92" s="66"/>
      <c r="E92" s="15"/>
      <c r="F92" s="66"/>
      <c r="G92" s="18"/>
      <c r="H92" s="15"/>
      <c r="I92" s="18"/>
      <c r="J92" s="22"/>
      <c r="K92" s="108"/>
      <c r="L92" s="66"/>
      <c r="M92" s="66"/>
      <c r="N92" s="66"/>
      <c r="O92" s="66"/>
      <c r="P92" s="66"/>
      <c r="Q92" s="66"/>
      <c r="R92" s="66"/>
      <c r="S92" s="66"/>
    </row>
    <row r="93">
      <c r="A93" s="66"/>
      <c r="B93" s="66"/>
      <c r="C93" s="66"/>
      <c r="D93" s="66"/>
      <c r="E93" s="15"/>
      <c r="F93" s="66"/>
      <c r="G93" s="18"/>
      <c r="H93" s="15"/>
      <c r="I93" s="18"/>
      <c r="J93" s="22"/>
      <c r="K93" s="108"/>
      <c r="L93" s="66"/>
      <c r="M93" s="66"/>
      <c r="N93" s="66"/>
      <c r="O93" s="66"/>
      <c r="P93" s="66"/>
      <c r="Q93" s="66"/>
      <c r="R93" s="66"/>
      <c r="S93" s="66"/>
    </row>
    <row r="94">
      <c r="A94" s="66"/>
      <c r="B94" s="66"/>
      <c r="C94" s="66"/>
      <c r="D94" s="66"/>
      <c r="E94" s="15"/>
      <c r="F94" s="66"/>
      <c r="G94" s="18"/>
      <c r="H94" s="15"/>
      <c r="I94" s="18"/>
      <c r="J94" s="22"/>
      <c r="K94" s="108"/>
      <c r="L94" s="66"/>
      <c r="M94" s="66"/>
      <c r="N94" s="66"/>
      <c r="O94" s="66"/>
      <c r="P94" s="66"/>
      <c r="Q94" s="66"/>
      <c r="R94" s="66"/>
      <c r="S94" s="66"/>
    </row>
    <row r="95">
      <c r="A95" s="66"/>
      <c r="B95" s="66"/>
      <c r="C95" s="66"/>
      <c r="D95" s="66"/>
      <c r="E95" s="15"/>
      <c r="F95" s="66"/>
      <c r="G95" s="18"/>
      <c r="H95" s="15"/>
      <c r="I95" s="18"/>
      <c r="J95" s="22"/>
      <c r="K95" s="108"/>
      <c r="L95" s="66"/>
      <c r="M95" s="66"/>
      <c r="N95" s="66"/>
      <c r="O95" s="66"/>
      <c r="P95" s="66"/>
      <c r="Q95" s="66"/>
      <c r="R95" s="66"/>
      <c r="S95" s="66"/>
    </row>
    <row r="96">
      <c r="A96" s="66"/>
      <c r="B96" s="66"/>
      <c r="C96" s="66"/>
      <c r="D96" s="66"/>
      <c r="E96" s="15"/>
      <c r="F96" s="66"/>
      <c r="G96" s="18"/>
      <c r="H96" s="15"/>
      <c r="I96" s="18"/>
      <c r="J96" s="22"/>
      <c r="K96" s="108"/>
      <c r="L96" s="66"/>
      <c r="M96" s="66"/>
      <c r="N96" s="66"/>
      <c r="O96" s="66"/>
      <c r="P96" s="66"/>
      <c r="Q96" s="66"/>
      <c r="R96" s="66"/>
      <c r="S96" s="66"/>
    </row>
    <row r="97">
      <c r="A97" s="66"/>
      <c r="B97" s="66"/>
      <c r="C97" s="66"/>
      <c r="D97" s="66"/>
      <c r="E97" s="15"/>
      <c r="F97" s="66"/>
      <c r="G97" s="18"/>
      <c r="H97" s="15"/>
      <c r="I97" s="18"/>
      <c r="J97" s="22"/>
      <c r="K97" s="108"/>
      <c r="L97" s="66"/>
      <c r="M97" s="66"/>
      <c r="N97" s="66"/>
      <c r="O97" s="66"/>
      <c r="P97" s="66"/>
      <c r="Q97" s="66"/>
      <c r="R97" s="66"/>
      <c r="S97" s="66"/>
    </row>
    <row r="98">
      <c r="A98" s="66"/>
      <c r="B98" s="66"/>
      <c r="C98" s="66"/>
      <c r="D98" s="66"/>
      <c r="E98" s="15"/>
      <c r="F98" s="66"/>
      <c r="G98" s="18"/>
      <c r="H98" s="15"/>
      <c r="I98" s="18"/>
      <c r="J98" s="22"/>
      <c r="K98" s="108"/>
      <c r="L98" s="66"/>
      <c r="M98" s="66"/>
      <c r="N98" s="66"/>
      <c r="O98" s="66"/>
      <c r="P98" s="66"/>
      <c r="Q98" s="66"/>
      <c r="R98" s="66"/>
      <c r="S98" s="66"/>
    </row>
    <row r="99">
      <c r="A99" s="66"/>
      <c r="B99" s="66"/>
      <c r="C99" s="66"/>
      <c r="D99" s="66"/>
      <c r="E99" s="15"/>
      <c r="F99" s="66"/>
      <c r="G99" s="18"/>
      <c r="H99" s="15"/>
      <c r="I99" s="18"/>
      <c r="J99" s="22"/>
      <c r="K99" s="108"/>
      <c r="L99" s="66"/>
      <c r="M99" s="66"/>
      <c r="N99" s="66"/>
      <c r="O99" s="66"/>
      <c r="P99" s="66"/>
      <c r="Q99" s="66"/>
      <c r="R99" s="66"/>
      <c r="S99" s="66"/>
    </row>
    <row r="100">
      <c r="A100" s="66"/>
      <c r="B100" s="66"/>
      <c r="C100" s="66"/>
      <c r="D100" s="66"/>
      <c r="E100" s="15"/>
      <c r="F100" s="66"/>
      <c r="G100" s="18"/>
      <c r="H100" s="15"/>
      <c r="I100" s="18"/>
      <c r="J100" s="22"/>
      <c r="K100" s="108"/>
      <c r="L100" s="66"/>
      <c r="M100" s="66"/>
      <c r="N100" s="66"/>
      <c r="O100" s="66"/>
      <c r="P100" s="66"/>
      <c r="Q100" s="66"/>
      <c r="R100" s="66"/>
      <c r="S100" s="66"/>
    </row>
    <row r="101">
      <c r="A101" s="66"/>
      <c r="B101" s="66"/>
      <c r="C101" s="66"/>
      <c r="D101" s="66"/>
      <c r="E101" s="15"/>
      <c r="F101" s="66"/>
      <c r="G101" s="18"/>
      <c r="H101" s="15"/>
      <c r="I101" s="18"/>
      <c r="J101" s="22"/>
      <c r="K101" s="108"/>
      <c r="L101" s="66"/>
      <c r="M101" s="66"/>
      <c r="N101" s="66"/>
      <c r="O101" s="66"/>
      <c r="P101" s="66"/>
      <c r="Q101" s="66"/>
      <c r="R101" s="66"/>
      <c r="S101" s="66"/>
    </row>
    <row r="102">
      <c r="A102" s="66"/>
      <c r="B102" s="66"/>
      <c r="C102" s="66"/>
      <c r="D102" s="66"/>
      <c r="E102" s="15"/>
      <c r="F102" s="66"/>
      <c r="G102" s="18"/>
      <c r="H102" s="15"/>
      <c r="I102" s="18"/>
      <c r="J102" s="22"/>
      <c r="K102" s="108"/>
      <c r="L102" s="66"/>
      <c r="M102" s="66"/>
      <c r="N102" s="66"/>
      <c r="O102" s="66"/>
      <c r="P102" s="66"/>
      <c r="Q102" s="66"/>
      <c r="R102" s="66"/>
      <c r="S102" s="66"/>
    </row>
    <row r="103">
      <c r="A103" s="66"/>
      <c r="B103" s="66"/>
      <c r="C103" s="66"/>
      <c r="D103" s="66"/>
      <c r="E103" s="15"/>
      <c r="F103" s="66"/>
      <c r="G103" s="18"/>
      <c r="H103" s="15"/>
      <c r="I103" s="18"/>
      <c r="J103" s="22"/>
      <c r="K103" s="108"/>
      <c r="L103" s="66"/>
      <c r="M103" s="66"/>
      <c r="N103" s="66"/>
      <c r="O103" s="66"/>
      <c r="P103" s="66"/>
      <c r="Q103" s="66"/>
      <c r="R103" s="66"/>
      <c r="S103" s="66"/>
    </row>
    <row r="104">
      <c r="A104" s="66"/>
      <c r="B104" s="66"/>
      <c r="C104" s="66"/>
      <c r="D104" s="66"/>
      <c r="E104" s="15"/>
      <c r="F104" s="66"/>
      <c r="G104" s="18"/>
      <c r="H104" s="15"/>
      <c r="I104" s="18"/>
      <c r="J104" s="22"/>
      <c r="K104" s="108"/>
      <c r="L104" s="66"/>
      <c r="M104" s="66"/>
      <c r="N104" s="66"/>
      <c r="O104" s="66"/>
      <c r="P104" s="66"/>
      <c r="Q104" s="66"/>
      <c r="R104" s="66"/>
      <c r="S104" s="66"/>
    </row>
    <row r="105">
      <c r="A105" s="66"/>
      <c r="B105" s="66"/>
      <c r="C105" s="66"/>
      <c r="D105" s="66"/>
      <c r="E105" s="15"/>
      <c r="F105" s="66"/>
      <c r="G105" s="18"/>
      <c r="H105" s="15"/>
      <c r="I105" s="18"/>
      <c r="J105" s="22"/>
      <c r="K105" s="108"/>
      <c r="L105" s="66"/>
      <c r="M105" s="66"/>
      <c r="N105" s="66"/>
      <c r="O105" s="66"/>
      <c r="P105" s="66"/>
      <c r="Q105" s="66"/>
      <c r="R105" s="66"/>
      <c r="S105" s="66"/>
    </row>
    <row r="106">
      <c r="A106" s="66"/>
      <c r="B106" s="66"/>
      <c r="C106" s="66"/>
      <c r="D106" s="66"/>
      <c r="E106" s="15"/>
      <c r="F106" s="66"/>
      <c r="G106" s="18"/>
      <c r="H106" s="15"/>
      <c r="I106" s="18"/>
      <c r="J106" s="22"/>
      <c r="K106" s="108"/>
      <c r="L106" s="66"/>
      <c r="M106" s="66"/>
      <c r="N106" s="66"/>
      <c r="O106" s="66"/>
      <c r="P106" s="66"/>
      <c r="Q106" s="66"/>
      <c r="R106" s="66"/>
      <c r="S106" s="66"/>
    </row>
    <row r="107">
      <c r="A107" s="66"/>
      <c r="B107" s="66"/>
      <c r="C107" s="66"/>
      <c r="D107" s="66"/>
      <c r="E107" s="15"/>
      <c r="F107" s="66"/>
      <c r="G107" s="18"/>
      <c r="H107" s="15"/>
      <c r="I107" s="18"/>
      <c r="J107" s="22"/>
      <c r="K107" s="108"/>
      <c r="L107" s="66"/>
      <c r="M107" s="66"/>
      <c r="N107" s="66"/>
      <c r="O107" s="66"/>
      <c r="P107" s="66"/>
      <c r="Q107" s="66"/>
      <c r="R107" s="66"/>
      <c r="S107" s="66"/>
    </row>
    <row r="108">
      <c r="A108" s="66"/>
      <c r="B108" s="66"/>
      <c r="C108" s="66"/>
      <c r="D108" s="66"/>
      <c r="E108" s="15"/>
      <c r="F108" s="66"/>
      <c r="G108" s="18"/>
      <c r="H108" s="15"/>
      <c r="I108" s="18"/>
      <c r="J108" s="22"/>
      <c r="K108" s="108"/>
      <c r="L108" s="66"/>
      <c r="M108" s="66"/>
      <c r="N108" s="66"/>
      <c r="O108" s="66"/>
      <c r="P108" s="66"/>
      <c r="Q108" s="66"/>
      <c r="R108" s="66"/>
      <c r="S108" s="66"/>
    </row>
    <row r="109">
      <c r="A109" s="66"/>
      <c r="B109" s="66"/>
      <c r="C109" s="66"/>
      <c r="D109" s="66"/>
      <c r="E109" s="15"/>
      <c r="F109" s="66"/>
      <c r="G109" s="18"/>
      <c r="H109" s="15"/>
      <c r="I109" s="18"/>
      <c r="J109" s="22"/>
      <c r="K109" s="108"/>
      <c r="L109" s="66"/>
      <c r="M109" s="66"/>
      <c r="N109" s="66"/>
      <c r="O109" s="66"/>
      <c r="P109" s="66"/>
      <c r="Q109" s="66"/>
      <c r="R109" s="66"/>
      <c r="S109" s="66"/>
    </row>
    <row r="110">
      <c r="A110" s="66"/>
      <c r="B110" s="66"/>
      <c r="C110" s="66"/>
      <c r="D110" s="66"/>
      <c r="E110" s="15"/>
      <c r="F110" s="66"/>
      <c r="G110" s="18"/>
      <c r="H110" s="15"/>
      <c r="I110" s="18"/>
      <c r="J110" s="22"/>
      <c r="K110" s="108"/>
      <c r="L110" s="66"/>
      <c r="M110" s="66"/>
      <c r="N110" s="66"/>
      <c r="O110" s="66"/>
      <c r="P110" s="66"/>
      <c r="Q110" s="66"/>
      <c r="R110" s="66"/>
      <c r="S110" s="66"/>
    </row>
    <row r="111">
      <c r="A111" s="66"/>
      <c r="B111" s="66"/>
      <c r="C111" s="66"/>
      <c r="D111" s="66"/>
      <c r="E111" s="15"/>
      <c r="F111" s="66"/>
      <c r="G111" s="18"/>
      <c r="H111" s="15"/>
      <c r="I111" s="18"/>
      <c r="J111" s="22"/>
      <c r="K111" s="108"/>
      <c r="L111" s="66"/>
      <c r="M111" s="66"/>
      <c r="N111" s="66"/>
      <c r="O111" s="66"/>
      <c r="P111" s="66"/>
      <c r="Q111" s="66"/>
      <c r="R111" s="66"/>
      <c r="S111" s="66"/>
    </row>
    <row r="112">
      <c r="A112" s="66"/>
      <c r="B112" s="66"/>
      <c r="C112" s="66"/>
      <c r="D112" s="66"/>
      <c r="E112" s="15"/>
      <c r="F112" s="66"/>
      <c r="G112" s="18"/>
      <c r="H112" s="15"/>
      <c r="I112" s="18"/>
      <c r="J112" s="22"/>
      <c r="K112" s="108"/>
      <c r="L112" s="66"/>
      <c r="M112" s="66"/>
      <c r="N112" s="66"/>
      <c r="O112" s="66"/>
      <c r="P112" s="66"/>
      <c r="Q112" s="66"/>
      <c r="R112" s="66"/>
      <c r="S112" s="66"/>
    </row>
    <row r="113">
      <c r="A113" s="66"/>
      <c r="B113" s="66"/>
      <c r="C113" s="66"/>
      <c r="D113" s="66"/>
      <c r="E113" s="15"/>
      <c r="F113" s="66"/>
      <c r="G113" s="18"/>
      <c r="H113" s="15"/>
      <c r="I113" s="18"/>
      <c r="J113" s="22"/>
      <c r="K113" s="108"/>
      <c r="L113" s="66"/>
      <c r="M113" s="66"/>
      <c r="N113" s="66"/>
      <c r="O113" s="66"/>
      <c r="P113" s="66"/>
      <c r="Q113" s="66"/>
      <c r="R113" s="66"/>
      <c r="S113" s="66"/>
    </row>
    <row r="114">
      <c r="A114" s="66"/>
      <c r="B114" s="66"/>
      <c r="C114" s="66"/>
      <c r="D114" s="66"/>
      <c r="E114" s="15"/>
      <c r="F114" s="66"/>
      <c r="G114" s="18"/>
      <c r="H114" s="15"/>
      <c r="I114" s="18"/>
      <c r="J114" s="22"/>
      <c r="K114" s="108"/>
      <c r="L114" s="66"/>
      <c r="M114" s="66"/>
      <c r="N114" s="66"/>
      <c r="O114" s="66"/>
      <c r="P114" s="66"/>
      <c r="Q114" s="66"/>
      <c r="R114" s="66"/>
      <c r="S114" s="66"/>
    </row>
    <row r="115">
      <c r="A115" s="66"/>
      <c r="B115" s="66"/>
      <c r="C115" s="66"/>
      <c r="D115" s="66"/>
      <c r="E115" s="15"/>
      <c r="F115" s="66"/>
      <c r="G115" s="18"/>
      <c r="H115" s="15"/>
      <c r="I115" s="18"/>
      <c r="J115" s="22"/>
      <c r="K115" s="108"/>
      <c r="L115" s="66"/>
      <c r="M115" s="66"/>
      <c r="N115" s="66"/>
      <c r="O115" s="66"/>
      <c r="P115" s="66"/>
      <c r="Q115" s="66"/>
      <c r="R115" s="66"/>
      <c r="S115" s="66"/>
    </row>
    <row r="116">
      <c r="A116" s="66"/>
      <c r="B116" s="66"/>
      <c r="C116" s="66"/>
      <c r="D116" s="66"/>
      <c r="E116" s="15"/>
      <c r="F116" s="66"/>
      <c r="G116" s="18"/>
      <c r="H116" s="15"/>
      <c r="I116" s="18"/>
      <c r="J116" s="22"/>
      <c r="K116" s="108"/>
      <c r="L116" s="66"/>
      <c r="M116" s="66"/>
      <c r="N116" s="66"/>
      <c r="O116" s="66"/>
      <c r="P116" s="66"/>
      <c r="Q116" s="66"/>
      <c r="R116" s="66"/>
      <c r="S116" s="66"/>
    </row>
    <row r="117">
      <c r="A117" s="66"/>
      <c r="B117" s="66"/>
      <c r="C117" s="66"/>
      <c r="D117" s="66"/>
      <c r="E117" s="15"/>
      <c r="F117" s="66"/>
      <c r="G117" s="18"/>
      <c r="H117" s="15"/>
      <c r="I117" s="18"/>
      <c r="J117" s="22"/>
      <c r="K117" s="108"/>
      <c r="L117" s="66"/>
      <c r="M117" s="66"/>
      <c r="N117" s="66"/>
      <c r="O117" s="66"/>
      <c r="P117" s="66"/>
      <c r="Q117" s="66"/>
      <c r="R117" s="66"/>
      <c r="S117" s="66"/>
    </row>
    <row r="118">
      <c r="A118" s="66"/>
      <c r="B118" s="66"/>
      <c r="C118" s="66"/>
      <c r="D118" s="66"/>
      <c r="E118" s="15"/>
      <c r="F118" s="66"/>
      <c r="G118" s="18"/>
      <c r="H118" s="15"/>
      <c r="I118" s="18"/>
      <c r="J118" s="22"/>
      <c r="K118" s="108"/>
      <c r="L118" s="66"/>
      <c r="M118" s="66"/>
      <c r="N118" s="66"/>
      <c r="O118" s="66"/>
      <c r="P118" s="66"/>
      <c r="Q118" s="66"/>
      <c r="R118" s="66"/>
      <c r="S118" s="66"/>
    </row>
    <row r="119">
      <c r="A119" s="66"/>
      <c r="B119" s="66"/>
      <c r="C119" s="66"/>
      <c r="D119" s="66"/>
      <c r="E119" s="15"/>
      <c r="F119" s="66"/>
      <c r="G119" s="18"/>
      <c r="H119" s="15"/>
      <c r="I119" s="18"/>
      <c r="J119" s="22"/>
      <c r="K119" s="108"/>
      <c r="L119" s="66"/>
      <c r="M119" s="66"/>
      <c r="N119" s="66"/>
      <c r="O119" s="66"/>
      <c r="P119" s="66"/>
      <c r="Q119" s="66"/>
      <c r="R119" s="66"/>
      <c r="S119" s="66"/>
    </row>
    <row r="120">
      <c r="A120" s="66"/>
      <c r="B120" s="66"/>
      <c r="C120" s="66"/>
      <c r="D120" s="66"/>
      <c r="E120" s="15"/>
      <c r="F120" s="66"/>
      <c r="G120" s="18"/>
      <c r="H120" s="15"/>
      <c r="I120" s="18"/>
      <c r="J120" s="22"/>
      <c r="K120" s="108"/>
      <c r="L120" s="66"/>
      <c r="M120" s="66"/>
      <c r="N120" s="66"/>
      <c r="O120" s="66"/>
      <c r="P120" s="66"/>
      <c r="Q120" s="66"/>
      <c r="R120" s="66"/>
      <c r="S120" s="66"/>
    </row>
    <row r="121">
      <c r="A121" s="66"/>
      <c r="B121" s="66"/>
      <c r="C121" s="66"/>
      <c r="D121" s="66"/>
      <c r="E121" s="15"/>
      <c r="F121" s="66"/>
      <c r="G121" s="18"/>
      <c r="H121" s="15"/>
      <c r="I121" s="18"/>
      <c r="J121" s="22"/>
      <c r="K121" s="108"/>
      <c r="L121" s="66"/>
      <c r="M121" s="66"/>
      <c r="N121" s="66"/>
      <c r="O121" s="66"/>
      <c r="P121" s="66"/>
      <c r="Q121" s="66"/>
      <c r="R121" s="66"/>
      <c r="S121" s="66"/>
    </row>
    <row r="122">
      <c r="A122" s="66"/>
      <c r="B122" s="66"/>
      <c r="C122" s="66"/>
      <c r="D122" s="66"/>
      <c r="E122" s="15"/>
      <c r="F122" s="66"/>
      <c r="G122" s="18"/>
      <c r="H122" s="15"/>
      <c r="I122" s="18"/>
      <c r="J122" s="22"/>
      <c r="K122" s="108"/>
      <c r="L122" s="66"/>
      <c r="M122" s="66"/>
      <c r="N122" s="66"/>
      <c r="O122" s="66"/>
      <c r="P122" s="66"/>
      <c r="Q122" s="66"/>
      <c r="R122" s="66"/>
      <c r="S122" s="66"/>
    </row>
    <row r="123">
      <c r="A123" s="66"/>
      <c r="B123" s="66"/>
      <c r="C123" s="66"/>
      <c r="D123" s="66"/>
      <c r="E123" s="15"/>
      <c r="F123" s="66"/>
      <c r="G123" s="18"/>
      <c r="H123" s="15"/>
      <c r="I123" s="18"/>
      <c r="J123" s="22"/>
      <c r="K123" s="108"/>
      <c r="L123" s="66"/>
      <c r="M123" s="66"/>
      <c r="N123" s="66"/>
      <c r="O123" s="66"/>
      <c r="P123" s="66"/>
      <c r="Q123" s="66"/>
      <c r="R123" s="66"/>
      <c r="S123" s="66"/>
    </row>
    <row r="124">
      <c r="A124" s="66"/>
      <c r="B124" s="66"/>
      <c r="C124" s="66"/>
      <c r="D124" s="66"/>
      <c r="E124" s="15"/>
      <c r="F124" s="66"/>
      <c r="G124" s="18"/>
      <c r="H124" s="15"/>
      <c r="I124" s="18"/>
      <c r="J124" s="22"/>
      <c r="K124" s="108"/>
      <c r="L124" s="66"/>
      <c r="M124" s="66"/>
      <c r="N124" s="66"/>
      <c r="O124" s="66"/>
      <c r="P124" s="66"/>
      <c r="Q124" s="66"/>
      <c r="R124" s="66"/>
      <c r="S124" s="66"/>
    </row>
    <row r="125">
      <c r="A125" s="66"/>
      <c r="B125" s="66"/>
      <c r="C125" s="66"/>
      <c r="D125" s="66"/>
      <c r="E125" s="15"/>
      <c r="F125" s="66"/>
      <c r="G125" s="18"/>
      <c r="H125" s="15"/>
      <c r="I125" s="18"/>
      <c r="J125" s="22"/>
      <c r="K125" s="108"/>
      <c r="L125" s="66"/>
      <c r="M125" s="66"/>
      <c r="N125" s="66"/>
      <c r="O125" s="66"/>
      <c r="P125" s="66"/>
      <c r="Q125" s="66"/>
      <c r="R125" s="66"/>
      <c r="S125" s="66"/>
    </row>
    <row r="126">
      <c r="A126" s="66"/>
      <c r="B126" s="66"/>
      <c r="C126" s="66"/>
      <c r="D126" s="66"/>
      <c r="E126" s="15"/>
      <c r="F126" s="66"/>
      <c r="G126" s="18"/>
      <c r="H126" s="15"/>
      <c r="I126" s="18"/>
      <c r="J126" s="22"/>
      <c r="K126" s="108"/>
      <c r="L126" s="66"/>
      <c r="M126" s="66"/>
      <c r="N126" s="66"/>
      <c r="O126" s="66"/>
      <c r="P126" s="66"/>
      <c r="Q126" s="66"/>
      <c r="R126" s="66"/>
      <c r="S126" s="66"/>
    </row>
    <row r="127">
      <c r="A127" s="66"/>
      <c r="B127" s="66"/>
      <c r="C127" s="66"/>
      <c r="D127" s="66"/>
      <c r="E127" s="15"/>
      <c r="F127" s="66"/>
      <c r="G127" s="18"/>
      <c r="H127" s="15"/>
      <c r="I127" s="18"/>
      <c r="J127" s="22"/>
      <c r="K127" s="108"/>
      <c r="L127" s="66"/>
      <c r="M127" s="66"/>
      <c r="N127" s="66"/>
      <c r="O127" s="66"/>
      <c r="P127" s="66"/>
      <c r="Q127" s="66"/>
      <c r="R127" s="66"/>
      <c r="S127" s="66"/>
    </row>
    <row r="128">
      <c r="A128" s="66"/>
      <c r="B128" s="66"/>
      <c r="C128" s="66"/>
      <c r="D128" s="66"/>
      <c r="E128" s="15"/>
      <c r="F128" s="66"/>
      <c r="G128" s="18"/>
      <c r="H128" s="15"/>
      <c r="I128" s="18"/>
      <c r="J128" s="22"/>
      <c r="K128" s="108"/>
      <c r="L128" s="66"/>
      <c r="M128" s="66"/>
      <c r="N128" s="66"/>
      <c r="O128" s="66"/>
      <c r="P128" s="66"/>
      <c r="Q128" s="66"/>
      <c r="R128" s="66"/>
      <c r="S128" s="66"/>
    </row>
    <row r="129">
      <c r="A129" s="66"/>
      <c r="B129" s="66"/>
      <c r="C129" s="66"/>
      <c r="D129" s="66"/>
      <c r="E129" s="15"/>
      <c r="F129" s="66"/>
      <c r="G129" s="18"/>
      <c r="H129" s="15"/>
      <c r="I129" s="18"/>
      <c r="J129" s="22"/>
      <c r="K129" s="108"/>
      <c r="L129" s="66"/>
      <c r="M129" s="66"/>
      <c r="N129" s="66"/>
      <c r="O129" s="66"/>
      <c r="P129" s="66"/>
      <c r="Q129" s="66"/>
      <c r="R129" s="66"/>
      <c r="S129" s="66"/>
    </row>
    <row r="130">
      <c r="A130" s="66"/>
      <c r="B130" s="66"/>
      <c r="C130" s="66"/>
      <c r="D130" s="66"/>
      <c r="E130" s="15"/>
      <c r="F130" s="66"/>
      <c r="G130" s="18"/>
      <c r="H130" s="15"/>
      <c r="I130" s="18"/>
      <c r="J130" s="22"/>
      <c r="K130" s="108"/>
      <c r="L130" s="66"/>
      <c r="M130" s="66"/>
      <c r="N130" s="66"/>
      <c r="O130" s="66"/>
      <c r="P130" s="66"/>
      <c r="Q130" s="66"/>
      <c r="R130" s="66"/>
      <c r="S130" s="66"/>
    </row>
    <row r="131">
      <c r="A131" s="66"/>
      <c r="B131" s="66"/>
      <c r="C131" s="66"/>
      <c r="D131" s="66"/>
      <c r="E131" s="15"/>
      <c r="F131" s="66"/>
      <c r="G131" s="18"/>
      <c r="H131" s="15"/>
      <c r="I131" s="18"/>
      <c r="J131" s="22"/>
      <c r="K131" s="108"/>
      <c r="L131" s="66"/>
      <c r="M131" s="66"/>
      <c r="N131" s="66"/>
      <c r="O131" s="66"/>
      <c r="P131" s="66"/>
      <c r="Q131" s="66"/>
      <c r="R131" s="66"/>
      <c r="S131" s="66"/>
    </row>
    <row r="132">
      <c r="A132" s="66"/>
      <c r="B132" s="66"/>
      <c r="C132" s="66"/>
      <c r="D132" s="66"/>
      <c r="E132" s="15"/>
      <c r="F132" s="66"/>
      <c r="G132" s="18"/>
      <c r="H132" s="15"/>
      <c r="I132" s="18"/>
      <c r="J132" s="22"/>
      <c r="K132" s="108"/>
      <c r="L132" s="66"/>
      <c r="M132" s="66"/>
      <c r="N132" s="66"/>
      <c r="O132" s="66"/>
      <c r="P132" s="66"/>
      <c r="Q132" s="66"/>
      <c r="R132" s="66"/>
      <c r="S132" s="66"/>
    </row>
    <row r="133">
      <c r="A133" s="66"/>
      <c r="B133" s="66"/>
      <c r="C133" s="66"/>
      <c r="D133" s="66"/>
      <c r="E133" s="15"/>
      <c r="F133" s="66"/>
      <c r="G133" s="18"/>
      <c r="H133" s="15"/>
      <c r="I133" s="18"/>
      <c r="J133" s="22"/>
      <c r="K133" s="108"/>
      <c r="L133" s="66"/>
      <c r="M133" s="66"/>
      <c r="N133" s="66"/>
      <c r="O133" s="66"/>
      <c r="P133" s="66"/>
      <c r="Q133" s="66"/>
      <c r="R133" s="66"/>
      <c r="S133" s="66"/>
    </row>
    <row r="134">
      <c r="A134" s="66"/>
      <c r="B134" s="66"/>
      <c r="C134" s="66"/>
      <c r="D134" s="66"/>
      <c r="E134" s="15"/>
      <c r="F134" s="66"/>
      <c r="G134" s="18"/>
      <c r="H134" s="15"/>
      <c r="I134" s="18"/>
      <c r="J134" s="22"/>
      <c r="K134" s="108"/>
      <c r="L134" s="66"/>
      <c r="M134" s="66"/>
      <c r="N134" s="66"/>
      <c r="O134" s="66"/>
      <c r="P134" s="66"/>
      <c r="Q134" s="66"/>
      <c r="R134" s="66"/>
      <c r="S134" s="66"/>
    </row>
    <row r="135">
      <c r="A135" s="66"/>
      <c r="B135" s="66"/>
      <c r="C135" s="66"/>
      <c r="D135" s="66"/>
      <c r="E135" s="15"/>
      <c r="F135" s="66"/>
      <c r="G135" s="18"/>
      <c r="H135" s="15"/>
      <c r="I135" s="18"/>
      <c r="J135" s="22"/>
      <c r="K135" s="108"/>
      <c r="L135" s="66"/>
      <c r="M135" s="66"/>
      <c r="N135" s="66"/>
      <c r="O135" s="66"/>
      <c r="P135" s="66"/>
      <c r="Q135" s="66"/>
      <c r="R135" s="66"/>
      <c r="S135" s="66"/>
    </row>
    <row r="136">
      <c r="A136" s="66"/>
      <c r="B136" s="66"/>
      <c r="C136" s="66"/>
      <c r="D136" s="66"/>
      <c r="E136" s="15"/>
      <c r="F136" s="66"/>
      <c r="G136" s="18"/>
      <c r="H136" s="15"/>
      <c r="I136" s="18"/>
      <c r="J136" s="22"/>
      <c r="K136" s="108"/>
      <c r="L136" s="66"/>
      <c r="M136" s="66"/>
      <c r="N136" s="66"/>
      <c r="O136" s="66"/>
      <c r="P136" s="66"/>
      <c r="Q136" s="66"/>
      <c r="R136" s="66"/>
      <c r="S136" s="66"/>
    </row>
    <row r="137">
      <c r="A137" s="66"/>
      <c r="B137" s="66"/>
      <c r="C137" s="66"/>
      <c r="D137" s="66"/>
      <c r="E137" s="15"/>
      <c r="F137" s="66"/>
      <c r="G137" s="18"/>
      <c r="H137" s="15"/>
      <c r="I137" s="18"/>
      <c r="J137" s="22"/>
      <c r="K137" s="108"/>
      <c r="L137" s="66"/>
      <c r="M137" s="66"/>
      <c r="N137" s="66"/>
      <c r="O137" s="66"/>
      <c r="P137" s="66"/>
      <c r="Q137" s="66"/>
      <c r="R137" s="66"/>
      <c r="S137" s="66"/>
    </row>
    <row r="138">
      <c r="A138" s="66"/>
      <c r="B138" s="66"/>
      <c r="C138" s="66"/>
      <c r="D138" s="66"/>
      <c r="E138" s="15"/>
      <c r="F138" s="66"/>
      <c r="G138" s="18"/>
      <c r="H138" s="15"/>
      <c r="I138" s="18"/>
      <c r="J138" s="22"/>
      <c r="K138" s="108"/>
      <c r="L138" s="66"/>
      <c r="M138" s="66"/>
      <c r="N138" s="66"/>
      <c r="O138" s="66"/>
      <c r="P138" s="66"/>
      <c r="Q138" s="66"/>
      <c r="R138" s="66"/>
      <c r="S138" s="66"/>
    </row>
    <row r="139">
      <c r="A139" s="66"/>
      <c r="B139" s="66"/>
      <c r="C139" s="66"/>
      <c r="D139" s="66"/>
      <c r="E139" s="15"/>
      <c r="F139" s="66"/>
      <c r="G139" s="18"/>
      <c r="H139" s="15"/>
      <c r="I139" s="18"/>
      <c r="J139" s="22"/>
      <c r="K139" s="108"/>
      <c r="L139" s="66"/>
      <c r="M139" s="66"/>
      <c r="N139" s="66"/>
      <c r="O139" s="66"/>
      <c r="P139" s="66"/>
      <c r="Q139" s="66"/>
      <c r="R139" s="66"/>
      <c r="S139" s="66"/>
    </row>
    <row r="140">
      <c r="A140" s="66"/>
      <c r="B140" s="66"/>
      <c r="C140" s="66"/>
      <c r="D140" s="66"/>
      <c r="E140" s="15"/>
      <c r="F140" s="66"/>
      <c r="G140" s="18"/>
      <c r="H140" s="15"/>
      <c r="I140" s="18"/>
      <c r="J140" s="22"/>
      <c r="K140" s="108"/>
      <c r="L140" s="66"/>
      <c r="M140" s="66"/>
      <c r="N140" s="66"/>
      <c r="O140" s="66"/>
      <c r="P140" s="66"/>
      <c r="Q140" s="66"/>
      <c r="R140" s="66"/>
      <c r="S140" s="66"/>
    </row>
    <row r="141">
      <c r="A141" s="66"/>
      <c r="B141" s="66"/>
      <c r="C141" s="66"/>
      <c r="D141" s="66"/>
      <c r="E141" s="15"/>
      <c r="F141" s="66"/>
      <c r="G141" s="18"/>
      <c r="H141" s="15"/>
      <c r="I141" s="18"/>
      <c r="J141" s="22"/>
      <c r="K141" s="108"/>
      <c r="L141" s="66"/>
      <c r="M141" s="66"/>
      <c r="N141" s="66"/>
      <c r="O141" s="66"/>
      <c r="P141" s="66"/>
      <c r="Q141" s="66"/>
      <c r="R141" s="66"/>
      <c r="S141" s="66"/>
    </row>
    <row r="142">
      <c r="A142" s="66"/>
      <c r="B142" s="66"/>
      <c r="C142" s="66"/>
      <c r="D142" s="66"/>
      <c r="E142" s="15"/>
      <c r="F142" s="66"/>
      <c r="G142" s="18"/>
      <c r="H142" s="15"/>
      <c r="I142" s="18"/>
      <c r="J142" s="22"/>
      <c r="K142" s="108"/>
      <c r="L142" s="66"/>
      <c r="M142" s="66"/>
      <c r="N142" s="66"/>
      <c r="O142" s="66"/>
      <c r="P142" s="66"/>
      <c r="Q142" s="66"/>
      <c r="R142" s="66"/>
      <c r="S142" s="66"/>
    </row>
    <row r="143">
      <c r="A143" s="66"/>
      <c r="B143" s="66"/>
      <c r="C143" s="66"/>
      <c r="D143" s="66"/>
      <c r="E143" s="15"/>
      <c r="F143" s="66"/>
      <c r="G143" s="18"/>
      <c r="H143" s="15"/>
      <c r="I143" s="18"/>
      <c r="J143" s="22"/>
      <c r="K143" s="108"/>
      <c r="L143" s="66"/>
      <c r="M143" s="66"/>
      <c r="N143" s="66"/>
      <c r="O143" s="66"/>
      <c r="P143" s="66"/>
      <c r="Q143" s="66"/>
      <c r="R143" s="66"/>
      <c r="S143" s="66"/>
    </row>
    <row r="144">
      <c r="A144" s="66"/>
      <c r="B144" s="66"/>
      <c r="C144" s="66"/>
      <c r="D144" s="66"/>
      <c r="E144" s="15"/>
      <c r="F144" s="66"/>
      <c r="G144" s="18"/>
      <c r="H144" s="15"/>
      <c r="I144" s="18"/>
      <c r="J144" s="22"/>
      <c r="K144" s="108"/>
      <c r="L144" s="66"/>
      <c r="M144" s="66"/>
      <c r="N144" s="66"/>
      <c r="O144" s="66"/>
      <c r="P144" s="66"/>
      <c r="Q144" s="66"/>
      <c r="R144" s="66"/>
      <c r="S144" s="66"/>
    </row>
    <row r="145">
      <c r="A145" s="66"/>
      <c r="B145" s="66"/>
      <c r="C145" s="66"/>
      <c r="D145" s="66"/>
      <c r="E145" s="15"/>
      <c r="F145" s="66"/>
      <c r="G145" s="18"/>
      <c r="H145" s="15"/>
      <c r="I145" s="18"/>
      <c r="J145" s="22"/>
      <c r="K145" s="108"/>
      <c r="L145" s="66"/>
      <c r="M145" s="66"/>
      <c r="N145" s="66"/>
      <c r="O145" s="66"/>
      <c r="P145" s="66"/>
      <c r="Q145" s="66"/>
      <c r="R145" s="66"/>
      <c r="S145" s="66"/>
    </row>
    <row r="146">
      <c r="A146" s="66"/>
      <c r="B146" s="66"/>
      <c r="C146" s="66"/>
      <c r="D146" s="66"/>
      <c r="E146" s="15"/>
      <c r="F146" s="66"/>
      <c r="G146" s="18"/>
      <c r="H146" s="15"/>
      <c r="I146" s="18"/>
      <c r="J146" s="22"/>
      <c r="K146" s="108"/>
      <c r="L146" s="66"/>
      <c r="M146" s="66"/>
      <c r="N146" s="66"/>
      <c r="O146" s="66"/>
      <c r="P146" s="66"/>
      <c r="Q146" s="66"/>
      <c r="R146" s="66"/>
      <c r="S146" s="66"/>
    </row>
    <row r="147">
      <c r="A147" s="66"/>
      <c r="B147" s="66"/>
      <c r="C147" s="66"/>
      <c r="D147" s="66"/>
      <c r="E147" s="15"/>
      <c r="F147" s="66"/>
      <c r="G147" s="18"/>
      <c r="H147" s="15"/>
      <c r="I147" s="18"/>
      <c r="J147" s="22"/>
      <c r="K147" s="108"/>
      <c r="L147" s="66"/>
      <c r="M147" s="66"/>
      <c r="N147" s="66"/>
      <c r="O147" s="66"/>
      <c r="P147" s="66"/>
      <c r="Q147" s="66"/>
      <c r="R147" s="66"/>
      <c r="S147" s="66"/>
    </row>
    <row r="148">
      <c r="A148" s="66"/>
      <c r="B148" s="66"/>
      <c r="C148" s="66"/>
      <c r="D148" s="66"/>
      <c r="E148" s="15"/>
      <c r="F148" s="66"/>
      <c r="G148" s="18"/>
      <c r="H148" s="15"/>
      <c r="I148" s="18"/>
      <c r="J148" s="22"/>
      <c r="K148" s="108"/>
      <c r="L148" s="66"/>
      <c r="M148" s="66"/>
      <c r="N148" s="66"/>
      <c r="O148" s="66"/>
      <c r="P148" s="66"/>
      <c r="Q148" s="66"/>
      <c r="R148" s="66"/>
      <c r="S148" s="66"/>
    </row>
    <row r="149">
      <c r="A149" s="66"/>
      <c r="B149" s="66"/>
      <c r="C149" s="66"/>
      <c r="D149" s="66"/>
      <c r="E149" s="15"/>
      <c r="F149" s="66"/>
      <c r="G149" s="18"/>
      <c r="H149" s="15"/>
      <c r="I149" s="18"/>
      <c r="J149" s="22"/>
      <c r="K149" s="108"/>
      <c r="L149" s="66"/>
      <c r="M149" s="66"/>
      <c r="N149" s="66"/>
      <c r="O149" s="66"/>
      <c r="P149" s="66"/>
      <c r="Q149" s="66"/>
      <c r="R149" s="66"/>
      <c r="S149" s="66"/>
    </row>
    <row r="150">
      <c r="A150" s="66"/>
      <c r="B150" s="66"/>
      <c r="C150" s="66"/>
      <c r="D150" s="66"/>
      <c r="E150" s="15"/>
      <c r="F150" s="66"/>
      <c r="G150" s="18"/>
      <c r="H150" s="15"/>
      <c r="I150" s="18"/>
      <c r="J150" s="22"/>
      <c r="K150" s="108"/>
      <c r="L150" s="66"/>
      <c r="M150" s="66"/>
      <c r="N150" s="66"/>
      <c r="O150" s="66"/>
      <c r="P150" s="66"/>
      <c r="Q150" s="66"/>
      <c r="R150" s="66"/>
      <c r="S150" s="66"/>
    </row>
    <row r="151">
      <c r="A151" s="66"/>
      <c r="B151" s="66"/>
      <c r="C151" s="66"/>
      <c r="D151" s="66"/>
      <c r="E151" s="15"/>
      <c r="F151" s="66"/>
      <c r="G151" s="18"/>
      <c r="H151" s="15"/>
      <c r="I151" s="18"/>
      <c r="J151" s="22"/>
      <c r="K151" s="108"/>
      <c r="L151" s="66"/>
      <c r="M151" s="66"/>
      <c r="N151" s="66"/>
      <c r="O151" s="66"/>
      <c r="P151" s="66"/>
      <c r="Q151" s="66"/>
      <c r="R151" s="66"/>
      <c r="S151" s="66"/>
    </row>
    <row r="152">
      <c r="A152" s="66"/>
      <c r="B152" s="66"/>
      <c r="C152" s="66"/>
      <c r="D152" s="66"/>
      <c r="E152" s="15"/>
      <c r="F152" s="66"/>
      <c r="G152" s="18"/>
      <c r="H152" s="15"/>
      <c r="I152" s="18"/>
      <c r="J152" s="22"/>
      <c r="K152" s="108"/>
      <c r="L152" s="66"/>
      <c r="M152" s="66"/>
      <c r="N152" s="66"/>
      <c r="O152" s="66"/>
      <c r="P152" s="66"/>
      <c r="Q152" s="66"/>
      <c r="R152" s="66"/>
      <c r="S152" s="66"/>
    </row>
    <row r="153">
      <c r="A153" s="66"/>
      <c r="B153" s="66"/>
      <c r="C153" s="66"/>
      <c r="D153" s="66"/>
      <c r="E153" s="15"/>
      <c r="F153" s="66"/>
      <c r="G153" s="18"/>
      <c r="H153" s="15"/>
      <c r="I153" s="18"/>
      <c r="J153" s="22"/>
      <c r="K153" s="108"/>
      <c r="L153" s="66"/>
      <c r="M153" s="66"/>
      <c r="N153" s="66"/>
      <c r="O153" s="66"/>
      <c r="P153" s="66"/>
      <c r="Q153" s="66"/>
      <c r="R153" s="66"/>
      <c r="S153" s="66"/>
    </row>
    <row r="154">
      <c r="A154" s="66"/>
      <c r="B154" s="66"/>
      <c r="C154" s="66"/>
      <c r="D154" s="66"/>
      <c r="E154" s="15"/>
      <c r="F154" s="66"/>
      <c r="G154" s="18"/>
      <c r="H154" s="15"/>
      <c r="I154" s="18"/>
      <c r="J154" s="22"/>
      <c r="K154" s="108"/>
      <c r="L154" s="66"/>
      <c r="M154" s="66"/>
      <c r="N154" s="66"/>
      <c r="O154" s="66"/>
      <c r="P154" s="66"/>
      <c r="Q154" s="66"/>
      <c r="R154" s="66"/>
      <c r="S154" s="66"/>
    </row>
    <row r="155">
      <c r="A155" s="66"/>
      <c r="B155" s="66"/>
      <c r="C155" s="66"/>
      <c r="D155" s="66"/>
      <c r="E155" s="15"/>
      <c r="F155" s="66"/>
      <c r="G155" s="18"/>
      <c r="H155" s="15"/>
      <c r="I155" s="18"/>
      <c r="J155" s="22"/>
      <c r="K155" s="108"/>
      <c r="L155" s="66"/>
      <c r="M155" s="66"/>
      <c r="N155" s="66"/>
      <c r="O155" s="66"/>
      <c r="P155" s="66"/>
      <c r="Q155" s="66"/>
      <c r="R155" s="66"/>
      <c r="S155" s="66"/>
    </row>
    <row r="156">
      <c r="A156" s="66"/>
      <c r="B156" s="66"/>
      <c r="C156" s="66"/>
      <c r="D156" s="66"/>
      <c r="E156" s="15"/>
      <c r="F156" s="66"/>
      <c r="G156" s="18"/>
      <c r="H156" s="15"/>
      <c r="I156" s="18"/>
      <c r="J156" s="22"/>
      <c r="K156" s="108"/>
      <c r="L156" s="66"/>
      <c r="M156" s="66"/>
      <c r="N156" s="66"/>
      <c r="O156" s="66"/>
      <c r="P156" s="66"/>
      <c r="Q156" s="66"/>
      <c r="R156" s="66"/>
      <c r="S156" s="66"/>
    </row>
    <row r="157">
      <c r="A157" s="66"/>
      <c r="B157" s="66"/>
      <c r="C157" s="66"/>
      <c r="D157" s="66"/>
      <c r="E157" s="15"/>
      <c r="F157" s="66"/>
      <c r="G157" s="18"/>
      <c r="H157" s="15"/>
      <c r="I157" s="18"/>
      <c r="J157" s="22"/>
      <c r="K157" s="108"/>
      <c r="L157" s="66"/>
      <c r="M157" s="66"/>
      <c r="N157" s="66"/>
      <c r="O157" s="66"/>
      <c r="P157" s="66"/>
      <c r="Q157" s="66"/>
      <c r="R157" s="66"/>
      <c r="S157" s="66"/>
    </row>
    <row r="158">
      <c r="A158" s="66"/>
      <c r="B158" s="66"/>
      <c r="C158" s="66"/>
      <c r="D158" s="66"/>
      <c r="E158" s="15"/>
      <c r="F158" s="66"/>
      <c r="G158" s="18"/>
      <c r="H158" s="15"/>
      <c r="I158" s="18"/>
      <c r="J158" s="22"/>
      <c r="K158" s="108"/>
      <c r="L158" s="66"/>
      <c r="M158" s="66"/>
      <c r="N158" s="66"/>
      <c r="O158" s="66"/>
      <c r="P158" s="66"/>
      <c r="Q158" s="66"/>
      <c r="R158" s="66"/>
      <c r="S158" s="66"/>
    </row>
    <row r="159">
      <c r="A159" s="66"/>
      <c r="B159" s="66"/>
      <c r="C159" s="66"/>
      <c r="D159" s="66"/>
      <c r="E159" s="15"/>
      <c r="F159" s="66"/>
      <c r="G159" s="18"/>
      <c r="H159" s="15"/>
      <c r="I159" s="18"/>
      <c r="J159" s="22"/>
      <c r="K159" s="108"/>
      <c r="L159" s="66"/>
      <c r="M159" s="66"/>
      <c r="N159" s="66"/>
      <c r="O159" s="66"/>
      <c r="P159" s="66"/>
      <c r="Q159" s="66"/>
      <c r="R159" s="66"/>
      <c r="S159" s="66"/>
    </row>
    <row r="160">
      <c r="A160" s="66"/>
      <c r="B160" s="66"/>
      <c r="C160" s="66"/>
      <c r="D160" s="66"/>
      <c r="E160" s="15"/>
      <c r="F160" s="66"/>
      <c r="G160" s="18"/>
      <c r="H160" s="15"/>
      <c r="I160" s="18"/>
      <c r="J160" s="22"/>
      <c r="K160" s="108"/>
      <c r="L160" s="66"/>
      <c r="M160" s="66"/>
      <c r="N160" s="66"/>
      <c r="O160" s="66"/>
      <c r="P160" s="66"/>
      <c r="Q160" s="66"/>
      <c r="R160" s="66"/>
      <c r="S160" s="66"/>
    </row>
    <row r="161">
      <c r="A161" s="66"/>
      <c r="B161" s="66"/>
      <c r="C161" s="66"/>
      <c r="D161" s="66"/>
      <c r="E161" s="15"/>
      <c r="F161" s="66"/>
      <c r="G161" s="18"/>
      <c r="H161" s="15"/>
      <c r="I161" s="18"/>
      <c r="J161" s="22"/>
      <c r="K161" s="108"/>
      <c r="L161" s="66"/>
      <c r="M161" s="66"/>
      <c r="N161" s="66"/>
      <c r="O161" s="66"/>
      <c r="P161" s="66"/>
      <c r="Q161" s="66"/>
      <c r="R161" s="66"/>
      <c r="S161" s="66"/>
    </row>
    <row r="162">
      <c r="A162" s="66"/>
      <c r="B162" s="66"/>
      <c r="C162" s="66"/>
      <c r="D162" s="66"/>
      <c r="E162" s="15"/>
      <c r="F162" s="66"/>
      <c r="G162" s="18"/>
      <c r="H162" s="15"/>
      <c r="I162" s="18"/>
      <c r="J162" s="22"/>
      <c r="K162" s="108"/>
      <c r="L162" s="66"/>
      <c r="M162" s="66"/>
      <c r="N162" s="66"/>
      <c r="O162" s="66"/>
      <c r="P162" s="66"/>
      <c r="Q162" s="66"/>
      <c r="R162" s="66"/>
      <c r="S162" s="66"/>
    </row>
    <row r="163">
      <c r="A163" s="66"/>
      <c r="B163" s="66"/>
      <c r="C163" s="66"/>
      <c r="D163" s="66"/>
      <c r="E163" s="15"/>
      <c r="F163" s="66"/>
      <c r="G163" s="18"/>
      <c r="H163" s="15"/>
      <c r="I163" s="18"/>
      <c r="J163" s="22"/>
      <c r="K163" s="108"/>
      <c r="L163" s="66"/>
      <c r="M163" s="66"/>
      <c r="N163" s="66"/>
      <c r="O163" s="66"/>
      <c r="P163" s="66"/>
      <c r="Q163" s="66"/>
      <c r="R163" s="66"/>
      <c r="S163" s="66"/>
    </row>
    <row r="164">
      <c r="A164" s="66"/>
      <c r="B164" s="66"/>
      <c r="C164" s="66"/>
      <c r="D164" s="66"/>
      <c r="E164" s="15"/>
      <c r="F164" s="66"/>
      <c r="G164" s="18"/>
      <c r="H164" s="15"/>
      <c r="I164" s="18"/>
      <c r="J164" s="22"/>
      <c r="K164" s="108"/>
      <c r="L164" s="66"/>
      <c r="M164" s="66"/>
      <c r="N164" s="66"/>
      <c r="O164" s="66"/>
      <c r="P164" s="66"/>
      <c r="Q164" s="66"/>
      <c r="R164" s="66"/>
      <c r="S164" s="66"/>
    </row>
    <row r="165">
      <c r="A165" s="66"/>
      <c r="B165" s="66"/>
      <c r="C165" s="66"/>
      <c r="D165" s="66"/>
      <c r="E165" s="15"/>
      <c r="F165" s="66"/>
      <c r="G165" s="18"/>
      <c r="H165" s="15"/>
      <c r="I165" s="18"/>
      <c r="J165" s="22"/>
      <c r="K165" s="108"/>
      <c r="L165" s="66"/>
      <c r="M165" s="66"/>
      <c r="N165" s="66"/>
      <c r="O165" s="66"/>
      <c r="P165" s="66"/>
      <c r="Q165" s="66"/>
      <c r="R165" s="66"/>
      <c r="S165" s="66"/>
    </row>
    <row r="166">
      <c r="A166" s="66"/>
      <c r="B166" s="66"/>
      <c r="C166" s="66"/>
      <c r="D166" s="66"/>
      <c r="E166" s="15"/>
      <c r="F166" s="66"/>
      <c r="G166" s="18"/>
      <c r="H166" s="15"/>
      <c r="I166" s="18"/>
      <c r="J166" s="22"/>
      <c r="K166" s="108"/>
      <c r="L166" s="66"/>
      <c r="M166" s="66"/>
      <c r="N166" s="66"/>
      <c r="O166" s="66"/>
      <c r="P166" s="66"/>
      <c r="Q166" s="66"/>
      <c r="R166" s="66"/>
      <c r="S166" s="66"/>
    </row>
    <row r="167">
      <c r="A167" s="66"/>
      <c r="B167" s="66"/>
      <c r="C167" s="66"/>
      <c r="D167" s="66"/>
      <c r="E167" s="15"/>
      <c r="F167" s="66"/>
      <c r="G167" s="18"/>
      <c r="H167" s="15"/>
      <c r="I167" s="18"/>
      <c r="J167" s="22"/>
      <c r="K167" s="108"/>
      <c r="L167" s="66"/>
      <c r="M167" s="66"/>
      <c r="N167" s="66"/>
      <c r="O167" s="66"/>
      <c r="P167" s="66"/>
      <c r="Q167" s="66"/>
      <c r="R167" s="66"/>
      <c r="S167" s="66"/>
    </row>
    <row r="168">
      <c r="A168" s="66"/>
      <c r="B168" s="66"/>
      <c r="C168" s="66"/>
      <c r="D168" s="66"/>
      <c r="E168" s="15"/>
      <c r="F168" s="66"/>
      <c r="G168" s="18"/>
      <c r="H168" s="15"/>
      <c r="I168" s="18"/>
      <c r="J168" s="22"/>
      <c r="K168" s="108"/>
      <c r="L168" s="66"/>
      <c r="M168" s="66"/>
      <c r="N168" s="66"/>
      <c r="O168" s="66"/>
      <c r="P168" s="66"/>
      <c r="Q168" s="66"/>
      <c r="R168" s="66"/>
      <c r="S168" s="66"/>
    </row>
    <row r="169">
      <c r="A169" s="66"/>
      <c r="B169" s="66"/>
      <c r="C169" s="66"/>
      <c r="D169" s="66"/>
      <c r="E169" s="15"/>
      <c r="F169" s="66"/>
      <c r="G169" s="18"/>
      <c r="H169" s="15"/>
      <c r="I169" s="18"/>
      <c r="J169" s="22"/>
      <c r="K169" s="108"/>
      <c r="L169" s="66"/>
      <c r="M169" s="66"/>
      <c r="N169" s="66"/>
      <c r="O169" s="66"/>
      <c r="P169" s="66"/>
      <c r="Q169" s="66"/>
      <c r="R169" s="66"/>
      <c r="S169" s="66"/>
    </row>
    <row r="170">
      <c r="A170" s="66"/>
      <c r="B170" s="66"/>
      <c r="C170" s="66"/>
      <c r="D170" s="66"/>
      <c r="E170" s="15"/>
      <c r="F170" s="66"/>
      <c r="G170" s="18"/>
      <c r="H170" s="15"/>
      <c r="I170" s="18"/>
      <c r="J170" s="22"/>
      <c r="K170" s="108"/>
      <c r="L170" s="66"/>
      <c r="M170" s="66"/>
      <c r="N170" s="66"/>
      <c r="O170" s="66"/>
      <c r="P170" s="66"/>
      <c r="Q170" s="66"/>
      <c r="R170" s="66"/>
      <c r="S170" s="66"/>
    </row>
    <row r="171">
      <c r="A171" s="66"/>
      <c r="B171" s="66"/>
      <c r="C171" s="66"/>
      <c r="D171" s="66"/>
      <c r="E171" s="15"/>
      <c r="F171" s="66"/>
      <c r="G171" s="18"/>
      <c r="H171" s="15"/>
      <c r="I171" s="18"/>
      <c r="J171" s="22"/>
      <c r="K171" s="108"/>
      <c r="L171" s="66"/>
      <c r="M171" s="66"/>
      <c r="N171" s="66"/>
      <c r="O171" s="66"/>
      <c r="P171" s="66"/>
      <c r="Q171" s="66"/>
      <c r="R171" s="66"/>
      <c r="S171" s="66"/>
    </row>
    <row r="172">
      <c r="A172" s="66"/>
      <c r="B172" s="66"/>
      <c r="C172" s="66"/>
      <c r="D172" s="66"/>
      <c r="E172" s="15"/>
      <c r="F172" s="66"/>
      <c r="G172" s="18"/>
      <c r="H172" s="15"/>
      <c r="I172" s="18"/>
      <c r="J172" s="22"/>
      <c r="K172" s="108"/>
      <c r="L172" s="66"/>
      <c r="M172" s="66"/>
      <c r="N172" s="66"/>
      <c r="O172" s="66"/>
      <c r="P172" s="66"/>
      <c r="Q172" s="66"/>
      <c r="R172" s="66"/>
      <c r="S172" s="66"/>
    </row>
    <row r="173">
      <c r="A173" s="66"/>
      <c r="B173" s="66"/>
      <c r="C173" s="66"/>
      <c r="D173" s="66"/>
      <c r="E173" s="15"/>
      <c r="F173" s="66"/>
      <c r="G173" s="18"/>
      <c r="H173" s="15"/>
      <c r="I173" s="18"/>
      <c r="J173" s="22"/>
      <c r="K173" s="108"/>
      <c r="L173" s="66"/>
      <c r="M173" s="66"/>
      <c r="N173" s="66"/>
      <c r="O173" s="66"/>
      <c r="P173" s="66"/>
      <c r="Q173" s="66"/>
      <c r="R173" s="66"/>
      <c r="S173" s="66"/>
    </row>
    <row r="174">
      <c r="A174" s="66"/>
      <c r="B174" s="66"/>
      <c r="C174" s="66"/>
      <c r="D174" s="66"/>
      <c r="E174" s="15"/>
      <c r="F174" s="66"/>
      <c r="G174" s="18"/>
      <c r="H174" s="15"/>
      <c r="I174" s="18"/>
      <c r="J174" s="22"/>
      <c r="K174" s="108"/>
      <c r="L174" s="66"/>
      <c r="M174" s="66"/>
      <c r="N174" s="66"/>
      <c r="O174" s="66"/>
      <c r="P174" s="66"/>
      <c r="Q174" s="66"/>
      <c r="R174" s="66"/>
      <c r="S174" s="66"/>
    </row>
    <row r="175">
      <c r="A175" s="66"/>
      <c r="B175" s="66"/>
      <c r="C175" s="66"/>
      <c r="D175" s="66"/>
      <c r="E175" s="15"/>
      <c r="F175" s="66"/>
      <c r="G175" s="18"/>
      <c r="H175" s="15"/>
      <c r="I175" s="18"/>
      <c r="J175" s="22"/>
      <c r="K175" s="108"/>
      <c r="L175" s="66"/>
      <c r="M175" s="66"/>
      <c r="N175" s="66"/>
      <c r="O175" s="66"/>
      <c r="P175" s="66"/>
      <c r="Q175" s="66"/>
      <c r="R175" s="66"/>
      <c r="S175" s="66"/>
    </row>
    <row r="176">
      <c r="A176" s="66"/>
      <c r="B176" s="66"/>
      <c r="C176" s="66"/>
      <c r="D176" s="66"/>
      <c r="E176" s="15"/>
      <c r="F176" s="66"/>
      <c r="G176" s="18"/>
      <c r="H176" s="15"/>
      <c r="I176" s="18"/>
      <c r="J176" s="22"/>
      <c r="K176" s="108"/>
      <c r="L176" s="66"/>
      <c r="M176" s="66"/>
      <c r="N176" s="66"/>
      <c r="O176" s="66"/>
      <c r="P176" s="66"/>
      <c r="Q176" s="66"/>
      <c r="R176" s="66"/>
      <c r="S176" s="66"/>
    </row>
    <row r="177">
      <c r="A177" s="66"/>
      <c r="B177" s="66"/>
      <c r="C177" s="66"/>
      <c r="D177" s="66"/>
      <c r="E177" s="15"/>
      <c r="F177" s="66"/>
      <c r="G177" s="18"/>
      <c r="H177" s="15"/>
      <c r="I177" s="18"/>
      <c r="J177" s="22"/>
      <c r="K177" s="108"/>
      <c r="L177" s="66"/>
      <c r="M177" s="66"/>
      <c r="N177" s="66"/>
      <c r="O177" s="66"/>
      <c r="P177" s="66"/>
      <c r="Q177" s="66"/>
      <c r="R177" s="66"/>
      <c r="S177" s="66"/>
    </row>
    <row r="178">
      <c r="A178" s="66"/>
      <c r="B178" s="66"/>
      <c r="C178" s="66"/>
      <c r="D178" s="66"/>
      <c r="E178" s="15"/>
      <c r="F178" s="66"/>
      <c r="G178" s="18"/>
      <c r="H178" s="15"/>
      <c r="I178" s="18"/>
      <c r="J178" s="22"/>
      <c r="K178" s="108"/>
      <c r="L178" s="66"/>
      <c r="M178" s="66"/>
      <c r="N178" s="66"/>
      <c r="O178" s="66"/>
      <c r="P178" s="66"/>
      <c r="Q178" s="66"/>
      <c r="R178" s="66"/>
      <c r="S178" s="66"/>
    </row>
    <row r="179">
      <c r="A179" s="66"/>
      <c r="B179" s="66"/>
      <c r="C179" s="66"/>
      <c r="D179" s="66"/>
      <c r="E179" s="15"/>
      <c r="F179" s="66"/>
      <c r="G179" s="18"/>
      <c r="H179" s="15"/>
      <c r="I179" s="18"/>
      <c r="J179" s="22"/>
      <c r="K179" s="108"/>
      <c r="L179" s="66"/>
      <c r="M179" s="66"/>
      <c r="N179" s="66"/>
      <c r="O179" s="66"/>
      <c r="P179" s="66"/>
      <c r="Q179" s="66"/>
      <c r="R179" s="66"/>
      <c r="S179" s="66"/>
    </row>
    <row r="180">
      <c r="A180" s="66"/>
      <c r="B180" s="66"/>
      <c r="C180" s="66"/>
      <c r="D180" s="66"/>
      <c r="E180" s="15"/>
      <c r="F180" s="66"/>
      <c r="G180" s="18"/>
      <c r="H180" s="15"/>
      <c r="I180" s="18"/>
      <c r="J180" s="22"/>
      <c r="K180" s="108"/>
      <c r="L180" s="66"/>
      <c r="M180" s="66"/>
      <c r="N180" s="66"/>
      <c r="O180" s="66"/>
      <c r="P180" s="66"/>
      <c r="Q180" s="66"/>
      <c r="R180" s="66"/>
      <c r="S180" s="66"/>
    </row>
    <row r="181">
      <c r="A181" s="66"/>
      <c r="B181" s="66"/>
      <c r="C181" s="66"/>
      <c r="D181" s="66"/>
      <c r="E181" s="15"/>
      <c r="F181" s="66"/>
      <c r="G181" s="18"/>
      <c r="H181" s="15"/>
      <c r="I181" s="18"/>
      <c r="J181" s="22"/>
      <c r="K181" s="108"/>
      <c r="L181" s="66"/>
      <c r="M181" s="66"/>
      <c r="N181" s="66"/>
      <c r="O181" s="66"/>
      <c r="P181" s="66"/>
      <c r="Q181" s="66"/>
      <c r="R181" s="66"/>
      <c r="S181" s="66"/>
    </row>
    <row r="182">
      <c r="A182" s="66"/>
      <c r="B182" s="66"/>
      <c r="C182" s="66"/>
      <c r="D182" s="66"/>
      <c r="E182" s="15"/>
      <c r="F182" s="66"/>
      <c r="G182" s="18"/>
      <c r="H182" s="15"/>
      <c r="I182" s="18"/>
      <c r="J182" s="22"/>
      <c r="K182" s="108"/>
      <c r="L182" s="66"/>
      <c r="M182" s="66"/>
      <c r="N182" s="66"/>
      <c r="O182" s="66"/>
      <c r="P182" s="66"/>
      <c r="Q182" s="66"/>
      <c r="R182" s="66"/>
      <c r="S182" s="66"/>
    </row>
    <row r="183">
      <c r="A183" s="66"/>
      <c r="B183" s="66"/>
      <c r="C183" s="66"/>
      <c r="D183" s="66"/>
      <c r="E183" s="15"/>
      <c r="F183" s="66"/>
      <c r="G183" s="18"/>
      <c r="H183" s="15"/>
      <c r="I183" s="18"/>
      <c r="J183" s="22"/>
      <c r="K183" s="108"/>
      <c r="L183" s="66"/>
      <c r="M183" s="66"/>
      <c r="N183" s="66"/>
      <c r="O183" s="66"/>
      <c r="P183" s="66"/>
      <c r="Q183" s="66"/>
      <c r="R183" s="66"/>
      <c r="S183" s="66"/>
    </row>
    <row r="184">
      <c r="A184" s="66"/>
      <c r="B184" s="66"/>
      <c r="C184" s="66"/>
      <c r="D184" s="66"/>
      <c r="E184" s="15"/>
      <c r="F184" s="66"/>
      <c r="G184" s="18"/>
      <c r="H184" s="15"/>
      <c r="I184" s="18"/>
      <c r="J184" s="22"/>
      <c r="K184" s="108"/>
      <c r="L184" s="66"/>
      <c r="M184" s="66"/>
      <c r="N184" s="66"/>
      <c r="O184" s="66"/>
      <c r="P184" s="66"/>
      <c r="Q184" s="66"/>
      <c r="R184" s="66"/>
      <c r="S184" s="66"/>
    </row>
    <row r="185">
      <c r="A185" s="66"/>
      <c r="B185" s="66"/>
      <c r="C185" s="66"/>
      <c r="D185" s="66"/>
      <c r="E185" s="15"/>
      <c r="F185" s="66"/>
      <c r="G185" s="18"/>
      <c r="H185" s="15"/>
      <c r="I185" s="18"/>
      <c r="J185" s="22"/>
      <c r="K185" s="108"/>
      <c r="L185" s="66"/>
      <c r="M185" s="66"/>
      <c r="N185" s="66"/>
      <c r="O185" s="66"/>
      <c r="P185" s="66"/>
      <c r="Q185" s="66"/>
      <c r="R185" s="66"/>
      <c r="S185" s="66"/>
    </row>
    <row r="186">
      <c r="A186" s="66"/>
      <c r="B186" s="66"/>
      <c r="C186" s="66"/>
      <c r="D186" s="66"/>
      <c r="E186" s="15"/>
      <c r="F186" s="66"/>
      <c r="G186" s="18"/>
      <c r="H186" s="15"/>
      <c r="I186" s="18"/>
      <c r="J186" s="22"/>
      <c r="K186" s="108"/>
      <c r="L186" s="66"/>
      <c r="M186" s="66"/>
      <c r="N186" s="66"/>
      <c r="O186" s="66"/>
      <c r="P186" s="66"/>
      <c r="Q186" s="66"/>
      <c r="R186" s="66"/>
      <c r="S186" s="66"/>
    </row>
    <row r="187">
      <c r="A187" s="66"/>
      <c r="B187" s="66"/>
      <c r="C187" s="66"/>
      <c r="D187" s="66"/>
      <c r="E187" s="15"/>
      <c r="F187" s="66"/>
      <c r="G187" s="18"/>
      <c r="H187" s="15"/>
      <c r="I187" s="18"/>
      <c r="J187" s="22"/>
      <c r="K187" s="108"/>
      <c r="L187" s="66"/>
      <c r="M187" s="66"/>
      <c r="N187" s="66"/>
      <c r="O187" s="66"/>
      <c r="P187" s="66"/>
      <c r="Q187" s="66"/>
      <c r="R187" s="66"/>
      <c r="S187" s="66"/>
    </row>
    <row r="188">
      <c r="A188" s="66"/>
      <c r="B188" s="66"/>
      <c r="C188" s="66"/>
      <c r="D188" s="66"/>
      <c r="E188" s="15"/>
      <c r="F188" s="66"/>
      <c r="G188" s="18"/>
      <c r="H188" s="15"/>
      <c r="I188" s="18"/>
      <c r="J188" s="22"/>
      <c r="K188" s="108"/>
      <c r="L188" s="66"/>
      <c r="M188" s="66"/>
      <c r="N188" s="66"/>
      <c r="O188" s="66"/>
      <c r="P188" s="66"/>
      <c r="Q188" s="66"/>
      <c r="R188" s="66"/>
      <c r="S188" s="66"/>
    </row>
    <row r="189">
      <c r="A189" s="66"/>
      <c r="B189" s="66"/>
      <c r="C189" s="66"/>
      <c r="D189" s="66"/>
      <c r="E189" s="15"/>
      <c r="F189" s="66"/>
      <c r="G189" s="18"/>
      <c r="H189" s="15"/>
      <c r="I189" s="18"/>
      <c r="J189" s="22"/>
      <c r="K189" s="108"/>
      <c r="L189" s="66"/>
      <c r="M189" s="66"/>
      <c r="N189" s="66"/>
      <c r="O189" s="66"/>
      <c r="P189" s="66"/>
      <c r="Q189" s="66"/>
      <c r="R189" s="66"/>
      <c r="S189" s="66"/>
    </row>
    <row r="190">
      <c r="A190" s="66"/>
      <c r="B190" s="66"/>
      <c r="C190" s="66"/>
      <c r="D190" s="66"/>
      <c r="E190" s="15"/>
      <c r="F190" s="66"/>
      <c r="G190" s="18"/>
      <c r="H190" s="15"/>
      <c r="I190" s="18"/>
      <c r="J190" s="22"/>
      <c r="K190" s="108"/>
      <c r="L190" s="66"/>
      <c r="M190" s="66"/>
      <c r="N190" s="66"/>
      <c r="O190" s="66"/>
      <c r="P190" s="66"/>
      <c r="Q190" s="66"/>
      <c r="R190" s="66"/>
      <c r="S190" s="66"/>
    </row>
    <row r="191">
      <c r="A191" s="66"/>
      <c r="B191" s="66"/>
      <c r="C191" s="66"/>
      <c r="D191" s="66"/>
      <c r="E191" s="15"/>
      <c r="F191" s="66"/>
      <c r="G191" s="18"/>
      <c r="H191" s="15"/>
      <c r="I191" s="18"/>
      <c r="J191" s="22"/>
      <c r="K191" s="108"/>
      <c r="L191" s="66"/>
      <c r="M191" s="66"/>
      <c r="N191" s="66"/>
      <c r="O191" s="66"/>
      <c r="P191" s="66"/>
      <c r="Q191" s="66"/>
      <c r="R191" s="66"/>
      <c r="S191" s="66"/>
    </row>
    <row r="192">
      <c r="A192" s="66"/>
      <c r="B192" s="66"/>
      <c r="C192" s="66"/>
      <c r="D192" s="66"/>
      <c r="E192" s="15"/>
      <c r="F192" s="66"/>
      <c r="G192" s="18"/>
      <c r="H192" s="15"/>
      <c r="I192" s="18"/>
      <c r="J192" s="22"/>
      <c r="K192" s="108"/>
      <c r="L192" s="66"/>
      <c r="M192" s="66"/>
      <c r="N192" s="66"/>
      <c r="O192" s="66"/>
      <c r="P192" s="66"/>
      <c r="Q192" s="66"/>
      <c r="R192" s="66"/>
      <c r="S192" s="66"/>
    </row>
    <row r="193">
      <c r="A193" s="66"/>
      <c r="B193" s="66"/>
      <c r="C193" s="66"/>
      <c r="D193" s="66"/>
      <c r="E193" s="15"/>
      <c r="F193" s="66"/>
      <c r="G193" s="18"/>
      <c r="H193" s="15"/>
      <c r="I193" s="18"/>
      <c r="J193" s="22"/>
      <c r="K193" s="108"/>
      <c r="L193" s="66"/>
      <c r="M193" s="66"/>
      <c r="N193" s="66"/>
      <c r="O193" s="66"/>
      <c r="P193" s="66"/>
      <c r="Q193" s="66"/>
      <c r="R193" s="66"/>
      <c r="S193" s="66"/>
    </row>
    <row r="194">
      <c r="A194" s="66"/>
      <c r="B194" s="66"/>
      <c r="C194" s="66"/>
      <c r="D194" s="66"/>
      <c r="E194" s="15"/>
      <c r="F194" s="66"/>
      <c r="G194" s="18"/>
      <c r="H194" s="15"/>
      <c r="I194" s="18"/>
      <c r="J194" s="22"/>
      <c r="K194" s="108"/>
      <c r="L194" s="66"/>
      <c r="M194" s="66"/>
      <c r="N194" s="66"/>
      <c r="O194" s="66"/>
      <c r="P194" s="66"/>
      <c r="Q194" s="66"/>
      <c r="R194" s="66"/>
      <c r="S194" s="66"/>
    </row>
    <row r="195">
      <c r="A195" s="66"/>
      <c r="B195" s="66"/>
      <c r="C195" s="66"/>
      <c r="D195" s="66"/>
      <c r="E195" s="15"/>
      <c r="F195" s="66"/>
      <c r="G195" s="18"/>
      <c r="H195" s="15"/>
      <c r="I195" s="18"/>
      <c r="J195" s="22"/>
      <c r="K195" s="108"/>
      <c r="L195" s="66"/>
      <c r="M195" s="66"/>
      <c r="N195" s="66"/>
      <c r="O195" s="66"/>
      <c r="P195" s="66"/>
      <c r="Q195" s="66"/>
      <c r="R195" s="66"/>
      <c r="S195" s="66"/>
    </row>
    <row r="196">
      <c r="A196" s="66"/>
      <c r="B196" s="66"/>
      <c r="C196" s="66"/>
      <c r="D196" s="66"/>
      <c r="E196" s="15"/>
      <c r="F196" s="66"/>
      <c r="G196" s="18"/>
      <c r="H196" s="15"/>
      <c r="I196" s="18"/>
      <c r="J196" s="22"/>
      <c r="K196" s="108"/>
      <c r="L196" s="66"/>
      <c r="M196" s="66"/>
      <c r="N196" s="66"/>
      <c r="O196" s="66"/>
      <c r="P196" s="66"/>
      <c r="Q196" s="66"/>
      <c r="R196" s="66"/>
      <c r="S196" s="66"/>
    </row>
    <row r="197">
      <c r="A197" s="66"/>
      <c r="B197" s="66"/>
      <c r="C197" s="66"/>
      <c r="D197" s="66"/>
      <c r="E197" s="15"/>
      <c r="F197" s="66"/>
      <c r="G197" s="18"/>
      <c r="H197" s="15"/>
      <c r="I197" s="18"/>
      <c r="J197" s="22"/>
      <c r="K197" s="108"/>
      <c r="L197" s="66"/>
      <c r="M197" s="66"/>
      <c r="N197" s="66"/>
      <c r="O197" s="66"/>
      <c r="P197" s="66"/>
      <c r="Q197" s="66"/>
      <c r="R197" s="66"/>
      <c r="S197" s="66"/>
    </row>
    <row r="198">
      <c r="A198" s="66"/>
      <c r="B198" s="66"/>
      <c r="C198" s="66"/>
      <c r="D198" s="66"/>
      <c r="E198" s="15"/>
      <c r="F198" s="66"/>
      <c r="G198" s="18"/>
      <c r="H198" s="15"/>
      <c r="I198" s="18"/>
      <c r="J198" s="22"/>
      <c r="K198" s="108"/>
      <c r="L198" s="66"/>
      <c r="M198" s="66"/>
      <c r="N198" s="66"/>
      <c r="O198" s="66"/>
      <c r="P198" s="66"/>
      <c r="Q198" s="66"/>
      <c r="R198" s="66"/>
      <c r="S198" s="66"/>
    </row>
    <row r="199">
      <c r="A199" s="66"/>
      <c r="B199" s="66"/>
      <c r="C199" s="66"/>
      <c r="D199" s="66"/>
      <c r="E199" s="15"/>
      <c r="F199" s="66"/>
      <c r="G199" s="18"/>
      <c r="H199" s="15"/>
      <c r="I199" s="18"/>
      <c r="J199" s="22"/>
      <c r="K199" s="108"/>
      <c r="L199" s="66"/>
      <c r="M199" s="66"/>
      <c r="N199" s="66"/>
      <c r="O199" s="66"/>
      <c r="P199" s="66"/>
      <c r="Q199" s="66"/>
      <c r="R199" s="66"/>
      <c r="S199" s="66"/>
    </row>
    <row r="200">
      <c r="A200" s="66"/>
      <c r="B200" s="66"/>
      <c r="C200" s="66"/>
      <c r="D200" s="66"/>
      <c r="E200" s="15"/>
      <c r="F200" s="66"/>
      <c r="G200" s="18"/>
      <c r="H200" s="15"/>
      <c r="I200" s="18"/>
      <c r="J200" s="22"/>
      <c r="K200" s="108"/>
      <c r="L200" s="66"/>
      <c r="M200" s="66"/>
      <c r="N200" s="66"/>
      <c r="O200" s="66"/>
      <c r="P200" s="66"/>
      <c r="Q200" s="66"/>
      <c r="R200" s="66"/>
      <c r="S200" s="66"/>
    </row>
    <row r="201">
      <c r="A201" s="66"/>
      <c r="B201" s="66"/>
      <c r="C201" s="66"/>
      <c r="D201" s="66"/>
      <c r="E201" s="15"/>
      <c r="F201" s="66"/>
      <c r="G201" s="18"/>
      <c r="H201" s="15"/>
      <c r="I201" s="18"/>
      <c r="J201" s="22"/>
      <c r="K201" s="108"/>
      <c r="L201" s="66"/>
      <c r="M201" s="66"/>
      <c r="N201" s="66"/>
      <c r="O201" s="66"/>
      <c r="P201" s="66"/>
      <c r="Q201" s="66"/>
      <c r="R201" s="66"/>
      <c r="S201" s="66"/>
    </row>
    <row r="202">
      <c r="A202" s="66"/>
      <c r="B202" s="66"/>
      <c r="C202" s="66"/>
      <c r="D202" s="66"/>
      <c r="E202" s="15"/>
      <c r="F202" s="66"/>
      <c r="G202" s="18"/>
      <c r="H202" s="15"/>
      <c r="I202" s="18"/>
      <c r="J202" s="22"/>
      <c r="K202" s="108"/>
      <c r="L202" s="66"/>
      <c r="M202" s="66"/>
      <c r="N202" s="66"/>
      <c r="O202" s="66"/>
      <c r="P202" s="66"/>
      <c r="Q202" s="66"/>
      <c r="R202" s="66"/>
      <c r="S202" s="66"/>
    </row>
    <row r="203">
      <c r="A203" s="66"/>
      <c r="B203" s="66"/>
      <c r="C203" s="66"/>
      <c r="D203" s="66"/>
      <c r="E203" s="15"/>
      <c r="F203" s="66"/>
      <c r="G203" s="18"/>
      <c r="H203" s="15"/>
      <c r="I203" s="18"/>
      <c r="J203" s="22"/>
      <c r="K203" s="108"/>
      <c r="L203" s="66"/>
      <c r="M203" s="66"/>
      <c r="N203" s="66"/>
      <c r="O203" s="66"/>
      <c r="P203" s="66"/>
      <c r="Q203" s="66"/>
      <c r="R203" s="66"/>
      <c r="S203" s="66"/>
    </row>
    <row r="204">
      <c r="A204" s="66"/>
      <c r="B204" s="66"/>
      <c r="C204" s="66"/>
      <c r="D204" s="66"/>
      <c r="E204" s="15"/>
      <c r="F204" s="66"/>
      <c r="G204" s="18"/>
      <c r="H204" s="15"/>
      <c r="I204" s="18"/>
      <c r="J204" s="22"/>
      <c r="K204" s="108"/>
      <c r="L204" s="66"/>
      <c r="M204" s="66"/>
      <c r="N204" s="66"/>
      <c r="O204" s="66"/>
      <c r="P204" s="66"/>
      <c r="Q204" s="66"/>
      <c r="R204" s="66"/>
      <c r="S204" s="66"/>
    </row>
    <row r="205">
      <c r="A205" s="66"/>
      <c r="B205" s="66"/>
      <c r="C205" s="66"/>
      <c r="D205" s="66"/>
      <c r="E205" s="15"/>
      <c r="F205" s="66"/>
      <c r="G205" s="18"/>
      <c r="H205" s="15"/>
      <c r="I205" s="18"/>
      <c r="J205" s="22"/>
      <c r="K205" s="108"/>
      <c r="L205" s="66"/>
      <c r="M205" s="66"/>
      <c r="N205" s="66"/>
      <c r="O205" s="66"/>
      <c r="P205" s="66"/>
      <c r="Q205" s="66"/>
      <c r="R205" s="66"/>
      <c r="S205" s="66"/>
    </row>
    <row r="206">
      <c r="A206" s="66"/>
      <c r="B206" s="66"/>
      <c r="C206" s="66"/>
      <c r="D206" s="66"/>
      <c r="E206" s="15"/>
      <c r="F206" s="66"/>
      <c r="G206" s="18"/>
      <c r="H206" s="15"/>
      <c r="I206" s="18"/>
      <c r="J206" s="22"/>
      <c r="K206" s="108"/>
      <c r="L206" s="66"/>
      <c r="M206" s="66"/>
      <c r="N206" s="66"/>
      <c r="O206" s="66"/>
      <c r="P206" s="66"/>
      <c r="Q206" s="66"/>
      <c r="R206" s="66"/>
      <c r="S206" s="66"/>
    </row>
    <row r="207">
      <c r="A207" s="66"/>
      <c r="B207" s="66"/>
      <c r="C207" s="66"/>
      <c r="D207" s="66"/>
      <c r="E207" s="15"/>
      <c r="F207" s="66"/>
      <c r="G207" s="18"/>
      <c r="H207" s="15"/>
      <c r="I207" s="18"/>
      <c r="J207" s="22"/>
      <c r="K207" s="108"/>
      <c r="L207" s="66"/>
      <c r="M207" s="66"/>
      <c r="N207" s="66"/>
      <c r="O207" s="66"/>
      <c r="P207" s="66"/>
      <c r="Q207" s="66"/>
      <c r="R207" s="66"/>
      <c r="S207" s="66"/>
    </row>
    <row r="208">
      <c r="A208" s="66"/>
      <c r="B208" s="66"/>
      <c r="C208" s="66"/>
      <c r="D208" s="66"/>
      <c r="E208" s="15"/>
      <c r="F208" s="66"/>
      <c r="G208" s="18"/>
      <c r="H208" s="15"/>
      <c r="I208" s="18"/>
      <c r="J208" s="22"/>
      <c r="K208" s="108"/>
      <c r="L208" s="66"/>
      <c r="M208" s="66"/>
      <c r="N208" s="66"/>
      <c r="O208" s="66"/>
      <c r="P208" s="66"/>
      <c r="Q208" s="66"/>
      <c r="R208" s="66"/>
      <c r="S208" s="66"/>
    </row>
    <row r="209">
      <c r="A209" s="66"/>
      <c r="B209" s="66"/>
      <c r="C209" s="66"/>
      <c r="D209" s="66"/>
      <c r="E209" s="15"/>
      <c r="F209" s="66"/>
      <c r="G209" s="18"/>
      <c r="H209" s="15"/>
      <c r="I209" s="18"/>
      <c r="J209" s="22"/>
      <c r="K209" s="108"/>
      <c r="L209" s="66"/>
      <c r="M209" s="66"/>
      <c r="N209" s="66"/>
      <c r="O209" s="66"/>
      <c r="P209" s="66"/>
      <c r="Q209" s="66"/>
      <c r="R209" s="66"/>
      <c r="S209" s="66"/>
    </row>
    <row r="210">
      <c r="A210" s="66"/>
      <c r="B210" s="66"/>
      <c r="C210" s="66"/>
      <c r="D210" s="66"/>
      <c r="E210" s="15"/>
      <c r="F210" s="66"/>
      <c r="G210" s="18"/>
      <c r="H210" s="15"/>
      <c r="I210" s="18"/>
      <c r="J210" s="22"/>
      <c r="K210" s="108"/>
      <c r="L210" s="66"/>
      <c r="M210" s="66"/>
      <c r="N210" s="66"/>
      <c r="O210" s="66"/>
      <c r="P210" s="66"/>
      <c r="Q210" s="66"/>
      <c r="R210" s="66"/>
      <c r="S210" s="66"/>
    </row>
    <row r="211">
      <c r="A211" s="66"/>
      <c r="B211" s="66"/>
      <c r="C211" s="66"/>
      <c r="D211" s="66"/>
      <c r="E211" s="15"/>
      <c r="F211" s="66"/>
      <c r="G211" s="18"/>
      <c r="H211" s="15"/>
      <c r="I211" s="18"/>
      <c r="J211" s="22"/>
      <c r="K211" s="108"/>
      <c r="L211" s="66"/>
      <c r="M211" s="66"/>
      <c r="N211" s="66"/>
      <c r="O211" s="66"/>
      <c r="P211" s="66"/>
      <c r="Q211" s="66"/>
      <c r="R211" s="66"/>
      <c r="S211" s="66"/>
    </row>
    <row r="212">
      <c r="A212" s="66"/>
      <c r="B212" s="66"/>
      <c r="C212" s="66"/>
      <c r="D212" s="66"/>
      <c r="E212" s="15"/>
      <c r="F212" s="66"/>
      <c r="G212" s="18"/>
      <c r="H212" s="15"/>
      <c r="I212" s="18"/>
      <c r="J212" s="22"/>
      <c r="K212" s="108"/>
      <c r="L212" s="66"/>
      <c r="M212" s="66"/>
      <c r="N212" s="66"/>
      <c r="O212" s="66"/>
      <c r="P212" s="66"/>
      <c r="Q212" s="66"/>
      <c r="R212" s="66"/>
      <c r="S212" s="66"/>
    </row>
    <row r="213">
      <c r="A213" s="66"/>
      <c r="B213" s="66"/>
      <c r="C213" s="66"/>
      <c r="D213" s="66"/>
      <c r="E213" s="15"/>
      <c r="F213" s="66"/>
      <c r="G213" s="18"/>
      <c r="H213" s="15"/>
      <c r="I213" s="18"/>
      <c r="J213" s="22"/>
      <c r="K213" s="108"/>
      <c r="L213" s="66"/>
      <c r="M213" s="66"/>
      <c r="N213" s="66"/>
      <c r="O213" s="66"/>
      <c r="P213" s="66"/>
      <c r="Q213" s="66"/>
      <c r="R213" s="66"/>
      <c r="S213" s="66"/>
    </row>
    <row r="214">
      <c r="A214" s="66"/>
      <c r="B214" s="66"/>
      <c r="C214" s="66"/>
      <c r="D214" s="66"/>
      <c r="E214" s="15"/>
      <c r="F214" s="66"/>
      <c r="G214" s="18"/>
      <c r="H214" s="15"/>
      <c r="I214" s="18"/>
      <c r="J214" s="22"/>
      <c r="K214" s="108"/>
      <c r="L214" s="66"/>
      <c r="M214" s="66"/>
      <c r="N214" s="66"/>
      <c r="O214" s="66"/>
      <c r="P214" s="66"/>
      <c r="Q214" s="66"/>
      <c r="R214" s="66"/>
      <c r="S214" s="66"/>
    </row>
    <row r="215">
      <c r="A215" s="66"/>
      <c r="B215" s="66"/>
      <c r="C215" s="66"/>
      <c r="D215" s="66"/>
      <c r="E215" s="15"/>
      <c r="F215" s="66"/>
      <c r="G215" s="18"/>
      <c r="H215" s="15"/>
      <c r="I215" s="18"/>
      <c r="J215" s="22"/>
      <c r="K215" s="108"/>
      <c r="L215" s="66"/>
      <c r="M215" s="66"/>
      <c r="N215" s="66"/>
      <c r="O215" s="66"/>
      <c r="P215" s="66"/>
      <c r="Q215" s="66"/>
      <c r="R215" s="66"/>
      <c r="S215" s="66"/>
    </row>
    <row r="216">
      <c r="A216" s="66"/>
      <c r="B216" s="66"/>
      <c r="C216" s="66"/>
      <c r="D216" s="66"/>
      <c r="E216" s="15"/>
      <c r="F216" s="66"/>
      <c r="G216" s="18"/>
      <c r="H216" s="15"/>
      <c r="I216" s="18"/>
      <c r="J216" s="22"/>
      <c r="K216" s="108"/>
      <c r="L216" s="66"/>
      <c r="M216" s="66"/>
      <c r="N216" s="66"/>
      <c r="O216" s="66"/>
      <c r="P216" s="66"/>
      <c r="Q216" s="66"/>
      <c r="R216" s="66"/>
      <c r="S216" s="66"/>
    </row>
    <row r="217">
      <c r="A217" s="66"/>
      <c r="B217" s="66"/>
      <c r="C217" s="66"/>
      <c r="D217" s="66"/>
      <c r="E217" s="15"/>
      <c r="F217" s="66"/>
      <c r="G217" s="18"/>
      <c r="H217" s="15"/>
      <c r="I217" s="18"/>
      <c r="J217" s="22"/>
      <c r="K217" s="108"/>
      <c r="L217" s="66"/>
      <c r="M217" s="66"/>
      <c r="N217" s="66"/>
      <c r="O217" s="66"/>
      <c r="P217" s="66"/>
      <c r="Q217" s="66"/>
      <c r="R217" s="66"/>
      <c r="S217" s="66"/>
    </row>
    <row r="218">
      <c r="A218" s="66"/>
      <c r="B218" s="66"/>
      <c r="C218" s="66"/>
      <c r="D218" s="66"/>
      <c r="E218" s="15"/>
      <c r="F218" s="66"/>
      <c r="G218" s="18"/>
      <c r="H218" s="15"/>
      <c r="I218" s="18"/>
      <c r="J218" s="22"/>
      <c r="K218" s="108"/>
      <c r="L218" s="66"/>
      <c r="M218" s="66"/>
      <c r="N218" s="66"/>
      <c r="O218" s="66"/>
      <c r="P218" s="66"/>
      <c r="Q218" s="66"/>
      <c r="R218" s="66"/>
      <c r="S218" s="66"/>
    </row>
    <row r="219">
      <c r="A219" s="66"/>
      <c r="B219" s="66"/>
      <c r="C219" s="66"/>
      <c r="D219" s="66"/>
      <c r="E219" s="15"/>
      <c r="F219" s="66"/>
      <c r="G219" s="18"/>
      <c r="H219" s="15"/>
      <c r="I219" s="18"/>
      <c r="J219" s="22"/>
      <c r="K219" s="108"/>
      <c r="L219" s="66"/>
      <c r="M219" s="66"/>
      <c r="N219" s="66"/>
      <c r="O219" s="66"/>
      <c r="P219" s="66"/>
      <c r="Q219" s="66"/>
      <c r="R219" s="66"/>
      <c r="S219" s="66"/>
    </row>
    <row r="220">
      <c r="A220" s="66"/>
      <c r="B220" s="66"/>
      <c r="C220" s="66"/>
      <c r="D220" s="66"/>
      <c r="E220" s="15"/>
      <c r="F220" s="66"/>
      <c r="G220" s="18"/>
      <c r="H220" s="15"/>
      <c r="I220" s="18"/>
      <c r="J220" s="22"/>
      <c r="K220" s="108"/>
      <c r="L220" s="66"/>
      <c r="M220" s="66"/>
      <c r="N220" s="66"/>
      <c r="O220" s="66"/>
      <c r="P220" s="66"/>
      <c r="Q220" s="66"/>
      <c r="R220" s="66"/>
      <c r="S220" s="66"/>
    </row>
    <row r="221">
      <c r="A221" s="66"/>
      <c r="B221" s="66"/>
      <c r="C221" s="66"/>
      <c r="D221" s="66"/>
      <c r="E221" s="15"/>
      <c r="F221" s="66"/>
      <c r="G221" s="18"/>
      <c r="H221" s="15"/>
      <c r="I221" s="18"/>
      <c r="J221" s="22"/>
      <c r="K221" s="108"/>
      <c r="L221" s="66"/>
      <c r="M221" s="66"/>
      <c r="N221" s="66"/>
      <c r="O221" s="66"/>
      <c r="P221" s="66"/>
      <c r="Q221" s="66"/>
      <c r="R221" s="66"/>
      <c r="S221" s="66"/>
    </row>
    <row r="222">
      <c r="A222" s="66"/>
      <c r="B222" s="66"/>
      <c r="C222" s="66"/>
      <c r="D222" s="66"/>
      <c r="E222" s="15"/>
      <c r="F222" s="66"/>
      <c r="G222" s="18"/>
      <c r="H222" s="15"/>
      <c r="I222" s="18"/>
      <c r="J222" s="22"/>
      <c r="K222" s="108"/>
      <c r="L222" s="66"/>
      <c r="M222" s="66"/>
      <c r="N222" s="66"/>
      <c r="O222" s="66"/>
      <c r="P222" s="66"/>
      <c r="Q222" s="66"/>
      <c r="R222" s="66"/>
      <c r="S222" s="66"/>
    </row>
    <row r="223">
      <c r="A223" s="66"/>
      <c r="B223" s="66"/>
      <c r="C223" s="66"/>
      <c r="D223" s="66"/>
      <c r="E223" s="15"/>
      <c r="F223" s="66"/>
      <c r="G223" s="18"/>
      <c r="H223" s="15"/>
      <c r="I223" s="18"/>
      <c r="J223" s="22"/>
      <c r="K223" s="108"/>
      <c r="L223" s="66"/>
      <c r="M223" s="66"/>
      <c r="N223" s="66"/>
      <c r="O223" s="66"/>
      <c r="P223" s="66"/>
      <c r="Q223" s="66"/>
      <c r="R223" s="66"/>
      <c r="S223" s="66"/>
    </row>
    <row r="224">
      <c r="A224" s="66"/>
      <c r="B224" s="66"/>
      <c r="C224" s="66"/>
      <c r="D224" s="66"/>
      <c r="E224" s="15"/>
      <c r="F224" s="66"/>
      <c r="G224" s="18"/>
      <c r="H224" s="15"/>
      <c r="I224" s="18"/>
      <c r="J224" s="22"/>
      <c r="K224" s="108"/>
      <c r="L224" s="66"/>
      <c r="M224" s="66"/>
      <c r="N224" s="66"/>
      <c r="O224" s="66"/>
      <c r="P224" s="66"/>
      <c r="Q224" s="66"/>
      <c r="R224" s="66"/>
      <c r="S224" s="66"/>
    </row>
    <row r="225">
      <c r="A225" s="66"/>
      <c r="B225" s="66"/>
      <c r="C225" s="66"/>
      <c r="D225" s="66"/>
      <c r="E225" s="15"/>
      <c r="F225" s="66"/>
      <c r="G225" s="18"/>
      <c r="H225" s="15"/>
      <c r="I225" s="18"/>
      <c r="J225" s="22"/>
      <c r="K225" s="108"/>
      <c r="L225" s="66"/>
      <c r="M225" s="66"/>
      <c r="N225" s="66"/>
      <c r="O225" s="66"/>
      <c r="P225" s="66"/>
      <c r="Q225" s="66"/>
      <c r="R225" s="66"/>
      <c r="S225" s="66"/>
    </row>
    <row r="226">
      <c r="A226" s="66"/>
      <c r="B226" s="66"/>
      <c r="C226" s="66"/>
      <c r="D226" s="66"/>
      <c r="E226" s="15"/>
      <c r="F226" s="66"/>
      <c r="G226" s="18"/>
      <c r="H226" s="15"/>
      <c r="I226" s="18"/>
      <c r="J226" s="22"/>
      <c r="K226" s="108"/>
      <c r="L226" s="66"/>
      <c r="M226" s="66"/>
      <c r="N226" s="66"/>
      <c r="O226" s="66"/>
      <c r="P226" s="66"/>
      <c r="Q226" s="66"/>
      <c r="R226" s="66"/>
      <c r="S226" s="66"/>
    </row>
    <row r="227">
      <c r="A227" s="66"/>
      <c r="B227" s="66"/>
      <c r="C227" s="66"/>
      <c r="D227" s="66"/>
      <c r="E227" s="15"/>
      <c r="F227" s="66"/>
      <c r="G227" s="18"/>
      <c r="H227" s="15"/>
      <c r="I227" s="18"/>
      <c r="J227" s="22"/>
      <c r="K227" s="108"/>
      <c r="L227" s="66"/>
      <c r="M227" s="66"/>
      <c r="N227" s="66"/>
      <c r="O227" s="66"/>
      <c r="P227" s="66"/>
      <c r="Q227" s="66"/>
      <c r="R227" s="66"/>
      <c r="S227" s="66"/>
    </row>
    <row r="228">
      <c r="A228" s="66"/>
      <c r="B228" s="66"/>
      <c r="C228" s="66"/>
      <c r="D228" s="66"/>
      <c r="E228" s="15"/>
      <c r="F228" s="66"/>
      <c r="G228" s="18"/>
      <c r="H228" s="15"/>
      <c r="I228" s="18"/>
      <c r="J228" s="22"/>
      <c r="K228" s="108"/>
      <c r="L228" s="66"/>
      <c r="M228" s="66"/>
      <c r="N228" s="66"/>
      <c r="O228" s="66"/>
      <c r="P228" s="66"/>
      <c r="Q228" s="66"/>
      <c r="R228" s="66"/>
      <c r="S228" s="66"/>
    </row>
    <row r="229">
      <c r="A229" s="66"/>
      <c r="B229" s="66"/>
      <c r="C229" s="66"/>
      <c r="D229" s="66"/>
      <c r="E229" s="15"/>
      <c r="F229" s="66"/>
      <c r="G229" s="18"/>
      <c r="H229" s="15"/>
      <c r="I229" s="18"/>
      <c r="J229" s="22"/>
      <c r="K229" s="108"/>
      <c r="L229" s="66"/>
      <c r="M229" s="66"/>
      <c r="N229" s="66"/>
      <c r="O229" s="66"/>
      <c r="P229" s="66"/>
      <c r="Q229" s="66"/>
      <c r="R229" s="66"/>
      <c r="S229" s="66"/>
    </row>
    <row r="230">
      <c r="A230" s="66"/>
      <c r="B230" s="66"/>
      <c r="C230" s="66"/>
      <c r="D230" s="66"/>
      <c r="E230" s="15"/>
      <c r="F230" s="66"/>
      <c r="G230" s="18"/>
      <c r="H230" s="15"/>
      <c r="I230" s="18"/>
      <c r="J230" s="22"/>
      <c r="K230" s="108"/>
      <c r="L230" s="66"/>
      <c r="M230" s="66"/>
      <c r="N230" s="66"/>
      <c r="O230" s="66"/>
      <c r="P230" s="66"/>
      <c r="Q230" s="66"/>
      <c r="R230" s="66"/>
      <c r="S230" s="66"/>
    </row>
    <row r="231">
      <c r="A231" s="66"/>
      <c r="B231" s="66"/>
      <c r="C231" s="66"/>
      <c r="D231" s="66"/>
      <c r="E231" s="15"/>
      <c r="F231" s="66"/>
      <c r="G231" s="18"/>
      <c r="H231" s="15"/>
      <c r="I231" s="18"/>
      <c r="J231" s="22"/>
      <c r="K231" s="108"/>
      <c r="L231" s="66"/>
      <c r="M231" s="66"/>
      <c r="N231" s="66"/>
      <c r="O231" s="66"/>
      <c r="P231" s="66"/>
      <c r="Q231" s="66"/>
      <c r="R231" s="66"/>
      <c r="S231" s="66"/>
    </row>
    <row r="232">
      <c r="A232" s="66"/>
      <c r="B232" s="66"/>
      <c r="C232" s="66"/>
      <c r="D232" s="66"/>
      <c r="E232" s="15"/>
      <c r="F232" s="66"/>
      <c r="G232" s="18"/>
      <c r="H232" s="15"/>
      <c r="I232" s="18"/>
      <c r="J232" s="22"/>
      <c r="K232" s="108"/>
      <c r="L232" s="66"/>
      <c r="M232" s="66"/>
      <c r="N232" s="66"/>
      <c r="O232" s="66"/>
      <c r="P232" s="66"/>
      <c r="Q232" s="66"/>
      <c r="R232" s="66"/>
      <c r="S232" s="66"/>
    </row>
    <row r="233">
      <c r="A233" s="66"/>
      <c r="B233" s="66"/>
      <c r="C233" s="66"/>
      <c r="D233" s="66"/>
      <c r="E233" s="15"/>
      <c r="F233" s="66"/>
      <c r="G233" s="18"/>
      <c r="H233" s="15"/>
      <c r="I233" s="18"/>
      <c r="J233" s="22"/>
      <c r="K233" s="108"/>
      <c r="L233" s="66"/>
      <c r="M233" s="66"/>
      <c r="N233" s="66"/>
      <c r="O233" s="66"/>
      <c r="P233" s="66"/>
      <c r="Q233" s="66"/>
      <c r="R233" s="66"/>
      <c r="S233" s="66"/>
    </row>
    <row r="234">
      <c r="A234" s="66"/>
      <c r="B234" s="66"/>
      <c r="C234" s="66"/>
      <c r="D234" s="66"/>
      <c r="E234" s="15"/>
      <c r="F234" s="66"/>
      <c r="G234" s="18"/>
      <c r="H234" s="15"/>
      <c r="I234" s="18"/>
      <c r="J234" s="22"/>
      <c r="K234" s="108"/>
      <c r="L234" s="66"/>
      <c r="M234" s="66"/>
      <c r="N234" s="66"/>
      <c r="O234" s="66"/>
      <c r="P234" s="66"/>
      <c r="Q234" s="66"/>
      <c r="R234" s="66"/>
      <c r="S234" s="66"/>
    </row>
    <row r="235">
      <c r="A235" s="66"/>
      <c r="B235" s="66"/>
      <c r="C235" s="66"/>
      <c r="D235" s="66"/>
      <c r="E235" s="15"/>
      <c r="F235" s="66"/>
      <c r="G235" s="18"/>
      <c r="H235" s="15"/>
      <c r="I235" s="18"/>
      <c r="J235" s="22"/>
      <c r="K235" s="108"/>
      <c r="L235" s="66"/>
      <c r="M235" s="66"/>
      <c r="N235" s="66"/>
      <c r="O235" s="66"/>
      <c r="P235" s="66"/>
      <c r="Q235" s="66"/>
      <c r="R235" s="66"/>
      <c r="S235" s="66"/>
    </row>
    <row r="236">
      <c r="A236" s="66"/>
      <c r="B236" s="66"/>
      <c r="C236" s="66"/>
      <c r="D236" s="66"/>
      <c r="E236" s="15"/>
      <c r="F236" s="66"/>
      <c r="G236" s="18"/>
      <c r="H236" s="15"/>
      <c r="I236" s="18"/>
      <c r="J236" s="22"/>
      <c r="K236" s="108"/>
      <c r="L236" s="66"/>
      <c r="M236" s="66"/>
      <c r="N236" s="66"/>
      <c r="O236" s="66"/>
      <c r="P236" s="66"/>
      <c r="Q236" s="66"/>
      <c r="R236" s="66"/>
      <c r="S236" s="66"/>
    </row>
    <row r="237">
      <c r="A237" s="66"/>
      <c r="B237" s="66"/>
      <c r="C237" s="66"/>
      <c r="D237" s="66"/>
      <c r="E237" s="15"/>
      <c r="F237" s="66"/>
      <c r="G237" s="18"/>
      <c r="H237" s="15"/>
      <c r="I237" s="18"/>
      <c r="J237" s="22"/>
      <c r="K237" s="108"/>
      <c r="L237" s="66"/>
      <c r="M237" s="66"/>
      <c r="N237" s="66"/>
      <c r="O237" s="66"/>
      <c r="P237" s="66"/>
      <c r="Q237" s="66"/>
      <c r="R237" s="66"/>
      <c r="S237" s="66"/>
    </row>
    <row r="238">
      <c r="A238" s="66"/>
      <c r="B238" s="66"/>
      <c r="C238" s="66"/>
      <c r="D238" s="66"/>
      <c r="E238" s="15"/>
      <c r="F238" s="66"/>
      <c r="G238" s="18"/>
      <c r="H238" s="15"/>
      <c r="I238" s="18"/>
      <c r="J238" s="22"/>
      <c r="K238" s="108"/>
      <c r="L238" s="66"/>
      <c r="M238" s="66"/>
      <c r="N238" s="66"/>
      <c r="O238" s="66"/>
      <c r="P238" s="66"/>
      <c r="Q238" s="66"/>
      <c r="R238" s="66"/>
      <c r="S238" s="66"/>
    </row>
    <row r="239">
      <c r="A239" s="66"/>
      <c r="B239" s="66"/>
      <c r="C239" s="66"/>
      <c r="D239" s="66"/>
      <c r="E239" s="15"/>
      <c r="F239" s="66"/>
      <c r="G239" s="18"/>
      <c r="H239" s="15"/>
      <c r="I239" s="18"/>
      <c r="J239" s="22"/>
      <c r="K239" s="108"/>
      <c r="L239" s="66"/>
      <c r="M239" s="66"/>
      <c r="N239" s="66"/>
      <c r="O239" s="66"/>
      <c r="P239" s="66"/>
      <c r="Q239" s="66"/>
      <c r="R239" s="66"/>
      <c r="S239" s="66"/>
    </row>
    <row r="240">
      <c r="A240" s="66"/>
      <c r="B240" s="66"/>
      <c r="C240" s="66"/>
      <c r="D240" s="66"/>
      <c r="E240" s="15"/>
      <c r="F240" s="66"/>
      <c r="G240" s="18"/>
      <c r="H240" s="15"/>
      <c r="I240" s="18"/>
      <c r="J240" s="22"/>
      <c r="K240" s="108"/>
      <c r="L240" s="66"/>
      <c r="M240" s="66"/>
      <c r="N240" s="66"/>
      <c r="O240" s="66"/>
      <c r="P240" s="66"/>
      <c r="Q240" s="66"/>
      <c r="R240" s="66"/>
      <c r="S240" s="66"/>
    </row>
    <row r="241">
      <c r="A241" s="66"/>
      <c r="B241" s="66"/>
      <c r="C241" s="66"/>
      <c r="D241" s="66"/>
      <c r="E241" s="15"/>
      <c r="F241" s="66"/>
      <c r="G241" s="18"/>
      <c r="H241" s="15"/>
      <c r="I241" s="18"/>
      <c r="J241" s="22"/>
      <c r="K241" s="108"/>
      <c r="L241" s="66"/>
      <c r="M241" s="66"/>
      <c r="N241" s="66"/>
      <c r="O241" s="66"/>
      <c r="P241" s="66"/>
      <c r="Q241" s="66"/>
      <c r="R241" s="66"/>
      <c r="S241" s="66"/>
    </row>
    <row r="242">
      <c r="A242" s="66"/>
      <c r="B242" s="66"/>
      <c r="C242" s="66"/>
      <c r="D242" s="66"/>
      <c r="E242" s="15"/>
      <c r="F242" s="66"/>
      <c r="G242" s="18"/>
      <c r="H242" s="15"/>
      <c r="I242" s="18"/>
      <c r="J242" s="22"/>
      <c r="K242" s="108"/>
      <c r="L242" s="66"/>
      <c r="M242" s="66"/>
      <c r="N242" s="66"/>
      <c r="O242" s="66"/>
      <c r="P242" s="66"/>
      <c r="Q242" s="66"/>
      <c r="R242" s="66"/>
      <c r="S242" s="66"/>
    </row>
    <row r="243">
      <c r="A243" s="66"/>
      <c r="B243" s="66"/>
      <c r="C243" s="66"/>
      <c r="D243" s="66"/>
      <c r="E243" s="15"/>
      <c r="F243" s="66"/>
      <c r="G243" s="18"/>
      <c r="H243" s="15"/>
      <c r="I243" s="18"/>
      <c r="J243" s="22"/>
      <c r="K243" s="108"/>
      <c r="L243" s="66"/>
      <c r="M243" s="66"/>
      <c r="N243" s="66"/>
      <c r="O243" s="66"/>
      <c r="P243" s="66"/>
      <c r="Q243" s="66"/>
      <c r="R243" s="66"/>
      <c r="S243" s="66"/>
    </row>
    <row r="244">
      <c r="A244" s="66"/>
      <c r="B244" s="66"/>
      <c r="C244" s="66"/>
      <c r="D244" s="66"/>
      <c r="E244" s="15"/>
      <c r="F244" s="66"/>
      <c r="G244" s="18"/>
      <c r="H244" s="15"/>
      <c r="I244" s="18"/>
      <c r="J244" s="22"/>
      <c r="K244" s="108"/>
      <c r="L244" s="66"/>
      <c r="M244" s="66"/>
      <c r="N244" s="66"/>
      <c r="O244" s="66"/>
      <c r="P244" s="66"/>
      <c r="Q244" s="66"/>
      <c r="R244" s="66"/>
      <c r="S244" s="66"/>
    </row>
    <row r="245">
      <c r="A245" s="66"/>
      <c r="B245" s="66"/>
      <c r="C245" s="66"/>
      <c r="D245" s="66"/>
      <c r="E245" s="15"/>
      <c r="F245" s="66"/>
      <c r="G245" s="18"/>
      <c r="H245" s="15"/>
      <c r="I245" s="18"/>
      <c r="J245" s="22"/>
      <c r="K245" s="108"/>
      <c r="L245" s="66"/>
      <c r="M245" s="66"/>
      <c r="N245" s="66"/>
      <c r="O245" s="66"/>
      <c r="P245" s="66"/>
      <c r="Q245" s="66"/>
      <c r="R245" s="66"/>
      <c r="S245" s="66"/>
    </row>
    <row r="246">
      <c r="A246" s="66"/>
      <c r="B246" s="66"/>
      <c r="C246" s="66"/>
      <c r="D246" s="66"/>
      <c r="E246" s="15"/>
      <c r="F246" s="66"/>
      <c r="G246" s="18"/>
      <c r="H246" s="15"/>
      <c r="I246" s="18"/>
      <c r="J246" s="22"/>
      <c r="K246" s="108"/>
      <c r="L246" s="66"/>
      <c r="M246" s="66"/>
      <c r="N246" s="66"/>
      <c r="O246" s="66"/>
      <c r="P246" s="66"/>
      <c r="Q246" s="66"/>
      <c r="R246" s="66"/>
      <c r="S246" s="66"/>
    </row>
    <row r="247">
      <c r="A247" s="66"/>
      <c r="B247" s="66"/>
      <c r="C247" s="66"/>
      <c r="D247" s="66"/>
      <c r="E247" s="15"/>
      <c r="F247" s="66"/>
      <c r="G247" s="18"/>
      <c r="H247" s="15"/>
      <c r="I247" s="18"/>
      <c r="J247" s="22"/>
      <c r="K247" s="108"/>
      <c r="L247" s="66"/>
      <c r="M247" s="66"/>
      <c r="N247" s="66"/>
      <c r="O247" s="66"/>
      <c r="P247" s="66"/>
      <c r="Q247" s="66"/>
      <c r="R247" s="66"/>
      <c r="S247" s="66"/>
    </row>
    <row r="248">
      <c r="A248" s="66"/>
      <c r="B248" s="66"/>
      <c r="C248" s="66"/>
      <c r="D248" s="66"/>
      <c r="E248" s="15"/>
      <c r="F248" s="66"/>
      <c r="G248" s="18"/>
      <c r="H248" s="15"/>
      <c r="I248" s="18"/>
      <c r="J248" s="22"/>
      <c r="K248" s="108"/>
      <c r="L248" s="66"/>
      <c r="M248" s="66"/>
      <c r="N248" s="66"/>
      <c r="O248" s="66"/>
      <c r="P248" s="66"/>
      <c r="Q248" s="66"/>
      <c r="R248" s="66"/>
      <c r="S248" s="66"/>
    </row>
    <row r="249">
      <c r="A249" s="66"/>
      <c r="B249" s="66"/>
      <c r="C249" s="66"/>
      <c r="D249" s="66"/>
      <c r="E249" s="15"/>
      <c r="F249" s="66"/>
      <c r="G249" s="18"/>
      <c r="H249" s="15"/>
      <c r="I249" s="18"/>
      <c r="J249" s="22"/>
      <c r="K249" s="108"/>
      <c r="L249" s="66"/>
      <c r="M249" s="66"/>
      <c r="N249" s="66"/>
      <c r="O249" s="66"/>
      <c r="P249" s="66"/>
      <c r="Q249" s="66"/>
      <c r="R249" s="66"/>
      <c r="S249" s="66"/>
    </row>
    <row r="250">
      <c r="A250" s="66"/>
      <c r="B250" s="66"/>
      <c r="C250" s="66"/>
      <c r="D250" s="66"/>
      <c r="E250" s="15"/>
      <c r="F250" s="66"/>
      <c r="G250" s="18"/>
      <c r="H250" s="15"/>
      <c r="I250" s="18"/>
      <c r="J250" s="22"/>
      <c r="K250" s="108"/>
      <c r="L250" s="66"/>
      <c r="M250" s="66"/>
      <c r="N250" s="66"/>
      <c r="O250" s="66"/>
      <c r="P250" s="66"/>
      <c r="Q250" s="66"/>
      <c r="R250" s="66"/>
      <c r="S250" s="66"/>
    </row>
    <row r="251">
      <c r="A251" s="66"/>
      <c r="B251" s="66"/>
      <c r="C251" s="66"/>
      <c r="D251" s="66"/>
      <c r="E251" s="15"/>
      <c r="F251" s="66"/>
      <c r="G251" s="18"/>
      <c r="H251" s="15"/>
      <c r="I251" s="18"/>
      <c r="J251" s="22"/>
      <c r="K251" s="108"/>
      <c r="L251" s="66"/>
      <c r="M251" s="66"/>
      <c r="N251" s="66"/>
      <c r="O251" s="66"/>
      <c r="P251" s="66"/>
      <c r="Q251" s="66"/>
      <c r="R251" s="66"/>
      <c r="S251" s="66"/>
    </row>
    <row r="252">
      <c r="A252" s="66"/>
      <c r="B252" s="66"/>
      <c r="C252" s="66"/>
      <c r="D252" s="66"/>
      <c r="E252" s="15"/>
      <c r="F252" s="66"/>
      <c r="G252" s="18"/>
      <c r="H252" s="15"/>
      <c r="I252" s="18"/>
      <c r="J252" s="22"/>
      <c r="K252" s="108"/>
      <c r="L252" s="66"/>
      <c r="M252" s="66"/>
      <c r="N252" s="66"/>
      <c r="O252" s="66"/>
      <c r="P252" s="66"/>
      <c r="Q252" s="66"/>
      <c r="R252" s="66"/>
      <c r="S252" s="66"/>
    </row>
    <row r="253">
      <c r="A253" s="66"/>
      <c r="B253" s="66"/>
      <c r="C253" s="66"/>
      <c r="D253" s="66"/>
      <c r="E253" s="15"/>
      <c r="F253" s="66"/>
      <c r="G253" s="18"/>
      <c r="H253" s="15"/>
      <c r="I253" s="18"/>
      <c r="J253" s="22"/>
      <c r="K253" s="108"/>
      <c r="L253" s="66"/>
      <c r="M253" s="66"/>
      <c r="N253" s="66"/>
      <c r="O253" s="66"/>
      <c r="P253" s="66"/>
      <c r="Q253" s="66"/>
      <c r="R253" s="66"/>
      <c r="S253" s="66"/>
    </row>
    <row r="254">
      <c r="A254" s="66"/>
      <c r="B254" s="66"/>
      <c r="C254" s="66"/>
      <c r="D254" s="66"/>
      <c r="E254" s="15"/>
      <c r="F254" s="66"/>
      <c r="G254" s="18"/>
      <c r="H254" s="15"/>
      <c r="I254" s="18"/>
      <c r="J254" s="22"/>
      <c r="K254" s="108"/>
      <c r="L254" s="66"/>
      <c r="M254" s="66"/>
      <c r="N254" s="66"/>
      <c r="O254" s="66"/>
      <c r="P254" s="66"/>
      <c r="Q254" s="66"/>
      <c r="R254" s="66"/>
      <c r="S254" s="66"/>
    </row>
    <row r="255">
      <c r="A255" s="66"/>
      <c r="B255" s="66"/>
      <c r="C255" s="66"/>
      <c r="D255" s="66"/>
      <c r="E255" s="15"/>
      <c r="F255" s="66"/>
      <c r="G255" s="18"/>
      <c r="H255" s="15"/>
      <c r="I255" s="18"/>
      <c r="J255" s="22"/>
      <c r="K255" s="108"/>
      <c r="L255" s="66"/>
      <c r="M255" s="66"/>
      <c r="N255" s="66"/>
      <c r="O255" s="66"/>
      <c r="P255" s="66"/>
      <c r="Q255" s="66"/>
      <c r="R255" s="66"/>
      <c r="S255" s="66"/>
    </row>
    <row r="256">
      <c r="A256" s="66"/>
      <c r="B256" s="66"/>
      <c r="C256" s="66"/>
      <c r="D256" s="66"/>
      <c r="E256" s="15"/>
      <c r="F256" s="66"/>
      <c r="G256" s="18"/>
      <c r="H256" s="15"/>
      <c r="I256" s="18"/>
      <c r="J256" s="22"/>
      <c r="K256" s="108"/>
      <c r="L256" s="66"/>
      <c r="M256" s="66"/>
      <c r="N256" s="66"/>
      <c r="O256" s="66"/>
      <c r="P256" s="66"/>
      <c r="Q256" s="66"/>
      <c r="R256" s="66"/>
      <c r="S256" s="66"/>
    </row>
    <row r="257">
      <c r="A257" s="66"/>
      <c r="B257" s="66"/>
      <c r="C257" s="66"/>
      <c r="D257" s="66"/>
      <c r="E257" s="15"/>
      <c r="F257" s="66"/>
      <c r="G257" s="18"/>
      <c r="H257" s="15"/>
      <c r="I257" s="18"/>
      <c r="J257" s="22"/>
      <c r="K257" s="108"/>
      <c r="L257" s="66"/>
      <c r="M257" s="66"/>
      <c r="N257" s="66"/>
      <c r="O257" s="66"/>
      <c r="P257" s="66"/>
      <c r="Q257" s="66"/>
      <c r="R257" s="66"/>
      <c r="S257" s="66"/>
    </row>
    <row r="258">
      <c r="A258" s="66"/>
      <c r="B258" s="66"/>
      <c r="C258" s="66"/>
      <c r="D258" s="66"/>
      <c r="E258" s="15"/>
      <c r="F258" s="66"/>
      <c r="G258" s="18"/>
      <c r="H258" s="15"/>
      <c r="I258" s="18"/>
      <c r="J258" s="22"/>
      <c r="K258" s="108"/>
      <c r="L258" s="66"/>
      <c r="M258" s="66"/>
      <c r="N258" s="66"/>
      <c r="O258" s="66"/>
      <c r="P258" s="66"/>
      <c r="Q258" s="66"/>
      <c r="R258" s="66"/>
      <c r="S258" s="66"/>
    </row>
    <row r="259">
      <c r="A259" s="66"/>
      <c r="B259" s="66"/>
      <c r="C259" s="66"/>
      <c r="D259" s="66"/>
      <c r="E259" s="15"/>
      <c r="F259" s="66"/>
      <c r="G259" s="18"/>
      <c r="H259" s="15"/>
      <c r="I259" s="18"/>
      <c r="J259" s="22"/>
      <c r="K259" s="108"/>
      <c r="L259" s="66"/>
      <c r="M259" s="66"/>
      <c r="N259" s="66"/>
      <c r="O259" s="66"/>
      <c r="P259" s="66"/>
      <c r="Q259" s="66"/>
      <c r="R259" s="66"/>
      <c r="S259" s="66"/>
    </row>
    <row r="260">
      <c r="A260" s="66"/>
      <c r="B260" s="66"/>
      <c r="C260" s="66"/>
      <c r="D260" s="66"/>
      <c r="E260" s="15"/>
      <c r="F260" s="66"/>
      <c r="G260" s="18"/>
      <c r="H260" s="15"/>
      <c r="I260" s="18"/>
      <c r="J260" s="22"/>
      <c r="K260" s="108"/>
      <c r="L260" s="66"/>
      <c r="M260" s="66"/>
      <c r="N260" s="66"/>
      <c r="O260" s="66"/>
      <c r="P260" s="66"/>
      <c r="Q260" s="66"/>
      <c r="R260" s="66"/>
      <c r="S260" s="66"/>
    </row>
    <row r="261">
      <c r="A261" s="66"/>
      <c r="B261" s="66"/>
      <c r="C261" s="66"/>
      <c r="D261" s="66"/>
      <c r="E261" s="15"/>
      <c r="F261" s="66"/>
      <c r="G261" s="18"/>
      <c r="H261" s="15"/>
      <c r="I261" s="18"/>
      <c r="J261" s="22"/>
      <c r="K261" s="108"/>
      <c r="L261" s="66"/>
      <c r="M261" s="66"/>
      <c r="N261" s="66"/>
      <c r="O261" s="66"/>
      <c r="P261" s="66"/>
      <c r="Q261" s="66"/>
      <c r="R261" s="66"/>
      <c r="S261" s="66"/>
    </row>
    <row r="262">
      <c r="A262" s="66"/>
      <c r="B262" s="66"/>
      <c r="C262" s="66"/>
      <c r="D262" s="66"/>
      <c r="E262" s="15"/>
      <c r="F262" s="66"/>
      <c r="G262" s="18"/>
      <c r="H262" s="15"/>
      <c r="I262" s="18"/>
      <c r="J262" s="22"/>
      <c r="K262" s="108"/>
      <c r="L262" s="66"/>
      <c r="M262" s="66"/>
      <c r="N262" s="66"/>
      <c r="O262" s="66"/>
      <c r="P262" s="66"/>
      <c r="Q262" s="66"/>
      <c r="R262" s="66"/>
      <c r="S262" s="66"/>
    </row>
    <row r="263">
      <c r="A263" s="66"/>
      <c r="B263" s="66"/>
      <c r="C263" s="66"/>
      <c r="D263" s="66"/>
      <c r="E263" s="15"/>
      <c r="F263" s="66"/>
      <c r="G263" s="18"/>
      <c r="H263" s="15"/>
      <c r="I263" s="18"/>
      <c r="J263" s="22"/>
      <c r="K263" s="108"/>
      <c r="L263" s="66"/>
      <c r="M263" s="66"/>
      <c r="N263" s="66"/>
      <c r="O263" s="66"/>
      <c r="P263" s="66"/>
      <c r="Q263" s="66"/>
      <c r="R263" s="66"/>
      <c r="S263" s="66"/>
    </row>
    <row r="264">
      <c r="A264" s="66"/>
      <c r="B264" s="66"/>
      <c r="C264" s="66"/>
      <c r="D264" s="66"/>
      <c r="E264" s="15"/>
      <c r="F264" s="66"/>
      <c r="G264" s="18"/>
      <c r="H264" s="15"/>
      <c r="I264" s="18"/>
      <c r="J264" s="22"/>
      <c r="K264" s="108"/>
      <c r="L264" s="66"/>
      <c r="M264" s="66"/>
      <c r="N264" s="66"/>
      <c r="O264" s="66"/>
      <c r="P264" s="66"/>
      <c r="Q264" s="66"/>
      <c r="R264" s="66"/>
      <c r="S264" s="66"/>
    </row>
    <row r="265">
      <c r="A265" s="66"/>
      <c r="B265" s="66"/>
      <c r="C265" s="66"/>
      <c r="D265" s="66"/>
      <c r="E265" s="15"/>
      <c r="F265" s="66"/>
      <c r="G265" s="18"/>
      <c r="H265" s="15"/>
      <c r="I265" s="18"/>
      <c r="J265" s="22"/>
      <c r="K265" s="108"/>
      <c r="L265" s="66"/>
      <c r="M265" s="66"/>
      <c r="N265" s="66"/>
      <c r="O265" s="66"/>
      <c r="P265" s="66"/>
      <c r="Q265" s="66"/>
      <c r="R265" s="66"/>
      <c r="S265" s="66"/>
    </row>
    <row r="266">
      <c r="A266" s="66"/>
      <c r="B266" s="66"/>
      <c r="C266" s="66"/>
      <c r="D266" s="66"/>
      <c r="E266" s="15"/>
      <c r="F266" s="66"/>
      <c r="G266" s="18"/>
      <c r="H266" s="15"/>
      <c r="I266" s="18"/>
      <c r="J266" s="22"/>
      <c r="K266" s="108"/>
      <c r="L266" s="66"/>
      <c r="M266" s="66"/>
      <c r="N266" s="66"/>
      <c r="O266" s="66"/>
      <c r="P266" s="66"/>
      <c r="Q266" s="66"/>
      <c r="R266" s="66"/>
      <c r="S266" s="66"/>
    </row>
    <row r="267">
      <c r="A267" s="66"/>
      <c r="B267" s="66"/>
      <c r="C267" s="66"/>
      <c r="D267" s="66"/>
      <c r="E267" s="15"/>
      <c r="F267" s="66"/>
      <c r="G267" s="18"/>
      <c r="H267" s="15"/>
      <c r="I267" s="18"/>
      <c r="J267" s="22"/>
      <c r="K267" s="108"/>
      <c r="L267" s="66"/>
      <c r="M267" s="66"/>
      <c r="N267" s="66"/>
      <c r="O267" s="66"/>
      <c r="P267" s="66"/>
      <c r="Q267" s="66"/>
      <c r="R267" s="66"/>
      <c r="S267" s="66"/>
    </row>
    <row r="268">
      <c r="A268" s="66"/>
      <c r="B268" s="66"/>
      <c r="C268" s="66"/>
      <c r="D268" s="66"/>
      <c r="E268" s="15"/>
      <c r="F268" s="66"/>
      <c r="G268" s="18"/>
      <c r="H268" s="15"/>
      <c r="I268" s="18"/>
      <c r="J268" s="22"/>
      <c r="K268" s="108"/>
      <c r="L268" s="66"/>
      <c r="M268" s="66"/>
      <c r="N268" s="66"/>
      <c r="O268" s="66"/>
      <c r="P268" s="66"/>
      <c r="Q268" s="66"/>
      <c r="R268" s="66"/>
      <c r="S268" s="66"/>
    </row>
    <row r="269">
      <c r="A269" s="66"/>
      <c r="B269" s="66"/>
      <c r="C269" s="66"/>
      <c r="D269" s="66"/>
      <c r="E269" s="15"/>
      <c r="F269" s="66"/>
      <c r="G269" s="18"/>
      <c r="H269" s="15"/>
      <c r="I269" s="18"/>
      <c r="J269" s="22"/>
      <c r="K269" s="108"/>
      <c r="L269" s="66"/>
      <c r="M269" s="66"/>
      <c r="N269" s="66"/>
      <c r="O269" s="66"/>
      <c r="P269" s="66"/>
      <c r="Q269" s="66"/>
      <c r="R269" s="66"/>
      <c r="S269" s="66"/>
    </row>
    <row r="270">
      <c r="A270" s="66"/>
      <c r="B270" s="66"/>
      <c r="C270" s="66"/>
      <c r="D270" s="66"/>
      <c r="E270" s="15"/>
      <c r="F270" s="66"/>
      <c r="G270" s="18"/>
      <c r="H270" s="15"/>
      <c r="I270" s="18"/>
      <c r="J270" s="22"/>
      <c r="K270" s="108"/>
      <c r="L270" s="66"/>
      <c r="M270" s="66"/>
      <c r="N270" s="66"/>
      <c r="O270" s="66"/>
      <c r="P270" s="66"/>
      <c r="Q270" s="66"/>
      <c r="R270" s="66"/>
      <c r="S270" s="66"/>
    </row>
    <row r="271">
      <c r="A271" s="66"/>
      <c r="B271" s="66"/>
      <c r="C271" s="66"/>
      <c r="D271" s="66"/>
      <c r="E271" s="15"/>
      <c r="F271" s="66"/>
      <c r="G271" s="18"/>
      <c r="H271" s="15"/>
      <c r="I271" s="18"/>
      <c r="J271" s="22"/>
      <c r="K271" s="108"/>
      <c r="L271" s="66"/>
      <c r="M271" s="66"/>
      <c r="N271" s="66"/>
      <c r="O271" s="66"/>
      <c r="P271" s="66"/>
      <c r="Q271" s="66"/>
      <c r="R271" s="66"/>
      <c r="S271" s="66"/>
    </row>
    <row r="272">
      <c r="A272" s="66"/>
      <c r="B272" s="66"/>
      <c r="C272" s="66"/>
      <c r="D272" s="66"/>
      <c r="E272" s="15"/>
      <c r="F272" s="66"/>
      <c r="G272" s="18"/>
      <c r="H272" s="15"/>
      <c r="I272" s="18"/>
      <c r="J272" s="22"/>
      <c r="K272" s="108"/>
      <c r="L272" s="66"/>
      <c r="M272" s="66"/>
      <c r="N272" s="66"/>
      <c r="O272" s="66"/>
      <c r="P272" s="66"/>
      <c r="Q272" s="66"/>
      <c r="R272" s="66"/>
      <c r="S272" s="66"/>
    </row>
    <row r="273">
      <c r="A273" s="66"/>
      <c r="B273" s="66"/>
      <c r="C273" s="66"/>
      <c r="D273" s="66"/>
      <c r="E273" s="15"/>
      <c r="F273" s="66"/>
      <c r="G273" s="18"/>
      <c r="H273" s="15"/>
      <c r="I273" s="18"/>
      <c r="J273" s="22"/>
      <c r="K273" s="108"/>
      <c r="L273" s="66"/>
      <c r="M273" s="66"/>
      <c r="N273" s="66"/>
      <c r="O273" s="66"/>
      <c r="P273" s="66"/>
      <c r="Q273" s="66"/>
      <c r="R273" s="66"/>
      <c r="S273" s="66"/>
    </row>
    <row r="274">
      <c r="A274" s="66"/>
      <c r="B274" s="66"/>
      <c r="C274" s="66"/>
      <c r="D274" s="66"/>
      <c r="E274" s="15"/>
      <c r="F274" s="66"/>
      <c r="G274" s="18"/>
      <c r="H274" s="15"/>
      <c r="I274" s="18"/>
      <c r="J274" s="22"/>
      <c r="K274" s="108"/>
      <c r="L274" s="66"/>
      <c r="M274" s="66"/>
      <c r="N274" s="66"/>
      <c r="O274" s="66"/>
      <c r="P274" s="66"/>
      <c r="Q274" s="66"/>
      <c r="R274" s="66"/>
      <c r="S274" s="66"/>
    </row>
    <row r="275">
      <c r="A275" s="66"/>
      <c r="B275" s="66"/>
      <c r="C275" s="66"/>
      <c r="D275" s="66"/>
      <c r="E275" s="15"/>
      <c r="F275" s="66"/>
      <c r="G275" s="18"/>
      <c r="H275" s="15"/>
      <c r="I275" s="18"/>
      <c r="J275" s="22"/>
      <c r="K275" s="108"/>
      <c r="L275" s="66"/>
      <c r="M275" s="66"/>
      <c r="N275" s="66"/>
      <c r="O275" s="66"/>
      <c r="P275" s="66"/>
      <c r="Q275" s="66"/>
      <c r="R275" s="66"/>
      <c r="S275" s="66"/>
    </row>
    <row r="276">
      <c r="A276" s="66"/>
      <c r="B276" s="66"/>
      <c r="C276" s="66"/>
      <c r="D276" s="66"/>
      <c r="E276" s="15"/>
      <c r="F276" s="66"/>
      <c r="G276" s="18"/>
      <c r="H276" s="15"/>
      <c r="I276" s="18"/>
      <c r="J276" s="22"/>
      <c r="K276" s="108"/>
      <c r="L276" s="66"/>
      <c r="M276" s="66"/>
      <c r="N276" s="66"/>
      <c r="O276" s="66"/>
      <c r="P276" s="66"/>
      <c r="Q276" s="66"/>
      <c r="R276" s="66"/>
      <c r="S276" s="66"/>
    </row>
    <row r="277">
      <c r="A277" s="66"/>
      <c r="B277" s="66"/>
      <c r="C277" s="66"/>
      <c r="D277" s="66"/>
      <c r="E277" s="15"/>
      <c r="F277" s="66"/>
      <c r="G277" s="18"/>
      <c r="H277" s="15"/>
      <c r="I277" s="18"/>
      <c r="J277" s="22"/>
      <c r="K277" s="108"/>
      <c r="L277" s="66"/>
      <c r="M277" s="66"/>
      <c r="N277" s="66"/>
      <c r="O277" s="66"/>
      <c r="P277" s="66"/>
      <c r="Q277" s="66"/>
      <c r="R277" s="66"/>
      <c r="S277" s="66"/>
    </row>
    <row r="278">
      <c r="A278" s="66"/>
      <c r="B278" s="66"/>
      <c r="C278" s="66"/>
      <c r="D278" s="66"/>
      <c r="E278" s="15"/>
      <c r="F278" s="66"/>
      <c r="G278" s="18"/>
      <c r="H278" s="15"/>
      <c r="I278" s="18"/>
      <c r="J278" s="22"/>
      <c r="K278" s="108"/>
      <c r="L278" s="66"/>
      <c r="M278" s="66"/>
      <c r="N278" s="66"/>
      <c r="O278" s="66"/>
      <c r="P278" s="66"/>
      <c r="Q278" s="66"/>
      <c r="R278" s="66"/>
      <c r="S278" s="66"/>
    </row>
    <row r="279">
      <c r="A279" s="66"/>
      <c r="B279" s="66"/>
      <c r="C279" s="66"/>
      <c r="D279" s="66"/>
      <c r="E279" s="15"/>
      <c r="F279" s="66"/>
      <c r="G279" s="18"/>
      <c r="H279" s="15"/>
      <c r="I279" s="18"/>
      <c r="J279" s="22"/>
      <c r="K279" s="108"/>
      <c r="L279" s="66"/>
      <c r="M279" s="66"/>
      <c r="N279" s="66"/>
      <c r="O279" s="66"/>
      <c r="P279" s="66"/>
      <c r="Q279" s="66"/>
      <c r="R279" s="66"/>
      <c r="S279" s="66"/>
    </row>
    <row r="280">
      <c r="A280" s="66"/>
      <c r="B280" s="66"/>
      <c r="C280" s="66"/>
      <c r="D280" s="66"/>
      <c r="E280" s="15"/>
      <c r="F280" s="66"/>
      <c r="G280" s="18"/>
      <c r="H280" s="15"/>
      <c r="I280" s="18"/>
      <c r="J280" s="22"/>
      <c r="K280" s="108"/>
      <c r="L280" s="66"/>
      <c r="M280" s="66"/>
      <c r="N280" s="66"/>
      <c r="O280" s="66"/>
      <c r="P280" s="66"/>
      <c r="Q280" s="66"/>
      <c r="R280" s="66"/>
      <c r="S280" s="66"/>
    </row>
    <row r="281">
      <c r="A281" s="66"/>
      <c r="B281" s="66"/>
      <c r="C281" s="66"/>
      <c r="D281" s="66"/>
      <c r="E281" s="15"/>
      <c r="F281" s="66"/>
      <c r="G281" s="18"/>
      <c r="H281" s="15"/>
      <c r="I281" s="18"/>
      <c r="J281" s="22"/>
      <c r="K281" s="108"/>
      <c r="L281" s="66"/>
      <c r="M281" s="66"/>
      <c r="N281" s="66"/>
      <c r="O281" s="66"/>
      <c r="P281" s="66"/>
      <c r="Q281" s="66"/>
      <c r="R281" s="66"/>
      <c r="S281" s="66"/>
    </row>
    <row r="282">
      <c r="A282" s="66"/>
      <c r="B282" s="66"/>
      <c r="C282" s="66"/>
      <c r="D282" s="66"/>
      <c r="E282" s="15"/>
      <c r="F282" s="66"/>
      <c r="G282" s="18"/>
      <c r="H282" s="15"/>
      <c r="I282" s="18"/>
      <c r="J282" s="22"/>
      <c r="K282" s="108"/>
      <c r="L282" s="66"/>
      <c r="M282" s="66"/>
      <c r="N282" s="66"/>
      <c r="O282" s="66"/>
      <c r="P282" s="66"/>
      <c r="Q282" s="66"/>
      <c r="R282" s="66"/>
      <c r="S282" s="66"/>
    </row>
    <row r="283">
      <c r="A283" s="66"/>
      <c r="B283" s="66"/>
      <c r="C283" s="66"/>
      <c r="D283" s="66"/>
      <c r="E283" s="15"/>
      <c r="F283" s="66"/>
      <c r="G283" s="18"/>
      <c r="H283" s="15"/>
      <c r="I283" s="18"/>
      <c r="J283" s="22"/>
      <c r="K283" s="108"/>
      <c r="L283" s="66"/>
      <c r="M283" s="66"/>
      <c r="N283" s="66"/>
      <c r="O283" s="66"/>
      <c r="P283" s="66"/>
      <c r="Q283" s="66"/>
      <c r="R283" s="66"/>
      <c r="S283" s="66"/>
    </row>
    <row r="284">
      <c r="A284" s="66"/>
      <c r="B284" s="66"/>
      <c r="C284" s="66"/>
      <c r="D284" s="66"/>
      <c r="E284" s="15"/>
      <c r="F284" s="66"/>
      <c r="G284" s="18"/>
      <c r="H284" s="15"/>
      <c r="I284" s="18"/>
      <c r="J284" s="22"/>
      <c r="K284" s="108"/>
      <c r="L284" s="66"/>
      <c r="M284" s="66"/>
      <c r="N284" s="66"/>
      <c r="O284" s="66"/>
      <c r="P284" s="66"/>
      <c r="Q284" s="66"/>
      <c r="R284" s="66"/>
      <c r="S284" s="66"/>
    </row>
    <row r="285">
      <c r="A285" s="66"/>
      <c r="B285" s="66"/>
      <c r="C285" s="66"/>
      <c r="D285" s="66"/>
      <c r="E285" s="15"/>
      <c r="F285" s="66"/>
      <c r="G285" s="18"/>
      <c r="H285" s="15"/>
      <c r="I285" s="18"/>
      <c r="J285" s="22"/>
      <c r="K285" s="108"/>
      <c r="L285" s="66"/>
      <c r="M285" s="66"/>
      <c r="N285" s="66"/>
      <c r="O285" s="66"/>
      <c r="P285" s="66"/>
      <c r="Q285" s="66"/>
      <c r="R285" s="66"/>
      <c r="S285" s="66"/>
    </row>
    <row r="286">
      <c r="A286" s="66"/>
      <c r="B286" s="66"/>
      <c r="C286" s="66"/>
      <c r="D286" s="66"/>
      <c r="E286" s="15"/>
      <c r="F286" s="66"/>
      <c r="G286" s="18"/>
      <c r="H286" s="15"/>
      <c r="I286" s="18"/>
      <c r="J286" s="22"/>
      <c r="K286" s="108"/>
      <c r="L286" s="66"/>
      <c r="M286" s="66"/>
      <c r="N286" s="66"/>
      <c r="O286" s="66"/>
      <c r="P286" s="66"/>
      <c r="Q286" s="66"/>
      <c r="R286" s="66"/>
      <c r="S286" s="66"/>
    </row>
    <row r="287">
      <c r="A287" s="66"/>
      <c r="B287" s="66"/>
      <c r="C287" s="66"/>
      <c r="D287" s="66"/>
      <c r="E287" s="15"/>
      <c r="F287" s="66"/>
      <c r="G287" s="18"/>
      <c r="H287" s="15"/>
      <c r="I287" s="18"/>
      <c r="J287" s="22"/>
      <c r="K287" s="108"/>
      <c r="L287" s="66"/>
      <c r="M287" s="66"/>
      <c r="N287" s="66"/>
      <c r="O287" s="66"/>
      <c r="P287" s="66"/>
      <c r="Q287" s="66"/>
      <c r="R287" s="66"/>
      <c r="S287" s="66"/>
    </row>
    <row r="288">
      <c r="A288" s="66"/>
      <c r="B288" s="66"/>
      <c r="C288" s="66"/>
      <c r="D288" s="66"/>
      <c r="E288" s="15"/>
      <c r="F288" s="66"/>
      <c r="G288" s="18"/>
      <c r="H288" s="15"/>
      <c r="I288" s="18"/>
      <c r="J288" s="22"/>
      <c r="K288" s="108"/>
      <c r="L288" s="66"/>
      <c r="M288" s="66"/>
      <c r="N288" s="66"/>
      <c r="O288" s="66"/>
      <c r="P288" s="66"/>
      <c r="Q288" s="66"/>
      <c r="R288" s="66"/>
      <c r="S288" s="66"/>
    </row>
    <row r="289">
      <c r="A289" s="66"/>
      <c r="B289" s="66"/>
      <c r="C289" s="66"/>
      <c r="D289" s="66"/>
      <c r="E289" s="15"/>
      <c r="F289" s="66"/>
      <c r="G289" s="18"/>
      <c r="H289" s="15"/>
      <c r="I289" s="18"/>
      <c r="J289" s="22"/>
      <c r="K289" s="108"/>
      <c r="L289" s="66"/>
      <c r="M289" s="66"/>
      <c r="N289" s="66"/>
      <c r="O289" s="66"/>
      <c r="P289" s="66"/>
      <c r="Q289" s="66"/>
      <c r="R289" s="66"/>
      <c r="S289" s="66"/>
    </row>
    <row r="290">
      <c r="A290" s="66"/>
      <c r="B290" s="66"/>
      <c r="C290" s="66"/>
      <c r="D290" s="66"/>
      <c r="E290" s="15"/>
      <c r="F290" s="66"/>
      <c r="G290" s="18"/>
      <c r="H290" s="15"/>
      <c r="I290" s="18"/>
      <c r="J290" s="22"/>
      <c r="K290" s="108"/>
      <c r="L290" s="66"/>
      <c r="M290" s="66"/>
      <c r="N290" s="66"/>
      <c r="O290" s="66"/>
      <c r="P290" s="66"/>
      <c r="Q290" s="66"/>
      <c r="R290" s="66"/>
      <c r="S290" s="66"/>
    </row>
    <row r="291">
      <c r="A291" s="66"/>
      <c r="B291" s="66"/>
      <c r="C291" s="66"/>
      <c r="D291" s="66"/>
      <c r="E291" s="15"/>
      <c r="F291" s="66"/>
      <c r="G291" s="18"/>
      <c r="H291" s="15"/>
      <c r="I291" s="18"/>
      <c r="J291" s="22"/>
      <c r="K291" s="108"/>
      <c r="L291" s="66"/>
      <c r="M291" s="66"/>
      <c r="N291" s="66"/>
      <c r="O291" s="66"/>
      <c r="P291" s="66"/>
      <c r="Q291" s="66"/>
      <c r="R291" s="66"/>
      <c r="S291" s="66"/>
    </row>
    <row r="292">
      <c r="A292" s="66"/>
      <c r="B292" s="66"/>
      <c r="C292" s="66"/>
      <c r="D292" s="66"/>
      <c r="E292" s="15"/>
      <c r="F292" s="66"/>
      <c r="G292" s="18"/>
      <c r="H292" s="15"/>
      <c r="I292" s="18"/>
      <c r="J292" s="22"/>
      <c r="K292" s="108"/>
      <c r="L292" s="66"/>
      <c r="M292" s="66"/>
      <c r="N292" s="66"/>
      <c r="O292" s="66"/>
      <c r="P292" s="66"/>
      <c r="Q292" s="66"/>
      <c r="R292" s="66"/>
      <c r="S292" s="66"/>
    </row>
    <row r="293">
      <c r="A293" s="66"/>
      <c r="B293" s="66"/>
      <c r="C293" s="66"/>
      <c r="D293" s="66"/>
      <c r="E293" s="15"/>
      <c r="F293" s="66"/>
      <c r="G293" s="18"/>
      <c r="H293" s="15"/>
      <c r="I293" s="18"/>
      <c r="J293" s="22"/>
      <c r="K293" s="108"/>
      <c r="L293" s="66"/>
      <c r="M293" s="66"/>
      <c r="N293" s="66"/>
      <c r="O293" s="66"/>
      <c r="P293" s="66"/>
      <c r="Q293" s="66"/>
      <c r="R293" s="66"/>
      <c r="S293" s="66"/>
    </row>
    <row r="294">
      <c r="A294" s="66"/>
      <c r="B294" s="66"/>
      <c r="C294" s="66"/>
      <c r="D294" s="66"/>
      <c r="E294" s="15"/>
      <c r="F294" s="66"/>
      <c r="G294" s="18"/>
      <c r="H294" s="15"/>
      <c r="I294" s="18"/>
      <c r="J294" s="22"/>
      <c r="K294" s="108"/>
      <c r="L294" s="66"/>
      <c r="M294" s="66"/>
      <c r="N294" s="66"/>
      <c r="O294" s="66"/>
      <c r="P294" s="66"/>
      <c r="Q294" s="66"/>
      <c r="R294" s="66"/>
      <c r="S294" s="66"/>
    </row>
    <row r="295">
      <c r="A295" s="66"/>
      <c r="B295" s="66"/>
      <c r="C295" s="66"/>
      <c r="D295" s="66"/>
      <c r="E295" s="15"/>
      <c r="F295" s="66"/>
      <c r="G295" s="18"/>
      <c r="H295" s="15"/>
      <c r="I295" s="18"/>
      <c r="J295" s="22"/>
      <c r="K295" s="108"/>
      <c r="L295" s="66"/>
      <c r="M295" s="66"/>
      <c r="N295" s="66"/>
      <c r="O295" s="66"/>
      <c r="P295" s="66"/>
      <c r="Q295" s="66"/>
      <c r="R295" s="66"/>
      <c r="S295" s="66"/>
    </row>
    <row r="296">
      <c r="A296" s="66"/>
      <c r="B296" s="66"/>
      <c r="C296" s="66"/>
      <c r="D296" s="66"/>
      <c r="E296" s="15"/>
      <c r="F296" s="66"/>
      <c r="G296" s="18"/>
      <c r="H296" s="15"/>
      <c r="I296" s="18"/>
      <c r="J296" s="22"/>
      <c r="K296" s="108"/>
      <c r="L296" s="66"/>
      <c r="M296" s="66"/>
      <c r="N296" s="66"/>
      <c r="O296" s="66"/>
      <c r="P296" s="66"/>
      <c r="Q296" s="66"/>
      <c r="R296" s="66"/>
      <c r="S296" s="66"/>
    </row>
    <row r="297">
      <c r="A297" s="66"/>
      <c r="B297" s="66"/>
      <c r="C297" s="66"/>
      <c r="D297" s="66"/>
      <c r="E297" s="15"/>
      <c r="F297" s="66"/>
      <c r="G297" s="18"/>
      <c r="H297" s="15"/>
      <c r="I297" s="18"/>
      <c r="J297" s="22"/>
      <c r="K297" s="108"/>
      <c r="L297" s="66"/>
      <c r="M297" s="66"/>
      <c r="N297" s="66"/>
      <c r="O297" s="66"/>
      <c r="P297" s="66"/>
      <c r="Q297" s="66"/>
      <c r="R297" s="66"/>
      <c r="S297" s="66"/>
    </row>
    <row r="298">
      <c r="A298" s="66"/>
      <c r="B298" s="66"/>
      <c r="C298" s="66"/>
      <c r="D298" s="66"/>
      <c r="E298" s="15"/>
      <c r="F298" s="66"/>
      <c r="G298" s="18"/>
      <c r="H298" s="15"/>
      <c r="I298" s="18"/>
      <c r="J298" s="22"/>
      <c r="K298" s="108"/>
      <c r="L298" s="66"/>
      <c r="M298" s="66"/>
      <c r="N298" s="66"/>
      <c r="O298" s="66"/>
      <c r="P298" s="66"/>
      <c r="Q298" s="66"/>
      <c r="R298" s="66"/>
      <c r="S298" s="66"/>
    </row>
    <row r="299">
      <c r="A299" s="66"/>
      <c r="B299" s="66"/>
      <c r="C299" s="66"/>
      <c r="D299" s="66"/>
      <c r="E299" s="15"/>
      <c r="F299" s="66"/>
      <c r="G299" s="18"/>
      <c r="H299" s="15"/>
      <c r="I299" s="18"/>
      <c r="J299" s="22"/>
      <c r="K299" s="108"/>
      <c r="L299" s="66"/>
      <c r="M299" s="66"/>
      <c r="N299" s="66"/>
      <c r="O299" s="66"/>
      <c r="P299" s="66"/>
      <c r="Q299" s="66"/>
      <c r="R299" s="66"/>
      <c r="S299" s="66"/>
    </row>
    <row r="300">
      <c r="A300" s="66"/>
      <c r="B300" s="66"/>
      <c r="C300" s="66"/>
      <c r="D300" s="66"/>
      <c r="E300" s="15"/>
      <c r="F300" s="66"/>
      <c r="G300" s="18"/>
      <c r="H300" s="15"/>
      <c r="I300" s="18"/>
      <c r="J300" s="22"/>
      <c r="K300" s="108"/>
      <c r="L300" s="66"/>
      <c r="M300" s="66"/>
      <c r="N300" s="66"/>
      <c r="O300" s="66"/>
      <c r="P300" s="66"/>
      <c r="Q300" s="66"/>
      <c r="R300" s="66"/>
      <c r="S300" s="66"/>
    </row>
    <row r="301">
      <c r="A301" s="66"/>
      <c r="B301" s="66"/>
      <c r="C301" s="66"/>
      <c r="D301" s="66"/>
      <c r="E301" s="15"/>
      <c r="F301" s="66"/>
      <c r="G301" s="18"/>
      <c r="H301" s="15"/>
      <c r="I301" s="18"/>
      <c r="J301" s="22"/>
      <c r="K301" s="108"/>
      <c r="L301" s="66"/>
      <c r="M301" s="66"/>
      <c r="N301" s="66"/>
      <c r="O301" s="66"/>
      <c r="P301" s="66"/>
      <c r="Q301" s="66"/>
      <c r="R301" s="66"/>
      <c r="S301" s="66"/>
    </row>
    <row r="302">
      <c r="A302" s="66"/>
      <c r="B302" s="66"/>
      <c r="C302" s="66"/>
      <c r="D302" s="66"/>
      <c r="E302" s="15"/>
      <c r="F302" s="66"/>
      <c r="G302" s="18"/>
      <c r="H302" s="15"/>
      <c r="I302" s="18"/>
      <c r="J302" s="22"/>
      <c r="K302" s="108"/>
      <c r="L302" s="66"/>
      <c r="M302" s="66"/>
      <c r="N302" s="66"/>
      <c r="O302" s="66"/>
      <c r="P302" s="66"/>
      <c r="Q302" s="66"/>
      <c r="R302" s="66"/>
      <c r="S302" s="66"/>
    </row>
    <row r="303">
      <c r="A303" s="66"/>
      <c r="B303" s="66"/>
      <c r="C303" s="66"/>
      <c r="D303" s="66"/>
      <c r="E303" s="15"/>
      <c r="F303" s="66"/>
      <c r="G303" s="18"/>
      <c r="H303" s="15"/>
      <c r="I303" s="18"/>
      <c r="J303" s="22"/>
      <c r="K303" s="108"/>
      <c r="L303" s="66"/>
      <c r="M303" s="66"/>
      <c r="N303" s="66"/>
      <c r="O303" s="66"/>
      <c r="P303" s="66"/>
      <c r="Q303" s="66"/>
      <c r="R303" s="66"/>
      <c r="S303" s="66"/>
    </row>
    <row r="304">
      <c r="A304" s="66"/>
      <c r="B304" s="66"/>
      <c r="C304" s="66"/>
      <c r="D304" s="66"/>
      <c r="E304" s="15"/>
      <c r="F304" s="66"/>
      <c r="G304" s="18"/>
      <c r="H304" s="15"/>
      <c r="I304" s="18"/>
      <c r="J304" s="22"/>
      <c r="K304" s="108"/>
      <c r="L304" s="66"/>
      <c r="M304" s="66"/>
      <c r="N304" s="66"/>
      <c r="O304" s="66"/>
      <c r="P304" s="66"/>
      <c r="Q304" s="66"/>
      <c r="R304" s="66"/>
      <c r="S304" s="66"/>
    </row>
    <row r="305">
      <c r="A305" s="66"/>
      <c r="B305" s="66"/>
      <c r="C305" s="66"/>
      <c r="D305" s="66"/>
      <c r="E305" s="15"/>
      <c r="F305" s="66"/>
      <c r="G305" s="18"/>
      <c r="H305" s="15"/>
      <c r="I305" s="18"/>
      <c r="J305" s="22"/>
      <c r="K305" s="108"/>
      <c r="L305" s="66"/>
      <c r="M305" s="66"/>
      <c r="N305" s="66"/>
      <c r="O305" s="66"/>
      <c r="P305" s="66"/>
      <c r="Q305" s="66"/>
      <c r="R305" s="66"/>
      <c r="S305" s="66"/>
    </row>
    <row r="306">
      <c r="A306" s="66"/>
      <c r="B306" s="66"/>
      <c r="C306" s="66"/>
      <c r="D306" s="66"/>
      <c r="E306" s="15"/>
      <c r="F306" s="66"/>
      <c r="G306" s="18"/>
      <c r="H306" s="15"/>
      <c r="I306" s="18"/>
      <c r="J306" s="22"/>
      <c r="K306" s="108"/>
      <c r="L306" s="66"/>
      <c r="M306" s="66"/>
      <c r="N306" s="66"/>
      <c r="O306" s="66"/>
      <c r="P306" s="66"/>
      <c r="Q306" s="66"/>
      <c r="R306" s="66"/>
      <c r="S306" s="66"/>
    </row>
    <row r="307">
      <c r="A307" s="66"/>
      <c r="B307" s="66"/>
      <c r="C307" s="66"/>
      <c r="D307" s="66"/>
      <c r="E307" s="15"/>
      <c r="F307" s="66"/>
      <c r="G307" s="18"/>
      <c r="H307" s="15"/>
      <c r="I307" s="18"/>
      <c r="J307" s="22"/>
      <c r="K307" s="108"/>
      <c r="L307" s="66"/>
      <c r="M307" s="66"/>
      <c r="N307" s="66"/>
      <c r="O307" s="66"/>
      <c r="P307" s="66"/>
      <c r="Q307" s="66"/>
      <c r="R307" s="66"/>
      <c r="S307" s="66"/>
    </row>
    <row r="308">
      <c r="A308" s="66"/>
      <c r="B308" s="66"/>
      <c r="C308" s="66"/>
      <c r="D308" s="66"/>
      <c r="E308" s="15"/>
      <c r="F308" s="66"/>
      <c r="G308" s="18"/>
      <c r="H308" s="15"/>
      <c r="I308" s="18"/>
      <c r="J308" s="22"/>
      <c r="K308" s="108"/>
      <c r="L308" s="66"/>
      <c r="M308" s="66"/>
      <c r="N308" s="66"/>
      <c r="O308" s="66"/>
      <c r="P308" s="66"/>
      <c r="Q308" s="66"/>
      <c r="R308" s="66"/>
      <c r="S308" s="66"/>
    </row>
    <row r="309">
      <c r="A309" s="66"/>
      <c r="B309" s="66"/>
      <c r="C309" s="66"/>
      <c r="D309" s="66"/>
      <c r="E309" s="15"/>
      <c r="F309" s="66"/>
      <c r="G309" s="18"/>
      <c r="H309" s="15"/>
      <c r="I309" s="18"/>
      <c r="J309" s="22"/>
      <c r="K309" s="108"/>
      <c r="L309" s="66"/>
      <c r="M309" s="66"/>
      <c r="N309" s="66"/>
      <c r="O309" s="66"/>
      <c r="P309" s="66"/>
      <c r="Q309" s="66"/>
      <c r="R309" s="66"/>
      <c r="S309" s="66"/>
    </row>
    <row r="310">
      <c r="A310" s="66"/>
      <c r="B310" s="66"/>
      <c r="C310" s="66"/>
      <c r="D310" s="66"/>
      <c r="E310" s="15"/>
      <c r="F310" s="66"/>
      <c r="G310" s="18"/>
      <c r="H310" s="15"/>
      <c r="I310" s="18"/>
      <c r="J310" s="22"/>
      <c r="K310" s="108"/>
      <c r="L310" s="66"/>
      <c r="M310" s="66"/>
      <c r="N310" s="66"/>
      <c r="O310" s="66"/>
      <c r="P310" s="66"/>
      <c r="Q310" s="66"/>
      <c r="R310" s="66"/>
      <c r="S310" s="66"/>
    </row>
    <row r="311">
      <c r="A311" s="66"/>
      <c r="B311" s="66"/>
      <c r="C311" s="66"/>
      <c r="D311" s="66"/>
      <c r="E311" s="15"/>
      <c r="F311" s="66"/>
      <c r="G311" s="18"/>
      <c r="H311" s="15"/>
      <c r="I311" s="18"/>
      <c r="J311" s="22"/>
      <c r="K311" s="108"/>
      <c r="L311" s="66"/>
      <c r="M311" s="66"/>
      <c r="N311" s="66"/>
      <c r="O311" s="66"/>
      <c r="P311" s="66"/>
      <c r="Q311" s="66"/>
      <c r="R311" s="66"/>
      <c r="S311" s="66"/>
    </row>
    <row r="312">
      <c r="A312" s="66"/>
      <c r="B312" s="66"/>
      <c r="C312" s="66"/>
      <c r="D312" s="66"/>
      <c r="E312" s="15"/>
      <c r="F312" s="66"/>
      <c r="G312" s="18"/>
      <c r="H312" s="15"/>
      <c r="I312" s="18"/>
      <c r="J312" s="22"/>
      <c r="K312" s="108"/>
      <c r="L312" s="66"/>
      <c r="M312" s="66"/>
      <c r="N312" s="66"/>
      <c r="O312" s="66"/>
      <c r="P312" s="66"/>
      <c r="Q312" s="66"/>
      <c r="R312" s="66"/>
      <c r="S312" s="66"/>
    </row>
    <row r="313">
      <c r="A313" s="66"/>
      <c r="B313" s="66"/>
      <c r="C313" s="66"/>
      <c r="D313" s="66"/>
      <c r="E313" s="15"/>
      <c r="F313" s="66"/>
      <c r="G313" s="18"/>
      <c r="H313" s="15"/>
      <c r="I313" s="18"/>
      <c r="J313" s="22"/>
      <c r="K313" s="108"/>
      <c r="L313" s="66"/>
      <c r="M313" s="66"/>
      <c r="N313" s="66"/>
      <c r="O313" s="66"/>
      <c r="P313" s="66"/>
      <c r="Q313" s="66"/>
      <c r="R313" s="66"/>
      <c r="S313" s="66"/>
    </row>
    <row r="314">
      <c r="A314" s="66"/>
      <c r="B314" s="66"/>
      <c r="C314" s="66"/>
      <c r="D314" s="66"/>
      <c r="E314" s="15"/>
      <c r="F314" s="66"/>
      <c r="G314" s="18"/>
      <c r="H314" s="15"/>
      <c r="I314" s="18"/>
      <c r="J314" s="22"/>
      <c r="K314" s="108"/>
      <c r="L314" s="66"/>
      <c r="M314" s="66"/>
      <c r="N314" s="66"/>
      <c r="O314" s="66"/>
      <c r="P314" s="66"/>
      <c r="Q314" s="66"/>
      <c r="R314" s="66"/>
      <c r="S314" s="66"/>
    </row>
    <row r="315">
      <c r="A315" s="66"/>
      <c r="B315" s="66"/>
      <c r="C315" s="66"/>
      <c r="D315" s="66"/>
      <c r="E315" s="15"/>
      <c r="F315" s="66"/>
      <c r="G315" s="18"/>
      <c r="H315" s="15"/>
      <c r="I315" s="18"/>
      <c r="J315" s="22"/>
      <c r="K315" s="108"/>
      <c r="L315" s="66"/>
      <c r="M315" s="66"/>
      <c r="N315" s="66"/>
      <c r="O315" s="66"/>
      <c r="P315" s="66"/>
      <c r="Q315" s="66"/>
      <c r="R315" s="66"/>
      <c r="S315" s="66"/>
    </row>
    <row r="316">
      <c r="A316" s="66"/>
      <c r="B316" s="66"/>
      <c r="C316" s="66"/>
      <c r="D316" s="66"/>
      <c r="E316" s="15"/>
      <c r="F316" s="66"/>
      <c r="G316" s="18"/>
      <c r="H316" s="15"/>
      <c r="I316" s="18"/>
      <c r="J316" s="22"/>
      <c r="K316" s="108"/>
      <c r="L316" s="66"/>
      <c r="M316" s="66"/>
      <c r="N316" s="66"/>
      <c r="O316" s="66"/>
      <c r="P316" s="66"/>
      <c r="Q316" s="66"/>
      <c r="R316" s="66"/>
      <c r="S316" s="66"/>
    </row>
    <row r="317">
      <c r="A317" s="66"/>
      <c r="B317" s="66"/>
      <c r="C317" s="66"/>
      <c r="D317" s="66"/>
      <c r="E317" s="15"/>
      <c r="F317" s="66"/>
      <c r="G317" s="18"/>
      <c r="H317" s="15"/>
      <c r="I317" s="18"/>
      <c r="J317" s="22"/>
      <c r="K317" s="108"/>
      <c r="L317" s="66"/>
      <c r="M317" s="66"/>
      <c r="N317" s="66"/>
      <c r="O317" s="66"/>
      <c r="P317" s="66"/>
      <c r="Q317" s="66"/>
      <c r="R317" s="66"/>
      <c r="S317" s="66"/>
    </row>
    <row r="318">
      <c r="A318" s="66"/>
      <c r="B318" s="66"/>
      <c r="C318" s="66"/>
      <c r="D318" s="66"/>
      <c r="E318" s="15"/>
      <c r="F318" s="66"/>
      <c r="G318" s="18"/>
      <c r="H318" s="15"/>
      <c r="I318" s="18"/>
      <c r="J318" s="22"/>
      <c r="K318" s="108"/>
      <c r="L318" s="66"/>
      <c r="M318" s="66"/>
      <c r="N318" s="66"/>
      <c r="O318" s="66"/>
      <c r="P318" s="66"/>
      <c r="Q318" s="66"/>
      <c r="R318" s="66"/>
      <c r="S318" s="66"/>
    </row>
    <row r="319">
      <c r="A319" s="66"/>
      <c r="B319" s="66"/>
      <c r="C319" s="66"/>
      <c r="D319" s="66"/>
      <c r="E319" s="15"/>
      <c r="F319" s="66"/>
      <c r="G319" s="18"/>
      <c r="H319" s="15"/>
      <c r="I319" s="18"/>
      <c r="J319" s="22"/>
      <c r="K319" s="108"/>
      <c r="L319" s="66"/>
      <c r="M319" s="66"/>
      <c r="N319" s="66"/>
      <c r="O319" s="66"/>
      <c r="P319" s="66"/>
      <c r="Q319" s="66"/>
      <c r="R319" s="66"/>
      <c r="S319" s="66"/>
    </row>
    <row r="320">
      <c r="A320" s="66"/>
      <c r="B320" s="66"/>
      <c r="C320" s="66"/>
      <c r="D320" s="66"/>
      <c r="E320" s="15"/>
      <c r="F320" s="66"/>
      <c r="G320" s="18"/>
      <c r="H320" s="15"/>
      <c r="I320" s="18"/>
      <c r="J320" s="22"/>
      <c r="K320" s="108"/>
      <c r="L320" s="66"/>
      <c r="M320" s="66"/>
      <c r="N320" s="66"/>
      <c r="O320" s="66"/>
      <c r="P320" s="66"/>
      <c r="Q320" s="66"/>
      <c r="R320" s="66"/>
      <c r="S320" s="66"/>
    </row>
    <row r="321">
      <c r="A321" s="66"/>
      <c r="B321" s="66"/>
      <c r="C321" s="66"/>
      <c r="D321" s="66"/>
      <c r="E321" s="15"/>
      <c r="F321" s="66"/>
      <c r="G321" s="18"/>
      <c r="H321" s="15"/>
      <c r="I321" s="18"/>
      <c r="J321" s="22"/>
      <c r="K321" s="108"/>
      <c r="L321" s="66"/>
      <c r="M321" s="66"/>
      <c r="N321" s="66"/>
      <c r="O321" s="66"/>
      <c r="P321" s="66"/>
      <c r="Q321" s="66"/>
      <c r="R321" s="66"/>
      <c r="S321" s="66"/>
    </row>
    <row r="322">
      <c r="A322" s="66"/>
      <c r="B322" s="66"/>
      <c r="C322" s="66"/>
      <c r="D322" s="66"/>
      <c r="E322" s="15"/>
      <c r="F322" s="66"/>
      <c r="G322" s="18"/>
      <c r="H322" s="15"/>
      <c r="I322" s="18"/>
      <c r="J322" s="22"/>
      <c r="K322" s="108"/>
      <c r="L322" s="66"/>
      <c r="M322" s="66"/>
      <c r="N322" s="66"/>
      <c r="O322" s="66"/>
      <c r="P322" s="66"/>
      <c r="Q322" s="66"/>
      <c r="R322" s="66"/>
      <c r="S322" s="66"/>
    </row>
    <row r="323">
      <c r="A323" s="66"/>
      <c r="B323" s="66"/>
      <c r="C323" s="66"/>
      <c r="D323" s="66"/>
      <c r="E323" s="15"/>
      <c r="F323" s="66"/>
      <c r="G323" s="18"/>
      <c r="H323" s="15"/>
      <c r="I323" s="18"/>
      <c r="J323" s="22"/>
      <c r="K323" s="108"/>
      <c r="L323" s="66"/>
      <c r="M323" s="66"/>
      <c r="N323" s="66"/>
      <c r="O323" s="66"/>
      <c r="P323" s="66"/>
      <c r="Q323" s="66"/>
      <c r="R323" s="66"/>
      <c r="S323" s="66"/>
    </row>
    <row r="324">
      <c r="A324" s="66"/>
      <c r="B324" s="66"/>
      <c r="C324" s="66"/>
      <c r="D324" s="66"/>
      <c r="E324" s="15"/>
      <c r="F324" s="66"/>
      <c r="G324" s="18"/>
      <c r="H324" s="15"/>
      <c r="I324" s="18"/>
      <c r="J324" s="22"/>
      <c r="K324" s="108"/>
      <c r="L324" s="66"/>
      <c r="M324" s="66"/>
      <c r="N324" s="66"/>
      <c r="O324" s="66"/>
      <c r="P324" s="66"/>
      <c r="Q324" s="66"/>
      <c r="R324" s="66"/>
      <c r="S324" s="66"/>
    </row>
    <row r="325">
      <c r="A325" s="66"/>
      <c r="B325" s="66"/>
      <c r="C325" s="66"/>
      <c r="D325" s="66"/>
      <c r="E325" s="15"/>
      <c r="F325" s="66"/>
      <c r="G325" s="18"/>
      <c r="H325" s="15"/>
      <c r="I325" s="18"/>
      <c r="J325" s="22"/>
      <c r="K325" s="108"/>
      <c r="L325" s="66"/>
      <c r="M325" s="66"/>
      <c r="N325" s="66"/>
      <c r="O325" s="66"/>
      <c r="P325" s="66"/>
      <c r="Q325" s="66"/>
      <c r="R325" s="66"/>
      <c r="S325" s="66"/>
    </row>
    <row r="326">
      <c r="A326" s="66"/>
      <c r="B326" s="66"/>
      <c r="C326" s="66"/>
      <c r="D326" s="66"/>
      <c r="E326" s="15"/>
      <c r="F326" s="66"/>
      <c r="G326" s="18"/>
      <c r="H326" s="15"/>
      <c r="I326" s="18"/>
      <c r="J326" s="22"/>
      <c r="K326" s="108"/>
      <c r="L326" s="66"/>
      <c r="M326" s="66"/>
      <c r="N326" s="66"/>
      <c r="O326" s="66"/>
      <c r="P326" s="66"/>
      <c r="Q326" s="66"/>
      <c r="R326" s="66"/>
      <c r="S326" s="66"/>
    </row>
    <row r="327">
      <c r="A327" s="66"/>
      <c r="B327" s="66"/>
      <c r="C327" s="66"/>
      <c r="D327" s="66"/>
      <c r="E327" s="15"/>
      <c r="F327" s="66"/>
      <c r="G327" s="18"/>
      <c r="H327" s="15"/>
      <c r="I327" s="18"/>
      <c r="J327" s="22"/>
      <c r="K327" s="108"/>
      <c r="L327" s="66"/>
      <c r="M327" s="66"/>
      <c r="N327" s="66"/>
      <c r="O327" s="66"/>
      <c r="P327" s="66"/>
      <c r="Q327" s="66"/>
      <c r="R327" s="66"/>
      <c r="S327" s="66"/>
    </row>
    <row r="328">
      <c r="A328" s="66"/>
      <c r="B328" s="66"/>
      <c r="C328" s="66"/>
      <c r="D328" s="66"/>
      <c r="E328" s="15"/>
      <c r="F328" s="66"/>
      <c r="G328" s="18"/>
      <c r="H328" s="15"/>
      <c r="I328" s="18"/>
      <c r="J328" s="22"/>
      <c r="K328" s="108"/>
      <c r="L328" s="66"/>
      <c r="M328" s="66"/>
      <c r="N328" s="66"/>
      <c r="O328" s="66"/>
      <c r="P328" s="66"/>
      <c r="Q328" s="66"/>
      <c r="R328" s="66"/>
      <c r="S328" s="66"/>
    </row>
    <row r="329">
      <c r="A329" s="66"/>
      <c r="B329" s="66"/>
      <c r="C329" s="66"/>
      <c r="D329" s="66"/>
      <c r="E329" s="15"/>
      <c r="F329" s="66"/>
      <c r="G329" s="18"/>
      <c r="H329" s="15"/>
      <c r="I329" s="18"/>
      <c r="J329" s="22"/>
      <c r="K329" s="108"/>
      <c r="L329" s="66"/>
      <c r="M329" s="66"/>
      <c r="N329" s="66"/>
      <c r="O329" s="66"/>
      <c r="P329" s="66"/>
      <c r="Q329" s="66"/>
      <c r="R329" s="66"/>
      <c r="S329" s="66"/>
    </row>
    <row r="330">
      <c r="A330" s="66"/>
      <c r="B330" s="66"/>
      <c r="C330" s="66"/>
      <c r="D330" s="66"/>
      <c r="E330" s="15"/>
      <c r="F330" s="66"/>
      <c r="G330" s="18"/>
      <c r="H330" s="15"/>
      <c r="I330" s="18"/>
      <c r="J330" s="22"/>
      <c r="K330" s="108"/>
      <c r="L330" s="66"/>
      <c r="M330" s="66"/>
      <c r="N330" s="66"/>
      <c r="O330" s="66"/>
      <c r="P330" s="66"/>
      <c r="Q330" s="66"/>
      <c r="R330" s="66"/>
      <c r="S330" s="66"/>
    </row>
    <row r="331">
      <c r="A331" s="66"/>
      <c r="B331" s="66"/>
      <c r="C331" s="66"/>
      <c r="D331" s="66"/>
      <c r="E331" s="15"/>
      <c r="F331" s="66"/>
      <c r="G331" s="18"/>
      <c r="H331" s="15"/>
      <c r="I331" s="18"/>
      <c r="J331" s="22"/>
      <c r="K331" s="108"/>
      <c r="L331" s="66"/>
      <c r="M331" s="66"/>
      <c r="N331" s="66"/>
      <c r="O331" s="66"/>
      <c r="P331" s="66"/>
      <c r="Q331" s="66"/>
      <c r="R331" s="66"/>
      <c r="S331" s="66"/>
    </row>
    <row r="332">
      <c r="A332" s="66"/>
      <c r="B332" s="66"/>
      <c r="C332" s="66"/>
      <c r="D332" s="66"/>
      <c r="E332" s="15"/>
      <c r="F332" s="66"/>
      <c r="G332" s="18"/>
      <c r="H332" s="15"/>
      <c r="I332" s="18"/>
      <c r="J332" s="22"/>
      <c r="K332" s="108"/>
      <c r="L332" s="66"/>
      <c r="M332" s="66"/>
      <c r="N332" s="66"/>
      <c r="O332" s="66"/>
      <c r="P332" s="66"/>
      <c r="Q332" s="66"/>
      <c r="R332" s="66"/>
      <c r="S332" s="66"/>
    </row>
    <row r="333">
      <c r="A333" s="66"/>
      <c r="B333" s="66"/>
      <c r="C333" s="66"/>
      <c r="D333" s="66"/>
      <c r="E333" s="15"/>
      <c r="F333" s="66"/>
      <c r="G333" s="18"/>
      <c r="H333" s="15"/>
      <c r="I333" s="18"/>
      <c r="J333" s="22"/>
      <c r="K333" s="108"/>
      <c r="L333" s="66"/>
      <c r="M333" s="66"/>
      <c r="N333" s="66"/>
      <c r="O333" s="66"/>
      <c r="P333" s="66"/>
      <c r="Q333" s="66"/>
      <c r="R333" s="66"/>
      <c r="S333" s="66"/>
    </row>
    <row r="334">
      <c r="A334" s="66"/>
      <c r="B334" s="66"/>
      <c r="C334" s="66"/>
      <c r="D334" s="66"/>
      <c r="E334" s="15"/>
      <c r="F334" s="66"/>
      <c r="G334" s="18"/>
      <c r="H334" s="15"/>
      <c r="I334" s="18"/>
      <c r="J334" s="22"/>
      <c r="K334" s="108"/>
      <c r="L334" s="66"/>
      <c r="M334" s="66"/>
      <c r="N334" s="66"/>
      <c r="O334" s="66"/>
      <c r="P334" s="66"/>
      <c r="Q334" s="66"/>
      <c r="R334" s="66"/>
      <c r="S334" s="66"/>
    </row>
    <row r="335">
      <c r="A335" s="66"/>
      <c r="B335" s="66"/>
      <c r="C335" s="66"/>
      <c r="D335" s="66"/>
      <c r="E335" s="15"/>
      <c r="F335" s="66"/>
      <c r="G335" s="18"/>
      <c r="H335" s="15"/>
      <c r="I335" s="18"/>
      <c r="J335" s="22"/>
      <c r="K335" s="108"/>
      <c r="L335" s="66"/>
      <c r="M335" s="66"/>
      <c r="N335" s="66"/>
      <c r="O335" s="66"/>
      <c r="P335" s="66"/>
      <c r="Q335" s="66"/>
      <c r="R335" s="66"/>
      <c r="S335" s="66"/>
    </row>
    <row r="336">
      <c r="A336" s="66"/>
      <c r="B336" s="66"/>
      <c r="C336" s="66"/>
      <c r="D336" s="66"/>
      <c r="E336" s="15"/>
      <c r="F336" s="66"/>
      <c r="G336" s="18"/>
      <c r="H336" s="15"/>
      <c r="I336" s="18"/>
      <c r="J336" s="22"/>
      <c r="K336" s="108"/>
      <c r="L336" s="66"/>
      <c r="M336" s="66"/>
      <c r="N336" s="66"/>
      <c r="O336" s="66"/>
      <c r="P336" s="66"/>
      <c r="Q336" s="66"/>
      <c r="R336" s="66"/>
      <c r="S336" s="66"/>
    </row>
    <row r="337">
      <c r="A337" s="66"/>
      <c r="B337" s="66"/>
      <c r="C337" s="66"/>
      <c r="D337" s="66"/>
      <c r="E337" s="15"/>
      <c r="F337" s="66"/>
      <c r="G337" s="18"/>
      <c r="H337" s="15"/>
      <c r="I337" s="18"/>
      <c r="J337" s="22"/>
      <c r="K337" s="108"/>
      <c r="L337" s="66"/>
      <c r="M337" s="66"/>
      <c r="N337" s="66"/>
      <c r="O337" s="66"/>
      <c r="P337" s="66"/>
      <c r="Q337" s="66"/>
      <c r="R337" s="66"/>
      <c r="S337" s="66"/>
    </row>
    <row r="338">
      <c r="A338" s="66"/>
      <c r="B338" s="66"/>
      <c r="C338" s="66"/>
      <c r="D338" s="66"/>
      <c r="E338" s="15"/>
      <c r="F338" s="66"/>
      <c r="G338" s="18"/>
      <c r="H338" s="15"/>
      <c r="I338" s="18"/>
      <c r="J338" s="22"/>
      <c r="K338" s="108"/>
      <c r="L338" s="66"/>
      <c r="M338" s="66"/>
      <c r="N338" s="66"/>
      <c r="O338" s="66"/>
      <c r="P338" s="66"/>
      <c r="Q338" s="66"/>
      <c r="R338" s="66"/>
      <c r="S338" s="66"/>
    </row>
    <row r="339">
      <c r="A339" s="66"/>
      <c r="B339" s="66"/>
      <c r="C339" s="66"/>
      <c r="D339" s="66"/>
      <c r="E339" s="15"/>
      <c r="F339" s="66"/>
      <c r="G339" s="18"/>
      <c r="H339" s="15"/>
      <c r="I339" s="18"/>
      <c r="J339" s="22"/>
      <c r="K339" s="108"/>
      <c r="L339" s="66"/>
      <c r="M339" s="66"/>
      <c r="N339" s="66"/>
      <c r="O339" s="66"/>
      <c r="P339" s="66"/>
      <c r="Q339" s="66"/>
      <c r="R339" s="66"/>
      <c r="S339" s="66"/>
    </row>
    <row r="340">
      <c r="A340" s="66"/>
      <c r="B340" s="66"/>
      <c r="C340" s="66"/>
      <c r="D340" s="66"/>
      <c r="E340" s="15"/>
      <c r="F340" s="66"/>
      <c r="G340" s="18"/>
      <c r="H340" s="15"/>
      <c r="I340" s="18"/>
      <c r="J340" s="22"/>
      <c r="K340" s="108"/>
      <c r="L340" s="66"/>
      <c r="M340" s="66"/>
      <c r="N340" s="66"/>
      <c r="O340" s="66"/>
      <c r="P340" s="66"/>
      <c r="Q340" s="66"/>
      <c r="R340" s="66"/>
      <c r="S340" s="66"/>
    </row>
    <row r="341">
      <c r="A341" s="66"/>
      <c r="B341" s="66"/>
      <c r="C341" s="66"/>
      <c r="D341" s="66"/>
      <c r="E341" s="15"/>
      <c r="F341" s="66"/>
      <c r="G341" s="18"/>
      <c r="H341" s="15"/>
      <c r="I341" s="18"/>
      <c r="J341" s="22"/>
      <c r="K341" s="108"/>
      <c r="L341" s="66"/>
      <c r="M341" s="66"/>
      <c r="N341" s="66"/>
      <c r="O341" s="66"/>
      <c r="P341" s="66"/>
      <c r="Q341" s="66"/>
      <c r="R341" s="66"/>
      <c r="S341" s="66"/>
    </row>
    <row r="342">
      <c r="A342" s="66"/>
      <c r="B342" s="66"/>
      <c r="C342" s="66"/>
      <c r="D342" s="66"/>
      <c r="E342" s="15"/>
      <c r="F342" s="66"/>
      <c r="G342" s="18"/>
      <c r="H342" s="15"/>
      <c r="I342" s="18"/>
      <c r="J342" s="22"/>
      <c r="K342" s="108"/>
      <c r="L342" s="66"/>
      <c r="M342" s="66"/>
      <c r="N342" s="66"/>
      <c r="O342" s="66"/>
      <c r="P342" s="66"/>
      <c r="Q342" s="66"/>
      <c r="R342" s="66"/>
      <c r="S342" s="66"/>
    </row>
    <row r="343">
      <c r="A343" s="66"/>
      <c r="B343" s="66"/>
      <c r="C343" s="66"/>
      <c r="D343" s="66"/>
      <c r="E343" s="15"/>
      <c r="F343" s="66"/>
      <c r="G343" s="18"/>
      <c r="H343" s="15"/>
      <c r="I343" s="18"/>
      <c r="J343" s="22"/>
      <c r="K343" s="108"/>
      <c r="L343" s="66"/>
      <c r="M343" s="66"/>
      <c r="N343" s="66"/>
      <c r="O343" s="66"/>
      <c r="P343" s="66"/>
      <c r="Q343" s="66"/>
      <c r="R343" s="66"/>
      <c r="S343" s="66"/>
    </row>
    <row r="344">
      <c r="A344" s="66"/>
      <c r="B344" s="66"/>
      <c r="C344" s="66"/>
      <c r="D344" s="66"/>
      <c r="E344" s="15"/>
      <c r="F344" s="66"/>
      <c r="G344" s="18"/>
      <c r="H344" s="15"/>
      <c r="I344" s="18"/>
      <c r="J344" s="22"/>
      <c r="K344" s="108"/>
      <c r="L344" s="66"/>
      <c r="M344" s="66"/>
      <c r="N344" s="66"/>
      <c r="O344" s="66"/>
      <c r="P344" s="66"/>
      <c r="Q344" s="66"/>
      <c r="R344" s="66"/>
      <c r="S344" s="66"/>
    </row>
    <row r="345">
      <c r="A345" s="66"/>
      <c r="B345" s="66"/>
      <c r="C345" s="66"/>
      <c r="D345" s="66"/>
      <c r="E345" s="15"/>
      <c r="F345" s="66"/>
      <c r="G345" s="18"/>
      <c r="H345" s="15"/>
      <c r="I345" s="18"/>
      <c r="J345" s="22"/>
      <c r="K345" s="108"/>
      <c r="L345" s="66"/>
      <c r="M345" s="66"/>
      <c r="N345" s="66"/>
      <c r="O345" s="66"/>
      <c r="P345" s="66"/>
      <c r="Q345" s="66"/>
      <c r="R345" s="66"/>
      <c r="S345" s="66"/>
    </row>
    <row r="346">
      <c r="A346" s="66"/>
      <c r="B346" s="66"/>
      <c r="C346" s="66"/>
      <c r="D346" s="66"/>
      <c r="E346" s="15"/>
      <c r="F346" s="66"/>
      <c r="G346" s="18"/>
      <c r="H346" s="15"/>
      <c r="I346" s="18"/>
      <c r="J346" s="22"/>
      <c r="K346" s="108"/>
      <c r="L346" s="66"/>
      <c r="M346" s="66"/>
      <c r="N346" s="66"/>
      <c r="O346" s="66"/>
      <c r="P346" s="66"/>
      <c r="Q346" s="66"/>
      <c r="R346" s="66"/>
      <c r="S346" s="66"/>
    </row>
    <row r="347">
      <c r="A347" s="66"/>
      <c r="B347" s="66"/>
      <c r="C347" s="66"/>
      <c r="D347" s="66"/>
      <c r="E347" s="15"/>
      <c r="F347" s="66"/>
      <c r="G347" s="18"/>
      <c r="H347" s="15"/>
      <c r="I347" s="18"/>
      <c r="J347" s="22"/>
      <c r="K347" s="108"/>
      <c r="L347" s="66"/>
      <c r="M347" s="66"/>
      <c r="N347" s="66"/>
      <c r="O347" s="66"/>
      <c r="P347" s="66"/>
      <c r="Q347" s="66"/>
      <c r="R347" s="66"/>
      <c r="S347" s="66"/>
    </row>
    <row r="348">
      <c r="A348" s="66"/>
      <c r="B348" s="66"/>
      <c r="C348" s="66"/>
      <c r="D348" s="66"/>
      <c r="E348" s="15"/>
      <c r="F348" s="66"/>
      <c r="G348" s="18"/>
      <c r="H348" s="15"/>
      <c r="I348" s="18"/>
      <c r="J348" s="22"/>
      <c r="K348" s="108"/>
      <c r="L348" s="66"/>
      <c r="M348" s="66"/>
      <c r="N348" s="66"/>
      <c r="O348" s="66"/>
      <c r="P348" s="66"/>
      <c r="Q348" s="66"/>
      <c r="R348" s="66"/>
      <c r="S348" s="66"/>
    </row>
    <row r="349">
      <c r="A349" s="66"/>
      <c r="B349" s="66"/>
      <c r="C349" s="66"/>
      <c r="D349" s="66"/>
      <c r="E349" s="15"/>
      <c r="F349" s="66"/>
      <c r="G349" s="18"/>
      <c r="H349" s="15"/>
      <c r="I349" s="18"/>
      <c r="J349" s="22"/>
      <c r="K349" s="108"/>
      <c r="L349" s="66"/>
      <c r="M349" s="66"/>
      <c r="N349" s="66"/>
      <c r="O349" s="66"/>
      <c r="P349" s="66"/>
      <c r="Q349" s="66"/>
      <c r="R349" s="66"/>
      <c r="S349" s="66"/>
    </row>
    <row r="350">
      <c r="A350" s="66"/>
      <c r="B350" s="66"/>
      <c r="C350" s="66"/>
      <c r="D350" s="66"/>
      <c r="E350" s="15"/>
      <c r="F350" s="66"/>
      <c r="G350" s="18"/>
      <c r="H350" s="15"/>
      <c r="I350" s="18"/>
      <c r="J350" s="22"/>
      <c r="K350" s="108"/>
      <c r="L350" s="66"/>
      <c r="M350" s="66"/>
      <c r="N350" s="66"/>
      <c r="O350" s="66"/>
      <c r="P350" s="66"/>
      <c r="Q350" s="66"/>
      <c r="R350" s="66"/>
      <c r="S350" s="66"/>
    </row>
    <row r="351">
      <c r="A351" s="66"/>
      <c r="B351" s="66"/>
      <c r="C351" s="66"/>
      <c r="D351" s="66"/>
      <c r="E351" s="15"/>
      <c r="F351" s="66"/>
      <c r="G351" s="18"/>
      <c r="H351" s="15"/>
      <c r="I351" s="18"/>
      <c r="J351" s="22"/>
      <c r="K351" s="108"/>
      <c r="L351" s="66"/>
      <c r="M351" s="66"/>
      <c r="N351" s="66"/>
      <c r="O351" s="66"/>
      <c r="P351" s="66"/>
      <c r="Q351" s="66"/>
      <c r="R351" s="66"/>
      <c r="S351" s="66"/>
    </row>
    <row r="352">
      <c r="A352" s="66"/>
      <c r="B352" s="66"/>
      <c r="C352" s="66"/>
      <c r="D352" s="66"/>
      <c r="E352" s="15"/>
      <c r="F352" s="66"/>
      <c r="G352" s="18"/>
      <c r="H352" s="15"/>
      <c r="I352" s="18"/>
      <c r="J352" s="22"/>
      <c r="K352" s="108"/>
      <c r="L352" s="66"/>
      <c r="M352" s="66"/>
      <c r="N352" s="66"/>
      <c r="O352" s="66"/>
      <c r="P352" s="66"/>
      <c r="Q352" s="66"/>
      <c r="R352" s="66"/>
      <c r="S352" s="66"/>
    </row>
    <row r="353">
      <c r="A353" s="66"/>
      <c r="B353" s="66"/>
      <c r="C353" s="66"/>
      <c r="D353" s="66"/>
      <c r="E353" s="15"/>
      <c r="F353" s="66"/>
      <c r="G353" s="18"/>
      <c r="H353" s="15"/>
      <c r="I353" s="18"/>
      <c r="J353" s="22"/>
      <c r="K353" s="108"/>
      <c r="L353" s="66"/>
      <c r="M353" s="66"/>
      <c r="N353" s="66"/>
      <c r="O353" s="66"/>
      <c r="P353" s="66"/>
      <c r="Q353" s="66"/>
      <c r="R353" s="66"/>
      <c r="S353" s="66"/>
    </row>
    <row r="354">
      <c r="A354" s="66"/>
      <c r="B354" s="66"/>
      <c r="C354" s="66"/>
      <c r="D354" s="66"/>
      <c r="E354" s="15"/>
      <c r="F354" s="66"/>
      <c r="G354" s="18"/>
      <c r="H354" s="15"/>
      <c r="I354" s="18"/>
      <c r="J354" s="22"/>
      <c r="K354" s="108"/>
      <c r="L354" s="66"/>
      <c r="M354" s="66"/>
      <c r="N354" s="66"/>
      <c r="O354" s="66"/>
      <c r="P354" s="66"/>
      <c r="Q354" s="66"/>
      <c r="R354" s="66"/>
      <c r="S354" s="66"/>
    </row>
    <row r="355">
      <c r="A355" s="66"/>
      <c r="B355" s="66"/>
      <c r="C355" s="66"/>
      <c r="D355" s="66"/>
      <c r="E355" s="15"/>
      <c r="F355" s="66"/>
      <c r="G355" s="18"/>
      <c r="H355" s="15"/>
      <c r="I355" s="18"/>
      <c r="J355" s="22"/>
      <c r="K355" s="108"/>
      <c r="L355" s="66"/>
      <c r="M355" s="66"/>
      <c r="N355" s="66"/>
      <c r="O355" s="66"/>
      <c r="P355" s="66"/>
      <c r="Q355" s="66"/>
      <c r="R355" s="66"/>
      <c r="S355" s="66"/>
    </row>
    <row r="356">
      <c r="A356" s="66"/>
      <c r="B356" s="66"/>
      <c r="C356" s="66"/>
      <c r="D356" s="66"/>
      <c r="E356" s="15"/>
      <c r="F356" s="66"/>
      <c r="G356" s="18"/>
      <c r="H356" s="15"/>
      <c r="I356" s="18"/>
      <c r="J356" s="22"/>
      <c r="K356" s="108"/>
      <c r="L356" s="66"/>
      <c r="M356" s="66"/>
      <c r="N356" s="66"/>
      <c r="O356" s="66"/>
      <c r="P356" s="66"/>
      <c r="Q356" s="66"/>
      <c r="R356" s="66"/>
      <c r="S356" s="66"/>
    </row>
    <row r="357">
      <c r="A357" s="66"/>
      <c r="B357" s="66"/>
      <c r="C357" s="66"/>
      <c r="D357" s="66"/>
      <c r="E357" s="15"/>
      <c r="F357" s="66"/>
      <c r="G357" s="18"/>
      <c r="H357" s="15"/>
      <c r="I357" s="18"/>
      <c r="J357" s="22"/>
      <c r="K357" s="108"/>
      <c r="L357" s="66"/>
      <c r="M357" s="66"/>
      <c r="N357" s="66"/>
      <c r="O357" s="66"/>
      <c r="P357" s="66"/>
      <c r="Q357" s="66"/>
      <c r="R357" s="66"/>
      <c r="S357" s="66"/>
    </row>
    <row r="358">
      <c r="A358" s="66"/>
      <c r="B358" s="66"/>
      <c r="C358" s="66"/>
      <c r="D358" s="66"/>
      <c r="E358" s="15"/>
      <c r="F358" s="66"/>
      <c r="G358" s="18"/>
      <c r="H358" s="15"/>
      <c r="I358" s="18"/>
      <c r="J358" s="22"/>
      <c r="K358" s="108"/>
      <c r="L358" s="66"/>
      <c r="M358" s="66"/>
      <c r="N358" s="66"/>
      <c r="O358" s="66"/>
      <c r="P358" s="66"/>
      <c r="Q358" s="66"/>
      <c r="R358" s="66"/>
      <c r="S358" s="66"/>
    </row>
    <row r="359">
      <c r="A359" s="66"/>
      <c r="B359" s="66"/>
      <c r="C359" s="66"/>
      <c r="D359" s="66"/>
      <c r="E359" s="15"/>
      <c r="F359" s="66"/>
      <c r="G359" s="18"/>
      <c r="H359" s="15"/>
      <c r="I359" s="18"/>
      <c r="J359" s="22"/>
      <c r="K359" s="108"/>
      <c r="L359" s="66"/>
      <c r="M359" s="66"/>
      <c r="N359" s="66"/>
      <c r="O359" s="66"/>
      <c r="P359" s="66"/>
      <c r="Q359" s="66"/>
      <c r="R359" s="66"/>
      <c r="S359" s="66"/>
    </row>
    <row r="360">
      <c r="A360" s="66"/>
      <c r="B360" s="66"/>
      <c r="C360" s="66"/>
      <c r="D360" s="66"/>
      <c r="E360" s="15"/>
      <c r="F360" s="66"/>
      <c r="G360" s="18"/>
      <c r="H360" s="15"/>
      <c r="I360" s="18"/>
      <c r="J360" s="22"/>
      <c r="K360" s="108"/>
      <c r="L360" s="66"/>
      <c r="M360" s="66"/>
      <c r="N360" s="66"/>
      <c r="O360" s="66"/>
      <c r="P360" s="66"/>
      <c r="Q360" s="66"/>
      <c r="R360" s="66"/>
      <c r="S360" s="66"/>
    </row>
    <row r="361">
      <c r="A361" s="66"/>
      <c r="B361" s="66"/>
      <c r="C361" s="66"/>
      <c r="D361" s="66"/>
      <c r="E361" s="15"/>
      <c r="F361" s="66"/>
      <c r="G361" s="18"/>
      <c r="H361" s="15"/>
      <c r="I361" s="18"/>
      <c r="J361" s="22"/>
      <c r="K361" s="108"/>
      <c r="L361" s="66"/>
      <c r="M361" s="66"/>
      <c r="N361" s="66"/>
      <c r="O361" s="66"/>
      <c r="P361" s="66"/>
      <c r="Q361" s="66"/>
      <c r="R361" s="66"/>
      <c r="S361" s="66"/>
    </row>
    <row r="362">
      <c r="A362" s="66"/>
      <c r="B362" s="66"/>
      <c r="C362" s="66"/>
      <c r="D362" s="66"/>
      <c r="E362" s="15"/>
      <c r="F362" s="66"/>
      <c r="G362" s="18"/>
      <c r="H362" s="15"/>
      <c r="I362" s="18"/>
      <c r="J362" s="22"/>
      <c r="K362" s="108"/>
      <c r="L362" s="66"/>
      <c r="M362" s="66"/>
      <c r="N362" s="66"/>
      <c r="O362" s="66"/>
      <c r="P362" s="66"/>
      <c r="Q362" s="66"/>
      <c r="R362" s="66"/>
      <c r="S362" s="66"/>
    </row>
    <row r="363">
      <c r="A363" s="66"/>
      <c r="B363" s="66"/>
      <c r="C363" s="66"/>
      <c r="D363" s="66"/>
      <c r="E363" s="15"/>
      <c r="F363" s="66"/>
      <c r="G363" s="18"/>
      <c r="H363" s="15"/>
      <c r="I363" s="18"/>
      <c r="J363" s="22"/>
      <c r="K363" s="108"/>
      <c r="L363" s="66"/>
      <c r="M363" s="66"/>
      <c r="N363" s="66"/>
      <c r="O363" s="66"/>
      <c r="P363" s="66"/>
      <c r="Q363" s="66"/>
      <c r="R363" s="66"/>
      <c r="S363" s="66"/>
    </row>
    <row r="364">
      <c r="A364" s="66"/>
      <c r="B364" s="66"/>
      <c r="C364" s="66"/>
      <c r="D364" s="66"/>
      <c r="E364" s="15"/>
      <c r="F364" s="66"/>
      <c r="G364" s="18"/>
      <c r="H364" s="15"/>
      <c r="I364" s="18"/>
      <c r="J364" s="22"/>
      <c r="K364" s="108"/>
      <c r="L364" s="66"/>
      <c r="M364" s="66"/>
      <c r="N364" s="66"/>
      <c r="O364" s="66"/>
      <c r="P364" s="66"/>
      <c r="Q364" s="66"/>
      <c r="R364" s="66"/>
      <c r="S364" s="66"/>
    </row>
    <row r="365">
      <c r="A365" s="66"/>
      <c r="B365" s="66"/>
      <c r="C365" s="66"/>
      <c r="D365" s="66"/>
      <c r="E365" s="15"/>
      <c r="F365" s="66"/>
      <c r="G365" s="18"/>
      <c r="H365" s="15"/>
      <c r="I365" s="18"/>
      <c r="J365" s="22"/>
      <c r="K365" s="108"/>
      <c r="L365" s="66"/>
      <c r="M365" s="66"/>
      <c r="N365" s="66"/>
      <c r="O365" s="66"/>
      <c r="P365" s="66"/>
      <c r="Q365" s="66"/>
      <c r="R365" s="66"/>
      <c r="S365" s="66"/>
    </row>
    <row r="366">
      <c r="A366" s="66"/>
      <c r="B366" s="66"/>
      <c r="C366" s="66"/>
      <c r="D366" s="66"/>
      <c r="E366" s="15"/>
      <c r="F366" s="66"/>
      <c r="G366" s="18"/>
      <c r="H366" s="15"/>
      <c r="I366" s="18"/>
      <c r="J366" s="22"/>
      <c r="K366" s="108"/>
      <c r="L366" s="66"/>
      <c r="M366" s="66"/>
      <c r="N366" s="66"/>
      <c r="O366" s="66"/>
      <c r="P366" s="66"/>
      <c r="Q366" s="66"/>
      <c r="R366" s="66"/>
      <c r="S366" s="66"/>
    </row>
    <row r="367">
      <c r="A367" s="66"/>
      <c r="B367" s="66"/>
      <c r="C367" s="66"/>
      <c r="D367" s="66"/>
      <c r="E367" s="15"/>
      <c r="F367" s="66"/>
      <c r="G367" s="18"/>
      <c r="H367" s="15"/>
      <c r="I367" s="18"/>
      <c r="J367" s="22"/>
      <c r="K367" s="108"/>
      <c r="L367" s="66"/>
      <c r="M367" s="66"/>
      <c r="N367" s="66"/>
      <c r="O367" s="66"/>
      <c r="P367" s="66"/>
      <c r="Q367" s="66"/>
      <c r="R367" s="66"/>
      <c r="S367" s="66"/>
    </row>
    <row r="368">
      <c r="A368" s="66"/>
      <c r="B368" s="66"/>
      <c r="C368" s="66"/>
      <c r="D368" s="66"/>
      <c r="E368" s="15"/>
      <c r="F368" s="66"/>
      <c r="G368" s="18"/>
      <c r="H368" s="15"/>
      <c r="I368" s="18"/>
      <c r="J368" s="22"/>
      <c r="K368" s="108"/>
      <c r="L368" s="66"/>
      <c r="M368" s="66"/>
      <c r="N368" s="66"/>
      <c r="O368" s="66"/>
      <c r="P368" s="66"/>
      <c r="Q368" s="66"/>
      <c r="R368" s="66"/>
      <c r="S368" s="66"/>
    </row>
    <row r="369">
      <c r="A369" s="66"/>
      <c r="B369" s="66"/>
      <c r="C369" s="66"/>
      <c r="D369" s="66"/>
      <c r="E369" s="15"/>
      <c r="F369" s="66"/>
      <c r="G369" s="18"/>
      <c r="H369" s="15"/>
      <c r="I369" s="18"/>
      <c r="J369" s="22"/>
      <c r="K369" s="108"/>
      <c r="L369" s="66"/>
      <c r="M369" s="66"/>
      <c r="N369" s="66"/>
      <c r="O369" s="66"/>
      <c r="P369" s="66"/>
      <c r="Q369" s="66"/>
      <c r="R369" s="66"/>
      <c r="S369" s="66"/>
    </row>
    <row r="370">
      <c r="A370" s="66"/>
      <c r="B370" s="66"/>
      <c r="C370" s="66"/>
      <c r="D370" s="66"/>
      <c r="E370" s="15"/>
      <c r="F370" s="66"/>
      <c r="G370" s="18"/>
      <c r="H370" s="15"/>
      <c r="I370" s="18"/>
      <c r="J370" s="22"/>
      <c r="K370" s="108"/>
      <c r="L370" s="66"/>
      <c r="M370" s="66"/>
      <c r="N370" s="66"/>
      <c r="O370" s="66"/>
      <c r="P370" s="66"/>
      <c r="Q370" s="66"/>
      <c r="R370" s="66"/>
      <c r="S370" s="66"/>
    </row>
    <row r="371">
      <c r="A371" s="66"/>
      <c r="B371" s="66"/>
      <c r="C371" s="66"/>
      <c r="D371" s="66"/>
      <c r="E371" s="15"/>
      <c r="F371" s="66"/>
      <c r="G371" s="18"/>
      <c r="H371" s="15"/>
      <c r="I371" s="18"/>
      <c r="J371" s="22"/>
      <c r="K371" s="108"/>
      <c r="L371" s="66"/>
      <c r="M371" s="66"/>
      <c r="N371" s="66"/>
      <c r="O371" s="66"/>
      <c r="P371" s="66"/>
      <c r="Q371" s="66"/>
      <c r="R371" s="66"/>
      <c r="S371" s="66"/>
    </row>
    <row r="372">
      <c r="A372" s="66"/>
      <c r="B372" s="66"/>
      <c r="C372" s="66"/>
      <c r="D372" s="66"/>
      <c r="E372" s="15"/>
      <c r="F372" s="66"/>
      <c r="G372" s="18"/>
      <c r="H372" s="15"/>
      <c r="I372" s="18"/>
      <c r="J372" s="22"/>
      <c r="K372" s="108"/>
      <c r="L372" s="66"/>
      <c r="M372" s="66"/>
      <c r="N372" s="66"/>
      <c r="O372" s="66"/>
      <c r="P372" s="66"/>
      <c r="Q372" s="66"/>
      <c r="R372" s="66"/>
      <c r="S372" s="66"/>
    </row>
    <row r="373">
      <c r="A373" s="66"/>
      <c r="B373" s="66"/>
      <c r="C373" s="66"/>
      <c r="D373" s="66"/>
      <c r="E373" s="15"/>
      <c r="F373" s="66"/>
      <c r="G373" s="18"/>
      <c r="H373" s="15"/>
      <c r="I373" s="18"/>
      <c r="J373" s="22"/>
      <c r="K373" s="108"/>
      <c r="L373" s="66"/>
      <c r="M373" s="66"/>
      <c r="N373" s="66"/>
      <c r="O373" s="66"/>
      <c r="P373" s="66"/>
      <c r="Q373" s="66"/>
      <c r="R373" s="66"/>
      <c r="S373" s="66"/>
    </row>
    <row r="374">
      <c r="A374" s="66"/>
      <c r="B374" s="66"/>
      <c r="C374" s="66"/>
      <c r="D374" s="66"/>
      <c r="E374" s="15"/>
      <c r="F374" s="66"/>
      <c r="G374" s="18"/>
      <c r="H374" s="15"/>
      <c r="I374" s="18"/>
      <c r="J374" s="22"/>
      <c r="K374" s="108"/>
      <c r="L374" s="66"/>
      <c r="M374" s="66"/>
      <c r="N374" s="66"/>
      <c r="O374" s="66"/>
      <c r="P374" s="66"/>
      <c r="Q374" s="66"/>
      <c r="R374" s="66"/>
      <c r="S374" s="66"/>
    </row>
    <row r="375">
      <c r="A375" s="66"/>
      <c r="B375" s="66"/>
      <c r="C375" s="66"/>
      <c r="D375" s="66"/>
      <c r="E375" s="15"/>
      <c r="F375" s="66"/>
      <c r="G375" s="18"/>
      <c r="H375" s="15"/>
      <c r="I375" s="18"/>
      <c r="J375" s="22"/>
      <c r="K375" s="108"/>
      <c r="L375" s="66"/>
      <c r="M375" s="66"/>
      <c r="N375" s="66"/>
      <c r="O375" s="66"/>
      <c r="P375" s="66"/>
      <c r="Q375" s="66"/>
      <c r="R375" s="66"/>
      <c r="S375" s="66"/>
    </row>
    <row r="376">
      <c r="A376" s="66"/>
      <c r="B376" s="66"/>
      <c r="C376" s="66"/>
      <c r="D376" s="66"/>
      <c r="E376" s="15"/>
      <c r="F376" s="66"/>
      <c r="G376" s="18"/>
      <c r="H376" s="15"/>
      <c r="I376" s="18"/>
      <c r="J376" s="22"/>
      <c r="K376" s="108"/>
      <c r="L376" s="66"/>
      <c r="M376" s="66"/>
      <c r="N376" s="66"/>
      <c r="O376" s="66"/>
      <c r="P376" s="66"/>
      <c r="Q376" s="66"/>
      <c r="R376" s="66"/>
      <c r="S376" s="66"/>
    </row>
    <row r="377">
      <c r="A377" s="66"/>
      <c r="B377" s="66"/>
      <c r="C377" s="66"/>
      <c r="D377" s="66"/>
      <c r="E377" s="15"/>
      <c r="F377" s="66"/>
      <c r="G377" s="18"/>
      <c r="H377" s="15"/>
      <c r="I377" s="18"/>
      <c r="J377" s="22"/>
      <c r="K377" s="108"/>
      <c r="L377" s="66"/>
      <c r="M377" s="66"/>
      <c r="N377" s="66"/>
      <c r="O377" s="66"/>
      <c r="P377" s="66"/>
      <c r="Q377" s="66"/>
      <c r="R377" s="66"/>
      <c r="S377" s="66"/>
    </row>
    <row r="378">
      <c r="A378" s="66"/>
      <c r="B378" s="66"/>
      <c r="C378" s="66"/>
      <c r="D378" s="66"/>
      <c r="E378" s="15"/>
      <c r="F378" s="66"/>
      <c r="G378" s="18"/>
      <c r="H378" s="15"/>
      <c r="I378" s="18"/>
      <c r="J378" s="22"/>
      <c r="K378" s="108"/>
      <c r="L378" s="66"/>
      <c r="M378" s="66"/>
      <c r="N378" s="66"/>
      <c r="O378" s="66"/>
      <c r="P378" s="66"/>
      <c r="Q378" s="66"/>
      <c r="R378" s="66"/>
      <c r="S378" s="66"/>
    </row>
    <row r="379">
      <c r="A379" s="66"/>
      <c r="B379" s="66"/>
      <c r="C379" s="66"/>
      <c r="D379" s="66"/>
      <c r="E379" s="15"/>
      <c r="F379" s="66"/>
      <c r="G379" s="18"/>
      <c r="H379" s="15"/>
      <c r="I379" s="18"/>
      <c r="J379" s="22"/>
      <c r="K379" s="108"/>
      <c r="L379" s="66"/>
      <c r="M379" s="66"/>
      <c r="N379" s="66"/>
      <c r="O379" s="66"/>
      <c r="P379" s="66"/>
      <c r="Q379" s="66"/>
      <c r="R379" s="66"/>
      <c r="S379" s="66"/>
    </row>
    <row r="380">
      <c r="A380" s="66"/>
      <c r="B380" s="66"/>
      <c r="C380" s="66"/>
      <c r="D380" s="66"/>
      <c r="E380" s="15"/>
      <c r="F380" s="66"/>
      <c r="G380" s="18"/>
      <c r="H380" s="15"/>
      <c r="I380" s="18"/>
      <c r="J380" s="22"/>
      <c r="K380" s="108"/>
      <c r="L380" s="66"/>
      <c r="M380" s="66"/>
      <c r="N380" s="66"/>
      <c r="O380" s="66"/>
      <c r="P380" s="66"/>
      <c r="Q380" s="66"/>
      <c r="R380" s="66"/>
      <c r="S380" s="66"/>
    </row>
    <row r="381">
      <c r="A381" s="66"/>
      <c r="B381" s="66"/>
      <c r="C381" s="66"/>
      <c r="D381" s="66"/>
      <c r="E381" s="15"/>
      <c r="F381" s="66"/>
      <c r="G381" s="18"/>
      <c r="H381" s="15"/>
      <c r="I381" s="18"/>
      <c r="J381" s="22"/>
      <c r="K381" s="108"/>
      <c r="L381" s="66"/>
      <c r="M381" s="66"/>
      <c r="N381" s="66"/>
      <c r="O381" s="66"/>
      <c r="P381" s="66"/>
      <c r="Q381" s="66"/>
      <c r="R381" s="66"/>
      <c r="S381" s="66"/>
    </row>
    <row r="382">
      <c r="A382" s="66"/>
      <c r="B382" s="66"/>
      <c r="C382" s="66"/>
      <c r="D382" s="66"/>
      <c r="E382" s="15"/>
      <c r="F382" s="66"/>
      <c r="G382" s="18"/>
      <c r="H382" s="15"/>
      <c r="I382" s="18"/>
      <c r="J382" s="22"/>
      <c r="K382" s="108"/>
      <c r="L382" s="66"/>
      <c r="M382" s="66"/>
      <c r="N382" s="66"/>
      <c r="O382" s="66"/>
      <c r="P382" s="66"/>
      <c r="Q382" s="66"/>
      <c r="R382" s="66"/>
      <c r="S382" s="66"/>
    </row>
    <row r="383">
      <c r="A383" s="66"/>
      <c r="B383" s="66"/>
      <c r="C383" s="66"/>
      <c r="D383" s="66"/>
      <c r="E383" s="15"/>
      <c r="F383" s="66"/>
      <c r="G383" s="18"/>
      <c r="H383" s="15"/>
      <c r="I383" s="18"/>
      <c r="J383" s="22"/>
      <c r="K383" s="108"/>
      <c r="L383" s="66"/>
      <c r="M383" s="66"/>
      <c r="N383" s="66"/>
      <c r="O383" s="66"/>
      <c r="P383" s="66"/>
      <c r="Q383" s="66"/>
      <c r="R383" s="66"/>
      <c r="S383" s="66"/>
    </row>
    <row r="384">
      <c r="A384" s="66"/>
      <c r="B384" s="66"/>
      <c r="C384" s="66"/>
      <c r="D384" s="66"/>
      <c r="E384" s="15"/>
      <c r="F384" s="66"/>
      <c r="G384" s="18"/>
      <c r="H384" s="15"/>
      <c r="I384" s="18"/>
      <c r="J384" s="22"/>
      <c r="K384" s="108"/>
      <c r="L384" s="66"/>
      <c r="M384" s="66"/>
      <c r="N384" s="66"/>
      <c r="O384" s="66"/>
      <c r="P384" s="66"/>
      <c r="Q384" s="66"/>
      <c r="R384" s="66"/>
      <c r="S384" s="66"/>
    </row>
    <row r="385">
      <c r="A385" s="66"/>
      <c r="B385" s="66"/>
      <c r="C385" s="66"/>
      <c r="D385" s="66"/>
      <c r="E385" s="15"/>
      <c r="F385" s="66"/>
      <c r="G385" s="18"/>
      <c r="H385" s="15"/>
      <c r="I385" s="18"/>
      <c r="J385" s="22"/>
      <c r="K385" s="108"/>
      <c r="L385" s="66"/>
      <c r="M385" s="66"/>
      <c r="N385" s="66"/>
      <c r="O385" s="66"/>
      <c r="P385" s="66"/>
      <c r="Q385" s="66"/>
      <c r="R385" s="66"/>
      <c r="S385" s="66"/>
    </row>
    <row r="386">
      <c r="A386" s="66"/>
      <c r="B386" s="66"/>
      <c r="C386" s="66"/>
      <c r="D386" s="66"/>
      <c r="E386" s="15"/>
      <c r="F386" s="66"/>
      <c r="G386" s="18"/>
      <c r="H386" s="15"/>
      <c r="I386" s="18"/>
      <c r="J386" s="22"/>
      <c r="K386" s="108"/>
      <c r="L386" s="66"/>
      <c r="M386" s="66"/>
      <c r="N386" s="66"/>
      <c r="O386" s="66"/>
      <c r="P386" s="66"/>
      <c r="Q386" s="66"/>
      <c r="R386" s="66"/>
      <c r="S386" s="66"/>
    </row>
    <row r="387">
      <c r="A387" s="66"/>
      <c r="B387" s="66"/>
      <c r="C387" s="66"/>
      <c r="D387" s="66"/>
      <c r="E387" s="15"/>
      <c r="F387" s="66"/>
      <c r="G387" s="18"/>
      <c r="H387" s="15"/>
      <c r="I387" s="18"/>
      <c r="J387" s="22"/>
      <c r="K387" s="108"/>
      <c r="L387" s="66"/>
      <c r="M387" s="66"/>
      <c r="N387" s="66"/>
      <c r="O387" s="66"/>
      <c r="P387" s="66"/>
      <c r="Q387" s="66"/>
      <c r="R387" s="66"/>
      <c r="S387" s="66"/>
    </row>
    <row r="388">
      <c r="A388" s="66"/>
      <c r="B388" s="66"/>
      <c r="C388" s="66"/>
      <c r="D388" s="66"/>
      <c r="E388" s="15"/>
      <c r="F388" s="66"/>
      <c r="G388" s="18"/>
      <c r="H388" s="15"/>
      <c r="I388" s="18"/>
      <c r="J388" s="22"/>
      <c r="K388" s="108"/>
      <c r="L388" s="66"/>
      <c r="M388" s="66"/>
      <c r="N388" s="66"/>
      <c r="O388" s="66"/>
      <c r="P388" s="66"/>
      <c r="Q388" s="66"/>
      <c r="R388" s="66"/>
      <c r="S388" s="66"/>
    </row>
    <row r="389">
      <c r="A389" s="66"/>
      <c r="B389" s="66"/>
      <c r="C389" s="66"/>
      <c r="D389" s="66"/>
      <c r="E389" s="15"/>
      <c r="F389" s="66"/>
      <c r="G389" s="18"/>
      <c r="H389" s="15"/>
      <c r="I389" s="18"/>
      <c r="J389" s="22"/>
      <c r="K389" s="108"/>
      <c r="L389" s="66"/>
      <c r="M389" s="66"/>
      <c r="N389" s="66"/>
      <c r="O389" s="66"/>
      <c r="P389" s="66"/>
      <c r="Q389" s="66"/>
      <c r="R389" s="66"/>
      <c r="S389" s="66"/>
    </row>
    <row r="390">
      <c r="A390" s="66"/>
      <c r="B390" s="66"/>
      <c r="C390" s="66"/>
      <c r="D390" s="66"/>
      <c r="E390" s="15"/>
      <c r="F390" s="66"/>
      <c r="G390" s="18"/>
      <c r="H390" s="15"/>
      <c r="I390" s="18"/>
      <c r="J390" s="22"/>
      <c r="K390" s="108"/>
      <c r="L390" s="66"/>
      <c r="M390" s="66"/>
      <c r="N390" s="66"/>
      <c r="O390" s="66"/>
      <c r="P390" s="66"/>
      <c r="Q390" s="66"/>
      <c r="R390" s="66"/>
      <c r="S390" s="66"/>
    </row>
    <row r="391">
      <c r="A391" s="66"/>
      <c r="B391" s="66"/>
      <c r="C391" s="66"/>
      <c r="D391" s="66"/>
      <c r="E391" s="15"/>
      <c r="F391" s="66"/>
      <c r="G391" s="18"/>
      <c r="H391" s="15"/>
      <c r="I391" s="18"/>
      <c r="J391" s="22"/>
      <c r="K391" s="108"/>
      <c r="L391" s="66"/>
      <c r="M391" s="66"/>
      <c r="N391" s="66"/>
      <c r="O391" s="66"/>
      <c r="P391" s="66"/>
      <c r="Q391" s="66"/>
      <c r="R391" s="66"/>
      <c r="S391" s="66"/>
    </row>
    <row r="392">
      <c r="A392" s="66"/>
      <c r="B392" s="66"/>
      <c r="C392" s="66"/>
      <c r="D392" s="66"/>
      <c r="E392" s="15"/>
      <c r="F392" s="66"/>
      <c r="G392" s="18"/>
      <c r="H392" s="15"/>
      <c r="I392" s="18"/>
      <c r="J392" s="22"/>
      <c r="K392" s="108"/>
      <c r="L392" s="66"/>
      <c r="M392" s="66"/>
      <c r="N392" s="66"/>
      <c r="O392" s="66"/>
      <c r="P392" s="66"/>
      <c r="Q392" s="66"/>
      <c r="R392" s="66"/>
      <c r="S392" s="66"/>
    </row>
    <row r="393">
      <c r="A393" s="66"/>
      <c r="B393" s="66"/>
      <c r="C393" s="66"/>
      <c r="D393" s="66"/>
      <c r="E393" s="15"/>
      <c r="F393" s="66"/>
      <c r="G393" s="18"/>
      <c r="H393" s="15"/>
      <c r="I393" s="18"/>
      <c r="J393" s="22"/>
      <c r="K393" s="108"/>
      <c r="L393" s="66"/>
      <c r="M393" s="66"/>
      <c r="N393" s="66"/>
      <c r="O393" s="66"/>
      <c r="P393" s="66"/>
      <c r="Q393" s="66"/>
      <c r="R393" s="66"/>
      <c r="S393" s="66"/>
    </row>
    <row r="394">
      <c r="A394" s="66"/>
      <c r="B394" s="66"/>
      <c r="C394" s="66"/>
      <c r="D394" s="66"/>
      <c r="E394" s="15"/>
      <c r="F394" s="66"/>
      <c r="G394" s="18"/>
      <c r="H394" s="15"/>
      <c r="I394" s="18"/>
      <c r="J394" s="22"/>
      <c r="K394" s="108"/>
      <c r="L394" s="66"/>
      <c r="M394" s="66"/>
      <c r="N394" s="66"/>
      <c r="O394" s="66"/>
      <c r="P394" s="66"/>
      <c r="Q394" s="66"/>
      <c r="R394" s="66"/>
      <c r="S394" s="66"/>
    </row>
    <row r="395">
      <c r="A395" s="66"/>
      <c r="B395" s="66"/>
      <c r="C395" s="66"/>
      <c r="D395" s="66"/>
      <c r="E395" s="15"/>
      <c r="F395" s="66"/>
      <c r="G395" s="18"/>
      <c r="H395" s="15"/>
      <c r="I395" s="18"/>
      <c r="J395" s="22"/>
      <c r="K395" s="108"/>
      <c r="L395" s="66"/>
      <c r="M395" s="66"/>
      <c r="N395" s="66"/>
      <c r="O395" s="66"/>
      <c r="P395" s="66"/>
      <c r="Q395" s="66"/>
      <c r="R395" s="66"/>
      <c r="S395" s="66"/>
    </row>
    <row r="396">
      <c r="A396" s="66"/>
      <c r="B396" s="66"/>
      <c r="C396" s="66"/>
      <c r="D396" s="66"/>
      <c r="E396" s="15"/>
      <c r="F396" s="66"/>
      <c r="G396" s="18"/>
      <c r="H396" s="15"/>
      <c r="I396" s="18"/>
      <c r="J396" s="22"/>
      <c r="K396" s="108"/>
      <c r="L396" s="66"/>
      <c r="M396" s="66"/>
      <c r="N396" s="66"/>
      <c r="O396" s="66"/>
      <c r="P396" s="66"/>
      <c r="Q396" s="66"/>
      <c r="R396" s="66"/>
      <c r="S396" s="66"/>
    </row>
    <row r="397">
      <c r="A397" s="66"/>
      <c r="B397" s="66"/>
      <c r="C397" s="66"/>
      <c r="D397" s="66"/>
      <c r="E397" s="15"/>
      <c r="F397" s="66"/>
      <c r="G397" s="18"/>
      <c r="H397" s="15"/>
      <c r="I397" s="18"/>
      <c r="J397" s="22"/>
      <c r="K397" s="108"/>
      <c r="L397" s="66"/>
      <c r="M397" s="66"/>
      <c r="N397" s="66"/>
      <c r="O397" s="66"/>
      <c r="P397" s="66"/>
      <c r="Q397" s="66"/>
      <c r="R397" s="66"/>
      <c r="S397" s="66"/>
    </row>
    <row r="398">
      <c r="A398" s="66"/>
      <c r="B398" s="66"/>
      <c r="C398" s="66"/>
      <c r="D398" s="66"/>
      <c r="E398" s="15"/>
      <c r="F398" s="66"/>
      <c r="G398" s="18"/>
      <c r="H398" s="15"/>
      <c r="I398" s="18"/>
      <c r="J398" s="22"/>
      <c r="K398" s="108"/>
      <c r="L398" s="66"/>
      <c r="M398" s="66"/>
      <c r="N398" s="66"/>
      <c r="O398" s="66"/>
      <c r="P398" s="66"/>
      <c r="Q398" s="66"/>
      <c r="R398" s="66"/>
      <c r="S398" s="66"/>
    </row>
    <row r="399">
      <c r="A399" s="66"/>
      <c r="B399" s="66"/>
      <c r="C399" s="66"/>
      <c r="D399" s="66"/>
      <c r="E399" s="15"/>
      <c r="F399" s="66"/>
      <c r="G399" s="18"/>
      <c r="H399" s="15"/>
      <c r="I399" s="18"/>
      <c r="J399" s="22"/>
      <c r="K399" s="108"/>
      <c r="L399" s="66"/>
      <c r="M399" s="66"/>
      <c r="N399" s="66"/>
      <c r="O399" s="66"/>
      <c r="P399" s="66"/>
      <c r="Q399" s="66"/>
      <c r="R399" s="66"/>
      <c r="S399" s="66"/>
    </row>
    <row r="400">
      <c r="A400" s="66"/>
      <c r="B400" s="66"/>
      <c r="C400" s="66"/>
      <c r="D400" s="66"/>
      <c r="E400" s="15"/>
      <c r="F400" s="66"/>
      <c r="G400" s="18"/>
      <c r="H400" s="15"/>
      <c r="I400" s="18"/>
      <c r="J400" s="22"/>
      <c r="K400" s="108"/>
      <c r="L400" s="66"/>
      <c r="M400" s="66"/>
      <c r="N400" s="66"/>
      <c r="O400" s="66"/>
      <c r="P400" s="66"/>
      <c r="Q400" s="66"/>
      <c r="R400" s="66"/>
      <c r="S400" s="66"/>
    </row>
    <row r="401">
      <c r="A401" s="66"/>
      <c r="B401" s="66"/>
      <c r="C401" s="66"/>
      <c r="D401" s="66"/>
      <c r="E401" s="15"/>
      <c r="F401" s="66"/>
      <c r="G401" s="18"/>
      <c r="H401" s="15"/>
      <c r="I401" s="18"/>
      <c r="J401" s="22"/>
      <c r="K401" s="108"/>
      <c r="L401" s="66"/>
      <c r="M401" s="66"/>
      <c r="N401" s="66"/>
      <c r="O401" s="66"/>
      <c r="P401" s="66"/>
      <c r="Q401" s="66"/>
      <c r="R401" s="66"/>
      <c r="S401" s="66"/>
    </row>
    <row r="402">
      <c r="A402" s="66"/>
      <c r="B402" s="66"/>
      <c r="C402" s="66"/>
      <c r="D402" s="66"/>
      <c r="E402" s="15"/>
      <c r="F402" s="66"/>
      <c r="G402" s="18"/>
      <c r="H402" s="15"/>
      <c r="I402" s="18"/>
      <c r="J402" s="22"/>
      <c r="K402" s="108"/>
      <c r="L402" s="66"/>
      <c r="M402" s="66"/>
      <c r="N402" s="66"/>
      <c r="O402" s="66"/>
      <c r="P402" s="66"/>
      <c r="Q402" s="66"/>
      <c r="R402" s="66"/>
      <c r="S402" s="66"/>
    </row>
    <row r="403">
      <c r="A403" s="66"/>
      <c r="B403" s="66"/>
      <c r="C403" s="66"/>
      <c r="D403" s="66"/>
      <c r="E403" s="15"/>
      <c r="F403" s="66"/>
      <c r="G403" s="18"/>
      <c r="H403" s="15"/>
      <c r="I403" s="18"/>
      <c r="J403" s="22"/>
      <c r="K403" s="108"/>
      <c r="L403" s="66"/>
      <c r="M403" s="66"/>
      <c r="N403" s="66"/>
      <c r="O403" s="66"/>
      <c r="P403" s="66"/>
      <c r="Q403" s="66"/>
      <c r="R403" s="66"/>
      <c r="S403" s="66"/>
    </row>
    <row r="404">
      <c r="A404" s="66"/>
      <c r="B404" s="66"/>
      <c r="C404" s="66"/>
      <c r="D404" s="66"/>
      <c r="E404" s="15"/>
      <c r="F404" s="66"/>
      <c r="G404" s="18"/>
      <c r="H404" s="15"/>
      <c r="I404" s="18"/>
      <c r="J404" s="22"/>
      <c r="K404" s="108"/>
      <c r="L404" s="66"/>
      <c r="M404" s="66"/>
      <c r="N404" s="66"/>
      <c r="O404" s="66"/>
      <c r="P404" s="66"/>
      <c r="Q404" s="66"/>
      <c r="R404" s="66"/>
      <c r="S404" s="66"/>
    </row>
    <row r="405">
      <c r="A405" s="66"/>
      <c r="B405" s="66"/>
      <c r="C405" s="66"/>
      <c r="D405" s="66"/>
      <c r="E405" s="15"/>
      <c r="F405" s="66"/>
      <c r="G405" s="18"/>
      <c r="H405" s="15"/>
      <c r="I405" s="18"/>
      <c r="J405" s="22"/>
      <c r="K405" s="108"/>
      <c r="L405" s="66"/>
      <c r="M405" s="66"/>
      <c r="N405" s="66"/>
      <c r="O405" s="66"/>
      <c r="P405" s="66"/>
      <c r="Q405" s="66"/>
      <c r="R405" s="66"/>
      <c r="S405" s="66"/>
    </row>
    <row r="406">
      <c r="A406" s="66"/>
      <c r="B406" s="66"/>
      <c r="C406" s="66"/>
      <c r="D406" s="66"/>
      <c r="E406" s="15"/>
      <c r="F406" s="66"/>
      <c r="G406" s="18"/>
      <c r="H406" s="15"/>
      <c r="I406" s="18"/>
      <c r="J406" s="22"/>
      <c r="K406" s="108"/>
      <c r="L406" s="66"/>
      <c r="M406" s="66"/>
      <c r="N406" s="66"/>
      <c r="O406" s="66"/>
      <c r="P406" s="66"/>
      <c r="Q406" s="66"/>
      <c r="R406" s="66"/>
      <c r="S406" s="66"/>
    </row>
    <row r="407">
      <c r="A407" s="66"/>
      <c r="B407" s="66"/>
      <c r="C407" s="66"/>
      <c r="D407" s="66"/>
      <c r="E407" s="15"/>
      <c r="F407" s="66"/>
      <c r="G407" s="18"/>
      <c r="H407" s="15"/>
      <c r="I407" s="18"/>
      <c r="J407" s="22"/>
      <c r="K407" s="108"/>
      <c r="L407" s="66"/>
      <c r="M407" s="66"/>
      <c r="N407" s="66"/>
      <c r="O407" s="66"/>
      <c r="P407" s="66"/>
      <c r="Q407" s="66"/>
      <c r="R407" s="66"/>
      <c r="S407" s="66"/>
    </row>
    <row r="408">
      <c r="A408" s="66"/>
      <c r="B408" s="66"/>
      <c r="C408" s="66"/>
      <c r="D408" s="66"/>
      <c r="E408" s="15"/>
      <c r="F408" s="66"/>
      <c r="G408" s="18"/>
      <c r="H408" s="15"/>
      <c r="I408" s="18"/>
      <c r="J408" s="22"/>
      <c r="K408" s="108"/>
      <c r="L408" s="66"/>
      <c r="M408" s="66"/>
      <c r="N408" s="66"/>
      <c r="O408" s="66"/>
      <c r="P408" s="66"/>
      <c r="Q408" s="66"/>
      <c r="R408" s="66"/>
      <c r="S408" s="66"/>
    </row>
    <row r="409">
      <c r="A409" s="66"/>
      <c r="B409" s="66"/>
      <c r="C409" s="66"/>
      <c r="D409" s="66"/>
      <c r="E409" s="15"/>
      <c r="F409" s="66"/>
      <c r="G409" s="18"/>
      <c r="H409" s="15"/>
      <c r="I409" s="18"/>
      <c r="J409" s="22"/>
      <c r="K409" s="108"/>
      <c r="L409" s="66"/>
      <c r="M409" s="66"/>
      <c r="N409" s="66"/>
      <c r="O409" s="66"/>
      <c r="P409" s="66"/>
      <c r="Q409" s="66"/>
      <c r="R409" s="66"/>
      <c r="S409" s="66"/>
    </row>
    <row r="410">
      <c r="A410" s="66"/>
      <c r="B410" s="66"/>
      <c r="C410" s="66"/>
      <c r="D410" s="66"/>
      <c r="E410" s="15"/>
      <c r="F410" s="66"/>
      <c r="G410" s="18"/>
      <c r="H410" s="15"/>
      <c r="I410" s="18"/>
      <c r="J410" s="22"/>
      <c r="K410" s="108"/>
      <c r="L410" s="66"/>
      <c r="M410" s="66"/>
      <c r="N410" s="66"/>
      <c r="O410" s="66"/>
      <c r="P410" s="66"/>
      <c r="Q410" s="66"/>
      <c r="R410" s="66"/>
      <c r="S410" s="66"/>
    </row>
    <row r="411">
      <c r="A411" s="66"/>
      <c r="B411" s="66"/>
      <c r="C411" s="66"/>
      <c r="D411" s="66"/>
      <c r="E411" s="15"/>
      <c r="F411" s="66"/>
      <c r="G411" s="18"/>
      <c r="H411" s="15"/>
      <c r="I411" s="18"/>
      <c r="J411" s="22"/>
      <c r="K411" s="108"/>
      <c r="L411" s="66"/>
      <c r="M411" s="66"/>
      <c r="N411" s="66"/>
      <c r="O411" s="66"/>
      <c r="P411" s="66"/>
      <c r="Q411" s="66"/>
      <c r="R411" s="66"/>
      <c r="S411" s="66"/>
    </row>
    <row r="412">
      <c r="A412" s="66"/>
      <c r="B412" s="66"/>
      <c r="C412" s="66"/>
      <c r="D412" s="66"/>
      <c r="E412" s="15"/>
      <c r="F412" s="66"/>
      <c r="G412" s="18"/>
      <c r="H412" s="15"/>
      <c r="I412" s="18"/>
      <c r="J412" s="22"/>
      <c r="K412" s="108"/>
      <c r="L412" s="66"/>
      <c r="M412" s="66"/>
      <c r="N412" s="66"/>
      <c r="O412" s="66"/>
      <c r="P412" s="66"/>
      <c r="Q412" s="66"/>
      <c r="R412" s="66"/>
      <c r="S412" s="66"/>
    </row>
    <row r="413">
      <c r="A413" s="66"/>
      <c r="B413" s="66"/>
      <c r="C413" s="66"/>
      <c r="D413" s="66"/>
      <c r="E413" s="15"/>
      <c r="F413" s="66"/>
      <c r="G413" s="18"/>
      <c r="H413" s="15"/>
      <c r="I413" s="18"/>
      <c r="J413" s="22"/>
      <c r="K413" s="108"/>
      <c r="L413" s="66"/>
      <c r="M413" s="66"/>
      <c r="N413" s="66"/>
      <c r="O413" s="66"/>
      <c r="P413" s="66"/>
      <c r="Q413" s="66"/>
      <c r="R413" s="66"/>
      <c r="S413" s="66"/>
    </row>
    <row r="414">
      <c r="A414" s="66"/>
      <c r="B414" s="66"/>
      <c r="C414" s="66"/>
      <c r="D414" s="66"/>
      <c r="E414" s="15"/>
      <c r="F414" s="66"/>
      <c r="G414" s="18"/>
      <c r="H414" s="15"/>
      <c r="I414" s="18"/>
      <c r="J414" s="22"/>
      <c r="K414" s="108"/>
      <c r="L414" s="66"/>
      <c r="M414" s="66"/>
      <c r="N414" s="66"/>
      <c r="O414" s="66"/>
      <c r="P414" s="66"/>
      <c r="Q414" s="66"/>
      <c r="R414" s="66"/>
      <c r="S414" s="66"/>
    </row>
    <row r="415">
      <c r="A415" s="66"/>
      <c r="B415" s="66"/>
      <c r="C415" s="66"/>
      <c r="D415" s="66"/>
      <c r="E415" s="15"/>
      <c r="F415" s="66"/>
      <c r="G415" s="18"/>
      <c r="H415" s="15"/>
      <c r="I415" s="18"/>
      <c r="J415" s="22"/>
      <c r="K415" s="108"/>
      <c r="L415" s="66"/>
      <c r="M415" s="66"/>
      <c r="N415" s="66"/>
      <c r="O415" s="66"/>
      <c r="P415" s="66"/>
      <c r="Q415" s="66"/>
      <c r="R415" s="66"/>
      <c r="S415" s="66"/>
    </row>
    <row r="416">
      <c r="A416" s="66"/>
      <c r="B416" s="66"/>
      <c r="C416" s="66"/>
      <c r="D416" s="66"/>
      <c r="E416" s="15"/>
      <c r="F416" s="66"/>
      <c r="G416" s="18"/>
      <c r="H416" s="15"/>
      <c r="I416" s="18"/>
      <c r="J416" s="22"/>
      <c r="K416" s="108"/>
      <c r="L416" s="66"/>
      <c r="M416" s="66"/>
      <c r="N416" s="66"/>
      <c r="O416" s="66"/>
      <c r="P416" s="66"/>
      <c r="Q416" s="66"/>
      <c r="R416" s="66"/>
      <c r="S416" s="66"/>
    </row>
    <row r="417">
      <c r="A417" s="66"/>
      <c r="B417" s="66"/>
      <c r="C417" s="66"/>
      <c r="D417" s="66"/>
      <c r="E417" s="15"/>
      <c r="F417" s="66"/>
      <c r="G417" s="18"/>
      <c r="H417" s="15"/>
      <c r="I417" s="18"/>
      <c r="J417" s="22"/>
      <c r="K417" s="108"/>
      <c r="L417" s="66"/>
      <c r="M417" s="66"/>
      <c r="N417" s="66"/>
      <c r="O417" s="66"/>
      <c r="P417" s="66"/>
      <c r="Q417" s="66"/>
      <c r="R417" s="66"/>
      <c r="S417" s="66"/>
    </row>
    <row r="418">
      <c r="A418" s="66"/>
      <c r="B418" s="66"/>
      <c r="C418" s="66"/>
      <c r="D418" s="66"/>
      <c r="E418" s="15"/>
      <c r="F418" s="66"/>
      <c r="G418" s="18"/>
      <c r="H418" s="15"/>
      <c r="I418" s="18"/>
      <c r="J418" s="22"/>
      <c r="K418" s="108"/>
      <c r="L418" s="66"/>
      <c r="M418" s="66"/>
      <c r="N418" s="66"/>
      <c r="O418" s="66"/>
      <c r="P418" s="66"/>
      <c r="Q418" s="66"/>
      <c r="R418" s="66"/>
      <c r="S418" s="66"/>
    </row>
    <row r="419">
      <c r="A419" s="66"/>
      <c r="B419" s="66"/>
      <c r="C419" s="66"/>
      <c r="D419" s="66"/>
      <c r="E419" s="15"/>
      <c r="F419" s="66"/>
      <c r="G419" s="18"/>
      <c r="H419" s="15"/>
      <c r="I419" s="18"/>
      <c r="J419" s="22"/>
      <c r="K419" s="108"/>
      <c r="L419" s="66"/>
      <c r="M419" s="66"/>
      <c r="N419" s="66"/>
      <c r="O419" s="66"/>
      <c r="P419" s="66"/>
      <c r="Q419" s="66"/>
      <c r="R419" s="66"/>
      <c r="S419" s="66"/>
    </row>
    <row r="420">
      <c r="A420" s="66"/>
      <c r="B420" s="66"/>
      <c r="C420" s="66"/>
      <c r="D420" s="66"/>
      <c r="E420" s="15"/>
      <c r="F420" s="66"/>
      <c r="G420" s="18"/>
      <c r="H420" s="15"/>
      <c r="I420" s="18"/>
      <c r="J420" s="22"/>
      <c r="K420" s="108"/>
      <c r="L420" s="66"/>
      <c r="M420" s="66"/>
      <c r="N420" s="66"/>
      <c r="O420" s="66"/>
      <c r="P420" s="66"/>
      <c r="Q420" s="66"/>
      <c r="R420" s="66"/>
      <c r="S420" s="66"/>
    </row>
    <row r="421">
      <c r="A421" s="66"/>
      <c r="B421" s="66"/>
      <c r="C421" s="66"/>
      <c r="D421" s="66"/>
      <c r="E421" s="15"/>
      <c r="F421" s="66"/>
      <c r="G421" s="18"/>
      <c r="H421" s="15"/>
      <c r="I421" s="18"/>
      <c r="J421" s="22"/>
      <c r="K421" s="108"/>
      <c r="L421" s="66"/>
      <c r="M421" s="66"/>
      <c r="N421" s="66"/>
      <c r="O421" s="66"/>
      <c r="P421" s="66"/>
      <c r="Q421" s="66"/>
      <c r="R421" s="66"/>
      <c r="S421" s="66"/>
    </row>
    <row r="422">
      <c r="A422" s="66"/>
      <c r="B422" s="66"/>
      <c r="C422" s="66"/>
      <c r="D422" s="66"/>
      <c r="E422" s="15"/>
      <c r="F422" s="66"/>
      <c r="G422" s="18"/>
      <c r="H422" s="15"/>
      <c r="I422" s="18"/>
      <c r="J422" s="22"/>
      <c r="K422" s="108"/>
      <c r="L422" s="66"/>
      <c r="M422" s="66"/>
      <c r="N422" s="66"/>
      <c r="O422" s="66"/>
      <c r="P422" s="66"/>
      <c r="Q422" s="66"/>
      <c r="R422" s="66"/>
      <c r="S422" s="66"/>
    </row>
    <row r="423">
      <c r="A423" s="66"/>
      <c r="B423" s="66"/>
      <c r="C423" s="66"/>
      <c r="D423" s="66"/>
      <c r="E423" s="15"/>
      <c r="F423" s="66"/>
      <c r="G423" s="18"/>
      <c r="H423" s="15"/>
      <c r="I423" s="18"/>
      <c r="J423" s="22"/>
      <c r="K423" s="108"/>
      <c r="L423" s="66"/>
      <c r="M423" s="66"/>
      <c r="N423" s="66"/>
      <c r="O423" s="66"/>
      <c r="P423" s="66"/>
      <c r="Q423" s="66"/>
      <c r="R423" s="66"/>
      <c r="S423" s="66"/>
    </row>
    <row r="424">
      <c r="A424" s="66"/>
      <c r="B424" s="66"/>
      <c r="C424" s="66"/>
      <c r="D424" s="66"/>
      <c r="E424" s="15"/>
      <c r="F424" s="66"/>
      <c r="G424" s="18"/>
      <c r="H424" s="15"/>
      <c r="I424" s="18"/>
      <c r="J424" s="22"/>
      <c r="K424" s="108"/>
      <c r="L424" s="66"/>
      <c r="M424" s="66"/>
      <c r="N424" s="66"/>
      <c r="O424" s="66"/>
      <c r="P424" s="66"/>
      <c r="Q424" s="66"/>
      <c r="R424" s="66"/>
      <c r="S424" s="66"/>
    </row>
    <row r="425">
      <c r="A425" s="66"/>
      <c r="B425" s="66"/>
      <c r="C425" s="66"/>
      <c r="D425" s="66"/>
      <c r="E425" s="15"/>
      <c r="F425" s="66"/>
      <c r="G425" s="18"/>
      <c r="H425" s="15"/>
      <c r="I425" s="18"/>
      <c r="J425" s="22"/>
      <c r="K425" s="108"/>
      <c r="L425" s="66"/>
      <c r="M425" s="66"/>
      <c r="N425" s="66"/>
      <c r="O425" s="66"/>
      <c r="P425" s="66"/>
      <c r="Q425" s="66"/>
      <c r="R425" s="66"/>
      <c r="S425" s="66"/>
    </row>
    <row r="426">
      <c r="A426" s="66"/>
      <c r="B426" s="66"/>
      <c r="C426" s="66"/>
      <c r="D426" s="66"/>
      <c r="E426" s="15"/>
      <c r="F426" s="66"/>
      <c r="G426" s="18"/>
      <c r="H426" s="15"/>
      <c r="I426" s="18"/>
      <c r="J426" s="22"/>
      <c r="K426" s="108"/>
      <c r="L426" s="66"/>
      <c r="M426" s="66"/>
      <c r="N426" s="66"/>
      <c r="O426" s="66"/>
      <c r="P426" s="66"/>
      <c r="Q426" s="66"/>
      <c r="R426" s="66"/>
      <c r="S426" s="66"/>
    </row>
    <row r="427">
      <c r="A427" s="66"/>
      <c r="B427" s="66"/>
      <c r="C427" s="66"/>
      <c r="D427" s="66"/>
      <c r="E427" s="15"/>
      <c r="F427" s="66"/>
      <c r="G427" s="18"/>
      <c r="H427" s="15"/>
      <c r="I427" s="18"/>
      <c r="J427" s="22"/>
      <c r="K427" s="108"/>
      <c r="L427" s="66"/>
      <c r="M427" s="66"/>
      <c r="N427" s="66"/>
      <c r="O427" s="66"/>
      <c r="P427" s="66"/>
      <c r="Q427" s="66"/>
      <c r="R427" s="66"/>
      <c r="S427" s="66"/>
    </row>
    <row r="428">
      <c r="A428" s="66"/>
      <c r="B428" s="66"/>
      <c r="C428" s="66"/>
      <c r="D428" s="66"/>
      <c r="E428" s="15"/>
      <c r="F428" s="66"/>
      <c r="G428" s="18"/>
      <c r="H428" s="15"/>
      <c r="I428" s="18"/>
      <c r="J428" s="22"/>
      <c r="K428" s="108"/>
      <c r="L428" s="66"/>
      <c r="M428" s="66"/>
      <c r="N428" s="66"/>
      <c r="O428" s="66"/>
      <c r="P428" s="66"/>
      <c r="Q428" s="66"/>
      <c r="R428" s="66"/>
      <c r="S428" s="66"/>
    </row>
    <row r="429">
      <c r="A429" s="66"/>
      <c r="B429" s="66"/>
      <c r="C429" s="66"/>
      <c r="D429" s="66"/>
      <c r="E429" s="15"/>
      <c r="F429" s="66"/>
      <c r="G429" s="18"/>
      <c r="H429" s="15"/>
      <c r="I429" s="18"/>
      <c r="J429" s="22"/>
      <c r="K429" s="108"/>
      <c r="L429" s="66"/>
      <c r="M429" s="66"/>
      <c r="N429" s="66"/>
      <c r="O429" s="66"/>
      <c r="P429" s="66"/>
      <c r="Q429" s="66"/>
      <c r="R429" s="66"/>
      <c r="S429" s="66"/>
    </row>
    <row r="430">
      <c r="A430" s="66"/>
      <c r="B430" s="66"/>
      <c r="C430" s="66"/>
      <c r="D430" s="66"/>
      <c r="E430" s="15"/>
      <c r="F430" s="66"/>
      <c r="G430" s="18"/>
      <c r="H430" s="15"/>
      <c r="I430" s="18"/>
      <c r="J430" s="22"/>
      <c r="K430" s="108"/>
      <c r="L430" s="66"/>
      <c r="M430" s="66"/>
      <c r="N430" s="66"/>
      <c r="O430" s="66"/>
      <c r="P430" s="66"/>
      <c r="Q430" s="66"/>
      <c r="R430" s="66"/>
      <c r="S430" s="66"/>
    </row>
    <row r="431">
      <c r="A431" s="66"/>
      <c r="B431" s="66"/>
      <c r="C431" s="66"/>
      <c r="D431" s="66"/>
      <c r="E431" s="15"/>
      <c r="F431" s="66"/>
      <c r="G431" s="18"/>
      <c r="H431" s="15"/>
      <c r="I431" s="18"/>
      <c r="J431" s="22"/>
      <c r="K431" s="108"/>
      <c r="L431" s="66"/>
      <c r="M431" s="66"/>
      <c r="N431" s="66"/>
      <c r="O431" s="66"/>
      <c r="P431" s="66"/>
      <c r="Q431" s="66"/>
      <c r="R431" s="66"/>
      <c r="S431" s="66"/>
    </row>
    <row r="432">
      <c r="A432" s="66"/>
      <c r="B432" s="66"/>
      <c r="C432" s="66"/>
      <c r="D432" s="66"/>
      <c r="E432" s="15"/>
      <c r="F432" s="66"/>
      <c r="G432" s="18"/>
      <c r="H432" s="15"/>
      <c r="I432" s="18"/>
      <c r="J432" s="22"/>
      <c r="K432" s="108"/>
      <c r="L432" s="66"/>
      <c r="M432" s="66"/>
      <c r="N432" s="66"/>
      <c r="O432" s="66"/>
      <c r="P432" s="66"/>
      <c r="Q432" s="66"/>
      <c r="R432" s="66"/>
      <c r="S432" s="66"/>
    </row>
    <row r="433">
      <c r="A433" s="66"/>
      <c r="B433" s="66"/>
      <c r="C433" s="66"/>
      <c r="D433" s="66"/>
      <c r="E433" s="15"/>
      <c r="F433" s="66"/>
      <c r="G433" s="18"/>
      <c r="H433" s="15"/>
      <c r="I433" s="18"/>
      <c r="J433" s="22"/>
      <c r="K433" s="108"/>
      <c r="L433" s="66"/>
      <c r="M433" s="66"/>
      <c r="N433" s="66"/>
      <c r="O433" s="66"/>
      <c r="P433" s="66"/>
      <c r="Q433" s="66"/>
      <c r="R433" s="66"/>
      <c r="S433" s="66"/>
    </row>
    <row r="434">
      <c r="A434" s="66"/>
      <c r="B434" s="66"/>
      <c r="C434" s="66"/>
      <c r="D434" s="66"/>
      <c r="E434" s="15"/>
      <c r="F434" s="66"/>
      <c r="G434" s="18"/>
      <c r="H434" s="15"/>
      <c r="I434" s="18"/>
      <c r="J434" s="22"/>
      <c r="K434" s="108"/>
      <c r="L434" s="66"/>
      <c r="M434" s="66"/>
      <c r="N434" s="66"/>
      <c r="O434" s="66"/>
      <c r="P434" s="66"/>
      <c r="Q434" s="66"/>
      <c r="R434" s="66"/>
      <c r="S434" s="66"/>
    </row>
    <row r="435">
      <c r="A435" s="66"/>
      <c r="B435" s="66"/>
      <c r="C435" s="66"/>
      <c r="D435" s="66"/>
      <c r="E435" s="15"/>
      <c r="F435" s="66"/>
      <c r="G435" s="18"/>
      <c r="H435" s="15"/>
      <c r="I435" s="18"/>
      <c r="J435" s="22"/>
      <c r="K435" s="108"/>
      <c r="L435" s="66"/>
      <c r="M435" s="66"/>
      <c r="N435" s="66"/>
      <c r="O435" s="66"/>
      <c r="P435" s="66"/>
      <c r="Q435" s="66"/>
      <c r="R435" s="66"/>
      <c r="S435" s="66"/>
    </row>
    <row r="436">
      <c r="A436" s="66"/>
      <c r="B436" s="66"/>
      <c r="C436" s="66"/>
      <c r="D436" s="66"/>
      <c r="E436" s="15"/>
      <c r="F436" s="66"/>
      <c r="G436" s="18"/>
      <c r="H436" s="15"/>
      <c r="I436" s="18"/>
      <c r="J436" s="22"/>
      <c r="K436" s="108"/>
      <c r="L436" s="66"/>
      <c r="M436" s="66"/>
      <c r="N436" s="66"/>
      <c r="O436" s="66"/>
      <c r="P436" s="66"/>
      <c r="Q436" s="66"/>
      <c r="R436" s="66"/>
      <c r="S436" s="66"/>
    </row>
    <row r="437">
      <c r="A437" s="66"/>
      <c r="B437" s="66"/>
      <c r="C437" s="66"/>
      <c r="D437" s="66"/>
      <c r="E437" s="15"/>
      <c r="F437" s="66"/>
      <c r="G437" s="18"/>
      <c r="H437" s="15"/>
      <c r="I437" s="18"/>
      <c r="J437" s="22"/>
      <c r="K437" s="108"/>
      <c r="L437" s="66"/>
      <c r="M437" s="66"/>
      <c r="N437" s="66"/>
      <c r="O437" s="66"/>
      <c r="P437" s="66"/>
      <c r="Q437" s="66"/>
      <c r="R437" s="66"/>
      <c r="S437" s="66"/>
    </row>
    <row r="438">
      <c r="A438" s="66"/>
      <c r="B438" s="66"/>
      <c r="C438" s="66"/>
      <c r="D438" s="66"/>
      <c r="E438" s="15"/>
      <c r="F438" s="66"/>
      <c r="G438" s="18"/>
      <c r="H438" s="15"/>
      <c r="I438" s="18"/>
      <c r="J438" s="22"/>
      <c r="K438" s="108"/>
      <c r="L438" s="66"/>
      <c r="M438" s="66"/>
      <c r="N438" s="66"/>
      <c r="O438" s="66"/>
      <c r="P438" s="66"/>
      <c r="Q438" s="66"/>
      <c r="R438" s="66"/>
      <c r="S438" s="66"/>
    </row>
    <row r="439">
      <c r="A439" s="66"/>
      <c r="B439" s="66"/>
      <c r="C439" s="66"/>
      <c r="D439" s="66"/>
      <c r="E439" s="15"/>
      <c r="F439" s="66"/>
      <c r="G439" s="18"/>
      <c r="H439" s="15"/>
      <c r="I439" s="18"/>
      <c r="J439" s="22"/>
      <c r="K439" s="108"/>
      <c r="L439" s="66"/>
      <c r="M439" s="66"/>
      <c r="N439" s="66"/>
      <c r="O439" s="66"/>
      <c r="P439" s="66"/>
      <c r="Q439" s="66"/>
      <c r="R439" s="66"/>
      <c r="S439" s="66"/>
    </row>
    <row r="440">
      <c r="A440" s="66"/>
      <c r="B440" s="66"/>
      <c r="C440" s="66"/>
      <c r="D440" s="66"/>
      <c r="E440" s="15"/>
      <c r="F440" s="66"/>
      <c r="G440" s="18"/>
      <c r="H440" s="15"/>
      <c r="I440" s="18"/>
      <c r="J440" s="22"/>
      <c r="K440" s="108"/>
      <c r="L440" s="66"/>
      <c r="M440" s="66"/>
      <c r="N440" s="66"/>
      <c r="O440" s="66"/>
      <c r="P440" s="66"/>
      <c r="Q440" s="66"/>
      <c r="R440" s="66"/>
      <c r="S440" s="66"/>
    </row>
    <row r="441">
      <c r="A441" s="66"/>
      <c r="B441" s="66"/>
      <c r="C441" s="66"/>
      <c r="D441" s="66"/>
      <c r="E441" s="15"/>
      <c r="F441" s="66"/>
      <c r="G441" s="18"/>
      <c r="H441" s="15"/>
      <c r="I441" s="18"/>
      <c r="J441" s="22"/>
      <c r="K441" s="108"/>
      <c r="L441" s="66"/>
      <c r="M441" s="66"/>
      <c r="N441" s="66"/>
      <c r="O441" s="66"/>
      <c r="P441" s="66"/>
      <c r="Q441" s="66"/>
      <c r="R441" s="66"/>
      <c r="S441" s="66"/>
    </row>
    <row r="442">
      <c r="A442" s="66"/>
      <c r="B442" s="66"/>
      <c r="C442" s="66"/>
      <c r="D442" s="66"/>
      <c r="E442" s="15"/>
      <c r="F442" s="66"/>
      <c r="G442" s="18"/>
      <c r="H442" s="15"/>
      <c r="I442" s="18"/>
      <c r="J442" s="22"/>
      <c r="K442" s="108"/>
      <c r="L442" s="66"/>
      <c r="M442" s="66"/>
      <c r="N442" s="66"/>
      <c r="O442" s="66"/>
      <c r="P442" s="66"/>
      <c r="Q442" s="66"/>
      <c r="R442" s="66"/>
      <c r="S442" s="66"/>
    </row>
    <row r="443">
      <c r="A443" s="66"/>
      <c r="B443" s="66"/>
      <c r="C443" s="66"/>
      <c r="D443" s="66"/>
      <c r="E443" s="15"/>
      <c r="F443" s="66"/>
      <c r="G443" s="18"/>
      <c r="H443" s="15"/>
      <c r="I443" s="18"/>
      <c r="J443" s="22"/>
      <c r="K443" s="108"/>
      <c r="L443" s="66"/>
      <c r="M443" s="66"/>
      <c r="N443" s="66"/>
      <c r="O443" s="66"/>
      <c r="P443" s="66"/>
      <c r="Q443" s="66"/>
      <c r="R443" s="66"/>
      <c r="S443" s="66"/>
    </row>
    <row r="444">
      <c r="A444" s="66"/>
      <c r="B444" s="66"/>
      <c r="C444" s="66"/>
      <c r="D444" s="66"/>
      <c r="E444" s="15"/>
      <c r="F444" s="66"/>
      <c r="G444" s="18"/>
      <c r="H444" s="15"/>
      <c r="I444" s="18"/>
      <c r="J444" s="22"/>
      <c r="K444" s="108"/>
      <c r="L444" s="66"/>
      <c r="M444" s="66"/>
      <c r="N444" s="66"/>
      <c r="O444" s="66"/>
      <c r="P444" s="66"/>
      <c r="Q444" s="66"/>
      <c r="R444" s="66"/>
      <c r="S444" s="66"/>
    </row>
    <row r="445">
      <c r="A445" s="66"/>
      <c r="B445" s="66"/>
      <c r="C445" s="66"/>
      <c r="D445" s="66"/>
      <c r="E445" s="15"/>
      <c r="F445" s="66"/>
      <c r="G445" s="18"/>
      <c r="H445" s="15"/>
      <c r="I445" s="18"/>
      <c r="J445" s="22"/>
      <c r="K445" s="108"/>
      <c r="L445" s="66"/>
      <c r="M445" s="66"/>
      <c r="N445" s="66"/>
      <c r="O445" s="66"/>
      <c r="P445" s="66"/>
      <c r="Q445" s="66"/>
      <c r="R445" s="66"/>
      <c r="S445" s="66"/>
    </row>
    <row r="446">
      <c r="A446" s="66"/>
      <c r="B446" s="66"/>
      <c r="C446" s="66"/>
      <c r="D446" s="66"/>
      <c r="E446" s="15"/>
      <c r="F446" s="66"/>
      <c r="G446" s="18"/>
      <c r="H446" s="15"/>
      <c r="I446" s="18"/>
      <c r="J446" s="22"/>
      <c r="K446" s="108"/>
      <c r="L446" s="66"/>
      <c r="M446" s="66"/>
      <c r="N446" s="66"/>
      <c r="O446" s="66"/>
      <c r="P446" s="66"/>
      <c r="Q446" s="66"/>
      <c r="R446" s="66"/>
      <c r="S446" s="66"/>
    </row>
    <row r="447">
      <c r="A447" s="66"/>
      <c r="B447" s="66"/>
      <c r="C447" s="66"/>
      <c r="D447" s="66"/>
      <c r="E447" s="15"/>
      <c r="F447" s="66"/>
      <c r="G447" s="18"/>
      <c r="H447" s="15"/>
      <c r="I447" s="18"/>
      <c r="J447" s="22"/>
      <c r="K447" s="108"/>
      <c r="L447" s="66"/>
      <c r="M447" s="66"/>
      <c r="N447" s="66"/>
      <c r="O447" s="66"/>
      <c r="P447" s="66"/>
      <c r="Q447" s="66"/>
      <c r="R447" s="66"/>
      <c r="S447" s="66"/>
    </row>
    <row r="448">
      <c r="A448" s="66"/>
      <c r="B448" s="66"/>
      <c r="C448" s="66"/>
      <c r="D448" s="66"/>
      <c r="E448" s="15"/>
      <c r="F448" s="66"/>
      <c r="G448" s="18"/>
      <c r="H448" s="15"/>
      <c r="I448" s="18"/>
      <c r="J448" s="22"/>
      <c r="K448" s="108"/>
      <c r="L448" s="66"/>
      <c r="M448" s="66"/>
      <c r="N448" s="66"/>
      <c r="O448" s="66"/>
      <c r="P448" s="66"/>
      <c r="Q448" s="66"/>
      <c r="R448" s="66"/>
      <c r="S448" s="66"/>
    </row>
    <row r="449">
      <c r="A449" s="66"/>
      <c r="B449" s="66"/>
      <c r="C449" s="66"/>
      <c r="D449" s="66"/>
      <c r="E449" s="15"/>
      <c r="F449" s="66"/>
      <c r="G449" s="18"/>
      <c r="H449" s="15"/>
      <c r="I449" s="18"/>
      <c r="J449" s="22"/>
      <c r="K449" s="108"/>
      <c r="L449" s="66"/>
      <c r="M449" s="66"/>
      <c r="N449" s="66"/>
      <c r="O449" s="66"/>
      <c r="P449" s="66"/>
      <c r="Q449" s="66"/>
      <c r="R449" s="66"/>
      <c r="S449" s="66"/>
    </row>
    <row r="450">
      <c r="A450" s="66"/>
      <c r="B450" s="66"/>
      <c r="C450" s="66"/>
      <c r="D450" s="66"/>
      <c r="E450" s="15"/>
      <c r="F450" s="66"/>
      <c r="G450" s="18"/>
      <c r="H450" s="15"/>
      <c r="I450" s="18"/>
      <c r="J450" s="22"/>
      <c r="K450" s="108"/>
      <c r="L450" s="66"/>
      <c r="M450" s="66"/>
      <c r="N450" s="66"/>
      <c r="O450" s="66"/>
      <c r="P450" s="66"/>
      <c r="Q450" s="66"/>
      <c r="R450" s="66"/>
      <c r="S450" s="66"/>
    </row>
    <row r="451">
      <c r="A451" s="66"/>
      <c r="B451" s="66"/>
      <c r="C451" s="66"/>
      <c r="D451" s="66"/>
      <c r="E451" s="15"/>
      <c r="F451" s="66"/>
      <c r="G451" s="18"/>
      <c r="H451" s="15"/>
      <c r="I451" s="18"/>
      <c r="J451" s="22"/>
      <c r="K451" s="108"/>
      <c r="L451" s="66"/>
      <c r="M451" s="66"/>
      <c r="N451" s="66"/>
      <c r="O451" s="66"/>
      <c r="P451" s="66"/>
      <c r="Q451" s="66"/>
      <c r="R451" s="66"/>
      <c r="S451" s="66"/>
    </row>
    <row r="452">
      <c r="A452" s="66"/>
      <c r="B452" s="66"/>
      <c r="C452" s="66"/>
      <c r="D452" s="66"/>
      <c r="E452" s="15"/>
      <c r="F452" s="66"/>
      <c r="G452" s="18"/>
      <c r="H452" s="15"/>
      <c r="I452" s="18"/>
      <c r="J452" s="22"/>
      <c r="K452" s="108"/>
      <c r="L452" s="66"/>
      <c r="M452" s="66"/>
      <c r="N452" s="66"/>
      <c r="O452" s="66"/>
      <c r="P452" s="66"/>
      <c r="Q452" s="66"/>
      <c r="R452" s="66"/>
      <c r="S452" s="66"/>
    </row>
    <row r="453">
      <c r="A453" s="66"/>
      <c r="B453" s="66"/>
      <c r="C453" s="66"/>
      <c r="D453" s="66"/>
      <c r="E453" s="15"/>
      <c r="F453" s="66"/>
      <c r="G453" s="18"/>
      <c r="H453" s="15"/>
      <c r="I453" s="18"/>
      <c r="J453" s="22"/>
      <c r="K453" s="108"/>
      <c r="L453" s="66"/>
      <c r="M453" s="66"/>
      <c r="N453" s="66"/>
      <c r="O453" s="66"/>
      <c r="P453" s="66"/>
      <c r="Q453" s="66"/>
      <c r="R453" s="66"/>
      <c r="S453" s="66"/>
    </row>
    <row r="454">
      <c r="A454" s="66"/>
      <c r="B454" s="66"/>
      <c r="C454" s="66"/>
      <c r="D454" s="66"/>
      <c r="E454" s="15"/>
      <c r="F454" s="66"/>
      <c r="G454" s="18"/>
      <c r="H454" s="15"/>
      <c r="I454" s="18"/>
      <c r="J454" s="22"/>
      <c r="K454" s="108"/>
      <c r="L454" s="66"/>
      <c r="M454" s="66"/>
      <c r="N454" s="66"/>
      <c r="O454" s="66"/>
      <c r="P454" s="66"/>
      <c r="Q454" s="66"/>
      <c r="R454" s="66"/>
      <c r="S454" s="66"/>
    </row>
    <row r="455">
      <c r="A455" s="66"/>
      <c r="B455" s="66"/>
      <c r="C455" s="66"/>
      <c r="D455" s="66"/>
      <c r="E455" s="15"/>
      <c r="F455" s="66"/>
      <c r="G455" s="18"/>
      <c r="H455" s="15"/>
      <c r="I455" s="18"/>
      <c r="J455" s="22"/>
      <c r="K455" s="108"/>
      <c r="L455" s="66"/>
      <c r="M455" s="66"/>
      <c r="N455" s="66"/>
      <c r="O455" s="66"/>
      <c r="P455" s="66"/>
      <c r="Q455" s="66"/>
      <c r="R455" s="66"/>
      <c r="S455" s="66"/>
    </row>
    <row r="456">
      <c r="A456" s="66"/>
      <c r="B456" s="66"/>
      <c r="C456" s="66"/>
      <c r="D456" s="66"/>
      <c r="E456" s="15"/>
      <c r="F456" s="66"/>
      <c r="G456" s="18"/>
      <c r="H456" s="15"/>
      <c r="I456" s="18"/>
      <c r="J456" s="22"/>
      <c r="K456" s="108"/>
      <c r="L456" s="66"/>
      <c r="M456" s="66"/>
      <c r="N456" s="66"/>
      <c r="O456" s="66"/>
      <c r="P456" s="66"/>
      <c r="Q456" s="66"/>
      <c r="R456" s="66"/>
      <c r="S456" s="66"/>
    </row>
    <row r="457">
      <c r="A457" s="66"/>
      <c r="B457" s="66"/>
      <c r="C457" s="66"/>
      <c r="D457" s="66"/>
      <c r="E457" s="15"/>
      <c r="F457" s="66"/>
      <c r="G457" s="18"/>
      <c r="H457" s="15"/>
      <c r="I457" s="18"/>
      <c r="J457" s="22"/>
      <c r="K457" s="108"/>
      <c r="L457" s="66"/>
      <c r="M457" s="66"/>
      <c r="N457" s="66"/>
      <c r="O457" s="66"/>
      <c r="P457" s="66"/>
      <c r="Q457" s="66"/>
      <c r="R457" s="66"/>
      <c r="S457" s="66"/>
    </row>
    <row r="458">
      <c r="A458" s="66"/>
      <c r="B458" s="66"/>
      <c r="C458" s="66"/>
      <c r="D458" s="66"/>
      <c r="E458" s="15"/>
      <c r="F458" s="66"/>
      <c r="G458" s="18"/>
      <c r="H458" s="15"/>
      <c r="I458" s="18"/>
      <c r="J458" s="22"/>
      <c r="K458" s="108"/>
      <c r="L458" s="66"/>
      <c r="M458" s="66"/>
      <c r="N458" s="66"/>
      <c r="O458" s="66"/>
      <c r="P458" s="66"/>
      <c r="Q458" s="66"/>
      <c r="R458" s="66"/>
      <c r="S458" s="66"/>
    </row>
    <row r="459">
      <c r="A459" s="66"/>
      <c r="B459" s="66"/>
      <c r="C459" s="66"/>
      <c r="D459" s="66"/>
      <c r="E459" s="15"/>
      <c r="F459" s="66"/>
      <c r="G459" s="18"/>
      <c r="H459" s="15"/>
      <c r="I459" s="18"/>
      <c r="J459" s="22"/>
      <c r="K459" s="108"/>
      <c r="L459" s="66"/>
      <c r="M459" s="66"/>
      <c r="N459" s="66"/>
      <c r="O459" s="66"/>
      <c r="P459" s="66"/>
      <c r="Q459" s="66"/>
      <c r="R459" s="66"/>
      <c r="S459" s="66"/>
    </row>
    <row r="460">
      <c r="A460" s="66"/>
      <c r="B460" s="66"/>
      <c r="C460" s="66"/>
      <c r="D460" s="66"/>
      <c r="E460" s="15"/>
      <c r="F460" s="66"/>
      <c r="G460" s="18"/>
      <c r="H460" s="15"/>
      <c r="I460" s="18"/>
      <c r="J460" s="22"/>
      <c r="K460" s="108"/>
      <c r="L460" s="66"/>
      <c r="M460" s="66"/>
      <c r="N460" s="66"/>
      <c r="O460" s="66"/>
      <c r="P460" s="66"/>
      <c r="Q460" s="66"/>
      <c r="R460" s="66"/>
      <c r="S460" s="66"/>
    </row>
    <row r="461">
      <c r="A461" s="66"/>
      <c r="B461" s="66"/>
      <c r="C461" s="66"/>
      <c r="D461" s="66"/>
      <c r="E461" s="15"/>
      <c r="F461" s="66"/>
      <c r="G461" s="18"/>
      <c r="H461" s="15"/>
      <c r="I461" s="18"/>
      <c r="J461" s="22"/>
      <c r="K461" s="108"/>
      <c r="L461" s="66"/>
      <c r="M461" s="66"/>
      <c r="N461" s="66"/>
      <c r="O461" s="66"/>
      <c r="P461" s="66"/>
      <c r="Q461" s="66"/>
      <c r="R461" s="66"/>
      <c r="S461" s="66"/>
    </row>
    <row r="462">
      <c r="A462" s="66"/>
      <c r="B462" s="66"/>
      <c r="C462" s="66"/>
      <c r="D462" s="66"/>
      <c r="E462" s="15"/>
      <c r="F462" s="66"/>
      <c r="G462" s="18"/>
      <c r="H462" s="15"/>
      <c r="I462" s="18"/>
      <c r="J462" s="22"/>
      <c r="K462" s="108"/>
      <c r="L462" s="66"/>
      <c r="M462" s="66"/>
      <c r="N462" s="66"/>
      <c r="O462" s="66"/>
      <c r="P462" s="66"/>
      <c r="Q462" s="66"/>
      <c r="R462" s="66"/>
      <c r="S462" s="66"/>
    </row>
    <row r="463">
      <c r="A463" s="66"/>
      <c r="B463" s="66"/>
      <c r="C463" s="66"/>
      <c r="D463" s="66"/>
      <c r="E463" s="15"/>
      <c r="F463" s="66"/>
      <c r="G463" s="18"/>
      <c r="H463" s="15"/>
      <c r="I463" s="18"/>
      <c r="J463" s="22"/>
      <c r="K463" s="108"/>
      <c r="L463" s="66"/>
      <c r="M463" s="66"/>
      <c r="N463" s="66"/>
      <c r="O463" s="66"/>
      <c r="P463" s="66"/>
      <c r="Q463" s="66"/>
      <c r="R463" s="66"/>
      <c r="S463" s="66"/>
    </row>
    <row r="464">
      <c r="A464" s="66"/>
      <c r="B464" s="66"/>
      <c r="C464" s="66"/>
      <c r="D464" s="66"/>
      <c r="E464" s="15"/>
      <c r="F464" s="66"/>
      <c r="G464" s="18"/>
      <c r="H464" s="15"/>
      <c r="I464" s="18"/>
      <c r="J464" s="22"/>
      <c r="K464" s="108"/>
      <c r="L464" s="66"/>
      <c r="M464" s="66"/>
      <c r="N464" s="66"/>
      <c r="O464" s="66"/>
      <c r="P464" s="66"/>
      <c r="Q464" s="66"/>
      <c r="R464" s="66"/>
      <c r="S464" s="66"/>
    </row>
    <row r="465">
      <c r="A465" s="66"/>
      <c r="B465" s="66"/>
      <c r="C465" s="66"/>
      <c r="D465" s="66"/>
      <c r="E465" s="15"/>
      <c r="F465" s="66"/>
      <c r="G465" s="18"/>
      <c r="H465" s="15"/>
      <c r="I465" s="18"/>
      <c r="J465" s="22"/>
      <c r="K465" s="108"/>
      <c r="L465" s="66"/>
      <c r="M465" s="66"/>
      <c r="N465" s="66"/>
      <c r="O465" s="66"/>
      <c r="P465" s="66"/>
      <c r="Q465" s="66"/>
      <c r="R465" s="66"/>
      <c r="S465" s="66"/>
    </row>
    <row r="466">
      <c r="A466" s="66"/>
      <c r="B466" s="66"/>
      <c r="C466" s="66"/>
      <c r="D466" s="66"/>
      <c r="E466" s="15"/>
      <c r="F466" s="66"/>
      <c r="G466" s="18"/>
      <c r="H466" s="15"/>
      <c r="I466" s="18"/>
      <c r="J466" s="22"/>
      <c r="K466" s="108"/>
      <c r="L466" s="66"/>
      <c r="M466" s="66"/>
      <c r="N466" s="66"/>
      <c r="O466" s="66"/>
      <c r="P466" s="66"/>
      <c r="Q466" s="66"/>
      <c r="R466" s="66"/>
      <c r="S466" s="66"/>
    </row>
    <row r="467">
      <c r="A467" s="66"/>
      <c r="B467" s="66"/>
      <c r="C467" s="66"/>
      <c r="D467" s="66"/>
      <c r="E467" s="15"/>
      <c r="F467" s="66"/>
      <c r="G467" s="18"/>
      <c r="H467" s="15"/>
      <c r="I467" s="18"/>
      <c r="J467" s="22"/>
      <c r="K467" s="108"/>
      <c r="L467" s="66"/>
      <c r="M467" s="66"/>
      <c r="N467" s="66"/>
      <c r="O467" s="66"/>
      <c r="P467" s="66"/>
      <c r="Q467" s="66"/>
      <c r="R467" s="66"/>
      <c r="S467" s="66"/>
    </row>
    <row r="468">
      <c r="A468" s="66"/>
      <c r="B468" s="66"/>
      <c r="C468" s="66"/>
      <c r="D468" s="66"/>
      <c r="E468" s="15"/>
      <c r="F468" s="66"/>
      <c r="G468" s="18"/>
      <c r="H468" s="15"/>
      <c r="I468" s="18"/>
      <c r="J468" s="22"/>
      <c r="K468" s="108"/>
      <c r="L468" s="66"/>
      <c r="M468" s="66"/>
      <c r="N468" s="66"/>
      <c r="O468" s="66"/>
      <c r="P468" s="66"/>
      <c r="Q468" s="66"/>
      <c r="R468" s="66"/>
      <c r="S468" s="66"/>
    </row>
    <row r="469">
      <c r="A469" s="66"/>
      <c r="B469" s="66"/>
      <c r="C469" s="66"/>
      <c r="D469" s="66"/>
      <c r="E469" s="15"/>
      <c r="F469" s="66"/>
      <c r="G469" s="18"/>
      <c r="H469" s="15"/>
      <c r="I469" s="18"/>
      <c r="J469" s="22"/>
      <c r="K469" s="108"/>
      <c r="L469" s="66"/>
      <c r="M469" s="66"/>
      <c r="N469" s="66"/>
      <c r="O469" s="66"/>
      <c r="P469" s="66"/>
      <c r="Q469" s="66"/>
      <c r="R469" s="66"/>
      <c r="S469" s="66"/>
    </row>
    <row r="470">
      <c r="A470" s="66"/>
      <c r="B470" s="66"/>
      <c r="C470" s="66"/>
      <c r="D470" s="66"/>
      <c r="E470" s="15"/>
      <c r="F470" s="66"/>
      <c r="G470" s="18"/>
      <c r="H470" s="15"/>
      <c r="I470" s="18"/>
      <c r="J470" s="22"/>
      <c r="K470" s="108"/>
      <c r="L470" s="66"/>
      <c r="M470" s="66"/>
      <c r="N470" s="66"/>
      <c r="O470" s="66"/>
      <c r="P470" s="66"/>
      <c r="Q470" s="66"/>
      <c r="R470" s="66"/>
      <c r="S470" s="66"/>
    </row>
    <row r="471">
      <c r="A471" s="66"/>
      <c r="B471" s="66"/>
      <c r="C471" s="66"/>
      <c r="D471" s="66"/>
      <c r="E471" s="15"/>
      <c r="F471" s="66"/>
      <c r="G471" s="18"/>
      <c r="H471" s="15"/>
      <c r="I471" s="18"/>
      <c r="J471" s="22"/>
      <c r="K471" s="108"/>
      <c r="L471" s="66"/>
      <c r="M471" s="66"/>
      <c r="N471" s="66"/>
      <c r="O471" s="66"/>
      <c r="P471" s="66"/>
      <c r="Q471" s="66"/>
      <c r="R471" s="66"/>
      <c r="S471" s="66"/>
    </row>
    <row r="472">
      <c r="A472" s="66"/>
      <c r="B472" s="66"/>
      <c r="C472" s="66"/>
      <c r="D472" s="66"/>
      <c r="E472" s="15"/>
      <c r="F472" s="66"/>
      <c r="G472" s="18"/>
      <c r="H472" s="15"/>
      <c r="I472" s="18"/>
      <c r="J472" s="22"/>
      <c r="K472" s="108"/>
      <c r="L472" s="66"/>
      <c r="M472" s="66"/>
      <c r="N472" s="66"/>
      <c r="O472" s="66"/>
      <c r="P472" s="66"/>
      <c r="Q472" s="66"/>
      <c r="R472" s="66"/>
      <c r="S472" s="66"/>
    </row>
    <row r="473">
      <c r="A473" s="66"/>
      <c r="B473" s="66"/>
      <c r="C473" s="66"/>
      <c r="D473" s="66"/>
      <c r="E473" s="15"/>
      <c r="F473" s="66"/>
      <c r="G473" s="18"/>
      <c r="H473" s="15"/>
      <c r="I473" s="18"/>
      <c r="J473" s="22"/>
      <c r="K473" s="108"/>
      <c r="L473" s="66"/>
      <c r="M473" s="66"/>
      <c r="N473" s="66"/>
      <c r="O473" s="66"/>
      <c r="P473" s="66"/>
      <c r="Q473" s="66"/>
      <c r="R473" s="66"/>
      <c r="S473" s="66"/>
    </row>
    <row r="474">
      <c r="A474" s="66"/>
      <c r="B474" s="66"/>
      <c r="C474" s="66"/>
      <c r="D474" s="66"/>
      <c r="E474" s="15"/>
      <c r="F474" s="66"/>
      <c r="G474" s="18"/>
      <c r="H474" s="15"/>
      <c r="I474" s="18"/>
      <c r="J474" s="22"/>
      <c r="K474" s="108"/>
      <c r="L474" s="66"/>
      <c r="M474" s="66"/>
      <c r="N474" s="66"/>
      <c r="O474" s="66"/>
      <c r="P474" s="66"/>
      <c r="Q474" s="66"/>
      <c r="R474" s="66"/>
      <c r="S474" s="66"/>
    </row>
    <row r="475">
      <c r="A475" s="66"/>
      <c r="B475" s="66"/>
      <c r="C475" s="66"/>
      <c r="D475" s="66"/>
      <c r="E475" s="15"/>
      <c r="F475" s="66"/>
      <c r="G475" s="18"/>
      <c r="H475" s="15"/>
      <c r="I475" s="18"/>
      <c r="J475" s="22"/>
      <c r="K475" s="108"/>
      <c r="L475" s="66"/>
      <c r="M475" s="66"/>
      <c r="N475" s="66"/>
      <c r="O475" s="66"/>
      <c r="P475" s="66"/>
      <c r="Q475" s="66"/>
      <c r="R475" s="66"/>
      <c r="S475" s="66"/>
    </row>
    <row r="476">
      <c r="A476" s="66"/>
      <c r="B476" s="66"/>
      <c r="C476" s="66"/>
      <c r="D476" s="66"/>
      <c r="E476" s="15"/>
      <c r="F476" s="66"/>
      <c r="G476" s="18"/>
      <c r="H476" s="15"/>
      <c r="I476" s="18"/>
      <c r="J476" s="22"/>
      <c r="K476" s="108"/>
      <c r="L476" s="66"/>
      <c r="M476" s="66"/>
      <c r="N476" s="66"/>
      <c r="O476" s="66"/>
      <c r="P476" s="66"/>
      <c r="Q476" s="66"/>
      <c r="R476" s="66"/>
      <c r="S476" s="66"/>
    </row>
    <row r="477">
      <c r="A477" s="66"/>
      <c r="B477" s="66"/>
      <c r="C477" s="66"/>
      <c r="D477" s="66"/>
      <c r="E477" s="15"/>
      <c r="F477" s="66"/>
      <c r="G477" s="18"/>
      <c r="H477" s="15"/>
      <c r="I477" s="18"/>
      <c r="J477" s="22"/>
      <c r="K477" s="108"/>
      <c r="L477" s="66"/>
      <c r="M477" s="66"/>
      <c r="N477" s="66"/>
      <c r="O477" s="66"/>
      <c r="P477" s="66"/>
      <c r="Q477" s="66"/>
      <c r="R477" s="66"/>
      <c r="S477" s="66"/>
    </row>
    <row r="478">
      <c r="A478" s="66"/>
      <c r="B478" s="66"/>
      <c r="C478" s="66"/>
      <c r="D478" s="66"/>
      <c r="E478" s="15"/>
      <c r="F478" s="66"/>
      <c r="G478" s="18"/>
      <c r="H478" s="15"/>
      <c r="I478" s="18"/>
      <c r="J478" s="22"/>
      <c r="K478" s="108"/>
      <c r="L478" s="66"/>
      <c r="M478" s="66"/>
      <c r="N478" s="66"/>
      <c r="O478" s="66"/>
      <c r="P478" s="66"/>
      <c r="Q478" s="66"/>
      <c r="R478" s="66"/>
      <c r="S478" s="66"/>
    </row>
    <row r="479">
      <c r="A479" s="66"/>
      <c r="B479" s="66"/>
      <c r="C479" s="66"/>
      <c r="D479" s="66"/>
      <c r="E479" s="15"/>
      <c r="F479" s="66"/>
      <c r="G479" s="18"/>
      <c r="H479" s="15"/>
      <c r="I479" s="18"/>
      <c r="J479" s="22"/>
      <c r="K479" s="108"/>
      <c r="L479" s="66"/>
      <c r="M479" s="66"/>
      <c r="N479" s="66"/>
      <c r="O479" s="66"/>
      <c r="P479" s="66"/>
      <c r="Q479" s="66"/>
      <c r="R479" s="66"/>
      <c r="S479" s="66"/>
    </row>
    <row r="480">
      <c r="A480" s="66"/>
      <c r="B480" s="66"/>
      <c r="C480" s="66"/>
      <c r="D480" s="66"/>
      <c r="E480" s="15"/>
      <c r="F480" s="66"/>
      <c r="G480" s="18"/>
      <c r="H480" s="15"/>
      <c r="I480" s="18"/>
      <c r="J480" s="22"/>
      <c r="K480" s="108"/>
      <c r="L480" s="66"/>
      <c r="M480" s="66"/>
      <c r="N480" s="66"/>
      <c r="O480" s="66"/>
      <c r="P480" s="66"/>
      <c r="Q480" s="66"/>
      <c r="R480" s="66"/>
      <c r="S480" s="66"/>
    </row>
    <row r="481">
      <c r="A481" s="66"/>
      <c r="B481" s="66"/>
      <c r="C481" s="66"/>
      <c r="D481" s="66"/>
      <c r="E481" s="15"/>
      <c r="F481" s="66"/>
      <c r="G481" s="18"/>
      <c r="H481" s="15"/>
      <c r="I481" s="18"/>
      <c r="J481" s="22"/>
      <c r="K481" s="108"/>
      <c r="L481" s="66"/>
      <c r="M481" s="66"/>
      <c r="N481" s="66"/>
      <c r="O481" s="66"/>
      <c r="P481" s="66"/>
      <c r="Q481" s="66"/>
      <c r="R481" s="66"/>
      <c r="S481" s="66"/>
    </row>
    <row r="482">
      <c r="A482" s="66"/>
      <c r="B482" s="66"/>
      <c r="C482" s="66"/>
      <c r="D482" s="66"/>
      <c r="E482" s="15"/>
      <c r="F482" s="66"/>
      <c r="G482" s="18"/>
      <c r="H482" s="15"/>
      <c r="I482" s="18"/>
      <c r="J482" s="22"/>
      <c r="K482" s="108"/>
      <c r="L482" s="66"/>
      <c r="M482" s="66"/>
      <c r="N482" s="66"/>
      <c r="O482" s="66"/>
      <c r="P482" s="66"/>
      <c r="Q482" s="66"/>
      <c r="R482" s="66"/>
      <c r="S482" s="66"/>
    </row>
    <row r="483">
      <c r="A483" s="66"/>
      <c r="B483" s="66"/>
      <c r="C483" s="66"/>
      <c r="D483" s="66"/>
      <c r="E483" s="15"/>
      <c r="F483" s="66"/>
      <c r="G483" s="18"/>
      <c r="H483" s="15"/>
      <c r="I483" s="18"/>
      <c r="J483" s="22"/>
      <c r="K483" s="108"/>
      <c r="L483" s="66"/>
      <c r="M483" s="66"/>
      <c r="N483" s="66"/>
      <c r="O483" s="66"/>
      <c r="P483" s="66"/>
      <c r="Q483" s="66"/>
      <c r="R483" s="66"/>
      <c r="S483" s="66"/>
    </row>
    <row r="484">
      <c r="A484" s="66"/>
      <c r="B484" s="66"/>
      <c r="C484" s="66"/>
      <c r="D484" s="66"/>
      <c r="E484" s="15"/>
      <c r="F484" s="66"/>
      <c r="G484" s="18"/>
      <c r="H484" s="15"/>
      <c r="I484" s="18"/>
      <c r="J484" s="22"/>
      <c r="K484" s="108"/>
      <c r="L484" s="66"/>
      <c r="M484" s="66"/>
      <c r="N484" s="66"/>
      <c r="O484" s="66"/>
      <c r="P484" s="66"/>
      <c r="Q484" s="66"/>
      <c r="R484" s="66"/>
      <c r="S484" s="66"/>
    </row>
    <row r="485">
      <c r="A485" s="66"/>
      <c r="B485" s="66"/>
      <c r="C485" s="66"/>
      <c r="D485" s="66"/>
      <c r="E485" s="15"/>
      <c r="F485" s="66"/>
      <c r="G485" s="18"/>
      <c r="H485" s="15"/>
      <c r="I485" s="18"/>
      <c r="J485" s="22"/>
      <c r="K485" s="108"/>
      <c r="L485" s="66"/>
      <c r="M485" s="66"/>
      <c r="N485" s="66"/>
      <c r="O485" s="66"/>
      <c r="P485" s="66"/>
      <c r="Q485" s="66"/>
      <c r="R485" s="66"/>
      <c r="S485" s="66"/>
    </row>
    <row r="486">
      <c r="A486" s="66"/>
      <c r="B486" s="66"/>
      <c r="C486" s="66"/>
      <c r="D486" s="66"/>
      <c r="E486" s="15"/>
      <c r="F486" s="66"/>
      <c r="G486" s="18"/>
      <c r="H486" s="15"/>
      <c r="I486" s="18"/>
      <c r="J486" s="22"/>
      <c r="K486" s="108"/>
      <c r="L486" s="66"/>
      <c r="M486" s="66"/>
      <c r="N486" s="66"/>
      <c r="O486" s="66"/>
      <c r="P486" s="66"/>
      <c r="Q486" s="66"/>
      <c r="R486" s="66"/>
      <c r="S486" s="66"/>
    </row>
    <row r="487">
      <c r="A487" s="66"/>
      <c r="B487" s="66"/>
      <c r="C487" s="66"/>
      <c r="D487" s="66"/>
      <c r="E487" s="15"/>
      <c r="F487" s="66"/>
      <c r="G487" s="18"/>
      <c r="H487" s="15"/>
      <c r="I487" s="18"/>
      <c r="J487" s="22"/>
      <c r="K487" s="108"/>
      <c r="L487" s="66"/>
      <c r="M487" s="66"/>
      <c r="N487" s="66"/>
      <c r="O487" s="66"/>
      <c r="P487" s="66"/>
      <c r="Q487" s="66"/>
      <c r="R487" s="66"/>
      <c r="S487" s="66"/>
    </row>
    <row r="488">
      <c r="A488" s="66"/>
      <c r="B488" s="66"/>
      <c r="C488" s="66"/>
      <c r="D488" s="66"/>
      <c r="E488" s="15"/>
      <c r="F488" s="66"/>
      <c r="G488" s="18"/>
      <c r="H488" s="15"/>
      <c r="I488" s="18"/>
      <c r="J488" s="22"/>
      <c r="K488" s="108"/>
      <c r="L488" s="66"/>
      <c r="M488" s="66"/>
      <c r="N488" s="66"/>
      <c r="O488" s="66"/>
      <c r="P488" s="66"/>
      <c r="Q488" s="66"/>
      <c r="R488" s="66"/>
      <c r="S488" s="66"/>
    </row>
    <row r="489">
      <c r="A489" s="66"/>
      <c r="B489" s="66"/>
      <c r="C489" s="66"/>
      <c r="D489" s="66"/>
      <c r="E489" s="15"/>
      <c r="F489" s="66"/>
      <c r="G489" s="18"/>
      <c r="H489" s="15"/>
      <c r="I489" s="18"/>
      <c r="J489" s="22"/>
      <c r="K489" s="108"/>
      <c r="L489" s="66"/>
      <c r="M489" s="66"/>
      <c r="N489" s="66"/>
      <c r="O489" s="66"/>
      <c r="P489" s="66"/>
      <c r="Q489" s="66"/>
      <c r="R489" s="66"/>
      <c r="S489" s="66"/>
    </row>
    <row r="490">
      <c r="A490" s="66"/>
      <c r="B490" s="66"/>
      <c r="C490" s="66"/>
      <c r="D490" s="66"/>
      <c r="E490" s="15"/>
      <c r="F490" s="66"/>
      <c r="G490" s="18"/>
      <c r="H490" s="15"/>
      <c r="I490" s="18"/>
      <c r="J490" s="22"/>
      <c r="K490" s="108"/>
      <c r="L490" s="66"/>
      <c r="M490" s="66"/>
      <c r="N490" s="66"/>
      <c r="O490" s="66"/>
      <c r="P490" s="66"/>
      <c r="Q490" s="66"/>
      <c r="R490" s="66"/>
      <c r="S490" s="66"/>
    </row>
    <row r="491">
      <c r="A491" s="66"/>
      <c r="B491" s="66"/>
      <c r="C491" s="66"/>
      <c r="D491" s="66"/>
      <c r="E491" s="15"/>
      <c r="F491" s="66"/>
      <c r="G491" s="18"/>
      <c r="H491" s="15"/>
      <c r="I491" s="18"/>
      <c r="J491" s="22"/>
      <c r="K491" s="108"/>
      <c r="L491" s="66"/>
      <c r="M491" s="66"/>
      <c r="N491" s="66"/>
      <c r="O491" s="66"/>
      <c r="P491" s="66"/>
      <c r="Q491" s="66"/>
      <c r="R491" s="66"/>
      <c r="S491" s="66"/>
    </row>
    <row r="492">
      <c r="A492" s="66"/>
      <c r="B492" s="66"/>
      <c r="C492" s="66"/>
      <c r="D492" s="66"/>
      <c r="E492" s="15"/>
      <c r="F492" s="66"/>
      <c r="G492" s="18"/>
      <c r="H492" s="15"/>
      <c r="I492" s="18"/>
      <c r="J492" s="22"/>
      <c r="K492" s="108"/>
      <c r="L492" s="66"/>
      <c r="M492" s="66"/>
      <c r="N492" s="66"/>
      <c r="O492" s="66"/>
      <c r="P492" s="66"/>
      <c r="Q492" s="66"/>
      <c r="R492" s="66"/>
      <c r="S492" s="66"/>
    </row>
    <row r="493">
      <c r="A493" s="66"/>
      <c r="B493" s="66"/>
      <c r="C493" s="66"/>
      <c r="D493" s="66"/>
      <c r="E493" s="15"/>
      <c r="F493" s="66"/>
      <c r="G493" s="18"/>
      <c r="H493" s="15"/>
      <c r="I493" s="18"/>
      <c r="J493" s="22"/>
      <c r="K493" s="108"/>
      <c r="L493" s="66"/>
      <c r="M493" s="66"/>
      <c r="N493" s="66"/>
      <c r="O493" s="66"/>
      <c r="P493" s="66"/>
      <c r="Q493" s="66"/>
      <c r="R493" s="66"/>
      <c r="S493" s="66"/>
    </row>
    <row r="494">
      <c r="A494" s="66"/>
      <c r="B494" s="66"/>
      <c r="C494" s="66"/>
      <c r="D494" s="66"/>
      <c r="E494" s="15"/>
      <c r="F494" s="66"/>
      <c r="G494" s="18"/>
      <c r="H494" s="15"/>
      <c r="I494" s="18"/>
      <c r="J494" s="22"/>
      <c r="K494" s="108"/>
      <c r="L494" s="66"/>
      <c r="M494" s="66"/>
      <c r="N494" s="66"/>
      <c r="O494" s="66"/>
      <c r="P494" s="66"/>
      <c r="Q494" s="66"/>
      <c r="R494" s="66"/>
      <c r="S494" s="66"/>
    </row>
    <row r="495">
      <c r="A495" s="66"/>
      <c r="B495" s="66"/>
      <c r="C495" s="66"/>
      <c r="D495" s="66"/>
      <c r="E495" s="15"/>
      <c r="F495" s="66"/>
      <c r="G495" s="18"/>
      <c r="H495" s="15"/>
      <c r="I495" s="18"/>
      <c r="J495" s="22"/>
      <c r="K495" s="108"/>
      <c r="L495" s="66"/>
      <c r="M495" s="66"/>
      <c r="N495" s="66"/>
      <c r="O495" s="66"/>
      <c r="P495" s="66"/>
      <c r="Q495" s="66"/>
      <c r="R495" s="66"/>
      <c r="S495" s="66"/>
    </row>
    <row r="496">
      <c r="A496" s="66"/>
      <c r="B496" s="66"/>
      <c r="C496" s="66"/>
      <c r="D496" s="66"/>
      <c r="E496" s="15"/>
      <c r="F496" s="66"/>
      <c r="G496" s="18"/>
      <c r="H496" s="15"/>
      <c r="I496" s="18"/>
      <c r="J496" s="22"/>
      <c r="K496" s="108"/>
      <c r="L496" s="66"/>
      <c r="M496" s="66"/>
      <c r="N496" s="66"/>
      <c r="O496" s="66"/>
      <c r="P496" s="66"/>
      <c r="Q496" s="66"/>
      <c r="R496" s="66"/>
      <c r="S496" s="66"/>
    </row>
    <row r="497">
      <c r="A497" s="66"/>
      <c r="B497" s="66"/>
      <c r="C497" s="66"/>
      <c r="D497" s="66"/>
      <c r="E497" s="15"/>
      <c r="F497" s="66"/>
      <c r="G497" s="18"/>
      <c r="H497" s="15"/>
      <c r="I497" s="18"/>
      <c r="J497" s="22"/>
      <c r="K497" s="108"/>
      <c r="L497" s="66"/>
      <c r="M497" s="66"/>
      <c r="N497" s="66"/>
      <c r="O497" s="66"/>
      <c r="P497" s="66"/>
      <c r="Q497" s="66"/>
      <c r="R497" s="66"/>
      <c r="S497" s="66"/>
    </row>
    <row r="498">
      <c r="A498" s="66"/>
      <c r="B498" s="66"/>
      <c r="C498" s="66"/>
      <c r="D498" s="66"/>
      <c r="E498" s="15"/>
      <c r="F498" s="66"/>
      <c r="G498" s="18"/>
      <c r="H498" s="15"/>
      <c r="I498" s="18"/>
      <c r="J498" s="22"/>
      <c r="K498" s="108"/>
      <c r="L498" s="66"/>
      <c r="M498" s="66"/>
      <c r="N498" s="66"/>
      <c r="O498" s="66"/>
      <c r="P498" s="66"/>
      <c r="Q498" s="66"/>
      <c r="R498" s="66"/>
      <c r="S498" s="66"/>
    </row>
    <row r="499">
      <c r="A499" s="66"/>
      <c r="B499" s="66"/>
      <c r="C499" s="66"/>
      <c r="D499" s="66"/>
      <c r="E499" s="15"/>
      <c r="F499" s="66"/>
      <c r="G499" s="18"/>
      <c r="H499" s="15"/>
      <c r="I499" s="18"/>
      <c r="J499" s="22"/>
      <c r="K499" s="108"/>
      <c r="L499" s="66"/>
      <c r="M499" s="66"/>
      <c r="N499" s="66"/>
      <c r="O499" s="66"/>
      <c r="P499" s="66"/>
      <c r="Q499" s="66"/>
      <c r="R499" s="66"/>
      <c r="S499" s="66"/>
    </row>
    <row r="500">
      <c r="A500" s="66"/>
      <c r="B500" s="66"/>
      <c r="C500" s="66"/>
      <c r="D500" s="66"/>
      <c r="E500" s="15"/>
      <c r="F500" s="66"/>
      <c r="G500" s="18"/>
      <c r="H500" s="15"/>
      <c r="I500" s="18"/>
      <c r="J500" s="22"/>
      <c r="K500" s="108"/>
      <c r="L500" s="66"/>
      <c r="M500" s="66"/>
      <c r="N500" s="66"/>
      <c r="O500" s="66"/>
      <c r="P500" s="66"/>
      <c r="Q500" s="66"/>
      <c r="R500" s="66"/>
      <c r="S500" s="66"/>
    </row>
    <row r="501">
      <c r="A501" s="66"/>
      <c r="B501" s="66"/>
      <c r="C501" s="66"/>
      <c r="D501" s="66"/>
      <c r="E501" s="15"/>
      <c r="F501" s="66"/>
      <c r="G501" s="18"/>
      <c r="H501" s="15"/>
      <c r="I501" s="18"/>
      <c r="J501" s="22"/>
      <c r="K501" s="108"/>
      <c r="L501" s="66"/>
      <c r="M501" s="66"/>
      <c r="N501" s="66"/>
      <c r="O501" s="66"/>
      <c r="P501" s="66"/>
      <c r="Q501" s="66"/>
      <c r="R501" s="66"/>
      <c r="S501" s="66"/>
    </row>
    <row r="502">
      <c r="A502" s="66"/>
      <c r="B502" s="66"/>
      <c r="C502" s="66"/>
      <c r="D502" s="66"/>
      <c r="E502" s="15"/>
      <c r="F502" s="66"/>
      <c r="G502" s="18"/>
      <c r="H502" s="15"/>
      <c r="I502" s="18"/>
      <c r="J502" s="22"/>
      <c r="K502" s="108"/>
      <c r="L502" s="66"/>
      <c r="M502" s="66"/>
      <c r="N502" s="66"/>
      <c r="O502" s="66"/>
      <c r="P502" s="66"/>
      <c r="Q502" s="66"/>
      <c r="R502" s="66"/>
      <c r="S502" s="66"/>
    </row>
    <row r="503">
      <c r="A503" s="66"/>
      <c r="B503" s="66"/>
      <c r="C503" s="66"/>
      <c r="D503" s="66"/>
      <c r="E503" s="15"/>
      <c r="F503" s="66"/>
      <c r="G503" s="18"/>
      <c r="H503" s="15"/>
      <c r="I503" s="18"/>
      <c r="J503" s="22"/>
      <c r="K503" s="108"/>
      <c r="L503" s="66"/>
      <c r="M503" s="66"/>
      <c r="N503" s="66"/>
      <c r="O503" s="66"/>
      <c r="P503" s="66"/>
      <c r="Q503" s="66"/>
      <c r="R503" s="66"/>
      <c r="S503" s="66"/>
    </row>
    <row r="504">
      <c r="A504" s="66"/>
      <c r="B504" s="66"/>
      <c r="C504" s="66"/>
      <c r="D504" s="66"/>
      <c r="E504" s="15"/>
      <c r="F504" s="66"/>
      <c r="G504" s="18"/>
      <c r="H504" s="15"/>
      <c r="I504" s="18"/>
      <c r="J504" s="22"/>
      <c r="K504" s="108"/>
      <c r="L504" s="66"/>
      <c r="M504" s="66"/>
      <c r="N504" s="66"/>
      <c r="O504" s="66"/>
      <c r="P504" s="66"/>
      <c r="Q504" s="66"/>
      <c r="R504" s="66"/>
      <c r="S504" s="66"/>
    </row>
    <row r="505">
      <c r="A505" s="66"/>
      <c r="B505" s="66"/>
      <c r="C505" s="66"/>
      <c r="D505" s="66"/>
      <c r="E505" s="15"/>
      <c r="F505" s="66"/>
      <c r="G505" s="18"/>
      <c r="H505" s="15"/>
      <c r="I505" s="18"/>
      <c r="J505" s="22"/>
      <c r="K505" s="108"/>
      <c r="L505" s="66"/>
      <c r="M505" s="66"/>
      <c r="N505" s="66"/>
      <c r="O505" s="66"/>
      <c r="P505" s="66"/>
      <c r="Q505" s="66"/>
      <c r="R505" s="66"/>
      <c r="S505" s="66"/>
    </row>
    <row r="506">
      <c r="A506" s="66"/>
      <c r="B506" s="66"/>
      <c r="C506" s="66"/>
      <c r="D506" s="66"/>
      <c r="E506" s="15"/>
      <c r="F506" s="66"/>
      <c r="G506" s="18"/>
      <c r="H506" s="15"/>
      <c r="I506" s="18"/>
      <c r="J506" s="22"/>
      <c r="K506" s="108"/>
      <c r="L506" s="66"/>
      <c r="M506" s="66"/>
      <c r="N506" s="66"/>
      <c r="O506" s="66"/>
      <c r="P506" s="66"/>
      <c r="Q506" s="66"/>
      <c r="R506" s="66"/>
      <c r="S506" s="66"/>
    </row>
  </sheetData>
  <conditionalFormatting sqref="E3:E39 I3:I39">
    <cfRule type="expression" dxfId="4" priority="1">
      <formula>AND($E3&lt;&gt;"",(($E3-$H3)/365*12)&lt;1)</formula>
    </cfRule>
  </conditionalFormatting>
  <conditionalFormatting sqref="J3:J39">
    <cfRule type="cellIs" dxfId="5" priority="2" operator="between">
      <formula>75</formula>
      <formula>90</formula>
    </cfRule>
  </conditionalFormatting>
  <conditionalFormatting sqref="J3:J39">
    <cfRule type="cellIs" dxfId="6" priority="3" operator="between">
      <formula>50</formula>
      <formula>75</formula>
    </cfRule>
  </conditionalFormatting>
  <conditionalFormatting sqref="J3:J39">
    <cfRule type="cellIs" dxfId="7" priority="4" operator="between">
      <formula>1</formula>
      <formula>50</formula>
    </cfRule>
  </conditionalFormatting>
  <conditionalFormatting sqref="I3:I39">
    <cfRule type="colorScale" priority="5">
      <colorScale>
        <cfvo type="min"/>
        <cfvo type="percentile" val="50"/>
        <cfvo type="max"/>
        <color rgb="FFB6D7A8"/>
        <color rgb="FFFFE599"/>
        <color rgb="FFEA9999"/>
      </colorScale>
    </cfRule>
  </conditionalFormatting>
  <conditionalFormatting sqref="J3:J39">
    <cfRule type="cellIs" dxfId="8" priority="6" operator="between">
      <formula>90</formula>
      <formula>100</formula>
    </cfRule>
  </conditionalFormatting>
  <conditionalFormatting sqref="G3:G39">
    <cfRule type="expression" dxfId="9" priority="7">
      <formula>MATCH(A3,INDIRECT("'Xbox Game Studios'!A:A"),0)</formula>
    </cfRule>
  </conditionalFormatting>
  <conditionalFormatting sqref="G3:G39">
    <cfRule type="expression" dxfId="9" priority="8">
      <formula>MATCH(A3,INDIRECT("'EA Play'!A:A"),0)</formula>
    </cfRule>
  </conditionalFormatting>
  <conditionalFormatting sqref="G3:G39">
    <cfRule type="expression" dxfId="10" priority="9">
      <formula>AND(D3="Active",OR(AND(G3&gt;10.5,G3&lt;13),AND(G3&gt;22.5,G3&lt;25),AND(G3&gt;34.5,G3&lt;37),AND(G3&gt;46.5,G3&lt;49),AND(G3&gt;58.5,G3&lt;61)),)</formula>
    </cfRule>
  </conditionalFormatting>
  <conditionalFormatting sqref="B1">
    <cfRule type="cellIs" dxfId="4" priority="10" operator="equal">
      <formula>"Xbox"</formula>
    </cfRule>
  </conditionalFormatting>
  <conditionalFormatting sqref="J2:K39 L2 O2">
    <cfRule type="containsBlanks" dxfId="11" priority="11">
      <formula>LEN(TRIM(J2))=0</formula>
    </cfRule>
  </conditionalFormatting>
  <conditionalFormatting sqref="O2">
    <cfRule type="containsText" dxfId="11" priority="12" operator="containsText" text="RP">
      <formula>NOT(ISERROR(SEARCH(("RP"),(O2))))</formula>
    </cfRule>
  </conditionalFormatting>
  <conditionalFormatting sqref="O2">
    <cfRule type="containsText" dxfId="12" priority="13" operator="containsText" text="NR">
      <formula>NOT(ISERROR(SEARCH(("NR"),(O2))))</formula>
    </cfRule>
  </conditionalFormatting>
  <conditionalFormatting sqref="A1:A2 D1:D39">
    <cfRule type="expression" dxfId="13" priority="14">
      <formula>$D1="Coming Soon"</formula>
    </cfRule>
  </conditionalFormatting>
  <conditionalFormatting sqref="A1:A2 D1:D39">
    <cfRule type="expression" dxfId="7" priority="15">
      <formula>$D1="Removed"</formula>
    </cfRule>
  </conditionalFormatting>
  <conditionalFormatting sqref="A1:A2 D1:D39">
    <cfRule type="expression" dxfId="10" priority="16">
      <formula>$D1="Leaving Soon"</formula>
    </cfRule>
  </conditionalFormatting>
  <conditionalFormatting sqref="J1:J506">
    <cfRule type="cellIs" dxfId="5" priority="17" operator="between">
      <formula>75</formula>
      <formula>100</formula>
    </cfRule>
  </conditionalFormatting>
  <conditionalFormatting sqref="J1:J506">
    <cfRule type="cellIs" dxfId="6" priority="18" operator="between">
      <formula>50</formula>
      <formula>74</formula>
    </cfRule>
  </conditionalFormatting>
  <conditionalFormatting sqref="J1:J506">
    <cfRule type="cellIs" dxfId="7" priority="19" operator="between">
      <formula>1</formula>
      <formula>49</formula>
    </cfRule>
  </conditionalFormatting>
  <conditionalFormatting sqref="A1:A2 C1:C2">
    <cfRule type="expression" dxfId="7" priority="20">
      <formula>$C1="Removed"</formula>
    </cfRule>
  </conditionalFormatting>
  <conditionalFormatting sqref="A1:A2">
    <cfRule type="expression" dxfId="6" priority="21">
      <formula>MATCH(A1,INDIRECT("'Xbox Game Studios'!A:A"),0)</formula>
    </cfRule>
  </conditionalFormatting>
  <conditionalFormatting sqref="A1:A2 C1:C2">
    <cfRule type="expression" dxfId="10" priority="22">
      <formula>$C1="Leaving Soon"</formula>
    </cfRule>
  </conditionalFormatting>
  <drawing r:id="rId1"/>
  <tableParts count="2">
    <tablePart r:id="rId4"/>
    <tablePart r:id="rId5"/>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2"/>
  <cols>
    <col customWidth="1" min="1" max="1" width="30.13"/>
    <col customWidth="1" min="2" max="2" width="10.5"/>
    <col customWidth="1" min="3" max="3" width="48.75"/>
  </cols>
  <sheetData>
    <row r="1">
      <c r="A1" s="7" t="s">
        <v>2070</v>
      </c>
      <c r="B1" s="242"/>
      <c r="C1" s="7" t="s">
        <v>2072</v>
      </c>
    </row>
    <row r="2">
      <c r="A2" s="195" t="s">
        <v>2073</v>
      </c>
      <c r="B2" s="242"/>
      <c r="C2" s="188" t="s">
        <v>2074</v>
      </c>
    </row>
    <row r="3">
      <c r="A3" s="17" t="s">
        <v>1961</v>
      </c>
      <c r="B3" s="242"/>
      <c r="C3" s="188" t="s">
        <v>2073</v>
      </c>
    </row>
    <row r="4">
      <c r="A4" s="188" t="s">
        <v>1637</v>
      </c>
      <c r="B4" s="242"/>
      <c r="C4" s="188" t="s">
        <v>2075</v>
      </c>
    </row>
    <row r="5">
      <c r="A5" s="188" t="s">
        <v>1969</v>
      </c>
      <c r="B5" s="242"/>
      <c r="C5" s="188" t="s">
        <v>2076</v>
      </c>
    </row>
    <row r="6">
      <c r="A6" s="188" t="s">
        <v>1906</v>
      </c>
      <c r="B6" s="242"/>
      <c r="C6" s="188" t="s">
        <v>1596</v>
      </c>
    </row>
    <row r="7">
      <c r="A7" s="188" t="s">
        <v>2077</v>
      </c>
      <c r="B7" s="242"/>
      <c r="C7" s="188" t="s">
        <v>2078</v>
      </c>
    </row>
    <row r="8">
      <c r="A8" s="188" t="s">
        <v>1640</v>
      </c>
      <c r="B8" s="242"/>
      <c r="C8" s="188" t="s">
        <v>2079</v>
      </c>
    </row>
    <row r="9">
      <c r="A9" s="188" t="s">
        <v>1666</v>
      </c>
      <c r="B9" s="242"/>
      <c r="C9" s="188" t="s">
        <v>1637</v>
      </c>
    </row>
    <row r="10">
      <c r="A10" s="220" t="s">
        <v>2080</v>
      </c>
      <c r="B10" s="242"/>
      <c r="C10" s="188" t="s">
        <v>1566</v>
      </c>
    </row>
    <row r="11">
      <c r="A11" s="188" t="s">
        <v>2081</v>
      </c>
      <c r="B11" s="242"/>
      <c r="C11" s="188" t="s">
        <v>1906</v>
      </c>
    </row>
    <row r="12">
      <c r="A12" s="188" t="s">
        <v>1643</v>
      </c>
      <c r="B12" s="242"/>
      <c r="C12" s="188" t="s">
        <v>1971</v>
      </c>
    </row>
    <row r="13">
      <c r="A13" s="188" t="s">
        <v>1663</v>
      </c>
      <c r="B13" s="242"/>
      <c r="C13" s="188" t="s">
        <v>1655</v>
      </c>
    </row>
    <row r="14">
      <c r="A14" s="188" t="s">
        <v>2083</v>
      </c>
      <c r="B14" s="243"/>
      <c r="C14" s="188" t="s">
        <v>2084</v>
      </c>
    </row>
    <row r="15">
      <c r="A15" s="188" t="s">
        <v>1929</v>
      </c>
      <c r="B15" s="244"/>
      <c r="C15" s="188" t="s">
        <v>2085</v>
      </c>
    </row>
    <row r="16">
      <c r="A16" s="195" t="s">
        <v>2086</v>
      </c>
      <c r="B16" s="244"/>
      <c r="C16" s="188" t="s">
        <v>2087</v>
      </c>
    </row>
    <row r="17">
      <c r="A17" s="188" t="s">
        <v>1635</v>
      </c>
      <c r="B17" s="244"/>
      <c r="C17" s="188" t="s">
        <v>2088</v>
      </c>
    </row>
    <row r="18">
      <c r="A18" s="195" t="s">
        <v>1659</v>
      </c>
      <c r="B18" s="244"/>
      <c r="C18" s="188" t="s">
        <v>2089</v>
      </c>
    </row>
    <row r="19">
      <c r="A19" s="188" t="s">
        <v>2090</v>
      </c>
      <c r="B19" s="244"/>
      <c r="C19" s="188" t="s">
        <v>2091</v>
      </c>
    </row>
    <row r="20">
      <c r="A20" s="188" t="s">
        <v>2092</v>
      </c>
      <c r="B20" s="244"/>
      <c r="C20" s="188" t="s">
        <v>2093</v>
      </c>
    </row>
    <row r="21">
      <c r="A21" s="195" t="s">
        <v>1664</v>
      </c>
      <c r="B21" s="245"/>
      <c r="C21" s="188" t="s">
        <v>2094</v>
      </c>
    </row>
    <row r="22">
      <c r="A22" s="188" t="s">
        <v>2095</v>
      </c>
      <c r="B22" s="245"/>
      <c r="C22" s="188" t="s">
        <v>2096</v>
      </c>
    </row>
    <row r="23">
      <c r="A23" s="188" t="s">
        <v>2097</v>
      </c>
      <c r="B23" s="245"/>
      <c r="C23" s="188" t="s">
        <v>1640</v>
      </c>
    </row>
    <row r="24">
      <c r="A24" s="188" t="s">
        <v>2098</v>
      </c>
      <c r="B24" s="245"/>
      <c r="C24" s="188" t="s">
        <v>1526</v>
      </c>
    </row>
    <row r="25">
      <c r="A25" s="188" t="s">
        <v>1634</v>
      </c>
      <c r="B25" s="245"/>
      <c r="C25" s="188" t="s">
        <v>1574</v>
      </c>
    </row>
    <row r="26">
      <c r="A26" s="188" t="s">
        <v>2099</v>
      </c>
      <c r="B26" s="244"/>
      <c r="C26" s="188" t="s">
        <v>2100</v>
      </c>
    </row>
    <row r="27">
      <c r="A27" s="188" t="s">
        <v>2101</v>
      </c>
      <c r="B27" s="244"/>
      <c r="C27" s="188" t="s">
        <v>1568</v>
      </c>
    </row>
    <row r="28">
      <c r="A28" s="188" t="s">
        <v>1921</v>
      </c>
      <c r="B28" s="244"/>
      <c r="C28" s="220" t="s">
        <v>2080</v>
      </c>
    </row>
    <row r="29">
      <c r="A29" s="188" t="s">
        <v>2102</v>
      </c>
      <c r="B29" s="244"/>
      <c r="C29" s="188" t="s">
        <v>1666</v>
      </c>
    </row>
    <row r="30">
      <c r="A30" s="188" t="s">
        <v>1526</v>
      </c>
      <c r="B30" s="244"/>
      <c r="C30" s="188" t="s">
        <v>1594</v>
      </c>
    </row>
    <row r="31">
      <c r="A31" s="188" t="s">
        <v>1910</v>
      </c>
      <c r="B31" s="244"/>
      <c r="C31" s="188" t="s">
        <v>2081</v>
      </c>
    </row>
    <row r="32">
      <c r="A32" s="188" t="s">
        <v>2103</v>
      </c>
      <c r="B32" s="244"/>
      <c r="C32" s="188" t="s">
        <v>2104</v>
      </c>
    </row>
    <row r="33">
      <c r="A33" s="199" t="s">
        <v>2105</v>
      </c>
      <c r="B33" s="244"/>
      <c r="C33" s="188" t="s">
        <v>1663</v>
      </c>
    </row>
    <row r="34">
      <c r="A34" s="188" t="s">
        <v>1531</v>
      </c>
      <c r="B34" s="244"/>
      <c r="C34" s="188" t="s">
        <v>1667</v>
      </c>
    </row>
    <row r="35">
      <c r="A35" s="199" t="s">
        <v>2086</v>
      </c>
      <c r="B35" s="244"/>
      <c r="C35" s="188" t="s">
        <v>2106</v>
      </c>
    </row>
    <row r="36">
      <c r="A36" s="188" t="s">
        <v>2107</v>
      </c>
      <c r="B36" s="244"/>
      <c r="C36" s="188" t="s">
        <v>2108</v>
      </c>
    </row>
    <row r="37">
      <c r="A37" s="188" t="s">
        <v>1811</v>
      </c>
      <c r="B37" s="244"/>
      <c r="C37" s="188" t="s">
        <v>2109</v>
      </c>
    </row>
    <row r="38">
      <c r="A38" s="188" t="s">
        <v>2110</v>
      </c>
      <c r="B38" s="244"/>
      <c r="C38" s="188" t="s">
        <v>2111</v>
      </c>
    </row>
    <row r="39">
      <c r="A39" s="199" t="s">
        <v>2112</v>
      </c>
      <c r="B39" s="244"/>
      <c r="C39" s="188" t="s">
        <v>2113</v>
      </c>
    </row>
    <row r="40">
      <c r="A40" s="199" t="s">
        <v>1596</v>
      </c>
      <c r="B40" s="244"/>
      <c r="C40" s="188" t="s">
        <v>2114</v>
      </c>
    </row>
    <row r="41">
      <c r="A41" s="188" t="s">
        <v>2115</v>
      </c>
      <c r="B41" s="246"/>
      <c r="C41" s="188" t="s">
        <v>2116</v>
      </c>
    </row>
    <row r="42">
      <c r="A42" s="188" t="s">
        <v>2117</v>
      </c>
      <c r="B42" s="246"/>
      <c r="C42" s="188" t="s">
        <v>1565</v>
      </c>
    </row>
    <row r="43">
      <c r="A43" s="188" t="s">
        <v>1764</v>
      </c>
      <c r="B43" s="246"/>
      <c r="C43" s="188" t="s">
        <v>2118</v>
      </c>
    </row>
    <row r="44">
      <c r="A44" s="188" t="s">
        <v>1525</v>
      </c>
      <c r="B44" s="246"/>
      <c r="C44" s="188" t="s">
        <v>2119</v>
      </c>
    </row>
    <row r="45">
      <c r="A45" s="188" t="s">
        <v>2120</v>
      </c>
      <c r="B45" s="246"/>
      <c r="C45" s="188" t="s">
        <v>2121</v>
      </c>
    </row>
    <row r="46">
      <c r="A46" s="188" t="s">
        <v>1933</v>
      </c>
      <c r="B46" s="246"/>
      <c r="C46" s="188" t="s">
        <v>2123</v>
      </c>
    </row>
    <row r="47">
      <c r="A47" s="188" t="s">
        <v>1584</v>
      </c>
      <c r="B47" s="246"/>
      <c r="C47" s="188" t="s">
        <v>2124</v>
      </c>
    </row>
    <row r="48">
      <c r="A48" s="199" t="s">
        <v>1591</v>
      </c>
      <c r="B48" s="246"/>
      <c r="C48" s="188" t="s">
        <v>2126</v>
      </c>
    </row>
    <row r="49">
      <c r="A49" s="188" t="s">
        <v>2127</v>
      </c>
      <c r="B49" s="246"/>
      <c r="C49" s="188" t="s">
        <v>2128</v>
      </c>
    </row>
    <row r="50">
      <c r="A50" s="188" t="s">
        <v>2129</v>
      </c>
      <c r="B50" s="246"/>
      <c r="C50" s="188" t="s">
        <v>2129</v>
      </c>
    </row>
    <row r="51">
      <c r="A51" s="188" t="s">
        <v>2130</v>
      </c>
      <c r="B51" s="246"/>
      <c r="C51" s="188" t="s">
        <v>1966</v>
      </c>
    </row>
    <row r="52">
      <c r="A52" s="188" t="s">
        <v>1606</v>
      </c>
      <c r="B52" s="246"/>
      <c r="C52" s="188" t="s">
        <v>2131</v>
      </c>
    </row>
    <row r="53">
      <c r="A53" s="188" t="s">
        <v>2132</v>
      </c>
      <c r="B53" s="246"/>
      <c r="C53" s="188" t="s">
        <v>2133</v>
      </c>
    </row>
    <row r="54">
      <c r="A54" s="188" t="s">
        <v>2134</v>
      </c>
      <c r="B54" s="246"/>
      <c r="C54" s="188" t="s">
        <v>1578</v>
      </c>
    </row>
    <row r="55">
      <c r="A55" s="188" t="s">
        <v>2135</v>
      </c>
      <c r="B55" s="246"/>
      <c r="C55" s="188" t="s">
        <v>2136</v>
      </c>
    </row>
    <row r="56">
      <c r="A56" s="188" t="s">
        <v>1749</v>
      </c>
      <c r="B56" s="246"/>
      <c r="C56" s="188" t="s">
        <v>2137</v>
      </c>
    </row>
    <row r="57">
      <c r="A57" s="188" t="s">
        <v>2138</v>
      </c>
      <c r="B57" s="246"/>
      <c r="C57" s="188" t="s">
        <v>1597</v>
      </c>
    </row>
    <row r="58">
      <c r="A58" s="188" t="s">
        <v>2139</v>
      </c>
      <c r="B58" s="246"/>
      <c r="C58" s="188" t="s">
        <v>2086</v>
      </c>
    </row>
    <row r="59">
      <c r="A59" s="188" t="s">
        <v>2140</v>
      </c>
      <c r="B59" s="246"/>
      <c r="C59" s="188" t="s">
        <v>1673</v>
      </c>
    </row>
    <row r="60">
      <c r="A60" s="188" t="s">
        <v>2141</v>
      </c>
      <c r="B60" s="246"/>
      <c r="C60" s="188" t="s">
        <v>159</v>
      </c>
    </row>
    <row r="61">
      <c r="A61" s="188" t="s">
        <v>2143</v>
      </c>
      <c r="B61" s="246"/>
      <c r="C61" s="188" t="s">
        <v>2144</v>
      </c>
    </row>
    <row r="62">
      <c r="A62" s="188" t="s">
        <v>2145</v>
      </c>
      <c r="B62" s="246"/>
      <c r="C62" s="188" t="s">
        <v>2146</v>
      </c>
    </row>
    <row r="63">
      <c r="A63" s="188" t="s">
        <v>2147</v>
      </c>
      <c r="B63" s="246"/>
      <c r="C63" s="188" t="s">
        <v>1988</v>
      </c>
    </row>
    <row r="64">
      <c r="A64" s="188" t="s">
        <v>2148</v>
      </c>
      <c r="B64" s="246"/>
      <c r="C64" s="188" t="s">
        <v>2149</v>
      </c>
    </row>
    <row r="65">
      <c r="A65" s="188" t="s">
        <v>104</v>
      </c>
      <c r="B65" s="246"/>
      <c r="C65" s="188" t="s">
        <v>1635</v>
      </c>
    </row>
    <row r="66">
      <c r="A66" s="188" t="s">
        <v>2150</v>
      </c>
      <c r="B66" s="246"/>
      <c r="C66" s="188" t="s">
        <v>2151</v>
      </c>
    </row>
    <row r="67">
      <c r="A67" s="188" t="s">
        <v>2152</v>
      </c>
      <c r="B67" s="246"/>
      <c r="C67" s="188" t="s">
        <v>2153</v>
      </c>
    </row>
    <row r="68">
      <c r="A68" s="188" t="s">
        <v>1503</v>
      </c>
      <c r="B68" s="246"/>
      <c r="C68" s="188" t="s">
        <v>2154</v>
      </c>
    </row>
    <row r="69">
      <c r="A69" s="188" t="s">
        <v>2155</v>
      </c>
      <c r="B69" s="246"/>
      <c r="C69" s="188" t="s">
        <v>1659</v>
      </c>
    </row>
    <row r="70">
      <c r="A70" s="188" t="s">
        <v>2156</v>
      </c>
      <c r="B70" s="246"/>
      <c r="C70" s="188" t="s">
        <v>2157</v>
      </c>
    </row>
    <row r="71">
      <c r="A71" s="188" t="s">
        <v>2158</v>
      </c>
      <c r="B71" s="246"/>
      <c r="C71" s="188" t="s">
        <v>2097</v>
      </c>
    </row>
    <row r="72">
      <c r="A72" s="188" t="s">
        <v>2159</v>
      </c>
      <c r="B72" s="246"/>
      <c r="C72" s="188" t="s">
        <v>2160</v>
      </c>
    </row>
    <row r="73">
      <c r="A73" s="245" t="s">
        <v>1557</v>
      </c>
      <c r="B73" s="246"/>
      <c r="C73" s="188" t="s">
        <v>1660</v>
      </c>
    </row>
    <row r="74">
      <c r="A74" s="245" t="s">
        <v>2161</v>
      </c>
      <c r="B74" s="246"/>
      <c r="C74" s="188" t="s">
        <v>2162</v>
      </c>
    </row>
    <row r="75">
      <c r="A75" s="245" t="s">
        <v>2163</v>
      </c>
      <c r="B75" s="246"/>
      <c r="C75" s="188" t="s">
        <v>2103</v>
      </c>
    </row>
    <row r="76">
      <c r="A76" s="245" t="s">
        <v>2164</v>
      </c>
      <c r="B76" s="246"/>
      <c r="C76" s="188" t="s">
        <v>1615</v>
      </c>
    </row>
    <row r="77">
      <c r="A77" s="245" t="s">
        <v>2165</v>
      </c>
      <c r="B77" s="246"/>
      <c r="C77" s="188" t="s">
        <v>1620</v>
      </c>
    </row>
    <row r="78">
      <c r="A78" s="245"/>
      <c r="B78" s="246"/>
      <c r="C78" s="188" t="s">
        <v>2166</v>
      </c>
    </row>
    <row r="79">
      <c r="A79" s="245"/>
      <c r="B79" s="246"/>
      <c r="C79" s="188" t="s">
        <v>162</v>
      </c>
    </row>
    <row r="80">
      <c r="A80" s="245"/>
      <c r="B80" s="246"/>
      <c r="C80" s="188" t="s">
        <v>2167</v>
      </c>
    </row>
    <row r="81">
      <c r="A81" s="245"/>
      <c r="B81" s="246"/>
      <c r="C81" s="188" t="s">
        <v>2168</v>
      </c>
    </row>
    <row r="82">
      <c r="A82" s="245"/>
      <c r="B82" s="246"/>
      <c r="C82" s="188" t="s">
        <v>2169</v>
      </c>
    </row>
    <row r="83">
      <c r="A83" s="245"/>
      <c r="B83" s="246"/>
      <c r="C83" s="188" t="s">
        <v>1921</v>
      </c>
    </row>
    <row r="84">
      <c r="A84" s="245"/>
      <c r="B84" s="246"/>
      <c r="C84" s="188" t="s">
        <v>2170</v>
      </c>
    </row>
    <row r="85">
      <c r="A85" s="245"/>
      <c r="B85" s="246"/>
      <c r="C85" s="188" t="s">
        <v>2171</v>
      </c>
    </row>
    <row r="86">
      <c r="A86" s="245"/>
      <c r="B86" s="246"/>
      <c r="C86" s="188" t="s">
        <v>2172</v>
      </c>
    </row>
    <row r="87">
      <c r="A87" s="245"/>
      <c r="B87" s="246"/>
      <c r="C87" s="188" t="s">
        <v>1658</v>
      </c>
    </row>
    <row r="88">
      <c r="A88" s="245"/>
      <c r="B88" s="246"/>
      <c r="C88" s="188" t="s">
        <v>1600</v>
      </c>
    </row>
    <row r="89">
      <c r="A89" s="245"/>
      <c r="B89" s="246"/>
      <c r="C89" s="188" t="s">
        <v>1443</v>
      </c>
    </row>
    <row r="90">
      <c r="A90" s="245"/>
      <c r="B90" s="246"/>
      <c r="C90" s="188" t="s">
        <v>1664</v>
      </c>
    </row>
    <row r="91">
      <c r="A91" s="245"/>
      <c r="B91" s="246"/>
      <c r="C91" s="188" t="s">
        <v>325</v>
      </c>
    </row>
    <row r="92">
      <c r="A92" s="245"/>
      <c r="B92" s="246"/>
      <c r="C92" s="188" t="s">
        <v>2101</v>
      </c>
    </row>
    <row r="93">
      <c r="A93" s="245"/>
      <c r="B93" s="246"/>
      <c r="C93" s="188" t="s">
        <v>2174</v>
      </c>
    </row>
    <row r="94">
      <c r="A94" s="245"/>
      <c r="B94" s="246"/>
      <c r="C94" s="188" t="s">
        <v>2175</v>
      </c>
    </row>
    <row r="95">
      <c r="A95" s="245"/>
      <c r="B95" s="246"/>
      <c r="C95" s="188" t="s">
        <v>2176</v>
      </c>
    </row>
    <row r="96">
      <c r="A96" s="245"/>
      <c r="B96" s="246"/>
      <c r="C96" s="188" t="s">
        <v>2177</v>
      </c>
    </row>
    <row r="97">
      <c r="A97" s="245"/>
      <c r="B97" s="246"/>
      <c r="C97" s="188" t="s">
        <v>1806</v>
      </c>
    </row>
    <row r="98">
      <c r="A98" s="245"/>
      <c r="B98" s="246"/>
      <c r="C98" s="188" t="s">
        <v>2178</v>
      </c>
    </row>
    <row r="99">
      <c r="A99" s="245"/>
      <c r="B99" s="246"/>
      <c r="C99" s="188" t="s">
        <v>2179</v>
      </c>
    </row>
    <row r="100">
      <c r="A100" s="245"/>
      <c r="B100" s="247" t="s">
        <v>2180</v>
      </c>
      <c r="C100" s="188" t="s">
        <v>2181</v>
      </c>
    </row>
    <row r="101">
      <c r="A101" s="245"/>
      <c r="B101" s="247" t="s">
        <v>2182</v>
      </c>
      <c r="C101" s="188" t="s">
        <v>2183</v>
      </c>
    </row>
    <row r="102">
      <c r="A102" s="200"/>
      <c r="B102" s="246" t="s">
        <v>2184</v>
      </c>
      <c r="C102" s="200"/>
    </row>
    <row r="103">
      <c r="A103" s="188" t="s">
        <v>2186</v>
      </c>
      <c r="B103" s="246" t="s">
        <v>2187</v>
      </c>
      <c r="C103" s="188"/>
    </row>
    <row r="104">
      <c r="A104" s="188" t="s">
        <v>1093</v>
      </c>
      <c r="B104" s="246" t="s">
        <v>2189</v>
      </c>
      <c r="C104" s="188"/>
    </row>
    <row r="105">
      <c r="A105" s="188" t="s">
        <v>1528</v>
      </c>
      <c r="B105" s="246" t="s">
        <v>2190</v>
      </c>
      <c r="C105" s="188"/>
    </row>
    <row r="106">
      <c r="A106" s="248" t="s">
        <v>1389</v>
      </c>
      <c r="B106" s="246" t="s">
        <v>2191</v>
      </c>
      <c r="C106" s="188"/>
    </row>
    <row r="107">
      <c r="A107" s="188" t="s">
        <v>2192</v>
      </c>
      <c r="B107" s="246" t="s">
        <v>2193</v>
      </c>
      <c r="C107" s="188"/>
    </row>
    <row r="108">
      <c r="A108" s="188" t="s">
        <v>2194</v>
      </c>
      <c r="B108" s="246" t="s">
        <v>2195</v>
      </c>
      <c r="C108" s="188"/>
    </row>
    <row r="109">
      <c r="A109" s="188" t="s">
        <v>2196</v>
      </c>
      <c r="B109" s="246"/>
      <c r="C109" s="188"/>
    </row>
    <row r="110">
      <c r="A110" s="188" t="s">
        <v>2197</v>
      </c>
      <c r="B110" s="246"/>
      <c r="C110" s="188"/>
    </row>
    <row r="111">
      <c r="A111" s="188"/>
      <c r="B111" s="246"/>
      <c r="C111" s="188"/>
    </row>
    <row r="112">
      <c r="A112" s="188"/>
      <c r="B112" s="246"/>
      <c r="C112" s="188"/>
    </row>
    <row r="113">
      <c r="A113" s="188"/>
      <c r="B113" s="246"/>
      <c r="C113" s="188"/>
    </row>
    <row r="114">
      <c r="A114" s="188"/>
      <c r="B114" s="246"/>
      <c r="C114" s="188"/>
    </row>
    <row r="115">
      <c r="A115" s="188"/>
      <c r="B115" s="246"/>
      <c r="C115" s="188"/>
    </row>
    <row r="116">
      <c r="A116" s="188"/>
      <c r="B116" s="246"/>
      <c r="C116" s="188"/>
    </row>
    <row r="117">
      <c r="A117" s="188"/>
      <c r="B117" s="246"/>
      <c r="C117" s="188"/>
    </row>
    <row r="118">
      <c r="A118" s="188"/>
      <c r="B118" s="246"/>
      <c r="C118" s="188"/>
    </row>
    <row r="119">
      <c r="A119" s="188"/>
      <c r="B119" s="246"/>
      <c r="C119" s="188"/>
    </row>
    <row r="120">
      <c r="A120" s="188"/>
      <c r="B120" s="246"/>
      <c r="C120" s="188"/>
    </row>
    <row r="121">
      <c r="A121" s="188"/>
      <c r="B121" s="246"/>
      <c r="C121" s="188"/>
    </row>
    <row r="122">
      <c r="A122" s="188"/>
      <c r="B122" s="246"/>
      <c r="C122" s="188"/>
    </row>
    <row r="123">
      <c r="A123" s="188"/>
      <c r="B123" s="246"/>
      <c r="C123" s="188"/>
    </row>
    <row r="124">
      <c r="A124" s="188"/>
      <c r="B124" s="246"/>
      <c r="C124" s="188"/>
    </row>
    <row r="125">
      <c r="A125" s="188"/>
      <c r="B125" s="246"/>
      <c r="C125" s="188"/>
    </row>
    <row r="126">
      <c r="A126" s="188"/>
      <c r="B126" s="246"/>
      <c r="C126" s="188"/>
    </row>
    <row r="127">
      <c r="A127" s="188"/>
      <c r="B127" s="246"/>
      <c r="C127" s="188"/>
    </row>
    <row r="128">
      <c r="A128" s="188"/>
      <c r="B128" s="246"/>
      <c r="C128" s="188"/>
    </row>
    <row r="129">
      <c r="A129" s="188"/>
      <c r="B129" s="246"/>
      <c r="C129" s="188"/>
    </row>
    <row r="130">
      <c r="A130" s="188"/>
      <c r="B130" s="246"/>
      <c r="C130" s="188"/>
    </row>
    <row r="131">
      <c r="A131" s="188"/>
      <c r="B131" s="246"/>
      <c r="C131" s="188"/>
    </row>
    <row r="132">
      <c r="A132" s="188"/>
      <c r="B132" s="246"/>
      <c r="C132" s="188"/>
    </row>
    <row r="133">
      <c r="A133" s="188"/>
      <c r="B133" s="246"/>
      <c r="C133" s="188"/>
    </row>
    <row r="134">
      <c r="A134" s="188"/>
      <c r="B134" s="246"/>
      <c r="C134" s="188"/>
    </row>
    <row r="135">
      <c r="A135" s="188"/>
      <c r="B135" s="246"/>
      <c r="C135" s="188"/>
    </row>
    <row r="136">
      <c r="A136" s="188"/>
      <c r="B136" s="246"/>
      <c r="C136" s="188"/>
    </row>
    <row r="137">
      <c r="A137" s="188"/>
      <c r="B137" s="246"/>
      <c r="C137" s="188"/>
    </row>
    <row r="138">
      <c r="A138" s="188"/>
      <c r="B138" s="246"/>
      <c r="C138" s="188"/>
    </row>
    <row r="139">
      <c r="A139" s="188"/>
      <c r="B139" s="246"/>
      <c r="C139" s="188"/>
    </row>
    <row r="140">
      <c r="A140" s="188"/>
      <c r="B140" s="246"/>
      <c r="C140" s="188"/>
    </row>
    <row r="141">
      <c r="A141" s="188"/>
      <c r="B141" s="246"/>
      <c r="C141" s="188"/>
    </row>
    <row r="142">
      <c r="A142" s="188"/>
      <c r="B142" s="246"/>
      <c r="C142" s="188"/>
    </row>
    <row r="143">
      <c r="A143" s="188"/>
      <c r="B143" s="246"/>
      <c r="C143" s="188"/>
    </row>
    <row r="144">
      <c r="A144" s="188"/>
      <c r="B144" s="246"/>
      <c r="C144" s="188"/>
    </row>
    <row r="145">
      <c r="A145" s="188"/>
      <c r="B145" s="246"/>
      <c r="C145" s="188"/>
    </row>
    <row r="146">
      <c r="A146" s="188"/>
      <c r="B146" s="246"/>
      <c r="C146" s="188"/>
    </row>
    <row r="147">
      <c r="A147" s="188"/>
      <c r="B147" s="246"/>
      <c r="C147" s="188"/>
    </row>
    <row r="148">
      <c r="A148" s="188"/>
      <c r="B148" s="246"/>
      <c r="C148" s="188"/>
    </row>
    <row r="149">
      <c r="A149" s="188"/>
      <c r="B149" s="246"/>
      <c r="C149" s="188"/>
    </row>
    <row r="150">
      <c r="A150" s="188"/>
      <c r="B150" s="246"/>
      <c r="C150" s="188"/>
    </row>
  </sheetData>
  <conditionalFormatting sqref="A1 C1">
    <cfRule type="expression" dxfId="13" priority="1">
      <formula>$D1="Coming Soon"</formula>
    </cfRule>
  </conditionalFormatting>
  <conditionalFormatting sqref="A1 C1">
    <cfRule type="expression" dxfId="7" priority="2">
      <formula>$D1="Removed"</formula>
    </cfRule>
  </conditionalFormatting>
  <conditionalFormatting sqref="A1 C1">
    <cfRule type="expression" dxfId="10" priority="3">
      <formula>$D1="Leaving Soon"</formula>
    </cfRule>
  </conditionalFormatting>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9CB9C"/>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2"/>
  <cols>
    <col customWidth="1" min="1" max="1" width="47.63"/>
    <col customWidth="1" min="2" max="2" width="11.5"/>
    <col customWidth="1" min="3" max="3" width="9.0"/>
  </cols>
  <sheetData>
    <row r="1">
      <c r="A1" s="126" t="s">
        <v>398</v>
      </c>
      <c r="B1" s="6">
        <f>COUNTA(A3:A82)</f>
        <v>80</v>
      </c>
      <c r="C1" s="6"/>
    </row>
    <row r="2">
      <c r="A2" s="1" t="s">
        <v>0</v>
      </c>
      <c r="B2" s="7" t="s">
        <v>2202</v>
      </c>
      <c r="C2" s="7"/>
    </row>
    <row r="3">
      <c r="A3" s="17" t="s">
        <v>2203</v>
      </c>
      <c r="B3" s="249" t="s">
        <v>2204</v>
      </c>
      <c r="C3" s="250" t="str">
        <f>VLOOKUP(A3,'Master List'!A:A,1,)</f>
        <v>#N/A</v>
      </c>
    </row>
    <row r="4">
      <c r="A4" s="17" t="s">
        <v>83</v>
      </c>
      <c r="B4" s="251">
        <v>46218.0</v>
      </c>
      <c r="C4" s="250" t="str">
        <f>VLOOKUP(A4,'Master List'!A:A,1,)</f>
        <v>Denshattack!</v>
      </c>
    </row>
    <row r="5">
      <c r="A5" s="17" t="s">
        <v>2207</v>
      </c>
      <c r="B5" s="252">
        <v>46229.0</v>
      </c>
      <c r="C5" s="250" t="str">
        <f>VLOOKUP(A5,'Master List'!A:A,1,)</f>
        <v>#N/A</v>
      </c>
    </row>
    <row r="6">
      <c r="A6" s="167" t="s">
        <v>70</v>
      </c>
      <c r="B6" s="251">
        <v>46231.0</v>
      </c>
      <c r="C6" s="250" t="str">
        <f>VLOOKUP(A6,'Master List'!A:A,1,)</f>
        <v>Halo: Campaign Evolved</v>
      </c>
    </row>
    <row r="7">
      <c r="A7" s="17" t="s">
        <v>69</v>
      </c>
      <c r="B7" s="251">
        <v>46232.0</v>
      </c>
      <c r="C7" s="250" t="str">
        <f>VLOOKUP(A7,'Master List'!A:A,1,)</f>
        <v>Mistfall Hunter</v>
      </c>
    </row>
    <row r="8">
      <c r="A8" s="17" t="s">
        <v>2210</v>
      </c>
      <c r="B8" s="249" t="s">
        <v>2211</v>
      </c>
      <c r="C8" s="250" t="str">
        <f>VLOOKUP(A8,'Master List'!A:A,1,)</f>
        <v>Speedrunners 2: King of Speed</v>
      </c>
    </row>
    <row r="9">
      <c r="A9" s="17" t="s">
        <v>66</v>
      </c>
      <c r="B9" s="251">
        <v>46237.0</v>
      </c>
      <c r="C9" s="250" t="str">
        <f>VLOOKUP(A9,'Master List'!A:A,1,)</f>
        <v>Beast of Reincarnation</v>
      </c>
    </row>
    <row r="10">
      <c r="A10" s="17" t="s">
        <v>2212</v>
      </c>
      <c r="B10" s="251">
        <v>46247.0</v>
      </c>
      <c r="C10" s="250" t="str">
        <f>VLOOKUP(A10,'Master List'!A:A,1,)</f>
        <v>#N/A</v>
      </c>
    </row>
    <row r="11">
      <c r="A11" s="17" t="s">
        <v>2213</v>
      </c>
      <c r="B11" s="251">
        <v>46248.0</v>
      </c>
      <c r="C11" s="250" t="str">
        <f>VLOOKUP(A11,'Master List'!A:A,1,)</f>
        <v>#N/A</v>
      </c>
    </row>
    <row r="12">
      <c r="A12" s="17" t="s">
        <v>58</v>
      </c>
      <c r="B12" s="251">
        <v>46261.0</v>
      </c>
      <c r="C12" s="250" t="str">
        <f>VLOOKUP(A12,'Master List'!A:A,1,)</f>
        <v>Resonance: A Plague Tale Legacy</v>
      </c>
    </row>
    <row r="13">
      <c r="A13" s="17" t="s">
        <v>43</v>
      </c>
      <c r="B13" s="251">
        <v>46287.0</v>
      </c>
      <c r="C13" s="250" t="str">
        <f>VLOOKUP(A13,'Master List'!A:A,1,)</f>
        <v>Dune: Awakening</v>
      </c>
    </row>
    <row r="14">
      <c r="A14" s="17" t="s">
        <v>2214</v>
      </c>
      <c r="B14" s="251">
        <v>46289.0</v>
      </c>
      <c r="C14" s="250" t="str">
        <f>VLOOKUP(A14,'Master List'!A:A,1,)</f>
        <v>#N/A</v>
      </c>
    </row>
    <row r="15">
      <c r="A15" s="17" t="s">
        <v>2215</v>
      </c>
      <c r="B15" s="250" t="s">
        <v>2216</v>
      </c>
      <c r="C15" s="250" t="str">
        <f>VLOOKUP(A15,'Master List'!A:A,1,)</f>
        <v>#N/A</v>
      </c>
    </row>
    <row r="16">
      <c r="A16" s="17" t="s">
        <v>2218</v>
      </c>
      <c r="B16" s="249" t="s">
        <v>2219</v>
      </c>
      <c r="C16" s="250" t="str">
        <f>VLOOKUP(A16,'Master List'!A:A,1,)</f>
        <v>#N/A</v>
      </c>
    </row>
    <row r="17">
      <c r="A17" s="167" t="s">
        <v>40</v>
      </c>
      <c r="B17" s="251" t="s">
        <v>2216</v>
      </c>
      <c r="C17" s="250" t="str">
        <f>VLOOKUP(A17,'Master List'!A:A,1,)</f>
        <v>Minecraft Dungeons II</v>
      </c>
    </row>
    <row r="18">
      <c r="A18" s="17" t="s">
        <v>2220</v>
      </c>
      <c r="B18" s="250">
        <v>2026.0</v>
      </c>
      <c r="C18" s="250" t="str">
        <f>VLOOKUP(A18,'Master List'!A:A,1,)</f>
        <v>#N/A</v>
      </c>
    </row>
    <row r="19">
      <c r="A19" s="17" t="s">
        <v>2221</v>
      </c>
      <c r="B19" s="253">
        <v>2026.0</v>
      </c>
      <c r="C19" s="250" t="str">
        <f>VLOOKUP(A19,'Master List'!A:A,1,)</f>
        <v>#N/A</v>
      </c>
    </row>
    <row r="20">
      <c r="A20" s="17" t="s">
        <v>2223</v>
      </c>
      <c r="B20" s="253">
        <v>2026.0</v>
      </c>
      <c r="C20" s="250" t="str">
        <f>VLOOKUP(A20,'Master List'!A:A,1,)</f>
        <v>#N/A</v>
      </c>
    </row>
    <row r="21">
      <c r="A21" s="17" t="s">
        <v>2224</v>
      </c>
      <c r="B21" s="253">
        <v>2026.0</v>
      </c>
      <c r="C21" s="250" t="str">
        <f>VLOOKUP(A21,'Master List'!A:A,1,)</f>
        <v>#N/A</v>
      </c>
    </row>
    <row r="22">
      <c r="A22" s="167" t="s">
        <v>34</v>
      </c>
      <c r="B22" s="253">
        <v>2026.0</v>
      </c>
      <c r="C22" s="250" t="str">
        <f>VLOOKUP(A22,'Master List'!A:A,1,)</f>
        <v>Gears of War: E-Day</v>
      </c>
    </row>
    <row r="23">
      <c r="A23" s="17" t="s">
        <v>2226</v>
      </c>
      <c r="B23" s="250">
        <v>2026.0</v>
      </c>
      <c r="C23" s="250" t="str">
        <f>VLOOKUP(A23,'Master List'!A:A,1,)</f>
        <v>#N/A</v>
      </c>
    </row>
    <row r="24">
      <c r="A24" s="17" t="s">
        <v>2227</v>
      </c>
      <c r="B24" s="250">
        <v>2026.0</v>
      </c>
      <c r="C24" s="250" t="str">
        <f>VLOOKUP(A24,'Master List'!A:A,1,)</f>
        <v>#N/A</v>
      </c>
    </row>
    <row r="25">
      <c r="A25" s="17" t="s">
        <v>2229</v>
      </c>
      <c r="B25" s="250">
        <v>2026.0</v>
      </c>
      <c r="C25" s="250" t="str">
        <f>VLOOKUP(A25,'Master List'!A:A,1,)</f>
        <v>#N/A</v>
      </c>
    </row>
    <row r="26">
      <c r="A26" s="17" t="s">
        <v>2231</v>
      </c>
      <c r="B26" s="250">
        <v>2026.0</v>
      </c>
      <c r="C26" s="250" t="str">
        <f>VLOOKUP(A26,'Master List'!A:A,1,)</f>
        <v>#N/A</v>
      </c>
    </row>
    <row r="27">
      <c r="A27" s="17" t="s">
        <v>2232</v>
      </c>
      <c r="B27" s="250">
        <v>2026.0</v>
      </c>
      <c r="C27" s="250" t="str">
        <f>VLOOKUP(A27,'Master List'!A:A,1,)</f>
        <v>#N/A</v>
      </c>
    </row>
    <row r="28">
      <c r="A28" s="17" t="s">
        <v>2233</v>
      </c>
      <c r="B28" s="250">
        <v>2026.0</v>
      </c>
      <c r="C28" s="250" t="str">
        <f>VLOOKUP(A28,'Master List'!A:A,1,)</f>
        <v>#N/A</v>
      </c>
    </row>
    <row r="29">
      <c r="A29" s="17" t="s">
        <v>2234</v>
      </c>
      <c r="B29" s="250">
        <v>2026.0</v>
      </c>
      <c r="C29" s="250" t="str">
        <f>VLOOKUP(A29,'Master List'!A:A,1,)</f>
        <v>#N/A</v>
      </c>
    </row>
    <row r="30">
      <c r="A30" s="17" t="s">
        <v>2236</v>
      </c>
      <c r="B30" s="250">
        <v>2026.0</v>
      </c>
      <c r="C30" s="250" t="str">
        <f>VLOOKUP(A30,'Master List'!A:A,1,)</f>
        <v>#N/A</v>
      </c>
    </row>
    <row r="31">
      <c r="A31" s="17" t="s">
        <v>2237</v>
      </c>
      <c r="B31" s="250">
        <v>2026.0</v>
      </c>
      <c r="C31" s="250" t="str">
        <f>VLOOKUP(A31,'Master List'!A:A,1,)</f>
        <v>#N/A</v>
      </c>
    </row>
    <row r="32">
      <c r="A32" s="17" t="s">
        <v>2238</v>
      </c>
      <c r="B32" s="250">
        <v>2026.0</v>
      </c>
      <c r="C32" s="250" t="str">
        <f>VLOOKUP(A32,'Master List'!A:A,1,)</f>
        <v>#N/A</v>
      </c>
    </row>
    <row r="33">
      <c r="A33" s="17" t="s">
        <v>2239</v>
      </c>
      <c r="B33" s="250">
        <v>2026.0</v>
      </c>
      <c r="C33" s="250" t="str">
        <f>VLOOKUP(A33,'Master List'!A:A,1,)</f>
        <v>#N/A</v>
      </c>
    </row>
    <row r="34">
      <c r="A34" s="17" t="s">
        <v>2240</v>
      </c>
      <c r="B34" s="250">
        <v>2026.0</v>
      </c>
      <c r="C34" s="250" t="str">
        <f>VLOOKUP(A34,'Master List'!A:A,1,)</f>
        <v>#N/A</v>
      </c>
    </row>
    <row r="35">
      <c r="A35" s="17" t="s">
        <v>2241</v>
      </c>
      <c r="B35" s="250">
        <v>2026.0</v>
      </c>
      <c r="C35" s="250" t="str">
        <f>VLOOKUP(A35,'Master List'!A:A,1,)</f>
        <v>#N/A</v>
      </c>
    </row>
    <row r="36">
      <c r="A36" s="17" t="s">
        <v>2243</v>
      </c>
      <c r="B36" s="250">
        <v>2026.0</v>
      </c>
      <c r="C36" s="250" t="str">
        <f>VLOOKUP(A36,'Master List'!A:A,1,)</f>
        <v>#N/A</v>
      </c>
    </row>
    <row r="37">
      <c r="A37" s="17" t="s">
        <v>2244</v>
      </c>
      <c r="B37" s="250">
        <v>2026.0</v>
      </c>
      <c r="C37" s="250" t="str">
        <f>VLOOKUP(A37,'Master List'!A:A,1,)</f>
        <v>#N/A</v>
      </c>
    </row>
    <row r="38">
      <c r="A38" s="17" t="s">
        <v>2245</v>
      </c>
      <c r="B38" s="250">
        <v>2026.0</v>
      </c>
      <c r="C38" s="250" t="str">
        <f>VLOOKUP(A38,'Master List'!A:A,1,)</f>
        <v>#N/A</v>
      </c>
    </row>
    <row r="39">
      <c r="A39" s="17" t="s">
        <v>2246</v>
      </c>
      <c r="B39" s="250">
        <v>2026.0</v>
      </c>
      <c r="C39" s="250" t="str">
        <f>VLOOKUP(A39,'Master List'!A:A,1,)</f>
        <v>#N/A</v>
      </c>
    </row>
    <row r="40">
      <c r="A40" s="17" t="s">
        <v>2248</v>
      </c>
      <c r="B40" s="250">
        <v>2026.0</v>
      </c>
      <c r="C40" s="250" t="str">
        <f>VLOOKUP(A40,'Master List'!A:A,1,)</f>
        <v>#N/A</v>
      </c>
    </row>
    <row r="41">
      <c r="A41" s="17" t="s">
        <v>2249</v>
      </c>
      <c r="B41" s="250">
        <v>2026.0</v>
      </c>
      <c r="C41" s="250" t="str">
        <f>VLOOKUP(A41,'Master List'!A:A,1,)</f>
        <v>#N/A</v>
      </c>
    </row>
    <row r="42">
      <c r="A42" s="17" t="s">
        <v>2251</v>
      </c>
      <c r="B42" s="250">
        <v>2026.0</v>
      </c>
      <c r="C42" s="250" t="str">
        <f>VLOOKUP(A42,'Master List'!A:A,1,)</f>
        <v>#N/A</v>
      </c>
    </row>
    <row r="43">
      <c r="A43" s="17" t="s">
        <v>2252</v>
      </c>
      <c r="B43" s="250">
        <v>2026.0</v>
      </c>
      <c r="C43" s="250" t="str">
        <f>VLOOKUP(A43,'Master List'!A:A,1,)</f>
        <v>#N/A</v>
      </c>
    </row>
    <row r="44">
      <c r="A44" s="17" t="s">
        <v>2253</v>
      </c>
      <c r="B44" s="250">
        <v>2026.0</v>
      </c>
      <c r="C44" s="250" t="str">
        <f>VLOOKUP(A44,'Master List'!A:A,1,)</f>
        <v>#N/A</v>
      </c>
    </row>
    <row r="45">
      <c r="A45" s="17" t="s">
        <v>2254</v>
      </c>
      <c r="B45" s="250">
        <v>2026.0</v>
      </c>
      <c r="C45" s="250" t="str">
        <f>VLOOKUP(A45,'Master List'!A:A,1,)</f>
        <v>#N/A</v>
      </c>
    </row>
    <row r="46">
      <c r="A46" s="17" t="s">
        <v>2255</v>
      </c>
      <c r="B46" s="250">
        <v>2026.0</v>
      </c>
      <c r="C46" s="250" t="str">
        <f>VLOOKUP(A46,'Master List'!A:A,1,)</f>
        <v>#N/A</v>
      </c>
    </row>
    <row r="47">
      <c r="A47" s="17" t="s">
        <v>2256</v>
      </c>
      <c r="B47" s="250">
        <v>2026.0</v>
      </c>
      <c r="C47" s="250" t="str">
        <f>VLOOKUP(A47,'Master List'!A:A,1,)</f>
        <v>#N/A</v>
      </c>
    </row>
    <row r="48">
      <c r="A48" s="17" t="s">
        <v>2258</v>
      </c>
      <c r="B48" s="250">
        <v>2026.0</v>
      </c>
      <c r="C48" s="250" t="str">
        <f>VLOOKUP(A48,'Master List'!A:A,1,)</f>
        <v>#N/A</v>
      </c>
    </row>
    <row r="49">
      <c r="A49" s="17" t="s">
        <v>2259</v>
      </c>
      <c r="B49" s="251">
        <v>46436.0</v>
      </c>
      <c r="C49" s="250" t="str">
        <f>VLOOKUP(A49,'Master List'!A:A,1,)</f>
        <v>#N/A</v>
      </c>
    </row>
    <row r="50">
      <c r="A50" s="167" t="s">
        <v>2260</v>
      </c>
      <c r="B50" s="251">
        <v>46441.0</v>
      </c>
      <c r="C50" s="250" t="str">
        <f>VLOOKUP(A50,'Master List'!A:A,1,)</f>
        <v>#N/A</v>
      </c>
    </row>
    <row r="51">
      <c r="A51" s="17" t="s">
        <v>2263</v>
      </c>
      <c r="B51" s="254">
        <v>46447.0</v>
      </c>
      <c r="C51" s="250" t="str">
        <f>VLOOKUP(A51,'Master List'!A:A,1,)</f>
        <v>#N/A</v>
      </c>
    </row>
    <row r="52">
      <c r="A52" s="17" t="s">
        <v>2264</v>
      </c>
      <c r="B52" s="250" t="s">
        <v>2265</v>
      </c>
      <c r="C52" s="250" t="str">
        <f>VLOOKUP(A52,'Master List'!A:A,1,)</f>
        <v>#N/A</v>
      </c>
    </row>
    <row r="53">
      <c r="A53" s="167" t="s">
        <v>2267</v>
      </c>
      <c r="B53" s="255" t="s">
        <v>2265</v>
      </c>
      <c r="C53" s="250" t="str">
        <f>VLOOKUP(A53,'Master List'!A:A,1,)</f>
        <v>#N/A</v>
      </c>
    </row>
    <row r="54">
      <c r="A54" s="17" t="s">
        <v>2268</v>
      </c>
      <c r="B54" s="255" t="s">
        <v>2269</v>
      </c>
      <c r="C54" s="250" t="str">
        <f>VLOOKUP(A54,'Master List'!A:A,1,)</f>
        <v>#N/A</v>
      </c>
    </row>
    <row r="55">
      <c r="A55" s="17" t="s">
        <v>2270</v>
      </c>
      <c r="B55" s="254">
        <v>46631.0</v>
      </c>
      <c r="C55" s="250" t="str">
        <f>VLOOKUP(A55,'Master List'!A:A,1,)</f>
        <v>#N/A</v>
      </c>
    </row>
    <row r="56">
      <c r="A56" s="17" t="s">
        <v>2271</v>
      </c>
      <c r="B56" s="250">
        <v>2027.0</v>
      </c>
      <c r="C56" s="250" t="str">
        <f>VLOOKUP(A56,'Master List'!A:A,1,)</f>
        <v>#N/A</v>
      </c>
    </row>
    <row r="57">
      <c r="A57" s="17" t="s">
        <v>2272</v>
      </c>
      <c r="B57" s="253">
        <v>2027.0</v>
      </c>
      <c r="C57" s="250" t="str">
        <f>VLOOKUP(A57,'Master List'!A:A,1,)</f>
        <v>#N/A</v>
      </c>
    </row>
    <row r="58">
      <c r="A58" s="17" t="s">
        <v>2273</v>
      </c>
      <c r="B58" s="250">
        <v>2027.0</v>
      </c>
      <c r="C58" s="250" t="str">
        <f>VLOOKUP(A58,'Master List'!A:A,1,)</f>
        <v>#N/A</v>
      </c>
    </row>
    <row r="59">
      <c r="A59" s="17" t="s">
        <v>2274</v>
      </c>
      <c r="B59" s="253">
        <v>2027.0</v>
      </c>
      <c r="C59" s="250" t="str">
        <f>VLOOKUP(A59,'Master List'!A:A,1,)</f>
        <v>#N/A</v>
      </c>
    </row>
    <row r="60">
      <c r="A60" s="17" t="s">
        <v>2275</v>
      </c>
      <c r="B60" s="253">
        <v>2027.0</v>
      </c>
      <c r="C60" s="250" t="str">
        <f>VLOOKUP(A60,'Master List'!A:A,1,)</f>
        <v>#N/A</v>
      </c>
    </row>
    <row r="61">
      <c r="A61" s="17" t="s">
        <v>2277</v>
      </c>
      <c r="B61" s="250">
        <v>2027.0</v>
      </c>
      <c r="C61" s="250" t="str">
        <f>VLOOKUP(A61,'Master List'!A:A,1,)</f>
        <v>#N/A</v>
      </c>
    </row>
    <row r="62">
      <c r="A62" s="256" t="s">
        <v>2231</v>
      </c>
      <c r="B62" s="253">
        <v>2027.0</v>
      </c>
      <c r="C62" s="250" t="str">
        <f>VLOOKUP(A62,'Master List'!A:A,1,)</f>
        <v>#N/A</v>
      </c>
    </row>
    <row r="63">
      <c r="A63" s="167" t="s">
        <v>2278</v>
      </c>
      <c r="B63" s="253">
        <v>2027.0</v>
      </c>
      <c r="C63" s="250" t="str">
        <f>VLOOKUP(A63,'Master List'!A:A,1,)</f>
        <v>#N/A</v>
      </c>
    </row>
    <row r="64">
      <c r="A64" s="17" t="s">
        <v>2279</v>
      </c>
      <c r="B64" s="253">
        <v>2027.0</v>
      </c>
      <c r="C64" s="250" t="str">
        <f>VLOOKUP(A64,'Master List'!A:A,1,)</f>
        <v>#N/A</v>
      </c>
    </row>
    <row r="65">
      <c r="A65" s="17" t="s">
        <v>2280</v>
      </c>
      <c r="B65" s="250">
        <v>2027.0</v>
      </c>
      <c r="C65" s="250" t="str">
        <f>VLOOKUP(A65,'Master List'!A:A,1,)</f>
        <v>#N/A</v>
      </c>
    </row>
    <row r="66">
      <c r="A66" s="17" t="s">
        <v>2282</v>
      </c>
      <c r="B66" s="250">
        <v>2027.0</v>
      </c>
      <c r="C66" s="250" t="str">
        <f>VLOOKUP(A66,'Master List'!A:A,1,)</f>
        <v>#N/A</v>
      </c>
    </row>
    <row r="67">
      <c r="A67" s="17" t="s">
        <v>2283</v>
      </c>
      <c r="B67" s="250">
        <v>2027.0</v>
      </c>
      <c r="C67" s="250" t="str">
        <f>VLOOKUP(A67,'Master List'!A:A,1,)</f>
        <v>#N/A</v>
      </c>
    </row>
    <row r="68">
      <c r="A68" s="17" t="s">
        <v>2284</v>
      </c>
      <c r="B68" s="250">
        <v>2027.0</v>
      </c>
      <c r="C68" s="250" t="str">
        <f>VLOOKUP(A68,'Master List'!A:A,1,)</f>
        <v>#N/A</v>
      </c>
    </row>
    <row r="69">
      <c r="A69" s="17" t="s">
        <v>2285</v>
      </c>
      <c r="B69" s="253">
        <v>2028.0</v>
      </c>
      <c r="C69" s="250" t="str">
        <f>VLOOKUP(A69,'Master List'!A:A,1,)</f>
        <v>#N/A</v>
      </c>
    </row>
    <row r="70">
      <c r="A70" s="17" t="s">
        <v>2287</v>
      </c>
      <c r="B70" s="250">
        <v>2028.0</v>
      </c>
      <c r="C70" s="250" t="str">
        <f>VLOOKUP(A70,'Master List'!A:A,1,)</f>
        <v>#N/A</v>
      </c>
    </row>
    <row r="71">
      <c r="A71" s="17" t="s">
        <v>2288</v>
      </c>
      <c r="B71" s="250" t="s">
        <v>2289</v>
      </c>
      <c r="C71" s="250" t="str">
        <f>VLOOKUP(A71,'Master List'!A:A,1,)</f>
        <v>#N/A</v>
      </c>
    </row>
    <row r="72">
      <c r="A72" s="17" t="s">
        <v>2291</v>
      </c>
      <c r="B72" s="250" t="s">
        <v>2289</v>
      </c>
      <c r="C72" s="250" t="str">
        <f>VLOOKUP(A72,'Master List'!A:A,1,)</f>
        <v>#N/A</v>
      </c>
    </row>
    <row r="73">
      <c r="A73" s="17" t="s">
        <v>2243</v>
      </c>
      <c r="B73" s="250" t="s">
        <v>2289</v>
      </c>
      <c r="C73" s="250" t="str">
        <f>VLOOKUP(A73,'Master List'!A:A,1,)</f>
        <v>#N/A</v>
      </c>
    </row>
    <row r="74">
      <c r="A74" s="17" t="s">
        <v>2292</v>
      </c>
      <c r="B74" s="255" t="s">
        <v>2289</v>
      </c>
      <c r="C74" s="250" t="str">
        <f>VLOOKUP(A74,'Master List'!A:A,1,)</f>
        <v>#N/A</v>
      </c>
    </row>
    <row r="75">
      <c r="A75" s="17" t="s">
        <v>2293</v>
      </c>
      <c r="B75" s="250" t="s">
        <v>2289</v>
      </c>
      <c r="C75" s="250" t="str">
        <f>VLOOKUP(A75,'Master List'!A:A,1,)</f>
        <v>#N/A</v>
      </c>
    </row>
    <row r="76">
      <c r="A76" s="167" t="s">
        <v>2294</v>
      </c>
      <c r="B76" s="255" t="s">
        <v>2289</v>
      </c>
      <c r="C76" s="250" t="str">
        <f>VLOOKUP(A76,'Master List'!A:A,1,)</f>
        <v>#N/A</v>
      </c>
    </row>
    <row r="77">
      <c r="A77" s="17" t="s">
        <v>2295</v>
      </c>
      <c r="B77" s="250" t="s">
        <v>2289</v>
      </c>
      <c r="C77" s="250" t="str">
        <f>VLOOKUP(A77,'Master List'!A:A,1,)</f>
        <v>#N/A</v>
      </c>
    </row>
    <row r="78">
      <c r="A78" s="17" t="s">
        <v>2296</v>
      </c>
      <c r="B78" s="250" t="s">
        <v>2289</v>
      </c>
      <c r="C78" s="250" t="str">
        <f>VLOOKUP(A78,'Master List'!A:A,1,)</f>
        <v>#N/A</v>
      </c>
    </row>
    <row r="79">
      <c r="A79" s="167" t="s">
        <v>2298</v>
      </c>
      <c r="B79" s="255" t="s">
        <v>2289</v>
      </c>
      <c r="C79" s="250" t="str">
        <f>VLOOKUP(A79,'Master List'!A:A,1,)</f>
        <v>#N/A</v>
      </c>
    </row>
    <row r="80">
      <c r="A80" s="17" t="s">
        <v>2299</v>
      </c>
      <c r="B80" s="250" t="s">
        <v>2289</v>
      </c>
      <c r="C80" s="250" t="str">
        <f>VLOOKUP(A80,'Master List'!A:A,1,)</f>
        <v>#N/A</v>
      </c>
    </row>
    <row r="81">
      <c r="A81" s="17" t="s">
        <v>2284</v>
      </c>
      <c r="B81" s="250" t="s">
        <v>2289</v>
      </c>
      <c r="C81" s="250" t="str">
        <f>VLOOKUP(A81,'Master List'!A:A,1,)</f>
        <v>#N/A</v>
      </c>
    </row>
    <row r="82">
      <c r="A82" s="17" t="s">
        <v>2300</v>
      </c>
      <c r="B82" s="250" t="s">
        <v>2289</v>
      </c>
      <c r="C82" s="250" t="str">
        <f>VLOOKUP(A82,'Master List'!A:A,1,)</f>
        <v>#N/A</v>
      </c>
    </row>
  </sheetData>
  <autoFilter ref="$A$2:$A$80">
    <sortState ref="A2:A80">
      <sortCondition ref="A2:A80"/>
    </sortState>
  </autoFilter>
  <conditionalFormatting sqref="B1:C1">
    <cfRule type="cellIs" dxfId="4" priority="1" operator="equal">
      <formula>"Xbox"</formula>
    </cfRule>
  </conditionalFormatting>
  <conditionalFormatting sqref="A2:A82">
    <cfRule type="expression" dxfId="13" priority="2">
      <formula>#REF!="Coming Soon"</formula>
    </cfRule>
  </conditionalFormatting>
  <conditionalFormatting sqref="A2:A82">
    <cfRule type="expression" dxfId="7" priority="3">
      <formula>#REF!="Removed"</formula>
    </cfRule>
  </conditionalFormatting>
  <conditionalFormatting sqref="A2:A82">
    <cfRule type="expression" dxfId="6" priority="4">
      <formula>MATCH(A2,INDIRECT("'Xbox Game Studios'!A:A"),0)</formula>
    </cfRule>
  </conditionalFormatting>
  <conditionalFormatting sqref="A2:A82">
    <cfRule type="expression" dxfId="10" priority="5">
      <formula>#REF!="Leaving Soon"</formula>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6BDC6"/>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2"/>
  <cols>
    <col customWidth="1" min="1" max="1" width="48.75"/>
    <col customWidth="1" min="2" max="2" width="9.38"/>
    <col customWidth="1" min="3" max="3" width="12.13"/>
    <col customWidth="1" min="4" max="4" width="11.25"/>
    <col customWidth="1" min="5" max="5" width="11.5"/>
    <col customWidth="1" min="6" max="6" width="17.38"/>
    <col customWidth="1" min="7" max="7" width="9.63"/>
    <col customWidth="1" min="8" max="8" width="11.5"/>
    <col customWidth="1" min="9" max="9" width="7.75"/>
    <col customWidth="1" min="10" max="10" width="11.88"/>
    <col customWidth="1" min="11" max="11" width="12.63"/>
    <col customWidth="1" min="12" max="12" width="42.25"/>
    <col customWidth="1" min="13" max="13" width="16.25"/>
  </cols>
  <sheetData>
    <row r="1">
      <c r="A1" s="2" t="s">
        <v>1709</v>
      </c>
      <c r="B1" s="6">
        <f>COUNTA(A3:A926)</f>
        <v>163</v>
      </c>
      <c r="C1" s="2"/>
      <c r="D1" s="2"/>
      <c r="E1" s="2"/>
      <c r="F1" s="2"/>
      <c r="G1" s="2"/>
      <c r="H1" s="2"/>
      <c r="I1" s="2"/>
      <c r="J1" s="2"/>
      <c r="K1" s="2"/>
      <c r="L1" s="2"/>
      <c r="M1" s="2"/>
    </row>
    <row r="2">
      <c r="A2" s="1" t="s">
        <v>0</v>
      </c>
      <c r="B2" s="8" t="s">
        <v>2</v>
      </c>
      <c r="C2" s="9" t="s">
        <v>3</v>
      </c>
      <c r="D2" s="8" t="s">
        <v>4</v>
      </c>
      <c r="E2" s="8" t="s">
        <v>5</v>
      </c>
      <c r="F2" s="9" t="s">
        <v>6</v>
      </c>
      <c r="G2" s="11" t="s">
        <v>7</v>
      </c>
      <c r="H2" s="7" t="s">
        <v>8</v>
      </c>
      <c r="I2" s="7" t="s">
        <v>9</v>
      </c>
      <c r="J2" s="7" t="s">
        <v>10</v>
      </c>
      <c r="K2" s="7" t="s">
        <v>11</v>
      </c>
      <c r="L2" s="7" t="s">
        <v>12</v>
      </c>
      <c r="M2" s="7" t="s">
        <v>26</v>
      </c>
    </row>
    <row r="3">
      <c r="A3" s="17" t="str">
        <f>IFERROR(__xludf.DUMMYFUNCTION("SORT(FILTER('Master List'!A2:M926, REGEXMATCH('Master List'!M2:M926, ""Exclusive""), NOT(REGEXMATCH('Master List'!D2:D926, ""Removed"")) ), 10, false)"),"Hades II")</f>
        <v>Hades II</v>
      </c>
      <c r="B3" s="20" t="str">
        <f>IFERROR(__xludf.DUMMYFUNCTION("""COMPUTED_VALUE"""),"Xbox / PC")</f>
        <v>Xbox / PC</v>
      </c>
      <c r="C3" s="21" t="str">
        <f>IFERROR(__xludf.DUMMYFUNCTION("""COMPUTED_VALUE"""),"Yes")</f>
        <v>Yes</v>
      </c>
      <c r="D3" s="21" t="str">
        <f>IFERROR(__xludf.DUMMYFUNCTION("""COMPUTED_VALUE"""),"Active")</f>
        <v>Active</v>
      </c>
      <c r="E3" s="23">
        <f>IFERROR(__xludf.DUMMYFUNCTION("""COMPUTED_VALUE"""),46126.0)</f>
        <v>46126</v>
      </c>
      <c r="F3" s="24"/>
      <c r="G3" s="27">
        <f>IFERROR(__xludf.DUMMYFUNCTION("""COMPUTED_VALUE"""),5.733333333333333)</f>
        <v>5.733333333</v>
      </c>
      <c r="H3" s="23">
        <f>IFERROR(__xludf.DUMMYFUNCTION("""COMPUTED_VALUE"""),45925.0)</f>
        <v>45925</v>
      </c>
      <c r="I3" s="27">
        <f>IFERROR(__xludf.DUMMYFUNCTION("""COMPUTED_VALUE"""),0.5527777777777778)</f>
        <v>0.5527777778</v>
      </c>
      <c r="J3" s="29">
        <f>IFERROR(__xludf.DUMMYFUNCTION("""COMPUTED_VALUE"""),95.0)</f>
        <v>95</v>
      </c>
      <c r="K3" s="29">
        <f>IFERROR(__xludf.DUMMYFUNCTION("""COMPUTED_VALUE"""),22.0)</f>
        <v>22</v>
      </c>
      <c r="L3" s="31" t="str">
        <f>IFERROR(__xludf.DUMMYFUNCTION("""COMPUTED_VALUE"""),"RPG")</f>
        <v>RPG</v>
      </c>
      <c r="M3" s="31" t="str">
        <f>IFERROR(__xludf.DUMMYFUNCTION("""COMPUTED_VALUE"""),"Exclusive")</f>
        <v>Exclusive</v>
      </c>
    </row>
    <row r="4">
      <c r="A4" s="17" t="str">
        <f>IFERROR(__xludf.DUMMYFUNCTION("""COMPUTED_VALUE"""),"Blue Prince")</f>
        <v>Blue Prince</v>
      </c>
      <c r="B4" s="20" t="str">
        <f>IFERROR(__xludf.DUMMYFUNCTION("""COMPUTED_VALUE"""),"Xbox / PC")</f>
        <v>Xbox / PC</v>
      </c>
      <c r="C4" s="21" t="str">
        <f>IFERROR(__xludf.DUMMYFUNCTION("""COMPUTED_VALUE"""),"Yes")</f>
        <v>Yes</v>
      </c>
      <c r="D4" s="21" t="str">
        <f>IFERROR(__xludf.DUMMYFUNCTION("""COMPUTED_VALUE"""),"Active")</f>
        <v>Active</v>
      </c>
      <c r="E4" s="23">
        <f>IFERROR(__xludf.DUMMYFUNCTION("""COMPUTED_VALUE"""),45757.0)</f>
        <v>45757</v>
      </c>
      <c r="F4" s="24"/>
      <c r="G4" s="27">
        <f>IFERROR(__xludf.DUMMYFUNCTION("""COMPUTED_VALUE"""),17.866666666666667)</f>
        <v>17.86666667</v>
      </c>
      <c r="H4" s="23">
        <f>IFERROR(__xludf.DUMMYFUNCTION("""COMPUTED_VALUE"""),45757.0)</f>
        <v>45757</v>
      </c>
      <c r="I4" s="27">
        <f>IFERROR(__xludf.DUMMYFUNCTION("""COMPUTED_VALUE"""),0.0)</f>
        <v>0</v>
      </c>
      <c r="J4" s="29">
        <f>IFERROR(__xludf.DUMMYFUNCTION("""COMPUTED_VALUE"""),93.0)</f>
        <v>93</v>
      </c>
      <c r="K4" s="29">
        <f>IFERROR(__xludf.DUMMYFUNCTION("""COMPUTED_VALUE"""),14.0)</f>
        <v>14</v>
      </c>
      <c r="L4" s="31" t="str">
        <f>IFERROR(__xludf.DUMMYFUNCTION("""COMPUTED_VALUE"""),"Action-Adventure")</f>
        <v>Action-Adventure</v>
      </c>
      <c r="M4" s="31" t="str">
        <f>IFERROR(__xludf.DUMMYFUNCTION("""COMPUTED_VALUE"""),"Exclusive")</f>
        <v>Exclusive</v>
      </c>
    </row>
    <row r="5">
      <c r="A5" s="17" t="str">
        <f>IFERROR(__xludf.DUMMYFUNCTION("""COMPUTED_VALUE"""),"Forza Horizon 6")</f>
        <v>Forza Horizon 6</v>
      </c>
      <c r="B5" s="20" t="str">
        <f>IFERROR(__xludf.DUMMYFUNCTION("""COMPUTED_VALUE"""),"Xbox / PC")</f>
        <v>Xbox / PC</v>
      </c>
      <c r="C5" s="21" t="str">
        <f>IFERROR(__xludf.DUMMYFUNCTION("""COMPUTED_VALUE"""),"Yes")</f>
        <v>Yes</v>
      </c>
      <c r="D5" s="21" t="str">
        <f>IFERROR(__xludf.DUMMYFUNCTION("""COMPUTED_VALUE"""),"Active")</f>
        <v>Active</v>
      </c>
      <c r="E5" s="23">
        <f>IFERROR(__xludf.DUMMYFUNCTION("""COMPUTED_VALUE"""),46161.0)</f>
        <v>46161</v>
      </c>
      <c r="F5" s="24"/>
      <c r="G5" s="27">
        <f>IFERROR(__xludf.DUMMYFUNCTION("""COMPUTED_VALUE"""),4.566666666666666)</f>
        <v>4.566666667</v>
      </c>
      <c r="H5" s="23">
        <f>IFERROR(__xludf.DUMMYFUNCTION("""COMPUTED_VALUE"""),46161.0)</f>
        <v>46161</v>
      </c>
      <c r="I5" s="27">
        <f>IFERROR(__xludf.DUMMYFUNCTION("""COMPUTED_VALUE"""),0.0)</f>
        <v>0</v>
      </c>
      <c r="J5" s="29">
        <f>IFERROR(__xludf.DUMMYFUNCTION("""COMPUTED_VALUE"""),92.0)</f>
        <v>92</v>
      </c>
      <c r="K5" s="29">
        <f>IFERROR(__xludf.DUMMYFUNCTION("""COMPUTED_VALUE"""),17.0)</f>
        <v>17</v>
      </c>
      <c r="L5" s="31" t="str">
        <f>IFERROR(__xludf.DUMMYFUNCTION("""COMPUTED_VALUE"""),"Racing")</f>
        <v>Racing</v>
      </c>
      <c r="M5" s="31" t="str">
        <f>IFERROR(__xludf.DUMMYFUNCTION("""COMPUTED_VALUE"""),"Exclusive")</f>
        <v>Exclusive</v>
      </c>
    </row>
    <row r="6">
      <c r="A6" s="17" t="str">
        <f>IFERROR(__xludf.DUMMYFUNCTION("""COMPUTED_VALUE"""),"Microsoft Flight Simulator (2020): Game of the Year Edition")</f>
        <v>Microsoft Flight Simulator (2020): Game of the Year Edition</v>
      </c>
      <c r="B6" s="20" t="str">
        <f>IFERROR(__xludf.DUMMYFUNCTION("""COMPUTED_VALUE"""),"Xbox / PC")</f>
        <v>Xbox / PC</v>
      </c>
      <c r="C6" s="21" t="str">
        <f>IFERROR(__xludf.DUMMYFUNCTION("""COMPUTED_VALUE"""),"Yes")</f>
        <v>Yes</v>
      </c>
      <c r="D6" s="21" t="str">
        <f>IFERROR(__xludf.DUMMYFUNCTION("""COMPUTED_VALUE"""),"Active")</f>
        <v>Active</v>
      </c>
      <c r="E6" s="23">
        <f>IFERROR(__xludf.DUMMYFUNCTION("""COMPUTED_VALUE"""),44061.0)</f>
        <v>44061</v>
      </c>
      <c r="F6" s="24"/>
      <c r="G6" s="27">
        <f>IFERROR(__xludf.DUMMYFUNCTION("""COMPUTED_VALUE"""),73.60000000000001)</f>
        <v>73.6</v>
      </c>
      <c r="H6" s="23">
        <f>IFERROR(__xludf.DUMMYFUNCTION("""COMPUTED_VALUE"""),44061.0)</f>
        <v>44061</v>
      </c>
      <c r="I6" s="27">
        <f>IFERROR(__xludf.DUMMYFUNCTION("""COMPUTED_VALUE"""),0.0)</f>
        <v>0</v>
      </c>
      <c r="J6" s="29">
        <f>IFERROR(__xludf.DUMMYFUNCTION("""COMPUTED_VALUE"""),92.0)</f>
        <v>92</v>
      </c>
      <c r="K6" s="29">
        <f>IFERROR(__xludf.DUMMYFUNCTION("""COMPUTED_VALUE"""),41.5)</f>
        <v>41.5</v>
      </c>
      <c r="L6" s="31" t="str">
        <f>IFERROR(__xludf.DUMMYFUNCTION("""COMPUTED_VALUE"""),"Flight")</f>
        <v>Flight</v>
      </c>
      <c r="M6" s="31" t="str">
        <f>IFERROR(__xludf.DUMMYFUNCTION("""COMPUTED_VALUE"""),"Exclusive, Optimized")</f>
        <v>Exclusive, Optimized</v>
      </c>
    </row>
    <row r="7">
      <c r="A7" s="17" t="str">
        <f>IFERROR(__xludf.DUMMYFUNCTION("""COMPUTED_VALUE"""),"Clair Obscur: Expedition 33")</f>
        <v>Clair Obscur: Expedition 33</v>
      </c>
      <c r="B7" s="20" t="str">
        <f>IFERROR(__xludf.DUMMYFUNCTION("""COMPUTED_VALUE"""),"Xbox / PC")</f>
        <v>Xbox / PC</v>
      </c>
      <c r="C7" s="21" t="str">
        <f>IFERROR(__xludf.DUMMYFUNCTION("""COMPUTED_VALUE"""),"Yes")</f>
        <v>Yes</v>
      </c>
      <c r="D7" s="21" t="str">
        <f>IFERROR(__xludf.DUMMYFUNCTION("""COMPUTED_VALUE"""),"Leaving Soon")</f>
        <v>Leaving Soon</v>
      </c>
      <c r="E7" s="23">
        <f>IFERROR(__xludf.DUMMYFUNCTION("""COMPUTED_VALUE"""),45771.0)</f>
        <v>45771</v>
      </c>
      <c r="F7" s="24">
        <f>IFERROR(__xludf.DUMMYFUNCTION("""COMPUTED_VALUE"""),46310.0)</f>
        <v>46310</v>
      </c>
      <c r="G7" s="27">
        <f>IFERROR(__xludf.DUMMYFUNCTION("""COMPUTED_VALUE"""),17.700000000000003)</f>
        <v>17.7</v>
      </c>
      <c r="H7" s="23">
        <f>IFERROR(__xludf.DUMMYFUNCTION("""COMPUTED_VALUE"""),45771.0)</f>
        <v>45771</v>
      </c>
      <c r="I7" s="27">
        <f>IFERROR(__xludf.DUMMYFUNCTION("""COMPUTED_VALUE"""),0.0)</f>
        <v>0</v>
      </c>
      <c r="J7" s="29">
        <f>IFERROR(__xludf.DUMMYFUNCTION("""COMPUTED_VALUE"""),92.0)</f>
        <v>92</v>
      </c>
      <c r="K7" s="29">
        <f>IFERROR(__xludf.DUMMYFUNCTION("""COMPUTED_VALUE"""),26.0)</f>
        <v>26</v>
      </c>
      <c r="L7" s="31" t="str">
        <f>IFERROR(__xludf.DUMMYFUNCTION("""COMPUTED_VALUE"""),"RPG")</f>
        <v>RPG</v>
      </c>
      <c r="M7" s="31" t="str">
        <f>IFERROR(__xludf.DUMMYFUNCTION("""COMPUTED_VALUE"""),"Exclusive")</f>
        <v>Exclusive</v>
      </c>
    </row>
    <row r="8">
      <c r="A8" s="17" t="str">
        <f>IFERROR(__xludf.DUMMYFUNCTION("""COMPUTED_VALUE"""),"Disco Elysium")</f>
        <v>Disco Elysium</v>
      </c>
      <c r="B8" s="20" t="str">
        <f>IFERROR(__xludf.DUMMYFUNCTION("""COMPUTED_VALUE"""),"Xbox / PC")</f>
        <v>Xbox / PC</v>
      </c>
      <c r="C8" s="21" t="str">
        <f>IFERROR(__xludf.DUMMYFUNCTION("""COMPUTED_VALUE"""),"Yes")</f>
        <v>Yes</v>
      </c>
      <c r="D8" s="21" t="str">
        <f>IFERROR(__xludf.DUMMYFUNCTION("""COMPUTED_VALUE"""),"Active")</f>
        <v>Active</v>
      </c>
      <c r="E8" s="23">
        <f>IFERROR(__xludf.DUMMYFUNCTION("""COMPUTED_VALUE"""),46100.0)</f>
        <v>46100</v>
      </c>
      <c r="F8" s="24"/>
      <c r="G8" s="27">
        <f>IFERROR(__xludf.DUMMYFUNCTION("""COMPUTED_VALUE"""),6.566666666666667)</f>
        <v>6.566666667</v>
      </c>
      <c r="H8" s="23">
        <f>IFERROR(__xludf.DUMMYFUNCTION("""COMPUTED_VALUE"""),43753.0)</f>
        <v>43753</v>
      </c>
      <c r="I8" s="27">
        <f>IFERROR(__xludf.DUMMYFUNCTION("""COMPUTED_VALUE"""),6.427777777777778)</f>
        <v>6.427777778</v>
      </c>
      <c r="J8" s="29">
        <f>IFERROR(__xludf.DUMMYFUNCTION("""COMPUTED_VALUE"""),91.0)</f>
        <v>91</v>
      </c>
      <c r="K8" s="29">
        <f>IFERROR(__xludf.DUMMYFUNCTION("""COMPUTED_VALUE"""),23.0)</f>
        <v>23</v>
      </c>
      <c r="L8" s="31" t="str">
        <f>IFERROR(__xludf.DUMMYFUNCTION("""COMPUTED_VALUE"""),"RPG")</f>
        <v>RPG</v>
      </c>
      <c r="M8" s="31" t="str">
        <f>IFERROR(__xludf.DUMMYFUNCTION("""COMPUTED_VALUE"""),"Exclusive")</f>
        <v>Exclusive</v>
      </c>
    </row>
    <row r="9">
      <c r="A9" s="17" t="str">
        <f>IFERROR(__xludf.DUMMYFUNCTION("""COMPUTED_VALUE"""),"Starsand Island")</f>
        <v>Starsand Island</v>
      </c>
      <c r="B9" s="20" t="str">
        <f>IFERROR(__xludf.DUMMYFUNCTION("""COMPUTED_VALUE"""),"Xbox / PC")</f>
        <v>Xbox / PC</v>
      </c>
      <c r="C9" s="21" t="str">
        <f>IFERROR(__xludf.DUMMYFUNCTION("""COMPUTED_VALUE"""),"Yes")</f>
        <v>Yes</v>
      </c>
      <c r="D9" s="21" t="str">
        <f>IFERROR(__xludf.DUMMYFUNCTION("""COMPUTED_VALUE"""),"Active")</f>
        <v>Active</v>
      </c>
      <c r="E9" s="23">
        <f>IFERROR(__xludf.DUMMYFUNCTION("""COMPUTED_VALUE"""),46064.0)</f>
        <v>46064</v>
      </c>
      <c r="F9" s="24"/>
      <c r="G9" s="27">
        <f>IFERROR(__xludf.DUMMYFUNCTION("""COMPUTED_VALUE"""),7.833333333333334)</f>
        <v>7.833333333</v>
      </c>
      <c r="H9" s="23">
        <f>IFERROR(__xludf.DUMMYFUNCTION("""COMPUTED_VALUE"""),46065.0)</f>
        <v>46065</v>
      </c>
      <c r="I9" s="27">
        <f>IFERROR(__xludf.DUMMYFUNCTION("""COMPUTED_VALUE"""),-0.002777777777777778)</f>
        <v>-0.002777777778</v>
      </c>
      <c r="J9" s="29">
        <f>IFERROR(__xludf.DUMMYFUNCTION("""COMPUTED_VALUE"""),90.0)</f>
        <v>90</v>
      </c>
      <c r="K9" s="29">
        <f>IFERROR(__xludf.DUMMYFUNCTION("""COMPUTED_VALUE"""),66.0)</f>
        <v>66</v>
      </c>
      <c r="L9" s="31" t="str">
        <f>IFERROR(__xludf.DUMMYFUNCTION("""COMPUTED_VALUE"""),"Action-Adventure")</f>
        <v>Action-Adventure</v>
      </c>
      <c r="M9" s="31" t="str">
        <f>IFERROR(__xludf.DUMMYFUNCTION("""COMPUTED_VALUE"""),"Exclusive")</f>
        <v>Exclusive</v>
      </c>
    </row>
    <row r="10">
      <c r="A10" s="17" t="str">
        <f>IFERROR(__xludf.DUMMYFUNCTION("""COMPUTED_VALUE"""),"Monster Train 2")</f>
        <v>Monster Train 2</v>
      </c>
      <c r="B10" s="20" t="str">
        <f>IFERROR(__xludf.DUMMYFUNCTION("""COMPUTED_VALUE"""),"Xbox / PC")</f>
        <v>Xbox / PC</v>
      </c>
      <c r="C10" s="21" t="str">
        <f>IFERROR(__xludf.DUMMYFUNCTION("""COMPUTED_VALUE"""),"Yes")</f>
        <v>Yes</v>
      </c>
      <c r="D10" s="21" t="str">
        <f>IFERROR(__xludf.DUMMYFUNCTION("""COMPUTED_VALUE"""),"Active")</f>
        <v>Active</v>
      </c>
      <c r="E10" s="23">
        <f>IFERROR(__xludf.DUMMYFUNCTION("""COMPUTED_VALUE"""),45798.0)</f>
        <v>45798</v>
      </c>
      <c r="F10" s="24"/>
      <c r="G10" s="27">
        <f>IFERROR(__xludf.DUMMYFUNCTION("""COMPUTED_VALUE"""),16.5)</f>
        <v>16.5</v>
      </c>
      <c r="H10" s="23">
        <f>IFERROR(__xludf.DUMMYFUNCTION("""COMPUTED_VALUE"""),45798.0)</f>
        <v>45798</v>
      </c>
      <c r="I10" s="27">
        <f>IFERROR(__xludf.DUMMYFUNCTION("""COMPUTED_VALUE"""),0.0)</f>
        <v>0</v>
      </c>
      <c r="J10" s="29">
        <f>IFERROR(__xludf.DUMMYFUNCTION("""COMPUTED_VALUE"""),90.0)</f>
        <v>90</v>
      </c>
      <c r="K10" s="29">
        <f>IFERROR(__xludf.DUMMYFUNCTION("""COMPUTED_VALUE"""),6.0)</f>
        <v>6</v>
      </c>
      <c r="L10" s="31" t="str">
        <f>IFERROR(__xludf.DUMMYFUNCTION("""COMPUTED_VALUE"""),"Card Battle")</f>
        <v>Card Battle</v>
      </c>
      <c r="M10" s="31" t="str">
        <f>IFERROR(__xludf.DUMMYFUNCTION("""COMPUTED_VALUE"""),"Exclusive")</f>
        <v>Exclusive</v>
      </c>
    </row>
    <row r="11">
      <c r="A11" s="17" t="str">
        <f>IFERROR(__xludf.DUMMYFUNCTION("""COMPUTED_VALUE"""),"Hi-Fi RUSH")</f>
        <v>Hi-Fi RUSH</v>
      </c>
      <c r="B11" s="20" t="str">
        <f>IFERROR(__xludf.DUMMYFUNCTION("""COMPUTED_VALUE"""),"Xbox / PC")</f>
        <v>Xbox / PC</v>
      </c>
      <c r="C11" s="21" t="str">
        <f>IFERROR(__xludf.DUMMYFUNCTION("""COMPUTED_VALUE"""),"Yes")</f>
        <v>Yes</v>
      </c>
      <c r="D11" s="21" t="str">
        <f>IFERROR(__xludf.DUMMYFUNCTION("""COMPUTED_VALUE"""),"Active")</f>
        <v>Active</v>
      </c>
      <c r="E11" s="23">
        <f>IFERROR(__xludf.DUMMYFUNCTION("""COMPUTED_VALUE"""),44951.0)</f>
        <v>44951</v>
      </c>
      <c r="F11" s="24"/>
      <c r="G11" s="27">
        <f>IFERROR(__xludf.DUMMYFUNCTION("""COMPUTED_VALUE"""),44.36666666666667)</f>
        <v>44.36666667</v>
      </c>
      <c r="H11" s="23">
        <f>IFERROR(__xludf.DUMMYFUNCTION("""COMPUTED_VALUE"""),44951.0)</f>
        <v>44951</v>
      </c>
      <c r="I11" s="27">
        <f>IFERROR(__xludf.DUMMYFUNCTION("""COMPUTED_VALUE"""),0.0)</f>
        <v>0</v>
      </c>
      <c r="J11" s="29">
        <f>IFERROR(__xludf.DUMMYFUNCTION("""COMPUTED_VALUE"""),89.0)</f>
        <v>89</v>
      </c>
      <c r="K11" s="29">
        <f>IFERROR(__xludf.DUMMYFUNCTION("""COMPUTED_VALUE"""),10.0)</f>
        <v>10</v>
      </c>
      <c r="L11" s="31" t="str">
        <f>IFERROR(__xludf.DUMMYFUNCTION("""COMPUTED_VALUE"""),"Action-Adventure")</f>
        <v>Action-Adventure</v>
      </c>
      <c r="M11" s="31" t="str">
        <f>IFERROR(__xludf.DUMMYFUNCTION("""COMPUTED_VALUE"""),"Exclusive")</f>
        <v>Exclusive</v>
      </c>
    </row>
    <row r="12">
      <c r="A12" s="17" t="str">
        <f>IFERROR(__xludf.DUMMYFUNCTION("""COMPUTED_VALUE"""),"DEATHLOOP")</f>
        <v>DEATHLOOP</v>
      </c>
      <c r="B12" s="20" t="str">
        <f>IFERROR(__xludf.DUMMYFUNCTION("""COMPUTED_VALUE"""),"Xbox / PC")</f>
        <v>Xbox / PC</v>
      </c>
      <c r="C12" s="21" t="str">
        <f>IFERROR(__xludf.DUMMYFUNCTION("""COMPUTED_VALUE"""),"Yes")</f>
        <v>Yes</v>
      </c>
      <c r="D12" s="21" t="str">
        <f>IFERROR(__xludf.DUMMYFUNCTION("""COMPUTED_VALUE"""),"Active")</f>
        <v>Active</v>
      </c>
      <c r="E12" s="23">
        <f>IFERROR(__xludf.DUMMYFUNCTION("""COMPUTED_VALUE"""),44824.0)</f>
        <v>44824</v>
      </c>
      <c r="F12" s="24"/>
      <c r="G12" s="27">
        <f>IFERROR(__xludf.DUMMYFUNCTION("""COMPUTED_VALUE"""),48.53333333333333)</f>
        <v>48.53333333</v>
      </c>
      <c r="H12" s="23">
        <f>IFERROR(__xludf.DUMMYFUNCTION("""COMPUTED_VALUE"""),44453.0)</f>
        <v>44453</v>
      </c>
      <c r="I12" s="27">
        <f>IFERROR(__xludf.DUMMYFUNCTION("""COMPUTED_VALUE"""),1.0166666666666666)</f>
        <v>1.016666667</v>
      </c>
      <c r="J12" s="29">
        <f>IFERROR(__xludf.DUMMYFUNCTION("""COMPUTED_VALUE"""),89.0)</f>
        <v>89</v>
      </c>
      <c r="K12" s="29">
        <f>IFERROR(__xludf.DUMMYFUNCTION("""COMPUTED_VALUE"""),16.0)</f>
        <v>16</v>
      </c>
      <c r="L12" s="31" t="str">
        <f>IFERROR(__xludf.DUMMYFUNCTION("""COMPUTED_VALUE"""),"Shooter")</f>
        <v>Shooter</v>
      </c>
      <c r="M12" s="31" t="str">
        <f>IFERROR(__xludf.DUMMYFUNCTION("""COMPUTED_VALUE"""),"Exclusive")</f>
        <v>Exclusive</v>
      </c>
    </row>
    <row r="13">
      <c r="A13" s="17" t="str">
        <f>IFERROR(__xludf.DUMMYFUNCTION("""COMPUTED_VALUE"""),"Denshattack!")</f>
        <v>Denshattack!</v>
      </c>
      <c r="B13" s="20" t="str">
        <f>IFERROR(__xludf.DUMMYFUNCTION("""COMPUTED_VALUE"""),"Xbox / PC")</f>
        <v>Xbox / PC</v>
      </c>
      <c r="C13" s="21" t="str">
        <f>IFERROR(__xludf.DUMMYFUNCTION("""COMPUTED_VALUE"""),"Yes")</f>
        <v>Yes</v>
      </c>
      <c r="D13" s="21" t="str">
        <f>IFERROR(__xludf.DUMMYFUNCTION("""COMPUTED_VALUE"""),"Active")</f>
        <v>Active</v>
      </c>
      <c r="E13" s="23">
        <f>IFERROR(__xludf.DUMMYFUNCTION("""COMPUTED_VALUE"""),46218.0)</f>
        <v>46218</v>
      </c>
      <c r="F13" s="24"/>
      <c r="G13" s="27">
        <f>IFERROR(__xludf.DUMMYFUNCTION("""COMPUTED_VALUE"""),2.7)</f>
        <v>2.7</v>
      </c>
      <c r="H13" s="23">
        <f>IFERROR(__xludf.DUMMYFUNCTION("""COMPUTED_VALUE"""),45853.0)</f>
        <v>45853</v>
      </c>
      <c r="I13" s="27">
        <f>IFERROR(__xludf.DUMMYFUNCTION("""COMPUTED_VALUE"""),1.0)</f>
        <v>1</v>
      </c>
      <c r="J13" s="29">
        <f>IFERROR(__xludf.DUMMYFUNCTION("""COMPUTED_VALUE"""),88.0)</f>
        <v>88</v>
      </c>
      <c r="K13" s="29">
        <f>IFERROR(__xludf.DUMMYFUNCTION("""COMPUTED_VALUE"""),9.0)</f>
        <v>9</v>
      </c>
      <c r="L13" s="31" t="str">
        <f>IFERROR(__xludf.DUMMYFUNCTION("""COMPUTED_VALUE"""),"Action-Adventure")</f>
        <v>Action-Adventure</v>
      </c>
      <c r="M13" s="31" t="str">
        <f>IFERROR(__xludf.DUMMYFUNCTION("""COMPUTED_VALUE"""),"Exclusive")</f>
        <v>Exclusive</v>
      </c>
    </row>
    <row r="14">
      <c r="A14" s="17" t="str">
        <f>IFERROR(__xludf.DUMMYFUNCTION("""COMPUTED_VALUE"""),"Kingdom Come: Deliverance II")</f>
        <v>Kingdom Come: Deliverance II</v>
      </c>
      <c r="B14" s="20" t="str">
        <f>IFERROR(__xludf.DUMMYFUNCTION("""COMPUTED_VALUE"""),"Xbox / PC")</f>
        <v>Xbox / PC</v>
      </c>
      <c r="C14" s="21" t="str">
        <f>IFERROR(__xludf.DUMMYFUNCTION("""COMPUTED_VALUE"""),"Yes")</f>
        <v>Yes</v>
      </c>
      <c r="D14" s="21" t="str">
        <f>IFERROR(__xludf.DUMMYFUNCTION("""COMPUTED_VALUE"""),"Active")</f>
        <v>Active</v>
      </c>
      <c r="E14" s="23">
        <f>IFERROR(__xludf.DUMMYFUNCTION("""COMPUTED_VALUE"""),46084.0)</f>
        <v>46084</v>
      </c>
      <c r="F14" s="24"/>
      <c r="G14" s="27">
        <f>IFERROR(__xludf.DUMMYFUNCTION("""COMPUTED_VALUE"""),7.1)</f>
        <v>7.1</v>
      </c>
      <c r="H14" s="23">
        <f>IFERROR(__xludf.DUMMYFUNCTION("""COMPUTED_VALUE"""),45699.0)</f>
        <v>45699</v>
      </c>
      <c r="I14" s="27">
        <f>IFERROR(__xludf.DUMMYFUNCTION("""COMPUTED_VALUE"""),1.0611111111111111)</f>
        <v>1.061111111</v>
      </c>
      <c r="J14" s="29">
        <f>IFERROR(__xludf.DUMMYFUNCTION("""COMPUTED_VALUE"""),88.0)</f>
        <v>88</v>
      </c>
      <c r="K14" s="29">
        <f>IFERROR(__xludf.DUMMYFUNCTION("""COMPUTED_VALUE"""),40.0)</f>
        <v>40</v>
      </c>
      <c r="L14" s="31" t="str">
        <f>IFERROR(__xludf.DUMMYFUNCTION("""COMPUTED_VALUE"""),"Action-Adventure")</f>
        <v>Action-Adventure</v>
      </c>
      <c r="M14" s="31" t="str">
        <f>IFERROR(__xludf.DUMMYFUNCTION("""COMPUTED_VALUE"""),"Exclusive")</f>
        <v>Exclusive</v>
      </c>
    </row>
    <row r="15">
      <c r="A15" s="17" t="str">
        <f>IFERROR(__xludf.DUMMYFUNCTION("""COMPUTED_VALUE"""),"The Talos Principle 2: Road to Elysium")</f>
        <v>The Talos Principle 2: Road to Elysium</v>
      </c>
      <c r="B15" s="20" t="str">
        <f>IFERROR(__xludf.DUMMYFUNCTION("""COMPUTED_VALUE"""),"Xbox / PC")</f>
        <v>Xbox / PC</v>
      </c>
      <c r="C15" s="21"/>
      <c r="D15" s="21" t="str">
        <f>IFERROR(__xludf.DUMMYFUNCTION("""COMPUTED_VALUE"""),"Active")</f>
        <v>Active</v>
      </c>
      <c r="E15" s="23">
        <f>IFERROR(__xludf.DUMMYFUNCTION("""COMPUTED_VALUE"""),46049.0)</f>
        <v>46049</v>
      </c>
      <c r="F15" s="24"/>
      <c r="G15" s="27">
        <f>IFERROR(__xludf.DUMMYFUNCTION("""COMPUTED_VALUE"""),8.3)</f>
        <v>8.3</v>
      </c>
      <c r="H15" s="23">
        <f>IFERROR(__xludf.DUMMYFUNCTION("""COMPUTED_VALUE"""),45457.0)</f>
        <v>45457</v>
      </c>
      <c r="I15" s="27">
        <f>IFERROR(__xludf.DUMMYFUNCTION("""COMPUTED_VALUE"""),1.6194444444444445)</f>
        <v>1.619444444</v>
      </c>
      <c r="J15" s="29">
        <f>IFERROR(__xludf.DUMMYFUNCTION("""COMPUTED_VALUE"""),88.0)</f>
        <v>88</v>
      </c>
      <c r="K15" s="29">
        <f>IFERROR(__xludf.DUMMYFUNCTION("""COMPUTED_VALUE"""),20.0)</f>
        <v>20</v>
      </c>
      <c r="L15" s="31" t="str">
        <f>IFERROR(__xludf.DUMMYFUNCTION("""COMPUTED_VALUE"""),"Action-Adventure")</f>
        <v>Action-Adventure</v>
      </c>
      <c r="M15" s="31" t="str">
        <f>IFERROR(__xludf.DUMMYFUNCTION("""COMPUTED_VALUE"""),"Exclusive")</f>
        <v>Exclusive</v>
      </c>
    </row>
    <row r="16">
      <c r="A16" s="17" t="str">
        <f>IFERROR(__xludf.DUMMYFUNCTION("""COMPUTED_VALUE"""),"Halls of Torment")</f>
        <v>Halls of Torment</v>
      </c>
      <c r="B16" s="20" t="str">
        <f>IFERROR(__xludf.DUMMYFUNCTION("""COMPUTED_VALUE"""),"Xbox / PC")</f>
        <v>Xbox / PC</v>
      </c>
      <c r="C16" s="21" t="str">
        <f>IFERROR(__xludf.DUMMYFUNCTION("""COMPUTED_VALUE"""),"Yes")</f>
        <v>Yes</v>
      </c>
      <c r="D16" s="21" t="str">
        <f>IFERROR(__xludf.DUMMYFUNCTION("""COMPUTED_VALUE"""),"Active")</f>
        <v>Active</v>
      </c>
      <c r="E16" s="23">
        <f>IFERROR(__xludf.DUMMYFUNCTION("""COMPUTED_VALUE"""),45958.0)</f>
        <v>45958</v>
      </c>
      <c r="F16" s="24"/>
      <c r="G16" s="27">
        <f>IFERROR(__xludf.DUMMYFUNCTION("""COMPUTED_VALUE"""),11.266666666666666)</f>
        <v>11.26666667</v>
      </c>
      <c r="H16" s="23">
        <f>IFERROR(__xludf.DUMMYFUNCTION("""COMPUTED_VALUE"""),45559.0)</f>
        <v>45559</v>
      </c>
      <c r="I16" s="27">
        <f>IFERROR(__xludf.DUMMYFUNCTION("""COMPUTED_VALUE"""),1.0944444444444446)</f>
        <v>1.094444444</v>
      </c>
      <c r="J16" s="29">
        <f>IFERROR(__xludf.DUMMYFUNCTION("""COMPUTED_VALUE"""),88.0)</f>
        <v>88</v>
      </c>
      <c r="K16" s="29">
        <f>IFERROR(__xludf.DUMMYFUNCTION("""COMPUTED_VALUE"""),12.0)</f>
        <v>12</v>
      </c>
      <c r="L16" s="31" t="str">
        <f>IFERROR(__xludf.DUMMYFUNCTION("""COMPUTED_VALUE"""),"Shoot-'Em-Up")</f>
        <v>Shoot-'Em-Up</v>
      </c>
      <c r="M16" s="31" t="str">
        <f>IFERROR(__xludf.DUMMYFUNCTION("""COMPUTED_VALUE"""),"Exclusive")</f>
        <v>Exclusive</v>
      </c>
    </row>
    <row r="17">
      <c r="A17" s="17" t="str">
        <f>IFERROR(__xludf.DUMMYFUNCTION("""COMPUTED_VALUE"""),"Abiotic Factor")</f>
        <v>Abiotic Factor</v>
      </c>
      <c r="B17" s="20" t="str">
        <f>IFERROR(__xludf.DUMMYFUNCTION("""COMPUTED_VALUE"""),"Xbox / PC")</f>
        <v>Xbox / PC</v>
      </c>
      <c r="C17" s="21" t="str">
        <f>IFERROR(__xludf.DUMMYFUNCTION("""COMPUTED_VALUE"""),"Yes")</f>
        <v>Yes</v>
      </c>
      <c r="D17" s="21" t="str">
        <f>IFERROR(__xludf.DUMMYFUNCTION("""COMPUTED_VALUE"""),"Active")</f>
        <v>Active</v>
      </c>
      <c r="E17" s="23">
        <f>IFERROR(__xludf.DUMMYFUNCTION("""COMPUTED_VALUE"""),45860.0)</f>
        <v>45860</v>
      </c>
      <c r="F17" s="24"/>
      <c r="G17" s="27">
        <f>IFERROR(__xludf.DUMMYFUNCTION("""COMPUTED_VALUE"""),14.466666666666665)</f>
        <v>14.46666667</v>
      </c>
      <c r="H17" s="23">
        <f>IFERROR(__xludf.DUMMYFUNCTION("""COMPUTED_VALUE"""),45860.0)</f>
        <v>45860</v>
      </c>
      <c r="I17" s="27">
        <f>IFERROR(__xludf.DUMMYFUNCTION("""COMPUTED_VALUE"""),0.0)</f>
        <v>0</v>
      </c>
      <c r="J17" s="29">
        <f>IFERROR(__xludf.DUMMYFUNCTION("""COMPUTED_VALUE"""),88.0)</f>
        <v>88</v>
      </c>
      <c r="K17" s="29">
        <f>IFERROR(__xludf.DUMMYFUNCTION("""COMPUTED_VALUE"""),33.0)</f>
        <v>33</v>
      </c>
      <c r="L17" s="31" t="str">
        <f>IFERROR(__xludf.DUMMYFUNCTION("""COMPUTED_VALUE"""),"Survival")</f>
        <v>Survival</v>
      </c>
      <c r="M17" s="31" t="str">
        <f>IFERROR(__xludf.DUMMYFUNCTION("""COMPUTED_VALUE"""),"Exclusive")</f>
        <v>Exclusive</v>
      </c>
    </row>
    <row r="18">
      <c r="A18" s="17" t="str">
        <f>IFERROR(__xludf.DUMMYFUNCTION("""COMPUTED_VALUE"""),"Dead Space (2023)")</f>
        <v>Dead Space (2023)</v>
      </c>
      <c r="B18" s="20" t="str">
        <f>IFERROR(__xludf.DUMMYFUNCTION("""COMPUTED_VALUE"""),"Xbox / PC")</f>
        <v>Xbox / PC</v>
      </c>
      <c r="C18" s="21" t="str">
        <f>IFERROR(__xludf.DUMMYFUNCTION("""COMPUTED_VALUE"""),"Yes")</f>
        <v>Yes</v>
      </c>
      <c r="D18" s="21" t="str">
        <f>IFERROR(__xludf.DUMMYFUNCTION("""COMPUTED_VALUE"""),"Active")</f>
        <v>Active</v>
      </c>
      <c r="E18" s="23">
        <f>IFERROR(__xludf.DUMMYFUNCTION("""COMPUTED_VALUE"""),45225.0)</f>
        <v>45225</v>
      </c>
      <c r="F18" s="24"/>
      <c r="G18" s="27">
        <f>IFERROR(__xludf.DUMMYFUNCTION("""COMPUTED_VALUE"""),35.333333333333336)</f>
        <v>35.33333333</v>
      </c>
      <c r="H18" s="23">
        <f>IFERROR(__xludf.DUMMYFUNCTION("""COMPUTED_VALUE"""),44953.0)</f>
        <v>44953</v>
      </c>
      <c r="I18" s="27">
        <f>IFERROR(__xludf.DUMMYFUNCTION("""COMPUTED_VALUE"""),0.7472222222222222)</f>
        <v>0.7472222222</v>
      </c>
      <c r="J18" s="29">
        <f>IFERROR(__xludf.DUMMYFUNCTION("""COMPUTED_VALUE"""),88.0)</f>
        <v>88</v>
      </c>
      <c r="K18" s="29">
        <f>IFERROR(__xludf.DUMMYFUNCTION("""COMPUTED_VALUE"""),12.0)</f>
        <v>12</v>
      </c>
      <c r="L18" s="31" t="str">
        <f>IFERROR(__xludf.DUMMYFUNCTION("""COMPUTED_VALUE"""),"Shooter")</f>
        <v>Shooter</v>
      </c>
      <c r="M18" s="31" t="str">
        <f>IFERROR(__xludf.DUMMYFUNCTION("""COMPUTED_VALUE"""),"Exclusive")</f>
        <v>Exclusive</v>
      </c>
    </row>
    <row r="19">
      <c r="A19" s="17" t="str">
        <f>IFERROR(__xludf.DUMMYFUNCTION("""COMPUTED_VALUE"""),"Final Fantasy VI")</f>
        <v>Final Fantasy VI</v>
      </c>
      <c r="B19" s="20" t="str">
        <f>IFERROR(__xludf.DUMMYFUNCTION("""COMPUTED_VALUE"""),"Xbox / PC")</f>
        <v>Xbox / PC</v>
      </c>
      <c r="C19" s="21" t="str">
        <f>IFERROR(__xludf.DUMMYFUNCTION("""COMPUTED_VALUE"""),"Yes")</f>
        <v>Yes</v>
      </c>
      <c r="D19" s="21" t="str">
        <f>IFERROR(__xludf.DUMMYFUNCTION("""COMPUTED_VALUE"""),"Active")</f>
        <v>Active</v>
      </c>
      <c r="E19" s="23">
        <f>IFERROR(__xludf.DUMMYFUNCTION("""COMPUTED_VALUE"""),46175.0)</f>
        <v>46175</v>
      </c>
      <c r="F19" s="24"/>
      <c r="G19" s="27">
        <f>IFERROR(__xludf.DUMMYFUNCTION("""COMPUTED_VALUE"""),4.133333333333333)</f>
        <v>4.133333333</v>
      </c>
      <c r="H19" s="23">
        <f>IFERROR(__xludf.DUMMYFUNCTION("""COMPUTED_VALUE"""),45561.0)</f>
        <v>45561</v>
      </c>
      <c r="I19" s="27">
        <f>IFERROR(__xludf.DUMMYFUNCTION("""COMPUTED_VALUE"""),1.6833333333333333)</f>
        <v>1.683333333</v>
      </c>
      <c r="J19" s="29">
        <f>IFERROR(__xludf.DUMMYFUNCTION("""COMPUTED_VALUE"""),87.0)</f>
        <v>87</v>
      </c>
      <c r="K19" s="29">
        <f>IFERROR(__xludf.DUMMYFUNCTION("""COMPUTED_VALUE"""),36.0)</f>
        <v>36</v>
      </c>
      <c r="L19" s="31" t="str">
        <f>IFERROR(__xludf.DUMMYFUNCTION("""COMPUTED_VALUE"""),"RPG")</f>
        <v>RPG</v>
      </c>
      <c r="M19" s="31" t="str">
        <f>IFERROR(__xludf.DUMMYFUNCTION("""COMPUTED_VALUE"""),"Exclusive")</f>
        <v>Exclusive</v>
      </c>
    </row>
    <row r="20">
      <c r="A20" s="17" t="str">
        <f>IFERROR(__xludf.DUMMYFUNCTION("""COMPUTED_VALUE"""),"Absolum")</f>
        <v>Absolum</v>
      </c>
      <c r="B20" s="20" t="str">
        <f>IFERROR(__xludf.DUMMYFUNCTION("""COMPUTED_VALUE"""),"Xbox / PC")</f>
        <v>Xbox / PC</v>
      </c>
      <c r="C20" s="21" t="str">
        <f>IFERROR(__xludf.DUMMYFUNCTION("""COMPUTED_VALUE"""),"Yes")</f>
        <v>Yes</v>
      </c>
      <c r="D20" s="21" t="str">
        <f>IFERROR(__xludf.DUMMYFUNCTION("""COMPUTED_VALUE"""),"Active")</f>
        <v>Active</v>
      </c>
      <c r="E20" s="23">
        <f>IFERROR(__xludf.DUMMYFUNCTION("""COMPUTED_VALUE"""),46106.0)</f>
        <v>46106</v>
      </c>
      <c r="F20" s="24"/>
      <c r="G20" s="27">
        <f>IFERROR(__xludf.DUMMYFUNCTION("""COMPUTED_VALUE"""),6.366666666666667)</f>
        <v>6.366666667</v>
      </c>
      <c r="H20" s="23">
        <f>IFERROR(__xludf.DUMMYFUNCTION("""COMPUTED_VALUE"""),45939.0)</f>
        <v>45939</v>
      </c>
      <c r="I20" s="27">
        <f>IFERROR(__xludf.DUMMYFUNCTION("""COMPUTED_VALUE"""),0.46111111111111114)</f>
        <v>0.4611111111</v>
      </c>
      <c r="J20" s="29">
        <f>IFERROR(__xludf.DUMMYFUNCTION("""COMPUTED_VALUE"""),87.0)</f>
        <v>87</v>
      </c>
      <c r="K20" s="29">
        <f>IFERROR(__xludf.DUMMYFUNCTION("""COMPUTED_VALUE"""),9.0)</f>
        <v>9</v>
      </c>
      <c r="L20" s="31" t="str">
        <f>IFERROR(__xludf.DUMMYFUNCTION("""COMPUTED_VALUE"""),"Beat-’Em-Up")</f>
        <v>Beat-’Em-Up</v>
      </c>
      <c r="M20" s="31" t="str">
        <f>IFERROR(__xludf.DUMMYFUNCTION("""COMPUTED_VALUE"""),"Exclusive")</f>
        <v>Exclusive</v>
      </c>
    </row>
    <row r="21">
      <c r="A21" s="17" t="str">
        <f>IFERROR(__xludf.DUMMYFUNCTION("""COMPUTED_VALUE"""),"Mixtape")</f>
        <v>Mixtape</v>
      </c>
      <c r="B21" s="20" t="str">
        <f>IFERROR(__xludf.DUMMYFUNCTION("""COMPUTED_VALUE"""),"Xbox / PC")</f>
        <v>Xbox / PC</v>
      </c>
      <c r="C21" s="21" t="str">
        <f>IFERROR(__xludf.DUMMYFUNCTION("""COMPUTED_VALUE"""),"Yes")</f>
        <v>Yes</v>
      </c>
      <c r="D21" s="21" t="str">
        <f>IFERROR(__xludf.DUMMYFUNCTION("""COMPUTED_VALUE"""),"Active")</f>
        <v>Active</v>
      </c>
      <c r="E21" s="23">
        <f>IFERROR(__xludf.DUMMYFUNCTION("""COMPUTED_VALUE"""),46149.0)</f>
        <v>46149</v>
      </c>
      <c r="F21" s="24"/>
      <c r="G21" s="27">
        <f>IFERROR(__xludf.DUMMYFUNCTION("""COMPUTED_VALUE"""),4.966666666666667)</f>
        <v>4.966666667</v>
      </c>
      <c r="H21" s="23">
        <f>IFERROR(__xludf.DUMMYFUNCTION("""COMPUTED_VALUE"""),46148.0)</f>
        <v>46148</v>
      </c>
      <c r="I21" s="27">
        <f>IFERROR(__xludf.DUMMYFUNCTION("""COMPUTED_VALUE"""),0.002777777777777778)</f>
        <v>0.002777777778</v>
      </c>
      <c r="J21" s="29">
        <f>IFERROR(__xludf.DUMMYFUNCTION("""COMPUTED_VALUE"""),86.0)</f>
        <v>86</v>
      </c>
      <c r="K21" s="29">
        <f>IFERROR(__xludf.DUMMYFUNCTION("""COMPUTED_VALUE"""),3.0)</f>
        <v>3</v>
      </c>
      <c r="L21" s="31" t="str">
        <f>IFERROR(__xludf.DUMMYFUNCTION("""COMPUTED_VALUE"""),"Adventure")</f>
        <v>Adventure</v>
      </c>
      <c r="M21" s="31" t="str">
        <f>IFERROR(__xludf.DUMMYFUNCTION("""COMPUTED_VALUE"""),"Exclusive")</f>
        <v>Exclusive</v>
      </c>
    </row>
    <row r="22">
      <c r="A22" s="17" t="str">
        <f>IFERROR(__xludf.DUMMYFUNCTION("""COMPUTED_VALUE"""),"1000xResist")</f>
        <v>1000xResist</v>
      </c>
      <c r="B22" s="20" t="str">
        <f>IFERROR(__xludf.DUMMYFUNCTION("""COMPUTED_VALUE"""),"Xbox / PC")</f>
        <v>Xbox / PC</v>
      </c>
      <c r="C22" s="21" t="str">
        <f>IFERROR(__xludf.DUMMYFUNCTION("""COMPUTED_VALUE"""),"Yes")</f>
        <v>Yes</v>
      </c>
      <c r="D22" s="21" t="str">
        <f>IFERROR(__xludf.DUMMYFUNCTION("""COMPUTED_VALUE"""),"Active")</f>
        <v>Active</v>
      </c>
      <c r="E22" s="23">
        <f>IFERROR(__xludf.DUMMYFUNCTION("""COMPUTED_VALUE"""),45965.0)</f>
        <v>45965</v>
      </c>
      <c r="F22" s="24"/>
      <c r="G22" s="27">
        <f>IFERROR(__xludf.DUMMYFUNCTION("""COMPUTED_VALUE"""),11.066666666666666)</f>
        <v>11.06666667</v>
      </c>
      <c r="H22" s="23">
        <f>IFERROR(__xludf.DUMMYFUNCTION("""COMPUTED_VALUE"""),45786.0)</f>
        <v>45786</v>
      </c>
      <c r="I22" s="27">
        <f>IFERROR(__xludf.DUMMYFUNCTION("""COMPUTED_VALUE"""),0.4861111111111111)</f>
        <v>0.4861111111</v>
      </c>
      <c r="J22" s="29">
        <f>IFERROR(__xludf.DUMMYFUNCTION("""COMPUTED_VALUE"""),86.0)</f>
        <v>86</v>
      </c>
      <c r="K22" s="29">
        <f>IFERROR(__xludf.DUMMYFUNCTION("""COMPUTED_VALUE"""),11.0)</f>
        <v>11</v>
      </c>
      <c r="L22" s="31" t="str">
        <f>IFERROR(__xludf.DUMMYFUNCTION("""COMPUTED_VALUE"""),"Action-Adventure")</f>
        <v>Action-Adventure</v>
      </c>
      <c r="M22" s="31" t="str">
        <f>IFERROR(__xludf.DUMMYFUNCTION("""COMPUTED_VALUE"""),"Exclusive")</f>
        <v>Exclusive</v>
      </c>
    </row>
    <row r="23">
      <c r="A23" s="17" t="str">
        <f>IFERROR(__xludf.DUMMYFUNCTION("""COMPUTED_VALUE"""),"Warhammer 40,000: Rogue Trader")</f>
        <v>Warhammer 40,000: Rogue Trader</v>
      </c>
      <c r="B23" s="20" t="str">
        <f>IFERROR(__xludf.DUMMYFUNCTION("""COMPUTED_VALUE"""),"Xbox / PC")</f>
        <v>Xbox / PC</v>
      </c>
      <c r="C23" s="21" t="str">
        <f>IFERROR(__xludf.DUMMYFUNCTION("""COMPUTED_VALUE"""),"Yes")</f>
        <v>Yes</v>
      </c>
      <c r="D23" s="21" t="str">
        <f>IFERROR(__xludf.DUMMYFUNCTION("""COMPUTED_VALUE"""),"Active")</f>
        <v>Active</v>
      </c>
      <c r="E23" s="23">
        <f>IFERROR(__xludf.DUMMYFUNCTION("""COMPUTED_VALUE"""),45708.0)</f>
        <v>45708</v>
      </c>
      <c r="F23" s="24"/>
      <c r="G23" s="27">
        <f>IFERROR(__xludf.DUMMYFUNCTION("""COMPUTED_VALUE"""),19.53333333333333)</f>
        <v>19.53333333</v>
      </c>
      <c r="H23" s="23">
        <f>IFERROR(__xludf.DUMMYFUNCTION("""COMPUTED_VALUE"""),45559.0)</f>
        <v>45559</v>
      </c>
      <c r="I23" s="27">
        <f>IFERROR(__xludf.DUMMYFUNCTION("""COMPUTED_VALUE"""),0.40555555555555556)</f>
        <v>0.4055555556</v>
      </c>
      <c r="J23" s="29">
        <f>IFERROR(__xludf.DUMMYFUNCTION("""COMPUTED_VALUE"""),86.0)</f>
        <v>86</v>
      </c>
      <c r="K23" s="29">
        <f>IFERROR(__xludf.DUMMYFUNCTION("""COMPUTED_VALUE"""),65.0)</f>
        <v>65</v>
      </c>
      <c r="L23" s="31" t="str">
        <f>IFERROR(__xludf.DUMMYFUNCTION("""COMPUTED_VALUE"""),"RPG")</f>
        <v>RPG</v>
      </c>
      <c r="M23" s="31" t="str">
        <f>IFERROR(__xludf.DUMMYFUNCTION("""COMPUTED_VALUE"""),"Exclusive")</f>
        <v>Exclusive</v>
      </c>
    </row>
    <row r="24">
      <c r="A24" s="17" t="str">
        <f>IFERROR(__xludf.DUMMYFUNCTION("""COMPUTED_VALUE"""),"Indiana Jones and the Great Circle")</f>
        <v>Indiana Jones and the Great Circle</v>
      </c>
      <c r="B24" s="20" t="str">
        <f>IFERROR(__xludf.DUMMYFUNCTION("""COMPUTED_VALUE"""),"Xbox / PC")</f>
        <v>Xbox / PC</v>
      </c>
      <c r="C24" s="21" t="str">
        <f>IFERROR(__xludf.DUMMYFUNCTION("""COMPUTED_VALUE"""),"Yes")</f>
        <v>Yes</v>
      </c>
      <c r="D24" s="21" t="str">
        <f>IFERROR(__xludf.DUMMYFUNCTION("""COMPUTED_VALUE"""),"Active")</f>
        <v>Active</v>
      </c>
      <c r="E24" s="23">
        <f>IFERROR(__xludf.DUMMYFUNCTION("""COMPUTED_VALUE"""),45635.0)</f>
        <v>45635</v>
      </c>
      <c r="F24" s="24"/>
      <c r="G24" s="27">
        <f>IFERROR(__xludf.DUMMYFUNCTION("""COMPUTED_VALUE"""),21.9)</f>
        <v>21.9</v>
      </c>
      <c r="H24" s="23">
        <f>IFERROR(__xludf.DUMMYFUNCTION("""COMPUTED_VALUE"""),45635.0)</f>
        <v>45635</v>
      </c>
      <c r="I24" s="27">
        <f>IFERROR(__xludf.DUMMYFUNCTION("""COMPUTED_VALUE"""),0.0)</f>
        <v>0</v>
      </c>
      <c r="J24" s="29">
        <f>IFERROR(__xludf.DUMMYFUNCTION("""COMPUTED_VALUE"""),86.0)</f>
        <v>86</v>
      </c>
      <c r="K24" s="29">
        <f>IFERROR(__xludf.DUMMYFUNCTION("""COMPUTED_VALUE"""),15.0)</f>
        <v>15</v>
      </c>
      <c r="L24" s="31" t="str">
        <f>IFERROR(__xludf.DUMMYFUNCTION("""COMPUTED_VALUE"""),"Action-Adventure")</f>
        <v>Action-Adventure</v>
      </c>
      <c r="M24" s="31" t="str">
        <f>IFERROR(__xludf.DUMMYFUNCTION("""COMPUTED_VALUE"""),"Exclusive")</f>
        <v>Exclusive</v>
      </c>
    </row>
    <row r="25">
      <c r="A25" s="17" t="str">
        <f>IFERROR(__xludf.DUMMYFUNCTION("""COMPUTED_VALUE"""),"TerraTech Legion")</f>
        <v>TerraTech Legion</v>
      </c>
      <c r="B25" s="20" t="str">
        <f>IFERROR(__xludf.DUMMYFUNCTION("""COMPUTED_VALUE"""),"Xbox / PC")</f>
        <v>Xbox / PC</v>
      </c>
      <c r="C25" s="21" t="str">
        <f>IFERROR(__xludf.DUMMYFUNCTION("""COMPUTED_VALUE"""),"Yes")</f>
        <v>Yes</v>
      </c>
      <c r="D25" s="21" t="str">
        <f>IFERROR(__xludf.DUMMYFUNCTION("""COMPUTED_VALUE"""),"Active")</f>
        <v>Active</v>
      </c>
      <c r="E25" s="23">
        <f>IFERROR(__xludf.DUMMYFUNCTION("""COMPUTED_VALUE"""),46142.0)</f>
        <v>46142</v>
      </c>
      <c r="F25" s="24"/>
      <c r="G25" s="27">
        <f>IFERROR(__xludf.DUMMYFUNCTION("""COMPUTED_VALUE"""),5.2)</f>
        <v>5.2</v>
      </c>
      <c r="H25" s="23">
        <f>IFERROR(__xludf.DUMMYFUNCTION("""COMPUTED_VALUE"""),46142.0)</f>
        <v>46142</v>
      </c>
      <c r="I25" s="27">
        <f>IFERROR(__xludf.DUMMYFUNCTION("""COMPUTED_VALUE"""),0.0)</f>
        <v>0</v>
      </c>
      <c r="J25" s="29">
        <f>IFERROR(__xludf.DUMMYFUNCTION("""COMPUTED_VALUE"""),85.0)</f>
        <v>85</v>
      </c>
      <c r="K25" s="29">
        <f>IFERROR(__xludf.DUMMYFUNCTION("""COMPUTED_VALUE"""),4.0)</f>
        <v>4</v>
      </c>
      <c r="L25" s="31" t="str">
        <f>IFERROR(__xludf.DUMMYFUNCTION("""COMPUTED_VALUE"""),"Action-Adventure")</f>
        <v>Action-Adventure</v>
      </c>
      <c r="M25" s="31" t="str">
        <f>IFERROR(__xludf.DUMMYFUNCTION("""COMPUTED_VALUE"""),"Exclusive")</f>
        <v>Exclusive</v>
      </c>
    </row>
    <row r="26">
      <c r="A26" s="17" t="str">
        <f>IFERROR(__xludf.DUMMYFUNCTION("""COMPUTED_VALUE"""),"Dice A Million")</f>
        <v>Dice A Million</v>
      </c>
      <c r="B26" s="20" t="str">
        <f>IFERROR(__xludf.DUMMYFUNCTION("""COMPUTED_VALUE"""),"Xbox / PC")</f>
        <v>Xbox / PC</v>
      </c>
      <c r="C26" s="21" t="str">
        <f>IFERROR(__xludf.DUMMYFUNCTION("""COMPUTED_VALUE"""),"Yes")</f>
        <v>Yes</v>
      </c>
      <c r="D26" s="21" t="str">
        <f>IFERROR(__xludf.DUMMYFUNCTION("""COMPUTED_VALUE"""),"Active")</f>
        <v>Active</v>
      </c>
      <c r="E26" s="23">
        <f>IFERROR(__xludf.DUMMYFUNCTION("""COMPUTED_VALUE"""),46078.0)</f>
        <v>46078</v>
      </c>
      <c r="F26" s="24"/>
      <c r="G26" s="27">
        <f>IFERROR(__xludf.DUMMYFUNCTION("""COMPUTED_VALUE"""),7.366666666666667)</f>
        <v>7.366666667</v>
      </c>
      <c r="H26" s="23">
        <f>IFERROR(__xludf.DUMMYFUNCTION("""COMPUTED_VALUE"""),46078.0)</f>
        <v>46078</v>
      </c>
      <c r="I26" s="27">
        <f>IFERROR(__xludf.DUMMYFUNCTION("""COMPUTED_VALUE"""),0.0)</f>
        <v>0</v>
      </c>
      <c r="J26" s="29">
        <f>IFERROR(__xludf.DUMMYFUNCTION("""COMPUTED_VALUE"""),85.0)</f>
        <v>85</v>
      </c>
      <c r="K26" s="29">
        <f>IFERROR(__xludf.DUMMYFUNCTION("""COMPUTED_VALUE"""),5.0)</f>
        <v>5</v>
      </c>
      <c r="L26" s="31" t="str">
        <f>IFERROR(__xludf.DUMMYFUNCTION("""COMPUTED_VALUE"""),"Strategy")</f>
        <v>Strategy</v>
      </c>
      <c r="M26" s="31" t="str">
        <f>IFERROR(__xludf.DUMMYFUNCTION("""COMPUTED_VALUE"""),"Exclusive")</f>
        <v>Exclusive</v>
      </c>
    </row>
    <row r="27">
      <c r="A27" s="17" t="str">
        <f>IFERROR(__xludf.DUMMYFUNCTION("""COMPUTED_VALUE"""),"Death Stranding: Director's Cut")</f>
        <v>Death Stranding: Director's Cut</v>
      </c>
      <c r="B27" s="20" t="str">
        <f>IFERROR(__xludf.DUMMYFUNCTION("""COMPUTED_VALUE"""),"Xbox / PC")</f>
        <v>Xbox / PC</v>
      </c>
      <c r="C27" s="21" t="str">
        <f>IFERROR(__xludf.DUMMYFUNCTION("""COMPUTED_VALUE"""),"Yes")</f>
        <v>Yes</v>
      </c>
      <c r="D27" s="21" t="str">
        <f>IFERROR(__xludf.DUMMYFUNCTION("""COMPUTED_VALUE"""),"Active")</f>
        <v>Active</v>
      </c>
      <c r="E27" s="23">
        <f>IFERROR(__xludf.DUMMYFUNCTION("""COMPUTED_VALUE"""),46043.0)</f>
        <v>46043</v>
      </c>
      <c r="F27" s="24"/>
      <c r="G27" s="27">
        <f>IFERROR(__xludf.DUMMYFUNCTION("""COMPUTED_VALUE"""),8.5)</f>
        <v>8.5</v>
      </c>
      <c r="H27" s="23">
        <f>IFERROR(__xludf.DUMMYFUNCTION("""COMPUTED_VALUE"""),44217.0)</f>
        <v>44217</v>
      </c>
      <c r="I27" s="27">
        <f>IFERROR(__xludf.DUMMYFUNCTION("""COMPUTED_VALUE"""),5.0)</f>
        <v>5</v>
      </c>
      <c r="J27" s="29">
        <f>IFERROR(__xludf.DUMMYFUNCTION("""COMPUTED_VALUE"""),85.0)</f>
        <v>85</v>
      </c>
      <c r="K27" s="29">
        <f>IFERROR(__xludf.DUMMYFUNCTION("""COMPUTED_VALUE"""),38.0)</f>
        <v>38</v>
      </c>
      <c r="L27" s="31" t="str">
        <f>IFERROR(__xludf.DUMMYFUNCTION("""COMPUTED_VALUE"""),"Action-Adventure")</f>
        <v>Action-Adventure</v>
      </c>
      <c r="M27" s="31" t="str">
        <f>IFERROR(__xludf.DUMMYFUNCTION("""COMPUTED_VALUE"""),"Exclusive")</f>
        <v>Exclusive</v>
      </c>
    </row>
    <row r="28">
      <c r="A28" s="17" t="str">
        <f>IFERROR(__xludf.DUMMYFUNCTION("""COMPUTED_VALUE"""),"DOOM: The Dark Ages")</f>
        <v>DOOM: The Dark Ages</v>
      </c>
      <c r="B28" s="20" t="str">
        <f>IFERROR(__xludf.DUMMYFUNCTION("""COMPUTED_VALUE"""),"Xbox / PC")</f>
        <v>Xbox / PC</v>
      </c>
      <c r="C28" s="21" t="str">
        <f>IFERROR(__xludf.DUMMYFUNCTION("""COMPUTED_VALUE"""),"Yes")</f>
        <v>Yes</v>
      </c>
      <c r="D28" s="21" t="str">
        <f>IFERROR(__xludf.DUMMYFUNCTION("""COMPUTED_VALUE"""),"Active")</f>
        <v>Active</v>
      </c>
      <c r="E28" s="23">
        <f>IFERROR(__xludf.DUMMYFUNCTION("""COMPUTED_VALUE"""),45792.0)</f>
        <v>45792</v>
      </c>
      <c r="F28" s="24"/>
      <c r="G28" s="27">
        <f>IFERROR(__xludf.DUMMYFUNCTION("""COMPUTED_VALUE"""),16.7)</f>
        <v>16.7</v>
      </c>
      <c r="H28" s="23">
        <f>IFERROR(__xludf.DUMMYFUNCTION("""COMPUTED_VALUE"""),45792.0)</f>
        <v>45792</v>
      </c>
      <c r="I28" s="27">
        <f>IFERROR(__xludf.DUMMYFUNCTION("""COMPUTED_VALUE"""),0.0)</f>
        <v>0</v>
      </c>
      <c r="J28" s="29">
        <f>IFERROR(__xludf.DUMMYFUNCTION("""COMPUTED_VALUE"""),85.0)</f>
        <v>85</v>
      </c>
      <c r="K28" s="29">
        <f>IFERROR(__xludf.DUMMYFUNCTION("""COMPUTED_VALUE"""),13.0)</f>
        <v>13</v>
      </c>
      <c r="L28" s="31" t="str">
        <f>IFERROR(__xludf.DUMMYFUNCTION("""COMPUTED_VALUE"""),"Shooter")</f>
        <v>Shooter</v>
      </c>
      <c r="M28" s="31" t="str">
        <f>IFERROR(__xludf.DUMMYFUNCTION("""COMPUTED_VALUE"""),"Exclusive")</f>
        <v>Exclusive</v>
      </c>
    </row>
    <row r="29">
      <c r="A29" s="17" t="str">
        <f>IFERROR(__xludf.DUMMYFUNCTION("""COMPUTED_VALUE"""),"Forza Motorsport (2023)")</f>
        <v>Forza Motorsport (2023)</v>
      </c>
      <c r="B29" s="20" t="str">
        <f>IFERROR(__xludf.DUMMYFUNCTION("""COMPUTED_VALUE"""),"Xbox / PC")</f>
        <v>Xbox / PC</v>
      </c>
      <c r="C29" s="21" t="str">
        <f>IFERROR(__xludf.DUMMYFUNCTION("""COMPUTED_VALUE"""),"Yes")</f>
        <v>Yes</v>
      </c>
      <c r="D29" s="21" t="str">
        <f>IFERROR(__xludf.DUMMYFUNCTION("""COMPUTED_VALUE"""),"Active")</f>
        <v>Active</v>
      </c>
      <c r="E29" s="23">
        <f>IFERROR(__xludf.DUMMYFUNCTION("""COMPUTED_VALUE"""),45209.0)</f>
        <v>45209</v>
      </c>
      <c r="F29" s="24"/>
      <c r="G29" s="27">
        <f>IFERROR(__xludf.DUMMYFUNCTION("""COMPUTED_VALUE"""),35.86666666666667)</f>
        <v>35.86666667</v>
      </c>
      <c r="H29" s="23">
        <f>IFERROR(__xludf.DUMMYFUNCTION("""COMPUTED_VALUE"""),45209.0)</f>
        <v>45209</v>
      </c>
      <c r="I29" s="27">
        <f>IFERROR(__xludf.DUMMYFUNCTION("""COMPUTED_VALUE"""),0.0)</f>
        <v>0</v>
      </c>
      <c r="J29" s="29">
        <f>IFERROR(__xludf.DUMMYFUNCTION("""COMPUTED_VALUE"""),85.0)</f>
        <v>85</v>
      </c>
      <c r="K29" s="29">
        <f>IFERROR(__xludf.DUMMYFUNCTION("""COMPUTED_VALUE"""),8.0)</f>
        <v>8</v>
      </c>
      <c r="L29" s="31" t="str">
        <f>IFERROR(__xludf.DUMMYFUNCTION("""COMPUTED_VALUE"""),"Racing")</f>
        <v>Racing</v>
      </c>
      <c r="M29" s="31" t="str">
        <f>IFERROR(__xludf.DUMMYFUNCTION("""COMPUTED_VALUE"""),"Exclusive")</f>
        <v>Exclusive</v>
      </c>
    </row>
    <row r="30">
      <c r="A30" s="17" t="str">
        <f>IFERROR(__xludf.DUMMYFUNCTION("""COMPUTED_VALUE"""),"A Plague Tale: Requiem")</f>
        <v>A Plague Tale: Requiem</v>
      </c>
      <c r="B30" s="20" t="str">
        <f>IFERROR(__xludf.DUMMYFUNCTION("""COMPUTED_VALUE"""),"Xbox / PC")</f>
        <v>Xbox / PC</v>
      </c>
      <c r="C30" s="21" t="str">
        <f>IFERROR(__xludf.DUMMYFUNCTION("""COMPUTED_VALUE"""),"Yes")</f>
        <v>Yes</v>
      </c>
      <c r="D30" s="21" t="str">
        <f>IFERROR(__xludf.DUMMYFUNCTION("""COMPUTED_VALUE"""),"Leaving Soon")</f>
        <v>Leaving Soon</v>
      </c>
      <c r="E30" s="23">
        <f>IFERROR(__xludf.DUMMYFUNCTION("""COMPUTED_VALUE"""),44852.0)</f>
        <v>44852</v>
      </c>
      <c r="F30" s="24">
        <f>IFERROR(__xludf.DUMMYFUNCTION("""COMPUTED_VALUE"""),46310.0)</f>
        <v>46310</v>
      </c>
      <c r="G30" s="27">
        <f>IFERROR(__xludf.DUMMYFUNCTION("""COMPUTED_VALUE"""),47.9)</f>
        <v>47.9</v>
      </c>
      <c r="H30" s="23">
        <f>IFERROR(__xludf.DUMMYFUNCTION("""COMPUTED_VALUE"""),44852.0)</f>
        <v>44852</v>
      </c>
      <c r="I30" s="27">
        <f>IFERROR(__xludf.DUMMYFUNCTION("""COMPUTED_VALUE"""),0.0)</f>
        <v>0</v>
      </c>
      <c r="J30" s="29">
        <f>IFERROR(__xludf.DUMMYFUNCTION("""COMPUTED_VALUE"""),85.0)</f>
        <v>85</v>
      </c>
      <c r="K30" s="29">
        <f>IFERROR(__xludf.DUMMYFUNCTION("""COMPUTED_VALUE"""),15.0)</f>
        <v>15</v>
      </c>
      <c r="L30" s="31" t="str">
        <f>IFERROR(__xludf.DUMMYFUNCTION("""COMPUTED_VALUE"""),"Action-Adventure")</f>
        <v>Action-Adventure</v>
      </c>
      <c r="M30" s="31" t="str">
        <f>IFERROR(__xludf.DUMMYFUNCTION("""COMPUTED_VALUE"""),"Exclusive")</f>
        <v>Exclusive</v>
      </c>
    </row>
    <row r="31">
      <c r="A31" s="17" t="str">
        <f>IFERROR(__xludf.DUMMYFUNCTION("""COMPUTED_VALUE"""),"Ninja Gaiden: Ragebound")</f>
        <v>Ninja Gaiden: Ragebound</v>
      </c>
      <c r="B31" s="20" t="str">
        <f>IFERROR(__xludf.DUMMYFUNCTION("""COMPUTED_VALUE"""),"Xbox / PC")</f>
        <v>Xbox / PC</v>
      </c>
      <c r="C31" s="21" t="str">
        <f>IFERROR(__xludf.DUMMYFUNCTION("""COMPUTED_VALUE"""),"Yes")</f>
        <v>Yes</v>
      </c>
      <c r="D31" s="21" t="str">
        <f>IFERROR(__xludf.DUMMYFUNCTION("""COMPUTED_VALUE"""),"Active")</f>
        <v>Active</v>
      </c>
      <c r="E31" s="23">
        <f>IFERROR(__xludf.DUMMYFUNCTION("""COMPUTED_VALUE"""),46043.0)</f>
        <v>46043</v>
      </c>
      <c r="F31" s="24"/>
      <c r="G31" s="27">
        <f>IFERROR(__xludf.DUMMYFUNCTION("""COMPUTED_VALUE"""),8.5)</f>
        <v>8.5</v>
      </c>
      <c r="H31" s="23">
        <f>IFERROR(__xludf.DUMMYFUNCTION("""COMPUTED_VALUE"""),45869.0)</f>
        <v>45869</v>
      </c>
      <c r="I31" s="27">
        <f>IFERROR(__xludf.DUMMYFUNCTION("""COMPUTED_VALUE"""),0.475)</f>
        <v>0.475</v>
      </c>
      <c r="J31" s="29">
        <f>IFERROR(__xludf.DUMMYFUNCTION("""COMPUTED_VALUE"""),84.0)</f>
        <v>84</v>
      </c>
      <c r="K31" s="29">
        <f>IFERROR(__xludf.DUMMYFUNCTION("""COMPUTED_VALUE"""),6.0)</f>
        <v>6</v>
      </c>
      <c r="L31" s="31" t="str">
        <f>IFERROR(__xludf.DUMMYFUNCTION("""COMPUTED_VALUE"""),"Action-Adventure")</f>
        <v>Action-Adventure</v>
      </c>
      <c r="M31" s="31" t="str">
        <f>IFERROR(__xludf.DUMMYFUNCTION("""COMPUTED_VALUE"""),"Exclusive")</f>
        <v>Exclusive</v>
      </c>
    </row>
    <row r="32">
      <c r="A32" s="17" t="str">
        <f>IFERROR(__xludf.DUMMYFUNCTION("""COMPUTED_VALUE"""),"The Alters")</f>
        <v>The Alters</v>
      </c>
      <c r="B32" s="20" t="str">
        <f>IFERROR(__xludf.DUMMYFUNCTION("""COMPUTED_VALUE"""),"Xbox / PC")</f>
        <v>Xbox / PC</v>
      </c>
      <c r="C32" s="21" t="str">
        <f>IFERROR(__xludf.DUMMYFUNCTION("""COMPUTED_VALUE"""),"Yes")</f>
        <v>Yes</v>
      </c>
      <c r="D32" s="21" t="str">
        <f>IFERROR(__xludf.DUMMYFUNCTION("""COMPUTED_VALUE"""),"Active")</f>
        <v>Active</v>
      </c>
      <c r="E32" s="23">
        <f>IFERROR(__xludf.DUMMYFUNCTION("""COMPUTED_VALUE"""),45821.0)</f>
        <v>45821</v>
      </c>
      <c r="F32" s="24"/>
      <c r="G32" s="27">
        <f>IFERROR(__xludf.DUMMYFUNCTION("""COMPUTED_VALUE"""),15.766666666666666)</f>
        <v>15.76666667</v>
      </c>
      <c r="H32" s="23">
        <f>IFERROR(__xludf.DUMMYFUNCTION("""COMPUTED_VALUE"""),45821.0)</f>
        <v>45821</v>
      </c>
      <c r="I32" s="27">
        <f>IFERROR(__xludf.DUMMYFUNCTION("""COMPUTED_VALUE"""),0.0)</f>
        <v>0</v>
      </c>
      <c r="J32" s="29">
        <f>IFERROR(__xludf.DUMMYFUNCTION("""COMPUTED_VALUE"""),84.0)</f>
        <v>84</v>
      </c>
      <c r="K32" s="29">
        <f>IFERROR(__xludf.DUMMYFUNCTION("""COMPUTED_VALUE"""),19.0)</f>
        <v>19</v>
      </c>
      <c r="L32" s="31" t="str">
        <f>IFERROR(__xludf.DUMMYFUNCTION("""COMPUTED_VALUE"""),"Survival")</f>
        <v>Survival</v>
      </c>
      <c r="M32" s="31" t="str">
        <f>IFERROR(__xludf.DUMMYFUNCTION("""COMPUTED_VALUE"""),"Exclusive")</f>
        <v>Exclusive</v>
      </c>
    </row>
    <row r="33">
      <c r="A33" s="17" t="str">
        <f>IFERROR(__xludf.DUMMYFUNCTION("""COMPUTED_VALUE"""),"Age of Mythology: Retold")</f>
        <v>Age of Mythology: Retold</v>
      </c>
      <c r="B33" s="20" t="str">
        <f>IFERROR(__xludf.DUMMYFUNCTION("""COMPUTED_VALUE"""),"Xbox / PC")</f>
        <v>Xbox / PC</v>
      </c>
      <c r="C33" s="21" t="str">
        <f>IFERROR(__xludf.DUMMYFUNCTION("""COMPUTED_VALUE"""),"Yes")</f>
        <v>Yes</v>
      </c>
      <c r="D33" s="21" t="str">
        <f>IFERROR(__xludf.DUMMYFUNCTION("""COMPUTED_VALUE"""),"Active")</f>
        <v>Active</v>
      </c>
      <c r="E33" s="23">
        <f>IFERROR(__xludf.DUMMYFUNCTION("""COMPUTED_VALUE"""),45539.0)</f>
        <v>45539</v>
      </c>
      <c r="F33" s="24"/>
      <c r="G33" s="27">
        <f>IFERROR(__xludf.DUMMYFUNCTION("""COMPUTED_VALUE"""),25.06666666666667)</f>
        <v>25.06666667</v>
      </c>
      <c r="H33" s="23">
        <f>IFERROR(__xludf.DUMMYFUNCTION("""COMPUTED_VALUE"""),45539.0)</f>
        <v>45539</v>
      </c>
      <c r="I33" s="27">
        <f>IFERROR(__xludf.DUMMYFUNCTION("""COMPUTED_VALUE"""),0.0)</f>
        <v>0</v>
      </c>
      <c r="J33" s="29">
        <f>IFERROR(__xludf.DUMMYFUNCTION("""COMPUTED_VALUE"""),84.0)</f>
        <v>84</v>
      </c>
      <c r="K33" s="29">
        <f>IFERROR(__xludf.DUMMYFUNCTION("""COMPUTED_VALUE"""),21.0)</f>
        <v>21</v>
      </c>
      <c r="L33" s="31" t="str">
        <f>IFERROR(__xludf.DUMMYFUNCTION("""COMPUTED_VALUE"""),"Strategy")</f>
        <v>Strategy</v>
      </c>
      <c r="M33" s="31" t="str">
        <f>IFERROR(__xludf.DUMMYFUNCTION("""COMPUTED_VALUE"""),"Exclusive")</f>
        <v>Exclusive</v>
      </c>
    </row>
    <row r="34">
      <c r="A34" s="17" t="str">
        <f>IFERROR(__xludf.DUMMYFUNCTION("""COMPUTED_VALUE"""),"Starfield")</f>
        <v>Starfield</v>
      </c>
      <c r="B34" s="20" t="str">
        <f>IFERROR(__xludf.DUMMYFUNCTION("""COMPUTED_VALUE"""),"Xbox / PC")</f>
        <v>Xbox / PC</v>
      </c>
      <c r="C34" s="21" t="str">
        <f>IFERROR(__xludf.DUMMYFUNCTION("""COMPUTED_VALUE"""),"Yes")</f>
        <v>Yes</v>
      </c>
      <c r="D34" s="21" t="str">
        <f>IFERROR(__xludf.DUMMYFUNCTION("""COMPUTED_VALUE"""),"Active")</f>
        <v>Active</v>
      </c>
      <c r="E34" s="23">
        <f>IFERROR(__xludf.DUMMYFUNCTION("""COMPUTED_VALUE"""),45175.0)</f>
        <v>45175</v>
      </c>
      <c r="F34" s="24"/>
      <c r="G34" s="27">
        <f>IFERROR(__xludf.DUMMYFUNCTION("""COMPUTED_VALUE"""),37.0)</f>
        <v>37</v>
      </c>
      <c r="H34" s="23">
        <f>IFERROR(__xludf.DUMMYFUNCTION("""COMPUTED_VALUE"""),45175.0)</f>
        <v>45175</v>
      </c>
      <c r="I34" s="27">
        <f>IFERROR(__xludf.DUMMYFUNCTION("""COMPUTED_VALUE"""),0.0)</f>
        <v>0</v>
      </c>
      <c r="J34" s="29">
        <f>IFERROR(__xludf.DUMMYFUNCTION("""COMPUTED_VALUE"""),84.0)</f>
        <v>84</v>
      </c>
      <c r="K34" s="29">
        <f>IFERROR(__xludf.DUMMYFUNCTION("""COMPUTED_VALUE"""),20.0)</f>
        <v>20</v>
      </c>
      <c r="L34" s="31" t="str">
        <f>IFERROR(__xludf.DUMMYFUNCTION("""COMPUTED_VALUE"""),"RPG")</f>
        <v>RPG</v>
      </c>
      <c r="M34" s="31" t="str">
        <f>IFERROR(__xludf.DUMMYFUNCTION("""COMPUTED_VALUE"""),"Exclusive")</f>
        <v>Exclusive</v>
      </c>
    </row>
    <row r="35">
      <c r="A35" s="17" t="str">
        <f>IFERROR(__xludf.DUMMYFUNCTION("""COMPUTED_VALUE"""),"Vampire Crawlers: The Turbo Wildcard from Vampire Survivors")</f>
        <v>Vampire Crawlers: The Turbo Wildcard from Vampire Survivors</v>
      </c>
      <c r="B35" s="20" t="str">
        <f>IFERROR(__xludf.DUMMYFUNCTION("""COMPUTED_VALUE"""),"Xbox / PC")</f>
        <v>Xbox / PC</v>
      </c>
      <c r="C35" s="21" t="str">
        <f>IFERROR(__xludf.DUMMYFUNCTION("""COMPUTED_VALUE"""),"Yes")</f>
        <v>Yes</v>
      </c>
      <c r="D35" s="21" t="str">
        <f>IFERROR(__xludf.DUMMYFUNCTION("""COMPUTED_VALUE"""),"Active")</f>
        <v>Active</v>
      </c>
      <c r="E35" s="23">
        <f>IFERROR(__xludf.DUMMYFUNCTION("""COMPUTED_VALUE"""),46133.0)</f>
        <v>46133</v>
      </c>
      <c r="F35" s="24"/>
      <c r="G35" s="27">
        <f>IFERROR(__xludf.DUMMYFUNCTION("""COMPUTED_VALUE"""),5.5)</f>
        <v>5.5</v>
      </c>
      <c r="H35" s="23">
        <f>IFERROR(__xludf.DUMMYFUNCTION("""COMPUTED_VALUE"""),46133.0)</f>
        <v>46133</v>
      </c>
      <c r="I35" s="27">
        <f>IFERROR(__xludf.DUMMYFUNCTION("""COMPUTED_VALUE"""),0.0)</f>
        <v>0</v>
      </c>
      <c r="J35" s="29">
        <f>IFERROR(__xludf.DUMMYFUNCTION("""COMPUTED_VALUE"""),83.0)</f>
        <v>83</v>
      </c>
      <c r="K35" s="29">
        <f>IFERROR(__xludf.DUMMYFUNCTION("""COMPUTED_VALUE"""),14.0)</f>
        <v>14</v>
      </c>
      <c r="L35" s="31" t="str">
        <f>IFERROR(__xludf.DUMMYFUNCTION("""COMPUTED_VALUE"""),"Card Battle")</f>
        <v>Card Battle</v>
      </c>
      <c r="M35" s="31" t="str">
        <f>IFERROR(__xludf.DUMMYFUNCTION("""COMPUTED_VALUE"""),"Exclusive")</f>
        <v>Exclusive</v>
      </c>
    </row>
    <row r="36">
      <c r="A36" s="17" t="str">
        <f>IFERROR(__xludf.DUMMYFUNCTION("""COMPUTED_VALUE"""),"Planet of Lana II: Children of the Leaf")</f>
        <v>Planet of Lana II: Children of the Leaf</v>
      </c>
      <c r="B36" s="20" t="str">
        <f>IFERROR(__xludf.DUMMYFUNCTION("""COMPUTED_VALUE"""),"Xbox / PC")</f>
        <v>Xbox / PC</v>
      </c>
      <c r="C36" s="21" t="str">
        <f>IFERROR(__xludf.DUMMYFUNCTION("""COMPUTED_VALUE"""),"Yes")</f>
        <v>Yes</v>
      </c>
      <c r="D36" s="21" t="str">
        <f>IFERROR(__xludf.DUMMYFUNCTION("""COMPUTED_VALUE"""),"Active")</f>
        <v>Active</v>
      </c>
      <c r="E36" s="23">
        <f>IFERROR(__xludf.DUMMYFUNCTION("""COMPUTED_VALUE"""),46086.0)</f>
        <v>46086</v>
      </c>
      <c r="F36" s="24"/>
      <c r="G36" s="27">
        <f>IFERROR(__xludf.DUMMYFUNCTION("""COMPUTED_VALUE"""),7.033333333333333)</f>
        <v>7.033333333</v>
      </c>
      <c r="H36" s="23">
        <f>IFERROR(__xludf.DUMMYFUNCTION("""COMPUTED_VALUE"""),46086.0)</f>
        <v>46086</v>
      </c>
      <c r="I36" s="27">
        <f>IFERROR(__xludf.DUMMYFUNCTION("""COMPUTED_VALUE"""),0.0)</f>
        <v>0</v>
      </c>
      <c r="J36" s="29">
        <f>IFERROR(__xludf.DUMMYFUNCTION("""COMPUTED_VALUE"""),83.0)</f>
        <v>83</v>
      </c>
      <c r="K36" s="29">
        <f>IFERROR(__xludf.DUMMYFUNCTION("""COMPUTED_VALUE"""),6.0)</f>
        <v>6</v>
      </c>
      <c r="L36" s="31" t="str">
        <f>IFERROR(__xludf.DUMMYFUNCTION("""COMPUTED_VALUE"""),"Action-Adventure")</f>
        <v>Action-Adventure</v>
      </c>
      <c r="M36" s="31" t="str">
        <f>IFERROR(__xludf.DUMMYFUNCTION("""COMPUTED_VALUE"""),"Exclusive")</f>
        <v>Exclusive</v>
      </c>
    </row>
    <row r="37">
      <c r="A37" s="17" t="str">
        <f>IFERROR(__xludf.DUMMYFUNCTION("""COMPUTED_VALUE"""),"BlazBlue Entropy Effect X")</f>
        <v>BlazBlue Entropy Effect X</v>
      </c>
      <c r="B37" s="20" t="str">
        <f>IFERROR(__xludf.DUMMYFUNCTION("""COMPUTED_VALUE"""),"Xbox / PC")</f>
        <v>Xbox / PC</v>
      </c>
      <c r="C37" s="21" t="str">
        <f>IFERROR(__xludf.DUMMYFUNCTION("""COMPUTED_VALUE"""),"Yes")</f>
        <v>Yes</v>
      </c>
      <c r="D37" s="21" t="str">
        <f>IFERROR(__xludf.DUMMYFUNCTION("""COMPUTED_VALUE"""),"Active")</f>
        <v>Active</v>
      </c>
      <c r="E37" s="23">
        <f>IFERROR(__xludf.DUMMYFUNCTION("""COMPUTED_VALUE"""),46065.0)</f>
        <v>46065</v>
      </c>
      <c r="F37" s="24"/>
      <c r="G37" s="27">
        <f>IFERROR(__xludf.DUMMYFUNCTION("""COMPUTED_VALUE"""),7.800000000000001)</f>
        <v>7.8</v>
      </c>
      <c r="H37" s="23">
        <f>IFERROR(__xludf.DUMMYFUNCTION("""COMPUTED_VALUE"""),46065.0)</f>
        <v>46065</v>
      </c>
      <c r="I37" s="27">
        <f>IFERROR(__xludf.DUMMYFUNCTION("""COMPUTED_VALUE"""),0.0)</f>
        <v>0</v>
      </c>
      <c r="J37" s="29">
        <f>IFERROR(__xludf.DUMMYFUNCTION("""COMPUTED_VALUE"""),83.0)</f>
        <v>83</v>
      </c>
      <c r="K37" s="29">
        <f>IFERROR(__xludf.DUMMYFUNCTION("""COMPUTED_VALUE"""),13.0)</f>
        <v>13</v>
      </c>
      <c r="L37" s="31" t="str">
        <f>IFERROR(__xludf.DUMMYFUNCTION("""COMPUTED_VALUE"""),"Action-Adventure")</f>
        <v>Action-Adventure</v>
      </c>
      <c r="M37" s="31" t="str">
        <f>IFERROR(__xludf.DUMMYFUNCTION("""COMPUTED_VALUE"""),"Exclusive")</f>
        <v>Exclusive</v>
      </c>
    </row>
    <row r="38">
      <c r="A38" s="17" t="str">
        <f>IFERROR(__xludf.DUMMYFUNCTION("""COMPUTED_VALUE"""),"MIO: Memories in Orbit")</f>
        <v>MIO: Memories in Orbit</v>
      </c>
      <c r="B38" s="20" t="str">
        <f>IFERROR(__xludf.DUMMYFUNCTION("""COMPUTED_VALUE"""),"Xbox / PC")</f>
        <v>Xbox / PC</v>
      </c>
      <c r="C38" s="21" t="str">
        <f>IFERROR(__xludf.DUMMYFUNCTION("""COMPUTED_VALUE"""),"Yes")</f>
        <v>Yes</v>
      </c>
      <c r="D38" s="21" t="str">
        <f>IFERROR(__xludf.DUMMYFUNCTION("""COMPUTED_VALUE"""),"Active")</f>
        <v>Active</v>
      </c>
      <c r="E38" s="23">
        <f>IFERROR(__xludf.DUMMYFUNCTION("""COMPUTED_VALUE"""),46042.0)</f>
        <v>46042</v>
      </c>
      <c r="F38" s="24"/>
      <c r="G38" s="27">
        <f>IFERROR(__xludf.DUMMYFUNCTION("""COMPUTED_VALUE"""),8.533333333333333)</f>
        <v>8.533333333</v>
      </c>
      <c r="H38" s="23">
        <f>IFERROR(__xludf.DUMMYFUNCTION("""COMPUTED_VALUE"""),46042.0)</f>
        <v>46042</v>
      </c>
      <c r="I38" s="27">
        <f>IFERROR(__xludf.DUMMYFUNCTION("""COMPUTED_VALUE"""),0.0)</f>
        <v>0</v>
      </c>
      <c r="J38" s="29">
        <f>IFERROR(__xludf.DUMMYFUNCTION("""COMPUTED_VALUE"""),83.0)</f>
        <v>83</v>
      </c>
      <c r="K38" s="29">
        <f>IFERROR(__xludf.DUMMYFUNCTION("""COMPUTED_VALUE"""),16.0)</f>
        <v>16</v>
      </c>
      <c r="L38" s="31" t="str">
        <f>IFERROR(__xludf.DUMMYFUNCTION("""COMPUTED_VALUE"""),"Action-Adventure")</f>
        <v>Action-Adventure</v>
      </c>
      <c r="M38" s="31" t="str">
        <f>IFERROR(__xludf.DUMMYFUNCTION("""COMPUTED_VALUE"""),"Exclusive")</f>
        <v>Exclusive</v>
      </c>
    </row>
    <row r="39">
      <c r="A39" s="17" t="str">
        <f>IFERROR(__xludf.DUMMYFUNCTION("""COMPUTED_VALUE"""),"Mortal Kombat 1")</f>
        <v>Mortal Kombat 1</v>
      </c>
      <c r="B39" s="20" t="str">
        <f>IFERROR(__xludf.DUMMYFUNCTION("""COMPUTED_VALUE"""),"Xbox / PC")</f>
        <v>Xbox / PC</v>
      </c>
      <c r="C39" s="21" t="str">
        <f>IFERROR(__xludf.DUMMYFUNCTION("""COMPUTED_VALUE"""),"Yes")</f>
        <v>Yes</v>
      </c>
      <c r="D39" s="21" t="str">
        <f>IFERROR(__xludf.DUMMYFUNCTION("""COMPUTED_VALUE"""),"Active")</f>
        <v>Active</v>
      </c>
      <c r="E39" s="23">
        <f>IFERROR(__xludf.DUMMYFUNCTION("""COMPUTED_VALUE"""),46001.0)</f>
        <v>46001</v>
      </c>
      <c r="F39" s="24"/>
      <c r="G39" s="27">
        <f>IFERROR(__xludf.DUMMYFUNCTION("""COMPUTED_VALUE"""),9.866666666666667)</f>
        <v>9.866666667</v>
      </c>
      <c r="H39" s="23">
        <f>IFERROR(__xludf.DUMMYFUNCTION("""COMPUTED_VALUE"""),45188.0)</f>
        <v>45188</v>
      </c>
      <c r="I39" s="27">
        <f>IFERROR(__xludf.DUMMYFUNCTION("""COMPUTED_VALUE"""),2.225)</f>
        <v>2.225</v>
      </c>
      <c r="J39" s="29">
        <f>IFERROR(__xludf.DUMMYFUNCTION("""COMPUTED_VALUE"""),83.0)</f>
        <v>83</v>
      </c>
      <c r="K39" s="29">
        <f>IFERROR(__xludf.DUMMYFUNCTION("""COMPUTED_VALUE"""),7.0)</f>
        <v>7</v>
      </c>
      <c r="L39" s="31" t="str">
        <f>IFERROR(__xludf.DUMMYFUNCTION("""COMPUTED_VALUE"""),"Action-Adventure")</f>
        <v>Action-Adventure</v>
      </c>
      <c r="M39" s="31" t="str">
        <f>IFERROR(__xludf.DUMMYFUNCTION("""COMPUTED_VALUE"""),"Exclusive")</f>
        <v>Exclusive</v>
      </c>
    </row>
    <row r="40">
      <c r="A40" s="17" t="str">
        <f>IFERROR(__xludf.DUMMYFUNCTION("""COMPUTED_VALUE"""),"The Outer Worlds 2")</f>
        <v>The Outer Worlds 2</v>
      </c>
      <c r="B40" s="20" t="str">
        <f>IFERROR(__xludf.DUMMYFUNCTION("""COMPUTED_VALUE"""),"Xbox / PC")</f>
        <v>Xbox / PC</v>
      </c>
      <c r="C40" s="21" t="str">
        <f>IFERROR(__xludf.DUMMYFUNCTION("""COMPUTED_VALUE"""),"Yes")</f>
        <v>Yes</v>
      </c>
      <c r="D40" s="21" t="str">
        <f>IFERROR(__xludf.DUMMYFUNCTION("""COMPUTED_VALUE"""),"Active")</f>
        <v>Active</v>
      </c>
      <c r="E40" s="23">
        <f>IFERROR(__xludf.DUMMYFUNCTION("""COMPUTED_VALUE"""),45959.0)</f>
        <v>45959</v>
      </c>
      <c r="F40" s="24"/>
      <c r="G40" s="27">
        <f>IFERROR(__xludf.DUMMYFUNCTION("""COMPUTED_VALUE"""),11.233333333333334)</f>
        <v>11.23333333</v>
      </c>
      <c r="H40" s="23">
        <f>IFERROR(__xludf.DUMMYFUNCTION("""COMPUTED_VALUE"""),45959.0)</f>
        <v>45959</v>
      </c>
      <c r="I40" s="27">
        <f>IFERROR(__xludf.DUMMYFUNCTION("""COMPUTED_VALUE"""),0.0)</f>
        <v>0</v>
      </c>
      <c r="J40" s="29">
        <f>IFERROR(__xludf.DUMMYFUNCTION("""COMPUTED_VALUE"""),83.0)</f>
        <v>83</v>
      </c>
      <c r="K40" s="29">
        <f>IFERROR(__xludf.DUMMYFUNCTION("""COMPUTED_VALUE"""),16.0)</f>
        <v>16</v>
      </c>
      <c r="L40" s="31" t="str">
        <f>IFERROR(__xludf.DUMMYFUNCTION("""COMPUTED_VALUE"""),"RPG")</f>
        <v>RPG</v>
      </c>
      <c r="M40" s="31" t="str">
        <f>IFERROR(__xludf.DUMMYFUNCTION("""COMPUTED_VALUE"""),"Exclusive")</f>
        <v>Exclusive</v>
      </c>
    </row>
    <row r="41">
      <c r="A41" s="17" t="str">
        <f>IFERROR(__xludf.DUMMYFUNCTION("""COMPUTED_VALUE"""),"EA Sports College Football 25")</f>
        <v>EA Sports College Football 25</v>
      </c>
      <c r="B41" s="20" t="str">
        <f>IFERROR(__xludf.DUMMYFUNCTION("""COMPUTED_VALUE"""),"Xbox")</f>
        <v>Xbox</v>
      </c>
      <c r="C41" s="21" t="str">
        <f>IFERROR(__xludf.DUMMYFUNCTION("""COMPUTED_VALUE"""),"Yes")</f>
        <v>Yes</v>
      </c>
      <c r="D41" s="21" t="str">
        <f>IFERROR(__xludf.DUMMYFUNCTION("""COMPUTED_VALUE"""),"Active")</f>
        <v>Active</v>
      </c>
      <c r="E41" s="23">
        <f>IFERROR(__xludf.DUMMYFUNCTION("""COMPUTED_VALUE"""),45743.0)</f>
        <v>45743</v>
      </c>
      <c r="F41" s="24"/>
      <c r="G41" s="27">
        <f>IFERROR(__xludf.DUMMYFUNCTION("""COMPUTED_VALUE"""),18.299999999999997)</f>
        <v>18.3</v>
      </c>
      <c r="H41" s="23">
        <f>IFERROR(__xludf.DUMMYFUNCTION("""COMPUTED_VALUE"""),45492.0)</f>
        <v>45492</v>
      </c>
      <c r="I41" s="27">
        <f>IFERROR(__xludf.DUMMYFUNCTION("""COMPUTED_VALUE"""),0.6888888888888889)</f>
        <v>0.6888888889</v>
      </c>
      <c r="J41" s="29">
        <f>IFERROR(__xludf.DUMMYFUNCTION("""COMPUTED_VALUE"""),83.0)</f>
        <v>83</v>
      </c>
      <c r="K41" s="29">
        <f>IFERROR(__xludf.DUMMYFUNCTION("""COMPUTED_VALUE"""),11.0)</f>
        <v>11</v>
      </c>
      <c r="L41" s="31" t="str">
        <f>IFERROR(__xludf.DUMMYFUNCTION("""COMPUTED_VALUE"""),"Sports")</f>
        <v>Sports</v>
      </c>
      <c r="M41" s="31" t="str">
        <f>IFERROR(__xludf.DUMMYFUNCTION("""COMPUTED_VALUE"""),"Exclusive")</f>
        <v>Exclusive</v>
      </c>
    </row>
    <row r="42">
      <c r="A42" s="17" t="str">
        <f>IFERROR(__xludf.DUMMYFUNCTION("""COMPUTED_VALUE"""),"Nine Sols")</f>
        <v>Nine Sols</v>
      </c>
      <c r="B42" s="20" t="str">
        <f>IFERROR(__xludf.DUMMYFUNCTION("""COMPUTED_VALUE"""),"Xbox / PC")</f>
        <v>Xbox / PC</v>
      </c>
      <c r="C42" s="21" t="str">
        <f>IFERROR(__xludf.DUMMYFUNCTION("""COMPUTED_VALUE"""),"Yes")</f>
        <v>Yes</v>
      </c>
      <c r="D42" s="21" t="str">
        <f>IFERROR(__xludf.DUMMYFUNCTION("""COMPUTED_VALUE"""),"Active")</f>
        <v>Active</v>
      </c>
      <c r="E42" s="23">
        <f>IFERROR(__xludf.DUMMYFUNCTION("""COMPUTED_VALUE"""),45622.0)</f>
        <v>45622</v>
      </c>
      <c r="F42" s="24"/>
      <c r="G42" s="27">
        <f>IFERROR(__xludf.DUMMYFUNCTION("""COMPUTED_VALUE"""),22.333333333333336)</f>
        <v>22.33333333</v>
      </c>
      <c r="H42" s="23">
        <f>IFERROR(__xludf.DUMMYFUNCTION("""COMPUTED_VALUE"""),45440.0)</f>
        <v>45440</v>
      </c>
      <c r="I42" s="27">
        <f>IFERROR(__xludf.DUMMYFUNCTION("""COMPUTED_VALUE"""),0.49444444444444446)</f>
        <v>0.4944444444</v>
      </c>
      <c r="J42" s="29">
        <f>IFERROR(__xludf.DUMMYFUNCTION("""COMPUTED_VALUE"""),83.0)</f>
        <v>83</v>
      </c>
      <c r="K42" s="29">
        <f>IFERROR(__xludf.DUMMYFUNCTION("""COMPUTED_VALUE"""),21.0)</f>
        <v>21</v>
      </c>
      <c r="L42" s="31" t="str">
        <f>IFERROR(__xludf.DUMMYFUNCTION("""COMPUTED_VALUE"""),"Platformer")</f>
        <v>Platformer</v>
      </c>
      <c r="M42" s="31" t="str">
        <f>IFERROR(__xludf.DUMMYFUNCTION("""COMPUTED_VALUE"""),"Exclusive")</f>
        <v>Exclusive</v>
      </c>
    </row>
    <row r="43">
      <c r="A43" s="17" t="str">
        <f>IFERROR(__xludf.DUMMYFUNCTION("""COMPUTED_VALUE"""),"Ascend to Zero")</f>
        <v>Ascend to Zero</v>
      </c>
      <c r="B43" s="20" t="str">
        <f>IFERROR(__xludf.DUMMYFUNCTION("""COMPUTED_VALUE"""),"Xbox / PC")</f>
        <v>Xbox / PC</v>
      </c>
      <c r="C43" s="21" t="str">
        <f>IFERROR(__xludf.DUMMYFUNCTION("""COMPUTED_VALUE"""),"Yes")</f>
        <v>Yes</v>
      </c>
      <c r="D43" s="21" t="str">
        <f>IFERROR(__xludf.DUMMYFUNCTION("""COMPUTED_VALUE"""),"Active")</f>
        <v>Active</v>
      </c>
      <c r="E43" s="23">
        <f>IFERROR(__xludf.DUMMYFUNCTION("""COMPUTED_VALUE"""),46216.0)</f>
        <v>46216</v>
      </c>
      <c r="F43" s="24"/>
      <c r="G43" s="27">
        <f>IFERROR(__xludf.DUMMYFUNCTION("""COMPUTED_VALUE"""),2.7666666666666666)</f>
        <v>2.766666667</v>
      </c>
      <c r="H43" s="23">
        <f>IFERROR(__xludf.DUMMYFUNCTION("""COMPUTED_VALUE"""),46216.0)</f>
        <v>46216</v>
      </c>
      <c r="I43" s="27">
        <f>IFERROR(__xludf.DUMMYFUNCTION("""COMPUTED_VALUE"""),0.0)</f>
        <v>0</v>
      </c>
      <c r="J43" s="29">
        <f>IFERROR(__xludf.DUMMYFUNCTION("""COMPUTED_VALUE"""),82.0)</f>
        <v>82</v>
      </c>
      <c r="K43" s="29">
        <f>IFERROR(__xludf.DUMMYFUNCTION("""COMPUTED_VALUE"""),13.0)</f>
        <v>13</v>
      </c>
      <c r="L43" s="31" t="str">
        <f>IFERROR(__xludf.DUMMYFUNCTION("""COMPUTED_VALUE"""),"Action-Adventure")</f>
        <v>Action-Adventure</v>
      </c>
      <c r="M43" s="31" t="str">
        <f>IFERROR(__xludf.DUMMYFUNCTION("""COMPUTED_VALUE"""),"Exclusive")</f>
        <v>Exclusive</v>
      </c>
    </row>
    <row r="44">
      <c r="A44" s="17" t="str">
        <f>IFERROR(__xludf.DUMMYFUNCTION("""COMPUTED_VALUE"""),"The Outer Worlds: Spacer’s Choice Edition")</f>
        <v>The Outer Worlds: Spacer’s Choice Edition</v>
      </c>
      <c r="B44" s="20" t="str">
        <f>IFERROR(__xludf.DUMMYFUNCTION("""COMPUTED_VALUE"""),"Xbox / PC")</f>
        <v>Xbox / PC</v>
      </c>
      <c r="C44" s="21" t="str">
        <f>IFERROR(__xludf.DUMMYFUNCTION("""COMPUTED_VALUE"""),"Yes")</f>
        <v>Yes</v>
      </c>
      <c r="D44" s="21" t="str">
        <f>IFERROR(__xludf.DUMMYFUNCTION("""COMPUTED_VALUE"""),"Active")</f>
        <v>Active</v>
      </c>
      <c r="E44" s="23">
        <f>IFERROR(__xludf.DUMMYFUNCTION("""COMPUTED_VALUE"""),46169.0)</f>
        <v>46169</v>
      </c>
      <c r="F44" s="24"/>
      <c r="G44" s="27">
        <f>IFERROR(__xludf.DUMMYFUNCTION("""COMPUTED_VALUE"""),4.3)</f>
        <v>4.3</v>
      </c>
      <c r="H44" s="23">
        <f>IFERROR(__xludf.DUMMYFUNCTION("""COMPUTED_VALUE"""),44992.0)</f>
        <v>44992</v>
      </c>
      <c r="I44" s="27">
        <f>IFERROR(__xludf.DUMMYFUNCTION("""COMPUTED_VALUE"""),3.2222222222222223)</f>
        <v>3.222222222</v>
      </c>
      <c r="J44" s="29">
        <f>IFERROR(__xludf.DUMMYFUNCTION("""COMPUTED_VALUE"""),82.0)</f>
        <v>82</v>
      </c>
      <c r="K44" s="29">
        <f>IFERROR(__xludf.DUMMYFUNCTION("""COMPUTED_VALUE"""),13.0)</f>
        <v>13</v>
      </c>
      <c r="L44" s="31" t="str">
        <f>IFERROR(__xludf.DUMMYFUNCTION("""COMPUTED_VALUE"""),"RPG")</f>
        <v>RPG</v>
      </c>
      <c r="M44" s="31" t="str">
        <f>IFERROR(__xludf.DUMMYFUNCTION("""COMPUTED_VALUE"""),"Exclusive")</f>
        <v>Exclusive</v>
      </c>
    </row>
    <row r="45">
      <c r="A45" s="17" t="str">
        <f>IFERROR(__xludf.DUMMYFUNCTION("""COMPUTED_VALUE"""),"Black Jacket")</f>
        <v>Black Jacket</v>
      </c>
      <c r="B45" s="20" t="str">
        <f>IFERROR(__xludf.DUMMYFUNCTION("""COMPUTED_VALUE"""),"Xbox / PC")</f>
        <v>Xbox / PC</v>
      </c>
      <c r="C45" s="21" t="str">
        <f>IFERROR(__xludf.DUMMYFUNCTION("""COMPUTED_VALUE"""),"Yes")</f>
        <v>Yes</v>
      </c>
      <c r="D45" s="21" t="str">
        <f>IFERROR(__xludf.DUMMYFUNCTION("""COMPUTED_VALUE"""),"Active")</f>
        <v>Active</v>
      </c>
      <c r="E45" s="23">
        <f>IFERROR(__xludf.DUMMYFUNCTION("""COMPUTED_VALUE"""),46154.0)</f>
        <v>46154</v>
      </c>
      <c r="F45" s="24"/>
      <c r="G45" s="27">
        <f>IFERROR(__xludf.DUMMYFUNCTION("""COMPUTED_VALUE"""),4.800000000000001)</f>
        <v>4.8</v>
      </c>
      <c r="H45" s="23">
        <f>IFERROR(__xludf.DUMMYFUNCTION("""COMPUTED_VALUE"""),46154.0)</f>
        <v>46154</v>
      </c>
      <c r="I45" s="27">
        <f>IFERROR(__xludf.DUMMYFUNCTION("""COMPUTED_VALUE"""),0.0)</f>
        <v>0</v>
      </c>
      <c r="J45" s="29">
        <f>IFERROR(__xludf.DUMMYFUNCTION("""COMPUTED_VALUE"""),82.0)</f>
        <v>82</v>
      </c>
      <c r="K45" s="29">
        <f>IFERROR(__xludf.DUMMYFUNCTION("""COMPUTED_VALUE"""),6.0)</f>
        <v>6</v>
      </c>
      <c r="L45" s="31" t="str">
        <f>IFERROR(__xludf.DUMMYFUNCTION("""COMPUTED_VALUE"""),"Roguelike Card Game")</f>
        <v>Roguelike Card Game</v>
      </c>
      <c r="M45" s="31" t="str">
        <f>IFERROR(__xludf.DUMMYFUNCTION("""COMPUTED_VALUE"""),"Exclusive")</f>
        <v>Exclusive</v>
      </c>
    </row>
    <row r="46">
      <c r="A46" s="17" t="str">
        <f>IFERROR(__xludf.DUMMYFUNCTION("""COMPUTED_VALUE"""),"Final Fantasy V")</f>
        <v>Final Fantasy V</v>
      </c>
      <c r="B46" s="20" t="str">
        <f>IFERROR(__xludf.DUMMYFUNCTION("""COMPUTED_VALUE"""),"Xbox / PC")</f>
        <v>Xbox / PC</v>
      </c>
      <c r="C46" s="21" t="str">
        <f>IFERROR(__xludf.DUMMYFUNCTION("""COMPUTED_VALUE"""),"Yes")</f>
        <v>Yes</v>
      </c>
      <c r="D46" s="21" t="str">
        <f>IFERROR(__xludf.DUMMYFUNCTION("""COMPUTED_VALUE"""),"Active")</f>
        <v>Active</v>
      </c>
      <c r="E46" s="23">
        <f>IFERROR(__xludf.DUMMYFUNCTION("""COMPUTED_VALUE"""),46147.0)</f>
        <v>46147</v>
      </c>
      <c r="F46" s="24"/>
      <c r="G46" s="27">
        <f>IFERROR(__xludf.DUMMYFUNCTION("""COMPUTED_VALUE"""),5.033333333333333)</f>
        <v>5.033333333</v>
      </c>
      <c r="H46" s="23">
        <f>IFERROR(__xludf.DUMMYFUNCTION("""COMPUTED_VALUE"""),39027.0)</f>
        <v>39027</v>
      </c>
      <c r="I46" s="27">
        <f>IFERROR(__xludf.DUMMYFUNCTION("""COMPUTED_VALUE"""),19.497222222222224)</f>
        <v>19.49722222</v>
      </c>
      <c r="J46" s="29">
        <f>IFERROR(__xludf.DUMMYFUNCTION("""COMPUTED_VALUE"""),82.0)</f>
        <v>82</v>
      </c>
      <c r="K46" s="29">
        <f>IFERROR(__xludf.DUMMYFUNCTION("""COMPUTED_VALUE"""),31.0)</f>
        <v>31</v>
      </c>
      <c r="L46" s="31" t="str">
        <f>IFERROR(__xludf.DUMMYFUNCTION("""COMPUTED_VALUE"""),"RPG")</f>
        <v>RPG</v>
      </c>
      <c r="M46" s="31" t="str">
        <f>IFERROR(__xludf.DUMMYFUNCTION("""COMPUTED_VALUE"""),"Exclusive")</f>
        <v>Exclusive</v>
      </c>
    </row>
    <row r="47">
      <c r="A47" s="17" t="str">
        <f>IFERROR(__xludf.DUMMYFUNCTION("""COMPUTED_VALUE"""),"EA Sports College Football 26")</f>
        <v>EA Sports College Football 26</v>
      </c>
      <c r="B47" s="20" t="str">
        <f>IFERROR(__xludf.DUMMYFUNCTION("""COMPUTED_VALUE"""),"Xbox")</f>
        <v>Xbox</v>
      </c>
      <c r="C47" s="21" t="str">
        <f>IFERROR(__xludf.DUMMYFUNCTION("""COMPUTED_VALUE"""),"Yes")</f>
        <v>Yes</v>
      </c>
      <c r="D47" s="21" t="str">
        <f>IFERROR(__xludf.DUMMYFUNCTION("""COMPUTED_VALUE"""),"Active")</f>
        <v>Active</v>
      </c>
      <c r="E47" s="23">
        <f>IFERROR(__xludf.DUMMYFUNCTION("""COMPUTED_VALUE"""),46072.0)</f>
        <v>46072</v>
      </c>
      <c r="F47" s="24"/>
      <c r="G47" s="27">
        <f>IFERROR(__xludf.DUMMYFUNCTION("""COMPUTED_VALUE"""),7.566666666666666)</f>
        <v>7.566666667</v>
      </c>
      <c r="H47" s="23">
        <f>IFERROR(__xludf.DUMMYFUNCTION("""COMPUTED_VALUE"""),45856.0)</f>
        <v>45856</v>
      </c>
      <c r="I47" s="27">
        <f>IFERROR(__xludf.DUMMYFUNCTION("""COMPUTED_VALUE"""),0.5861111111111111)</f>
        <v>0.5861111111</v>
      </c>
      <c r="J47" s="29">
        <f>IFERROR(__xludf.DUMMYFUNCTION("""COMPUTED_VALUE"""),82.0)</f>
        <v>82</v>
      </c>
      <c r="K47" s="29">
        <f>IFERROR(__xludf.DUMMYFUNCTION("""COMPUTED_VALUE"""),6.0)</f>
        <v>6</v>
      </c>
      <c r="L47" s="31" t="str">
        <f>IFERROR(__xludf.DUMMYFUNCTION("""COMPUTED_VALUE"""),"Sports")</f>
        <v>Sports</v>
      </c>
      <c r="M47" s="31" t="str">
        <f>IFERROR(__xludf.DUMMYFUNCTION("""COMPUTED_VALUE"""),"Exclusive")</f>
        <v>Exclusive</v>
      </c>
    </row>
    <row r="48">
      <c r="A48" s="17" t="str">
        <f>IFERROR(__xludf.DUMMYFUNCTION("""COMPUTED_VALUE"""),"Warhammer 40,000: Space Marine II")</f>
        <v>Warhammer 40,000: Space Marine II</v>
      </c>
      <c r="B48" s="20" t="str">
        <f>IFERROR(__xludf.DUMMYFUNCTION("""COMPUTED_VALUE"""),"Xbox / PC")</f>
        <v>Xbox / PC</v>
      </c>
      <c r="C48" s="21" t="str">
        <f>IFERROR(__xludf.DUMMYFUNCTION("""COMPUTED_VALUE"""),"Yes")</f>
        <v>Yes</v>
      </c>
      <c r="D48" s="21" t="str">
        <f>IFERROR(__xludf.DUMMYFUNCTION("""COMPUTED_VALUE"""),"Active")</f>
        <v>Active</v>
      </c>
      <c r="E48" s="23">
        <f>IFERROR(__xludf.DUMMYFUNCTION("""COMPUTED_VALUE"""),46051.0)</f>
        <v>46051</v>
      </c>
      <c r="F48" s="24"/>
      <c r="G48" s="27">
        <f>IFERROR(__xludf.DUMMYFUNCTION("""COMPUTED_VALUE"""),8.233333333333334)</f>
        <v>8.233333333</v>
      </c>
      <c r="H48" s="23">
        <f>IFERROR(__xludf.DUMMYFUNCTION("""COMPUTED_VALUE"""),45540.0)</f>
        <v>45540</v>
      </c>
      <c r="I48" s="27">
        <f>IFERROR(__xludf.DUMMYFUNCTION("""COMPUTED_VALUE"""),1.4)</f>
        <v>1.4</v>
      </c>
      <c r="J48" s="29">
        <f>IFERROR(__xludf.DUMMYFUNCTION("""COMPUTED_VALUE"""),82.0)</f>
        <v>82</v>
      </c>
      <c r="K48" s="29">
        <f>IFERROR(__xludf.DUMMYFUNCTION("""COMPUTED_VALUE"""),9.0)</f>
        <v>9</v>
      </c>
      <c r="L48" s="31" t="str">
        <f>IFERROR(__xludf.DUMMYFUNCTION("""COMPUTED_VALUE"""),"Shooter")</f>
        <v>Shooter</v>
      </c>
      <c r="M48" s="31" t="str">
        <f>IFERROR(__xludf.DUMMYFUNCTION("""COMPUTED_VALUE"""),"Exclusive")</f>
        <v>Exclusive</v>
      </c>
    </row>
    <row r="49">
      <c r="A49" s="17" t="str">
        <f>IFERROR(__xludf.DUMMYFUNCTION("""COMPUTED_VALUE"""),"Death Howl")</f>
        <v>Death Howl</v>
      </c>
      <c r="B49" s="20" t="str">
        <f>IFERROR(__xludf.DUMMYFUNCTION("""COMPUTED_VALUE"""),"Xbox / PC")</f>
        <v>Xbox / PC</v>
      </c>
      <c r="C49" s="21" t="str">
        <f>IFERROR(__xludf.DUMMYFUNCTION("""COMPUTED_VALUE"""),"Yes")</f>
        <v>Yes</v>
      </c>
      <c r="D49" s="21" t="str">
        <f>IFERROR(__xludf.DUMMYFUNCTION("""COMPUTED_VALUE"""),"Active")</f>
        <v>Active</v>
      </c>
      <c r="E49" s="23">
        <f>IFERROR(__xludf.DUMMYFUNCTION("""COMPUTED_VALUE"""),46000.0)</f>
        <v>46000</v>
      </c>
      <c r="F49" s="24"/>
      <c r="G49" s="27">
        <f>IFERROR(__xludf.DUMMYFUNCTION("""COMPUTED_VALUE"""),9.899999999999999)</f>
        <v>9.9</v>
      </c>
      <c r="H49" s="23">
        <f>IFERROR(__xludf.DUMMYFUNCTION("""COMPUTED_VALUE"""),46000.0)</f>
        <v>46000</v>
      </c>
      <c r="I49" s="27">
        <f>IFERROR(__xludf.DUMMYFUNCTION("""COMPUTED_VALUE"""),0.0)</f>
        <v>0</v>
      </c>
      <c r="J49" s="29">
        <f>IFERROR(__xludf.DUMMYFUNCTION("""COMPUTED_VALUE"""),82.0)</f>
        <v>82</v>
      </c>
      <c r="K49" s="29">
        <f>IFERROR(__xludf.DUMMYFUNCTION("""COMPUTED_VALUE"""),25.0)</f>
        <v>25</v>
      </c>
      <c r="L49" s="31" t="str">
        <f>IFERROR(__xludf.DUMMYFUNCTION("""COMPUTED_VALUE"""),"Adventure")</f>
        <v>Adventure</v>
      </c>
      <c r="M49" s="31" t="str">
        <f>IFERROR(__xludf.DUMMYFUNCTION("""COMPUTED_VALUE"""),"Exclusive")</f>
        <v>Exclusive</v>
      </c>
    </row>
    <row r="50">
      <c r="A50" s="17" t="str">
        <f>IFERROR(__xludf.DUMMYFUNCTION("""COMPUTED_VALUE"""),"Voidtrain")</f>
        <v>Voidtrain</v>
      </c>
      <c r="B50" s="20" t="str">
        <f>IFERROR(__xludf.DUMMYFUNCTION("""COMPUTED_VALUE"""),"Xbox / PC")</f>
        <v>Xbox / PC</v>
      </c>
      <c r="C50" s="21" t="str">
        <f>IFERROR(__xludf.DUMMYFUNCTION("""COMPUTED_VALUE"""),"Yes")</f>
        <v>Yes</v>
      </c>
      <c r="D50" s="21" t="str">
        <f>IFERROR(__xludf.DUMMYFUNCTION("""COMPUTED_VALUE"""),"Active")</f>
        <v>Active</v>
      </c>
      <c r="E50" s="23">
        <f>IFERROR(__xludf.DUMMYFUNCTION("""COMPUTED_VALUE"""),45968.0)</f>
        <v>45968</v>
      </c>
      <c r="F50" s="24"/>
      <c r="G50" s="27">
        <f>IFERROR(__xludf.DUMMYFUNCTION("""COMPUTED_VALUE"""),10.966666666666667)</f>
        <v>10.96666667</v>
      </c>
      <c r="H50" s="23">
        <f>IFERROR(__xludf.DUMMYFUNCTION("""COMPUTED_VALUE"""),45968.0)</f>
        <v>45968</v>
      </c>
      <c r="I50" s="27">
        <f>IFERROR(__xludf.DUMMYFUNCTION("""COMPUTED_VALUE"""),0.0)</f>
        <v>0</v>
      </c>
      <c r="J50" s="29">
        <f>IFERROR(__xludf.DUMMYFUNCTION("""COMPUTED_VALUE"""),82.0)</f>
        <v>82</v>
      </c>
      <c r="K50" s="29">
        <f>IFERROR(__xludf.DUMMYFUNCTION("""COMPUTED_VALUE"""),19.0)</f>
        <v>19</v>
      </c>
      <c r="L50" s="31" t="str">
        <f>IFERROR(__xludf.DUMMYFUNCTION("""COMPUTED_VALUE"""),"Shooter")</f>
        <v>Shooter</v>
      </c>
      <c r="M50" s="31" t="str">
        <f>IFERROR(__xludf.DUMMYFUNCTION("""COMPUTED_VALUE"""),"Exclusive")</f>
        <v>Exclusive</v>
      </c>
    </row>
    <row r="51">
      <c r="A51" s="17" t="str">
        <f>IFERROR(__xludf.DUMMYFUNCTION("""COMPUTED_VALUE"""),"PowerWash Simulator 2")</f>
        <v>PowerWash Simulator 2</v>
      </c>
      <c r="B51" s="20" t="str">
        <f>IFERROR(__xludf.DUMMYFUNCTION("""COMPUTED_VALUE"""),"Xbox / PC")</f>
        <v>Xbox / PC</v>
      </c>
      <c r="C51" s="21" t="str">
        <f>IFERROR(__xludf.DUMMYFUNCTION("""COMPUTED_VALUE"""),"Yes")</f>
        <v>Yes</v>
      </c>
      <c r="D51" s="21" t="str">
        <f>IFERROR(__xludf.DUMMYFUNCTION("""COMPUTED_VALUE"""),"Active")</f>
        <v>Active</v>
      </c>
      <c r="E51" s="23">
        <f>IFERROR(__xludf.DUMMYFUNCTION("""COMPUTED_VALUE"""),45953.0)</f>
        <v>45953</v>
      </c>
      <c r="F51" s="24"/>
      <c r="G51" s="27">
        <f>IFERROR(__xludf.DUMMYFUNCTION("""COMPUTED_VALUE"""),11.433333333333334)</f>
        <v>11.43333333</v>
      </c>
      <c r="H51" s="23">
        <f>IFERROR(__xludf.DUMMYFUNCTION("""COMPUTED_VALUE"""),45953.0)</f>
        <v>45953</v>
      </c>
      <c r="I51" s="27">
        <f>IFERROR(__xludf.DUMMYFUNCTION("""COMPUTED_VALUE"""),0.0)</f>
        <v>0</v>
      </c>
      <c r="J51" s="29">
        <f>IFERROR(__xludf.DUMMYFUNCTION("""COMPUTED_VALUE"""),82.0)</f>
        <v>82</v>
      </c>
      <c r="K51" s="29">
        <f>IFERROR(__xludf.DUMMYFUNCTION("""COMPUTED_VALUE"""),37.0)</f>
        <v>37</v>
      </c>
      <c r="L51" s="31" t="str">
        <f>IFERROR(__xludf.DUMMYFUNCTION("""COMPUTED_VALUE"""),"Simulation")</f>
        <v>Simulation</v>
      </c>
      <c r="M51" s="31" t="str">
        <f>IFERROR(__xludf.DUMMYFUNCTION("""COMPUTED_VALUE"""),"Exclusive")</f>
        <v>Exclusive</v>
      </c>
    </row>
    <row r="52">
      <c r="A52" s="17" t="str">
        <f>IFERROR(__xludf.DUMMYFUNCTION("""COMPUTED_VALUE"""),"Ninja Gaiden 4")</f>
        <v>Ninja Gaiden 4</v>
      </c>
      <c r="B52" s="20" t="str">
        <f>IFERROR(__xludf.DUMMYFUNCTION("""COMPUTED_VALUE"""),"Xbox / PC")</f>
        <v>Xbox / PC</v>
      </c>
      <c r="C52" s="21" t="str">
        <f>IFERROR(__xludf.DUMMYFUNCTION("""COMPUTED_VALUE"""),"Yes")</f>
        <v>Yes</v>
      </c>
      <c r="D52" s="21" t="str">
        <f>IFERROR(__xludf.DUMMYFUNCTION("""COMPUTED_VALUE"""),"Active")</f>
        <v>Active</v>
      </c>
      <c r="E52" s="23">
        <f>IFERROR(__xludf.DUMMYFUNCTION("""COMPUTED_VALUE"""),45951.0)</f>
        <v>45951</v>
      </c>
      <c r="F52" s="24"/>
      <c r="G52" s="27">
        <f>IFERROR(__xludf.DUMMYFUNCTION("""COMPUTED_VALUE"""),11.5)</f>
        <v>11.5</v>
      </c>
      <c r="H52" s="23">
        <f>IFERROR(__xludf.DUMMYFUNCTION("""COMPUTED_VALUE"""),45951.0)</f>
        <v>45951</v>
      </c>
      <c r="I52" s="27">
        <f>IFERROR(__xludf.DUMMYFUNCTION("""COMPUTED_VALUE"""),0.0)</f>
        <v>0</v>
      </c>
      <c r="J52" s="29">
        <f>IFERROR(__xludf.DUMMYFUNCTION("""COMPUTED_VALUE"""),82.0)</f>
        <v>82</v>
      </c>
      <c r="K52" s="29">
        <f>IFERROR(__xludf.DUMMYFUNCTION("""COMPUTED_VALUE"""),12.0)</f>
        <v>12</v>
      </c>
      <c r="L52" s="31" t="str">
        <f>IFERROR(__xludf.DUMMYFUNCTION("""COMPUTED_VALUE"""),"Action-Adventure")</f>
        <v>Action-Adventure</v>
      </c>
      <c r="M52" s="31" t="str">
        <f>IFERROR(__xludf.DUMMYFUNCTION("""COMPUTED_VALUE"""),"Exclusive")</f>
        <v>Exclusive</v>
      </c>
    </row>
    <row r="53">
      <c r="A53" s="17" t="str">
        <f>IFERROR(__xludf.DUMMYFUNCTION("""COMPUTED_VALUE"""),"Dragon Age: The Veilguard")</f>
        <v>Dragon Age: The Veilguard</v>
      </c>
      <c r="B53" s="20" t="str">
        <f>IFERROR(__xludf.DUMMYFUNCTION("""COMPUTED_VALUE"""),"Xbox / PC")</f>
        <v>Xbox / PC</v>
      </c>
      <c r="C53" s="21" t="str">
        <f>IFERROR(__xludf.DUMMYFUNCTION("""COMPUTED_VALUE"""),"Yes")</f>
        <v>Yes</v>
      </c>
      <c r="D53" s="21" t="str">
        <f>IFERROR(__xludf.DUMMYFUNCTION("""COMPUTED_VALUE"""),"Active")</f>
        <v>Active</v>
      </c>
      <c r="E53" s="23">
        <f>IFERROR(__xludf.DUMMYFUNCTION("""COMPUTED_VALUE"""),45897.0)</f>
        <v>45897</v>
      </c>
      <c r="F53" s="24"/>
      <c r="G53" s="27">
        <f>IFERROR(__xludf.DUMMYFUNCTION("""COMPUTED_VALUE"""),13.266666666666667)</f>
        <v>13.26666667</v>
      </c>
      <c r="H53" s="23">
        <f>IFERROR(__xludf.DUMMYFUNCTION("""COMPUTED_VALUE"""),45596.0)</f>
        <v>45596</v>
      </c>
      <c r="I53" s="27">
        <f>IFERROR(__xludf.DUMMYFUNCTION("""COMPUTED_VALUE"""),0.8277777777777777)</f>
        <v>0.8277777778</v>
      </c>
      <c r="J53" s="29">
        <f>IFERROR(__xludf.DUMMYFUNCTION("""COMPUTED_VALUE"""),82.0)</f>
        <v>82</v>
      </c>
      <c r="K53" s="29">
        <f>IFERROR(__xludf.DUMMYFUNCTION("""COMPUTED_VALUE"""),29.0)</f>
        <v>29</v>
      </c>
      <c r="L53" s="31" t="str">
        <f>IFERROR(__xludf.DUMMYFUNCTION("""COMPUTED_VALUE"""),"RPG")</f>
        <v>RPG</v>
      </c>
      <c r="M53" s="31" t="str">
        <f>IFERROR(__xludf.DUMMYFUNCTION("""COMPUTED_VALUE"""),"Exclusive")</f>
        <v>Exclusive</v>
      </c>
    </row>
    <row r="54">
      <c r="A54" s="17" t="str">
        <f>IFERROR(__xludf.DUMMYFUNCTION("""COMPUTED_VALUE"""),"The Elder Scrolls IV: Oblivion - Remastered")</f>
        <v>The Elder Scrolls IV: Oblivion - Remastered</v>
      </c>
      <c r="B54" s="20" t="str">
        <f>IFERROR(__xludf.DUMMYFUNCTION("""COMPUTED_VALUE"""),"Xbox / PC")</f>
        <v>Xbox / PC</v>
      </c>
      <c r="C54" s="21" t="str">
        <f>IFERROR(__xludf.DUMMYFUNCTION("""COMPUTED_VALUE"""),"Yes")</f>
        <v>Yes</v>
      </c>
      <c r="D54" s="21" t="str">
        <f>IFERROR(__xludf.DUMMYFUNCTION("""COMPUTED_VALUE"""),"Active")</f>
        <v>Active</v>
      </c>
      <c r="E54" s="23">
        <f>IFERROR(__xludf.DUMMYFUNCTION("""COMPUTED_VALUE"""),45769.0)</f>
        <v>45769</v>
      </c>
      <c r="F54" s="24"/>
      <c r="G54" s="27">
        <f>IFERROR(__xludf.DUMMYFUNCTION("""COMPUTED_VALUE"""),17.466666666666665)</f>
        <v>17.46666667</v>
      </c>
      <c r="H54" s="23">
        <f>IFERROR(__xludf.DUMMYFUNCTION("""COMPUTED_VALUE"""),45769.0)</f>
        <v>45769</v>
      </c>
      <c r="I54" s="27">
        <f>IFERROR(__xludf.DUMMYFUNCTION("""COMPUTED_VALUE"""),0.0)</f>
        <v>0</v>
      </c>
      <c r="J54" s="29">
        <f>IFERROR(__xludf.DUMMYFUNCTION("""COMPUTED_VALUE"""),82.0)</f>
        <v>82</v>
      </c>
      <c r="K54" s="29">
        <f>IFERROR(__xludf.DUMMYFUNCTION("""COMPUTED_VALUE"""),14.0)</f>
        <v>14</v>
      </c>
      <c r="L54" s="31" t="str">
        <f>IFERROR(__xludf.DUMMYFUNCTION("""COMPUTED_VALUE"""),"RPG")</f>
        <v>RPG</v>
      </c>
      <c r="M54" s="31" t="str">
        <f>IFERROR(__xludf.DUMMYFUNCTION("""COMPUTED_VALUE"""),"Exclusive")</f>
        <v>Exclusive</v>
      </c>
    </row>
    <row r="55">
      <c r="A55" s="111" t="str">
        <f>IFERROR(__xludf.DUMMYFUNCTION("""COMPUTED_VALUE"""),"Clone Drone in the Danger Zone")</f>
        <v>Clone Drone in the Danger Zone</v>
      </c>
      <c r="B55" s="20" t="str">
        <f>IFERROR(__xludf.DUMMYFUNCTION("""COMPUTED_VALUE"""),"Xbox / PC")</f>
        <v>Xbox / PC</v>
      </c>
      <c r="C55" s="21" t="str">
        <f>IFERROR(__xludf.DUMMYFUNCTION("""COMPUTED_VALUE"""),"Yes")</f>
        <v>Yes</v>
      </c>
      <c r="D55" s="21" t="str">
        <f>IFERROR(__xludf.DUMMYFUNCTION("""COMPUTED_VALUE"""),"Active")</f>
        <v>Active</v>
      </c>
      <c r="E55" s="23">
        <f>IFERROR(__xludf.DUMMYFUNCTION("""COMPUTED_VALUE"""),45265.0)</f>
        <v>45265</v>
      </c>
      <c r="F55" s="24"/>
      <c r="G55" s="27">
        <f>IFERROR(__xludf.DUMMYFUNCTION("""COMPUTED_VALUE"""),34.03333333333333)</f>
        <v>34.03333333</v>
      </c>
      <c r="H55" s="23">
        <f>IFERROR(__xludf.DUMMYFUNCTION("""COMPUTED_VALUE"""),42702.0)</f>
        <v>42702</v>
      </c>
      <c r="I55" s="27">
        <f>IFERROR(__xludf.DUMMYFUNCTION("""COMPUTED_VALUE"""),7.019444444444445)</f>
        <v>7.019444444</v>
      </c>
      <c r="J55" s="29">
        <f>IFERROR(__xludf.DUMMYFUNCTION("""COMPUTED_VALUE"""),82.0)</f>
        <v>82</v>
      </c>
      <c r="K55" s="29">
        <f>IFERROR(__xludf.DUMMYFUNCTION("""COMPUTED_VALUE"""),2.0)</f>
        <v>2</v>
      </c>
      <c r="L55" s="31" t="str">
        <f>IFERROR(__xludf.DUMMYFUNCTION("""COMPUTED_VALUE"""),"Action")</f>
        <v>Action</v>
      </c>
      <c r="M55" s="31" t="str">
        <f>IFERROR(__xludf.DUMMYFUNCTION("""COMPUTED_VALUE"""),"Exclusive")</f>
        <v>Exclusive</v>
      </c>
    </row>
    <row r="56">
      <c r="A56" s="17" t="str">
        <f>IFERROR(__xludf.DUMMYFUNCTION("""COMPUTED_VALUE"""),"The Planet Crafter")</f>
        <v>The Planet Crafter</v>
      </c>
      <c r="B56" s="20" t="str">
        <f>IFERROR(__xludf.DUMMYFUNCTION("""COMPUTED_VALUE"""),"Xbox / PC")</f>
        <v>Xbox / PC</v>
      </c>
      <c r="C56" s="21" t="str">
        <f>IFERROR(__xludf.DUMMYFUNCTION("""COMPUTED_VALUE"""),"Yes")</f>
        <v>Yes</v>
      </c>
      <c r="D56" s="21" t="str">
        <f>IFERROR(__xludf.DUMMYFUNCTION("""COMPUTED_VALUE"""),"Active")</f>
        <v>Active</v>
      </c>
      <c r="E56" s="23">
        <f>IFERROR(__xludf.DUMMYFUNCTION("""COMPUTED_VALUE"""),46224.0)</f>
        <v>46224</v>
      </c>
      <c r="F56" s="24"/>
      <c r="G56" s="27">
        <f>IFERROR(__xludf.DUMMYFUNCTION("""COMPUTED_VALUE"""),2.5)</f>
        <v>2.5</v>
      </c>
      <c r="H56" s="23">
        <f>IFERROR(__xludf.DUMMYFUNCTION("""COMPUTED_VALUE"""),44644.0)</f>
        <v>44644</v>
      </c>
      <c r="I56" s="27">
        <f>IFERROR(__xludf.DUMMYFUNCTION("""COMPUTED_VALUE"""),4.325)</f>
        <v>4.325</v>
      </c>
      <c r="J56" s="29">
        <f>IFERROR(__xludf.DUMMYFUNCTION("""COMPUTED_VALUE"""),81.0)</f>
        <v>81</v>
      </c>
      <c r="K56" s="29">
        <f>IFERROR(__xludf.DUMMYFUNCTION("""COMPUTED_VALUE"""),35.0)</f>
        <v>35</v>
      </c>
      <c r="L56" s="31" t="str">
        <f>IFERROR(__xludf.DUMMYFUNCTION("""COMPUTED_VALUE"""),"Sandbox")</f>
        <v>Sandbox</v>
      </c>
      <c r="M56" s="31" t="str">
        <f>IFERROR(__xludf.DUMMYFUNCTION("""COMPUTED_VALUE"""),"Exclusive")</f>
        <v>Exclusive</v>
      </c>
    </row>
    <row r="57">
      <c r="A57" s="17" t="str">
        <f>IFERROR(__xludf.DUMMYFUNCTION("""COMPUTED_VALUE"""),"Jurassic World Evolution 3")</f>
        <v>Jurassic World Evolution 3</v>
      </c>
      <c r="B57" s="20" t="str">
        <f>IFERROR(__xludf.DUMMYFUNCTION("""COMPUTED_VALUE"""),"Xbox / PC")</f>
        <v>Xbox / PC</v>
      </c>
      <c r="C57" s="21" t="str">
        <f>IFERROR(__xludf.DUMMYFUNCTION("""COMPUTED_VALUE"""),"Yes")</f>
        <v>Yes</v>
      </c>
      <c r="D57" s="21" t="str">
        <f>IFERROR(__xludf.DUMMYFUNCTION("""COMPUTED_VALUE"""),"Active")</f>
        <v>Active</v>
      </c>
      <c r="E57" s="23">
        <f>IFERROR(__xludf.DUMMYFUNCTION("""COMPUTED_VALUE"""),46175.0)</f>
        <v>46175</v>
      </c>
      <c r="F57" s="24"/>
      <c r="G57" s="27">
        <f>IFERROR(__xludf.DUMMYFUNCTION("""COMPUTED_VALUE"""),4.133333333333333)</f>
        <v>4.133333333</v>
      </c>
      <c r="H57" s="23">
        <f>IFERROR(__xludf.DUMMYFUNCTION("""COMPUTED_VALUE"""),45951.0)</f>
        <v>45951</v>
      </c>
      <c r="I57" s="27">
        <f>IFERROR(__xludf.DUMMYFUNCTION("""COMPUTED_VALUE"""),0.6138888888888889)</f>
        <v>0.6138888889</v>
      </c>
      <c r="J57" s="29">
        <f>IFERROR(__xludf.DUMMYFUNCTION("""COMPUTED_VALUE"""),81.0)</f>
        <v>81</v>
      </c>
      <c r="K57" s="29">
        <f>IFERROR(__xludf.DUMMYFUNCTION("""COMPUTED_VALUE"""),20.0)</f>
        <v>20</v>
      </c>
      <c r="L57" s="31" t="str">
        <f>IFERROR(__xludf.DUMMYFUNCTION("""COMPUTED_VALUE"""),"Simulation")</f>
        <v>Simulation</v>
      </c>
      <c r="M57" s="31" t="str">
        <f>IFERROR(__xludf.DUMMYFUNCTION("""COMPUTED_VALUE"""),"Exclusive")</f>
        <v>Exclusive</v>
      </c>
    </row>
    <row r="58">
      <c r="A58" s="17" t="str">
        <f>IFERROR(__xludf.DUMMYFUNCTION("""COMPUTED_VALUE"""),"Escape Simulator")</f>
        <v>Escape Simulator</v>
      </c>
      <c r="B58" s="20" t="str">
        <f>IFERROR(__xludf.DUMMYFUNCTION("""COMPUTED_VALUE"""),"Xbox / PC")</f>
        <v>Xbox / PC</v>
      </c>
      <c r="C58" s="21" t="str">
        <f>IFERROR(__xludf.DUMMYFUNCTION("""COMPUTED_VALUE"""),"Yes")</f>
        <v>Yes</v>
      </c>
      <c r="D58" s="21" t="str">
        <f>IFERROR(__xludf.DUMMYFUNCTION("""COMPUTED_VALUE"""),"Active")</f>
        <v>Active</v>
      </c>
      <c r="E58" s="23">
        <f>IFERROR(__xludf.DUMMYFUNCTION("""COMPUTED_VALUE"""),46168.0)</f>
        <v>46168</v>
      </c>
      <c r="F58" s="24"/>
      <c r="G58" s="27">
        <f>IFERROR(__xludf.DUMMYFUNCTION("""COMPUTED_VALUE"""),4.333333333333333)</f>
        <v>4.333333333</v>
      </c>
      <c r="H58" s="23">
        <f>IFERROR(__xludf.DUMMYFUNCTION("""COMPUTED_VALUE"""),44491.0)</f>
        <v>44491</v>
      </c>
      <c r="I58" s="27">
        <f>IFERROR(__xludf.DUMMYFUNCTION("""COMPUTED_VALUE"""),4.594444444444444)</f>
        <v>4.594444444</v>
      </c>
      <c r="J58" s="29">
        <f>IFERROR(__xludf.DUMMYFUNCTION("""COMPUTED_VALUE"""),81.0)</f>
        <v>81</v>
      </c>
      <c r="K58" s="29">
        <f>IFERROR(__xludf.DUMMYFUNCTION("""COMPUTED_VALUE"""),6.0)</f>
        <v>6</v>
      </c>
      <c r="L58" s="31" t="str">
        <f>IFERROR(__xludf.DUMMYFUNCTION("""COMPUTED_VALUE"""),"Puzzle")</f>
        <v>Puzzle</v>
      </c>
      <c r="M58" s="31" t="str">
        <f>IFERROR(__xludf.DUMMYFUNCTION("""COMPUTED_VALUE"""),"Exclusive")</f>
        <v>Exclusive</v>
      </c>
    </row>
    <row r="59">
      <c r="A59" s="17" t="str">
        <f>IFERROR(__xludf.DUMMYFUNCTION("""COMPUTED_VALUE"""),"Luna Abyss")</f>
        <v>Luna Abyss</v>
      </c>
      <c r="B59" s="20" t="str">
        <f>IFERROR(__xludf.DUMMYFUNCTION("""COMPUTED_VALUE"""),"Xbox / PC")</f>
        <v>Xbox / PC</v>
      </c>
      <c r="C59" s="21" t="str">
        <f>IFERROR(__xludf.DUMMYFUNCTION("""COMPUTED_VALUE"""),"Yes")</f>
        <v>Yes</v>
      </c>
      <c r="D59" s="21" t="str">
        <f>IFERROR(__xludf.DUMMYFUNCTION("""COMPUTED_VALUE"""),"Active")</f>
        <v>Active</v>
      </c>
      <c r="E59" s="23">
        <f>IFERROR(__xludf.DUMMYFUNCTION("""COMPUTED_VALUE"""),46163.0)</f>
        <v>46163</v>
      </c>
      <c r="F59" s="24"/>
      <c r="G59" s="27">
        <f>IFERROR(__xludf.DUMMYFUNCTION("""COMPUTED_VALUE"""),4.5)</f>
        <v>4.5</v>
      </c>
      <c r="H59" s="23">
        <f>IFERROR(__xludf.DUMMYFUNCTION("""COMPUTED_VALUE"""),46163.0)</f>
        <v>46163</v>
      </c>
      <c r="I59" s="27">
        <f>IFERROR(__xludf.DUMMYFUNCTION("""COMPUTED_VALUE"""),0.0)</f>
        <v>0</v>
      </c>
      <c r="J59" s="29">
        <f>IFERROR(__xludf.DUMMYFUNCTION("""COMPUTED_VALUE"""),81.0)</f>
        <v>81</v>
      </c>
      <c r="K59" s="29">
        <f>IFERROR(__xludf.DUMMYFUNCTION("""COMPUTED_VALUE"""),8.0)</f>
        <v>8</v>
      </c>
      <c r="L59" s="31" t="str">
        <f>IFERROR(__xludf.DUMMYFUNCTION("""COMPUTED_VALUE"""),"Shooter")</f>
        <v>Shooter</v>
      </c>
      <c r="M59" s="31" t="str">
        <f>IFERROR(__xludf.DUMMYFUNCTION("""COMPUTED_VALUE"""),"Exclusive")</f>
        <v>Exclusive</v>
      </c>
    </row>
    <row r="60">
      <c r="A60" s="17" t="str">
        <f>IFERROR(__xludf.DUMMYFUNCTION("""COMPUTED_VALUE"""),"Tiny Bookshop")</f>
        <v>Tiny Bookshop</v>
      </c>
      <c r="B60" s="20" t="str">
        <f>IFERROR(__xludf.DUMMYFUNCTION("""COMPUTED_VALUE"""),"Xbox / PC")</f>
        <v>Xbox / PC</v>
      </c>
      <c r="C60" s="21" t="str">
        <f>IFERROR(__xludf.DUMMYFUNCTION("""COMPUTED_VALUE"""),"Yes")</f>
        <v>Yes</v>
      </c>
      <c r="D60" s="21" t="str">
        <f>IFERROR(__xludf.DUMMYFUNCTION("""COMPUTED_VALUE"""),"Active")</f>
        <v>Active</v>
      </c>
      <c r="E60" s="23">
        <f>IFERROR(__xludf.DUMMYFUNCTION("""COMPUTED_VALUE"""),46122.0)</f>
        <v>46122</v>
      </c>
      <c r="F60" s="24"/>
      <c r="G60" s="27">
        <f>IFERROR(__xludf.DUMMYFUNCTION("""COMPUTED_VALUE"""),5.866666666666666)</f>
        <v>5.866666667</v>
      </c>
      <c r="H60" s="23">
        <f>IFERROR(__xludf.DUMMYFUNCTION("""COMPUTED_VALUE"""),45876.0)</f>
        <v>45876</v>
      </c>
      <c r="I60" s="27">
        <f>IFERROR(__xludf.DUMMYFUNCTION("""COMPUTED_VALUE"""),0.675)</f>
        <v>0.675</v>
      </c>
      <c r="J60" s="29">
        <f>IFERROR(__xludf.DUMMYFUNCTION("""COMPUTED_VALUE"""),81.0)</f>
        <v>81</v>
      </c>
      <c r="K60" s="29">
        <f>IFERROR(__xludf.DUMMYFUNCTION("""COMPUTED_VALUE"""),16.0)</f>
        <v>16</v>
      </c>
      <c r="L60" s="31" t="str">
        <f>IFERROR(__xludf.DUMMYFUNCTION("""COMPUTED_VALUE"""),"Tycoon")</f>
        <v>Tycoon</v>
      </c>
      <c r="M60" s="31" t="str">
        <f>IFERROR(__xludf.DUMMYFUNCTION("""COMPUTED_VALUE"""),"Exclusive")</f>
        <v>Exclusive</v>
      </c>
    </row>
    <row r="61">
      <c r="A61" s="17" t="str">
        <f>IFERROR(__xludf.DUMMYFUNCTION("""COMPUTED_VALUE"""),"Great God Grove")</f>
        <v>Great God Grove</v>
      </c>
      <c r="B61" s="20" t="str">
        <f>IFERROR(__xludf.DUMMYFUNCTION("""COMPUTED_VALUE"""),"Xbox / PC")</f>
        <v>Xbox / PC</v>
      </c>
      <c r="C61" s="21" t="str">
        <f>IFERROR(__xludf.DUMMYFUNCTION("""COMPUTED_VALUE"""),"Yes")</f>
        <v>Yes</v>
      </c>
      <c r="D61" s="21" t="str">
        <f>IFERROR(__xludf.DUMMYFUNCTION("""COMPUTED_VALUE"""),"Active")</f>
        <v>Active</v>
      </c>
      <c r="E61" s="23">
        <f>IFERROR(__xludf.DUMMYFUNCTION("""COMPUTED_VALUE"""),45972.0)</f>
        <v>45972</v>
      </c>
      <c r="F61" s="24"/>
      <c r="G61" s="27">
        <f>IFERROR(__xludf.DUMMYFUNCTION("""COMPUTED_VALUE"""),10.833333333333334)</f>
        <v>10.83333333</v>
      </c>
      <c r="H61" s="23">
        <f>IFERROR(__xludf.DUMMYFUNCTION("""COMPUTED_VALUE"""),45611.0)</f>
        <v>45611</v>
      </c>
      <c r="I61" s="27">
        <f>IFERROR(__xludf.DUMMYFUNCTION("""COMPUTED_VALUE"""),0.9888888888888889)</f>
        <v>0.9888888889</v>
      </c>
      <c r="J61" s="29">
        <f>IFERROR(__xludf.DUMMYFUNCTION("""COMPUTED_VALUE"""),81.0)</f>
        <v>81</v>
      </c>
      <c r="K61" s="29">
        <f>IFERROR(__xludf.DUMMYFUNCTION("""COMPUTED_VALUE"""),6.0)</f>
        <v>6</v>
      </c>
      <c r="L61" s="31" t="str">
        <f>IFERROR(__xludf.DUMMYFUNCTION("""COMPUTED_VALUE"""),"Action-Adventure")</f>
        <v>Action-Adventure</v>
      </c>
      <c r="M61" s="31" t="str">
        <f>IFERROR(__xludf.DUMMYFUNCTION("""COMPUTED_VALUE"""),"Exclusive")</f>
        <v>Exclusive</v>
      </c>
    </row>
    <row r="62">
      <c r="A62" s="17" t="str">
        <f>IFERROR(__xludf.DUMMYFUNCTION("""COMPUTED_VALUE"""),"Anno 1800")</f>
        <v>Anno 1800</v>
      </c>
      <c r="B62" s="20" t="str">
        <f>IFERROR(__xludf.DUMMYFUNCTION("""COMPUTED_VALUE"""),"Xbox / PC")</f>
        <v>Xbox / PC</v>
      </c>
      <c r="C62" s="21" t="str">
        <f>IFERROR(__xludf.DUMMYFUNCTION("""COMPUTED_VALUE"""),"Yes")</f>
        <v>Yes</v>
      </c>
      <c r="D62" s="21" t="str">
        <f>IFERROR(__xludf.DUMMYFUNCTION("""COMPUTED_VALUE"""),"Active")</f>
        <v>Active</v>
      </c>
      <c r="E62" s="23">
        <f>IFERROR(__xludf.DUMMYFUNCTION("""COMPUTED_VALUE"""),45778.0)</f>
        <v>45778</v>
      </c>
      <c r="F62" s="24"/>
      <c r="G62" s="27">
        <f>IFERROR(__xludf.DUMMYFUNCTION("""COMPUTED_VALUE"""),17.166666666666668)</f>
        <v>17.16666667</v>
      </c>
      <c r="H62" s="23">
        <f>IFERROR(__xludf.DUMMYFUNCTION("""COMPUTED_VALUE"""),43571.0)</f>
        <v>43571</v>
      </c>
      <c r="I62" s="27">
        <f>IFERROR(__xludf.DUMMYFUNCTION("""COMPUTED_VALUE"""),6.041666666666667)</f>
        <v>6.041666667</v>
      </c>
      <c r="J62" s="29">
        <f>IFERROR(__xludf.DUMMYFUNCTION("""COMPUTED_VALUE"""),81.0)</f>
        <v>81</v>
      </c>
      <c r="K62" s="29">
        <f>IFERROR(__xludf.DUMMYFUNCTION("""COMPUTED_VALUE"""),15.0)</f>
        <v>15</v>
      </c>
      <c r="L62" s="31" t="str">
        <f>IFERROR(__xludf.DUMMYFUNCTION("""COMPUTED_VALUE"""),"Management")</f>
        <v>Management</v>
      </c>
      <c r="M62" s="31" t="str">
        <f>IFERROR(__xludf.DUMMYFUNCTION("""COMPUTED_VALUE"""),"Exclusive")</f>
        <v>Exclusive</v>
      </c>
    </row>
    <row r="63">
      <c r="A63" s="17" t="str">
        <f>IFERROR(__xludf.DUMMYFUNCTION("""COMPUTED_VALUE"""),"Avowed")</f>
        <v>Avowed</v>
      </c>
      <c r="B63" s="20" t="str">
        <f>IFERROR(__xludf.DUMMYFUNCTION("""COMPUTED_VALUE"""),"Xbox / PC")</f>
        <v>Xbox / PC</v>
      </c>
      <c r="C63" s="21" t="str">
        <f>IFERROR(__xludf.DUMMYFUNCTION("""COMPUTED_VALUE"""),"Yes")</f>
        <v>Yes</v>
      </c>
      <c r="D63" s="21" t="str">
        <f>IFERROR(__xludf.DUMMYFUNCTION("""COMPUTED_VALUE"""),"Active")</f>
        <v>Active</v>
      </c>
      <c r="E63" s="23">
        <f>IFERROR(__xludf.DUMMYFUNCTION("""COMPUTED_VALUE"""),45706.0)</f>
        <v>45706</v>
      </c>
      <c r="F63" s="24"/>
      <c r="G63" s="27">
        <f>IFERROR(__xludf.DUMMYFUNCTION("""COMPUTED_VALUE"""),19.6)</f>
        <v>19.6</v>
      </c>
      <c r="H63" s="23">
        <f>IFERROR(__xludf.DUMMYFUNCTION("""COMPUTED_VALUE"""),45706.0)</f>
        <v>45706</v>
      </c>
      <c r="I63" s="27">
        <f>IFERROR(__xludf.DUMMYFUNCTION("""COMPUTED_VALUE"""),0.0)</f>
        <v>0</v>
      </c>
      <c r="J63" s="29">
        <f>IFERROR(__xludf.DUMMYFUNCTION("""COMPUTED_VALUE"""),81.0)</f>
        <v>81</v>
      </c>
      <c r="K63" s="29">
        <f>IFERROR(__xludf.DUMMYFUNCTION("""COMPUTED_VALUE"""),17.0)</f>
        <v>17</v>
      </c>
      <c r="L63" s="31" t="str">
        <f>IFERROR(__xludf.DUMMYFUNCTION("""COMPUTED_VALUE"""),"RPG")</f>
        <v>RPG</v>
      </c>
      <c r="M63" s="31" t="str">
        <f>IFERROR(__xludf.DUMMYFUNCTION("""COMPUTED_VALUE"""),"Exclusive")</f>
        <v>Exclusive</v>
      </c>
    </row>
    <row r="64">
      <c r="A64" s="17" t="str">
        <f>IFERROR(__xludf.DUMMYFUNCTION("""COMPUTED_VALUE"""),"The Royal Writ")</f>
        <v>The Royal Writ</v>
      </c>
      <c r="B64" s="20" t="str">
        <f>IFERROR(__xludf.DUMMYFUNCTION("""COMPUTED_VALUE"""),"Xbox / PC")</f>
        <v>Xbox / PC</v>
      </c>
      <c r="C64" s="21" t="str">
        <f>IFERROR(__xludf.DUMMYFUNCTION("""COMPUTED_VALUE"""),"Yes")</f>
        <v>Yes</v>
      </c>
      <c r="D64" s="21" t="str">
        <f>IFERROR(__xludf.DUMMYFUNCTION("""COMPUTED_VALUE"""),"Active")</f>
        <v>Active</v>
      </c>
      <c r="E64" s="23">
        <f>IFERROR(__xludf.DUMMYFUNCTION("""COMPUTED_VALUE"""),46275.0)</f>
        <v>46275</v>
      </c>
      <c r="F64" s="24"/>
      <c r="G64" s="27">
        <f>IFERROR(__xludf.DUMMYFUNCTION("""COMPUTED_VALUE"""),0.8666666666666666)</f>
        <v>0.8666666667</v>
      </c>
      <c r="H64" s="23">
        <f>IFERROR(__xludf.DUMMYFUNCTION("""COMPUTED_VALUE"""),45876.0)</f>
        <v>45876</v>
      </c>
      <c r="I64" s="27">
        <f>IFERROR(__xludf.DUMMYFUNCTION("""COMPUTED_VALUE"""),1.0916666666666666)</f>
        <v>1.091666667</v>
      </c>
      <c r="J64" s="29">
        <f>IFERROR(__xludf.DUMMYFUNCTION("""COMPUTED_VALUE"""),80.0)</f>
        <v>80</v>
      </c>
      <c r="K64" s="29">
        <f>IFERROR(__xludf.DUMMYFUNCTION("""COMPUTED_VALUE"""),5.0)</f>
        <v>5</v>
      </c>
      <c r="L64" s="31" t="str">
        <f>IFERROR(__xludf.DUMMYFUNCTION("""COMPUTED_VALUE"""),"Card Battle")</f>
        <v>Card Battle</v>
      </c>
      <c r="M64" s="31" t="str">
        <f>IFERROR(__xludf.DUMMYFUNCTION("""COMPUTED_VALUE"""),"Exclusive")</f>
        <v>Exclusive</v>
      </c>
    </row>
    <row r="65">
      <c r="A65" s="17" t="str">
        <f>IFERROR(__xludf.DUMMYFUNCTION("""COMPUTED_VALUE"""),"Shift at Midnight")</f>
        <v>Shift at Midnight</v>
      </c>
      <c r="B65" s="20" t="str">
        <f>IFERROR(__xludf.DUMMYFUNCTION("""COMPUTED_VALUE"""),"Xbox / PC")</f>
        <v>Xbox / PC</v>
      </c>
      <c r="C65" s="21" t="str">
        <f>IFERROR(__xludf.DUMMYFUNCTION("""COMPUTED_VALUE"""),"Yes")</f>
        <v>Yes</v>
      </c>
      <c r="D65" s="21" t="str">
        <f>IFERROR(__xludf.DUMMYFUNCTION("""COMPUTED_VALUE"""),"Active")</f>
        <v>Active</v>
      </c>
      <c r="E65" s="23">
        <f>IFERROR(__xludf.DUMMYFUNCTION("""COMPUTED_VALUE"""),46225.0)</f>
        <v>46225</v>
      </c>
      <c r="F65" s="24"/>
      <c r="G65" s="27">
        <f>IFERROR(__xludf.DUMMYFUNCTION("""COMPUTED_VALUE"""),2.466666666666667)</f>
        <v>2.466666667</v>
      </c>
      <c r="H65" s="23">
        <f>IFERROR(__xludf.DUMMYFUNCTION("""COMPUTED_VALUE"""),46225.0)</f>
        <v>46225</v>
      </c>
      <c r="I65" s="27">
        <f>IFERROR(__xludf.DUMMYFUNCTION("""COMPUTED_VALUE"""),0.0)</f>
        <v>0</v>
      </c>
      <c r="J65" s="29">
        <f>IFERROR(__xludf.DUMMYFUNCTION("""COMPUTED_VALUE"""),80.0)</f>
        <v>80</v>
      </c>
      <c r="K65" s="29">
        <f>IFERROR(__xludf.DUMMYFUNCTION("""COMPUTED_VALUE"""),5.0)</f>
        <v>5</v>
      </c>
      <c r="L65" s="31" t="str">
        <f>IFERROR(__xludf.DUMMYFUNCTION("""COMPUTED_VALUE"""),"Horror")</f>
        <v>Horror</v>
      </c>
      <c r="M65" s="31" t="str">
        <f>IFERROR(__xludf.DUMMYFUNCTION("""COMPUTED_VALUE"""),"Exclusive")</f>
        <v>Exclusive</v>
      </c>
    </row>
    <row r="66">
      <c r="A66" s="17" t="str">
        <f>IFERROR(__xludf.DUMMYFUNCTION("""COMPUTED_VALUE"""),"FixForce")</f>
        <v>FixForce</v>
      </c>
      <c r="B66" s="20" t="str">
        <f>IFERROR(__xludf.DUMMYFUNCTION("""COMPUTED_VALUE"""),"Xbox / PC")</f>
        <v>Xbox / PC</v>
      </c>
      <c r="C66" s="21" t="str">
        <f>IFERROR(__xludf.DUMMYFUNCTION("""COMPUTED_VALUE"""),"Yes")</f>
        <v>Yes</v>
      </c>
      <c r="D66" s="21" t="str">
        <f>IFERROR(__xludf.DUMMYFUNCTION("""COMPUTED_VALUE"""),"Active")</f>
        <v>Active</v>
      </c>
      <c r="E66" s="23">
        <f>IFERROR(__xludf.DUMMYFUNCTION("""COMPUTED_VALUE"""),46220.0)</f>
        <v>46220</v>
      </c>
      <c r="F66" s="24"/>
      <c r="G66" s="27">
        <f>IFERROR(__xludf.DUMMYFUNCTION("""COMPUTED_VALUE"""),2.6333333333333333)</f>
        <v>2.633333333</v>
      </c>
      <c r="H66" s="23">
        <f>IFERROR(__xludf.DUMMYFUNCTION("""COMPUTED_VALUE"""),46220.0)</f>
        <v>46220</v>
      </c>
      <c r="I66" s="27">
        <f>IFERROR(__xludf.DUMMYFUNCTION("""COMPUTED_VALUE"""),0.0)</f>
        <v>0</v>
      </c>
      <c r="J66" s="29">
        <f>IFERROR(__xludf.DUMMYFUNCTION("""COMPUTED_VALUE"""),80.0)</f>
        <v>80</v>
      </c>
      <c r="K66" s="29"/>
      <c r="L66" s="31" t="str">
        <f>IFERROR(__xludf.DUMMYFUNCTION("""COMPUTED_VALUE"""),"Platformer")</f>
        <v>Platformer</v>
      </c>
      <c r="M66" s="31" t="str">
        <f>IFERROR(__xludf.DUMMYFUNCTION("""COMPUTED_VALUE"""),"Exclusive")</f>
        <v>Exclusive</v>
      </c>
    </row>
    <row r="67">
      <c r="A67" s="17" t="str">
        <f>IFERROR(__xludf.DUMMYFUNCTION("""COMPUTED_VALUE"""),"Abyssus")</f>
        <v>Abyssus</v>
      </c>
      <c r="B67" s="20" t="str">
        <f>IFERROR(__xludf.DUMMYFUNCTION("""COMPUTED_VALUE"""),"Xbox / PC")</f>
        <v>Xbox / PC</v>
      </c>
      <c r="C67" s="21" t="str">
        <f>IFERROR(__xludf.DUMMYFUNCTION("""COMPUTED_VALUE"""),"Yes")</f>
        <v>Yes</v>
      </c>
      <c r="D67" s="21" t="str">
        <f>IFERROR(__xludf.DUMMYFUNCTION("""COMPUTED_VALUE"""),"Active")</f>
        <v>Active</v>
      </c>
      <c r="E67" s="23">
        <f>IFERROR(__xludf.DUMMYFUNCTION("""COMPUTED_VALUE"""),46198.0)</f>
        <v>46198</v>
      </c>
      <c r="F67" s="24"/>
      <c r="G67" s="27">
        <f>IFERROR(__xludf.DUMMYFUNCTION("""COMPUTED_VALUE"""),3.3666666666666667)</f>
        <v>3.366666667</v>
      </c>
      <c r="H67" s="23">
        <f>IFERROR(__xludf.DUMMYFUNCTION("""COMPUTED_VALUE"""),46198.0)</f>
        <v>46198</v>
      </c>
      <c r="I67" s="27">
        <f>IFERROR(__xludf.DUMMYFUNCTION("""COMPUTED_VALUE"""),0.0)</f>
        <v>0</v>
      </c>
      <c r="J67" s="29">
        <f>IFERROR(__xludf.DUMMYFUNCTION("""COMPUTED_VALUE"""),80.0)</f>
        <v>80</v>
      </c>
      <c r="K67" s="29">
        <f>IFERROR(__xludf.DUMMYFUNCTION("""COMPUTED_VALUE"""),25.0)</f>
        <v>25</v>
      </c>
      <c r="L67" s="31" t="str">
        <f>IFERROR(__xludf.DUMMYFUNCTION("""COMPUTED_VALUE"""),"Shooter")</f>
        <v>Shooter</v>
      </c>
      <c r="M67" s="31" t="str">
        <f>IFERROR(__xludf.DUMMYFUNCTION("""COMPUTED_VALUE"""),"Exclusive")</f>
        <v>Exclusive</v>
      </c>
    </row>
    <row r="68">
      <c r="A68" s="17" t="str">
        <f>IFERROR(__xludf.DUMMYFUNCTION("""COMPUTED_VALUE"""),"Escape the Backrooms")</f>
        <v>Escape the Backrooms</v>
      </c>
      <c r="B68" s="20" t="str">
        <f>IFERROR(__xludf.DUMMYFUNCTION("""COMPUTED_VALUE"""),"Xbox / PC")</f>
        <v>Xbox / PC</v>
      </c>
      <c r="C68" s="21" t="str">
        <f>IFERROR(__xludf.DUMMYFUNCTION("""COMPUTED_VALUE"""),"Yes")</f>
        <v>Yes</v>
      </c>
      <c r="D68" s="21" t="str">
        <f>IFERROR(__xludf.DUMMYFUNCTION("""COMPUTED_VALUE"""),"Active")</f>
        <v>Active</v>
      </c>
      <c r="E68" s="23">
        <f>IFERROR(__xludf.DUMMYFUNCTION("""COMPUTED_VALUE"""),46170.0)</f>
        <v>46170</v>
      </c>
      <c r="F68" s="24"/>
      <c r="G68" s="27">
        <f>IFERROR(__xludf.DUMMYFUNCTION("""COMPUTED_VALUE"""),4.266666666666667)</f>
        <v>4.266666667</v>
      </c>
      <c r="H68" s="23">
        <f>IFERROR(__xludf.DUMMYFUNCTION("""COMPUTED_VALUE"""),45953.0)</f>
        <v>45953</v>
      </c>
      <c r="I68" s="27">
        <f>IFERROR(__xludf.DUMMYFUNCTION("""COMPUTED_VALUE"""),0.5972222222222222)</f>
        <v>0.5972222222</v>
      </c>
      <c r="J68" s="29">
        <f>IFERROR(__xludf.DUMMYFUNCTION("""COMPUTED_VALUE"""),80.0)</f>
        <v>80</v>
      </c>
      <c r="K68" s="29">
        <f>IFERROR(__xludf.DUMMYFUNCTION("""COMPUTED_VALUE"""),9.0)</f>
        <v>9</v>
      </c>
      <c r="L68" s="31" t="str">
        <f>IFERROR(__xludf.DUMMYFUNCTION("""COMPUTED_VALUE"""),"Survival")</f>
        <v>Survival</v>
      </c>
      <c r="M68" s="31" t="str">
        <f>IFERROR(__xludf.DUMMYFUNCTION("""COMPUTED_VALUE"""),"Exclusive")</f>
        <v>Exclusive</v>
      </c>
    </row>
    <row r="69">
      <c r="A69" s="17" t="str">
        <f>IFERROR(__xludf.DUMMYFUNCTION("""COMPUTED_VALUE"""),"Crashout Crew")</f>
        <v>Crashout Crew</v>
      </c>
      <c r="B69" s="20" t="str">
        <f>IFERROR(__xludf.DUMMYFUNCTION("""COMPUTED_VALUE"""),"Xbox / PC")</f>
        <v>Xbox / PC</v>
      </c>
      <c r="C69" s="21" t="str">
        <f>IFERROR(__xludf.DUMMYFUNCTION("""COMPUTED_VALUE"""),"Yes")</f>
        <v>Yes</v>
      </c>
      <c r="D69" s="21" t="str">
        <f>IFERROR(__xludf.DUMMYFUNCTION("""COMPUTED_VALUE"""),"Active")</f>
        <v>Active</v>
      </c>
      <c r="E69" s="23">
        <f>IFERROR(__xludf.DUMMYFUNCTION("""COMPUTED_VALUE"""),46170.0)</f>
        <v>46170</v>
      </c>
      <c r="F69" s="24"/>
      <c r="G69" s="27">
        <f>IFERROR(__xludf.DUMMYFUNCTION("""COMPUTED_VALUE"""),4.266666666666667)</f>
        <v>4.266666667</v>
      </c>
      <c r="H69" s="23">
        <f>IFERROR(__xludf.DUMMYFUNCTION("""COMPUTED_VALUE"""),46170.0)</f>
        <v>46170</v>
      </c>
      <c r="I69" s="27">
        <f>IFERROR(__xludf.DUMMYFUNCTION("""COMPUTED_VALUE"""),0.0)</f>
        <v>0</v>
      </c>
      <c r="J69" s="29">
        <f>IFERROR(__xludf.DUMMYFUNCTION("""COMPUTED_VALUE"""),80.0)</f>
        <v>80</v>
      </c>
      <c r="K69" s="29">
        <f>IFERROR(__xludf.DUMMYFUNCTION("""COMPUTED_VALUE"""),12.0)</f>
        <v>12</v>
      </c>
      <c r="L69" s="31" t="str">
        <f>IFERROR(__xludf.DUMMYFUNCTION("""COMPUTED_VALUE"""),"Action-Adventure")</f>
        <v>Action-Adventure</v>
      </c>
      <c r="M69" s="31" t="str">
        <f>IFERROR(__xludf.DUMMYFUNCTION("""COMPUTED_VALUE"""),"Exclusive")</f>
        <v>Exclusive</v>
      </c>
    </row>
    <row r="70">
      <c r="A70" s="17" t="str">
        <f>IFERROR(__xludf.DUMMYFUNCTION("""COMPUTED_VALUE"""),"DreamWorks Gabby's Dollhouse: Ready to Party")</f>
        <v>DreamWorks Gabby's Dollhouse: Ready to Party</v>
      </c>
      <c r="B70" s="20" t="str">
        <f>IFERROR(__xludf.DUMMYFUNCTION("""COMPUTED_VALUE"""),"Xbox / PC")</f>
        <v>Xbox / PC</v>
      </c>
      <c r="C70" s="21" t="str">
        <f>IFERROR(__xludf.DUMMYFUNCTION("""COMPUTED_VALUE"""),"Yes")</f>
        <v>Yes</v>
      </c>
      <c r="D70" s="21" t="str">
        <f>IFERROR(__xludf.DUMMYFUNCTION("""COMPUTED_VALUE"""),"Active")</f>
        <v>Active</v>
      </c>
      <c r="E70" s="23">
        <f>IFERROR(__xludf.DUMMYFUNCTION("""COMPUTED_VALUE"""),46098.0)</f>
        <v>46098</v>
      </c>
      <c r="F70" s="24"/>
      <c r="G70" s="27">
        <f>IFERROR(__xludf.DUMMYFUNCTION("""COMPUTED_VALUE"""),6.633333333333334)</f>
        <v>6.633333333</v>
      </c>
      <c r="H70" s="23">
        <f>IFERROR(__xludf.DUMMYFUNCTION("""COMPUTED_VALUE"""),45919.0)</f>
        <v>45919</v>
      </c>
      <c r="I70" s="27">
        <f>IFERROR(__xludf.DUMMYFUNCTION("""COMPUTED_VALUE"""),0.49444444444444446)</f>
        <v>0.4944444444</v>
      </c>
      <c r="J70" s="29">
        <f>IFERROR(__xludf.DUMMYFUNCTION("""COMPUTED_VALUE"""),80.0)</f>
        <v>80</v>
      </c>
      <c r="K70" s="29">
        <f>IFERROR(__xludf.DUMMYFUNCTION("""COMPUTED_VALUE"""),3.0)</f>
        <v>3</v>
      </c>
      <c r="L70" s="31" t="str">
        <f>IFERROR(__xludf.DUMMYFUNCTION("""COMPUTED_VALUE"""),"Action-Adventure")</f>
        <v>Action-Adventure</v>
      </c>
      <c r="M70" s="31" t="str">
        <f>IFERROR(__xludf.DUMMYFUNCTION("""COMPUTED_VALUE"""),"Exclusive")</f>
        <v>Exclusive</v>
      </c>
    </row>
    <row r="71">
      <c r="A71" s="17" t="str">
        <f>IFERROR(__xludf.DUMMYFUNCTION("""COMPUTED_VALUE"""),"F1 25")</f>
        <v>F1 25</v>
      </c>
      <c r="B71" s="20" t="str">
        <f>IFERROR(__xludf.DUMMYFUNCTION("""COMPUTED_VALUE"""),"Xbox / PC")</f>
        <v>Xbox / PC</v>
      </c>
      <c r="C71" s="21" t="str">
        <f>IFERROR(__xludf.DUMMYFUNCTION("""COMPUTED_VALUE"""),"Yes")</f>
        <v>Yes</v>
      </c>
      <c r="D71" s="21" t="str">
        <f>IFERROR(__xludf.DUMMYFUNCTION("""COMPUTED_VALUE"""),"Active")</f>
        <v>Active</v>
      </c>
      <c r="E71" s="23">
        <f>IFERROR(__xludf.DUMMYFUNCTION("""COMPUTED_VALUE"""),46085.0)</f>
        <v>46085</v>
      </c>
      <c r="F71" s="24"/>
      <c r="G71" s="27">
        <f>IFERROR(__xludf.DUMMYFUNCTION("""COMPUTED_VALUE"""),7.066666666666666)</f>
        <v>7.066666667</v>
      </c>
      <c r="H71" s="23">
        <f>IFERROR(__xludf.DUMMYFUNCTION("""COMPUTED_VALUE"""),46085.0)</f>
        <v>46085</v>
      </c>
      <c r="I71" s="27">
        <f>IFERROR(__xludf.DUMMYFUNCTION("""COMPUTED_VALUE"""),0.0)</f>
        <v>0</v>
      </c>
      <c r="J71" s="29">
        <f>IFERROR(__xludf.DUMMYFUNCTION("""COMPUTED_VALUE"""),80.0)</f>
        <v>80</v>
      </c>
      <c r="K71" s="29">
        <f>IFERROR(__xludf.DUMMYFUNCTION("""COMPUTED_VALUE"""),6.0)</f>
        <v>6</v>
      </c>
      <c r="L71" s="31" t="str">
        <f>IFERROR(__xludf.DUMMYFUNCTION("""COMPUTED_VALUE"""),"Racing")</f>
        <v>Racing</v>
      </c>
      <c r="M71" s="31" t="str">
        <f>IFERROR(__xludf.DUMMYFUNCTION("""COMPUTED_VALUE"""),"Exclusive")</f>
        <v>Exclusive</v>
      </c>
    </row>
    <row r="72">
      <c r="A72" s="17" t="str">
        <f>IFERROR(__xludf.DUMMYFUNCTION("""COMPUTED_VALUE"""),"INDIKA")</f>
        <v>INDIKA</v>
      </c>
      <c r="B72" s="20" t="str">
        <f>IFERROR(__xludf.DUMMYFUNCTION("""COMPUTED_VALUE"""),"Xbox / PC")</f>
        <v>Xbox / PC</v>
      </c>
      <c r="C72" s="21" t="str">
        <f>IFERROR(__xludf.DUMMYFUNCTION("""COMPUTED_VALUE"""),"Yes")</f>
        <v>Yes</v>
      </c>
      <c r="D72" s="21" t="str">
        <f>IFERROR(__xludf.DUMMYFUNCTION("""COMPUTED_VALUE"""),"Active")</f>
        <v>Active</v>
      </c>
      <c r="E72" s="23">
        <f>IFERROR(__xludf.DUMMYFUNCTION("""COMPUTED_VALUE"""),46055.0)</f>
        <v>46055</v>
      </c>
      <c r="F72" s="24"/>
      <c r="G72" s="27">
        <f>IFERROR(__xludf.DUMMYFUNCTION("""COMPUTED_VALUE"""),8.133333333333333)</f>
        <v>8.133333333</v>
      </c>
      <c r="H72" s="23">
        <f>IFERROR(__xludf.DUMMYFUNCTION("""COMPUTED_VALUE"""),45414.0)</f>
        <v>45414</v>
      </c>
      <c r="I72" s="27">
        <f>IFERROR(__xludf.DUMMYFUNCTION("""COMPUTED_VALUE"""),1.75)</f>
        <v>1.75</v>
      </c>
      <c r="J72" s="29">
        <f>IFERROR(__xludf.DUMMYFUNCTION("""COMPUTED_VALUE"""),80.0)</f>
        <v>80</v>
      </c>
      <c r="K72" s="29">
        <f>IFERROR(__xludf.DUMMYFUNCTION("""COMPUTED_VALUE"""),4.0)</f>
        <v>4</v>
      </c>
      <c r="L72" s="31" t="str">
        <f>IFERROR(__xludf.DUMMYFUNCTION("""COMPUTED_VALUE"""),"Action-Adventure")</f>
        <v>Action-Adventure</v>
      </c>
      <c r="M72" s="31" t="str">
        <f>IFERROR(__xludf.DUMMYFUNCTION("""COMPUTED_VALUE"""),"Exclusive")</f>
        <v>Exclusive</v>
      </c>
    </row>
    <row r="73">
      <c r="A73" s="17" t="str">
        <f>IFERROR(__xludf.DUMMYFUNCTION("""COMPUTED_VALUE"""),"Total Chaos (2025)")</f>
        <v>Total Chaos (2025)</v>
      </c>
      <c r="B73" s="20" t="str">
        <f>IFERROR(__xludf.DUMMYFUNCTION("""COMPUTED_VALUE"""),"Xbox / PC")</f>
        <v>Xbox / PC</v>
      </c>
      <c r="C73" s="21" t="str">
        <f>IFERROR(__xludf.DUMMYFUNCTION("""COMPUTED_VALUE"""),"Yes")</f>
        <v>Yes</v>
      </c>
      <c r="D73" s="21" t="str">
        <f>IFERROR(__xludf.DUMMYFUNCTION("""COMPUTED_VALUE"""),"Active")</f>
        <v>Active</v>
      </c>
      <c r="E73" s="23">
        <f>IFERROR(__xludf.DUMMYFUNCTION("""COMPUTED_VALUE"""),45981.0)</f>
        <v>45981</v>
      </c>
      <c r="F73" s="24"/>
      <c r="G73" s="27">
        <f>IFERROR(__xludf.DUMMYFUNCTION("""COMPUTED_VALUE"""),10.533333333333333)</f>
        <v>10.53333333</v>
      </c>
      <c r="H73" s="23">
        <f>IFERROR(__xludf.DUMMYFUNCTION("""COMPUTED_VALUE"""),45981.0)</f>
        <v>45981</v>
      </c>
      <c r="I73" s="27">
        <f>IFERROR(__xludf.DUMMYFUNCTION("""COMPUTED_VALUE"""),0.0)</f>
        <v>0</v>
      </c>
      <c r="J73" s="29">
        <f>IFERROR(__xludf.DUMMYFUNCTION("""COMPUTED_VALUE"""),80.0)</f>
        <v>80</v>
      </c>
      <c r="K73" s="29">
        <f>IFERROR(__xludf.DUMMYFUNCTION("""COMPUTED_VALUE"""),11.0)</f>
        <v>11</v>
      </c>
      <c r="L73" s="31" t="str">
        <f>IFERROR(__xludf.DUMMYFUNCTION("""COMPUTED_VALUE"""),"Action-Adventure")</f>
        <v>Action-Adventure</v>
      </c>
      <c r="M73" s="31" t="str">
        <f>IFERROR(__xludf.DUMMYFUNCTION("""COMPUTED_VALUE"""),"Exclusive")</f>
        <v>Exclusive</v>
      </c>
    </row>
    <row r="74">
      <c r="A74" s="17" t="str">
        <f>IFERROR(__xludf.DUMMYFUNCTION("""COMPUTED_VALUE"""),"Egging On")</f>
        <v>Egging On</v>
      </c>
      <c r="B74" s="20" t="str">
        <f>IFERROR(__xludf.DUMMYFUNCTION("""COMPUTED_VALUE"""),"Xbox / PC")</f>
        <v>Xbox / PC</v>
      </c>
      <c r="C74" s="21" t="str">
        <f>IFERROR(__xludf.DUMMYFUNCTION("""COMPUTED_VALUE"""),"Yes")</f>
        <v>Yes</v>
      </c>
      <c r="D74" s="21" t="str">
        <f>IFERROR(__xludf.DUMMYFUNCTION("""COMPUTED_VALUE"""),"Active")</f>
        <v>Active</v>
      </c>
      <c r="E74" s="23">
        <f>IFERROR(__xludf.DUMMYFUNCTION("""COMPUTED_VALUE"""),45967.0)</f>
        <v>45967</v>
      </c>
      <c r="F74" s="24"/>
      <c r="G74" s="27">
        <f>IFERROR(__xludf.DUMMYFUNCTION("""COMPUTED_VALUE"""),11.0)</f>
        <v>11</v>
      </c>
      <c r="H74" s="23">
        <f>IFERROR(__xludf.DUMMYFUNCTION("""COMPUTED_VALUE"""),45967.0)</f>
        <v>45967</v>
      </c>
      <c r="I74" s="27">
        <f>IFERROR(__xludf.DUMMYFUNCTION("""COMPUTED_VALUE"""),0.0)</f>
        <v>0</v>
      </c>
      <c r="J74" s="29">
        <f>IFERROR(__xludf.DUMMYFUNCTION("""COMPUTED_VALUE"""),80.0)</f>
        <v>80</v>
      </c>
      <c r="K74" s="29">
        <f>IFERROR(__xludf.DUMMYFUNCTION("""COMPUTED_VALUE"""),8.0)</f>
        <v>8</v>
      </c>
      <c r="L74" s="31" t="str">
        <f>IFERROR(__xludf.DUMMYFUNCTION("""COMPUTED_VALUE"""),"Platformer")</f>
        <v>Platformer</v>
      </c>
      <c r="M74" s="31" t="str">
        <f>IFERROR(__xludf.DUMMYFUNCTION("""COMPUTED_VALUE"""),"Exclusive")</f>
        <v>Exclusive</v>
      </c>
    </row>
    <row r="75">
      <c r="A75" s="17" t="str">
        <f>IFERROR(__xludf.DUMMYFUNCTION("""COMPUTED_VALUE"""),"Keeper (2025)")</f>
        <v>Keeper (2025)</v>
      </c>
      <c r="B75" s="20" t="str">
        <f>IFERROR(__xludf.DUMMYFUNCTION("""COMPUTED_VALUE"""),"Xbox / PC")</f>
        <v>Xbox / PC</v>
      </c>
      <c r="C75" s="21" t="str">
        <f>IFERROR(__xludf.DUMMYFUNCTION("""COMPUTED_VALUE"""),"Yes")</f>
        <v>Yes</v>
      </c>
      <c r="D75" s="21" t="str">
        <f>IFERROR(__xludf.DUMMYFUNCTION("""COMPUTED_VALUE"""),"Active")</f>
        <v>Active</v>
      </c>
      <c r="E75" s="23">
        <f>IFERROR(__xludf.DUMMYFUNCTION("""COMPUTED_VALUE"""),45947.0)</f>
        <v>45947</v>
      </c>
      <c r="F75" s="24"/>
      <c r="G75" s="27">
        <f>IFERROR(__xludf.DUMMYFUNCTION("""COMPUTED_VALUE"""),11.633333333333333)</f>
        <v>11.63333333</v>
      </c>
      <c r="H75" s="23">
        <f>IFERROR(__xludf.DUMMYFUNCTION("""COMPUTED_VALUE"""),45947.0)</f>
        <v>45947</v>
      </c>
      <c r="I75" s="27">
        <f>IFERROR(__xludf.DUMMYFUNCTION("""COMPUTED_VALUE"""),0.0)</f>
        <v>0</v>
      </c>
      <c r="J75" s="29">
        <f>IFERROR(__xludf.DUMMYFUNCTION("""COMPUTED_VALUE"""),80.0)</f>
        <v>80</v>
      </c>
      <c r="K75" s="29">
        <f>IFERROR(__xludf.DUMMYFUNCTION("""COMPUTED_VALUE"""),5.0)</f>
        <v>5</v>
      </c>
      <c r="L75" s="31" t="str">
        <f>IFERROR(__xludf.DUMMYFUNCTION("""COMPUTED_VALUE"""),"Action-Adventure")</f>
        <v>Action-Adventure</v>
      </c>
      <c r="M75" s="31" t="str">
        <f>IFERROR(__xludf.DUMMYFUNCTION("""COMPUTED_VALUE"""),"Exclusive")</f>
        <v>Exclusive</v>
      </c>
    </row>
    <row r="76">
      <c r="A76" s="17" t="str">
        <f>IFERROR(__xludf.DUMMYFUNCTION("""COMPUTED_VALUE"""),"Wobbly Life")</f>
        <v>Wobbly Life</v>
      </c>
      <c r="B76" s="20" t="str">
        <f>IFERROR(__xludf.DUMMYFUNCTION("""COMPUTED_VALUE"""),"Xbox / PC")</f>
        <v>Xbox / PC</v>
      </c>
      <c r="C76" s="21" t="str">
        <f>IFERROR(__xludf.DUMMYFUNCTION("""COMPUTED_VALUE"""),"Yes")</f>
        <v>Yes</v>
      </c>
      <c r="D76" s="21" t="str">
        <f>IFERROR(__xludf.DUMMYFUNCTION("""COMPUTED_VALUE"""),"Active")</f>
        <v>Active</v>
      </c>
      <c r="E76" s="23">
        <f>IFERROR(__xludf.DUMMYFUNCTION("""COMPUTED_VALUE"""),45918.0)</f>
        <v>45918</v>
      </c>
      <c r="F76" s="24"/>
      <c r="G76" s="27">
        <f>IFERROR(__xludf.DUMMYFUNCTION("""COMPUTED_VALUE"""),12.600000000000001)</f>
        <v>12.6</v>
      </c>
      <c r="H76" s="23">
        <f>IFERROR(__xludf.DUMMYFUNCTION("""COMPUTED_VALUE"""),45898.0)</f>
        <v>45898</v>
      </c>
      <c r="I76" s="27">
        <f>IFERROR(__xludf.DUMMYFUNCTION("""COMPUTED_VALUE"""),0.05277777777777778)</f>
        <v>0.05277777778</v>
      </c>
      <c r="J76" s="29">
        <f>IFERROR(__xludf.DUMMYFUNCTION("""COMPUTED_VALUE"""),80.0)</f>
        <v>80</v>
      </c>
      <c r="K76" s="29">
        <f>IFERROR(__xludf.DUMMYFUNCTION("""COMPUTED_VALUE"""),3.0)</f>
        <v>3</v>
      </c>
      <c r="L76" s="31" t="str">
        <f>IFERROR(__xludf.DUMMYFUNCTION("""COMPUTED_VALUE"""),"Action-Adventure")</f>
        <v>Action-Adventure</v>
      </c>
      <c r="M76" s="31" t="str">
        <f>IFERROR(__xludf.DUMMYFUNCTION("""COMPUTED_VALUE"""),"Exclusive")</f>
        <v>Exclusive</v>
      </c>
    </row>
    <row r="77">
      <c r="A77" s="17" t="str">
        <f>IFERROR(__xludf.DUMMYFUNCTION("""COMPUTED_VALUE"""),"DREDGE")</f>
        <v>DREDGE</v>
      </c>
      <c r="B77" s="20" t="str">
        <f>IFERROR(__xludf.DUMMYFUNCTION("""COMPUTED_VALUE"""),"Xbox / PC")</f>
        <v>Xbox / PC</v>
      </c>
      <c r="C77" s="21" t="str">
        <f>IFERROR(__xludf.DUMMYFUNCTION("""COMPUTED_VALUE"""),"Yes")</f>
        <v>Yes</v>
      </c>
      <c r="D77" s="21" t="str">
        <f>IFERROR(__xludf.DUMMYFUNCTION("""COMPUTED_VALUE"""),"Active")</f>
        <v>Active</v>
      </c>
      <c r="E77" s="23">
        <f>IFERROR(__xludf.DUMMYFUNCTION("""COMPUTED_VALUE"""),45783.0)</f>
        <v>45783</v>
      </c>
      <c r="F77" s="24"/>
      <c r="G77" s="27">
        <f>IFERROR(__xludf.DUMMYFUNCTION("""COMPUTED_VALUE"""),17.0)</f>
        <v>17</v>
      </c>
      <c r="H77" s="23">
        <f>IFERROR(__xludf.DUMMYFUNCTION("""COMPUTED_VALUE"""),45015.0)</f>
        <v>45015</v>
      </c>
      <c r="I77" s="27">
        <f>IFERROR(__xludf.DUMMYFUNCTION("""COMPUTED_VALUE"""),2.1)</f>
        <v>2.1</v>
      </c>
      <c r="J77" s="29">
        <f>IFERROR(__xludf.DUMMYFUNCTION("""COMPUTED_VALUE"""),80.0)</f>
        <v>80</v>
      </c>
      <c r="K77" s="29">
        <f>IFERROR(__xludf.DUMMYFUNCTION("""COMPUTED_VALUE"""),10.0)</f>
        <v>10</v>
      </c>
      <c r="L77" s="31" t="str">
        <f>IFERROR(__xludf.DUMMYFUNCTION("""COMPUTED_VALUE"""),"Action-Adventure")</f>
        <v>Action-Adventure</v>
      </c>
      <c r="M77" s="31" t="str">
        <f>IFERROR(__xludf.DUMMYFUNCTION("""COMPUTED_VALUE"""),"Exclusive")</f>
        <v>Exclusive</v>
      </c>
    </row>
    <row r="78">
      <c r="A78" s="17" t="str">
        <f>IFERROR(__xludf.DUMMYFUNCTION("""COMPUTED_VALUE"""),"EA Sports WRC")</f>
        <v>EA Sports WRC</v>
      </c>
      <c r="B78" s="20" t="str">
        <f>IFERROR(__xludf.DUMMYFUNCTION("""COMPUTED_VALUE"""),"Xbox / PC")</f>
        <v>Xbox / PC</v>
      </c>
      <c r="C78" s="21" t="str">
        <f>IFERROR(__xludf.DUMMYFUNCTION("""COMPUTED_VALUE"""),"Yes")</f>
        <v>Yes</v>
      </c>
      <c r="D78" s="21" t="str">
        <f>IFERROR(__xludf.DUMMYFUNCTION("""COMPUTED_VALUE"""),"Active")</f>
        <v>Active</v>
      </c>
      <c r="E78" s="23">
        <f>IFERROR(__xludf.DUMMYFUNCTION("""COMPUTED_VALUE"""),45631.0)</f>
        <v>45631</v>
      </c>
      <c r="F78" s="24"/>
      <c r="G78" s="27">
        <f>IFERROR(__xludf.DUMMYFUNCTION("""COMPUTED_VALUE"""),22.03333333333333)</f>
        <v>22.03333333</v>
      </c>
      <c r="H78" s="23">
        <f>IFERROR(__xludf.DUMMYFUNCTION("""COMPUTED_VALUE"""),45233.0)</f>
        <v>45233</v>
      </c>
      <c r="I78" s="27">
        <f>IFERROR(__xludf.DUMMYFUNCTION("""COMPUTED_VALUE"""),1.0888888888888888)</f>
        <v>1.088888889</v>
      </c>
      <c r="J78" s="29">
        <f>IFERROR(__xludf.DUMMYFUNCTION("""COMPUTED_VALUE"""),80.0)</f>
        <v>80</v>
      </c>
      <c r="K78" s="29">
        <f>IFERROR(__xludf.DUMMYFUNCTION("""COMPUTED_VALUE"""),11.0)</f>
        <v>11</v>
      </c>
      <c r="L78" s="31" t="str">
        <f>IFERROR(__xludf.DUMMYFUNCTION("""COMPUTED_VALUE"""),"Racing")</f>
        <v>Racing</v>
      </c>
      <c r="M78" s="31" t="str">
        <f>IFERROR(__xludf.DUMMYFUNCTION("""COMPUTED_VALUE"""),"Exclusive")</f>
        <v>Exclusive</v>
      </c>
    </row>
    <row r="79">
      <c r="A79" s="17" t="str">
        <f>IFERROR(__xludf.DUMMYFUNCTION("""COMPUTED_VALUE"""),"Moving Out 2")</f>
        <v>Moving Out 2</v>
      </c>
      <c r="B79" s="20" t="str">
        <f>IFERROR(__xludf.DUMMYFUNCTION("""COMPUTED_VALUE"""),"Xbox / PC")</f>
        <v>Xbox / PC</v>
      </c>
      <c r="C79" s="21" t="str">
        <f>IFERROR(__xludf.DUMMYFUNCTION("""COMPUTED_VALUE"""),"Yes")</f>
        <v>Yes</v>
      </c>
      <c r="D79" s="21" t="str">
        <f>IFERROR(__xludf.DUMMYFUNCTION("""COMPUTED_VALUE"""),"Active")</f>
        <v>Active</v>
      </c>
      <c r="E79" s="23">
        <f>IFERROR(__xludf.DUMMYFUNCTION("""COMPUTED_VALUE"""),45440.0)</f>
        <v>45440</v>
      </c>
      <c r="F79" s="24"/>
      <c r="G79" s="27">
        <f>IFERROR(__xludf.DUMMYFUNCTION("""COMPUTED_VALUE"""),28.266666666666666)</f>
        <v>28.26666667</v>
      </c>
      <c r="H79" s="23">
        <f>IFERROR(__xludf.DUMMYFUNCTION("""COMPUTED_VALUE"""),45153.0)</f>
        <v>45153</v>
      </c>
      <c r="I79" s="27">
        <f>IFERROR(__xludf.DUMMYFUNCTION("""COMPUTED_VALUE"""),0.7861111111111111)</f>
        <v>0.7861111111</v>
      </c>
      <c r="J79" s="29">
        <f>IFERROR(__xludf.DUMMYFUNCTION("""COMPUTED_VALUE"""),80.0)</f>
        <v>80</v>
      </c>
      <c r="K79" s="29">
        <f>IFERROR(__xludf.DUMMYFUNCTION("""COMPUTED_VALUE"""),10.0)</f>
        <v>10</v>
      </c>
      <c r="L79" s="31" t="str">
        <f>IFERROR(__xludf.DUMMYFUNCTION("""COMPUTED_VALUE"""),"Simulation")</f>
        <v>Simulation</v>
      </c>
      <c r="M79" s="31" t="str">
        <f>IFERROR(__xludf.DUMMYFUNCTION("""COMPUTED_VALUE"""),"Exclusive")</f>
        <v>Exclusive</v>
      </c>
    </row>
    <row r="80">
      <c r="A80" s="17" t="str">
        <f>IFERROR(__xludf.DUMMYFUNCTION("""COMPUTED_VALUE"""),"Hellblade II: Senua’s Saga")</f>
        <v>Hellblade II: Senua’s Saga</v>
      </c>
      <c r="B80" s="20" t="str">
        <f>IFERROR(__xludf.DUMMYFUNCTION("""COMPUTED_VALUE"""),"Xbox / PC")</f>
        <v>Xbox / PC</v>
      </c>
      <c r="C80" s="21" t="str">
        <f>IFERROR(__xludf.DUMMYFUNCTION("""COMPUTED_VALUE"""),"Yes")</f>
        <v>Yes</v>
      </c>
      <c r="D80" s="21" t="str">
        <f>IFERROR(__xludf.DUMMYFUNCTION("""COMPUTED_VALUE"""),"Active")</f>
        <v>Active</v>
      </c>
      <c r="E80" s="23">
        <f>IFERROR(__xludf.DUMMYFUNCTION("""COMPUTED_VALUE"""),45433.0)</f>
        <v>45433</v>
      </c>
      <c r="F80" s="24"/>
      <c r="G80" s="27">
        <f>IFERROR(__xludf.DUMMYFUNCTION("""COMPUTED_VALUE"""),28.5)</f>
        <v>28.5</v>
      </c>
      <c r="H80" s="23">
        <f>IFERROR(__xludf.DUMMYFUNCTION("""COMPUTED_VALUE"""),45433.0)</f>
        <v>45433</v>
      </c>
      <c r="I80" s="27">
        <f>IFERROR(__xludf.DUMMYFUNCTION("""COMPUTED_VALUE"""),0.0)</f>
        <v>0</v>
      </c>
      <c r="J80" s="29">
        <f>IFERROR(__xludf.DUMMYFUNCTION("""COMPUTED_VALUE"""),80.0)</f>
        <v>80</v>
      </c>
      <c r="K80" s="29">
        <f>IFERROR(__xludf.DUMMYFUNCTION("""COMPUTED_VALUE"""),7.0)</f>
        <v>7</v>
      </c>
      <c r="L80" s="31" t="str">
        <f>IFERROR(__xludf.DUMMYFUNCTION("""COMPUTED_VALUE"""),"Action-Adventure")</f>
        <v>Action-Adventure</v>
      </c>
      <c r="M80" s="31" t="str">
        <f>IFERROR(__xludf.DUMMYFUNCTION("""COMPUTED_VALUE"""),"Exclusive")</f>
        <v>Exclusive</v>
      </c>
    </row>
    <row r="81">
      <c r="A81" s="17" t="str">
        <f>IFERROR(__xludf.DUMMYFUNCTION("""COMPUTED_VALUE"""),"Tamashika")</f>
        <v>Tamashika</v>
      </c>
      <c r="B81" s="20" t="str">
        <f>IFERROR(__xludf.DUMMYFUNCTION("""COMPUTED_VALUE"""),"Xbox / PC")</f>
        <v>Xbox / PC</v>
      </c>
      <c r="C81" s="21" t="str">
        <f>IFERROR(__xludf.DUMMYFUNCTION("""COMPUTED_VALUE"""),"Yes")</f>
        <v>Yes</v>
      </c>
      <c r="D81" s="21" t="str">
        <f>IFERROR(__xludf.DUMMYFUNCTION("""COMPUTED_VALUE"""),"Active")</f>
        <v>Active</v>
      </c>
      <c r="E81" s="23">
        <f>IFERROR(__xludf.DUMMYFUNCTION("""COMPUTED_VALUE"""),46212.0)</f>
        <v>46212</v>
      </c>
      <c r="F81" s="24"/>
      <c r="G81" s="27">
        <f>IFERROR(__xludf.DUMMYFUNCTION("""COMPUTED_VALUE"""),2.9)</f>
        <v>2.9</v>
      </c>
      <c r="H81" s="23">
        <f>IFERROR(__xludf.DUMMYFUNCTION("""COMPUTED_VALUE"""),46122.0)</f>
        <v>46122</v>
      </c>
      <c r="I81" s="27">
        <f>IFERROR(__xludf.DUMMYFUNCTION("""COMPUTED_VALUE"""),0.24722222222222223)</f>
        <v>0.2472222222</v>
      </c>
      <c r="J81" s="29">
        <f>IFERROR(__xludf.DUMMYFUNCTION("""COMPUTED_VALUE"""),79.0)</f>
        <v>79</v>
      </c>
      <c r="K81" s="29">
        <f>IFERROR(__xludf.DUMMYFUNCTION("""COMPUTED_VALUE"""),2.0)</f>
        <v>2</v>
      </c>
      <c r="L81" s="31" t="str">
        <f>IFERROR(__xludf.DUMMYFUNCTION("""COMPUTED_VALUE"""),"Shooter")</f>
        <v>Shooter</v>
      </c>
      <c r="M81" s="31" t="str">
        <f>IFERROR(__xludf.DUMMYFUNCTION("""COMPUTED_VALUE"""),"Exclusive")</f>
        <v>Exclusive</v>
      </c>
    </row>
    <row r="82">
      <c r="A82" s="17" t="str">
        <f>IFERROR(__xludf.DUMMYFUNCTION("""COMPUTED_VALUE"""),"Trepang2")</f>
        <v>Trepang2</v>
      </c>
      <c r="B82" s="20" t="str">
        <f>IFERROR(__xludf.DUMMYFUNCTION("""COMPUTED_VALUE"""),"Xbox / PC")</f>
        <v>Xbox / PC</v>
      </c>
      <c r="C82" s="21" t="str">
        <f>IFERROR(__xludf.DUMMYFUNCTION("""COMPUTED_VALUE"""),"Yes")</f>
        <v>Yes</v>
      </c>
      <c r="D82" s="21" t="str">
        <f>IFERROR(__xludf.DUMMYFUNCTION("""COMPUTED_VALUE"""),"Active")</f>
        <v>Active</v>
      </c>
      <c r="E82" s="23">
        <f>IFERROR(__xludf.DUMMYFUNCTION("""COMPUTED_VALUE"""),46141.0)</f>
        <v>46141</v>
      </c>
      <c r="F82" s="24"/>
      <c r="G82" s="27">
        <f>IFERROR(__xludf.DUMMYFUNCTION("""COMPUTED_VALUE"""),5.233333333333333)</f>
        <v>5.233333333</v>
      </c>
      <c r="H82" s="23">
        <f>IFERROR(__xludf.DUMMYFUNCTION("""COMPUTED_VALUE"""),45098.0)</f>
        <v>45098</v>
      </c>
      <c r="I82" s="27">
        <f>IFERROR(__xludf.DUMMYFUNCTION("""COMPUTED_VALUE"""),2.8555555555555556)</f>
        <v>2.855555556</v>
      </c>
      <c r="J82" s="29">
        <f>IFERROR(__xludf.DUMMYFUNCTION("""COMPUTED_VALUE"""),79.0)</f>
        <v>79</v>
      </c>
      <c r="K82" s="29">
        <f>IFERROR(__xludf.DUMMYFUNCTION("""COMPUTED_VALUE"""),5.0)</f>
        <v>5</v>
      </c>
      <c r="L82" s="31" t="str">
        <f>IFERROR(__xludf.DUMMYFUNCTION("""COMPUTED_VALUE"""),"Shooter")</f>
        <v>Shooter</v>
      </c>
      <c r="M82" s="31" t="str">
        <f>IFERROR(__xludf.DUMMYFUNCTION("""COMPUTED_VALUE"""),"Exclusive")</f>
        <v>Exclusive</v>
      </c>
    </row>
    <row r="83">
      <c r="A83" s="17" t="str">
        <f>IFERROR(__xludf.DUMMYFUNCTION("""COMPUTED_VALUE"""),"Little Nightmares: Enhanced Edition")</f>
        <v>Little Nightmares: Enhanced Edition</v>
      </c>
      <c r="B83" s="20" t="str">
        <f>IFERROR(__xludf.DUMMYFUNCTION("""COMPUTED_VALUE"""),"Xbox / PC")</f>
        <v>Xbox / PC</v>
      </c>
      <c r="C83" s="21" t="str">
        <f>IFERROR(__xludf.DUMMYFUNCTION("""COMPUTED_VALUE"""),"Yes")</f>
        <v>Yes</v>
      </c>
      <c r="D83" s="21" t="str">
        <f>IFERROR(__xludf.DUMMYFUNCTION("""COMPUTED_VALUE"""),"Active")</f>
        <v>Active</v>
      </c>
      <c r="E83" s="23">
        <f>IFERROR(__xludf.DUMMYFUNCTION("""COMPUTED_VALUE"""),46028.0)</f>
        <v>46028</v>
      </c>
      <c r="F83" s="24"/>
      <c r="G83" s="27">
        <f>IFERROR(__xludf.DUMMYFUNCTION("""COMPUTED_VALUE"""),9.0)</f>
        <v>9</v>
      </c>
      <c r="H83" s="23">
        <f>IFERROR(__xludf.DUMMYFUNCTION("""COMPUTED_VALUE"""),43238.0)</f>
        <v>43238</v>
      </c>
      <c r="I83" s="27">
        <f>IFERROR(__xludf.DUMMYFUNCTION("""COMPUTED_VALUE"""),7.633333333333334)</f>
        <v>7.633333333</v>
      </c>
      <c r="J83" s="29">
        <f>IFERROR(__xludf.DUMMYFUNCTION("""COMPUTED_VALUE"""),79.0)</f>
        <v>79</v>
      </c>
      <c r="K83" s="29">
        <f>IFERROR(__xludf.DUMMYFUNCTION("""COMPUTED_VALUE"""),4.0)</f>
        <v>4</v>
      </c>
      <c r="L83" s="31" t="str">
        <f>IFERROR(__xludf.DUMMYFUNCTION("""COMPUTED_VALUE"""),"Action-Adventure")</f>
        <v>Action-Adventure</v>
      </c>
      <c r="M83" s="31" t="str">
        <f>IFERROR(__xludf.DUMMYFUNCTION("""COMPUTED_VALUE"""),"Exclusive")</f>
        <v>Exclusive</v>
      </c>
    </row>
    <row r="84">
      <c r="A84" s="17" t="str">
        <f>IFERROR(__xludf.DUMMYFUNCTION("""COMPUTED_VALUE"""),"Gears of War: Reloaded")</f>
        <v>Gears of War: Reloaded</v>
      </c>
      <c r="B84" s="20" t="str">
        <f>IFERROR(__xludf.DUMMYFUNCTION("""COMPUTED_VALUE"""),"Xbox / PC")</f>
        <v>Xbox / PC</v>
      </c>
      <c r="C84" s="21" t="str">
        <f>IFERROR(__xludf.DUMMYFUNCTION("""COMPUTED_VALUE"""),"Yes")</f>
        <v>Yes</v>
      </c>
      <c r="D84" s="21" t="str">
        <f>IFERROR(__xludf.DUMMYFUNCTION("""COMPUTED_VALUE"""),"Active")</f>
        <v>Active</v>
      </c>
      <c r="E84" s="23">
        <f>IFERROR(__xludf.DUMMYFUNCTION("""COMPUTED_VALUE"""),45895.0)</f>
        <v>45895</v>
      </c>
      <c r="F84" s="24"/>
      <c r="G84" s="27">
        <f>IFERROR(__xludf.DUMMYFUNCTION("""COMPUTED_VALUE"""),13.333333333333334)</f>
        <v>13.33333333</v>
      </c>
      <c r="H84" s="23">
        <f>IFERROR(__xludf.DUMMYFUNCTION("""COMPUTED_VALUE"""),45895.0)</f>
        <v>45895</v>
      </c>
      <c r="I84" s="27">
        <f>IFERROR(__xludf.DUMMYFUNCTION("""COMPUTED_VALUE"""),0.0)</f>
        <v>0</v>
      </c>
      <c r="J84" s="29">
        <f>IFERROR(__xludf.DUMMYFUNCTION("""COMPUTED_VALUE"""),79.0)</f>
        <v>79</v>
      </c>
      <c r="K84" s="29">
        <f>IFERROR(__xludf.DUMMYFUNCTION("""COMPUTED_VALUE"""),7.0)</f>
        <v>7</v>
      </c>
      <c r="L84" s="31" t="str">
        <f>IFERROR(__xludf.DUMMYFUNCTION("""COMPUTED_VALUE"""),"Shooter")</f>
        <v>Shooter</v>
      </c>
      <c r="M84" s="31" t="str">
        <f>IFERROR(__xludf.DUMMYFUNCTION("""COMPUTED_VALUE"""),"Exclusive")</f>
        <v>Exclusive</v>
      </c>
    </row>
    <row r="85">
      <c r="A85" s="17" t="str">
        <f>IFERROR(__xludf.DUMMYFUNCTION("""COMPUTED_VALUE"""),"33 Immortals")</f>
        <v>33 Immortals</v>
      </c>
      <c r="B85" s="20" t="str">
        <f>IFERROR(__xludf.DUMMYFUNCTION("""COMPUTED_VALUE"""),"Xbox / PC")</f>
        <v>Xbox / PC</v>
      </c>
      <c r="C85" s="21" t="str">
        <f>IFERROR(__xludf.DUMMYFUNCTION("""COMPUTED_VALUE"""),"Yes")</f>
        <v>Yes</v>
      </c>
      <c r="D85" s="21" t="str">
        <f>IFERROR(__xludf.DUMMYFUNCTION("""COMPUTED_VALUE"""),"Active")</f>
        <v>Active</v>
      </c>
      <c r="E85" s="23">
        <f>IFERROR(__xludf.DUMMYFUNCTION("""COMPUTED_VALUE"""),45734.0)</f>
        <v>45734</v>
      </c>
      <c r="F85" s="24"/>
      <c r="G85" s="27">
        <f>IFERROR(__xludf.DUMMYFUNCTION("""COMPUTED_VALUE"""),18.6)</f>
        <v>18.6</v>
      </c>
      <c r="H85" s="23">
        <f>IFERROR(__xludf.DUMMYFUNCTION("""COMPUTED_VALUE"""),45734.0)</f>
        <v>45734</v>
      </c>
      <c r="I85" s="27">
        <f>IFERROR(__xludf.DUMMYFUNCTION("""COMPUTED_VALUE"""),0.0)</f>
        <v>0</v>
      </c>
      <c r="J85" s="29">
        <f>IFERROR(__xludf.DUMMYFUNCTION("""COMPUTED_VALUE"""),79.0)</f>
        <v>79</v>
      </c>
      <c r="K85" s="29">
        <f>IFERROR(__xludf.DUMMYFUNCTION("""COMPUTED_VALUE"""),5.0)</f>
        <v>5</v>
      </c>
      <c r="L85" s="31" t="str">
        <f>IFERROR(__xludf.DUMMYFUNCTION("""COMPUTED_VALUE"""),"RPG")</f>
        <v>RPG</v>
      </c>
      <c r="M85" s="31" t="str">
        <f>IFERROR(__xludf.DUMMYFUNCTION("""COMPUTED_VALUE"""),"Exclusive")</f>
        <v>Exclusive</v>
      </c>
    </row>
    <row r="86">
      <c r="A86" s="17" t="str">
        <f>IFERROR(__xludf.DUMMYFUNCTION("""COMPUTED_VALUE"""),"Mechwarrior 5: Clans")</f>
        <v>Mechwarrior 5: Clans</v>
      </c>
      <c r="B86" s="20" t="str">
        <f>IFERROR(__xludf.DUMMYFUNCTION("""COMPUTED_VALUE"""),"Xbox / PC")</f>
        <v>Xbox / PC</v>
      </c>
      <c r="C86" s="21" t="str">
        <f>IFERROR(__xludf.DUMMYFUNCTION("""COMPUTED_VALUE"""),"Yes")</f>
        <v>Yes</v>
      </c>
      <c r="D86" s="21" t="str">
        <f>IFERROR(__xludf.DUMMYFUNCTION("""COMPUTED_VALUE"""),"Active")</f>
        <v>Active</v>
      </c>
      <c r="E86" s="23">
        <f>IFERROR(__xludf.DUMMYFUNCTION("""COMPUTED_VALUE"""),45582.0)</f>
        <v>45582</v>
      </c>
      <c r="F86" s="24"/>
      <c r="G86" s="27">
        <f>IFERROR(__xludf.DUMMYFUNCTION("""COMPUTED_VALUE"""),23.633333333333333)</f>
        <v>23.63333333</v>
      </c>
      <c r="H86" s="23">
        <f>IFERROR(__xludf.DUMMYFUNCTION("""COMPUTED_VALUE"""),45582.0)</f>
        <v>45582</v>
      </c>
      <c r="I86" s="27">
        <f>IFERROR(__xludf.DUMMYFUNCTION("""COMPUTED_VALUE"""),0.0)</f>
        <v>0</v>
      </c>
      <c r="J86" s="29">
        <f>IFERROR(__xludf.DUMMYFUNCTION("""COMPUTED_VALUE"""),79.0)</f>
        <v>79</v>
      </c>
      <c r="K86" s="29">
        <f>IFERROR(__xludf.DUMMYFUNCTION("""COMPUTED_VALUE"""),23.0)</f>
        <v>23</v>
      </c>
      <c r="L86" s="31" t="str">
        <f>IFERROR(__xludf.DUMMYFUNCTION("""COMPUTED_VALUE"""),"Simulation")</f>
        <v>Simulation</v>
      </c>
      <c r="M86" s="31" t="str">
        <f>IFERROR(__xludf.DUMMYFUNCTION("""COMPUTED_VALUE"""),"Exclusive")</f>
        <v>Exclusive</v>
      </c>
    </row>
    <row r="87">
      <c r="A87" s="17" t="str">
        <f>IFERROR(__xludf.DUMMYFUNCTION("""COMPUTED_VALUE"""),"Pacific Drive")</f>
        <v>Pacific Drive</v>
      </c>
      <c r="B87" s="20" t="str">
        <f>IFERROR(__xludf.DUMMYFUNCTION("""COMPUTED_VALUE"""),"Xbox / PC")</f>
        <v>Xbox / PC</v>
      </c>
      <c r="C87" s="21" t="str">
        <f>IFERROR(__xludf.DUMMYFUNCTION("""COMPUTED_VALUE"""),"Yes")</f>
        <v>Yes</v>
      </c>
      <c r="D87" s="21" t="str">
        <f>IFERROR(__xludf.DUMMYFUNCTION("""COMPUTED_VALUE"""),"Leaving Soon")</f>
        <v>Leaving Soon</v>
      </c>
      <c r="E87" s="23">
        <f>IFERROR(__xludf.DUMMYFUNCTION("""COMPUTED_VALUE"""),45953.0)</f>
        <v>45953</v>
      </c>
      <c r="F87" s="24">
        <f>IFERROR(__xludf.DUMMYFUNCTION("""COMPUTED_VALUE"""),46310.0)</f>
        <v>46310</v>
      </c>
      <c r="G87" s="27">
        <f>IFERROR(__xludf.DUMMYFUNCTION("""COMPUTED_VALUE"""),11.733333333333333)</f>
        <v>11.73333333</v>
      </c>
      <c r="H87" s="23">
        <f>IFERROR(__xludf.DUMMYFUNCTION("""COMPUTED_VALUE"""),45343.0)</f>
        <v>45343</v>
      </c>
      <c r="I87" s="27">
        <f>IFERROR(__xludf.DUMMYFUNCTION("""COMPUTED_VALUE"""),1.6722222222222223)</f>
        <v>1.672222222</v>
      </c>
      <c r="J87" s="29">
        <f>IFERROR(__xludf.DUMMYFUNCTION("""COMPUTED_VALUE"""),79.0)</f>
        <v>79</v>
      </c>
      <c r="K87" s="29">
        <f>IFERROR(__xludf.DUMMYFUNCTION("""COMPUTED_VALUE"""),20.0)</f>
        <v>20</v>
      </c>
      <c r="L87" s="31" t="str">
        <f>IFERROR(__xludf.DUMMYFUNCTION("""COMPUTED_VALUE"""),"Racing")</f>
        <v>Racing</v>
      </c>
      <c r="M87" s="31" t="str">
        <f>IFERROR(__xludf.DUMMYFUNCTION("""COMPUTED_VALUE"""),"Exclusive")</f>
        <v>Exclusive</v>
      </c>
    </row>
    <row r="88">
      <c r="A88" s="17" t="str">
        <f>IFERROR(__xludf.DUMMYFUNCTION("""COMPUTED_VALUE"""),"Dune: Awakening")</f>
        <v>Dune: Awakening</v>
      </c>
      <c r="B88" s="20" t="str">
        <f>IFERROR(__xludf.DUMMYFUNCTION("""COMPUTED_VALUE"""),"Xbox / PC")</f>
        <v>Xbox / PC</v>
      </c>
      <c r="C88" s="21" t="str">
        <f>IFERROR(__xludf.DUMMYFUNCTION("""COMPUTED_VALUE"""),"Yes")</f>
        <v>Yes</v>
      </c>
      <c r="D88" s="21" t="str">
        <f>IFERROR(__xludf.DUMMYFUNCTION("""COMPUTED_VALUE"""),"Active")</f>
        <v>Active</v>
      </c>
      <c r="E88" s="23">
        <f>IFERROR(__xludf.DUMMYFUNCTION("""COMPUTED_VALUE"""),46287.0)</f>
        <v>46287</v>
      </c>
      <c r="F88" s="24"/>
      <c r="G88" s="27">
        <f>IFERROR(__xludf.DUMMYFUNCTION("""COMPUTED_VALUE"""),0.4666666666666667)</f>
        <v>0.4666666667</v>
      </c>
      <c r="H88" s="23">
        <f>IFERROR(__xludf.DUMMYFUNCTION("""COMPUTED_VALUE"""),45818.0)</f>
        <v>45818</v>
      </c>
      <c r="I88" s="27">
        <f>IFERROR(__xludf.DUMMYFUNCTION("""COMPUTED_VALUE"""),1.2833333333333334)</f>
        <v>1.283333333</v>
      </c>
      <c r="J88" s="29">
        <f>IFERROR(__xludf.DUMMYFUNCTION("""COMPUTED_VALUE"""),78.0)</f>
        <v>78</v>
      </c>
      <c r="K88" s="29">
        <f>IFERROR(__xludf.DUMMYFUNCTION("""COMPUTED_VALUE"""),114.0)</f>
        <v>114</v>
      </c>
      <c r="L88" s="31" t="str">
        <f>IFERROR(__xludf.DUMMYFUNCTION("""COMPUTED_VALUE"""),"Action-Adventure")</f>
        <v>Action-Adventure</v>
      </c>
      <c r="M88" s="31" t="str">
        <f>IFERROR(__xludf.DUMMYFUNCTION("""COMPUTED_VALUE"""),"Exclusive")</f>
        <v>Exclusive</v>
      </c>
    </row>
    <row r="89">
      <c r="A89" s="17" t="str">
        <f>IFERROR(__xludf.DUMMYFUNCTION("""COMPUTED_VALUE"""),"Virtua Fighter 5 R.E.V.O. World Stage")</f>
        <v>Virtua Fighter 5 R.E.V.O. World Stage</v>
      </c>
      <c r="B89" s="20" t="str">
        <f>IFERROR(__xludf.DUMMYFUNCTION("""COMPUTED_VALUE"""),"Xbox / PC")</f>
        <v>Xbox / PC</v>
      </c>
      <c r="C89" s="21" t="str">
        <f>IFERROR(__xludf.DUMMYFUNCTION("""COMPUTED_VALUE"""),"Yes")</f>
        <v>Yes</v>
      </c>
      <c r="D89" s="21" t="str">
        <f>IFERROR(__xludf.DUMMYFUNCTION("""COMPUTED_VALUE"""),"Active")</f>
        <v>Active</v>
      </c>
      <c r="E89" s="23">
        <f>IFERROR(__xludf.DUMMYFUNCTION("""COMPUTED_VALUE"""),46275.0)</f>
        <v>46275</v>
      </c>
      <c r="F89" s="24"/>
      <c r="G89" s="27">
        <f>IFERROR(__xludf.DUMMYFUNCTION("""COMPUTED_VALUE"""),0.8666666666666666)</f>
        <v>0.8666666667</v>
      </c>
      <c r="H89" s="23">
        <f>IFERROR(__xludf.DUMMYFUNCTION("""COMPUTED_VALUE"""),45960.0)</f>
        <v>45960</v>
      </c>
      <c r="I89" s="27">
        <f>IFERROR(__xludf.DUMMYFUNCTION("""COMPUTED_VALUE"""),0.8611111111111112)</f>
        <v>0.8611111111</v>
      </c>
      <c r="J89" s="29">
        <f>IFERROR(__xludf.DUMMYFUNCTION("""COMPUTED_VALUE"""),78.0)</f>
        <v>78</v>
      </c>
      <c r="K89" s="29">
        <f>IFERROR(__xludf.DUMMYFUNCTION("""COMPUTED_VALUE"""),1.0)</f>
        <v>1</v>
      </c>
      <c r="L89" s="31" t="str">
        <f>IFERROR(__xludf.DUMMYFUNCTION("""COMPUTED_VALUE"""),"Fighting")</f>
        <v>Fighting</v>
      </c>
      <c r="M89" s="31" t="str">
        <f>IFERROR(__xludf.DUMMYFUNCTION("""COMPUTED_VALUE"""),"Exclusive")</f>
        <v>Exclusive</v>
      </c>
    </row>
    <row r="90">
      <c r="A90" s="17" t="str">
        <f>IFERROR(__xludf.DUMMYFUNCTION("""COMPUTED_VALUE"""),"Resonance: A Plague Tale Legacy")</f>
        <v>Resonance: A Plague Tale Legacy</v>
      </c>
      <c r="B90" s="20" t="str">
        <f>IFERROR(__xludf.DUMMYFUNCTION("""COMPUTED_VALUE"""),"Xbox / PC")</f>
        <v>Xbox / PC</v>
      </c>
      <c r="C90" s="21" t="str">
        <f>IFERROR(__xludf.DUMMYFUNCTION("""COMPUTED_VALUE"""),"Yes")</f>
        <v>Yes</v>
      </c>
      <c r="D90" s="21" t="str">
        <f>IFERROR(__xludf.DUMMYFUNCTION("""COMPUTED_VALUE"""),"Active")</f>
        <v>Active</v>
      </c>
      <c r="E90" s="23">
        <f>IFERROR(__xludf.DUMMYFUNCTION("""COMPUTED_VALUE"""),46261.0)</f>
        <v>46261</v>
      </c>
      <c r="F90" s="24"/>
      <c r="G90" s="27">
        <f>IFERROR(__xludf.DUMMYFUNCTION("""COMPUTED_VALUE"""),1.3)</f>
        <v>1.3</v>
      </c>
      <c r="H90" s="23">
        <f>IFERROR(__xludf.DUMMYFUNCTION("""COMPUTED_VALUE"""),46261.0)</f>
        <v>46261</v>
      </c>
      <c r="I90" s="27">
        <f>IFERROR(__xludf.DUMMYFUNCTION("""COMPUTED_VALUE"""),0.0)</f>
        <v>0</v>
      </c>
      <c r="J90" s="29">
        <f>IFERROR(__xludf.DUMMYFUNCTION("""COMPUTED_VALUE"""),78.0)</f>
        <v>78</v>
      </c>
      <c r="K90" s="29">
        <f>IFERROR(__xludf.DUMMYFUNCTION("""COMPUTED_VALUE"""),12.0)</f>
        <v>12</v>
      </c>
      <c r="L90" s="31" t="str">
        <f>IFERROR(__xludf.DUMMYFUNCTION("""COMPUTED_VALUE"""),"Action-Adventure")</f>
        <v>Action-Adventure</v>
      </c>
      <c r="M90" s="31" t="str">
        <f>IFERROR(__xludf.DUMMYFUNCTION("""COMPUTED_VALUE"""),"Exclusive")</f>
        <v>Exclusive</v>
      </c>
    </row>
    <row r="91">
      <c r="A91" s="17" t="str">
        <f>IFERROR(__xludf.DUMMYFUNCTION("""COMPUTED_VALUE"""),"Date Everything!")</f>
        <v>Date Everything!</v>
      </c>
      <c r="B91" s="20" t="str">
        <f>IFERROR(__xludf.DUMMYFUNCTION("""COMPUTED_VALUE"""),"Xbox / PC")</f>
        <v>Xbox / PC</v>
      </c>
      <c r="C91" s="21" t="str">
        <f>IFERROR(__xludf.DUMMYFUNCTION("""COMPUTED_VALUE"""),"Yes")</f>
        <v>Yes</v>
      </c>
      <c r="D91" s="21" t="str">
        <f>IFERROR(__xludf.DUMMYFUNCTION("""COMPUTED_VALUE"""),"Active")</f>
        <v>Active</v>
      </c>
      <c r="E91" s="23">
        <f>IFERROR(__xludf.DUMMYFUNCTION("""COMPUTED_VALUE"""),46245.0)</f>
        <v>46245</v>
      </c>
      <c r="F91" s="24"/>
      <c r="G91" s="27">
        <f>IFERROR(__xludf.DUMMYFUNCTION("""COMPUTED_VALUE"""),1.8333333333333335)</f>
        <v>1.833333333</v>
      </c>
      <c r="H91" s="23">
        <f>IFERROR(__xludf.DUMMYFUNCTION("""COMPUTED_VALUE"""),45825.0)</f>
        <v>45825</v>
      </c>
      <c r="I91" s="27">
        <f>IFERROR(__xludf.DUMMYFUNCTION("""COMPUTED_VALUE"""),1.15)</f>
        <v>1.15</v>
      </c>
      <c r="J91" s="29">
        <f>IFERROR(__xludf.DUMMYFUNCTION("""COMPUTED_VALUE"""),78.0)</f>
        <v>78</v>
      </c>
      <c r="K91" s="29">
        <f>IFERROR(__xludf.DUMMYFUNCTION("""COMPUTED_VALUE"""),15.0)</f>
        <v>15</v>
      </c>
      <c r="L91" s="31" t="str">
        <f>IFERROR(__xludf.DUMMYFUNCTION("""COMPUTED_VALUE"""),"Simulation")</f>
        <v>Simulation</v>
      </c>
      <c r="M91" s="31" t="str">
        <f>IFERROR(__xludf.DUMMYFUNCTION("""COMPUTED_VALUE"""),"Exclusive")</f>
        <v>Exclusive</v>
      </c>
    </row>
    <row r="92">
      <c r="A92" s="17" t="str">
        <f>IFERROR(__xludf.DUMMYFUNCTION("""COMPUTED_VALUE"""),"Mavrix by Matt Jones")</f>
        <v>Mavrix by Matt Jones</v>
      </c>
      <c r="B92" s="20" t="str">
        <f>IFERROR(__xludf.DUMMYFUNCTION("""COMPUTED_VALUE"""),"Xbox / PC")</f>
        <v>Xbox / PC</v>
      </c>
      <c r="C92" s="21" t="str">
        <f>IFERROR(__xludf.DUMMYFUNCTION("""COMPUTED_VALUE"""),"Yes")</f>
        <v>Yes</v>
      </c>
      <c r="D92" s="21" t="str">
        <f>IFERROR(__xludf.DUMMYFUNCTION("""COMPUTED_VALUE"""),"Active")</f>
        <v>Active</v>
      </c>
      <c r="E92" s="23">
        <f>IFERROR(__xludf.DUMMYFUNCTION("""COMPUTED_VALUE"""),46219.0)</f>
        <v>46219</v>
      </c>
      <c r="F92" s="24"/>
      <c r="G92" s="27">
        <f>IFERROR(__xludf.DUMMYFUNCTION("""COMPUTED_VALUE"""),2.6666666666666665)</f>
        <v>2.666666667</v>
      </c>
      <c r="H92" s="23">
        <f>IFERROR(__xludf.DUMMYFUNCTION("""COMPUTED_VALUE"""),46219.0)</f>
        <v>46219</v>
      </c>
      <c r="I92" s="27">
        <f>IFERROR(__xludf.DUMMYFUNCTION("""COMPUTED_VALUE"""),0.0)</f>
        <v>0</v>
      </c>
      <c r="J92" s="29">
        <f>IFERROR(__xludf.DUMMYFUNCTION("""COMPUTED_VALUE"""),78.0)</f>
        <v>78</v>
      </c>
      <c r="K92" s="29"/>
      <c r="L92" s="31" t="str">
        <f>IFERROR(__xludf.DUMMYFUNCTION("""COMPUTED_VALUE"""),"Racing")</f>
        <v>Racing</v>
      </c>
      <c r="M92" s="31" t="str">
        <f>IFERROR(__xludf.DUMMYFUNCTION("""COMPUTED_VALUE"""),"Exclusive")</f>
        <v>Exclusive</v>
      </c>
    </row>
    <row r="93">
      <c r="A93" s="17" t="str">
        <f>IFERROR(__xludf.DUMMYFUNCTION("""COMPUTED_VALUE"""),"Junkster")</f>
        <v>Junkster</v>
      </c>
      <c r="B93" s="20" t="str">
        <f>IFERROR(__xludf.DUMMYFUNCTION("""COMPUTED_VALUE"""),"Xbox / PC")</f>
        <v>Xbox / PC</v>
      </c>
      <c r="C93" s="21" t="str">
        <f>IFERROR(__xludf.DUMMYFUNCTION("""COMPUTED_VALUE"""),"Yes")</f>
        <v>Yes</v>
      </c>
      <c r="D93" s="21" t="str">
        <f>IFERROR(__xludf.DUMMYFUNCTION("""COMPUTED_VALUE"""),"Active")</f>
        <v>Active</v>
      </c>
      <c r="E93" s="23">
        <f>IFERROR(__xludf.DUMMYFUNCTION("""COMPUTED_VALUE"""),46189.0)</f>
        <v>46189</v>
      </c>
      <c r="F93" s="24"/>
      <c r="G93" s="27">
        <f>IFERROR(__xludf.DUMMYFUNCTION("""COMPUTED_VALUE"""),3.666666666666667)</f>
        <v>3.666666667</v>
      </c>
      <c r="H93" s="23">
        <f>IFERROR(__xludf.DUMMYFUNCTION("""COMPUTED_VALUE"""),46189.0)</f>
        <v>46189</v>
      </c>
      <c r="I93" s="27">
        <f>IFERROR(__xludf.DUMMYFUNCTION("""COMPUTED_VALUE"""),0.0)</f>
        <v>0</v>
      </c>
      <c r="J93" s="29">
        <f>IFERROR(__xludf.DUMMYFUNCTION("""COMPUTED_VALUE"""),78.0)</f>
        <v>78</v>
      </c>
      <c r="K93" s="29">
        <f>IFERROR(__xludf.DUMMYFUNCTION("""COMPUTED_VALUE"""),4.0)</f>
        <v>4</v>
      </c>
      <c r="L93" s="31" t="str">
        <f>IFERROR(__xludf.DUMMYFUNCTION("""COMPUTED_VALUE"""),"Action-Adventure")</f>
        <v>Action-Adventure</v>
      </c>
      <c r="M93" s="31" t="str">
        <f>IFERROR(__xludf.DUMMYFUNCTION("""COMPUTED_VALUE"""),"Exclusive")</f>
        <v>Exclusive</v>
      </c>
    </row>
    <row r="94">
      <c r="A94" s="17" t="str">
        <f>IFERROR(__xludf.DUMMYFUNCTION("""COMPUTED_VALUE"""),"Kabuto Park")</f>
        <v>Kabuto Park</v>
      </c>
      <c r="B94" s="20" t="str">
        <f>IFERROR(__xludf.DUMMYFUNCTION("""COMPUTED_VALUE"""),"Xbox / PC")</f>
        <v>Xbox / PC</v>
      </c>
      <c r="C94" s="21" t="str">
        <f>IFERROR(__xludf.DUMMYFUNCTION("""COMPUTED_VALUE"""),"Yes")</f>
        <v>Yes</v>
      </c>
      <c r="D94" s="21" t="str">
        <f>IFERROR(__xludf.DUMMYFUNCTION("""COMPUTED_VALUE"""),"Active")</f>
        <v>Active</v>
      </c>
      <c r="E94" s="23">
        <f>IFERROR(__xludf.DUMMYFUNCTION("""COMPUTED_VALUE"""),46170.0)</f>
        <v>46170</v>
      </c>
      <c r="F94" s="24"/>
      <c r="G94" s="27">
        <f>IFERROR(__xludf.DUMMYFUNCTION("""COMPUTED_VALUE"""),4.266666666666667)</f>
        <v>4.266666667</v>
      </c>
      <c r="H94" s="23">
        <f>IFERROR(__xludf.DUMMYFUNCTION("""COMPUTED_VALUE"""),46170.0)</f>
        <v>46170</v>
      </c>
      <c r="I94" s="27">
        <f>IFERROR(__xludf.DUMMYFUNCTION("""COMPUTED_VALUE"""),0.0)</f>
        <v>0</v>
      </c>
      <c r="J94" s="29">
        <f>IFERROR(__xludf.DUMMYFUNCTION("""COMPUTED_VALUE"""),78.0)</f>
        <v>78</v>
      </c>
      <c r="K94" s="29">
        <f>IFERROR(__xludf.DUMMYFUNCTION("""COMPUTED_VALUE"""),2.0)</f>
        <v>2</v>
      </c>
      <c r="L94" s="31" t="str">
        <f>IFERROR(__xludf.DUMMYFUNCTION("""COMPUTED_VALUE"""),"Simulation")</f>
        <v>Simulation</v>
      </c>
      <c r="M94" s="31" t="str">
        <f>IFERROR(__xludf.DUMMYFUNCTION("""COMPUTED_VALUE"""),"Exclusive")</f>
        <v>Exclusive</v>
      </c>
    </row>
    <row r="95">
      <c r="A95" s="17" t="str">
        <f>IFERROR(__xludf.DUMMYFUNCTION("""COMPUTED_VALUE"""),"Banishers: Ghosts of New Eden")</f>
        <v>Banishers: Ghosts of New Eden</v>
      </c>
      <c r="B95" s="20" t="str">
        <f>IFERROR(__xludf.DUMMYFUNCTION("""COMPUTED_VALUE"""),"Xbox / PC")</f>
        <v>Xbox / PC</v>
      </c>
      <c r="C95" s="21" t="str">
        <f>IFERROR(__xludf.DUMMYFUNCTION("""COMPUTED_VALUE"""),"Yes")</f>
        <v>Yes</v>
      </c>
      <c r="D95" s="21" t="str">
        <f>IFERROR(__xludf.DUMMYFUNCTION("""COMPUTED_VALUE"""),"Active")</f>
        <v>Active</v>
      </c>
      <c r="E95" s="23">
        <f>IFERROR(__xludf.DUMMYFUNCTION("""COMPUTED_VALUE"""),45986.0)</f>
        <v>45986</v>
      </c>
      <c r="F95" s="24"/>
      <c r="G95" s="27">
        <f>IFERROR(__xludf.DUMMYFUNCTION("""COMPUTED_VALUE"""),10.366666666666667)</f>
        <v>10.36666667</v>
      </c>
      <c r="H95" s="23">
        <f>IFERROR(__xludf.DUMMYFUNCTION("""COMPUTED_VALUE"""),45335.0)</f>
        <v>45335</v>
      </c>
      <c r="I95" s="27">
        <f>IFERROR(__xludf.DUMMYFUNCTION("""COMPUTED_VALUE"""),1.7833333333333334)</f>
        <v>1.783333333</v>
      </c>
      <c r="J95" s="29">
        <f>IFERROR(__xludf.DUMMYFUNCTION("""COMPUTED_VALUE"""),78.0)</f>
        <v>78</v>
      </c>
      <c r="K95" s="29">
        <f>IFERROR(__xludf.DUMMYFUNCTION("""COMPUTED_VALUE"""),27.0)</f>
        <v>27</v>
      </c>
      <c r="L95" s="31" t="str">
        <f>IFERROR(__xludf.DUMMYFUNCTION("""COMPUTED_VALUE"""),"Action-Adventure")</f>
        <v>Action-Adventure</v>
      </c>
      <c r="M95" s="31" t="str">
        <f>IFERROR(__xludf.DUMMYFUNCTION("""COMPUTED_VALUE"""),"Exclusive")</f>
        <v>Exclusive</v>
      </c>
    </row>
    <row r="96">
      <c r="A96" s="17" t="str">
        <f>IFERROR(__xludf.DUMMYFUNCTION("""COMPUTED_VALUE"""),"Rematch")</f>
        <v>Rematch</v>
      </c>
      <c r="B96" s="20" t="str">
        <f>IFERROR(__xludf.DUMMYFUNCTION("""COMPUTED_VALUE"""),"Xbox / PC")</f>
        <v>Xbox / PC</v>
      </c>
      <c r="C96" s="21" t="str">
        <f>IFERROR(__xludf.DUMMYFUNCTION("""COMPUTED_VALUE"""),"Yes")</f>
        <v>Yes</v>
      </c>
      <c r="D96" s="21" t="str">
        <f>IFERROR(__xludf.DUMMYFUNCTION("""COMPUTED_VALUE"""),"Active")</f>
        <v>Active</v>
      </c>
      <c r="E96" s="23">
        <f>IFERROR(__xludf.DUMMYFUNCTION("""COMPUTED_VALUE"""),45827.0)</f>
        <v>45827</v>
      </c>
      <c r="F96" s="24"/>
      <c r="G96" s="27">
        <f>IFERROR(__xludf.DUMMYFUNCTION("""COMPUTED_VALUE"""),15.566666666666666)</f>
        <v>15.56666667</v>
      </c>
      <c r="H96" s="23">
        <f>IFERROR(__xludf.DUMMYFUNCTION("""COMPUTED_VALUE"""),45827.0)</f>
        <v>45827</v>
      </c>
      <c r="I96" s="27">
        <f>IFERROR(__xludf.DUMMYFUNCTION("""COMPUTED_VALUE"""),0.0)</f>
        <v>0</v>
      </c>
      <c r="J96" s="29">
        <f>IFERROR(__xludf.DUMMYFUNCTION("""COMPUTED_VALUE"""),78.0)</f>
        <v>78</v>
      </c>
      <c r="K96" s="29">
        <f>IFERROR(__xludf.DUMMYFUNCTION("""COMPUTED_VALUE"""),37.0)</f>
        <v>37</v>
      </c>
      <c r="L96" s="31" t="str">
        <f>IFERROR(__xludf.DUMMYFUNCTION("""COMPUTED_VALUE"""),"Sports")</f>
        <v>Sports</v>
      </c>
      <c r="M96" s="31" t="str">
        <f>IFERROR(__xludf.DUMMYFUNCTION("""COMPUTED_VALUE"""),"Exclusive")</f>
        <v>Exclusive</v>
      </c>
    </row>
    <row r="97">
      <c r="A97" s="17" t="str">
        <f>IFERROR(__xludf.DUMMYFUNCTION("""COMPUTED_VALUE"""),"Lost in Random: The Eternal Die")</f>
        <v>Lost in Random: The Eternal Die</v>
      </c>
      <c r="B97" s="20" t="str">
        <f>IFERROR(__xludf.DUMMYFUNCTION("""COMPUTED_VALUE"""),"Xbox / PC")</f>
        <v>Xbox / PC</v>
      </c>
      <c r="C97" s="21" t="str">
        <f>IFERROR(__xludf.DUMMYFUNCTION("""COMPUTED_VALUE"""),"Yes")</f>
        <v>Yes</v>
      </c>
      <c r="D97" s="21" t="str">
        <f>IFERROR(__xludf.DUMMYFUNCTION("""COMPUTED_VALUE"""),"Active")</f>
        <v>Active</v>
      </c>
      <c r="E97" s="23">
        <f>IFERROR(__xludf.DUMMYFUNCTION("""COMPUTED_VALUE"""),45825.0)</f>
        <v>45825</v>
      </c>
      <c r="F97" s="24"/>
      <c r="G97" s="27">
        <f>IFERROR(__xludf.DUMMYFUNCTION("""COMPUTED_VALUE"""),15.633333333333333)</f>
        <v>15.63333333</v>
      </c>
      <c r="H97" s="23">
        <f>IFERROR(__xludf.DUMMYFUNCTION("""COMPUTED_VALUE"""),45825.0)</f>
        <v>45825</v>
      </c>
      <c r="I97" s="27">
        <f>IFERROR(__xludf.DUMMYFUNCTION("""COMPUTED_VALUE"""),0.0)</f>
        <v>0</v>
      </c>
      <c r="J97" s="29">
        <f>IFERROR(__xludf.DUMMYFUNCTION("""COMPUTED_VALUE"""),78.0)</f>
        <v>78</v>
      </c>
      <c r="K97" s="29">
        <f>IFERROR(__xludf.DUMMYFUNCTION("""COMPUTED_VALUE"""),6.0)</f>
        <v>6</v>
      </c>
      <c r="L97" s="31" t="str">
        <f>IFERROR(__xludf.DUMMYFUNCTION("""COMPUTED_VALUE"""),"Action-Adventure")</f>
        <v>Action-Adventure</v>
      </c>
      <c r="M97" s="31" t="str">
        <f>IFERROR(__xludf.DUMMYFUNCTION("""COMPUTED_VALUE"""),"Exclusive")</f>
        <v>Exclusive</v>
      </c>
    </row>
    <row r="98">
      <c r="A98" s="17" t="str">
        <f>IFERROR(__xludf.DUMMYFUNCTION("""COMPUTED_VALUE"""),"EA Sports UFC 5")</f>
        <v>EA Sports UFC 5</v>
      </c>
      <c r="B98" s="20" t="str">
        <f>IFERROR(__xludf.DUMMYFUNCTION("""COMPUTED_VALUE"""),"Xbox")</f>
        <v>Xbox</v>
      </c>
      <c r="C98" s="21" t="str">
        <f>IFERROR(__xludf.DUMMYFUNCTION("""COMPUTED_VALUE"""),"Yes")</f>
        <v>Yes</v>
      </c>
      <c r="D98" s="21" t="str">
        <f>IFERROR(__xludf.DUMMYFUNCTION("""COMPUTED_VALUE"""),"Active")</f>
        <v>Active</v>
      </c>
      <c r="E98" s="23">
        <f>IFERROR(__xludf.DUMMYFUNCTION("""COMPUTED_VALUE"""),45671.0)</f>
        <v>45671</v>
      </c>
      <c r="F98" s="24"/>
      <c r="G98" s="27">
        <f>IFERROR(__xludf.DUMMYFUNCTION("""COMPUTED_VALUE"""),20.733333333333334)</f>
        <v>20.73333333</v>
      </c>
      <c r="H98" s="23">
        <f>IFERROR(__xludf.DUMMYFUNCTION("""COMPUTED_VALUE"""),45226.0)</f>
        <v>45226</v>
      </c>
      <c r="I98" s="27">
        <f>IFERROR(__xludf.DUMMYFUNCTION("""COMPUTED_VALUE"""),1.2138888888888888)</f>
        <v>1.213888889</v>
      </c>
      <c r="J98" s="29">
        <f>IFERROR(__xludf.DUMMYFUNCTION("""COMPUTED_VALUE"""),78.0)</f>
        <v>78</v>
      </c>
      <c r="K98" s="29">
        <f>IFERROR(__xludf.DUMMYFUNCTION("""COMPUTED_VALUE"""),14.0)</f>
        <v>14</v>
      </c>
      <c r="L98" s="31" t="str">
        <f>IFERROR(__xludf.DUMMYFUNCTION("""COMPUTED_VALUE"""),"Fighting")</f>
        <v>Fighting</v>
      </c>
      <c r="M98" s="31" t="str">
        <f>IFERROR(__xludf.DUMMYFUNCTION("""COMPUTED_VALUE"""),"Exclusive")</f>
        <v>Exclusive</v>
      </c>
    </row>
    <row r="99">
      <c r="A99" s="17" t="str">
        <f>IFERROR(__xludf.DUMMYFUNCTION("""COMPUTED_VALUE"""),"Microsoft Flight Simulator 2024")</f>
        <v>Microsoft Flight Simulator 2024</v>
      </c>
      <c r="B99" s="20" t="str">
        <f>IFERROR(__xludf.DUMMYFUNCTION("""COMPUTED_VALUE"""),"Xbox / PC")</f>
        <v>Xbox / PC</v>
      </c>
      <c r="C99" s="21" t="str">
        <f>IFERROR(__xludf.DUMMYFUNCTION("""COMPUTED_VALUE"""),"Yes")</f>
        <v>Yes</v>
      </c>
      <c r="D99" s="21" t="str">
        <f>IFERROR(__xludf.DUMMYFUNCTION("""COMPUTED_VALUE"""),"Active")</f>
        <v>Active</v>
      </c>
      <c r="E99" s="23">
        <f>IFERROR(__xludf.DUMMYFUNCTION("""COMPUTED_VALUE"""),45615.0)</f>
        <v>45615</v>
      </c>
      <c r="F99" s="24"/>
      <c r="G99" s="27">
        <f>IFERROR(__xludf.DUMMYFUNCTION("""COMPUTED_VALUE"""),22.566666666666666)</f>
        <v>22.56666667</v>
      </c>
      <c r="H99" s="23">
        <f>IFERROR(__xludf.DUMMYFUNCTION("""COMPUTED_VALUE"""),45615.0)</f>
        <v>45615</v>
      </c>
      <c r="I99" s="27">
        <f>IFERROR(__xludf.DUMMYFUNCTION("""COMPUTED_VALUE"""),0.0)</f>
        <v>0</v>
      </c>
      <c r="J99" s="29">
        <f>IFERROR(__xludf.DUMMYFUNCTION("""COMPUTED_VALUE"""),78.0)</f>
        <v>78</v>
      </c>
      <c r="K99" s="29">
        <f>IFERROR(__xludf.DUMMYFUNCTION("""COMPUTED_VALUE"""),50.0)</f>
        <v>50</v>
      </c>
      <c r="L99" s="31" t="str">
        <f>IFERROR(__xludf.DUMMYFUNCTION("""COMPUTED_VALUE"""),"Simulation")</f>
        <v>Simulation</v>
      </c>
      <c r="M99" s="31" t="str">
        <f>IFERROR(__xludf.DUMMYFUNCTION("""COMPUTED_VALUE"""),"Exclusive")</f>
        <v>Exclusive</v>
      </c>
    </row>
    <row r="100">
      <c r="A100" s="17" t="str">
        <f>IFERROR(__xludf.DUMMYFUNCTION("""COMPUTED_VALUE"""),"Warhammer 40,000: Darktide")</f>
        <v>Warhammer 40,000: Darktide</v>
      </c>
      <c r="B100" s="20" t="str">
        <f>IFERROR(__xludf.DUMMYFUNCTION("""COMPUTED_VALUE"""),"Xbox / PC")</f>
        <v>Xbox / PC</v>
      </c>
      <c r="C100" s="21" t="str">
        <f>IFERROR(__xludf.DUMMYFUNCTION("""COMPUTED_VALUE"""),"Yes")</f>
        <v>Yes</v>
      </c>
      <c r="D100" s="21" t="str">
        <f>IFERROR(__xludf.DUMMYFUNCTION("""COMPUTED_VALUE"""),"Active")</f>
        <v>Active</v>
      </c>
      <c r="E100" s="23">
        <f>IFERROR(__xludf.DUMMYFUNCTION("""COMPUTED_VALUE"""),44895.0)</f>
        <v>44895</v>
      </c>
      <c r="F100" s="24"/>
      <c r="G100" s="27">
        <f>IFERROR(__xludf.DUMMYFUNCTION("""COMPUTED_VALUE"""),46.2)</f>
        <v>46.2</v>
      </c>
      <c r="H100" s="23">
        <f>IFERROR(__xludf.DUMMYFUNCTION("""COMPUTED_VALUE"""),44895.0)</f>
        <v>44895</v>
      </c>
      <c r="I100" s="27">
        <f>IFERROR(__xludf.DUMMYFUNCTION("""COMPUTED_VALUE"""),0.0)</f>
        <v>0</v>
      </c>
      <c r="J100" s="29">
        <f>IFERROR(__xludf.DUMMYFUNCTION("""COMPUTED_VALUE"""),78.0)</f>
        <v>78</v>
      </c>
      <c r="K100" s="29">
        <f>IFERROR(__xludf.DUMMYFUNCTION("""COMPUTED_VALUE"""),41.0)</f>
        <v>41</v>
      </c>
      <c r="L100" s="31" t="str">
        <f>IFERROR(__xludf.DUMMYFUNCTION("""COMPUTED_VALUE"""),"Action")</f>
        <v>Action</v>
      </c>
      <c r="M100" s="31" t="str">
        <f>IFERROR(__xludf.DUMMYFUNCTION("""COMPUTED_VALUE"""),"Exclusive")</f>
        <v>Exclusive</v>
      </c>
    </row>
    <row r="101">
      <c r="A101" s="17" t="str">
        <f>IFERROR(__xludf.DUMMYFUNCTION("""COMPUTED_VALUE"""),"Hell is Us")</f>
        <v>Hell is Us</v>
      </c>
      <c r="B101" s="20" t="str">
        <f>IFERROR(__xludf.DUMMYFUNCTION("""COMPUTED_VALUE"""),"Xbox / PC")</f>
        <v>Xbox / PC</v>
      </c>
      <c r="C101" s="21" t="str">
        <f>IFERROR(__xludf.DUMMYFUNCTION("""COMPUTED_VALUE"""),"Yes")</f>
        <v>Yes</v>
      </c>
      <c r="D101" s="21" t="str">
        <f>IFERROR(__xludf.DUMMYFUNCTION("""COMPUTED_VALUE"""),"Active")</f>
        <v>Active</v>
      </c>
      <c r="E101" s="23">
        <f>IFERROR(__xludf.DUMMYFUNCTION("""COMPUTED_VALUE"""),46226.0)</f>
        <v>46226</v>
      </c>
      <c r="F101" s="24"/>
      <c r="G101" s="27">
        <f>IFERROR(__xludf.DUMMYFUNCTION("""COMPUTED_VALUE"""),2.4333333333333336)</f>
        <v>2.433333333</v>
      </c>
      <c r="H101" s="23">
        <f>IFERROR(__xludf.DUMMYFUNCTION("""COMPUTED_VALUE"""),45904.0)</f>
        <v>45904</v>
      </c>
      <c r="I101" s="27">
        <f>IFERROR(__xludf.DUMMYFUNCTION("""COMPUTED_VALUE"""),0.8861111111111111)</f>
        <v>0.8861111111</v>
      </c>
      <c r="J101" s="29">
        <f>IFERROR(__xludf.DUMMYFUNCTION("""COMPUTED_VALUE"""),77.0)</f>
        <v>77</v>
      </c>
      <c r="K101" s="29">
        <f>IFERROR(__xludf.DUMMYFUNCTION("""COMPUTED_VALUE"""),18.0)</f>
        <v>18</v>
      </c>
      <c r="L101" s="31" t="str">
        <f>IFERROR(__xludf.DUMMYFUNCTION("""COMPUTED_VALUE"""),"Action-Adventure")</f>
        <v>Action-Adventure</v>
      </c>
      <c r="M101" s="31" t="str">
        <f>IFERROR(__xludf.DUMMYFUNCTION("""COMPUTED_VALUE"""),"Exclusive")</f>
        <v>Exclusive</v>
      </c>
    </row>
    <row r="102">
      <c r="A102" s="17" t="str">
        <f>IFERROR(__xludf.DUMMYFUNCTION("""COMPUTED_VALUE"""),"Final Fantasy III")</f>
        <v>Final Fantasy III</v>
      </c>
      <c r="B102" s="20" t="str">
        <f>IFERROR(__xludf.DUMMYFUNCTION("""COMPUTED_VALUE"""),"Xbox / PC")</f>
        <v>Xbox / PC</v>
      </c>
      <c r="C102" s="21" t="str">
        <f>IFERROR(__xludf.DUMMYFUNCTION("""COMPUTED_VALUE"""),"Yes")</f>
        <v>Yes</v>
      </c>
      <c r="D102" s="21" t="str">
        <f>IFERROR(__xludf.DUMMYFUNCTION("""COMPUTED_VALUE"""),"Active")</f>
        <v>Active</v>
      </c>
      <c r="E102" s="23">
        <f>IFERROR(__xludf.DUMMYFUNCTION("""COMPUTED_VALUE"""),46084.0)</f>
        <v>46084</v>
      </c>
      <c r="F102" s="24"/>
      <c r="G102" s="27">
        <f>IFERROR(__xludf.DUMMYFUNCTION("""COMPUTED_VALUE"""),7.1)</f>
        <v>7.1</v>
      </c>
      <c r="H102" s="23">
        <f>IFERROR(__xludf.DUMMYFUNCTION("""COMPUTED_VALUE"""),33082.0)</f>
        <v>33082</v>
      </c>
      <c r="I102" s="27">
        <f>IFERROR(__xludf.DUMMYFUNCTION("""COMPUTED_VALUE"""),35.59722222222222)</f>
        <v>35.59722222</v>
      </c>
      <c r="J102" s="29">
        <f>IFERROR(__xludf.DUMMYFUNCTION("""COMPUTED_VALUE"""),77.0)</f>
        <v>77</v>
      </c>
      <c r="K102" s="29">
        <f>IFERROR(__xludf.DUMMYFUNCTION("""COMPUTED_VALUE"""),28.0)</f>
        <v>28</v>
      </c>
      <c r="L102" s="31" t="str">
        <f>IFERROR(__xludf.DUMMYFUNCTION("""COMPUTED_VALUE"""),"RPG")</f>
        <v>RPG</v>
      </c>
      <c r="M102" s="31" t="str">
        <f>IFERROR(__xludf.DUMMYFUNCTION("""COMPUTED_VALUE"""),"Exclusive")</f>
        <v>Exclusive</v>
      </c>
    </row>
    <row r="103">
      <c r="A103" s="17" t="str">
        <f>IFERROR(__xludf.DUMMYFUNCTION("""COMPUTED_VALUE"""),"Final Fantasy II")</f>
        <v>Final Fantasy II</v>
      </c>
      <c r="B103" s="20" t="str">
        <f>IFERROR(__xludf.DUMMYFUNCTION("""COMPUTED_VALUE"""),"Xbox / PC")</f>
        <v>Xbox / PC</v>
      </c>
      <c r="C103" s="21" t="str">
        <f>IFERROR(__xludf.DUMMYFUNCTION("""COMPUTED_VALUE"""),"Yes")</f>
        <v>Yes</v>
      </c>
      <c r="D103" s="21" t="str">
        <f>IFERROR(__xludf.DUMMYFUNCTION("""COMPUTED_VALUE"""),"Active")</f>
        <v>Active</v>
      </c>
      <c r="E103" s="23">
        <f>IFERROR(__xludf.DUMMYFUNCTION("""COMPUTED_VALUE"""),46056.0)</f>
        <v>46056</v>
      </c>
      <c r="F103" s="24"/>
      <c r="G103" s="27">
        <f>IFERROR(__xludf.DUMMYFUNCTION("""COMPUTED_VALUE"""),8.100000000000001)</f>
        <v>8.1</v>
      </c>
      <c r="H103" s="23">
        <f>IFERROR(__xludf.DUMMYFUNCTION("""COMPUTED_VALUE"""),44405.0)</f>
        <v>44405</v>
      </c>
      <c r="I103" s="27">
        <f>IFERROR(__xludf.DUMMYFUNCTION("""COMPUTED_VALUE"""),4.513888888888889)</f>
        <v>4.513888889</v>
      </c>
      <c r="J103" s="29">
        <f>IFERROR(__xludf.DUMMYFUNCTION("""COMPUTED_VALUE"""),77.0)</f>
        <v>77</v>
      </c>
      <c r="K103" s="29">
        <f>IFERROR(__xludf.DUMMYFUNCTION("""COMPUTED_VALUE"""),20.0)</f>
        <v>20</v>
      </c>
      <c r="L103" s="31" t="str">
        <f>IFERROR(__xludf.DUMMYFUNCTION("""COMPUTED_VALUE"""),"Action-Adventure")</f>
        <v>Action-Adventure</v>
      </c>
      <c r="M103" s="31" t="str">
        <f>IFERROR(__xludf.DUMMYFUNCTION("""COMPUTED_VALUE"""),"Exclusive")</f>
        <v>Exclusive</v>
      </c>
    </row>
    <row r="104">
      <c r="A104" s="17" t="str">
        <f>IFERROR(__xludf.DUMMYFUNCTION("""COMPUTED_VALUE"""),"RoadCraft")</f>
        <v>RoadCraft</v>
      </c>
      <c r="B104" s="20" t="str">
        <f>IFERROR(__xludf.DUMMYFUNCTION("""COMPUTED_VALUE"""),"Xbox / PC")</f>
        <v>Xbox / PC</v>
      </c>
      <c r="C104" s="21" t="str">
        <f>IFERROR(__xludf.DUMMYFUNCTION("""COMPUTED_VALUE"""),"Yes")</f>
        <v>Yes</v>
      </c>
      <c r="D104" s="21" t="str">
        <f>IFERROR(__xludf.DUMMYFUNCTION("""COMPUTED_VALUE"""),"Active")</f>
        <v>Active</v>
      </c>
      <c r="E104" s="23">
        <f>IFERROR(__xludf.DUMMYFUNCTION("""COMPUTED_VALUE"""),45916.0)</f>
        <v>45916</v>
      </c>
      <c r="F104" s="24"/>
      <c r="G104" s="27">
        <f>IFERROR(__xludf.DUMMYFUNCTION("""COMPUTED_VALUE"""),12.666666666666668)</f>
        <v>12.66666667</v>
      </c>
      <c r="H104" s="23">
        <f>IFERROR(__xludf.DUMMYFUNCTION("""COMPUTED_VALUE"""),45797.0)</f>
        <v>45797</v>
      </c>
      <c r="I104" s="27">
        <f>IFERROR(__xludf.DUMMYFUNCTION("""COMPUTED_VALUE"""),0.32222222222222224)</f>
        <v>0.3222222222</v>
      </c>
      <c r="J104" s="29">
        <f>IFERROR(__xludf.DUMMYFUNCTION("""COMPUTED_VALUE"""),77.0)</f>
        <v>77</v>
      </c>
      <c r="K104" s="29">
        <f>IFERROR(__xludf.DUMMYFUNCTION("""COMPUTED_VALUE"""),51.0)</f>
        <v>51</v>
      </c>
      <c r="L104" s="31" t="str">
        <f>IFERROR(__xludf.DUMMYFUNCTION("""COMPUTED_VALUE"""),"Racing")</f>
        <v>Racing</v>
      </c>
      <c r="M104" s="31" t="str">
        <f>IFERROR(__xludf.DUMMYFUNCTION("""COMPUTED_VALUE"""),"Exclusive")</f>
        <v>Exclusive</v>
      </c>
    </row>
    <row r="105">
      <c r="A105" s="17" t="str">
        <f>IFERROR(__xludf.DUMMYFUNCTION("""COMPUTED_VALUE"""),"Herdling")</f>
        <v>Herdling</v>
      </c>
      <c r="B105" s="20" t="str">
        <f>IFERROR(__xludf.DUMMYFUNCTION("""COMPUTED_VALUE"""),"Xbox / PC")</f>
        <v>Xbox / PC</v>
      </c>
      <c r="C105" s="21" t="str">
        <f>IFERROR(__xludf.DUMMYFUNCTION("""COMPUTED_VALUE"""),"Yes")</f>
        <v>Yes</v>
      </c>
      <c r="D105" s="21" t="str">
        <f>IFERROR(__xludf.DUMMYFUNCTION("""COMPUTED_VALUE"""),"Active")</f>
        <v>Active</v>
      </c>
      <c r="E105" s="23">
        <f>IFERROR(__xludf.DUMMYFUNCTION("""COMPUTED_VALUE"""),45890.0)</f>
        <v>45890</v>
      </c>
      <c r="F105" s="24"/>
      <c r="G105" s="27">
        <f>IFERROR(__xludf.DUMMYFUNCTION("""COMPUTED_VALUE"""),13.5)</f>
        <v>13.5</v>
      </c>
      <c r="H105" s="23">
        <f>IFERROR(__xludf.DUMMYFUNCTION("""COMPUTED_VALUE"""),45890.0)</f>
        <v>45890</v>
      </c>
      <c r="I105" s="27">
        <f>IFERROR(__xludf.DUMMYFUNCTION("""COMPUTED_VALUE"""),0.0)</f>
        <v>0</v>
      </c>
      <c r="J105" s="29">
        <f>IFERROR(__xludf.DUMMYFUNCTION("""COMPUTED_VALUE"""),77.0)</f>
        <v>77</v>
      </c>
      <c r="K105" s="29">
        <f>IFERROR(__xludf.DUMMYFUNCTION("""COMPUTED_VALUE"""),4.0)</f>
        <v>4</v>
      </c>
      <c r="L105" s="31" t="str">
        <f>IFERROR(__xludf.DUMMYFUNCTION("""COMPUTED_VALUE"""),"Action-Adventure")</f>
        <v>Action-Adventure</v>
      </c>
      <c r="M105" s="31" t="str">
        <f>IFERROR(__xludf.DUMMYFUNCTION("""COMPUTED_VALUE"""),"Exclusive")</f>
        <v>Exclusive</v>
      </c>
    </row>
    <row r="106">
      <c r="A106" s="17" t="str">
        <f>IFERROR(__xludf.DUMMYFUNCTION("""COMPUTED_VALUE"""),"South of Midnight")</f>
        <v>South of Midnight</v>
      </c>
      <c r="B106" s="20" t="str">
        <f>IFERROR(__xludf.DUMMYFUNCTION("""COMPUTED_VALUE"""),"Xbox / PC")</f>
        <v>Xbox / PC</v>
      </c>
      <c r="C106" s="21"/>
      <c r="D106" s="21" t="str">
        <f>IFERROR(__xludf.DUMMYFUNCTION("""COMPUTED_VALUE"""),"Active")</f>
        <v>Active</v>
      </c>
      <c r="E106" s="23">
        <f>IFERROR(__xludf.DUMMYFUNCTION("""COMPUTED_VALUE"""),45755.0)</f>
        <v>45755</v>
      </c>
      <c r="F106" s="24"/>
      <c r="G106" s="27">
        <f>IFERROR(__xludf.DUMMYFUNCTION("""COMPUTED_VALUE"""),17.933333333333334)</f>
        <v>17.93333333</v>
      </c>
      <c r="H106" s="23">
        <f>IFERROR(__xludf.DUMMYFUNCTION("""COMPUTED_VALUE"""),45755.0)</f>
        <v>45755</v>
      </c>
      <c r="I106" s="27">
        <f>IFERROR(__xludf.DUMMYFUNCTION("""COMPUTED_VALUE"""),0.0)</f>
        <v>0</v>
      </c>
      <c r="J106" s="29">
        <f>IFERROR(__xludf.DUMMYFUNCTION("""COMPUTED_VALUE"""),77.0)</f>
        <v>77</v>
      </c>
      <c r="K106" s="29">
        <f>IFERROR(__xludf.DUMMYFUNCTION("""COMPUTED_VALUE"""),10.0)</f>
        <v>10</v>
      </c>
      <c r="L106" s="31" t="str">
        <f>IFERROR(__xludf.DUMMYFUNCTION("""COMPUTED_VALUE"""),"Action-Adventure")</f>
        <v>Action-Adventure</v>
      </c>
      <c r="M106" s="31" t="str">
        <f>IFERROR(__xludf.DUMMYFUNCTION("""COMPUTED_VALUE"""),"Exclusive")</f>
        <v>Exclusive</v>
      </c>
    </row>
    <row r="107">
      <c r="A107" s="17" t="str">
        <f>IFERROR(__xludf.DUMMYFUNCTION("""COMPUTED_VALUE"""),"Need for Speed: Unbound")</f>
        <v>Need for Speed: Unbound</v>
      </c>
      <c r="B107" s="20" t="str">
        <f>IFERROR(__xludf.DUMMYFUNCTION("""COMPUTED_VALUE"""),"Xbox / PC")</f>
        <v>Xbox / PC</v>
      </c>
      <c r="C107" s="21" t="str">
        <f>IFERROR(__xludf.DUMMYFUNCTION("""COMPUTED_VALUE"""),"Yes")</f>
        <v>Yes</v>
      </c>
      <c r="D107" s="21" t="str">
        <f>IFERROR(__xludf.DUMMYFUNCTION("""COMPUTED_VALUE"""),"Active")</f>
        <v>Active</v>
      </c>
      <c r="E107" s="23">
        <f>IFERROR(__xludf.DUMMYFUNCTION("""COMPUTED_VALUE"""),45099.0)</f>
        <v>45099</v>
      </c>
      <c r="F107" s="24"/>
      <c r="G107" s="27">
        <f>IFERROR(__xludf.DUMMYFUNCTION("""COMPUTED_VALUE"""),39.46666666666667)</f>
        <v>39.46666667</v>
      </c>
      <c r="H107" s="23">
        <f>IFERROR(__xludf.DUMMYFUNCTION("""COMPUTED_VALUE"""),44894.0)</f>
        <v>44894</v>
      </c>
      <c r="I107" s="27">
        <f>IFERROR(__xludf.DUMMYFUNCTION("""COMPUTED_VALUE"""),0.5638888888888889)</f>
        <v>0.5638888889</v>
      </c>
      <c r="J107" s="29">
        <f>IFERROR(__xludf.DUMMYFUNCTION("""COMPUTED_VALUE"""),77.0)</f>
        <v>77</v>
      </c>
      <c r="K107" s="29">
        <f>IFERROR(__xludf.DUMMYFUNCTION("""COMPUTED_VALUE"""),23.0)</f>
        <v>23</v>
      </c>
      <c r="L107" s="31" t="str">
        <f>IFERROR(__xludf.DUMMYFUNCTION("""COMPUTED_VALUE"""),"Racing")</f>
        <v>Racing</v>
      </c>
      <c r="M107" s="31" t="str">
        <f>IFERROR(__xludf.DUMMYFUNCTION("""COMPUTED_VALUE"""),"Exclusive")</f>
        <v>Exclusive</v>
      </c>
    </row>
    <row r="108">
      <c r="A108" s="17" t="str">
        <f>IFERROR(__xludf.DUMMYFUNCTION("""COMPUTED_VALUE"""),"Crime Scene Cleaner")</f>
        <v>Crime Scene Cleaner</v>
      </c>
      <c r="B108" s="20" t="str">
        <f>IFERROR(__xludf.DUMMYFUNCTION("""COMPUTED_VALUE"""),"Xbox / PC")</f>
        <v>Xbox / PC</v>
      </c>
      <c r="C108" s="21" t="str">
        <f>IFERROR(__xludf.DUMMYFUNCTION("""COMPUTED_VALUE"""),"Yes")</f>
        <v>Yes</v>
      </c>
      <c r="D108" s="21" t="str">
        <f>IFERROR(__xludf.DUMMYFUNCTION("""COMPUTED_VALUE"""),"Leaving Soon")</f>
        <v>Leaving Soon</v>
      </c>
      <c r="E108" s="23">
        <f>IFERROR(__xludf.DUMMYFUNCTION("""COMPUTED_VALUE"""),45764.0)</f>
        <v>45764</v>
      </c>
      <c r="F108" s="24">
        <f>IFERROR(__xludf.DUMMYFUNCTION("""COMPUTED_VALUE"""),46310.0)</f>
        <v>46310</v>
      </c>
      <c r="G108" s="27">
        <f>IFERROR(__xludf.DUMMYFUNCTION("""COMPUTED_VALUE"""),17.933333333333334)</f>
        <v>17.93333333</v>
      </c>
      <c r="H108" s="23">
        <f>IFERROR(__xludf.DUMMYFUNCTION("""COMPUTED_VALUE"""),45518.0)</f>
        <v>45518</v>
      </c>
      <c r="I108" s="27">
        <f>IFERROR(__xludf.DUMMYFUNCTION("""COMPUTED_VALUE"""),0.675)</f>
        <v>0.675</v>
      </c>
      <c r="J108" s="29">
        <f>IFERROR(__xludf.DUMMYFUNCTION("""COMPUTED_VALUE"""),76.66666666666667)</f>
        <v>76.66666667</v>
      </c>
      <c r="K108" s="29">
        <f>IFERROR(__xludf.DUMMYFUNCTION("""COMPUTED_VALUE"""),13.0)</f>
        <v>13</v>
      </c>
      <c r="L108" s="31" t="str">
        <f>IFERROR(__xludf.DUMMYFUNCTION("""COMPUTED_VALUE"""),"Simulation")</f>
        <v>Simulation</v>
      </c>
      <c r="M108" s="31" t="str">
        <f>IFERROR(__xludf.DUMMYFUNCTION("""COMPUTED_VALUE"""),"Exclusive")</f>
        <v>Exclusive</v>
      </c>
    </row>
    <row r="109">
      <c r="A109" s="17" t="str">
        <f>IFERROR(__xludf.DUMMYFUNCTION("""COMPUTED_VALUE"""),"Call of the Elder Gods")</f>
        <v>Call of the Elder Gods</v>
      </c>
      <c r="B109" s="20" t="str">
        <f>IFERROR(__xludf.DUMMYFUNCTION("""COMPUTED_VALUE"""),"Xbox / PC")</f>
        <v>Xbox / PC</v>
      </c>
      <c r="C109" s="21" t="str">
        <f>IFERROR(__xludf.DUMMYFUNCTION("""COMPUTED_VALUE"""),"Yes")</f>
        <v>Yes</v>
      </c>
      <c r="D109" s="21" t="str">
        <f>IFERROR(__xludf.DUMMYFUNCTION("""COMPUTED_VALUE"""),"Active")</f>
        <v>Active</v>
      </c>
      <c r="E109" s="23">
        <f>IFERROR(__xludf.DUMMYFUNCTION("""COMPUTED_VALUE"""),46154.0)</f>
        <v>46154</v>
      </c>
      <c r="F109" s="24"/>
      <c r="G109" s="27">
        <f>IFERROR(__xludf.DUMMYFUNCTION("""COMPUTED_VALUE"""),4.800000000000001)</f>
        <v>4.8</v>
      </c>
      <c r="H109" s="23">
        <f>IFERROR(__xludf.DUMMYFUNCTION("""COMPUTED_VALUE"""),46154.0)</f>
        <v>46154</v>
      </c>
      <c r="I109" s="27">
        <f>IFERROR(__xludf.DUMMYFUNCTION("""COMPUTED_VALUE"""),0.0)</f>
        <v>0</v>
      </c>
      <c r="J109" s="29">
        <f>IFERROR(__xludf.DUMMYFUNCTION("""COMPUTED_VALUE"""),76.0)</f>
        <v>76</v>
      </c>
      <c r="K109" s="29">
        <f>IFERROR(__xludf.DUMMYFUNCTION("""COMPUTED_VALUE"""),6.0)</f>
        <v>6</v>
      </c>
      <c r="L109" s="31" t="str">
        <f>IFERROR(__xludf.DUMMYFUNCTION("""COMPUTED_VALUE"""),"Action-Adventure")</f>
        <v>Action-Adventure</v>
      </c>
      <c r="M109" s="31" t="str">
        <f>IFERROR(__xludf.DUMMYFUNCTION("""COMPUTED_VALUE"""),"Exclusive")</f>
        <v>Exclusive</v>
      </c>
    </row>
    <row r="110">
      <c r="A110" s="17" t="str">
        <f>IFERROR(__xludf.DUMMYFUNCTION("""COMPUTED_VALUE"""),"REPLACED")</f>
        <v>REPLACED</v>
      </c>
      <c r="B110" s="20" t="str">
        <f>IFERROR(__xludf.DUMMYFUNCTION("""COMPUTED_VALUE"""),"Xbox / PC")</f>
        <v>Xbox / PC</v>
      </c>
      <c r="C110" s="21" t="str">
        <f>IFERROR(__xludf.DUMMYFUNCTION("""COMPUTED_VALUE"""),"Yes")</f>
        <v>Yes</v>
      </c>
      <c r="D110" s="21" t="str">
        <f>IFERROR(__xludf.DUMMYFUNCTION("""COMPUTED_VALUE"""),"Active")</f>
        <v>Active</v>
      </c>
      <c r="E110" s="23">
        <f>IFERROR(__xludf.DUMMYFUNCTION("""COMPUTED_VALUE"""),46126.0)</f>
        <v>46126</v>
      </c>
      <c r="F110" s="24"/>
      <c r="G110" s="27">
        <f>IFERROR(__xludf.DUMMYFUNCTION("""COMPUTED_VALUE"""),5.733333333333333)</f>
        <v>5.733333333</v>
      </c>
      <c r="H110" s="23">
        <f>IFERROR(__xludf.DUMMYFUNCTION("""COMPUTED_VALUE"""),46126.0)</f>
        <v>46126</v>
      </c>
      <c r="I110" s="27">
        <f>IFERROR(__xludf.DUMMYFUNCTION("""COMPUTED_VALUE"""),0.0)</f>
        <v>0</v>
      </c>
      <c r="J110" s="29">
        <f>IFERROR(__xludf.DUMMYFUNCTION("""COMPUTED_VALUE"""),76.0)</f>
        <v>76</v>
      </c>
      <c r="K110" s="29">
        <f>IFERROR(__xludf.DUMMYFUNCTION("""COMPUTED_VALUE"""),11.0)</f>
        <v>11</v>
      </c>
      <c r="L110" s="31" t="str">
        <f>IFERROR(__xludf.DUMMYFUNCTION("""COMPUTED_VALUE"""),"Action-Adventure")</f>
        <v>Action-Adventure</v>
      </c>
      <c r="M110" s="31" t="str">
        <f>IFERROR(__xludf.DUMMYFUNCTION("""COMPUTED_VALUE"""),"Exclusive")</f>
        <v>Exclusive</v>
      </c>
    </row>
    <row r="111">
      <c r="A111" s="17" t="str">
        <f>IFERROR(__xludf.DUMMYFUNCTION("""COMPUTED_VALUE"""),"Planet Coaster 2")</f>
        <v>Planet Coaster 2</v>
      </c>
      <c r="B111" s="20" t="str">
        <f>IFERROR(__xludf.DUMMYFUNCTION("""COMPUTED_VALUE"""),"Xbox / PC")</f>
        <v>Xbox / PC</v>
      </c>
      <c r="C111" s="21" t="str">
        <f>IFERROR(__xludf.DUMMYFUNCTION("""COMPUTED_VALUE"""),"Yes")</f>
        <v>Yes</v>
      </c>
      <c r="D111" s="21" t="str">
        <f>IFERROR(__xludf.DUMMYFUNCTION("""COMPUTED_VALUE"""),"Active")</f>
        <v>Active</v>
      </c>
      <c r="E111" s="23">
        <f>IFERROR(__xludf.DUMMYFUNCTION("""COMPUTED_VALUE"""),46121.0)</f>
        <v>46121</v>
      </c>
      <c r="F111" s="24"/>
      <c r="G111" s="27">
        <f>IFERROR(__xludf.DUMMYFUNCTION("""COMPUTED_VALUE"""),5.8999999999999995)</f>
        <v>5.9</v>
      </c>
      <c r="H111" s="23">
        <f>IFERROR(__xludf.DUMMYFUNCTION("""COMPUTED_VALUE"""),45602.0)</f>
        <v>45602</v>
      </c>
      <c r="I111" s="27">
        <f>IFERROR(__xludf.DUMMYFUNCTION("""COMPUTED_VALUE"""),1.425)</f>
        <v>1.425</v>
      </c>
      <c r="J111" s="29">
        <f>IFERROR(__xludf.DUMMYFUNCTION("""COMPUTED_VALUE"""),76.0)</f>
        <v>76</v>
      </c>
      <c r="K111" s="29">
        <f>IFERROR(__xludf.DUMMYFUNCTION("""COMPUTED_VALUE"""),32.0)</f>
        <v>32</v>
      </c>
      <c r="L111" s="31" t="str">
        <f>IFERROR(__xludf.DUMMYFUNCTION("""COMPUTED_VALUE"""),"Simulation")</f>
        <v>Simulation</v>
      </c>
      <c r="M111" s="31" t="str">
        <f>IFERROR(__xludf.DUMMYFUNCTION("""COMPUTED_VALUE"""),"Exclusive")</f>
        <v>Exclusive</v>
      </c>
    </row>
    <row r="112">
      <c r="A112" s="17" t="str">
        <f>IFERROR(__xludf.DUMMYFUNCTION("""COMPUTED_VALUE"""),"Relooted")</f>
        <v>Relooted</v>
      </c>
      <c r="B112" s="20" t="str">
        <f>IFERROR(__xludf.DUMMYFUNCTION("""COMPUTED_VALUE"""),"Xbox / PC")</f>
        <v>Xbox / PC</v>
      </c>
      <c r="C112" s="21" t="str">
        <f>IFERROR(__xludf.DUMMYFUNCTION("""COMPUTED_VALUE"""),"Yes")</f>
        <v>Yes</v>
      </c>
      <c r="D112" s="21" t="str">
        <f>IFERROR(__xludf.DUMMYFUNCTION("""COMPUTED_VALUE"""),"Active")</f>
        <v>Active</v>
      </c>
      <c r="E112" s="23">
        <f>IFERROR(__xludf.DUMMYFUNCTION("""COMPUTED_VALUE"""),46063.0)</f>
        <v>46063</v>
      </c>
      <c r="F112" s="24"/>
      <c r="G112" s="27">
        <f>IFERROR(__xludf.DUMMYFUNCTION("""COMPUTED_VALUE"""),7.866666666666667)</f>
        <v>7.866666667</v>
      </c>
      <c r="H112" s="23">
        <f>IFERROR(__xludf.DUMMYFUNCTION("""COMPUTED_VALUE"""),46063.0)</f>
        <v>46063</v>
      </c>
      <c r="I112" s="27">
        <f>IFERROR(__xludf.DUMMYFUNCTION("""COMPUTED_VALUE"""),0.0)</f>
        <v>0</v>
      </c>
      <c r="J112" s="29">
        <f>IFERROR(__xludf.DUMMYFUNCTION("""COMPUTED_VALUE"""),76.0)</f>
        <v>76</v>
      </c>
      <c r="K112" s="29">
        <f>IFERROR(__xludf.DUMMYFUNCTION("""COMPUTED_VALUE"""),6.0)</f>
        <v>6</v>
      </c>
      <c r="L112" s="31" t="str">
        <f>IFERROR(__xludf.DUMMYFUNCTION("""COMPUTED_VALUE"""),"Action-Adventure")</f>
        <v>Action-Adventure</v>
      </c>
      <c r="M112" s="31" t="str">
        <f>IFERROR(__xludf.DUMMYFUNCTION("""COMPUTED_VALUE"""),"Exclusive")</f>
        <v>Exclusive</v>
      </c>
    </row>
    <row r="113">
      <c r="A113" s="17" t="str">
        <f>IFERROR(__xludf.DUMMYFUNCTION("""COMPUTED_VALUE"""),"Tales of Kenzera: ZAU")</f>
        <v>Tales of Kenzera: ZAU</v>
      </c>
      <c r="B113" s="20" t="str">
        <f>IFERROR(__xludf.DUMMYFUNCTION("""COMPUTED_VALUE"""),"Xbox / PC")</f>
        <v>Xbox / PC</v>
      </c>
      <c r="C113" s="21" t="str">
        <f>IFERROR(__xludf.DUMMYFUNCTION("""COMPUTED_VALUE"""),"Yes")</f>
        <v>Yes</v>
      </c>
      <c r="D113" s="21" t="str">
        <f>IFERROR(__xludf.DUMMYFUNCTION("""COMPUTED_VALUE"""),"Active")</f>
        <v>Active</v>
      </c>
      <c r="E113" s="23">
        <f>IFERROR(__xludf.DUMMYFUNCTION("""COMPUTED_VALUE"""),45799.0)</f>
        <v>45799</v>
      </c>
      <c r="F113" s="24"/>
      <c r="G113" s="27">
        <f>IFERROR(__xludf.DUMMYFUNCTION("""COMPUTED_VALUE"""),16.46666666666667)</f>
        <v>16.46666667</v>
      </c>
      <c r="H113" s="23">
        <f>IFERROR(__xludf.DUMMYFUNCTION("""COMPUTED_VALUE"""),45405.0)</f>
        <v>45405</v>
      </c>
      <c r="I113" s="27">
        <f>IFERROR(__xludf.DUMMYFUNCTION("""COMPUTED_VALUE"""),1.0805555555555555)</f>
        <v>1.080555556</v>
      </c>
      <c r="J113" s="29">
        <f>IFERROR(__xludf.DUMMYFUNCTION("""COMPUTED_VALUE"""),76.0)</f>
        <v>76</v>
      </c>
      <c r="K113" s="29">
        <f>IFERROR(__xludf.DUMMYFUNCTION("""COMPUTED_VALUE"""),8.0)</f>
        <v>8</v>
      </c>
      <c r="L113" s="31" t="str">
        <f>IFERROR(__xludf.DUMMYFUNCTION("""COMPUTED_VALUE"""),"Metroidvania ")</f>
        <v>Metroidvania </v>
      </c>
      <c r="M113" s="31" t="str">
        <f>IFERROR(__xludf.DUMMYFUNCTION("""COMPUTED_VALUE"""),"Exclusive")</f>
        <v>Exclusive</v>
      </c>
    </row>
    <row r="114">
      <c r="A114" s="17" t="str">
        <f>IFERROR(__xludf.DUMMYFUNCTION("""COMPUTED_VALUE"""),"EA Sports PGA Tour")</f>
        <v>EA Sports PGA Tour</v>
      </c>
      <c r="B114" s="20" t="str">
        <f>IFERROR(__xludf.DUMMYFUNCTION("""COMPUTED_VALUE"""),"Xbox / PC")</f>
        <v>Xbox / PC</v>
      </c>
      <c r="C114" s="21" t="str">
        <f>IFERROR(__xludf.DUMMYFUNCTION("""COMPUTED_VALUE"""),"Yes")</f>
        <v>Yes</v>
      </c>
      <c r="D114" s="21" t="str">
        <f>IFERROR(__xludf.DUMMYFUNCTION("""COMPUTED_VALUE"""),"Active")</f>
        <v>Active</v>
      </c>
      <c r="E114" s="23">
        <f>IFERROR(__xludf.DUMMYFUNCTION("""COMPUTED_VALUE"""),45386.0)</f>
        <v>45386</v>
      </c>
      <c r="F114" s="24"/>
      <c r="G114" s="27">
        <f>IFERROR(__xludf.DUMMYFUNCTION("""COMPUTED_VALUE"""),30.066666666666666)</f>
        <v>30.06666667</v>
      </c>
      <c r="H114" s="23">
        <f>IFERROR(__xludf.DUMMYFUNCTION("""COMPUTED_VALUE"""),45020.0)</f>
        <v>45020</v>
      </c>
      <c r="I114" s="27">
        <f>IFERROR(__xludf.DUMMYFUNCTION("""COMPUTED_VALUE"""),1.0)</f>
        <v>1</v>
      </c>
      <c r="J114" s="29">
        <f>IFERROR(__xludf.DUMMYFUNCTION("""COMPUTED_VALUE"""),76.0)</f>
        <v>76</v>
      </c>
      <c r="K114" s="29">
        <f>IFERROR(__xludf.DUMMYFUNCTION("""COMPUTED_VALUE"""),31.0)</f>
        <v>31</v>
      </c>
      <c r="L114" s="31" t="str">
        <f>IFERROR(__xludf.DUMMYFUNCTION("""COMPUTED_VALUE"""),"Sports")</f>
        <v>Sports</v>
      </c>
      <c r="M114" s="31" t="str">
        <f>IFERROR(__xludf.DUMMYFUNCTION("""COMPUTED_VALUE"""),"Exclusive")</f>
        <v>Exclusive</v>
      </c>
    </row>
    <row r="115">
      <c r="A115" s="17" t="str">
        <f>IFERROR(__xludf.DUMMYFUNCTION("""COMPUTED_VALUE"""),"Ghostwire: Tokyo")</f>
        <v>Ghostwire: Tokyo</v>
      </c>
      <c r="B115" s="20" t="str">
        <f>IFERROR(__xludf.DUMMYFUNCTION("""COMPUTED_VALUE"""),"Xbox / PC")</f>
        <v>Xbox / PC</v>
      </c>
      <c r="C115" s="21" t="str">
        <f>IFERROR(__xludf.DUMMYFUNCTION("""COMPUTED_VALUE"""),"Yes")</f>
        <v>Yes</v>
      </c>
      <c r="D115" s="21" t="str">
        <f>IFERROR(__xludf.DUMMYFUNCTION("""COMPUTED_VALUE"""),"Active")</f>
        <v>Active</v>
      </c>
      <c r="E115" s="23">
        <f>IFERROR(__xludf.DUMMYFUNCTION("""COMPUTED_VALUE"""),45028.0)</f>
        <v>45028</v>
      </c>
      <c r="F115" s="24"/>
      <c r="G115" s="27">
        <f>IFERROR(__xludf.DUMMYFUNCTION("""COMPUTED_VALUE"""),41.8)</f>
        <v>41.8</v>
      </c>
      <c r="H115" s="23">
        <f>IFERROR(__xludf.DUMMYFUNCTION("""COMPUTED_VALUE"""),44645.0)</f>
        <v>44645</v>
      </c>
      <c r="I115" s="27">
        <f>IFERROR(__xludf.DUMMYFUNCTION("""COMPUTED_VALUE"""),1.0472222222222223)</f>
        <v>1.047222222</v>
      </c>
      <c r="J115" s="29">
        <f>IFERROR(__xludf.DUMMYFUNCTION("""COMPUTED_VALUE"""),76.0)</f>
        <v>76</v>
      </c>
      <c r="K115" s="29">
        <f>IFERROR(__xludf.DUMMYFUNCTION("""COMPUTED_VALUE"""),11.0)</f>
        <v>11</v>
      </c>
      <c r="L115" s="31" t="str">
        <f>IFERROR(__xludf.DUMMYFUNCTION("""COMPUTED_VALUE"""),"Action-Adventure")</f>
        <v>Action-Adventure</v>
      </c>
      <c r="M115" s="31" t="str">
        <f>IFERROR(__xludf.DUMMYFUNCTION("""COMPUTED_VALUE"""),"Exclusive")</f>
        <v>Exclusive</v>
      </c>
    </row>
    <row r="116">
      <c r="A116" s="17" t="str">
        <f>IFERROR(__xludf.DUMMYFUNCTION("""COMPUTED_VALUE"""),"Super Meat Boy 3D")</f>
        <v>Super Meat Boy 3D</v>
      </c>
      <c r="B116" s="20" t="str">
        <f>IFERROR(__xludf.DUMMYFUNCTION("""COMPUTED_VALUE"""),"Xbox / PC")</f>
        <v>Xbox / PC</v>
      </c>
      <c r="C116" s="21" t="str">
        <f>IFERROR(__xludf.DUMMYFUNCTION("""COMPUTED_VALUE"""),"Yes")</f>
        <v>Yes</v>
      </c>
      <c r="D116" s="21" t="str">
        <f>IFERROR(__xludf.DUMMYFUNCTION("""COMPUTED_VALUE"""),"Active")</f>
        <v>Active</v>
      </c>
      <c r="E116" s="23">
        <f>IFERROR(__xludf.DUMMYFUNCTION("""COMPUTED_VALUE"""),46112.0)</f>
        <v>46112</v>
      </c>
      <c r="F116" s="24"/>
      <c r="G116" s="27">
        <f>IFERROR(__xludf.DUMMYFUNCTION("""COMPUTED_VALUE"""),6.200000000000001)</f>
        <v>6.2</v>
      </c>
      <c r="H116" s="23">
        <f>IFERROR(__xludf.DUMMYFUNCTION("""COMPUTED_VALUE"""),46112.0)</f>
        <v>46112</v>
      </c>
      <c r="I116" s="27">
        <f>IFERROR(__xludf.DUMMYFUNCTION("""COMPUTED_VALUE"""),0.0)</f>
        <v>0</v>
      </c>
      <c r="J116" s="29">
        <f>IFERROR(__xludf.DUMMYFUNCTION("""COMPUTED_VALUE"""),75.0)</f>
        <v>75</v>
      </c>
      <c r="K116" s="29">
        <f>IFERROR(__xludf.DUMMYFUNCTION("""COMPUTED_VALUE"""),6.0)</f>
        <v>6</v>
      </c>
      <c r="L116" s="31" t="str">
        <f>IFERROR(__xludf.DUMMYFUNCTION("""COMPUTED_VALUE"""),"Platformer")</f>
        <v>Platformer</v>
      </c>
      <c r="M116" s="31" t="str">
        <f>IFERROR(__xludf.DUMMYFUNCTION("""COMPUTED_VALUE"""),"Exclusive")</f>
        <v>Exclusive</v>
      </c>
    </row>
    <row r="117">
      <c r="A117" s="17" t="str">
        <f>IFERROR(__xludf.DUMMYFUNCTION("""COMPUTED_VALUE"""),"Star Wars Outlaws")</f>
        <v>Star Wars Outlaws</v>
      </c>
      <c r="B117" s="20" t="str">
        <f>IFERROR(__xludf.DUMMYFUNCTION("""COMPUTED_VALUE"""),"Xbox / PC")</f>
        <v>Xbox / PC</v>
      </c>
      <c r="C117" s="21" t="str">
        <f>IFERROR(__xludf.DUMMYFUNCTION("""COMPUTED_VALUE"""),"Yes")</f>
        <v>Yes</v>
      </c>
      <c r="D117" s="21" t="str">
        <f>IFERROR(__xludf.DUMMYFUNCTION("""COMPUTED_VALUE"""),"Active")</f>
        <v>Active</v>
      </c>
      <c r="E117" s="23">
        <f>IFERROR(__xludf.DUMMYFUNCTION("""COMPUTED_VALUE"""),46035.0)</f>
        <v>46035</v>
      </c>
      <c r="F117" s="24"/>
      <c r="G117" s="27">
        <f>IFERROR(__xludf.DUMMYFUNCTION("""COMPUTED_VALUE"""),8.766666666666666)</f>
        <v>8.766666667</v>
      </c>
      <c r="H117" s="23">
        <f>IFERROR(__xludf.DUMMYFUNCTION("""COMPUTED_VALUE"""),45531.0)</f>
        <v>45531</v>
      </c>
      <c r="I117" s="27">
        <f>IFERROR(__xludf.DUMMYFUNCTION("""COMPUTED_VALUE"""),1.3777777777777778)</f>
        <v>1.377777778</v>
      </c>
      <c r="J117" s="29">
        <f>IFERROR(__xludf.DUMMYFUNCTION("""COMPUTED_VALUE"""),75.0)</f>
        <v>75</v>
      </c>
      <c r="K117" s="29">
        <f>IFERROR(__xludf.DUMMYFUNCTION("""COMPUTED_VALUE"""),19.0)</f>
        <v>19</v>
      </c>
      <c r="L117" s="31" t="str">
        <f>IFERROR(__xludf.DUMMYFUNCTION("""COMPUTED_VALUE"""),"Action-Adventure")</f>
        <v>Action-Adventure</v>
      </c>
      <c r="M117" s="31" t="str">
        <f>IFERROR(__xludf.DUMMYFUNCTION("""COMPUTED_VALUE"""),"Exclusive")</f>
        <v>Exclusive</v>
      </c>
    </row>
    <row r="118">
      <c r="A118" s="17" t="str">
        <f>IFERROR(__xludf.DUMMYFUNCTION("""COMPUTED_VALUE"""),"Visions of Mana")</f>
        <v>Visions of Mana</v>
      </c>
      <c r="B118" s="20" t="str">
        <f>IFERROR(__xludf.DUMMYFUNCTION("""COMPUTED_VALUE"""),"Xbox / PC")</f>
        <v>Xbox / PC</v>
      </c>
      <c r="C118" s="21" t="str">
        <f>IFERROR(__xludf.DUMMYFUNCTION("""COMPUTED_VALUE"""),"Yes")</f>
        <v>Yes</v>
      </c>
      <c r="D118" s="21" t="str">
        <f>IFERROR(__xludf.DUMMYFUNCTION("""COMPUTED_VALUE"""),"Active")</f>
        <v>Active</v>
      </c>
      <c r="E118" s="23">
        <f>IFERROR(__xludf.DUMMYFUNCTION("""COMPUTED_VALUE"""),45925.0)</f>
        <v>45925</v>
      </c>
      <c r="F118" s="24"/>
      <c r="G118" s="27">
        <f>IFERROR(__xludf.DUMMYFUNCTION("""COMPUTED_VALUE"""),12.366666666666665)</f>
        <v>12.36666667</v>
      </c>
      <c r="H118" s="23">
        <f>IFERROR(__xludf.DUMMYFUNCTION("""COMPUTED_VALUE"""),45533.0)</f>
        <v>45533</v>
      </c>
      <c r="I118" s="27">
        <f>IFERROR(__xludf.DUMMYFUNCTION("""COMPUTED_VALUE"""),1.0722222222222222)</f>
        <v>1.072222222</v>
      </c>
      <c r="J118" s="29">
        <f>IFERROR(__xludf.DUMMYFUNCTION("""COMPUTED_VALUE"""),75.0)</f>
        <v>75</v>
      </c>
      <c r="K118" s="29">
        <f>IFERROR(__xludf.DUMMYFUNCTION("""COMPUTED_VALUE"""),29.0)</f>
        <v>29</v>
      </c>
      <c r="L118" s="31" t="str">
        <f>IFERROR(__xludf.DUMMYFUNCTION("""COMPUTED_VALUE"""),"RPG")</f>
        <v>RPG</v>
      </c>
      <c r="M118" s="31" t="str">
        <f>IFERROR(__xludf.DUMMYFUNCTION("""COMPUTED_VALUE"""),"Exclusive")</f>
        <v>Exclusive</v>
      </c>
    </row>
    <row r="119">
      <c r="A119" s="17" t="str">
        <f>IFERROR(__xludf.DUMMYFUNCTION("""COMPUTED_VALUE"""),"Blood Dungeon")</f>
        <v>Blood Dungeon</v>
      </c>
      <c r="B119" s="20" t="str">
        <f>IFERROR(__xludf.DUMMYFUNCTION("""COMPUTED_VALUE"""),"Xbox / PC")</f>
        <v>Xbox / PC</v>
      </c>
      <c r="C119" s="21" t="str">
        <f>IFERROR(__xludf.DUMMYFUNCTION("""COMPUTED_VALUE"""),"Yes")</f>
        <v>Yes</v>
      </c>
      <c r="D119" s="21" t="str">
        <f>IFERROR(__xludf.DUMMYFUNCTION("""COMPUTED_VALUE"""),"Active")</f>
        <v>Active</v>
      </c>
      <c r="E119" s="23">
        <f>IFERROR(__xludf.DUMMYFUNCTION("""COMPUTED_VALUE"""),46259.0)</f>
        <v>46259</v>
      </c>
      <c r="F119" s="24"/>
      <c r="G119" s="27">
        <f>IFERROR(__xludf.DUMMYFUNCTION("""COMPUTED_VALUE"""),1.3666666666666667)</f>
        <v>1.366666667</v>
      </c>
      <c r="H119" s="23">
        <f>IFERROR(__xludf.DUMMYFUNCTION("""COMPUTED_VALUE"""),46259.0)</f>
        <v>46259</v>
      </c>
      <c r="I119" s="27">
        <f>IFERROR(__xludf.DUMMYFUNCTION("""COMPUTED_VALUE"""),0.0)</f>
        <v>0</v>
      </c>
      <c r="J119" s="29">
        <f>IFERROR(__xludf.DUMMYFUNCTION("""COMPUTED_VALUE"""),74.0)</f>
        <v>74</v>
      </c>
      <c r="K119" s="29">
        <f>IFERROR(__xludf.DUMMYFUNCTION("""COMPUTED_VALUE"""),2.0)</f>
        <v>2</v>
      </c>
      <c r="L119" s="31" t="str">
        <f>IFERROR(__xludf.DUMMYFUNCTION("""COMPUTED_VALUE"""),"Action-Adventure")</f>
        <v>Action-Adventure</v>
      </c>
      <c r="M119" s="31" t="str">
        <f>IFERROR(__xludf.DUMMYFUNCTION("""COMPUTED_VALUE"""),"Exclusive")</f>
        <v>Exclusive</v>
      </c>
    </row>
    <row r="120">
      <c r="A120" s="17" t="str">
        <f>IFERROR(__xludf.DUMMYFUNCTION("""COMPUTED_VALUE"""),"The Thaumaturge")</f>
        <v>The Thaumaturge</v>
      </c>
      <c r="B120" s="20" t="str">
        <f>IFERROR(__xludf.DUMMYFUNCTION("""COMPUTED_VALUE"""),"Xbox / PC")</f>
        <v>Xbox / PC</v>
      </c>
      <c r="C120" s="21" t="str">
        <f>IFERROR(__xludf.DUMMYFUNCTION("""COMPUTED_VALUE"""),"Yes")</f>
        <v>Yes</v>
      </c>
      <c r="D120" s="21" t="str">
        <f>IFERROR(__xludf.DUMMYFUNCTION("""COMPUTED_VALUE"""),"Active")</f>
        <v>Active</v>
      </c>
      <c r="E120" s="23">
        <f>IFERROR(__xludf.DUMMYFUNCTION("""COMPUTED_VALUE"""),46126.0)</f>
        <v>46126</v>
      </c>
      <c r="F120" s="24"/>
      <c r="G120" s="27">
        <f>IFERROR(__xludf.DUMMYFUNCTION("""COMPUTED_VALUE"""),5.733333333333333)</f>
        <v>5.733333333</v>
      </c>
      <c r="H120" s="23">
        <f>IFERROR(__xludf.DUMMYFUNCTION("""COMPUTED_VALUE"""),45355.0)</f>
        <v>45355</v>
      </c>
      <c r="I120" s="27">
        <f>IFERROR(__xludf.DUMMYFUNCTION("""COMPUTED_VALUE"""),2.111111111111111)</f>
        <v>2.111111111</v>
      </c>
      <c r="J120" s="29">
        <f>IFERROR(__xludf.DUMMYFUNCTION("""COMPUTED_VALUE"""),74.0)</f>
        <v>74</v>
      </c>
      <c r="K120" s="29">
        <f>IFERROR(__xludf.DUMMYFUNCTION("""COMPUTED_VALUE"""),16.0)</f>
        <v>16</v>
      </c>
      <c r="L120" s="31" t="str">
        <f>IFERROR(__xludf.DUMMYFUNCTION("""COMPUTED_VALUE"""),"RPG")</f>
        <v>RPG</v>
      </c>
      <c r="M120" s="31" t="str">
        <f>IFERROR(__xludf.DUMMYFUNCTION("""COMPUTED_VALUE"""),"Exclusive")</f>
        <v>Exclusive</v>
      </c>
    </row>
    <row r="121">
      <c r="A121" s="17" t="str">
        <f>IFERROR(__xludf.DUMMYFUNCTION("""COMPUTED_VALUE"""),"Lost Records: Bloom &amp; Rage")</f>
        <v>Lost Records: Bloom &amp; Rage</v>
      </c>
      <c r="B121" s="20" t="str">
        <f>IFERROR(__xludf.DUMMYFUNCTION("""COMPUTED_VALUE"""),"Xbox / PC")</f>
        <v>Xbox / PC</v>
      </c>
      <c r="C121" s="21" t="str">
        <f>IFERROR(__xludf.DUMMYFUNCTION("""COMPUTED_VALUE"""),"Yes")</f>
        <v>Yes</v>
      </c>
      <c r="D121" s="21" t="str">
        <f>IFERROR(__xludf.DUMMYFUNCTION("""COMPUTED_VALUE"""),"Active")</f>
        <v>Active</v>
      </c>
      <c r="E121" s="23">
        <f>IFERROR(__xludf.DUMMYFUNCTION("""COMPUTED_VALUE"""),45993.0)</f>
        <v>45993</v>
      </c>
      <c r="F121" s="24"/>
      <c r="G121" s="27">
        <f>IFERROR(__xludf.DUMMYFUNCTION("""COMPUTED_VALUE"""),10.133333333333333)</f>
        <v>10.13333333</v>
      </c>
      <c r="H121" s="23">
        <f>IFERROR(__xludf.DUMMYFUNCTION("""COMPUTED_VALUE"""),45706.0)</f>
        <v>45706</v>
      </c>
      <c r="I121" s="27">
        <f>IFERROR(__xludf.DUMMYFUNCTION("""COMPUTED_VALUE"""),0.7888888888888889)</f>
        <v>0.7888888889</v>
      </c>
      <c r="J121" s="29">
        <f>IFERROR(__xludf.DUMMYFUNCTION("""COMPUTED_VALUE"""),74.0)</f>
        <v>74</v>
      </c>
      <c r="K121" s="29">
        <f>IFERROR(__xludf.DUMMYFUNCTION("""COMPUTED_VALUE"""),11.0)</f>
        <v>11</v>
      </c>
      <c r="L121" s="31" t="str">
        <f>IFERROR(__xludf.DUMMYFUNCTION("""COMPUTED_VALUE"""),"Action-Adventure")</f>
        <v>Action-Adventure</v>
      </c>
      <c r="M121" s="31" t="str">
        <f>IFERROR(__xludf.DUMMYFUNCTION("""COMPUTED_VALUE"""),"Exclusive")</f>
        <v>Exclusive</v>
      </c>
    </row>
    <row r="122">
      <c r="A122" s="17" t="str">
        <f>IFERROR(__xludf.DUMMYFUNCTION("""COMPUTED_VALUE"""),"Bounty Star: The Morose Tale of Graveyard Clem")</f>
        <v>Bounty Star: The Morose Tale of Graveyard Clem</v>
      </c>
      <c r="B122" s="20" t="str">
        <f>IFERROR(__xludf.DUMMYFUNCTION("""COMPUTED_VALUE"""),"Xbox / PC")</f>
        <v>Xbox / PC</v>
      </c>
      <c r="C122" s="21" t="str">
        <f>IFERROR(__xludf.DUMMYFUNCTION("""COMPUTED_VALUE"""),"Yes")</f>
        <v>Yes</v>
      </c>
      <c r="D122" s="21" t="str">
        <f>IFERROR(__xludf.DUMMYFUNCTION("""COMPUTED_VALUE"""),"Active")</f>
        <v>Active</v>
      </c>
      <c r="E122" s="23">
        <f>IFERROR(__xludf.DUMMYFUNCTION("""COMPUTED_VALUE"""),45953.0)</f>
        <v>45953</v>
      </c>
      <c r="F122" s="24"/>
      <c r="G122" s="27">
        <f>IFERROR(__xludf.DUMMYFUNCTION("""COMPUTED_VALUE"""),11.433333333333334)</f>
        <v>11.43333333</v>
      </c>
      <c r="H122" s="23">
        <f>IFERROR(__xludf.DUMMYFUNCTION("""COMPUTED_VALUE"""),45953.0)</f>
        <v>45953</v>
      </c>
      <c r="I122" s="27">
        <f>IFERROR(__xludf.DUMMYFUNCTION("""COMPUTED_VALUE"""),0.0)</f>
        <v>0</v>
      </c>
      <c r="J122" s="29">
        <f>IFERROR(__xludf.DUMMYFUNCTION("""COMPUTED_VALUE"""),74.0)</f>
        <v>74</v>
      </c>
      <c r="K122" s="29">
        <f>IFERROR(__xludf.DUMMYFUNCTION("""COMPUTED_VALUE"""),13.0)</f>
        <v>13</v>
      </c>
      <c r="L122" s="31" t="str">
        <f>IFERROR(__xludf.DUMMYFUNCTION("""COMPUTED_VALUE"""),"Shooter")</f>
        <v>Shooter</v>
      </c>
      <c r="M122" s="31" t="str">
        <f>IFERROR(__xludf.DUMMYFUNCTION("""COMPUTED_VALUE"""),"Exclusive")</f>
        <v>Exclusive</v>
      </c>
    </row>
    <row r="123">
      <c r="A123" s="17" t="str">
        <f>IFERROR(__xludf.DUMMYFUNCTION("""COMPUTED_VALUE"""),"WUCHANG: Fallen Feathers")</f>
        <v>WUCHANG: Fallen Feathers</v>
      </c>
      <c r="B123" s="20" t="str">
        <f>IFERROR(__xludf.DUMMYFUNCTION("""COMPUTED_VALUE"""),"Xbox / PC")</f>
        <v>Xbox / PC</v>
      </c>
      <c r="C123" s="21" t="str">
        <f>IFERROR(__xludf.DUMMYFUNCTION("""COMPUTED_VALUE"""),"Yes")</f>
        <v>Yes</v>
      </c>
      <c r="D123" s="21" t="str">
        <f>IFERROR(__xludf.DUMMYFUNCTION("""COMPUTED_VALUE"""),"Active")</f>
        <v>Active</v>
      </c>
      <c r="E123" s="23">
        <f>IFERROR(__xludf.DUMMYFUNCTION("""COMPUTED_VALUE"""),45862.0)</f>
        <v>45862</v>
      </c>
      <c r="F123" s="24"/>
      <c r="G123" s="27">
        <f>IFERROR(__xludf.DUMMYFUNCTION("""COMPUTED_VALUE"""),14.399999999999999)</f>
        <v>14.4</v>
      </c>
      <c r="H123" s="23">
        <f>IFERROR(__xludf.DUMMYFUNCTION("""COMPUTED_VALUE"""),45862.0)</f>
        <v>45862</v>
      </c>
      <c r="I123" s="27">
        <f>IFERROR(__xludf.DUMMYFUNCTION("""COMPUTED_VALUE"""),0.0)</f>
        <v>0</v>
      </c>
      <c r="J123" s="29">
        <f>IFERROR(__xludf.DUMMYFUNCTION("""COMPUTED_VALUE"""),74.0)</f>
        <v>74</v>
      </c>
      <c r="K123" s="29">
        <f>IFERROR(__xludf.DUMMYFUNCTION("""COMPUTED_VALUE"""),32.0)</f>
        <v>32</v>
      </c>
      <c r="L123" s="31" t="str">
        <f>IFERROR(__xludf.DUMMYFUNCTION("""COMPUTED_VALUE"""),"RPG")</f>
        <v>RPG</v>
      </c>
      <c r="M123" s="31" t="str">
        <f>IFERROR(__xludf.DUMMYFUNCTION("""COMPUTED_VALUE"""),"Exclusive")</f>
        <v>Exclusive</v>
      </c>
    </row>
    <row r="124">
      <c r="A124" s="17" t="str">
        <f>IFERROR(__xludf.DUMMYFUNCTION("""COMPUTED_VALUE"""),"Beastro")</f>
        <v>Beastro</v>
      </c>
      <c r="B124" s="20" t="str">
        <f>IFERROR(__xludf.DUMMYFUNCTION("""COMPUTED_VALUE"""),"Xbox / PC")</f>
        <v>Xbox / PC</v>
      </c>
      <c r="C124" s="21" t="str">
        <f>IFERROR(__xludf.DUMMYFUNCTION("""COMPUTED_VALUE"""),"Yes")</f>
        <v>Yes</v>
      </c>
      <c r="D124" s="21" t="str">
        <f>IFERROR(__xludf.DUMMYFUNCTION("""COMPUTED_VALUE"""),"Active")</f>
        <v>Active</v>
      </c>
      <c r="E124" s="23">
        <f>IFERROR(__xludf.DUMMYFUNCTION("""COMPUTED_VALUE"""),46184.0)</f>
        <v>46184</v>
      </c>
      <c r="F124" s="24"/>
      <c r="G124" s="27">
        <f>IFERROR(__xludf.DUMMYFUNCTION("""COMPUTED_VALUE"""),3.833333333333333)</f>
        <v>3.833333333</v>
      </c>
      <c r="H124" s="23">
        <f>IFERROR(__xludf.DUMMYFUNCTION("""COMPUTED_VALUE"""),46163.0)</f>
        <v>46163</v>
      </c>
      <c r="I124" s="27">
        <f>IFERROR(__xludf.DUMMYFUNCTION("""COMPUTED_VALUE"""),0.05555555555555555)</f>
        <v>0.05555555556</v>
      </c>
      <c r="J124" s="29">
        <f>IFERROR(__xludf.DUMMYFUNCTION("""COMPUTED_VALUE"""),73.0)</f>
        <v>73</v>
      </c>
      <c r="K124" s="29">
        <f>IFERROR(__xludf.DUMMYFUNCTION("""COMPUTED_VALUE"""),9.0)</f>
        <v>9</v>
      </c>
      <c r="L124" s="31" t="str">
        <f>IFERROR(__xludf.DUMMYFUNCTION("""COMPUTED_VALUE"""),"Action-Adventure")</f>
        <v>Action-Adventure</v>
      </c>
      <c r="M124" s="31" t="str">
        <f>IFERROR(__xludf.DUMMYFUNCTION("""COMPUTED_VALUE"""),"Exclusive")</f>
        <v>Exclusive</v>
      </c>
    </row>
    <row r="125">
      <c r="A125" s="17" t="str">
        <f>IFERROR(__xludf.DUMMYFUNCTION("""COMPUTED_VALUE"""),"Undisputed")</f>
        <v>Undisputed</v>
      </c>
      <c r="B125" s="20" t="str">
        <f>IFERROR(__xludf.DUMMYFUNCTION("""COMPUTED_VALUE"""),"Xbox / PC")</f>
        <v>Xbox / PC</v>
      </c>
      <c r="C125" s="21" t="str">
        <f>IFERROR(__xludf.DUMMYFUNCTION("""COMPUTED_VALUE"""),"Yes")</f>
        <v>Yes</v>
      </c>
      <c r="D125" s="21" t="str">
        <f>IFERROR(__xludf.DUMMYFUNCTION("""COMPUTED_VALUE"""),"Active")</f>
        <v>Active</v>
      </c>
      <c r="E125" s="23">
        <f>IFERROR(__xludf.DUMMYFUNCTION("""COMPUTED_VALUE"""),46181.0)</f>
        <v>46181</v>
      </c>
      <c r="F125" s="24"/>
      <c r="G125" s="27">
        <f>IFERROR(__xludf.DUMMYFUNCTION("""COMPUTED_VALUE"""),3.9333333333333336)</f>
        <v>3.933333333</v>
      </c>
      <c r="H125" s="23">
        <f>IFERROR(__xludf.DUMMYFUNCTION("""COMPUTED_VALUE"""),45576.0)</f>
        <v>45576</v>
      </c>
      <c r="I125" s="27">
        <f>IFERROR(__xludf.DUMMYFUNCTION("""COMPUTED_VALUE"""),1.6583333333333334)</f>
        <v>1.658333333</v>
      </c>
      <c r="J125" s="29">
        <f>IFERROR(__xludf.DUMMYFUNCTION("""COMPUTED_VALUE"""),73.0)</f>
        <v>73</v>
      </c>
      <c r="K125" s="29">
        <f>IFERROR(__xludf.DUMMYFUNCTION("""COMPUTED_VALUE"""),15.0)</f>
        <v>15</v>
      </c>
      <c r="L125" s="31" t="str">
        <f>IFERROR(__xludf.DUMMYFUNCTION("""COMPUTED_VALUE"""),"Sports")</f>
        <v>Sports</v>
      </c>
      <c r="M125" s="31" t="str">
        <f>IFERROR(__xludf.DUMMYFUNCTION("""COMPUTED_VALUE"""),"Exclusive")</f>
        <v>Exclusive</v>
      </c>
    </row>
    <row r="126">
      <c r="A126" s="17" t="str">
        <f>IFERROR(__xludf.DUMMYFUNCTION("""COMPUTED_VALUE"""),"NHL 26")</f>
        <v>NHL 26</v>
      </c>
      <c r="B126" s="20" t="str">
        <f>IFERROR(__xludf.DUMMYFUNCTION("""COMPUTED_VALUE"""),"Xbox")</f>
        <v>Xbox</v>
      </c>
      <c r="C126" s="21" t="str">
        <f>IFERROR(__xludf.DUMMYFUNCTION("""COMPUTED_VALUE"""),"Yes")</f>
        <v>Yes</v>
      </c>
      <c r="D126" s="21" t="str">
        <f>IFERROR(__xludf.DUMMYFUNCTION("""COMPUTED_VALUE"""),"Active")</f>
        <v>Active</v>
      </c>
      <c r="E126" s="23">
        <f>IFERROR(__xludf.DUMMYFUNCTION("""COMPUTED_VALUE"""),46128.0)</f>
        <v>46128</v>
      </c>
      <c r="F126" s="24"/>
      <c r="G126" s="27">
        <f>IFERROR(__xludf.DUMMYFUNCTION("""COMPUTED_VALUE"""),5.666666666666666)</f>
        <v>5.666666667</v>
      </c>
      <c r="H126" s="23">
        <f>IFERROR(__xludf.DUMMYFUNCTION("""COMPUTED_VALUE"""),45912.0)</f>
        <v>45912</v>
      </c>
      <c r="I126" s="27">
        <f>IFERROR(__xludf.DUMMYFUNCTION("""COMPUTED_VALUE"""),0.5944444444444444)</f>
        <v>0.5944444444</v>
      </c>
      <c r="J126" s="29">
        <f>IFERROR(__xludf.DUMMYFUNCTION("""COMPUTED_VALUE"""),73.0)</f>
        <v>73</v>
      </c>
      <c r="K126" s="29">
        <f>IFERROR(__xludf.DUMMYFUNCTION("""COMPUTED_VALUE"""),20.0)</f>
        <v>20</v>
      </c>
      <c r="L126" s="31" t="str">
        <f>IFERROR(__xludf.DUMMYFUNCTION("""COMPUTED_VALUE"""),"Sports")</f>
        <v>Sports</v>
      </c>
      <c r="M126" s="31" t="str">
        <f>IFERROR(__xludf.DUMMYFUNCTION("""COMPUTED_VALUE"""),"Exclusive")</f>
        <v>Exclusive</v>
      </c>
    </row>
    <row r="127">
      <c r="A127" s="17" t="str">
        <f>IFERROR(__xludf.DUMMYFUNCTION("""COMPUTED_VALUE"""),"High on Life 2")</f>
        <v>High on Life 2</v>
      </c>
      <c r="B127" s="20" t="str">
        <f>IFERROR(__xludf.DUMMYFUNCTION("""COMPUTED_VALUE"""),"Xbox / PC")</f>
        <v>Xbox / PC</v>
      </c>
      <c r="C127" s="21" t="str">
        <f>IFERROR(__xludf.DUMMYFUNCTION("""COMPUTED_VALUE"""),"Yes")</f>
        <v>Yes</v>
      </c>
      <c r="D127" s="21" t="str">
        <f>IFERROR(__xludf.DUMMYFUNCTION("""COMPUTED_VALUE"""),"Active")</f>
        <v>Active</v>
      </c>
      <c r="E127" s="23">
        <f>IFERROR(__xludf.DUMMYFUNCTION("""COMPUTED_VALUE"""),46066.0)</f>
        <v>46066</v>
      </c>
      <c r="F127" s="24"/>
      <c r="G127" s="27">
        <f>IFERROR(__xludf.DUMMYFUNCTION("""COMPUTED_VALUE"""),7.7666666666666675)</f>
        <v>7.766666667</v>
      </c>
      <c r="H127" s="23">
        <f>IFERROR(__xludf.DUMMYFUNCTION("""COMPUTED_VALUE"""),46066.0)</f>
        <v>46066</v>
      </c>
      <c r="I127" s="27">
        <f>IFERROR(__xludf.DUMMYFUNCTION("""COMPUTED_VALUE"""),0.0)</f>
        <v>0</v>
      </c>
      <c r="J127" s="29">
        <f>IFERROR(__xludf.DUMMYFUNCTION("""COMPUTED_VALUE"""),73.0)</f>
        <v>73</v>
      </c>
      <c r="K127" s="29">
        <f>IFERROR(__xludf.DUMMYFUNCTION("""COMPUTED_VALUE"""),12.0)</f>
        <v>12</v>
      </c>
      <c r="L127" s="31" t="str">
        <f>IFERROR(__xludf.DUMMYFUNCTION("""COMPUTED_VALUE"""),"Shooter")</f>
        <v>Shooter</v>
      </c>
      <c r="M127" s="31" t="str">
        <f>IFERROR(__xludf.DUMMYFUNCTION("""COMPUTED_VALUE"""),"Exclusive")</f>
        <v>Exclusive</v>
      </c>
    </row>
    <row r="128">
      <c r="A128" s="17" t="str">
        <f>IFERROR(__xludf.DUMMYFUNCTION("""COMPUTED_VALUE"""),"To a T")</f>
        <v>To a T</v>
      </c>
      <c r="B128" s="20" t="str">
        <f>IFERROR(__xludf.DUMMYFUNCTION("""COMPUTED_VALUE"""),"Xbox / PC")</f>
        <v>Xbox / PC</v>
      </c>
      <c r="C128" s="21" t="str">
        <f>IFERROR(__xludf.DUMMYFUNCTION("""COMPUTED_VALUE"""),"Yes")</f>
        <v>Yes</v>
      </c>
      <c r="D128" s="21" t="str">
        <f>IFERROR(__xludf.DUMMYFUNCTION("""COMPUTED_VALUE"""),"Active")</f>
        <v>Active</v>
      </c>
      <c r="E128" s="23">
        <f>IFERROR(__xludf.DUMMYFUNCTION("""COMPUTED_VALUE"""),45805.0)</f>
        <v>45805</v>
      </c>
      <c r="F128" s="24"/>
      <c r="G128" s="27">
        <f>IFERROR(__xludf.DUMMYFUNCTION("""COMPUTED_VALUE"""),16.266666666666666)</f>
        <v>16.26666667</v>
      </c>
      <c r="H128" s="23">
        <f>IFERROR(__xludf.DUMMYFUNCTION("""COMPUTED_VALUE"""),45805.0)</f>
        <v>45805</v>
      </c>
      <c r="I128" s="27">
        <f>IFERROR(__xludf.DUMMYFUNCTION("""COMPUTED_VALUE"""),0.0)</f>
        <v>0</v>
      </c>
      <c r="J128" s="29">
        <f>IFERROR(__xludf.DUMMYFUNCTION("""COMPUTED_VALUE"""),73.0)</f>
        <v>73</v>
      </c>
      <c r="K128" s="29">
        <f>IFERROR(__xludf.DUMMYFUNCTION("""COMPUTED_VALUE"""),6.0)</f>
        <v>6</v>
      </c>
      <c r="L128" s="31" t="str">
        <f>IFERROR(__xludf.DUMMYFUNCTION("""COMPUTED_VALUE"""),"Action-Adventure")</f>
        <v>Action-Adventure</v>
      </c>
      <c r="M128" s="31" t="str">
        <f>IFERROR(__xludf.DUMMYFUNCTION("""COMPUTED_VALUE"""),"Exclusive")</f>
        <v>Exclusive</v>
      </c>
    </row>
    <row r="129">
      <c r="A129" s="17" t="str">
        <f>IFERROR(__xludf.DUMMYFUNCTION("""COMPUTED_VALUE"""),"Towerborne")</f>
        <v>Towerborne</v>
      </c>
      <c r="B129" s="20" t="str">
        <f>IFERROR(__xludf.DUMMYFUNCTION("""COMPUTED_VALUE"""),"Xbox / PC")</f>
        <v>Xbox / PC</v>
      </c>
      <c r="C129" s="21" t="str">
        <f>IFERROR(__xludf.DUMMYFUNCTION("""COMPUTED_VALUE"""),"Yes")</f>
        <v>Yes</v>
      </c>
      <c r="D129" s="21" t="str">
        <f>IFERROR(__xludf.DUMMYFUNCTION("""COMPUTED_VALUE"""),"Active")</f>
        <v>Active</v>
      </c>
      <c r="E129" s="23">
        <f>IFERROR(__xludf.DUMMYFUNCTION("""COMPUTED_VALUE"""),45776.0)</f>
        <v>45776</v>
      </c>
      <c r="F129" s="24"/>
      <c r="G129" s="27">
        <f>IFERROR(__xludf.DUMMYFUNCTION("""COMPUTED_VALUE"""),17.233333333333334)</f>
        <v>17.23333333</v>
      </c>
      <c r="H129" s="23">
        <f>IFERROR(__xludf.DUMMYFUNCTION("""COMPUTED_VALUE"""),45776.0)</f>
        <v>45776</v>
      </c>
      <c r="I129" s="27">
        <f>IFERROR(__xludf.DUMMYFUNCTION("""COMPUTED_VALUE"""),0.0)</f>
        <v>0</v>
      </c>
      <c r="J129" s="29">
        <f>IFERROR(__xludf.DUMMYFUNCTION("""COMPUTED_VALUE"""),73.0)</f>
        <v>73</v>
      </c>
      <c r="K129" s="29">
        <f>IFERROR(__xludf.DUMMYFUNCTION("""COMPUTED_VALUE"""),15.0)</f>
        <v>15</v>
      </c>
      <c r="L129" s="31" t="str">
        <f>IFERROR(__xludf.DUMMYFUNCTION("""COMPUTED_VALUE"""),"Beat-'Em-Up ")</f>
        <v>Beat-'Em-Up </v>
      </c>
      <c r="M129" s="31" t="str">
        <f>IFERROR(__xludf.DUMMYFUNCTION("""COMPUTED_VALUE"""),"Exclusive")</f>
        <v>Exclusive</v>
      </c>
    </row>
    <row r="130">
      <c r="A130" s="17" t="str">
        <f>IFERROR(__xludf.DUMMYFUNCTION("""COMPUTED_VALUE"""),"Beast of Reincarnation")</f>
        <v>Beast of Reincarnation</v>
      </c>
      <c r="B130" s="20" t="str">
        <f>IFERROR(__xludf.DUMMYFUNCTION("""COMPUTED_VALUE"""),"Xbox / PC")</f>
        <v>Xbox / PC</v>
      </c>
      <c r="C130" s="21" t="str">
        <f>IFERROR(__xludf.DUMMYFUNCTION("""COMPUTED_VALUE"""),"Yes")</f>
        <v>Yes</v>
      </c>
      <c r="D130" s="21" t="str">
        <f>IFERROR(__xludf.DUMMYFUNCTION("""COMPUTED_VALUE"""),"Active")</f>
        <v>Active</v>
      </c>
      <c r="E130" s="23">
        <f>IFERROR(__xludf.DUMMYFUNCTION("""COMPUTED_VALUE"""),46238.0)</f>
        <v>46238</v>
      </c>
      <c r="F130" s="24"/>
      <c r="G130" s="27">
        <f>IFERROR(__xludf.DUMMYFUNCTION("""COMPUTED_VALUE"""),2.0666666666666664)</f>
        <v>2.066666667</v>
      </c>
      <c r="H130" s="23">
        <f>IFERROR(__xludf.DUMMYFUNCTION("""COMPUTED_VALUE"""),46238.0)</f>
        <v>46238</v>
      </c>
      <c r="I130" s="27">
        <f>IFERROR(__xludf.DUMMYFUNCTION("""COMPUTED_VALUE"""),0.0)</f>
        <v>0</v>
      </c>
      <c r="J130" s="29">
        <f>IFERROR(__xludf.DUMMYFUNCTION("""COMPUTED_VALUE"""),72.0)</f>
        <v>72</v>
      </c>
      <c r="K130" s="29">
        <f>IFERROR(__xludf.DUMMYFUNCTION("""COMPUTED_VALUE"""),23.0)</f>
        <v>23</v>
      </c>
      <c r="L130" s="31" t="str">
        <f>IFERROR(__xludf.DUMMYFUNCTION("""COMPUTED_VALUE"""),"RPG")</f>
        <v>RPG</v>
      </c>
      <c r="M130" s="31" t="str">
        <f>IFERROR(__xludf.DUMMYFUNCTION("""COMPUTED_VALUE"""),"Exclusive")</f>
        <v>Exclusive</v>
      </c>
    </row>
    <row r="131">
      <c r="A131" s="17" t="str">
        <f>IFERROR(__xludf.DUMMYFUNCTION("""COMPUTED_VALUE"""),"Wildgate")</f>
        <v>Wildgate</v>
      </c>
      <c r="B131" s="20" t="str">
        <f>IFERROR(__xludf.DUMMYFUNCTION("""COMPUTED_VALUE"""),"Xbox / PC")</f>
        <v>Xbox / PC</v>
      </c>
      <c r="C131" s="21" t="str">
        <f>IFERROR(__xludf.DUMMYFUNCTION("""COMPUTED_VALUE"""),"Yes")</f>
        <v>Yes</v>
      </c>
      <c r="D131" s="21" t="str">
        <f>IFERROR(__xludf.DUMMYFUNCTION("""COMPUTED_VALUE"""),"Active")</f>
        <v>Active</v>
      </c>
      <c r="E131" s="23">
        <f>IFERROR(__xludf.DUMMYFUNCTION("""COMPUTED_VALUE"""),46148.0)</f>
        <v>46148</v>
      </c>
      <c r="F131" s="24"/>
      <c r="G131" s="27">
        <f>IFERROR(__xludf.DUMMYFUNCTION("""COMPUTED_VALUE"""),5.0)</f>
        <v>5</v>
      </c>
      <c r="H131" s="23">
        <f>IFERROR(__xludf.DUMMYFUNCTION("""COMPUTED_VALUE"""),45860.0)</f>
        <v>45860</v>
      </c>
      <c r="I131" s="27">
        <f>IFERROR(__xludf.DUMMYFUNCTION("""COMPUTED_VALUE"""),0.7888888888888889)</f>
        <v>0.7888888889</v>
      </c>
      <c r="J131" s="29">
        <f>IFERROR(__xludf.DUMMYFUNCTION("""COMPUTED_VALUE"""),72.0)</f>
        <v>72</v>
      </c>
      <c r="K131" s="29">
        <f>IFERROR(__xludf.DUMMYFUNCTION("""COMPUTED_VALUE"""),19.0)</f>
        <v>19</v>
      </c>
      <c r="L131" s="31" t="str">
        <f>IFERROR(__xludf.DUMMYFUNCTION("""COMPUTED_VALUE"""),"Shooter")</f>
        <v>Shooter</v>
      </c>
      <c r="M131" s="31" t="str">
        <f>IFERROR(__xludf.DUMMYFUNCTION("""COMPUTED_VALUE"""),"Exclusive")</f>
        <v>Exclusive</v>
      </c>
    </row>
    <row r="132">
      <c r="A132" s="17" t="str">
        <f>IFERROR(__xludf.DUMMYFUNCTION("""COMPUTED_VALUE"""),"Avatar: Frontiers of Pandora")</f>
        <v>Avatar: Frontiers of Pandora</v>
      </c>
      <c r="B132" s="20" t="str">
        <f>IFERROR(__xludf.DUMMYFUNCTION("""COMPUTED_VALUE"""),"Xbox / PC")</f>
        <v>Xbox / PC</v>
      </c>
      <c r="C132" s="21" t="str">
        <f>IFERROR(__xludf.DUMMYFUNCTION("""COMPUTED_VALUE"""),"Yes")</f>
        <v>Yes</v>
      </c>
      <c r="D132" s="21" t="str">
        <f>IFERROR(__xludf.DUMMYFUNCTION("""COMPUTED_VALUE"""),"Active")</f>
        <v>Active</v>
      </c>
      <c r="E132" s="23">
        <f>IFERROR(__xludf.DUMMYFUNCTION("""COMPUTED_VALUE"""),46070.0)</f>
        <v>46070</v>
      </c>
      <c r="F132" s="24"/>
      <c r="G132" s="27">
        <f>IFERROR(__xludf.DUMMYFUNCTION("""COMPUTED_VALUE"""),7.633333333333333)</f>
        <v>7.633333333</v>
      </c>
      <c r="H132" s="23">
        <f>IFERROR(__xludf.DUMMYFUNCTION("""COMPUTED_VALUE"""),45267.0)</f>
        <v>45267</v>
      </c>
      <c r="I132" s="27">
        <f>IFERROR(__xludf.DUMMYFUNCTION("""COMPUTED_VALUE"""),2.1944444444444446)</f>
        <v>2.194444444</v>
      </c>
      <c r="J132" s="29">
        <f>IFERROR(__xludf.DUMMYFUNCTION("""COMPUTED_VALUE"""),72.0)</f>
        <v>72</v>
      </c>
      <c r="K132" s="29">
        <f>IFERROR(__xludf.DUMMYFUNCTION("""COMPUTED_VALUE"""),18.0)</f>
        <v>18</v>
      </c>
      <c r="L132" s="31" t="str">
        <f>IFERROR(__xludf.DUMMYFUNCTION("""COMPUTED_VALUE"""),"Shooter")</f>
        <v>Shooter</v>
      </c>
      <c r="M132" s="31" t="str">
        <f>IFERROR(__xludf.DUMMYFUNCTION("""COMPUTED_VALUE"""),"Exclusive")</f>
        <v>Exclusive</v>
      </c>
    </row>
    <row r="133">
      <c r="A133" s="17" t="str">
        <f>IFERROR(__xludf.DUMMYFUNCTION("""COMPUTED_VALUE"""),"RoboCop: Rogue City")</f>
        <v>RoboCop: Rogue City</v>
      </c>
      <c r="B133" s="20" t="str">
        <f>IFERROR(__xludf.DUMMYFUNCTION("""COMPUTED_VALUE"""),"Xbox / PC")</f>
        <v>Xbox / PC</v>
      </c>
      <c r="C133" s="21" t="str">
        <f>IFERROR(__xludf.DUMMYFUNCTION("""COMPUTED_VALUE"""),"Yes")</f>
        <v>Yes</v>
      </c>
      <c r="D133" s="21" t="str">
        <f>IFERROR(__xludf.DUMMYFUNCTION("""COMPUTED_VALUE"""),"Active")</f>
        <v>Active</v>
      </c>
      <c r="E133" s="23">
        <f>IFERROR(__xludf.DUMMYFUNCTION("""COMPUTED_VALUE"""),45855.0)</f>
        <v>45855</v>
      </c>
      <c r="F133" s="24"/>
      <c r="G133" s="27">
        <f>IFERROR(__xludf.DUMMYFUNCTION("""COMPUTED_VALUE"""),14.633333333333335)</f>
        <v>14.63333333</v>
      </c>
      <c r="H133" s="23">
        <f>IFERROR(__xludf.DUMMYFUNCTION("""COMPUTED_VALUE"""),45232.0)</f>
        <v>45232</v>
      </c>
      <c r="I133" s="27">
        <f>IFERROR(__xludf.DUMMYFUNCTION("""COMPUTED_VALUE"""),1.7083333333333333)</f>
        <v>1.708333333</v>
      </c>
      <c r="J133" s="29">
        <f>IFERROR(__xludf.DUMMYFUNCTION("""COMPUTED_VALUE"""),72.0)</f>
        <v>72</v>
      </c>
      <c r="K133" s="29">
        <f>IFERROR(__xludf.DUMMYFUNCTION("""COMPUTED_VALUE"""),12.0)</f>
        <v>12</v>
      </c>
      <c r="L133" s="31" t="str">
        <f>IFERROR(__xludf.DUMMYFUNCTION("""COMPUTED_VALUE"""),"Shooter")</f>
        <v>Shooter</v>
      </c>
      <c r="M133" s="31" t="str">
        <f>IFERROR(__xludf.DUMMYFUNCTION("""COMPUTED_VALUE"""),"Exclusive")</f>
        <v>Exclusive</v>
      </c>
    </row>
    <row r="134">
      <c r="A134" s="17" t="str">
        <f>IFERROR(__xludf.DUMMYFUNCTION("""COMPUTED_VALUE"""),"RV There Yet?")</f>
        <v>RV There Yet?</v>
      </c>
      <c r="B134" s="20" t="str">
        <f>IFERROR(__xludf.DUMMYFUNCTION("""COMPUTED_VALUE"""),"Xbox / PC")</f>
        <v>Xbox / PC</v>
      </c>
      <c r="C134" s="21" t="str">
        <f>IFERROR(__xludf.DUMMYFUNCTION("""COMPUTED_VALUE"""),"Yes")</f>
        <v>Yes</v>
      </c>
      <c r="D134" s="21" t="str">
        <f>IFERROR(__xludf.DUMMYFUNCTION("""COMPUTED_VALUE"""),"Active")</f>
        <v>Active</v>
      </c>
      <c r="E134" s="23">
        <f>IFERROR(__xludf.DUMMYFUNCTION("""COMPUTED_VALUE"""),46203.0)</f>
        <v>46203</v>
      </c>
      <c r="F134" s="24"/>
      <c r="G134" s="27">
        <f>IFERROR(__xludf.DUMMYFUNCTION("""COMPUTED_VALUE"""),3.2)</f>
        <v>3.2</v>
      </c>
      <c r="H134" s="23">
        <f>IFERROR(__xludf.DUMMYFUNCTION("""COMPUTED_VALUE"""),46203.0)</f>
        <v>46203</v>
      </c>
      <c r="I134" s="27">
        <f>IFERROR(__xludf.DUMMYFUNCTION("""COMPUTED_VALUE"""),0.0)</f>
        <v>0</v>
      </c>
      <c r="J134" s="29">
        <f>IFERROR(__xludf.DUMMYFUNCTION("""COMPUTED_VALUE"""),71.0)</f>
        <v>71</v>
      </c>
      <c r="K134" s="29">
        <f>IFERROR(__xludf.DUMMYFUNCTION("""COMPUTED_VALUE"""),4.0)</f>
        <v>4</v>
      </c>
      <c r="L134" s="31" t="str">
        <f>IFERROR(__xludf.DUMMYFUNCTION("""COMPUTED_VALUE"""),"Action-Adventure")</f>
        <v>Action-Adventure</v>
      </c>
      <c r="M134" s="31" t="str">
        <f>IFERROR(__xludf.DUMMYFUNCTION("""COMPUTED_VALUE"""),"Exclusive")</f>
        <v>Exclusive</v>
      </c>
    </row>
    <row r="135">
      <c r="A135" s="17" t="str">
        <f>IFERROR(__xludf.DUMMYFUNCTION("""COMPUTED_VALUE"""),"Wheel World")</f>
        <v>Wheel World</v>
      </c>
      <c r="B135" s="20" t="str">
        <f>IFERROR(__xludf.DUMMYFUNCTION("""COMPUTED_VALUE"""),"Xbox / PC")</f>
        <v>Xbox / PC</v>
      </c>
      <c r="C135" s="21" t="str">
        <f>IFERROR(__xludf.DUMMYFUNCTION("""COMPUTED_VALUE"""),"Yes")</f>
        <v>Yes</v>
      </c>
      <c r="D135" s="21" t="str">
        <f>IFERROR(__xludf.DUMMYFUNCTION("""COMPUTED_VALUE"""),"Active")</f>
        <v>Active</v>
      </c>
      <c r="E135" s="23">
        <f>IFERROR(__xludf.DUMMYFUNCTION("""COMPUTED_VALUE"""),45861.0)</f>
        <v>45861</v>
      </c>
      <c r="F135" s="24"/>
      <c r="G135" s="27">
        <f>IFERROR(__xludf.DUMMYFUNCTION("""COMPUTED_VALUE"""),14.433333333333334)</f>
        <v>14.43333333</v>
      </c>
      <c r="H135" s="23">
        <f>IFERROR(__xludf.DUMMYFUNCTION("""COMPUTED_VALUE"""),45861.0)</f>
        <v>45861</v>
      </c>
      <c r="I135" s="27">
        <f>IFERROR(__xludf.DUMMYFUNCTION("""COMPUTED_VALUE"""),0.0)</f>
        <v>0</v>
      </c>
      <c r="J135" s="29">
        <f>IFERROR(__xludf.DUMMYFUNCTION("""COMPUTED_VALUE"""),71.0)</f>
        <v>71</v>
      </c>
      <c r="K135" s="29">
        <f>IFERROR(__xludf.DUMMYFUNCTION("""COMPUTED_VALUE"""),5.0)</f>
        <v>5</v>
      </c>
      <c r="L135" s="31" t="str">
        <f>IFERROR(__xludf.DUMMYFUNCTION("""COMPUTED_VALUE"""),"Action-Adventure")</f>
        <v>Action-Adventure</v>
      </c>
      <c r="M135" s="31" t="str">
        <f>IFERROR(__xludf.DUMMYFUNCTION("""COMPUTED_VALUE"""),"Exclusive")</f>
        <v>Exclusive</v>
      </c>
    </row>
    <row r="136">
      <c r="A136" s="17" t="str">
        <f>IFERROR(__xludf.DUMMYFUNCTION("""COMPUTED_VALUE"""),"Mistfall Hunter")</f>
        <v>Mistfall Hunter</v>
      </c>
      <c r="B136" s="20" t="str">
        <f>IFERROR(__xludf.DUMMYFUNCTION("""COMPUTED_VALUE"""),"Xbox / PC")</f>
        <v>Xbox / PC</v>
      </c>
      <c r="C136" s="21" t="str">
        <f>IFERROR(__xludf.DUMMYFUNCTION("""COMPUTED_VALUE"""),"Yes")</f>
        <v>Yes</v>
      </c>
      <c r="D136" s="21" t="str">
        <f>IFERROR(__xludf.DUMMYFUNCTION("""COMPUTED_VALUE"""),"Active")</f>
        <v>Active</v>
      </c>
      <c r="E136" s="23">
        <f>IFERROR(__xludf.DUMMYFUNCTION("""COMPUTED_VALUE"""),46233.0)</f>
        <v>46233</v>
      </c>
      <c r="F136" s="24"/>
      <c r="G136" s="27">
        <f>IFERROR(__xludf.DUMMYFUNCTION("""COMPUTED_VALUE"""),2.1999999999999997)</f>
        <v>2.2</v>
      </c>
      <c r="H136" s="23">
        <f>IFERROR(__xludf.DUMMYFUNCTION("""COMPUTED_VALUE"""),46233.0)</f>
        <v>46233</v>
      </c>
      <c r="I136" s="27">
        <f>IFERROR(__xludf.DUMMYFUNCTION("""COMPUTED_VALUE"""),0.0)</f>
        <v>0</v>
      </c>
      <c r="J136" s="29">
        <f>IFERROR(__xludf.DUMMYFUNCTION("""COMPUTED_VALUE"""),70.0)</f>
        <v>70</v>
      </c>
      <c r="K136" s="29"/>
      <c r="L136" s="31" t="str">
        <f>IFERROR(__xludf.DUMMYFUNCTION("""COMPUTED_VALUE"""),"RPG")</f>
        <v>RPG</v>
      </c>
      <c r="M136" s="31" t="str">
        <f>IFERROR(__xludf.DUMMYFUNCTION("""COMPUTED_VALUE"""),"Exclusive")</f>
        <v>Exclusive</v>
      </c>
    </row>
    <row r="137">
      <c r="A137" s="17" t="str">
        <f>IFERROR(__xludf.DUMMYFUNCTION("""COMPUTED_VALUE"""),"PBA Pro Bowling 2026")</f>
        <v>PBA Pro Bowling 2026</v>
      </c>
      <c r="B137" s="20" t="str">
        <f>IFERROR(__xludf.DUMMYFUNCTION("""COMPUTED_VALUE"""),"Xbox / PC")</f>
        <v>Xbox / PC</v>
      </c>
      <c r="C137" s="21" t="str">
        <f>IFERROR(__xludf.DUMMYFUNCTION("""COMPUTED_VALUE"""),"Yes")</f>
        <v>Yes</v>
      </c>
      <c r="D137" s="21" t="str">
        <f>IFERROR(__xludf.DUMMYFUNCTION("""COMPUTED_VALUE"""),"Active")</f>
        <v>Active</v>
      </c>
      <c r="E137" s="23">
        <f>IFERROR(__xludf.DUMMYFUNCTION("""COMPUTED_VALUE"""),46217.0)</f>
        <v>46217</v>
      </c>
      <c r="F137" s="24"/>
      <c r="G137" s="27">
        <f>IFERROR(__xludf.DUMMYFUNCTION("""COMPUTED_VALUE"""),2.7333333333333334)</f>
        <v>2.733333333</v>
      </c>
      <c r="H137" s="23">
        <f>IFERROR(__xludf.DUMMYFUNCTION("""COMPUTED_VALUE"""),46217.0)</f>
        <v>46217</v>
      </c>
      <c r="I137" s="27">
        <f>IFERROR(__xludf.DUMMYFUNCTION("""COMPUTED_VALUE"""),0.0)</f>
        <v>0</v>
      </c>
      <c r="J137" s="29">
        <f>IFERROR(__xludf.DUMMYFUNCTION("""COMPUTED_VALUE"""),70.0)</f>
        <v>70</v>
      </c>
      <c r="K137" s="29">
        <f>IFERROR(__xludf.DUMMYFUNCTION("""COMPUTED_VALUE"""),5.0)</f>
        <v>5</v>
      </c>
      <c r="L137" s="31" t="str">
        <f>IFERROR(__xludf.DUMMYFUNCTION("""COMPUTED_VALUE"""),"Sports")</f>
        <v>Sports</v>
      </c>
      <c r="M137" s="31" t="str">
        <f>IFERROR(__xludf.DUMMYFUNCTION("""COMPUTED_VALUE"""),"Exclusive")</f>
        <v>Exclusive</v>
      </c>
    </row>
    <row r="138">
      <c r="A138" s="17" t="str">
        <f>IFERROR(__xludf.DUMMYFUNCTION("""COMPUTED_VALUE"""),"Frog Sqwad")</f>
        <v>Frog Sqwad</v>
      </c>
      <c r="B138" s="20" t="str">
        <f>IFERROR(__xludf.DUMMYFUNCTION("""COMPUTED_VALUE"""),"Xbox / PC")</f>
        <v>Xbox / PC</v>
      </c>
      <c r="C138" s="21" t="str">
        <f>IFERROR(__xludf.DUMMYFUNCTION("""COMPUTED_VALUE"""),"Yes")</f>
        <v>Yes</v>
      </c>
      <c r="D138" s="21" t="str">
        <f>IFERROR(__xludf.DUMMYFUNCTION("""COMPUTED_VALUE"""),"Active")</f>
        <v>Active</v>
      </c>
      <c r="E138" s="23">
        <f>IFERROR(__xludf.DUMMYFUNCTION("""COMPUTED_VALUE"""),46184.0)</f>
        <v>46184</v>
      </c>
      <c r="F138" s="24"/>
      <c r="G138" s="27">
        <f>IFERROR(__xludf.DUMMYFUNCTION("""COMPUTED_VALUE"""),3.833333333333333)</f>
        <v>3.833333333</v>
      </c>
      <c r="H138" s="23">
        <f>IFERROR(__xludf.DUMMYFUNCTION("""COMPUTED_VALUE"""),46184.0)</f>
        <v>46184</v>
      </c>
      <c r="I138" s="27">
        <f>IFERROR(__xludf.DUMMYFUNCTION("""COMPUTED_VALUE"""),0.0)</f>
        <v>0</v>
      </c>
      <c r="J138" s="29">
        <f>IFERROR(__xludf.DUMMYFUNCTION("""COMPUTED_VALUE"""),70.0)</f>
        <v>70</v>
      </c>
      <c r="K138" s="29">
        <f>IFERROR(__xludf.DUMMYFUNCTION("""COMPUTED_VALUE"""),1.0)</f>
        <v>1</v>
      </c>
      <c r="L138" s="31" t="str">
        <f>IFERROR(__xludf.DUMMYFUNCTION("""COMPUTED_VALUE"""),"Puzzle")</f>
        <v>Puzzle</v>
      </c>
      <c r="M138" s="31" t="str">
        <f>IFERROR(__xludf.DUMMYFUNCTION("""COMPUTED_VALUE"""),"Exclusive")</f>
        <v>Exclusive</v>
      </c>
    </row>
    <row r="139">
      <c r="A139" s="17" t="str">
        <f>IFERROR(__xludf.DUMMYFUNCTION("""COMPUTED_VALUE"""),"Echo Generation 2")</f>
        <v>Echo Generation 2</v>
      </c>
      <c r="B139" s="20" t="str">
        <f>IFERROR(__xludf.DUMMYFUNCTION("""COMPUTED_VALUE"""),"Xbox / PC")</f>
        <v>Xbox / PC</v>
      </c>
      <c r="C139" s="21" t="str">
        <f>IFERROR(__xludf.DUMMYFUNCTION("""COMPUTED_VALUE"""),"Yes")</f>
        <v>Yes</v>
      </c>
      <c r="D139" s="21" t="str">
        <f>IFERROR(__xludf.DUMMYFUNCTION("""COMPUTED_VALUE"""),"Active")</f>
        <v>Active</v>
      </c>
      <c r="E139" s="23">
        <f>IFERROR(__xludf.DUMMYFUNCTION("""COMPUTED_VALUE"""),46169.0)</f>
        <v>46169</v>
      </c>
      <c r="F139" s="24"/>
      <c r="G139" s="27">
        <f>IFERROR(__xludf.DUMMYFUNCTION("""COMPUTED_VALUE"""),4.3)</f>
        <v>4.3</v>
      </c>
      <c r="H139" s="23">
        <f>IFERROR(__xludf.DUMMYFUNCTION("""COMPUTED_VALUE"""),46169.0)</f>
        <v>46169</v>
      </c>
      <c r="I139" s="27">
        <f>IFERROR(__xludf.DUMMYFUNCTION("""COMPUTED_VALUE"""),0.0)</f>
        <v>0</v>
      </c>
      <c r="J139" s="29">
        <f>IFERROR(__xludf.DUMMYFUNCTION("""COMPUTED_VALUE"""),70.0)</f>
        <v>70</v>
      </c>
      <c r="K139" s="29">
        <f>IFERROR(__xludf.DUMMYFUNCTION("""COMPUTED_VALUE"""),9.0)</f>
        <v>9</v>
      </c>
      <c r="L139" s="31" t="str">
        <f>IFERROR(__xludf.DUMMYFUNCTION("""COMPUTED_VALUE"""),"RPG")</f>
        <v>RPG</v>
      </c>
      <c r="M139" s="31" t="str">
        <f>IFERROR(__xludf.DUMMYFUNCTION("""COMPUTED_VALUE"""),"Exclusive")</f>
        <v>Exclusive</v>
      </c>
    </row>
    <row r="140">
      <c r="A140" s="17" t="str">
        <f>IFERROR(__xludf.DUMMYFUNCTION("""COMPUTED_VALUE"""),"Immortals of Aveum")</f>
        <v>Immortals of Aveum</v>
      </c>
      <c r="B140" s="20" t="str">
        <f>IFERROR(__xludf.DUMMYFUNCTION("""COMPUTED_VALUE"""),"Xbox / PC")</f>
        <v>Xbox / PC</v>
      </c>
      <c r="C140" s="21" t="str">
        <f>IFERROR(__xludf.DUMMYFUNCTION("""COMPUTED_VALUE"""),"Yes")</f>
        <v>Yes</v>
      </c>
      <c r="D140" s="21" t="str">
        <f>IFERROR(__xludf.DUMMYFUNCTION("""COMPUTED_VALUE"""),"Active")</f>
        <v>Active</v>
      </c>
      <c r="E140" s="23">
        <f>IFERROR(__xludf.DUMMYFUNCTION("""COMPUTED_VALUE"""),45427.0)</f>
        <v>45427</v>
      </c>
      <c r="F140" s="24"/>
      <c r="G140" s="27">
        <f>IFERROR(__xludf.DUMMYFUNCTION("""COMPUTED_VALUE"""),28.7)</f>
        <v>28.7</v>
      </c>
      <c r="H140" s="23">
        <f>IFERROR(__xludf.DUMMYFUNCTION("""COMPUTED_VALUE"""),45160.0)</f>
        <v>45160</v>
      </c>
      <c r="I140" s="27">
        <f>IFERROR(__xludf.DUMMYFUNCTION("""COMPUTED_VALUE"""),0.7305555555555555)</f>
        <v>0.7305555556</v>
      </c>
      <c r="J140" s="29">
        <f>IFERROR(__xludf.DUMMYFUNCTION("""COMPUTED_VALUE"""),69.0)</f>
        <v>69</v>
      </c>
      <c r="K140" s="29">
        <f>IFERROR(__xludf.DUMMYFUNCTION("""COMPUTED_VALUE"""),15.0)</f>
        <v>15</v>
      </c>
      <c r="L140" s="31" t="str">
        <f>IFERROR(__xludf.DUMMYFUNCTION("""COMPUTED_VALUE"""),"Shooter")</f>
        <v>Shooter</v>
      </c>
      <c r="M140" s="31" t="str">
        <f>IFERROR(__xludf.DUMMYFUNCTION("""COMPUTED_VALUE"""),"Exclusive")</f>
        <v>Exclusive</v>
      </c>
    </row>
    <row r="141">
      <c r="A141" s="17" t="str">
        <f>IFERROR(__xludf.DUMMYFUNCTION("""COMPUTED_VALUE"""),"Minecraft: Legends")</f>
        <v>Minecraft: Legends</v>
      </c>
      <c r="B141" s="20" t="str">
        <f>IFERROR(__xludf.DUMMYFUNCTION("""COMPUTED_VALUE"""),"Xbox / PC")</f>
        <v>Xbox / PC</v>
      </c>
      <c r="C141" s="21" t="str">
        <f>IFERROR(__xludf.DUMMYFUNCTION("""COMPUTED_VALUE"""),"Yes")</f>
        <v>Yes</v>
      </c>
      <c r="D141" s="21" t="str">
        <f>IFERROR(__xludf.DUMMYFUNCTION("""COMPUTED_VALUE"""),"Active")</f>
        <v>Active</v>
      </c>
      <c r="E141" s="23">
        <f>IFERROR(__xludf.DUMMYFUNCTION("""COMPUTED_VALUE"""),45034.0)</f>
        <v>45034</v>
      </c>
      <c r="F141" s="24"/>
      <c r="G141" s="27">
        <f>IFERROR(__xludf.DUMMYFUNCTION("""COMPUTED_VALUE"""),41.6)</f>
        <v>41.6</v>
      </c>
      <c r="H141" s="23">
        <f>IFERROR(__xludf.DUMMYFUNCTION("""COMPUTED_VALUE"""),45034.0)</f>
        <v>45034</v>
      </c>
      <c r="I141" s="27">
        <f>IFERROR(__xludf.DUMMYFUNCTION("""COMPUTED_VALUE"""),0.0)</f>
        <v>0</v>
      </c>
      <c r="J141" s="29">
        <f>IFERROR(__xludf.DUMMYFUNCTION("""COMPUTED_VALUE"""),69.0)</f>
        <v>69</v>
      </c>
      <c r="K141" s="29">
        <f>IFERROR(__xludf.DUMMYFUNCTION("""COMPUTED_VALUE"""),8.0)</f>
        <v>8</v>
      </c>
      <c r="L141" s="31" t="str">
        <f>IFERROR(__xludf.DUMMYFUNCTION("""COMPUTED_VALUE"""),"Action-Adventure")</f>
        <v>Action-Adventure</v>
      </c>
      <c r="M141" s="31" t="str">
        <f>IFERROR(__xludf.DUMMYFUNCTION("""COMPUTED_VALUE"""),"Exclusive")</f>
        <v>Exclusive</v>
      </c>
    </row>
    <row r="142">
      <c r="A142" s="17" t="str">
        <f>IFERROR(__xludf.DUMMYFUNCTION("""COMPUTED_VALUE"""),"Kiln")</f>
        <v>Kiln</v>
      </c>
      <c r="B142" s="20" t="str">
        <f>IFERROR(__xludf.DUMMYFUNCTION("""COMPUTED_VALUE"""),"Xbox / PC")</f>
        <v>Xbox / PC</v>
      </c>
      <c r="C142" s="21" t="str">
        <f>IFERROR(__xludf.DUMMYFUNCTION("""COMPUTED_VALUE"""),"Yes")</f>
        <v>Yes</v>
      </c>
      <c r="D142" s="21" t="str">
        <f>IFERROR(__xludf.DUMMYFUNCTION("""COMPUTED_VALUE"""),"Active")</f>
        <v>Active</v>
      </c>
      <c r="E142" s="23">
        <f>IFERROR(__xludf.DUMMYFUNCTION("""COMPUTED_VALUE"""),46135.0)</f>
        <v>46135</v>
      </c>
      <c r="F142" s="24"/>
      <c r="G142" s="27">
        <f>IFERROR(__xludf.DUMMYFUNCTION("""COMPUTED_VALUE"""),5.433333333333334)</f>
        <v>5.433333333</v>
      </c>
      <c r="H142" s="23">
        <f>IFERROR(__xludf.DUMMYFUNCTION("""COMPUTED_VALUE"""),46135.0)</f>
        <v>46135</v>
      </c>
      <c r="I142" s="27">
        <f>IFERROR(__xludf.DUMMYFUNCTION("""COMPUTED_VALUE"""),0.0)</f>
        <v>0</v>
      </c>
      <c r="J142" s="29">
        <f>IFERROR(__xludf.DUMMYFUNCTION("""COMPUTED_VALUE"""),68.0)</f>
        <v>68</v>
      </c>
      <c r="K142" s="29">
        <f>IFERROR(__xludf.DUMMYFUNCTION("""COMPUTED_VALUE"""),6.0)</f>
        <v>6</v>
      </c>
      <c r="L142" s="31" t="str">
        <f>IFERROR(__xludf.DUMMYFUNCTION("""COMPUTED_VALUE"""),"Shooter")</f>
        <v>Shooter</v>
      </c>
      <c r="M142" s="31" t="str">
        <f>IFERROR(__xludf.DUMMYFUNCTION("""COMPUTED_VALUE"""),"Exclusive")</f>
        <v>Exclusive</v>
      </c>
    </row>
    <row r="143">
      <c r="A143" s="111" t="str">
        <f>IFERROR(__xludf.DUMMYFUNCTION("""COMPUTED_VALUE"""),"Goat Simulator 3")</f>
        <v>Goat Simulator 3</v>
      </c>
      <c r="B143" s="20" t="str">
        <f>IFERROR(__xludf.DUMMYFUNCTION("""COMPUTED_VALUE"""),"Xbox / PC")</f>
        <v>Xbox / PC</v>
      </c>
      <c r="C143" s="21" t="str">
        <f>IFERROR(__xludf.DUMMYFUNCTION("""COMPUTED_VALUE"""),"Yes")</f>
        <v>Yes</v>
      </c>
      <c r="D143" s="21" t="str">
        <f>IFERROR(__xludf.DUMMYFUNCTION("""COMPUTED_VALUE"""),"Active")</f>
        <v>Active</v>
      </c>
      <c r="E143" s="23">
        <f>IFERROR(__xludf.DUMMYFUNCTION("""COMPUTED_VALUE"""),45267.0)</f>
        <v>45267</v>
      </c>
      <c r="F143" s="24"/>
      <c r="G143" s="27">
        <f>IFERROR(__xludf.DUMMYFUNCTION("""COMPUTED_VALUE"""),33.96666666666667)</f>
        <v>33.96666667</v>
      </c>
      <c r="H143" s="23">
        <f>IFERROR(__xludf.DUMMYFUNCTION("""COMPUTED_VALUE"""),44882.0)</f>
        <v>44882</v>
      </c>
      <c r="I143" s="27">
        <f>IFERROR(__xludf.DUMMYFUNCTION("""COMPUTED_VALUE"""),1.0555555555555556)</f>
        <v>1.055555556</v>
      </c>
      <c r="J143" s="29">
        <f>IFERROR(__xludf.DUMMYFUNCTION("""COMPUTED_VALUE"""),68.0)</f>
        <v>68</v>
      </c>
      <c r="K143" s="29">
        <f>IFERROR(__xludf.DUMMYFUNCTION("""COMPUTED_VALUE"""),8.0)</f>
        <v>8</v>
      </c>
      <c r="L143" s="31" t="str">
        <f>IFERROR(__xludf.DUMMYFUNCTION("""COMPUTED_VALUE"""),"Simulation")</f>
        <v>Simulation</v>
      </c>
      <c r="M143" s="31" t="str">
        <f>IFERROR(__xludf.DUMMYFUNCTION("""COMPUTED_VALUE"""),"Exclusive")</f>
        <v>Exclusive</v>
      </c>
    </row>
    <row r="144">
      <c r="A144" s="17" t="str">
        <f>IFERROR(__xludf.DUMMYFUNCTION("""COMPUTED_VALUE"""),"The Casting of Frank Stone")</f>
        <v>The Casting of Frank Stone</v>
      </c>
      <c r="B144" s="20" t="str">
        <f>IFERROR(__xludf.DUMMYFUNCTION("""COMPUTED_VALUE"""),"Xbox / PC")</f>
        <v>Xbox / PC</v>
      </c>
      <c r="C144" s="21" t="str">
        <f>IFERROR(__xludf.DUMMYFUNCTION("""COMPUTED_VALUE"""),"Yes")</f>
        <v>Yes</v>
      </c>
      <c r="D144" s="21" t="str">
        <f>IFERROR(__xludf.DUMMYFUNCTION("""COMPUTED_VALUE"""),"Leaving Soon")</f>
        <v>Leaving Soon</v>
      </c>
      <c r="E144" s="23">
        <f>IFERROR(__xludf.DUMMYFUNCTION("""COMPUTED_VALUE"""),45944.0)</f>
        <v>45944</v>
      </c>
      <c r="F144" s="24">
        <f>IFERROR(__xludf.DUMMYFUNCTION("""COMPUTED_VALUE"""),46310.0)</f>
        <v>46310</v>
      </c>
      <c r="G144" s="27">
        <f>IFERROR(__xludf.DUMMYFUNCTION("""COMPUTED_VALUE"""),12.033333333333333)</f>
        <v>12.03333333</v>
      </c>
      <c r="H144" s="23">
        <f>IFERROR(__xludf.DUMMYFUNCTION("""COMPUTED_VALUE"""),45538.0)</f>
        <v>45538</v>
      </c>
      <c r="I144" s="27">
        <f>IFERROR(__xludf.DUMMYFUNCTION("""COMPUTED_VALUE"""),1.113888888888889)</f>
        <v>1.113888889</v>
      </c>
      <c r="J144" s="29">
        <f>IFERROR(__xludf.DUMMYFUNCTION("""COMPUTED_VALUE"""),68.0)</f>
        <v>68</v>
      </c>
      <c r="K144" s="29">
        <f>IFERROR(__xludf.DUMMYFUNCTION("""COMPUTED_VALUE"""),6.0)</f>
        <v>6</v>
      </c>
      <c r="L144" s="31" t="str">
        <f>IFERROR(__xludf.DUMMYFUNCTION("""COMPUTED_VALUE"""),"Action-Adventure")</f>
        <v>Action-Adventure</v>
      </c>
      <c r="M144" s="31" t="str">
        <f>IFERROR(__xludf.DUMMYFUNCTION("""COMPUTED_VALUE"""),"Exclusive")</f>
        <v>Exclusive</v>
      </c>
    </row>
    <row r="145">
      <c r="A145" s="17" t="str">
        <f>IFERROR(__xludf.DUMMYFUNCTION("""COMPUTED_VALUE"""),"Final Fantasy IV")</f>
        <v>Final Fantasy IV</v>
      </c>
      <c r="B145" s="20" t="str">
        <f>IFERROR(__xludf.DUMMYFUNCTION("""COMPUTED_VALUE"""),"Xbox / PC")</f>
        <v>Xbox / PC</v>
      </c>
      <c r="C145" s="21" t="str">
        <f>IFERROR(__xludf.DUMMYFUNCTION("""COMPUTED_VALUE"""),"Yes")</f>
        <v>Yes</v>
      </c>
      <c r="D145" s="21" t="str">
        <f>IFERROR(__xludf.DUMMYFUNCTION("""COMPUTED_VALUE"""),"Active")</f>
        <v>Active</v>
      </c>
      <c r="E145" s="23">
        <f>IFERROR(__xludf.DUMMYFUNCTION("""COMPUTED_VALUE"""),46119.0)</f>
        <v>46119</v>
      </c>
      <c r="F145" s="24"/>
      <c r="G145" s="27">
        <f>IFERROR(__xludf.DUMMYFUNCTION("""COMPUTED_VALUE"""),5.966666666666667)</f>
        <v>5.966666667</v>
      </c>
      <c r="H145" s="23">
        <f>IFERROR(__xludf.DUMMYFUNCTION("""COMPUTED_VALUE"""),41899.0)</f>
        <v>41899</v>
      </c>
      <c r="I145" s="27">
        <f>IFERROR(__xludf.DUMMYFUNCTION("""COMPUTED_VALUE"""),11.555555555555555)</f>
        <v>11.55555556</v>
      </c>
      <c r="J145" s="29">
        <f>IFERROR(__xludf.DUMMYFUNCTION("""COMPUTED_VALUE"""),67.0)</f>
        <v>67</v>
      </c>
      <c r="K145" s="29">
        <f>IFERROR(__xludf.DUMMYFUNCTION("""COMPUTED_VALUE"""),23.0)</f>
        <v>23</v>
      </c>
      <c r="L145" s="31" t="str">
        <f>IFERROR(__xludf.DUMMYFUNCTION("""COMPUTED_VALUE"""),"RPG")</f>
        <v>RPG</v>
      </c>
      <c r="M145" s="31" t="str">
        <f>IFERROR(__xludf.DUMMYFUNCTION("""COMPUTED_VALUE"""),"Exclusive")</f>
        <v>Exclusive</v>
      </c>
    </row>
    <row r="146">
      <c r="A146" s="17" t="str">
        <f>IFERROR(__xludf.DUMMYFUNCTION("""COMPUTED_VALUE"""),"FINAL FANTASY")</f>
        <v>FINAL FANTASY</v>
      </c>
      <c r="B146" s="20" t="str">
        <f>IFERROR(__xludf.DUMMYFUNCTION("""COMPUTED_VALUE"""),"Xbox / PC")</f>
        <v>Xbox / PC</v>
      </c>
      <c r="C146" s="21" t="str">
        <f>IFERROR(__xludf.DUMMYFUNCTION("""COMPUTED_VALUE"""),"Yes")</f>
        <v>Yes</v>
      </c>
      <c r="D146" s="21" t="str">
        <f>IFERROR(__xludf.DUMMYFUNCTION("""COMPUTED_VALUE"""),"Active")</f>
        <v>Active</v>
      </c>
      <c r="E146" s="23">
        <f>IFERROR(__xludf.DUMMYFUNCTION("""COMPUTED_VALUE"""),46030.0)</f>
        <v>46030</v>
      </c>
      <c r="F146" s="24"/>
      <c r="G146" s="27">
        <f>IFERROR(__xludf.DUMMYFUNCTION("""COMPUTED_VALUE"""),8.933333333333334)</f>
        <v>8.933333333</v>
      </c>
      <c r="H146" s="23">
        <f>IFERROR(__xludf.DUMMYFUNCTION("""COMPUTED_VALUE"""),39259.0)</f>
        <v>39259</v>
      </c>
      <c r="I146" s="27">
        <f>IFERROR(__xludf.DUMMYFUNCTION("""COMPUTED_VALUE"""),18.533333333333335)</f>
        <v>18.53333333</v>
      </c>
      <c r="J146" s="29">
        <f>IFERROR(__xludf.DUMMYFUNCTION("""COMPUTED_VALUE"""),67.0)</f>
        <v>67</v>
      </c>
      <c r="K146" s="29">
        <f>IFERROR(__xludf.DUMMYFUNCTION("""COMPUTED_VALUE"""),16.0)</f>
        <v>16</v>
      </c>
      <c r="L146" s="31" t="str">
        <f>IFERROR(__xludf.DUMMYFUNCTION("""COMPUTED_VALUE"""),"Action-Adventure")</f>
        <v>Action-Adventure</v>
      </c>
      <c r="M146" s="31" t="str">
        <f>IFERROR(__xludf.DUMMYFUNCTION("""COMPUTED_VALUE"""),"Exclusive")</f>
        <v>Exclusive</v>
      </c>
    </row>
    <row r="147">
      <c r="A147" s="17" t="str">
        <f>IFERROR(__xludf.DUMMYFUNCTION("""COMPUTED_VALUE"""),"Ark: Survival Ascended")</f>
        <v>Ark: Survival Ascended</v>
      </c>
      <c r="B147" s="20" t="str">
        <f>IFERROR(__xludf.DUMMYFUNCTION("""COMPUTED_VALUE"""),"Xbox / PC")</f>
        <v>Xbox / PC</v>
      </c>
      <c r="C147" s="21" t="str">
        <f>IFERROR(__xludf.DUMMYFUNCTION("""COMPUTED_VALUE"""),"M+KB")</f>
        <v>M+KB</v>
      </c>
      <c r="D147" s="21" t="str">
        <f>IFERROR(__xludf.DUMMYFUNCTION("""COMPUTED_VALUE"""),"Active")</f>
        <v>Active</v>
      </c>
      <c r="E147" s="23">
        <f>IFERROR(__xludf.DUMMYFUNCTION("""COMPUTED_VALUE"""),45383.0)</f>
        <v>45383</v>
      </c>
      <c r="F147" s="24"/>
      <c r="G147" s="27">
        <f>IFERROR(__xludf.DUMMYFUNCTION("""COMPUTED_VALUE"""),30.166666666666664)</f>
        <v>30.16666667</v>
      </c>
      <c r="H147" s="23">
        <f>IFERROR(__xludf.DUMMYFUNCTION("""COMPUTED_VALUE"""),45260.0)</f>
        <v>45260</v>
      </c>
      <c r="I147" s="27">
        <f>IFERROR(__xludf.DUMMYFUNCTION("""COMPUTED_VALUE"""),0.33611111111111114)</f>
        <v>0.3361111111</v>
      </c>
      <c r="J147" s="29">
        <f>IFERROR(__xludf.DUMMYFUNCTION("""COMPUTED_VALUE"""),66.66666666666667)</f>
        <v>66.66666667</v>
      </c>
      <c r="K147" s="29">
        <f>IFERROR(__xludf.DUMMYFUNCTION("""COMPUTED_VALUE"""),380.0)</f>
        <v>380</v>
      </c>
      <c r="L147" s="31" t="str">
        <f>IFERROR(__xludf.DUMMYFUNCTION("""COMPUTED_VALUE"""),"Sandbox")</f>
        <v>Sandbox</v>
      </c>
      <c r="M147" s="31" t="str">
        <f>IFERROR(__xludf.DUMMYFUNCTION("""COMPUTED_VALUE"""),"Exclusive")</f>
        <v>Exclusive</v>
      </c>
    </row>
    <row r="148">
      <c r="A148" s="17" t="str">
        <f>IFERROR(__xludf.DUMMYFUNCTION("""COMPUTED_VALUE"""),"Solarpunk")</f>
        <v>Solarpunk</v>
      </c>
      <c r="B148" s="20" t="str">
        <f>IFERROR(__xludf.DUMMYFUNCTION("""COMPUTED_VALUE"""),"Xbox / PC")</f>
        <v>Xbox / PC</v>
      </c>
      <c r="C148" s="21" t="str">
        <f>IFERROR(__xludf.DUMMYFUNCTION("""COMPUTED_VALUE"""),"Yes")</f>
        <v>Yes</v>
      </c>
      <c r="D148" s="21" t="str">
        <f>IFERROR(__xludf.DUMMYFUNCTION("""COMPUTED_VALUE"""),"Active")</f>
        <v>Active</v>
      </c>
      <c r="E148" s="23">
        <f>IFERROR(__xludf.DUMMYFUNCTION("""COMPUTED_VALUE"""),46181.0)</f>
        <v>46181</v>
      </c>
      <c r="F148" s="24"/>
      <c r="G148" s="27">
        <f>IFERROR(__xludf.DUMMYFUNCTION("""COMPUTED_VALUE"""),3.9333333333333336)</f>
        <v>3.933333333</v>
      </c>
      <c r="H148" s="23">
        <f>IFERROR(__xludf.DUMMYFUNCTION("""COMPUTED_VALUE"""),46181.0)</f>
        <v>46181</v>
      </c>
      <c r="I148" s="27">
        <f>IFERROR(__xludf.DUMMYFUNCTION("""COMPUTED_VALUE"""),0.0)</f>
        <v>0</v>
      </c>
      <c r="J148" s="29">
        <f>IFERROR(__xludf.DUMMYFUNCTION("""COMPUTED_VALUE"""),65.0)</f>
        <v>65</v>
      </c>
      <c r="K148" s="29">
        <f>IFERROR(__xludf.DUMMYFUNCTION("""COMPUTED_VALUE"""),17.0)</f>
        <v>17</v>
      </c>
      <c r="L148" s="31" t="str">
        <f>IFERROR(__xludf.DUMMYFUNCTION("""COMPUTED_VALUE"""),"Simulation")</f>
        <v>Simulation</v>
      </c>
      <c r="M148" s="31" t="str">
        <f>IFERROR(__xludf.DUMMYFUNCTION("""COMPUTED_VALUE"""),"Exclusive")</f>
        <v>Exclusive</v>
      </c>
    </row>
    <row r="149">
      <c r="A149" s="17" t="str">
        <f>IFERROR(__xludf.DUMMYFUNCTION("""COMPUTED_VALUE"""),"Beatdown City Survivors")</f>
        <v>Beatdown City Survivors</v>
      </c>
      <c r="B149" s="20" t="str">
        <f>IFERROR(__xludf.DUMMYFUNCTION("""COMPUTED_VALUE"""),"Xbox / PC")</f>
        <v>Xbox / PC</v>
      </c>
      <c r="C149" s="21" t="str">
        <f>IFERROR(__xludf.DUMMYFUNCTION("""COMPUTED_VALUE"""),"Yes")</f>
        <v>Yes</v>
      </c>
      <c r="D149" s="21" t="str">
        <f>IFERROR(__xludf.DUMMYFUNCTION("""COMPUTED_VALUE"""),"Active")</f>
        <v>Active</v>
      </c>
      <c r="E149" s="23">
        <f>IFERROR(__xludf.DUMMYFUNCTION("""COMPUTED_VALUE"""),46183.0)</f>
        <v>46183</v>
      </c>
      <c r="F149" s="24"/>
      <c r="G149" s="27">
        <f>IFERROR(__xludf.DUMMYFUNCTION("""COMPUTED_VALUE"""),3.866666666666667)</f>
        <v>3.866666667</v>
      </c>
      <c r="H149" s="23">
        <f>IFERROR(__xludf.DUMMYFUNCTION("""COMPUTED_VALUE"""),45693.0)</f>
        <v>45693</v>
      </c>
      <c r="I149" s="27">
        <f>IFERROR(__xludf.DUMMYFUNCTION("""COMPUTED_VALUE"""),1.3472222222222223)</f>
        <v>1.347222222</v>
      </c>
      <c r="J149" s="29">
        <f>IFERROR(__xludf.DUMMYFUNCTION("""COMPUTED_VALUE"""),64.0)</f>
        <v>64</v>
      </c>
      <c r="K149" s="29">
        <f>IFERROR(__xludf.DUMMYFUNCTION("""COMPUTED_VALUE"""),10.0)</f>
        <v>10</v>
      </c>
      <c r="L149" s="31" t="str">
        <f>IFERROR(__xludf.DUMMYFUNCTION("""COMPUTED_VALUE"""),"Action-Adventure")</f>
        <v>Action-Adventure</v>
      </c>
      <c r="M149" s="31" t="str">
        <f>IFERROR(__xludf.DUMMYFUNCTION("""COMPUTED_VALUE"""),"Exclusive")</f>
        <v>Exclusive</v>
      </c>
    </row>
    <row r="150">
      <c r="A150" s="17" t="str">
        <f>IFERROR(__xludf.DUMMYFUNCTION("""COMPUTED_VALUE"""),"Pigeon Simulator")</f>
        <v>Pigeon Simulator</v>
      </c>
      <c r="B150" s="20" t="str">
        <f>IFERROR(__xludf.DUMMYFUNCTION("""COMPUTED_VALUE"""),"Xbox / PC")</f>
        <v>Xbox / PC</v>
      </c>
      <c r="C150" s="21" t="str">
        <f>IFERROR(__xludf.DUMMYFUNCTION("""COMPUTED_VALUE"""),"Yes")</f>
        <v>Yes</v>
      </c>
      <c r="D150" s="21" t="str">
        <f>IFERROR(__xludf.DUMMYFUNCTION("""COMPUTED_VALUE"""),"Active")</f>
        <v>Active</v>
      </c>
      <c r="E150" s="23">
        <f>IFERROR(__xludf.DUMMYFUNCTION("""COMPUTED_VALUE"""),45972.0)</f>
        <v>45972</v>
      </c>
      <c r="F150" s="24"/>
      <c r="G150" s="27">
        <f>IFERROR(__xludf.DUMMYFUNCTION("""COMPUTED_VALUE"""),10.833333333333334)</f>
        <v>10.83333333</v>
      </c>
      <c r="H150" s="23">
        <f>IFERROR(__xludf.DUMMYFUNCTION("""COMPUTED_VALUE"""),45972.0)</f>
        <v>45972</v>
      </c>
      <c r="I150" s="27">
        <f>IFERROR(__xludf.DUMMYFUNCTION("""COMPUTED_VALUE"""),0.0)</f>
        <v>0</v>
      </c>
      <c r="J150" s="29">
        <f>IFERROR(__xludf.DUMMYFUNCTION("""COMPUTED_VALUE"""),64.0)</f>
        <v>64</v>
      </c>
      <c r="K150" s="29">
        <f>IFERROR(__xludf.DUMMYFUNCTION("""COMPUTED_VALUE"""),7.0)</f>
        <v>7</v>
      </c>
      <c r="L150" s="31" t="str">
        <f>IFERROR(__xludf.DUMMYFUNCTION("""COMPUTED_VALUE"""),"Sandbox")</f>
        <v>Sandbox</v>
      </c>
      <c r="M150" s="31" t="str">
        <f>IFERROR(__xludf.DUMMYFUNCTION("""COMPUTED_VALUE"""),"Exclusive")</f>
        <v>Exclusive</v>
      </c>
    </row>
    <row r="151">
      <c r="A151" s="17" t="str">
        <f>IFERROR(__xludf.DUMMYFUNCTION("""COMPUTED_VALUE"""),"FBC: Firebreak")</f>
        <v>FBC: Firebreak</v>
      </c>
      <c r="B151" s="20" t="str">
        <f>IFERROR(__xludf.DUMMYFUNCTION("""COMPUTED_VALUE"""),"Xbox / PC")</f>
        <v>Xbox / PC</v>
      </c>
      <c r="C151" s="21" t="str">
        <f>IFERROR(__xludf.DUMMYFUNCTION("""COMPUTED_VALUE"""),"Yes")</f>
        <v>Yes</v>
      </c>
      <c r="D151" s="21" t="str">
        <f>IFERROR(__xludf.DUMMYFUNCTION("""COMPUTED_VALUE"""),"Active")</f>
        <v>Active</v>
      </c>
      <c r="E151" s="23">
        <f>IFERROR(__xludf.DUMMYFUNCTION("""COMPUTED_VALUE"""),45825.0)</f>
        <v>45825</v>
      </c>
      <c r="F151" s="24"/>
      <c r="G151" s="27">
        <f>IFERROR(__xludf.DUMMYFUNCTION("""COMPUTED_VALUE"""),15.633333333333333)</f>
        <v>15.63333333</v>
      </c>
      <c r="H151" s="23">
        <f>IFERROR(__xludf.DUMMYFUNCTION("""COMPUTED_VALUE"""),45825.0)</f>
        <v>45825</v>
      </c>
      <c r="I151" s="27">
        <f>IFERROR(__xludf.DUMMYFUNCTION("""COMPUTED_VALUE"""),0.0)</f>
        <v>0</v>
      </c>
      <c r="J151" s="29">
        <f>IFERROR(__xludf.DUMMYFUNCTION("""COMPUTED_VALUE"""),64.0)</f>
        <v>64</v>
      </c>
      <c r="K151" s="29">
        <f>IFERROR(__xludf.DUMMYFUNCTION("""COMPUTED_VALUE"""),7.0)</f>
        <v>7</v>
      </c>
      <c r="L151" s="31" t="str">
        <f>IFERROR(__xludf.DUMMYFUNCTION("""COMPUTED_VALUE"""),"Shooter")</f>
        <v>Shooter</v>
      </c>
      <c r="M151" s="31" t="str">
        <f>IFERROR(__xludf.DUMMYFUNCTION("""COMPUTED_VALUE"""),"Exclusive")</f>
        <v>Exclusive</v>
      </c>
    </row>
    <row r="152">
      <c r="A152" s="17" t="str">
        <f>IFERROR(__xludf.DUMMYFUNCTION("""COMPUTED_VALUE"""),"Aphelion")</f>
        <v>Aphelion</v>
      </c>
      <c r="B152" s="20" t="str">
        <f>IFERROR(__xludf.DUMMYFUNCTION("""COMPUTED_VALUE"""),"Xbox / PC")</f>
        <v>Xbox / PC</v>
      </c>
      <c r="C152" s="21" t="str">
        <f>IFERROR(__xludf.DUMMYFUNCTION("""COMPUTED_VALUE"""),"Yes")</f>
        <v>Yes</v>
      </c>
      <c r="D152" s="21" t="str">
        <f>IFERROR(__xludf.DUMMYFUNCTION("""COMPUTED_VALUE"""),"Active")</f>
        <v>Active</v>
      </c>
      <c r="E152" s="23">
        <f>IFERROR(__xludf.DUMMYFUNCTION("""COMPUTED_VALUE"""),46140.0)</f>
        <v>46140</v>
      </c>
      <c r="F152" s="24"/>
      <c r="G152" s="27">
        <f>IFERROR(__xludf.DUMMYFUNCTION("""COMPUTED_VALUE"""),5.266666666666667)</f>
        <v>5.266666667</v>
      </c>
      <c r="H152" s="23">
        <f>IFERROR(__xludf.DUMMYFUNCTION("""COMPUTED_VALUE"""),46140.0)</f>
        <v>46140</v>
      </c>
      <c r="I152" s="27">
        <f>IFERROR(__xludf.DUMMYFUNCTION("""COMPUTED_VALUE"""),0.0)</f>
        <v>0</v>
      </c>
      <c r="J152" s="29">
        <f>IFERROR(__xludf.DUMMYFUNCTION("""COMPUTED_VALUE"""),63.0)</f>
        <v>63</v>
      </c>
      <c r="K152" s="29">
        <f>IFERROR(__xludf.DUMMYFUNCTION("""COMPUTED_VALUE"""),7.0)</f>
        <v>7</v>
      </c>
      <c r="L152" s="31" t="str">
        <f>IFERROR(__xludf.DUMMYFUNCTION("""COMPUTED_VALUE"""),"Action-Adventure")</f>
        <v>Action-Adventure</v>
      </c>
      <c r="M152" s="31" t="str">
        <f>IFERROR(__xludf.DUMMYFUNCTION("""COMPUTED_VALUE"""),"Exclusive")</f>
        <v>Exclusive</v>
      </c>
    </row>
    <row r="153">
      <c r="A153" s="17" t="str">
        <f>IFERROR(__xludf.DUMMYFUNCTION("""COMPUTED_VALUE"""),"Sledding Game (Game Preview)")</f>
        <v>Sledding Game (Game Preview)</v>
      </c>
      <c r="B153" s="20" t="str">
        <f>IFERROR(__xludf.DUMMYFUNCTION("""COMPUTED_VALUE"""),"Xbox / PC")</f>
        <v>Xbox / PC</v>
      </c>
      <c r="C153" s="21" t="str">
        <f>IFERROR(__xludf.DUMMYFUNCTION("""COMPUTED_VALUE"""),"Yes")</f>
        <v>Yes</v>
      </c>
      <c r="D153" s="21" t="str">
        <f>IFERROR(__xludf.DUMMYFUNCTION("""COMPUTED_VALUE"""),"Active")</f>
        <v>Active</v>
      </c>
      <c r="E153" s="23">
        <f>IFERROR(__xludf.DUMMYFUNCTION("""COMPUTED_VALUE"""),46142.0)</f>
        <v>46142</v>
      </c>
      <c r="F153" s="24"/>
      <c r="G153" s="27">
        <f>IFERROR(__xludf.DUMMYFUNCTION("""COMPUTED_VALUE"""),5.2)</f>
        <v>5.2</v>
      </c>
      <c r="H153" s="23">
        <f>IFERROR(__xludf.DUMMYFUNCTION("""COMPUTED_VALUE"""),46142.0)</f>
        <v>46142</v>
      </c>
      <c r="I153" s="27">
        <f>IFERROR(__xludf.DUMMYFUNCTION("""COMPUTED_VALUE"""),0.0)</f>
        <v>0</v>
      </c>
      <c r="J153" s="29">
        <f>IFERROR(__xludf.DUMMYFUNCTION("""COMPUTED_VALUE"""),60.0)</f>
        <v>60</v>
      </c>
      <c r="K153" s="29">
        <f>IFERROR(__xludf.DUMMYFUNCTION("""COMPUTED_VALUE"""),27.0)</f>
        <v>27</v>
      </c>
      <c r="L153" s="31" t="str">
        <f>IFERROR(__xludf.DUMMYFUNCTION("""COMPUTED_VALUE"""),"Sports")</f>
        <v>Sports</v>
      </c>
      <c r="M153" s="31" t="str">
        <f>IFERROR(__xludf.DUMMYFUNCTION("""COMPUTED_VALUE"""),"Exclusive")</f>
        <v>Exclusive</v>
      </c>
    </row>
    <row r="154">
      <c r="A154" s="17" t="str">
        <f>IFERROR(__xludf.DUMMYFUNCTION("""COMPUTED_VALUE"""),"Aerial_Knight's DropShot")</f>
        <v>Aerial_Knight's DropShot</v>
      </c>
      <c r="B154" s="20" t="str">
        <f>IFERROR(__xludf.DUMMYFUNCTION("""COMPUTED_VALUE"""),"Xbox / PC")</f>
        <v>Xbox / PC</v>
      </c>
      <c r="C154" s="21" t="str">
        <f>IFERROR(__xludf.DUMMYFUNCTION("""COMPUTED_VALUE"""),"Yes")</f>
        <v>Yes</v>
      </c>
      <c r="D154" s="21" t="str">
        <f>IFERROR(__xludf.DUMMYFUNCTION("""COMPUTED_VALUE"""),"Active")</f>
        <v>Active</v>
      </c>
      <c r="E154" s="23">
        <f>IFERROR(__xludf.DUMMYFUNCTION("""COMPUTED_VALUE"""),46070.0)</f>
        <v>46070</v>
      </c>
      <c r="F154" s="24"/>
      <c r="G154" s="27">
        <f>IFERROR(__xludf.DUMMYFUNCTION("""COMPUTED_VALUE"""),7.633333333333333)</f>
        <v>7.633333333</v>
      </c>
      <c r="H154" s="23">
        <f>IFERROR(__xludf.DUMMYFUNCTION("""COMPUTED_VALUE"""),45337.0)</f>
        <v>45337</v>
      </c>
      <c r="I154" s="27">
        <f>IFERROR(__xludf.DUMMYFUNCTION("""COMPUTED_VALUE"""),2.0055555555555555)</f>
        <v>2.005555556</v>
      </c>
      <c r="J154" s="29">
        <f>IFERROR(__xludf.DUMMYFUNCTION("""COMPUTED_VALUE"""),60.0)</f>
        <v>60</v>
      </c>
      <c r="K154" s="29">
        <f>IFERROR(__xludf.DUMMYFUNCTION("""COMPUTED_VALUE"""),2.0)</f>
        <v>2</v>
      </c>
      <c r="L154" s="31" t="str">
        <f>IFERROR(__xludf.DUMMYFUNCTION("""COMPUTED_VALUE"""),"Action-Adventure")</f>
        <v>Action-Adventure</v>
      </c>
      <c r="M154" s="31" t="str">
        <f>IFERROR(__xludf.DUMMYFUNCTION("""COMPUTED_VALUE"""),"Exclusive")</f>
        <v>Exclusive</v>
      </c>
    </row>
    <row r="155">
      <c r="A155" s="17" t="str">
        <f>IFERROR(__xludf.DUMMYFUNCTION("""COMPUTED_VALUE"""),"Brews &amp; Bastards")</f>
        <v>Brews &amp; Bastards</v>
      </c>
      <c r="B155" s="20" t="str">
        <f>IFERROR(__xludf.DUMMYFUNCTION("""COMPUTED_VALUE"""),"Xbox / PC")</f>
        <v>Xbox / PC</v>
      </c>
      <c r="C155" s="21" t="str">
        <f>IFERROR(__xludf.DUMMYFUNCTION("""COMPUTED_VALUE"""),"Yes")</f>
        <v>Yes</v>
      </c>
      <c r="D155" s="21" t="str">
        <f>IFERROR(__xludf.DUMMYFUNCTION("""COMPUTED_VALUE"""),"Active")</f>
        <v>Active</v>
      </c>
      <c r="E155" s="23">
        <f>IFERROR(__xludf.DUMMYFUNCTION("""COMPUTED_VALUE"""),46028.0)</f>
        <v>46028</v>
      </c>
      <c r="F155" s="24"/>
      <c r="G155" s="27">
        <f>IFERROR(__xludf.DUMMYFUNCTION("""COMPUTED_VALUE"""),9.0)</f>
        <v>9</v>
      </c>
      <c r="H155" s="23">
        <f>IFERROR(__xludf.DUMMYFUNCTION("""COMPUTED_VALUE"""),45922.0)</f>
        <v>45922</v>
      </c>
      <c r="I155" s="27">
        <f>IFERROR(__xludf.DUMMYFUNCTION("""COMPUTED_VALUE"""),0.28888888888888886)</f>
        <v>0.2888888889</v>
      </c>
      <c r="J155" s="29">
        <f>IFERROR(__xludf.DUMMYFUNCTION("""COMPUTED_VALUE"""),60.0)</f>
        <v>60</v>
      </c>
      <c r="K155" s="29">
        <f>IFERROR(__xludf.DUMMYFUNCTION("""COMPUTED_VALUE"""),4.0)</f>
        <v>4</v>
      </c>
      <c r="L155" s="31" t="str">
        <f>IFERROR(__xludf.DUMMYFUNCTION("""COMPUTED_VALUE"""),"Action-Adventure")</f>
        <v>Action-Adventure</v>
      </c>
      <c r="M155" s="31" t="str">
        <f>IFERROR(__xludf.DUMMYFUNCTION("""COMPUTED_VALUE"""),"Exclusive")</f>
        <v>Exclusive</v>
      </c>
    </row>
    <row r="156">
      <c r="A156" s="17" t="str">
        <f>IFERROR(__xludf.DUMMYFUNCTION("""COMPUTED_VALUE"""),"Redfall")</f>
        <v>Redfall</v>
      </c>
      <c r="B156" s="20" t="str">
        <f>IFERROR(__xludf.DUMMYFUNCTION("""COMPUTED_VALUE"""),"Xbox / PC")</f>
        <v>Xbox / PC</v>
      </c>
      <c r="C156" s="21" t="str">
        <f>IFERROR(__xludf.DUMMYFUNCTION("""COMPUTED_VALUE"""),"Yes")</f>
        <v>Yes</v>
      </c>
      <c r="D156" s="21" t="str">
        <f>IFERROR(__xludf.DUMMYFUNCTION("""COMPUTED_VALUE"""),"Active")</f>
        <v>Active</v>
      </c>
      <c r="E156" s="23">
        <f>IFERROR(__xludf.DUMMYFUNCTION("""COMPUTED_VALUE"""),45048.0)</f>
        <v>45048</v>
      </c>
      <c r="F156" s="24"/>
      <c r="G156" s="27">
        <f>IFERROR(__xludf.DUMMYFUNCTION("""COMPUTED_VALUE"""),41.13333333333333)</f>
        <v>41.13333333</v>
      </c>
      <c r="H156" s="23">
        <f>IFERROR(__xludf.DUMMYFUNCTION("""COMPUTED_VALUE"""),45048.0)</f>
        <v>45048</v>
      </c>
      <c r="I156" s="27">
        <f>IFERROR(__xludf.DUMMYFUNCTION("""COMPUTED_VALUE"""),0.0)</f>
        <v>0</v>
      </c>
      <c r="J156" s="29">
        <f>IFERROR(__xludf.DUMMYFUNCTION("""COMPUTED_VALUE"""),55.0)</f>
        <v>55</v>
      </c>
      <c r="K156" s="29">
        <f>IFERROR(__xludf.DUMMYFUNCTION("""COMPUTED_VALUE"""),11.0)</f>
        <v>11</v>
      </c>
      <c r="L156" s="31" t="str">
        <f>IFERROR(__xludf.DUMMYFUNCTION("""COMPUTED_VALUE"""),"Shooter")</f>
        <v>Shooter</v>
      </c>
      <c r="M156" s="31" t="str">
        <f>IFERROR(__xludf.DUMMYFUNCTION("""COMPUTED_VALUE"""),"Exclusive")</f>
        <v>Exclusive</v>
      </c>
    </row>
    <row r="157">
      <c r="A157" s="17" t="str">
        <f>IFERROR(__xludf.DUMMYFUNCTION("""COMPUTED_VALUE"""),"Gears of War: E-Day")</f>
        <v>Gears of War: E-Day</v>
      </c>
      <c r="B157" s="20" t="str">
        <f>IFERROR(__xludf.DUMMYFUNCTION("""COMPUTED_VALUE"""),"Xbox / PC")</f>
        <v>Xbox / PC</v>
      </c>
      <c r="C157" s="21" t="str">
        <f>IFERROR(__xludf.DUMMYFUNCTION("""COMPUTED_VALUE"""),"Yes")</f>
        <v>Yes</v>
      </c>
      <c r="D157" s="21" t="str">
        <f>IFERROR(__xludf.DUMMYFUNCTION("""COMPUTED_VALUE"""),"Active")</f>
        <v>Active</v>
      </c>
      <c r="E157" s="23">
        <f>IFERROR(__xludf.DUMMYFUNCTION("""COMPUTED_VALUE"""),46301.0)</f>
        <v>46301</v>
      </c>
      <c r="F157" s="24"/>
      <c r="G157" s="27">
        <f>IFERROR(__xludf.DUMMYFUNCTION("""COMPUTED_VALUE"""),0.0)</f>
        <v>0</v>
      </c>
      <c r="H157" s="23">
        <f>IFERROR(__xludf.DUMMYFUNCTION("""COMPUTED_VALUE"""),46301.0)</f>
        <v>46301</v>
      </c>
      <c r="I157" s="27">
        <f>IFERROR(__xludf.DUMMYFUNCTION("""COMPUTED_VALUE"""),0.0)</f>
        <v>0</v>
      </c>
      <c r="J157" s="29"/>
      <c r="K157" s="29"/>
      <c r="L157" s="31" t="str">
        <f>IFERROR(__xludf.DUMMYFUNCTION("""COMPUTED_VALUE"""),"Shooter")</f>
        <v>Shooter</v>
      </c>
      <c r="M157" s="31" t="str">
        <f>IFERROR(__xludf.DUMMYFUNCTION("""COMPUTED_VALUE"""),"Exclusive")</f>
        <v>Exclusive</v>
      </c>
    </row>
    <row r="158">
      <c r="A158" s="17" t="str">
        <f>IFERROR(__xludf.DUMMYFUNCTION("""COMPUTED_VALUE"""),"Mad King Redemption")</f>
        <v>Mad King Redemption</v>
      </c>
      <c r="B158" s="20" t="str">
        <f>IFERROR(__xludf.DUMMYFUNCTION("""COMPUTED_VALUE"""),"Xbox / PC")</f>
        <v>Xbox / PC</v>
      </c>
      <c r="C158" s="21" t="str">
        <f>IFERROR(__xludf.DUMMYFUNCTION("""COMPUTED_VALUE"""),"Yes")</f>
        <v>Yes</v>
      </c>
      <c r="D158" s="21" t="str">
        <f>IFERROR(__xludf.DUMMYFUNCTION("""COMPUTED_VALUE"""),"Active")</f>
        <v>Active</v>
      </c>
      <c r="E158" s="23">
        <f>IFERROR(__xludf.DUMMYFUNCTION("""COMPUTED_VALUE"""),46288.0)</f>
        <v>46288</v>
      </c>
      <c r="F158" s="24"/>
      <c r="G158" s="27">
        <f>IFERROR(__xludf.DUMMYFUNCTION("""COMPUTED_VALUE"""),0.4333333333333333)</f>
        <v>0.4333333333</v>
      </c>
      <c r="H158" s="23">
        <f>IFERROR(__xludf.DUMMYFUNCTION("""COMPUTED_VALUE"""),46288.0)</f>
        <v>46288</v>
      </c>
      <c r="I158" s="27">
        <f>IFERROR(__xludf.DUMMYFUNCTION("""COMPUTED_VALUE"""),0.0)</f>
        <v>0</v>
      </c>
      <c r="J158" s="29"/>
      <c r="K158" s="29"/>
      <c r="L158" s="31" t="str">
        <f>IFERROR(__xludf.DUMMYFUNCTION("""COMPUTED_VALUE"""),"Action-Adventure")</f>
        <v>Action-Adventure</v>
      </c>
      <c r="M158" s="31" t="str">
        <f>IFERROR(__xludf.DUMMYFUNCTION("""COMPUTED_VALUE"""),"Exclusive")</f>
        <v>Exclusive</v>
      </c>
    </row>
    <row r="159">
      <c r="A159" s="17" t="str">
        <f>IFERROR(__xludf.DUMMYFUNCTION("""COMPUTED_VALUE"""),"Kernel Hearts")</f>
        <v>Kernel Hearts</v>
      </c>
      <c r="B159" s="20" t="str">
        <f>IFERROR(__xludf.DUMMYFUNCTION("""COMPUTED_VALUE"""),"Xbox / PC")</f>
        <v>Xbox / PC</v>
      </c>
      <c r="C159" s="21" t="str">
        <f>IFERROR(__xludf.DUMMYFUNCTION("""COMPUTED_VALUE"""),"Yes")</f>
        <v>Yes</v>
      </c>
      <c r="D159" s="21" t="str">
        <f>IFERROR(__xludf.DUMMYFUNCTION("""COMPUTED_VALUE"""),"Active")</f>
        <v>Active</v>
      </c>
      <c r="E159" s="23">
        <f>IFERROR(__xludf.DUMMYFUNCTION("""COMPUTED_VALUE"""),46282.0)</f>
        <v>46282</v>
      </c>
      <c r="F159" s="24"/>
      <c r="G159" s="27">
        <f>IFERROR(__xludf.DUMMYFUNCTION("""COMPUTED_VALUE"""),0.6333333333333333)</f>
        <v>0.6333333333</v>
      </c>
      <c r="H159" s="23">
        <f>IFERROR(__xludf.DUMMYFUNCTION("""COMPUTED_VALUE"""),46282.0)</f>
        <v>46282</v>
      </c>
      <c r="I159" s="27">
        <f>IFERROR(__xludf.DUMMYFUNCTION("""COMPUTED_VALUE"""),0.0)</f>
        <v>0</v>
      </c>
      <c r="J159" s="29"/>
      <c r="K159" s="29"/>
      <c r="L159" s="31" t="str">
        <f>IFERROR(__xludf.DUMMYFUNCTION("""COMPUTED_VALUE"""),"RPG")</f>
        <v>RPG</v>
      </c>
      <c r="M159" s="31" t="str">
        <f>IFERROR(__xludf.DUMMYFUNCTION("""COMPUTED_VALUE"""),"Exclusive")</f>
        <v>Exclusive</v>
      </c>
    </row>
    <row r="160">
      <c r="A160" s="17" t="str">
        <f>IFERROR(__xludf.DUMMYFUNCTION("""COMPUTED_VALUE"""),"RuneScape: Dragonwilds")</f>
        <v>RuneScape: Dragonwilds</v>
      </c>
      <c r="B160" s="20" t="str">
        <f>IFERROR(__xludf.DUMMYFUNCTION("""COMPUTED_VALUE"""),"Xbox / PC")</f>
        <v>Xbox / PC</v>
      </c>
      <c r="C160" s="21" t="str">
        <f>IFERROR(__xludf.DUMMYFUNCTION("""COMPUTED_VALUE"""),"Yes")</f>
        <v>Yes</v>
      </c>
      <c r="D160" s="21" t="str">
        <f>IFERROR(__xludf.DUMMYFUNCTION("""COMPUTED_VALUE"""),"Active")</f>
        <v>Active</v>
      </c>
      <c r="E160" s="23">
        <f>IFERROR(__xludf.DUMMYFUNCTION("""COMPUTED_VALUE"""),46280.0)</f>
        <v>46280</v>
      </c>
      <c r="F160" s="24"/>
      <c r="G160" s="27">
        <f>IFERROR(__xludf.DUMMYFUNCTION("""COMPUTED_VALUE"""),0.7)</f>
        <v>0.7</v>
      </c>
      <c r="H160" s="23">
        <f>IFERROR(__xludf.DUMMYFUNCTION("""COMPUTED_VALUE"""),46280.0)</f>
        <v>46280</v>
      </c>
      <c r="I160" s="27">
        <f>IFERROR(__xludf.DUMMYFUNCTION("""COMPUTED_VALUE"""),0.0)</f>
        <v>0</v>
      </c>
      <c r="J160" s="29"/>
      <c r="K160" s="29">
        <f>IFERROR(__xludf.DUMMYFUNCTION("""COMPUTED_VALUE"""),23.0)</f>
        <v>23</v>
      </c>
      <c r="L160" s="31" t="str">
        <f>IFERROR(__xludf.DUMMYFUNCTION("""COMPUTED_VALUE"""),"Action-Adventure")</f>
        <v>Action-Adventure</v>
      </c>
      <c r="M160" s="31" t="str">
        <f>IFERROR(__xludf.DUMMYFUNCTION("""COMPUTED_VALUE"""),"Exclusive")</f>
        <v>Exclusive</v>
      </c>
    </row>
    <row r="161">
      <c r="A161" s="17" t="str">
        <f>IFERROR(__xludf.DUMMYFUNCTION("""COMPUTED_VALUE"""),"Speedrunners 2: King of Speed")</f>
        <v>Speedrunners 2: King of Speed</v>
      </c>
      <c r="B161" s="20" t="str">
        <f>IFERROR(__xludf.DUMMYFUNCTION("""COMPUTED_VALUE"""),"Xbox / PC")</f>
        <v>Xbox / PC</v>
      </c>
      <c r="C161" s="21" t="str">
        <f>IFERROR(__xludf.DUMMYFUNCTION("""COMPUTED_VALUE"""),"Yes")</f>
        <v>Yes</v>
      </c>
      <c r="D161" s="21" t="str">
        <f>IFERROR(__xludf.DUMMYFUNCTION("""COMPUTED_VALUE"""),"Active")</f>
        <v>Active</v>
      </c>
      <c r="E161" s="23">
        <f>IFERROR(__xludf.DUMMYFUNCTION("""COMPUTED_VALUE"""),46268.0)</f>
        <v>46268</v>
      </c>
      <c r="F161" s="24"/>
      <c r="G161" s="27">
        <f>IFERROR(__xludf.DUMMYFUNCTION("""COMPUTED_VALUE"""),1.0999999999999999)</f>
        <v>1.1</v>
      </c>
      <c r="H161" s="23">
        <f>IFERROR(__xludf.DUMMYFUNCTION("""COMPUTED_VALUE"""),46268.0)</f>
        <v>46268</v>
      </c>
      <c r="I161" s="27">
        <f>IFERROR(__xludf.DUMMYFUNCTION("""COMPUTED_VALUE"""),0.0)</f>
        <v>0</v>
      </c>
      <c r="J161" s="29"/>
      <c r="K161" s="29">
        <f>IFERROR(__xludf.DUMMYFUNCTION("""COMPUTED_VALUE"""),3.0)</f>
        <v>3</v>
      </c>
      <c r="L161" s="31" t="str">
        <f>IFERROR(__xludf.DUMMYFUNCTION("""COMPUTED_VALUE"""),"Racing")</f>
        <v>Racing</v>
      </c>
      <c r="M161" s="31" t="str">
        <f>IFERROR(__xludf.DUMMYFUNCTION("""COMPUTED_VALUE"""),"Exclusive")</f>
        <v>Exclusive</v>
      </c>
    </row>
    <row r="162">
      <c r="A162" s="17" t="str">
        <f>IFERROR(__xludf.DUMMYFUNCTION("""COMPUTED_VALUE"""),"TCG Card Shop Simulator (Game Preview)")</f>
        <v>TCG Card Shop Simulator (Game Preview)</v>
      </c>
      <c r="B162" s="20" t="str">
        <f>IFERROR(__xludf.DUMMYFUNCTION("""COMPUTED_VALUE"""),"Xbox / PC")</f>
        <v>Xbox / PC</v>
      </c>
      <c r="C162" s="21" t="str">
        <f>IFERROR(__xludf.DUMMYFUNCTION("""COMPUTED_VALUE"""),"Yes")</f>
        <v>Yes</v>
      </c>
      <c r="D162" s="21" t="str">
        <f>IFERROR(__xludf.DUMMYFUNCTION("""COMPUTED_VALUE"""),"Active")</f>
        <v>Active</v>
      </c>
      <c r="E162" s="23">
        <f>IFERROR(__xludf.DUMMYFUNCTION("""COMPUTED_VALUE"""),46077.0)</f>
        <v>46077</v>
      </c>
      <c r="F162" s="24"/>
      <c r="G162" s="27">
        <f>IFERROR(__xludf.DUMMYFUNCTION("""COMPUTED_VALUE"""),7.4)</f>
        <v>7.4</v>
      </c>
      <c r="H162" s="23">
        <f>IFERROR(__xludf.DUMMYFUNCTION("""COMPUTED_VALUE"""),45184.0)</f>
        <v>45184</v>
      </c>
      <c r="I162" s="27">
        <f>IFERROR(__xludf.DUMMYFUNCTION("""COMPUTED_VALUE"""),2.441666666666667)</f>
        <v>2.441666667</v>
      </c>
      <c r="J162" s="29"/>
      <c r="K162" s="29">
        <f>IFERROR(__xludf.DUMMYFUNCTION("""COMPUTED_VALUE"""),32.0)</f>
        <v>32</v>
      </c>
      <c r="L162" s="31" t="str">
        <f>IFERROR(__xludf.DUMMYFUNCTION("""COMPUTED_VALUE"""),"Simulation")</f>
        <v>Simulation</v>
      </c>
      <c r="M162" s="31" t="str">
        <f>IFERROR(__xludf.DUMMYFUNCTION("""COMPUTED_VALUE"""),"Exclusive")</f>
        <v>Exclusive</v>
      </c>
    </row>
    <row r="163">
      <c r="A163" s="17" t="str">
        <f>IFERROR(__xludf.DUMMYFUNCTION("""COMPUTED_VALUE"""),"Roadside Research (Game Preview)")</f>
        <v>Roadside Research (Game Preview)</v>
      </c>
      <c r="B163" s="20" t="str">
        <f>IFERROR(__xludf.DUMMYFUNCTION("""COMPUTED_VALUE"""),"Xbox / PC")</f>
        <v>Xbox / PC</v>
      </c>
      <c r="C163" s="21"/>
      <c r="D163" s="21" t="str">
        <f>IFERROR(__xludf.DUMMYFUNCTION("""COMPUTED_VALUE"""),"Active")</f>
        <v>Active</v>
      </c>
      <c r="E163" s="23">
        <f>IFERROR(__xludf.DUMMYFUNCTION("""COMPUTED_VALUE"""),46065.0)</f>
        <v>46065</v>
      </c>
      <c r="F163" s="24"/>
      <c r="G163" s="27">
        <f>IFERROR(__xludf.DUMMYFUNCTION("""COMPUTED_VALUE"""),7.800000000000001)</f>
        <v>7.8</v>
      </c>
      <c r="H163" s="23">
        <f>IFERROR(__xludf.DUMMYFUNCTION("""COMPUTED_VALUE"""),46065.0)</f>
        <v>46065</v>
      </c>
      <c r="I163" s="27">
        <f>IFERROR(__xludf.DUMMYFUNCTION("""COMPUTED_VALUE"""),0.0)</f>
        <v>0</v>
      </c>
      <c r="J163" s="29"/>
      <c r="K163" s="29">
        <f>IFERROR(__xludf.DUMMYFUNCTION("""COMPUTED_VALUE"""),24.0)</f>
        <v>24</v>
      </c>
      <c r="L163" s="31" t="str">
        <f>IFERROR(__xludf.DUMMYFUNCTION("""COMPUTED_VALUE"""),"Action-Adventure")</f>
        <v>Action-Adventure</v>
      </c>
      <c r="M163" s="31" t="str">
        <f>IFERROR(__xludf.DUMMYFUNCTION("""COMPUTED_VALUE"""),"Exclusive")</f>
        <v>Exclusive</v>
      </c>
    </row>
    <row r="164">
      <c r="A164" s="17" t="str">
        <f>IFERROR(__xludf.DUMMYFUNCTION("""COMPUTED_VALUE"""),"Grounded 2 (Game Preview)")</f>
        <v>Grounded 2 (Game Preview)</v>
      </c>
      <c r="B164" s="20" t="str">
        <f>IFERROR(__xludf.DUMMYFUNCTION("""COMPUTED_VALUE"""),"Xbox / PC")</f>
        <v>Xbox / PC</v>
      </c>
      <c r="C164" s="21" t="str">
        <f>IFERROR(__xludf.DUMMYFUNCTION("""COMPUTED_VALUE"""),"Yes")</f>
        <v>Yes</v>
      </c>
      <c r="D164" s="21" t="str">
        <f>IFERROR(__xludf.DUMMYFUNCTION("""COMPUTED_VALUE"""),"Active")</f>
        <v>Active</v>
      </c>
      <c r="E164" s="23">
        <f>IFERROR(__xludf.DUMMYFUNCTION("""COMPUTED_VALUE"""),45867.0)</f>
        <v>45867</v>
      </c>
      <c r="F164" s="24"/>
      <c r="G164" s="27">
        <f>IFERROR(__xludf.DUMMYFUNCTION("""COMPUTED_VALUE"""),14.233333333333334)</f>
        <v>14.23333333</v>
      </c>
      <c r="H164" s="23">
        <f>IFERROR(__xludf.DUMMYFUNCTION("""COMPUTED_VALUE"""),45867.0)</f>
        <v>45867</v>
      </c>
      <c r="I164" s="27">
        <f>IFERROR(__xludf.DUMMYFUNCTION("""COMPUTED_VALUE"""),0.0)</f>
        <v>0</v>
      </c>
      <c r="J164" s="29"/>
      <c r="K164" s="29">
        <f>IFERROR(__xludf.DUMMYFUNCTION("""COMPUTED_VALUE"""),14.0)</f>
        <v>14</v>
      </c>
      <c r="L164" s="31" t="str">
        <f>IFERROR(__xludf.DUMMYFUNCTION("""COMPUTED_VALUE"""),"Sandbox")</f>
        <v>Sandbox</v>
      </c>
      <c r="M164" s="31" t="str">
        <f>IFERROR(__xludf.DUMMYFUNCTION("""COMPUTED_VALUE"""),"Exclusive")</f>
        <v>Exclusive</v>
      </c>
    </row>
    <row r="165">
      <c r="A165" s="17" t="str">
        <f>IFERROR(__xludf.DUMMYFUNCTION("""COMPUTED_VALUE"""),"Overthrown (Game Preview)")</f>
        <v>Overthrown (Game Preview)</v>
      </c>
      <c r="B165" s="20" t="str">
        <f>IFERROR(__xludf.DUMMYFUNCTION("""COMPUTED_VALUE"""),"Xbox / PC")</f>
        <v>Xbox / PC</v>
      </c>
      <c r="C165" s="21" t="str">
        <f>IFERROR(__xludf.DUMMYFUNCTION("""COMPUTED_VALUE"""),"Yes")</f>
        <v>Yes</v>
      </c>
      <c r="D165" s="21" t="str">
        <f>IFERROR(__xludf.DUMMYFUNCTION("""COMPUTED_VALUE"""),"Active")</f>
        <v>Active</v>
      </c>
      <c r="E165" s="23">
        <f>IFERROR(__xludf.DUMMYFUNCTION("""COMPUTED_VALUE"""),45631.0)</f>
        <v>45631</v>
      </c>
      <c r="F165" s="24"/>
      <c r="G165" s="27">
        <f>IFERROR(__xludf.DUMMYFUNCTION("""COMPUTED_VALUE"""),22.03333333333333)</f>
        <v>22.03333333</v>
      </c>
      <c r="H165" s="23">
        <f>IFERROR(__xludf.DUMMYFUNCTION("""COMPUTED_VALUE"""),45631.0)</f>
        <v>45631</v>
      </c>
      <c r="I165" s="27">
        <f>IFERROR(__xludf.DUMMYFUNCTION("""COMPUTED_VALUE"""),0.0)</f>
        <v>0</v>
      </c>
      <c r="J165" s="29"/>
      <c r="K165" s="29">
        <f>IFERROR(__xludf.DUMMYFUNCTION("""COMPUTED_VALUE"""),12.0)</f>
        <v>12</v>
      </c>
      <c r="L165" s="31" t="str">
        <f>IFERROR(__xludf.DUMMYFUNCTION("""COMPUTED_VALUE"""),"Sandbox")</f>
        <v>Sandbox</v>
      </c>
      <c r="M165" s="31" t="str">
        <f>IFERROR(__xludf.DUMMYFUNCTION("""COMPUTED_VALUE"""),"Exclusive")</f>
        <v>Exclusive</v>
      </c>
    </row>
    <row r="166">
      <c r="A166" s="17"/>
      <c r="B166" s="20"/>
      <c r="C166" s="21"/>
      <c r="D166" s="21"/>
      <c r="E166" s="23"/>
      <c r="F166" s="24"/>
      <c r="G166" s="27"/>
      <c r="H166" s="23"/>
      <c r="I166" s="27"/>
      <c r="J166" s="29"/>
      <c r="K166" s="129"/>
      <c r="L166" s="31"/>
      <c r="M166" s="31"/>
    </row>
    <row r="167">
      <c r="A167" s="17"/>
      <c r="B167" s="20"/>
      <c r="C167" s="21"/>
      <c r="D167" s="21"/>
      <c r="E167" s="23"/>
      <c r="F167" s="24"/>
      <c r="G167" s="27"/>
      <c r="H167" s="23"/>
      <c r="I167" s="27"/>
      <c r="J167" s="29"/>
      <c r="K167" s="129"/>
      <c r="L167" s="31"/>
      <c r="M167" s="31"/>
    </row>
    <row r="168">
      <c r="A168" s="17"/>
      <c r="B168" s="20"/>
      <c r="C168" s="21"/>
      <c r="D168" s="21"/>
      <c r="E168" s="23"/>
      <c r="F168" s="24"/>
      <c r="G168" s="27"/>
      <c r="H168" s="23"/>
      <c r="I168" s="27"/>
      <c r="J168" s="29"/>
      <c r="K168" s="129"/>
      <c r="L168" s="31"/>
      <c r="M168" s="31"/>
    </row>
    <row r="169">
      <c r="A169" s="17"/>
      <c r="B169" s="20"/>
      <c r="C169" s="21"/>
      <c r="D169" s="21"/>
      <c r="E169" s="23"/>
      <c r="F169" s="24"/>
      <c r="G169" s="27"/>
      <c r="H169" s="23"/>
      <c r="I169" s="27"/>
      <c r="J169" s="29"/>
      <c r="K169" s="129"/>
      <c r="L169" s="31"/>
      <c r="M169" s="31"/>
    </row>
    <row r="170">
      <c r="A170" s="17"/>
      <c r="B170" s="20"/>
      <c r="C170" s="21"/>
      <c r="D170" s="21"/>
      <c r="E170" s="23"/>
      <c r="F170" s="24"/>
      <c r="G170" s="27"/>
      <c r="H170" s="23"/>
      <c r="I170" s="27"/>
      <c r="J170" s="29"/>
      <c r="K170" s="129"/>
      <c r="L170" s="31"/>
      <c r="M170" s="31"/>
    </row>
    <row r="171">
      <c r="A171" s="17"/>
      <c r="B171" s="20"/>
      <c r="C171" s="21"/>
      <c r="D171" s="21"/>
      <c r="E171" s="23"/>
      <c r="F171" s="24"/>
      <c r="G171" s="27"/>
      <c r="H171" s="23"/>
      <c r="I171" s="27"/>
      <c r="J171" s="29"/>
      <c r="K171" s="129"/>
      <c r="L171" s="31"/>
      <c r="M171" s="31"/>
    </row>
    <row r="172">
      <c r="A172" s="17"/>
      <c r="B172" s="20"/>
      <c r="C172" s="21"/>
      <c r="D172" s="21"/>
      <c r="E172" s="23"/>
      <c r="F172" s="24"/>
      <c r="G172" s="27"/>
      <c r="H172" s="23"/>
      <c r="I172" s="27"/>
      <c r="J172" s="29"/>
      <c r="K172" s="129"/>
      <c r="L172" s="31"/>
      <c r="M172" s="31"/>
    </row>
    <row r="173">
      <c r="A173" s="17"/>
      <c r="B173" s="20"/>
      <c r="C173" s="21"/>
      <c r="D173" s="21"/>
      <c r="E173" s="23"/>
      <c r="F173" s="24"/>
      <c r="G173" s="27"/>
      <c r="H173" s="23"/>
      <c r="I173" s="27"/>
      <c r="J173" s="29"/>
      <c r="K173" s="129"/>
      <c r="L173" s="31"/>
      <c r="M173" s="31"/>
    </row>
    <row r="174">
      <c r="A174" s="17"/>
      <c r="B174" s="20"/>
      <c r="C174" s="21"/>
      <c r="D174" s="21"/>
      <c r="E174" s="23"/>
      <c r="F174" s="24"/>
      <c r="G174" s="27"/>
      <c r="H174" s="23"/>
      <c r="I174" s="27"/>
      <c r="J174" s="29"/>
      <c r="K174" s="129"/>
      <c r="L174" s="31"/>
      <c r="M174" s="31"/>
    </row>
    <row r="175">
      <c r="A175" s="17"/>
      <c r="B175" s="20"/>
      <c r="C175" s="21"/>
      <c r="D175" s="21"/>
      <c r="E175" s="23"/>
      <c r="F175" s="24"/>
      <c r="G175" s="27"/>
      <c r="H175" s="23"/>
      <c r="I175" s="27"/>
      <c r="J175" s="29"/>
      <c r="K175" s="129"/>
      <c r="L175" s="31"/>
      <c r="M175" s="31"/>
    </row>
    <row r="176">
      <c r="A176" s="17"/>
      <c r="B176" s="20"/>
      <c r="C176" s="21"/>
      <c r="D176" s="21"/>
      <c r="E176" s="23"/>
      <c r="F176" s="24"/>
      <c r="G176" s="27"/>
      <c r="H176" s="23"/>
      <c r="I176" s="27"/>
      <c r="J176" s="29"/>
      <c r="K176" s="129"/>
      <c r="L176" s="31"/>
      <c r="M176" s="31"/>
    </row>
    <row r="177">
      <c r="A177" s="17"/>
      <c r="B177" s="20"/>
      <c r="C177" s="21"/>
      <c r="D177" s="21"/>
      <c r="E177" s="23"/>
      <c r="F177" s="24"/>
      <c r="G177" s="27"/>
      <c r="H177" s="23"/>
      <c r="I177" s="27"/>
      <c r="J177" s="29"/>
      <c r="K177" s="129"/>
      <c r="L177" s="31"/>
      <c r="M177" s="31"/>
    </row>
    <row r="178">
      <c r="A178" s="17"/>
      <c r="B178" s="20"/>
      <c r="C178" s="21"/>
      <c r="D178" s="21"/>
      <c r="E178" s="23"/>
      <c r="F178" s="24"/>
      <c r="G178" s="27"/>
      <c r="H178" s="23"/>
      <c r="I178" s="27"/>
      <c r="J178" s="29"/>
      <c r="K178" s="129"/>
      <c r="L178" s="31"/>
      <c r="M178" s="31"/>
    </row>
    <row r="179">
      <c r="A179" s="17"/>
      <c r="B179" s="20"/>
      <c r="C179" s="21"/>
      <c r="D179" s="21"/>
      <c r="E179" s="23"/>
      <c r="F179" s="24"/>
      <c r="G179" s="27"/>
      <c r="H179" s="23"/>
      <c r="I179" s="27"/>
      <c r="J179" s="29"/>
      <c r="K179" s="129"/>
      <c r="L179" s="31"/>
      <c r="M179" s="31"/>
    </row>
    <row r="180">
      <c r="A180" s="17"/>
      <c r="B180" s="20"/>
      <c r="C180" s="21"/>
      <c r="D180" s="21"/>
      <c r="E180" s="23"/>
      <c r="F180" s="24"/>
      <c r="G180" s="27"/>
      <c r="H180" s="23"/>
      <c r="I180" s="27"/>
      <c r="J180" s="29"/>
      <c r="K180" s="129"/>
      <c r="L180" s="31"/>
      <c r="M180" s="31"/>
    </row>
    <row r="181">
      <c r="A181" s="17"/>
      <c r="B181" s="20"/>
      <c r="C181" s="21"/>
      <c r="D181" s="21"/>
      <c r="E181" s="23"/>
      <c r="F181" s="24"/>
      <c r="G181" s="27"/>
      <c r="H181" s="23"/>
      <c r="I181" s="27"/>
      <c r="J181" s="29"/>
      <c r="K181" s="129"/>
      <c r="L181" s="31"/>
      <c r="M181" s="31"/>
    </row>
    <row r="182">
      <c r="A182" s="17"/>
      <c r="B182" s="20"/>
      <c r="C182" s="21"/>
      <c r="D182" s="21"/>
      <c r="E182" s="23"/>
      <c r="F182" s="24"/>
      <c r="G182" s="27"/>
      <c r="H182" s="23"/>
      <c r="I182" s="27"/>
      <c r="J182" s="29"/>
      <c r="K182" s="129"/>
      <c r="L182" s="31"/>
      <c r="M182" s="31"/>
    </row>
    <row r="183">
      <c r="A183" s="17"/>
      <c r="B183" s="20"/>
      <c r="C183" s="21"/>
      <c r="D183" s="21"/>
      <c r="E183" s="23"/>
      <c r="F183" s="24"/>
      <c r="G183" s="27"/>
      <c r="H183" s="23"/>
      <c r="I183" s="27"/>
      <c r="J183" s="29"/>
      <c r="K183" s="129"/>
      <c r="L183" s="31"/>
      <c r="M183" s="31"/>
    </row>
    <row r="184">
      <c r="A184" s="17"/>
      <c r="B184" s="20"/>
      <c r="C184" s="21"/>
      <c r="D184" s="21"/>
      <c r="E184" s="23"/>
      <c r="F184" s="24"/>
      <c r="G184" s="27"/>
      <c r="H184" s="23"/>
      <c r="I184" s="27"/>
      <c r="J184" s="29"/>
      <c r="K184" s="129"/>
      <c r="L184" s="31"/>
      <c r="M184" s="31"/>
    </row>
    <row r="185">
      <c r="A185" s="17"/>
      <c r="B185" s="20"/>
      <c r="C185" s="21"/>
      <c r="D185" s="21"/>
      <c r="E185" s="23"/>
      <c r="F185" s="24"/>
      <c r="G185" s="27"/>
      <c r="H185" s="23"/>
      <c r="I185" s="27"/>
      <c r="J185" s="29"/>
      <c r="K185" s="129"/>
      <c r="L185" s="31"/>
      <c r="M185" s="31"/>
    </row>
    <row r="186">
      <c r="A186" s="17"/>
      <c r="B186" s="20"/>
      <c r="C186" s="21"/>
      <c r="D186" s="21"/>
      <c r="E186" s="23"/>
      <c r="F186" s="24"/>
      <c r="G186" s="27"/>
      <c r="H186" s="23"/>
      <c r="I186" s="27"/>
      <c r="J186" s="29"/>
      <c r="K186" s="129"/>
      <c r="L186" s="31"/>
      <c r="M186" s="31"/>
    </row>
    <row r="187">
      <c r="A187" s="17"/>
      <c r="B187" s="20"/>
      <c r="C187" s="21"/>
      <c r="D187" s="21"/>
      <c r="E187" s="23"/>
      <c r="F187" s="24"/>
      <c r="G187" s="27"/>
      <c r="H187" s="23"/>
      <c r="I187" s="27"/>
      <c r="J187" s="29"/>
      <c r="K187" s="129"/>
      <c r="L187" s="31"/>
      <c r="M187" s="31"/>
    </row>
    <row r="188">
      <c r="A188" s="17"/>
      <c r="B188" s="20"/>
      <c r="C188" s="21"/>
      <c r="D188" s="21"/>
      <c r="E188" s="23"/>
      <c r="F188" s="24"/>
      <c r="G188" s="27"/>
      <c r="H188" s="23"/>
      <c r="I188" s="27"/>
      <c r="J188" s="29"/>
      <c r="K188" s="129"/>
      <c r="L188" s="31"/>
      <c r="M188" s="31"/>
    </row>
    <row r="189">
      <c r="A189" s="17"/>
      <c r="B189" s="20"/>
      <c r="C189" s="21"/>
      <c r="D189" s="21"/>
      <c r="E189" s="23"/>
      <c r="F189" s="24"/>
      <c r="G189" s="27"/>
      <c r="H189" s="23"/>
      <c r="I189" s="27"/>
      <c r="J189" s="29"/>
      <c r="K189" s="129"/>
      <c r="L189" s="31"/>
      <c r="M189" s="31"/>
    </row>
    <row r="190">
      <c r="A190" s="17"/>
      <c r="B190" s="20"/>
      <c r="C190" s="21"/>
      <c r="D190" s="21"/>
      <c r="E190" s="23"/>
      <c r="F190" s="24"/>
      <c r="G190" s="27"/>
      <c r="H190" s="23"/>
      <c r="I190" s="27"/>
      <c r="J190" s="29"/>
      <c r="K190" s="129"/>
      <c r="L190" s="31"/>
      <c r="M190" s="31"/>
    </row>
    <row r="191">
      <c r="A191" s="17"/>
      <c r="B191" s="20"/>
      <c r="C191" s="21"/>
      <c r="D191" s="21"/>
      <c r="E191" s="23"/>
      <c r="F191" s="24"/>
      <c r="G191" s="27"/>
      <c r="H191" s="23"/>
      <c r="I191" s="27"/>
      <c r="J191" s="29"/>
      <c r="K191" s="129"/>
      <c r="L191" s="31"/>
      <c r="M191" s="31"/>
    </row>
    <row r="192">
      <c r="A192" s="17"/>
      <c r="B192" s="20"/>
      <c r="C192" s="21"/>
      <c r="D192" s="21"/>
      <c r="E192" s="23"/>
      <c r="F192" s="24"/>
      <c r="G192" s="27"/>
      <c r="H192" s="23"/>
      <c r="I192" s="27"/>
      <c r="J192" s="29"/>
      <c r="K192" s="129"/>
      <c r="L192" s="31"/>
      <c r="M192" s="31"/>
    </row>
    <row r="193">
      <c r="A193" s="17"/>
      <c r="B193" s="20"/>
      <c r="C193" s="21"/>
      <c r="D193" s="21"/>
      <c r="E193" s="23"/>
      <c r="F193" s="24"/>
      <c r="G193" s="27"/>
      <c r="H193" s="23"/>
      <c r="I193" s="27"/>
      <c r="J193" s="29"/>
      <c r="K193" s="129"/>
      <c r="L193" s="31"/>
      <c r="M193" s="31"/>
    </row>
    <row r="194">
      <c r="A194" s="17"/>
      <c r="B194" s="20"/>
      <c r="C194" s="21"/>
      <c r="D194" s="21"/>
      <c r="E194" s="23"/>
      <c r="F194" s="24"/>
      <c r="G194" s="27"/>
      <c r="H194" s="23"/>
      <c r="I194" s="27"/>
      <c r="J194" s="29"/>
      <c r="K194" s="129"/>
      <c r="L194" s="31"/>
      <c r="M194" s="31"/>
    </row>
    <row r="195">
      <c r="A195" s="17"/>
      <c r="B195" s="20"/>
      <c r="C195" s="21"/>
      <c r="D195" s="21"/>
      <c r="E195" s="23"/>
      <c r="F195" s="24"/>
      <c r="G195" s="27"/>
      <c r="H195" s="23"/>
      <c r="I195" s="27"/>
      <c r="J195" s="29"/>
      <c r="K195" s="129"/>
      <c r="L195" s="31"/>
      <c r="M195" s="31"/>
    </row>
    <row r="196">
      <c r="A196" s="17"/>
      <c r="B196" s="20"/>
      <c r="C196" s="21"/>
      <c r="D196" s="21"/>
      <c r="E196" s="23"/>
      <c r="F196" s="24"/>
      <c r="G196" s="27"/>
      <c r="H196" s="23"/>
      <c r="I196" s="27"/>
      <c r="J196" s="29"/>
      <c r="K196" s="129"/>
      <c r="L196" s="31"/>
      <c r="M196" s="31"/>
    </row>
    <row r="197">
      <c r="A197" s="17"/>
      <c r="B197" s="20"/>
      <c r="C197" s="21"/>
      <c r="D197" s="21"/>
      <c r="E197" s="23"/>
      <c r="F197" s="24"/>
      <c r="G197" s="27"/>
      <c r="H197" s="23"/>
      <c r="I197" s="27"/>
      <c r="J197" s="29"/>
      <c r="K197" s="129"/>
      <c r="L197" s="31"/>
      <c r="M197" s="31"/>
    </row>
    <row r="198">
      <c r="A198" s="17"/>
      <c r="B198" s="20"/>
      <c r="C198" s="21"/>
      <c r="D198" s="21"/>
      <c r="E198" s="23"/>
      <c r="F198" s="24"/>
      <c r="G198" s="27"/>
      <c r="H198" s="23"/>
      <c r="I198" s="27"/>
      <c r="J198" s="29"/>
      <c r="K198" s="129"/>
      <c r="L198" s="31"/>
      <c r="M198" s="31"/>
    </row>
    <row r="199">
      <c r="A199" s="17"/>
      <c r="B199" s="20"/>
      <c r="C199" s="21"/>
      <c r="D199" s="21"/>
      <c r="E199" s="23"/>
      <c r="F199" s="24"/>
      <c r="G199" s="27"/>
      <c r="H199" s="23"/>
      <c r="I199" s="27"/>
      <c r="J199" s="29"/>
      <c r="K199" s="129"/>
      <c r="L199" s="31"/>
      <c r="M199" s="31"/>
    </row>
    <row r="200">
      <c r="A200" s="17"/>
      <c r="B200" s="20"/>
      <c r="C200" s="21"/>
      <c r="D200" s="21"/>
      <c r="E200" s="23"/>
      <c r="F200" s="24"/>
      <c r="G200" s="27"/>
      <c r="H200" s="23"/>
      <c r="I200" s="27"/>
      <c r="J200" s="29"/>
      <c r="K200" s="129"/>
      <c r="L200" s="31"/>
      <c r="M200" s="31"/>
    </row>
    <row r="201">
      <c r="A201" s="17"/>
      <c r="B201" s="20"/>
      <c r="C201" s="21"/>
      <c r="D201" s="21"/>
      <c r="E201" s="23"/>
      <c r="F201" s="24"/>
      <c r="G201" s="27"/>
      <c r="H201" s="23"/>
      <c r="I201" s="27"/>
      <c r="J201" s="29"/>
      <c r="K201" s="129"/>
      <c r="L201" s="31"/>
      <c r="M201" s="31"/>
    </row>
    <row r="202">
      <c r="A202" s="17"/>
      <c r="B202" s="20"/>
      <c r="C202" s="21"/>
      <c r="D202" s="21"/>
      <c r="E202" s="23"/>
      <c r="F202" s="24"/>
      <c r="G202" s="27"/>
      <c r="H202" s="23"/>
      <c r="I202" s="27"/>
      <c r="J202" s="29"/>
      <c r="K202" s="129"/>
      <c r="L202" s="31"/>
      <c r="M202" s="31"/>
    </row>
    <row r="203">
      <c r="A203" s="17"/>
      <c r="B203" s="20"/>
      <c r="C203" s="21"/>
      <c r="D203" s="21"/>
      <c r="E203" s="23"/>
      <c r="F203" s="24"/>
      <c r="G203" s="27"/>
      <c r="H203" s="23"/>
      <c r="I203" s="27"/>
      <c r="J203" s="29"/>
      <c r="K203" s="129"/>
      <c r="L203" s="31"/>
      <c r="M203" s="31"/>
    </row>
    <row r="204">
      <c r="A204" s="17"/>
      <c r="B204" s="20"/>
      <c r="C204" s="21"/>
      <c r="D204" s="21"/>
      <c r="E204" s="23"/>
      <c r="F204" s="24"/>
      <c r="G204" s="27"/>
      <c r="H204" s="23"/>
      <c r="I204" s="27"/>
      <c r="J204" s="29"/>
      <c r="K204" s="129"/>
      <c r="L204" s="31"/>
      <c r="M204" s="31"/>
    </row>
    <row r="205">
      <c r="A205" s="17"/>
      <c r="B205" s="20"/>
      <c r="C205" s="21"/>
      <c r="D205" s="21"/>
      <c r="E205" s="23"/>
      <c r="F205" s="24"/>
      <c r="G205" s="27"/>
      <c r="H205" s="23"/>
      <c r="I205" s="27"/>
      <c r="J205" s="29"/>
      <c r="K205" s="129"/>
      <c r="L205" s="31"/>
      <c r="M205" s="31"/>
    </row>
    <row r="206">
      <c r="A206" s="17"/>
      <c r="B206" s="20"/>
      <c r="C206" s="21"/>
      <c r="D206" s="21"/>
      <c r="E206" s="23"/>
      <c r="F206" s="24"/>
      <c r="G206" s="27"/>
      <c r="H206" s="23"/>
      <c r="I206" s="27"/>
      <c r="J206" s="29"/>
      <c r="K206" s="129"/>
      <c r="L206" s="31"/>
      <c r="M206" s="31"/>
    </row>
    <row r="207">
      <c r="A207" s="17"/>
      <c r="B207" s="20"/>
      <c r="C207" s="21"/>
      <c r="D207" s="21"/>
      <c r="E207" s="23"/>
      <c r="F207" s="24"/>
      <c r="G207" s="27"/>
      <c r="H207" s="23"/>
      <c r="I207" s="27"/>
      <c r="J207" s="29"/>
      <c r="K207" s="129"/>
      <c r="L207" s="31"/>
      <c r="M207" s="31"/>
    </row>
    <row r="208">
      <c r="A208" s="17"/>
      <c r="B208" s="20"/>
      <c r="C208" s="21"/>
      <c r="D208" s="21"/>
      <c r="E208" s="23"/>
      <c r="F208" s="24"/>
      <c r="G208" s="27"/>
      <c r="H208" s="23"/>
      <c r="I208" s="27"/>
      <c r="J208" s="29"/>
      <c r="K208" s="129"/>
      <c r="L208" s="31"/>
      <c r="M208" s="31"/>
    </row>
    <row r="209">
      <c r="A209" s="17"/>
      <c r="B209" s="20"/>
      <c r="C209" s="21"/>
      <c r="D209" s="21"/>
      <c r="E209" s="23"/>
      <c r="F209" s="24"/>
      <c r="G209" s="27"/>
      <c r="H209" s="23"/>
      <c r="I209" s="27"/>
      <c r="J209" s="29"/>
      <c r="K209" s="129"/>
      <c r="L209" s="31"/>
      <c r="M209" s="31"/>
    </row>
    <row r="210">
      <c r="A210" s="17"/>
      <c r="B210" s="20"/>
      <c r="C210" s="21"/>
      <c r="D210" s="21"/>
      <c r="E210" s="23"/>
      <c r="F210" s="24"/>
      <c r="G210" s="27"/>
      <c r="H210" s="23"/>
      <c r="I210" s="27"/>
      <c r="J210" s="29"/>
      <c r="K210" s="129"/>
      <c r="L210" s="31"/>
      <c r="M210" s="31"/>
    </row>
    <row r="211">
      <c r="A211" s="17"/>
      <c r="B211" s="20"/>
      <c r="C211" s="21"/>
      <c r="D211" s="21"/>
      <c r="E211" s="23"/>
      <c r="F211" s="24"/>
      <c r="G211" s="27"/>
      <c r="H211" s="23"/>
      <c r="I211" s="27"/>
      <c r="J211" s="29"/>
      <c r="K211" s="129"/>
      <c r="L211" s="31"/>
      <c r="M211" s="31"/>
    </row>
    <row r="212">
      <c r="A212" s="17"/>
      <c r="B212" s="20"/>
      <c r="C212" s="21"/>
      <c r="D212" s="21"/>
      <c r="E212" s="23"/>
      <c r="F212" s="24"/>
      <c r="G212" s="27"/>
      <c r="H212" s="23"/>
      <c r="I212" s="27"/>
      <c r="J212" s="29"/>
      <c r="K212" s="129"/>
      <c r="L212" s="31"/>
      <c r="M212" s="31"/>
    </row>
    <row r="213">
      <c r="A213" s="17"/>
      <c r="B213" s="20"/>
      <c r="C213" s="21"/>
      <c r="D213" s="21"/>
      <c r="E213" s="23"/>
      <c r="F213" s="24"/>
      <c r="G213" s="27"/>
      <c r="H213" s="23"/>
      <c r="I213" s="27"/>
      <c r="J213" s="29"/>
      <c r="K213" s="129"/>
      <c r="L213" s="31"/>
      <c r="M213" s="31"/>
    </row>
    <row r="214">
      <c r="A214" s="17"/>
      <c r="B214" s="20"/>
      <c r="C214" s="21"/>
      <c r="D214" s="21"/>
      <c r="E214" s="23"/>
      <c r="F214" s="24"/>
      <c r="G214" s="27"/>
      <c r="H214" s="23"/>
      <c r="I214" s="27"/>
      <c r="J214" s="29"/>
      <c r="K214" s="129"/>
      <c r="L214" s="31"/>
      <c r="M214" s="31"/>
    </row>
    <row r="215">
      <c r="A215" s="17"/>
      <c r="B215" s="20"/>
      <c r="C215" s="21"/>
      <c r="D215" s="21"/>
      <c r="E215" s="23"/>
      <c r="F215" s="24"/>
      <c r="G215" s="27"/>
      <c r="H215" s="23"/>
      <c r="I215" s="27"/>
      <c r="J215" s="29"/>
      <c r="K215" s="129"/>
      <c r="L215" s="31"/>
      <c r="M215" s="31"/>
    </row>
    <row r="216">
      <c r="A216" s="17"/>
      <c r="B216" s="20"/>
      <c r="C216" s="21"/>
      <c r="D216" s="21"/>
      <c r="E216" s="23"/>
      <c r="F216" s="24"/>
      <c r="G216" s="27"/>
      <c r="H216" s="23"/>
      <c r="I216" s="27"/>
      <c r="J216" s="29"/>
      <c r="K216" s="129"/>
      <c r="L216" s="31"/>
      <c r="M216" s="31"/>
    </row>
    <row r="217">
      <c r="A217" s="17"/>
      <c r="B217" s="20"/>
      <c r="C217" s="21"/>
      <c r="D217" s="21"/>
      <c r="E217" s="23"/>
      <c r="F217" s="24"/>
      <c r="G217" s="27"/>
      <c r="H217" s="23"/>
      <c r="I217" s="27"/>
      <c r="J217" s="29"/>
      <c r="K217" s="129"/>
      <c r="L217" s="31"/>
      <c r="M217" s="31"/>
    </row>
    <row r="218">
      <c r="A218" s="17"/>
      <c r="B218" s="20"/>
      <c r="C218" s="21"/>
      <c r="D218" s="21"/>
      <c r="E218" s="23"/>
      <c r="F218" s="24"/>
      <c r="G218" s="27"/>
      <c r="H218" s="23"/>
      <c r="I218" s="27"/>
      <c r="J218" s="29"/>
      <c r="K218" s="129"/>
      <c r="L218" s="31"/>
      <c r="M218" s="31"/>
    </row>
    <row r="219">
      <c r="A219" s="17"/>
      <c r="B219" s="20"/>
      <c r="C219" s="21"/>
      <c r="D219" s="21"/>
      <c r="E219" s="23"/>
      <c r="F219" s="24"/>
      <c r="G219" s="27"/>
      <c r="H219" s="23"/>
      <c r="I219" s="27"/>
      <c r="J219" s="29"/>
      <c r="K219" s="129"/>
      <c r="L219" s="31"/>
      <c r="M219" s="31"/>
    </row>
    <row r="220">
      <c r="A220" s="17"/>
      <c r="B220" s="20"/>
      <c r="C220" s="21"/>
      <c r="D220" s="21"/>
      <c r="E220" s="23"/>
      <c r="F220" s="24"/>
      <c r="G220" s="27"/>
      <c r="H220" s="23"/>
      <c r="I220" s="27"/>
      <c r="J220" s="29"/>
      <c r="K220" s="129"/>
      <c r="L220" s="31"/>
      <c r="M220" s="31"/>
    </row>
    <row r="221">
      <c r="A221" s="17"/>
      <c r="B221" s="20"/>
      <c r="C221" s="21"/>
      <c r="D221" s="21"/>
      <c r="E221" s="23"/>
      <c r="F221" s="24"/>
      <c r="G221" s="27"/>
      <c r="H221" s="23"/>
      <c r="I221" s="27"/>
      <c r="J221" s="29"/>
      <c r="K221" s="129"/>
      <c r="L221" s="31"/>
      <c r="M221" s="31"/>
    </row>
    <row r="222">
      <c r="A222" s="17"/>
      <c r="B222" s="20"/>
      <c r="C222" s="21"/>
      <c r="D222" s="21"/>
      <c r="E222" s="23"/>
      <c r="F222" s="24"/>
      <c r="G222" s="27"/>
      <c r="H222" s="23"/>
      <c r="I222" s="27"/>
      <c r="J222" s="29"/>
      <c r="K222" s="129"/>
      <c r="L222" s="31"/>
      <c r="M222" s="31"/>
    </row>
    <row r="223">
      <c r="A223" s="17"/>
      <c r="B223" s="20"/>
      <c r="C223" s="21"/>
      <c r="D223" s="21"/>
      <c r="E223" s="23"/>
      <c r="F223" s="24"/>
      <c r="G223" s="27"/>
      <c r="H223" s="23"/>
      <c r="I223" s="27"/>
      <c r="J223" s="29"/>
      <c r="K223" s="129"/>
      <c r="L223" s="31"/>
      <c r="M223" s="31"/>
    </row>
    <row r="224">
      <c r="A224" s="17"/>
      <c r="B224" s="20"/>
      <c r="C224" s="21"/>
      <c r="D224" s="21"/>
      <c r="E224" s="23"/>
      <c r="F224" s="24"/>
      <c r="G224" s="27"/>
      <c r="H224" s="23"/>
      <c r="I224" s="27"/>
      <c r="J224" s="29"/>
      <c r="K224" s="129"/>
      <c r="L224" s="31"/>
      <c r="M224" s="31"/>
    </row>
    <row r="225">
      <c r="A225" s="17"/>
      <c r="B225" s="20"/>
      <c r="C225" s="21"/>
      <c r="D225" s="21"/>
      <c r="E225" s="23"/>
      <c r="F225" s="24"/>
      <c r="G225" s="27"/>
      <c r="H225" s="23"/>
      <c r="I225" s="27"/>
      <c r="J225" s="29"/>
      <c r="K225" s="129"/>
      <c r="L225" s="31"/>
      <c r="M225" s="31"/>
    </row>
    <row r="226">
      <c r="A226" s="17"/>
      <c r="B226" s="20"/>
      <c r="C226" s="21"/>
      <c r="D226" s="21"/>
      <c r="E226" s="23"/>
      <c r="F226" s="24"/>
      <c r="G226" s="27"/>
      <c r="H226" s="23"/>
      <c r="I226" s="27"/>
      <c r="J226" s="29"/>
      <c r="K226" s="129"/>
      <c r="L226" s="31"/>
      <c r="M226" s="31"/>
    </row>
    <row r="227">
      <c r="A227" s="17"/>
      <c r="B227" s="20"/>
      <c r="C227" s="21"/>
      <c r="D227" s="21"/>
      <c r="E227" s="23"/>
      <c r="F227" s="24"/>
      <c r="G227" s="27"/>
      <c r="H227" s="23"/>
      <c r="I227" s="27"/>
      <c r="J227" s="29"/>
      <c r="K227" s="129"/>
      <c r="L227" s="31"/>
      <c r="M227" s="31"/>
    </row>
    <row r="228">
      <c r="A228" s="17"/>
      <c r="B228" s="20"/>
      <c r="C228" s="21"/>
      <c r="D228" s="21"/>
      <c r="E228" s="23"/>
      <c r="F228" s="24"/>
      <c r="G228" s="27"/>
      <c r="H228" s="23"/>
      <c r="I228" s="27"/>
      <c r="J228" s="29"/>
      <c r="K228" s="129"/>
      <c r="L228" s="31"/>
      <c r="M228" s="31"/>
    </row>
    <row r="229">
      <c r="A229" s="17"/>
      <c r="B229" s="20"/>
      <c r="C229" s="21"/>
      <c r="D229" s="21"/>
      <c r="E229" s="23"/>
      <c r="F229" s="24"/>
      <c r="G229" s="27"/>
      <c r="H229" s="23"/>
      <c r="I229" s="27"/>
      <c r="J229" s="29"/>
      <c r="K229" s="129"/>
      <c r="L229" s="31"/>
      <c r="M229" s="31"/>
    </row>
    <row r="230">
      <c r="A230" s="17"/>
      <c r="B230" s="20"/>
      <c r="C230" s="21"/>
      <c r="D230" s="21"/>
      <c r="E230" s="23"/>
      <c r="F230" s="24"/>
      <c r="G230" s="27"/>
      <c r="H230" s="23"/>
      <c r="I230" s="27"/>
      <c r="J230" s="29"/>
      <c r="K230" s="129"/>
      <c r="L230" s="31"/>
      <c r="M230" s="31"/>
    </row>
    <row r="231">
      <c r="A231" s="17"/>
      <c r="B231" s="20"/>
      <c r="C231" s="21"/>
      <c r="D231" s="21"/>
      <c r="E231" s="23"/>
      <c r="F231" s="24"/>
      <c r="G231" s="27"/>
      <c r="H231" s="23"/>
      <c r="I231" s="27"/>
      <c r="J231" s="29"/>
      <c r="K231" s="129"/>
      <c r="L231" s="31"/>
      <c r="M231" s="31"/>
    </row>
    <row r="232">
      <c r="A232" s="17"/>
      <c r="B232" s="20"/>
      <c r="C232" s="21"/>
      <c r="D232" s="21"/>
      <c r="E232" s="23"/>
      <c r="F232" s="24"/>
      <c r="G232" s="27"/>
      <c r="H232" s="23"/>
      <c r="I232" s="27"/>
      <c r="J232" s="29"/>
      <c r="K232" s="129"/>
      <c r="L232" s="31"/>
      <c r="M232" s="31"/>
    </row>
    <row r="233">
      <c r="A233" s="17"/>
      <c r="B233" s="20"/>
      <c r="C233" s="21"/>
      <c r="D233" s="21"/>
      <c r="E233" s="23"/>
      <c r="F233" s="24"/>
      <c r="G233" s="27"/>
      <c r="H233" s="23"/>
      <c r="I233" s="27"/>
      <c r="J233" s="29"/>
      <c r="K233" s="129"/>
      <c r="L233" s="31"/>
      <c r="M233" s="31"/>
    </row>
    <row r="234">
      <c r="A234" s="17"/>
      <c r="B234" s="20"/>
      <c r="C234" s="21"/>
      <c r="D234" s="21"/>
      <c r="E234" s="23"/>
      <c r="F234" s="24"/>
      <c r="G234" s="27"/>
      <c r="H234" s="23"/>
      <c r="I234" s="27"/>
      <c r="J234" s="29"/>
      <c r="K234" s="129"/>
      <c r="L234" s="31"/>
      <c r="M234" s="31"/>
    </row>
    <row r="235">
      <c r="A235" s="17"/>
      <c r="B235" s="20"/>
      <c r="C235" s="21"/>
      <c r="D235" s="21"/>
      <c r="E235" s="23"/>
      <c r="F235" s="24"/>
      <c r="G235" s="27"/>
      <c r="H235" s="23"/>
      <c r="I235" s="27"/>
      <c r="J235" s="29"/>
      <c r="K235" s="129"/>
      <c r="L235" s="31"/>
      <c r="M235" s="31"/>
    </row>
    <row r="236">
      <c r="A236" s="17"/>
      <c r="B236" s="20"/>
      <c r="C236" s="21"/>
      <c r="D236" s="21"/>
      <c r="E236" s="23"/>
      <c r="F236" s="24"/>
      <c r="G236" s="27"/>
      <c r="H236" s="23"/>
      <c r="I236" s="27"/>
      <c r="J236" s="29"/>
      <c r="K236" s="129"/>
      <c r="L236" s="31"/>
      <c r="M236" s="31"/>
    </row>
    <row r="237">
      <c r="A237" s="17"/>
      <c r="B237" s="20"/>
      <c r="C237" s="21"/>
      <c r="D237" s="21"/>
      <c r="E237" s="23"/>
      <c r="F237" s="24"/>
      <c r="G237" s="27"/>
      <c r="H237" s="23"/>
      <c r="I237" s="27"/>
      <c r="J237" s="29"/>
      <c r="K237" s="129"/>
      <c r="L237" s="31"/>
      <c r="M237" s="31"/>
    </row>
    <row r="238">
      <c r="A238" s="17"/>
      <c r="B238" s="20"/>
      <c r="C238" s="21"/>
      <c r="D238" s="21"/>
      <c r="E238" s="23"/>
      <c r="F238" s="24"/>
      <c r="G238" s="27"/>
      <c r="H238" s="23"/>
      <c r="I238" s="27"/>
      <c r="J238" s="29"/>
      <c r="K238" s="129"/>
      <c r="L238" s="31"/>
      <c r="M238" s="31"/>
    </row>
    <row r="239">
      <c r="A239" s="17"/>
      <c r="B239" s="20"/>
      <c r="C239" s="21"/>
      <c r="D239" s="21"/>
      <c r="E239" s="23"/>
      <c r="F239" s="24"/>
      <c r="G239" s="27"/>
      <c r="H239" s="23"/>
      <c r="I239" s="27"/>
      <c r="J239" s="29"/>
      <c r="K239" s="129"/>
      <c r="L239" s="31"/>
      <c r="M239" s="31"/>
    </row>
    <row r="240">
      <c r="A240" s="17"/>
      <c r="B240" s="20"/>
      <c r="C240" s="21"/>
      <c r="D240" s="21"/>
      <c r="E240" s="23"/>
      <c r="F240" s="24"/>
      <c r="G240" s="27"/>
      <c r="H240" s="23"/>
      <c r="I240" s="27"/>
      <c r="J240" s="29"/>
      <c r="K240" s="129"/>
      <c r="L240" s="31"/>
      <c r="M240" s="31"/>
    </row>
    <row r="241">
      <c r="A241" s="17"/>
      <c r="B241" s="20"/>
      <c r="C241" s="21"/>
      <c r="D241" s="21"/>
      <c r="E241" s="23"/>
      <c r="F241" s="24"/>
      <c r="G241" s="27"/>
      <c r="H241" s="23"/>
      <c r="I241" s="27"/>
      <c r="J241" s="29"/>
      <c r="K241" s="129"/>
      <c r="L241" s="31"/>
      <c r="M241" s="31"/>
    </row>
    <row r="242">
      <c r="A242" s="17"/>
      <c r="B242" s="20"/>
      <c r="C242" s="21"/>
      <c r="D242" s="21"/>
      <c r="E242" s="23"/>
      <c r="F242" s="24"/>
      <c r="G242" s="27"/>
      <c r="H242" s="23"/>
      <c r="I242" s="27"/>
      <c r="J242" s="29"/>
      <c r="K242" s="129"/>
      <c r="L242" s="31"/>
      <c r="M242" s="31"/>
    </row>
    <row r="243">
      <c r="A243" s="17"/>
      <c r="B243" s="20"/>
      <c r="C243" s="21"/>
      <c r="D243" s="21"/>
      <c r="E243" s="23"/>
      <c r="F243" s="24"/>
      <c r="G243" s="27"/>
      <c r="H243" s="23"/>
      <c r="I243" s="27"/>
      <c r="J243" s="29"/>
      <c r="K243" s="129"/>
      <c r="L243" s="31"/>
      <c r="M243" s="31"/>
    </row>
    <row r="244">
      <c r="A244" s="17"/>
      <c r="B244" s="20"/>
      <c r="C244" s="21"/>
      <c r="D244" s="21"/>
      <c r="E244" s="23"/>
      <c r="F244" s="24"/>
      <c r="G244" s="27"/>
      <c r="H244" s="23"/>
      <c r="I244" s="27"/>
      <c r="J244" s="29"/>
      <c r="K244" s="129"/>
      <c r="L244" s="31"/>
      <c r="M244" s="31"/>
    </row>
    <row r="245">
      <c r="A245" s="17"/>
      <c r="B245" s="20"/>
      <c r="C245" s="21"/>
      <c r="D245" s="21"/>
      <c r="E245" s="23"/>
      <c r="F245" s="24"/>
      <c r="G245" s="27"/>
      <c r="H245" s="23"/>
      <c r="I245" s="27"/>
      <c r="J245" s="29"/>
      <c r="K245" s="129"/>
      <c r="L245" s="31"/>
      <c r="M245" s="31"/>
    </row>
    <row r="246">
      <c r="A246" s="17"/>
      <c r="B246" s="20"/>
      <c r="C246" s="21"/>
      <c r="D246" s="21"/>
      <c r="E246" s="23"/>
      <c r="F246" s="24"/>
      <c r="G246" s="27"/>
      <c r="H246" s="23"/>
      <c r="I246" s="27"/>
      <c r="J246" s="29"/>
      <c r="K246" s="129"/>
      <c r="L246" s="31"/>
      <c r="M246" s="31"/>
    </row>
    <row r="247">
      <c r="A247" s="17"/>
      <c r="B247" s="20"/>
      <c r="C247" s="21"/>
      <c r="D247" s="21"/>
      <c r="E247" s="23"/>
      <c r="F247" s="24"/>
      <c r="G247" s="27"/>
      <c r="H247" s="23"/>
      <c r="I247" s="27"/>
      <c r="J247" s="29"/>
      <c r="K247" s="129"/>
      <c r="L247" s="31"/>
      <c r="M247" s="31"/>
    </row>
    <row r="248">
      <c r="A248" s="17"/>
      <c r="B248" s="20"/>
      <c r="C248" s="21"/>
      <c r="D248" s="21"/>
      <c r="E248" s="23"/>
      <c r="F248" s="24"/>
      <c r="G248" s="27"/>
      <c r="H248" s="23"/>
      <c r="I248" s="27"/>
      <c r="J248" s="29"/>
      <c r="K248" s="129"/>
      <c r="L248" s="31"/>
      <c r="M248" s="31"/>
    </row>
    <row r="249">
      <c r="A249" s="17"/>
      <c r="B249" s="20"/>
      <c r="C249" s="21"/>
      <c r="D249" s="21"/>
      <c r="E249" s="23"/>
      <c r="F249" s="24"/>
      <c r="G249" s="27"/>
      <c r="H249" s="23"/>
      <c r="I249" s="27"/>
      <c r="J249" s="29"/>
      <c r="K249" s="129"/>
      <c r="L249" s="31"/>
      <c r="M249" s="31"/>
    </row>
    <row r="250">
      <c r="A250" s="17"/>
      <c r="B250" s="20"/>
      <c r="C250" s="21"/>
      <c r="D250" s="21"/>
      <c r="E250" s="23"/>
      <c r="F250" s="24"/>
      <c r="G250" s="27"/>
      <c r="H250" s="23"/>
      <c r="I250" s="27"/>
      <c r="J250" s="29"/>
      <c r="K250" s="129"/>
      <c r="L250" s="31"/>
      <c r="M250" s="31"/>
    </row>
    <row r="251">
      <c r="A251" s="17"/>
      <c r="B251" s="20"/>
      <c r="C251" s="21"/>
      <c r="D251" s="21"/>
      <c r="E251" s="23"/>
      <c r="F251" s="24"/>
      <c r="G251" s="27"/>
      <c r="H251" s="23"/>
      <c r="I251" s="27"/>
      <c r="J251" s="29"/>
      <c r="K251" s="129"/>
      <c r="L251" s="31"/>
      <c r="M251" s="31"/>
    </row>
    <row r="252">
      <c r="A252" s="17"/>
      <c r="B252" s="20"/>
      <c r="C252" s="21"/>
      <c r="D252" s="21"/>
      <c r="E252" s="23"/>
      <c r="F252" s="24"/>
      <c r="G252" s="27"/>
      <c r="H252" s="23"/>
      <c r="I252" s="27"/>
      <c r="J252" s="29"/>
      <c r="K252" s="129"/>
      <c r="L252" s="31"/>
      <c r="M252" s="31"/>
    </row>
    <row r="253">
      <c r="A253" s="17"/>
      <c r="B253" s="20"/>
      <c r="C253" s="21"/>
      <c r="D253" s="21"/>
      <c r="E253" s="23"/>
      <c r="F253" s="24"/>
      <c r="G253" s="27"/>
      <c r="H253" s="23"/>
      <c r="I253" s="27"/>
      <c r="J253" s="29"/>
      <c r="K253" s="129"/>
      <c r="L253" s="31"/>
      <c r="M253" s="31"/>
    </row>
    <row r="254">
      <c r="A254" s="17"/>
      <c r="B254" s="20"/>
      <c r="C254" s="21"/>
      <c r="D254" s="21"/>
      <c r="E254" s="23"/>
      <c r="F254" s="24"/>
      <c r="G254" s="27"/>
      <c r="H254" s="23"/>
      <c r="I254" s="27"/>
      <c r="J254" s="29"/>
      <c r="K254" s="129"/>
      <c r="L254" s="31"/>
      <c r="M254" s="31"/>
    </row>
    <row r="255">
      <c r="A255" s="17"/>
      <c r="B255" s="20"/>
      <c r="C255" s="21"/>
      <c r="D255" s="21"/>
      <c r="E255" s="23"/>
      <c r="F255" s="24"/>
      <c r="G255" s="27"/>
      <c r="H255" s="23"/>
      <c r="I255" s="27"/>
      <c r="J255" s="29"/>
      <c r="K255" s="129"/>
      <c r="L255" s="31"/>
      <c r="M255" s="31"/>
    </row>
    <row r="256">
      <c r="A256" s="17"/>
      <c r="B256" s="20"/>
      <c r="C256" s="21"/>
      <c r="D256" s="21"/>
      <c r="E256" s="23"/>
      <c r="F256" s="24"/>
      <c r="G256" s="27"/>
      <c r="H256" s="23"/>
      <c r="I256" s="27"/>
      <c r="J256" s="29"/>
      <c r="K256" s="129"/>
      <c r="L256" s="31"/>
      <c r="M256" s="31"/>
    </row>
    <row r="257">
      <c r="A257" s="17"/>
      <c r="B257" s="20"/>
      <c r="C257" s="21"/>
      <c r="D257" s="21"/>
      <c r="E257" s="23"/>
      <c r="F257" s="24"/>
      <c r="G257" s="27"/>
      <c r="H257" s="23"/>
      <c r="I257" s="27"/>
      <c r="J257" s="29"/>
      <c r="K257" s="129"/>
      <c r="L257" s="31"/>
      <c r="M257" s="31"/>
    </row>
    <row r="258">
      <c r="A258" s="17"/>
      <c r="B258" s="20"/>
      <c r="C258" s="21"/>
      <c r="D258" s="21"/>
      <c r="E258" s="23"/>
      <c r="F258" s="24"/>
      <c r="G258" s="27"/>
      <c r="H258" s="23"/>
      <c r="I258" s="27"/>
      <c r="J258" s="29"/>
      <c r="K258" s="129"/>
      <c r="L258" s="31"/>
      <c r="M258" s="31"/>
    </row>
    <row r="259">
      <c r="A259" s="17"/>
      <c r="B259" s="20"/>
      <c r="C259" s="21"/>
      <c r="D259" s="21"/>
      <c r="E259" s="23"/>
      <c r="F259" s="24"/>
      <c r="G259" s="27"/>
      <c r="H259" s="23"/>
      <c r="I259" s="27"/>
      <c r="J259" s="29"/>
      <c r="K259" s="129"/>
      <c r="L259" s="31"/>
      <c r="M259" s="31"/>
    </row>
    <row r="260">
      <c r="A260" s="17"/>
      <c r="B260" s="20"/>
      <c r="C260" s="21"/>
      <c r="D260" s="21"/>
      <c r="E260" s="23"/>
      <c r="F260" s="24"/>
      <c r="G260" s="27"/>
      <c r="H260" s="23"/>
      <c r="I260" s="27"/>
      <c r="J260" s="29"/>
      <c r="K260" s="129"/>
      <c r="L260" s="31"/>
      <c r="M260" s="31"/>
    </row>
    <row r="261">
      <c r="A261" s="17"/>
      <c r="B261" s="20"/>
      <c r="C261" s="21"/>
      <c r="D261" s="21"/>
      <c r="E261" s="23"/>
      <c r="F261" s="24"/>
      <c r="G261" s="27"/>
      <c r="H261" s="23"/>
      <c r="I261" s="27"/>
      <c r="J261" s="29"/>
      <c r="K261" s="129"/>
      <c r="L261" s="31"/>
      <c r="M261" s="31"/>
    </row>
    <row r="262">
      <c r="A262" s="17"/>
      <c r="B262" s="20"/>
      <c r="C262" s="21"/>
      <c r="D262" s="21"/>
      <c r="E262" s="23"/>
      <c r="F262" s="24"/>
      <c r="G262" s="27"/>
      <c r="H262" s="23"/>
      <c r="I262" s="27"/>
      <c r="J262" s="29"/>
      <c r="K262" s="129"/>
      <c r="L262" s="31"/>
      <c r="M262" s="31"/>
    </row>
    <row r="263">
      <c r="A263" s="17"/>
      <c r="B263" s="20"/>
      <c r="C263" s="21"/>
      <c r="D263" s="21"/>
      <c r="E263" s="23"/>
      <c r="F263" s="24"/>
      <c r="G263" s="27"/>
      <c r="H263" s="23"/>
      <c r="I263" s="27"/>
      <c r="J263" s="29"/>
      <c r="K263" s="129"/>
      <c r="L263" s="31"/>
      <c r="M263" s="31"/>
    </row>
    <row r="264">
      <c r="A264" s="17"/>
      <c r="B264" s="20"/>
      <c r="C264" s="21"/>
      <c r="D264" s="21"/>
      <c r="E264" s="23"/>
      <c r="F264" s="24"/>
      <c r="G264" s="27"/>
      <c r="H264" s="23"/>
      <c r="I264" s="27"/>
      <c r="J264" s="29"/>
      <c r="K264" s="129"/>
      <c r="L264" s="31"/>
      <c r="M264" s="31"/>
    </row>
    <row r="265">
      <c r="A265" s="17"/>
      <c r="B265" s="20"/>
      <c r="C265" s="21"/>
      <c r="D265" s="21"/>
      <c r="E265" s="23"/>
      <c r="F265" s="24"/>
      <c r="G265" s="27"/>
      <c r="H265" s="23"/>
      <c r="I265" s="27"/>
      <c r="J265" s="29"/>
      <c r="K265" s="129"/>
      <c r="L265" s="31"/>
      <c r="M265" s="31"/>
    </row>
    <row r="266">
      <c r="A266" s="17"/>
      <c r="B266" s="20"/>
      <c r="C266" s="21"/>
      <c r="D266" s="21"/>
      <c r="E266" s="23"/>
      <c r="F266" s="24"/>
      <c r="G266" s="27"/>
      <c r="H266" s="23"/>
      <c r="I266" s="27"/>
      <c r="J266" s="29"/>
      <c r="K266" s="129"/>
      <c r="L266" s="31"/>
      <c r="M266" s="31"/>
    </row>
    <row r="267">
      <c r="A267" s="17"/>
      <c r="B267" s="20"/>
      <c r="C267" s="21"/>
      <c r="D267" s="21"/>
      <c r="E267" s="23"/>
      <c r="F267" s="24"/>
      <c r="G267" s="27"/>
      <c r="H267" s="23"/>
      <c r="I267" s="27"/>
      <c r="J267" s="29"/>
      <c r="K267" s="129"/>
      <c r="L267" s="31"/>
      <c r="M267" s="31"/>
    </row>
    <row r="268">
      <c r="A268" s="17"/>
      <c r="B268" s="20"/>
      <c r="C268" s="21"/>
      <c r="D268" s="21"/>
      <c r="E268" s="23"/>
      <c r="F268" s="24"/>
      <c r="G268" s="27"/>
      <c r="H268" s="23"/>
      <c r="I268" s="27"/>
      <c r="J268" s="29"/>
      <c r="K268" s="129"/>
      <c r="L268" s="31"/>
      <c r="M268" s="31"/>
    </row>
    <row r="269">
      <c r="A269" s="17"/>
      <c r="B269" s="20"/>
      <c r="C269" s="21"/>
      <c r="D269" s="21"/>
      <c r="E269" s="23"/>
      <c r="F269" s="24"/>
      <c r="G269" s="27"/>
      <c r="H269" s="23"/>
      <c r="I269" s="27"/>
      <c r="J269" s="29"/>
      <c r="K269" s="129"/>
      <c r="L269" s="31"/>
      <c r="M269" s="31"/>
    </row>
    <row r="270">
      <c r="A270" s="17"/>
      <c r="B270" s="20"/>
      <c r="C270" s="21"/>
      <c r="D270" s="21"/>
      <c r="E270" s="23"/>
      <c r="F270" s="24"/>
      <c r="G270" s="27"/>
      <c r="H270" s="23"/>
      <c r="I270" s="27"/>
      <c r="J270" s="29"/>
      <c r="K270" s="129"/>
      <c r="L270" s="31"/>
      <c r="M270" s="31"/>
    </row>
    <row r="271">
      <c r="A271" s="17"/>
      <c r="B271" s="20"/>
      <c r="C271" s="21"/>
      <c r="D271" s="21"/>
      <c r="E271" s="23"/>
      <c r="F271" s="24"/>
      <c r="G271" s="27"/>
      <c r="H271" s="23"/>
      <c r="I271" s="27"/>
      <c r="J271" s="29"/>
      <c r="K271" s="129"/>
      <c r="L271" s="31"/>
      <c r="M271" s="31"/>
    </row>
    <row r="272">
      <c r="A272" s="17"/>
      <c r="B272" s="20"/>
      <c r="C272" s="21"/>
      <c r="D272" s="21"/>
      <c r="E272" s="23"/>
      <c r="F272" s="24"/>
      <c r="G272" s="27"/>
      <c r="H272" s="23"/>
      <c r="I272" s="27"/>
      <c r="J272" s="29"/>
      <c r="K272" s="129"/>
      <c r="L272" s="31"/>
      <c r="M272" s="31"/>
    </row>
    <row r="273">
      <c r="A273" s="17"/>
      <c r="B273" s="20"/>
      <c r="C273" s="21"/>
      <c r="D273" s="21"/>
      <c r="E273" s="23"/>
      <c r="F273" s="24"/>
      <c r="G273" s="27"/>
      <c r="H273" s="23"/>
      <c r="I273" s="27"/>
      <c r="J273" s="29"/>
      <c r="K273" s="129"/>
      <c r="L273" s="31"/>
      <c r="M273" s="31"/>
    </row>
    <row r="274">
      <c r="A274" s="17"/>
      <c r="B274" s="20"/>
      <c r="C274" s="21"/>
      <c r="D274" s="21"/>
      <c r="E274" s="23"/>
      <c r="F274" s="24"/>
      <c r="G274" s="27"/>
      <c r="H274" s="23"/>
      <c r="I274" s="27"/>
      <c r="J274" s="29"/>
      <c r="K274" s="129"/>
      <c r="L274" s="31"/>
      <c r="M274" s="31"/>
    </row>
    <row r="275">
      <c r="A275" s="17"/>
      <c r="B275" s="20"/>
      <c r="C275" s="21"/>
      <c r="D275" s="21"/>
      <c r="E275" s="23"/>
      <c r="F275" s="24"/>
      <c r="G275" s="27"/>
      <c r="H275" s="23"/>
      <c r="I275" s="27"/>
      <c r="J275" s="29"/>
      <c r="K275" s="129"/>
      <c r="L275" s="31"/>
      <c r="M275" s="31"/>
    </row>
    <row r="276">
      <c r="A276" s="17"/>
      <c r="B276" s="20"/>
      <c r="C276" s="21"/>
      <c r="D276" s="21"/>
      <c r="E276" s="23"/>
      <c r="F276" s="24"/>
      <c r="G276" s="27"/>
      <c r="H276" s="23"/>
      <c r="I276" s="27"/>
      <c r="J276" s="29"/>
      <c r="K276" s="129"/>
      <c r="L276" s="31"/>
      <c r="M276" s="31"/>
    </row>
    <row r="277">
      <c r="A277" s="17"/>
      <c r="B277" s="20"/>
      <c r="C277" s="21"/>
      <c r="D277" s="21"/>
      <c r="E277" s="23"/>
      <c r="F277" s="24"/>
      <c r="G277" s="27"/>
      <c r="H277" s="23"/>
      <c r="I277" s="27"/>
      <c r="J277" s="29"/>
      <c r="K277" s="129"/>
      <c r="L277" s="31"/>
      <c r="M277" s="31"/>
    </row>
    <row r="278">
      <c r="A278" s="17"/>
      <c r="B278" s="20"/>
      <c r="C278" s="21"/>
      <c r="D278" s="21"/>
      <c r="E278" s="23"/>
      <c r="F278" s="24"/>
      <c r="G278" s="27"/>
      <c r="H278" s="23"/>
      <c r="I278" s="27"/>
      <c r="J278" s="29"/>
      <c r="K278" s="129"/>
      <c r="L278" s="31"/>
      <c r="M278" s="31"/>
    </row>
    <row r="279">
      <c r="A279" s="17"/>
      <c r="B279" s="20"/>
      <c r="C279" s="21"/>
      <c r="D279" s="21"/>
      <c r="E279" s="23"/>
      <c r="F279" s="24"/>
      <c r="G279" s="27"/>
      <c r="H279" s="23"/>
      <c r="I279" s="27"/>
      <c r="J279" s="29"/>
      <c r="K279" s="129"/>
      <c r="L279" s="31"/>
      <c r="M279" s="31"/>
    </row>
    <row r="280">
      <c r="A280" s="17"/>
      <c r="B280" s="20"/>
      <c r="C280" s="21"/>
      <c r="D280" s="21"/>
      <c r="E280" s="23"/>
      <c r="F280" s="24"/>
      <c r="G280" s="27"/>
      <c r="H280" s="23"/>
      <c r="I280" s="27"/>
      <c r="J280" s="29"/>
      <c r="K280" s="129"/>
      <c r="L280" s="31"/>
      <c r="M280" s="31"/>
    </row>
    <row r="281">
      <c r="A281" s="17"/>
      <c r="B281" s="20"/>
      <c r="C281" s="21"/>
      <c r="D281" s="21"/>
      <c r="E281" s="23"/>
      <c r="F281" s="24"/>
      <c r="G281" s="27"/>
      <c r="H281" s="23"/>
      <c r="I281" s="27"/>
      <c r="J281" s="29"/>
      <c r="K281" s="129"/>
      <c r="L281" s="31"/>
      <c r="M281" s="31"/>
    </row>
    <row r="282">
      <c r="A282" s="17"/>
      <c r="B282" s="20"/>
      <c r="C282" s="21"/>
      <c r="D282" s="21"/>
      <c r="E282" s="23"/>
      <c r="F282" s="24"/>
      <c r="G282" s="27"/>
      <c r="H282" s="23"/>
      <c r="I282" s="27"/>
      <c r="J282" s="29"/>
      <c r="K282" s="129"/>
      <c r="L282" s="31"/>
      <c r="M282" s="31"/>
    </row>
    <row r="283">
      <c r="A283" s="17"/>
      <c r="B283" s="20"/>
      <c r="C283" s="21"/>
      <c r="D283" s="21"/>
      <c r="E283" s="23"/>
      <c r="F283" s="24"/>
      <c r="G283" s="27"/>
      <c r="H283" s="23"/>
      <c r="I283" s="27"/>
      <c r="J283" s="29"/>
      <c r="K283" s="129"/>
      <c r="L283" s="31"/>
      <c r="M283" s="31"/>
    </row>
    <row r="284">
      <c r="A284" s="17"/>
      <c r="B284" s="20"/>
      <c r="C284" s="21"/>
      <c r="D284" s="21"/>
      <c r="E284" s="23"/>
      <c r="F284" s="24"/>
      <c r="G284" s="27"/>
      <c r="H284" s="23"/>
      <c r="I284" s="27"/>
      <c r="J284" s="29"/>
      <c r="K284" s="129"/>
      <c r="L284" s="31"/>
      <c r="M284" s="31"/>
    </row>
    <row r="285">
      <c r="A285" s="17"/>
      <c r="B285" s="20"/>
      <c r="C285" s="21"/>
      <c r="D285" s="21"/>
      <c r="E285" s="23"/>
      <c r="F285" s="24"/>
      <c r="G285" s="27"/>
      <c r="H285" s="23"/>
      <c r="I285" s="27"/>
      <c r="J285" s="29"/>
      <c r="K285" s="129"/>
      <c r="L285" s="31"/>
      <c r="M285" s="31"/>
    </row>
    <row r="286">
      <c r="A286" s="17"/>
      <c r="B286" s="20"/>
      <c r="C286" s="21"/>
      <c r="D286" s="21"/>
      <c r="E286" s="23"/>
      <c r="F286" s="24"/>
      <c r="G286" s="27"/>
      <c r="H286" s="23"/>
      <c r="I286" s="27"/>
      <c r="J286" s="29"/>
      <c r="K286" s="129"/>
      <c r="L286" s="31"/>
      <c r="M286" s="31"/>
    </row>
    <row r="287">
      <c r="A287" s="17"/>
      <c r="B287" s="20"/>
      <c r="C287" s="21"/>
      <c r="D287" s="21"/>
      <c r="E287" s="23"/>
      <c r="F287" s="24"/>
      <c r="G287" s="27"/>
      <c r="H287" s="23"/>
      <c r="I287" s="27"/>
      <c r="J287" s="29"/>
      <c r="K287" s="129"/>
      <c r="L287" s="31"/>
      <c r="M287" s="31"/>
    </row>
    <row r="288">
      <c r="A288" s="17"/>
      <c r="B288" s="20"/>
      <c r="C288" s="21"/>
      <c r="D288" s="21"/>
      <c r="E288" s="23"/>
      <c r="F288" s="24"/>
      <c r="G288" s="27"/>
      <c r="H288" s="23"/>
      <c r="I288" s="27"/>
      <c r="J288" s="29"/>
      <c r="K288" s="129"/>
      <c r="L288" s="31"/>
      <c r="M288" s="31"/>
    </row>
    <row r="289">
      <c r="A289" s="17"/>
      <c r="B289" s="20"/>
      <c r="C289" s="21"/>
      <c r="D289" s="21"/>
      <c r="E289" s="23"/>
      <c r="F289" s="24"/>
      <c r="G289" s="27"/>
      <c r="H289" s="23"/>
      <c r="I289" s="27"/>
      <c r="J289" s="29"/>
      <c r="K289" s="129"/>
      <c r="L289" s="31"/>
      <c r="M289" s="31"/>
    </row>
    <row r="290">
      <c r="A290" s="17"/>
      <c r="B290" s="20"/>
      <c r="C290" s="21"/>
      <c r="D290" s="21"/>
      <c r="E290" s="23"/>
      <c r="F290" s="24"/>
      <c r="G290" s="27"/>
      <c r="H290" s="23"/>
      <c r="I290" s="27"/>
      <c r="J290" s="29"/>
      <c r="K290" s="129"/>
      <c r="L290" s="31"/>
      <c r="M290" s="31"/>
    </row>
    <row r="291">
      <c r="A291" s="17"/>
      <c r="B291" s="20"/>
      <c r="C291" s="21"/>
      <c r="D291" s="21"/>
      <c r="E291" s="23"/>
      <c r="F291" s="24"/>
      <c r="G291" s="27"/>
      <c r="H291" s="23"/>
      <c r="I291" s="27"/>
      <c r="J291" s="29"/>
      <c r="K291" s="129"/>
      <c r="L291" s="31"/>
      <c r="M291" s="31"/>
    </row>
    <row r="292">
      <c r="A292" s="17"/>
      <c r="B292" s="20"/>
      <c r="C292" s="21"/>
      <c r="D292" s="21"/>
      <c r="E292" s="23"/>
      <c r="F292" s="24"/>
      <c r="G292" s="27"/>
      <c r="H292" s="23"/>
      <c r="I292" s="27"/>
      <c r="J292" s="29"/>
      <c r="K292" s="129"/>
      <c r="L292" s="31"/>
      <c r="M292" s="31"/>
    </row>
    <row r="293">
      <c r="A293" s="17"/>
      <c r="B293" s="20"/>
      <c r="C293" s="21"/>
      <c r="D293" s="21"/>
      <c r="E293" s="23"/>
      <c r="F293" s="24"/>
      <c r="G293" s="27"/>
      <c r="H293" s="23"/>
      <c r="I293" s="27"/>
      <c r="J293" s="29"/>
      <c r="K293" s="129"/>
      <c r="L293" s="31"/>
      <c r="M293" s="31"/>
    </row>
    <row r="294">
      <c r="A294" s="17"/>
      <c r="B294" s="20"/>
      <c r="C294" s="21"/>
      <c r="D294" s="21"/>
      <c r="E294" s="23"/>
      <c r="F294" s="24"/>
      <c r="G294" s="27"/>
      <c r="H294" s="23"/>
      <c r="I294" s="27"/>
      <c r="J294" s="29"/>
      <c r="K294" s="129"/>
      <c r="L294" s="31"/>
      <c r="M294" s="31"/>
    </row>
    <row r="295">
      <c r="A295" s="17"/>
      <c r="B295" s="20"/>
      <c r="C295" s="21"/>
      <c r="D295" s="21"/>
      <c r="E295" s="23"/>
      <c r="F295" s="24"/>
      <c r="G295" s="27"/>
      <c r="H295" s="23"/>
      <c r="I295" s="27"/>
      <c r="J295" s="29"/>
      <c r="K295" s="129"/>
      <c r="L295" s="31"/>
      <c r="M295" s="31"/>
    </row>
    <row r="296">
      <c r="A296" s="17"/>
      <c r="B296" s="20"/>
      <c r="C296" s="21"/>
      <c r="D296" s="21"/>
      <c r="E296" s="23"/>
      <c r="F296" s="24"/>
      <c r="G296" s="27"/>
      <c r="H296" s="23"/>
      <c r="I296" s="27"/>
      <c r="J296" s="29"/>
      <c r="K296" s="129"/>
      <c r="L296" s="31"/>
      <c r="M296" s="31"/>
    </row>
    <row r="297">
      <c r="A297" s="17"/>
      <c r="B297" s="20"/>
      <c r="C297" s="21"/>
      <c r="D297" s="21"/>
      <c r="E297" s="23"/>
      <c r="F297" s="24"/>
      <c r="G297" s="27"/>
      <c r="H297" s="23"/>
      <c r="I297" s="27"/>
      <c r="J297" s="29"/>
      <c r="K297" s="129"/>
      <c r="L297" s="31"/>
      <c r="M297" s="31"/>
    </row>
    <row r="298">
      <c r="A298" s="17"/>
      <c r="B298" s="20"/>
      <c r="C298" s="21"/>
      <c r="D298" s="21"/>
      <c r="E298" s="23"/>
      <c r="F298" s="24"/>
      <c r="G298" s="27"/>
      <c r="H298" s="23"/>
      <c r="I298" s="27"/>
      <c r="J298" s="29"/>
      <c r="K298" s="129"/>
      <c r="L298" s="31"/>
      <c r="M298" s="31"/>
    </row>
    <row r="299" ht="13.5" customHeight="1">
      <c r="A299" s="17"/>
      <c r="B299" s="20"/>
      <c r="C299" s="21"/>
      <c r="D299" s="21"/>
      <c r="E299" s="23"/>
      <c r="F299" s="24"/>
      <c r="G299" s="27"/>
      <c r="H299" s="23"/>
      <c r="I299" s="27"/>
      <c r="J299" s="29"/>
      <c r="K299" s="129"/>
      <c r="L299" s="31"/>
      <c r="M299" s="31"/>
    </row>
    <row r="300">
      <c r="A300" s="17"/>
      <c r="B300" s="20"/>
      <c r="C300" s="21"/>
      <c r="D300" s="21"/>
      <c r="E300" s="23"/>
      <c r="F300" s="24"/>
      <c r="G300" s="27"/>
      <c r="H300" s="23"/>
      <c r="I300" s="27"/>
      <c r="J300" s="29"/>
      <c r="K300" s="129"/>
      <c r="L300" s="31"/>
      <c r="M300" s="31"/>
    </row>
    <row r="301">
      <c r="A301" s="17"/>
      <c r="B301" s="20"/>
      <c r="C301" s="21"/>
      <c r="D301" s="21"/>
      <c r="E301" s="23"/>
      <c r="F301" s="24"/>
      <c r="G301" s="27"/>
      <c r="H301" s="23"/>
      <c r="I301" s="27"/>
      <c r="J301" s="29"/>
      <c r="K301" s="129"/>
      <c r="L301" s="31"/>
      <c r="M301" s="31"/>
    </row>
    <row r="302">
      <c r="A302" s="17"/>
      <c r="B302" s="20"/>
      <c r="C302" s="21"/>
      <c r="D302" s="21"/>
      <c r="E302" s="23"/>
      <c r="F302" s="24"/>
      <c r="G302" s="27"/>
      <c r="H302" s="23"/>
      <c r="I302" s="27"/>
      <c r="J302" s="29"/>
      <c r="K302" s="129"/>
      <c r="L302" s="31"/>
      <c r="M302" s="31"/>
    </row>
    <row r="303">
      <c r="A303" s="17"/>
      <c r="B303" s="20"/>
      <c r="C303" s="21"/>
      <c r="D303" s="21"/>
      <c r="E303" s="23"/>
      <c r="F303" s="24"/>
      <c r="G303" s="27"/>
      <c r="H303" s="23"/>
      <c r="I303" s="27"/>
      <c r="J303" s="29"/>
      <c r="K303" s="129"/>
      <c r="L303" s="31"/>
      <c r="M303" s="31"/>
    </row>
    <row r="304">
      <c r="A304" s="17"/>
      <c r="B304" s="20"/>
      <c r="C304" s="21"/>
      <c r="D304" s="21"/>
      <c r="E304" s="23"/>
      <c r="F304" s="24"/>
      <c r="G304" s="27"/>
      <c r="H304" s="23"/>
      <c r="I304" s="27"/>
      <c r="J304" s="29"/>
      <c r="K304" s="129"/>
      <c r="L304" s="31"/>
      <c r="M304" s="31"/>
    </row>
    <row r="305">
      <c r="A305" s="17"/>
      <c r="B305" s="20"/>
      <c r="C305" s="21"/>
      <c r="D305" s="21"/>
      <c r="E305" s="23"/>
      <c r="F305" s="24"/>
      <c r="G305" s="27"/>
      <c r="H305" s="23"/>
      <c r="I305" s="27"/>
      <c r="J305" s="29"/>
      <c r="K305" s="129"/>
      <c r="L305" s="31"/>
      <c r="M305" s="31"/>
    </row>
    <row r="306">
      <c r="A306" s="17"/>
      <c r="B306" s="20"/>
      <c r="C306" s="21"/>
      <c r="D306" s="21"/>
      <c r="E306" s="23"/>
      <c r="F306" s="24"/>
      <c r="G306" s="27"/>
      <c r="H306" s="23"/>
      <c r="I306" s="27"/>
      <c r="J306" s="29"/>
      <c r="K306" s="129"/>
      <c r="L306" s="31"/>
      <c r="M306" s="31"/>
    </row>
    <row r="307">
      <c r="A307" s="17"/>
      <c r="B307" s="20"/>
      <c r="C307" s="21"/>
      <c r="D307" s="21"/>
      <c r="E307" s="23"/>
      <c r="F307" s="24"/>
      <c r="G307" s="27"/>
      <c r="H307" s="23"/>
      <c r="I307" s="27"/>
      <c r="J307" s="29"/>
      <c r="K307" s="129"/>
      <c r="L307" s="31"/>
      <c r="M307" s="31"/>
    </row>
    <row r="308">
      <c r="A308" s="17"/>
      <c r="B308" s="20"/>
      <c r="C308" s="21"/>
      <c r="D308" s="21"/>
      <c r="E308" s="23"/>
      <c r="F308" s="24"/>
      <c r="G308" s="27"/>
      <c r="H308" s="23"/>
      <c r="I308" s="27"/>
      <c r="J308" s="29"/>
      <c r="K308" s="129"/>
      <c r="L308" s="31"/>
      <c r="M308" s="31"/>
    </row>
    <row r="309">
      <c r="A309" s="17"/>
      <c r="B309" s="20"/>
      <c r="C309" s="21"/>
      <c r="D309" s="21"/>
      <c r="E309" s="23"/>
      <c r="F309" s="24"/>
      <c r="G309" s="27"/>
      <c r="H309" s="23"/>
      <c r="I309" s="27"/>
      <c r="J309" s="29"/>
      <c r="K309" s="129"/>
      <c r="L309" s="31"/>
      <c r="M309" s="31"/>
    </row>
    <row r="310">
      <c r="A310" s="17"/>
      <c r="B310" s="20"/>
      <c r="C310" s="21"/>
      <c r="D310" s="21"/>
      <c r="E310" s="23"/>
      <c r="F310" s="24"/>
      <c r="G310" s="27"/>
      <c r="H310" s="23"/>
      <c r="I310" s="27"/>
      <c r="J310" s="29"/>
      <c r="K310" s="129"/>
      <c r="L310" s="31"/>
      <c r="M310" s="31"/>
    </row>
    <row r="311">
      <c r="A311" s="17"/>
      <c r="B311" s="20"/>
      <c r="C311" s="21"/>
      <c r="D311" s="21"/>
      <c r="E311" s="23"/>
      <c r="F311" s="24"/>
      <c r="G311" s="27"/>
      <c r="H311" s="23"/>
      <c r="I311" s="27"/>
      <c r="J311" s="29"/>
      <c r="K311" s="129"/>
      <c r="L311" s="31"/>
      <c r="M311" s="31"/>
    </row>
    <row r="312">
      <c r="A312" s="17"/>
      <c r="B312" s="20"/>
      <c r="C312" s="21"/>
      <c r="D312" s="21"/>
      <c r="E312" s="23"/>
      <c r="F312" s="24"/>
      <c r="G312" s="27"/>
      <c r="H312" s="23"/>
      <c r="I312" s="27"/>
      <c r="J312" s="29"/>
      <c r="K312" s="129"/>
      <c r="L312" s="31"/>
      <c r="M312" s="31"/>
    </row>
    <row r="313">
      <c r="A313" s="17"/>
      <c r="B313" s="20"/>
      <c r="C313" s="21"/>
      <c r="D313" s="21"/>
      <c r="E313" s="23"/>
      <c r="F313" s="24"/>
      <c r="G313" s="27"/>
      <c r="H313" s="23"/>
      <c r="I313" s="27"/>
      <c r="J313" s="29"/>
      <c r="K313" s="129"/>
      <c r="L313" s="31"/>
      <c r="M313" s="31"/>
    </row>
    <row r="314">
      <c r="A314" s="17"/>
      <c r="B314" s="20"/>
      <c r="C314" s="21"/>
      <c r="D314" s="21"/>
      <c r="E314" s="23"/>
      <c r="F314" s="24"/>
      <c r="G314" s="27"/>
      <c r="H314" s="23"/>
      <c r="I314" s="27"/>
      <c r="J314" s="29"/>
      <c r="K314" s="129"/>
      <c r="L314" s="31"/>
      <c r="M314" s="31"/>
    </row>
    <row r="315">
      <c r="A315" s="17"/>
      <c r="B315" s="20"/>
      <c r="C315" s="21"/>
      <c r="D315" s="21"/>
      <c r="E315" s="23"/>
      <c r="F315" s="24"/>
      <c r="G315" s="27"/>
      <c r="H315" s="23"/>
      <c r="I315" s="27"/>
      <c r="J315" s="29"/>
      <c r="K315" s="129"/>
      <c r="L315" s="31"/>
      <c r="M315" s="31"/>
    </row>
    <row r="316">
      <c r="A316" s="17"/>
      <c r="B316" s="20"/>
      <c r="C316" s="21"/>
      <c r="D316" s="21"/>
      <c r="E316" s="23"/>
      <c r="F316" s="24"/>
      <c r="G316" s="27"/>
      <c r="H316" s="23"/>
      <c r="I316" s="27"/>
      <c r="J316" s="29"/>
      <c r="K316" s="129"/>
      <c r="L316" s="31"/>
      <c r="M316" s="31"/>
    </row>
    <row r="317">
      <c r="A317" s="17"/>
      <c r="B317" s="20"/>
      <c r="C317" s="21"/>
      <c r="D317" s="21"/>
      <c r="E317" s="23"/>
      <c r="F317" s="24"/>
      <c r="G317" s="27"/>
      <c r="H317" s="23"/>
      <c r="I317" s="27"/>
      <c r="J317" s="29"/>
      <c r="K317" s="129"/>
      <c r="L317" s="31"/>
      <c r="M317" s="31"/>
    </row>
    <row r="318">
      <c r="A318" s="17"/>
      <c r="B318" s="20"/>
      <c r="C318" s="21"/>
      <c r="D318" s="21"/>
      <c r="E318" s="23"/>
      <c r="F318" s="24"/>
      <c r="G318" s="27"/>
      <c r="H318" s="23"/>
      <c r="I318" s="27"/>
      <c r="J318" s="29"/>
      <c r="K318" s="129"/>
      <c r="L318" s="31"/>
      <c r="M318" s="31"/>
    </row>
    <row r="319">
      <c r="A319" s="17"/>
      <c r="B319" s="20"/>
      <c r="C319" s="21"/>
      <c r="D319" s="21"/>
      <c r="E319" s="23"/>
      <c r="F319" s="24"/>
      <c r="G319" s="27"/>
      <c r="H319" s="23"/>
      <c r="I319" s="27"/>
      <c r="J319" s="29"/>
      <c r="K319" s="129"/>
      <c r="L319" s="31"/>
      <c r="M319" s="31"/>
    </row>
    <row r="320">
      <c r="A320" s="17"/>
      <c r="B320" s="20"/>
      <c r="C320" s="21"/>
      <c r="D320" s="21"/>
      <c r="E320" s="23"/>
      <c r="F320" s="24"/>
      <c r="G320" s="27"/>
      <c r="H320" s="23"/>
      <c r="I320" s="27"/>
      <c r="J320" s="29"/>
      <c r="K320" s="129"/>
      <c r="L320" s="31"/>
      <c r="M320" s="31"/>
    </row>
    <row r="321">
      <c r="A321" s="17"/>
      <c r="B321" s="20"/>
      <c r="C321" s="21"/>
      <c r="D321" s="21"/>
      <c r="E321" s="23"/>
      <c r="F321" s="24"/>
      <c r="G321" s="27"/>
      <c r="H321" s="23"/>
      <c r="I321" s="27"/>
      <c r="J321" s="29"/>
      <c r="K321" s="129"/>
      <c r="L321" s="31"/>
      <c r="M321" s="31"/>
    </row>
    <row r="322">
      <c r="A322" s="17"/>
      <c r="B322" s="20"/>
      <c r="C322" s="21"/>
      <c r="D322" s="21"/>
      <c r="E322" s="23"/>
      <c r="F322" s="24"/>
      <c r="G322" s="27"/>
      <c r="H322" s="23"/>
      <c r="I322" s="27"/>
      <c r="J322" s="29"/>
      <c r="K322" s="129"/>
      <c r="L322" s="31"/>
      <c r="M322" s="31"/>
    </row>
    <row r="323">
      <c r="A323" s="17"/>
      <c r="B323" s="20"/>
      <c r="C323" s="21"/>
      <c r="D323" s="21"/>
      <c r="E323" s="23"/>
      <c r="F323" s="24"/>
      <c r="G323" s="27"/>
      <c r="H323" s="23"/>
      <c r="I323" s="27"/>
      <c r="J323" s="29"/>
      <c r="K323" s="129"/>
      <c r="L323" s="31"/>
      <c r="M323" s="31"/>
    </row>
    <row r="324">
      <c r="A324" s="17"/>
      <c r="B324" s="20"/>
      <c r="C324" s="21"/>
      <c r="D324" s="21"/>
      <c r="E324" s="23"/>
      <c r="F324" s="24"/>
      <c r="G324" s="27"/>
      <c r="H324" s="23"/>
      <c r="I324" s="27"/>
      <c r="J324" s="29"/>
      <c r="K324" s="129"/>
      <c r="L324" s="31"/>
      <c r="M324" s="31"/>
    </row>
    <row r="325">
      <c r="A325" s="17"/>
      <c r="B325" s="20"/>
      <c r="C325" s="21"/>
      <c r="D325" s="21"/>
      <c r="E325" s="23"/>
      <c r="F325" s="24"/>
      <c r="G325" s="27"/>
      <c r="H325" s="23"/>
      <c r="I325" s="27"/>
      <c r="J325" s="29"/>
      <c r="K325" s="129"/>
      <c r="L325" s="31"/>
      <c r="M325" s="31"/>
    </row>
    <row r="326">
      <c r="A326" s="17"/>
      <c r="B326" s="20"/>
      <c r="C326" s="21"/>
      <c r="D326" s="21"/>
      <c r="E326" s="23"/>
      <c r="F326" s="24"/>
      <c r="G326" s="27"/>
      <c r="H326" s="23"/>
      <c r="I326" s="27"/>
      <c r="J326" s="29"/>
      <c r="K326" s="129"/>
      <c r="L326" s="31"/>
      <c r="M326" s="31"/>
    </row>
    <row r="327">
      <c r="A327" s="17"/>
      <c r="B327" s="20"/>
      <c r="C327" s="21"/>
      <c r="D327" s="21"/>
      <c r="E327" s="23"/>
      <c r="F327" s="24"/>
      <c r="G327" s="27"/>
      <c r="H327" s="23"/>
      <c r="I327" s="27"/>
      <c r="J327" s="29"/>
      <c r="K327" s="129"/>
      <c r="L327" s="31"/>
      <c r="M327" s="31"/>
    </row>
    <row r="328">
      <c r="A328" s="17"/>
      <c r="B328" s="20"/>
      <c r="C328" s="21"/>
      <c r="D328" s="21"/>
      <c r="E328" s="23"/>
      <c r="F328" s="24"/>
      <c r="G328" s="27"/>
      <c r="H328" s="23"/>
      <c r="I328" s="27"/>
      <c r="J328" s="29"/>
      <c r="K328" s="129"/>
      <c r="L328" s="31"/>
      <c r="M328" s="31"/>
    </row>
    <row r="329">
      <c r="A329" s="17"/>
      <c r="B329" s="20"/>
      <c r="C329" s="21"/>
      <c r="D329" s="21"/>
      <c r="E329" s="23"/>
      <c r="F329" s="24"/>
      <c r="G329" s="27"/>
      <c r="H329" s="23"/>
      <c r="I329" s="27"/>
      <c r="J329" s="29"/>
      <c r="K329" s="129"/>
      <c r="L329" s="31"/>
      <c r="M329" s="31"/>
    </row>
    <row r="330">
      <c r="A330" s="17"/>
      <c r="B330" s="20"/>
      <c r="C330" s="21"/>
      <c r="D330" s="21"/>
      <c r="E330" s="23"/>
      <c r="F330" s="24"/>
      <c r="G330" s="27"/>
      <c r="H330" s="23"/>
      <c r="I330" s="27"/>
      <c r="J330" s="29"/>
      <c r="K330" s="129"/>
      <c r="L330" s="31"/>
      <c r="M330" s="31"/>
    </row>
    <row r="331">
      <c r="A331" s="17"/>
      <c r="B331" s="20"/>
      <c r="C331" s="21"/>
      <c r="D331" s="21"/>
      <c r="E331" s="23"/>
      <c r="F331" s="24"/>
      <c r="G331" s="27"/>
      <c r="H331" s="23"/>
      <c r="I331" s="27"/>
      <c r="J331" s="29"/>
      <c r="K331" s="129"/>
      <c r="L331" s="31"/>
      <c r="M331" s="31"/>
    </row>
    <row r="332">
      <c r="A332" s="17"/>
      <c r="B332" s="20"/>
      <c r="C332" s="21"/>
      <c r="D332" s="21"/>
      <c r="E332" s="23"/>
      <c r="F332" s="24"/>
      <c r="G332" s="27"/>
      <c r="H332" s="23"/>
      <c r="I332" s="27"/>
      <c r="J332" s="29"/>
      <c r="K332" s="129"/>
      <c r="L332" s="31"/>
      <c r="M332" s="31"/>
    </row>
    <row r="333">
      <c r="A333" s="17"/>
      <c r="B333" s="20"/>
      <c r="C333" s="21"/>
      <c r="D333" s="21"/>
      <c r="E333" s="23"/>
      <c r="F333" s="24"/>
      <c r="G333" s="27"/>
      <c r="H333" s="23"/>
      <c r="I333" s="27"/>
      <c r="J333" s="29"/>
      <c r="K333" s="129"/>
      <c r="L333" s="31"/>
      <c r="M333" s="31"/>
    </row>
    <row r="334">
      <c r="A334" s="17"/>
      <c r="B334" s="20"/>
      <c r="C334" s="21"/>
      <c r="D334" s="21"/>
      <c r="E334" s="23"/>
      <c r="F334" s="24"/>
      <c r="G334" s="27"/>
      <c r="H334" s="23"/>
      <c r="I334" s="27"/>
      <c r="J334" s="29"/>
      <c r="K334" s="129"/>
      <c r="L334" s="31"/>
      <c r="M334" s="31"/>
    </row>
    <row r="335">
      <c r="A335" s="17"/>
      <c r="B335" s="20"/>
      <c r="C335" s="21"/>
      <c r="D335" s="21"/>
      <c r="E335" s="23"/>
      <c r="F335" s="24"/>
      <c r="G335" s="27"/>
      <c r="H335" s="23"/>
      <c r="I335" s="27"/>
      <c r="J335" s="29"/>
      <c r="K335" s="129"/>
      <c r="L335" s="31"/>
      <c r="M335" s="31"/>
    </row>
    <row r="336">
      <c r="A336" s="17"/>
      <c r="B336" s="20"/>
      <c r="C336" s="21"/>
      <c r="D336" s="21"/>
      <c r="E336" s="23"/>
      <c r="F336" s="24"/>
      <c r="G336" s="27"/>
      <c r="H336" s="23"/>
      <c r="I336" s="27"/>
      <c r="J336" s="29"/>
      <c r="K336" s="129"/>
      <c r="L336" s="31"/>
      <c r="M336" s="31"/>
    </row>
    <row r="337">
      <c r="A337" s="17"/>
      <c r="B337" s="20"/>
      <c r="C337" s="21"/>
      <c r="D337" s="21"/>
      <c r="E337" s="23"/>
      <c r="F337" s="24"/>
      <c r="G337" s="27"/>
      <c r="H337" s="23"/>
      <c r="I337" s="27"/>
      <c r="J337" s="29"/>
      <c r="K337" s="129"/>
      <c r="L337" s="31"/>
      <c r="M337" s="31"/>
    </row>
    <row r="338">
      <c r="A338" s="17"/>
      <c r="B338" s="20"/>
      <c r="C338" s="21"/>
      <c r="D338" s="21"/>
      <c r="E338" s="23"/>
      <c r="F338" s="24"/>
      <c r="G338" s="27"/>
      <c r="H338" s="23"/>
      <c r="I338" s="27"/>
      <c r="J338" s="29"/>
      <c r="K338" s="129"/>
      <c r="L338" s="31"/>
      <c r="M338" s="31"/>
    </row>
    <row r="339">
      <c r="A339" s="17"/>
      <c r="B339" s="20"/>
      <c r="C339" s="21"/>
      <c r="D339" s="21"/>
      <c r="E339" s="23"/>
      <c r="F339" s="24"/>
      <c r="G339" s="27"/>
      <c r="H339" s="23"/>
      <c r="I339" s="27"/>
      <c r="J339" s="29"/>
      <c r="K339" s="129"/>
      <c r="L339" s="31"/>
      <c r="M339" s="31"/>
    </row>
    <row r="340">
      <c r="A340" s="17"/>
      <c r="B340" s="20"/>
      <c r="C340" s="21"/>
      <c r="D340" s="21"/>
      <c r="E340" s="23"/>
      <c r="F340" s="24"/>
      <c r="G340" s="27"/>
      <c r="H340" s="23"/>
      <c r="I340" s="27"/>
      <c r="J340" s="29"/>
      <c r="K340" s="129"/>
      <c r="L340" s="31"/>
      <c r="M340" s="31"/>
    </row>
    <row r="341">
      <c r="A341" s="17"/>
      <c r="B341" s="20"/>
      <c r="C341" s="21"/>
      <c r="D341" s="21"/>
      <c r="E341" s="23"/>
      <c r="F341" s="24"/>
      <c r="G341" s="27"/>
      <c r="H341" s="23"/>
      <c r="I341" s="27"/>
      <c r="J341" s="29"/>
      <c r="K341" s="129"/>
      <c r="L341" s="31"/>
      <c r="M341" s="31"/>
    </row>
    <row r="342">
      <c r="A342" s="17"/>
      <c r="B342" s="20"/>
      <c r="C342" s="21"/>
      <c r="D342" s="21"/>
      <c r="E342" s="23"/>
      <c r="F342" s="24"/>
      <c r="G342" s="27"/>
      <c r="H342" s="23"/>
      <c r="I342" s="27"/>
      <c r="J342" s="29"/>
      <c r="K342" s="129"/>
      <c r="L342" s="31"/>
      <c r="M342" s="31"/>
    </row>
    <row r="343">
      <c r="A343" s="17"/>
      <c r="B343" s="20"/>
      <c r="C343" s="21"/>
      <c r="D343" s="21"/>
      <c r="E343" s="23"/>
      <c r="F343" s="24"/>
      <c r="G343" s="27"/>
      <c r="H343" s="23"/>
      <c r="I343" s="27"/>
      <c r="J343" s="29"/>
      <c r="K343" s="129"/>
      <c r="L343" s="31"/>
      <c r="M343" s="31"/>
    </row>
    <row r="344">
      <c r="A344" s="17"/>
      <c r="B344" s="20"/>
      <c r="C344" s="21"/>
      <c r="D344" s="21"/>
      <c r="E344" s="23"/>
      <c r="F344" s="24"/>
      <c r="G344" s="27"/>
      <c r="H344" s="23"/>
      <c r="I344" s="27"/>
      <c r="J344" s="29"/>
      <c r="K344" s="129"/>
      <c r="L344" s="31"/>
      <c r="M344" s="31"/>
    </row>
    <row r="345">
      <c r="A345" s="17"/>
      <c r="B345" s="20"/>
      <c r="C345" s="21"/>
      <c r="D345" s="21"/>
      <c r="E345" s="23"/>
      <c r="F345" s="24"/>
      <c r="G345" s="27"/>
      <c r="H345" s="23"/>
      <c r="I345" s="27"/>
      <c r="J345" s="29"/>
      <c r="K345" s="129"/>
      <c r="L345" s="31"/>
      <c r="M345" s="31"/>
    </row>
    <row r="346">
      <c r="A346" s="17"/>
      <c r="B346" s="20"/>
      <c r="C346" s="21"/>
      <c r="D346" s="21"/>
      <c r="E346" s="23"/>
      <c r="F346" s="24"/>
      <c r="G346" s="27"/>
      <c r="H346" s="23"/>
      <c r="I346" s="27"/>
      <c r="J346" s="29"/>
      <c r="K346" s="129"/>
      <c r="L346" s="31"/>
      <c r="M346" s="31"/>
    </row>
    <row r="347">
      <c r="A347" s="17"/>
      <c r="B347" s="20"/>
      <c r="C347" s="21"/>
      <c r="D347" s="21"/>
      <c r="E347" s="23"/>
      <c r="F347" s="24"/>
      <c r="G347" s="27"/>
      <c r="H347" s="23"/>
      <c r="I347" s="27"/>
      <c r="J347" s="29"/>
      <c r="K347" s="129"/>
      <c r="L347" s="31"/>
      <c r="M347" s="31"/>
    </row>
    <row r="348">
      <c r="A348" s="17"/>
      <c r="B348" s="20"/>
      <c r="C348" s="21"/>
      <c r="D348" s="21"/>
      <c r="E348" s="23"/>
      <c r="F348" s="24"/>
      <c r="G348" s="27"/>
      <c r="H348" s="23"/>
      <c r="I348" s="27"/>
      <c r="J348" s="29"/>
      <c r="K348" s="129"/>
      <c r="L348" s="31"/>
      <c r="M348" s="31"/>
    </row>
    <row r="349">
      <c r="A349" s="17"/>
      <c r="B349" s="20"/>
      <c r="C349" s="21"/>
      <c r="D349" s="21"/>
      <c r="E349" s="23"/>
      <c r="F349" s="24"/>
      <c r="G349" s="27"/>
      <c r="H349" s="23"/>
      <c r="I349" s="27"/>
      <c r="J349" s="29"/>
      <c r="K349" s="129"/>
      <c r="L349" s="31"/>
      <c r="M349" s="31"/>
    </row>
    <row r="350">
      <c r="A350" s="17"/>
      <c r="B350" s="20"/>
      <c r="C350" s="21"/>
      <c r="D350" s="21"/>
      <c r="E350" s="23"/>
      <c r="F350" s="24"/>
      <c r="G350" s="27"/>
      <c r="H350" s="23"/>
      <c r="I350" s="27"/>
      <c r="J350" s="29"/>
      <c r="K350" s="129"/>
      <c r="L350" s="31"/>
      <c r="M350" s="31"/>
    </row>
    <row r="351">
      <c r="A351" s="17"/>
      <c r="B351" s="20"/>
      <c r="C351" s="21"/>
      <c r="D351" s="21"/>
      <c r="E351" s="23"/>
      <c r="F351" s="24"/>
      <c r="G351" s="27"/>
      <c r="H351" s="23"/>
      <c r="I351" s="27"/>
      <c r="J351" s="29"/>
      <c r="K351" s="129"/>
      <c r="L351" s="31"/>
      <c r="M351" s="31"/>
    </row>
    <row r="352">
      <c r="A352" s="17"/>
      <c r="B352" s="20"/>
      <c r="C352" s="21"/>
      <c r="D352" s="21"/>
      <c r="E352" s="23"/>
      <c r="F352" s="24"/>
      <c r="G352" s="27"/>
      <c r="H352" s="23"/>
      <c r="I352" s="27"/>
      <c r="J352" s="29"/>
      <c r="K352" s="129"/>
      <c r="L352" s="31"/>
      <c r="M352" s="31"/>
    </row>
    <row r="353">
      <c r="A353" s="17"/>
      <c r="B353" s="20"/>
      <c r="C353" s="21"/>
      <c r="D353" s="21"/>
      <c r="E353" s="23"/>
      <c r="F353" s="24"/>
      <c r="G353" s="27"/>
      <c r="H353" s="23"/>
      <c r="I353" s="27"/>
      <c r="J353" s="29"/>
      <c r="K353" s="129"/>
      <c r="L353" s="31"/>
      <c r="M353" s="31"/>
    </row>
    <row r="354">
      <c r="A354" s="17"/>
      <c r="B354" s="20"/>
      <c r="C354" s="21"/>
      <c r="D354" s="21"/>
      <c r="E354" s="23"/>
      <c r="F354" s="24"/>
      <c r="G354" s="27"/>
      <c r="H354" s="23"/>
      <c r="I354" s="27"/>
      <c r="J354" s="29"/>
      <c r="K354" s="129"/>
      <c r="L354" s="31"/>
      <c r="M354" s="31"/>
    </row>
    <row r="355">
      <c r="A355" s="17"/>
      <c r="B355" s="20"/>
      <c r="C355" s="21"/>
      <c r="D355" s="21"/>
      <c r="E355" s="23"/>
      <c r="F355" s="24"/>
      <c r="G355" s="27"/>
      <c r="H355" s="23"/>
      <c r="I355" s="27"/>
      <c r="J355" s="29"/>
      <c r="K355" s="129"/>
      <c r="L355" s="31"/>
      <c r="M355" s="31"/>
    </row>
    <row r="356">
      <c r="A356" s="17"/>
      <c r="B356" s="20"/>
      <c r="C356" s="21"/>
      <c r="D356" s="21"/>
      <c r="E356" s="23"/>
      <c r="F356" s="24"/>
      <c r="G356" s="27"/>
      <c r="H356" s="23"/>
      <c r="I356" s="27"/>
      <c r="J356" s="29"/>
      <c r="K356" s="129"/>
      <c r="L356" s="31"/>
      <c r="M356" s="31"/>
    </row>
    <row r="357">
      <c r="A357" s="17"/>
      <c r="B357" s="20"/>
      <c r="C357" s="21"/>
      <c r="D357" s="21"/>
      <c r="E357" s="23"/>
      <c r="F357" s="24"/>
      <c r="G357" s="27"/>
      <c r="H357" s="23"/>
      <c r="I357" s="27"/>
      <c r="J357" s="29"/>
      <c r="K357" s="129"/>
      <c r="L357" s="31"/>
      <c r="M357" s="31"/>
    </row>
    <row r="358">
      <c r="A358" s="17"/>
      <c r="B358" s="20"/>
      <c r="C358" s="21"/>
      <c r="D358" s="21"/>
      <c r="E358" s="23"/>
      <c r="F358" s="24"/>
      <c r="G358" s="27"/>
      <c r="H358" s="23"/>
      <c r="I358" s="27"/>
      <c r="J358" s="29"/>
      <c r="K358" s="129"/>
      <c r="L358" s="31"/>
      <c r="M358" s="31"/>
    </row>
    <row r="359">
      <c r="A359" s="17"/>
      <c r="B359" s="20"/>
      <c r="C359" s="21"/>
      <c r="D359" s="21"/>
      <c r="E359" s="23"/>
      <c r="F359" s="24"/>
      <c r="G359" s="27"/>
      <c r="H359" s="23"/>
      <c r="I359" s="27"/>
      <c r="J359" s="29"/>
      <c r="K359" s="129"/>
      <c r="L359" s="31"/>
      <c r="M359" s="31"/>
    </row>
    <row r="360">
      <c r="A360" s="17"/>
      <c r="B360" s="20"/>
      <c r="C360" s="21"/>
      <c r="D360" s="21"/>
      <c r="E360" s="23"/>
      <c r="F360" s="24"/>
      <c r="G360" s="27"/>
      <c r="H360" s="23"/>
      <c r="I360" s="27"/>
      <c r="J360" s="29"/>
      <c r="K360" s="129"/>
      <c r="L360" s="31"/>
      <c r="M360" s="31"/>
    </row>
    <row r="361">
      <c r="A361" s="17"/>
      <c r="B361" s="20"/>
      <c r="C361" s="21"/>
      <c r="D361" s="21"/>
      <c r="E361" s="23"/>
      <c r="F361" s="24"/>
      <c r="G361" s="27"/>
      <c r="H361" s="23"/>
      <c r="I361" s="27"/>
      <c r="J361" s="29"/>
      <c r="K361" s="129"/>
      <c r="L361" s="31"/>
      <c r="M361" s="31"/>
    </row>
    <row r="362">
      <c r="A362" s="17"/>
      <c r="B362" s="20"/>
      <c r="C362" s="21"/>
      <c r="D362" s="21"/>
      <c r="E362" s="23"/>
      <c r="F362" s="24"/>
      <c r="G362" s="27"/>
      <c r="H362" s="23"/>
      <c r="I362" s="27"/>
      <c r="J362" s="29"/>
      <c r="K362" s="129"/>
      <c r="L362" s="31"/>
      <c r="M362" s="31"/>
    </row>
    <row r="363">
      <c r="A363" s="17"/>
      <c r="B363" s="20"/>
      <c r="C363" s="21"/>
      <c r="D363" s="21"/>
      <c r="E363" s="23"/>
      <c r="F363" s="24"/>
      <c r="G363" s="27"/>
      <c r="H363" s="23"/>
      <c r="I363" s="27"/>
      <c r="J363" s="29"/>
      <c r="K363" s="129"/>
      <c r="L363" s="31"/>
      <c r="M363" s="31"/>
    </row>
    <row r="364">
      <c r="A364" s="17"/>
      <c r="B364" s="20"/>
      <c r="C364" s="21"/>
      <c r="D364" s="21"/>
      <c r="E364" s="23"/>
      <c r="F364" s="24"/>
      <c r="G364" s="27"/>
      <c r="H364" s="23"/>
      <c r="I364" s="27"/>
      <c r="J364" s="29"/>
      <c r="K364" s="129"/>
      <c r="L364" s="31"/>
      <c r="M364" s="31"/>
    </row>
    <row r="365">
      <c r="A365" s="17"/>
      <c r="B365" s="20"/>
      <c r="C365" s="21"/>
      <c r="D365" s="21"/>
      <c r="E365" s="23"/>
      <c r="F365" s="24"/>
      <c r="G365" s="27"/>
      <c r="H365" s="23"/>
      <c r="I365" s="27"/>
      <c r="J365" s="29"/>
      <c r="K365" s="129"/>
      <c r="L365" s="31"/>
      <c r="M365" s="31"/>
    </row>
    <row r="366">
      <c r="A366" s="17"/>
      <c r="B366" s="20"/>
      <c r="C366" s="21"/>
      <c r="D366" s="21"/>
      <c r="E366" s="23"/>
      <c r="F366" s="24"/>
      <c r="G366" s="27"/>
      <c r="H366" s="23"/>
      <c r="I366" s="27"/>
      <c r="J366" s="29"/>
      <c r="K366" s="129"/>
      <c r="L366" s="31"/>
      <c r="M366" s="31"/>
    </row>
    <row r="367">
      <c r="A367" s="17"/>
      <c r="B367" s="20"/>
      <c r="C367" s="21"/>
      <c r="D367" s="21"/>
      <c r="E367" s="23"/>
      <c r="F367" s="24"/>
      <c r="G367" s="27"/>
      <c r="H367" s="23"/>
      <c r="I367" s="27"/>
      <c r="J367" s="29"/>
      <c r="K367" s="129"/>
      <c r="L367" s="31"/>
      <c r="M367" s="31"/>
    </row>
    <row r="368">
      <c r="A368" s="17"/>
      <c r="B368" s="20"/>
      <c r="C368" s="21"/>
      <c r="D368" s="21"/>
      <c r="E368" s="23"/>
      <c r="F368" s="24"/>
      <c r="G368" s="27"/>
      <c r="H368" s="23"/>
      <c r="I368" s="27"/>
      <c r="J368" s="29"/>
      <c r="K368" s="129"/>
      <c r="L368" s="31"/>
      <c r="M368" s="31"/>
    </row>
    <row r="369">
      <c r="A369" s="17"/>
      <c r="B369" s="20"/>
      <c r="C369" s="21"/>
      <c r="D369" s="21"/>
      <c r="E369" s="23"/>
      <c r="F369" s="24"/>
      <c r="G369" s="27"/>
      <c r="H369" s="23"/>
      <c r="I369" s="27"/>
      <c r="J369" s="29"/>
      <c r="K369" s="129"/>
      <c r="L369" s="31"/>
      <c r="M369" s="31"/>
    </row>
    <row r="370">
      <c r="A370" s="17"/>
      <c r="B370" s="20"/>
      <c r="C370" s="21"/>
      <c r="D370" s="21"/>
      <c r="E370" s="23"/>
      <c r="F370" s="24"/>
      <c r="G370" s="27"/>
      <c r="H370" s="23"/>
      <c r="I370" s="27"/>
      <c r="J370" s="29"/>
      <c r="K370" s="129"/>
      <c r="L370" s="31"/>
      <c r="M370" s="31"/>
    </row>
    <row r="371">
      <c r="A371" s="17"/>
      <c r="B371" s="20"/>
      <c r="C371" s="21"/>
      <c r="D371" s="21"/>
      <c r="E371" s="23"/>
      <c r="F371" s="24"/>
      <c r="G371" s="27"/>
      <c r="H371" s="23"/>
      <c r="I371" s="27"/>
      <c r="J371" s="29"/>
      <c r="K371" s="129"/>
      <c r="L371" s="31"/>
      <c r="M371" s="31"/>
    </row>
    <row r="372">
      <c r="A372" s="17"/>
      <c r="B372" s="20"/>
      <c r="C372" s="21"/>
      <c r="D372" s="21"/>
      <c r="E372" s="23"/>
      <c r="F372" s="24"/>
      <c r="G372" s="27"/>
      <c r="H372" s="23"/>
      <c r="I372" s="27"/>
      <c r="J372" s="29"/>
      <c r="K372" s="129"/>
      <c r="L372" s="31"/>
      <c r="M372" s="31"/>
    </row>
    <row r="373">
      <c r="A373" s="17"/>
      <c r="B373" s="20"/>
      <c r="C373" s="21"/>
      <c r="D373" s="21"/>
      <c r="E373" s="23"/>
      <c r="F373" s="24"/>
      <c r="G373" s="27"/>
      <c r="H373" s="23"/>
      <c r="I373" s="27"/>
      <c r="J373" s="29"/>
      <c r="K373" s="129"/>
      <c r="L373" s="31"/>
      <c r="M373" s="31"/>
    </row>
    <row r="374">
      <c r="A374" s="17"/>
      <c r="B374" s="20"/>
      <c r="C374" s="21"/>
      <c r="D374" s="21"/>
      <c r="E374" s="23"/>
      <c r="F374" s="24"/>
      <c r="G374" s="27"/>
      <c r="H374" s="23"/>
      <c r="I374" s="27"/>
      <c r="J374" s="29"/>
      <c r="K374" s="129"/>
      <c r="L374" s="31"/>
      <c r="M374" s="31"/>
    </row>
    <row r="375">
      <c r="A375" s="17"/>
      <c r="B375" s="20"/>
      <c r="C375" s="21"/>
      <c r="D375" s="21"/>
      <c r="E375" s="23"/>
      <c r="F375" s="24"/>
      <c r="G375" s="27"/>
      <c r="H375" s="23"/>
      <c r="I375" s="27"/>
      <c r="J375" s="29"/>
      <c r="K375" s="129"/>
      <c r="L375" s="31"/>
      <c r="M375" s="31"/>
    </row>
    <row r="376">
      <c r="A376" s="17"/>
      <c r="B376" s="20"/>
      <c r="C376" s="21"/>
      <c r="D376" s="21"/>
      <c r="E376" s="23"/>
      <c r="F376" s="24"/>
      <c r="G376" s="27"/>
      <c r="H376" s="23"/>
      <c r="I376" s="27"/>
      <c r="J376" s="29"/>
      <c r="K376" s="129"/>
      <c r="L376" s="31"/>
      <c r="M376" s="31"/>
    </row>
    <row r="377">
      <c r="A377" s="17"/>
      <c r="B377" s="20"/>
      <c r="C377" s="21"/>
      <c r="D377" s="21"/>
      <c r="E377" s="23"/>
      <c r="F377" s="24"/>
      <c r="G377" s="27"/>
      <c r="H377" s="23"/>
      <c r="I377" s="27"/>
      <c r="J377" s="29"/>
      <c r="K377" s="129"/>
      <c r="L377" s="31"/>
      <c r="M377" s="31"/>
    </row>
    <row r="378">
      <c r="A378" s="17"/>
      <c r="B378" s="20"/>
      <c r="C378" s="21"/>
      <c r="D378" s="21"/>
      <c r="E378" s="23"/>
      <c r="F378" s="24"/>
      <c r="G378" s="27"/>
      <c r="H378" s="23"/>
      <c r="I378" s="27"/>
      <c r="J378" s="29"/>
      <c r="K378" s="129"/>
      <c r="L378" s="31"/>
      <c r="M378" s="31"/>
    </row>
    <row r="379">
      <c r="A379" s="17"/>
      <c r="B379" s="20"/>
      <c r="C379" s="21"/>
      <c r="D379" s="21"/>
      <c r="E379" s="23"/>
      <c r="F379" s="24"/>
      <c r="G379" s="27"/>
      <c r="H379" s="23"/>
      <c r="I379" s="27"/>
      <c r="J379" s="29"/>
      <c r="K379" s="129"/>
      <c r="L379" s="31"/>
      <c r="M379" s="31"/>
    </row>
    <row r="380">
      <c r="A380" s="17"/>
      <c r="B380" s="20"/>
      <c r="C380" s="21"/>
      <c r="D380" s="21"/>
      <c r="E380" s="23"/>
      <c r="F380" s="24"/>
      <c r="G380" s="27"/>
      <c r="H380" s="23"/>
      <c r="I380" s="27"/>
      <c r="J380" s="29"/>
      <c r="K380" s="129"/>
      <c r="L380" s="31"/>
      <c r="M380" s="31"/>
    </row>
    <row r="381">
      <c r="A381" s="17"/>
      <c r="B381" s="20"/>
      <c r="C381" s="21"/>
      <c r="D381" s="21"/>
      <c r="E381" s="23"/>
      <c r="F381" s="24"/>
      <c r="G381" s="27"/>
      <c r="H381" s="23"/>
      <c r="I381" s="27"/>
      <c r="J381" s="29"/>
      <c r="K381" s="129"/>
      <c r="L381" s="31"/>
      <c r="M381" s="31"/>
    </row>
    <row r="382">
      <c r="A382" s="17"/>
      <c r="B382" s="20"/>
      <c r="C382" s="21"/>
      <c r="D382" s="21"/>
      <c r="E382" s="23"/>
      <c r="F382" s="24"/>
      <c r="G382" s="27"/>
      <c r="H382" s="23"/>
      <c r="I382" s="27"/>
      <c r="J382" s="29"/>
      <c r="K382" s="129"/>
      <c r="L382" s="31"/>
      <c r="M382" s="31"/>
    </row>
    <row r="383">
      <c r="A383" s="17"/>
      <c r="B383" s="20"/>
      <c r="C383" s="21"/>
      <c r="D383" s="21"/>
      <c r="E383" s="23"/>
      <c r="F383" s="24"/>
      <c r="G383" s="27"/>
      <c r="H383" s="23"/>
      <c r="I383" s="27"/>
      <c r="J383" s="29"/>
      <c r="K383" s="129"/>
      <c r="L383" s="31"/>
      <c r="M383" s="31"/>
    </row>
    <row r="384">
      <c r="A384" s="17"/>
      <c r="B384" s="20"/>
      <c r="C384" s="21"/>
      <c r="D384" s="21"/>
      <c r="E384" s="23"/>
      <c r="F384" s="24"/>
      <c r="G384" s="27"/>
      <c r="H384" s="23"/>
      <c r="I384" s="27"/>
      <c r="J384" s="29"/>
      <c r="K384" s="129"/>
      <c r="L384" s="31"/>
      <c r="M384" s="31"/>
    </row>
    <row r="385">
      <c r="A385" s="17"/>
      <c r="B385" s="20"/>
      <c r="C385" s="21"/>
      <c r="D385" s="21"/>
      <c r="E385" s="23"/>
      <c r="F385" s="24"/>
      <c r="G385" s="27"/>
      <c r="H385" s="23"/>
      <c r="I385" s="27"/>
      <c r="J385" s="29"/>
      <c r="K385" s="129"/>
      <c r="L385" s="31"/>
      <c r="M385" s="31"/>
    </row>
    <row r="386">
      <c r="A386" s="17"/>
      <c r="B386" s="20"/>
      <c r="C386" s="21"/>
      <c r="D386" s="21"/>
      <c r="E386" s="23"/>
      <c r="F386" s="24"/>
      <c r="G386" s="27"/>
      <c r="H386" s="23"/>
      <c r="I386" s="27"/>
      <c r="J386" s="29"/>
      <c r="K386" s="129"/>
      <c r="L386" s="31"/>
      <c r="M386" s="31"/>
    </row>
    <row r="387">
      <c r="A387" s="17"/>
      <c r="B387" s="20"/>
      <c r="C387" s="21"/>
      <c r="D387" s="21"/>
      <c r="E387" s="23"/>
      <c r="F387" s="24"/>
      <c r="G387" s="27"/>
      <c r="H387" s="23"/>
      <c r="I387" s="27"/>
      <c r="J387" s="29"/>
      <c r="K387" s="129"/>
      <c r="L387" s="31"/>
      <c r="M387" s="31"/>
    </row>
    <row r="388">
      <c r="A388" s="17"/>
      <c r="B388" s="20"/>
      <c r="C388" s="21"/>
      <c r="D388" s="21"/>
      <c r="E388" s="23"/>
      <c r="F388" s="24"/>
      <c r="G388" s="27"/>
      <c r="H388" s="23"/>
      <c r="I388" s="27"/>
      <c r="J388" s="29"/>
      <c r="K388" s="129"/>
      <c r="L388" s="31"/>
      <c r="M388" s="31"/>
    </row>
    <row r="389">
      <c r="A389" s="17"/>
      <c r="B389" s="20"/>
      <c r="C389" s="21"/>
      <c r="D389" s="21"/>
      <c r="E389" s="23"/>
      <c r="F389" s="24"/>
      <c r="G389" s="27"/>
      <c r="H389" s="23"/>
      <c r="I389" s="27"/>
      <c r="J389" s="29"/>
      <c r="K389" s="129"/>
      <c r="L389" s="31"/>
      <c r="M389" s="31"/>
    </row>
    <row r="390">
      <c r="A390" s="17"/>
      <c r="B390" s="20"/>
      <c r="C390" s="21"/>
      <c r="D390" s="21"/>
      <c r="E390" s="23"/>
      <c r="F390" s="24"/>
      <c r="G390" s="27"/>
      <c r="H390" s="23"/>
      <c r="I390" s="27"/>
      <c r="J390" s="29"/>
      <c r="K390" s="129"/>
      <c r="L390" s="31"/>
      <c r="M390" s="31"/>
    </row>
    <row r="391">
      <c r="A391" s="17"/>
      <c r="B391" s="20"/>
      <c r="C391" s="21"/>
      <c r="D391" s="21"/>
      <c r="E391" s="23"/>
      <c r="F391" s="24"/>
      <c r="G391" s="27"/>
      <c r="H391" s="23"/>
      <c r="I391" s="27"/>
      <c r="J391" s="29"/>
      <c r="K391" s="129"/>
      <c r="L391" s="31"/>
      <c r="M391" s="31"/>
    </row>
    <row r="392">
      <c r="A392" s="17"/>
      <c r="B392" s="20"/>
      <c r="C392" s="21"/>
      <c r="D392" s="21"/>
      <c r="E392" s="23"/>
      <c r="F392" s="24"/>
      <c r="G392" s="27"/>
      <c r="H392" s="23"/>
      <c r="I392" s="27"/>
      <c r="J392" s="29"/>
      <c r="K392" s="129"/>
      <c r="L392" s="31"/>
      <c r="M392" s="31"/>
    </row>
    <row r="393">
      <c r="A393" s="17"/>
      <c r="B393" s="20"/>
      <c r="C393" s="21"/>
      <c r="D393" s="21"/>
      <c r="E393" s="23"/>
      <c r="F393" s="24"/>
      <c r="G393" s="27"/>
      <c r="H393" s="23"/>
      <c r="I393" s="27"/>
      <c r="J393" s="29"/>
      <c r="K393" s="129"/>
      <c r="L393" s="31"/>
      <c r="M393" s="31"/>
    </row>
    <row r="394">
      <c r="A394" s="17"/>
      <c r="B394" s="20"/>
      <c r="C394" s="21"/>
      <c r="D394" s="21"/>
      <c r="E394" s="23"/>
      <c r="F394" s="24"/>
      <c r="G394" s="27"/>
      <c r="H394" s="23"/>
      <c r="I394" s="27"/>
      <c r="J394" s="29"/>
      <c r="K394" s="129"/>
      <c r="L394" s="31"/>
      <c r="M394" s="31"/>
    </row>
    <row r="395">
      <c r="A395" s="17"/>
      <c r="B395" s="20"/>
      <c r="C395" s="21"/>
      <c r="D395" s="21"/>
      <c r="E395" s="23"/>
      <c r="F395" s="24"/>
      <c r="G395" s="27"/>
      <c r="H395" s="23"/>
      <c r="I395" s="27"/>
      <c r="J395" s="29"/>
      <c r="K395" s="129"/>
      <c r="L395" s="31"/>
      <c r="M395" s="31"/>
    </row>
    <row r="396">
      <c r="A396" s="17"/>
      <c r="B396" s="20"/>
      <c r="C396" s="21"/>
      <c r="D396" s="21"/>
      <c r="E396" s="23"/>
      <c r="F396" s="24"/>
      <c r="G396" s="27"/>
      <c r="H396" s="23"/>
      <c r="I396" s="27"/>
      <c r="J396" s="29"/>
      <c r="K396" s="129"/>
      <c r="L396" s="31"/>
      <c r="M396" s="31"/>
    </row>
    <row r="397">
      <c r="A397" s="17"/>
      <c r="B397" s="20"/>
      <c r="C397" s="21"/>
      <c r="D397" s="21"/>
      <c r="E397" s="23"/>
      <c r="F397" s="24"/>
      <c r="G397" s="27"/>
      <c r="H397" s="23"/>
      <c r="I397" s="27"/>
      <c r="J397" s="29"/>
      <c r="K397" s="129"/>
      <c r="L397" s="31"/>
      <c r="M397" s="31"/>
    </row>
    <row r="398">
      <c r="A398" s="17"/>
      <c r="B398" s="20"/>
      <c r="C398" s="21"/>
      <c r="D398" s="21"/>
      <c r="E398" s="23"/>
      <c r="F398" s="24"/>
      <c r="G398" s="27"/>
      <c r="H398" s="23"/>
      <c r="I398" s="27"/>
      <c r="J398" s="29"/>
      <c r="K398" s="129"/>
      <c r="L398" s="31"/>
      <c r="M398" s="31"/>
    </row>
    <row r="399">
      <c r="A399" s="17"/>
      <c r="B399" s="20"/>
      <c r="C399" s="21"/>
      <c r="D399" s="21"/>
      <c r="E399" s="23"/>
      <c r="F399" s="24"/>
      <c r="G399" s="27"/>
      <c r="H399" s="23"/>
      <c r="I399" s="27"/>
      <c r="J399" s="29"/>
      <c r="K399" s="129"/>
      <c r="L399" s="31"/>
      <c r="M399" s="31"/>
    </row>
    <row r="400">
      <c r="A400" s="17"/>
      <c r="B400" s="20"/>
      <c r="C400" s="21"/>
      <c r="D400" s="21"/>
      <c r="E400" s="23"/>
      <c r="F400" s="24"/>
      <c r="G400" s="27"/>
      <c r="H400" s="23"/>
      <c r="I400" s="27"/>
      <c r="J400" s="29"/>
      <c r="K400" s="129"/>
      <c r="L400" s="31"/>
      <c r="M400" s="31"/>
    </row>
    <row r="401">
      <c r="A401" s="17"/>
      <c r="B401" s="20"/>
      <c r="C401" s="21"/>
      <c r="D401" s="21"/>
      <c r="E401" s="23"/>
      <c r="F401" s="24"/>
      <c r="G401" s="27"/>
      <c r="H401" s="23"/>
      <c r="I401" s="27"/>
      <c r="J401" s="29"/>
      <c r="K401" s="129"/>
      <c r="L401" s="31"/>
      <c r="M401" s="31"/>
    </row>
    <row r="402">
      <c r="A402" s="17"/>
      <c r="B402" s="20"/>
      <c r="C402" s="21"/>
      <c r="D402" s="21"/>
      <c r="E402" s="23"/>
      <c r="F402" s="24"/>
      <c r="G402" s="27"/>
      <c r="H402" s="23"/>
      <c r="I402" s="27"/>
      <c r="J402" s="29"/>
      <c r="K402" s="129"/>
      <c r="L402" s="31"/>
      <c r="M402" s="31"/>
    </row>
    <row r="403">
      <c r="A403" s="17"/>
      <c r="B403" s="20"/>
      <c r="C403" s="21"/>
      <c r="D403" s="21"/>
      <c r="E403" s="23"/>
      <c r="F403" s="24"/>
      <c r="G403" s="27"/>
      <c r="H403" s="23"/>
      <c r="I403" s="27"/>
      <c r="J403" s="29"/>
      <c r="K403" s="129"/>
      <c r="L403" s="31"/>
      <c r="M403" s="31"/>
    </row>
    <row r="404">
      <c r="A404" s="17"/>
      <c r="B404" s="20"/>
      <c r="C404" s="21"/>
      <c r="D404" s="21"/>
      <c r="E404" s="23"/>
      <c r="F404" s="24"/>
      <c r="G404" s="27"/>
      <c r="H404" s="23"/>
      <c r="I404" s="27"/>
      <c r="J404" s="29"/>
      <c r="K404" s="129"/>
      <c r="L404" s="31"/>
      <c r="M404" s="31"/>
    </row>
    <row r="405">
      <c r="A405" s="17"/>
      <c r="B405" s="20"/>
      <c r="C405" s="21"/>
      <c r="D405" s="21"/>
      <c r="E405" s="23"/>
      <c r="F405" s="24"/>
      <c r="G405" s="27"/>
      <c r="H405" s="23"/>
      <c r="I405" s="27"/>
      <c r="J405" s="29"/>
      <c r="K405" s="129"/>
      <c r="L405" s="31"/>
      <c r="M405" s="31"/>
    </row>
    <row r="406">
      <c r="A406" s="17"/>
      <c r="B406" s="20"/>
      <c r="C406" s="21"/>
      <c r="D406" s="21"/>
      <c r="E406" s="23"/>
      <c r="F406" s="24"/>
      <c r="G406" s="27"/>
      <c r="H406" s="23"/>
      <c r="I406" s="27"/>
      <c r="J406" s="29"/>
      <c r="K406" s="129"/>
      <c r="L406" s="31"/>
      <c r="M406" s="31"/>
    </row>
    <row r="407">
      <c r="A407" s="17"/>
      <c r="B407" s="20"/>
      <c r="C407" s="21"/>
      <c r="D407" s="21"/>
      <c r="E407" s="23"/>
      <c r="F407" s="24"/>
      <c r="G407" s="27"/>
      <c r="H407" s="23"/>
      <c r="I407" s="27"/>
      <c r="J407" s="29"/>
      <c r="K407" s="129"/>
      <c r="L407" s="31"/>
      <c r="M407" s="31"/>
    </row>
    <row r="408">
      <c r="A408" s="17"/>
      <c r="B408" s="20"/>
      <c r="C408" s="21"/>
      <c r="D408" s="21"/>
      <c r="E408" s="23"/>
      <c r="F408" s="24"/>
      <c r="G408" s="27"/>
      <c r="H408" s="23"/>
      <c r="I408" s="27"/>
      <c r="J408" s="29"/>
      <c r="K408" s="129"/>
      <c r="L408" s="31"/>
      <c r="M408" s="31"/>
    </row>
    <row r="409">
      <c r="A409" s="17"/>
      <c r="B409" s="20"/>
      <c r="C409" s="21"/>
      <c r="D409" s="21"/>
      <c r="E409" s="23"/>
      <c r="F409" s="24"/>
      <c r="G409" s="27"/>
      <c r="H409" s="23"/>
      <c r="I409" s="27"/>
      <c r="J409" s="29"/>
      <c r="K409" s="129"/>
      <c r="L409" s="31"/>
      <c r="M409" s="31"/>
    </row>
    <row r="410">
      <c r="A410" s="17"/>
      <c r="B410" s="20"/>
      <c r="C410" s="21"/>
      <c r="D410" s="21"/>
      <c r="E410" s="23"/>
      <c r="F410" s="24"/>
      <c r="G410" s="27"/>
      <c r="H410" s="23"/>
      <c r="I410" s="27"/>
      <c r="J410" s="29"/>
      <c r="K410" s="129"/>
      <c r="L410" s="31"/>
      <c r="M410" s="31"/>
    </row>
    <row r="411">
      <c r="A411" s="17"/>
      <c r="B411" s="20"/>
      <c r="C411" s="21"/>
      <c r="D411" s="21"/>
      <c r="E411" s="23"/>
      <c r="F411" s="24"/>
      <c r="G411" s="27"/>
      <c r="H411" s="23"/>
      <c r="I411" s="27"/>
      <c r="J411" s="29"/>
      <c r="K411" s="129"/>
      <c r="L411" s="31"/>
      <c r="M411" s="31"/>
    </row>
    <row r="412">
      <c r="A412" s="17"/>
      <c r="B412" s="20"/>
      <c r="C412" s="21"/>
      <c r="D412" s="21"/>
      <c r="E412" s="23"/>
      <c r="F412" s="24"/>
      <c r="G412" s="27"/>
      <c r="H412" s="23"/>
      <c r="I412" s="27"/>
      <c r="J412" s="29"/>
      <c r="K412" s="129"/>
      <c r="L412" s="31"/>
      <c r="M412" s="31"/>
    </row>
    <row r="413">
      <c r="A413" s="17"/>
      <c r="B413" s="20"/>
      <c r="C413" s="21"/>
      <c r="D413" s="21"/>
      <c r="E413" s="23"/>
      <c r="F413" s="24"/>
      <c r="G413" s="27"/>
      <c r="H413" s="23"/>
      <c r="I413" s="27"/>
      <c r="J413" s="29"/>
      <c r="K413" s="129"/>
      <c r="L413" s="31"/>
      <c r="M413" s="31"/>
    </row>
    <row r="414">
      <c r="A414" s="17"/>
      <c r="B414" s="20"/>
      <c r="C414" s="21"/>
      <c r="D414" s="21"/>
      <c r="E414" s="23"/>
      <c r="F414" s="24"/>
      <c r="G414" s="27"/>
      <c r="H414" s="23"/>
      <c r="I414" s="27"/>
      <c r="J414" s="29"/>
      <c r="K414" s="129"/>
      <c r="L414" s="31"/>
      <c r="M414" s="31"/>
    </row>
    <row r="415">
      <c r="A415" s="17"/>
      <c r="B415" s="20"/>
      <c r="C415" s="21"/>
      <c r="D415" s="21"/>
      <c r="E415" s="23"/>
      <c r="F415" s="24"/>
      <c r="G415" s="27"/>
      <c r="H415" s="23"/>
      <c r="I415" s="27"/>
      <c r="J415" s="29"/>
      <c r="K415" s="129"/>
      <c r="L415" s="31"/>
      <c r="M415" s="31"/>
    </row>
    <row r="416">
      <c r="A416" s="17"/>
      <c r="B416" s="20"/>
      <c r="C416" s="21"/>
      <c r="D416" s="21"/>
      <c r="E416" s="23"/>
      <c r="F416" s="24"/>
      <c r="G416" s="27"/>
      <c r="H416" s="23"/>
      <c r="I416" s="27"/>
      <c r="J416" s="29"/>
      <c r="K416" s="129"/>
      <c r="L416" s="31"/>
      <c r="M416" s="31"/>
    </row>
    <row r="417">
      <c r="A417" s="17"/>
      <c r="B417" s="20"/>
      <c r="C417" s="21"/>
      <c r="D417" s="21"/>
      <c r="E417" s="23"/>
      <c r="F417" s="24"/>
      <c r="G417" s="27"/>
      <c r="H417" s="23"/>
      <c r="I417" s="27"/>
      <c r="J417" s="29"/>
      <c r="K417" s="129"/>
      <c r="L417" s="31"/>
      <c r="M417" s="31"/>
    </row>
    <row r="418">
      <c r="A418" s="17"/>
      <c r="B418" s="20"/>
      <c r="C418" s="21"/>
      <c r="D418" s="21"/>
      <c r="E418" s="23"/>
      <c r="F418" s="24"/>
      <c r="G418" s="27"/>
      <c r="H418" s="23"/>
      <c r="I418" s="27"/>
      <c r="J418" s="29"/>
      <c r="K418" s="129"/>
      <c r="L418" s="31"/>
      <c r="M418" s="31"/>
    </row>
    <row r="419">
      <c r="A419" s="17"/>
      <c r="B419" s="20"/>
      <c r="C419" s="21"/>
      <c r="D419" s="21"/>
      <c r="E419" s="23"/>
      <c r="F419" s="24"/>
      <c r="G419" s="27"/>
      <c r="H419" s="23"/>
      <c r="I419" s="27"/>
      <c r="J419" s="29"/>
      <c r="K419" s="129"/>
      <c r="L419" s="31"/>
      <c r="M419" s="31"/>
    </row>
    <row r="420">
      <c r="A420" s="17"/>
      <c r="B420" s="20"/>
      <c r="C420" s="21"/>
      <c r="D420" s="21"/>
      <c r="E420" s="23"/>
      <c r="F420" s="24"/>
      <c r="G420" s="27"/>
      <c r="H420" s="23"/>
      <c r="I420" s="27"/>
      <c r="J420" s="29"/>
      <c r="K420" s="129"/>
      <c r="L420" s="31"/>
      <c r="M420" s="31"/>
    </row>
    <row r="421">
      <c r="A421" s="17"/>
      <c r="B421" s="20"/>
      <c r="C421" s="21"/>
      <c r="D421" s="21"/>
      <c r="E421" s="23"/>
      <c r="F421" s="24"/>
      <c r="G421" s="27"/>
      <c r="H421" s="23"/>
      <c r="I421" s="27"/>
      <c r="J421" s="29"/>
      <c r="K421" s="129"/>
      <c r="L421" s="31"/>
      <c r="M421" s="31"/>
    </row>
    <row r="422">
      <c r="A422" s="17"/>
      <c r="B422" s="20"/>
      <c r="C422" s="21"/>
      <c r="D422" s="21"/>
      <c r="E422" s="23"/>
      <c r="F422" s="24"/>
      <c r="G422" s="27"/>
      <c r="H422" s="23"/>
      <c r="I422" s="27"/>
      <c r="J422" s="29"/>
      <c r="K422" s="129"/>
      <c r="L422" s="31"/>
      <c r="M422" s="31"/>
    </row>
    <row r="423">
      <c r="A423" s="17"/>
      <c r="B423" s="20"/>
      <c r="C423" s="21"/>
      <c r="D423" s="21"/>
      <c r="E423" s="23"/>
      <c r="F423" s="24"/>
      <c r="G423" s="27"/>
      <c r="H423" s="23"/>
      <c r="I423" s="27"/>
      <c r="J423" s="29"/>
      <c r="K423" s="129"/>
      <c r="L423" s="31"/>
      <c r="M423" s="31"/>
    </row>
    <row r="424">
      <c r="A424" s="17"/>
      <c r="B424" s="20"/>
      <c r="C424" s="21"/>
      <c r="D424" s="21"/>
      <c r="E424" s="23"/>
      <c r="F424" s="24"/>
      <c r="G424" s="27"/>
      <c r="H424" s="23"/>
      <c r="I424" s="27"/>
      <c r="J424" s="29"/>
      <c r="K424" s="129"/>
      <c r="L424" s="31"/>
      <c r="M424" s="31"/>
    </row>
    <row r="425">
      <c r="A425" s="17"/>
      <c r="B425" s="20"/>
      <c r="C425" s="21"/>
      <c r="D425" s="21"/>
      <c r="E425" s="23"/>
      <c r="F425" s="24"/>
      <c r="G425" s="27"/>
      <c r="H425" s="23"/>
      <c r="I425" s="27"/>
      <c r="J425" s="29"/>
      <c r="K425" s="129"/>
      <c r="L425" s="31"/>
      <c r="M425" s="31"/>
    </row>
    <row r="426">
      <c r="A426" s="17"/>
      <c r="B426" s="20"/>
      <c r="C426" s="21"/>
      <c r="D426" s="21"/>
      <c r="E426" s="23"/>
      <c r="F426" s="24"/>
      <c r="G426" s="27"/>
      <c r="H426" s="23"/>
      <c r="I426" s="27"/>
      <c r="J426" s="29"/>
      <c r="K426" s="129"/>
      <c r="L426" s="31"/>
      <c r="M426" s="31"/>
    </row>
    <row r="427">
      <c r="A427" s="17"/>
      <c r="B427" s="20"/>
      <c r="C427" s="21"/>
      <c r="D427" s="21"/>
      <c r="E427" s="23"/>
      <c r="F427" s="24"/>
      <c r="G427" s="27"/>
      <c r="H427" s="23"/>
      <c r="I427" s="27"/>
      <c r="J427" s="29"/>
      <c r="K427" s="129"/>
      <c r="L427" s="31"/>
      <c r="M427" s="31"/>
    </row>
    <row r="428">
      <c r="A428" s="17"/>
      <c r="B428" s="20"/>
      <c r="C428" s="21"/>
      <c r="D428" s="21"/>
      <c r="E428" s="23"/>
      <c r="F428" s="24"/>
      <c r="G428" s="27"/>
      <c r="H428" s="23"/>
      <c r="I428" s="27"/>
      <c r="J428" s="29"/>
      <c r="K428" s="129"/>
      <c r="L428" s="31"/>
      <c r="M428" s="31"/>
    </row>
    <row r="429">
      <c r="A429" s="17"/>
      <c r="B429" s="20"/>
      <c r="C429" s="21"/>
      <c r="D429" s="21"/>
      <c r="E429" s="23"/>
      <c r="F429" s="24"/>
      <c r="G429" s="27"/>
      <c r="H429" s="23"/>
      <c r="I429" s="27"/>
      <c r="J429" s="29"/>
      <c r="K429" s="129"/>
      <c r="L429" s="31"/>
      <c r="M429" s="31"/>
    </row>
    <row r="430">
      <c r="A430" s="17"/>
      <c r="B430" s="20"/>
      <c r="C430" s="21"/>
      <c r="D430" s="21"/>
      <c r="E430" s="23"/>
      <c r="F430" s="24"/>
      <c r="G430" s="27"/>
      <c r="H430" s="23"/>
      <c r="I430" s="27"/>
      <c r="J430" s="29"/>
      <c r="K430" s="129"/>
      <c r="L430" s="31"/>
      <c r="M430" s="31"/>
    </row>
    <row r="431">
      <c r="A431" s="17"/>
      <c r="B431" s="20"/>
      <c r="C431" s="21"/>
      <c r="D431" s="21"/>
      <c r="E431" s="23"/>
      <c r="F431" s="24"/>
      <c r="G431" s="27"/>
      <c r="H431" s="23"/>
      <c r="I431" s="27"/>
      <c r="J431" s="29"/>
      <c r="K431" s="129"/>
      <c r="L431" s="31"/>
      <c r="M431" s="31"/>
    </row>
    <row r="432">
      <c r="A432" s="17"/>
      <c r="B432" s="20"/>
      <c r="C432" s="21"/>
      <c r="D432" s="21"/>
      <c r="E432" s="23"/>
      <c r="F432" s="24"/>
      <c r="G432" s="27"/>
      <c r="H432" s="23"/>
      <c r="I432" s="27"/>
      <c r="J432" s="29"/>
      <c r="K432" s="129"/>
      <c r="L432" s="31"/>
      <c r="M432" s="31"/>
    </row>
    <row r="433">
      <c r="A433" s="17"/>
      <c r="B433" s="20"/>
      <c r="C433" s="21"/>
      <c r="D433" s="21"/>
      <c r="E433" s="23"/>
      <c r="F433" s="24"/>
      <c r="G433" s="27"/>
      <c r="H433" s="23"/>
      <c r="I433" s="27"/>
      <c r="J433" s="29"/>
      <c r="K433" s="129"/>
      <c r="L433" s="31"/>
      <c r="M433" s="31"/>
    </row>
    <row r="434">
      <c r="A434" s="17"/>
      <c r="B434" s="20"/>
      <c r="C434" s="21"/>
      <c r="D434" s="21"/>
      <c r="E434" s="23"/>
      <c r="F434" s="24"/>
      <c r="G434" s="27"/>
      <c r="H434" s="23"/>
      <c r="I434" s="27"/>
      <c r="J434" s="29"/>
      <c r="K434" s="129"/>
      <c r="L434" s="31"/>
      <c r="M434" s="31"/>
    </row>
    <row r="435">
      <c r="A435" s="17"/>
      <c r="B435" s="20"/>
      <c r="C435" s="21"/>
      <c r="D435" s="21"/>
      <c r="E435" s="23"/>
      <c r="F435" s="24"/>
      <c r="G435" s="27"/>
      <c r="H435" s="23"/>
      <c r="I435" s="27"/>
      <c r="J435" s="29"/>
      <c r="K435" s="129"/>
      <c r="L435" s="31"/>
      <c r="M435" s="31"/>
    </row>
    <row r="436">
      <c r="A436" s="17"/>
      <c r="B436" s="20"/>
      <c r="C436" s="21"/>
      <c r="D436" s="21"/>
      <c r="E436" s="23"/>
      <c r="F436" s="24"/>
      <c r="G436" s="27"/>
      <c r="H436" s="23"/>
      <c r="I436" s="27"/>
      <c r="J436" s="29"/>
      <c r="K436" s="129"/>
      <c r="L436" s="31"/>
      <c r="M436" s="31"/>
    </row>
    <row r="437">
      <c r="A437" s="17"/>
      <c r="B437" s="20"/>
      <c r="C437" s="21"/>
      <c r="D437" s="21"/>
      <c r="E437" s="23"/>
      <c r="F437" s="24"/>
      <c r="G437" s="27"/>
      <c r="H437" s="23"/>
      <c r="I437" s="27"/>
      <c r="J437" s="29"/>
      <c r="K437" s="129"/>
      <c r="L437" s="31"/>
      <c r="M437" s="31"/>
    </row>
    <row r="438">
      <c r="A438" s="17"/>
      <c r="B438" s="20"/>
      <c r="C438" s="21"/>
      <c r="D438" s="21"/>
      <c r="E438" s="23"/>
      <c r="F438" s="24"/>
      <c r="G438" s="27"/>
      <c r="H438" s="23"/>
      <c r="I438" s="27"/>
      <c r="J438" s="29"/>
      <c r="K438" s="129"/>
      <c r="L438" s="31"/>
      <c r="M438" s="31"/>
    </row>
    <row r="439">
      <c r="A439" s="17"/>
      <c r="B439" s="20"/>
      <c r="C439" s="21"/>
      <c r="D439" s="21"/>
      <c r="E439" s="23"/>
      <c r="F439" s="24"/>
      <c r="G439" s="27"/>
      <c r="H439" s="23"/>
      <c r="I439" s="27"/>
      <c r="J439" s="29"/>
      <c r="K439" s="129"/>
      <c r="L439" s="31"/>
      <c r="M439" s="31"/>
    </row>
    <row r="440">
      <c r="A440" s="17"/>
      <c r="B440" s="20"/>
      <c r="C440" s="21"/>
      <c r="D440" s="21"/>
      <c r="E440" s="23"/>
      <c r="F440" s="24"/>
      <c r="G440" s="27"/>
      <c r="H440" s="23"/>
      <c r="I440" s="27"/>
      <c r="J440" s="29"/>
      <c r="K440" s="129"/>
      <c r="L440" s="31"/>
      <c r="M440" s="31"/>
    </row>
    <row r="441">
      <c r="A441" s="17"/>
      <c r="B441" s="20"/>
      <c r="C441" s="21"/>
      <c r="D441" s="21"/>
      <c r="E441" s="23"/>
      <c r="F441" s="24"/>
      <c r="G441" s="27"/>
      <c r="H441" s="23"/>
      <c r="I441" s="27"/>
      <c r="J441" s="29"/>
      <c r="K441" s="129"/>
      <c r="L441" s="31"/>
      <c r="M441" s="31"/>
    </row>
    <row r="442">
      <c r="A442" s="17"/>
      <c r="B442" s="20"/>
      <c r="C442" s="21"/>
      <c r="D442" s="21"/>
      <c r="E442" s="23"/>
      <c r="F442" s="24"/>
      <c r="G442" s="27"/>
      <c r="H442" s="23"/>
      <c r="I442" s="27"/>
      <c r="J442" s="29"/>
      <c r="K442" s="129"/>
      <c r="L442" s="31"/>
      <c r="M442" s="31"/>
    </row>
    <row r="443">
      <c r="A443" s="17"/>
      <c r="B443" s="20"/>
      <c r="C443" s="21"/>
      <c r="D443" s="21"/>
      <c r="E443" s="23"/>
      <c r="F443" s="24"/>
      <c r="G443" s="27"/>
      <c r="H443" s="23"/>
      <c r="I443" s="27"/>
      <c r="J443" s="29"/>
      <c r="K443" s="129"/>
      <c r="L443" s="31"/>
      <c r="M443" s="31"/>
    </row>
    <row r="444">
      <c r="A444" s="17"/>
      <c r="B444" s="20"/>
      <c r="C444" s="21"/>
      <c r="D444" s="21"/>
      <c r="E444" s="23"/>
      <c r="F444" s="24"/>
      <c r="G444" s="27"/>
      <c r="H444" s="23"/>
      <c r="I444" s="27"/>
      <c r="J444" s="29"/>
      <c r="K444" s="129"/>
      <c r="L444" s="31"/>
      <c r="M444" s="31"/>
    </row>
    <row r="445">
      <c r="A445" s="17"/>
      <c r="B445" s="20"/>
      <c r="C445" s="21"/>
      <c r="D445" s="21"/>
      <c r="E445" s="23"/>
      <c r="F445" s="24"/>
      <c r="G445" s="27"/>
      <c r="H445" s="23"/>
      <c r="I445" s="27"/>
      <c r="J445" s="29"/>
      <c r="K445" s="129"/>
      <c r="L445" s="31"/>
      <c r="M445" s="31"/>
    </row>
    <row r="446">
      <c r="A446" s="17"/>
      <c r="B446" s="20"/>
      <c r="C446" s="21"/>
      <c r="D446" s="21"/>
      <c r="E446" s="23"/>
      <c r="F446" s="24"/>
      <c r="G446" s="27"/>
      <c r="H446" s="23"/>
      <c r="I446" s="27"/>
      <c r="J446" s="29"/>
      <c r="K446" s="129"/>
      <c r="L446" s="31"/>
      <c r="M446" s="31"/>
    </row>
    <row r="447">
      <c r="A447" s="17"/>
      <c r="B447" s="20"/>
      <c r="C447" s="21"/>
      <c r="D447" s="21"/>
      <c r="E447" s="23"/>
      <c r="F447" s="24"/>
      <c r="G447" s="27"/>
      <c r="H447" s="23"/>
      <c r="I447" s="27"/>
      <c r="J447" s="29"/>
      <c r="K447" s="129"/>
      <c r="L447" s="31"/>
      <c r="M447" s="31"/>
    </row>
    <row r="448">
      <c r="A448" s="17"/>
      <c r="B448" s="20"/>
      <c r="C448" s="21"/>
      <c r="D448" s="21"/>
      <c r="E448" s="23"/>
      <c r="F448" s="24"/>
      <c r="G448" s="27"/>
      <c r="H448" s="23"/>
      <c r="I448" s="27"/>
      <c r="J448" s="29"/>
      <c r="K448" s="129"/>
      <c r="L448" s="31"/>
      <c r="M448" s="31"/>
    </row>
    <row r="449">
      <c r="A449" s="17"/>
      <c r="B449" s="20"/>
      <c r="C449" s="21"/>
      <c r="D449" s="21"/>
      <c r="E449" s="23"/>
      <c r="F449" s="24"/>
      <c r="G449" s="27"/>
      <c r="H449" s="23"/>
      <c r="I449" s="27"/>
      <c r="J449" s="29"/>
      <c r="K449" s="129"/>
      <c r="L449" s="31"/>
      <c r="M449" s="31"/>
    </row>
    <row r="450">
      <c r="A450" s="17"/>
      <c r="B450" s="20"/>
      <c r="C450" s="21"/>
      <c r="D450" s="21"/>
      <c r="E450" s="23"/>
      <c r="F450" s="24"/>
      <c r="G450" s="27"/>
      <c r="H450" s="23"/>
      <c r="I450" s="27"/>
      <c r="J450" s="29"/>
      <c r="K450" s="129"/>
      <c r="L450" s="31"/>
      <c r="M450" s="31"/>
    </row>
    <row r="451">
      <c r="A451" s="17"/>
      <c r="B451" s="20"/>
      <c r="C451" s="21"/>
      <c r="D451" s="21"/>
      <c r="E451" s="23"/>
      <c r="F451" s="24"/>
      <c r="G451" s="27"/>
      <c r="H451" s="23"/>
      <c r="I451" s="27"/>
      <c r="J451" s="29"/>
      <c r="K451" s="129"/>
      <c r="L451" s="31"/>
      <c r="M451" s="31"/>
    </row>
    <row r="452">
      <c r="A452" s="17"/>
      <c r="B452" s="20"/>
      <c r="C452" s="21"/>
      <c r="D452" s="21"/>
      <c r="E452" s="23"/>
      <c r="F452" s="24"/>
      <c r="G452" s="27"/>
      <c r="H452" s="23"/>
      <c r="I452" s="27"/>
      <c r="J452" s="29"/>
      <c r="K452" s="129"/>
      <c r="L452" s="31"/>
      <c r="M452" s="31"/>
    </row>
    <row r="453">
      <c r="A453" s="17"/>
      <c r="B453" s="20"/>
      <c r="C453" s="21"/>
      <c r="D453" s="21"/>
      <c r="E453" s="23"/>
      <c r="F453" s="24"/>
      <c r="G453" s="27"/>
      <c r="H453" s="23"/>
      <c r="I453" s="27"/>
      <c r="J453" s="29"/>
      <c r="K453" s="129"/>
      <c r="L453" s="31"/>
      <c r="M453" s="31"/>
    </row>
    <row r="454">
      <c r="A454" s="17"/>
      <c r="B454" s="20"/>
      <c r="C454" s="21"/>
      <c r="D454" s="21"/>
      <c r="E454" s="23"/>
      <c r="F454" s="24"/>
      <c r="G454" s="27"/>
      <c r="H454" s="23"/>
      <c r="I454" s="27"/>
      <c r="J454" s="29"/>
      <c r="K454" s="129"/>
      <c r="L454" s="31"/>
      <c r="M454" s="31"/>
    </row>
    <row r="455">
      <c r="A455" s="17"/>
      <c r="B455" s="20"/>
      <c r="C455" s="21"/>
      <c r="D455" s="21"/>
      <c r="E455" s="23"/>
      <c r="F455" s="24"/>
      <c r="G455" s="27"/>
      <c r="H455" s="23"/>
      <c r="I455" s="27"/>
      <c r="J455" s="29"/>
      <c r="K455" s="129"/>
      <c r="L455" s="31"/>
      <c r="M455" s="31"/>
    </row>
    <row r="456">
      <c r="A456" s="17"/>
      <c r="B456" s="20"/>
      <c r="C456" s="21"/>
      <c r="D456" s="21"/>
      <c r="E456" s="23"/>
      <c r="F456" s="24"/>
      <c r="G456" s="27"/>
      <c r="H456" s="23"/>
      <c r="I456" s="27"/>
      <c r="J456" s="29"/>
      <c r="K456" s="129"/>
      <c r="L456" s="31"/>
      <c r="M456" s="31"/>
    </row>
    <row r="457">
      <c r="A457" s="17"/>
      <c r="B457" s="20"/>
      <c r="C457" s="21"/>
      <c r="D457" s="21"/>
      <c r="E457" s="23"/>
      <c r="F457" s="24"/>
      <c r="G457" s="27"/>
      <c r="H457" s="23"/>
      <c r="I457" s="27"/>
      <c r="J457" s="29"/>
      <c r="K457" s="129"/>
      <c r="L457" s="31"/>
      <c r="M457" s="31"/>
    </row>
    <row r="458">
      <c r="A458" s="17"/>
      <c r="B458" s="20"/>
      <c r="C458" s="21"/>
      <c r="D458" s="21"/>
      <c r="E458" s="23"/>
      <c r="F458" s="24"/>
      <c r="G458" s="27"/>
      <c r="H458" s="23"/>
      <c r="I458" s="27"/>
      <c r="J458" s="29"/>
      <c r="K458" s="129"/>
      <c r="L458" s="31"/>
      <c r="M458" s="31"/>
    </row>
    <row r="459">
      <c r="A459" s="17"/>
      <c r="B459" s="20"/>
      <c r="C459" s="21"/>
      <c r="D459" s="21"/>
      <c r="E459" s="23"/>
      <c r="F459" s="24"/>
      <c r="G459" s="27"/>
      <c r="H459" s="23"/>
      <c r="I459" s="27"/>
      <c r="J459" s="29"/>
      <c r="K459" s="129"/>
      <c r="L459" s="31"/>
      <c r="M459" s="31"/>
    </row>
    <row r="460">
      <c r="A460" s="17"/>
      <c r="B460" s="20"/>
      <c r="C460" s="21"/>
      <c r="D460" s="21"/>
      <c r="E460" s="23"/>
      <c r="F460" s="24"/>
      <c r="G460" s="27"/>
      <c r="H460" s="23"/>
      <c r="I460" s="27"/>
      <c r="J460" s="29"/>
      <c r="K460" s="129"/>
      <c r="L460" s="31"/>
      <c r="M460" s="31"/>
    </row>
    <row r="461">
      <c r="A461" s="17"/>
      <c r="B461" s="20"/>
      <c r="C461" s="21"/>
      <c r="D461" s="21"/>
      <c r="E461" s="23"/>
      <c r="F461" s="24"/>
      <c r="G461" s="27"/>
      <c r="H461" s="23"/>
      <c r="I461" s="27"/>
      <c r="J461" s="29"/>
      <c r="K461" s="129"/>
      <c r="L461" s="31"/>
      <c r="M461" s="31"/>
    </row>
    <row r="462">
      <c r="A462" s="17"/>
      <c r="B462" s="20"/>
      <c r="C462" s="21"/>
      <c r="D462" s="21"/>
      <c r="E462" s="23"/>
      <c r="F462" s="24"/>
      <c r="G462" s="27"/>
      <c r="H462" s="23"/>
      <c r="I462" s="27"/>
      <c r="J462" s="29"/>
      <c r="K462" s="129"/>
      <c r="L462" s="31"/>
      <c r="M462" s="31"/>
    </row>
    <row r="463">
      <c r="A463" s="17"/>
      <c r="B463" s="20"/>
      <c r="C463" s="21"/>
      <c r="D463" s="21"/>
      <c r="E463" s="23"/>
      <c r="F463" s="24"/>
      <c r="G463" s="27"/>
      <c r="H463" s="23"/>
      <c r="I463" s="27"/>
      <c r="J463" s="29"/>
      <c r="K463" s="129"/>
      <c r="L463" s="31"/>
      <c r="M463" s="31"/>
    </row>
    <row r="464">
      <c r="A464" s="17"/>
      <c r="B464" s="20"/>
      <c r="C464" s="21"/>
      <c r="D464" s="21"/>
      <c r="E464" s="23"/>
      <c r="F464" s="24"/>
      <c r="G464" s="27"/>
      <c r="H464" s="23"/>
      <c r="I464" s="27"/>
      <c r="J464" s="29"/>
      <c r="K464" s="129"/>
      <c r="L464" s="31"/>
      <c r="M464" s="31"/>
    </row>
    <row r="465">
      <c r="A465" s="17"/>
      <c r="B465" s="20"/>
      <c r="C465" s="21"/>
      <c r="D465" s="21"/>
      <c r="E465" s="23"/>
      <c r="F465" s="24"/>
      <c r="G465" s="27"/>
      <c r="H465" s="23"/>
      <c r="I465" s="27"/>
      <c r="J465" s="29"/>
      <c r="K465" s="129"/>
      <c r="L465" s="31"/>
      <c r="M465" s="31"/>
    </row>
    <row r="466">
      <c r="A466" s="17"/>
      <c r="B466" s="20"/>
      <c r="C466" s="21"/>
      <c r="D466" s="21"/>
      <c r="E466" s="23"/>
      <c r="F466" s="24"/>
      <c r="G466" s="27"/>
      <c r="H466" s="23"/>
      <c r="I466" s="27"/>
      <c r="J466" s="29"/>
      <c r="K466" s="129"/>
      <c r="L466" s="31"/>
      <c r="M466" s="31"/>
    </row>
    <row r="467">
      <c r="A467" s="17"/>
      <c r="B467" s="20"/>
      <c r="C467" s="21"/>
      <c r="D467" s="21"/>
      <c r="E467" s="23"/>
      <c r="F467" s="24"/>
      <c r="G467" s="27"/>
      <c r="H467" s="23"/>
      <c r="I467" s="27"/>
      <c r="J467" s="29"/>
      <c r="K467" s="129"/>
      <c r="L467" s="31"/>
      <c r="M467" s="31"/>
    </row>
    <row r="468">
      <c r="A468" s="17"/>
      <c r="B468" s="20"/>
      <c r="C468" s="21"/>
      <c r="D468" s="21"/>
      <c r="E468" s="23"/>
      <c r="F468" s="24"/>
      <c r="G468" s="27"/>
      <c r="H468" s="23"/>
      <c r="I468" s="27"/>
      <c r="J468" s="29"/>
      <c r="K468" s="129"/>
      <c r="L468" s="31"/>
      <c r="M468" s="31"/>
    </row>
    <row r="469">
      <c r="A469" s="17"/>
      <c r="B469" s="20"/>
      <c r="C469" s="21"/>
      <c r="D469" s="21"/>
      <c r="E469" s="23"/>
      <c r="F469" s="24"/>
      <c r="G469" s="27"/>
      <c r="H469" s="23"/>
      <c r="I469" s="27"/>
      <c r="J469" s="29"/>
      <c r="K469" s="129"/>
      <c r="L469" s="31"/>
      <c r="M469" s="31"/>
    </row>
    <row r="470">
      <c r="A470" s="17"/>
      <c r="B470" s="20"/>
      <c r="C470" s="21"/>
      <c r="D470" s="21"/>
      <c r="E470" s="23"/>
      <c r="F470" s="24"/>
      <c r="G470" s="27"/>
      <c r="H470" s="23"/>
      <c r="I470" s="27"/>
      <c r="J470" s="29"/>
      <c r="K470" s="129"/>
      <c r="L470" s="31"/>
      <c r="M470" s="31"/>
    </row>
    <row r="471">
      <c r="A471" s="17"/>
      <c r="B471" s="20"/>
      <c r="C471" s="21"/>
      <c r="D471" s="21"/>
      <c r="E471" s="23"/>
      <c r="F471" s="24"/>
      <c r="G471" s="27"/>
      <c r="H471" s="23"/>
      <c r="I471" s="27"/>
      <c r="J471" s="29"/>
      <c r="K471" s="129"/>
      <c r="L471" s="31"/>
      <c r="M471" s="31"/>
    </row>
    <row r="472">
      <c r="A472" s="17"/>
      <c r="B472" s="20"/>
      <c r="C472" s="21"/>
      <c r="D472" s="21"/>
      <c r="E472" s="23"/>
      <c r="F472" s="24"/>
      <c r="G472" s="27"/>
      <c r="H472" s="23"/>
      <c r="I472" s="27"/>
      <c r="J472" s="29"/>
      <c r="K472" s="129"/>
      <c r="L472" s="31"/>
      <c r="M472" s="31"/>
    </row>
    <row r="473">
      <c r="A473" s="17"/>
      <c r="B473" s="20"/>
      <c r="C473" s="21"/>
      <c r="D473" s="21"/>
      <c r="E473" s="23"/>
      <c r="F473" s="24"/>
      <c r="G473" s="27"/>
      <c r="H473" s="23"/>
      <c r="I473" s="27"/>
      <c r="J473" s="29"/>
      <c r="K473" s="129"/>
      <c r="L473" s="31"/>
      <c r="M473" s="31"/>
    </row>
    <row r="474">
      <c r="A474" s="17"/>
      <c r="B474" s="20"/>
      <c r="C474" s="21"/>
      <c r="D474" s="21"/>
      <c r="E474" s="23"/>
      <c r="F474" s="24"/>
      <c r="G474" s="27"/>
      <c r="H474" s="23"/>
      <c r="I474" s="27"/>
      <c r="J474" s="29"/>
      <c r="K474" s="129"/>
      <c r="L474" s="31"/>
      <c r="M474" s="31"/>
    </row>
    <row r="475">
      <c r="A475" s="17"/>
      <c r="B475" s="20"/>
      <c r="C475" s="21"/>
      <c r="D475" s="21"/>
      <c r="E475" s="23"/>
      <c r="F475" s="24"/>
      <c r="G475" s="27"/>
      <c r="H475" s="23"/>
      <c r="I475" s="27"/>
      <c r="J475" s="29"/>
      <c r="K475" s="129"/>
      <c r="L475" s="31"/>
      <c r="M475" s="31"/>
    </row>
    <row r="476">
      <c r="A476" s="17"/>
      <c r="B476" s="20"/>
      <c r="C476" s="21"/>
      <c r="D476" s="21"/>
      <c r="E476" s="23"/>
      <c r="F476" s="24"/>
      <c r="G476" s="27"/>
      <c r="H476" s="23"/>
      <c r="I476" s="27"/>
      <c r="J476" s="29"/>
      <c r="K476" s="129"/>
      <c r="L476" s="31"/>
      <c r="M476" s="31"/>
    </row>
    <row r="477">
      <c r="A477" s="17"/>
      <c r="B477" s="20"/>
      <c r="C477" s="21"/>
      <c r="D477" s="21"/>
      <c r="E477" s="23"/>
      <c r="F477" s="24"/>
      <c r="G477" s="27"/>
      <c r="H477" s="23"/>
      <c r="I477" s="27"/>
      <c r="J477" s="29"/>
      <c r="K477" s="129"/>
      <c r="L477" s="31"/>
      <c r="M477" s="31"/>
    </row>
    <row r="478">
      <c r="A478" s="17"/>
      <c r="B478" s="20"/>
      <c r="C478" s="21"/>
      <c r="D478" s="21"/>
      <c r="E478" s="23"/>
      <c r="F478" s="24"/>
      <c r="G478" s="27"/>
      <c r="H478" s="23"/>
      <c r="I478" s="27"/>
      <c r="J478" s="29"/>
      <c r="K478" s="129"/>
      <c r="L478" s="31"/>
      <c r="M478" s="31"/>
    </row>
    <row r="479">
      <c r="A479" s="17"/>
      <c r="B479" s="20"/>
      <c r="C479" s="21"/>
      <c r="D479" s="21"/>
      <c r="E479" s="23"/>
      <c r="F479" s="24"/>
      <c r="G479" s="27"/>
      <c r="H479" s="23"/>
      <c r="I479" s="27"/>
      <c r="J479" s="29"/>
      <c r="K479" s="129"/>
      <c r="L479" s="31"/>
      <c r="M479" s="31"/>
    </row>
    <row r="480">
      <c r="A480" s="17"/>
      <c r="B480" s="20"/>
      <c r="C480" s="21"/>
      <c r="D480" s="21"/>
      <c r="E480" s="23"/>
      <c r="F480" s="24"/>
      <c r="G480" s="27"/>
      <c r="H480" s="23"/>
      <c r="I480" s="27"/>
      <c r="J480" s="29"/>
      <c r="K480" s="129"/>
      <c r="L480" s="31"/>
      <c r="M480" s="31"/>
    </row>
    <row r="481">
      <c r="A481" s="17"/>
      <c r="B481" s="20"/>
      <c r="C481" s="21"/>
      <c r="D481" s="21"/>
      <c r="E481" s="23"/>
      <c r="F481" s="24"/>
      <c r="G481" s="27"/>
      <c r="H481" s="23"/>
      <c r="I481" s="27"/>
      <c r="J481" s="29"/>
      <c r="K481" s="129"/>
      <c r="L481" s="31"/>
      <c r="M481" s="31"/>
    </row>
    <row r="482">
      <c r="A482" s="17"/>
      <c r="B482" s="20"/>
      <c r="C482" s="21"/>
      <c r="D482" s="21"/>
      <c r="E482" s="23"/>
      <c r="F482" s="24"/>
      <c r="G482" s="27"/>
      <c r="H482" s="23"/>
      <c r="I482" s="27"/>
      <c r="J482" s="29"/>
      <c r="K482" s="129"/>
      <c r="L482" s="31"/>
      <c r="M482" s="31"/>
    </row>
    <row r="483">
      <c r="A483" s="17"/>
      <c r="B483" s="20"/>
      <c r="C483" s="21"/>
      <c r="D483" s="21"/>
      <c r="E483" s="23"/>
      <c r="F483" s="24"/>
      <c r="G483" s="27"/>
      <c r="H483" s="23"/>
      <c r="I483" s="27"/>
      <c r="J483" s="29"/>
      <c r="K483" s="129"/>
      <c r="L483" s="31"/>
      <c r="M483" s="31"/>
    </row>
    <row r="484">
      <c r="A484" s="17"/>
      <c r="B484" s="20"/>
      <c r="C484" s="21"/>
      <c r="D484" s="21"/>
      <c r="E484" s="23"/>
      <c r="F484" s="24"/>
      <c r="G484" s="27"/>
      <c r="H484" s="23"/>
      <c r="I484" s="27"/>
      <c r="J484" s="29"/>
      <c r="K484" s="129"/>
      <c r="L484" s="31"/>
      <c r="M484" s="31"/>
    </row>
    <row r="485">
      <c r="A485" s="17"/>
      <c r="B485" s="20"/>
      <c r="C485" s="21"/>
      <c r="D485" s="21"/>
      <c r="E485" s="23"/>
      <c r="F485" s="24"/>
      <c r="G485" s="27"/>
      <c r="H485" s="23"/>
      <c r="I485" s="27"/>
      <c r="J485" s="29"/>
      <c r="K485" s="129"/>
      <c r="L485" s="31"/>
      <c r="M485" s="31"/>
    </row>
    <row r="486">
      <c r="A486" s="17"/>
      <c r="B486" s="20"/>
      <c r="C486" s="21"/>
      <c r="D486" s="21"/>
      <c r="E486" s="23"/>
      <c r="F486" s="24"/>
      <c r="G486" s="27"/>
      <c r="H486" s="23"/>
      <c r="I486" s="27"/>
      <c r="J486" s="29"/>
      <c r="K486" s="129"/>
      <c r="L486" s="31"/>
      <c r="M486" s="31"/>
    </row>
    <row r="487">
      <c r="A487" s="17"/>
      <c r="B487" s="20"/>
      <c r="C487" s="21"/>
      <c r="D487" s="21"/>
      <c r="E487" s="23"/>
      <c r="F487" s="24"/>
      <c r="G487" s="27"/>
      <c r="H487" s="23"/>
      <c r="I487" s="27"/>
      <c r="J487" s="29"/>
      <c r="K487" s="129"/>
      <c r="L487" s="31"/>
      <c r="M487" s="31"/>
    </row>
    <row r="488">
      <c r="A488" s="12"/>
      <c r="B488" s="13"/>
      <c r="C488" s="14"/>
      <c r="D488" s="14"/>
      <c r="E488" s="15"/>
      <c r="F488" s="16"/>
      <c r="G488" s="18"/>
      <c r="H488" s="15"/>
      <c r="I488" s="18"/>
      <c r="J488" s="22"/>
      <c r="K488" s="108"/>
      <c r="L488" s="26"/>
      <c r="M488" s="26"/>
    </row>
    <row r="489">
      <c r="A489" s="12"/>
      <c r="B489" s="13"/>
      <c r="C489" s="14"/>
      <c r="D489" s="14"/>
      <c r="E489" s="15"/>
      <c r="F489" s="16"/>
      <c r="G489" s="18"/>
      <c r="H489" s="15"/>
      <c r="I489" s="18"/>
      <c r="J489" s="22"/>
      <c r="K489" s="108"/>
      <c r="L489" s="26"/>
      <c r="M489" s="26"/>
    </row>
    <row r="490">
      <c r="A490" s="12"/>
      <c r="B490" s="13"/>
      <c r="C490" s="14"/>
      <c r="D490" s="14"/>
      <c r="E490" s="15"/>
      <c r="F490" s="16"/>
      <c r="G490" s="18"/>
      <c r="H490" s="15"/>
      <c r="I490" s="18"/>
      <c r="J490" s="22"/>
      <c r="K490" s="108"/>
      <c r="L490" s="26"/>
      <c r="M490" s="26"/>
    </row>
    <row r="491">
      <c r="A491" s="12"/>
      <c r="B491" s="13"/>
      <c r="C491" s="14"/>
      <c r="D491" s="14"/>
      <c r="E491" s="15"/>
      <c r="F491" s="16"/>
      <c r="G491" s="18"/>
      <c r="H491" s="15"/>
      <c r="I491" s="18"/>
      <c r="J491" s="22"/>
      <c r="K491" s="108"/>
      <c r="L491" s="26"/>
      <c r="M491" s="26"/>
    </row>
    <row r="492">
      <c r="A492" s="12"/>
      <c r="B492" s="13"/>
      <c r="C492" s="14"/>
      <c r="D492" s="14"/>
      <c r="E492" s="15"/>
      <c r="F492" s="16"/>
      <c r="G492" s="18"/>
      <c r="H492" s="15"/>
      <c r="I492" s="18"/>
      <c r="J492" s="22"/>
      <c r="K492" s="108"/>
      <c r="L492" s="26"/>
      <c r="M492" s="26"/>
    </row>
    <row r="493">
      <c r="A493" s="12"/>
      <c r="B493" s="13"/>
      <c r="C493" s="14"/>
      <c r="D493" s="14"/>
      <c r="E493" s="15"/>
      <c r="F493" s="16"/>
      <c r="G493" s="18"/>
      <c r="H493" s="15"/>
      <c r="I493" s="18"/>
      <c r="J493" s="22"/>
      <c r="K493" s="108"/>
      <c r="L493" s="26"/>
      <c r="M493" s="26"/>
    </row>
    <row r="494">
      <c r="A494" s="12"/>
      <c r="B494" s="13"/>
      <c r="C494" s="14"/>
      <c r="D494" s="14"/>
      <c r="E494" s="15"/>
      <c r="F494" s="16"/>
      <c r="G494" s="18"/>
      <c r="H494" s="15"/>
      <c r="I494" s="18"/>
      <c r="J494" s="22"/>
      <c r="K494" s="108"/>
      <c r="L494" s="26"/>
      <c r="M494" s="26"/>
    </row>
    <row r="495">
      <c r="A495" s="12"/>
      <c r="B495" s="13"/>
      <c r="C495" s="14"/>
      <c r="D495" s="14"/>
      <c r="E495" s="15"/>
      <c r="F495" s="16"/>
      <c r="G495" s="18"/>
      <c r="H495" s="15"/>
      <c r="I495" s="18"/>
      <c r="J495" s="22"/>
      <c r="K495" s="108"/>
      <c r="L495" s="26"/>
      <c r="M495" s="26"/>
    </row>
    <row r="496">
      <c r="A496" s="12"/>
      <c r="B496" s="13"/>
      <c r="C496" s="14"/>
      <c r="D496" s="14"/>
      <c r="E496" s="15"/>
      <c r="F496" s="16"/>
      <c r="G496" s="18"/>
      <c r="H496" s="15"/>
      <c r="I496" s="18"/>
      <c r="J496" s="22"/>
      <c r="K496" s="108"/>
      <c r="L496" s="26"/>
      <c r="M496" s="26"/>
    </row>
    <row r="497">
      <c r="A497" s="12"/>
      <c r="B497" s="13"/>
      <c r="C497" s="14"/>
      <c r="D497" s="14"/>
      <c r="E497" s="15"/>
      <c r="F497" s="16"/>
      <c r="G497" s="18"/>
      <c r="H497" s="15"/>
      <c r="I497" s="18"/>
      <c r="J497" s="22"/>
      <c r="K497" s="108"/>
      <c r="L497" s="26"/>
      <c r="M497" s="26"/>
    </row>
    <row r="498">
      <c r="A498" s="12"/>
      <c r="B498" s="13"/>
      <c r="C498" s="14"/>
      <c r="D498" s="14"/>
      <c r="E498" s="15"/>
      <c r="F498" s="16"/>
      <c r="G498" s="18"/>
      <c r="H498" s="15"/>
      <c r="I498" s="18"/>
      <c r="J498" s="22"/>
      <c r="K498" s="108"/>
      <c r="L498" s="26"/>
      <c r="M498" s="26"/>
    </row>
    <row r="499">
      <c r="A499" s="12"/>
      <c r="B499" s="13"/>
      <c r="C499" s="14"/>
      <c r="D499" s="14"/>
      <c r="E499" s="15"/>
      <c r="F499" s="16"/>
      <c r="G499" s="18"/>
      <c r="H499" s="15"/>
      <c r="I499" s="18"/>
      <c r="J499" s="22"/>
      <c r="K499" s="108"/>
      <c r="L499" s="26"/>
      <c r="M499" s="26"/>
    </row>
    <row r="500">
      <c r="A500" s="12"/>
      <c r="B500" s="13"/>
      <c r="C500" s="14"/>
      <c r="D500" s="14"/>
      <c r="E500" s="15"/>
      <c r="F500" s="16"/>
      <c r="G500" s="18"/>
      <c r="H500" s="15"/>
      <c r="I500" s="18"/>
      <c r="J500" s="22"/>
      <c r="K500" s="108"/>
      <c r="L500" s="26"/>
      <c r="M500" s="26"/>
    </row>
    <row r="501">
      <c r="A501" s="12"/>
      <c r="B501" s="13"/>
      <c r="C501" s="14"/>
      <c r="D501" s="14"/>
      <c r="E501" s="15"/>
      <c r="F501" s="16"/>
      <c r="G501" s="18"/>
      <c r="H501" s="15"/>
      <c r="I501" s="18"/>
      <c r="J501" s="22"/>
      <c r="K501" s="108"/>
      <c r="L501" s="26"/>
      <c r="M501" s="26"/>
    </row>
    <row r="502">
      <c r="A502" s="12"/>
      <c r="B502" s="13"/>
      <c r="C502" s="14"/>
      <c r="D502" s="14"/>
      <c r="E502" s="15"/>
      <c r="F502" s="16"/>
      <c r="G502" s="18"/>
      <c r="H502" s="15"/>
      <c r="I502" s="18"/>
      <c r="J502" s="22"/>
      <c r="K502" s="108"/>
      <c r="L502" s="26"/>
      <c r="M502" s="26"/>
    </row>
    <row r="503">
      <c r="A503" s="12"/>
      <c r="B503" s="13"/>
      <c r="C503" s="14"/>
      <c r="D503" s="14"/>
      <c r="E503" s="15"/>
      <c r="F503" s="16"/>
      <c r="G503" s="18"/>
      <c r="H503" s="15"/>
      <c r="I503" s="18"/>
      <c r="J503" s="22"/>
      <c r="K503" s="108"/>
      <c r="L503" s="26"/>
      <c r="M503" s="26"/>
    </row>
    <row r="504">
      <c r="A504" s="12"/>
      <c r="B504" s="13"/>
      <c r="C504" s="14"/>
      <c r="D504" s="14"/>
      <c r="E504" s="15"/>
      <c r="F504" s="16"/>
      <c r="G504" s="18"/>
      <c r="H504" s="15"/>
      <c r="I504" s="18"/>
      <c r="J504" s="22"/>
      <c r="K504" s="108"/>
      <c r="L504" s="26"/>
      <c r="M504" s="26"/>
    </row>
    <row r="505">
      <c r="A505" s="12"/>
      <c r="B505" s="13"/>
      <c r="C505" s="14"/>
      <c r="D505" s="14"/>
      <c r="E505" s="15"/>
      <c r="F505" s="16"/>
      <c r="G505" s="18"/>
      <c r="H505" s="15"/>
      <c r="I505" s="18"/>
      <c r="J505" s="22"/>
      <c r="K505" s="108"/>
      <c r="L505" s="26"/>
      <c r="M505" s="26"/>
    </row>
    <row r="506">
      <c r="A506" s="12"/>
      <c r="B506" s="13"/>
      <c r="C506" s="14"/>
      <c r="D506" s="14"/>
      <c r="E506" s="15"/>
      <c r="F506" s="16"/>
      <c r="G506" s="18"/>
      <c r="H506" s="15"/>
      <c r="I506" s="18"/>
      <c r="J506" s="22"/>
      <c r="K506" s="108"/>
      <c r="L506" s="26"/>
      <c r="M506" s="26"/>
    </row>
    <row r="507">
      <c r="A507" s="12"/>
      <c r="B507" s="13"/>
      <c r="C507" s="14"/>
      <c r="D507" s="14"/>
      <c r="E507" s="15"/>
      <c r="F507" s="16"/>
      <c r="G507" s="18"/>
      <c r="H507" s="15"/>
      <c r="I507" s="18"/>
      <c r="J507" s="22"/>
      <c r="K507" s="108"/>
      <c r="L507" s="26"/>
      <c r="M507" s="26"/>
    </row>
    <row r="508">
      <c r="A508" s="12"/>
      <c r="B508" s="13"/>
      <c r="C508" s="14"/>
      <c r="D508" s="14"/>
      <c r="E508" s="15"/>
      <c r="F508" s="16"/>
      <c r="G508" s="18"/>
      <c r="H508" s="15"/>
      <c r="I508" s="18"/>
      <c r="J508" s="22"/>
      <c r="K508" s="108"/>
      <c r="L508" s="26"/>
      <c r="M508" s="26"/>
    </row>
    <row r="509">
      <c r="A509" s="12"/>
      <c r="B509" s="13"/>
      <c r="C509" s="14"/>
      <c r="D509" s="14"/>
      <c r="E509" s="15"/>
      <c r="F509" s="16"/>
      <c r="G509" s="18"/>
      <c r="H509" s="15"/>
      <c r="I509" s="18"/>
      <c r="J509" s="22"/>
      <c r="K509" s="108"/>
      <c r="L509" s="26"/>
      <c r="M509" s="26"/>
    </row>
    <row r="510">
      <c r="A510" s="12"/>
      <c r="B510" s="13"/>
      <c r="C510" s="14"/>
      <c r="D510" s="14"/>
      <c r="E510" s="15"/>
      <c r="F510" s="16"/>
      <c r="G510" s="18"/>
      <c r="H510" s="15"/>
      <c r="I510" s="18"/>
      <c r="J510" s="22"/>
      <c r="K510" s="108"/>
      <c r="L510" s="26"/>
      <c r="M510" s="26"/>
    </row>
    <row r="511">
      <c r="A511" s="12"/>
      <c r="B511" s="13"/>
      <c r="C511" s="14"/>
      <c r="D511" s="14"/>
      <c r="E511" s="15"/>
      <c r="F511" s="16"/>
      <c r="G511" s="18"/>
      <c r="H511" s="15"/>
      <c r="I511" s="18"/>
      <c r="J511" s="22"/>
      <c r="K511" s="108"/>
      <c r="L511" s="26"/>
      <c r="M511" s="26"/>
    </row>
    <row r="512">
      <c r="A512" s="12"/>
      <c r="B512" s="13"/>
      <c r="C512" s="14"/>
      <c r="D512" s="14"/>
      <c r="E512" s="15"/>
      <c r="F512" s="16"/>
      <c r="G512" s="18"/>
      <c r="H512" s="15"/>
      <c r="I512" s="18"/>
      <c r="J512" s="22"/>
      <c r="K512" s="108"/>
      <c r="L512" s="26"/>
      <c r="M512" s="26"/>
    </row>
    <row r="513">
      <c r="A513" s="12"/>
      <c r="B513" s="13"/>
      <c r="C513" s="14"/>
      <c r="D513" s="14"/>
      <c r="E513" s="15"/>
      <c r="F513" s="16"/>
      <c r="G513" s="18"/>
      <c r="H513" s="15"/>
      <c r="I513" s="18"/>
      <c r="J513" s="22"/>
      <c r="K513" s="108"/>
      <c r="L513" s="26"/>
      <c r="M513" s="26"/>
    </row>
    <row r="514">
      <c r="A514" s="12"/>
      <c r="B514" s="13"/>
      <c r="C514" s="14"/>
      <c r="D514" s="14"/>
      <c r="E514" s="15"/>
      <c r="F514" s="16"/>
      <c r="G514" s="18"/>
      <c r="H514" s="15"/>
      <c r="I514" s="18"/>
      <c r="J514" s="22"/>
      <c r="K514" s="108"/>
      <c r="L514" s="26"/>
      <c r="M514" s="26"/>
    </row>
    <row r="515">
      <c r="A515" s="12"/>
      <c r="B515" s="13"/>
      <c r="C515" s="14"/>
      <c r="D515" s="14"/>
      <c r="E515" s="15"/>
      <c r="F515" s="16"/>
      <c r="G515" s="18"/>
      <c r="H515" s="15"/>
      <c r="I515" s="18"/>
      <c r="J515" s="22"/>
      <c r="K515" s="108"/>
      <c r="L515" s="26"/>
      <c r="M515" s="26"/>
    </row>
    <row r="516">
      <c r="A516" s="12"/>
      <c r="B516" s="13"/>
      <c r="C516" s="14"/>
      <c r="D516" s="14"/>
      <c r="E516" s="15"/>
      <c r="F516" s="16"/>
      <c r="G516" s="18"/>
      <c r="H516" s="15"/>
      <c r="I516" s="18"/>
      <c r="J516" s="22"/>
      <c r="K516" s="108"/>
      <c r="L516" s="26"/>
      <c r="M516" s="26"/>
    </row>
    <row r="517">
      <c r="A517" s="12"/>
      <c r="B517" s="13"/>
      <c r="C517" s="14"/>
      <c r="D517" s="14"/>
      <c r="E517" s="15"/>
      <c r="F517" s="16"/>
      <c r="G517" s="18"/>
      <c r="H517" s="15"/>
      <c r="I517" s="18"/>
      <c r="J517" s="22"/>
      <c r="K517" s="108"/>
      <c r="L517" s="26"/>
      <c r="M517" s="26"/>
    </row>
    <row r="518">
      <c r="A518" s="12"/>
      <c r="B518" s="13"/>
      <c r="C518" s="14"/>
      <c r="D518" s="14"/>
      <c r="E518" s="15"/>
      <c r="F518" s="16"/>
      <c r="G518" s="18"/>
      <c r="H518" s="15"/>
      <c r="I518" s="18"/>
      <c r="J518" s="22"/>
      <c r="K518" s="108"/>
      <c r="L518" s="26"/>
      <c r="M518" s="26"/>
    </row>
    <row r="519">
      <c r="A519" s="12"/>
      <c r="B519" s="13"/>
      <c r="C519" s="14"/>
      <c r="D519" s="14"/>
      <c r="E519" s="15"/>
      <c r="F519" s="16"/>
      <c r="G519" s="18"/>
      <c r="H519" s="15"/>
      <c r="I519" s="18"/>
      <c r="J519" s="22"/>
      <c r="K519" s="108"/>
      <c r="L519" s="26"/>
      <c r="M519" s="26"/>
    </row>
    <row r="520">
      <c r="A520" s="12"/>
      <c r="B520" s="13"/>
      <c r="C520" s="14"/>
      <c r="D520" s="14"/>
      <c r="E520" s="15"/>
      <c r="F520" s="16"/>
      <c r="G520" s="18"/>
      <c r="H520" s="15"/>
      <c r="I520" s="18"/>
      <c r="J520" s="22"/>
      <c r="K520" s="108"/>
      <c r="L520" s="26"/>
      <c r="M520" s="26"/>
    </row>
    <row r="521">
      <c r="A521" s="12"/>
      <c r="B521" s="13"/>
      <c r="C521" s="14"/>
      <c r="D521" s="14"/>
      <c r="E521" s="15"/>
      <c r="F521" s="16"/>
      <c r="G521" s="18"/>
      <c r="H521" s="15"/>
      <c r="I521" s="18"/>
      <c r="J521" s="22"/>
      <c r="K521" s="108"/>
      <c r="L521" s="26"/>
      <c r="M521" s="26"/>
    </row>
    <row r="522">
      <c r="A522" s="12"/>
      <c r="B522" s="13"/>
      <c r="C522" s="14"/>
      <c r="D522" s="14"/>
      <c r="E522" s="15"/>
      <c r="F522" s="16"/>
      <c r="G522" s="18"/>
      <c r="H522" s="15"/>
      <c r="I522" s="18"/>
      <c r="J522" s="22"/>
      <c r="K522" s="108"/>
      <c r="L522" s="26"/>
      <c r="M522" s="26"/>
    </row>
    <row r="523">
      <c r="A523" s="12"/>
      <c r="B523" s="13"/>
      <c r="C523" s="14"/>
      <c r="D523" s="14"/>
      <c r="E523" s="15"/>
      <c r="F523" s="16"/>
      <c r="G523" s="18"/>
      <c r="H523" s="15"/>
      <c r="I523" s="18"/>
      <c r="J523" s="22"/>
      <c r="K523" s="108"/>
      <c r="L523" s="26"/>
      <c r="M523" s="26"/>
    </row>
    <row r="524">
      <c r="A524" s="12"/>
      <c r="B524" s="13"/>
      <c r="C524" s="14"/>
      <c r="D524" s="14"/>
      <c r="E524" s="15"/>
      <c r="F524" s="16"/>
      <c r="G524" s="18"/>
      <c r="H524" s="15"/>
      <c r="I524" s="18"/>
      <c r="J524" s="22"/>
      <c r="K524" s="108"/>
      <c r="L524" s="26"/>
      <c r="M524" s="26"/>
    </row>
    <row r="525">
      <c r="A525" s="12"/>
      <c r="B525" s="13"/>
      <c r="C525" s="14"/>
      <c r="D525" s="14"/>
      <c r="E525" s="15"/>
      <c r="F525" s="16"/>
      <c r="G525" s="18"/>
      <c r="H525" s="15"/>
      <c r="I525" s="18"/>
      <c r="J525" s="22"/>
      <c r="K525" s="108"/>
      <c r="L525" s="26"/>
      <c r="M525" s="26"/>
    </row>
    <row r="526">
      <c r="A526" s="12"/>
      <c r="B526" s="13"/>
      <c r="C526" s="14"/>
      <c r="D526" s="14"/>
      <c r="E526" s="15"/>
      <c r="F526" s="16"/>
      <c r="G526" s="18"/>
      <c r="H526" s="15"/>
      <c r="I526" s="18"/>
      <c r="J526" s="22"/>
      <c r="K526" s="108"/>
      <c r="L526" s="26"/>
      <c r="M526" s="26"/>
    </row>
    <row r="527">
      <c r="A527" s="12"/>
      <c r="B527" s="13"/>
      <c r="C527" s="14"/>
      <c r="D527" s="14"/>
      <c r="E527" s="15"/>
      <c r="F527" s="16"/>
      <c r="G527" s="18"/>
      <c r="H527" s="15"/>
      <c r="I527" s="18"/>
      <c r="J527" s="22"/>
      <c r="K527" s="108"/>
      <c r="L527" s="26"/>
      <c r="M527" s="26"/>
    </row>
    <row r="528">
      <c r="A528" s="12"/>
      <c r="B528" s="13"/>
      <c r="C528" s="14"/>
      <c r="D528" s="14"/>
      <c r="E528" s="15"/>
      <c r="F528" s="16"/>
      <c r="G528" s="18"/>
      <c r="H528" s="15"/>
      <c r="I528" s="18"/>
      <c r="J528" s="22"/>
      <c r="K528" s="108"/>
      <c r="L528" s="26"/>
      <c r="M528" s="26"/>
    </row>
    <row r="529">
      <c r="A529" s="12"/>
      <c r="B529" s="13"/>
      <c r="C529" s="14"/>
      <c r="D529" s="14"/>
      <c r="E529" s="15"/>
      <c r="F529" s="16"/>
      <c r="G529" s="18"/>
      <c r="H529" s="15"/>
      <c r="I529" s="18"/>
      <c r="J529" s="22"/>
      <c r="K529" s="108"/>
      <c r="L529" s="26"/>
      <c r="M529" s="26"/>
    </row>
    <row r="530">
      <c r="A530" s="12"/>
      <c r="B530" s="13"/>
      <c r="C530" s="14"/>
      <c r="D530" s="14"/>
      <c r="E530" s="15"/>
      <c r="F530" s="16"/>
      <c r="G530" s="18"/>
      <c r="H530" s="15"/>
      <c r="I530" s="18"/>
      <c r="J530" s="22"/>
      <c r="K530" s="108"/>
      <c r="L530" s="26"/>
      <c r="M530" s="26"/>
    </row>
    <row r="531">
      <c r="A531" s="12"/>
      <c r="B531" s="13"/>
      <c r="C531" s="14"/>
      <c r="D531" s="14"/>
      <c r="E531" s="15"/>
      <c r="F531" s="16"/>
      <c r="G531" s="18"/>
      <c r="H531" s="15"/>
      <c r="I531" s="18"/>
      <c r="J531" s="22"/>
      <c r="K531" s="108"/>
      <c r="L531" s="26"/>
      <c r="M531" s="26"/>
    </row>
    <row r="532">
      <c r="A532" s="12"/>
      <c r="B532" s="13"/>
      <c r="C532" s="14"/>
      <c r="D532" s="14"/>
      <c r="E532" s="15"/>
      <c r="F532" s="16"/>
      <c r="G532" s="18"/>
      <c r="H532" s="15"/>
      <c r="I532" s="18"/>
      <c r="J532" s="22"/>
      <c r="K532" s="108"/>
      <c r="L532" s="26"/>
      <c r="M532" s="26"/>
    </row>
    <row r="533">
      <c r="A533" s="12"/>
      <c r="B533" s="13"/>
      <c r="C533" s="14"/>
      <c r="D533" s="14"/>
      <c r="E533" s="15"/>
      <c r="F533" s="16"/>
      <c r="G533" s="18"/>
      <c r="H533" s="15"/>
      <c r="I533" s="18"/>
      <c r="J533" s="22"/>
      <c r="K533" s="108"/>
      <c r="L533" s="26"/>
      <c r="M533" s="26"/>
    </row>
    <row r="534">
      <c r="A534" s="12"/>
      <c r="B534" s="13"/>
      <c r="C534" s="14"/>
      <c r="D534" s="14"/>
      <c r="E534" s="15"/>
      <c r="F534" s="16"/>
      <c r="G534" s="18"/>
      <c r="H534" s="15"/>
      <c r="I534" s="18"/>
      <c r="J534" s="22"/>
      <c r="K534" s="108"/>
      <c r="L534" s="26"/>
      <c r="M534" s="26"/>
    </row>
    <row r="535">
      <c r="A535" s="12"/>
      <c r="B535" s="13"/>
      <c r="C535" s="14"/>
      <c r="D535" s="14"/>
      <c r="E535" s="15"/>
      <c r="F535" s="16"/>
      <c r="G535" s="18"/>
      <c r="H535" s="15"/>
      <c r="I535" s="18"/>
      <c r="J535" s="22"/>
      <c r="K535" s="108"/>
      <c r="L535" s="26"/>
      <c r="M535" s="26"/>
    </row>
    <row r="536">
      <c r="A536" s="12"/>
      <c r="B536" s="13"/>
      <c r="C536" s="14"/>
      <c r="D536" s="14"/>
      <c r="E536" s="15"/>
      <c r="F536" s="16"/>
      <c r="G536" s="18"/>
      <c r="H536" s="15"/>
      <c r="I536" s="18"/>
      <c r="J536" s="22"/>
      <c r="K536" s="108"/>
      <c r="L536" s="26"/>
      <c r="M536" s="26"/>
    </row>
    <row r="537">
      <c r="A537" s="12"/>
      <c r="B537" s="13"/>
      <c r="C537" s="14"/>
      <c r="D537" s="14"/>
      <c r="E537" s="15"/>
      <c r="F537" s="16"/>
      <c r="G537" s="18"/>
      <c r="H537" s="15"/>
      <c r="I537" s="18"/>
      <c r="J537" s="22"/>
      <c r="K537" s="108"/>
      <c r="L537" s="26"/>
      <c r="M537" s="26"/>
    </row>
    <row r="538">
      <c r="A538" s="12"/>
      <c r="B538" s="13"/>
      <c r="C538" s="14"/>
      <c r="D538" s="14"/>
      <c r="E538" s="15"/>
      <c r="F538" s="16"/>
      <c r="G538" s="18"/>
      <c r="H538" s="15"/>
      <c r="I538" s="18"/>
      <c r="J538" s="22"/>
      <c r="K538" s="108"/>
      <c r="L538" s="26"/>
      <c r="M538" s="26"/>
    </row>
    <row r="539">
      <c r="A539" s="12"/>
      <c r="B539" s="13"/>
      <c r="C539" s="14"/>
      <c r="D539" s="14"/>
      <c r="E539" s="15"/>
      <c r="F539" s="16"/>
      <c r="G539" s="18"/>
      <c r="H539" s="15"/>
      <c r="I539" s="18"/>
      <c r="J539" s="22"/>
      <c r="K539" s="108"/>
      <c r="L539" s="26"/>
      <c r="M539" s="26"/>
    </row>
    <row r="540">
      <c r="A540" s="12"/>
      <c r="B540" s="13"/>
      <c r="C540" s="14"/>
      <c r="D540" s="14"/>
      <c r="E540" s="15"/>
      <c r="F540" s="16"/>
      <c r="G540" s="18"/>
      <c r="H540" s="15"/>
      <c r="I540" s="18"/>
      <c r="J540" s="22"/>
      <c r="K540" s="108"/>
      <c r="L540" s="26"/>
      <c r="M540" s="26"/>
    </row>
    <row r="541">
      <c r="A541" s="12"/>
      <c r="B541" s="13"/>
      <c r="C541" s="14"/>
      <c r="D541" s="14"/>
      <c r="E541" s="15"/>
      <c r="F541" s="16"/>
      <c r="G541" s="18"/>
      <c r="H541" s="15"/>
      <c r="I541" s="18"/>
      <c r="J541" s="22"/>
      <c r="K541" s="108"/>
      <c r="L541" s="26"/>
      <c r="M541" s="26"/>
    </row>
    <row r="542">
      <c r="A542" s="12"/>
      <c r="B542" s="13"/>
      <c r="C542" s="14"/>
      <c r="D542" s="14"/>
      <c r="E542" s="15"/>
      <c r="F542" s="16"/>
      <c r="G542" s="18"/>
      <c r="H542" s="15"/>
      <c r="I542" s="18"/>
      <c r="J542" s="22"/>
      <c r="K542" s="108"/>
      <c r="L542" s="26"/>
      <c r="M542" s="26"/>
    </row>
    <row r="543">
      <c r="A543" s="12"/>
      <c r="B543" s="13"/>
      <c r="C543" s="14"/>
      <c r="D543" s="14"/>
      <c r="E543" s="15"/>
      <c r="F543" s="16"/>
      <c r="G543" s="18"/>
      <c r="H543" s="15"/>
      <c r="I543" s="18"/>
      <c r="J543" s="22"/>
      <c r="K543" s="108"/>
      <c r="L543" s="26"/>
      <c r="M543" s="26"/>
    </row>
    <row r="544">
      <c r="A544" s="12"/>
      <c r="B544" s="13"/>
      <c r="C544" s="14"/>
      <c r="D544" s="14"/>
      <c r="E544" s="15"/>
      <c r="F544" s="16"/>
      <c r="G544" s="18"/>
      <c r="H544" s="15"/>
      <c r="I544" s="18"/>
      <c r="J544" s="22"/>
      <c r="K544" s="108"/>
      <c r="L544" s="26"/>
      <c r="M544" s="26"/>
    </row>
    <row r="545">
      <c r="A545" s="12"/>
      <c r="B545" s="13"/>
      <c r="C545" s="14"/>
      <c r="D545" s="14"/>
      <c r="E545" s="15"/>
      <c r="F545" s="16"/>
      <c r="G545" s="18"/>
      <c r="H545" s="15"/>
      <c r="I545" s="18"/>
      <c r="J545" s="22"/>
      <c r="K545" s="108"/>
      <c r="L545" s="26"/>
      <c r="M545" s="26"/>
    </row>
    <row r="546">
      <c r="A546" s="12"/>
      <c r="B546" s="13"/>
      <c r="C546" s="14"/>
      <c r="D546" s="14"/>
      <c r="E546" s="15"/>
      <c r="F546" s="16"/>
      <c r="G546" s="18"/>
      <c r="H546" s="15"/>
      <c r="I546" s="18"/>
      <c r="J546" s="22"/>
      <c r="K546" s="108"/>
      <c r="L546" s="26"/>
      <c r="M546" s="26"/>
    </row>
    <row r="547">
      <c r="A547" s="12"/>
      <c r="B547" s="13"/>
      <c r="C547" s="14"/>
      <c r="D547" s="14"/>
      <c r="E547" s="15"/>
      <c r="F547" s="16"/>
      <c r="G547" s="18"/>
      <c r="H547" s="15"/>
      <c r="I547" s="18"/>
      <c r="J547" s="22"/>
      <c r="K547" s="108"/>
      <c r="L547" s="26"/>
      <c r="M547" s="26"/>
    </row>
    <row r="548">
      <c r="A548" s="12"/>
      <c r="B548" s="13"/>
      <c r="C548" s="14"/>
      <c r="D548" s="14"/>
      <c r="E548" s="15"/>
      <c r="F548" s="16"/>
      <c r="G548" s="18"/>
      <c r="H548" s="15"/>
      <c r="I548" s="18"/>
      <c r="J548" s="22"/>
      <c r="K548" s="108"/>
      <c r="L548" s="26"/>
      <c r="M548" s="26"/>
    </row>
    <row r="549">
      <c r="A549" s="12"/>
      <c r="B549" s="13"/>
      <c r="C549" s="14"/>
      <c r="D549" s="14"/>
      <c r="E549" s="15"/>
      <c r="F549" s="16"/>
      <c r="G549" s="18"/>
      <c r="H549" s="15"/>
      <c r="I549" s="18"/>
      <c r="J549" s="22"/>
      <c r="K549" s="108"/>
      <c r="L549" s="26"/>
      <c r="M549" s="26"/>
    </row>
    <row r="550">
      <c r="A550" s="12"/>
      <c r="B550" s="13"/>
      <c r="C550" s="14"/>
      <c r="D550" s="14"/>
      <c r="E550" s="15"/>
      <c r="F550" s="16"/>
      <c r="G550" s="18"/>
      <c r="H550" s="15"/>
      <c r="I550" s="18"/>
      <c r="J550" s="22"/>
      <c r="K550" s="108"/>
      <c r="L550" s="26"/>
      <c r="M550" s="26"/>
    </row>
    <row r="551">
      <c r="A551" s="12"/>
      <c r="B551" s="13"/>
      <c r="C551" s="14"/>
      <c r="D551" s="14"/>
      <c r="E551" s="15"/>
      <c r="F551" s="16"/>
      <c r="G551" s="18"/>
      <c r="H551" s="15"/>
      <c r="I551" s="18"/>
      <c r="J551" s="22"/>
      <c r="K551" s="108"/>
      <c r="L551" s="26"/>
      <c r="M551" s="26"/>
    </row>
    <row r="552">
      <c r="A552" s="12"/>
      <c r="B552" s="13"/>
      <c r="C552" s="14"/>
      <c r="D552" s="14"/>
      <c r="E552" s="15"/>
      <c r="F552" s="16"/>
      <c r="G552" s="18"/>
      <c r="H552" s="15"/>
      <c r="I552" s="18"/>
      <c r="J552" s="22"/>
      <c r="K552" s="108"/>
      <c r="L552" s="26"/>
      <c r="M552" s="26"/>
    </row>
    <row r="553">
      <c r="A553" s="12"/>
      <c r="B553" s="13"/>
      <c r="C553" s="14"/>
      <c r="D553" s="14"/>
      <c r="E553" s="15"/>
      <c r="F553" s="16"/>
      <c r="G553" s="18"/>
      <c r="H553" s="15"/>
      <c r="I553" s="18"/>
      <c r="J553" s="22"/>
      <c r="K553" s="108"/>
      <c r="L553" s="26"/>
      <c r="M553" s="26"/>
    </row>
    <row r="554">
      <c r="A554" s="12"/>
      <c r="B554" s="13"/>
      <c r="C554" s="14"/>
      <c r="D554" s="14"/>
      <c r="E554" s="15"/>
      <c r="F554" s="16"/>
      <c r="G554" s="18"/>
      <c r="H554" s="15"/>
      <c r="I554" s="18"/>
      <c r="J554" s="22"/>
      <c r="K554" s="108"/>
      <c r="L554" s="26"/>
      <c r="M554" s="26"/>
    </row>
    <row r="555">
      <c r="A555" s="12"/>
      <c r="B555" s="13"/>
      <c r="C555" s="14"/>
      <c r="D555" s="14"/>
      <c r="E555" s="15"/>
      <c r="F555" s="16"/>
      <c r="G555" s="18"/>
      <c r="H555" s="15"/>
      <c r="I555" s="18"/>
      <c r="J555" s="22"/>
      <c r="K555" s="108"/>
      <c r="L555" s="26"/>
      <c r="M555" s="26"/>
    </row>
    <row r="556">
      <c r="A556" s="12"/>
      <c r="B556" s="13"/>
      <c r="C556" s="14"/>
      <c r="D556" s="14"/>
      <c r="E556" s="15"/>
      <c r="F556" s="16"/>
      <c r="G556" s="18"/>
      <c r="H556" s="15"/>
      <c r="I556" s="18"/>
      <c r="J556" s="22"/>
      <c r="K556" s="108"/>
      <c r="L556" s="26"/>
      <c r="M556" s="26"/>
    </row>
    <row r="557">
      <c r="A557" s="12"/>
      <c r="B557" s="13"/>
      <c r="C557" s="14"/>
      <c r="D557" s="14"/>
      <c r="E557" s="15"/>
      <c r="F557" s="16"/>
      <c r="G557" s="18"/>
      <c r="H557" s="15"/>
      <c r="I557" s="18"/>
      <c r="J557" s="22"/>
      <c r="K557" s="108"/>
      <c r="L557" s="26"/>
      <c r="M557" s="26"/>
    </row>
    <row r="558">
      <c r="A558" s="12"/>
      <c r="B558" s="13"/>
      <c r="C558" s="14"/>
      <c r="D558" s="14"/>
      <c r="E558" s="15"/>
      <c r="F558" s="16"/>
      <c r="G558" s="18"/>
      <c r="H558" s="15"/>
      <c r="I558" s="18"/>
      <c r="J558" s="22"/>
      <c r="K558" s="108"/>
      <c r="L558" s="26"/>
      <c r="M558" s="26"/>
    </row>
    <row r="559">
      <c r="A559" s="12"/>
      <c r="B559" s="13"/>
      <c r="C559" s="14"/>
      <c r="D559" s="14"/>
      <c r="E559" s="15"/>
      <c r="F559" s="16"/>
      <c r="G559" s="18"/>
      <c r="H559" s="15"/>
      <c r="I559" s="18"/>
      <c r="J559" s="22"/>
      <c r="K559" s="108"/>
      <c r="L559" s="26"/>
      <c r="M559" s="26"/>
    </row>
    <row r="560">
      <c r="A560" s="12"/>
      <c r="B560" s="13"/>
      <c r="C560" s="14"/>
      <c r="D560" s="14"/>
      <c r="E560" s="15"/>
      <c r="F560" s="16"/>
      <c r="G560" s="18"/>
      <c r="H560" s="15"/>
      <c r="I560" s="18"/>
      <c r="J560" s="22"/>
      <c r="K560" s="108"/>
      <c r="L560" s="26"/>
      <c r="M560" s="26"/>
    </row>
    <row r="561">
      <c r="A561" s="12"/>
      <c r="B561" s="13"/>
      <c r="C561" s="14"/>
      <c r="D561" s="14"/>
      <c r="E561" s="15"/>
      <c r="F561" s="16"/>
      <c r="G561" s="18"/>
      <c r="H561" s="15"/>
      <c r="I561" s="18"/>
      <c r="J561" s="22"/>
      <c r="K561" s="108"/>
      <c r="L561" s="26"/>
      <c r="M561" s="26"/>
    </row>
    <row r="562">
      <c r="A562" s="12"/>
      <c r="B562" s="13"/>
      <c r="C562" s="14"/>
      <c r="D562" s="14"/>
      <c r="E562" s="15"/>
      <c r="F562" s="16"/>
      <c r="G562" s="18"/>
      <c r="H562" s="15"/>
      <c r="I562" s="18"/>
      <c r="J562" s="22"/>
      <c r="K562" s="108"/>
      <c r="L562" s="26"/>
      <c r="M562" s="26"/>
    </row>
    <row r="563">
      <c r="A563" s="12"/>
      <c r="B563" s="13"/>
      <c r="C563" s="14"/>
      <c r="D563" s="14"/>
      <c r="E563" s="15"/>
      <c r="F563" s="16"/>
      <c r="G563" s="18"/>
      <c r="H563" s="15"/>
      <c r="I563" s="18"/>
      <c r="J563" s="22"/>
      <c r="K563" s="108"/>
      <c r="L563" s="26"/>
      <c r="M563" s="26"/>
    </row>
    <row r="564">
      <c r="A564" s="12"/>
      <c r="B564" s="13"/>
      <c r="C564" s="14"/>
      <c r="D564" s="14"/>
      <c r="E564" s="15"/>
      <c r="F564" s="16"/>
      <c r="G564" s="18"/>
      <c r="H564" s="15"/>
      <c r="I564" s="18"/>
      <c r="J564" s="22"/>
      <c r="K564" s="108"/>
      <c r="L564" s="26"/>
      <c r="M564" s="26"/>
    </row>
    <row r="565">
      <c r="A565" s="12"/>
      <c r="B565" s="13"/>
      <c r="C565" s="14"/>
      <c r="D565" s="14"/>
      <c r="E565" s="15"/>
      <c r="F565" s="16"/>
      <c r="G565" s="18"/>
      <c r="H565" s="15"/>
      <c r="I565" s="18"/>
      <c r="J565" s="22"/>
      <c r="K565" s="108"/>
      <c r="L565" s="26"/>
      <c r="M565" s="26"/>
    </row>
    <row r="566">
      <c r="A566" s="12"/>
      <c r="B566" s="13"/>
      <c r="C566" s="14"/>
      <c r="D566" s="14"/>
      <c r="E566" s="15"/>
      <c r="F566" s="16"/>
      <c r="G566" s="18"/>
      <c r="H566" s="15"/>
      <c r="I566" s="18"/>
      <c r="J566" s="22"/>
      <c r="K566" s="108"/>
      <c r="L566" s="26"/>
      <c r="M566" s="26"/>
    </row>
    <row r="567">
      <c r="A567" s="12"/>
      <c r="B567" s="13"/>
      <c r="C567" s="14"/>
      <c r="D567" s="14"/>
      <c r="E567" s="15"/>
      <c r="F567" s="16"/>
      <c r="G567" s="18"/>
      <c r="H567" s="15"/>
      <c r="I567" s="18"/>
      <c r="J567" s="22"/>
      <c r="K567" s="108"/>
      <c r="L567" s="26"/>
      <c r="M567" s="26"/>
    </row>
    <row r="568">
      <c r="A568" s="12"/>
      <c r="B568" s="13"/>
      <c r="C568" s="14"/>
      <c r="D568" s="14"/>
      <c r="E568" s="15"/>
      <c r="F568" s="16"/>
      <c r="G568" s="18"/>
      <c r="H568" s="15"/>
      <c r="I568" s="18"/>
      <c r="J568" s="22"/>
      <c r="K568" s="108"/>
      <c r="L568" s="26"/>
      <c r="M568" s="26"/>
    </row>
    <row r="569">
      <c r="A569" s="12"/>
      <c r="B569" s="13"/>
      <c r="C569" s="14"/>
      <c r="D569" s="14"/>
      <c r="E569" s="15"/>
      <c r="F569" s="16"/>
      <c r="G569" s="18"/>
      <c r="H569" s="15"/>
      <c r="I569" s="18"/>
      <c r="J569" s="22"/>
      <c r="K569" s="108"/>
      <c r="L569" s="26"/>
      <c r="M569" s="26"/>
    </row>
    <row r="570">
      <c r="A570" s="12"/>
      <c r="B570" s="13"/>
      <c r="C570" s="14"/>
      <c r="D570" s="14"/>
      <c r="E570" s="15"/>
      <c r="F570" s="16"/>
      <c r="G570" s="18"/>
      <c r="H570" s="15"/>
      <c r="I570" s="18"/>
      <c r="J570" s="22"/>
      <c r="K570" s="108"/>
      <c r="L570" s="26"/>
      <c r="M570" s="26"/>
    </row>
    <row r="571">
      <c r="A571" s="12"/>
      <c r="B571" s="13"/>
      <c r="C571" s="14"/>
      <c r="D571" s="14"/>
      <c r="E571" s="15"/>
      <c r="F571" s="16"/>
      <c r="G571" s="18"/>
      <c r="H571" s="15"/>
      <c r="I571" s="18"/>
      <c r="J571" s="22"/>
      <c r="K571" s="108"/>
      <c r="L571" s="26"/>
      <c r="M571" s="26"/>
    </row>
    <row r="572">
      <c r="A572" s="12"/>
      <c r="B572" s="13"/>
      <c r="C572" s="14"/>
      <c r="D572" s="14"/>
      <c r="E572" s="15"/>
      <c r="F572" s="16"/>
      <c r="G572" s="18"/>
      <c r="H572" s="15"/>
      <c r="I572" s="18"/>
      <c r="J572" s="22"/>
      <c r="K572" s="108"/>
      <c r="L572" s="26"/>
      <c r="M572" s="26"/>
    </row>
    <row r="573">
      <c r="A573" s="12"/>
      <c r="B573" s="13"/>
      <c r="C573" s="14"/>
      <c r="D573" s="14"/>
      <c r="E573" s="15"/>
      <c r="F573" s="16"/>
      <c r="G573" s="18"/>
      <c r="H573" s="15"/>
      <c r="I573" s="18"/>
      <c r="J573" s="22"/>
      <c r="K573" s="108"/>
      <c r="L573" s="26"/>
      <c r="M573" s="26"/>
    </row>
    <row r="574">
      <c r="A574" s="12"/>
      <c r="B574" s="13"/>
      <c r="C574" s="14"/>
      <c r="D574" s="14"/>
      <c r="E574" s="15"/>
      <c r="F574" s="16"/>
      <c r="G574" s="18"/>
      <c r="H574" s="15"/>
      <c r="I574" s="18"/>
      <c r="J574" s="22"/>
      <c r="K574" s="108"/>
      <c r="L574" s="26"/>
      <c r="M574" s="26"/>
    </row>
    <row r="575">
      <c r="A575" s="12"/>
      <c r="B575" s="13"/>
      <c r="C575" s="14"/>
      <c r="D575" s="14"/>
      <c r="E575" s="15"/>
      <c r="F575" s="16"/>
      <c r="G575" s="18"/>
      <c r="H575" s="15"/>
      <c r="I575" s="18"/>
      <c r="J575" s="22"/>
      <c r="K575" s="108"/>
      <c r="L575" s="26"/>
      <c r="M575" s="26"/>
    </row>
    <row r="576">
      <c r="A576" s="12"/>
      <c r="B576" s="13"/>
      <c r="C576" s="14"/>
      <c r="D576" s="14"/>
      <c r="E576" s="15"/>
      <c r="F576" s="16"/>
      <c r="G576" s="18"/>
      <c r="H576" s="15"/>
      <c r="I576" s="18"/>
      <c r="J576" s="22"/>
      <c r="K576" s="108"/>
      <c r="L576" s="26"/>
      <c r="M576" s="26"/>
    </row>
    <row r="577">
      <c r="A577" s="12"/>
      <c r="B577" s="13"/>
      <c r="C577" s="14"/>
      <c r="D577" s="14"/>
      <c r="E577" s="15"/>
      <c r="F577" s="16"/>
      <c r="G577" s="18"/>
      <c r="H577" s="15"/>
      <c r="I577" s="18"/>
      <c r="J577" s="22"/>
      <c r="K577" s="108"/>
      <c r="L577" s="26"/>
      <c r="M577" s="26"/>
    </row>
    <row r="578">
      <c r="A578" s="12"/>
      <c r="B578" s="13"/>
      <c r="C578" s="14"/>
      <c r="D578" s="14"/>
      <c r="E578" s="15"/>
      <c r="F578" s="16"/>
      <c r="G578" s="18"/>
      <c r="H578" s="15"/>
      <c r="I578" s="18"/>
      <c r="J578" s="22"/>
      <c r="K578" s="108"/>
      <c r="L578" s="26"/>
      <c r="M578" s="26"/>
    </row>
    <row r="579">
      <c r="A579" s="12"/>
      <c r="B579" s="13"/>
      <c r="C579" s="14"/>
      <c r="D579" s="14"/>
      <c r="E579" s="15"/>
      <c r="F579" s="16"/>
      <c r="G579" s="18"/>
      <c r="H579" s="15"/>
      <c r="I579" s="18"/>
      <c r="J579" s="22"/>
      <c r="K579" s="108"/>
      <c r="L579" s="26"/>
      <c r="M579" s="26"/>
    </row>
    <row r="580">
      <c r="A580" s="12"/>
      <c r="B580" s="13"/>
      <c r="C580" s="14"/>
      <c r="D580" s="14"/>
      <c r="E580" s="15"/>
      <c r="F580" s="16"/>
      <c r="G580" s="18"/>
      <c r="H580" s="15"/>
      <c r="I580" s="18"/>
      <c r="J580" s="22"/>
      <c r="K580" s="108"/>
      <c r="L580" s="26"/>
      <c r="M580" s="26"/>
    </row>
    <row r="581">
      <c r="A581" s="12"/>
      <c r="B581" s="13"/>
      <c r="C581" s="14"/>
      <c r="D581" s="14"/>
      <c r="E581" s="15"/>
      <c r="F581" s="16"/>
      <c r="G581" s="18"/>
      <c r="H581" s="15"/>
      <c r="I581" s="18"/>
      <c r="J581" s="22"/>
      <c r="K581" s="108"/>
      <c r="L581" s="26"/>
      <c r="M581" s="26"/>
    </row>
    <row r="582">
      <c r="A582" s="12"/>
      <c r="B582" s="13"/>
      <c r="C582" s="14"/>
      <c r="D582" s="14"/>
      <c r="E582" s="15"/>
      <c r="F582" s="16"/>
      <c r="G582" s="18"/>
      <c r="H582" s="15"/>
      <c r="I582" s="18"/>
      <c r="J582" s="22"/>
      <c r="K582" s="108"/>
      <c r="L582" s="26"/>
      <c r="M582" s="26"/>
    </row>
    <row r="583">
      <c r="A583" s="12"/>
      <c r="B583" s="13"/>
      <c r="C583" s="14"/>
      <c r="D583" s="14"/>
      <c r="E583" s="15"/>
      <c r="F583" s="16"/>
      <c r="G583" s="18"/>
      <c r="H583" s="15"/>
      <c r="I583" s="18"/>
      <c r="J583" s="22"/>
      <c r="K583" s="108"/>
      <c r="L583" s="26"/>
      <c r="M583" s="26"/>
    </row>
    <row r="584">
      <c r="A584" s="12"/>
      <c r="B584" s="13"/>
      <c r="C584" s="14"/>
      <c r="D584" s="14"/>
      <c r="E584" s="15"/>
      <c r="F584" s="16"/>
      <c r="G584" s="18"/>
      <c r="H584" s="15"/>
      <c r="I584" s="18"/>
      <c r="J584" s="22"/>
      <c r="K584" s="108"/>
      <c r="L584" s="26"/>
      <c r="M584" s="26"/>
    </row>
    <row r="585">
      <c r="A585" s="12"/>
      <c r="B585" s="13"/>
      <c r="C585" s="14"/>
      <c r="D585" s="14"/>
      <c r="E585" s="15"/>
      <c r="F585" s="16"/>
      <c r="G585" s="18"/>
      <c r="H585" s="15"/>
      <c r="I585" s="18"/>
      <c r="J585" s="22"/>
      <c r="K585" s="108"/>
      <c r="L585" s="26"/>
      <c r="M585" s="26"/>
    </row>
    <row r="586">
      <c r="A586" s="12"/>
      <c r="B586" s="13"/>
      <c r="C586" s="14"/>
      <c r="D586" s="14"/>
      <c r="E586" s="15"/>
      <c r="F586" s="16"/>
      <c r="G586" s="18"/>
      <c r="H586" s="15"/>
      <c r="I586" s="18"/>
      <c r="J586" s="22"/>
      <c r="K586" s="108"/>
      <c r="L586" s="26"/>
      <c r="M586" s="26"/>
    </row>
    <row r="587">
      <c r="A587" s="12"/>
      <c r="B587" s="13"/>
      <c r="C587" s="14"/>
      <c r="D587" s="14"/>
      <c r="E587" s="15"/>
      <c r="F587" s="16"/>
      <c r="G587" s="18"/>
      <c r="H587" s="15"/>
      <c r="I587" s="18"/>
      <c r="J587" s="22"/>
      <c r="K587" s="108"/>
      <c r="L587" s="26"/>
      <c r="M587" s="26"/>
    </row>
    <row r="588">
      <c r="A588" s="12"/>
      <c r="B588" s="13"/>
      <c r="C588" s="14"/>
      <c r="D588" s="14"/>
      <c r="E588" s="15"/>
      <c r="F588" s="16"/>
      <c r="G588" s="18"/>
      <c r="H588" s="15"/>
      <c r="I588" s="18"/>
      <c r="J588" s="22"/>
      <c r="K588" s="108"/>
      <c r="L588" s="26"/>
      <c r="M588" s="26"/>
    </row>
    <row r="589">
      <c r="A589" s="12"/>
      <c r="B589" s="13"/>
      <c r="C589" s="14"/>
      <c r="D589" s="14"/>
      <c r="E589" s="15"/>
      <c r="F589" s="16"/>
      <c r="G589" s="18"/>
      <c r="H589" s="15"/>
      <c r="I589" s="18"/>
      <c r="J589" s="22"/>
      <c r="K589" s="108"/>
      <c r="L589" s="26"/>
      <c r="M589" s="26"/>
    </row>
    <row r="590">
      <c r="A590" s="12"/>
      <c r="B590" s="13"/>
      <c r="C590" s="14"/>
      <c r="D590" s="14"/>
      <c r="E590" s="15"/>
      <c r="F590" s="16"/>
      <c r="G590" s="18"/>
      <c r="H590" s="15"/>
      <c r="I590" s="18"/>
      <c r="J590" s="22"/>
      <c r="K590" s="108"/>
      <c r="L590" s="26"/>
      <c r="M590" s="26"/>
    </row>
    <row r="591">
      <c r="A591" s="12"/>
      <c r="B591" s="13"/>
      <c r="C591" s="14"/>
      <c r="D591" s="14"/>
      <c r="E591" s="15"/>
      <c r="F591" s="16"/>
      <c r="G591" s="18"/>
      <c r="H591" s="15"/>
      <c r="I591" s="18"/>
      <c r="J591" s="22"/>
      <c r="K591" s="108"/>
      <c r="L591" s="26"/>
      <c r="M591" s="26"/>
    </row>
    <row r="592">
      <c r="A592" s="12"/>
      <c r="B592" s="13"/>
      <c r="C592" s="14"/>
      <c r="D592" s="14"/>
      <c r="E592" s="15"/>
      <c r="F592" s="16"/>
      <c r="G592" s="18"/>
      <c r="H592" s="15"/>
      <c r="I592" s="18"/>
      <c r="J592" s="22"/>
      <c r="K592" s="108"/>
      <c r="L592" s="26"/>
      <c r="M592" s="26"/>
    </row>
    <row r="593">
      <c r="A593" s="12"/>
      <c r="B593" s="13"/>
      <c r="C593" s="14"/>
      <c r="D593" s="14"/>
      <c r="E593" s="15"/>
      <c r="F593" s="16"/>
      <c r="G593" s="18"/>
      <c r="H593" s="15"/>
      <c r="I593" s="18"/>
      <c r="J593" s="22"/>
      <c r="K593" s="108"/>
      <c r="L593" s="26"/>
      <c r="M593" s="26"/>
    </row>
    <row r="594">
      <c r="A594" s="12"/>
      <c r="B594" s="13"/>
      <c r="C594" s="14"/>
      <c r="D594" s="14"/>
      <c r="E594" s="15"/>
      <c r="F594" s="16"/>
      <c r="G594" s="18"/>
      <c r="H594" s="15"/>
      <c r="I594" s="18"/>
      <c r="J594" s="22"/>
      <c r="K594" s="108"/>
      <c r="L594" s="26"/>
      <c r="M594" s="26"/>
    </row>
    <row r="595">
      <c r="A595" s="12"/>
      <c r="B595" s="13"/>
      <c r="C595" s="14"/>
      <c r="D595" s="14"/>
      <c r="E595" s="15"/>
      <c r="F595" s="16"/>
      <c r="G595" s="18"/>
      <c r="H595" s="15"/>
      <c r="I595" s="18"/>
      <c r="J595" s="22"/>
      <c r="K595" s="108"/>
      <c r="L595" s="26"/>
      <c r="M595" s="26"/>
    </row>
    <row r="596">
      <c r="A596" s="12"/>
      <c r="B596" s="13"/>
      <c r="C596" s="14"/>
      <c r="D596" s="14"/>
      <c r="E596" s="15"/>
      <c r="F596" s="16"/>
      <c r="G596" s="18"/>
      <c r="H596" s="15"/>
      <c r="I596" s="18"/>
      <c r="J596" s="22"/>
      <c r="K596" s="108"/>
      <c r="L596" s="26"/>
      <c r="M596" s="26"/>
    </row>
    <row r="597">
      <c r="A597" s="12"/>
      <c r="B597" s="13"/>
      <c r="C597" s="14"/>
      <c r="D597" s="14"/>
      <c r="E597" s="15"/>
      <c r="F597" s="16"/>
      <c r="G597" s="18"/>
      <c r="H597" s="15"/>
      <c r="I597" s="18"/>
      <c r="J597" s="22"/>
      <c r="K597" s="108"/>
      <c r="L597" s="26"/>
      <c r="M597" s="26"/>
    </row>
    <row r="598">
      <c r="A598" s="12"/>
      <c r="B598" s="13"/>
      <c r="C598" s="14"/>
      <c r="D598" s="14"/>
      <c r="E598" s="15"/>
      <c r="F598" s="16"/>
      <c r="G598" s="18"/>
      <c r="H598" s="15"/>
      <c r="I598" s="18"/>
      <c r="J598" s="22"/>
      <c r="K598" s="108"/>
      <c r="L598" s="26"/>
      <c r="M598" s="26"/>
    </row>
    <row r="599">
      <c r="A599" s="12"/>
      <c r="B599" s="13"/>
      <c r="C599" s="14"/>
      <c r="D599" s="14"/>
      <c r="E599" s="15"/>
      <c r="F599" s="16"/>
      <c r="G599" s="18"/>
      <c r="H599" s="15"/>
      <c r="I599" s="18"/>
      <c r="J599" s="22"/>
      <c r="K599" s="108"/>
      <c r="L599" s="26"/>
      <c r="M599" s="26"/>
    </row>
    <row r="600">
      <c r="A600" s="12"/>
      <c r="B600" s="13"/>
      <c r="C600" s="14"/>
      <c r="D600" s="14"/>
      <c r="E600" s="15"/>
      <c r="F600" s="16"/>
      <c r="G600" s="18"/>
      <c r="H600" s="15"/>
      <c r="I600" s="18"/>
      <c r="J600" s="22"/>
      <c r="K600" s="108"/>
      <c r="L600" s="26"/>
      <c r="M600" s="26"/>
    </row>
    <row r="601">
      <c r="A601" s="12"/>
      <c r="B601" s="13"/>
      <c r="C601" s="14"/>
      <c r="D601" s="14"/>
      <c r="E601" s="15"/>
      <c r="F601" s="16"/>
      <c r="G601" s="18"/>
      <c r="H601" s="15"/>
      <c r="I601" s="18"/>
      <c r="J601" s="22"/>
      <c r="K601" s="108"/>
      <c r="L601" s="26"/>
      <c r="M601" s="26"/>
    </row>
    <row r="602">
      <c r="A602" s="12"/>
      <c r="B602" s="13"/>
      <c r="C602" s="14"/>
      <c r="D602" s="14"/>
      <c r="E602" s="15"/>
      <c r="F602" s="16"/>
      <c r="G602" s="18"/>
      <c r="H602" s="15"/>
      <c r="I602" s="18"/>
      <c r="J602" s="22"/>
      <c r="K602" s="108"/>
      <c r="L602" s="26"/>
      <c r="M602" s="26"/>
    </row>
    <row r="603">
      <c r="A603" s="12"/>
      <c r="B603" s="13"/>
      <c r="C603" s="14"/>
      <c r="D603" s="14"/>
      <c r="E603" s="15"/>
      <c r="F603" s="16"/>
      <c r="G603" s="18"/>
      <c r="H603" s="15"/>
      <c r="I603" s="18"/>
      <c r="J603" s="22"/>
      <c r="K603" s="108"/>
      <c r="L603" s="26"/>
      <c r="M603" s="26"/>
    </row>
    <row r="604">
      <c r="A604" s="12"/>
      <c r="B604" s="13"/>
      <c r="C604" s="14"/>
      <c r="D604" s="14"/>
      <c r="E604" s="15"/>
      <c r="F604" s="16"/>
      <c r="G604" s="18"/>
      <c r="H604" s="15"/>
      <c r="I604" s="18"/>
      <c r="J604" s="22"/>
      <c r="K604" s="108"/>
      <c r="L604" s="26"/>
      <c r="M604" s="26"/>
    </row>
    <row r="605">
      <c r="A605" s="12"/>
      <c r="B605" s="13"/>
      <c r="C605" s="14"/>
      <c r="D605" s="14"/>
      <c r="E605" s="15"/>
      <c r="F605" s="16"/>
      <c r="G605" s="18"/>
      <c r="H605" s="15"/>
      <c r="I605" s="18"/>
      <c r="J605" s="22"/>
      <c r="K605" s="108"/>
      <c r="L605" s="26"/>
      <c r="M605" s="26"/>
    </row>
    <row r="606">
      <c r="A606" s="12"/>
      <c r="B606" s="13"/>
      <c r="C606" s="14"/>
      <c r="D606" s="14"/>
      <c r="E606" s="15"/>
      <c r="F606" s="16"/>
      <c r="G606" s="18"/>
      <c r="H606" s="15"/>
      <c r="I606" s="18"/>
      <c r="J606" s="22"/>
      <c r="K606" s="108"/>
      <c r="L606" s="26"/>
      <c r="M606" s="26"/>
    </row>
    <row r="607">
      <c r="A607" s="12"/>
      <c r="B607" s="13"/>
      <c r="C607" s="14"/>
      <c r="D607" s="14"/>
      <c r="E607" s="15"/>
      <c r="F607" s="16"/>
      <c r="G607" s="18"/>
      <c r="H607" s="15"/>
      <c r="I607" s="18"/>
      <c r="J607" s="22"/>
      <c r="K607" s="108"/>
      <c r="L607" s="26"/>
      <c r="M607" s="26"/>
    </row>
    <row r="608">
      <c r="A608" s="12"/>
      <c r="B608" s="13"/>
      <c r="C608" s="14"/>
      <c r="D608" s="14"/>
      <c r="E608" s="15"/>
      <c r="F608" s="16"/>
      <c r="G608" s="18"/>
      <c r="H608" s="15"/>
      <c r="I608" s="18"/>
      <c r="J608" s="22"/>
      <c r="K608" s="108"/>
      <c r="L608" s="26"/>
      <c r="M608" s="26"/>
    </row>
    <row r="609">
      <c r="A609" s="12"/>
      <c r="B609" s="13"/>
      <c r="C609" s="14"/>
      <c r="D609" s="14"/>
      <c r="E609" s="15"/>
      <c r="F609" s="16"/>
      <c r="G609" s="18"/>
      <c r="H609" s="15"/>
      <c r="I609" s="18"/>
      <c r="J609" s="22"/>
      <c r="K609" s="108"/>
      <c r="L609" s="26"/>
      <c r="M609" s="26"/>
    </row>
    <row r="610">
      <c r="A610" s="12"/>
      <c r="B610" s="13"/>
      <c r="C610" s="14"/>
      <c r="D610" s="14"/>
      <c r="E610" s="15"/>
      <c r="F610" s="16"/>
      <c r="G610" s="18"/>
      <c r="H610" s="15"/>
      <c r="I610" s="18"/>
      <c r="J610" s="22"/>
      <c r="K610" s="108"/>
      <c r="L610" s="26"/>
      <c r="M610" s="26"/>
    </row>
    <row r="611">
      <c r="A611" s="12"/>
      <c r="B611" s="13"/>
      <c r="C611" s="14"/>
      <c r="D611" s="14"/>
      <c r="E611" s="15"/>
      <c r="F611" s="16"/>
      <c r="G611" s="18"/>
      <c r="H611" s="15"/>
      <c r="I611" s="18"/>
      <c r="J611" s="22"/>
      <c r="K611" s="108"/>
      <c r="L611" s="26"/>
      <c r="M611" s="26"/>
    </row>
    <row r="612">
      <c r="A612" s="12"/>
      <c r="B612" s="13"/>
      <c r="C612" s="14"/>
      <c r="D612" s="14"/>
      <c r="E612" s="15"/>
      <c r="F612" s="16"/>
      <c r="G612" s="18"/>
      <c r="H612" s="15"/>
      <c r="I612" s="18"/>
      <c r="J612" s="22"/>
      <c r="K612" s="108"/>
      <c r="L612" s="26"/>
      <c r="M612" s="26"/>
    </row>
    <row r="613">
      <c r="A613" s="12"/>
      <c r="B613" s="13"/>
      <c r="C613" s="14"/>
      <c r="D613" s="14"/>
      <c r="E613" s="15"/>
      <c r="F613" s="16"/>
      <c r="G613" s="18"/>
      <c r="H613" s="15"/>
      <c r="I613" s="18"/>
      <c r="J613" s="22"/>
      <c r="K613" s="108"/>
      <c r="L613" s="26"/>
      <c r="M613" s="26"/>
    </row>
    <row r="614">
      <c r="A614" s="12"/>
      <c r="B614" s="13"/>
      <c r="C614" s="14"/>
      <c r="D614" s="14"/>
      <c r="E614" s="15"/>
      <c r="F614" s="16"/>
      <c r="G614" s="18"/>
      <c r="H614" s="15"/>
      <c r="I614" s="18"/>
      <c r="J614" s="22"/>
      <c r="K614" s="108"/>
      <c r="L614" s="26"/>
      <c r="M614" s="26"/>
    </row>
    <row r="615">
      <c r="A615" s="12"/>
      <c r="B615" s="13"/>
      <c r="C615" s="14"/>
      <c r="D615" s="14"/>
      <c r="E615" s="15"/>
      <c r="F615" s="16"/>
      <c r="G615" s="18"/>
      <c r="H615" s="15"/>
      <c r="I615" s="18"/>
      <c r="J615" s="22"/>
      <c r="K615" s="108"/>
      <c r="L615" s="26"/>
      <c r="M615" s="26"/>
    </row>
    <row r="616">
      <c r="A616" s="12"/>
      <c r="B616" s="13"/>
      <c r="C616" s="14"/>
      <c r="D616" s="14"/>
      <c r="E616" s="15"/>
      <c r="F616" s="16"/>
      <c r="G616" s="18"/>
      <c r="H616" s="15"/>
      <c r="I616" s="18"/>
      <c r="J616" s="22"/>
      <c r="K616" s="108"/>
      <c r="L616" s="26"/>
      <c r="M616" s="26"/>
    </row>
    <row r="617">
      <c r="A617" s="12"/>
      <c r="B617" s="13"/>
      <c r="C617" s="14"/>
      <c r="D617" s="14"/>
      <c r="E617" s="15"/>
      <c r="F617" s="16"/>
      <c r="G617" s="18"/>
      <c r="H617" s="15"/>
      <c r="I617" s="18"/>
      <c r="J617" s="22"/>
      <c r="K617" s="108"/>
      <c r="L617" s="26"/>
      <c r="M617" s="26"/>
    </row>
    <row r="618">
      <c r="A618" s="12"/>
      <c r="B618" s="13"/>
      <c r="C618" s="14"/>
      <c r="D618" s="14"/>
      <c r="E618" s="15"/>
      <c r="F618" s="16"/>
      <c r="G618" s="18"/>
      <c r="H618" s="15"/>
      <c r="I618" s="18"/>
      <c r="J618" s="22"/>
      <c r="K618" s="108"/>
      <c r="L618" s="26"/>
      <c r="M618" s="26"/>
    </row>
    <row r="619">
      <c r="A619" s="12"/>
      <c r="B619" s="13"/>
      <c r="C619" s="14"/>
      <c r="D619" s="14"/>
      <c r="E619" s="15"/>
      <c r="F619" s="16"/>
      <c r="G619" s="18"/>
      <c r="H619" s="15"/>
      <c r="I619" s="18"/>
      <c r="J619" s="22"/>
      <c r="K619" s="108"/>
      <c r="L619" s="26"/>
      <c r="M619" s="26"/>
    </row>
    <row r="620">
      <c r="A620" s="12"/>
      <c r="B620" s="13"/>
      <c r="C620" s="14"/>
      <c r="D620" s="14"/>
      <c r="E620" s="15"/>
      <c r="F620" s="16"/>
      <c r="G620" s="18"/>
      <c r="H620" s="15"/>
      <c r="I620" s="18"/>
      <c r="J620" s="22"/>
      <c r="K620" s="108"/>
      <c r="L620" s="26"/>
      <c r="M620" s="26"/>
    </row>
    <row r="621">
      <c r="A621" s="12"/>
      <c r="B621" s="13"/>
      <c r="C621" s="14"/>
      <c r="D621" s="14"/>
      <c r="E621" s="15"/>
      <c r="F621" s="16"/>
      <c r="G621" s="18"/>
      <c r="H621" s="15"/>
      <c r="I621" s="18"/>
      <c r="J621" s="22"/>
      <c r="K621" s="108"/>
      <c r="L621" s="26"/>
      <c r="M621" s="26"/>
    </row>
    <row r="622">
      <c r="A622" s="12"/>
      <c r="B622" s="13"/>
      <c r="C622" s="14"/>
      <c r="D622" s="14"/>
      <c r="E622" s="15"/>
      <c r="F622" s="16"/>
      <c r="G622" s="18"/>
      <c r="H622" s="15"/>
      <c r="I622" s="18"/>
      <c r="J622" s="22"/>
      <c r="K622" s="108"/>
      <c r="L622" s="26"/>
      <c r="M622" s="26"/>
    </row>
    <row r="623">
      <c r="A623" s="12"/>
      <c r="B623" s="13"/>
      <c r="C623" s="14"/>
      <c r="D623" s="14"/>
      <c r="E623" s="15"/>
      <c r="F623" s="16"/>
      <c r="G623" s="18"/>
      <c r="H623" s="15"/>
      <c r="I623" s="18"/>
      <c r="J623" s="22"/>
      <c r="K623" s="108"/>
      <c r="L623" s="26"/>
      <c r="M623" s="26"/>
    </row>
    <row r="624">
      <c r="A624" s="12"/>
      <c r="B624" s="13"/>
      <c r="C624" s="14"/>
      <c r="D624" s="14"/>
      <c r="E624" s="15"/>
      <c r="F624" s="16"/>
      <c r="G624" s="18"/>
      <c r="H624" s="15"/>
      <c r="I624" s="18"/>
      <c r="J624" s="22"/>
      <c r="K624" s="108"/>
      <c r="L624" s="26"/>
      <c r="M624" s="26"/>
    </row>
    <row r="625">
      <c r="A625" s="12"/>
      <c r="B625" s="13"/>
      <c r="C625" s="14"/>
      <c r="D625" s="14"/>
      <c r="E625" s="15"/>
      <c r="F625" s="16"/>
      <c r="G625" s="18"/>
      <c r="H625" s="15"/>
      <c r="I625" s="18"/>
      <c r="J625" s="22"/>
      <c r="K625" s="108"/>
      <c r="L625" s="26"/>
      <c r="M625" s="26"/>
    </row>
    <row r="626">
      <c r="A626" s="12"/>
      <c r="B626" s="13"/>
      <c r="C626" s="14"/>
      <c r="D626" s="14"/>
      <c r="E626" s="15"/>
      <c r="F626" s="16"/>
      <c r="G626" s="18"/>
      <c r="H626" s="15"/>
      <c r="I626" s="18"/>
      <c r="J626" s="22"/>
      <c r="K626" s="108"/>
      <c r="L626" s="26"/>
      <c r="M626" s="26"/>
    </row>
    <row r="627">
      <c r="A627" s="12"/>
      <c r="B627" s="13"/>
      <c r="C627" s="14"/>
      <c r="D627" s="14"/>
      <c r="E627" s="15"/>
      <c r="F627" s="16"/>
      <c r="G627" s="18"/>
      <c r="H627" s="15"/>
      <c r="I627" s="18"/>
      <c r="J627" s="22"/>
      <c r="K627" s="108"/>
      <c r="L627" s="26"/>
      <c r="M627" s="26"/>
    </row>
    <row r="628">
      <c r="A628" s="12"/>
      <c r="B628" s="13"/>
      <c r="C628" s="14"/>
      <c r="D628" s="14"/>
      <c r="E628" s="15"/>
      <c r="F628" s="16"/>
      <c r="G628" s="18"/>
      <c r="H628" s="15"/>
      <c r="I628" s="18"/>
      <c r="J628" s="22"/>
      <c r="K628" s="108"/>
      <c r="L628" s="26"/>
      <c r="M628" s="26"/>
    </row>
    <row r="629">
      <c r="A629" s="12"/>
      <c r="B629" s="13"/>
      <c r="C629" s="14"/>
      <c r="D629" s="14"/>
      <c r="E629" s="15"/>
      <c r="F629" s="16"/>
      <c r="G629" s="18"/>
      <c r="H629" s="15"/>
      <c r="I629" s="18"/>
      <c r="J629" s="22"/>
      <c r="K629" s="108"/>
      <c r="L629" s="26"/>
      <c r="M629" s="26"/>
    </row>
    <row r="630">
      <c r="A630" s="12"/>
      <c r="B630" s="13"/>
      <c r="C630" s="14"/>
      <c r="D630" s="14"/>
      <c r="E630" s="15"/>
      <c r="F630" s="16"/>
      <c r="G630" s="18"/>
      <c r="H630" s="15"/>
      <c r="I630" s="18"/>
      <c r="J630" s="22"/>
      <c r="K630" s="108"/>
      <c r="L630" s="26"/>
      <c r="M630" s="26"/>
    </row>
    <row r="631">
      <c r="A631" s="12"/>
      <c r="B631" s="13"/>
      <c r="C631" s="14"/>
      <c r="D631" s="14"/>
      <c r="E631" s="15"/>
      <c r="F631" s="16"/>
      <c r="G631" s="18"/>
      <c r="H631" s="15"/>
      <c r="I631" s="18"/>
      <c r="J631" s="22"/>
      <c r="K631" s="108"/>
      <c r="L631" s="26"/>
      <c r="M631" s="26"/>
    </row>
    <row r="632">
      <c r="A632" s="12"/>
      <c r="B632" s="13"/>
      <c r="C632" s="14"/>
      <c r="D632" s="14"/>
      <c r="E632" s="15"/>
      <c r="F632" s="16"/>
      <c r="G632" s="18"/>
      <c r="H632" s="15"/>
      <c r="I632" s="18"/>
      <c r="J632" s="22"/>
      <c r="K632" s="108"/>
      <c r="L632" s="26"/>
      <c r="M632" s="26"/>
    </row>
    <row r="633">
      <c r="A633" s="12"/>
      <c r="B633" s="13"/>
      <c r="C633" s="14"/>
      <c r="D633" s="14"/>
      <c r="E633" s="15"/>
      <c r="F633" s="16"/>
      <c r="G633" s="18"/>
      <c r="H633" s="15"/>
      <c r="I633" s="18"/>
      <c r="J633" s="22"/>
      <c r="K633" s="108"/>
      <c r="L633" s="26"/>
      <c r="M633" s="26"/>
    </row>
    <row r="634">
      <c r="A634" s="12"/>
      <c r="B634" s="13"/>
      <c r="C634" s="14"/>
      <c r="D634" s="14"/>
      <c r="E634" s="15"/>
      <c r="F634" s="16"/>
      <c r="G634" s="18"/>
      <c r="H634" s="15"/>
      <c r="I634" s="18"/>
      <c r="J634" s="22"/>
      <c r="K634" s="108"/>
      <c r="L634" s="26"/>
      <c r="M634" s="26"/>
    </row>
    <row r="635">
      <c r="A635" s="12"/>
      <c r="B635" s="13"/>
      <c r="C635" s="14"/>
      <c r="D635" s="14"/>
      <c r="E635" s="15"/>
      <c r="F635" s="16"/>
      <c r="G635" s="18"/>
      <c r="H635" s="15"/>
      <c r="I635" s="18"/>
      <c r="J635" s="22"/>
      <c r="K635" s="108"/>
      <c r="L635" s="26"/>
      <c r="M635" s="26"/>
    </row>
    <row r="636">
      <c r="A636" s="12"/>
      <c r="B636" s="13"/>
      <c r="C636" s="14"/>
      <c r="D636" s="14"/>
      <c r="E636" s="15"/>
      <c r="F636" s="16"/>
      <c r="G636" s="18"/>
      <c r="H636" s="15"/>
      <c r="I636" s="18"/>
      <c r="J636" s="22"/>
      <c r="K636" s="108"/>
      <c r="L636" s="26"/>
      <c r="M636" s="26"/>
    </row>
    <row r="637">
      <c r="A637" s="12"/>
      <c r="B637" s="13"/>
      <c r="C637" s="14"/>
      <c r="D637" s="14"/>
      <c r="E637" s="15"/>
      <c r="F637" s="16"/>
      <c r="G637" s="18"/>
      <c r="H637" s="15"/>
      <c r="I637" s="18"/>
      <c r="J637" s="22"/>
      <c r="K637" s="108"/>
      <c r="L637" s="26"/>
      <c r="M637" s="26"/>
    </row>
    <row r="638">
      <c r="A638" s="12"/>
      <c r="B638" s="13"/>
      <c r="C638" s="14"/>
      <c r="D638" s="14"/>
      <c r="E638" s="15"/>
      <c r="F638" s="16"/>
      <c r="G638" s="18"/>
      <c r="H638" s="15"/>
      <c r="I638" s="18"/>
      <c r="J638" s="22"/>
      <c r="K638" s="108"/>
      <c r="L638" s="26"/>
      <c r="M638" s="26"/>
    </row>
    <row r="639">
      <c r="A639" s="12"/>
      <c r="B639" s="13"/>
      <c r="C639" s="14"/>
      <c r="D639" s="14"/>
      <c r="E639" s="15"/>
      <c r="F639" s="16"/>
      <c r="G639" s="18"/>
      <c r="H639" s="15"/>
      <c r="I639" s="18"/>
      <c r="J639" s="22"/>
      <c r="K639" s="108"/>
      <c r="L639" s="26"/>
      <c r="M639" s="26"/>
    </row>
    <row r="640">
      <c r="A640" s="12"/>
      <c r="B640" s="13"/>
      <c r="C640" s="14"/>
      <c r="D640" s="14"/>
      <c r="E640" s="15"/>
      <c r="F640" s="16"/>
      <c r="G640" s="18"/>
      <c r="H640" s="15"/>
      <c r="I640" s="18"/>
      <c r="J640" s="22"/>
      <c r="K640" s="108"/>
      <c r="L640" s="26"/>
      <c r="M640" s="26"/>
    </row>
    <row r="641">
      <c r="A641" s="12"/>
      <c r="B641" s="13"/>
      <c r="C641" s="14"/>
      <c r="D641" s="14"/>
      <c r="E641" s="15"/>
      <c r="F641" s="16"/>
      <c r="G641" s="18"/>
      <c r="H641" s="15"/>
      <c r="I641" s="18"/>
      <c r="J641" s="22"/>
      <c r="K641" s="108"/>
      <c r="L641" s="26"/>
      <c r="M641" s="26"/>
    </row>
    <row r="642">
      <c r="A642" s="12"/>
      <c r="B642" s="13"/>
      <c r="C642" s="14"/>
      <c r="D642" s="14"/>
      <c r="E642" s="15"/>
      <c r="F642" s="16"/>
      <c r="G642" s="18"/>
      <c r="H642" s="15"/>
      <c r="I642" s="18"/>
      <c r="J642" s="22"/>
      <c r="K642" s="108"/>
      <c r="L642" s="26"/>
      <c r="M642" s="26"/>
    </row>
    <row r="643">
      <c r="A643" s="12"/>
      <c r="B643" s="13"/>
      <c r="C643" s="14"/>
      <c r="D643" s="14"/>
      <c r="E643" s="15"/>
      <c r="F643" s="16"/>
      <c r="G643" s="18"/>
      <c r="H643" s="15"/>
      <c r="I643" s="18"/>
      <c r="J643" s="22"/>
      <c r="K643" s="108"/>
      <c r="L643" s="26"/>
      <c r="M643" s="26"/>
    </row>
    <row r="644">
      <c r="A644" s="12"/>
      <c r="B644" s="13"/>
      <c r="C644" s="14"/>
      <c r="D644" s="14"/>
      <c r="E644" s="15"/>
      <c r="F644" s="16"/>
      <c r="G644" s="18"/>
      <c r="H644" s="15"/>
      <c r="I644" s="18"/>
      <c r="J644" s="22"/>
      <c r="K644" s="108"/>
      <c r="L644" s="26"/>
      <c r="M644" s="26"/>
    </row>
    <row r="645">
      <c r="A645" s="12"/>
      <c r="B645" s="13"/>
      <c r="C645" s="14"/>
      <c r="D645" s="14"/>
      <c r="E645" s="15"/>
      <c r="F645" s="16"/>
      <c r="G645" s="18"/>
      <c r="H645" s="15"/>
      <c r="I645" s="18"/>
      <c r="J645" s="22"/>
      <c r="K645" s="108"/>
      <c r="L645" s="26"/>
      <c r="M645" s="26"/>
    </row>
    <row r="646">
      <c r="A646" s="12"/>
      <c r="B646" s="13"/>
      <c r="C646" s="14"/>
      <c r="D646" s="14"/>
      <c r="E646" s="15"/>
      <c r="F646" s="16"/>
      <c r="G646" s="18"/>
      <c r="H646" s="15"/>
      <c r="I646" s="18"/>
      <c r="J646" s="22"/>
      <c r="K646" s="108"/>
      <c r="L646" s="26"/>
      <c r="M646" s="26"/>
    </row>
    <row r="647">
      <c r="A647" s="12"/>
      <c r="B647" s="13"/>
      <c r="C647" s="14"/>
      <c r="D647" s="14"/>
      <c r="E647" s="15"/>
      <c r="F647" s="16"/>
      <c r="G647" s="18"/>
      <c r="H647" s="15"/>
      <c r="I647" s="18"/>
      <c r="J647" s="22"/>
      <c r="K647" s="108"/>
      <c r="L647" s="26"/>
      <c r="M647" s="26"/>
    </row>
    <row r="648">
      <c r="A648" s="12"/>
      <c r="B648" s="13"/>
      <c r="C648" s="14"/>
      <c r="D648" s="14"/>
      <c r="E648" s="15"/>
      <c r="F648" s="16"/>
      <c r="G648" s="18"/>
      <c r="H648" s="15"/>
      <c r="I648" s="18"/>
      <c r="J648" s="22"/>
      <c r="K648" s="108"/>
      <c r="L648" s="26"/>
      <c r="M648" s="26"/>
    </row>
    <row r="649">
      <c r="A649" s="12"/>
      <c r="B649" s="13"/>
      <c r="C649" s="14"/>
      <c r="D649" s="14"/>
      <c r="E649" s="15"/>
      <c r="F649" s="16"/>
      <c r="G649" s="18"/>
      <c r="H649" s="15"/>
      <c r="I649" s="18"/>
      <c r="J649" s="22"/>
      <c r="K649" s="108"/>
      <c r="L649" s="26"/>
      <c r="M649" s="26"/>
    </row>
    <row r="650">
      <c r="A650" s="12"/>
      <c r="B650" s="13"/>
      <c r="C650" s="14"/>
      <c r="D650" s="14"/>
      <c r="E650" s="15"/>
      <c r="F650" s="16"/>
      <c r="G650" s="18"/>
      <c r="H650" s="15"/>
      <c r="I650" s="18"/>
      <c r="J650" s="22"/>
      <c r="K650" s="108"/>
      <c r="L650" s="26"/>
      <c r="M650" s="26"/>
    </row>
    <row r="651">
      <c r="A651" s="12"/>
      <c r="B651" s="13"/>
      <c r="C651" s="14"/>
      <c r="D651" s="14"/>
      <c r="E651" s="15"/>
      <c r="F651" s="16"/>
      <c r="G651" s="18"/>
      <c r="H651" s="15"/>
      <c r="I651" s="18"/>
      <c r="J651" s="22"/>
      <c r="K651" s="108"/>
      <c r="L651" s="26"/>
      <c r="M651" s="26"/>
    </row>
    <row r="652">
      <c r="A652" s="12"/>
      <c r="B652" s="13"/>
      <c r="C652" s="14"/>
      <c r="D652" s="14"/>
      <c r="E652" s="15"/>
      <c r="F652" s="16"/>
      <c r="G652" s="18"/>
      <c r="H652" s="15"/>
      <c r="I652" s="18"/>
      <c r="J652" s="22"/>
      <c r="K652" s="108"/>
      <c r="L652" s="26"/>
      <c r="M652" s="26"/>
    </row>
    <row r="653">
      <c r="A653" s="12"/>
      <c r="B653" s="13"/>
      <c r="C653" s="14"/>
      <c r="D653" s="14"/>
      <c r="E653" s="15"/>
      <c r="F653" s="16"/>
      <c r="G653" s="18"/>
      <c r="H653" s="15"/>
      <c r="I653" s="18"/>
      <c r="J653" s="22"/>
      <c r="K653" s="108"/>
      <c r="L653" s="26"/>
      <c r="M653" s="26"/>
    </row>
    <row r="654">
      <c r="A654" s="12"/>
      <c r="B654" s="13"/>
      <c r="C654" s="14"/>
      <c r="D654" s="14"/>
      <c r="E654" s="15"/>
      <c r="F654" s="16"/>
      <c r="G654" s="18"/>
      <c r="H654" s="15"/>
      <c r="I654" s="18"/>
      <c r="J654" s="22"/>
      <c r="K654" s="108"/>
      <c r="L654" s="26"/>
      <c r="M654" s="26"/>
    </row>
    <row r="655">
      <c r="A655" s="12"/>
      <c r="B655" s="13"/>
      <c r="C655" s="14"/>
      <c r="D655" s="14"/>
      <c r="E655" s="15"/>
      <c r="F655" s="16"/>
      <c r="G655" s="18"/>
      <c r="H655" s="15"/>
      <c r="I655" s="18"/>
      <c r="J655" s="22"/>
      <c r="K655" s="108"/>
      <c r="L655" s="26"/>
      <c r="M655" s="26"/>
    </row>
    <row r="656">
      <c r="A656" s="12"/>
      <c r="B656" s="13"/>
      <c r="C656" s="14"/>
      <c r="D656" s="14"/>
      <c r="E656" s="15"/>
      <c r="F656" s="16"/>
      <c r="G656" s="18"/>
      <c r="H656" s="15"/>
      <c r="I656" s="18"/>
      <c r="J656" s="22"/>
      <c r="K656" s="108"/>
      <c r="L656" s="26"/>
      <c r="M656" s="26"/>
    </row>
    <row r="657">
      <c r="A657" s="12"/>
      <c r="B657" s="13"/>
      <c r="C657" s="14"/>
      <c r="D657" s="14"/>
      <c r="E657" s="15"/>
      <c r="F657" s="16"/>
      <c r="G657" s="18"/>
      <c r="H657" s="15"/>
      <c r="I657" s="18"/>
      <c r="J657" s="22"/>
      <c r="K657" s="108"/>
      <c r="L657" s="26"/>
      <c r="M657" s="26"/>
    </row>
    <row r="658">
      <c r="A658" s="12"/>
      <c r="B658" s="13"/>
      <c r="C658" s="14"/>
      <c r="D658" s="14"/>
      <c r="E658" s="15"/>
      <c r="F658" s="16"/>
      <c r="G658" s="18"/>
      <c r="H658" s="15"/>
      <c r="I658" s="18"/>
      <c r="J658" s="22"/>
      <c r="K658" s="108"/>
      <c r="L658" s="26"/>
      <c r="M658" s="26"/>
    </row>
    <row r="659">
      <c r="A659" s="12"/>
      <c r="B659" s="13"/>
      <c r="C659" s="14"/>
      <c r="D659" s="14"/>
      <c r="E659" s="15"/>
      <c r="F659" s="16"/>
      <c r="G659" s="18"/>
      <c r="H659" s="15"/>
      <c r="I659" s="18"/>
      <c r="J659" s="22"/>
      <c r="K659" s="108"/>
      <c r="L659" s="26"/>
      <c r="M659" s="26"/>
    </row>
    <row r="660">
      <c r="A660" s="12"/>
      <c r="B660" s="13"/>
      <c r="C660" s="14"/>
      <c r="D660" s="14"/>
      <c r="E660" s="15"/>
      <c r="F660" s="16"/>
      <c r="G660" s="18"/>
      <c r="H660" s="15"/>
      <c r="I660" s="18"/>
      <c r="J660" s="22"/>
      <c r="K660" s="108"/>
      <c r="L660" s="26"/>
      <c r="M660" s="26"/>
    </row>
    <row r="661">
      <c r="A661" s="12"/>
      <c r="B661" s="13"/>
      <c r="C661" s="14"/>
      <c r="D661" s="14"/>
      <c r="E661" s="15"/>
      <c r="F661" s="16"/>
      <c r="G661" s="18"/>
      <c r="H661" s="15"/>
      <c r="I661" s="18"/>
      <c r="J661" s="22"/>
      <c r="K661" s="108"/>
      <c r="L661" s="26"/>
      <c r="M661" s="26"/>
    </row>
    <row r="662">
      <c r="A662" s="12"/>
      <c r="B662" s="13"/>
      <c r="C662" s="14"/>
      <c r="D662" s="14"/>
      <c r="E662" s="15"/>
      <c r="F662" s="16"/>
      <c r="G662" s="18"/>
      <c r="H662" s="15"/>
      <c r="I662" s="18"/>
      <c r="J662" s="22"/>
      <c r="K662" s="108"/>
      <c r="L662" s="26"/>
      <c r="M662" s="26"/>
    </row>
    <row r="663">
      <c r="A663" s="12"/>
      <c r="B663" s="13"/>
      <c r="C663" s="14"/>
      <c r="D663" s="14"/>
      <c r="E663" s="15"/>
      <c r="F663" s="16"/>
      <c r="G663" s="18"/>
      <c r="H663" s="15"/>
      <c r="I663" s="18"/>
      <c r="J663" s="22"/>
      <c r="K663" s="108"/>
      <c r="L663" s="26"/>
      <c r="M663" s="26"/>
    </row>
    <row r="664">
      <c r="A664" s="12"/>
      <c r="B664" s="13"/>
      <c r="C664" s="14"/>
      <c r="D664" s="14"/>
      <c r="E664" s="15"/>
      <c r="F664" s="16"/>
      <c r="G664" s="18"/>
      <c r="H664" s="15"/>
      <c r="I664" s="18"/>
      <c r="J664" s="22"/>
      <c r="K664" s="108"/>
      <c r="L664" s="26"/>
      <c r="M664" s="26"/>
    </row>
    <row r="665">
      <c r="A665" s="12"/>
      <c r="B665" s="13"/>
      <c r="C665" s="14"/>
      <c r="D665" s="14"/>
      <c r="E665" s="15"/>
      <c r="F665" s="16"/>
      <c r="G665" s="18"/>
      <c r="H665" s="15"/>
      <c r="I665" s="18"/>
      <c r="J665" s="22"/>
      <c r="K665" s="108"/>
      <c r="L665" s="26"/>
      <c r="M665" s="26"/>
    </row>
    <row r="666">
      <c r="A666" s="12"/>
      <c r="B666" s="13"/>
      <c r="C666" s="14"/>
      <c r="D666" s="14"/>
      <c r="E666" s="15"/>
      <c r="F666" s="16"/>
      <c r="G666" s="18"/>
      <c r="H666" s="15"/>
      <c r="I666" s="18"/>
      <c r="J666" s="22"/>
      <c r="K666" s="108"/>
      <c r="L666" s="26"/>
      <c r="M666" s="26"/>
    </row>
    <row r="667">
      <c r="A667" s="12"/>
      <c r="B667" s="13"/>
      <c r="C667" s="14"/>
      <c r="D667" s="14"/>
      <c r="E667" s="15"/>
      <c r="F667" s="16"/>
      <c r="G667" s="18"/>
      <c r="H667" s="15"/>
      <c r="I667" s="18"/>
      <c r="J667" s="22"/>
      <c r="K667" s="108"/>
      <c r="L667" s="26"/>
      <c r="M667" s="26"/>
    </row>
    <row r="668">
      <c r="A668" s="12"/>
      <c r="B668" s="13"/>
      <c r="C668" s="14"/>
      <c r="D668" s="14"/>
      <c r="E668" s="15"/>
      <c r="F668" s="16"/>
      <c r="G668" s="18"/>
      <c r="H668" s="15"/>
      <c r="I668" s="18"/>
      <c r="J668" s="22"/>
      <c r="K668" s="108"/>
      <c r="L668" s="26"/>
      <c r="M668" s="26"/>
    </row>
    <row r="669">
      <c r="A669" s="12"/>
      <c r="B669" s="13"/>
      <c r="C669" s="14"/>
      <c r="D669" s="14"/>
      <c r="E669" s="15"/>
      <c r="F669" s="16"/>
      <c r="G669" s="18"/>
      <c r="H669" s="15"/>
      <c r="I669" s="18"/>
      <c r="J669" s="22"/>
      <c r="K669" s="108"/>
      <c r="L669" s="26"/>
      <c r="M669" s="26"/>
    </row>
    <row r="670">
      <c r="A670" s="12"/>
      <c r="B670" s="13"/>
      <c r="C670" s="14"/>
      <c r="D670" s="14"/>
      <c r="E670" s="15"/>
      <c r="F670" s="16"/>
      <c r="G670" s="18"/>
      <c r="H670" s="15"/>
      <c r="I670" s="18"/>
      <c r="J670" s="22"/>
      <c r="K670" s="108"/>
      <c r="L670" s="26"/>
      <c r="M670" s="26"/>
    </row>
    <row r="671">
      <c r="A671" s="12"/>
      <c r="B671" s="13"/>
      <c r="C671" s="14"/>
      <c r="D671" s="14"/>
      <c r="E671" s="15"/>
      <c r="F671" s="16"/>
      <c r="G671" s="18"/>
      <c r="H671" s="15"/>
      <c r="I671" s="18"/>
      <c r="J671" s="22"/>
      <c r="K671" s="108"/>
      <c r="L671" s="26"/>
      <c r="M671" s="26"/>
    </row>
    <row r="672">
      <c r="A672" s="12"/>
      <c r="B672" s="13"/>
      <c r="C672" s="14"/>
      <c r="D672" s="14"/>
      <c r="E672" s="15"/>
      <c r="F672" s="16"/>
      <c r="G672" s="18"/>
      <c r="H672" s="15"/>
      <c r="I672" s="18"/>
      <c r="J672" s="22"/>
      <c r="K672" s="108"/>
      <c r="L672" s="26"/>
      <c r="M672" s="26"/>
    </row>
    <row r="673">
      <c r="A673" s="12"/>
      <c r="B673" s="13"/>
      <c r="C673" s="14"/>
      <c r="D673" s="14"/>
      <c r="E673" s="15"/>
      <c r="F673" s="16"/>
      <c r="G673" s="18"/>
      <c r="H673" s="15"/>
      <c r="I673" s="18"/>
      <c r="J673" s="22"/>
      <c r="K673" s="108"/>
      <c r="L673" s="26"/>
      <c r="M673" s="26"/>
    </row>
    <row r="674">
      <c r="A674" s="12"/>
      <c r="B674" s="13"/>
      <c r="C674" s="14"/>
      <c r="D674" s="14"/>
      <c r="E674" s="15"/>
      <c r="F674" s="16"/>
      <c r="G674" s="18"/>
      <c r="H674" s="15"/>
      <c r="I674" s="18"/>
      <c r="J674" s="22"/>
      <c r="K674" s="108"/>
      <c r="L674" s="26"/>
      <c r="M674" s="26"/>
    </row>
    <row r="675">
      <c r="A675" s="12"/>
      <c r="B675" s="13"/>
      <c r="C675" s="14"/>
      <c r="D675" s="14"/>
      <c r="E675" s="15"/>
      <c r="F675" s="16"/>
      <c r="G675" s="18"/>
      <c r="H675" s="15"/>
      <c r="I675" s="18"/>
      <c r="J675" s="22"/>
      <c r="K675" s="108"/>
      <c r="L675" s="26"/>
      <c r="M675" s="26"/>
    </row>
    <row r="676">
      <c r="A676" s="12"/>
      <c r="B676" s="13"/>
      <c r="C676" s="14"/>
      <c r="D676" s="14"/>
      <c r="E676" s="15"/>
      <c r="F676" s="16"/>
      <c r="G676" s="18"/>
      <c r="H676" s="15"/>
      <c r="I676" s="18"/>
      <c r="J676" s="22"/>
      <c r="K676" s="108"/>
      <c r="L676" s="26"/>
      <c r="M676" s="26"/>
    </row>
    <row r="677">
      <c r="A677" s="12"/>
      <c r="B677" s="13"/>
      <c r="C677" s="14"/>
      <c r="D677" s="14"/>
      <c r="E677" s="15"/>
      <c r="F677" s="16"/>
      <c r="G677" s="18"/>
      <c r="H677" s="15"/>
      <c r="I677" s="18"/>
      <c r="J677" s="22"/>
      <c r="K677" s="108"/>
      <c r="L677" s="26"/>
      <c r="M677" s="26"/>
    </row>
    <row r="678">
      <c r="A678" s="12"/>
      <c r="B678" s="13"/>
      <c r="C678" s="14"/>
      <c r="D678" s="14"/>
      <c r="E678" s="15"/>
      <c r="F678" s="16"/>
      <c r="G678" s="18"/>
      <c r="H678" s="15"/>
      <c r="I678" s="18"/>
      <c r="J678" s="22"/>
      <c r="K678" s="108"/>
      <c r="L678" s="26"/>
      <c r="M678" s="26"/>
    </row>
    <row r="679">
      <c r="A679" s="12"/>
      <c r="B679" s="13"/>
      <c r="C679" s="14"/>
      <c r="D679" s="14"/>
      <c r="E679" s="15"/>
      <c r="F679" s="16"/>
      <c r="G679" s="18"/>
      <c r="H679" s="15"/>
      <c r="I679" s="18"/>
      <c r="J679" s="22"/>
      <c r="K679" s="108"/>
      <c r="L679" s="26"/>
      <c r="M679" s="26"/>
    </row>
    <row r="680">
      <c r="A680" s="12"/>
      <c r="B680" s="13"/>
      <c r="C680" s="14"/>
      <c r="D680" s="14"/>
      <c r="E680" s="15"/>
      <c r="F680" s="16"/>
      <c r="G680" s="18"/>
      <c r="H680" s="15"/>
      <c r="I680" s="18"/>
      <c r="J680" s="22"/>
      <c r="K680" s="108"/>
      <c r="L680" s="26"/>
      <c r="M680" s="26"/>
    </row>
    <row r="681">
      <c r="A681" s="12"/>
      <c r="B681" s="13"/>
      <c r="C681" s="14"/>
      <c r="D681" s="14"/>
      <c r="E681" s="15"/>
      <c r="F681" s="16"/>
      <c r="G681" s="18"/>
      <c r="H681" s="15"/>
      <c r="I681" s="18"/>
      <c r="J681" s="22"/>
      <c r="K681" s="108"/>
      <c r="L681" s="26"/>
      <c r="M681" s="26"/>
    </row>
    <row r="682">
      <c r="A682" s="12"/>
      <c r="B682" s="13"/>
      <c r="C682" s="14"/>
      <c r="D682" s="14"/>
      <c r="E682" s="15"/>
      <c r="F682" s="16"/>
      <c r="G682" s="18"/>
      <c r="H682" s="15"/>
      <c r="I682" s="18"/>
      <c r="J682" s="22"/>
      <c r="K682" s="108"/>
      <c r="L682" s="26"/>
      <c r="M682" s="26"/>
    </row>
    <row r="683">
      <c r="A683" s="12"/>
      <c r="B683" s="13"/>
      <c r="C683" s="14"/>
      <c r="D683" s="14"/>
      <c r="E683" s="15"/>
      <c r="F683" s="16"/>
      <c r="G683" s="18"/>
      <c r="H683" s="15"/>
      <c r="I683" s="18"/>
      <c r="J683" s="22"/>
      <c r="K683" s="108"/>
      <c r="L683" s="26"/>
      <c r="M683" s="26"/>
    </row>
    <row r="684">
      <c r="A684" s="12"/>
      <c r="B684" s="13"/>
      <c r="C684" s="14"/>
      <c r="D684" s="14"/>
      <c r="E684" s="15"/>
      <c r="F684" s="16"/>
      <c r="G684" s="18"/>
      <c r="H684" s="15"/>
      <c r="I684" s="18"/>
      <c r="J684" s="22"/>
      <c r="K684" s="108"/>
      <c r="L684" s="26"/>
      <c r="M684" s="26"/>
    </row>
    <row r="685">
      <c r="A685" s="12"/>
      <c r="B685" s="13"/>
      <c r="C685" s="14"/>
      <c r="D685" s="14"/>
      <c r="E685" s="15"/>
      <c r="F685" s="16"/>
      <c r="G685" s="18"/>
      <c r="H685" s="15"/>
      <c r="I685" s="18"/>
      <c r="J685" s="22"/>
      <c r="K685" s="108"/>
      <c r="L685" s="26"/>
      <c r="M685" s="26"/>
    </row>
    <row r="686">
      <c r="A686" s="12"/>
      <c r="B686" s="13"/>
      <c r="C686" s="14"/>
      <c r="D686" s="14"/>
      <c r="E686" s="15"/>
      <c r="F686" s="16"/>
      <c r="G686" s="18"/>
      <c r="H686" s="15"/>
      <c r="I686" s="18"/>
      <c r="J686" s="22"/>
      <c r="K686" s="108"/>
      <c r="L686" s="26"/>
      <c r="M686" s="26"/>
    </row>
    <row r="687">
      <c r="A687" s="12"/>
      <c r="B687" s="13"/>
      <c r="C687" s="14"/>
      <c r="D687" s="14"/>
      <c r="E687" s="15"/>
      <c r="F687" s="16"/>
      <c r="G687" s="18"/>
      <c r="H687" s="15"/>
      <c r="I687" s="18"/>
      <c r="J687" s="22"/>
      <c r="K687" s="108"/>
      <c r="L687" s="26"/>
      <c r="M687" s="26"/>
    </row>
    <row r="688">
      <c r="A688" s="12"/>
      <c r="B688" s="13"/>
      <c r="C688" s="14"/>
      <c r="D688" s="14"/>
      <c r="E688" s="15"/>
      <c r="F688" s="16"/>
      <c r="G688" s="18"/>
      <c r="H688" s="15"/>
      <c r="I688" s="18"/>
      <c r="J688" s="22"/>
      <c r="K688" s="108"/>
      <c r="L688" s="26"/>
      <c r="M688" s="26"/>
    </row>
    <row r="689">
      <c r="A689" s="12"/>
      <c r="B689" s="13"/>
      <c r="C689" s="14"/>
      <c r="D689" s="14"/>
      <c r="E689" s="15"/>
      <c r="F689" s="16"/>
      <c r="G689" s="18"/>
      <c r="H689" s="15"/>
      <c r="I689" s="18"/>
      <c r="J689" s="22"/>
      <c r="K689" s="108"/>
      <c r="L689" s="26"/>
      <c r="M689" s="26"/>
    </row>
    <row r="690">
      <c r="A690" s="12"/>
      <c r="B690" s="13"/>
      <c r="C690" s="14"/>
      <c r="D690" s="14"/>
      <c r="E690" s="15"/>
      <c r="F690" s="16"/>
      <c r="G690" s="18"/>
      <c r="H690" s="15"/>
      <c r="I690" s="18"/>
      <c r="J690" s="22"/>
      <c r="K690" s="108"/>
      <c r="L690" s="26"/>
      <c r="M690" s="26"/>
    </row>
    <row r="691">
      <c r="A691" s="12"/>
      <c r="B691" s="13"/>
      <c r="C691" s="14"/>
      <c r="D691" s="14"/>
      <c r="E691" s="15"/>
      <c r="F691" s="16"/>
      <c r="G691" s="18"/>
      <c r="H691" s="15"/>
      <c r="I691" s="18"/>
      <c r="J691" s="22"/>
      <c r="K691" s="108"/>
      <c r="L691" s="26"/>
      <c r="M691" s="26"/>
    </row>
    <row r="692">
      <c r="A692" s="12"/>
      <c r="B692" s="13"/>
      <c r="C692" s="14"/>
      <c r="D692" s="14"/>
      <c r="E692" s="15"/>
      <c r="F692" s="16"/>
      <c r="G692" s="18"/>
      <c r="H692" s="15"/>
      <c r="I692" s="18"/>
      <c r="J692" s="22"/>
      <c r="K692" s="108"/>
      <c r="L692" s="26"/>
      <c r="M692" s="26"/>
    </row>
    <row r="693">
      <c r="A693" s="12"/>
      <c r="B693" s="13"/>
      <c r="C693" s="14"/>
      <c r="D693" s="14"/>
      <c r="E693" s="15"/>
      <c r="F693" s="16"/>
      <c r="G693" s="18"/>
      <c r="H693" s="15"/>
      <c r="I693" s="18"/>
      <c r="J693" s="22"/>
      <c r="K693" s="108"/>
      <c r="L693" s="26"/>
      <c r="M693" s="26"/>
    </row>
    <row r="694">
      <c r="A694" s="12"/>
      <c r="B694" s="13"/>
      <c r="C694" s="14"/>
      <c r="D694" s="14"/>
      <c r="E694" s="15"/>
      <c r="F694" s="16"/>
      <c r="G694" s="18"/>
      <c r="H694" s="15"/>
      <c r="I694" s="18"/>
      <c r="J694" s="22"/>
      <c r="K694" s="108"/>
      <c r="L694" s="26"/>
      <c r="M694" s="26"/>
    </row>
    <row r="695">
      <c r="A695" s="12"/>
      <c r="B695" s="13"/>
      <c r="C695" s="14"/>
      <c r="D695" s="14"/>
      <c r="E695" s="15"/>
      <c r="F695" s="16"/>
      <c r="G695" s="18"/>
      <c r="H695" s="15"/>
      <c r="I695" s="18"/>
      <c r="J695" s="22"/>
      <c r="K695" s="108"/>
      <c r="L695" s="26"/>
      <c r="M695" s="26"/>
    </row>
    <row r="696">
      <c r="A696" s="12"/>
      <c r="B696" s="13"/>
      <c r="C696" s="14"/>
      <c r="D696" s="14"/>
      <c r="E696" s="15"/>
      <c r="F696" s="16"/>
      <c r="G696" s="18"/>
      <c r="H696" s="15"/>
      <c r="I696" s="18"/>
      <c r="J696" s="22"/>
      <c r="K696" s="108"/>
      <c r="L696" s="26"/>
      <c r="M696" s="26"/>
    </row>
    <row r="697">
      <c r="A697" s="12"/>
      <c r="B697" s="13"/>
      <c r="C697" s="14"/>
      <c r="D697" s="14"/>
      <c r="E697" s="15"/>
      <c r="F697" s="16"/>
      <c r="G697" s="18"/>
      <c r="H697" s="15"/>
      <c r="I697" s="18"/>
      <c r="J697" s="22"/>
      <c r="K697" s="108"/>
      <c r="L697" s="26"/>
      <c r="M697" s="26"/>
    </row>
    <row r="698">
      <c r="A698" s="12"/>
      <c r="B698" s="13"/>
      <c r="C698" s="14"/>
      <c r="D698" s="14"/>
      <c r="E698" s="15"/>
      <c r="F698" s="16"/>
      <c r="G698" s="18"/>
      <c r="H698" s="15"/>
      <c r="I698" s="18"/>
      <c r="J698" s="22"/>
      <c r="K698" s="108"/>
      <c r="L698" s="26"/>
      <c r="M698" s="26"/>
    </row>
    <row r="699">
      <c r="A699" s="12"/>
      <c r="B699" s="13"/>
      <c r="C699" s="14"/>
      <c r="D699" s="14"/>
      <c r="E699" s="15"/>
      <c r="F699" s="16"/>
      <c r="G699" s="18"/>
      <c r="H699" s="15"/>
      <c r="I699" s="18"/>
      <c r="J699" s="22"/>
      <c r="K699" s="108"/>
      <c r="L699" s="26"/>
      <c r="M699" s="26"/>
    </row>
    <row r="700">
      <c r="A700" s="12"/>
      <c r="B700" s="13"/>
      <c r="C700" s="14"/>
      <c r="D700" s="14"/>
      <c r="E700" s="15"/>
      <c r="F700" s="16"/>
      <c r="G700" s="18"/>
      <c r="H700" s="15"/>
      <c r="I700" s="18"/>
      <c r="J700" s="22"/>
      <c r="K700" s="108"/>
      <c r="L700" s="26"/>
      <c r="M700" s="26"/>
    </row>
    <row r="701">
      <c r="A701" s="12"/>
      <c r="B701" s="13"/>
      <c r="C701" s="14"/>
      <c r="D701" s="14"/>
      <c r="E701" s="15"/>
      <c r="F701" s="16"/>
      <c r="G701" s="18"/>
      <c r="H701" s="15"/>
      <c r="I701" s="18"/>
      <c r="J701" s="22"/>
      <c r="K701" s="108"/>
      <c r="L701" s="26"/>
      <c r="M701" s="26"/>
    </row>
    <row r="702">
      <c r="A702" s="12"/>
      <c r="B702" s="13"/>
      <c r="C702" s="14"/>
      <c r="D702" s="14"/>
      <c r="E702" s="15"/>
      <c r="F702" s="16"/>
      <c r="G702" s="18"/>
      <c r="H702" s="15"/>
      <c r="I702" s="18"/>
      <c r="J702" s="22"/>
      <c r="K702" s="108"/>
      <c r="L702" s="26"/>
      <c r="M702" s="26"/>
    </row>
    <row r="703">
      <c r="A703" s="12"/>
      <c r="B703" s="13"/>
      <c r="C703" s="14"/>
      <c r="D703" s="14"/>
      <c r="E703" s="15"/>
      <c r="F703" s="16"/>
      <c r="G703" s="18"/>
      <c r="H703" s="15"/>
      <c r="I703" s="18"/>
      <c r="J703" s="22"/>
      <c r="K703" s="108"/>
      <c r="L703" s="26"/>
      <c r="M703" s="26"/>
    </row>
    <row r="704">
      <c r="A704" s="12"/>
      <c r="B704" s="13"/>
      <c r="C704" s="14"/>
      <c r="D704" s="14"/>
      <c r="E704" s="15"/>
      <c r="F704" s="16"/>
      <c r="G704" s="18"/>
      <c r="H704" s="15"/>
      <c r="I704" s="18"/>
      <c r="J704" s="22"/>
      <c r="K704" s="108"/>
      <c r="L704" s="26"/>
      <c r="M704" s="26"/>
    </row>
    <row r="705">
      <c r="A705" s="12"/>
      <c r="B705" s="13"/>
      <c r="C705" s="14"/>
      <c r="D705" s="14"/>
      <c r="E705" s="15"/>
      <c r="F705" s="16"/>
      <c r="G705" s="18"/>
      <c r="H705" s="15"/>
      <c r="I705" s="18"/>
      <c r="J705" s="22"/>
      <c r="K705" s="108"/>
      <c r="L705" s="26"/>
      <c r="M705" s="26"/>
    </row>
    <row r="706">
      <c r="A706" s="12"/>
      <c r="B706" s="13"/>
      <c r="C706" s="14"/>
      <c r="D706" s="14"/>
      <c r="E706" s="15"/>
      <c r="F706" s="16"/>
      <c r="G706" s="18"/>
      <c r="H706" s="15"/>
      <c r="I706" s="18"/>
      <c r="J706" s="22"/>
      <c r="K706" s="108"/>
      <c r="L706" s="26"/>
      <c r="M706" s="26"/>
    </row>
    <row r="707">
      <c r="A707" s="12"/>
      <c r="B707" s="13"/>
      <c r="C707" s="14"/>
      <c r="D707" s="14"/>
      <c r="E707" s="15"/>
      <c r="F707" s="16"/>
      <c r="G707" s="18"/>
      <c r="H707" s="15"/>
      <c r="I707" s="18"/>
      <c r="J707" s="22"/>
      <c r="K707" s="108"/>
      <c r="L707" s="26"/>
      <c r="M707" s="26"/>
    </row>
    <row r="708">
      <c r="A708" s="12"/>
      <c r="B708" s="13"/>
      <c r="C708" s="14"/>
      <c r="D708" s="14"/>
      <c r="E708" s="15"/>
      <c r="F708" s="16"/>
      <c r="G708" s="18"/>
      <c r="H708" s="15"/>
      <c r="I708" s="18"/>
      <c r="J708" s="22"/>
      <c r="K708" s="108"/>
      <c r="L708" s="26"/>
      <c r="M708" s="26"/>
    </row>
    <row r="709">
      <c r="A709" s="12"/>
      <c r="B709" s="13"/>
      <c r="C709" s="14"/>
      <c r="D709" s="14"/>
      <c r="E709" s="15"/>
      <c r="F709" s="16"/>
      <c r="G709" s="18"/>
      <c r="H709" s="15"/>
      <c r="I709" s="18"/>
      <c r="J709" s="22"/>
      <c r="K709" s="108"/>
      <c r="L709" s="26"/>
      <c r="M709" s="26"/>
    </row>
    <row r="710">
      <c r="A710" s="12"/>
      <c r="B710" s="13"/>
      <c r="C710" s="14"/>
      <c r="D710" s="14"/>
      <c r="E710" s="15"/>
      <c r="F710" s="16"/>
      <c r="G710" s="18"/>
      <c r="H710" s="15"/>
      <c r="I710" s="18"/>
      <c r="J710" s="22"/>
      <c r="K710" s="108"/>
      <c r="L710" s="26"/>
      <c r="M710" s="26"/>
    </row>
    <row r="711">
      <c r="A711" s="12"/>
      <c r="B711" s="13"/>
      <c r="C711" s="14"/>
      <c r="D711" s="14"/>
      <c r="E711" s="15"/>
      <c r="F711" s="16"/>
      <c r="G711" s="18"/>
      <c r="H711" s="15"/>
      <c r="I711" s="18"/>
      <c r="J711" s="22"/>
      <c r="K711" s="108"/>
      <c r="L711" s="26"/>
      <c r="M711" s="26"/>
    </row>
    <row r="712">
      <c r="A712" s="12"/>
      <c r="B712" s="13"/>
      <c r="C712" s="14"/>
      <c r="D712" s="14"/>
      <c r="E712" s="15"/>
      <c r="F712" s="16"/>
      <c r="G712" s="18"/>
      <c r="H712" s="15"/>
      <c r="I712" s="18"/>
      <c r="J712" s="22"/>
      <c r="K712" s="108"/>
      <c r="L712" s="26"/>
      <c r="M712" s="26"/>
    </row>
    <row r="713">
      <c r="A713" s="12"/>
      <c r="B713" s="13"/>
      <c r="C713" s="14"/>
      <c r="D713" s="14"/>
      <c r="E713" s="15"/>
      <c r="F713" s="16"/>
      <c r="G713" s="18"/>
      <c r="H713" s="15"/>
      <c r="I713" s="18"/>
      <c r="J713" s="22"/>
      <c r="K713" s="108"/>
      <c r="L713" s="26"/>
      <c r="M713" s="26"/>
    </row>
    <row r="714">
      <c r="A714" s="12"/>
      <c r="B714" s="13"/>
      <c r="C714" s="14"/>
      <c r="D714" s="14"/>
      <c r="E714" s="15"/>
      <c r="F714" s="16"/>
      <c r="G714" s="18"/>
      <c r="H714" s="15"/>
      <c r="I714" s="18"/>
      <c r="J714" s="22"/>
      <c r="K714" s="108"/>
      <c r="L714" s="26"/>
      <c r="M714" s="26"/>
    </row>
    <row r="715">
      <c r="A715" s="12"/>
      <c r="B715" s="13"/>
      <c r="C715" s="14"/>
      <c r="D715" s="14"/>
      <c r="E715" s="15"/>
      <c r="F715" s="16"/>
      <c r="G715" s="18"/>
      <c r="H715" s="15"/>
      <c r="I715" s="18"/>
      <c r="J715" s="22"/>
      <c r="K715" s="108"/>
      <c r="L715" s="26"/>
      <c r="M715" s="26"/>
    </row>
    <row r="716">
      <c r="A716" s="12"/>
      <c r="B716" s="13"/>
      <c r="C716" s="14"/>
      <c r="D716" s="14"/>
      <c r="E716" s="15"/>
      <c r="F716" s="16"/>
      <c r="G716" s="18"/>
      <c r="H716" s="15"/>
      <c r="I716" s="18"/>
      <c r="J716" s="22"/>
      <c r="K716" s="108"/>
      <c r="L716" s="26"/>
      <c r="M716" s="26"/>
    </row>
    <row r="717">
      <c r="A717" s="12"/>
      <c r="B717" s="13"/>
      <c r="C717" s="14"/>
      <c r="D717" s="14"/>
      <c r="E717" s="15"/>
      <c r="F717" s="16"/>
      <c r="G717" s="18"/>
      <c r="H717" s="15"/>
      <c r="I717" s="18"/>
      <c r="J717" s="22"/>
      <c r="K717" s="108"/>
      <c r="L717" s="26"/>
      <c r="M717" s="26"/>
    </row>
    <row r="718">
      <c r="A718" s="12"/>
      <c r="B718" s="13"/>
      <c r="C718" s="14"/>
      <c r="D718" s="14"/>
      <c r="E718" s="15"/>
      <c r="F718" s="16"/>
      <c r="G718" s="18"/>
      <c r="H718" s="15"/>
      <c r="I718" s="18"/>
      <c r="J718" s="22"/>
      <c r="K718" s="108"/>
      <c r="L718" s="26"/>
      <c r="M718" s="26"/>
    </row>
    <row r="719">
      <c r="A719" s="12"/>
      <c r="B719" s="13"/>
      <c r="C719" s="14"/>
      <c r="D719" s="14"/>
      <c r="E719" s="15"/>
      <c r="F719" s="16"/>
      <c r="G719" s="18"/>
      <c r="H719" s="15"/>
      <c r="I719" s="18"/>
      <c r="J719" s="22"/>
      <c r="K719" s="108"/>
      <c r="L719" s="26"/>
      <c r="M719" s="26"/>
    </row>
    <row r="720">
      <c r="A720" s="12"/>
      <c r="B720" s="13"/>
      <c r="C720" s="14"/>
      <c r="D720" s="14"/>
      <c r="E720" s="15"/>
      <c r="F720" s="16"/>
      <c r="G720" s="18"/>
      <c r="H720" s="15"/>
      <c r="I720" s="18"/>
      <c r="J720" s="22"/>
      <c r="K720" s="108"/>
      <c r="L720" s="26"/>
      <c r="M720" s="26"/>
    </row>
    <row r="721">
      <c r="A721" s="12"/>
      <c r="B721" s="13"/>
      <c r="C721" s="14"/>
      <c r="D721" s="14"/>
      <c r="E721" s="15"/>
      <c r="F721" s="16"/>
      <c r="G721" s="18"/>
      <c r="H721" s="15"/>
      <c r="I721" s="18"/>
      <c r="J721" s="22"/>
      <c r="K721" s="108"/>
      <c r="L721" s="26"/>
      <c r="M721" s="26"/>
    </row>
    <row r="722">
      <c r="A722" s="12"/>
      <c r="B722" s="13"/>
      <c r="C722" s="14"/>
      <c r="D722" s="14"/>
      <c r="E722" s="15"/>
      <c r="F722" s="16"/>
      <c r="G722" s="18"/>
      <c r="H722" s="15"/>
      <c r="I722" s="18"/>
      <c r="J722" s="22"/>
      <c r="K722" s="108"/>
      <c r="L722" s="26"/>
      <c r="M722" s="26"/>
    </row>
    <row r="723">
      <c r="A723" s="12"/>
      <c r="B723" s="13"/>
      <c r="C723" s="14"/>
      <c r="D723" s="14"/>
      <c r="E723" s="15"/>
      <c r="F723" s="16"/>
      <c r="G723" s="18"/>
      <c r="H723" s="15"/>
      <c r="I723" s="18"/>
      <c r="J723" s="22"/>
      <c r="K723" s="108"/>
      <c r="L723" s="26"/>
      <c r="M723" s="26"/>
    </row>
    <row r="724">
      <c r="A724" s="12"/>
      <c r="B724" s="13"/>
      <c r="C724" s="14"/>
      <c r="D724" s="14"/>
      <c r="E724" s="15"/>
      <c r="F724" s="16"/>
      <c r="G724" s="18"/>
      <c r="H724" s="15"/>
      <c r="I724" s="18"/>
      <c r="J724" s="22"/>
      <c r="K724" s="108"/>
      <c r="L724" s="26"/>
      <c r="M724" s="26"/>
    </row>
    <row r="725">
      <c r="A725" s="12"/>
      <c r="B725" s="13"/>
      <c r="C725" s="14"/>
      <c r="D725" s="14"/>
      <c r="E725" s="15"/>
      <c r="F725" s="16"/>
      <c r="G725" s="18"/>
      <c r="H725" s="15"/>
      <c r="I725" s="18"/>
      <c r="J725" s="22"/>
      <c r="K725" s="108"/>
      <c r="L725" s="26"/>
      <c r="M725" s="26"/>
    </row>
    <row r="726">
      <c r="A726" s="12"/>
      <c r="B726" s="13"/>
      <c r="C726" s="14"/>
      <c r="D726" s="14"/>
      <c r="E726" s="15"/>
      <c r="F726" s="16"/>
      <c r="G726" s="18"/>
      <c r="H726" s="15"/>
      <c r="I726" s="18"/>
      <c r="J726" s="22"/>
      <c r="K726" s="108"/>
      <c r="L726" s="26"/>
      <c r="M726" s="26"/>
    </row>
    <row r="727">
      <c r="A727" s="12"/>
      <c r="B727" s="13"/>
      <c r="C727" s="14"/>
      <c r="D727" s="14"/>
      <c r="E727" s="15"/>
      <c r="F727" s="16"/>
      <c r="G727" s="18"/>
      <c r="H727" s="15"/>
      <c r="I727" s="18"/>
      <c r="J727" s="22"/>
      <c r="K727" s="108"/>
      <c r="L727" s="26"/>
      <c r="M727" s="26"/>
    </row>
    <row r="728">
      <c r="A728" s="12"/>
      <c r="B728" s="13"/>
      <c r="C728" s="14"/>
      <c r="D728" s="14"/>
      <c r="E728" s="15"/>
      <c r="F728" s="16"/>
      <c r="G728" s="18"/>
      <c r="H728" s="15"/>
      <c r="I728" s="18"/>
      <c r="J728" s="22"/>
      <c r="K728" s="108"/>
      <c r="L728" s="26"/>
      <c r="M728" s="26"/>
    </row>
    <row r="729">
      <c r="A729" s="12"/>
      <c r="B729" s="13"/>
      <c r="C729" s="14"/>
      <c r="D729" s="14"/>
      <c r="E729" s="15"/>
      <c r="F729" s="16"/>
      <c r="G729" s="18"/>
      <c r="H729" s="15"/>
      <c r="I729" s="18"/>
      <c r="J729" s="22"/>
      <c r="K729" s="108"/>
      <c r="L729" s="26"/>
      <c r="M729" s="26"/>
    </row>
    <row r="730">
      <c r="A730" s="12"/>
      <c r="B730" s="13"/>
      <c r="C730" s="14"/>
      <c r="D730" s="14"/>
      <c r="E730" s="15"/>
      <c r="F730" s="16"/>
      <c r="G730" s="18"/>
      <c r="H730" s="15"/>
      <c r="I730" s="18"/>
      <c r="J730" s="22"/>
      <c r="K730" s="108"/>
      <c r="L730" s="26"/>
      <c r="M730" s="26"/>
    </row>
    <row r="731">
      <c r="A731" s="12"/>
      <c r="B731" s="13"/>
      <c r="C731" s="14"/>
      <c r="D731" s="14"/>
      <c r="E731" s="15"/>
      <c r="F731" s="16"/>
      <c r="G731" s="18"/>
      <c r="H731" s="15"/>
      <c r="I731" s="18"/>
      <c r="J731" s="22"/>
      <c r="K731" s="108"/>
      <c r="L731" s="26"/>
      <c r="M731" s="26"/>
    </row>
    <row r="732">
      <c r="A732" s="12"/>
      <c r="B732" s="13"/>
      <c r="C732" s="14"/>
      <c r="D732" s="14"/>
      <c r="E732" s="15"/>
      <c r="F732" s="16"/>
      <c r="G732" s="18"/>
      <c r="H732" s="15"/>
      <c r="I732" s="18"/>
      <c r="J732" s="22"/>
      <c r="K732" s="108"/>
      <c r="L732" s="26"/>
      <c r="M732" s="26"/>
    </row>
    <row r="733">
      <c r="A733" s="12"/>
      <c r="B733" s="13"/>
      <c r="C733" s="14"/>
      <c r="D733" s="14"/>
      <c r="E733" s="15"/>
      <c r="F733" s="16"/>
      <c r="G733" s="18"/>
      <c r="H733" s="15"/>
      <c r="I733" s="18"/>
      <c r="J733" s="22"/>
      <c r="K733" s="108"/>
      <c r="L733" s="26"/>
      <c r="M733" s="26"/>
    </row>
    <row r="734">
      <c r="A734" s="12"/>
      <c r="B734" s="13"/>
      <c r="C734" s="14"/>
      <c r="D734" s="14"/>
      <c r="E734" s="15"/>
      <c r="F734" s="16"/>
      <c r="G734" s="18"/>
      <c r="H734" s="15"/>
      <c r="I734" s="18"/>
      <c r="J734" s="22"/>
      <c r="K734" s="108"/>
      <c r="L734" s="26"/>
      <c r="M734" s="26"/>
    </row>
    <row r="735">
      <c r="A735" s="12"/>
      <c r="B735" s="13"/>
      <c r="C735" s="14"/>
      <c r="D735" s="14"/>
      <c r="E735" s="15"/>
      <c r="F735" s="16"/>
      <c r="G735" s="18"/>
      <c r="H735" s="15"/>
      <c r="I735" s="18"/>
      <c r="J735" s="22"/>
      <c r="K735" s="108"/>
      <c r="L735" s="26"/>
      <c r="M735" s="26"/>
    </row>
    <row r="736">
      <c r="A736" s="12"/>
      <c r="B736" s="13"/>
      <c r="C736" s="14"/>
      <c r="D736" s="14"/>
      <c r="E736" s="15"/>
      <c r="F736" s="16"/>
      <c r="G736" s="18"/>
      <c r="H736" s="15"/>
      <c r="I736" s="18"/>
      <c r="J736" s="22"/>
      <c r="K736" s="108"/>
      <c r="L736" s="26"/>
      <c r="M736" s="26"/>
    </row>
    <row r="737">
      <c r="A737" s="12"/>
      <c r="B737" s="13"/>
      <c r="C737" s="14"/>
      <c r="D737" s="14"/>
      <c r="E737" s="15"/>
      <c r="F737" s="16"/>
      <c r="G737" s="18"/>
      <c r="H737" s="15"/>
      <c r="I737" s="18"/>
      <c r="J737" s="22"/>
      <c r="K737" s="108"/>
      <c r="L737" s="26"/>
      <c r="M737" s="26"/>
    </row>
    <row r="738">
      <c r="A738" s="12"/>
      <c r="B738" s="13"/>
      <c r="C738" s="14"/>
      <c r="D738" s="14"/>
      <c r="E738" s="15"/>
      <c r="F738" s="16"/>
      <c r="G738" s="18"/>
      <c r="H738" s="15"/>
      <c r="I738" s="18"/>
      <c r="J738" s="22"/>
      <c r="K738" s="108"/>
      <c r="L738" s="26"/>
      <c r="M738" s="26"/>
    </row>
    <row r="739">
      <c r="A739" s="12"/>
      <c r="B739" s="13"/>
      <c r="C739" s="14"/>
      <c r="D739" s="14"/>
      <c r="E739" s="15"/>
      <c r="F739" s="16"/>
      <c r="G739" s="18"/>
      <c r="H739" s="15"/>
      <c r="I739" s="18"/>
      <c r="J739" s="22"/>
      <c r="K739" s="108"/>
      <c r="L739" s="26"/>
      <c r="M739" s="26"/>
    </row>
    <row r="740">
      <c r="A740" s="12"/>
      <c r="B740" s="13"/>
      <c r="C740" s="14"/>
      <c r="D740" s="14"/>
      <c r="E740" s="15"/>
      <c r="F740" s="16"/>
      <c r="G740" s="18"/>
      <c r="H740" s="15"/>
      <c r="I740" s="18"/>
      <c r="J740" s="22"/>
      <c r="K740" s="108"/>
      <c r="L740" s="26"/>
      <c r="M740" s="26"/>
    </row>
    <row r="741">
      <c r="A741" s="12"/>
      <c r="B741" s="13"/>
      <c r="C741" s="14"/>
      <c r="D741" s="14"/>
      <c r="E741" s="15"/>
      <c r="F741" s="16"/>
      <c r="G741" s="18"/>
      <c r="H741" s="15"/>
      <c r="I741" s="18"/>
      <c r="J741" s="22"/>
      <c r="K741" s="108"/>
      <c r="L741" s="26"/>
      <c r="M741" s="26"/>
    </row>
    <row r="742">
      <c r="A742" s="12"/>
      <c r="B742" s="13"/>
      <c r="C742" s="14"/>
      <c r="D742" s="14"/>
      <c r="E742" s="15"/>
      <c r="F742" s="16"/>
      <c r="G742" s="18"/>
      <c r="H742" s="15"/>
      <c r="I742" s="18"/>
      <c r="J742" s="22"/>
      <c r="K742" s="108"/>
      <c r="L742" s="26"/>
      <c r="M742" s="26"/>
    </row>
    <row r="743">
      <c r="A743" s="12"/>
      <c r="B743" s="13"/>
      <c r="C743" s="14"/>
      <c r="D743" s="14"/>
      <c r="E743" s="15"/>
      <c r="F743" s="16"/>
      <c r="G743" s="18"/>
      <c r="H743" s="15"/>
      <c r="I743" s="18"/>
      <c r="J743" s="22"/>
      <c r="K743" s="108"/>
      <c r="L743" s="26"/>
      <c r="M743" s="26"/>
    </row>
    <row r="744">
      <c r="A744" s="12"/>
      <c r="B744" s="13"/>
      <c r="C744" s="14"/>
      <c r="D744" s="14"/>
      <c r="E744" s="15"/>
      <c r="F744" s="16"/>
      <c r="G744" s="18"/>
      <c r="H744" s="15"/>
      <c r="I744" s="18"/>
      <c r="J744" s="22"/>
      <c r="K744" s="108"/>
      <c r="L744" s="26"/>
      <c r="M744" s="26"/>
    </row>
    <row r="745">
      <c r="A745" s="12"/>
      <c r="B745" s="13"/>
      <c r="C745" s="14"/>
      <c r="D745" s="14"/>
      <c r="E745" s="15"/>
      <c r="F745" s="16"/>
      <c r="G745" s="18"/>
      <c r="H745" s="15"/>
      <c r="I745" s="18"/>
      <c r="J745" s="22"/>
      <c r="K745" s="108"/>
      <c r="L745" s="26"/>
      <c r="M745" s="26"/>
    </row>
    <row r="746">
      <c r="A746" s="12"/>
      <c r="B746" s="13"/>
      <c r="C746" s="14"/>
      <c r="D746" s="14"/>
      <c r="E746" s="15"/>
      <c r="F746" s="16"/>
      <c r="G746" s="18"/>
      <c r="H746" s="15"/>
      <c r="I746" s="18"/>
      <c r="J746" s="22"/>
      <c r="K746" s="108"/>
      <c r="L746" s="26"/>
      <c r="M746" s="26"/>
    </row>
    <row r="747">
      <c r="A747" s="12"/>
      <c r="B747" s="13"/>
      <c r="C747" s="14"/>
      <c r="D747" s="14"/>
      <c r="E747" s="15"/>
      <c r="F747" s="16"/>
      <c r="G747" s="18"/>
      <c r="H747" s="15"/>
      <c r="I747" s="18"/>
      <c r="J747" s="22"/>
      <c r="K747" s="108"/>
      <c r="L747" s="26"/>
      <c r="M747" s="26"/>
    </row>
    <row r="748">
      <c r="A748" s="12"/>
      <c r="B748" s="13"/>
      <c r="C748" s="14"/>
      <c r="D748" s="14"/>
      <c r="E748" s="15"/>
      <c r="F748" s="16"/>
      <c r="G748" s="18"/>
      <c r="H748" s="15"/>
      <c r="I748" s="18"/>
      <c r="J748" s="22"/>
      <c r="K748" s="108"/>
      <c r="L748" s="26"/>
      <c r="M748" s="26"/>
    </row>
    <row r="749">
      <c r="A749" s="12"/>
      <c r="B749" s="13"/>
      <c r="C749" s="14"/>
      <c r="D749" s="14"/>
      <c r="E749" s="15"/>
      <c r="F749" s="16"/>
      <c r="G749" s="18"/>
      <c r="H749" s="15"/>
      <c r="I749" s="18"/>
      <c r="J749" s="22"/>
      <c r="K749" s="108"/>
      <c r="L749" s="26"/>
      <c r="M749" s="26"/>
    </row>
    <row r="750">
      <c r="A750" s="12"/>
      <c r="B750" s="13"/>
      <c r="C750" s="14"/>
      <c r="D750" s="14"/>
      <c r="E750" s="15"/>
      <c r="F750" s="16"/>
      <c r="G750" s="18"/>
      <c r="H750" s="15"/>
      <c r="I750" s="18"/>
      <c r="J750" s="22"/>
      <c r="K750" s="108"/>
      <c r="L750" s="26"/>
      <c r="M750" s="26"/>
    </row>
    <row r="751">
      <c r="A751" s="12"/>
      <c r="B751" s="13"/>
      <c r="C751" s="14"/>
      <c r="D751" s="14"/>
      <c r="E751" s="15"/>
      <c r="F751" s="16"/>
      <c r="G751" s="18"/>
      <c r="H751" s="15"/>
      <c r="I751" s="18"/>
      <c r="J751" s="22"/>
      <c r="K751" s="108"/>
      <c r="L751" s="26"/>
      <c r="M751" s="26"/>
    </row>
    <row r="752">
      <c r="A752" s="12"/>
      <c r="B752" s="13"/>
      <c r="C752" s="14"/>
      <c r="D752" s="14"/>
      <c r="E752" s="15"/>
      <c r="F752" s="16"/>
      <c r="G752" s="18"/>
      <c r="H752" s="15"/>
      <c r="I752" s="18"/>
      <c r="J752" s="22"/>
      <c r="K752" s="108"/>
      <c r="L752" s="26"/>
      <c r="M752" s="26"/>
    </row>
    <row r="753">
      <c r="A753" s="12"/>
      <c r="B753" s="13"/>
      <c r="C753" s="14"/>
      <c r="D753" s="14"/>
      <c r="E753" s="15"/>
      <c r="F753" s="16"/>
      <c r="G753" s="18"/>
      <c r="H753" s="15"/>
      <c r="I753" s="18"/>
      <c r="J753" s="22"/>
      <c r="K753" s="108"/>
      <c r="L753" s="26"/>
      <c r="M753" s="26"/>
    </row>
    <row r="754">
      <c r="A754" s="12"/>
      <c r="B754" s="13"/>
      <c r="C754" s="14"/>
      <c r="D754" s="14"/>
      <c r="E754" s="15"/>
      <c r="F754" s="16"/>
      <c r="G754" s="18"/>
      <c r="H754" s="15"/>
      <c r="I754" s="18"/>
      <c r="J754" s="22"/>
      <c r="K754" s="108"/>
      <c r="L754" s="26"/>
      <c r="M754" s="26"/>
    </row>
    <row r="755">
      <c r="A755" s="12"/>
      <c r="B755" s="13"/>
      <c r="C755" s="14"/>
      <c r="D755" s="14"/>
      <c r="E755" s="15"/>
      <c r="F755" s="16"/>
      <c r="G755" s="18"/>
      <c r="H755" s="15"/>
      <c r="I755" s="18"/>
      <c r="J755" s="22"/>
      <c r="K755" s="108"/>
      <c r="L755" s="26"/>
      <c r="M755" s="26"/>
    </row>
    <row r="756">
      <c r="A756" s="12"/>
      <c r="B756" s="13"/>
      <c r="C756" s="14"/>
      <c r="D756" s="14"/>
      <c r="E756" s="15"/>
      <c r="F756" s="16"/>
      <c r="G756" s="18"/>
      <c r="H756" s="15"/>
      <c r="I756" s="18"/>
      <c r="J756" s="22"/>
      <c r="K756" s="108"/>
      <c r="L756" s="26"/>
      <c r="M756" s="26"/>
    </row>
    <row r="757">
      <c r="A757" s="12"/>
      <c r="B757" s="13"/>
      <c r="C757" s="14"/>
      <c r="D757" s="14"/>
      <c r="E757" s="15"/>
      <c r="F757" s="16"/>
      <c r="G757" s="18"/>
      <c r="H757" s="15"/>
      <c r="I757" s="18"/>
      <c r="J757" s="22"/>
      <c r="K757" s="108"/>
      <c r="L757" s="26"/>
      <c r="M757" s="26"/>
    </row>
    <row r="758">
      <c r="A758" s="12"/>
      <c r="B758" s="13"/>
      <c r="C758" s="14"/>
      <c r="D758" s="14"/>
      <c r="E758" s="15"/>
      <c r="F758" s="16"/>
      <c r="G758" s="18"/>
      <c r="H758" s="15"/>
      <c r="I758" s="18"/>
      <c r="J758" s="22"/>
      <c r="K758" s="108"/>
      <c r="L758" s="26"/>
      <c r="M758" s="26"/>
    </row>
    <row r="759">
      <c r="A759" s="12"/>
      <c r="B759" s="13"/>
      <c r="C759" s="14"/>
      <c r="D759" s="14"/>
      <c r="E759" s="15"/>
      <c r="F759" s="16"/>
      <c r="G759" s="18"/>
      <c r="H759" s="15"/>
      <c r="I759" s="18"/>
      <c r="J759" s="22"/>
      <c r="K759" s="108"/>
      <c r="L759" s="26"/>
      <c r="M759" s="26"/>
    </row>
    <row r="760">
      <c r="A760" s="12"/>
      <c r="B760" s="13"/>
      <c r="C760" s="14"/>
      <c r="D760" s="14"/>
      <c r="E760" s="15"/>
      <c r="F760" s="16"/>
      <c r="G760" s="18"/>
      <c r="H760" s="15"/>
      <c r="I760" s="18"/>
      <c r="J760" s="22"/>
      <c r="K760" s="108"/>
      <c r="L760" s="26"/>
      <c r="M760" s="26"/>
    </row>
    <row r="761">
      <c r="A761" s="12"/>
      <c r="B761" s="13"/>
      <c r="C761" s="14"/>
      <c r="D761" s="14"/>
      <c r="E761" s="15"/>
      <c r="F761" s="16"/>
      <c r="G761" s="18"/>
      <c r="H761" s="15"/>
      <c r="I761" s="18"/>
      <c r="J761" s="22"/>
      <c r="K761" s="108"/>
      <c r="L761" s="26"/>
      <c r="M761" s="26"/>
    </row>
    <row r="762">
      <c r="A762" s="12"/>
      <c r="B762" s="13"/>
      <c r="C762" s="14"/>
      <c r="D762" s="14"/>
      <c r="E762" s="15"/>
      <c r="F762" s="16"/>
      <c r="G762" s="18"/>
      <c r="H762" s="15"/>
      <c r="I762" s="18"/>
      <c r="J762" s="22"/>
      <c r="K762" s="108"/>
      <c r="L762" s="26"/>
      <c r="M762" s="26"/>
    </row>
    <row r="763">
      <c r="A763" s="12"/>
      <c r="B763" s="13"/>
      <c r="C763" s="14"/>
      <c r="D763" s="14"/>
      <c r="E763" s="15"/>
      <c r="F763" s="16"/>
      <c r="G763" s="18"/>
      <c r="H763" s="15"/>
      <c r="I763" s="18"/>
      <c r="J763" s="22"/>
      <c r="K763" s="108"/>
      <c r="L763" s="26"/>
      <c r="M763" s="26"/>
    </row>
    <row r="764">
      <c r="A764" s="12"/>
      <c r="B764" s="13"/>
      <c r="C764" s="14"/>
      <c r="D764" s="14"/>
      <c r="E764" s="15"/>
      <c r="F764" s="16"/>
      <c r="G764" s="18"/>
      <c r="H764" s="15"/>
      <c r="I764" s="18"/>
      <c r="J764" s="22"/>
      <c r="K764" s="108"/>
      <c r="L764" s="26"/>
      <c r="M764" s="26"/>
    </row>
    <row r="765">
      <c r="A765" s="12"/>
      <c r="B765" s="13"/>
      <c r="C765" s="14"/>
      <c r="D765" s="14"/>
      <c r="E765" s="15"/>
      <c r="F765" s="16"/>
      <c r="G765" s="18"/>
      <c r="H765" s="15"/>
      <c r="I765" s="18"/>
      <c r="J765" s="22"/>
      <c r="K765" s="108"/>
      <c r="L765" s="26"/>
      <c r="M765" s="26"/>
    </row>
    <row r="766">
      <c r="A766" s="12"/>
      <c r="B766" s="13"/>
      <c r="C766" s="14"/>
      <c r="D766" s="14"/>
      <c r="E766" s="15"/>
      <c r="F766" s="16"/>
      <c r="G766" s="18"/>
      <c r="H766" s="15"/>
      <c r="I766" s="18"/>
      <c r="J766" s="22"/>
      <c r="K766" s="108"/>
      <c r="L766" s="26"/>
      <c r="M766" s="26"/>
    </row>
    <row r="767">
      <c r="A767" s="12"/>
      <c r="B767" s="13"/>
      <c r="C767" s="14"/>
      <c r="D767" s="14"/>
      <c r="E767" s="15"/>
      <c r="F767" s="16"/>
      <c r="G767" s="18"/>
      <c r="H767" s="15"/>
      <c r="I767" s="18"/>
      <c r="J767" s="22"/>
      <c r="K767" s="108"/>
      <c r="L767" s="26"/>
      <c r="M767" s="26"/>
    </row>
    <row r="768">
      <c r="A768" s="12"/>
      <c r="B768" s="13"/>
      <c r="C768" s="14"/>
      <c r="D768" s="14"/>
      <c r="E768" s="15"/>
      <c r="F768" s="16"/>
      <c r="G768" s="18"/>
      <c r="H768" s="15"/>
      <c r="I768" s="18"/>
      <c r="J768" s="22"/>
      <c r="K768" s="108"/>
      <c r="L768" s="26"/>
      <c r="M768" s="26"/>
    </row>
    <row r="769">
      <c r="A769" s="12"/>
      <c r="B769" s="13"/>
      <c r="C769" s="14"/>
      <c r="D769" s="14"/>
      <c r="E769" s="15"/>
      <c r="F769" s="16"/>
      <c r="G769" s="18"/>
      <c r="H769" s="15"/>
      <c r="I769" s="18"/>
      <c r="J769" s="22"/>
      <c r="K769" s="108"/>
      <c r="L769" s="26"/>
      <c r="M769" s="26"/>
    </row>
    <row r="770">
      <c r="A770" s="12"/>
      <c r="B770" s="13"/>
      <c r="C770" s="14"/>
      <c r="D770" s="14"/>
      <c r="E770" s="15"/>
      <c r="F770" s="16"/>
      <c r="G770" s="18"/>
      <c r="H770" s="15"/>
      <c r="I770" s="18"/>
      <c r="J770" s="22"/>
      <c r="K770" s="108"/>
      <c r="L770" s="26"/>
      <c r="M770" s="26"/>
    </row>
    <row r="771">
      <c r="A771" s="12"/>
      <c r="B771" s="13"/>
      <c r="C771" s="14"/>
      <c r="D771" s="14"/>
      <c r="E771" s="15"/>
      <c r="F771" s="16"/>
      <c r="G771" s="18"/>
      <c r="H771" s="15"/>
      <c r="I771" s="18"/>
      <c r="J771" s="22"/>
      <c r="K771" s="108"/>
      <c r="L771" s="26"/>
      <c r="M771" s="26"/>
    </row>
    <row r="772">
      <c r="A772" s="12"/>
      <c r="B772" s="13"/>
      <c r="C772" s="14"/>
      <c r="D772" s="14"/>
      <c r="E772" s="15"/>
      <c r="F772" s="16"/>
      <c r="G772" s="18"/>
      <c r="H772" s="15"/>
      <c r="I772" s="18"/>
      <c r="J772" s="22"/>
      <c r="K772" s="108"/>
      <c r="L772" s="26"/>
      <c r="M772" s="26"/>
    </row>
    <row r="773">
      <c r="A773" s="12"/>
      <c r="B773" s="13"/>
      <c r="C773" s="14"/>
      <c r="D773" s="14"/>
      <c r="E773" s="15"/>
      <c r="F773" s="16"/>
      <c r="G773" s="18"/>
      <c r="H773" s="15"/>
      <c r="I773" s="18"/>
      <c r="J773" s="22"/>
      <c r="K773" s="108"/>
      <c r="L773" s="26"/>
      <c r="M773" s="26"/>
    </row>
    <row r="774">
      <c r="A774" s="12"/>
      <c r="B774" s="13"/>
      <c r="C774" s="14"/>
      <c r="D774" s="14"/>
      <c r="E774" s="15"/>
      <c r="F774" s="16"/>
      <c r="G774" s="18"/>
      <c r="H774" s="15"/>
      <c r="I774" s="18"/>
      <c r="J774" s="22"/>
      <c r="K774" s="108"/>
      <c r="L774" s="26"/>
      <c r="M774" s="26"/>
    </row>
    <row r="775">
      <c r="A775" s="12"/>
      <c r="B775" s="13"/>
      <c r="C775" s="14"/>
      <c r="D775" s="14"/>
      <c r="E775" s="15"/>
      <c r="F775" s="16"/>
      <c r="G775" s="18"/>
      <c r="H775" s="15"/>
      <c r="I775" s="18"/>
      <c r="J775" s="22"/>
      <c r="K775" s="108"/>
      <c r="L775" s="26"/>
      <c r="M775" s="26"/>
    </row>
    <row r="776">
      <c r="A776" s="12"/>
      <c r="B776" s="13"/>
      <c r="C776" s="14"/>
      <c r="D776" s="14"/>
      <c r="E776" s="15"/>
      <c r="F776" s="16"/>
      <c r="G776" s="18"/>
      <c r="H776" s="15"/>
      <c r="I776" s="18"/>
      <c r="J776" s="22"/>
      <c r="K776" s="108"/>
      <c r="L776" s="26"/>
      <c r="M776" s="26"/>
    </row>
    <row r="777">
      <c r="A777" s="12"/>
      <c r="B777" s="13"/>
      <c r="C777" s="14"/>
      <c r="D777" s="14"/>
      <c r="E777" s="15"/>
      <c r="F777" s="16"/>
      <c r="G777" s="18"/>
      <c r="H777" s="15"/>
      <c r="I777" s="18"/>
      <c r="J777" s="22"/>
      <c r="K777" s="108"/>
      <c r="L777" s="26"/>
      <c r="M777" s="26"/>
    </row>
    <row r="778">
      <c r="A778" s="12"/>
      <c r="B778" s="13"/>
      <c r="C778" s="14"/>
      <c r="D778" s="14"/>
      <c r="E778" s="15"/>
      <c r="F778" s="16"/>
      <c r="G778" s="18"/>
      <c r="H778" s="15"/>
      <c r="I778" s="18"/>
      <c r="J778" s="22"/>
      <c r="K778" s="108"/>
      <c r="L778" s="26"/>
      <c r="M778" s="26"/>
    </row>
    <row r="779">
      <c r="A779" s="12"/>
      <c r="B779" s="13"/>
      <c r="C779" s="14"/>
      <c r="D779" s="14"/>
      <c r="E779" s="15"/>
      <c r="F779" s="16"/>
      <c r="G779" s="18"/>
      <c r="H779" s="15"/>
      <c r="I779" s="18"/>
      <c r="J779" s="22"/>
      <c r="K779" s="108"/>
      <c r="L779" s="26"/>
      <c r="M779" s="26"/>
    </row>
    <row r="780">
      <c r="A780" s="12"/>
      <c r="B780" s="13"/>
      <c r="C780" s="14"/>
      <c r="D780" s="14"/>
      <c r="E780" s="15"/>
      <c r="F780" s="16"/>
      <c r="G780" s="18"/>
      <c r="H780" s="15"/>
      <c r="I780" s="18"/>
      <c r="J780" s="22"/>
      <c r="K780" s="108"/>
      <c r="L780" s="26"/>
      <c r="M780" s="26"/>
    </row>
    <row r="781">
      <c r="A781" s="12"/>
      <c r="B781" s="13"/>
      <c r="C781" s="14"/>
      <c r="D781" s="14"/>
      <c r="E781" s="15"/>
      <c r="F781" s="16"/>
      <c r="G781" s="18"/>
      <c r="H781" s="15"/>
      <c r="I781" s="18"/>
      <c r="J781" s="22"/>
      <c r="K781" s="108"/>
      <c r="L781" s="26"/>
      <c r="M781" s="26"/>
    </row>
    <row r="782">
      <c r="A782" s="12"/>
      <c r="B782" s="13"/>
      <c r="C782" s="14"/>
      <c r="D782" s="14"/>
      <c r="E782" s="15"/>
      <c r="F782" s="16"/>
      <c r="G782" s="18"/>
      <c r="H782" s="15"/>
      <c r="I782" s="18"/>
      <c r="J782" s="22"/>
      <c r="K782" s="108"/>
      <c r="L782" s="26"/>
      <c r="M782" s="26"/>
    </row>
    <row r="783">
      <c r="A783" s="12"/>
      <c r="B783" s="13"/>
      <c r="C783" s="14"/>
      <c r="D783" s="14"/>
      <c r="E783" s="15"/>
      <c r="F783" s="16"/>
      <c r="G783" s="18"/>
      <c r="H783" s="15"/>
      <c r="I783" s="18"/>
      <c r="J783" s="22"/>
      <c r="K783" s="108"/>
      <c r="L783" s="26"/>
      <c r="M783" s="26"/>
    </row>
    <row r="784">
      <c r="A784" s="12"/>
      <c r="B784" s="13"/>
      <c r="C784" s="14"/>
      <c r="D784" s="14"/>
      <c r="E784" s="15"/>
      <c r="F784" s="16"/>
      <c r="G784" s="18"/>
      <c r="H784" s="15"/>
      <c r="I784" s="18"/>
      <c r="J784" s="22"/>
      <c r="K784" s="108"/>
      <c r="L784" s="26"/>
      <c r="M784" s="26"/>
    </row>
    <row r="785">
      <c r="A785" s="12"/>
      <c r="B785" s="13"/>
      <c r="C785" s="14"/>
      <c r="D785" s="14"/>
      <c r="E785" s="15"/>
      <c r="F785" s="16"/>
      <c r="G785" s="18"/>
      <c r="H785" s="15"/>
      <c r="I785" s="18"/>
      <c r="J785" s="22"/>
      <c r="K785" s="108"/>
      <c r="L785" s="26"/>
      <c r="M785" s="26"/>
    </row>
    <row r="786">
      <c r="A786" s="12"/>
      <c r="B786" s="13"/>
      <c r="C786" s="14"/>
      <c r="D786" s="14"/>
      <c r="E786" s="15"/>
      <c r="F786" s="16"/>
      <c r="G786" s="18"/>
      <c r="H786" s="15"/>
      <c r="I786" s="18"/>
      <c r="J786" s="22"/>
      <c r="K786" s="108"/>
      <c r="L786" s="26"/>
      <c r="M786" s="26"/>
    </row>
    <row r="787">
      <c r="A787" s="12"/>
      <c r="B787" s="13"/>
      <c r="C787" s="14"/>
      <c r="D787" s="14"/>
      <c r="E787" s="15"/>
      <c r="F787" s="16"/>
      <c r="G787" s="18"/>
      <c r="H787" s="15"/>
      <c r="I787" s="18"/>
      <c r="J787" s="22"/>
      <c r="K787" s="108"/>
      <c r="L787" s="26"/>
      <c r="M787" s="26"/>
    </row>
    <row r="788">
      <c r="A788" s="12"/>
      <c r="B788" s="13"/>
      <c r="C788" s="14"/>
      <c r="D788" s="14"/>
      <c r="E788" s="15"/>
      <c r="F788" s="16"/>
      <c r="G788" s="18"/>
      <c r="H788" s="15"/>
      <c r="I788" s="18"/>
      <c r="J788" s="22"/>
      <c r="K788" s="108"/>
      <c r="L788" s="26"/>
      <c r="M788" s="26"/>
    </row>
    <row r="789">
      <c r="A789" s="12"/>
      <c r="B789" s="13"/>
      <c r="C789" s="14"/>
      <c r="D789" s="14"/>
      <c r="E789" s="15"/>
      <c r="F789" s="16"/>
      <c r="G789" s="18"/>
      <c r="H789" s="15"/>
      <c r="I789" s="18"/>
      <c r="J789" s="22"/>
      <c r="K789" s="108"/>
      <c r="L789" s="26"/>
      <c r="M789" s="26"/>
    </row>
    <row r="790">
      <c r="A790" s="12"/>
      <c r="B790" s="13"/>
      <c r="C790" s="14"/>
      <c r="D790" s="14"/>
      <c r="E790" s="15"/>
      <c r="F790" s="16"/>
      <c r="G790" s="18"/>
      <c r="H790" s="15"/>
      <c r="I790" s="18"/>
      <c r="J790" s="22"/>
      <c r="K790" s="108"/>
      <c r="L790" s="26"/>
      <c r="M790" s="26"/>
    </row>
    <row r="791">
      <c r="A791" s="12"/>
      <c r="B791" s="13"/>
      <c r="C791" s="14"/>
      <c r="D791" s="14"/>
      <c r="E791" s="15"/>
      <c r="F791" s="16"/>
      <c r="G791" s="18"/>
      <c r="H791" s="15"/>
      <c r="I791" s="18"/>
      <c r="J791" s="22"/>
      <c r="K791" s="108"/>
      <c r="L791" s="26"/>
      <c r="M791" s="26"/>
    </row>
    <row r="792">
      <c r="A792" s="12"/>
      <c r="B792" s="13"/>
      <c r="C792" s="14"/>
      <c r="D792" s="14"/>
      <c r="E792" s="15"/>
      <c r="F792" s="16"/>
      <c r="G792" s="18"/>
      <c r="H792" s="15"/>
      <c r="I792" s="18"/>
      <c r="J792" s="22"/>
      <c r="K792" s="108"/>
      <c r="L792" s="26"/>
      <c r="M792" s="26"/>
    </row>
    <row r="793">
      <c r="A793" s="12"/>
      <c r="B793" s="13"/>
      <c r="C793" s="14"/>
      <c r="D793" s="14"/>
      <c r="E793" s="15"/>
      <c r="F793" s="16"/>
      <c r="G793" s="18"/>
      <c r="H793" s="15"/>
      <c r="I793" s="18"/>
      <c r="J793" s="22"/>
      <c r="K793" s="108"/>
      <c r="L793" s="26"/>
      <c r="M793" s="26"/>
    </row>
    <row r="794">
      <c r="A794" s="12"/>
      <c r="B794" s="13"/>
      <c r="C794" s="14"/>
      <c r="D794" s="14"/>
      <c r="E794" s="15"/>
      <c r="F794" s="16"/>
      <c r="G794" s="18"/>
      <c r="H794" s="15"/>
      <c r="I794" s="18"/>
      <c r="J794" s="22"/>
      <c r="K794" s="108"/>
      <c r="L794" s="26"/>
      <c r="M794" s="26"/>
    </row>
    <row r="795">
      <c r="A795" s="12"/>
      <c r="B795" s="13"/>
      <c r="C795" s="14"/>
      <c r="D795" s="14"/>
      <c r="E795" s="15"/>
      <c r="F795" s="16"/>
      <c r="G795" s="18"/>
      <c r="H795" s="15"/>
      <c r="I795" s="18"/>
      <c r="J795" s="22"/>
      <c r="K795" s="108"/>
      <c r="L795" s="26"/>
      <c r="M795" s="26"/>
    </row>
    <row r="796">
      <c r="A796" s="12"/>
      <c r="B796" s="13"/>
      <c r="C796" s="14"/>
      <c r="D796" s="14"/>
      <c r="E796" s="15"/>
      <c r="F796" s="16"/>
      <c r="G796" s="18"/>
      <c r="H796" s="15"/>
      <c r="I796" s="18"/>
      <c r="J796" s="22"/>
      <c r="K796" s="108"/>
      <c r="L796" s="26"/>
      <c r="M796" s="26"/>
    </row>
    <row r="797">
      <c r="A797" s="12"/>
      <c r="B797" s="13"/>
      <c r="C797" s="14"/>
      <c r="D797" s="14"/>
      <c r="E797" s="15"/>
      <c r="F797" s="16"/>
      <c r="G797" s="18"/>
      <c r="H797" s="15"/>
      <c r="I797" s="18"/>
      <c r="J797" s="22"/>
      <c r="K797" s="108"/>
      <c r="L797" s="26"/>
      <c r="M797" s="26"/>
    </row>
    <row r="798">
      <c r="A798" s="12"/>
      <c r="B798" s="13"/>
      <c r="C798" s="14"/>
      <c r="D798" s="14"/>
      <c r="E798" s="15"/>
      <c r="F798" s="16"/>
      <c r="G798" s="18"/>
      <c r="H798" s="15"/>
      <c r="I798" s="18"/>
      <c r="J798" s="22"/>
      <c r="K798" s="108"/>
      <c r="L798" s="26"/>
      <c r="M798" s="26"/>
    </row>
    <row r="799">
      <c r="A799" s="12"/>
      <c r="B799" s="13"/>
      <c r="C799" s="14"/>
      <c r="D799" s="14"/>
      <c r="E799" s="15"/>
      <c r="F799" s="16"/>
      <c r="G799" s="18"/>
      <c r="H799" s="15"/>
      <c r="I799" s="18"/>
      <c r="J799" s="22"/>
      <c r="K799" s="108"/>
      <c r="L799" s="26"/>
      <c r="M799" s="26"/>
    </row>
    <row r="800">
      <c r="A800" s="12"/>
      <c r="B800" s="13"/>
      <c r="C800" s="14"/>
      <c r="D800" s="14"/>
      <c r="E800" s="15"/>
      <c r="F800" s="16"/>
      <c r="G800" s="18"/>
      <c r="H800" s="15"/>
      <c r="I800" s="18"/>
      <c r="J800" s="22"/>
      <c r="K800" s="108"/>
      <c r="L800" s="26"/>
      <c r="M800" s="26"/>
    </row>
    <row r="801">
      <c r="A801" s="12"/>
      <c r="B801" s="13"/>
      <c r="C801" s="14"/>
      <c r="D801" s="14"/>
      <c r="E801" s="15"/>
      <c r="F801" s="16"/>
      <c r="G801" s="18"/>
      <c r="H801" s="15"/>
      <c r="I801" s="18"/>
      <c r="J801" s="22"/>
      <c r="K801" s="108"/>
      <c r="L801" s="26"/>
      <c r="M801" s="26"/>
    </row>
    <row r="802">
      <c r="A802" s="12"/>
      <c r="B802" s="13"/>
      <c r="C802" s="14"/>
      <c r="D802" s="14"/>
      <c r="E802" s="15"/>
      <c r="F802" s="16"/>
      <c r="G802" s="18"/>
      <c r="H802" s="15"/>
      <c r="I802" s="18"/>
      <c r="J802" s="22"/>
      <c r="K802" s="108"/>
      <c r="L802" s="26"/>
      <c r="M802" s="26"/>
    </row>
    <row r="803">
      <c r="A803" s="12"/>
      <c r="B803" s="13"/>
      <c r="C803" s="14"/>
      <c r="D803" s="14"/>
      <c r="E803" s="15"/>
      <c r="F803" s="16"/>
      <c r="G803" s="18"/>
      <c r="H803" s="15"/>
      <c r="I803" s="18"/>
      <c r="J803" s="22"/>
      <c r="K803" s="108"/>
      <c r="L803" s="26"/>
      <c r="M803" s="26"/>
    </row>
    <row r="804">
      <c r="A804" s="12"/>
      <c r="B804" s="13"/>
      <c r="C804" s="14"/>
      <c r="D804" s="14"/>
      <c r="E804" s="15"/>
      <c r="F804" s="16"/>
      <c r="G804" s="18"/>
      <c r="H804" s="15"/>
      <c r="I804" s="18"/>
      <c r="J804" s="22"/>
      <c r="K804" s="108"/>
      <c r="L804" s="26"/>
      <c r="M804" s="26"/>
    </row>
    <row r="805">
      <c r="A805" s="12"/>
      <c r="B805" s="13"/>
      <c r="C805" s="14"/>
      <c r="D805" s="14"/>
      <c r="E805" s="15"/>
      <c r="F805" s="16"/>
      <c r="G805" s="18"/>
      <c r="H805" s="15"/>
      <c r="I805" s="18"/>
      <c r="J805" s="22"/>
      <c r="K805" s="108"/>
      <c r="L805" s="26"/>
      <c r="M805" s="26"/>
    </row>
    <row r="806">
      <c r="A806" s="12"/>
      <c r="B806" s="13"/>
      <c r="C806" s="14"/>
      <c r="D806" s="14"/>
      <c r="E806" s="15"/>
      <c r="F806" s="16"/>
      <c r="G806" s="18"/>
      <c r="H806" s="15"/>
      <c r="I806" s="18"/>
      <c r="J806" s="22"/>
      <c r="K806" s="108"/>
      <c r="L806" s="26"/>
      <c r="M806" s="26"/>
    </row>
    <row r="807">
      <c r="A807" s="12"/>
      <c r="B807" s="13"/>
      <c r="C807" s="14"/>
      <c r="D807" s="14"/>
      <c r="E807" s="15"/>
      <c r="F807" s="16"/>
      <c r="G807" s="18"/>
      <c r="H807" s="15"/>
      <c r="I807" s="18"/>
      <c r="J807" s="22"/>
      <c r="K807" s="108"/>
      <c r="L807" s="26"/>
      <c r="M807" s="26"/>
    </row>
    <row r="808">
      <c r="A808" s="12"/>
      <c r="B808" s="13"/>
      <c r="C808" s="14"/>
      <c r="D808" s="14"/>
      <c r="E808" s="15"/>
      <c r="F808" s="16"/>
      <c r="G808" s="18"/>
      <c r="H808" s="15"/>
      <c r="I808" s="18"/>
      <c r="J808" s="22"/>
      <c r="K808" s="108"/>
      <c r="L808" s="26"/>
      <c r="M808" s="26"/>
    </row>
    <row r="809">
      <c r="A809" s="12"/>
      <c r="B809" s="13"/>
      <c r="C809" s="14"/>
      <c r="D809" s="14"/>
      <c r="E809" s="15"/>
      <c r="F809" s="16"/>
      <c r="G809" s="18"/>
      <c r="H809" s="15"/>
      <c r="I809" s="18"/>
      <c r="J809" s="22"/>
      <c r="K809" s="108"/>
      <c r="L809" s="26"/>
      <c r="M809" s="26"/>
    </row>
    <row r="810">
      <c r="A810" s="12"/>
      <c r="B810" s="13"/>
      <c r="C810" s="14"/>
      <c r="D810" s="14"/>
      <c r="E810" s="15"/>
      <c r="F810" s="16"/>
      <c r="G810" s="18"/>
      <c r="H810" s="15"/>
      <c r="I810" s="18"/>
      <c r="J810" s="22"/>
      <c r="K810" s="108"/>
      <c r="L810" s="26"/>
      <c r="M810" s="26"/>
    </row>
    <row r="811">
      <c r="A811" s="12"/>
      <c r="B811" s="13"/>
      <c r="C811" s="14"/>
      <c r="D811" s="14"/>
      <c r="E811" s="15"/>
      <c r="F811" s="16"/>
      <c r="G811" s="18"/>
      <c r="H811" s="15"/>
      <c r="I811" s="18"/>
      <c r="J811" s="22"/>
      <c r="K811" s="108"/>
      <c r="L811" s="26"/>
      <c r="M811" s="26"/>
    </row>
    <row r="812">
      <c r="A812" s="12"/>
      <c r="B812" s="13"/>
      <c r="C812" s="14"/>
      <c r="D812" s="14"/>
      <c r="E812" s="15"/>
      <c r="F812" s="16"/>
      <c r="G812" s="18"/>
      <c r="H812" s="15"/>
      <c r="I812" s="18"/>
      <c r="J812" s="22"/>
      <c r="K812" s="108"/>
      <c r="L812" s="26"/>
      <c r="M812" s="26"/>
    </row>
    <row r="813">
      <c r="A813" s="12"/>
      <c r="B813" s="13"/>
      <c r="C813" s="14"/>
      <c r="D813" s="14"/>
      <c r="E813" s="15"/>
      <c r="F813" s="16"/>
      <c r="G813" s="18"/>
      <c r="H813" s="15"/>
      <c r="I813" s="18"/>
      <c r="J813" s="22"/>
      <c r="K813" s="108"/>
      <c r="L813" s="26"/>
      <c r="M813" s="26"/>
    </row>
    <row r="814">
      <c r="A814" s="12"/>
      <c r="B814" s="13"/>
      <c r="C814" s="14"/>
      <c r="D814" s="14"/>
      <c r="E814" s="15"/>
      <c r="F814" s="16"/>
      <c r="G814" s="18"/>
      <c r="H814" s="15"/>
      <c r="I814" s="18"/>
      <c r="J814" s="22"/>
      <c r="K814" s="108"/>
      <c r="L814" s="26"/>
      <c r="M814" s="26"/>
    </row>
    <row r="815">
      <c r="A815" s="12"/>
      <c r="B815" s="13"/>
      <c r="C815" s="14"/>
      <c r="D815" s="14"/>
      <c r="E815" s="15"/>
      <c r="F815" s="16"/>
      <c r="G815" s="18"/>
      <c r="H815" s="15"/>
      <c r="I815" s="18"/>
      <c r="J815" s="22"/>
      <c r="K815" s="108"/>
      <c r="L815" s="26"/>
      <c r="M815" s="26"/>
    </row>
    <row r="816">
      <c r="A816" s="12"/>
      <c r="B816" s="13"/>
      <c r="C816" s="14"/>
      <c r="D816" s="14"/>
      <c r="E816" s="15"/>
      <c r="F816" s="16"/>
      <c r="G816" s="18"/>
      <c r="H816" s="15"/>
      <c r="I816" s="18"/>
      <c r="J816" s="22"/>
      <c r="K816" s="108"/>
      <c r="L816" s="26"/>
      <c r="M816" s="26"/>
    </row>
    <row r="817">
      <c r="A817" s="12"/>
      <c r="B817" s="13"/>
      <c r="C817" s="14"/>
      <c r="D817" s="14"/>
      <c r="E817" s="15"/>
      <c r="F817" s="16"/>
      <c r="G817" s="18"/>
      <c r="H817" s="15"/>
      <c r="I817" s="18"/>
      <c r="J817" s="22"/>
      <c r="K817" s="108"/>
      <c r="L817" s="26"/>
      <c r="M817" s="26"/>
    </row>
    <row r="818">
      <c r="A818" s="12"/>
      <c r="B818" s="13"/>
      <c r="C818" s="14"/>
      <c r="D818" s="14"/>
      <c r="E818" s="15"/>
      <c r="F818" s="16"/>
      <c r="G818" s="18"/>
      <c r="H818" s="15"/>
      <c r="I818" s="18"/>
      <c r="J818" s="22"/>
      <c r="K818" s="108"/>
      <c r="L818" s="26"/>
      <c r="M818" s="26"/>
    </row>
    <row r="819">
      <c r="A819" s="12"/>
      <c r="B819" s="13"/>
      <c r="C819" s="14"/>
      <c r="D819" s="14"/>
      <c r="E819" s="15"/>
      <c r="F819" s="16"/>
      <c r="G819" s="18"/>
      <c r="H819" s="15"/>
      <c r="I819" s="18"/>
      <c r="J819" s="22"/>
      <c r="K819" s="108"/>
      <c r="L819" s="26"/>
      <c r="M819" s="26"/>
    </row>
    <row r="820">
      <c r="A820" s="12"/>
      <c r="B820" s="13"/>
      <c r="C820" s="14"/>
      <c r="D820" s="14"/>
      <c r="E820" s="15"/>
      <c r="F820" s="16"/>
      <c r="G820" s="18"/>
      <c r="H820" s="15"/>
      <c r="I820" s="18"/>
      <c r="J820" s="22"/>
      <c r="K820" s="108"/>
      <c r="L820" s="26"/>
      <c r="M820" s="26"/>
    </row>
    <row r="821">
      <c r="A821" s="12"/>
      <c r="B821" s="13"/>
      <c r="C821" s="14"/>
      <c r="D821" s="14"/>
      <c r="E821" s="15"/>
      <c r="F821" s="16"/>
      <c r="G821" s="18"/>
      <c r="H821" s="15"/>
      <c r="I821" s="18"/>
      <c r="J821" s="22"/>
      <c r="K821" s="108"/>
      <c r="L821" s="26"/>
      <c r="M821" s="26"/>
    </row>
    <row r="822">
      <c r="A822" s="12"/>
      <c r="B822" s="13"/>
      <c r="C822" s="14"/>
      <c r="D822" s="14"/>
      <c r="E822" s="15"/>
      <c r="F822" s="16"/>
      <c r="G822" s="18"/>
      <c r="H822" s="15"/>
      <c r="I822" s="18"/>
      <c r="J822" s="22"/>
      <c r="K822" s="108"/>
      <c r="L822" s="26"/>
      <c r="M822" s="26"/>
    </row>
    <row r="823">
      <c r="A823" s="12"/>
      <c r="B823" s="13"/>
      <c r="C823" s="14"/>
      <c r="D823" s="14"/>
      <c r="E823" s="15"/>
      <c r="F823" s="16"/>
      <c r="G823" s="18"/>
      <c r="H823" s="15"/>
      <c r="I823" s="18"/>
      <c r="J823" s="22"/>
      <c r="K823" s="108"/>
      <c r="L823" s="26"/>
      <c r="M823" s="26"/>
    </row>
    <row r="824">
      <c r="A824" s="12"/>
      <c r="B824" s="13"/>
      <c r="C824" s="14"/>
      <c r="D824" s="14"/>
      <c r="E824" s="15"/>
      <c r="F824" s="16"/>
      <c r="G824" s="18"/>
      <c r="H824" s="15"/>
      <c r="I824" s="18"/>
      <c r="J824" s="22"/>
      <c r="K824" s="108"/>
      <c r="L824" s="26"/>
      <c r="M824" s="26"/>
    </row>
    <row r="825">
      <c r="A825" s="12"/>
      <c r="B825" s="13"/>
      <c r="C825" s="14"/>
      <c r="D825" s="14"/>
      <c r="E825" s="15"/>
      <c r="F825" s="16"/>
      <c r="G825" s="18"/>
      <c r="H825" s="15"/>
      <c r="I825" s="18"/>
      <c r="J825" s="22"/>
      <c r="K825" s="108"/>
      <c r="L825" s="26"/>
      <c r="M825" s="26"/>
    </row>
    <row r="826">
      <c r="A826" s="12"/>
      <c r="B826" s="13"/>
      <c r="C826" s="14"/>
      <c r="D826" s="14"/>
      <c r="E826" s="15"/>
      <c r="F826" s="16"/>
      <c r="G826" s="18"/>
      <c r="H826" s="15"/>
      <c r="I826" s="18"/>
      <c r="J826" s="22"/>
      <c r="K826" s="108"/>
      <c r="L826" s="26"/>
      <c r="M826" s="26"/>
    </row>
    <row r="827">
      <c r="A827" s="12"/>
      <c r="B827" s="13"/>
      <c r="C827" s="14"/>
      <c r="D827" s="14"/>
      <c r="E827" s="15"/>
      <c r="F827" s="16"/>
      <c r="G827" s="18"/>
      <c r="H827" s="15"/>
      <c r="I827" s="18"/>
      <c r="J827" s="22"/>
      <c r="K827" s="108"/>
      <c r="L827" s="26"/>
      <c r="M827" s="26"/>
    </row>
    <row r="828">
      <c r="A828" s="12"/>
      <c r="B828" s="13"/>
      <c r="C828" s="14"/>
      <c r="D828" s="14"/>
      <c r="E828" s="15"/>
      <c r="F828" s="16"/>
      <c r="G828" s="18"/>
      <c r="H828" s="15"/>
      <c r="I828" s="18"/>
      <c r="J828" s="22"/>
      <c r="K828" s="108"/>
      <c r="L828" s="26"/>
      <c r="M828" s="26"/>
    </row>
    <row r="829">
      <c r="A829" s="12"/>
      <c r="B829" s="13"/>
      <c r="C829" s="14"/>
      <c r="D829" s="14"/>
      <c r="E829" s="15"/>
      <c r="F829" s="16"/>
      <c r="G829" s="18"/>
      <c r="H829" s="15"/>
      <c r="I829" s="18"/>
      <c r="J829" s="22"/>
      <c r="K829" s="108"/>
      <c r="L829" s="26"/>
      <c r="M829" s="26"/>
    </row>
    <row r="830">
      <c r="A830" s="12"/>
      <c r="B830" s="13"/>
      <c r="C830" s="14"/>
      <c r="D830" s="14"/>
      <c r="E830" s="15"/>
      <c r="F830" s="16"/>
      <c r="G830" s="18"/>
      <c r="H830" s="15"/>
      <c r="I830" s="18"/>
      <c r="J830" s="22"/>
      <c r="K830" s="108"/>
      <c r="L830" s="26"/>
      <c r="M830" s="26"/>
    </row>
    <row r="831">
      <c r="A831" s="12"/>
      <c r="B831" s="13"/>
      <c r="C831" s="14"/>
      <c r="D831" s="14"/>
      <c r="E831" s="15"/>
      <c r="F831" s="16"/>
      <c r="G831" s="18"/>
      <c r="H831" s="15"/>
      <c r="I831" s="18"/>
      <c r="J831" s="22"/>
      <c r="K831" s="108"/>
      <c r="L831" s="26"/>
      <c r="M831" s="26"/>
    </row>
    <row r="832">
      <c r="A832" s="12"/>
      <c r="B832" s="13"/>
      <c r="C832" s="14"/>
      <c r="D832" s="14"/>
      <c r="E832" s="15"/>
      <c r="F832" s="16"/>
      <c r="G832" s="18"/>
      <c r="H832" s="15"/>
      <c r="I832" s="18"/>
      <c r="J832" s="22"/>
      <c r="K832" s="108"/>
      <c r="L832" s="26"/>
      <c r="M832" s="26"/>
    </row>
    <row r="833">
      <c r="A833" s="12"/>
      <c r="B833" s="13"/>
      <c r="C833" s="14"/>
      <c r="D833" s="14"/>
      <c r="E833" s="15"/>
      <c r="F833" s="16"/>
      <c r="G833" s="18"/>
      <c r="H833" s="15"/>
      <c r="I833" s="18"/>
      <c r="J833" s="22"/>
      <c r="K833" s="108"/>
      <c r="L833" s="26"/>
      <c r="M833" s="26"/>
    </row>
    <row r="834">
      <c r="A834" s="12"/>
      <c r="B834" s="13"/>
      <c r="C834" s="14"/>
      <c r="D834" s="14"/>
      <c r="E834" s="15"/>
      <c r="F834" s="16"/>
      <c r="G834" s="18"/>
      <c r="H834" s="15"/>
      <c r="I834" s="18"/>
      <c r="J834" s="22"/>
      <c r="K834" s="108"/>
      <c r="L834" s="26"/>
      <c r="M834" s="26"/>
    </row>
    <row r="835">
      <c r="A835" s="12"/>
      <c r="B835" s="13"/>
      <c r="C835" s="14"/>
      <c r="D835" s="14"/>
      <c r="E835" s="15"/>
      <c r="F835" s="16"/>
      <c r="G835" s="18"/>
      <c r="H835" s="15"/>
      <c r="I835" s="18"/>
      <c r="J835" s="22"/>
      <c r="K835" s="108"/>
      <c r="L835" s="26"/>
      <c r="M835" s="26"/>
    </row>
    <row r="836">
      <c r="A836" s="12"/>
      <c r="B836" s="13"/>
      <c r="C836" s="14"/>
      <c r="D836" s="14"/>
      <c r="E836" s="15"/>
      <c r="F836" s="16"/>
      <c r="G836" s="18"/>
      <c r="H836" s="15"/>
      <c r="I836" s="18"/>
      <c r="J836" s="22"/>
      <c r="K836" s="108"/>
      <c r="L836" s="26"/>
      <c r="M836" s="26"/>
    </row>
    <row r="837">
      <c r="A837" s="12"/>
      <c r="B837" s="13"/>
      <c r="C837" s="14"/>
      <c r="D837" s="14"/>
      <c r="E837" s="15"/>
      <c r="F837" s="16"/>
      <c r="G837" s="18"/>
      <c r="H837" s="15"/>
      <c r="I837" s="18"/>
      <c r="J837" s="22"/>
      <c r="K837" s="108"/>
      <c r="L837" s="26"/>
      <c r="M837" s="26"/>
    </row>
    <row r="838">
      <c r="A838" s="12"/>
      <c r="B838" s="13"/>
      <c r="C838" s="14"/>
      <c r="D838" s="14"/>
      <c r="E838" s="15"/>
      <c r="F838" s="16"/>
      <c r="G838" s="18"/>
      <c r="H838" s="15"/>
      <c r="I838" s="18"/>
      <c r="J838" s="22"/>
      <c r="K838" s="108"/>
      <c r="L838" s="26"/>
      <c r="M838" s="26"/>
    </row>
    <row r="839">
      <c r="A839" s="12"/>
      <c r="B839" s="13"/>
      <c r="C839" s="14"/>
      <c r="D839" s="14"/>
      <c r="E839" s="15"/>
      <c r="F839" s="16"/>
      <c r="G839" s="18"/>
      <c r="H839" s="15"/>
      <c r="I839" s="18"/>
      <c r="J839" s="22"/>
      <c r="K839" s="108"/>
      <c r="L839" s="26"/>
      <c r="M839" s="26"/>
    </row>
    <row r="840">
      <c r="A840" s="12"/>
      <c r="B840" s="13"/>
      <c r="C840" s="14"/>
      <c r="D840" s="14"/>
      <c r="E840" s="15"/>
      <c r="F840" s="16"/>
      <c r="G840" s="18"/>
      <c r="H840" s="15"/>
      <c r="I840" s="18"/>
      <c r="J840" s="22"/>
      <c r="K840" s="108"/>
      <c r="L840" s="26"/>
      <c r="M840" s="26"/>
    </row>
    <row r="841">
      <c r="A841" s="12"/>
      <c r="B841" s="13"/>
      <c r="C841" s="14"/>
      <c r="D841" s="14"/>
      <c r="E841" s="15"/>
      <c r="F841" s="16"/>
      <c r="G841" s="18"/>
      <c r="H841" s="15"/>
      <c r="I841" s="18"/>
      <c r="J841" s="22"/>
      <c r="K841" s="108"/>
      <c r="L841" s="26"/>
      <c r="M841" s="26"/>
    </row>
    <row r="842">
      <c r="A842" s="12"/>
      <c r="B842" s="13"/>
      <c r="C842" s="14"/>
      <c r="D842" s="14"/>
      <c r="E842" s="15"/>
      <c r="F842" s="16"/>
      <c r="G842" s="18"/>
      <c r="H842" s="15"/>
      <c r="I842" s="18"/>
      <c r="J842" s="22"/>
      <c r="K842" s="108"/>
      <c r="L842" s="26"/>
      <c r="M842" s="26"/>
    </row>
    <row r="843">
      <c r="A843" s="12"/>
      <c r="B843" s="13"/>
      <c r="C843" s="14"/>
      <c r="D843" s="14"/>
      <c r="E843" s="15"/>
      <c r="F843" s="16"/>
      <c r="G843" s="18"/>
      <c r="H843" s="15"/>
      <c r="I843" s="18"/>
      <c r="J843" s="22"/>
      <c r="K843" s="108"/>
      <c r="L843" s="26"/>
      <c r="M843" s="26"/>
    </row>
    <row r="844">
      <c r="A844" s="12"/>
      <c r="B844" s="13"/>
      <c r="C844" s="14"/>
      <c r="D844" s="14"/>
      <c r="E844" s="15"/>
      <c r="F844" s="16"/>
      <c r="G844" s="18"/>
      <c r="H844" s="15"/>
      <c r="I844" s="18"/>
      <c r="J844" s="22"/>
      <c r="K844" s="108"/>
      <c r="L844" s="26"/>
      <c r="M844" s="26"/>
    </row>
    <row r="845">
      <c r="A845" s="12"/>
      <c r="B845" s="13"/>
      <c r="C845" s="14"/>
      <c r="D845" s="14"/>
      <c r="E845" s="15"/>
      <c r="F845" s="16"/>
      <c r="G845" s="18"/>
      <c r="H845" s="15"/>
      <c r="I845" s="18"/>
      <c r="J845" s="22"/>
      <c r="K845" s="108"/>
      <c r="L845" s="26"/>
      <c r="M845" s="26"/>
    </row>
    <row r="846">
      <c r="A846" s="12"/>
      <c r="B846" s="13"/>
      <c r="C846" s="14"/>
      <c r="D846" s="14"/>
      <c r="E846" s="15"/>
      <c r="F846" s="16"/>
      <c r="G846" s="18"/>
      <c r="H846" s="15"/>
      <c r="I846" s="18"/>
      <c r="J846" s="22"/>
      <c r="K846" s="108"/>
      <c r="L846" s="26"/>
      <c r="M846" s="26"/>
    </row>
    <row r="847">
      <c r="A847" s="12"/>
      <c r="B847" s="13"/>
      <c r="C847" s="14"/>
      <c r="D847" s="14"/>
      <c r="E847" s="15"/>
      <c r="F847" s="16"/>
      <c r="G847" s="18"/>
      <c r="H847" s="15"/>
      <c r="I847" s="18"/>
      <c r="J847" s="22"/>
      <c r="K847" s="108"/>
      <c r="L847" s="26"/>
      <c r="M847" s="26"/>
    </row>
    <row r="848">
      <c r="A848" s="12"/>
      <c r="B848" s="13"/>
      <c r="C848" s="14"/>
      <c r="D848" s="14"/>
      <c r="E848" s="15"/>
      <c r="F848" s="16"/>
      <c r="G848" s="18"/>
      <c r="H848" s="15"/>
      <c r="I848" s="18"/>
      <c r="J848" s="22"/>
      <c r="K848" s="108"/>
      <c r="L848" s="26"/>
      <c r="M848" s="26"/>
    </row>
    <row r="849">
      <c r="A849" s="12"/>
      <c r="B849" s="13"/>
      <c r="C849" s="14"/>
      <c r="D849" s="14"/>
      <c r="E849" s="15"/>
      <c r="F849" s="16"/>
      <c r="G849" s="18"/>
      <c r="H849" s="15"/>
      <c r="I849" s="18"/>
      <c r="J849" s="22"/>
      <c r="K849" s="108"/>
      <c r="L849" s="26"/>
      <c r="M849" s="26"/>
    </row>
    <row r="850">
      <c r="A850" s="12"/>
      <c r="B850" s="13"/>
      <c r="C850" s="14"/>
      <c r="D850" s="14"/>
      <c r="E850" s="15"/>
      <c r="F850" s="16"/>
      <c r="G850" s="18"/>
      <c r="H850" s="15"/>
      <c r="I850" s="18"/>
      <c r="J850" s="22"/>
      <c r="K850" s="108"/>
      <c r="L850" s="26"/>
      <c r="M850" s="26"/>
    </row>
    <row r="851">
      <c r="A851" s="12"/>
      <c r="B851" s="13"/>
      <c r="C851" s="14"/>
      <c r="D851" s="14"/>
      <c r="E851" s="15"/>
      <c r="F851" s="16"/>
      <c r="G851" s="18"/>
      <c r="H851" s="15"/>
      <c r="I851" s="18"/>
      <c r="J851" s="22"/>
      <c r="K851" s="108"/>
      <c r="L851" s="26"/>
      <c r="M851" s="26"/>
    </row>
    <row r="852">
      <c r="A852" s="12"/>
      <c r="B852" s="13"/>
      <c r="C852" s="14"/>
      <c r="D852" s="14"/>
      <c r="E852" s="15"/>
      <c r="F852" s="16"/>
      <c r="G852" s="18"/>
      <c r="H852" s="15"/>
      <c r="I852" s="18"/>
      <c r="J852" s="22"/>
      <c r="K852" s="108"/>
      <c r="L852" s="26"/>
      <c r="M852" s="26"/>
    </row>
    <row r="853">
      <c r="A853" s="12"/>
      <c r="B853" s="13"/>
      <c r="C853" s="14"/>
      <c r="D853" s="14"/>
      <c r="E853" s="15"/>
      <c r="F853" s="16"/>
      <c r="G853" s="18"/>
      <c r="H853" s="15"/>
      <c r="I853" s="18"/>
      <c r="J853" s="22"/>
      <c r="K853" s="108"/>
      <c r="L853" s="26"/>
      <c r="M853" s="26"/>
    </row>
    <row r="854">
      <c r="A854" s="12"/>
      <c r="B854" s="13"/>
      <c r="C854" s="14"/>
      <c r="D854" s="14"/>
      <c r="E854" s="15"/>
      <c r="F854" s="16"/>
      <c r="G854" s="18"/>
      <c r="H854" s="15"/>
      <c r="I854" s="18"/>
      <c r="J854" s="22"/>
      <c r="K854" s="108"/>
      <c r="L854" s="26"/>
      <c r="M854" s="26"/>
    </row>
    <row r="855">
      <c r="A855" s="12"/>
      <c r="B855" s="13"/>
      <c r="C855" s="14"/>
      <c r="D855" s="14"/>
      <c r="E855" s="15"/>
      <c r="F855" s="16"/>
      <c r="G855" s="18"/>
      <c r="H855" s="15"/>
      <c r="I855" s="18"/>
      <c r="J855" s="22"/>
      <c r="K855" s="108"/>
      <c r="L855" s="26"/>
      <c r="M855" s="26"/>
    </row>
    <row r="856">
      <c r="A856" s="12"/>
      <c r="B856" s="13"/>
      <c r="C856" s="14"/>
      <c r="D856" s="14"/>
      <c r="E856" s="15"/>
      <c r="F856" s="16"/>
      <c r="G856" s="18"/>
      <c r="H856" s="15"/>
      <c r="I856" s="18"/>
      <c r="J856" s="22"/>
      <c r="K856" s="108"/>
      <c r="L856" s="26"/>
      <c r="M856" s="26"/>
    </row>
    <row r="857">
      <c r="A857" s="12"/>
      <c r="B857" s="13"/>
      <c r="C857" s="14"/>
      <c r="D857" s="14"/>
      <c r="E857" s="15"/>
      <c r="F857" s="16"/>
      <c r="G857" s="18"/>
      <c r="H857" s="15"/>
      <c r="I857" s="18"/>
      <c r="J857" s="22"/>
      <c r="K857" s="108"/>
      <c r="L857" s="26"/>
      <c r="M857" s="26"/>
    </row>
    <row r="858">
      <c r="A858" s="12"/>
      <c r="B858" s="13"/>
      <c r="C858" s="14"/>
      <c r="D858" s="14"/>
      <c r="E858" s="15"/>
      <c r="F858" s="16"/>
      <c r="G858" s="18"/>
      <c r="H858" s="15"/>
      <c r="I858" s="18"/>
      <c r="J858" s="22"/>
      <c r="K858" s="108"/>
      <c r="L858" s="26"/>
      <c r="M858" s="26"/>
    </row>
    <row r="859">
      <c r="A859" s="12"/>
      <c r="B859" s="13"/>
      <c r="C859" s="14"/>
      <c r="D859" s="14"/>
      <c r="E859" s="15"/>
      <c r="F859" s="16"/>
      <c r="G859" s="18"/>
      <c r="H859" s="15"/>
      <c r="I859" s="18"/>
      <c r="J859" s="22"/>
      <c r="K859" s="108"/>
      <c r="L859" s="26"/>
      <c r="M859" s="26"/>
    </row>
    <row r="860">
      <c r="A860" s="12"/>
      <c r="B860" s="13"/>
      <c r="C860" s="14"/>
      <c r="D860" s="14"/>
      <c r="E860" s="15"/>
      <c r="F860" s="16"/>
      <c r="G860" s="18"/>
      <c r="H860" s="15"/>
      <c r="I860" s="18"/>
      <c r="J860" s="22"/>
      <c r="K860" s="108"/>
      <c r="L860" s="26"/>
      <c r="M860" s="26"/>
    </row>
    <row r="861">
      <c r="A861" s="12"/>
      <c r="B861" s="13"/>
      <c r="C861" s="14"/>
      <c r="D861" s="14"/>
      <c r="E861" s="15"/>
      <c r="F861" s="16"/>
      <c r="G861" s="18"/>
      <c r="H861" s="15"/>
      <c r="I861" s="18"/>
      <c r="J861" s="22"/>
      <c r="K861" s="108"/>
      <c r="L861" s="26"/>
      <c r="M861" s="26"/>
    </row>
    <row r="862">
      <c r="A862" s="12"/>
      <c r="B862" s="13"/>
      <c r="C862" s="14"/>
      <c r="D862" s="14"/>
      <c r="E862" s="15"/>
      <c r="F862" s="16"/>
      <c r="G862" s="18"/>
      <c r="H862" s="15"/>
      <c r="I862" s="18"/>
      <c r="J862" s="22"/>
      <c r="K862" s="108"/>
      <c r="L862" s="26"/>
      <c r="M862" s="26"/>
    </row>
    <row r="863">
      <c r="A863" s="12"/>
      <c r="B863" s="13"/>
      <c r="C863" s="14"/>
      <c r="D863" s="14"/>
      <c r="E863" s="15"/>
      <c r="F863" s="16"/>
      <c r="G863" s="18"/>
      <c r="H863" s="15"/>
      <c r="I863" s="18"/>
      <c r="J863" s="22"/>
      <c r="K863" s="108"/>
      <c r="L863" s="26"/>
      <c r="M863" s="26"/>
    </row>
    <row r="864">
      <c r="A864" s="12"/>
      <c r="B864" s="13"/>
      <c r="C864" s="14"/>
      <c r="D864" s="14"/>
      <c r="E864" s="15"/>
      <c r="F864" s="16"/>
      <c r="G864" s="18"/>
      <c r="H864" s="15"/>
      <c r="I864" s="18"/>
      <c r="J864" s="22"/>
      <c r="K864" s="108"/>
      <c r="L864" s="26"/>
      <c r="M864" s="26"/>
    </row>
    <row r="865">
      <c r="A865" s="12"/>
      <c r="B865" s="13"/>
      <c r="C865" s="14"/>
      <c r="D865" s="14"/>
      <c r="E865" s="15"/>
      <c r="F865" s="16"/>
      <c r="G865" s="18"/>
      <c r="H865" s="15"/>
      <c r="I865" s="18"/>
      <c r="J865" s="22"/>
      <c r="K865" s="108"/>
      <c r="L865" s="26"/>
      <c r="M865" s="26"/>
    </row>
    <row r="866">
      <c r="A866" s="12"/>
      <c r="B866" s="13"/>
      <c r="C866" s="14"/>
      <c r="D866" s="14"/>
      <c r="E866" s="15"/>
      <c r="F866" s="16"/>
      <c r="G866" s="18"/>
      <c r="H866" s="15"/>
      <c r="I866" s="18"/>
      <c r="J866" s="22"/>
      <c r="K866" s="108"/>
      <c r="L866" s="26"/>
      <c r="M866" s="26"/>
    </row>
    <row r="867">
      <c r="A867" s="12"/>
      <c r="B867" s="13"/>
      <c r="C867" s="14"/>
      <c r="D867" s="14"/>
      <c r="E867" s="15"/>
      <c r="F867" s="16"/>
      <c r="G867" s="18"/>
      <c r="H867" s="15"/>
      <c r="I867" s="18"/>
      <c r="J867" s="22"/>
      <c r="K867" s="108"/>
      <c r="L867" s="26"/>
      <c r="M867" s="26"/>
    </row>
    <row r="868">
      <c r="A868" s="12"/>
      <c r="B868" s="13"/>
      <c r="C868" s="14"/>
      <c r="D868" s="14"/>
      <c r="E868" s="15"/>
      <c r="F868" s="16"/>
      <c r="G868" s="18"/>
      <c r="H868" s="15"/>
      <c r="I868" s="18"/>
      <c r="J868" s="22"/>
      <c r="K868" s="108"/>
      <c r="L868" s="26"/>
      <c r="M868" s="26"/>
    </row>
    <row r="869">
      <c r="A869" s="12"/>
      <c r="B869" s="13"/>
      <c r="C869" s="14"/>
      <c r="D869" s="14"/>
      <c r="E869" s="15"/>
      <c r="F869" s="16"/>
      <c r="G869" s="18"/>
      <c r="H869" s="15"/>
      <c r="I869" s="18"/>
      <c r="J869" s="22"/>
      <c r="K869" s="108"/>
      <c r="L869" s="26"/>
      <c r="M869" s="26"/>
    </row>
    <row r="870">
      <c r="A870" s="12"/>
      <c r="B870" s="13"/>
      <c r="C870" s="14"/>
      <c r="D870" s="14"/>
      <c r="E870" s="15"/>
      <c r="F870" s="16"/>
      <c r="G870" s="18"/>
      <c r="H870" s="15"/>
      <c r="I870" s="18"/>
      <c r="J870" s="22"/>
      <c r="K870" s="108"/>
      <c r="L870" s="26"/>
      <c r="M870" s="26"/>
    </row>
    <row r="871">
      <c r="A871" s="12"/>
      <c r="B871" s="13"/>
      <c r="C871" s="14"/>
      <c r="D871" s="14"/>
      <c r="E871" s="15"/>
      <c r="F871" s="16"/>
      <c r="G871" s="18"/>
      <c r="H871" s="15"/>
      <c r="I871" s="18"/>
      <c r="J871" s="22"/>
      <c r="K871" s="108"/>
      <c r="L871" s="26"/>
      <c r="M871" s="26"/>
    </row>
    <row r="872">
      <c r="A872" s="12"/>
      <c r="B872" s="13"/>
      <c r="C872" s="14"/>
      <c r="D872" s="14"/>
      <c r="E872" s="15"/>
      <c r="F872" s="16"/>
      <c r="G872" s="18"/>
      <c r="H872" s="15"/>
      <c r="I872" s="18"/>
      <c r="J872" s="22"/>
      <c r="K872" s="108"/>
      <c r="L872" s="26"/>
      <c r="M872" s="26"/>
    </row>
    <row r="873">
      <c r="A873" s="12"/>
      <c r="B873" s="13"/>
      <c r="C873" s="14"/>
      <c r="D873" s="14"/>
      <c r="E873" s="15"/>
      <c r="F873" s="16"/>
      <c r="G873" s="18"/>
      <c r="H873" s="15"/>
      <c r="I873" s="18"/>
      <c r="J873" s="22"/>
      <c r="K873" s="108"/>
      <c r="L873" s="26"/>
      <c r="M873" s="26"/>
    </row>
    <row r="874">
      <c r="A874" s="12"/>
      <c r="B874" s="13"/>
      <c r="C874" s="14"/>
      <c r="D874" s="14"/>
      <c r="E874" s="15"/>
      <c r="F874" s="16"/>
      <c r="G874" s="18"/>
      <c r="H874" s="15"/>
      <c r="I874" s="18"/>
      <c r="J874" s="22"/>
      <c r="K874" s="108"/>
      <c r="L874" s="26"/>
      <c r="M874" s="26"/>
    </row>
    <row r="875">
      <c r="A875" s="12"/>
      <c r="B875" s="13"/>
      <c r="C875" s="14"/>
      <c r="D875" s="14"/>
      <c r="E875" s="15"/>
      <c r="F875" s="16"/>
      <c r="G875" s="18"/>
      <c r="H875" s="15"/>
      <c r="I875" s="18"/>
      <c r="J875" s="22"/>
      <c r="K875" s="108"/>
      <c r="L875" s="26"/>
      <c r="M875" s="26"/>
    </row>
    <row r="876">
      <c r="A876" s="12"/>
      <c r="B876" s="13"/>
      <c r="C876" s="14"/>
      <c r="D876" s="14"/>
      <c r="E876" s="15"/>
      <c r="F876" s="16"/>
      <c r="G876" s="18"/>
      <c r="H876" s="15"/>
      <c r="I876" s="18"/>
      <c r="J876" s="22"/>
      <c r="K876" s="108"/>
      <c r="L876" s="26"/>
      <c r="M876" s="26"/>
    </row>
    <row r="877">
      <c r="A877" s="12"/>
      <c r="B877" s="13"/>
      <c r="C877" s="14"/>
      <c r="D877" s="14"/>
      <c r="E877" s="15"/>
      <c r="F877" s="16"/>
      <c r="G877" s="18"/>
      <c r="H877" s="15"/>
      <c r="I877" s="18"/>
      <c r="J877" s="22"/>
      <c r="K877" s="108"/>
      <c r="L877" s="26"/>
      <c r="M877" s="26"/>
    </row>
    <row r="878">
      <c r="A878" s="12"/>
      <c r="B878" s="13"/>
      <c r="C878" s="14"/>
      <c r="D878" s="14"/>
      <c r="E878" s="15"/>
      <c r="F878" s="16"/>
      <c r="G878" s="18"/>
      <c r="H878" s="15"/>
      <c r="I878" s="18"/>
      <c r="J878" s="22"/>
      <c r="K878" s="108"/>
      <c r="L878" s="26"/>
      <c r="M878" s="26"/>
    </row>
    <row r="879">
      <c r="A879" s="12"/>
      <c r="B879" s="13"/>
      <c r="C879" s="14"/>
      <c r="D879" s="14"/>
      <c r="E879" s="15"/>
      <c r="F879" s="16"/>
      <c r="G879" s="18"/>
      <c r="H879" s="15"/>
      <c r="I879" s="18"/>
      <c r="J879" s="22"/>
      <c r="K879" s="108"/>
      <c r="L879" s="26"/>
      <c r="M879" s="26"/>
    </row>
    <row r="880">
      <c r="A880" s="12"/>
      <c r="B880" s="13"/>
      <c r="C880" s="14"/>
      <c r="D880" s="14"/>
      <c r="E880" s="15"/>
      <c r="F880" s="16"/>
      <c r="G880" s="18"/>
      <c r="H880" s="15"/>
      <c r="I880" s="18"/>
      <c r="J880" s="22"/>
      <c r="K880" s="108"/>
      <c r="L880" s="26"/>
      <c r="M880" s="26"/>
    </row>
    <row r="881">
      <c r="A881" s="12"/>
      <c r="B881" s="13"/>
      <c r="C881" s="14"/>
      <c r="D881" s="14"/>
      <c r="E881" s="15"/>
      <c r="F881" s="16"/>
      <c r="G881" s="18"/>
      <c r="H881" s="15"/>
      <c r="I881" s="18"/>
      <c r="J881" s="22"/>
      <c r="K881" s="108"/>
      <c r="L881" s="26"/>
      <c r="M881" s="26"/>
    </row>
    <row r="882">
      <c r="A882" s="12"/>
      <c r="B882" s="13"/>
      <c r="C882" s="14"/>
      <c r="D882" s="14"/>
      <c r="E882" s="15"/>
      <c r="F882" s="16"/>
      <c r="G882" s="18"/>
      <c r="H882" s="15"/>
      <c r="I882" s="18"/>
      <c r="J882" s="22"/>
      <c r="K882" s="108"/>
      <c r="L882" s="26"/>
      <c r="M882" s="26"/>
    </row>
    <row r="883">
      <c r="A883" s="12"/>
      <c r="B883" s="13"/>
      <c r="C883" s="14"/>
      <c r="D883" s="14"/>
      <c r="E883" s="15"/>
      <c r="F883" s="16"/>
      <c r="G883" s="18"/>
      <c r="H883" s="15"/>
      <c r="I883" s="18"/>
      <c r="J883" s="22"/>
      <c r="K883" s="108"/>
      <c r="L883" s="26"/>
      <c r="M883" s="26"/>
    </row>
    <row r="884">
      <c r="A884" s="12"/>
      <c r="B884" s="13"/>
      <c r="C884" s="14"/>
      <c r="D884" s="14"/>
      <c r="E884" s="15"/>
      <c r="F884" s="16"/>
      <c r="G884" s="18"/>
      <c r="H884" s="15"/>
      <c r="I884" s="18"/>
      <c r="J884" s="22"/>
      <c r="K884" s="108"/>
      <c r="L884" s="26"/>
      <c r="M884" s="26"/>
    </row>
    <row r="885">
      <c r="A885" s="12"/>
      <c r="B885" s="13"/>
      <c r="C885" s="14"/>
      <c r="D885" s="14"/>
      <c r="E885" s="15"/>
      <c r="F885" s="16"/>
      <c r="G885" s="18"/>
      <c r="H885" s="15"/>
      <c r="I885" s="18"/>
      <c r="J885" s="22"/>
      <c r="K885" s="108"/>
      <c r="L885" s="26"/>
      <c r="M885" s="26"/>
    </row>
    <row r="886">
      <c r="A886" s="12"/>
      <c r="B886" s="13"/>
      <c r="C886" s="14"/>
      <c r="D886" s="14"/>
      <c r="E886" s="15"/>
      <c r="F886" s="16"/>
      <c r="G886" s="18"/>
      <c r="H886" s="15"/>
      <c r="I886" s="18"/>
      <c r="J886" s="22"/>
      <c r="K886" s="108"/>
      <c r="L886" s="26"/>
      <c r="M886" s="26"/>
    </row>
    <row r="887">
      <c r="A887" s="12"/>
      <c r="B887" s="13"/>
      <c r="C887" s="14"/>
      <c r="D887" s="14"/>
      <c r="E887" s="15"/>
      <c r="F887" s="16"/>
      <c r="G887" s="18"/>
      <c r="H887" s="15"/>
      <c r="I887" s="18"/>
      <c r="J887" s="22"/>
      <c r="K887" s="108"/>
      <c r="L887" s="26"/>
      <c r="M887" s="26"/>
    </row>
    <row r="888">
      <c r="A888" s="12"/>
      <c r="B888" s="13"/>
      <c r="C888" s="14"/>
      <c r="D888" s="14"/>
      <c r="E888" s="15"/>
      <c r="F888" s="16"/>
      <c r="G888" s="18"/>
      <c r="H888" s="15"/>
      <c r="I888" s="18"/>
      <c r="J888" s="22"/>
      <c r="K888" s="108"/>
      <c r="L888" s="26"/>
      <c r="M888" s="26"/>
    </row>
    <row r="889">
      <c r="A889" s="12"/>
      <c r="B889" s="13"/>
      <c r="C889" s="14"/>
      <c r="D889" s="14"/>
      <c r="E889" s="15"/>
      <c r="F889" s="16"/>
      <c r="G889" s="18"/>
      <c r="H889" s="15"/>
      <c r="I889" s="18"/>
      <c r="J889" s="22"/>
      <c r="K889" s="108"/>
      <c r="L889" s="26"/>
      <c r="M889" s="26"/>
    </row>
    <row r="890">
      <c r="A890" s="12"/>
      <c r="B890" s="13"/>
      <c r="C890" s="14"/>
      <c r="D890" s="14"/>
      <c r="E890" s="15"/>
      <c r="F890" s="16"/>
      <c r="G890" s="18"/>
      <c r="H890" s="15"/>
      <c r="I890" s="18"/>
      <c r="J890" s="22"/>
      <c r="K890" s="108"/>
      <c r="L890" s="26"/>
      <c r="M890" s="26"/>
    </row>
    <row r="891">
      <c r="A891" s="12"/>
      <c r="B891" s="13"/>
      <c r="C891" s="14"/>
      <c r="D891" s="14"/>
      <c r="E891" s="15"/>
      <c r="F891" s="16"/>
      <c r="G891" s="18"/>
      <c r="H891" s="15"/>
      <c r="I891" s="18"/>
      <c r="J891" s="22"/>
      <c r="K891" s="108"/>
      <c r="L891" s="26"/>
      <c r="M891" s="26"/>
    </row>
    <row r="892">
      <c r="A892" s="12"/>
      <c r="B892" s="13"/>
      <c r="C892" s="14"/>
      <c r="D892" s="14"/>
      <c r="E892" s="15"/>
      <c r="F892" s="16"/>
      <c r="G892" s="18"/>
      <c r="H892" s="15"/>
      <c r="I892" s="18"/>
      <c r="J892" s="22"/>
      <c r="K892" s="108"/>
      <c r="L892" s="26"/>
      <c r="M892" s="26"/>
    </row>
    <row r="893">
      <c r="A893" s="12"/>
      <c r="B893" s="13"/>
      <c r="C893" s="14"/>
      <c r="D893" s="14"/>
      <c r="E893" s="15"/>
      <c r="F893" s="16"/>
      <c r="G893" s="18"/>
      <c r="H893" s="15"/>
      <c r="I893" s="18"/>
      <c r="J893" s="22"/>
      <c r="K893" s="108"/>
      <c r="L893" s="26"/>
      <c r="M893" s="26"/>
    </row>
    <row r="894">
      <c r="A894" s="12"/>
      <c r="B894" s="13"/>
      <c r="C894" s="14"/>
      <c r="D894" s="14"/>
      <c r="E894" s="15"/>
      <c r="F894" s="16"/>
      <c r="G894" s="18"/>
      <c r="H894" s="15"/>
      <c r="I894" s="18"/>
      <c r="J894" s="22"/>
      <c r="K894" s="108"/>
      <c r="L894" s="26"/>
      <c r="M894" s="26"/>
    </row>
    <row r="895">
      <c r="A895" s="12"/>
      <c r="B895" s="13"/>
      <c r="C895" s="14"/>
      <c r="D895" s="14"/>
      <c r="E895" s="15"/>
      <c r="F895" s="16"/>
      <c r="G895" s="18"/>
      <c r="H895" s="15"/>
      <c r="I895" s="18"/>
      <c r="J895" s="22"/>
      <c r="K895" s="108"/>
      <c r="L895" s="26"/>
      <c r="M895" s="26"/>
    </row>
    <row r="896">
      <c r="A896" s="12"/>
      <c r="B896" s="13"/>
      <c r="C896" s="14"/>
      <c r="D896" s="14"/>
      <c r="E896" s="15"/>
      <c r="F896" s="16"/>
      <c r="G896" s="18"/>
      <c r="H896" s="15"/>
      <c r="I896" s="18"/>
      <c r="J896" s="22"/>
      <c r="K896" s="108"/>
      <c r="L896" s="26"/>
      <c r="M896" s="26"/>
    </row>
    <row r="897">
      <c r="A897" s="12"/>
      <c r="B897" s="13"/>
      <c r="C897" s="14"/>
      <c r="D897" s="14"/>
      <c r="E897" s="15"/>
      <c r="F897" s="16"/>
      <c r="G897" s="18"/>
      <c r="H897" s="15"/>
      <c r="I897" s="18"/>
      <c r="J897" s="22"/>
      <c r="K897" s="108"/>
      <c r="L897" s="26"/>
      <c r="M897" s="26"/>
    </row>
    <row r="898">
      <c r="A898" s="12"/>
      <c r="B898" s="13"/>
      <c r="C898" s="14"/>
      <c r="D898" s="14"/>
      <c r="E898" s="15"/>
      <c r="F898" s="16"/>
      <c r="G898" s="18"/>
      <c r="H898" s="15"/>
      <c r="I898" s="18"/>
      <c r="J898" s="22"/>
      <c r="K898" s="108"/>
      <c r="L898" s="26"/>
      <c r="M898" s="26"/>
    </row>
    <row r="899">
      <c r="A899" s="12"/>
      <c r="B899" s="13"/>
      <c r="C899" s="14"/>
      <c r="D899" s="14"/>
      <c r="E899" s="15"/>
      <c r="F899" s="16"/>
      <c r="G899" s="18"/>
      <c r="H899" s="15"/>
      <c r="I899" s="18"/>
      <c r="J899" s="22"/>
      <c r="K899" s="108"/>
      <c r="L899" s="26"/>
      <c r="M899" s="26"/>
    </row>
    <row r="900">
      <c r="A900" s="12"/>
      <c r="B900" s="13"/>
      <c r="C900" s="14"/>
      <c r="D900" s="14"/>
      <c r="E900" s="15"/>
      <c r="F900" s="16"/>
      <c r="G900" s="18"/>
      <c r="H900" s="15"/>
      <c r="I900" s="18"/>
      <c r="J900" s="22"/>
      <c r="K900" s="108"/>
      <c r="L900" s="26"/>
      <c r="M900" s="26"/>
    </row>
    <row r="901">
      <c r="A901" s="12"/>
      <c r="B901" s="13"/>
      <c r="C901" s="14"/>
      <c r="D901" s="14"/>
      <c r="E901" s="15"/>
      <c r="F901" s="16"/>
      <c r="G901" s="18"/>
      <c r="H901" s="15"/>
      <c r="I901" s="18"/>
      <c r="J901" s="22"/>
      <c r="K901" s="108"/>
      <c r="L901" s="26"/>
      <c r="M901" s="26"/>
    </row>
    <row r="902">
      <c r="A902" s="12"/>
      <c r="B902" s="13"/>
      <c r="C902" s="14"/>
      <c r="D902" s="14"/>
      <c r="E902" s="15"/>
      <c r="F902" s="16"/>
      <c r="G902" s="18"/>
      <c r="H902" s="15"/>
      <c r="I902" s="18"/>
      <c r="J902" s="22"/>
      <c r="K902" s="108"/>
      <c r="L902" s="26"/>
      <c r="M902" s="26"/>
    </row>
    <row r="903">
      <c r="A903" s="12"/>
      <c r="B903" s="13"/>
      <c r="C903" s="14"/>
      <c r="D903" s="14"/>
      <c r="E903" s="15"/>
      <c r="F903" s="16"/>
      <c r="G903" s="18"/>
      <c r="H903" s="15"/>
      <c r="I903" s="18"/>
      <c r="J903" s="22"/>
      <c r="K903" s="108"/>
      <c r="L903" s="26"/>
      <c r="M903" s="26"/>
    </row>
    <row r="904">
      <c r="A904" s="12"/>
      <c r="B904" s="13"/>
      <c r="C904" s="14"/>
      <c r="D904" s="14"/>
      <c r="E904" s="15"/>
      <c r="F904" s="16"/>
      <c r="G904" s="18"/>
      <c r="H904" s="15"/>
      <c r="I904" s="18"/>
      <c r="J904" s="22"/>
      <c r="K904" s="108"/>
      <c r="L904" s="26"/>
      <c r="M904" s="26"/>
    </row>
    <row r="905">
      <c r="A905" s="12"/>
      <c r="B905" s="13"/>
      <c r="C905" s="14"/>
      <c r="D905" s="14"/>
      <c r="E905" s="15"/>
      <c r="F905" s="16"/>
      <c r="G905" s="18"/>
      <c r="H905" s="15"/>
      <c r="I905" s="18"/>
      <c r="J905" s="22"/>
      <c r="K905" s="108"/>
      <c r="L905" s="26"/>
      <c r="M905" s="26"/>
    </row>
    <row r="906">
      <c r="A906" s="12"/>
      <c r="B906" s="13"/>
      <c r="C906" s="14"/>
      <c r="D906" s="14"/>
      <c r="E906" s="15"/>
      <c r="F906" s="16"/>
      <c r="G906" s="18"/>
      <c r="H906" s="15"/>
      <c r="I906" s="18"/>
      <c r="J906" s="22"/>
      <c r="K906" s="108"/>
      <c r="L906" s="26"/>
      <c r="M906" s="26"/>
    </row>
    <row r="907">
      <c r="A907" s="12"/>
      <c r="B907" s="13"/>
      <c r="C907" s="14"/>
      <c r="D907" s="14"/>
      <c r="E907" s="15"/>
      <c r="F907" s="16"/>
      <c r="G907" s="18"/>
      <c r="H907" s="15"/>
      <c r="I907" s="18"/>
      <c r="J907" s="22"/>
      <c r="K907" s="108"/>
      <c r="L907" s="26"/>
      <c r="M907" s="26"/>
    </row>
    <row r="908">
      <c r="A908" s="12"/>
      <c r="B908" s="13"/>
      <c r="C908" s="14"/>
      <c r="D908" s="14"/>
      <c r="E908" s="15"/>
      <c r="F908" s="16"/>
      <c r="G908" s="18"/>
      <c r="H908" s="15"/>
      <c r="I908" s="18"/>
      <c r="J908" s="22"/>
      <c r="K908" s="108"/>
      <c r="L908" s="26"/>
      <c r="M908" s="26"/>
    </row>
    <row r="909">
      <c r="A909" s="12"/>
      <c r="B909" s="13"/>
      <c r="C909" s="14"/>
      <c r="D909" s="14"/>
      <c r="E909" s="15"/>
      <c r="F909" s="16"/>
      <c r="G909" s="18"/>
      <c r="H909" s="15"/>
      <c r="I909" s="18"/>
      <c r="J909" s="22"/>
      <c r="K909" s="108"/>
      <c r="L909" s="26"/>
      <c r="M909" s="26"/>
    </row>
    <row r="910">
      <c r="A910" s="12"/>
      <c r="B910" s="13"/>
      <c r="C910" s="14"/>
      <c r="D910" s="14"/>
      <c r="E910" s="15"/>
      <c r="F910" s="16"/>
      <c r="G910" s="18"/>
      <c r="H910" s="15"/>
      <c r="I910" s="18"/>
      <c r="J910" s="22"/>
      <c r="K910" s="108"/>
      <c r="L910" s="26"/>
      <c r="M910" s="26"/>
    </row>
    <row r="911">
      <c r="A911" s="12"/>
      <c r="B911" s="13"/>
      <c r="C911" s="14"/>
      <c r="D911" s="14"/>
      <c r="E911" s="15"/>
      <c r="F911" s="16"/>
      <c r="G911" s="18"/>
      <c r="H911" s="15"/>
      <c r="I911" s="18"/>
      <c r="J911" s="22"/>
      <c r="K911" s="108"/>
      <c r="L911" s="26"/>
      <c r="M911" s="26"/>
    </row>
    <row r="912">
      <c r="A912" s="12"/>
      <c r="B912" s="13"/>
      <c r="C912" s="14"/>
      <c r="D912" s="14"/>
      <c r="E912" s="15"/>
      <c r="F912" s="16"/>
      <c r="G912" s="18"/>
      <c r="H912" s="15"/>
      <c r="I912" s="18"/>
      <c r="J912" s="22"/>
      <c r="K912" s="108"/>
      <c r="L912" s="26"/>
      <c r="M912" s="26"/>
    </row>
    <row r="913">
      <c r="A913" s="12"/>
      <c r="B913" s="13"/>
      <c r="C913" s="14"/>
      <c r="D913" s="14"/>
      <c r="E913" s="15"/>
      <c r="F913" s="16"/>
      <c r="G913" s="18"/>
      <c r="H913" s="15"/>
      <c r="I913" s="18"/>
      <c r="J913" s="22"/>
      <c r="K913" s="108"/>
      <c r="L913" s="26"/>
      <c r="M913" s="26"/>
    </row>
    <row r="914">
      <c r="A914" s="12"/>
      <c r="B914" s="13"/>
      <c r="C914" s="14"/>
      <c r="D914" s="14"/>
      <c r="E914" s="15"/>
      <c r="F914" s="16"/>
      <c r="G914" s="18"/>
      <c r="H914" s="15"/>
      <c r="I914" s="18"/>
      <c r="J914" s="22"/>
      <c r="K914" s="108"/>
      <c r="L914" s="26"/>
      <c r="M914" s="26"/>
    </row>
    <row r="915">
      <c r="A915" s="12"/>
      <c r="B915" s="13"/>
      <c r="C915" s="14"/>
      <c r="D915" s="14"/>
      <c r="E915" s="15"/>
      <c r="F915" s="16"/>
      <c r="G915" s="18"/>
      <c r="H915" s="15"/>
      <c r="I915" s="18"/>
      <c r="J915" s="22"/>
      <c r="K915" s="108"/>
      <c r="L915" s="26"/>
      <c r="M915" s="26"/>
    </row>
    <row r="916">
      <c r="A916" s="12"/>
      <c r="B916" s="13"/>
      <c r="C916" s="14"/>
      <c r="D916" s="14"/>
      <c r="E916" s="15"/>
      <c r="F916" s="16"/>
      <c r="G916" s="18"/>
      <c r="H916" s="15"/>
      <c r="I916" s="18"/>
      <c r="J916" s="22"/>
      <c r="K916" s="108"/>
      <c r="L916" s="26"/>
      <c r="M916" s="26"/>
    </row>
    <row r="917">
      <c r="A917" s="12"/>
      <c r="B917" s="13"/>
      <c r="C917" s="14"/>
      <c r="D917" s="14"/>
      <c r="E917" s="15"/>
      <c r="F917" s="16"/>
      <c r="G917" s="18"/>
      <c r="H917" s="15"/>
      <c r="I917" s="18"/>
      <c r="J917" s="22"/>
      <c r="K917" s="108"/>
      <c r="L917" s="26"/>
      <c r="M917" s="26"/>
    </row>
    <row r="918">
      <c r="A918" s="12"/>
      <c r="B918" s="13"/>
      <c r="C918" s="14"/>
      <c r="D918" s="14"/>
      <c r="E918" s="15"/>
      <c r="F918" s="16"/>
      <c r="G918" s="18"/>
      <c r="H918" s="15"/>
      <c r="I918" s="18"/>
      <c r="J918" s="22"/>
      <c r="K918" s="108"/>
      <c r="L918" s="26"/>
      <c r="M918" s="26"/>
    </row>
    <row r="919">
      <c r="A919" s="12"/>
      <c r="B919" s="13"/>
      <c r="C919" s="14"/>
      <c r="D919" s="14"/>
      <c r="E919" s="15"/>
      <c r="F919" s="16"/>
      <c r="G919" s="18"/>
      <c r="H919" s="15"/>
      <c r="I919" s="18"/>
      <c r="J919" s="22"/>
      <c r="K919" s="108"/>
      <c r="L919" s="26"/>
      <c r="M919" s="26"/>
    </row>
    <row r="920">
      <c r="A920" s="12"/>
      <c r="B920" s="13"/>
      <c r="C920" s="14"/>
      <c r="D920" s="14"/>
      <c r="E920" s="15"/>
      <c r="F920" s="16"/>
      <c r="G920" s="18"/>
      <c r="H920" s="15"/>
      <c r="I920" s="18"/>
      <c r="J920" s="22"/>
      <c r="K920" s="108"/>
      <c r="L920" s="26"/>
      <c r="M920" s="26"/>
    </row>
    <row r="921">
      <c r="A921" s="12"/>
      <c r="B921" s="13"/>
      <c r="C921" s="14"/>
      <c r="D921" s="14"/>
      <c r="E921" s="15"/>
      <c r="F921" s="16"/>
      <c r="G921" s="18"/>
      <c r="H921" s="15"/>
      <c r="I921" s="18"/>
      <c r="J921" s="22"/>
      <c r="K921" s="108"/>
      <c r="L921" s="26"/>
      <c r="M921" s="26"/>
    </row>
    <row r="922">
      <c r="A922" s="12"/>
      <c r="B922" s="13"/>
      <c r="C922" s="14"/>
      <c r="D922" s="14"/>
      <c r="E922" s="15"/>
      <c r="F922" s="16"/>
      <c r="G922" s="18"/>
      <c r="H922" s="15"/>
      <c r="I922" s="18"/>
      <c r="J922" s="22"/>
      <c r="K922" s="108"/>
      <c r="L922" s="26"/>
      <c r="M922" s="26"/>
    </row>
    <row r="923">
      <c r="A923" s="12"/>
      <c r="B923" s="13"/>
      <c r="C923" s="14"/>
      <c r="D923" s="14"/>
      <c r="E923" s="15"/>
      <c r="F923" s="16"/>
      <c r="G923" s="18"/>
      <c r="H923" s="15"/>
      <c r="I923" s="18"/>
      <c r="J923" s="22"/>
      <c r="K923" s="108"/>
      <c r="L923" s="26"/>
      <c r="M923" s="26"/>
    </row>
    <row r="924">
      <c r="A924" s="12"/>
      <c r="B924" s="13"/>
      <c r="C924" s="14"/>
      <c r="D924" s="14"/>
      <c r="E924" s="15"/>
      <c r="F924" s="16"/>
      <c r="G924" s="18"/>
      <c r="H924" s="15"/>
      <c r="I924" s="18"/>
      <c r="J924" s="22"/>
      <c r="K924" s="108"/>
      <c r="L924" s="26"/>
      <c r="M924" s="26"/>
    </row>
    <row r="925">
      <c r="A925" s="12"/>
      <c r="B925" s="13"/>
      <c r="C925" s="14"/>
      <c r="D925" s="14"/>
      <c r="E925" s="15"/>
      <c r="F925" s="16"/>
      <c r="G925" s="18"/>
      <c r="H925" s="15"/>
      <c r="I925" s="18"/>
      <c r="J925" s="22"/>
      <c r="K925" s="108"/>
      <c r="L925" s="26"/>
      <c r="M925" s="26"/>
    </row>
    <row r="926">
      <c r="A926" s="12"/>
      <c r="B926" s="13"/>
      <c r="C926" s="14"/>
      <c r="D926" s="14"/>
      <c r="E926" s="15"/>
      <c r="F926" s="16"/>
      <c r="G926" s="18"/>
      <c r="H926" s="15"/>
      <c r="I926" s="18"/>
      <c r="J926" s="22"/>
      <c r="K926" s="108"/>
      <c r="L926" s="26"/>
      <c r="M926" s="26"/>
    </row>
  </sheetData>
  <autoFilter ref="$A$2:$M$400"/>
  <conditionalFormatting sqref="E3:E926 I3:I926">
    <cfRule type="expression" dxfId="5" priority="1">
      <formula>AND($E3&lt;&gt;"",(($E3-$H3)/365*12)&lt;1)</formula>
    </cfRule>
  </conditionalFormatting>
  <conditionalFormatting sqref="A2:A926 D2:D926">
    <cfRule type="expression" dxfId="13" priority="2">
      <formula>$D2="Coming Soon"</formula>
    </cfRule>
  </conditionalFormatting>
  <conditionalFormatting sqref="A2:A926 D2:D926">
    <cfRule type="expression" dxfId="7" priority="3">
      <formula>$D2="Removed"</formula>
    </cfRule>
  </conditionalFormatting>
  <conditionalFormatting sqref="A2:A926">
    <cfRule type="expression" dxfId="6" priority="4">
      <formula>MATCH(A2,INDIRECT("'Xbox Game Studios'!A:A"),0)</formula>
    </cfRule>
  </conditionalFormatting>
  <conditionalFormatting sqref="A2:A926 D2:D926">
    <cfRule type="expression" dxfId="10" priority="5">
      <formula>$D2="Leaving Soon"</formula>
    </cfRule>
  </conditionalFormatting>
  <conditionalFormatting sqref="A2:A926 D2:D926">
    <cfRule type="expression" dxfId="5" priority="6">
      <formula>AND($D3&lt;&gt;"",(($D3-$G3)/365*12)&lt;1)</formula>
    </cfRule>
  </conditionalFormatting>
  <conditionalFormatting sqref="J2:J926">
    <cfRule type="cellIs" dxfId="5" priority="7" operator="between">
      <formula>75</formula>
      <formula>100</formula>
    </cfRule>
  </conditionalFormatting>
  <conditionalFormatting sqref="J2:J926">
    <cfRule type="cellIs" dxfId="6" priority="8" operator="between">
      <formula>50</formula>
      <formula>74</formula>
    </cfRule>
  </conditionalFormatting>
  <conditionalFormatting sqref="J2:J926">
    <cfRule type="cellIs" dxfId="7" priority="9" operator="between">
      <formula>1</formula>
      <formula>49</formula>
    </cfRule>
  </conditionalFormatting>
  <conditionalFormatting sqref="B3:B926">
    <cfRule type="expression" dxfId="14" priority="10">
      <formula>AND(MATCH(A3,INDIRECT("'Cross Play'!D2:D"),0),MATCH(A3,INDIRECT("'Cross Play'!A2:A"),0))</formula>
    </cfRule>
  </conditionalFormatting>
  <conditionalFormatting sqref="B3:B926">
    <cfRule type="expression" dxfId="15" priority="11">
      <formula>MATCH(A3,INDIRECT("'Cross Play'!A2:A"),0)</formula>
    </cfRule>
  </conditionalFormatting>
  <conditionalFormatting sqref="B3:B926">
    <cfRule type="expression" dxfId="16" priority="12">
      <formula>MATCH(A3,INDIRECT("'Cross Play'!D2:D"),0)</formula>
    </cfRule>
  </conditionalFormatting>
  <conditionalFormatting sqref="B1:B926">
    <cfRule type="cellIs" dxfId="4" priority="13" operator="equal">
      <formula>"Xbox"</formula>
    </cfRule>
  </conditionalFormatting>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6BDC6"/>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2"/>
  <cols>
    <col customWidth="1" min="1" max="1" width="48.75"/>
    <col customWidth="1" min="2" max="2" width="9.38"/>
    <col customWidth="1" min="3" max="3" width="12.13"/>
    <col customWidth="1" min="4" max="4" width="11.25"/>
    <col customWidth="1" min="5" max="5" width="11.5"/>
    <col customWidth="1" min="6" max="6" width="17.38"/>
    <col customWidth="1" min="7" max="7" width="9.63"/>
    <col customWidth="1" min="8" max="8" width="11.5"/>
    <col customWidth="1" min="9" max="9" width="7.75"/>
    <col customWidth="1" min="10" max="10" width="11.88"/>
    <col customWidth="1" min="11" max="11" width="12.63"/>
    <col customWidth="1" min="12" max="12" width="42.25"/>
    <col customWidth="1" min="13" max="13" width="16.25"/>
  </cols>
  <sheetData>
    <row r="1">
      <c r="A1" s="2" t="s">
        <v>1709</v>
      </c>
      <c r="B1" s="6">
        <f>COUNTA(A3:A926)</f>
        <v>901</v>
      </c>
      <c r="C1" s="2"/>
      <c r="D1" s="2"/>
      <c r="E1" s="2"/>
      <c r="F1" s="2"/>
      <c r="G1" s="2"/>
      <c r="H1" s="2"/>
      <c r="I1" s="2"/>
      <c r="J1" s="2"/>
      <c r="K1" s="2"/>
      <c r="L1" s="2"/>
      <c r="M1" s="2"/>
    </row>
    <row r="2">
      <c r="A2" s="1" t="s">
        <v>0</v>
      </c>
      <c r="B2" s="8" t="s">
        <v>2</v>
      </c>
      <c r="C2" s="9" t="s">
        <v>3</v>
      </c>
      <c r="D2" s="8" t="s">
        <v>4</v>
      </c>
      <c r="E2" s="8" t="s">
        <v>5</v>
      </c>
      <c r="F2" s="9" t="s">
        <v>6</v>
      </c>
      <c r="G2" s="11" t="s">
        <v>7</v>
      </c>
      <c r="H2" s="7" t="s">
        <v>8</v>
      </c>
      <c r="I2" s="7" t="s">
        <v>9</v>
      </c>
      <c r="J2" s="7" t="s">
        <v>10</v>
      </c>
      <c r="K2" s="7" t="s">
        <v>11</v>
      </c>
      <c r="L2" s="7" t="s">
        <v>12</v>
      </c>
      <c r="M2" s="7" t="s">
        <v>26</v>
      </c>
    </row>
    <row r="3">
      <c r="A3" s="17" t="str">
        <f>IFERROR(__xludf.DUMMYFUNCTION("SORT(FILTER('Master List'!A2:M926, REGEXMATCH('Master List'!B2:B926, ""Xbox""), NOT(REGEXMATCH('Master List'!D2:D926, ""Removed"")) ), 10, false)"),"NHL 94 Rewind")</f>
        <v>NHL 94 Rewind</v>
      </c>
      <c r="B3" s="20" t="str">
        <f>IFERROR(__xludf.DUMMYFUNCTION("""COMPUTED_VALUE"""),"Xbox")</f>
        <v>Xbox</v>
      </c>
      <c r="C3" s="21"/>
      <c r="D3" s="21" t="str">
        <f>IFERROR(__xludf.DUMMYFUNCTION("""COMPUTED_VALUE"""),"Active")</f>
        <v>Active</v>
      </c>
      <c r="E3" s="23">
        <f>IFERROR(__xludf.DUMMYFUNCTION("""COMPUTED_VALUE"""),44168.0)</f>
        <v>44168</v>
      </c>
      <c r="F3" s="24"/>
      <c r="G3" s="27">
        <f>IFERROR(__xludf.DUMMYFUNCTION("""COMPUTED_VALUE"""),70.1)</f>
        <v>70.1</v>
      </c>
      <c r="H3" s="23">
        <f>IFERROR(__xludf.DUMMYFUNCTION("""COMPUTED_VALUE"""),44134.0)</f>
        <v>44134</v>
      </c>
      <c r="I3" s="27">
        <f>IFERROR(__xludf.DUMMYFUNCTION("""COMPUTED_VALUE"""),0.09166666666666666)</f>
        <v>0.09166666667</v>
      </c>
      <c r="J3" s="29">
        <f>IFERROR(__xludf.DUMMYFUNCTION("""COMPUTED_VALUE"""),100.0)</f>
        <v>100</v>
      </c>
      <c r="K3" s="29">
        <f>IFERROR(__xludf.DUMMYFUNCTION("""COMPUTED_VALUE"""),14.5)</f>
        <v>14.5</v>
      </c>
      <c r="L3" s="31" t="str">
        <f>IFERROR(__xludf.DUMMYFUNCTION("""COMPUTED_VALUE"""),"Sports")</f>
        <v>Sports</v>
      </c>
      <c r="M3" s="31"/>
    </row>
    <row r="4">
      <c r="A4" s="17" t="str">
        <f>IFERROR(__xludf.DUMMYFUNCTION("""COMPUTED_VALUE"""),"GoldenEye 007 (2023)")</f>
        <v>GoldenEye 007 (2023)</v>
      </c>
      <c r="B4" s="20" t="str">
        <f>IFERROR(__xludf.DUMMYFUNCTION("""COMPUTED_VALUE"""),"Xbox")</f>
        <v>Xbox</v>
      </c>
      <c r="C4" s="21" t="str">
        <f>IFERROR(__xludf.DUMMYFUNCTION("""COMPUTED_VALUE"""),"Yes")</f>
        <v>Yes</v>
      </c>
      <c r="D4" s="21" t="str">
        <f>IFERROR(__xludf.DUMMYFUNCTION("""COMPUTED_VALUE"""),"Active")</f>
        <v>Active</v>
      </c>
      <c r="E4" s="23">
        <f>IFERROR(__xludf.DUMMYFUNCTION("""COMPUTED_VALUE"""),44953.0)</f>
        <v>44953</v>
      </c>
      <c r="F4" s="24"/>
      <c r="G4" s="27">
        <f>IFERROR(__xludf.DUMMYFUNCTION("""COMPUTED_VALUE"""),44.300000000000004)</f>
        <v>44.3</v>
      </c>
      <c r="H4" s="23">
        <f>IFERROR(__xludf.DUMMYFUNCTION("""COMPUTED_VALUE"""),44953.0)</f>
        <v>44953</v>
      </c>
      <c r="I4" s="27">
        <f>IFERROR(__xludf.DUMMYFUNCTION("""COMPUTED_VALUE"""),0.0)</f>
        <v>0</v>
      </c>
      <c r="J4" s="29">
        <f>IFERROR(__xludf.DUMMYFUNCTION("""COMPUTED_VALUE"""),96.0)</f>
        <v>96</v>
      </c>
      <c r="K4" s="29">
        <f>IFERROR(__xludf.DUMMYFUNCTION("""COMPUTED_VALUE"""),10.0)</f>
        <v>10</v>
      </c>
      <c r="L4" s="31" t="str">
        <f>IFERROR(__xludf.DUMMYFUNCTION("""COMPUTED_VALUE"""),"Shooter")</f>
        <v>Shooter</v>
      </c>
      <c r="M4" s="31"/>
    </row>
    <row r="5">
      <c r="A5" s="17" t="str">
        <f>IFERROR(__xludf.DUMMYFUNCTION("""COMPUTED_VALUE"""),"Mass Effect 2: Digital Deluxe Edition")</f>
        <v>Mass Effect 2: Digital Deluxe Edition</v>
      </c>
      <c r="B5" s="20" t="str">
        <f>IFERROR(__xludf.DUMMYFUNCTION("""COMPUTED_VALUE"""),"Xbox / PC")</f>
        <v>Xbox / PC</v>
      </c>
      <c r="C5" s="21"/>
      <c r="D5" s="21" t="str">
        <f>IFERROR(__xludf.DUMMYFUNCTION("""COMPUTED_VALUE"""),"Active")</f>
        <v>Active</v>
      </c>
      <c r="E5" s="23">
        <f>IFERROR(__xludf.DUMMYFUNCTION("""COMPUTED_VALUE"""),44145.0)</f>
        <v>44145</v>
      </c>
      <c r="F5" s="24"/>
      <c r="G5" s="27">
        <f>IFERROR(__xludf.DUMMYFUNCTION("""COMPUTED_VALUE"""),70.86666666666667)</f>
        <v>70.86666667</v>
      </c>
      <c r="H5" s="23">
        <f>IFERROR(__xludf.DUMMYFUNCTION("""COMPUTED_VALUE"""),40204.0)</f>
        <v>40204</v>
      </c>
      <c r="I5" s="27">
        <f>IFERROR(__xludf.DUMMYFUNCTION("""COMPUTED_VALUE"""),10.78888888888889)</f>
        <v>10.78888889</v>
      </c>
      <c r="J5" s="29">
        <f>IFERROR(__xludf.DUMMYFUNCTION("""COMPUTED_VALUE"""),96.0)</f>
        <v>96</v>
      </c>
      <c r="K5" s="29">
        <f>IFERROR(__xludf.DUMMYFUNCTION("""COMPUTED_VALUE"""),24.5)</f>
        <v>24.5</v>
      </c>
      <c r="L5" s="31" t="str">
        <f>IFERROR(__xludf.DUMMYFUNCTION("""COMPUTED_VALUE"""),"RPG")</f>
        <v>RPG</v>
      </c>
      <c r="M5" s="31"/>
    </row>
    <row r="6">
      <c r="A6" s="17" t="str">
        <f>IFERROR(__xludf.DUMMYFUNCTION("""COMPUTED_VALUE"""),"Persona 5 Royal")</f>
        <v>Persona 5 Royal</v>
      </c>
      <c r="B6" s="20" t="str">
        <f>IFERROR(__xludf.DUMMYFUNCTION("""COMPUTED_VALUE"""),"Xbox / PC")</f>
        <v>Xbox / PC</v>
      </c>
      <c r="C6" s="21" t="str">
        <f>IFERROR(__xludf.DUMMYFUNCTION("""COMPUTED_VALUE"""),"Touch Controls")</f>
        <v>Touch Controls</v>
      </c>
      <c r="D6" s="21" t="str">
        <f>IFERROR(__xludf.DUMMYFUNCTION("""COMPUTED_VALUE"""),"Active")</f>
        <v>Active</v>
      </c>
      <c r="E6" s="23">
        <f>IFERROR(__xludf.DUMMYFUNCTION("""COMPUTED_VALUE"""),46182.0)</f>
        <v>46182</v>
      </c>
      <c r="F6" s="24"/>
      <c r="G6" s="27">
        <f>IFERROR(__xludf.DUMMYFUNCTION("""COMPUTED_VALUE"""),3.9000000000000004)</f>
        <v>3.9</v>
      </c>
      <c r="H6" s="23">
        <f>IFERROR(__xludf.DUMMYFUNCTION("""COMPUTED_VALUE"""),43921.0)</f>
        <v>43921</v>
      </c>
      <c r="I6" s="27">
        <f>IFERROR(__xludf.DUMMYFUNCTION("""COMPUTED_VALUE"""),6.191666666666666)</f>
        <v>6.191666667</v>
      </c>
      <c r="J6" s="29">
        <f>IFERROR(__xludf.DUMMYFUNCTION("""COMPUTED_VALUE"""),95.0)</f>
        <v>95</v>
      </c>
      <c r="K6" s="29">
        <f>IFERROR(__xludf.DUMMYFUNCTION("""COMPUTED_VALUE"""),101.0)</f>
        <v>101</v>
      </c>
      <c r="L6" s="31" t="str">
        <f>IFERROR(__xludf.DUMMYFUNCTION("""COMPUTED_VALUE"""),"RPG")</f>
        <v>RPG</v>
      </c>
      <c r="M6" s="31"/>
    </row>
    <row r="7">
      <c r="A7" s="17" t="str">
        <f>IFERROR(__xludf.DUMMYFUNCTION("""COMPUTED_VALUE"""),"Hades II")</f>
        <v>Hades II</v>
      </c>
      <c r="B7" s="20" t="str">
        <f>IFERROR(__xludf.DUMMYFUNCTION("""COMPUTED_VALUE"""),"Xbox / PC")</f>
        <v>Xbox / PC</v>
      </c>
      <c r="C7" s="21" t="str">
        <f>IFERROR(__xludf.DUMMYFUNCTION("""COMPUTED_VALUE"""),"Yes")</f>
        <v>Yes</v>
      </c>
      <c r="D7" s="21" t="str">
        <f>IFERROR(__xludf.DUMMYFUNCTION("""COMPUTED_VALUE"""),"Active")</f>
        <v>Active</v>
      </c>
      <c r="E7" s="23">
        <f>IFERROR(__xludf.DUMMYFUNCTION("""COMPUTED_VALUE"""),46126.0)</f>
        <v>46126</v>
      </c>
      <c r="F7" s="24"/>
      <c r="G7" s="27">
        <f>IFERROR(__xludf.DUMMYFUNCTION("""COMPUTED_VALUE"""),5.733333333333333)</f>
        <v>5.733333333</v>
      </c>
      <c r="H7" s="23">
        <f>IFERROR(__xludf.DUMMYFUNCTION("""COMPUTED_VALUE"""),45925.0)</f>
        <v>45925</v>
      </c>
      <c r="I7" s="27">
        <f>IFERROR(__xludf.DUMMYFUNCTION("""COMPUTED_VALUE"""),0.5527777777777778)</f>
        <v>0.5527777778</v>
      </c>
      <c r="J7" s="29">
        <f>IFERROR(__xludf.DUMMYFUNCTION("""COMPUTED_VALUE"""),95.0)</f>
        <v>95</v>
      </c>
      <c r="K7" s="29">
        <f>IFERROR(__xludf.DUMMYFUNCTION("""COMPUTED_VALUE"""),22.0)</f>
        <v>22</v>
      </c>
      <c r="L7" s="31" t="str">
        <f>IFERROR(__xludf.DUMMYFUNCTION("""COMPUTED_VALUE"""),"RPG")</f>
        <v>RPG</v>
      </c>
      <c r="M7" s="31" t="str">
        <f>IFERROR(__xludf.DUMMYFUNCTION("""COMPUTED_VALUE"""),"Exclusive")</f>
        <v>Exclusive</v>
      </c>
    </row>
    <row r="8">
      <c r="A8" s="17" t="str">
        <f>IFERROR(__xludf.DUMMYFUNCTION("""COMPUTED_VALUE"""),"Portal 2")</f>
        <v>Portal 2</v>
      </c>
      <c r="B8" s="20" t="str">
        <f>IFERROR(__xludf.DUMMYFUNCTION("""COMPUTED_VALUE"""),"XB360/OG Xbox")</f>
        <v>XB360/OG Xbox</v>
      </c>
      <c r="C8" s="21"/>
      <c r="D8" s="21" t="str">
        <f>IFERROR(__xludf.DUMMYFUNCTION("""COMPUTED_VALUE"""),"GwG Permanent")</f>
        <v>GwG Permanent</v>
      </c>
      <c r="E8" s="23">
        <f>IFERROR(__xludf.DUMMYFUNCTION("""COMPUTED_VALUE"""),44819.0)</f>
        <v>44819</v>
      </c>
      <c r="F8" s="24">
        <f>IFERROR(__xludf.DUMMYFUNCTION("""COMPUTED_VALUE"""),44834.0)</f>
        <v>44834</v>
      </c>
      <c r="G8" s="27">
        <f>IFERROR(__xludf.DUMMYFUNCTION("""COMPUTED_VALUE"""),0.5)</f>
        <v>0.5</v>
      </c>
      <c r="H8" s="23">
        <f>IFERROR(__xludf.DUMMYFUNCTION("""COMPUTED_VALUE"""),40652.0)</f>
        <v>40652</v>
      </c>
      <c r="I8" s="27">
        <f>IFERROR(__xludf.DUMMYFUNCTION("""COMPUTED_VALUE"""),11.405555555555555)</f>
        <v>11.40555556</v>
      </c>
      <c r="J8" s="29">
        <f>IFERROR(__xludf.DUMMYFUNCTION("""COMPUTED_VALUE"""),95.0)</f>
        <v>95</v>
      </c>
      <c r="K8" s="29">
        <f>IFERROR(__xludf.DUMMYFUNCTION("""COMPUTED_VALUE"""),9.0)</f>
        <v>9</v>
      </c>
      <c r="L8" s="31" t="str">
        <f>IFERROR(__xludf.DUMMYFUNCTION("""COMPUTED_VALUE"""),"Puzzle")</f>
        <v>Puzzle</v>
      </c>
      <c r="M8" s="31"/>
    </row>
    <row r="9">
      <c r="A9" s="17" t="str">
        <f>IFERROR(__xludf.DUMMYFUNCTION("""COMPUTED_VALUE"""),"Quake")</f>
        <v>Quake</v>
      </c>
      <c r="B9" s="20" t="str">
        <f>IFERROR(__xludf.DUMMYFUNCTION("""COMPUTED_VALUE"""),"Xbox / PC")</f>
        <v>Xbox / PC</v>
      </c>
      <c r="C9" s="21" t="str">
        <f>IFERROR(__xludf.DUMMYFUNCTION("""COMPUTED_VALUE"""),"M+KB")</f>
        <v>M+KB</v>
      </c>
      <c r="D9" s="21" t="str">
        <f>IFERROR(__xludf.DUMMYFUNCTION("""COMPUTED_VALUE"""),"Active")</f>
        <v>Active</v>
      </c>
      <c r="E9" s="23">
        <f>IFERROR(__xludf.DUMMYFUNCTION("""COMPUTED_VALUE"""),44427.0)</f>
        <v>44427</v>
      </c>
      <c r="F9" s="24"/>
      <c r="G9" s="27">
        <f>IFERROR(__xludf.DUMMYFUNCTION("""COMPUTED_VALUE"""),61.56666666666666)</f>
        <v>61.56666667</v>
      </c>
      <c r="H9" s="23">
        <f>IFERROR(__xludf.DUMMYFUNCTION("""COMPUTED_VALUE"""),35269.0)</f>
        <v>35269</v>
      </c>
      <c r="I9" s="27">
        <f>IFERROR(__xludf.DUMMYFUNCTION("""COMPUTED_VALUE"""),25.072222222222223)</f>
        <v>25.07222222</v>
      </c>
      <c r="J9" s="29">
        <f>IFERROR(__xludf.DUMMYFUNCTION("""COMPUTED_VALUE"""),94.0)</f>
        <v>94</v>
      </c>
      <c r="K9" s="29">
        <f>IFERROR(__xludf.DUMMYFUNCTION("""COMPUTED_VALUE"""),5.5)</f>
        <v>5.5</v>
      </c>
      <c r="L9" s="31" t="str">
        <f>IFERROR(__xludf.DUMMYFUNCTION("""COMPUTED_VALUE"""),"Shooter")</f>
        <v>Shooter</v>
      </c>
      <c r="M9" s="31"/>
    </row>
    <row r="10">
      <c r="A10" s="17" t="str">
        <f>IFERROR(__xludf.DUMMYFUNCTION("""COMPUTED_VALUE"""),"The Elder Scrolls IV: Oblivion")</f>
        <v>The Elder Scrolls IV: Oblivion</v>
      </c>
      <c r="B10" s="20" t="str">
        <f>IFERROR(__xludf.DUMMYFUNCTION("""COMPUTED_VALUE"""),"Xbox / PC")</f>
        <v>Xbox / PC</v>
      </c>
      <c r="C10" s="21" t="str">
        <f>IFERROR(__xludf.DUMMYFUNCTION("""COMPUTED_VALUE"""),"Yes")</f>
        <v>Yes</v>
      </c>
      <c r="D10" s="21" t="str">
        <f>IFERROR(__xludf.DUMMYFUNCTION("""COMPUTED_VALUE"""),"Active")</f>
        <v>Active</v>
      </c>
      <c r="E10" s="23">
        <f>IFERROR(__xludf.DUMMYFUNCTION("""COMPUTED_VALUE"""),43282.0)</f>
        <v>43282</v>
      </c>
      <c r="F10" s="24"/>
      <c r="G10" s="27">
        <f>IFERROR(__xludf.DUMMYFUNCTION("""COMPUTED_VALUE"""),99.16666666666667)</f>
        <v>99.16666667</v>
      </c>
      <c r="H10" s="23">
        <f>IFERROR(__xludf.DUMMYFUNCTION("""COMPUTED_VALUE"""),38796.0)</f>
        <v>38796</v>
      </c>
      <c r="I10" s="27">
        <f>IFERROR(__xludf.DUMMYFUNCTION("""COMPUTED_VALUE"""),12.280555555555555)</f>
        <v>12.28055556</v>
      </c>
      <c r="J10" s="29">
        <f>IFERROR(__xludf.DUMMYFUNCTION("""COMPUTED_VALUE"""),94.0)</f>
        <v>94</v>
      </c>
      <c r="K10" s="29">
        <f>IFERROR(__xludf.DUMMYFUNCTION("""COMPUTED_VALUE"""),27.5)</f>
        <v>27.5</v>
      </c>
      <c r="L10" s="31" t="str">
        <f>IFERROR(__xludf.DUMMYFUNCTION("""COMPUTED_VALUE"""),"RPG")</f>
        <v>RPG</v>
      </c>
      <c r="M10" s="31" t="str">
        <f>IFERROR(__xludf.DUMMYFUNCTION("""COMPUTED_VALUE"""),"FPS Boost")</f>
        <v>FPS Boost</v>
      </c>
    </row>
    <row r="11">
      <c r="A11" s="17" t="str">
        <f>IFERROR(__xludf.DUMMYFUNCTION("""COMPUTED_VALUE"""),"Gears of War")</f>
        <v>Gears of War</v>
      </c>
      <c r="B11" s="20" t="str">
        <f>IFERROR(__xludf.DUMMYFUNCTION("""COMPUTED_VALUE"""),"Xbox")</f>
        <v>Xbox</v>
      </c>
      <c r="C11" s="21"/>
      <c r="D11" s="21" t="str">
        <f>IFERROR(__xludf.DUMMYFUNCTION("""COMPUTED_VALUE"""),"Active")</f>
        <v>Active</v>
      </c>
      <c r="E11" s="23">
        <f>IFERROR(__xludf.DUMMYFUNCTION("""COMPUTED_VALUE"""),42887.0)</f>
        <v>42887</v>
      </c>
      <c r="F11" s="24"/>
      <c r="G11" s="27">
        <f>IFERROR(__xludf.DUMMYFUNCTION("""COMPUTED_VALUE"""),112.16666666666666)</f>
        <v>112.1666667</v>
      </c>
      <c r="H11" s="23">
        <f>IFERROR(__xludf.DUMMYFUNCTION("""COMPUTED_VALUE"""),39028.0)</f>
        <v>39028</v>
      </c>
      <c r="I11" s="27">
        <f>IFERROR(__xludf.DUMMYFUNCTION("""COMPUTED_VALUE"""),10.566666666666666)</f>
        <v>10.56666667</v>
      </c>
      <c r="J11" s="29">
        <f>IFERROR(__xludf.DUMMYFUNCTION("""COMPUTED_VALUE"""),94.0)</f>
        <v>94</v>
      </c>
      <c r="K11" s="29">
        <f>IFERROR(__xludf.DUMMYFUNCTION("""COMPUTED_VALUE"""),9.0)</f>
        <v>9</v>
      </c>
      <c r="L11" s="31" t="str">
        <f>IFERROR(__xludf.DUMMYFUNCTION("""COMPUTED_VALUE"""),"Shooter")</f>
        <v>Shooter</v>
      </c>
      <c r="M11" s="31" t="str">
        <f>IFERROR(__xludf.DUMMYFUNCTION("""COMPUTED_VALUE"""),"FPS Boost")</f>
        <v>FPS Boost</v>
      </c>
    </row>
    <row r="12">
      <c r="A12" s="17" t="str">
        <f>IFERROR(__xludf.DUMMYFUNCTION("""COMPUTED_VALUE"""),"Battlefield 3")</f>
        <v>Battlefield 3</v>
      </c>
      <c r="B12" s="20" t="str">
        <f>IFERROR(__xludf.DUMMYFUNCTION("""COMPUTED_VALUE"""),"XB360/OG Xbox")</f>
        <v>XB360/OG Xbox</v>
      </c>
      <c r="C12" s="21"/>
      <c r="D12" s="21" t="str">
        <f>IFERROR(__xludf.DUMMYFUNCTION("""COMPUTED_VALUE"""),"GwG Permanent")</f>
        <v>GwG Permanent</v>
      </c>
      <c r="E12" s="23">
        <f>IFERROR(__xludf.DUMMYFUNCTION("""COMPUTED_VALUE"""),42994.0)</f>
        <v>42994</v>
      </c>
      <c r="F12" s="24">
        <f>IFERROR(__xludf.DUMMYFUNCTION("""COMPUTED_VALUE"""),43008.0)</f>
        <v>43008</v>
      </c>
      <c r="G12" s="27">
        <f>IFERROR(__xludf.DUMMYFUNCTION("""COMPUTED_VALUE"""),0.4666666666666667)</f>
        <v>0.4666666667</v>
      </c>
      <c r="H12" s="23">
        <f>IFERROR(__xludf.DUMMYFUNCTION("""COMPUTED_VALUE"""),40841.0)</f>
        <v>40841</v>
      </c>
      <c r="I12" s="27">
        <f>IFERROR(__xludf.DUMMYFUNCTION("""COMPUTED_VALUE"""),5.891666666666667)</f>
        <v>5.891666667</v>
      </c>
      <c r="J12" s="29">
        <f>IFERROR(__xludf.DUMMYFUNCTION("""COMPUTED_VALUE"""),94.0)</f>
        <v>94</v>
      </c>
      <c r="K12" s="29">
        <f>IFERROR(__xludf.DUMMYFUNCTION("""COMPUTED_VALUE"""),7.0)</f>
        <v>7</v>
      </c>
      <c r="L12" s="31" t="str">
        <f>IFERROR(__xludf.DUMMYFUNCTION("""COMPUTED_VALUE"""),"Shooter")</f>
        <v>Shooter</v>
      </c>
      <c r="M12" s="31"/>
    </row>
    <row r="13">
      <c r="A13" s="17" t="str">
        <f>IFERROR(__xludf.DUMMYFUNCTION("""COMPUTED_VALUE"""),"BioShock Infinite")</f>
        <v>BioShock Infinite</v>
      </c>
      <c r="B13" s="20" t="str">
        <f>IFERROR(__xludf.DUMMYFUNCTION("""COMPUTED_VALUE"""),"XB360/OG Xbox")</f>
        <v>XB360/OG Xbox</v>
      </c>
      <c r="C13" s="21"/>
      <c r="D13" s="21" t="str">
        <f>IFERROR(__xludf.DUMMYFUNCTION("""COMPUTED_VALUE"""),"GwG Permanent")</f>
        <v>GwG Permanent</v>
      </c>
      <c r="E13" s="23">
        <f>IFERROR(__xludf.DUMMYFUNCTION("""COMPUTED_VALUE"""),42079.0)</f>
        <v>42079</v>
      </c>
      <c r="F13" s="24">
        <f>IFERROR(__xludf.DUMMYFUNCTION("""COMPUTED_VALUE"""),42094.0)</f>
        <v>42094</v>
      </c>
      <c r="G13" s="27">
        <f>IFERROR(__xludf.DUMMYFUNCTION("""COMPUTED_VALUE"""),0.4666666666666667)</f>
        <v>0.4666666667</v>
      </c>
      <c r="H13" s="23">
        <f>IFERROR(__xludf.DUMMYFUNCTION("""COMPUTED_VALUE"""),41359.0)</f>
        <v>41359</v>
      </c>
      <c r="I13" s="27">
        <f>IFERROR(__xludf.DUMMYFUNCTION("""COMPUTED_VALUE"""),1.9722222222222223)</f>
        <v>1.972222222</v>
      </c>
      <c r="J13" s="29">
        <f>IFERROR(__xludf.DUMMYFUNCTION("""COMPUTED_VALUE"""),94.0)</f>
        <v>94</v>
      </c>
      <c r="K13" s="29">
        <f>IFERROR(__xludf.DUMMYFUNCTION("""COMPUTED_VALUE"""),11.0)</f>
        <v>11</v>
      </c>
      <c r="L13" s="31" t="str">
        <f>IFERROR(__xludf.DUMMYFUNCTION("""COMPUTED_VALUE"""),"Action-Adventure")</f>
        <v>Action-Adventure</v>
      </c>
      <c r="M13" s="31"/>
    </row>
    <row r="14">
      <c r="A14" s="17" t="str">
        <f>IFERROR(__xludf.DUMMYFUNCTION("""COMPUTED_VALUE"""),"Halo 3")</f>
        <v>Halo 3</v>
      </c>
      <c r="B14" s="20" t="str">
        <f>IFERROR(__xludf.DUMMYFUNCTION("""COMPUTED_VALUE"""),"XB360/OG Xbox")</f>
        <v>XB360/OG Xbox</v>
      </c>
      <c r="C14" s="21"/>
      <c r="D14" s="21" t="str">
        <f>IFERROR(__xludf.DUMMYFUNCTION("""COMPUTED_VALUE"""),"GwG Permanent")</f>
        <v>GwG Permanent</v>
      </c>
      <c r="E14" s="23">
        <f>IFERROR(__xludf.DUMMYFUNCTION("""COMPUTED_VALUE"""),41563.0)</f>
        <v>41563</v>
      </c>
      <c r="F14" s="24">
        <f>IFERROR(__xludf.DUMMYFUNCTION("""COMPUTED_VALUE"""),41578.0)</f>
        <v>41578</v>
      </c>
      <c r="G14" s="27">
        <f>IFERROR(__xludf.DUMMYFUNCTION("""COMPUTED_VALUE"""),0.4666666666666667)</f>
        <v>0.4666666667</v>
      </c>
      <c r="H14" s="23">
        <f>IFERROR(__xludf.DUMMYFUNCTION("""COMPUTED_VALUE"""),39350.0)</f>
        <v>39350</v>
      </c>
      <c r="I14" s="27">
        <f>IFERROR(__xludf.DUMMYFUNCTION("""COMPUTED_VALUE"""),6.058333333333334)</f>
        <v>6.058333333</v>
      </c>
      <c r="J14" s="29">
        <f>IFERROR(__xludf.DUMMYFUNCTION("""COMPUTED_VALUE"""),94.0)</f>
        <v>94</v>
      </c>
      <c r="K14" s="29">
        <f>IFERROR(__xludf.DUMMYFUNCTION("""COMPUTED_VALUE"""),12.0)</f>
        <v>12</v>
      </c>
      <c r="L14" s="31" t="str">
        <f>IFERROR(__xludf.DUMMYFUNCTION("""COMPUTED_VALUE"""),"Shooter")</f>
        <v>Shooter</v>
      </c>
      <c r="M14" s="31" t="str">
        <f>IFERROR(__xludf.DUMMYFUNCTION("""COMPUTED_VALUE"""),"Enhanced")</f>
        <v>Enhanced</v>
      </c>
    </row>
    <row r="15">
      <c r="A15" s="17" t="str">
        <f>IFERROR(__xludf.DUMMYFUNCTION("""COMPUTED_VALUE"""),"Hades")</f>
        <v>Hades</v>
      </c>
      <c r="B15" s="20" t="str">
        <f>IFERROR(__xludf.DUMMYFUNCTION("""COMPUTED_VALUE"""),"Xbox / PC")</f>
        <v>Xbox / PC</v>
      </c>
      <c r="C15" s="21" t="str">
        <f>IFERROR(__xludf.DUMMYFUNCTION("""COMPUTED_VALUE"""),"Touch Controls")</f>
        <v>Touch Controls</v>
      </c>
      <c r="D15" s="21" t="str">
        <f>IFERROR(__xludf.DUMMYFUNCTION("""COMPUTED_VALUE"""),"Active")</f>
        <v>Active</v>
      </c>
      <c r="E15" s="23">
        <f>IFERROR(__xludf.DUMMYFUNCTION("""COMPUTED_VALUE"""),45919.0)</f>
        <v>45919</v>
      </c>
      <c r="F15" s="24"/>
      <c r="G15" s="27">
        <f>IFERROR(__xludf.DUMMYFUNCTION("""COMPUTED_VALUE"""),12.566666666666666)</f>
        <v>12.56666667</v>
      </c>
      <c r="H15" s="23">
        <f>IFERROR(__xludf.DUMMYFUNCTION("""COMPUTED_VALUE"""),43441.0)</f>
        <v>43441</v>
      </c>
      <c r="I15" s="27">
        <f>IFERROR(__xludf.DUMMYFUNCTION("""COMPUTED_VALUE"""),6.783333333333333)</f>
        <v>6.783333333</v>
      </c>
      <c r="J15" s="29">
        <f>IFERROR(__xludf.DUMMYFUNCTION("""COMPUTED_VALUE"""),93.5)</f>
        <v>93.5</v>
      </c>
      <c r="K15" s="29">
        <f>IFERROR(__xludf.DUMMYFUNCTION("""COMPUTED_VALUE"""),21.0)</f>
        <v>21</v>
      </c>
      <c r="L15" s="31" t="str">
        <f>IFERROR(__xludf.DUMMYFUNCTION("""COMPUTED_VALUE"""),"RPG")</f>
        <v>RPG</v>
      </c>
      <c r="M15" s="31" t="str">
        <f>IFERROR(__xludf.DUMMYFUNCTION("""COMPUTED_VALUE"""),"Optimized")</f>
        <v>Optimized</v>
      </c>
    </row>
    <row r="16">
      <c r="A16" s="17" t="str">
        <f>IFERROR(__xludf.DUMMYFUNCTION("""COMPUTED_VALUE"""),"Blue Prince")</f>
        <v>Blue Prince</v>
      </c>
      <c r="B16" s="20" t="str">
        <f>IFERROR(__xludf.DUMMYFUNCTION("""COMPUTED_VALUE"""),"Xbox / PC")</f>
        <v>Xbox / PC</v>
      </c>
      <c r="C16" s="21" t="str">
        <f>IFERROR(__xludf.DUMMYFUNCTION("""COMPUTED_VALUE"""),"Yes")</f>
        <v>Yes</v>
      </c>
      <c r="D16" s="21" t="str">
        <f>IFERROR(__xludf.DUMMYFUNCTION("""COMPUTED_VALUE"""),"Active")</f>
        <v>Active</v>
      </c>
      <c r="E16" s="23">
        <f>IFERROR(__xludf.DUMMYFUNCTION("""COMPUTED_VALUE"""),45757.0)</f>
        <v>45757</v>
      </c>
      <c r="F16" s="24"/>
      <c r="G16" s="27">
        <f>IFERROR(__xludf.DUMMYFUNCTION("""COMPUTED_VALUE"""),17.866666666666667)</f>
        <v>17.86666667</v>
      </c>
      <c r="H16" s="23">
        <f>IFERROR(__xludf.DUMMYFUNCTION("""COMPUTED_VALUE"""),45757.0)</f>
        <v>45757</v>
      </c>
      <c r="I16" s="27">
        <f>IFERROR(__xludf.DUMMYFUNCTION("""COMPUTED_VALUE"""),0.0)</f>
        <v>0</v>
      </c>
      <c r="J16" s="29">
        <f>IFERROR(__xludf.DUMMYFUNCTION("""COMPUTED_VALUE"""),93.0)</f>
        <v>93</v>
      </c>
      <c r="K16" s="29">
        <f>IFERROR(__xludf.DUMMYFUNCTION("""COMPUTED_VALUE"""),14.0)</f>
        <v>14</v>
      </c>
      <c r="L16" s="31" t="str">
        <f>IFERROR(__xludf.DUMMYFUNCTION("""COMPUTED_VALUE"""),"Action-Adventure")</f>
        <v>Action-Adventure</v>
      </c>
      <c r="M16" s="31" t="str">
        <f>IFERROR(__xludf.DUMMYFUNCTION("""COMPUTED_VALUE"""),"Exclusive")</f>
        <v>Exclusive</v>
      </c>
    </row>
    <row r="17">
      <c r="A17" s="17" t="str">
        <f>IFERROR(__xludf.DUMMYFUNCTION("""COMPUTED_VALUE"""),"Inside")</f>
        <v>Inside</v>
      </c>
      <c r="B17" s="20" t="str">
        <f>IFERROR(__xludf.DUMMYFUNCTION("""COMPUTED_VALUE"""),"Xbox / PC")</f>
        <v>Xbox / PC</v>
      </c>
      <c r="C17" s="21" t="str">
        <f>IFERROR(__xludf.DUMMYFUNCTION("""COMPUTED_VALUE"""),"Yes")</f>
        <v>Yes</v>
      </c>
      <c r="D17" s="21" t="str">
        <f>IFERROR(__xludf.DUMMYFUNCTION("""COMPUTED_VALUE"""),"Active")</f>
        <v>Active</v>
      </c>
      <c r="E17" s="23">
        <f>IFERROR(__xludf.DUMMYFUNCTION("""COMPUTED_VALUE"""),44763.0)</f>
        <v>44763</v>
      </c>
      <c r="F17" s="24"/>
      <c r="G17" s="27">
        <f>IFERROR(__xludf.DUMMYFUNCTION("""COMPUTED_VALUE"""),50.5)</f>
        <v>50.5</v>
      </c>
      <c r="H17" s="23">
        <f>IFERROR(__xludf.DUMMYFUNCTION("""COMPUTED_VALUE"""),42550.0)</f>
        <v>42550</v>
      </c>
      <c r="I17" s="27">
        <f>IFERROR(__xludf.DUMMYFUNCTION("""COMPUTED_VALUE"""),6.061111111111111)</f>
        <v>6.061111111</v>
      </c>
      <c r="J17" s="29">
        <f>IFERROR(__xludf.DUMMYFUNCTION("""COMPUTED_VALUE"""),93.0)</f>
        <v>93</v>
      </c>
      <c r="K17" s="29">
        <f>IFERROR(__xludf.DUMMYFUNCTION("""COMPUTED_VALUE"""),3.5)</f>
        <v>3.5</v>
      </c>
      <c r="L17" s="31" t="str">
        <f>IFERROR(__xludf.DUMMYFUNCTION("""COMPUTED_VALUE"""),"Platformer")</f>
        <v>Platformer</v>
      </c>
      <c r="M17" s="31"/>
    </row>
    <row r="18">
      <c r="A18" s="17" t="str">
        <f>IFERROR(__xludf.DUMMYFUNCTION("""COMPUTED_VALUE"""),"Mass Effect 3: N7 Digital Deluxe Edition")</f>
        <v>Mass Effect 3: N7 Digital Deluxe Edition</v>
      </c>
      <c r="B18" s="20" t="str">
        <f>IFERROR(__xludf.DUMMYFUNCTION("""COMPUTED_VALUE"""),"Xbox / PC")</f>
        <v>Xbox / PC</v>
      </c>
      <c r="C18" s="21"/>
      <c r="D18" s="21" t="str">
        <f>IFERROR(__xludf.DUMMYFUNCTION("""COMPUTED_VALUE"""),"Active")</f>
        <v>Active</v>
      </c>
      <c r="E18" s="23">
        <f>IFERROR(__xludf.DUMMYFUNCTION("""COMPUTED_VALUE"""),44145.0)</f>
        <v>44145</v>
      </c>
      <c r="F18" s="24"/>
      <c r="G18" s="27">
        <f>IFERROR(__xludf.DUMMYFUNCTION("""COMPUTED_VALUE"""),70.86666666666667)</f>
        <v>70.86666667</v>
      </c>
      <c r="H18" s="23">
        <f>IFERROR(__xludf.DUMMYFUNCTION("""COMPUTED_VALUE"""),40974.0)</f>
        <v>40974</v>
      </c>
      <c r="I18" s="27">
        <f>IFERROR(__xludf.DUMMYFUNCTION("""COMPUTED_VALUE"""),8.677777777777777)</f>
        <v>8.677777778</v>
      </c>
      <c r="J18" s="29">
        <f>IFERROR(__xludf.DUMMYFUNCTION("""COMPUTED_VALUE"""),93.0)</f>
        <v>93</v>
      </c>
      <c r="K18" s="29">
        <f>IFERROR(__xludf.DUMMYFUNCTION("""COMPUTED_VALUE"""),24.0)</f>
        <v>24</v>
      </c>
      <c r="L18" s="31" t="str">
        <f>IFERROR(__xludf.DUMMYFUNCTION("""COMPUTED_VALUE"""),"Shooter")</f>
        <v>Shooter</v>
      </c>
      <c r="M18" s="31"/>
    </row>
    <row r="19">
      <c r="A19" s="17" t="str">
        <f>IFERROR(__xludf.DUMMYFUNCTION("""COMPUTED_VALUE"""),"Fallout 3: Game of the Year Edition")</f>
        <v>Fallout 3: Game of the Year Edition</v>
      </c>
      <c r="B19" s="20" t="str">
        <f>IFERROR(__xludf.DUMMYFUNCTION("""COMPUTED_VALUE"""),"Xbox / PC")</f>
        <v>Xbox / PC</v>
      </c>
      <c r="C19" s="21" t="str">
        <f>IFERROR(__xludf.DUMMYFUNCTION("""COMPUTED_VALUE"""),"Yes")</f>
        <v>Yes</v>
      </c>
      <c r="D19" s="21" t="str">
        <f>IFERROR(__xludf.DUMMYFUNCTION("""COMPUTED_VALUE"""),"Active")</f>
        <v>Active</v>
      </c>
      <c r="E19" s="23">
        <f>IFERROR(__xludf.DUMMYFUNCTION("""COMPUTED_VALUE"""),43282.0)</f>
        <v>43282</v>
      </c>
      <c r="F19" s="24"/>
      <c r="G19" s="27">
        <f>IFERROR(__xludf.DUMMYFUNCTION("""COMPUTED_VALUE"""),99.16666666666667)</f>
        <v>99.16666667</v>
      </c>
      <c r="H19" s="23">
        <f>IFERROR(__xludf.DUMMYFUNCTION("""COMPUTED_VALUE"""),39749.0)</f>
        <v>39749</v>
      </c>
      <c r="I19" s="27">
        <f>IFERROR(__xludf.DUMMYFUNCTION("""COMPUTED_VALUE"""),9.675)</f>
        <v>9.675</v>
      </c>
      <c r="J19" s="29">
        <f>IFERROR(__xludf.DUMMYFUNCTION("""COMPUTED_VALUE"""),93.0)</f>
        <v>93</v>
      </c>
      <c r="K19" s="29">
        <f>IFERROR(__xludf.DUMMYFUNCTION("""COMPUTED_VALUE"""),22.5)</f>
        <v>22.5</v>
      </c>
      <c r="L19" s="31" t="str">
        <f>IFERROR(__xludf.DUMMYFUNCTION("""COMPUTED_VALUE"""),"Shooter")</f>
        <v>Shooter</v>
      </c>
      <c r="M19" s="31" t="str">
        <f>IFERROR(__xludf.DUMMYFUNCTION("""COMPUTED_VALUE"""),"FPS Boost")</f>
        <v>FPS Boost</v>
      </c>
    </row>
    <row r="20">
      <c r="A20" s="17" t="str">
        <f>IFERROR(__xludf.DUMMYFUNCTION("""COMPUTED_VALUE"""),"Gears of War 2")</f>
        <v>Gears of War 2</v>
      </c>
      <c r="B20" s="20" t="str">
        <f>IFERROR(__xludf.DUMMYFUNCTION("""COMPUTED_VALUE"""),"Xbox")</f>
        <v>Xbox</v>
      </c>
      <c r="C20" s="21" t="str">
        <f>IFERROR(__xludf.DUMMYFUNCTION("""COMPUTED_VALUE"""),"Yes")</f>
        <v>Yes</v>
      </c>
      <c r="D20" s="21" t="str">
        <f>IFERROR(__xludf.DUMMYFUNCTION("""COMPUTED_VALUE"""),"Active")</f>
        <v>Active</v>
      </c>
      <c r="E20" s="23">
        <f>IFERROR(__xludf.DUMMYFUNCTION("""COMPUTED_VALUE"""),42887.0)</f>
        <v>42887</v>
      </c>
      <c r="F20" s="24"/>
      <c r="G20" s="27">
        <f>IFERROR(__xludf.DUMMYFUNCTION("""COMPUTED_VALUE"""),112.16666666666666)</f>
        <v>112.1666667</v>
      </c>
      <c r="H20" s="23">
        <f>IFERROR(__xludf.DUMMYFUNCTION("""COMPUTED_VALUE"""),39759.0)</f>
        <v>39759</v>
      </c>
      <c r="I20" s="27">
        <f>IFERROR(__xludf.DUMMYFUNCTION("""COMPUTED_VALUE"""),8.566666666666666)</f>
        <v>8.566666667</v>
      </c>
      <c r="J20" s="29">
        <f>IFERROR(__xludf.DUMMYFUNCTION("""COMPUTED_VALUE"""),93.0)</f>
        <v>93</v>
      </c>
      <c r="K20" s="29">
        <f>IFERROR(__xludf.DUMMYFUNCTION("""COMPUTED_VALUE"""),10.0)</f>
        <v>10</v>
      </c>
      <c r="L20" s="31" t="str">
        <f>IFERROR(__xludf.DUMMYFUNCTION("""COMPUTED_VALUE"""),"Shooter")</f>
        <v>Shooter</v>
      </c>
      <c r="M20" s="31" t="str">
        <f>IFERROR(__xludf.DUMMYFUNCTION("""COMPUTED_VALUE"""),"FPS Boost")</f>
        <v>FPS Boost</v>
      </c>
    </row>
    <row r="21">
      <c r="A21" s="17" t="str">
        <f>IFERROR(__xludf.DUMMYFUNCTION("""COMPUTED_VALUE"""),"Forza Horizon 6")</f>
        <v>Forza Horizon 6</v>
      </c>
      <c r="B21" s="20" t="str">
        <f>IFERROR(__xludf.DUMMYFUNCTION("""COMPUTED_VALUE"""),"Xbox / PC")</f>
        <v>Xbox / PC</v>
      </c>
      <c r="C21" s="21" t="str">
        <f>IFERROR(__xludf.DUMMYFUNCTION("""COMPUTED_VALUE"""),"Yes")</f>
        <v>Yes</v>
      </c>
      <c r="D21" s="21" t="str">
        <f>IFERROR(__xludf.DUMMYFUNCTION("""COMPUTED_VALUE"""),"Active")</f>
        <v>Active</v>
      </c>
      <c r="E21" s="23">
        <f>IFERROR(__xludf.DUMMYFUNCTION("""COMPUTED_VALUE"""),46161.0)</f>
        <v>46161</v>
      </c>
      <c r="F21" s="24"/>
      <c r="G21" s="27">
        <f>IFERROR(__xludf.DUMMYFUNCTION("""COMPUTED_VALUE"""),4.566666666666666)</f>
        <v>4.566666667</v>
      </c>
      <c r="H21" s="23">
        <f>IFERROR(__xludf.DUMMYFUNCTION("""COMPUTED_VALUE"""),46161.0)</f>
        <v>46161</v>
      </c>
      <c r="I21" s="27">
        <f>IFERROR(__xludf.DUMMYFUNCTION("""COMPUTED_VALUE"""),0.0)</f>
        <v>0</v>
      </c>
      <c r="J21" s="29">
        <f>IFERROR(__xludf.DUMMYFUNCTION("""COMPUTED_VALUE"""),92.0)</f>
        <v>92</v>
      </c>
      <c r="K21" s="29">
        <f>IFERROR(__xludf.DUMMYFUNCTION("""COMPUTED_VALUE"""),17.0)</f>
        <v>17</v>
      </c>
      <c r="L21" s="31" t="str">
        <f>IFERROR(__xludf.DUMMYFUNCTION("""COMPUTED_VALUE"""),"Racing")</f>
        <v>Racing</v>
      </c>
      <c r="M21" s="31" t="str">
        <f>IFERROR(__xludf.DUMMYFUNCTION("""COMPUTED_VALUE"""),"Exclusive")</f>
        <v>Exclusive</v>
      </c>
    </row>
    <row r="22">
      <c r="A22" s="17" t="str">
        <f>IFERROR(__xludf.DUMMYFUNCTION("""COMPUTED_VALUE"""),"Rayman Legends")</f>
        <v>Rayman Legends</v>
      </c>
      <c r="B22" s="20" t="str">
        <f>IFERROR(__xludf.DUMMYFUNCTION("""COMPUTED_VALUE"""),"Xbox / PC")</f>
        <v>Xbox / PC</v>
      </c>
      <c r="C22" s="21" t="str">
        <f>IFERROR(__xludf.DUMMYFUNCTION("""COMPUTED_VALUE"""),"Yes")</f>
        <v>Yes</v>
      </c>
      <c r="D22" s="21" t="str">
        <f>IFERROR(__xludf.DUMMYFUNCTION("""COMPUTED_VALUE"""),"Active")</f>
        <v>Active</v>
      </c>
      <c r="E22" s="23">
        <f>IFERROR(__xludf.DUMMYFUNCTION("""COMPUTED_VALUE"""),45931.0)</f>
        <v>45931</v>
      </c>
      <c r="F22" s="24"/>
      <c r="G22" s="27">
        <f>IFERROR(__xludf.DUMMYFUNCTION("""COMPUTED_VALUE"""),12.166666666666666)</f>
        <v>12.16666667</v>
      </c>
      <c r="H22" s="23">
        <f>IFERROR(__xludf.DUMMYFUNCTION("""COMPUTED_VALUE"""),41520.0)</f>
        <v>41520</v>
      </c>
      <c r="I22" s="27">
        <f>IFERROR(__xludf.DUMMYFUNCTION("""COMPUTED_VALUE"""),12.077777777777778)</f>
        <v>12.07777778</v>
      </c>
      <c r="J22" s="29">
        <f>IFERROR(__xludf.DUMMYFUNCTION("""COMPUTED_VALUE"""),92.0)</f>
        <v>92</v>
      </c>
      <c r="K22" s="29">
        <f>IFERROR(__xludf.DUMMYFUNCTION("""COMPUTED_VALUE"""),10.0)</f>
        <v>10</v>
      </c>
      <c r="L22" s="31" t="str">
        <f>IFERROR(__xludf.DUMMYFUNCTION("""COMPUTED_VALUE"""),"Platformer")</f>
        <v>Platformer</v>
      </c>
      <c r="M22" s="31"/>
    </row>
    <row r="23">
      <c r="A23" s="17" t="str">
        <f>IFERROR(__xludf.DUMMYFUNCTION("""COMPUTED_VALUE"""),"Oystron")</f>
        <v>Oystron</v>
      </c>
      <c r="B23" s="20" t="str">
        <f>IFERROR(__xludf.DUMMYFUNCTION("""COMPUTED_VALUE"""),"Xbox / PC")</f>
        <v>Xbox / PC</v>
      </c>
      <c r="C23" s="21" t="str">
        <f>IFERROR(__xludf.DUMMYFUNCTION("""COMPUTED_VALUE"""),"Yes")</f>
        <v>Yes</v>
      </c>
      <c r="D23" s="21" t="str">
        <f>IFERROR(__xludf.DUMMYFUNCTION("""COMPUTED_VALUE"""),"Active")</f>
        <v>Active</v>
      </c>
      <c r="E23" s="23">
        <f>IFERROR(__xludf.DUMMYFUNCTION("""COMPUTED_VALUE"""),45883.0)</f>
        <v>45883</v>
      </c>
      <c r="F23" s="24"/>
      <c r="G23" s="27">
        <f>IFERROR(__xludf.DUMMYFUNCTION("""COMPUTED_VALUE"""),13.733333333333333)</f>
        <v>13.73333333</v>
      </c>
      <c r="H23" s="23">
        <f>IFERROR(__xludf.DUMMYFUNCTION("""COMPUTED_VALUE"""),35431.0)</f>
        <v>35431</v>
      </c>
      <c r="I23" s="27">
        <f>IFERROR(__xludf.DUMMYFUNCTION("""COMPUTED_VALUE"""),28.619444444444444)</f>
        <v>28.61944444</v>
      </c>
      <c r="J23" s="29">
        <f>IFERROR(__xludf.DUMMYFUNCTION("""COMPUTED_VALUE"""),92.0)</f>
        <v>92</v>
      </c>
      <c r="K23" s="29"/>
      <c r="L23" s="31" t="str">
        <f>IFERROR(__xludf.DUMMYFUNCTION("""COMPUTED_VALUE"""),"Action")</f>
        <v>Action</v>
      </c>
      <c r="M23" s="31"/>
    </row>
    <row r="24">
      <c r="A24" s="17" t="str">
        <f>IFERROR(__xludf.DUMMYFUNCTION("""COMPUTED_VALUE"""),"Microsoft Flight Simulator (2020): Game of the Year Edition")</f>
        <v>Microsoft Flight Simulator (2020): Game of the Year Edition</v>
      </c>
      <c r="B24" s="20" t="str">
        <f>IFERROR(__xludf.DUMMYFUNCTION("""COMPUTED_VALUE"""),"Xbox / PC")</f>
        <v>Xbox / PC</v>
      </c>
      <c r="C24" s="21" t="str">
        <f>IFERROR(__xludf.DUMMYFUNCTION("""COMPUTED_VALUE"""),"Yes")</f>
        <v>Yes</v>
      </c>
      <c r="D24" s="21" t="str">
        <f>IFERROR(__xludf.DUMMYFUNCTION("""COMPUTED_VALUE"""),"Active")</f>
        <v>Active</v>
      </c>
      <c r="E24" s="23">
        <f>IFERROR(__xludf.DUMMYFUNCTION("""COMPUTED_VALUE"""),44061.0)</f>
        <v>44061</v>
      </c>
      <c r="F24" s="24"/>
      <c r="G24" s="27">
        <f>IFERROR(__xludf.DUMMYFUNCTION("""COMPUTED_VALUE"""),73.60000000000001)</f>
        <v>73.6</v>
      </c>
      <c r="H24" s="23">
        <f>IFERROR(__xludf.DUMMYFUNCTION("""COMPUTED_VALUE"""),44061.0)</f>
        <v>44061</v>
      </c>
      <c r="I24" s="27">
        <f>IFERROR(__xludf.DUMMYFUNCTION("""COMPUTED_VALUE"""),0.0)</f>
        <v>0</v>
      </c>
      <c r="J24" s="29">
        <f>IFERROR(__xludf.DUMMYFUNCTION("""COMPUTED_VALUE"""),92.0)</f>
        <v>92</v>
      </c>
      <c r="K24" s="29">
        <f>IFERROR(__xludf.DUMMYFUNCTION("""COMPUTED_VALUE"""),41.5)</f>
        <v>41.5</v>
      </c>
      <c r="L24" s="31" t="str">
        <f>IFERROR(__xludf.DUMMYFUNCTION("""COMPUTED_VALUE"""),"Flight")</f>
        <v>Flight</v>
      </c>
      <c r="M24" s="31" t="str">
        <f>IFERROR(__xludf.DUMMYFUNCTION("""COMPUTED_VALUE"""),"Exclusive, Optimized")</f>
        <v>Exclusive, Optimized</v>
      </c>
    </row>
    <row r="25">
      <c r="A25" s="17" t="str">
        <f>IFERROR(__xludf.DUMMYFUNCTION("""COMPUTED_VALUE"""),"Clair Obscur: Expedition 33")</f>
        <v>Clair Obscur: Expedition 33</v>
      </c>
      <c r="B25" s="20" t="str">
        <f>IFERROR(__xludf.DUMMYFUNCTION("""COMPUTED_VALUE"""),"Xbox / PC")</f>
        <v>Xbox / PC</v>
      </c>
      <c r="C25" s="21" t="str">
        <f>IFERROR(__xludf.DUMMYFUNCTION("""COMPUTED_VALUE"""),"Yes")</f>
        <v>Yes</v>
      </c>
      <c r="D25" s="21" t="str">
        <f>IFERROR(__xludf.DUMMYFUNCTION("""COMPUTED_VALUE"""),"Leaving Soon")</f>
        <v>Leaving Soon</v>
      </c>
      <c r="E25" s="23">
        <f>IFERROR(__xludf.DUMMYFUNCTION("""COMPUTED_VALUE"""),45771.0)</f>
        <v>45771</v>
      </c>
      <c r="F25" s="24">
        <f>IFERROR(__xludf.DUMMYFUNCTION("""COMPUTED_VALUE"""),46310.0)</f>
        <v>46310</v>
      </c>
      <c r="G25" s="27">
        <f>IFERROR(__xludf.DUMMYFUNCTION("""COMPUTED_VALUE"""),17.700000000000003)</f>
        <v>17.7</v>
      </c>
      <c r="H25" s="23">
        <f>IFERROR(__xludf.DUMMYFUNCTION("""COMPUTED_VALUE"""),45771.0)</f>
        <v>45771</v>
      </c>
      <c r="I25" s="27">
        <f>IFERROR(__xludf.DUMMYFUNCTION("""COMPUTED_VALUE"""),0.0)</f>
        <v>0</v>
      </c>
      <c r="J25" s="29">
        <f>IFERROR(__xludf.DUMMYFUNCTION("""COMPUTED_VALUE"""),92.0)</f>
        <v>92</v>
      </c>
      <c r="K25" s="29">
        <f>IFERROR(__xludf.DUMMYFUNCTION("""COMPUTED_VALUE"""),26.0)</f>
        <v>26</v>
      </c>
      <c r="L25" s="31" t="str">
        <f>IFERROR(__xludf.DUMMYFUNCTION("""COMPUTED_VALUE"""),"RPG")</f>
        <v>RPG</v>
      </c>
      <c r="M25" s="31" t="str">
        <f>IFERROR(__xludf.DUMMYFUNCTION("""COMPUTED_VALUE"""),"Exclusive")</f>
        <v>Exclusive</v>
      </c>
    </row>
    <row r="26">
      <c r="A26" s="17" t="str">
        <f>IFERROR(__xludf.DUMMYFUNCTION("""COMPUTED_VALUE"""),"Castlevania: Symphony of the Night")</f>
        <v>Castlevania: Symphony of the Night</v>
      </c>
      <c r="B26" s="20" t="str">
        <f>IFERROR(__xludf.DUMMYFUNCTION("""COMPUTED_VALUE"""),"XB360/OG Xbox")</f>
        <v>XB360/OG Xbox</v>
      </c>
      <c r="C26" s="21"/>
      <c r="D26" s="21" t="str">
        <f>IFERROR(__xludf.DUMMYFUNCTION("""COMPUTED_VALUE"""),"GwG Permanent")</f>
        <v>GwG Permanent</v>
      </c>
      <c r="E26" s="23">
        <f>IFERROR(__xludf.DUMMYFUNCTION("""COMPUTED_VALUE"""),43647.0)</f>
        <v>43647</v>
      </c>
      <c r="F26" s="24">
        <f>IFERROR(__xludf.DUMMYFUNCTION("""COMPUTED_VALUE"""),43661.0)</f>
        <v>43661</v>
      </c>
      <c r="G26" s="27">
        <f>IFERROR(__xludf.DUMMYFUNCTION("""COMPUTED_VALUE"""),0.4666666666666667)</f>
        <v>0.4666666667</v>
      </c>
      <c r="H26" s="23">
        <f>IFERROR(__xludf.DUMMYFUNCTION("""COMPUTED_VALUE"""),35509.0)</f>
        <v>35509</v>
      </c>
      <c r="I26" s="27">
        <f>IFERROR(__xludf.DUMMYFUNCTION("""COMPUTED_VALUE"""),22.280555555555555)</f>
        <v>22.28055556</v>
      </c>
      <c r="J26" s="29">
        <f>IFERROR(__xludf.DUMMYFUNCTION("""COMPUTED_VALUE"""),92.0)</f>
        <v>92</v>
      </c>
      <c r="K26" s="29">
        <f>IFERROR(__xludf.DUMMYFUNCTION("""COMPUTED_VALUE"""),7.0)</f>
        <v>7</v>
      </c>
      <c r="L26" s="31" t="str">
        <f>IFERROR(__xludf.DUMMYFUNCTION("""COMPUTED_VALUE"""),"Action-Adventure")</f>
        <v>Action-Adventure</v>
      </c>
      <c r="M26" s="31"/>
    </row>
    <row r="27">
      <c r="A27" s="17" t="str">
        <f>IFERROR(__xludf.DUMMYFUNCTION("""COMPUTED_VALUE"""),"Forza Horizon 5")</f>
        <v>Forza Horizon 5</v>
      </c>
      <c r="B27" s="20" t="str">
        <f>IFERROR(__xludf.DUMMYFUNCTION("""COMPUTED_VALUE"""),"Xbox / PC")</f>
        <v>Xbox / PC</v>
      </c>
      <c r="C27" s="21" t="str">
        <f>IFERROR(__xludf.DUMMYFUNCTION("""COMPUTED_VALUE"""),"Yes")</f>
        <v>Yes</v>
      </c>
      <c r="D27" s="21" t="str">
        <f>IFERROR(__xludf.DUMMYFUNCTION("""COMPUTED_VALUE"""),"Active")</f>
        <v>Active</v>
      </c>
      <c r="E27" s="23">
        <f>IFERROR(__xludf.DUMMYFUNCTION("""COMPUTED_VALUE"""),44509.0)</f>
        <v>44509</v>
      </c>
      <c r="F27" s="24"/>
      <c r="G27" s="27">
        <f>IFERROR(__xludf.DUMMYFUNCTION("""COMPUTED_VALUE"""),58.9)</f>
        <v>58.9</v>
      </c>
      <c r="H27" s="23">
        <f>IFERROR(__xludf.DUMMYFUNCTION("""COMPUTED_VALUE"""),44509.0)</f>
        <v>44509</v>
      </c>
      <c r="I27" s="27">
        <f>IFERROR(__xludf.DUMMYFUNCTION("""COMPUTED_VALUE"""),0.0)</f>
        <v>0</v>
      </c>
      <c r="J27" s="29">
        <f>IFERROR(__xludf.DUMMYFUNCTION("""COMPUTED_VALUE"""),91.5)</f>
        <v>91.5</v>
      </c>
      <c r="K27" s="29">
        <f>IFERROR(__xludf.DUMMYFUNCTION("""COMPUTED_VALUE"""),17.0)</f>
        <v>17</v>
      </c>
      <c r="L27" s="31" t="str">
        <f>IFERROR(__xludf.DUMMYFUNCTION("""COMPUTED_VALUE"""),"Racing")</f>
        <v>Racing</v>
      </c>
      <c r="M27" s="31"/>
    </row>
    <row r="28">
      <c r="A28" s="17" t="str">
        <f>IFERROR(__xludf.DUMMYFUNCTION("""COMPUTED_VALUE"""),"Disco Elysium")</f>
        <v>Disco Elysium</v>
      </c>
      <c r="B28" s="20" t="str">
        <f>IFERROR(__xludf.DUMMYFUNCTION("""COMPUTED_VALUE"""),"Xbox / PC")</f>
        <v>Xbox / PC</v>
      </c>
      <c r="C28" s="21" t="str">
        <f>IFERROR(__xludf.DUMMYFUNCTION("""COMPUTED_VALUE"""),"Yes")</f>
        <v>Yes</v>
      </c>
      <c r="D28" s="21" t="str">
        <f>IFERROR(__xludf.DUMMYFUNCTION("""COMPUTED_VALUE"""),"Active")</f>
        <v>Active</v>
      </c>
      <c r="E28" s="23">
        <f>IFERROR(__xludf.DUMMYFUNCTION("""COMPUTED_VALUE"""),46100.0)</f>
        <v>46100</v>
      </c>
      <c r="F28" s="24"/>
      <c r="G28" s="27">
        <f>IFERROR(__xludf.DUMMYFUNCTION("""COMPUTED_VALUE"""),6.566666666666667)</f>
        <v>6.566666667</v>
      </c>
      <c r="H28" s="23">
        <f>IFERROR(__xludf.DUMMYFUNCTION("""COMPUTED_VALUE"""),43753.0)</f>
        <v>43753</v>
      </c>
      <c r="I28" s="27">
        <f>IFERROR(__xludf.DUMMYFUNCTION("""COMPUTED_VALUE"""),6.427777777777778)</f>
        <v>6.427777778</v>
      </c>
      <c r="J28" s="29">
        <f>IFERROR(__xludf.DUMMYFUNCTION("""COMPUTED_VALUE"""),91.0)</f>
        <v>91</v>
      </c>
      <c r="K28" s="29">
        <f>IFERROR(__xludf.DUMMYFUNCTION("""COMPUTED_VALUE"""),23.0)</f>
        <v>23</v>
      </c>
      <c r="L28" s="31" t="str">
        <f>IFERROR(__xludf.DUMMYFUNCTION("""COMPUTED_VALUE"""),"RPG")</f>
        <v>RPG</v>
      </c>
      <c r="M28" s="31" t="str">
        <f>IFERROR(__xludf.DUMMYFUNCTION("""COMPUTED_VALUE"""),"Exclusive")</f>
        <v>Exclusive</v>
      </c>
    </row>
    <row r="29">
      <c r="A29" s="17" t="str">
        <f>IFERROR(__xludf.DUMMYFUNCTION("""COMPUTED_VALUE"""),"Conquests of the Longbow: The Legend of Robin Hood")</f>
        <v>Conquests of the Longbow: The Legend of Robin Hood</v>
      </c>
      <c r="B29" s="20" t="str">
        <f>IFERROR(__xludf.DUMMYFUNCTION("""COMPUTED_VALUE"""),"Xbox / PC")</f>
        <v>Xbox / PC</v>
      </c>
      <c r="C29" s="21" t="str">
        <f>IFERROR(__xludf.DUMMYFUNCTION("""COMPUTED_VALUE"""),"Yes")</f>
        <v>Yes</v>
      </c>
      <c r="D29" s="21" t="str">
        <f>IFERROR(__xludf.DUMMYFUNCTION("""COMPUTED_VALUE"""),"Active")</f>
        <v>Active</v>
      </c>
      <c r="E29" s="23">
        <f>IFERROR(__xludf.DUMMYFUNCTION("""COMPUTED_VALUE"""),45798.0)</f>
        <v>45798</v>
      </c>
      <c r="F29" s="24"/>
      <c r="G29" s="27">
        <f>IFERROR(__xludf.DUMMYFUNCTION("""COMPUTED_VALUE"""),16.5)</f>
        <v>16.5</v>
      </c>
      <c r="H29" s="23">
        <f>IFERROR(__xludf.DUMMYFUNCTION("""COMPUTED_VALUE"""),33616.0)</f>
        <v>33616</v>
      </c>
      <c r="I29" s="27">
        <f>IFERROR(__xludf.DUMMYFUNCTION("""COMPUTED_VALUE"""),33.355555555555554)</f>
        <v>33.35555556</v>
      </c>
      <c r="J29" s="29">
        <f>IFERROR(__xludf.DUMMYFUNCTION("""COMPUTED_VALUE"""),91.0)</f>
        <v>91</v>
      </c>
      <c r="K29" s="29">
        <f>IFERROR(__xludf.DUMMYFUNCTION("""COMPUTED_VALUE"""),6.0)</f>
        <v>6</v>
      </c>
      <c r="L29" s="31" t="str">
        <f>IFERROR(__xludf.DUMMYFUNCTION("""COMPUTED_VALUE"""),"Action‑Adventure")</f>
        <v>Action‑Adventure</v>
      </c>
      <c r="M29" s="31"/>
    </row>
    <row r="30">
      <c r="A30" s="17" t="str">
        <f>IFERROR(__xludf.DUMMYFUNCTION("""COMPUTED_VALUE"""),"Resident Evil 2 (2019)")</f>
        <v>Resident Evil 2 (2019)</v>
      </c>
      <c r="B30" s="20" t="str">
        <f>IFERROR(__xludf.DUMMYFUNCTION("""COMPUTED_VALUE"""),"Xbox / PC")</f>
        <v>Xbox / PC</v>
      </c>
      <c r="C30" s="21" t="str">
        <f>IFERROR(__xludf.DUMMYFUNCTION("""COMPUTED_VALUE"""),"Yes")</f>
        <v>Yes</v>
      </c>
      <c r="D30" s="21" t="str">
        <f>IFERROR(__xludf.DUMMYFUNCTION("""COMPUTED_VALUE"""),"Active")</f>
        <v>Active</v>
      </c>
      <c r="E30" s="23">
        <f>IFERROR(__xludf.DUMMYFUNCTION("""COMPUTED_VALUE"""),45307.0)</f>
        <v>45307</v>
      </c>
      <c r="F30" s="24"/>
      <c r="G30" s="27">
        <f>IFERROR(__xludf.DUMMYFUNCTION("""COMPUTED_VALUE"""),32.66666666666667)</f>
        <v>32.66666667</v>
      </c>
      <c r="H30" s="23">
        <f>IFERROR(__xludf.DUMMYFUNCTION("""COMPUTED_VALUE"""),43480.0)</f>
        <v>43480</v>
      </c>
      <c r="I30" s="27">
        <f>IFERROR(__xludf.DUMMYFUNCTION("""COMPUTED_VALUE"""),5.002777777777778)</f>
        <v>5.002777778</v>
      </c>
      <c r="J30" s="29">
        <f>IFERROR(__xludf.DUMMYFUNCTION("""COMPUTED_VALUE"""),91.0)</f>
        <v>91</v>
      </c>
      <c r="K30" s="29">
        <f>IFERROR(__xludf.DUMMYFUNCTION("""COMPUTED_VALUE"""),9.0)</f>
        <v>9</v>
      </c>
      <c r="L30" s="31" t="str">
        <f>IFERROR(__xludf.DUMMYFUNCTION("""COMPUTED_VALUE"""),"Shooter")</f>
        <v>Shooter</v>
      </c>
      <c r="M30" s="31"/>
    </row>
    <row r="31">
      <c r="A31" s="17" t="str">
        <f>IFERROR(__xludf.DUMMYFUNCTION("""COMPUTED_VALUE"""),"Halo: Reach")</f>
        <v>Halo: Reach</v>
      </c>
      <c r="B31" s="20" t="str">
        <f>IFERROR(__xludf.DUMMYFUNCTION("""COMPUTED_VALUE"""),"Xbox / PC")</f>
        <v>Xbox / PC</v>
      </c>
      <c r="C31" s="21"/>
      <c r="D31" s="21" t="str">
        <f>IFERROR(__xludf.DUMMYFUNCTION("""COMPUTED_VALUE"""),"Active")</f>
        <v>Active</v>
      </c>
      <c r="E31" s="23">
        <f>IFERROR(__xludf.DUMMYFUNCTION("""COMPUTED_VALUE"""),43802.0)</f>
        <v>43802</v>
      </c>
      <c r="F31" s="24"/>
      <c r="G31" s="27">
        <f>IFERROR(__xludf.DUMMYFUNCTION("""COMPUTED_VALUE"""),82.1)</f>
        <v>82.1</v>
      </c>
      <c r="H31" s="23">
        <f>IFERROR(__xludf.DUMMYFUNCTION("""COMPUTED_VALUE"""),40435.0)</f>
        <v>40435</v>
      </c>
      <c r="I31" s="27">
        <f>IFERROR(__xludf.DUMMYFUNCTION("""COMPUTED_VALUE"""),9.219444444444445)</f>
        <v>9.219444444</v>
      </c>
      <c r="J31" s="29">
        <f>IFERROR(__xludf.DUMMYFUNCTION("""COMPUTED_VALUE"""),91.0)</f>
        <v>91</v>
      </c>
      <c r="K31" s="29">
        <f>IFERROR(__xludf.DUMMYFUNCTION("""COMPUTED_VALUE"""),8.0)</f>
        <v>8</v>
      </c>
      <c r="L31" s="31" t="str">
        <f>IFERROR(__xludf.DUMMYFUNCTION("""COMPUTED_VALUE"""),"Shooter")</f>
        <v>Shooter</v>
      </c>
      <c r="M31" s="31"/>
    </row>
    <row r="32">
      <c r="A32" s="17" t="str">
        <f>IFERROR(__xludf.DUMMYFUNCTION("""COMPUTED_VALUE"""),"Gears of War 3")</f>
        <v>Gears of War 3</v>
      </c>
      <c r="B32" s="20" t="str">
        <f>IFERROR(__xludf.DUMMYFUNCTION("""COMPUTED_VALUE"""),"Xbox")</f>
        <v>Xbox</v>
      </c>
      <c r="C32" s="21" t="str">
        <f>IFERROR(__xludf.DUMMYFUNCTION("""COMPUTED_VALUE"""),"Yes")</f>
        <v>Yes</v>
      </c>
      <c r="D32" s="21" t="str">
        <f>IFERROR(__xludf.DUMMYFUNCTION("""COMPUTED_VALUE"""),"Active")</f>
        <v>Active</v>
      </c>
      <c r="E32" s="23">
        <f>IFERROR(__xludf.DUMMYFUNCTION("""COMPUTED_VALUE"""),42887.0)</f>
        <v>42887</v>
      </c>
      <c r="F32" s="24"/>
      <c r="G32" s="27">
        <f>IFERROR(__xludf.DUMMYFUNCTION("""COMPUTED_VALUE"""),112.16666666666666)</f>
        <v>112.1666667</v>
      </c>
      <c r="H32" s="23">
        <f>IFERROR(__xludf.DUMMYFUNCTION("""COMPUTED_VALUE"""),40806.0)</f>
        <v>40806</v>
      </c>
      <c r="I32" s="27">
        <f>IFERROR(__xludf.DUMMYFUNCTION("""COMPUTED_VALUE"""),5.697222222222222)</f>
        <v>5.697222222</v>
      </c>
      <c r="J32" s="29">
        <f>IFERROR(__xludf.DUMMYFUNCTION("""COMPUTED_VALUE"""),91.0)</f>
        <v>91</v>
      </c>
      <c r="K32" s="29">
        <f>IFERROR(__xludf.DUMMYFUNCTION("""COMPUTED_VALUE"""),9.5)</f>
        <v>9.5</v>
      </c>
      <c r="L32" s="31" t="str">
        <f>IFERROR(__xludf.DUMMYFUNCTION("""COMPUTED_VALUE"""),"Shooter")</f>
        <v>Shooter</v>
      </c>
      <c r="M32" s="31" t="str">
        <f>IFERROR(__xludf.DUMMYFUNCTION("""COMPUTED_VALUE"""),"FPS Boost")</f>
        <v>FPS Boost</v>
      </c>
    </row>
    <row r="33">
      <c r="A33" s="17" t="str">
        <f>IFERROR(__xludf.DUMMYFUNCTION("""COMPUTED_VALUE"""),"Dragon Age: Origins")</f>
        <v>Dragon Age: Origins</v>
      </c>
      <c r="B33" s="20" t="str">
        <f>IFERROR(__xludf.DUMMYFUNCTION("""COMPUTED_VALUE"""),"XB360/OG Xbox")</f>
        <v>XB360/OG Xbox</v>
      </c>
      <c r="C33" s="21"/>
      <c r="D33" s="21" t="str">
        <f>IFERROR(__xludf.DUMMYFUNCTION("""COMPUTED_VALUE"""),"GwG Permanent")</f>
        <v>GwG Permanent</v>
      </c>
      <c r="E33" s="23">
        <f>IFERROR(__xludf.DUMMYFUNCTION("""COMPUTED_VALUE"""),42902.0)</f>
        <v>42902</v>
      </c>
      <c r="F33" s="24">
        <f>IFERROR(__xludf.DUMMYFUNCTION("""COMPUTED_VALUE"""),42916.0)</f>
        <v>42916</v>
      </c>
      <c r="G33" s="27">
        <f>IFERROR(__xludf.DUMMYFUNCTION("""COMPUTED_VALUE"""),0.4666666666666667)</f>
        <v>0.4666666667</v>
      </c>
      <c r="H33" s="23">
        <f>IFERROR(__xludf.DUMMYFUNCTION("""COMPUTED_VALUE"""),40120.0)</f>
        <v>40120</v>
      </c>
      <c r="I33" s="27">
        <f>IFERROR(__xludf.DUMMYFUNCTION("""COMPUTED_VALUE"""),7.6194444444444445)</f>
        <v>7.619444444</v>
      </c>
      <c r="J33" s="29">
        <f>IFERROR(__xludf.DUMMYFUNCTION("""COMPUTED_VALUE"""),91.0)</f>
        <v>91</v>
      </c>
      <c r="K33" s="29">
        <f>IFERROR(__xludf.DUMMYFUNCTION("""COMPUTED_VALUE"""),63.0)</f>
        <v>63</v>
      </c>
      <c r="L33" s="31" t="str">
        <f>IFERROR(__xludf.DUMMYFUNCTION("""COMPUTED_VALUE"""),"RPG")</f>
        <v>RPG</v>
      </c>
      <c r="M33" s="31"/>
    </row>
    <row r="34">
      <c r="A34" s="17" t="str">
        <f>IFERROR(__xludf.DUMMYFUNCTION("""COMPUTED_VALUE"""),"Borderlands 2")</f>
        <v>Borderlands 2</v>
      </c>
      <c r="B34" s="20" t="str">
        <f>IFERROR(__xludf.DUMMYFUNCTION("""COMPUTED_VALUE"""),"XB360/OG Xbox")</f>
        <v>XB360/OG Xbox</v>
      </c>
      <c r="C34" s="21"/>
      <c r="D34" s="21" t="str">
        <f>IFERROR(__xludf.DUMMYFUNCTION("""COMPUTED_VALUE"""),"GwG Permanent")</f>
        <v>GwG Permanent</v>
      </c>
      <c r="E34" s="23">
        <f>IFERROR(__xludf.DUMMYFUNCTION("""COMPUTED_VALUE"""),42795.0)</f>
        <v>42795</v>
      </c>
      <c r="F34" s="24">
        <f>IFERROR(__xludf.DUMMYFUNCTION("""COMPUTED_VALUE"""),42809.0)</f>
        <v>42809</v>
      </c>
      <c r="G34" s="27">
        <f>IFERROR(__xludf.DUMMYFUNCTION("""COMPUTED_VALUE"""),0.4666666666666667)</f>
        <v>0.4666666667</v>
      </c>
      <c r="H34" s="23">
        <f>IFERROR(__xludf.DUMMYFUNCTION("""COMPUTED_VALUE"""),41170.0)</f>
        <v>41170</v>
      </c>
      <c r="I34" s="27">
        <f>IFERROR(__xludf.DUMMYFUNCTION("""COMPUTED_VALUE"""),4.4527777777777775)</f>
        <v>4.452777778</v>
      </c>
      <c r="J34" s="29">
        <f>IFERROR(__xludf.DUMMYFUNCTION("""COMPUTED_VALUE"""),91.0)</f>
        <v>91</v>
      </c>
      <c r="K34" s="29">
        <f>IFERROR(__xludf.DUMMYFUNCTION("""COMPUTED_VALUE"""),25.0)</f>
        <v>25</v>
      </c>
      <c r="L34" s="31" t="str">
        <f>IFERROR(__xludf.DUMMYFUNCTION("""COMPUTED_VALUE"""),"Shooter")</f>
        <v>Shooter</v>
      </c>
      <c r="M34" s="31"/>
    </row>
    <row r="35">
      <c r="A35" s="17" t="str">
        <f>IFERROR(__xludf.DUMMYFUNCTION("""COMPUTED_VALUE"""),"Gears of War 2")</f>
        <v>Gears of War 2</v>
      </c>
      <c r="B35" s="20" t="str">
        <f>IFERROR(__xludf.DUMMYFUNCTION("""COMPUTED_VALUE"""),"XB360/OG Xbox")</f>
        <v>XB360/OG Xbox</v>
      </c>
      <c r="C35" s="21"/>
      <c r="D35" s="21" t="str">
        <f>IFERROR(__xludf.DUMMYFUNCTION("""COMPUTED_VALUE"""),"GwG Permanent")</f>
        <v>GwG Permanent</v>
      </c>
      <c r="E35" s="23">
        <f>IFERROR(__xludf.DUMMYFUNCTION("""COMPUTED_VALUE"""),42416.0)</f>
        <v>42416</v>
      </c>
      <c r="F35" s="24">
        <f>IFERROR(__xludf.DUMMYFUNCTION("""COMPUTED_VALUE"""),42429.0)</f>
        <v>42429</v>
      </c>
      <c r="G35" s="27">
        <f>IFERROR(__xludf.DUMMYFUNCTION("""COMPUTED_VALUE"""),0.4333333333333333)</f>
        <v>0.4333333333</v>
      </c>
      <c r="H35" s="23">
        <f>IFERROR(__xludf.DUMMYFUNCTION("""COMPUTED_VALUE"""),39759.0)</f>
        <v>39759</v>
      </c>
      <c r="I35" s="27">
        <f>IFERROR(__xludf.DUMMYFUNCTION("""COMPUTED_VALUE"""),7.275)</f>
        <v>7.275</v>
      </c>
      <c r="J35" s="29">
        <f>IFERROR(__xludf.DUMMYFUNCTION("""COMPUTED_VALUE"""),91.0)</f>
        <v>91</v>
      </c>
      <c r="K35" s="29">
        <f>IFERROR(__xludf.DUMMYFUNCTION("""COMPUTED_VALUE"""),9.0)</f>
        <v>9</v>
      </c>
      <c r="L35" s="31" t="str">
        <f>IFERROR(__xludf.DUMMYFUNCTION("""COMPUTED_VALUE"""),"Shooter")</f>
        <v>Shooter</v>
      </c>
      <c r="M35" s="31" t="str">
        <f>IFERROR(__xludf.DUMMYFUNCTION("""COMPUTED_VALUE"""),"Enhanced")</f>
        <v>Enhanced</v>
      </c>
    </row>
    <row r="36">
      <c r="A36" s="17" t="str">
        <f>IFERROR(__xludf.DUMMYFUNCTION("""COMPUTED_VALUE"""),"Halo: Reach")</f>
        <v>Halo: Reach</v>
      </c>
      <c r="B36" s="20" t="str">
        <f>IFERROR(__xludf.DUMMYFUNCTION("""COMPUTED_VALUE"""),"XB360/OG Xbox")</f>
        <v>XB360/OG Xbox</v>
      </c>
      <c r="C36" s="21"/>
      <c r="D36" s="21" t="str">
        <f>IFERROR(__xludf.DUMMYFUNCTION("""COMPUTED_VALUE"""),"GwG Permanent")</f>
        <v>GwG Permanent</v>
      </c>
      <c r="E36" s="23">
        <f>IFERROR(__xludf.DUMMYFUNCTION("""COMPUTED_VALUE"""),41898.0)</f>
        <v>41898</v>
      </c>
      <c r="F36" s="24">
        <f>IFERROR(__xludf.DUMMYFUNCTION("""COMPUTED_VALUE"""),41912.0)</f>
        <v>41912</v>
      </c>
      <c r="G36" s="27">
        <f>IFERROR(__xludf.DUMMYFUNCTION("""COMPUTED_VALUE"""),0.4666666666666667)</f>
        <v>0.4666666667</v>
      </c>
      <c r="H36" s="23">
        <f>IFERROR(__xludf.DUMMYFUNCTION("""COMPUTED_VALUE"""),40435.0)</f>
        <v>40435</v>
      </c>
      <c r="I36" s="27">
        <f>IFERROR(__xludf.DUMMYFUNCTION("""COMPUTED_VALUE"""),4.0055555555555555)</f>
        <v>4.005555556</v>
      </c>
      <c r="J36" s="29">
        <f>IFERROR(__xludf.DUMMYFUNCTION("""COMPUTED_VALUE"""),91.0)</f>
        <v>91</v>
      </c>
      <c r="K36" s="29">
        <f>IFERROR(__xludf.DUMMYFUNCTION("""COMPUTED_VALUE"""),12.0)</f>
        <v>12</v>
      </c>
      <c r="L36" s="31" t="str">
        <f>IFERROR(__xludf.DUMMYFUNCTION("""COMPUTED_VALUE"""),"Shooter")</f>
        <v>Shooter</v>
      </c>
      <c r="M36" s="31"/>
    </row>
    <row r="37">
      <c r="A37" s="17" t="str">
        <f>IFERROR(__xludf.DUMMYFUNCTION("""COMPUTED_VALUE"""),"Dishonored")</f>
        <v>Dishonored</v>
      </c>
      <c r="B37" s="20" t="str">
        <f>IFERROR(__xludf.DUMMYFUNCTION("""COMPUTED_VALUE"""),"XB360/OG Xbox")</f>
        <v>XB360/OG Xbox</v>
      </c>
      <c r="C37" s="21"/>
      <c r="D37" s="21" t="str">
        <f>IFERROR(__xludf.DUMMYFUNCTION("""COMPUTED_VALUE"""),"GwG Permanent")</f>
        <v>GwG Permanent</v>
      </c>
      <c r="E37" s="23">
        <f>IFERROR(__xludf.DUMMYFUNCTION("""COMPUTED_VALUE"""),41867.0)</f>
        <v>41867</v>
      </c>
      <c r="F37" s="24">
        <f>IFERROR(__xludf.DUMMYFUNCTION("""COMPUTED_VALUE"""),41882.0)</f>
        <v>41882</v>
      </c>
      <c r="G37" s="27">
        <f>IFERROR(__xludf.DUMMYFUNCTION("""COMPUTED_VALUE"""),0.4666666666666667)</f>
        <v>0.4666666667</v>
      </c>
      <c r="H37" s="23">
        <f>IFERROR(__xludf.DUMMYFUNCTION("""COMPUTED_VALUE"""),41191.0)</f>
        <v>41191</v>
      </c>
      <c r="I37" s="27">
        <f>IFERROR(__xludf.DUMMYFUNCTION("""COMPUTED_VALUE"""),1.8527777777777779)</f>
        <v>1.852777778</v>
      </c>
      <c r="J37" s="29">
        <f>IFERROR(__xludf.DUMMYFUNCTION("""COMPUTED_VALUE"""),91.0)</f>
        <v>91</v>
      </c>
      <c r="K37" s="29">
        <f>IFERROR(__xludf.DUMMYFUNCTION("""COMPUTED_VALUE"""),13.0)</f>
        <v>13</v>
      </c>
      <c r="L37" s="31" t="str">
        <f>IFERROR(__xludf.DUMMYFUNCTION("""COMPUTED_VALUE"""),"Action-Adventure")</f>
        <v>Action-Adventure</v>
      </c>
      <c r="M37" s="31"/>
    </row>
    <row r="38">
      <c r="A38" s="17" t="str">
        <f>IFERROR(__xludf.DUMMYFUNCTION("""COMPUTED_VALUE"""),"Gears of War")</f>
        <v>Gears of War</v>
      </c>
      <c r="B38" s="20" t="str">
        <f>IFERROR(__xludf.DUMMYFUNCTION("""COMPUTED_VALUE"""),"XB360/OG Xbox")</f>
        <v>XB360/OG Xbox</v>
      </c>
      <c r="C38" s="21"/>
      <c r="D38" s="21" t="str">
        <f>IFERROR(__xludf.DUMMYFUNCTION("""COMPUTED_VALUE"""),"GwG Permanent")</f>
        <v>GwG Permanent</v>
      </c>
      <c r="E38" s="23">
        <f>IFERROR(__xludf.DUMMYFUNCTION("""COMPUTED_VALUE"""),41609.0)</f>
        <v>41609</v>
      </c>
      <c r="F38" s="24">
        <f>IFERROR(__xludf.DUMMYFUNCTION("""COMPUTED_VALUE"""),41623.0)</f>
        <v>41623</v>
      </c>
      <c r="G38" s="27">
        <f>IFERROR(__xludf.DUMMYFUNCTION("""COMPUTED_VALUE"""),0.4666666666666667)</f>
        <v>0.4666666667</v>
      </c>
      <c r="H38" s="23">
        <f>IFERROR(__xludf.DUMMYFUNCTION("""COMPUTED_VALUE"""),39028.0)</f>
        <v>39028</v>
      </c>
      <c r="I38" s="27">
        <f>IFERROR(__xludf.DUMMYFUNCTION("""COMPUTED_VALUE"""),7.066666666666666)</f>
        <v>7.066666667</v>
      </c>
      <c r="J38" s="29">
        <f>IFERROR(__xludf.DUMMYFUNCTION("""COMPUTED_VALUE"""),91.0)</f>
        <v>91</v>
      </c>
      <c r="K38" s="29">
        <f>IFERROR(__xludf.DUMMYFUNCTION("""COMPUTED_VALUE"""),9.0)</f>
        <v>9</v>
      </c>
      <c r="L38" s="31" t="str">
        <f>IFERROR(__xludf.DUMMYFUNCTION("""COMPUTED_VALUE"""),"Shooter")</f>
        <v>Shooter</v>
      </c>
      <c r="M38" s="31"/>
    </row>
    <row r="39">
      <c r="A39" s="17" t="str">
        <f>IFERROR(__xludf.DUMMYFUNCTION("""COMPUTED_VALUE"""),"Starsand Island")</f>
        <v>Starsand Island</v>
      </c>
      <c r="B39" s="20" t="str">
        <f>IFERROR(__xludf.DUMMYFUNCTION("""COMPUTED_VALUE"""),"Xbox / PC")</f>
        <v>Xbox / PC</v>
      </c>
      <c r="C39" s="21" t="str">
        <f>IFERROR(__xludf.DUMMYFUNCTION("""COMPUTED_VALUE"""),"Yes")</f>
        <v>Yes</v>
      </c>
      <c r="D39" s="21" t="str">
        <f>IFERROR(__xludf.DUMMYFUNCTION("""COMPUTED_VALUE"""),"Active")</f>
        <v>Active</v>
      </c>
      <c r="E39" s="23">
        <f>IFERROR(__xludf.DUMMYFUNCTION("""COMPUTED_VALUE"""),46064.0)</f>
        <v>46064</v>
      </c>
      <c r="F39" s="24"/>
      <c r="G39" s="27">
        <f>IFERROR(__xludf.DUMMYFUNCTION("""COMPUTED_VALUE"""),7.833333333333334)</f>
        <v>7.833333333</v>
      </c>
      <c r="H39" s="23">
        <f>IFERROR(__xludf.DUMMYFUNCTION("""COMPUTED_VALUE"""),46065.0)</f>
        <v>46065</v>
      </c>
      <c r="I39" s="27">
        <f>IFERROR(__xludf.DUMMYFUNCTION("""COMPUTED_VALUE"""),-0.002777777777777778)</f>
        <v>-0.002777777778</v>
      </c>
      <c r="J39" s="29">
        <f>IFERROR(__xludf.DUMMYFUNCTION("""COMPUTED_VALUE"""),90.0)</f>
        <v>90</v>
      </c>
      <c r="K39" s="29">
        <f>IFERROR(__xludf.DUMMYFUNCTION("""COMPUTED_VALUE"""),66.0)</f>
        <v>66</v>
      </c>
      <c r="L39" s="31" t="str">
        <f>IFERROR(__xludf.DUMMYFUNCTION("""COMPUTED_VALUE"""),"Action-Adventure")</f>
        <v>Action-Adventure</v>
      </c>
      <c r="M39" s="31" t="str">
        <f>IFERROR(__xludf.DUMMYFUNCTION("""COMPUTED_VALUE"""),"Exclusive")</f>
        <v>Exclusive</v>
      </c>
    </row>
    <row r="40">
      <c r="A40" s="17" t="str">
        <f>IFERROR(__xludf.DUMMYFUNCTION("""COMPUTED_VALUE"""),"Dome Keeper")</f>
        <v>Dome Keeper</v>
      </c>
      <c r="B40" s="20" t="str">
        <f>IFERROR(__xludf.DUMMYFUNCTION("""COMPUTED_VALUE"""),"Xbox / PC")</f>
        <v>Xbox / PC</v>
      </c>
      <c r="C40" s="21" t="str">
        <f>IFERROR(__xludf.DUMMYFUNCTION("""COMPUTED_VALUE"""),"Yes")</f>
        <v>Yes</v>
      </c>
      <c r="D40" s="21" t="str">
        <f>IFERROR(__xludf.DUMMYFUNCTION("""COMPUTED_VALUE"""),"Active")</f>
        <v>Active</v>
      </c>
      <c r="E40" s="23">
        <f>IFERROR(__xludf.DUMMYFUNCTION("""COMPUTED_VALUE"""),46000.0)</f>
        <v>46000</v>
      </c>
      <c r="F40" s="24"/>
      <c r="G40" s="27">
        <f>IFERROR(__xludf.DUMMYFUNCTION("""COMPUTED_VALUE"""),9.899999999999999)</f>
        <v>9.9</v>
      </c>
      <c r="H40" s="23">
        <f>IFERROR(__xludf.DUMMYFUNCTION("""COMPUTED_VALUE"""),44831.0)</f>
        <v>44831</v>
      </c>
      <c r="I40" s="27">
        <f>IFERROR(__xludf.DUMMYFUNCTION("""COMPUTED_VALUE"""),3.2)</f>
        <v>3.2</v>
      </c>
      <c r="J40" s="29">
        <f>IFERROR(__xludf.DUMMYFUNCTION("""COMPUTED_VALUE"""),90.0)</f>
        <v>90</v>
      </c>
      <c r="K40" s="29">
        <f>IFERROR(__xludf.DUMMYFUNCTION("""COMPUTED_VALUE"""),5.0)</f>
        <v>5</v>
      </c>
      <c r="L40" s="31" t="str">
        <f>IFERROR(__xludf.DUMMYFUNCTION("""COMPUTED_VALUE"""),"Action")</f>
        <v>Action</v>
      </c>
      <c r="M40" s="31"/>
    </row>
    <row r="41">
      <c r="A41" s="17" t="str">
        <f>IFERROR(__xludf.DUMMYFUNCTION("""COMPUTED_VALUE"""),"Assassin's Creed II")</f>
        <v>Assassin's Creed II</v>
      </c>
      <c r="B41" s="20" t="str">
        <f>IFERROR(__xludf.DUMMYFUNCTION("""COMPUTED_VALUE"""),"Xbox / PC")</f>
        <v>Xbox / PC</v>
      </c>
      <c r="C41" s="21"/>
      <c r="D41" s="21" t="str">
        <f>IFERROR(__xludf.DUMMYFUNCTION("""COMPUTED_VALUE"""),"Active")</f>
        <v>Active</v>
      </c>
      <c r="E41" s="23">
        <f>IFERROR(__xludf.DUMMYFUNCTION("""COMPUTED_VALUE"""),45931.0)</f>
        <v>45931</v>
      </c>
      <c r="F41" s="24"/>
      <c r="G41" s="27">
        <f>IFERROR(__xludf.DUMMYFUNCTION("""COMPUTED_VALUE"""),12.166666666666666)</f>
        <v>12.16666667</v>
      </c>
      <c r="H41" s="23">
        <f>IFERROR(__xludf.DUMMYFUNCTION("""COMPUTED_VALUE"""),40134.0)</f>
        <v>40134</v>
      </c>
      <c r="I41" s="27">
        <f>IFERROR(__xludf.DUMMYFUNCTION("""COMPUTED_VALUE"""),15.872222222222222)</f>
        <v>15.87222222</v>
      </c>
      <c r="J41" s="29">
        <f>IFERROR(__xludf.DUMMYFUNCTION("""COMPUTED_VALUE"""),90.0)</f>
        <v>90</v>
      </c>
      <c r="K41" s="29">
        <f>IFERROR(__xludf.DUMMYFUNCTION("""COMPUTED_VALUE"""),19.0)</f>
        <v>19</v>
      </c>
      <c r="L41" s="31" t="str">
        <f>IFERROR(__xludf.DUMMYFUNCTION("""COMPUTED_VALUE"""),"Action-Adventure")</f>
        <v>Action-Adventure</v>
      </c>
      <c r="M41" s="31"/>
    </row>
    <row r="42">
      <c r="A42" s="17" t="str">
        <f>IFERROR(__xludf.DUMMYFUNCTION("""COMPUTED_VALUE"""),"Hollow Knight: Silksong")</f>
        <v>Hollow Knight: Silksong</v>
      </c>
      <c r="B42" s="20" t="str">
        <f>IFERROR(__xludf.DUMMYFUNCTION("""COMPUTED_VALUE"""),"Xbox / PC")</f>
        <v>Xbox / PC</v>
      </c>
      <c r="C42" s="21" t="str">
        <f>IFERROR(__xludf.DUMMYFUNCTION("""COMPUTED_VALUE"""),"Yes")</f>
        <v>Yes</v>
      </c>
      <c r="D42" s="21" t="str">
        <f>IFERROR(__xludf.DUMMYFUNCTION("""COMPUTED_VALUE"""),"Active")</f>
        <v>Active</v>
      </c>
      <c r="E42" s="23">
        <f>IFERROR(__xludf.DUMMYFUNCTION("""COMPUTED_VALUE"""),45904.0)</f>
        <v>45904</v>
      </c>
      <c r="F42" s="24"/>
      <c r="G42" s="27">
        <f>IFERROR(__xludf.DUMMYFUNCTION("""COMPUTED_VALUE"""),13.066666666666666)</f>
        <v>13.06666667</v>
      </c>
      <c r="H42" s="23">
        <f>IFERROR(__xludf.DUMMYFUNCTION("""COMPUTED_VALUE"""),45904.0)</f>
        <v>45904</v>
      </c>
      <c r="I42" s="27">
        <f>IFERROR(__xludf.DUMMYFUNCTION("""COMPUTED_VALUE"""),0.0)</f>
        <v>0</v>
      </c>
      <c r="J42" s="29">
        <f>IFERROR(__xludf.DUMMYFUNCTION("""COMPUTED_VALUE"""),90.0)</f>
        <v>90</v>
      </c>
      <c r="K42" s="29">
        <f>IFERROR(__xludf.DUMMYFUNCTION("""COMPUTED_VALUE"""),28.0)</f>
        <v>28</v>
      </c>
      <c r="L42" s="31" t="str">
        <f>IFERROR(__xludf.DUMMYFUNCTION("""COMPUTED_VALUE"""),"Metroidvania")</f>
        <v>Metroidvania</v>
      </c>
      <c r="M42" s="31"/>
    </row>
    <row r="43">
      <c r="A43" s="17" t="str">
        <f>IFERROR(__xludf.DUMMYFUNCTION("""COMPUTED_VALUE"""),"Freddy Pharkas: Frontier Pharmacist")</f>
        <v>Freddy Pharkas: Frontier Pharmacist</v>
      </c>
      <c r="B43" s="20" t="str">
        <f>IFERROR(__xludf.DUMMYFUNCTION("""COMPUTED_VALUE"""),"Xbox / PC")</f>
        <v>Xbox / PC</v>
      </c>
      <c r="C43" s="21" t="str">
        <f>IFERROR(__xludf.DUMMYFUNCTION("""COMPUTED_VALUE"""),"Yes")</f>
        <v>Yes</v>
      </c>
      <c r="D43" s="21" t="str">
        <f>IFERROR(__xludf.DUMMYFUNCTION("""COMPUTED_VALUE"""),"Active")</f>
        <v>Active</v>
      </c>
      <c r="E43" s="23">
        <f>IFERROR(__xludf.DUMMYFUNCTION("""COMPUTED_VALUE"""),45798.0)</f>
        <v>45798</v>
      </c>
      <c r="F43" s="24"/>
      <c r="G43" s="27">
        <f>IFERROR(__xludf.DUMMYFUNCTION("""COMPUTED_VALUE"""),16.5)</f>
        <v>16.5</v>
      </c>
      <c r="H43" s="23">
        <f>IFERROR(__xludf.DUMMYFUNCTION("""COMPUTED_VALUE"""),34121.0)</f>
        <v>34121</v>
      </c>
      <c r="I43" s="27">
        <f>IFERROR(__xludf.DUMMYFUNCTION("""COMPUTED_VALUE"""),31.97222222222222)</f>
        <v>31.97222222</v>
      </c>
      <c r="J43" s="29">
        <f>IFERROR(__xludf.DUMMYFUNCTION("""COMPUTED_VALUE"""),90.0)</f>
        <v>90</v>
      </c>
      <c r="K43" s="29">
        <f>IFERROR(__xludf.DUMMYFUNCTION("""COMPUTED_VALUE"""),17.0)</f>
        <v>17</v>
      </c>
      <c r="L43" s="31" t="str">
        <f>IFERROR(__xludf.DUMMYFUNCTION("""COMPUTED_VALUE"""),"Adventure")</f>
        <v>Adventure</v>
      </c>
      <c r="M43" s="31"/>
    </row>
    <row r="44">
      <c r="A44" s="17" t="str">
        <f>IFERROR(__xludf.DUMMYFUNCTION("""COMPUTED_VALUE"""),"Monster Train 2")</f>
        <v>Monster Train 2</v>
      </c>
      <c r="B44" s="20" t="str">
        <f>IFERROR(__xludf.DUMMYFUNCTION("""COMPUTED_VALUE"""),"Xbox / PC")</f>
        <v>Xbox / PC</v>
      </c>
      <c r="C44" s="21" t="str">
        <f>IFERROR(__xludf.DUMMYFUNCTION("""COMPUTED_VALUE"""),"Yes")</f>
        <v>Yes</v>
      </c>
      <c r="D44" s="21" t="str">
        <f>IFERROR(__xludf.DUMMYFUNCTION("""COMPUTED_VALUE"""),"Active")</f>
        <v>Active</v>
      </c>
      <c r="E44" s="23">
        <f>IFERROR(__xludf.DUMMYFUNCTION("""COMPUTED_VALUE"""),45798.0)</f>
        <v>45798</v>
      </c>
      <c r="F44" s="24"/>
      <c r="G44" s="27">
        <f>IFERROR(__xludf.DUMMYFUNCTION("""COMPUTED_VALUE"""),16.5)</f>
        <v>16.5</v>
      </c>
      <c r="H44" s="23">
        <f>IFERROR(__xludf.DUMMYFUNCTION("""COMPUTED_VALUE"""),45798.0)</f>
        <v>45798</v>
      </c>
      <c r="I44" s="27">
        <f>IFERROR(__xludf.DUMMYFUNCTION("""COMPUTED_VALUE"""),0.0)</f>
        <v>0</v>
      </c>
      <c r="J44" s="29">
        <f>IFERROR(__xludf.DUMMYFUNCTION("""COMPUTED_VALUE"""),90.0)</f>
        <v>90</v>
      </c>
      <c r="K44" s="29">
        <f>IFERROR(__xludf.DUMMYFUNCTION("""COMPUTED_VALUE"""),6.0)</f>
        <v>6</v>
      </c>
      <c r="L44" s="31" t="str">
        <f>IFERROR(__xludf.DUMMYFUNCTION("""COMPUTED_VALUE"""),"Card Battle")</f>
        <v>Card Battle</v>
      </c>
      <c r="M44" s="31" t="str">
        <f>IFERROR(__xludf.DUMMYFUNCTION("""COMPUTED_VALUE"""),"Exclusive")</f>
        <v>Exclusive</v>
      </c>
    </row>
    <row r="45">
      <c r="A45" s="17" t="str">
        <f>IFERROR(__xludf.DUMMYFUNCTION("""COMPUTED_VALUE"""),"Diablo III: Reaper of Souls - Ultimate Evil Edition")</f>
        <v>Diablo III: Reaper of Souls - Ultimate Evil Edition</v>
      </c>
      <c r="B45" s="20" t="str">
        <f>IFERROR(__xludf.DUMMYFUNCTION("""COMPUTED_VALUE"""),"Xbox / PC")</f>
        <v>Xbox / PC</v>
      </c>
      <c r="C45" s="21"/>
      <c r="D45" s="21" t="str">
        <f>IFERROR(__xludf.DUMMYFUNCTION("""COMPUTED_VALUE"""),"Active")</f>
        <v>Active</v>
      </c>
      <c r="E45" s="23">
        <f>IFERROR(__xludf.DUMMYFUNCTION("""COMPUTED_VALUE"""),45755.0)</f>
        <v>45755</v>
      </c>
      <c r="F45" s="24"/>
      <c r="G45" s="27">
        <f>IFERROR(__xludf.DUMMYFUNCTION("""COMPUTED_VALUE"""),17.933333333333334)</f>
        <v>17.93333333</v>
      </c>
      <c r="H45" s="23">
        <f>IFERROR(__xludf.DUMMYFUNCTION("""COMPUTED_VALUE"""),41870.0)</f>
        <v>41870</v>
      </c>
      <c r="I45" s="27">
        <f>IFERROR(__xludf.DUMMYFUNCTION("""COMPUTED_VALUE"""),10.636111111111111)</f>
        <v>10.63611111</v>
      </c>
      <c r="J45" s="29">
        <f>IFERROR(__xludf.DUMMYFUNCTION("""COMPUTED_VALUE"""),90.0)</f>
        <v>90</v>
      </c>
      <c r="K45" s="29">
        <f>IFERROR(__xludf.DUMMYFUNCTION("""COMPUTED_VALUE"""),19.0)</f>
        <v>19</v>
      </c>
      <c r="L45" s="31" t="str">
        <f>IFERROR(__xludf.DUMMYFUNCTION("""COMPUTED_VALUE"""),"RPG")</f>
        <v>RPG</v>
      </c>
      <c r="M45" s="31"/>
    </row>
    <row r="46">
      <c r="A46" s="17" t="str">
        <f>IFERROR(__xludf.DUMMYFUNCTION("""COMPUTED_VALUE"""),"Balatro")</f>
        <v>Balatro</v>
      </c>
      <c r="B46" s="20" t="str">
        <f>IFERROR(__xludf.DUMMYFUNCTION("""COMPUTED_VALUE"""),"Xbox / PC")</f>
        <v>Xbox / PC</v>
      </c>
      <c r="C46" s="21" t="str">
        <f>IFERROR(__xludf.DUMMYFUNCTION("""COMPUTED_VALUE"""),"Yes")</f>
        <v>Yes</v>
      </c>
      <c r="D46" s="21" t="str">
        <f>IFERROR(__xludf.DUMMYFUNCTION("""COMPUTED_VALUE"""),"Active")</f>
        <v>Active</v>
      </c>
      <c r="E46" s="23">
        <f>IFERROR(__xludf.DUMMYFUNCTION("""COMPUTED_VALUE"""),45712.0)</f>
        <v>45712</v>
      </c>
      <c r="F46" s="24"/>
      <c r="G46" s="27">
        <f>IFERROR(__xludf.DUMMYFUNCTION("""COMPUTED_VALUE"""),19.4)</f>
        <v>19.4</v>
      </c>
      <c r="H46" s="23">
        <f>IFERROR(__xludf.DUMMYFUNCTION("""COMPUTED_VALUE"""),45616.0)</f>
        <v>45616</v>
      </c>
      <c r="I46" s="27">
        <f>IFERROR(__xludf.DUMMYFUNCTION("""COMPUTED_VALUE"""),0.2611111111111111)</f>
        <v>0.2611111111</v>
      </c>
      <c r="J46" s="29">
        <f>IFERROR(__xludf.DUMMYFUNCTION("""COMPUTED_VALUE"""),90.0)</f>
        <v>90</v>
      </c>
      <c r="K46" s="29">
        <f>IFERROR(__xludf.DUMMYFUNCTION("""COMPUTED_VALUE"""),7.0)</f>
        <v>7</v>
      </c>
      <c r="L46" s="31" t="str">
        <f>IFERROR(__xludf.DUMMYFUNCTION("""COMPUTED_VALUE"""),"Card Battle")</f>
        <v>Card Battle</v>
      </c>
      <c r="M46" s="31"/>
    </row>
    <row r="47">
      <c r="A47" s="17" t="str">
        <f>IFERROR(__xludf.DUMMYFUNCTION("""COMPUTED_VALUE"""),"Dead Space 2")</f>
        <v>Dead Space 2</v>
      </c>
      <c r="B47" s="20" t="str">
        <f>IFERROR(__xludf.DUMMYFUNCTION("""COMPUTED_VALUE"""),"Xbox / PC")</f>
        <v>Xbox / PC</v>
      </c>
      <c r="C47" s="21" t="str">
        <f>IFERROR(__xludf.DUMMYFUNCTION("""COMPUTED_VALUE"""),"Yes")</f>
        <v>Yes</v>
      </c>
      <c r="D47" s="21" t="str">
        <f>IFERROR(__xludf.DUMMYFUNCTION("""COMPUTED_VALUE"""),"Active")</f>
        <v>Active</v>
      </c>
      <c r="E47" s="23">
        <f>IFERROR(__xludf.DUMMYFUNCTION("""COMPUTED_VALUE"""),44145.0)</f>
        <v>44145</v>
      </c>
      <c r="F47" s="24"/>
      <c r="G47" s="27">
        <f>IFERROR(__xludf.DUMMYFUNCTION("""COMPUTED_VALUE"""),70.86666666666667)</f>
        <v>70.86666667</v>
      </c>
      <c r="H47" s="23">
        <f>IFERROR(__xludf.DUMMYFUNCTION("""COMPUTED_VALUE"""),40568.0)</f>
        <v>40568</v>
      </c>
      <c r="I47" s="27">
        <f>IFERROR(__xludf.DUMMYFUNCTION("""COMPUTED_VALUE"""),9.791666666666666)</f>
        <v>9.791666667</v>
      </c>
      <c r="J47" s="29">
        <f>IFERROR(__xludf.DUMMYFUNCTION("""COMPUTED_VALUE"""),90.0)</f>
        <v>90</v>
      </c>
      <c r="K47" s="29">
        <f>IFERROR(__xludf.DUMMYFUNCTION("""COMPUTED_VALUE"""),9.0)</f>
        <v>9</v>
      </c>
      <c r="L47" s="31" t="str">
        <f>IFERROR(__xludf.DUMMYFUNCTION("""COMPUTED_VALUE"""),"Shooter")</f>
        <v>Shooter</v>
      </c>
      <c r="M47" s="31" t="str">
        <f>IFERROR(__xludf.DUMMYFUNCTION("""COMPUTED_VALUE"""),"FPS Boost")</f>
        <v>FPS Boost</v>
      </c>
    </row>
    <row r="48">
      <c r="A48" s="17" t="str">
        <f>IFERROR(__xludf.DUMMYFUNCTION("""COMPUTED_VALUE"""),"The Bard's Tale ARPG: Remastered and Resnarkled")</f>
        <v>The Bard's Tale ARPG: Remastered and Resnarkled</v>
      </c>
      <c r="B48" s="20" t="str">
        <f>IFERROR(__xludf.DUMMYFUNCTION("""COMPUTED_VALUE"""),"Xbox / PC")</f>
        <v>Xbox / PC</v>
      </c>
      <c r="C48" s="21" t="str">
        <f>IFERROR(__xludf.DUMMYFUNCTION("""COMPUTED_VALUE"""),"Touch Controls")</f>
        <v>Touch Controls</v>
      </c>
      <c r="D48" s="21" t="str">
        <f>IFERROR(__xludf.DUMMYFUNCTION("""COMPUTED_VALUE"""),"Active")</f>
        <v>Active</v>
      </c>
      <c r="E48" s="23">
        <f>IFERROR(__xludf.DUMMYFUNCTION("""COMPUTED_VALUE"""),44000.0)</f>
        <v>44000</v>
      </c>
      <c r="F48" s="24"/>
      <c r="G48" s="27">
        <f>IFERROR(__xludf.DUMMYFUNCTION("""COMPUTED_VALUE"""),75.6)</f>
        <v>75.6</v>
      </c>
      <c r="H48" s="23">
        <f>IFERROR(__xludf.DUMMYFUNCTION("""COMPUTED_VALUE"""),44000.0)</f>
        <v>44000</v>
      </c>
      <c r="I48" s="27">
        <f>IFERROR(__xludf.DUMMYFUNCTION("""COMPUTED_VALUE"""),0.0)</f>
        <v>0</v>
      </c>
      <c r="J48" s="29">
        <f>IFERROR(__xludf.DUMMYFUNCTION("""COMPUTED_VALUE"""),90.0)</f>
        <v>90</v>
      </c>
      <c r="K48" s="29">
        <f>IFERROR(__xludf.DUMMYFUNCTION("""COMPUTED_VALUE"""),14.0)</f>
        <v>14</v>
      </c>
      <c r="L48" s="31" t="str">
        <f>IFERROR(__xludf.DUMMYFUNCTION("""COMPUTED_VALUE"""),"RPG")</f>
        <v>RPG</v>
      </c>
      <c r="M48" s="31"/>
    </row>
    <row r="49">
      <c r="A49" s="17" t="str">
        <f>IFERROR(__xludf.DUMMYFUNCTION("""COMPUTED_VALUE"""),"Ori and the Will of the Wisps")</f>
        <v>Ori and the Will of the Wisps</v>
      </c>
      <c r="B49" s="20" t="str">
        <f>IFERROR(__xludf.DUMMYFUNCTION("""COMPUTED_VALUE"""),"Xbox / PC")</f>
        <v>Xbox / PC</v>
      </c>
      <c r="C49" s="21" t="str">
        <f>IFERROR(__xludf.DUMMYFUNCTION("""COMPUTED_VALUE"""),"Yes")</f>
        <v>Yes</v>
      </c>
      <c r="D49" s="21" t="str">
        <f>IFERROR(__xludf.DUMMYFUNCTION("""COMPUTED_VALUE"""),"Active")</f>
        <v>Active</v>
      </c>
      <c r="E49" s="23">
        <f>IFERROR(__xludf.DUMMYFUNCTION("""COMPUTED_VALUE"""),43901.0)</f>
        <v>43901</v>
      </c>
      <c r="F49" s="24"/>
      <c r="G49" s="27">
        <f>IFERROR(__xludf.DUMMYFUNCTION("""COMPUTED_VALUE"""),78.83333333333334)</f>
        <v>78.83333333</v>
      </c>
      <c r="H49" s="23">
        <f>IFERROR(__xludf.DUMMYFUNCTION("""COMPUTED_VALUE"""),43901.0)</f>
        <v>43901</v>
      </c>
      <c r="I49" s="27">
        <f>IFERROR(__xludf.DUMMYFUNCTION("""COMPUTED_VALUE"""),0.0)</f>
        <v>0</v>
      </c>
      <c r="J49" s="29">
        <f>IFERROR(__xludf.DUMMYFUNCTION("""COMPUTED_VALUE"""),90.0)</f>
        <v>90</v>
      </c>
      <c r="K49" s="29">
        <f>IFERROR(__xludf.DUMMYFUNCTION("""COMPUTED_VALUE"""),11.0)</f>
        <v>11</v>
      </c>
      <c r="L49" s="31" t="str">
        <f>IFERROR(__xludf.DUMMYFUNCTION("""COMPUTED_VALUE"""),"Platformer")</f>
        <v>Platformer</v>
      </c>
      <c r="M49" s="31" t="str">
        <f>IFERROR(__xludf.DUMMYFUNCTION("""COMPUTED_VALUE"""),"Optimized")</f>
        <v>Optimized</v>
      </c>
    </row>
    <row r="50">
      <c r="A50" s="17" t="str">
        <f>IFERROR(__xludf.DUMMYFUNCTION("""COMPUTED_VALUE"""),"Mass Effect")</f>
        <v>Mass Effect</v>
      </c>
      <c r="B50" s="20" t="str">
        <f>IFERROR(__xludf.DUMMYFUNCTION("""COMPUTED_VALUE"""),"Xbox / PC")</f>
        <v>Xbox / PC</v>
      </c>
      <c r="C50" s="21"/>
      <c r="D50" s="21" t="str">
        <f>IFERROR(__xludf.DUMMYFUNCTION("""COMPUTED_VALUE"""),"Active")</f>
        <v>Active</v>
      </c>
      <c r="E50" s="23">
        <f>IFERROR(__xludf.DUMMYFUNCTION("""COMPUTED_VALUE"""),43070.0)</f>
        <v>43070</v>
      </c>
      <c r="F50" s="24"/>
      <c r="G50" s="27">
        <f>IFERROR(__xludf.DUMMYFUNCTION("""COMPUTED_VALUE"""),106.16666666666666)</f>
        <v>106.1666667</v>
      </c>
      <c r="H50" s="23">
        <f>IFERROR(__xludf.DUMMYFUNCTION("""COMPUTED_VALUE"""),39406.0)</f>
        <v>39406</v>
      </c>
      <c r="I50" s="27">
        <f>IFERROR(__xludf.DUMMYFUNCTION("""COMPUTED_VALUE"""),10.030555555555555)</f>
        <v>10.03055556</v>
      </c>
      <c r="J50" s="29">
        <f>IFERROR(__xludf.DUMMYFUNCTION("""COMPUTED_VALUE"""),90.0)</f>
        <v>90</v>
      </c>
      <c r="K50" s="29">
        <f>IFERROR(__xludf.DUMMYFUNCTION("""COMPUTED_VALUE"""),17.0)</f>
        <v>17</v>
      </c>
      <c r="L50" s="31" t="str">
        <f>IFERROR(__xludf.DUMMYFUNCTION("""COMPUTED_VALUE"""),"Shooter")</f>
        <v>Shooter</v>
      </c>
      <c r="M50" s="31"/>
    </row>
    <row r="51">
      <c r="A51" s="17" t="str">
        <f>IFERROR(__xludf.DUMMYFUNCTION("""COMPUTED_VALUE"""),"Dead Space 2")</f>
        <v>Dead Space 2</v>
      </c>
      <c r="B51" s="20" t="str">
        <f>IFERROR(__xludf.DUMMYFUNCTION("""COMPUTED_VALUE"""),"XB360/OG Xbox")</f>
        <v>XB360/OG Xbox</v>
      </c>
      <c r="C51" s="21"/>
      <c r="D51" s="21" t="str">
        <f>IFERROR(__xludf.DUMMYFUNCTION("""COMPUTED_VALUE"""),"GwG Permanent")</f>
        <v>GwG Permanent</v>
      </c>
      <c r="E51" s="23">
        <f>IFERROR(__xludf.DUMMYFUNCTION("""COMPUTED_VALUE"""),43206.0)</f>
        <v>43206</v>
      </c>
      <c r="F51" s="24">
        <f>IFERROR(__xludf.DUMMYFUNCTION("""COMPUTED_VALUE"""),43220.0)</f>
        <v>43220</v>
      </c>
      <c r="G51" s="27">
        <f>IFERROR(__xludf.DUMMYFUNCTION("""COMPUTED_VALUE"""),0.4666666666666667)</f>
        <v>0.4666666667</v>
      </c>
      <c r="H51" s="23">
        <f>IFERROR(__xludf.DUMMYFUNCTION("""COMPUTED_VALUE"""),40568.0)</f>
        <v>40568</v>
      </c>
      <c r="I51" s="27">
        <f>IFERROR(__xludf.DUMMYFUNCTION("""COMPUTED_VALUE"""),7.225)</f>
        <v>7.225</v>
      </c>
      <c r="J51" s="29">
        <f>IFERROR(__xludf.DUMMYFUNCTION("""COMPUTED_VALUE"""),90.0)</f>
        <v>90</v>
      </c>
      <c r="K51" s="29">
        <f>IFERROR(__xludf.DUMMYFUNCTION("""COMPUTED_VALUE"""),9.0)</f>
        <v>9</v>
      </c>
      <c r="L51" s="31" t="str">
        <f>IFERROR(__xludf.DUMMYFUNCTION("""COMPUTED_VALUE"""),"Action-Adventure")</f>
        <v>Action-Adventure</v>
      </c>
      <c r="M51" s="31"/>
    </row>
    <row r="52">
      <c r="A52" s="17" t="str">
        <f>IFERROR(__xludf.DUMMYFUNCTION("""COMPUTED_VALUE"""),"NiGHTS into Dreams")</f>
        <v>NiGHTS into Dreams</v>
      </c>
      <c r="B52" s="20" t="str">
        <f>IFERROR(__xludf.DUMMYFUNCTION("""COMPUTED_VALUE"""),"XB360/OG Xbox")</f>
        <v>XB360/OG Xbox</v>
      </c>
      <c r="C52" s="21"/>
      <c r="D52" s="21" t="str">
        <f>IFERROR(__xludf.DUMMYFUNCTION("""COMPUTED_VALUE"""),"GwG Permanent")</f>
        <v>GwG Permanent</v>
      </c>
      <c r="E52" s="23">
        <f>IFERROR(__xludf.DUMMYFUNCTION("""COMPUTED_VALUE"""),43040.0)</f>
        <v>43040</v>
      </c>
      <c r="F52" s="24">
        <f>IFERROR(__xludf.DUMMYFUNCTION("""COMPUTED_VALUE"""),43054.0)</f>
        <v>43054</v>
      </c>
      <c r="G52" s="27">
        <f>IFERROR(__xludf.DUMMYFUNCTION("""COMPUTED_VALUE"""),0.4666666666666667)</f>
        <v>0.4666666667</v>
      </c>
      <c r="H52" s="23">
        <f>IFERROR(__xludf.DUMMYFUNCTION("""COMPUTED_VALUE"""),33503.0)</f>
        <v>33503</v>
      </c>
      <c r="I52" s="27">
        <f>IFERROR(__xludf.DUMMYFUNCTION("""COMPUTED_VALUE"""),26.108333333333334)</f>
        <v>26.10833333</v>
      </c>
      <c r="J52" s="29">
        <f>IFERROR(__xludf.DUMMYFUNCTION("""COMPUTED_VALUE"""),90.0)</f>
        <v>90</v>
      </c>
      <c r="K52" s="29">
        <f>IFERROR(__xludf.DUMMYFUNCTION("""COMPUTED_VALUE"""),4.0)</f>
        <v>4</v>
      </c>
      <c r="L52" s="31" t="str">
        <f>IFERROR(__xludf.DUMMYFUNCTION("""COMPUTED_VALUE"""),"Platformer")</f>
        <v>Platformer</v>
      </c>
      <c r="M52" s="31"/>
    </row>
    <row r="53">
      <c r="A53" s="17" t="str">
        <f>IFERROR(__xludf.DUMMYFUNCTION("""COMPUTED_VALUE"""),"Bayonetta")</f>
        <v>Bayonetta</v>
      </c>
      <c r="B53" s="20" t="str">
        <f>IFERROR(__xludf.DUMMYFUNCTION("""COMPUTED_VALUE"""),"XB360/OG Xbox")</f>
        <v>XB360/OG Xbox</v>
      </c>
      <c r="C53" s="21"/>
      <c r="D53" s="21" t="str">
        <f>IFERROR(__xludf.DUMMYFUNCTION("""COMPUTED_VALUE"""),"GwG Permanent")</f>
        <v>GwG Permanent</v>
      </c>
      <c r="E53" s="23">
        <f>IFERROR(__xludf.DUMMYFUNCTION("""COMPUTED_VALUE"""),42948.0)</f>
        <v>42948</v>
      </c>
      <c r="F53" s="24">
        <f>IFERROR(__xludf.DUMMYFUNCTION("""COMPUTED_VALUE"""),42962.0)</f>
        <v>42962</v>
      </c>
      <c r="G53" s="27">
        <f>IFERROR(__xludf.DUMMYFUNCTION("""COMPUTED_VALUE"""),0.4666666666666667)</f>
        <v>0.4666666667</v>
      </c>
      <c r="H53" s="23">
        <f>IFERROR(__xludf.DUMMYFUNCTION("""COMPUTED_VALUE"""),40183.0)</f>
        <v>40183</v>
      </c>
      <c r="I53" s="27">
        <f>IFERROR(__xludf.DUMMYFUNCTION("""COMPUTED_VALUE"""),7.572222222222222)</f>
        <v>7.572222222</v>
      </c>
      <c r="J53" s="29">
        <f>IFERROR(__xludf.DUMMYFUNCTION("""COMPUTED_VALUE"""),90.0)</f>
        <v>90</v>
      </c>
      <c r="K53" s="29">
        <f>IFERROR(__xludf.DUMMYFUNCTION("""COMPUTED_VALUE"""),12.0)</f>
        <v>12</v>
      </c>
      <c r="L53" s="31" t="str">
        <f>IFERROR(__xludf.DUMMYFUNCTION("""COMPUTED_VALUE"""),"Action‑Adventure")</f>
        <v>Action‑Adventure</v>
      </c>
      <c r="M53" s="31"/>
    </row>
    <row r="54">
      <c r="A54" s="17" t="str">
        <f>IFERROR(__xludf.DUMMYFUNCTION("""COMPUTED_VALUE"""),"Super Street Fighter IV: Arcade Edition")</f>
        <v>Super Street Fighter IV: Arcade Edition</v>
      </c>
      <c r="B54" s="20" t="str">
        <f>IFERROR(__xludf.DUMMYFUNCTION("""COMPUTED_VALUE"""),"XB360/OG Xbox")</f>
        <v>XB360/OG Xbox</v>
      </c>
      <c r="C54" s="21"/>
      <c r="D54" s="21" t="str">
        <f>IFERROR(__xludf.DUMMYFUNCTION("""COMPUTED_VALUE"""),"GwG Permanent")</f>
        <v>GwG Permanent</v>
      </c>
      <c r="E54" s="23">
        <f>IFERROR(__xludf.DUMMYFUNCTION("""COMPUTED_VALUE"""),41806.0)</f>
        <v>41806</v>
      </c>
      <c r="F54" s="24">
        <f>IFERROR(__xludf.DUMMYFUNCTION("""COMPUTED_VALUE"""),41820.0)</f>
        <v>41820</v>
      </c>
      <c r="G54" s="27">
        <f>IFERROR(__xludf.DUMMYFUNCTION("""COMPUTED_VALUE"""),0.4666666666666667)</f>
        <v>0.4666666667</v>
      </c>
      <c r="H54" s="23">
        <f>IFERROR(__xludf.DUMMYFUNCTION("""COMPUTED_VALUE"""),40660.0)</f>
        <v>40660</v>
      </c>
      <c r="I54" s="27">
        <f>IFERROR(__xludf.DUMMYFUNCTION("""COMPUTED_VALUE"""),3.136111111111111)</f>
        <v>3.136111111</v>
      </c>
      <c r="J54" s="29">
        <f>IFERROR(__xludf.DUMMYFUNCTION("""COMPUTED_VALUE"""),90.0)</f>
        <v>90</v>
      </c>
      <c r="K54" s="29">
        <f>IFERROR(__xludf.DUMMYFUNCTION("""COMPUTED_VALUE"""),8.0)</f>
        <v>8</v>
      </c>
      <c r="L54" s="31" t="str">
        <f>IFERROR(__xludf.DUMMYFUNCTION("""COMPUTED_VALUE"""),"Fighting")</f>
        <v>Fighting</v>
      </c>
      <c r="M54" s="31"/>
    </row>
    <row r="55">
      <c r="A55" s="17" t="str">
        <f>IFERROR(__xludf.DUMMYFUNCTION("""COMPUTED_VALUE"""),"Assassin's Creed II")</f>
        <v>Assassin's Creed II</v>
      </c>
      <c r="B55" s="20" t="str">
        <f>IFERROR(__xludf.DUMMYFUNCTION("""COMPUTED_VALUE"""),"XB360/OG Xbox")</f>
        <v>XB360/OG Xbox</v>
      </c>
      <c r="C55" s="21"/>
      <c r="D55" s="21" t="str">
        <f>IFERROR(__xludf.DUMMYFUNCTION("""COMPUTED_VALUE"""),"GwG Permanent")</f>
        <v>GwG Permanent</v>
      </c>
      <c r="E55" s="23">
        <f>IFERROR(__xludf.DUMMYFUNCTION("""COMPUTED_VALUE"""),41471.0)</f>
        <v>41471</v>
      </c>
      <c r="F55" s="24">
        <f>IFERROR(__xludf.DUMMYFUNCTION("""COMPUTED_VALUE"""),41486.0)</f>
        <v>41486</v>
      </c>
      <c r="G55" s="27">
        <f>IFERROR(__xludf.DUMMYFUNCTION("""COMPUTED_VALUE"""),0.4666666666666667)</f>
        <v>0.4666666667</v>
      </c>
      <c r="H55" s="23">
        <f>IFERROR(__xludf.DUMMYFUNCTION("""COMPUTED_VALUE"""),40134.0)</f>
        <v>40134</v>
      </c>
      <c r="I55" s="27">
        <f>IFERROR(__xludf.DUMMYFUNCTION("""COMPUTED_VALUE"""),3.6638888888888888)</f>
        <v>3.663888889</v>
      </c>
      <c r="J55" s="29">
        <f>IFERROR(__xludf.DUMMYFUNCTION("""COMPUTED_VALUE"""),90.0)</f>
        <v>90</v>
      </c>
      <c r="K55" s="29">
        <f>IFERROR(__xludf.DUMMYFUNCTION("""COMPUTED_VALUE"""),19.0)</f>
        <v>19</v>
      </c>
      <c r="L55" s="31" t="str">
        <f>IFERROR(__xludf.DUMMYFUNCTION("""COMPUTED_VALUE"""),"Action-Adventure")</f>
        <v>Action-Adventure</v>
      </c>
      <c r="M55" s="31"/>
    </row>
    <row r="56">
      <c r="A56" s="17" t="str">
        <f>IFERROR(__xludf.DUMMYFUNCTION("""COMPUTED_VALUE"""),"Like a Dragon: Infinite Wealth")</f>
        <v>Like a Dragon: Infinite Wealth</v>
      </c>
      <c r="B56" s="20" t="str">
        <f>IFERROR(__xludf.DUMMYFUNCTION("""COMPUTED_VALUE"""),"Xbox / PC")</f>
        <v>Xbox / PC</v>
      </c>
      <c r="C56" s="21" t="str">
        <f>IFERROR(__xludf.DUMMYFUNCTION("""COMPUTED_VALUE"""),"Yes")</f>
        <v>Yes</v>
      </c>
      <c r="D56" s="21" t="str">
        <f>IFERROR(__xludf.DUMMYFUNCTION("""COMPUTED_VALUE"""),"Active")</f>
        <v>Active</v>
      </c>
      <c r="E56" s="23">
        <f>IFERROR(__xludf.DUMMYFUNCTION("""COMPUTED_VALUE"""),46105.0)</f>
        <v>46105</v>
      </c>
      <c r="F56" s="24"/>
      <c r="G56" s="27">
        <f>IFERROR(__xludf.DUMMYFUNCTION("""COMPUTED_VALUE"""),6.4)</f>
        <v>6.4</v>
      </c>
      <c r="H56" s="23">
        <f>IFERROR(__xludf.DUMMYFUNCTION("""COMPUTED_VALUE"""),45317.0)</f>
        <v>45317</v>
      </c>
      <c r="I56" s="27">
        <f>IFERROR(__xludf.DUMMYFUNCTION("""COMPUTED_VALUE"""),2.161111111111111)</f>
        <v>2.161111111</v>
      </c>
      <c r="J56" s="29">
        <f>IFERROR(__xludf.DUMMYFUNCTION("""COMPUTED_VALUE"""),89.0)</f>
        <v>89</v>
      </c>
      <c r="K56" s="29">
        <f>IFERROR(__xludf.DUMMYFUNCTION("""COMPUTED_VALUE"""),45.0)</f>
        <v>45</v>
      </c>
      <c r="L56" s="31" t="str">
        <f>IFERROR(__xludf.DUMMYFUNCTION("""COMPUTED_VALUE"""),"RPG")</f>
        <v>RPG</v>
      </c>
      <c r="M56" s="31"/>
    </row>
    <row r="57">
      <c r="A57" s="17" t="str">
        <f>IFERROR(__xludf.DUMMYFUNCTION("""COMPUTED_VALUE"""),"Assassin's Creed Brotherhood")</f>
        <v>Assassin's Creed Brotherhood</v>
      </c>
      <c r="B57" s="20" t="str">
        <f>IFERROR(__xludf.DUMMYFUNCTION("""COMPUTED_VALUE"""),"Xbox / PC")</f>
        <v>Xbox / PC</v>
      </c>
      <c r="C57" s="21"/>
      <c r="D57" s="21" t="str">
        <f>IFERROR(__xludf.DUMMYFUNCTION("""COMPUTED_VALUE"""),"Active")</f>
        <v>Active</v>
      </c>
      <c r="E57" s="23">
        <f>IFERROR(__xludf.DUMMYFUNCTION("""COMPUTED_VALUE"""),45931.0)</f>
        <v>45931</v>
      </c>
      <c r="F57" s="24"/>
      <c r="G57" s="27">
        <f>IFERROR(__xludf.DUMMYFUNCTION("""COMPUTED_VALUE"""),12.166666666666666)</f>
        <v>12.16666667</v>
      </c>
      <c r="H57" s="23">
        <f>IFERROR(__xludf.DUMMYFUNCTION("""COMPUTED_VALUE"""),40498.0)</f>
        <v>40498</v>
      </c>
      <c r="I57" s="27">
        <f>IFERROR(__xludf.DUMMYFUNCTION("""COMPUTED_VALUE"""),14.875)</f>
        <v>14.875</v>
      </c>
      <c r="J57" s="29">
        <f>IFERROR(__xludf.DUMMYFUNCTION("""COMPUTED_VALUE"""),89.0)</f>
        <v>89</v>
      </c>
      <c r="K57" s="29">
        <f>IFERROR(__xludf.DUMMYFUNCTION("""COMPUTED_VALUE"""),15.0)</f>
        <v>15</v>
      </c>
      <c r="L57" s="31" t="str">
        <f>IFERROR(__xludf.DUMMYFUNCTION("""COMPUTED_VALUE"""),"Action-Adventure")</f>
        <v>Action-Adventure</v>
      </c>
      <c r="M57" s="31"/>
    </row>
    <row r="58">
      <c r="A58" s="17" t="str">
        <f>IFERROR(__xludf.DUMMYFUNCTION("""COMPUTED_VALUE"""),"Gabriel Knight: Sins of the Fathers")</f>
        <v>Gabriel Knight: Sins of the Fathers</v>
      </c>
      <c r="B58" s="20" t="str">
        <f>IFERROR(__xludf.DUMMYFUNCTION("""COMPUTED_VALUE"""),"Xbox / PC")</f>
        <v>Xbox / PC</v>
      </c>
      <c r="C58" s="21" t="str">
        <f>IFERROR(__xludf.DUMMYFUNCTION("""COMPUTED_VALUE"""),"Yes")</f>
        <v>Yes</v>
      </c>
      <c r="D58" s="21" t="str">
        <f>IFERROR(__xludf.DUMMYFUNCTION("""COMPUTED_VALUE"""),"Active")</f>
        <v>Active</v>
      </c>
      <c r="E58" s="23">
        <f>IFERROR(__xludf.DUMMYFUNCTION("""COMPUTED_VALUE"""),45859.0)</f>
        <v>45859</v>
      </c>
      <c r="F58" s="24"/>
      <c r="G58" s="27">
        <f>IFERROR(__xludf.DUMMYFUNCTION("""COMPUTED_VALUE"""),14.5)</f>
        <v>14.5</v>
      </c>
      <c r="H58" s="23">
        <f>IFERROR(__xludf.DUMMYFUNCTION("""COMPUTED_VALUE"""),34320.0)</f>
        <v>34320</v>
      </c>
      <c r="I58" s="27">
        <f>IFERROR(__xludf.DUMMYFUNCTION("""COMPUTED_VALUE"""),31.594444444444445)</f>
        <v>31.59444444</v>
      </c>
      <c r="J58" s="29">
        <f>IFERROR(__xludf.DUMMYFUNCTION("""COMPUTED_VALUE"""),89.0)</f>
        <v>89</v>
      </c>
      <c r="K58" s="29">
        <f>IFERROR(__xludf.DUMMYFUNCTION("""COMPUTED_VALUE"""),11.0)</f>
        <v>11</v>
      </c>
      <c r="L58" s="31" t="str">
        <f>IFERROR(__xludf.DUMMYFUNCTION("""COMPUTED_VALUE"""),"Action-Adventure")</f>
        <v>Action-Adventure</v>
      </c>
      <c r="M58" s="31"/>
    </row>
    <row r="59">
      <c r="A59" s="17" t="str">
        <f>IFERROR(__xludf.DUMMYFUNCTION("""COMPUTED_VALUE"""),"Hi-Fi RUSH")</f>
        <v>Hi-Fi RUSH</v>
      </c>
      <c r="B59" s="20" t="str">
        <f>IFERROR(__xludf.DUMMYFUNCTION("""COMPUTED_VALUE"""),"Xbox / PC")</f>
        <v>Xbox / PC</v>
      </c>
      <c r="C59" s="21" t="str">
        <f>IFERROR(__xludf.DUMMYFUNCTION("""COMPUTED_VALUE"""),"Yes")</f>
        <v>Yes</v>
      </c>
      <c r="D59" s="21" t="str">
        <f>IFERROR(__xludf.DUMMYFUNCTION("""COMPUTED_VALUE"""),"Active")</f>
        <v>Active</v>
      </c>
      <c r="E59" s="23">
        <f>IFERROR(__xludf.DUMMYFUNCTION("""COMPUTED_VALUE"""),44951.0)</f>
        <v>44951</v>
      </c>
      <c r="F59" s="24"/>
      <c r="G59" s="27">
        <f>IFERROR(__xludf.DUMMYFUNCTION("""COMPUTED_VALUE"""),44.36666666666667)</f>
        <v>44.36666667</v>
      </c>
      <c r="H59" s="23">
        <f>IFERROR(__xludf.DUMMYFUNCTION("""COMPUTED_VALUE"""),44951.0)</f>
        <v>44951</v>
      </c>
      <c r="I59" s="27">
        <f>IFERROR(__xludf.DUMMYFUNCTION("""COMPUTED_VALUE"""),0.0)</f>
        <v>0</v>
      </c>
      <c r="J59" s="29">
        <f>IFERROR(__xludf.DUMMYFUNCTION("""COMPUTED_VALUE"""),89.0)</f>
        <v>89</v>
      </c>
      <c r="K59" s="29">
        <f>IFERROR(__xludf.DUMMYFUNCTION("""COMPUTED_VALUE"""),10.0)</f>
        <v>10</v>
      </c>
      <c r="L59" s="31" t="str">
        <f>IFERROR(__xludf.DUMMYFUNCTION("""COMPUTED_VALUE"""),"Action-Adventure")</f>
        <v>Action-Adventure</v>
      </c>
      <c r="M59" s="31" t="str">
        <f>IFERROR(__xludf.DUMMYFUNCTION("""COMPUTED_VALUE"""),"Exclusive")</f>
        <v>Exclusive</v>
      </c>
    </row>
    <row r="60">
      <c r="A60" s="17" t="str">
        <f>IFERROR(__xludf.DUMMYFUNCTION("""COMPUTED_VALUE"""),"DEATHLOOP")</f>
        <v>DEATHLOOP</v>
      </c>
      <c r="B60" s="20" t="str">
        <f>IFERROR(__xludf.DUMMYFUNCTION("""COMPUTED_VALUE"""),"Xbox / PC")</f>
        <v>Xbox / PC</v>
      </c>
      <c r="C60" s="21" t="str">
        <f>IFERROR(__xludf.DUMMYFUNCTION("""COMPUTED_VALUE"""),"Yes")</f>
        <v>Yes</v>
      </c>
      <c r="D60" s="21" t="str">
        <f>IFERROR(__xludf.DUMMYFUNCTION("""COMPUTED_VALUE"""),"Active")</f>
        <v>Active</v>
      </c>
      <c r="E60" s="23">
        <f>IFERROR(__xludf.DUMMYFUNCTION("""COMPUTED_VALUE"""),44824.0)</f>
        <v>44824</v>
      </c>
      <c r="F60" s="24"/>
      <c r="G60" s="27">
        <f>IFERROR(__xludf.DUMMYFUNCTION("""COMPUTED_VALUE"""),48.53333333333333)</f>
        <v>48.53333333</v>
      </c>
      <c r="H60" s="23">
        <f>IFERROR(__xludf.DUMMYFUNCTION("""COMPUTED_VALUE"""),44453.0)</f>
        <v>44453</v>
      </c>
      <c r="I60" s="27">
        <f>IFERROR(__xludf.DUMMYFUNCTION("""COMPUTED_VALUE"""),1.0166666666666666)</f>
        <v>1.016666667</v>
      </c>
      <c r="J60" s="29">
        <f>IFERROR(__xludf.DUMMYFUNCTION("""COMPUTED_VALUE"""),89.0)</f>
        <v>89</v>
      </c>
      <c r="K60" s="29">
        <f>IFERROR(__xludf.DUMMYFUNCTION("""COMPUTED_VALUE"""),16.0)</f>
        <v>16</v>
      </c>
      <c r="L60" s="31" t="str">
        <f>IFERROR(__xludf.DUMMYFUNCTION("""COMPUTED_VALUE"""),"Shooter")</f>
        <v>Shooter</v>
      </c>
      <c r="M60" s="31" t="str">
        <f>IFERROR(__xludf.DUMMYFUNCTION("""COMPUTED_VALUE"""),"Exclusive")</f>
        <v>Exclusive</v>
      </c>
    </row>
    <row r="61">
      <c r="A61" s="17" t="str">
        <f>IFERROR(__xludf.DUMMYFUNCTION("""COMPUTED_VALUE"""),"Stardew Valley")</f>
        <v>Stardew Valley</v>
      </c>
      <c r="B61" s="20" t="str">
        <f>IFERROR(__xludf.DUMMYFUNCTION("""COMPUTED_VALUE"""),"Xbox / PC")</f>
        <v>Xbox / PC</v>
      </c>
      <c r="C61" s="21" t="str">
        <f>IFERROR(__xludf.DUMMYFUNCTION("""COMPUTED_VALUE"""),"Touch Controls")</f>
        <v>Touch Controls</v>
      </c>
      <c r="D61" s="21" t="str">
        <f>IFERROR(__xludf.DUMMYFUNCTION("""COMPUTED_VALUE"""),"Active")</f>
        <v>Active</v>
      </c>
      <c r="E61" s="23">
        <f>IFERROR(__xludf.DUMMYFUNCTION("""COMPUTED_VALUE"""),44532.0)</f>
        <v>44532</v>
      </c>
      <c r="F61" s="24"/>
      <c r="G61" s="27">
        <f>IFERROR(__xludf.DUMMYFUNCTION("""COMPUTED_VALUE"""),58.133333333333326)</f>
        <v>58.13333333</v>
      </c>
      <c r="H61" s="23">
        <f>IFERROR(__xludf.DUMMYFUNCTION("""COMPUTED_VALUE"""),42426.0)</f>
        <v>42426</v>
      </c>
      <c r="I61" s="27">
        <f>IFERROR(__xludf.DUMMYFUNCTION("""COMPUTED_VALUE"""),5.766666666666667)</f>
        <v>5.766666667</v>
      </c>
      <c r="J61" s="29">
        <f>IFERROR(__xludf.DUMMYFUNCTION("""COMPUTED_VALUE"""),89.0)</f>
        <v>89</v>
      </c>
      <c r="K61" s="29">
        <f>IFERROR(__xludf.DUMMYFUNCTION("""COMPUTED_VALUE"""),52.5)</f>
        <v>52.5</v>
      </c>
      <c r="L61" s="31" t="str">
        <f>IFERROR(__xludf.DUMMYFUNCTION("""COMPUTED_VALUE"""),"RPG")</f>
        <v>RPG</v>
      </c>
      <c r="M61" s="31"/>
    </row>
    <row r="62">
      <c r="A62" s="17" t="str">
        <f>IFERROR(__xludf.DUMMYFUNCTION("""COMPUTED_VALUE"""),"Psychonauts 2")</f>
        <v>Psychonauts 2</v>
      </c>
      <c r="B62" s="20" t="str">
        <f>IFERROR(__xludf.DUMMYFUNCTION("""COMPUTED_VALUE"""),"Xbox / PC")</f>
        <v>Xbox / PC</v>
      </c>
      <c r="C62" s="21" t="str">
        <f>IFERROR(__xludf.DUMMYFUNCTION("""COMPUTED_VALUE"""),"Touch Controls")</f>
        <v>Touch Controls</v>
      </c>
      <c r="D62" s="21" t="str">
        <f>IFERROR(__xludf.DUMMYFUNCTION("""COMPUTED_VALUE"""),"Active")</f>
        <v>Active</v>
      </c>
      <c r="E62" s="23">
        <f>IFERROR(__xludf.DUMMYFUNCTION("""COMPUTED_VALUE"""),44433.0)</f>
        <v>44433</v>
      </c>
      <c r="F62" s="24"/>
      <c r="G62" s="27">
        <f>IFERROR(__xludf.DUMMYFUNCTION("""COMPUTED_VALUE"""),61.36666666666667)</f>
        <v>61.36666667</v>
      </c>
      <c r="H62" s="23">
        <f>IFERROR(__xludf.DUMMYFUNCTION("""COMPUTED_VALUE"""),44433.0)</f>
        <v>44433</v>
      </c>
      <c r="I62" s="27">
        <f>IFERROR(__xludf.DUMMYFUNCTION("""COMPUTED_VALUE"""),0.0)</f>
        <v>0</v>
      </c>
      <c r="J62" s="29">
        <f>IFERROR(__xludf.DUMMYFUNCTION("""COMPUTED_VALUE"""),89.0)</f>
        <v>89</v>
      </c>
      <c r="K62" s="29">
        <f>IFERROR(__xludf.DUMMYFUNCTION("""COMPUTED_VALUE"""),14.0)</f>
        <v>14</v>
      </c>
      <c r="L62" s="31" t="str">
        <f>IFERROR(__xludf.DUMMYFUNCTION("""COMPUTED_VALUE"""),"Platformer")</f>
        <v>Platformer</v>
      </c>
      <c r="M62" s="31"/>
    </row>
    <row r="63">
      <c r="A63" s="17" t="str">
        <f>IFERROR(__xludf.DUMMYFUNCTION("""COMPUTED_VALUE"""),"Quake II")</f>
        <v>Quake II</v>
      </c>
      <c r="B63" s="20" t="str">
        <f>IFERROR(__xludf.DUMMYFUNCTION("""COMPUTED_VALUE"""),"Xbox / PC")</f>
        <v>Xbox / PC</v>
      </c>
      <c r="C63" s="21" t="str">
        <f>IFERROR(__xludf.DUMMYFUNCTION("""COMPUTED_VALUE"""),"M+KB")</f>
        <v>M+KB</v>
      </c>
      <c r="D63" s="21" t="str">
        <f>IFERROR(__xludf.DUMMYFUNCTION("""COMPUTED_VALUE"""),"Active")</f>
        <v>Active</v>
      </c>
      <c r="E63" s="23">
        <f>IFERROR(__xludf.DUMMYFUNCTION("""COMPUTED_VALUE"""),44427.0)</f>
        <v>44427</v>
      </c>
      <c r="F63" s="24"/>
      <c r="G63" s="27">
        <f>IFERROR(__xludf.DUMMYFUNCTION("""COMPUTED_VALUE"""),61.56666666666666)</f>
        <v>61.56666667</v>
      </c>
      <c r="H63" s="23">
        <f>IFERROR(__xludf.DUMMYFUNCTION("""COMPUTED_VALUE"""),35773.0)</f>
        <v>35773</v>
      </c>
      <c r="I63" s="27">
        <f>IFERROR(__xludf.DUMMYFUNCTION("""COMPUTED_VALUE"""),23.694444444444443)</f>
        <v>23.69444444</v>
      </c>
      <c r="J63" s="29">
        <f>IFERROR(__xludf.DUMMYFUNCTION("""COMPUTED_VALUE"""),89.0)</f>
        <v>89</v>
      </c>
      <c r="K63" s="29">
        <f>IFERROR(__xludf.DUMMYFUNCTION("""COMPUTED_VALUE"""),8.0)</f>
        <v>8</v>
      </c>
      <c r="L63" s="31" t="str">
        <f>IFERROR(__xludf.DUMMYFUNCTION("""COMPUTED_VALUE"""),"Shooter")</f>
        <v>Shooter</v>
      </c>
      <c r="M63" s="31"/>
    </row>
    <row r="64">
      <c r="A64" s="17" t="str">
        <f>IFERROR(__xludf.DUMMYFUNCTION("""COMPUTED_VALUE"""),"Dead Space")</f>
        <v>Dead Space</v>
      </c>
      <c r="B64" s="20" t="str">
        <f>IFERROR(__xludf.DUMMYFUNCTION("""COMPUTED_VALUE"""),"Xbox / PC")</f>
        <v>Xbox / PC</v>
      </c>
      <c r="C64" s="21" t="str">
        <f>IFERROR(__xludf.DUMMYFUNCTION("""COMPUTED_VALUE"""),"Yes")</f>
        <v>Yes</v>
      </c>
      <c r="D64" s="21" t="str">
        <f>IFERROR(__xludf.DUMMYFUNCTION("""COMPUTED_VALUE"""),"Active")</f>
        <v>Active</v>
      </c>
      <c r="E64" s="23">
        <f>IFERROR(__xludf.DUMMYFUNCTION("""COMPUTED_VALUE"""),44145.0)</f>
        <v>44145</v>
      </c>
      <c r="F64" s="24"/>
      <c r="G64" s="27">
        <f>IFERROR(__xludf.DUMMYFUNCTION("""COMPUTED_VALUE"""),70.86666666666667)</f>
        <v>70.86666667</v>
      </c>
      <c r="H64" s="23">
        <f>IFERROR(__xludf.DUMMYFUNCTION("""COMPUTED_VALUE"""),39735.0)</f>
        <v>39735</v>
      </c>
      <c r="I64" s="27">
        <f>IFERROR(__xludf.DUMMYFUNCTION("""COMPUTED_VALUE"""),12.072222222222223)</f>
        <v>12.07222222</v>
      </c>
      <c r="J64" s="29">
        <f>IFERROR(__xludf.DUMMYFUNCTION("""COMPUTED_VALUE"""),89.0)</f>
        <v>89</v>
      </c>
      <c r="K64" s="29">
        <f>IFERROR(__xludf.DUMMYFUNCTION("""COMPUTED_VALUE"""),11.0)</f>
        <v>11</v>
      </c>
      <c r="L64" s="31" t="str">
        <f>IFERROR(__xludf.DUMMYFUNCTION("""COMPUTED_VALUE"""),"Action")</f>
        <v>Action</v>
      </c>
      <c r="M64" s="31"/>
    </row>
    <row r="65">
      <c r="A65" s="17" t="str">
        <f>IFERROR(__xludf.DUMMYFUNCTION("""COMPUTED_VALUE"""),"Peggle")</f>
        <v>Peggle</v>
      </c>
      <c r="B65" s="20" t="str">
        <f>IFERROR(__xludf.DUMMYFUNCTION("""COMPUTED_VALUE"""),"Xbox / PC")</f>
        <v>Xbox / PC</v>
      </c>
      <c r="C65" s="21"/>
      <c r="D65" s="21" t="str">
        <f>IFERROR(__xludf.DUMMYFUNCTION("""COMPUTED_VALUE"""),"Active")</f>
        <v>Active</v>
      </c>
      <c r="E65" s="23">
        <f>IFERROR(__xludf.DUMMYFUNCTION("""COMPUTED_VALUE"""),44145.0)</f>
        <v>44145</v>
      </c>
      <c r="F65" s="24"/>
      <c r="G65" s="27">
        <f>IFERROR(__xludf.DUMMYFUNCTION("""COMPUTED_VALUE"""),70.86666666666667)</f>
        <v>70.86666667</v>
      </c>
      <c r="H65" s="23">
        <f>IFERROR(__xludf.DUMMYFUNCTION("""COMPUTED_VALUE"""),39183.0)</f>
        <v>39183</v>
      </c>
      <c r="I65" s="27">
        <f>IFERROR(__xludf.DUMMYFUNCTION("""COMPUTED_VALUE"""),13.580555555555556)</f>
        <v>13.58055556</v>
      </c>
      <c r="J65" s="29">
        <f>IFERROR(__xludf.DUMMYFUNCTION("""COMPUTED_VALUE"""),89.0)</f>
        <v>89</v>
      </c>
      <c r="K65" s="29">
        <f>IFERROR(__xludf.DUMMYFUNCTION("""COMPUTED_VALUE"""),4.0)</f>
        <v>4</v>
      </c>
      <c r="L65" s="31" t="str">
        <f>IFERROR(__xludf.DUMMYFUNCTION("""COMPUTED_VALUE"""),"Puzzle")</f>
        <v>Puzzle</v>
      </c>
      <c r="M65" s="31"/>
    </row>
    <row r="66">
      <c r="A66" s="17" t="str">
        <f>IFERROR(__xludf.DUMMYFUNCTION("""COMPUTED_VALUE"""),"Peggle 2")</f>
        <v>Peggle 2</v>
      </c>
      <c r="B66" s="20" t="str">
        <f>IFERROR(__xludf.DUMMYFUNCTION("""COMPUTED_VALUE"""),"Xbox")</f>
        <v>Xbox</v>
      </c>
      <c r="C66" s="21" t="str">
        <f>IFERROR(__xludf.DUMMYFUNCTION("""COMPUTED_VALUE"""),"Touch Controls")</f>
        <v>Touch Controls</v>
      </c>
      <c r="D66" s="21" t="str">
        <f>IFERROR(__xludf.DUMMYFUNCTION("""COMPUTED_VALUE"""),"Active")</f>
        <v>Active</v>
      </c>
      <c r="E66" s="23">
        <f>IFERROR(__xludf.DUMMYFUNCTION("""COMPUTED_VALUE"""),44145.0)</f>
        <v>44145</v>
      </c>
      <c r="F66" s="24"/>
      <c r="G66" s="27">
        <f>IFERROR(__xludf.DUMMYFUNCTION("""COMPUTED_VALUE"""),70.86666666666667)</f>
        <v>70.86666667</v>
      </c>
      <c r="H66" s="23">
        <f>IFERROR(__xludf.DUMMYFUNCTION("""COMPUTED_VALUE"""),41529.0)</f>
        <v>41529</v>
      </c>
      <c r="I66" s="27">
        <f>IFERROR(__xludf.DUMMYFUNCTION("""COMPUTED_VALUE"""),7.161111111111111)</f>
        <v>7.161111111</v>
      </c>
      <c r="J66" s="29">
        <f>IFERROR(__xludf.DUMMYFUNCTION("""COMPUTED_VALUE"""),89.0)</f>
        <v>89</v>
      </c>
      <c r="K66" s="29">
        <f>IFERROR(__xludf.DUMMYFUNCTION("""COMPUTED_VALUE"""),6.0)</f>
        <v>6</v>
      </c>
      <c r="L66" s="31" t="str">
        <f>IFERROR(__xludf.DUMMYFUNCTION("""COMPUTED_VALUE"""),"Puzzle")</f>
        <v>Puzzle</v>
      </c>
      <c r="M66" s="31"/>
    </row>
    <row r="67">
      <c r="A67" s="17" t="str">
        <f>IFERROR(__xludf.DUMMYFUNCTION("""COMPUTED_VALUE"""),"Plants vs. Zombies: Game of the Year Edition")</f>
        <v>Plants vs. Zombies: Game of the Year Edition</v>
      </c>
      <c r="B67" s="20" t="str">
        <f>IFERROR(__xludf.DUMMYFUNCTION("""COMPUTED_VALUE"""),"Xbox / PC")</f>
        <v>Xbox / PC</v>
      </c>
      <c r="C67" s="21"/>
      <c r="D67" s="21" t="str">
        <f>IFERROR(__xludf.DUMMYFUNCTION("""COMPUTED_VALUE"""),"Active")</f>
        <v>Active</v>
      </c>
      <c r="E67" s="23">
        <f>IFERROR(__xludf.DUMMYFUNCTION("""COMPUTED_VALUE"""),44145.0)</f>
        <v>44145</v>
      </c>
      <c r="F67" s="24"/>
      <c r="G67" s="27">
        <f>IFERROR(__xludf.DUMMYFUNCTION("""COMPUTED_VALUE"""),70.86666666666667)</f>
        <v>70.86666667</v>
      </c>
      <c r="H67" s="23">
        <f>IFERROR(__xludf.DUMMYFUNCTION("""COMPUTED_VALUE"""),39938.0)</f>
        <v>39938</v>
      </c>
      <c r="I67" s="27">
        <f>IFERROR(__xludf.DUMMYFUNCTION("""COMPUTED_VALUE"""),11.51388888888889)</f>
        <v>11.51388889</v>
      </c>
      <c r="J67" s="29">
        <f>IFERROR(__xludf.DUMMYFUNCTION("""COMPUTED_VALUE"""),89.0)</f>
        <v>89</v>
      </c>
      <c r="K67" s="29">
        <f>IFERROR(__xludf.DUMMYFUNCTION("""COMPUTED_VALUE"""),8.0)</f>
        <v>8</v>
      </c>
      <c r="L67" s="31" t="str">
        <f>IFERROR(__xludf.DUMMYFUNCTION("""COMPUTED_VALUE"""),"Strategy")</f>
        <v>Strategy</v>
      </c>
      <c r="M67" s="31"/>
    </row>
    <row r="68">
      <c r="A68" s="17" t="str">
        <f>IFERROR(__xludf.DUMMYFUNCTION("""COMPUTED_VALUE"""),"Hollow Knight: Voidheart Edition")</f>
        <v>Hollow Knight: Voidheart Edition</v>
      </c>
      <c r="B68" s="20" t="str">
        <f>IFERROR(__xludf.DUMMYFUNCTION("""COMPUTED_VALUE"""),"Xbox / PC")</f>
        <v>Xbox / PC</v>
      </c>
      <c r="C68" s="21" t="str">
        <f>IFERROR(__xludf.DUMMYFUNCTION("""COMPUTED_VALUE"""),"Yes")</f>
        <v>Yes</v>
      </c>
      <c r="D68" s="21" t="str">
        <f>IFERROR(__xludf.DUMMYFUNCTION("""COMPUTED_VALUE"""),"Active")</f>
        <v>Active</v>
      </c>
      <c r="E68" s="23">
        <f>IFERROR(__xludf.DUMMYFUNCTION("""COMPUTED_VALUE"""),43625.0)</f>
        <v>43625</v>
      </c>
      <c r="F68" s="24"/>
      <c r="G68" s="27">
        <f>IFERROR(__xludf.DUMMYFUNCTION("""COMPUTED_VALUE"""),87.9)</f>
        <v>87.9</v>
      </c>
      <c r="H68" s="23">
        <f>IFERROR(__xludf.DUMMYFUNCTION("""COMPUTED_VALUE"""),42790.0)</f>
        <v>42790</v>
      </c>
      <c r="I68" s="27">
        <f>IFERROR(__xludf.DUMMYFUNCTION("""COMPUTED_VALUE"""),2.2916666666666665)</f>
        <v>2.291666667</v>
      </c>
      <c r="J68" s="29">
        <f>IFERROR(__xludf.DUMMYFUNCTION("""COMPUTED_VALUE"""),89.0)</f>
        <v>89</v>
      </c>
      <c r="K68" s="29">
        <f>IFERROR(__xludf.DUMMYFUNCTION("""COMPUTED_VALUE"""),25.0)</f>
        <v>25</v>
      </c>
      <c r="L68" s="31" t="str">
        <f>IFERROR(__xludf.DUMMYFUNCTION("""COMPUTED_VALUE"""),"Platformer")</f>
        <v>Platformer</v>
      </c>
      <c r="M68" s="31" t="str">
        <f>IFERROR(__xludf.DUMMYFUNCTION("""COMPUTED_VALUE"""),"FPS Boost")</f>
        <v>FPS Boost</v>
      </c>
    </row>
    <row r="69">
      <c r="A69" s="17" t="str">
        <f>IFERROR(__xludf.DUMMYFUNCTION("""COMPUTED_VALUE"""),"The Walking Dead: The Complete First Season")</f>
        <v>The Walking Dead: The Complete First Season</v>
      </c>
      <c r="B69" s="20" t="str">
        <f>IFERROR(__xludf.DUMMYFUNCTION("""COMPUTED_VALUE"""),"Xbox / PC")</f>
        <v>Xbox / PC</v>
      </c>
      <c r="C69" s="21" t="str">
        <f>IFERROR(__xludf.DUMMYFUNCTION("""COMPUTED_VALUE"""),"Touch Controls")</f>
        <v>Touch Controls</v>
      </c>
      <c r="D69" s="21" t="str">
        <f>IFERROR(__xludf.DUMMYFUNCTION("""COMPUTED_VALUE"""),"Active")</f>
        <v>Active</v>
      </c>
      <c r="E69" s="23">
        <f>IFERROR(__xludf.DUMMYFUNCTION("""COMPUTED_VALUE"""),43503.0)</f>
        <v>43503</v>
      </c>
      <c r="F69" s="24"/>
      <c r="G69" s="27">
        <f>IFERROR(__xludf.DUMMYFUNCTION("""COMPUTED_VALUE"""),91.96666666666667)</f>
        <v>91.96666667</v>
      </c>
      <c r="H69" s="23">
        <f>IFERROR(__xludf.DUMMYFUNCTION("""COMPUTED_VALUE"""),43074.0)</f>
        <v>43074</v>
      </c>
      <c r="I69" s="27">
        <f>IFERROR(__xludf.DUMMYFUNCTION("""COMPUTED_VALUE"""),1.1722222222222223)</f>
        <v>1.172222222</v>
      </c>
      <c r="J69" s="29">
        <f>IFERROR(__xludf.DUMMYFUNCTION("""COMPUTED_VALUE"""),89.0)</f>
        <v>89</v>
      </c>
      <c r="K69" s="29">
        <f>IFERROR(__xludf.DUMMYFUNCTION("""COMPUTED_VALUE"""),13.0)</f>
        <v>13</v>
      </c>
      <c r="L69" s="31" t="str">
        <f>IFERROR(__xludf.DUMMYFUNCTION("""COMPUTED_VALUE"""),"Shooter")</f>
        <v>Shooter</v>
      </c>
      <c r="M69" s="31"/>
    </row>
    <row r="70">
      <c r="A70" s="17" t="str">
        <f>IFERROR(__xludf.DUMMYFUNCTION("""COMPUTED_VALUE"""),"Fable II")</f>
        <v>Fable II</v>
      </c>
      <c r="B70" s="20" t="str">
        <f>IFERROR(__xludf.DUMMYFUNCTION("""COMPUTED_VALUE"""),"Xbox")</f>
        <v>Xbox</v>
      </c>
      <c r="C70" s="21" t="str">
        <f>IFERROR(__xludf.DUMMYFUNCTION("""COMPUTED_VALUE"""),"Touch Controls")</f>
        <v>Touch Controls</v>
      </c>
      <c r="D70" s="21" t="str">
        <f>IFERROR(__xludf.DUMMYFUNCTION("""COMPUTED_VALUE"""),"Active")</f>
        <v>Active</v>
      </c>
      <c r="E70" s="23">
        <f>IFERROR(__xludf.DUMMYFUNCTION("""COMPUTED_VALUE"""),42979.0)</f>
        <v>42979</v>
      </c>
      <c r="F70" s="24"/>
      <c r="G70" s="27">
        <f>IFERROR(__xludf.DUMMYFUNCTION("""COMPUTED_VALUE"""),109.16666666666666)</f>
        <v>109.1666667</v>
      </c>
      <c r="H70" s="23">
        <f>IFERROR(__xludf.DUMMYFUNCTION("""COMPUTED_VALUE"""),39742.0)</f>
        <v>39742</v>
      </c>
      <c r="I70" s="27">
        <f>IFERROR(__xludf.DUMMYFUNCTION("""COMPUTED_VALUE"""),8.86111111111111)</f>
        <v>8.861111111</v>
      </c>
      <c r="J70" s="29">
        <f>IFERROR(__xludf.DUMMYFUNCTION("""COMPUTED_VALUE"""),89.0)</f>
        <v>89</v>
      </c>
      <c r="K70" s="29">
        <f>IFERROR(__xludf.DUMMYFUNCTION("""COMPUTED_VALUE"""),13.0)</f>
        <v>13</v>
      </c>
      <c r="L70" s="31" t="str">
        <f>IFERROR(__xludf.DUMMYFUNCTION("""COMPUTED_VALUE"""),"Adventure")</f>
        <v>Adventure</v>
      </c>
      <c r="M70" s="31"/>
    </row>
    <row r="71">
      <c r="A71" s="17" t="str">
        <f>IFERROR(__xludf.DUMMYFUNCTION("""COMPUTED_VALUE"""),"Star Wars Jedi Knight: Jedi Academy")</f>
        <v>Star Wars Jedi Knight: Jedi Academy</v>
      </c>
      <c r="B71" s="20" t="str">
        <f>IFERROR(__xludf.DUMMYFUNCTION("""COMPUTED_VALUE"""),"XB360/OG Xbox")</f>
        <v>XB360/OG Xbox</v>
      </c>
      <c r="C71" s="21"/>
      <c r="D71" s="21" t="str">
        <f>IFERROR(__xludf.DUMMYFUNCTION("""COMPUTED_VALUE"""),"GwG Permanent")</f>
        <v>GwG Permanent</v>
      </c>
      <c r="E71" s="23">
        <f>IFERROR(__xludf.DUMMYFUNCTION("""COMPUTED_VALUE"""),43512.0)</f>
        <v>43512</v>
      </c>
      <c r="F71" s="24">
        <f>IFERROR(__xludf.DUMMYFUNCTION("""COMPUTED_VALUE"""),43524.0)</f>
        <v>43524</v>
      </c>
      <c r="G71" s="27">
        <f>IFERROR(__xludf.DUMMYFUNCTION("""COMPUTED_VALUE"""),0.4)</f>
        <v>0.4</v>
      </c>
      <c r="H71" s="23">
        <f>IFERROR(__xludf.DUMMYFUNCTION("""COMPUTED_VALUE"""),37880.0)</f>
        <v>37880</v>
      </c>
      <c r="I71" s="27">
        <f>IFERROR(__xludf.DUMMYFUNCTION("""COMPUTED_VALUE"""),15.416666666666666)</f>
        <v>15.41666667</v>
      </c>
      <c r="J71" s="29">
        <f>IFERROR(__xludf.DUMMYFUNCTION("""COMPUTED_VALUE"""),89.0)</f>
        <v>89</v>
      </c>
      <c r="K71" s="29">
        <f>IFERROR(__xludf.DUMMYFUNCTION("""COMPUTED_VALUE"""),12.0)</f>
        <v>12</v>
      </c>
      <c r="L71" s="31" t="str">
        <f>IFERROR(__xludf.DUMMYFUNCTION("""COMPUTED_VALUE"""),"Shooter")</f>
        <v>Shooter</v>
      </c>
      <c r="M71" s="31" t="str">
        <f>IFERROR(__xludf.DUMMYFUNCTION("""COMPUTED_VALUE"""),"Enhanced")</f>
        <v>Enhanced</v>
      </c>
    </row>
    <row r="72">
      <c r="A72" s="17" t="str">
        <f>IFERROR(__xludf.DUMMYFUNCTION("""COMPUTED_VALUE"""),"Spelunky")</f>
        <v>Spelunky</v>
      </c>
      <c r="B72" s="20" t="str">
        <f>IFERROR(__xludf.DUMMYFUNCTION("""COMPUTED_VALUE"""),"XB360/OG Xbox")</f>
        <v>XB360/OG Xbox</v>
      </c>
      <c r="C72" s="21"/>
      <c r="D72" s="21" t="str">
        <f>IFERROR(__xludf.DUMMYFUNCTION("""COMPUTED_VALUE"""),"GwG Permanent")</f>
        <v>GwG Permanent</v>
      </c>
      <c r="E72" s="23">
        <f>IFERROR(__xludf.DUMMYFUNCTION("""COMPUTED_VALUE"""),42583.0)</f>
        <v>42583</v>
      </c>
      <c r="F72" s="24">
        <f>IFERROR(__xludf.DUMMYFUNCTION("""COMPUTED_VALUE"""),42597.0)</f>
        <v>42597</v>
      </c>
      <c r="G72" s="27">
        <f>IFERROR(__xludf.DUMMYFUNCTION("""COMPUTED_VALUE"""),0.4666666666666667)</f>
        <v>0.4666666667</v>
      </c>
      <c r="H72" s="23">
        <f>IFERROR(__xludf.DUMMYFUNCTION("""COMPUTED_VALUE"""),41262.0)</f>
        <v>41262</v>
      </c>
      <c r="I72" s="27">
        <f>IFERROR(__xludf.DUMMYFUNCTION("""COMPUTED_VALUE"""),3.6166666666666667)</f>
        <v>3.616666667</v>
      </c>
      <c r="J72" s="29">
        <f>IFERROR(__xludf.DUMMYFUNCTION("""COMPUTED_VALUE"""),89.0)</f>
        <v>89</v>
      </c>
      <c r="K72" s="29">
        <f>IFERROR(__xludf.DUMMYFUNCTION("""COMPUTED_VALUE"""),6.0)</f>
        <v>6</v>
      </c>
      <c r="L72" s="31" t="str">
        <f>IFERROR(__xludf.DUMMYFUNCTION("""COMPUTED_VALUE"""),"Platformer")</f>
        <v>Platformer</v>
      </c>
      <c r="M72" s="31"/>
    </row>
    <row r="73">
      <c r="A73" s="17" t="str">
        <f>IFERROR(__xludf.DUMMYFUNCTION("""COMPUTED_VALUE"""),"XCOM: Enemy Unknown")</f>
        <v>XCOM: Enemy Unknown</v>
      </c>
      <c r="B73" s="20" t="str">
        <f>IFERROR(__xludf.DUMMYFUNCTION("""COMPUTED_VALUE"""),"XB360/OG Xbox")</f>
        <v>XB360/OG Xbox</v>
      </c>
      <c r="C73" s="21"/>
      <c r="D73" s="21" t="str">
        <f>IFERROR(__xludf.DUMMYFUNCTION("""COMPUTED_VALUE"""),"GwG Permanent")</f>
        <v>GwG Permanent</v>
      </c>
      <c r="E73" s="23">
        <f>IFERROR(__xludf.DUMMYFUNCTION("""COMPUTED_VALUE"""),42537.0)</f>
        <v>42537</v>
      </c>
      <c r="F73" s="24">
        <f>IFERROR(__xludf.DUMMYFUNCTION("""COMPUTED_VALUE"""),42551.0)</f>
        <v>42551</v>
      </c>
      <c r="G73" s="27">
        <f>IFERROR(__xludf.DUMMYFUNCTION("""COMPUTED_VALUE"""),0.4666666666666667)</f>
        <v>0.4666666667</v>
      </c>
      <c r="H73" s="23">
        <f>IFERROR(__xludf.DUMMYFUNCTION("""COMPUTED_VALUE"""),41191.0)</f>
        <v>41191</v>
      </c>
      <c r="I73" s="27">
        <f>IFERROR(__xludf.DUMMYFUNCTION("""COMPUTED_VALUE"""),3.686111111111111)</f>
        <v>3.686111111</v>
      </c>
      <c r="J73" s="29">
        <f>IFERROR(__xludf.DUMMYFUNCTION("""COMPUTED_VALUE"""),89.0)</f>
        <v>89</v>
      </c>
      <c r="K73" s="29">
        <f>IFERROR(__xludf.DUMMYFUNCTION("""COMPUTED_VALUE"""),40.0)</f>
        <v>40</v>
      </c>
      <c r="L73" s="31" t="str">
        <f>IFERROR(__xludf.DUMMYFUNCTION("""COMPUTED_VALUE"""),"Strategy")</f>
        <v>Strategy</v>
      </c>
      <c r="M73" s="31"/>
    </row>
    <row r="74">
      <c r="A74" s="17" t="str">
        <f>IFERROR(__xludf.DUMMYFUNCTION("""COMPUTED_VALUE"""),"Dead Space")</f>
        <v>Dead Space</v>
      </c>
      <c r="B74" s="20" t="str">
        <f>IFERROR(__xludf.DUMMYFUNCTION("""COMPUTED_VALUE"""),"XB360/OG Xbox")</f>
        <v>XB360/OG Xbox</v>
      </c>
      <c r="C74" s="21"/>
      <c r="D74" s="21" t="str">
        <f>IFERROR(__xludf.DUMMYFUNCTION("""COMPUTED_VALUE"""),"GwG Permanent")</f>
        <v>GwG Permanent</v>
      </c>
      <c r="E74" s="23">
        <f>IFERROR(__xludf.DUMMYFUNCTION("""COMPUTED_VALUE"""),42461.0)</f>
        <v>42461</v>
      </c>
      <c r="F74" s="24">
        <f>IFERROR(__xludf.DUMMYFUNCTION("""COMPUTED_VALUE"""),42475.0)</f>
        <v>42475</v>
      </c>
      <c r="G74" s="27">
        <f>IFERROR(__xludf.DUMMYFUNCTION("""COMPUTED_VALUE"""),0.4666666666666667)</f>
        <v>0.4666666667</v>
      </c>
      <c r="H74" s="23">
        <f>IFERROR(__xludf.DUMMYFUNCTION("""COMPUTED_VALUE"""),39735.0)</f>
        <v>39735</v>
      </c>
      <c r="I74" s="27">
        <f>IFERROR(__xludf.DUMMYFUNCTION("""COMPUTED_VALUE"""),7.463888888888889)</f>
        <v>7.463888889</v>
      </c>
      <c r="J74" s="29">
        <f>IFERROR(__xludf.DUMMYFUNCTION("""COMPUTED_VALUE"""),89.0)</f>
        <v>89</v>
      </c>
      <c r="K74" s="29">
        <f>IFERROR(__xludf.DUMMYFUNCTION("""COMPUTED_VALUE"""),12.0)</f>
        <v>12</v>
      </c>
      <c r="L74" s="31" t="str">
        <f>IFERROR(__xludf.DUMMYFUNCTION("""COMPUTED_VALUE"""),"Action-Adventure")</f>
        <v>Action-Adventure</v>
      </c>
      <c r="M74" s="31"/>
    </row>
    <row r="75">
      <c r="A75" s="17" t="str">
        <f>IFERROR(__xludf.DUMMYFUNCTION("""COMPUTED_VALUE"""),"Deus Ex: Human Revolution")</f>
        <v>Deus Ex: Human Revolution</v>
      </c>
      <c r="B75" s="20" t="str">
        <f>IFERROR(__xludf.DUMMYFUNCTION("""COMPUTED_VALUE"""),"XB360/OG Xbox")</f>
        <v>XB360/OG Xbox</v>
      </c>
      <c r="C75" s="21"/>
      <c r="D75" s="21" t="str">
        <f>IFERROR(__xludf.DUMMYFUNCTION("""COMPUTED_VALUE"""),"GwG Permanent")</f>
        <v>GwG Permanent</v>
      </c>
      <c r="E75" s="23">
        <f>IFERROR(__xludf.DUMMYFUNCTION("""COMPUTED_VALUE"""),42385.0)</f>
        <v>42385</v>
      </c>
      <c r="F75" s="24">
        <f>IFERROR(__xludf.DUMMYFUNCTION("""COMPUTED_VALUE"""),42400.0)</f>
        <v>42400</v>
      </c>
      <c r="G75" s="27">
        <f>IFERROR(__xludf.DUMMYFUNCTION("""COMPUTED_VALUE"""),0.4666666666666667)</f>
        <v>0.4666666667</v>
      </c>
      <c r="H75" s="23">
        <f>IFERROR(__xludf.DUMMYFUNCTION("""COMPUTED_VALUE"""),40778.0)</f>
        <v>40778</v>
      </c>
      <c r="I75" s="27">
        <f>IFERROR(__xludf.DUMMYFUNCTION("""COMPUTED_VALUE"""),4.397222222222222)</f>
        <v>4.397222222</v>
      </c>
      <c r="J75" s="29">
        <f>IFERROR(__xludf.DUMMYFUNCTION("""COMPUTED_VALUE"""),89.0)</f>
        <v>89</v>
      </c>
      <c r="K75" s="29">
        <f>IFERROR(__xludf.DUMMYFUNCTION("""COMPUTED_VALUE"""),20.0)</f>
        <v>20</v>
      </c>
      <c r="L75" s="31" t="str">
        <f>IFERROR(__xludf.DUMMYFUNCTION("""COMPUTED_VALUE"""),"Action-Adventure")</f>
        <v>Action-Adventure</v>
      </c>
      <c r="M75" s="31"/>
    </row>
    <row r="76">
      <c r="A76" s="17" t="str">
        <f>IFERROR(__xludf.DUMMYFUNCTION("""COMPUTED_VALUE"""),"Dark Souls")</f>
        <v>Dark Souls</v>
      </c>
      <c r="B76" s="20" t="str">
        <f>IFERROR(__xludf.DUMMYFUNCTION("""COMPUTED_VALUE"""),"XB360/OG Xbox")</f>
        <v>XB360/OG Xbox</v>
      </c>
      <c r="C76" s="21"/>
      <c r="D76" s="21" t="str">
        <f>IFERROR(__xludf.DUMMYFUNCTION("""COMPUTED_VALUE"""),"GwG Permanent")</f>
        <v>GwG Permanent</v>
      </c>
      <c r="E76" s="23">
        <f>IFERROR(__xludf.DUMMYFUNCTION("""COMPUTED_VALUE"""),41791.0)</f>
        <v>41791</v>
      </c>
      <c r="F76" s="24">
        <f>IFERROR(__xludf.DUMMYFUNCTION("""COMPUTED_VALUE"""),41805.0)</f>
        <v>41805</v>
      </c>
      <c r="G76" s="27">
        <f>IFERROR(__xludf.DUMMYFUNCTION("""COMPUTED_VALUE"""),0.4666666666666667)</f>
        <v>0.4666666667</v>
      </c>
      <c r="H76" s="23">
        <f>IFERROR(__xludf.DUMMYFUNCTION("""COMPUTED_VALUE"""),40823.0)</f>
        <v>40823</v>
      </c>
      <c r="I76" s="27">
        <f>IFERROR(__xludf.DUMMYFUNCTION("""COMPUTED_VALUE"""),2.65)</f>
        <v>2.65</v>
      </c>
      <c r="J76" s="29">
        <f>IFERROR(__xludf.DUMMYFUNCTION("""COMPUTED_VALUE"""),89.0)</f>
        <v>89</v>
      </c>
      <c r="K76" s="29">
        <f>IFERROR(__xludf.DUMMYFUNCTION("""COMPUTED_VALUE"""),45.0)</f>
        <v>45</v>
      </c>
      <c r="L76" s="31" t="str">
        <f>IFERROR(__xludf.DUMMYFUNCTION("""COMPUTED_VALUE"""),"Action-Adventure")</f>
        <v>Action-Adventure</v>
      </c>
      <c r="M76" s="31"/>
    </row>
    <row r="77">
      <c r="A77" s="17" t="str">
        <f>IFERROR(__xludf.DUMMYFUNCTION("""COMPUTED_VALUE"""),"It Takes Two")</f>
        <v>It Takes Two</v>
      </c>
      <c r="B77" s="20" t="str">
        <f>IFERROR(__xludf.DUMMYFUNCTION("""COMPUTED_VALUE"""),"Xbox / PC")</f>
        <v>Xbox / PC</v>
      </c>
      <c r="C77" s="21" t="str">
        <f>IFERROR(__xludf.DUMMYFUNCTION("""COMPUTED_VALUE"""),"Yes")</f>
        <v>Yes</v>
      </c>
      <c r="D77" s="21" t="str">
        <f>IFERROR(__xludf.DUMMYFUNCTION("""COMPUTED_VALUE"""),"Active")</f>
        <v>Active</v>
      </c>
      <c r="E77" s="23">
        <f>IFERROR(__xludf.DUMMYFUNCTION("""COMPUTED_VALUE"""),44504.0)</f>
        <v>44504</v>
      </c>
      <c r="F77" s="24"/>
      <c r="G77" s="27">
        <f>IFERROR(__xludf.DUMMYFUNCTION("""COMPUTED_VALUE"""),59.06666666666667)</f>
        <v>59.06666667</v>
      </c>
      <c r="H77" s="23">
        <f>IFERROR(__xludf.DUMMYFUNCTION("""COMPUTED_VALUE"""),44281.0)</f>
        <v>44281</v>
      </c>
      <c r="I77" s="27">
        <f>IFERROR(__xludf.DUMMYFUNCTION("""COMPUTED_VALUE"""),0.6055555555555555)</f>
        <v>0.6055555556</v>
      </c>
      <c r="J77" s="29">
        <f>IFERROR(__xludf.DUMMYFUNCTION("""COMPUTED_VALUE"""),88.5)</f>
        <v>88.5</v>
      </c>
      <c r="K77" s="29">
        <f>IFERROR(__xludf.DUMMYFUNCTION("""COMPUTED_VALUE"""),12.0)</f>
        <v>12</v>
      </c>
      <c r="L77" s="31" t="str">
        <f>IFERROR(__xludf.DUMMYFUNCTION("""COMPUTED_VALUE"""),"Platformer")</f>
        <v>Platformer</v>
      </c>
      <c r="M77" s="31" t="str">
        <f>IFERROR(__xludf.DUMMYFUNCTION("""COMPUTED_VALUE"""),"Optimized")</f>
        <v>Optimized</v>
      </c>
    </row>
    <row r="78">
      <c r="A78" s="17" t="str">
        <f>IFERROR(__xludf.DUMMYFUNCTION("""COMPUTED_VALUE"""),"Denshattack!")</f>
        <v>Denshattack!</v>
      </c>
      <c r="B78" s="20" t="str">
        <f>IFERROR(__xludf.DUMMYFUNCTION("""COMPUTED_VALUE"""),"Xbox / PC")</f>
        <v>Xbox / PC</v>
      </c>
      <c r="C78" s="21" t="str">
        <f>IFERROR(__xludf.DUMMYFUNCTION("""COMPUTED_VALUE"""),"Yes")</f>
        <v>Yes</v>
      </c>
      <c r="D78" s="21" t="str">
        <f>IFERROR(__xludf.DUMMYFUNCTION("""COMPUTED_VALUE"""),"Active")</f>
        <v>Active</v>
      </c>
      <c r="E78" s="23">
        <f>IFERROR(__xludf.DUMMYFUNCTION("""COMPUTED_VALUE"""),46218.0)</f>
        <v>46218</v>
      </c>
      <c r="F78" s="24"/>
      <c r="G78" s="27">
        <f>IFERROR(__xludf.DUMMYFUNCTION("""COMPUTED_VALUE"""),2.7)</f>
        <v>2.7</v>
      </c>
      <c r="H78" s="23">
        <f>IFERROR(__xludf.DUMMYFUNCTION("""COMPUTED_VALUE"""),45853.0)</f>
        <v>45853</v>
      </c>
      <c r="I78" s="27">
        <f>IFERROR(__xludf.DUMMYFUNCTION("""COMPUTED_VALUE"""),1.0)</f>
        <v>1</v>
      </c>
      <c r="J78" s="29">
        <f>IFERROR(__xludf.DUMMYFUNCTION("""COMPUTED_VALUE"""),88.0)</f>
        <v>88</v>
      </c>
      <c r="K78" s="29">
        <f>IFERROR(__xludf.DUMMYFUNCTION("""COMPUTED_VALUE"""),9.0)</f>
        <v>9</v>
      </c>
      <c r="L78" s="31" t="str">
        <f>IFERROR(__xludf.DUMMYFUNCTION("""COMPUTED_VALUE"""),"Action-Adventure")</f>
        <v>Action-Adventure</v>
      </c>
      <c r="M78" s="31" t="str">
        <f>IFERROR(__xludf.DUMMYFUNCTION("""COMPUTED_VALUE"""),"Exclusive")</f>
        <v>Exclusive</v>
      </c>
    </row>
    <row r="79">
      <c r="A79" s="17" t="str">
        <f>IFERROR(__xludf.DUMMYFUNCTION("""COMPUTED_VALUE"""),"Kingdom Come: Deliverance II")</f>
        <v>Kingdom Come: Deliverance II</v>
      </c>
      <c r="B79" s="20" t="str">
        <f>IFERROR(__xludf.DUMMYFUNCTION("""COMPUTED_VALUE"""),"Xbox / PC")</f>
        <v>Xbox / PC</v>
      </c>
      <c r="C79" s="21" t="str">
        <f>IFERROR(__xludf.DUMMYFUNCTION("""COMPUTED_VALUE"""),"Yes")</f>
        <v>Yes</v>
      </c>
      <c r="D79" s="21" t="str">
        <f>IFERROR(__xludf.DUMMYFUNCTION("""COMPUTED_VALUE"""),"Active")</f>
        <v>Active</v>
      </c>
      <c r="E79" s="23">
        <f>IFERROR(__xludf.DUMMYFUNCTION("""COMPUTED_VALUE"""),46084.0)</f>
        <v>46084</v>
      </c>
      <c r="F79" s="24"/>
      <c r="G79" s="27">
        <f>IFERROR(__xludf.DUMMYFUNCTION("""COMPUTED_VALUE"""),7.1)</f>
        <v>7.1</v>
      </c>
      <c r="H79" s="23">
        <f>IFERROR(__xludf.DUMMYFUNCTION("""COMPUTED_VALUE"""),45699.0)</f>
        <v>45699</v>
      </c>
      <c r="I79" s="27">
        <f>IFERROR(__xludf.DUMMYFUNCTION("""COMPUTED_VALUE"""),1.0611111111111111)</f>
        <v>1.061111111</v>
      </c>
      <c r="J79" s="29">
        <f>IFERROR(__xludf.DUMMYFUNCTION("""COMPUTED_VALUE"""),88.0)</f>
        <v>88</v>
      </c>
      <c r="K79" s="29">
        <f>IFERROR(__xludf.DUMMYFUNCTION("""COMPUTED_VALUE"""),40.0)</f>
        <v>40</v>
      </c>
      <c r="L79" s="31" t="str">
        <f>IFERROR(__xludf.DUMMYFUNCTION("""COMPUTED_VALUE"""),"Action-Adventure")</f>
        <v>Action-Adventure</v>
      </c>
      <c r="M79" s="31" t="str">
        <f>IFERROR(__xludf.DUMMYFUNCTION("""COMPUTED_VALUE"""),"Exclusive")</f>
        <v>Exclusive</v>
      </c>
    </row>
    <row r="80">
      <c r="A80" s="17" t="str">
        <f>IFERROR(__xludf.DUMMYFUNCTION("""COMPUTED_VALUE"""),"The Talos Principle 2: Road to Elysium")</f>
        <v>The Talos Principle 2: Road to Elysium</v>
      </c>
      <c r="B80" s="20" t="str">
        <f>IFERROR(__xludf.DUMMYFUNCTION("""COMPUTED_VALUE"""),"Xbox / PC")</f>
        <v>Xbox / PC</v>
      </c>
      <c r="C80" s="21"/>
      <c r="D80" s="21" t="str">
        <f>IFERROR(__xludf.DUMMYFUNCTION("""COMPUTED_VALUE"""),"Active")</f>
        <v>Active</v>
      </c>
      <c r="E80" s="23">
        <f>IFERROR(__xludf.DUMMYFUNCTION("""COMPUTED_VALUE"""),46049.0)</f>
        <v>46049</v>
      </c>
      <c r="F80" s="24"/>
      <c r="G80" s="27">
        <f>IFERROR(__xludf.DUMMYFUNCTION("""COMPUTED_VALUE"""),8.3)</f>
        <v>8.3</v>
      </c>
      <c r="H80" s="23">
        <f>IFERROR(__xludf.DUMMYFUNCTION("""COMPUTED_VALUE"""),45457.0)</f>
        <v>45457</v>
      </c>
      <c r="I80" s="27">
        <f>IFERROR(__xludf.DUMMYFUNCTION("""COMPUTED_VALUE"""),1.6194444444444445)</f>
        <v>1.619444444</v>
      </c>
      <c r="J80" s="29">
        <f>IFERROR(__xludf.DUMMYFUNCTION("""COMPUTED_VALUE"""),88.0)</f>
        <v>88</v>
      </c>
      <c r="K80" s="29">
        <f>IFERROR(__xludf.DUMMYFUNCTION("""COMPUTED_VALUE"""),20.0)</f>
        <v>20</v>
      </c>
      <c r="L80" s="31" t="str">
        <f>IFERROR(__xludf.DUMMYFUNCTION("""COMPUTED_VALUE"""),"Action-Adventure")</f>
        <v>Action-Adventure</v>
      </c>
      <c r="M80" s="31" t="str">
        <f>IFERROR(__xludf.DUMMYFUNCTION("""COMPUTED_VALUE"""),"Exclusive")</f>
        <v>Exclusive</v>
      </c>
    </row>
    <row r="81">
      <c r="A81" s="17" t="str">
        <f>IFERROR(__xludf.DUMMYFUNCTION("""COMPUTED_VALUE"""),"Halls of Torment")</f>
        <v>Halls of Torment</v>
      </c>
      <c r="B81" s="20" t="str">
        <f>IFERROR(__xludf.DUMMYFUNCTION("""COMPUTED_VALUE"""),"Xbox / PC")</f>
        <v>Xbox / PC</v>
      </c>
      <c r="C81" s="21" t="str">
        <f>IFERROR(__xludf.DUMMYFUNCTION("""COMPUTED_VALUE"""),"Yes")</f>
        <v>Yes</v>
      </c>
      <c r="D81" s="21" t="str">
        <f>IFERROR(__xludf.DUMMYFUNCTION("""COMPUTED_VALUE"""),"Active")</f>
        <v>Active</v>
      </c>
      <c r="E81" s="23">
        <f>IFERROR(__xludf.DUMMYFUNCTION("""COMPUTED_VALUE"""),45958.0)</f>
        <v>45958</v>
      </c>
      <c r="F81" s="24"/>
      <c r="G81" s="27">
        <f>IFERROR(__xludf.DUMMYFUNCTION("""COMPUTED_VALUE"""),11.266666666666666)</f>
        <v>11.26666667</v>
      </c>
      <c r="H81" s="23">
        <f>IFERROR(__xludf.DUMMYFUNCTION("""COMPUTED_VALUE"""),45559.0)</f>
        <v>45559</v>
      </c>
      <c r="I81" s="27">
        <f>IFERROR(__xludf.DUMMYFUNCTION("""COMPUTED_VALUE"""),1.0944444444444446)</f>
        <v>1.094444444</v>
      </c>
      <c r="J81" s="29">
        <f>IFERROR(__xludf.DUMMYFUNCTION("""COMPUTED_VALUE"""),88.0)</f>
        <v>88</v>
      </c>
      <c r="K81" s="29">
        <f>IFERROR(__xludf.DUMMYFUNCTION("""COMPUTED_VALUE"""),12.0)</f>
        <v>12</v>
      </c>
      <c r="L81" s="31" t="str">
        <f>IFERROR(__xludf.DUMMYFUNCTION("""COMPUTED_VALUE"""),"Shoot-'Em-Up")</f>
        <v>Shoot-'Em-Up</v>
      </c>
      <c r="M81" s="31" t="str">
        <f>IFERROR(__xludf.DUMMYFUNCTION("""COMPUTED_VALUE"""),"Exclusive")</f>
        <v>Exclusive</v>
      </c>
    </row>
    <row r="82">
      <c r="A82" s="17" t="str">
        <f>IFERROR(__xludf.DUMMYFUNCTION("""COMPUTED_VALUE"""),"Assassin's Creed IV Black Flag")</f>
        <v>Assassin's Creed IV Black Flag</v>
      </c>
      <c r="B82" s="20" t="str">
        <f>IFERROR(__xludf.DUMMYFUNCTION("""COMPUTED_VALUE"""),"Xbox / PC")</f>
        <v>Xbox / PC</v>
      </c>
      <c r="C82" s="21" t="str">
        <f>IFERROR(__xludf.DUMMYFUNCTION("""COMPUTED_VALUE"""),"Yes")</f>
        <v>Yes</v>
      </c>
      <c r="D82" s="21" t="str">
        <f>IFERROR(__xludf.DUMMYFUNCTION("""COMPUTED_VALUE"""),"Active")</f>
        <v>Active</v>
      </c>
      <c r="E82" s="23">
        <f>IFERROR(__xludf.DUMMYFUNCTION("""COMPUTED_VALUE"""),45931.0)</f>
        <v>45931</v>
      </c>
      <c r="F82" s="24"/>
      <c r="G82" s="27">
        <f>IFERROR(__xludf.DUMMYFUNCTION("""COMPUTED_VALUE"""),12.166666666666666)</f>
        <v>12.16666667</v>
      </c>
      <c r="H82" s="23">
        <f>IFERROR(__xludf.DUMMYFUNCTION("""COMPUTED_VALUE"""),41576.0)</f>
        <v>41576</v>
      </c>
      <c r="I82" s="27">
        <f>IFERROR(__xludf.DUMMYFUNCTION("""COMPUTED_VALUE"""),11.922222222222222)</f>
        <v>11.92222222</v>
      </c>
      <c r="J82" s="29">
        <f>IFERROR(__xludf.DUMMYFUNCTION("""COMPUTED_VALUE"""),88.0)</f>
        <v>88</v>
      </c>
      <c r="K82" s="29">
        <f>IFERROR(__xludf.DUMMYFUNCTION("""COMPUTED_VALUE"""),24.0)</f>
        <v>24</v>
      </c>
      <c r="L82" s="31" t="str">
        <f>IFERROR(__xludf.DUMMYFUNCTION("""COMPUTED_VALUE"""),"Action-Adventure")</f>
        <v>Action-Adventure</v>
      </c>
      <c r="M82" s="31"/>
    </row>
    <row r="83">
      <c r="A83" s="17" t="str">
        <f>IFERROR(__xludf.DUMMYFUNCTION("""COMPUTED_VALUE"""),"Far Cry 3")</f>
        <v>Far Cry 3</v>
      </c>
      <c r="B83" s="20" t="str">
        <f>IFERROR(__xludf.DUMMYFUNCTION("""COMPUTED_VALUE"""),"Xbox / PC")</f>
        <v>Xbox / PC</v>
      </c>
      <c r="C83" s="21" t="str">
        <f>IFERROR(__xludf.DUMMYFUNCTION("""COMPUTED_VALUE"""),"Yes")</f>
        <v>Yes</v>
      </c>
      <c r="D83" s="21" t="str">
        <f>IFERROR(__xludf.DUMMYFUNCTION("""COMPUTED_VALUE"""),"Active")</f>
        <v>Active</v>
      </c>
      <c r="E83" s="23">
        <f>IFERROR(__xludf.DUMMYFUNCTION("""COMPUTED_VALUE"""),45931.0)</f>
        <v>45931</v>
      </c>
      <c r="F83" s="24"/>
      <c r="G83" s="27">
        <f>IFERROR(__xludf.DUMMYFUNCTION("""COMPUTED_VALUE"""),12.166666666666666)</f>
        <v>12.16666667</v>
      </c>
      <c r="H83" s="23">
        <f>IFERROR(__xludf.DUMMYFUNCTION("""COMPUTED_VALUE"""),41247.0)</f>
        <v>41247</v>
      </c>
      <c r="I83" s="27">
        <f>IFERROR(__xludf.DUMMYFUNCTION("""COMPUTED_VALUE"""),12.825)</f>
        <v>12.825</v>
      </c>
      <c r="J83" s="29">
        <f>IFERROR(__xludf.DUMMYFUNCTION("""COMPUTED_VALUE"""),88.0)</f>
        <v>88</v>
      </c>
      <c r="K83" s="29">
        <f>IFERROR(__xludf.DUMMYFUNCTION("""COMPUTED_VALUE"""),16.0)</f>
        <v>16</v>
      </c>
      <c r="L83" s="31" t="str">
        <f>IFERROR(__xludf.DUMMYFUNCTION("""COMPUTED_VALUE"""),"Action-Adventure")</f>
        <v>Action-Adventure</v>
      </c>
      <c r="M83" s="31"/>
    </row>
    <row r="84">
      <c r="A84" s="17" t="str">
        <f>IFERROR(__xludf.DUMMYFUNCTION("""COMPUTED_VALUE"""),"Abiotic Factor")</f>
        <v>Abiotic Factor</v>
      </c>
      <c r="B84" s="20" t="str">
        <f>IFERROR(__xludf.DUMMYFUNCTION("""COMPUTED_VALUE"""),"Xbox / PC")</f>
        <v>Xbox / PC</v>
      </c>
      <c r="C84" s="21" t="str">
        <f>IFERROR(__xludf.DUMMYFUNCTION("""COMPUTED_VALUE"""),"Yes")</f>
        <v>Yes</v>
      </c>
      <c r="D84" s="21" t="str">
        <f>IFERROR(__xludf.DUMMYFUNCTION("""COMPUTED_VALUE"""),"Active")</f>
        <v>Active</v>
      </c>
      <c r="E84" s="23">
        <f>IFERROR(__xludf.DUMMYFUNCTION("""COMPUTED_VALUE"""),45860.0)</f>
        <v>45860</v>
      </c>
      <c r="F84" s="24"/>
      <c r="G84" s="27">
        <f>IFERROR(__xludf.DUMMYFUNCTION("""COMPUTED_VALUE"""),14.466666666666665)</f>
        <v>14.46666667</v>
      </c>
      <c r="H84" s="23">
        <f>IFERROR(__xludf.DUMMYFUNCTION("""COMPUTED_VALUE"""),45860.0)</f>
        <v>45860</v>
      </c>
      <c r="I84" s="27">
        <f>IFERROR(__xludf.DUMMYFUNCTION("""COMPUTED_VALUE"""),0.0)</f>
        <v>0</v>
      </c>
      <c r="J84" s="29">
        <f>IFERROR(__xludf.DUMMYFUNCTION("""COMPUTED_VALUE"""),88.0)</f>
        <v>88</v>
      </c>
      <c r="K84" s="29">
        <f>IFERROR(__xludf.DUMMYFUNCTION("""COMPUTED_VALUE"""),33.0)</f>
        <v>33</v>
      </c>
      <c r="L84" s="31" t="str">
        <f>IFERROR(__xludf.DUMMYFUNCTION("""COMPUTED_VALUE"""),"Survival")</f>
        <v>Survival</v>
      </c>
      <c r="M84" s="31" t="str">
        <f>IFERROR(__xludf.DUMMYFUNCTION("""COMPUTED_VALUE"""),"Exclusive")</f>
        <v>Exclusive</v>
      </c>
    </row>
    <row r="85">
      <c r="A85" s="17" t="str">
        <f>IFERROR(__xludf.DUMMYFUNCTION("""COMPUTED_VALUE"""),"Quest for Glory: So You Want to Be a Hero")</f>
        <v>Quest for Glory: So You Want to Be a Hero</v>
      </c>
      <c r="B85" s="20" t="str">
        <f>IFERROR(__xludf.DUMMYFUNCTION("""COMPUTED_VALUE"""),"Xbox / PC")</f>
        <v>Xbox / PC</v>
      </c>
      <c r="C85" s="21" t="str">
        <f>IFERROR(__xludf.DUMMYFUNCTION("""COMPUTED_VALUE"""),"Yes")</f>
        <v>Yes</v>
      </c>
      <c r="D85" s="21" t="str">
        <f>IFERROR(__xludf.DUMMYFUNCTION("""COMPUTED_VALUE"""),"Active")</f>
        <v>Active</v>
      </c>
      <c r="E85" s="23">
        <f>IFERROR(__xludf.DUMMYFUNCTION("""COMPUTED_VALUE"""),45798.0)</f>
        <v>45798</v>
      </c>
      <c r="F85" s="24"/>
      <c r="G85" s="27">
        <f>IFERROR(__xludf.DUMMYFUNCTION("""COMPUTED_VALUE"""),16.5)</f>
        <v>16.5</v>
      </c>
      <c r="H85" s="23">
        <f>IFERROR(__xludf.DUMMYFUNCTION("""COMPUTED_VALUE"""),32782.0)</f>
        <v>32782</v>
      </c>
      <c r="I85" s="27">
        <f>IFERROR(__xludf.DUMMYFUNCTION("""COMPUTED_VALUE"""),35.638888888888886)</f>
        <v>35.63888889</v>
      </c>
      <c r="J85" s="29">
        <f>IFERROR(__xludf.DUMMYFUNCTION("""COMPUTED_VALUE"""),88.0)</f>
        <v>88</v>
      </c>
      <c r="K85" s="29">
        <f>IFERROR(__xludf.DUMMYFUNCTION("""COMPUTED_VALUE"""),7.0)</f>
        <v>7</v>
      </c>
      <c r="L85" s="31" t="str">
        <f>IFERROR(__xludf.DUMMYFUNCTION("""COMPUTED_VALUE"""),"Action‑Adventure")</f>
        <v>Action‑Adventure</v>
      </c>
      <c r="M85" s="31"/>
    </row>
    <row r="86">
      <c r="A86" s="17" t="str">
        <f>IFERROR(__xludf.DUMMYFUNCTION("""COMPUTED_VALUE"""),"Minecraft: Preview")</f>
        <v>Minecraft: Preview</v>
      </c>
      <c r="B86" s="20" t="str">
        <f>IFERROR(__xludf.DUMMYFUNCTION("""COMPUTED_VALUE"""),"Xbox / PC")</f>
        <v>Xbox / PC</v>
      </c>
      <c r="C86" s="21"/>
      <c r="D86" s="21" t="str">
        <f>IFERROR(__xludf.DUMMYFUNCTION("""COMPUTED_VALUE"""),"Active")</f>
        <v>Active</v>
      </c>
      <c r="E86" s="23">
        <f>IFERROR(__xludf.DUMMYFUNCTION("""COMPUTED_VALUE"""),45368.0)</f>
        <v>45368</v>
      </c>
      <c r="F86" s="24"/>
      <c r="G86" s="27">
        <f>IFERROR(__xludf.DUMMYFUNCTION("""COMPUTED_VALUE"""),30.633333333333333)</f>
        <v>30.63333333</v>
      </c>
      <c r="H86" s="23">
        <f>IFERROR(__xludf.DUMMYFUNCTION("""COMPUTED_VALUE"""),40865.0)</f>
        <v>40865</v>
      </c>
      <c r="I86" s="27">
        <f>IFERROR(__xludf.DUMMYFUNCTION("""COMPUTED_VALUE"""),12.330555555555556)</f>
        <v>12.33055556</v>
      </c>
      <c r="J86" s="29">
        <f>IFERROR(__xludf.DUMMYFUNCTION("""COMPUTED_VALUE"""),88.0)</f>
        <v>88</v>
      </c>
      <c r="K86" s="29">
        <f>IFERROR(__xludf.DUMMYFUNCTION("""COMPUTED_VALUE"""),116.0)</f>
        <v>116</v>
      </c>
      <c r="L86" s="31" t="str">
        <f>IFERROR(__xludf.DUMMYFUNCTION("""COMPUTED_VALUE"""),"Action-Adventure")</f>
        <v>Action-Adventure</v>
      </c>
      <c r="M86" s="31"/>
    </row>
    <row r="87">
      <c r="A87" s="17" t="str">
        <f>IFERROR(__xludf.DUMMYFUNCTION("""COMPUTED_VALUE"""),"Dead Space (2023)")</f>
        <v>Dead Space (2023)</v>
      </c>
      <c r="B87" s="20" t="str">
        <f>IFERROR(__xludf.DUMMYFUNCTION("""COMPUTED_VALUE"""),"Xbox / PC")</f>
        <v>Xbox / PC</v>
      </c>
      <c r="C87" s="21" t="str">
        <f>IFERROR(__xludf.DUMMYFUNCTION("""COMPUTED_VALUE"""),"Yes")</f>
        <v>Yes</v>
      </c>
      <c r="D87" s="21" t="str">
        <f>IFERROR(__xludf.DUMMYFUNCTION("""COMPUTED_VALUE"""),"Active")</f>
        <v>Active</v>
      </c>
      <c r="E87" s="23">
        <f>IFERROR(__xludf.DUMMYFUNCTION("""COMPUTED_VALUE"""),45225.0)</f>
        <v>45225</v>
      </c>
      <c r="F87" s="24"/>
      <c r="G87" s="27">
        <f>IFERROR(__xludf.DUMMYFUNCTION("""COMPUTED_VALUE"""),35.333333333333336)</f>
        <v>35.33333333</v>
      </c>
      <c r="H87" s="23">
        <f>IFERROR(__xludf.DUMMYFUNCTION("""COMPUTED_VALUE"""),44953.0)</f>
        <v>44953</v>
      </c>
      <c r="I87" s="27">
        <f>IFERROR(__xludf.DUMMYFUNCTION("""COMPUTED_VALUE"""),0.7472222222222222)</f>
        <v>0.7472222222</v>
      </c>
      <c r="J87" s="29">
        <f>IFERROR(__xludf.DUMMYFUNCTION("""COMPUTED_VALUE"""),88.0)</f>
        <v>88</v>
      </c>
      <c r="K87" s="29">
        <f>IFERROR(__xludf.DUMMYFUNCTION("""COMPUTED_VALUE"""),12.0)</f>
        <v>12</v>
      </c>
      <c r="L87" s="31" t="str">
        <f>IFERROR(__xludf.DUMMYFUNCTION("""COMPUTED_VALUE"""),"Shooter")</f>
        <v>Shooter</v>
      </c>
      <c r="M87" s="31" t="str">
        <f>IFERROR(__xludf.DUMMYFUNCTION("""COMPUTED_VALUE"""),"Exclusive")</f>
        <v>Exclusive</v>
      </c>
    </row>
    <row r="88">
      <c r="A88" s="17" t="str">
        <f>IFERROR(__xludf.DUMMYFUNCTION("""COMPUTED_VALUE"""),"Mass Effect: Legendary Edition")</f>
        <v>Mass Effect: Legendary Edition</v>
      </c>
      <c r="B88" s="20" t="str">
        <f>IFERROR(__xludf.DUMMYFUNCTION("""COMPUTED_VALUE"""),"Xbox / PC")</f>
        <v>Xbox / PC</v>
      </c>
      <c r="C88" s="21" t="str">
        <f>IFERROR(__xludf.DUMMYFUNCTION("""COMPUTED_VALUE"""),"Yes")</f>
        <v>Yes</v>
      </c>
      <c r="D88" s="21" t="str">
        <f>IFERROR(__xludf.DUMMYFUNCTION("""COMPUTED_VALUE"""),"Active")</f>
        <v>Active</v>
      </c>
      <c r="E88" s="23">
        <f>IFERROR(__xludf.DUMMYFUNCTION("""COMPUTED_VALUE"""),44567.0)</f>
        <v>44567</v>
      </c>
      <c r="F88" s="24"/>
      <c r="G88" s="27">
        <f>IFERROR(__xludf.DUMMYFUNCTION("""COMPUTED_VALUE"""),57.0)</f>
        <v>57</v>
      </c>
      <c r="H88" s="23">
        <f>IFERROR(__xludf.DUMMYFUNCTION("""COMPUTED_VALUE"""),44330.0)</f>
        <v>44330</v>
      </c>
      <c r="I88" s="27">
        <f>IFERROR(__xludf.DUMMYFUNCTION("""COMPUTED_VALUE"""),0.6444444444444445)</f>
        <v>0.6444444444</v>
      </c>
      <c r="J88" s="29">
        <f>IFERROR(__xludf.DUMMYFUNCTION("""COMPUTED_VALUE"""),88.0)</f>
        <v>88</v>
      </c>
      <c r="K88" s="29">
        <f>IFERROR(__xludf.DUMMYFUNCTION("""COMPUTED_VALUE"""),106.0)</f>
        <v>106</v>
      </c>
      <c r="L88" s="31" t="str">
        <f>IFERROR(__xludf.DUMMYFUNCTION("""COMPUTED_VALUE"""),"Shooter")</f>
        <v>Shooter</v>
      </c>
      <c r="M88" s="31"/>
    </row>
    <row r="89">
      <c r="A89" s="17" t="str">
        <f>IFERROR(__xludf.DUMMYFUNCTION("""COMPUTED_VALUE"""),"Crimson Skies: High Road to Revenge")</f>
        <v>Crimson Skies: High Road to Revenge</v>
      </c>
      <c r="B89" s="20" t="str">
        <f>IFERROR(__xludf.DUMMYFUNCTION("""COMPUTED_VALUE"""),"Xbox / PC")</f>
        <v>Xbox / PC</v>
      </c>
      <c r="C89" s="21" t="str">
        <f>IFERROR(__xludf.DUMMYFUNCTION("""COMPUTED_VALUE"""),"Touch Controls")</f>
        <v>Touch Controls</v>
      </c>
      <c r="D89" s="21" t="str">
        <f>IFERROR(__xludf.DUMMYFUNCTION("""COMPUTED_VALUE"""),"Active")</f>
        <v>Active</v>
      </c>
      <c r="E89" s="23">
        <f>IFERROR(__xludf.DUMMYFUNCTION("""COMPUTED_VALUE"""),44403.0)</f>
        <v>44403</v>
      </c>
      <c r="F89" s="24"/>
      <c r="G89" s="27">
        <f>IFERROR(__xludf.DUMMYFUNCTION("""COMPUTED_VALUE"""),62.333333333333336)</f>
        <v>62.33333333</v>
      </c>
      <c r="H89" s="23">
        <f>IFERROR(__xludf.DUMMYFUNCTION("""COMPUTED_VALUE"""),37915.0)</f>
        <v>37915</v>
      </c>
      <c r="I89" s="27">
        <f>IFERROR(__xludf.DUMMYFUNCTION("""COMPUTED_VALUE"""),17.76388888888889)</f>
        <v>17.76388889</v>
      </c>
      <c r="J89" s="29">
        <f>IFERROR(__xludf.DUMMYFUNCTION("""COMPUTED_VALUE"""),88.0)</f>
        <v>88</v>
      </c>
      <c r="K89" s="29">
        <f>IFERROR(__xludf.DUMMYFUNCTION("""COMPUTED_VALUE"""),8.0)</f>
        <v>8</v>
      </c>
      <c r="L89" s="31" t="str">
        <f>IFERROR(__xludf.DUMMYFUNCTION("""COMPUTED_VALUE"""),"Flight")</f>
        <v>Flight</v>
      </c>
      <c r="M89" s="31"/>
    </row>
    <row r="90">
      <c r="A90" s="17" t="str">
        <f>IFERROR(__xludf.DUMMYFUNCTION("""COMPUTED_VALUE"""),"DOOM 3")</f>
        <v>DOOM 3</v>
      </c>
      <c r="B90" s="20" t="str">
        <f>IFERROR(__xludf.DUMMYFUNCTION("""COMPUTED_VALUE"""),"Xbox / PC")</f>
        <v>Xbox / PC</v>
      </c>
      <c r="C90" s="21" t="str">
        <f>IFERROR(__xludf.DUMMYFUNCTION("""COMPUTED_VALUE"""),"Yes")</f>
        <v>Yes</v>
      </c>
      <c r="D90" s="21" t="str">
        <f>IFERROR(__xludf.DUMMYFUNCTION("""COMPUTED_VALUE"""),"Active")</f>
        <v>Active</v>
      </c>
      <c r="E90" s="23">
        <f>IFERROR(__xludf.DUMMYFUNCTION("""COMPUTED_VALUE"""),44267.0)</f>
        <v>44267</v>
      </c>
      <c r="F90" s="24"/>
      <c r="G90" s="27">
        <f>IFERROR(__xludf.DUMMYFUNCTION("""COMPUTED_VALUE"""),66.8)</f>
        <v>66.8</v>
      </c>
      <c r="H90" s="23">
        <f>IFERROR(__xludf.DUMMYFUNCTION("""COMPUTED_VALUE"""),38202.0)</f>
        <v>38202</v>
      </c>
      <c r="I90" s="27">
        <f>IFERROR(__xludf.DUMMYFUNCTION("""COMPUTED_VALUE"""),16.608333333333334)</f>
        <v>16.60833333</v>
      </c>
      <c r="J90" s="29">
        <f>IFERROR(__xludf.DUMMYFUNCTION("""COMPUTED_VALUE"""),88.0)</f>
        <v>88</v>
      </c>
      <c r="K90" s="29">
        <f>IFERROR(__xludf.DUMMYFUNCTION("""COMPUTED_VALUE"""),11.0)</f>
        <v>11</v>
      </c>
      <c r="L90" s="31" t="str">
        <f>IFERROR(__xludf.DUMMYFUNCTION("""COMPUTED_VALUE"""),"Shooter")</f>
        <v>Shooter</v>
      </c>
      <c r="M90" s="31"/>
    </row>
    <row r="91">
      <c r="A91" s="17" t="str">
        <f>IFERROR(__xludf.DUMMYFUNCTION("""COMPUTED_VALUE"""),"The Elder Scrolls III: Morrowind")</f>
        <v>The Elder Scrolls III: Morrowind</v>
      </c>
      <c r="B91" s="20" t="str">
        <f>IFERROR(__xludf.DUMMYFUNCTION("""COMPUTED_VALUE"""),"Xbox / PC")</f>
        <v>Xbox / PC</v>
      </c>
      <c r="C91" s="21" t="str">
        <f>IFERROR(__xludf.DUMMYFUNCTION("""COMPUTED_VALUE"""),"Yes")</f>
        <v>Yes</v>
      </c>
      <c r="D91" s="21" t="str">
        <f>IFERROR(__xludf.DUMMYFUNCTION("""COMPUTED_VALUE"""),"Active")</f>
        <v>Active</v>
      </c>
      <c r="E91" s="23">
        <f>IFERROR(__xludf.DUMMYFUNCTION("""COMPUTED_VALUE"""),44267.0)</f>
        <v>44267</v>
      </c>
      <c r="F91" s="24"/>
      <c r="G91" s="27">
        <f>IFERROR(__xludf.DUMMYFUNCTION("""COMPUTED_VALUE"""),66.8)</f>
        <v>66.8</v>
      </c>
      <c r="H91" s="23">
        <f>IFERROR(__xludf.DUMMYFUNCTION("""COMPUTED_VALUE"""),37377.0)</f>
        <v>37377</v>
      </c>
      <c r="I91" s="27">
        <f>IFERROR(__xludf.DUMMYFUNCTION("""COMPUTED_VALUE"""),18.863888888888887)</f>
        <v>18.86388889</v>
      </c>
      <c r="J91" s="29">
        <f>IFERROR(__xludf.DUMMYFUNCTION("""COMPUTED_VALUE"""),88.0)</f>
        <v>88</v>
      </c>
      <c r="K91" s="29">
        <f>IFERROR(__xludf.DUMMYFUNCTION("""COMPUTED_VALUE"""),44.5)</f>
        <v>44.5</v>
      </c>
      <c r="L91" s="31" t="str">
        <f>IFERROR(__xludf.DUMMYFUNCTION("""COMPUTED_VALUE"""),"RPG")</f>
        <v>RPG</v>
      </c>
      <c r="M91" s="31"/>
    </row>
    <row r="92">
      <c r="A92" s="17" t="str">
        <f>IFERROR(__xludf.DUMMYFUNCTION("""COMPUTED_VALUE"""),"Pillars of Eternity II: Deadfire - Ultimate Edition")</f>
        <v>Pillars of Eternity II: Deadfire - Ultimate Edition</v>
      </c>
      <c r="B92" s="20" t="str">
        <f>IFERROR(__xludf.DUMMYFUNCTION("""COMPUTED_VALUE"""),"Xbox / PC")</f>
        <v>Xbox / PC</v>
      </c>
      <c r="C92" s="21" t="str">
        <f>IFERROR(__xludf.DUMMYFUNCTION("""COMPUTED_VALUE"""),"Touch Controls")</f>
        <v>Touch Controls</v>
      </c>
      <c r="D92" s="21" t="str">
        <f>IFERROR(__xludf.DUMMYFUNCTION("""COMPUTED_VALUE"""),"Active")</f>
        <v>Active</v>
      </c>
      <c r="E92" s="23">
        <f>IFERROR(__xludf.DUMMYFUNCTION("""COMPUTED_VALUE"""),44245.0)</f>
        <v>44245</v>
      </c>
      <c r="F92" s="24"/>
      <c r="G92" s="27">
        <f>IFERROR(__xludf.DUMMYFUNCTION("""COMPUTED_VALUE"""),67.60000000000001)</f>
        <v>67.6</v>
      </c>
      <c r="H92" s="23">
        <f>IFERROR(__xludf.DUMMYFUNCTION("""COMPUTED_VALUE"""),43228.0)</f>
        <v>43228</v>
      </c>
      <c r="I92" s="27">
        <f>IFERROR(__xludf.DUMMYFUNCTION("""COMPUTED_VALUE"""),2.7777777777777777)</f>
        <v>2.777777778</v>
      </c>
      <c r="J92" s="29">
        <f>IFERROR(__xludf.DUMMYFUNCTION("""COMPUTED_VALUE"""),88.0)</f>
        <v>88</v>
      </c>
      <c r="K92" s="29">
        <f>IFERROR(__xludf.DUMMYFUNCTION("""COMPUTED_VALUE"""),42.0)</f>
        <v>42</v>
      </c>
      <c r="L92" s="31" t="str">
        <f>IFERROR(__xludf.DUMMYFUNCTION("""COMPUTED_VALUE"""),"RPG")</f>
        <v>RPG</v>
      </c>
      <c r="M92" s="31"/>
    </row>
    <row r="93">
      <c r="A93" s="17" t="str">
        <f>IFERROR(__xludf.DUMMYFUNCTION("""COMPUTED_VALUE"""),"DOOM Eternal")</f>
        <v>DOOM Eternal</v>
      </c>
      <c r="B93" s="20" t="str">
        <f>IFERROR(__xludf.DUMMYFUNCTION("""COMPUTED_VALUE"""),"Xbox / PC")</f>
        <v>Xbox / PC</v>
      </c>
      <c r="C93" s="21" t="str">
        <f>IFERROR(__xludf.DUMMYFUNCTION("""COMPUTED_VALUE"""),"Yes")</f>
        <v>Yes</v>
      </c>
      <c r="D93" s="21" t="str">
        <f>IFERROR(__xludf.DUMMYFUNCTION("""COMPUTED_VALUE"""),"Active")</f>
        <v>Active</v>
      </c>
      <c r="E93" s="23">
        <f>IFERROR(__xludf.DUMMYFUNCTION("""COMPUTED_VALUE"""),44105.0)</f>
        <v>44105</v>
      </c>
      <c r="F93" s="24"/>
      <c r="G93" s="27">
        <f>IFERROR(__xludf.DUMMYFUNCTION("""COMPUTED_VALUE"""),72.16666666666667)</f>
        <v>72.16666667</v>
      </c>
      <c r="H93" s="23">
        <f>IFERROR(__xludf.DUMMYFUNCTION("""COMPUTED_VALUE"""),43910.0)</f>
        <v>43910</v>
      </c>
      <c r="I93" s="27">
        <f>IFERROR(__xludf.DUMMYFUNCTION("""COMPUTED_VALUE"""),0.5305555555555556)</f>
        <v>0.5305555556</v>
      </c>
      <c r="J93" s="29">
        <f>IFERROR(__xludf.DUMMYFUNCTION("""COMPUTED_VALUE"""),88.0)</f>
        <v>88</v>
      </c>
      <c r="K93" s="29">
        <f>IFERROR(__xludf.DUMMYFUNCTION("""COMPUTED_VALUE"""),13.5)</f>
        <v>13.5</v>
      </c>
      <c r="L93" s="31" t="str">
        <f>IFERROR(__xludf.DUMMYFUNCTION("""COMPUTED_VALUE"""),"Shooter")</f>
        <v>Shooter</v>
      </c>
      <c r="M93" s="31" t="str">
        <f>IFERROR(__xludf.DUMMYFUNCTION("""COMPUTED_VALUE"""),"Optimized")</f>
        <v>Optimized</v>
      </c>
    </row>
    <row r="94">
      <c r="A94" s="17" t="str">
        <f>IFERROR(__xludf.DUMMYFUNCTION("""COMPUTED_VALUE"""),"Halo 3")</f>
        <v>Halo 3</v>
      </c>
      <c r="B94" s="20" t="str">
        <f>IFERROR(__xludf.DUMMYFUNCTION("""COMPUTED_VALUE"""),"Xbox / PC")</f>
        <v>Xbox / PC</v>
      </c>
      <c r="C94" s="21"/>
      <c r="D94" s="21" t="str">
        <f>IFERROR(__xludf.DUMMYFUNCTION("""COMPUTED_VALUE"""),"Active")</f>
        <v>Active</v>
      </c>
      <c r="E94" s="23">
        <f>IFERROR(__xludf.DUMMYFUNCTION("""COMPUTED_VALUE"""),44026.0)</f>
        <v>44026</v>
      </c>
      <c r="F94" s="24"/>
      <c r="G94" s="27">
        <f>IFERROR(__xludf.DUMMYFUNCTION("""COMPUTED_VALUE"""),74.73333333333333)</f>
        <v>74.73333333</v>
      </c>
      <c r="H94" s="23">
        <f>IFERROR(__xludf.DUMMYFUNCTION("""COMPUTED_VALUE"""),39350.0)</f>
        <v>39350</v>
      </c>
      <c r="I94" s="27">
        <f>IFERROR(__xludf.DUMMYFUNCTION("""COMPUTED_VALUE"""),12.802777777777777)</f>
        <v>12.80277778</v>
      </c>
      <c r="J94" s="29">
        <f>IFERROR(__xludf.DUMMYFUNCTION("""COMPUTED_VALUE"""),88.0)</f>
        <v>88</v>
      </c>
      <c r="K94" s="29">
        <f>IFERROR(__xludf.DUMMYFUNCTION("""COMPUTED_VALUE"""),9.0)</f>
        <v>9</v>
      </c>
      <c r="L94" s="31" t="str">
        <f>IFERROR(__xludf.DUMMYFUNCTION("""COMPUTED_VALUE"""),"Shooter")</f>
        <v>Shooter</v>
      </c>
      <c r="M94" s="31"/>
    </row>
    <row r="95">
      <c r="A95" s="17" t="str">
        <f>IFERROR(__xludf.DUMMYFUNCTION("""COMPUTED_VALUE"""),"Dishonored 2")</f>
        <v>Dishonored 2</v>
      </c>
      <c r="B95" s="20" t="str">
        <f>IFERROR(__xludf.DUMMYFUNCTION("""COMPUTED_VALUE"""),"Xbox / PC")</f>
        <v>Xbox / PC</v>
      </c>
      <c r="C95" s="21" t="str">
        <f>IFERROR(__xludf.DUMMYFUNCTION("""COMPUTED_VALUE"""),"Yes")</f>
        <v>Yes</v>
      </c>
      <c r="D95" s="21" t="str">
        <f>IFERROR(__xludf.DUMMYFUNCTION("""COMPUTED_VALUE"""),"Active")</f>
        <v>Active</v>
      </c>
      <c r="E95" s="23">
        <f>IFERROR(__xludf.DUMMYFUNCTION("""COMPUTED_VALUE"""),43741.0)</f>
        <v>43741</v>
      </c>
      <c r="F95" s="24"/>
      <c r="G95" s="27">
        <f>IFERROR(__xludf.DUMMYFUNCTION("""COMPUTED_VALUE"""),84.10000000000001)</f>
        <v>84.1</v>
      </c>
      <c r="H95" s="23">
        <f>IFERROR(__xludf.DUMMYFUNCTION("""COMPUTED_VALUE"""),42685.0)</f>
        <v>42685</v>
      </c>
      <c r="I95" s="27">
        <f>IFERROR(__xludf.DUMMYFUNCTION("""COMPUTED_VALUE"""),2.8944444444444444)</f>
        <v>2.894444444</v>
      </c>
      <c r="J95" s="29">
        <f>IFERROR(__xludf.DUMMYFUNCTION("""COMPUTED_VALUE"""),88.0)</f>
        <v>88</v>
      </c>
      <c r="K95" s="29">
        <f>IFERROR(__xludf.DUMMYFUNCTION("""COMPUTED_VALUE"""),12.5)</f>
        <v>12.5</v>
      </c>
      <c r="L95" s="31" t="str">
        <f>IFERROR(__xludf.DUMMYFUNCTION("""COMPUTED_VALUE"""),"Action-Adventure")</f>
        <v>Action-Adventure</v>
      </c>
      <c r="M95" s="31"/>
    </row>
    <row r="96">
      <c r="A96" s="17" t="str">
        <f>IFERROR(__xludf.DUMMYFUNCTION("""COMPUTED_VALUE"""),"Wolfenstein II: The New Colossus")</f>
        <v>Wolfenstein II: The New Colossus</v>
      </c>
      <c r="B96" s="20" t="str">
        <f>IFERROR(__xludf.DUMMYFUNCTION("""COMPUTED_VALUE"""),"Xbox / PC")</f>
        <v>Xbox / PC</v>
      </c>
      <c r="C96" s="21" t="str">
        <f>IFERROR(__xludf.DUMMYFUNCTION("""COMPUTED_VALUE"""),"Yes")</f>
        <v>Yes</v>
      </c>
      <c r="D96" s="21" t="str">
        <f>IFERROR(__xludf.DUMMYFUNCTION("""COMPUTED_VALUE"""),"Active")</f>
        <v>Active</v>
      </c>
      <c r="E96" s="23">
        <f>IFERROR(__xludf.DUMMYFUNCTION("""COMPUTED_VALUE"""),43587.0)</f>
        <v>43587</v>
      </c>
      <c r="F96" s="24"/>
      <c r="G96" s="27">
        <f>IFERROR(__xludf.DUMMYFUNCTION("""COMPUTED_VALUE"""),89.13333333333334)</f>
        <v>89.13333333</v>
      </c>
      <c r="H96" s="23">
        <f>IFERROR(__xludf.DUMMYFUNCTION("""COMPUTED_VALUE"""),43035.0)</f>
        <v>43035</v>
      </c>
      <c r="I96" s="27">
        <f>IFERROR(__xludf.DUMMYFUNCTION("""COMPUTED_VALUE"""),1.5138888888888888)</f>
        <v>1.513888889</v>
      </c>
      <c r="J96" s="29">
        <f>IFERROR(__xludf.DUMMYFUNCTION("""COMPUTED_VALUE"""),88.0)</f>
        <v>88</v>
      </c>
      <c r="K96" s="29">
        <f>IFERROR(__xludf.DUMMYFUNCTION("""COMPUTED_VALUE"""),10.5)</f>
        <v>10.5</v>
      </c>
      <c r="L96" s="31" t="str">
        <f>IFERROR(__xludf.DUMMYFUNCTION("""COMPUTED_VALUE"""),"Shooter")</f>
        <v>Shooter</v>
      </c>
      <c r="M96" s="31"/>
    </row>
    <row r="97">
      <c r="A97" s="17" t="str">
        <f>IFERROR(__xludf.DUMMYFUNCTION("""COMPUTED_VALUE"""),"Minecraft")</f>
        <v>Minecraft</v>
      </c>
      <c r="B97" s="20" t="str">
        <f>IFERROR(__xludf.DUMMYFUNCTION("""COMPUTED_VALUE"""),"Xbox / PC")</f>
        <v>Xbox / PC</v>
      </c>
      <c r="C97" s="21"/>
      <c r="D97" s="21" t="str">
        <f>IFERROR(__xludf.DUMMYFUNCTION("""COMPUTED_VALUE"""),"Active")</f>
        <v>Active</v>
      </c>
      <c r="E97" s="23">
        <f>IFERROR(__xludf.DUMMYFUNCTION("""COMPUTED_VALUE"""),43559.0)</f>
        <v>43559</v>
      </c>
      <c r="F97" s="24"/>
      <c r="G97" s="27">
        <f>IFERROR(__xludf.DUMMYFUNCTION("""COMPUTED_VALUE"""),90.06666666666666)</f>
        <v>90.06666667</v>
      </c>
      <c r="H97" s="23">
        <f>IFERROR(__xludf.DUMMYFUNCTION("""COMPUTED_VALUE"""),40865.0)</f>
        <v>40865</v>
      </c>
      <c r="I97" s="27">
        <f>IFERROR(__xludf.DUMMYFUNCTION("""COMPUTED_VALUE"""),7.377777777777778)</f>
        <v>7.377777778</v>
      </c>
      <c r="J97" s="29">
        <f>IFERROR(__xludf.DUMMYFUNCTION("""COMPUTED_VALUE"""),88.0)</f>
        <v>88</v>
      </c>
      <c r="K97" s="29">
        <f>IFERROR(__xludf.DUMMYFUNCTION("""COMPUTED_VALUE"""),116.0)</f>
        <v>116</v>
      </c>
      <c r="L97" s="31" t="str">
        <f>IFERROR(__xludf.DUMMYFUNCTION("""COMPUTED_VALUE"""),"Action-Adventure")</f>
        <v>Action-Adventure</v>
      </c>
      <c r="M97" s="31"/>
    </row>
    <row r="98">
      <c r="A98" s="17" t="str">
        <f>IFERROR(__xludf.DUMMYFUNCTION("""COMPUTED_VALUE"""),"Fallout 4")</f>
        <v>Fallout 4</v>
      </c>
      <c r="B98" s="20" t="str">
        <f>IFERROR(__xludf.DUMMYFUNCTION("""COMPUTED_VALUE"""),"Xbox / PC")</f>
        <v>Xbox / PC</v>
      </c>
      <c r="C98" s="21" t="str">
        <f>IFERROR(__xludf.DUMMYFUNCTION("""COMPUTED_VALUE"""),"Yes")</f>
        <v>Yes</v>
      </c>
      <c r="D98" s="21" t="str">
        <f>IFERROR(__xludf.DUMMYFUNCTION("""COMPUTED_VALUE"""),"Active")</f>
        <v>Active</v>
      </c>
      <c r="E98" s="23">
        <f>IFERROR(__xludf.DUMMYFUNCTION("""COMPUTED_VALUE"""),43538.0)</f>
        <v>43538</v>
      </c>
      <c r="F98" s="24"/>
      <c r="G98" s="27">
        <f>IFERROR(__xludf.DUMMYFUNCTION("""COMPUTED_VALUE"""),90.73333333333333)</f>
        <v>90.73333333</v>
      </c>
      <c r="H98" s="23">
        <f>IFERROR(__xludf.DUMMYFUNCTION("""COMPUTED_VALUE"""),42318.0)</f>
        <v>42318</v>
      </c>
      <c r="I98" s="27">
        <f>IFERROR(__xludf.DUMMYFUNCTION("""COMPUTED_VALUE"""),3.3444444444444446)</f>
        <v>3.344444444</v>
      </c>
      <c r="J98" s="29">
        <f>IFERROR(__xludf.DUMMYFUNCTION("""COMPUTED_VALUE"""),88.0)</f>
        <v>88</v>
      </c>
      <c r="K98" s="29">
        <f>IFERROR(__xludf.DUMMYFUNCTION("""COMPUTED_VALUE"""),26.5)</f>
        <v>26.5</v>
      </c>
      <c r="L98" s="31" t="str">
        <f>IFERROR(__xludf.DUMMYFUNCTION("""COMPUTED_VALUE"""),"Shooter")</f>
        <v>Shooter</v>
      </c>
      <c r="M98" s="31" t="str">
        <f>IFERROR(__xludf.DUMMYFUNCTION("""COMPUTED_VALUE"""),"FPS Boost")</f>
        <v>FPS Boost</v>
      </c>
    </row>
    <row r="99">
      <c r="A99" s="17" t="str">
        <f>IFERROR(__xludf.DUMMYFUNCTION("""COMPUTED_VALUE"""),"Ori and the Blind Forest: Definitive Edition")</f>
        <v>Ori and the Blind Forest: Definitive Edition</v>
      </c>
      <c r="B99" s="20" t="str">
        <f>IFERROR(__xludf.DUMMYFUNCTION("""COMPUTED_VALUE"""),"Xbox / PC")</f>
        <v>Xbox / PC</v>
      </c>
      <c r="C99" s="21" t="str">
        <f>IFERROR(__xludf.DUMMYFUNCTION("""COMPUTED_VALUE"""),"Yes")</f>
        <v>Yes</v>
      </c>
      <c r="D99" s="21" t="str">
        <f>IFERROR(__xludf.DUMMYFUNCTION("""COMPUTED_VALUE"""),"Active")</f>
        <v>Active</v>
      </c>
      <c r="E99" s="23">
        <f>IFERROR(__xludf.DUMMYFUNCTION("""COMPUTED_VALUE"""),43454.0)</f>
        <v>43454</v>
      </c>
      <c r="F99" s="24"/>
      <c r="G99" s="27">
        <f>IFERROR(__xludf.DUMMYFUNCTION("""COMPUTED_VALUE"""),93.53333333333333)</f>
        <v>93.53333333</v>
      </c>
      <c r="H99" s="23">
        <f>IFERROR(__xludf.DUMMYFUNCTION("""COMPUTED_VALUE"""),42074.0)</f>
        <v>42074</v>
      </c>
      <c r="I99" s="27">
        <f>IFERROR(__xludf.DUMMYFUNCTION("""COMPUTED_VALUE"""),3.775)</f>
        <v>3.775</v>
      </c>
      <c r="J99" s="29">
        <f>IFERROR(__xludf.DUMMYFUNCTION("""COMPUTED_VALUE"""),88.0)</f>
        <v>88</v>
      </c>
      <c r="K99" s="29">
        <f>IFERROR(__xludf.DUMMYFUNCTION("""COMPUTED_VALUE"""),8.5)</f>
        <v>8.5</v>
      </c>
      <c r="L99" s="31" t="str">
        <f>IFERROR(__xludf.DUMMYFUNCTION("""COMPUTED_VALUE"""),"Platformer")</f>
        <v>Platformer</v>
      </c>
      <c r="M99" s="31"/>
    </row>
    <row r="100">
      <c r="A100" s="17" t="str">
        <f>IFERROR(__xludf.DUMMYFUNCTION("""COMPUTED_VALUE"""),"Hellblade: Senua's Sacrifice")</f>
        <v>Hellblade: Senua's Sacrifice</v>
      </c>
      <c r="B100" s="20" t="str">
        <f>IFERROR(__xludf.DUMMYFUNCTION("""COMPUTED_VALUE"""),"Xbox / PC")</f>
        <v>Xbox / PC</v>
      </c>
      <c r="C100" s="21" t="str">
        <f>IFERROR(__xludf.DUMMYFUNCTION("""COMPUTED_VALUE"""),"Touch Controls")</f>
        <v>Touch Controls</v>
      </c>
      <c r="D100" s="21" t="str">
        <f>IFERROR(__xludf.DUMMYFUNCTION("""COMPUTED_VALUE"""),"Active")</f>
        <v>Active</v>
      </c>
      <c r="E100" s="23">
        <f>IFERROR(__xludf.DUMMYFUNCTION("""COMPUTED_VALUE"""),43451.0)</f>
        <v>43451</v>
      </c>
      <c r="F100" s="24"/>
      <c r="G100" s="27">
        <f>IFERROR(__xludf.DUMMYFUNCTION("""COMPUTED_VALUE"""),93.63333333333334)</f>
        <v>93.63333333</v>
      </c>
      <c r="H100" s="23">
        <f>IFERROR(__xludf.DUMMYFUNCTION("""COMPUTED_VALUE"""),42955.0)</f>
        <v>42955</v>
      </c>
      <c r="I100" s="27">
        <f>IFERROR(__xludf.DUMMYFUNCTION("""COMPUTED_VALUE"""),1.3583333333333334)</f>
        <v>1.358333333</v>
      </c>
      <c r="J100" s="29">
        <f>IFERROR(__xludf.DUMMYFUNCTION("""COMPUTED_VALUE"""),88.0)</f>
        <v>88</v>
      </c>
      <c r="K100" s="29">
        <f>IFERROR(__xludf.DUMMYFUNCTION("""COMPUTED_VALUE"""),7.5)</f>
        <v>7.5</v>
      </c>
      <c r="L100" s="31" t="str">
        <f>IFERROR(__xludf.DUMMYFUNCTION("""COMPUTED_VALUE"""),"Action-Adventure")</f>
        <v>Action-Adventure</v>
      </c>
      <c r="M100" s="31" t="str">
        <f>IFERROR(__xludf.DUMMYFUNCTION("""COMPUTED_VALUE"""),"Optimized")</f>
        <v>Optimized</v>
      </c>
    </row>
    <row r="101">
      <c r="A101" s="17" t="str">
        <f>IFERROR(__xludf.DUMMYFUNCTION("""COMPUTED_VALUE"""),"Super Meat Boy")</f>
        <v>Super Meat Boy</v>
      </c>
      <c r="B101" s="20" t="str">
        <f>IFERROR(__xludf.DUMMYFUNCTION("""COMPUTED_VALUE"""),"XB360/OG Xbox")</f>
        <v>XB360/OG Xbox</v>
      </c>
      <c r="C101" s="21"/>
      <c r="D101" s="21" t="str">
        <f>IFERROR(__xludf.DUMMYFUNCTION("""COMPUTED_VALUE"""),"GwG Permanent")</f>
        <v>GwG Permanent</v>
      </c>
      <c r="E101" s="23">
        <f>IFERROR(__xludf.DUMMYFUNCTION("""COMPUTED_VALUE"""),44713.0)</f>
        <v>44713</v>
      </c>
      <c r="F101" s="24">
        <f>IFERROR(__xludf.DUMMYFUNCTION("""COMPUTED_VALUE"""),44727.0)</f>
        <v>44727</v>
      </c>
      <c r="G101" s="27">
        <f>IFERROR(__xludf.DUMMYFUNCTION("""COMPUTED_VALUE"""),0.4666666666666667)</f>
        <v>0.4666666667</v>
      </c>
      <c r="H101" s="23">
        <f>IFERROR(__xludf.DUMMYFUNCTION("""COMPUTED_VALUE"""),40471.0)</f>
        <v>40471</v>
      </c>
      <c r="I101" s="27">
        <f>IFERROR(__xludf.DUMMYFUNCTION("""COMPUTED_VALUE"""),11.613888888888889)</f>
        <v>11.61388889</v>
      </c>
      <c r="J101" s="29">
        <f>IFERROR(__xludf.DUMMYFUNCTION("""COMPUTED_VALUE"""),88.0)</f>
        <v>88</v>
      </c>
      <c r="K101" s="29">
        <f>IFERROR(__xludf.DUMMYFUNCTION("""COMPUTED_VALUE"""),9.0)</f>
        <v>9</v>
      </c>
      <c r="L101" s="31" t="str">
        <f>IFERROR(__xludf.DUMMYFUNCTION("""COMPUTED_VALUE"""),"Platformer")</f>
        <v>Platformer</v>
      </c>
      <c r="M101" s="31"/>
    </row>
    <row r="102">
      <c r="A102" s="17" t="str">
        <f>IFERROR(__xludf.DUMMYFUNCTION("""COMPUTED_VALUE"""),"Tom Clancy's Ghost Recon Advanced Warfighter 2")</f>
        <v>Tom Clancy's Ghost Recon Advanced Warfighter 2</v>
      </c>
      <c r="B102" s="20" t="str">
        <f>IFERROR(__xludf.DUMMYFUNCTION("""COMPUTED_VALUE"""),"XB360/OG Xbox")</f>
        <v>XB360/OG Xbox</v>
      </c>
      <c r="C102" s="21"/>
      <c r="D102" s="21" t="str">
        <f>IFERROR(__xludf.DUMMYFUNCTION("""COMPUTED_VALUE"""),"GwG Permanent")</f>
        <v>GwG Permanent</v>
      </c>
      <c r="E102" s="23">
        <f>IFERROR(__xludf.DUMMYFUNCTION("""COMPUTED_VALUE"""),43571.0)</f>
        <v>43571</v>
      </c>
      <c r="F102" s="24">
        <f>IFERROR(__xludf.DUMMYFUNCTION("""COMPUTED_VALUE"""),43585.0)</f>
        <v>43585</v>
      </c>
      <c r="G102" s="27">
        <f>IFERROR(__xludf.DUMMYFUNCTION("""COMPUTED_VALUE"""),0.4666666666666667)</f>
        <v>0.4666666667</v>
      </c>
      <c r="H102" s="23">
        <f>IFERROR(__xludf.DUMMYFUNCTION("""COMPUTED_VALUE"""),39147.0)</f>
        <v>39147</v>
      </c>
      <c r="I102" s="27">
        <f>IFERROR(__xludf.DUMMYFUNCTION("""COMPUTED_VALUE"""),12.11111111111111)</f>
        <v>12.11111111</v>
      </c>
      <c r="J102" s="29">
        <f>IFERROR(__xludf.DUMMYFUNCTION("""COMPUTED_VALUE"""),88.0)</f>
        <v>88</v>
      </c>
      <c r="K102" s="29">
        <f>IFERROR(__xludf.DUMMYFUNCTION("""COMPUTED_VALUE"""),5.5)</f>
        <v>5.5</v>
      </c>
      <c r="L102" s="31" t="str">
        <f>IFERROR(__xludf.DUMMYFUNCTION("""COMPUTED_VALUE"""),"Shooter")</f>
        <v>Shooter</v>
      </c>
      <c r="M102" s="31"/>
    </row>
    <row r="103">
      <c r="A103" s="17" t="str">
        <f>IFERROR(__xludf.DUMMYFUNCTION("""COMPUTED_VALUE"""),"Star Wars Republic Commando")</f>
        <v>Star Wars Republic Commando</v>
      </c>
      <c r="B103" s="20" t="str">
        <f>IFERROR(__xludf.DUMMYFUNCTION("""COMPUTED_VALUE"""),"XB360/OG Xbox")</f>
        <v>XB360/OG Xbox</v>
      </c>
      <c r="C103" s="21"/>
      <c r="D103" s="21" t="str">
        <f>IFERROR(__xludf.DUMMYFUNCTION("""COMPUTED_VALUE"""),"GwG Permanent")</f>
        <v>GwG Permanent</v>
      </c>
      <c r="E103" s="23">
        <f>IFERROR(__xludf.DUMMYFUNCTION("""COMPUTED_VALUE"""),43525.0)</f>
        <v>43525</v>
      </c>
      <c r="F103" s="24">
        <f>IFERROR(__xludf.DUMMYFUNCTION("""COMPUTED_VALUE"""),43539.0)</f>
        <v>43539</v>
      </c>
      <c r="G103" s="27">
        <f>IFERROR(__xludf.DUMMYFUNCTION("""COMPUTED_VALUE"""),0.4666666666666667)</f>
        <v>0.4666666667</v>
      </c>
      <c r="H103" s="23">
        <f>IFERROR(__xludf.DUMMYFUNCTION("""COMPUTED_VALUE"""),38379.0)</f>
        <v>38379</v>
      </c>
      <c r="I103" s="27">
        <f>IFERROR(__xludf.DUMMYFUNCTION("""COMPUTED_VALUE"""),14.094444444444445)</f>
        <v>14.09444444</v>
      </c>
      <c r="J103" s="29">
        <f>IFERROR(__xludf.DUMMYFUNCTION("""COMPUTED_VALUE"""),88.0)</f>
        <v>88</v>
      </c>
      <c r="K103" s="29">
        <f>IFERROR(__xludf.DUMMYFUNCTION("""COMPUTED_VALUE"""),9.0)</f>
        <v>9</v>
      </c>
      <c r="L103" s="31" t="str">
        <f>IFERROR(__xludf.DUMMYFUNCTION("""COMPUTED_VALUE"""),"Shooter")</f>
        <v>Shooter</v>
      </c>
      <c r="M103" s="31" t="str">
        <f>IFERROR(__xludf.DUMMYFUNCTION("""COMPUTED_VALUE"""),"Enhanced")</f>
        <v>Enhanced</v>
      </c>
    </row>
    <row r="104">
      <c r="A104" s="17" t="str">
        <f>IFERROR(__xludf.DUMMYFUNCTION("""COMPUTED_VALUE"""),"Far Cry 2")</f>
        <v>Far Cry 2</v>
      </c>
      <c r="B104" s="20" t="str">
        <f>IFERROR(__xludf.DUMMYFUNCTION("""COMPUTED_VALUE"""),"XB360/OG Xbox")</f>
        <v>XB360/OG Xbox</v>
      </c>
      <c r="C104" s="21"/>
      <c r="D104" s="21" t="str">
        <f>IFERROR(__xludf.DUMMYFUNCTION("""COMPUTED_VALUE"""),"GwG Permanent")</f>
        <v>GwG Permanent</v>
      </c>
      <c r="E104" s="23">
        <f>IFERROR(__xludf.DUMMYFUNCTION("""COMPUTED_VALUE"""),43481.0)</f>
        <v>43481</v>
      </c>
      <c r="F104" s="24">
        <f>IFERROR(__xludf.DUMMYFUNCTION("""COMPUTED_VALUE"""),43496.0)</f>
        <v>43496</v>
      </c>
      <c r="G104" s="27">
        <f>IFERROR(__xludf.DUMMYFUNCTION("""COMPUTED_VALUE"""),0.4666666666666667)</f>
        <v>0.4666666667</v>
      </c>
      <c r="H104" s="23">
        <f>IFERROR(__xludf.DUMMYFUNCTION("""COMPUTED_VALUE"""),39742.0)</f>
        <v>39742</v>
      </c>
      <c r="I104" s="27">
        <f>IFERROR(__xludf.DUMMYFUNCTION("""COMPUTED_VALUE"""),10.23611111111111)</f>
        <v>10.23611111</v>
      </c>
      <c r="J104" s="29">
        <f>IFERROR(__xludf.DUMMYFUNCTION("""COMPUTED_VALUE"""),88.0)</f>
        <v>88</v>
      </c>
      <c r="K104" s="29">
        <f>IFERROR(__xludf.DUMMYFUNCTION("""COMPUTED_VALUE"""),10.5)</f>
        <v>10.5</v>
      </c>
      <c r="L104" s="31" t="str">
        <f>IFERROR(__xludf.DUMMYFUNCTION("""COMPUTED_VALUE"""),"Shooter")</f>
        <v>Shooter</v>
      </c>
      <c r="M104" s="31"/>
    </row>
    <row r="105">
      <c r="A105" s="17" t="str">
        <f>IFERROR(__xludf.DUMMYFUNCTION("""COMPUTED_VALUE"""),"Rayman Origins")</f>
        <v>Rayman Origins</v>
      </c>
      <c r="B105" s="20" t="str">
        <f>IFERROR(__xludf.DUMMYFUNCTION("""COMPUTED_VALUE"""),"XB360/OG Xbox")</f>
        <v>XB360/OG Xbox</v>
      </c>
      <c r="C105" s="21"/>
      <c r="D105" s="21" t="str">
        <f>IFERROR(__xludf.DUMMYFUNCTION("""COMPUTED_VALUE"""),"GwG Permanent")</f>
        <v>GwG Permanent</v>
      </c>
      <c r="E105" s="23">
        <f>IFERROR(__xludf.DUMMYFUNCTION("""COMPUTED_VALUE"""),42751.0)</f>
        <v>42751</v>
      </c>
      <c r="F105" s="24">
        <f>IFERROR(__xludf.DUMMYFUNCTION("""COMPUTED_VALUE"""),42766.0)</f>
        <v>42766</v>
      </c>
      <c r="G105" s="27">
        <f>IFERROR(__xludf.DUMMYFUNCTION("""COMPUTED_VALUE"""),0.4666666666666667)</f>
        <v>0.4666666667</v>
      </c>
      <c r="H105" s="23">
        <f>IFERROR(__xludf.DUMMYFUNCTION("""COMPUTED_VALUE"""),40876.0)</f>
        <v>40876</v>
      </c>
      <c r="I105" s="27">
        <f>IFERROR(__xludf.DUMMYFUNCTION("""COMPUTED_VALUE"""),5.1305555555555555)</f>
        <v>5.130555556</v>
      </c>
      <c r="J105" s="29">
        <f>IFERROR(__xludf.DUMMYFUNCTION("""COMPUTED_VALUE"""),88.0)</f>
        <v>88</v>
      </c>
      <c r="K105" s="29">
        <f>IFERROR(__xludf.DUMMYFUNCTION("""COMPUTED_VALUE"""),10.0)</f>
        <v>10</v>
      </c>
      <c r="L105" s="31" t="str">
        <f>IFERROR(__xludf.DUMMYFUNCTION("""COMPUTED_VALUE"""),"Platformer")</f>
        <v>Platformer</v>
      </c>
      <c r="M105" s="31"/>
    </row>
    <row r="106">
      <c r="A106" s="17" t="str">
        <f>IFERROR(__xludf.DUMMYFUNCTION("""COMPUTED_VALUE"""),"Burnout Paradise")</f>
        <v>Burnout Paradise</v>
      </c>
      <c r="B106" s="20" t="str">
        <f>IFERROR(__xludf.DUMMYFUNCTION("""COMPUTED_VALUE"""),"XB360/OG Xbox")</f>
        <v>XB360/OG Xbox</v>
      </c>
      <c r="C106" s="21"/>
      <c r="D106" s="21" t="str">
        <f>IFERROR(__xludf.DUMMYFUNCTION("""COMPUTED_VALUE"""),"GwG Permanent")</f>
        <v>GwG Permanent</v>
      </c>
      <c r="E106" s="23">
        <f>IFERROR(__xludf.DUMMYFUNCTION("""COMPUTED_VALUE"""),42720.0)</f>
        <v>42720</v>
      </c>
      <c r="F106" s="24">
        <f>IFERROR(__xludf.DUMMYFUNCTION("""COMPUTED_VALUE"""),42735.0)</f>
        <v>42735</v>
      </c>
      <c r="G106" s="27">
        <f>IFERROR(__xludf.DUMMYFUNCTION("""COMPUTED_VALUE"""),0.4666666666666667)</f>
        <v>0.4666666667</v>
      </c>
      <c r="H106" s="23">
        <f>IFERROR(__xludf.DUMMYFUNCTION("""COMPUTED_VALUE"""),39469.0)</f>
        <v>39469</v>
      </c>
      <c r="I106" s="27">
        <f>IFERROR(__xludf.DUMMYFUNCTION("""COMPUTED_VALUE"""),8.9)</f>
        <v>8.9</v>
      </c>
      <c r="J106" s="29">
        <f>IFERROR(__xludf.DUMMYFUNCTION("""COMPUTED_VALUE"""),88.0)</f>
        <v>88</v>
      </c>
      <c r="K106" s="29">
        <f>IFERROR(__xludf.DUMMYFUNCTION("""COMPUTED_VALUE"""),10.0)</f>
        <v>10</v>
      </c>
      <c r="L106" s="31" t="str">
        <f>IFERROR(__xludf.DUMMYFUNCTION("""COMPUTED_VALUE"""),"Racing")</f>
        <v>Racing</v>
      </c>
      <c r="M106" s="31"/>
    </row>
    <row r="107">
      <c r="A107" s="17" t="str">
        <f>IFERROR(__xludf.DUMMYFUNCTION("""COMPUTED_VALUE"""),"Super Meat Boy")</f>
        <v>Super Meat Boy</v>
      </c>
      <c r="B107" s="20" t="str">
        <f>IFERROR(__xludf.DUMMYFUNCTION("""COMPUTED_VALUE"""),"XB360/OG Xbox")</f>
        <v>XB360/OG Xbox</v>
      </c>
      <c r="C107" s="21"/>
      <c r="D107" s="21" t="str">
        <f>IFERROR(__xludf.DUMMYFUNCTION("""COMPUTED_VALUE"""),"GwG Permanent")</f>
        <v>GwG Permanent</v>
      </c>
      <c r="E107" s="23">
        <f>IFERROR(__xludf.DUMMYFUNCTION("""COMPUTED_VALUE"""),42522.0)</f>
        <v>42522</v>
      </c>
      <c r="F107" s="24">
        <f>IFERROR(__xludf.DUMMYFUNCTION("""COMPUTED_VALUE"""),42536.0)</f>
        <v>42536</v>
      </c>
      <c r="G107" s="27">
        <f>IFERROR(__xludf.DUMMYFUNCTION("""COMPUTED_VALUE"""),0.4666666666666667)</f>
        <v>0.4666666667</v>
      </c>
      <c r="H107" s="23">
        <f>IFERROR(__xludf.DUMMYFUNCTION("""COMPUTED_VALUE"""),40471.0)</f>
        <v>40471</v>
      </c>
      <c r="I107" s="27">
        <f>IFERROR(__xludf.DUMMYFUNCTION("""COMPUTED_VALUE"""),5.613888888888889)</f>
        <v>5.613888889</v>
      </c>
      <c r="J107" s="29">
        <f>IFERROR(__xludf.DUMMYFUNCTION("""COMPUTED_VALUE"""),88.0)</f>
        <v>88</v>
      </c>
      <c r="K107" s="29">
        <f>IFERROR(__xludf.DUMMYFUNCTION("""COMPUTED_VALUE"""),6.0)</f>
        <v>6</v>
      </c>
      <c r="L107" s="31" t="str">
        <f>IFERROR(__xludf.DUMMYFUNCTION("""COMPUTED_VALUE"""),"Platformer")</f>
        <v>Platformer</v>
      </c>
      <c r="M107" s="31"/>
    </row>
    <row r="108">
      <c r="A108" s="17" t="str">
        <f>IFERROR(__xludf.DUMMYFUNCTION("""COMPUTED_VALUE"""),"Assassin's Creed IV: Black Flag")</f>
        <v>Assassin's Creed IV: Black Flag</v>
      </c>
      <c r="B108" s="20" t="str">
        <f>IFERROR(__xludf.DUMMYFUNCTION("""COMPUTED_VALUE"""),"XB360/OG Xbox")</f>
        <v>XB360/OG Xbox</v>
      </c>
      <c r="C108" s="21"/>
      <c r="D108" s="21" t="str">
        <f>IFERROR(__xludf.DUMMYFUNCTION("""COMPUTED_VALUE"""),"GwG Permanent")</f>
        <v>GwG Permanent</v>
      </c>
      <c r="E108" s="23">
        <f>IFERROR(__xludf.DUMMYFUNCTION("""COMPUTED_VALUE"""),42110.0)</f>
        <v>42110</v>
      </c>
      <c r="F108" s="24">
        <f>IFERROR(__xludf.DUMMYFUNCTION("""COMPUTED_VALUE"""),42124.0)</f>
        <v>42124</v>
      </c>
      <c r="G108" s="27">
        <f>IFERROR(__xludf.DUMMYFUNCTION("""COMPUTED_VALUE"""),0.4666666666666667)</f>
        <v>0.4666666667</v>
      </c>
      <c r="H108" s="23">
        <f>IFERROR(__xludf.DUMMYFUNCTION("""COMPUTED_VALUE"""),41576.0)</f>
        <v>41576</v>
      </c>
      <c r="I108" s="27">
        <f>IFERROR(__xludf.DUMMYFUNCTION("""COMPUTED_VALUE"""),1.4638888888888888)</f>
        <v>1.463888889</v>
      </c>
      <c r="J108" s="29">
        <f>IFERROR(__xludf.DUMMYFUNCTION("""COMPUTED_VALUE"""),88.0)</f>
        <v>88</v>
      </c>
      <c r="K108" s="29">
        <f>IFERROR(__xludf.DUMMYFUNCTION("""COMPUTED_VALUE"""),22.0)</f>
        <v>22</v>
      </c>
      <c r="L108" s="31" t="str">
        <f>IFERROR(__xludf.DUMMYFUNCTION("""COMPUTED_VALUE"""),"Action-Adventure")</f>
        <v>Action-Adventure</v>
      </c>
      <c r="M108" s="31"/>
    </row>
    <row r="109">
      <c r="A109" s="17" t="str">
        <f>IFERROR(__xludf.DUMMYFUNCTION("""COMPUTED_VALUE"""),"The Witcher 2: Assassins of Kings")</f>
        <v>The Witcher 2: Assassins of Kings</v>
      </c>
      <c r="B109" s="20" t="str">
        <f>IFERROR(__xludf.DUMMYFUNCTION("""COMPUTED_VALUE"""),"XB360/OG Xbox")</f>
        <v>XB360/OG Xbox</v>
      </c>
      <c r="C109" s="21"/>
      <c r="D109" s="21" t="str">
        <f>IFERROR(__xludf.DUMMYFUNCTION("""COMPUTED_VALUE"""),"GwG Permanent")</f>
        <v>GwG Permanent</v>
      </c>
      <c r="E109" s="23">
        <f>IFERROR(__xludf.DUMMYFUNCTION("""COMPUTED_VALUE"""),42020.0)</f>
        <v>42020</v>
      </c>
      <c r="F109" s="24">
        <f>IFERROR(__xludf.DUMMYFUNCTION("""COMPUTED_VALUE"""),42035.0)</f>
        <v>42035</v>
      </c>
      <c r="G109" s="27">
        <f>IFERROR(__xludf.DUMMYFUNCTION("""COMPUTED_VALUE"""),0.4666666666666667)</f>
        <v>0.4666666667</v>
      </c>
      <c r="H109" s="23">
        <f>IFERROR(__xludf.DUMMYFUNCTION("""COMPUTED_VALUE"""),40680.0)</f>
        <v>40680</v>
      </c>
      <c r="I109" s="27">
        <f>IFERROR(__xludf.DUMMYFUNCTION("""COMPUTED_VALUE"""),3.6638888888888888)</f>
        <v>3.663888889</v>
      </c>
      <c r="J109" s="29">
        <f>IFERROR(__xludf.DUMMYFUNCTION("""COMPUTED_VALUE"""),88.0)</f>
        <v>88</v>
      </c>
      <c r="K109" s="29">
        <f>IFERROR(__xludf.DUMMYFUNCTION("""COMPUTED_VALUE"""),40.0)</f>
        <v>40</v>
      </c>
      <c r="L109" s="31" t="str">
        <f>IFERROR(__xludf.DUMMYFUNCTION("""COMPUTED_VALUE"""),"RPG")</f>
        <v>RPG</v>
      </c>
      <c r="M109" s="31" t="str">
        <f>IFERROR(__xludf.DUMMYFUNCTION("""COMPUTED_VALUE"""),"Enhanced")</f>
        <v>Enhanced</v>
      </c>
    </row>
    <row r="110">
      <c r="A110" s="17" t="str">
        <f>IFERROR(__xludf.DUMMYFUNCTION("""COMPUTED_VALUE"""),"Battlefield: Bad Company 2")</f>
        <v>Battlefield: Bad Company 2</v>
      </c>
      <c r="B110" s="20" t="str">
        <f>IFERROR(__xludf.DUMMYFUNCTION("""COMPUTED_VALUE"""),"XB360/OG Xbox")</f>
        <v>XB360/OG Xbox</v>
      </c>
      <c r="C110" s="21"/>
      <c r="D110" s="21" t="str">
        <f>IFERROR(__xludf.DUMMYFUNCTION("""COMPUTED_VALUE"""),"GwG Permanent")</f>
        <v>GwG Permanent</v>
      </c>
      <c r="E110" s="23">
        <f>IFERROR(__xludf.DUMMYFUNCTION("""COMPUTED_VALUE"""),41913.0)</f>
        <v>41913</v>
      </c>
      <c r="F110" s="24">
        <f>IFERROR(__xludf.DUMMYFUNCTION("""COMPUTED_VALUE"""),41927.0)</f>
        <v>41927</v>
      </c>
      <c r="G110" s="27">
        <f>IFERROR(__xludf.DUMMYFUNCTION("""COMPUTED_VALUE"""),0.4666666666666667)</f>
        <v>0.4666666667</v>
      </c>
      <c r="H110" s="23">
        <f>IFERROR(__xludf.DUMMYFUNCTION("""COMPUTED_VALUE"""),40239.0)</f>
        <v>40239</v>
      </c>
      <c r="I110" s="27">
        <f>IFERROR(__xludf.DUMMYFUNCTION("""COMPUTED_VALUE"""),4.580555555555556)</f>
        <v>4.580555556</v>
      </c>
      <c r="J110" s="29">
        <f>IFERROR(__xludf.DUMMYFUNCTION("""COMPUTED_VALUE"""),88.0)</f>
        <v>88</v>
      </c>
      <c r="K110" s="29">
        <f>IFERROR(__xludf.DUMMYFUNCTION("""COMPUTED_VALUE"""),8.0)</f>
        <v>8</v>
      </c>
      <c r="L110" s="31" t="str">
        <f>IFERROR(__xludf.DUMMYFUNCTION("""COMPUTED_VALUE"""),"Shooter")</f>
        <v>Shooter</v>
      </c>
      <c r="M110" s="31"/>
    </row>
    <row r="111">
      <c r="A111" s="17" t="str">
        <f>IFERROR(__xludf.DUMMYFUNCTION("""COMPUTED_VALUE"""),"Psychonauts")</f>
        <v>Psychonauts</v>
      </c>
      <c r="B111" s="20" t="str">
        <f>IFERROR(__xludf.DUMMYFUNCTION("""COMPUTED_VALUE"""),"Xbox / PC")</f>
        <v>Xbox / PC</v>
      </c>
      <c r="C111" s="21" t="str">
        <f>IFERROR(__xludf.DUMMYFUNCTION("""COMPUTED_VALUE"""),"Touch Controls")</f>
        <v>Touch Controls</v>
      </c>
      <c r="D111" s="21" t="str">
        <f>IFERROR(__xludf.DUMMYFUNCTION("""COMPUTED_VALUE"""),"Active")</f>
        <v>Active</v>
      </c>
      <c r="E111" s="23">
        <f>IFERROR(__xludf.DUMMYFUNCTION("""COMPUTED_VALUE"""),44329.0)</f>
        <v>44329</v>
      </c>
      <c r="F111" s="24"/>
      <c r="G111" s="27">
        <f>IFERROR(__xludf.DUMMYFUNCTION("""COMPUTED_VALUE"""),64.76666666666667)</f>
        <v>64.76666667</v>
      </c>
      <c r="H111" s="23">
        <f>IFERROR(__xludf.DUMMYFUNCTION("""COMPUTED_VALUE"""),38461.0)</f>
        <v>38461</v>
      </c>
      <c r="I111" s="27">
        <f>IFERROR(__xludf.DUMMYFUNCTION("""COMPUTED_VALUE"""),16.066666666666666)</f>
        <v>16.06666667</v>
      </c>
      <c r="J111" s="29">
        <f>IFERROR(__xludf.DUMMYFUNCTION("""COMPUTED_VALUE"""),87.5)</f>
        <v>87.5</v>
      </c>
      <c r="K111" s="29">
        <f>IFERROR(__xludf.DUMMYFUNCTION("""COMPUTED_VALUE"""),12.5)</f>
        <v>12.5</v>
      </c>
      <c r="L111" s="31" t="str">
        <f>IFERROR(__xludf.DUMMYFUNCTION("""COMPUTED_VALUE"""),"Platformer")</f>
        <v>Platformer</v>
      </c>
      <c r="M111" s="31"/>
    </row>
    <row r="112">
      <c r="A112" s="17" t="str">
        <f>IFERROR(__xludf.DUMMYFUNCTION("""COMPUTED_VALUE"""),"Final Fantasy VI")</f>
        <v>Final Fantasy VI</v>
      </c>
      <c r="B112" s="20" t="str">
        <f>IFERROR(__xludf.DUMMYFUNCTION("""COMPUTED_VALUE"""),"Xbox / PC")</f>
        <v>Xbox / PC</v>
      </c>
      <c r="C112" s="21" t="str">
        <f>IFERROR(__xludf.DUMMYFUNCTION("""COMPUTED_VALUE"""),"Yes")</f>
        <v>Yes</v>
      </c>
      <c r="D112" s="21" t="str">
        <f>IFERROR(__xludf.DUMMYFUNCTION("""COMPUTED_VALUE"""),"Active")</f>
        <v>Active</v>
      </c>
      <c r="E112" s="23">
        <f>IFERROR(__xludf.DUMMYFUNCTION("""COMPUTED_VALUE"""),46175.0)</f>
        <v>46175</v>
      </c>
      <c r="F112" s="24"/>
      <c r="G112" s="27">
        <f>IFERROR(__xludf.DUMMYFUNCTION("""COMPUTED_VALUE"""),4.133333333333333)</f>
        <v>4.133333333</v>
      </c>
      <c r="H112" s="23">
        <f>IFERROR(__xludf.DUMMYFUNCTION("""COMPUTED_VALUE"""),45561.0)</f>
        <v>45561</v>
      </c>
      <c r="I112" s="27">
        <f>IFERROR(__xludf.DUMMYFUNCTION("""COMPUTED_VALUE"""),1.6833333333333333)</f>
        <v>1.683333333</v>
      </c>
      <c r="J112" s="29">
        <f>IFERROR(__xludf.DUMMYFUNCTION("""COMPUTED_VALUE"""),87.0)</f>
        <v>87</v>
      </c>
      <c r="K112" s="29">
        <f>IFERROR(__xludf.DUMMYFUNCTION("""COMPUTED_VALUE"""),36.0)</f>
        <v>36</v>
      </c>
      <c r="L112" s="31" t="str">
        <f>IFERROR(__xludf.DUMMYFUNCTION("""COMPUTED_VALUE"""),"RPG")</f>
        <v>RPG</v>
      </c>
      <c r="M112" s="31" t="str">
        <f>IFERROR(__xludf.DUMMYFUNCTION("""COMPUTED_VALUE"""),"Exclusive")</f>
        <v>Exclusive</v>
      </c>
    </row>
    <row r="113">
      <c r="A113" s="17" t="str">
        <f>IFERROR(__xludf.DUMMYFUNCTION("""COMPUTED_VALUE"""),"Absolum")</f>
        <v>Absolum</v>
      </c>
      <c r="B113" s="20" t="str">
        <f>IFERROR(__xludf.DUMMYFUNCTION("""COMPUTED_VALUE"""),"Xbox / PC")</f>
        <v>Xbox / PC</v>
      </c>
      <c r="C113" s="21" t="str">
        <f>IFERROR(__xludf.DUMMYFUNCTION("""COMPUTED_VALUE"""),"Yes")</f>
        <v>Yes</v>
      </c>
      <c r="D113" s="21" t="str">
        <f>IFERROR(__xludf.DUMMYFUNCTION("""COMPUTED_VALUE"""),"Active")</f>
        <v>Active</v>
      </c>
      <c r="E113" s="23">
        <f>IFERROR(__xludf.DUMMYFUNCTION("""COMPUTED_VALUE"""),46106.0)</f>
        <v>46106</v>
      </c>
      <c r="F113" s="24"/>
      <c r="G113" s="27">
        <f>IFERROR(__xludf.DUMMYFUNCTION("""COMPUTED_VALUE"""),6.366666666666667)</f>
        <v>6.366666667</v>
      </c>
      <c r="H113" s="23">
        <f>IFERROR(__xludf.DUMMYFUNCTION("""COMPUTED_VALUE"""),45939.0)</f>
        <v>45939</v>
      </c>
      <c r="I113" s="27">
        <f>IFERROR(__xludf.DUMMYFUNCTION("""COMPUTED_VALUE"""),0.46111111111111114)</f>
        <v>0.4611111111</v>
      </c>
      <c r="J113" s="29">
        <f>IFERROR(__xludf.DUMMYFUNCTION("""COMPUTED_VALUE"""),87.0)</f>
        <v>87</v>
      </c>
      <c r="K113" s="29">
        <f>IFERROR(__xludf.DUMMYFUNCTION("""COMPUTED_VALUE"""),9.0)</f>
        <v>9</v>
      </c>
      <c r="L113" s="31" t="str">
        <f>IFERROR(__xludf.DUMMYFUNCTION("""COMPUTED_VALUE"""),"Beat-’Em-Up")</f>
        <v>Beat-’Em-Up</v>
      </c>
      <c r="M113" s="31" t="str">
        <f>IFERROR(__xludf.DUMMYFUNCTION("""COMPUTED_VALUE"""),"Exclusive")</f>
        <v>Exclusive</v>
      </c>
    </row>
    <row r="114">
      <c r="A114" s="17" t="str">
        <f>IFERROR(__xludf.DUMMYFUNCTION("""COMPUTED_VALUE"""),"Minishoot' Adventures")</f>
        <v>Minishoot' Adventures</v>
      </c>
      <c r="B114" s="20" t="str">
        <f>IFERROR(__xludf.DUMMYFUNCTION("""COMPUTED_VALUE"""),"Xbox / PC")</f>
        <v>Xbox / PC</v>
      </c>
      <c r="C114" s="21" t="str">
        <f>IFERROR(__xludf.DUMMYFUNCTION("""COMPUTED_VALUE"""),"Yes")</f>
        <v>Yes</v>
      </c>
      <c r="D114" s="21" t="str">
        <f>IFERROR(__xludf.DUMMYFUNCTION("""COMPUTED_VALUE"""),"Active")</f>
        <v>Active</v>
      </c>
      <c r="E114" s="23">
        <f>IFERROR(__xludf.DUMMYFUNCTION("""COMPUTED_VALUE"""),46084.0)</f>
        <v>46084</v>
      </c>
      <c r="F114" s="24"/>
      <c r="G114" s="27">
        <f>IFERROR(__xludf.DUMMYFUNCTION("""COMPUTED_VALUE"""),7.1)</f>
        <v>7.1</v>
      </c>
      <c r="H114" s="23">
        <f>IFERROR(__xludf.DUMMYFUNCTION("""COMPUTED_VALUE"""),45384.0)</f>
        <v>45384</v>
      </c>
      <c r="I114" s="27">
        <f>IFERROR(__xludf.DUMMYFUNCTION("""COMPUTED_VALUE"""),1.9194444444444445)</f>
        <v>1.919444444</v>
      </c>
      <c r="J114" s="29">
        <f>IFERROR(__xludf.DUMMYFUNCTION("""COMPUTED_VALUE"""),87.0)</f>
        <v>87</v>
      </c>
      <c r="K114" s="29">
        <f>IFERROR(__xludf.DUMMYFUNCTION("""COMPUTED_VALUE"""),8.0)</f>
        <v>8</v>
      </c>
      <c r="L114" s="31" t="str">
        <f>IFERROR(__xludf.DUMMYFUNCTION("""COMPUTED_VALUE"""),"Strategy")</f>
        <v>Strategy</v>
      </c>
      <c r="M114" s="31"/>
    </row>
    <row r="115">
      <c r="A115" s="17" t="str">
        <f>IFERROR(__xludf.DUMMYFUNCTION("""COMPUTED_VALUE"""),"MechWarrior 2: 31st Century Combat")</f>
        <v>MechWarrior 2: 31st Century Combat</v>
      </c>
      <c r="B115" s="20" t="str">
        <f>IFERROR(__xludf.DUMMYFUNCTION("""COMPUTED_VALUE"""),"Xbox / PC")</f>
        <v>Xbox / PC</v>
      </c>
      <c r="C115" s="21" t="str">
        <f>IFERROR(__xludf.DUMMYFUNCTION("""COMPUTED_VALUE"""),"Yes")</f>
        <v>Yes</v>
      </c>
      <c r="D115" s="21" t="str">
        <f>IFERROR(__xludf.DUMMYFUNCTION("""COMPUTED_VALUE"""),"Active")</f>
        <v>Active</v>
      </c>
      <c r="E115" s="23">
        <f>IFERROR(__xludf.DUMMYFUNCTION("""COMPUTED_VALUE"""),45798.0)</f>
        <v>45798</v>
      </c>
      <c r="F115" s="24"/>
      <c r="G115" s="27">
        <f>IFERROR(__xludf.DUMMYFUNCTION("""COMPUTED_VALUE"""),16.5)</f>
        <v>16.5</v>
      </c>
      <c r="H115" s="23">
        <f>IFERROR(__xludf.DUMMYFUNCTION("""COMPUTED_VALUE"""),34904.0)</f>
        <v>34904</v>
      </c>
      <c r="I115" s="27">
        <f>IFERROR(__xludf.DUMMYFUNCTION("""COMPUTED_VALUE"""),29.825)</f>
        <v>29.825</v>
      </c>
      <c r="J115" s="29">
        <f>IFERROR(__xludf.DUMMYFUNCTION("""COMPUTED_VALUE"""),87.0)</f>
        <v>87</v>
      </c>
      <c r="K115" s="29">
        <f>IFERROR(__xludf.DUMMYFUNCTION("""COMPUTED_VALUE"""),20.0)</f>
        <v>20</v>
      </c>
      <c r="L115" s="31" t="str">
        <f>IFERROR(__xludf.DUMMYFUNCTION("""COMPUTED_VALUE"""),"Shooter")</f>
        <v>Shooter</v>
      </c>
      <c r="M115" s="31"/>
    </row>
    <row r="116">
      <c r="A116" s="17" t="str">
        <f>IFERROR(__xludf.DUMMYFUNCTION("""COMPUTED_VALUE"""),"Pentiment")</f>
        <v>Pentiment</v>
      </c>
      <c r="B116" s="20" t="str">
        <f>IFERROR(__xludf.DUMMYFUNCTION("""COMPUTED_VALUE"""),"Xbox / PC")</f>
        <v>Xbox / PC</v>
      </c>
      <c r="C116" s="21" t="str">
        <f>IFERROR(__xludf.DUMMYFUNCTION("""COMPUTED_VALUE"""),"Touch Controls, M+KB")</f>
        <v>Touch Controls, M+KB</v>
      </c>
      <c r="D116" s="21" t="str">
        <f>IFERROR(__xludf.DUMMYFUNCTION("""COMPUTED_VALUE"""),"Active")</f>
        <v>Active</v>
      </c>
      <c r="E116" s="23">
        <f>IFERROR(__xludf.DUMMYFUNCTION("""COMPUTED_VALUE"""),44880.0)</f>
        <v>44880</v>
      </c>
      <c r="F116" s="24"/>
      <c r="G116" s="27">
        <f>IFERROR(__xludf.DUMMYFUNCTION("""COMPUTED_VALUE"""),46.7)</f>
        <v>46.7</v>
      </c>
      <c r="H116" s="23">
        <f>IFERROR(__xludf.DUMMYFUNCTION("""COMPUTED_VALUE"""),44880.0)</f>
        <v>44880</v>
      </c>
      <c r="I116" s="27">
        <f>IFERROR(__xludf.DUMMYFUNCTION("""COMPUTED_VALUE"""),0.0)</f>
        <v>0</v>
      </c>
      <c r="J116" s="29">
        <f>IFERROR(__xludf.DUMMYFUNCTION("""COMPUTED_VALUE"""),87.0)</f>
        <v>87</v>
      </c>
      <c r="K116" s="29">
        <f>IFERROR(__xludf.DUMMYFUNCTION("""COMPUTED_VALUE"""),18.5)</f>
        <v>18.5</v>
      </c>
      <c r="L116" s="31" t="str">
        <f>IFERROR(__xludf.DUMMYFUNCTION("""COMPUTED_VALUE"""),"Adventure")</f>
        <v>Adventure</v>
      </c>
      <c r="M116" s="31"/>
    </row>
    <row r="117">
      <c r="A117" s="17" t="str">
        <f>IFERROR(__xludf.DUMMYFUNCTION("""COMPUTED_VALUE"""),"Assassin's Creed Odyssey")</f>
        <v>Assassin's Creed Odyssey</v>
      </c>
      <c r="B117" s="20" t="str">
        <f>IFERROR(__xludf.DUMMYFUNCTION("""COMPUTED_VALUE"""),"Xbox / PC")</f>
        <v>Xbox / PC</v>
      </c>
      <c r="C117" s="21" t="str">
        <f>IFERROR(__xludf.DUMMYFUNCTION("""COMPUTED_VALUE"""),"Touch Controls")</f>
        <v>Touch Controls</v>
      </c>
      <c r="D117" s="21" t="str">
        <f>IFERROR(__xludf.DUMMYFUNCTION("""COMPUTED_VALUE"""),"Active")</f>
        <v>Active</v>
      </c>
      <c r="E117" s="23">
        <f>IFERROR(__xludf.DUMMYFUNCTION("""COMPUTED_VALUE"""),44819.0)</f>
        <v>44819</v>
      </c>
      <c r="F117" s="24"/>
      <c r="G117" s="27">
        <f>IFERROR(__xludf.DUMMYFUNCTION("""COMPUTED_VALUE"""),48.7)</f>
        <v>48.7</v>
      </c>
      <c r="H117" s="23">
        <f>IFERROR(__xludf.DUMMYFUNCTION("""COMPUTED_VALUE"""),43375.0)</f>
        <v>43375</v>
      </c>
      <c r="I117" s="27">
        <f>IFERROR(__xludf.DUMMYFUNCTION("""COMPUTED_VALUE"""),3.952777777777778)</f>
        <v>3.952777778</v>
      </c>
      <c r="J117" s="29">
        <f>IFERROR(__xludf.DUMMYFUNCTION("""COMPUTED_VALUE"""),87.0)</f>
        <v>87</v>
      </c>
      <c r="K117" s="29">
        <f>IFERROR(__xludf.DUMMYFUNCTION("""COMPUTED_VALUE"""),44.5)</f>
        <v>44.5</v>
      </c>
      <c r="L117" s="31" t="str">
        <f>IFERROR(__xludf.DUMMYFUNCTION("""COMPUTED_VALUE"""),"RPG")</f>
        <v>RPG</v>
      </c>
      <c r="M117" s="31"/>
    </row>
    <row r="118">
      <c r="A118" s="17" t="str">
        <f>IFERROR(__xludf.DUMMYFUNCTION("""COMPUTED_VALUE"""),"Vampire Survivors")</f>
        <v>Vampire Survivors</v>
      </c>
      <c r="B118" s="20" t="str">
        <f>IFERROR(__xludf.DUMMYFUNCTION("""COMPUTED_VALUE"""),"Xbox / PC")</f>
        <v>Xbox / PC</v>
      </c>
      <c r="C118" s="21" t="str">
        <f>IFERROR(__xludf.DUMMYFUNCTION("""COMPUTED_VALUE"""),"Yes")</f>
        <v>Yes</v>
      </c>
      <c r="D118" s="21" t="str">
        <f>IFERROR(__xludf.DUMMYFUNCTION("""COMPUTED_VALUE"""),"Active")</f>
        <v>Active</v>
      </c>
      <c r="E118" s="23">
        <f>IFERROR(__xludf.DUMMYFUNCTION("""COMPUTED_VALUE"""),44700.0)</f>
        <v>44700</v>
      </c>
      <c r="F118" s="24"/>
      <c r="G118" s="27">
        <f>IFERROR(__xludf.DUMMYFUNCTION("""COMPUTED_VALUE"""),52.56666666666666)</f>
        <v>52.56666667</v>
      </c>
      <c r="H118" s="23">
        <f>IFERROR(__xludf.DUMMYFUNCTION("""COMPUTED_VALUE"""),44547.0)</f>
        <v>44547</v>
      </c>
      <c r="I118" s="27">
        <f>IFERROR(__xludf.DUMMYFUNCTION("""COMPUTED_VALUE"""),0.4222222222222222)</f>
        <v>0.4222222222</v>
      </c>
      <c r="J118" s="29">
        <f>IFERROR(__xludf.DUMMYFUNCTION("""COMPUTED_VALUE"""),87.0)</f>
        <v>87</v>
      </c>
      <c r="K118" s="29">
        <f>IFERROR(__xludf.DUMMYFUNCTION("""COMPUTED_VALUE"""),4.5)</f>
        <v>4.5</v>
      </c>
      <c r="L118" s="31" t="str">
        <f>IFERROR(__xludf.DUMMYFUNCTION("""COMPUTED_VALUE"""),"Action")</f>
        <v>Action</v>
      </c>
      <c r="M118" s="31"/>
    </row>
    <row r="119">
      <c r="A119" s="17" t="str">
        <f>IFERROR(__xludf.DUMMYFUNCTION("""COMPUTED_VALUE"""),"Halo 4")</f>
        <v>Halo 4</v>
      </c>
      <c r="B119" s="20" t="str">
        <f>IFERROR(__xludf.DUMMYFUNCTION("""COMPUTED_VALUE"""),"Xbox / PC")</f>
        <v>Xbox / PC</v>
      </c>
      <c r="C119" s="21"/>
      <c r="D119" s="21" t="str">
        <f>IFERROR(__xludf.DUMMYFUNCTION("""COMPUTED_VALUE"""),"Active")</f>
        <v>Active</v>
      </c>
      <c r="E119" s="23">
        <f>IFERROR(__xludf.DUMMYFUNCTION("""COMPUTED_VALUE"""),44152.0)</f>
        <v>44152</v>
      </c>
      <c r="F119" s="24"/>
      <c r="G119" s="27">
        <f>IFERROR(__xludf.DUMMYFUNCTION("""COMPUTED_VALUE"""),70.63333333333333)</f>
        <v>70.63333333</v>
      </c>
      <c r="H119" s="23">
        <f>IFERROR(__xludf.DUMMYFUNCTION("""COMPUTED_VALUE"""),41218.0)</f>
        <v>41218</v>
      </c>
      <c r="I119" s="27">
        <f>IFERROR(__xludf.DUMMYFUNCTION("""COMPUTED_VALUE"""),8.033333333333333)</f>
        <v>8.033333333</v>
      </c>
      <c r="J119" s="29">
        <f>IFERROR(__xludf.DUMMYFUNCTION("""COMPUTED_VALUE"""),87.0)</f>
        <v>87</v>
      </c>
      <c r="K119" s="29">
        <f>IFERROR(__xludf.DUMMYFUNCTION("""COMPUTED_VALUE"""),8.0)</f>
        <v>8</v>
      </c>
      <c r="L119" s="31" t="str">
        <f>IFERROR(__xludf.DUMMYFUNCTION("""COMPUTED_VALUE"""),"Shooter")</f>
        <v>Shooter</v>
      </c>
      <c r="M119" s="31"/>
    </row>
    <row r="120">
      <c r="A120" s="17" t="str">
        <f>IFERROR(__xludf.DUMMYFUNCTION("""COMPUTED_VALUE"""),"Battlefield 1: Revolution")</f>
        <v>Battlefield 1: Revolution</v>
      </c>
      <c r="B120" s="20" t="str">
        <f>IFERROR(__xludf.DUMMYFUNCTION("""COMPUTED_VALUE"""),"Xbox / PC")</f>
        <v>Xbox / PC</v>
      </c>
      <c r="C120" s="21" t="str">
        <f>IFERROR(__xludf.DUMMYFUNCTION("""COMPUTED_VALUE"""),"Yes")</f>
        <v>Yes</v>
      </c>
      <c r="D120" s="21" t="str">
        <f>IFERROR(__xludf.DUMMYFUNCTION("""COMPUTED_VALUE"""),"Active")</f>
        <v>Active</v>
      </c>
      <c r="E120" s="23">
        <f>IFERROR(__xludf.DUMMYFUNCTION("""COMPUTED_VALUE"""),44145.0)</f>
        <v>44145</v>
      </c>
      <c r="F120" s="24"/>
      <c r="G120" s="27">
        <f>IFERROR(__xludf.DUMMYFUNCTION("""COMPUTED_VALUE"""),70.86666666666667)</f>
        <v>70.86666667</v>
      </c>
      <c r="H120" s="23">
        <f>IFERROR(__xludf.DUMMYFUNCTION("""COMPUTED_VALUE"""),42664.0)</f>
        <v>42664</v>
      </c>
      <c r="I120" s="27">
        <f>IFERROR(__xludf.DUMMYFUNCTION("""COMPUTED_VALUE"""),4.052777777777778)</f>
        <v>4.052777778</v>
      </c>
      <c r="J120" s="29">
        <f>IFERROR(__xludf.DUMMYFUNCTION("""COMPUTED_VALUE"""),87.0)</f>
        <v>87</v>
      </c>
      <c r="K120" s="29">
        <f>IFERROR(__xludf.DUMMYFUNCTION("""COMPUTED_VALUE"""),6.5)</f>
        <v>6.5</v>
      </c>
      <c r="L120" s="31" t="str">
        <f>IFERROR(__xludf.DUMMYFUNCTION("""COMPUTED_VALUE"""),"Shooter")</f>
        <v>Shooter</v>
      </c>
      <c r="M120" s="31" t="str">
        <f>IFERROR(__xludf.DUMMYFUNCTION("""COMPUTED_VALUE"""),"FPS Boost X Only")</f>
        <v>FPS Boost X Only</v>
      </c>
    </row>
    <row r="121">
      <c r="A121" s="17" t="str">
        <f>IFERROR(__xludf.DUMMYFUNCTION("""COMPUTED_VALUE"""),"Titanfall 2: Ultimate Edition")</f>
        <v>Titanfall 2: Ultimate Edition</v>
      </c>
      <c r="B121" s="20" t="str">
        <f>IFERROR(__xludf.DUMMYFUNCTION("""COMPUTED_VALUE"""),"Xbox / PC")</f>
        <v>Xbox / PC</v>
      </c>
      <c r="C121" s="21"/>
      <c r="D121" s="21" t="str">
        <f>IFERROR(__xludf.DUMMYFUNCTION("""COMPUTED_VALUE"""),"Active")</f>
        <v>Active</v>
      </c>
      <c r="E121" s="23">
        <f>IFERROR(__xludf.DUMMYFUNCTION("""COMPUTED_VALUE"""),44145.0)</f>
        <v>44145</v>
      </c>
      <c r="F121" s="24"/>
      <c r="G121" s="27">
        <f>IFERROR(__xludf.DUMMYFUNCTION("""COMPUTED_VALUE"""),70.86666666666667)</f>
        <v>70.86666667</v>
      </c>
      <c r="H121" s="23">
        <f>IFERROR(__xludf.DUMMYFUNCTION("""COMPUTED_VALUE"""),42671.0)</f>
        <v>42671</v>
      </c>
      <c r="I121" s="27">
        <f>IFERROR(__xludf.DUMMYFUNCTION("""COMPUTED_VALUE"""),4.033333333333333)</f>
        <v>4.033333333</v>
      </c>
      <c r="J121" s="29">
        <f>IFERROR(__xludf.DUMMYFUNCTION("""COMPUTED_VALUE"""),87.0)</f>
        <v>87</v>
      </c>
      <c r="K121" s="29">
        <f>IFERROR(__xludf.DUMMYFUNCTION("""COMPUTED_VALUE"""),6.0)</f>
        <v>6</v>
      </c>
      <c r="L121" s="31" t="str">
        <f>IFERROR(__xludf.DUMMYFUNCTION("""COMPUTED_VALUE"""),"Shooter")</f>
        <v>Shooter</v>
      </c>
      <c r="M121" s="31" t="str">
        <f>IFERROR(__xludf.DUMMYFUNCTION("""COMPUTED_VALUE"""),"FPS Boost")</f>
        <v>FPS Boost</v>
      </c>
    </row>
    <row r="122">
      <c r="A122" s="17" t="str">
        <f>IFERROR(__xludf.DUMMYFUNCTION("""COMPUTED_VALUE"""),"DOOM (2016)")</f>
        <v>DOOM (2016)</v>
      </c>
      <c r="B122" s="20" t="str">
        <f>IFERROR(__xludf.DUMMYFUNCTION("""COMPUTED_VALUE"""),"Xbox")</f>
        <v>Xbox</v>
      </c>
      <c r="C122" s="21" t="str">
        <f>IFERROR(__xludf.DUMMYFUNCTION("""COMPUTED_VALUE"""),"Yes")</f>
        <v>Yes</v>
      </c>
      <c r="D122" s="21" t="str">
        <f>IFERROR(__xludf.DUMMYFUNCTION("""COMPUTED_VALUE"""),"Active")</f>
        <v>Active</v>
      </c>
      <c r="E122" s="23">
        <f>IFERROR(__xludf.DUMMYFUNCTION("""COMPUTED_VALUE"""),43322.0)</f>
        <v>43322</v>
      </c>
      <c r="F122" s="24"/>
      <c r="G122" s="27">
        <f>IFERROR(__xludf.DUMMYFUNCTION("""COMPUTED_VALUE"""),97.86666666666666)</f>
        <v>97.86666667</v>
      </c>
      <c r="H122" s="23">
        <f>IFERROR(__xludf.DUMMYFUNCTION("""COMPUTED_VALUE"""),42503.0)</f>
        <v>42503</v>
      </c>
      <c r="I122" s="27">
        <f>IFERROR(__xludf.DUMMYFUNCTION("""COMPUTED_VALUE"""),2.2416666666666667)</f>
        <v>2.241666667</v>
      </c>
      <c r="J122" s="29">
        <f>IFERROR(__xludf.DUMMYFUNCTION("""COMPUTED_VALUE"""),87.0)</f>
        <v>87</v>
      </c>
      <c r="K122" s="29">
        <f>IFERROR(__xludf.DUMMYFUNCTION("""COMPUTED_VALUE"""),11.5)</f>
        <v>11.5</v>
      </c>
      <c r="L122" s="31" t="str">
        <f>IFERROR(__xludf.DUMMYFUNCTION("""COMPUTED_VALUE"""),"Shooter")</f>
        <v>Shooter</v>
      </c>
      <c r="M122" s="31"/>
    </row>
    <row r="123">
      <c r="A123" s="17" t="str">
        <f>IFERROR(__xludf.DUMMYFUNCTION("""COMPUTED_VALUE"""),"Portal: Still Alive")</f>
        <v>Portal: Still Alive</v>
      </c>
      <c r="B123" s="20" t="str">
        <f>IFERROR(__xludf.DUMMYFUNCTION("""COMPUTED_VALUE"""),"XB360/OG Xbox")</f>
        <v>XB360/OG Xbox</v>
      </c>
      <c r="C123" s="21"/>
      <c r="D123" s="21" t="str">
        <f>IFERROR(__xludf.DUMMYFUNCTION("""COMPUTED_VALUE"""),"GwG Permanent")</f>
        <v>GwG Permanent</v>
      </c>
      <c r="E123" s="23">
        <f>IFERROR(__xludf.DUMMYFUNCTION("""COMPUTED_VALUE"""),43617.0)</f>
        <v>43617</v>
      </c>
      <c r="F123" s="24">
        <f>IFERROR(__xludf.DUMMYFUNCTION("""COMPUTED_VALUE"""),43631.0)</f>
        <v>43631</v>
      </c>
      <c r="G123" s="27">
        <f>IFERROR(__xludf.DUMMYFUNCTION("""COMPUTED_VALUE"""),0.4666666666666667)</f>
        <v>0.4666666667</v>
      </c>
      <c r="H123" s="23">
        <f>IFERROR(__xludf.DUMMYFUNCTION("""COMPUTED_VALUE"""),39603.0)</f>
        <v>39603</v>
      </c>
      <c r="I123" s="27">
        <f>IFERROR(__xludf.DUMMYFUNCTION("""COMPUTED_VALUE"""),10.991666666666667)</f>
        <v>10.99166667</v>
      </c>
      <c r="J123" s="29">
        <f>IFERROR(__xludf.DUMMYFUNCTION("""COMPUTED_VALUE"""),87.0)</f>
        <v>87</v>
      </c>
      <c r="K123" s="29">
        <f>IFERROR(__xludf.DUMMYFUNCTION("""COMPUTED_VALUE"""),3.0)</f>
        <v>3</v>
      </c>
      <c r="L123" s="31" t="str">
        <f>IFERROR(__xludf.DUMMYFUNCTION("""COMPUTED_VALUE"""),"Shooter")</f>
        <v>Shooter</v>
      </c>
      <c r="M123" s="31" t="str">
        <f>IFERROR(__xludf.DUMMYFUNCTION("""COMPUTED_VALUE"""),"Enhanced")</f>
        <v>Enhanced</v>
      </c>
    </row>
    <row r="124">
      <c r="A124" s="17" t="str">
        <f>IFERROR(__xludf.DUMMYFUNCTION("""COMPUTED_VALUE"""),"Sonic &amp; All-Stars Racing Transformed")</f>
        <v>Sonic &amp; All-Stars Racing Transformed</v>
      </c>
      <c r="B124" s="20" t="str">
        <f>IFERROR(__xludf.DUMMYFUNCTION("""COMPUTED_VALUE"""),"XB360/OG Xbox")</f>
        <v>XB360/OG Xbox</v>
      </c>
      <c r="C124" s="21"/>
      <c r="D124" s="21" t="str">
        <f>IFERROR(__xludf.DUMMYFUNCTION("""COMPUTED_VALUE"""),"GwG Permanent")</f>
        <v>GwG Permanent</v>
      </c>
      <c r="E124" s="23">
        <f>IFERROR(__xludf.DUMMYFUNCTION("""COMPUTED_VALUE"""),43252.0)</f>
        <v>43252</v>
      </c>
      <c r="F124" s="24">
        <f>IFERROR(__xludf.DUMMYFUNCTION("""COMPUTED_VALUE"""),43266.0)</f>
        <v>43266</v>
      </c>
      <c r="G124" s="27">
        <f>IFERROR(__xludf.DUMMYFUNCTION("""COMPUTED_VALUE"""),0.4666666666666667)</f>
        <v>0.4666666667</v>
      </c>
      <c r="H124" s="23">
        <f>IFERROR(__xludf.DUMMYFUNCTION("""COMPUTED_VALUE"""),41196.0)</f>
        <v>41196</v>
      </c>
      <c r="I124" s="27">
        <f>IFERROR(__xludf.DUMMYFUNCTION("""COMPUTED_VALUE"""),5.6305555555555555)</f>
        <v>5.630555556</v>
      </c>
      <c r="J124" s="29">
        <f>IFERROR(__xludf.DUMMYFUNCTION("""COMPUTED_VALUE"""),87.0)</f>
        <v>87</v>
      </c>
      <c r="K124" s="29">
        <f>IFERROR(__xludf.DUMMYFUNCTION("""COMPUTED_VALUE"""),8.0)</f>
        <v>8</v>
      </c>
      <c r="L124" s="31" t="str">
        <f>IFERROR(__xludf.DUMMYFUNCTION("""COMPUTED_VALUE"""),"Racing")</f>
        <v>Racing</v>
      </c>
      <c r="M124" s="31"/>
    </row>
    <row r="125">
      <c r="A125" s="17" t="str">
        <f>IFERROR(__xludf.DUMMYFUNCTION("""COMPUTED_VALUE"""),"Medal of Honor: Airborne")</f>
        <v>Medal of Honor: Airborne</v>
      </c>
      <c r="B125" s="20" t="str">
        <f>IFERROR(__xludf.DUMMYFUNCTION("""COMPUTED_VALUE"""),"XB360/OG Xbox")</f>
        <v>XB360/OG Xbox</v>
      </c>
      <c r="C125" s="21"/>
      <c r="D125" s="21" t="str">
        <f>IFERROR(__xludf.DUMMYFUNCTION("""COMPUTED_VALUE"""),"GwG Permanent")</f>
        <v>GwG Permanent</v>
      </c>
      <c r="E125" s="23">
        <f>IFERROR(__xludf.DUMMYFUNCTION("""COMPUTED_VALUE"""),43024.0)</f>
        <v>43024</v>
      </c>
      <c r="F125" s="24">
        <f>IFERROR(__xludf.DUMMYFUNCTION("""COMPUTED_VALUE"""),43039.0)</f>
        <v>43039</v>
      </c>
      <c r="G125" s="27">
        <f>IFERROR(__xludf.DUMMYFUNCTION("""COMPUTED_VALUE"""),0.4666666666666667)</f>
        <v>0.4666666667</v>
      </c>
      <c r="H125" s="23">
        <f>IFERROR(__xludf.DUMMYFUNCTION("""COMPUTED_VALUE"""),39235.0)</f>
        <v>39235</v>
      </c>
      <c r="I125" s="27">
        <f>IFERROR(__xludf.DUMMYFUNCTION("""COMPUTED_VALUE"""),10.372222222222222)</f>
        <v>10.37222222</v>
      </c>
      <c r="J125" s="29">
        <f>IFERROR(__xludf.DUMMYFUNCTION("""COMPUTED_VALUE"""),87.0)</f>
        <v>87</v>
      </c>
      <c r="K125" s="29">
        <f>IFERROR(__xludf.DUMMYFUNCTION("""COMPUTED_VALUE"""),6.0)</f>
        <v>6</v>
      </c>
      <c r="L125" s="31" t="str">
        <f>IFERROR(__xludf.DUMMYFUNCTION("""COMPUTED_VALUE"""),"Shooter")</f>
        <v>Shooter</v>
      </c>
      <c r="M125" s="31"/>
    </row>
    <row r="126">
      <c r="A126" s="17" t="str">
        <f>IFERROR(__xludf.DUMMYFUNCTION("""COMPUTED_VALUE"""),"Gears of War 3")</f>
        <v>Gears of War 3</v>
      </c>
      <c r="B126" s="20" t="str">
        <f>IFERROR(__xludf.DUMMYFUNCTION("""COMPUTED_VALUE"""),"XB360/OG Xbox")</f>
        <v>XB360/OG Xbox</v>
      </c>
      <c r="C126" s="21"/>
      <c r="D126" s="21" t="str">
        <f>IFERROR(__xludf.DUMMYFUNCTION("""COMPUTED_VALUE"""),"GwG Permanent")</f>
        <v>GwG Permanent</v>
      </c>
      <c r="E126" s="23">
        <f>IFERROR(__xludf.DUMMYFUNCTION("""COMPUTED_VALUE"""),42201.0)</f>
        <v>42201</v>
      </c>
      <c r="F126" s="24">
        <f>IFERROR(__xludf.DUMMYFUNCTION("""COMPUTED_VALUE"""),42216.0)</f>
        <v>42216</v>
      </c>
      <c r="G126" s="27">
        <f>IFERROR(__xludf.DUMMYFUNCTION("""COMPUTED_VALUE"""),0.4666666666666667)</f>
        <v>0.4666666667</v>
      </c>
      <c r="H126" s="23">
        <f>IFERROR(__xludf.DUMMYFUNCTION("""COMPUTED_VALUE"""),40806.0)</f>
        <v>40806</v>
      </c>
      <c r="I126" s="27">
        <f>IFERROR(__xludf.DUMMYFUNCTION("""COMPUTED_VALUE"""),3.8222222222222224)</f>
        <v>3.822222222</v>
      </c>
      <c r="J126" s="29">
        <f>IFERROR(__xludf.DUMMYFUNCTION("""COMPUTED_VALUE"""),87.0)</f>
        <v>87</v>
      </c>
      <c r="K126" s="29">
        <f>IFERROR(__xludf.DUMMYFUNCTION("""COMPUTED_VALUE"""),10.0)</f>
        <v>10</v>
      </c>
      <c r="L126" s="31" t="str">
        <f>IFERROR(__xludf.DUMMYFUNCTION("""COMPUTED_VALUE"""),"Shooter")</f>
        <v>Shooter</v>
      </c>
      <c r="M126" s="31" t="str">
        <f>IFERROR(__xludf.DUMMYFUNCTION("""COMPUTED_VALUE"""),"Enhanced")</f>
        <v>Enhanced</v>
      </c>
    </row>
    <row r="127">
      <c r="A127" s="17" t="str">
        <f>IFERROR(__xludf.DUMMYFUNCTION("""COMPUTED_VALUE"""),"Mixtape")</f>
        <v>Mixtape</v>
      </c>
      <c r="B127" s="20" t="str">
        <f>IFERROR(__xludf.DUMMYFUNCTION("""COMPUTED_VALUE"""),"Xbox / PC")</f>
        <v>Xbox / PC</v>
      </c>
      <c r="C127" s="21" t="str">
        <f>IFERROR(__xludf.DUMMYFUNCTION("""COMPUTED_VALUE"""),"Yes")</f>
        <v>Yes</v>
      </c>
      <c r="D127" s="21" t="str">
        <f>IFERROR(__xludf.DUMMYFUNCTION("""COMPUTED_VALUE"""),"Active")</f>
        <v>Active</v>
      </c>
      <c r="E127" s="23">
        <f>IFERROR(__xludf.DUMMYFUNCTION("""COMPUTED_VALUE"""),46149.0)</f>
        <v>46149</v>
      </c>
      <c r="F127" s="24"/>
      <c r="G127" s="27">
        <f>IFERROR(__xludf.DUMMYFUNCTION("""COMPUTED_VALUE"""),4.966666666666667)</f>
        <v>4.966666667</v>
      </c>
      <c r="H127" s="23">
        <f>IFERROR(__xludf.DUMMYFUNCTION("""COMPUTED_VALUE"""),46148.0)</f>
        <v>46148</v>
      </c>
      <c r="I127" s="27">
        <f>IFERROR(__xludf.DUMMYFUNCTION("""COMPUTED_VALUE"""),0.002777777777777778)</f>
        <v>0.002777777778</v>
      </c>
      <c r="J127" s="29">
        <f>IFERROR(__xludf.DUMMYFUNCTION("""COMPUTED_VALUE"""),86.0)</f>
        <v>86</v>
      </c>
      <c r="K127" s="29">
        <f>IFERROR(__xludf.DUMMYFUNCTION("""COMPUTED_VALUE"""),3.0)</f>
        <v>3</v>
      </c>
      <c r="L127" s="31" t="str">
        <f>IFERROR(__xludf.DUMMYFUNCTION("""COMPUTED_VALUE"""),"Adventure")</f>
        <v>Adventure</v>
      </c>
      <c r="M127" s="31" t="str">
        <f>IFERROR(__xludf.DUMMYFUNCTION("""COMPUTED_VALUE"""),"Exclusive")</f>
        <v>Exclusive</v>
      </c>
    </row>
    <row r="128">
      <c r="A128" s="17" t="str">
        <f>IFERROR(__xludf.DUMMYFUNCTION("""COMPUTED_VALUE"""),"Resident Evil 7: Biohazard")</f>
        <v>Resident Evil 7: Biohazard</v>
      </c>
      <c r="B128" s="20" t="str">
        <f>IFERROR(__xludf.DUMMYFUNCTION("""COMPUTED_VALUE"""),"Xbox / PC")</f>
        <v>Xbox / PC</v>
      </c>
      <c r="C128" s="21" t="str">
        <f>IFERROR(__xludf.DUMMYFUNCTION("""COMPUTED_VALUE"""),"Yes")</f>
        <v>Yes</v>
      </c>
      <c r="D128" s="21" t="str">
        <f>IFERROR(__xludf.DUMMYFUNCTION("""COMPUTED_VALUE"""),"Active")</f>
        <v>Active</v>
      </c>
      <c r="E128" s="23">
        <f>IFERROR(__xludf.DUMMYFUNCTION("""COMPUTED_VALUE"""),46112.0)</f>
        <v>46112</v>
      </c>
      <c r="F128" s="24"/>
      <c r="G128" s="27">
        <f>IFERROR(__xludf.DUMMYFUNCTION("""COMPUTED_VALUE"""),6.200000000000001)</f>
        <v>6.2</v>
      </c>
      <c r="H128" s="23">
        <f>IFERROR(__xludf.DUMMYFUNCTION("""COMPUTED_VALUE"""),42759.0)</f>
        <v>42759</v>
      </c>
      <c r="I128" s="27">
        <f>IFERROR(__xludf.DUMMYFUNCTION("""COMPUTED_VALUE"""),9.183333333333334)</f>
        <v>9.183333333</v>
      </c>
      <c r="J128" s="29">
        <f>IFERROR(__xludf.DUMMYFUNCTION("""COMPUTED_VALUE"""),86.0)</f>
        <v>86</v>
      </c>
      <c r="K128" s="29">
        <f>IFERROR(__xludf.DUMMYFUNCTION("""COMPUTED_VALUE"""),9.0)</f>
        <v>9</v>
      </c>
      <c r="L128" s="31" t="str">
        <f>IFERROR(__xludf.DUMMYFUNCTION("""COMPUTED_VALUE"""),"Action-Adventure")</f>
        <v>Action-Adventure</v>
      </c>
      <c r="M128" s="31"/>
    </row>
    <row r="129">
      <c r="A129" s="17" t="str">
        <f>IFERROR(__xludf.DUMMYFUNCTION("""COMPUTED_VALUE"""),"1000xResist")</f>
        <v>1000xResist</v>
      </c>
      <c r="B129" s="20" t="str">
        <f>IFERROR(__xludf.DUMMYFUNCTION("""COMPUTED_VALUE"""),"Xbox / PC")</f>
        <v>Xbox / PC</v>
      </c>
      <c r="C129" s="21" t="str">
        <f>IFERROR(__xludf.DUMMYFUNCTION("""COMPUTED_VALUE"""),"Yes")</f>
        <v>Yes</v>
      </c>
      <c r="D129" s="21" t="str">
        <f>IFERROR(__xludf.DUMMYFUNCTION("""COMPUTED_VALUE"""),"Active")</f>
        <v>Active</v>
      </c>
      <c r="E129" s="23">
        <f>IFERROR(__xludf.DUMMYFUNCTION("""COMPUTED_VALUE"""),45965.0)</f>
        <v>45965</v>
      </c>
      <c r="F129" s="24"/>
      <c r="G129" s="27">
        <f>IFERROR(__xludf.DUMMYFUNCTION("""COMPUTED_VALUE"""),11.066666666666666)</f>
        <v>11.06666667</v>
      </c>
      <c r="H129" s="23">
        <f>IFERROR(__xludf.DUMMYFUNCTION("""COMPUTED_VALUE"""),45786.0)</f>
        <v>45786</v>
      </c>
      <c r="I129" s="27">
        <f>IFERROR(__xludf.DUMMYFUNCTION("""COMPUTED_VALUE"""),0.4861111111111111)</f>
        <v>0.4861111111</v>
      </c>
      <c r="J129" s="29">
        <f>IFERROR(__xludf.DUMMYFUNCTION("""COMPUTED_VALUE"""),86.0)</f>
        <v>86</v>
      </c>
      <c r="K129" s="29">
        <f>IFERROR(__xludf.DUMMYFUNCTION("""COMPUTED_VALUE"""),11.0)</f>
        <v>11</v>
      </c>
      <c r="L129" s="31" t="str">
        <f>IFERROR(__xludf.DUMMYFUNCTION("""COMPUTED_VALUE"""),"Action-Adventure")</f>
        <v>Action-Adventure</v>
      </c>
      <c r="M129" s="31" t="str">
        <f>IFERROR(__xludf.DUMMYFUNCTION("""COMPUTED_VALUE"""),"Exclusive")</f>
        <v>Exclusive</v>
      </c>
    </row>
    <row r="130">
      <c r="A130" s="17" t="str">
        <f>IFERROR(__xludf.DUMMYFUNCTION("""COMPUTED_VALUE"""),"Prince of Persia: The Lost Crown")</f>
        <v>Prince of Persia: The Lost Crown</v>
      </c>
      <c r="B130" s="20" t="str">
        <f>IFERROR(__xludf.DUMMYFUNCTION("""COMPUTED_VALUE"""),"Xbox / PC")</f>
        <v>Xbox / PC</v>
      </c>
      <c r="C130" s="21" t="str">
        <f>IFERROR(__xludf.DUMMYFUNCTION("""COMPUTED_VALUE"""),"Yes")</f>
        <v>Yes</v>
      </c>
      <c r="D130" s="21" t="str">
        <f>IFERROR(__xludf.DUMMYFUNCTION("""COMPUTED_VALUE"""),"Active")</f>
        <v>Active</v>
      </c>
      <c r="E130" s="23">
        <f>IFERROR(__xludf.DUMMYFUNCTION("""COMPUTED_VALUE"""),45931.0)</f>
        <v>45931</v>
      </c>
      <c r="F130" s="24"/>
      <c r="G130" s="27">
        <f>IFERROR(__xludf.DUMMYFUNCTION("""COMPUTED_VALUE"""),12.166666666666666)</f>
        <v>12.16666667</v>
      </c>
      <c r="H130" s="23">
        <f>IFERROR(__xludf.DUMMYFUNCTION("""COMPUTED_VALUE"""),45309.0)</f>
        <v>45309</v>
      </c>
      <c r="I130" s="27">
        <f>IFERROR(__xludf.DUMMYFUNCTION("""COMPUTED_VALUE"""),1.7027777777777777)</f>
        <v>1.702777778</v>
      </c>
      <c r="J130" s="29">
        <f>IFERROR(__xludf.DUMMYFUNCTION("""COMPUTED_VALUE"""),86.0)</f>
        <v>86</v>
      </c>
      <c r="K130" s="29">
        <f>IFERROR(__xludf.DUMMYFUNCTION("""COMPUTED_VALUE"""),17.0)</f>
        <v>17</v>
      </c>
      <c r="L130" s="31" t="str">
        <f>IFERROR(__xludf.DUMMYFUNCTION("""COMPUTED_VALUE"""),"Metroidvania")</f>
        <v>Metroidvania</v>
      </c>
      <c r="M130" s="31"/>
    </row>
    <row r="131">
      <c r="A131" s="17" t="str">
        <f>IFERROR(__xludf.DUMMYFUNCTION("""COMPUTED_VALUE"""),"Zork I: The Great Underground")</f>
        <v>Zork I: The Great Underground</v>
      </c>
      <c r="B131" s="20" t="str">
        <f>IFERROR(__xludf.DUMMYFUNCTION("""COMPUTED_VALUE"""),"Xbox / PC")</f>
        <v>Xbox / PC</v>
      </c>
      <c r="C131" s="21" t="str">
        <f>IFERROR(__xludf.DUMMYFUNCTION("""COMPUTED_VALUE"""),"Yes")</f>
        <v>Yes</v>
      </c>
      <c r="D131" s="21" t="str">
        <f>IFERROR(__xludf.DUMMYFUNCTION("""COMPUTED_VALUE"""),"Active")</f>
        <v>Active</v>
      </c>
      <c r="E131" s="23">
        <f>IFERROR(__xludf.DUMMYFUNCTION("""COMPUTED_VALUE"""),45798.0)</f>
        <v>45798</v>
      </c>
      <c r="F131" s="24"/>
      <c r="G131" s="27">
        <f>IFERROR(__xludf.DUMMYFUNCTION("""COMPUTED_VALUE"""),16.5)</f>
        <v>16.5</v>
      </c>
      <c r="H131" s="23">
        <f>IFERROR(__xludf.DUMMYFUNCTION("""COMPUTED_VALUE"""),29342.0)</f>
        <v>29342</v>
      </c>
      <c r="I131" s="27">
        <f>IFERROR(__xludf.DUMMYFUNCTION("""COMPUTED_VALUE"""),45.05555555555556)</f>
        <v>45.05555556</v>
      </c>
      <c r="J131" s="29">
        <f>IFERROR(__xludf.DUMMYFUNCTION("""COMPUTED_VALUE"""),86.0)</f>
        <v>86</v>
      </c>
      <c r="K131" s="29">
        <f>IFERROR(__xludf.DUMMYFUNCTION("""COMPUTED_VALUE"""),4.0)</f>
        <v>4</v>
      </c>
      <c r="L131" s="31" t="str">
        <f>IFERROR(__xludf.DUMMYFUNCTION("""COMPUTED_VALUE"""),"Action‑Adventure")</f>
        <v>Action‑Adventure</v>
      </c>
      <c r="M131" s="31"/>
    </row>
    <row r="132">
      <c r="A132" s="17" t="str">
        <f>IFERROR(__xludf.DUMMYFUNCTION("""COMPUTED_VALUE"""),"Warhammer 40,000: Rogue Trader")</f>
        <v>Warhammer 40,000: Rogue Trader</v>
      </c>
      <c r="B132" s="20" t="str">
        <f>IFERROR(__xludf.DUMMYFUNCTION("""COMPUTED_VALUE"""),"Xbox / PC")</f>
        <v>Xbox / PC</v>
      </c>
      <c r="C132" s="21" t="str">
        <f>IFERROR(__xludf.DUMMYFUNCTION("""COMPUTED_VALUE"""),"Yes")</f>
        <v>Yes</v>
      </c>
      <c r="D132" s="21" t="str">
        <f>IFERROR(__xludf.DUMMYFUNCTION("""COMPUTED_VALUE"""),"Active")</f>
        <v>Active</v>
      </c>
      <c r="E132" s="23">
        <f>IFERROR(__xludf.DUMMYFUNCTION("""COMPUTED_VALUE"""),45708.0)</f>
        <v>45708</v>
      </c>
      <c r="F132" s="24"/>
      <c r="G132" s="27">
        <f>IFERROR(__xludf.DUMMYFUNCTION("""COMPUTED_VALUE"""),19.53333333333333)</f>
        <v>19.53333333</v>
      </c>
      <c r="H132" s="23">
        <f>IFERROR(__xludf.DUMMYFUNCTION("""COMPUTED_VALUE"""),45559.0)</f>
        <v>45559</v>
      </c>
      <c r="I132" s="27">
        <f>IFERROR(__xludf.DUMMYFUNCTION("""COMPUTED_VALUE"""),0.40555555555555556)</f>
        <v>0.4055555556</v>
      </c>
      <c r="J132" s="29">
        <f>IFERROR(__xludf.DUMMYFUNCTION("""COMPUTED_VALUE"""),86.0)</f>
        <v>86</v>
      </c>
      <c r="K132" s="29">
        <f>IFERROR(__xludf.DUMMYFUNCTION("""COMPUTED_VALUE"""),65.0)</f>
        <v>65</v>
      </c>
      <c r="L132" s="31" t="str">
        <f>IFERROR(__xludf.DUMMYFUNCTION("""COMPUTED_VALUE"""),"RPG")</f>
        <v>RPG</v>
      </c>
      <c r="M132" s="31" t="str">
        <f>IFERROR(__xludf.DUMMYFUNCTION("""COMPUTED_VALUE"""),"Exclusive")</f>
        <v>Exclusive</v>
      </c>
    </row>
    <row r="133">
      <c r="A133" s="17" t="str">
        <f>IFERROR(__xludf.DUMMYFUNCTION("""COMPUTED_VALUE"""),"Indiana Jones and the Great Circle")</f>
        <v>Indiana Jones and the Great Circle</v>
      </c>
      <c r="B133" s="20" t="str">
        <f>IFERROR(__xludf.DUMMYFUNCTION("""COMPUTED_VALUE"""),"Xbox / PC")</f>
        <v>Xbox / PC</v>
      </c>
      <c r="C133" s="21" t="str">
        <f>IFERROR(__xludf.DUMMYFUNCTION("""COMPUTED_VALUE"""),"Yes")</f>
        <v>Yes</v>
      </c>
      <c r="D133" s="21" t="str">
        <f>IFERROR(__xludf.DUMMYFUNCTION("""COMPUTED_VALUE"""),"Active")</f>
        <v>Active</v>
      </c>
      <c r="E133" s="23">
        <f>IFERROR(__xludf.DUMMYFUNCTION("""COMPUTED_VALUE"""),45635.0)</f>
        <v>45635</v>
      </c>
      <c r="F133" s="24"/>
      <c r="G133" s="27">
        <f>IFERROR(__xludf.DUMMYFUNCTION("""COMPUTED_VALUE"""),21.9)</f>
        <v>21.9</v>
      </c>
      <c r="H133" s="23">
        <f>IFERROR(__xludf.DUMMYFUNCTION("""COMPUTED_VALUE"""),45635.0)</f>
        <v>45635</v>
      </c>
      <c r="I133" s="27">
        <f>IFERROR(__xludf.DUMMYFUNCTION("""COMPUTED_VALUE"""),0.0)</f>
        <v>0</v>
      </c>
      <c r="J133" s="29">
        <f>IFERROR(__xludf.DUMMYFUNCTION("""COMPUTED_VALUE"""),86.0)</f>
        <v>86</v>
      </c>
      <c r="K133" s="29">
        <f>IFERROR(__xludf.DUMMYFUNCTION("""COMPUTED_VALUE"""),15.0)</f>
        <v>15</v>
      </c>
      <c r="L133" s="31" t="str">
        <f>IFERROR(__xludf.DUMMYFUNCTION("""COMPUTED_VALUE"""),"Action-Adventure")</f>
        <v>Action-Adventure</v>
      </c>
      <c r="M133" s="31" t="str">
        <f>IFERROR(__xludf.DUMMYFUNCTION("""COMPUTED_VALUE"""),"Exclusive")</f>
        <v>Exclusive</v>
      </c>
    </row>
    <row r="134">
      <c r="A134" s="17" t="str">
        <f>IFERROR(__xludf.DUMMYFUNCTION("""COMPUTED_VALUE"""),"Diablo IV")</f>
        <v>Diablo IV</v>
      </c>
      <c r="B134" s="20" t="str">
        <f>IFERROR(__xludf.DUMMYFUNCTION("""COMPUTED_VALUE"""),"Xbox / PC")</f>
        <v>Xbox / PC</v>
      </c>
      <c r="C134" s="21"/>
      <c r="D134" s="21" t="str">
        <f>IFERROR(__xludf.DUMMYFUNCTION("""COMPUTED_VALUE"""),"Active")</f>
        <v>Active</v>
      </c>
      <c r="E134" s="23">
        <f>IFERROR(__xludf.DUMMYFUNCTION("""COMPUTED_VALUE"""),45379.0)</f>
        <v>45379</v>
      </c>
      <c r="F134" s="24"/>
      <c r="G134" s="27">
        <f>IFERROR(__xludf.DUMMYFUNCTION("""COMPUTED_VALUE"""),30.266666666666666)</f>
        <v>30.26666667</v>
      </c>
      <c r="H134" s="23">
        <f>IFERROR(__xludf.DUMMYFUNCTION("""COMPUTED_VALUE"""),45078.0)</f>
        <v>45078</v>
      </c>
      <c r="I134" s="27">
        <f>IFERROR(__xludf.DUMMYFUNCTION("""COMPUTED_VALUE"""),0.825)</f>
        <v>0.825</v>
      </c>
      <c r="J134" s="29">
        <f>IFERROR(__xludf.DUMMYFUNCTION("""COMPUTED_VALUE"""),86.0)</f>
        <v>86</v>
      </c>
      <c r="K134" s="29">
        <f>IFERROR(__xludf.DUMMYFUNCTION("""COMPUTED_VALUE"""),27.0)</f>
        <v>27</v>
      </c>
      <c r="L134" s="31" t="str">
        <f>IFERROR(__xludf.DUMMYFUNCTION("""COMPUTED_VALUE"""),"RPG")</f>
        <v>RPG</v>
      </c>
      <c r="M134" s="31"/>
    </row>
    <row r="135">
      <c r="A135" s="17" t="str">
        <f>IFERROR(__xludf.DUMMYFUNCTION("""COMPUTED_VALUE"""),"Skate")</f>
        <v>Skate</v>
      </c>
      <c r="B135" s="20" t="str">
        <f>IFERROR(__xludf.DUMMYFUNCTION("""COMPUTED_VALUE"""),"Xbox")</f>
        <v>Xbox</v>
      </c>
      <c r="C135" s="21" t="str">
        <f>IFERROR(__xludf.DUMMYFUNCTION("""COMPUTED_VALUE"""),"Touch Controls")</f>
        <v>Touch Controls</v>
      </c>
      <c r="D135" s="21" t="str">
        <f>IFERROR(__xludf.DUMMYFUNCTION("""COMPUTED_VALUE"""),"Active")</f>
        <v>Active</v>
      </c>
      <c r="E135" s="23">
        <f>IFERROR(__xludf.DUMMYFUNCTION("""COMPUTED_VALUE"""),44413.0)</f>
        <v>44413</v>
      </c>
      <c r="F135" s="24"/>
      <c r="G135" s="27">
        <f>IFERROR(__xludf.DUMMYFUNCTION("""COMPUTED_VALUE"""),62.03333333333333)</f>
        <v>62.03333333</v>
      </c>
      <c r="H135" s="23">
        <f>IFERROR(__xludf.DUMMYFUNCTION("""COMPUTED_VALUE"""),39339.0)</f>
        <v>39339</v>
      </c>
      <c r="I135" s="27">
        <f>IFERROR(__xludf.DUMMYFUNCTION("""COMPUTED_VALUE"""),13.891666666666667)</f>
        <v>13.89166667</v>
      </c>
      <c r="J135" s="29">
        <f>IFERROR(__xludf.DUMMYFUNCTION("""COMPUTED_VALUE"""),86.0)</f>
        <v>86</v>
      </c>
      <c r="K135" s="29">
        <f>IFERROR(__xludf.DUMMYFUNCTION("""COMPUTED_VALUE"""),11.5)</f>
        <v>11.5</v>
      </c>
      <c r="L135" s="31" t="str">
        <f>IFERROR(__xludf.DUMMYFUNCTION("""COMPUTED_VALUE"""),"Sports")</f>
        <v>Sports</v>
      </c>
      <c r="M135" s="31"/>
    </row>
    <row r="136">
      <c r="A136" s="17" t="str">
        <f>IFERROR(__xludf.DUMMYFUNCTION("""COMPUTED_VALUE"""),"Dragon Age: Inquisition - Game of the Year Edition")</f>
        <v>Dragon Age: Inquisition - Game of the Year Edition</v>
      </c>
      <c r="B136" s="20" t="str">
        <f>IFERROR(__xludf.DUMMYFUNCTION("""COMPUTED_VALUE"""),"Xbox / PC")</f>
        <v>Xbox / PC</v>
      </c>
      <c r="C136" s="21" t="str">
        <f>IFERROR(__xludf.DUMMYFUNCTION("""COMPUTED_VALUE"""),"Yes")</f>
        <v>Yes</v>
      </c>
      <c r="D136" s="21" t="str">
        <f>IFERROR(__xludf.DUMMYFUNCTION("""COMPUTED_VALUE"""),"Active")</f>
        <v>Active</v>
      </c>
      <c r="E136" s="23">
        <f>IFERROR(__xludf.DUMMYFUNCTION("""COMPUTED_VALUE"""),44145.0)</f>
        <v>44145</v>
      </c>
      <c r="F136" s="24"/>
      <c r="G136" s="27">
        <f>IFERROR(__xludf.DUMMYFUNCTION("""COMPUTED_VALUE"""),70.86666666666667)</f>
        <v>70.86666667</v>
      </c>
      <c r="H136" s="23">
        <f>IFERROR(__xludf.DUMMYFUNCTION("""COMPUTED_VALUE"""),41961.0)</f>
        <v>41961</v>
      </c>
      <c r="I136" s="27">
        <f>IFERROR(__xludf.DUMMYFUNCTION("""COMPUTED_VALUE"""),5.977777777777778)</f>
        <v>5.977777778</v>
      </c>
      <c r="J136" s="29">
        <f>IFERROR(__xludf.DUMMYFUNCTION("""COMPUTED_VALUE"""),86.0)</f>
        <v>86</v>
      </c>
      <c r="K136" s="29">
        <f>IFERROR(__xludf.DUMMYFUNCTION("""COMPUTED_VALUE"""),46.5)</f>
        <v>46.5</v>
      </c>
      <c r="L136" s="31" t="str">
        <f>IFERROR(__xludf.DUMMYFUNCTION("""COMPUTED_VALUE"""),"RPG")</f>
        <v>RPG</v>
      </c>
      <c r="M136" s="31" t="str">
        <f>IFERROR(__xludf.DUMMYFUNCTION("""COMPUTED_VALUE"""),"FPS Boost")</f>
        <v>FPS Boost</v>
      </c>
    </row>
    <row r="137">
      <c r="A137" s="17" t="str">
        <f>IFERROR(__xludf.DUMMYFUNCTION("""COMPUTED_VALUE"""),"Dragon Age: Origins - Ultimate Edition")</f>
        <v>Dragon Age: Origins - Ultimate Edition</v>
      </c>
      <c r="B137" s="20" t="str">
        <f>IFERROR(__xludf.DUMMYFUNCTION("""COMPUTED_VALUE"""),"Xbox / PC")</f>
        <v>Xbox / PC</v>
      </c>
      <c r="C137" s="21" t="str">
        <f>IFERROR(__xludf.DUMMYFUNCTION("""COMPUTED_VALUE"""),"Touch Controls")</f>
        <v>Touch Controls</v>
      </c>
      <c r="D137" s="21" t="str">
        <f>IFERROR(__xludf.DUMMYFUNCTION("""COMPUTED_VALUE"""),"Active")</f>
        <v>Active</v>
      </c>
      <c r="E137" s="23">
        <f>IFERROR(__xludf.DUMMYFUNCTION("""COMPUTED_VALUE"""),44145.0)</f>
        <v>44145</v>
      </c>
      <c r="F137" s="24"/>
      <c r="G137" s="27">
        <f>IFERROR(__xludf.DUMMYFUNCTION("""COMPUTED_VALUE"""),70.86666666666667)</f>
        <v>70.86666667</v>
      </c>
      <c r="H137" s="23">
        <f>IFERROR(__xludf.DUMMYFUNCTION("""COMPUTED_VALUE"""),40120.0)</f>
        <v>40120</v>
      </c>
      <c r="I137" s="27">
        <f>IFERROR(__xludf.DUMMYFUNCTION("""COMPUTED_VALUE"""),11.019444444444444)</f>
        <v>11.01944444</v>
      </c>
      <c r="J137" s="29">
        <f>IFERROR(__xludf.DUMMYFUNCTION("""COMPUTED_VALUE"""),86.0)</f>
        <v>86</v>
      </c>
      <c r="K137" s="29">
        <f>IFERROR(__xludf.DUMMYFUNCTION("""COMPUTED_VALUE"""),40.5)</f>
        <v>40.5</v>
      </c>
      <c r="L137" s="31" t="str">
        <f>IFERROR(__xludf.DUMMYFUNCTION("""COMPUTED_VALUE"""),"RPG")</f>
        <v>RPG</v>
      </c>
      <c r="M137" s="31" t="str">
        <f>IFERROR(__xludf.DUMMYFUNCTION("""COMPUTED_VALUE"""),"FPS Boost")</f>
        <v>FPS Boost</v>
      </c>
    </row>
    <row r="138">
      <c r="A138" s="17" t="str">
        <f>IFERROR(__xludf.DUMMYFUNCTION("""COMPUTED_VALUE"""),"Fight Night: Champion")</f>
        <v>Fight Night: Champion</v>
      </c>
      <c r="B138" s="20" t="str">
        <f>IFERROR(__xludf.DUMMYFUNCTION("""COMPUTED_VALUE"""),"Xbox")</f>
        <v>Xbox</v>
      </c>
      <c r="C138" s="21"/>
      <c r="D138" s="21" t="str">
        <f>IFERROR(__xludf.DUMMYFUNCTION("""COMPUTED_VALUE"""),"Active")</f>
        <v>Active</v>
      </c>
      <c r="E138" s="23">
        <f>IFERROR(__xludf.DUMMYFUNCTION("""COMPUTED_VALUE"""),44145.0)</f>
        <v>44145</v>
      </c>
      <c r="F138" s="24"/>
      <c r="G138" s="27">
        <f>IFERROR(__xludf.DUMMYFUNCTION("""COMPUTED_VALUE"""),70.86666666666667)</f>
        <v>70.86666667</v>
      </c>
      <c r="H138" s="23">
        <f>IFERROR(__xludf.DUMMYFUNCTION("""COMPUTED_VALUE"""),40603.0)</f>
        <v>40603</v>
      </c>
      <c r="I138" s="27">
        <f>IFERROR(__xludf.DUMMYFUNCTION("""COMPUTED_VALUE"""),9.691666666666666)</f>
        <v>9.691666667</v>
      </c>
      <c r="J138" s="29">
        <f>IFERROR(__xludf.DUMMYFUNCTION("""COMPUTED_VALUE"""),86.0)</f>
        <v>86</v>
      </c>
      <c r="K138" s="29">
        <f>IFERROR(__xludf.DUMMYFUNCTION("""COMPUTED_VALUE"""),4.5)</f>
        <v>4.5</v>
      </c>
      <c r="L138" s="31" t="str">
        <f>IFERROR(__xludf.DUMMYFUNCTION("""COMPUTED_VALUE"""),"Boxing")</f>
        <v>Boxing</v>
      </c>
      <c r="M138" s="31"/>
    </row>
    <row r="139">
      <c r="A139" s="17" t="str">
        <f>IFERROR(__xludf.DUMMYFUNCTION("""COMPUTED_VALUE"""),"Wasteland 3")</f>
        <v>Wasteland 3</v>
      </c>
      <c r="B139" s="20" t="str">
        <f>IFERROR(__xludf.DUMMYFUNCTION("""COMPUTED_VALUE"""),"Xbox / PC")</f>
        <v>Xbox / PC</v>
      </c>
      <c r="C139" s="21" t="str">
        <f>IFERROR(__xludf.DUMMYFUNCTION("""COMPUTED_VALUE"""),"Touch Controls")</f>
        <v>Touch Controls</v>
      </c>
      <c r="D139" s="21" t="str">
        <f>IFERROR(__xludf.DUMMYFUNCTION("""COMPUTED_VALUE"""),"Active")</f>
        <v>Active</v>
      </c>
      <c r="E139" s="23">
        <f>IFERROR(__xludf.DUMMYFUNCTION("""COMPUTED_VALUE"""),44071.0)</f>
        <v>44071</v>
      </c>
      <c r="F139" s="24"/>
      <c r="G139" s="27">
        <f>IFERROR(__xludf.DUMMYFUNCTION("""COMPUTED_VALUE"""),73.26666666666667)</f>
        <v>73.26666667</v>
      </c>
      <c r="H139" s="23">
        <f>IFERROR(__xludf.DUMMYFUNCTION("""COMPUTED_VALUE"""),44071.0)</f>
        <v>44071</v>
      </c>
      <c r="I139" s="27">
        <f>IFERROR(__xludf.DUMMYFUNCTION("""COMPUTED_VALUE"""),0.0)</f>
        <v>0</v>
      </c>
      <c r="J139" s="29">
        <f>IFERROR(__xludf.DUMMYFUNCTION("""COMPUTED_VALUE"""),86.0)</f>
        <v>86</v>
      </c>
      <c r="K139" s="29">
        <f>IFERROR(__xludf.DUMMYFUNCTION("""COMPUTED_VALUE"""),36.5)</f>
        <v>36.5</v>
      </c>
      <c r="L139" s="31" t="str">
        <f>IFERROR(__xludf.DUMMYFUNCTION("""COMPUTED_VALUE"""),"RPG")</f>
        <v>RPG</v>
      </c>
      <c r="M139" s="31" t="str">
        <f>IFERROR(__xludf.DUMMYFUNCTION("""COMPUTED_VALUE"""),"FPS Boost")</f>
        <v>FPS Boost</v>
      </c>
    </row>
    <row r="140">
      <c r="A140" s="17" t="str">
        <f>IFERROR(__xludf.DUMMYFUNCTION("""COMPUTED_VALUE"""),"Pillars of Eternity: Definitive Edition")</f>
        <v>Pillars of Eternity: Definitive Edition</v>
      </c>
      <c r="B140" s="20" t="str">
        <f>IFERROR(__xludf.DUMMYFUNCTION("""COMPUTED_VALUE"""),"Xbox / PC")</f>
        <v>Xbox / PC</v>
      </c>
      <c r="C140" s="21" t="str">
        <f>IFERROR(__xludf.DUMMYFUNCTION("""COMPUTED_VALUE"""),"Touch Controls")</f>
        <v>Touch Controls</v>
      </c>
      <c r="D140" s="21" t="str">
        <f>IFERROR(__xludf.DUMMYFUNCTION("""COMPUTED_VALUE"""),"Active")</f>
        <v>Active</v>
      </c>
      <c r="E140" s="23">
        <f>IFERROR(__xludf.DUMMYFUNCTION("""COMPUTED_VALUE"""),43818.0)</f>
        <v>43818</v>
      </c>
      <c r="F140" s="24"/>
      <c r="G140" s="27">
        <f>IFERROR(__xludf.DUMMYFUNCTION("""COMPUTED_VALUE"""),81.56666666666666)</f>
        <v>81.56666667</v>
      </c>
      <c r="H140" s="23">
        <f>IFERROR(__xludf.DUMMYFUNCTION("""COMPUTED_VALUE"""),42089.0)</f>
        <v>42089</v>
      </c>
      <c r="I140" s="27">
        <f>IFERROR(__xludf.DUMMYFUNCTION("""COMPUTED_VALUE"""),4.730555555555555)</f>
        <v>4.730555556</v>
      </c>
      <c r="J140" s="29">
        <f>IFERROR(__xludf.DUMMYFUNCTION("""COMPUTED_VALUE"""),86.0)</f>
        <v>86</v>
      </c>
      <c r="K140" s="29">
        <f>IFERROR(__xludf.DUMMYFUNCTION("""COMPUTED_VALUE"""),35.5)</f>
        <v>35.5</v>
      </c>
      <c r="L140" s="31" t="str">
        <f>IFERROR(__xludf.DUMMYFUNCTION("""COMPUTED_VALUE"""),"RPG")</f>
        <v>RPG</v>
      </c>
      <c r="M140" s="31"/>
    </row>
    <row r="141">
      <c r="A141" s="17" t="str">
        <f>IFERROR(__xludf.DUMMYFUNCTION("""COMPUTED_VALUE"""),"Killer Instinct (2013): Anniversary Edition")</f>
        <v>Killer Instinct (2013): Anniversary Edition</v>
      </c>
      <c r="B141" s="20" t="str">
        <f>IFERROR(__xludf.DUMMYFUNCTION("""COMPUTED_VALUE"""),"Xbox / PC")</f>
        <v>Xbox / PC</v>
      </c>
      <c r="C141" s="21" t="str">
        <f>IFERROR(__xludf.DUMMYFUNCTION("""COMPUTED_VALUE"""),"Touch Controls")</f>
        <v>Touch Controls</v>
      </c>
      <c r="D141" s="21" t="str">
        <f>IFERROR(__xludf.DUMMYFUNCTION("""COMPUTED_VALUE"""),"Active")</f>
        <v>Active</v>
      </c>
      <c r="E141" s="23">
        <f>IFERROR(__xludf.DUMMYFUNCTION("""COMPUTED_VALUE"""),43671.0)</f>
        <v>43671</v>
      </c>
      <c r="F141" s="24"/>
      <c r="G141" s="27">
        <f>IFERROR(__xludf.DUMMYFUNCTION("""COMPUTED_VALUE"""),86.36666666666666)</f>
        <v>86.36666667</v>
      </c>
      <c r="H141" s="23">
        <f>IFERROR(__xludf.DUMMYFUNCTION("""COMPUTED_VALUE"""),41600.0)</f>
        <v>41600</v>
      </c>
      <c r="I141" s="27">
        <f>IFERROR(__xludf.DUMMYFUNCTION("""COMPUTED_VALUE"""),5.675)</f>
        <v>5.675</v>
      </c>
      <c r="J141" s="29">
        <f>IFERROR(__xludf.DUMMYFUNCTION("""COMPUTED_VALUE"""),86.0)</f>
        <v>86</v>
      </c>
      <c r="K141" s="29">
        <f>IFERROR(__xludf.DUMMYFUNCTION("""COMPUTED_VALUE"""),2.0)</f>
        <v>2</v>
      </c>
      <c r="L141" s="31" t="str">
        <f>IFERROR(__xludf.DUMMYFUNCTION("""COMPUTED_VALUE"""),"Fighting")</f>
        <v>Fighting</v>
      </c>
      <c r="M141" s="31"/>
    </row>
    <row r="142">
      <c r="A142" s="17" t="str">
        <f>IFERROR(__xludf.DUMMYFUNCTION("""COMPUTED_VALUE"""),"LEGO Star Wars II: The Original Trilogy")</f>
        <v>LEGO Star Wars II: The Original Trilogy</v>
      </c>
      <c r="B142" s="20" t="str">
        <f>IFERROR(__xludf.DUMMYFUNCTION("""COMPUTED_VALUE"""),"XB360/OG Xbox")</f>
        <v>XB360/OG Xbox</v>
      </c>
      <c r="C142" s="21"/>
      <c r="D142" s="21" t="str">
        <f>IFERROR(__xludf.DUMMYFUNCTION("""COMPUTED_VALUE"""),"GwG Permanent")</f>
        <v>GwG Permanent</v>
      </c>
      <c r="E142" s="23">
        <f>IFERROR(__xludf.DUMMYFUNCTION("""COMPUTED_VALUE"""),43846.0)</f>
        <v>43846</v>
      </c>
      <c r="F142" s="24">
        <f>IFERROR(__xludf.DUMMYFUNCTION("""COMPUTED_VALUE"""),43861.0)</f>
        <v>43861</v>
      </c>
      <c r="G142" s="27">
        <f>IFERROR(__xludf.DUMMYFUNCTION("""COMPUTED_VALUE"""),0.4666666666666667)</f>
        <v>0.4666666667</v>
      </c>
      <c r="H142" s="23">
        <f>IFERROR(__xludf.DUMMYFUNCTION("""COMPUTED_VALUE"""),38971.0)</f>
        <v>38971</v>
      </c>
      <c r="I142" s="27">
        <f>IFERROR(__xludf.DUMMYFUNCTION("""COMPUTED_VALUE"""),13.347222222222221)</f>
        <v>13.34722222</v>
      </c>
      <c r="J142" s="29">
        <f>IFERROR(__xludf.DUMMYFUNCTION("""COMPUTED_VALUE"""),86.0)</f>
        <v>86</v>
      </c>
      <c r="K142" s="29">
        <f>IFERROR(__xludf.DUMMYFUNCTION("""COMPUTED_VALUE"""),8.0)</f>
        <v>8</v>
      </c>
      <c r="L142" s="31" t="str">
        <f>IFERROR(__xludf.DUMMYFUNCTION("""COMPUTED_VALUE"""),"Action-Adventure")</f>
        <v>Action-Adventure</v>
      </c>
      <c r="M142" s="31"/>
    </row>
    <row r="143">
      <c r="A143" s="17" t="str">
        <f>IFERROR(__xludf.DUMMYFUNCTION("""COMPUTED_VALUE"""),"Tekken Tag Tournament 2")</f>
        <v>Tekken Tag Tournament 2</v>
      </c>
      <c r="B143" s="20" t="str">
        <f>IFERROR(__xludf.DUMMYFUNCTION("""COMPUTED_VALUE"""),"XB360/OG Xbox")</f>
        <v>XB360/OG Xbox</v>
      </c>
      <c r="C143" s="21"/>
      <c r="D143" s="21" t="str">
        <f>IFERROR(__xludf.DUMMYFUNCTION("""COMPUTED_VALUE"""),"GwG Permanent")</f>
        <v>GwG Permanent</v>
      </c>
      <c r="E143" s="23">
        <f>IFERROR(__xludf.DUMMYFUNCTION("""COMPUTED_VALUE"""),43724.0)</f>
        <v>43724</v>
      </c>
      <c r="F143" s="24">
        <f>IFERROR(__xludf.DUMMYFUNCTION("""COMPUTED_VALUE"""),43738.0)</f>
        <v>43738</v>
      </c>
      <c r="G143" s="27">
        <f>IFERROR(__xludf.DUMMYFUNCTION("""COMPUTED_VALUE"""),0.4666666666666667)</f>
        <v>0.4666666667</v>
      </c>
      <c r="H143" s="23">
        <f>IFERROR(__xludf.DUMMYFUNCTION("""COMPUTED_VALUE"""),41163.0)</f>
        <v>41163</v>
      </c>
      <c r="I143" s="27">
        <f>IFERROR(__xludf.DUMMYFUNCTION("""COMPUTED_VALUE"""),7.013888888888889)</f>
        <v>7.013888889</v>
      </c>
      <c r="J143" s="29">
        <f>IFERROR(__xludf.DUMMYFUNCTION("""COMPUTED_VALUE"""),86.0)</f>
        <v>86</v>
      </c>
      <c r="K143" s="29">
        <f>IFERROR(__xludf.DUMMYFUNCTION("""COMPUTED_VALUE"""),5.0)</f>
        <v>5</v>
      </c>
      <c r="L143" s="31" t="str">
        <f>IFERROR(__xludf.DUMMYFUNCTION("""COMPUTED_VALUE"""),"Fighting")</f>
        <v>Fighting</v>
      </c>
      <c r="M143" s="31"/>
    </row>
    <row r="144">
      <c r="A144" s="17" t="str">
        <f>IFERROR(__xludf.DUMMYFUNCTION("""COMPUTED_VALUE"""),"Vanquish")</f>
        <v>Vanquish</v>
      </c>
      <c r="B144" s="20" t="str">
        <f>IFERROR(__xludf.DUMMYFUNCTION("""COMPUTED_VALUE"""),"XB360/OG Xbox")</f>
        <v>XB360/OG Xbox</v>
      </c>
      <c r="C144" s="21"/>
      <c r="D144" s="21" t="str">
        <f>IFERROR(__xludf.DUMMYFUNCTION("""COMPUTED_VALUE"""),"GwG Permanent")</f>
        <v>GwG Permanent</v>
      </c>
      <c r="E144" s="23">
        <f>IFERROR(__xludf.DUMMYFUNCTION("""COMPUTED_VALUE"""),43236.0)</f>
        <v>43236</v>
      </c>
      <c r="F144" s="24">
        <f>IFERROR(__xludf.DUMMYFUNCTION("""COMPUTED_VALUE"""),43251.0)</f>
        <v>43251</v>
      </c>
      <c r="G144" s="27">
        <f>IFERROR(__xludf.DUMMYFUNCTION("""COMPUTED_VALUE"""),0.4666666666666667)</f>
        <v>0.4666666667</v>
      </c>
      <c r="H144" s="23">
        <f>IFERROR(__xludf.DUMMYFUNCTION("""COMPUTED_VALUE"""),40470.0)</f>
        <v>40470</v>
      </c>
      <c r="I144" s="27">
        <f>IFERROR(__xludf.DUMMYFUNCTION("""COMPUTED_VALUE"""),7.575)</f>
        <v>7.575</v>
      </c>
      <c r="J144" s="29">
        <f>IFERROR(__xludf.DUMMYFUNCTION("""COMPUTED_VALUE"""),86.0)</f>
        <v>86</v>
      </c>
      <c r="K144" s="29">
        <f>IFERROR(__xludf.DUMMYFUNCTION("""COMPUTED_VALUE"""),6.0)</f>
        <v>6</v>
      </c>
      <c r="L144" s="31" t="str">
        <f>IFERROR(__xludf.DUMMYFUNCTION("""COMPUTED_VALUE"""),"Shooter")</f>
        <v>Shooter</v>
      </c>
      <c r="M144" s="31"/>
    </row>
    <row r="145">
      <c r="A145" s="17" t="str">
        <f>IFERROR(__xludf.DUMMYFUNCTION("""COMPUTED_VALUE"""),"Sega Vintage Collection: Streets of Rage")</f>
        <v>Sega Vintage Collection: Streets of Rage</v>
      </c>
      <c r="B145" s="20" t="str">
        <f>IFERROR(__xludf.DUMMYFUNCTION("""COMPUTED_VALUE"""),"XB360/OG Xbox")</f>
        <v>XB360/OG Xbox</v>
      </c>
      <c r="C145" s="21"/>
      <c r="D145" s="21" t="str">
        <f>IFERROR(__xludf.DUMMYFUNCTION("""COMPUTED_VALUE"""),"GwG Permanent")</f>
        <v>GwG Permanent</v>
      </c>
      <c r="E145" s="23">
        <f>IFERROR(__xludf.DUMMYFUNCTION("""COMPUTED_VALUE"""),43221.0)</f>
        <v>43221</v>
      </c>
      <c r="F145" s="24">
        <f>IFERROR(__xludf.DUMMYFUNCTION("""COMPUTED_VALUE"""),43235.0)</f>
        <v>43235</v>
      </c>
      <c r="G145" s="27">
        <f>IFERROR(__xludf.DUMMYFUNCTION("""COMPUTED_VALUE"""),0.4666666666666667)</f>
        <v>0.4666666667</v>
      </c>
      <c r="H145" s="23">
        <f>IFERROR(__xludf.DUMMYFUNCTION("""COMPUTED_VALUE"""),41514.0)</f>
        <v>41514</v>
      </c>
      <c r="I145" s="27">
        <f>IFERROR(__xludf.DUMMYFUNCTION("""COMPUTED_VALUE"""),4.675)</f>
        <v>4.675</v>
      </c>
      <c r="J145" s="29">
        <f>IFERROR(__xludf.DUMMYFUNCTION("""COMPUTED_VALUE"""),86.0)</f>
        <v>86</v>
      </c>
      <c r="K145" s="29">
        <f>IFERROR(__xludf.DUMMYFUNCTION("""COMPUTED_VALUE"""),2.0)</f>
        <v>2</v>
      </c>
      <c r="L145" s="31" t="str">
        <f>IFERROR(__xludf.DUMMYFUNCTION("""COMPUTED_VALUE"""),"Compilation")</f>
        <v>Compilation</v>
      </c>
      <c r="M145" s="31"/>
    </row>
    <row r="146">
      <c r="A146" s="17" t="str">
        <f>IFERROR(__xludf.DUMMYFUNCTION("""COMPUTED_VALUE"""),"The Secret of Monkey Island: Special Edition")</f>
        <v>The Secret of Monkey Island: Special Edition</v>
      </c>
      <c r="B146" s="20" t="str">
        <f>IFERROR(__xludf.DUMMYFUNCTION("""COMPUTED_VALUE"""),"XB360/OG Xbox")</f>
        <v>XB360/OG Xbox</v>
      </c>
      <c r="C146" s="21"/>
      <c r="D146" s="21" t="str">
        <f>IFERROR(__xludf.DUMMYFUNCTION("""COMPUTED_VALUE"""),"GwG Permanent")</f>
        <v>GwG Permanent</v>
      </c>
      <c r="E146" s="23">
        <f>IFERROR(__xludf.DUMMYFUNCTION("""COMPUTED_VALUE"""),42675.0)</f>
        <v>42675</v>
      </c>
      <c r="F146" s="24">
        <f>IFERROR(__xludf.DUMMYFUNCTION("""COMPUTED_VALUE"""),42689.0)</f>
        <v>42689</v>
      </c>
      <c r="G146" s="27">
        <f>IFERROR(__xludf.DUMMYFUNCTION("""COMPUTED_VALUE"""),0.4666666666666667)</f>
        <v>0.4666666667</v>
      </c>
      <c r="H146" s="23">
        <f>IFERROR(__xludf.DUMMYFUNCTION("""COMPUTED_VALUE"""),40374.0)</f>
        <v>40374</v>
      </c>
      <c r="I146" s="27">
        <f>IFERROR(__xludf.DUMMYFUNCTION("""COMPUTED_VALUE"""),6.294444444444444)</f>
        <v>6.294444444</v>
      </c>
      <c r="J146" s="29">
        <f>IFERROR(__xludf.DUMMYFUNCTION("""COMPUTED_VALUE"""),86.0)</f>
        <v>86</v>
      </c>
      <c r="K146" s="29">
        <f>IFERROR(__xludf.DUMMYFUNCTION("""COMPUTED_VALUE"""),7.0)</f>
        <v>7</v>
      </c>
      <c r="L146" s="31" t="str">
        <f>IFERROR(__xludf.DUMMYFUNCTION("""COMPUTED_VALUE"""),"Adventure")</f>
        <v>Adventure</v>
      </c>
      <c r="M146" s="31"/>
    </row>
    <row r="147">
      <c r="A147" s="17" t="str">
        <f>IFERROR(__xludf.DUMMYFUNCTION("""COMPUTED_VALUE"""),"Forza Horizon")</f>
        <v>Forza Horizon</v>
      </c>
      <c r="B147" s="20" t="str">
        <f>IFERROR(__xludf.DUMMYFUNCTION("""COMPUTED_VALUE"""),"XB360/OG Xbox")</f>
        <v>XB360/OG Xbox</v>
      </c>
      <c r="C147" s="21"/>
      <c r="D147" s="21" t="str">
        <f>IFERROR(__xludf.DUMMYFUNCTION("""COMPUTED_VALUE"""),"GwG Permanent")</f>
        <v>GwG Permanent</v>
      </c>
      <c r="E147" s="23">
        <f>IFERROR(__xludf.DUMMYFUNCTION("""COMPUTED_VALUE"""),42614.0)</f>
        <v>42614</v>
      </c>
      <c r="F147" s="24">
        <f>IFERROR(__xludf.DUMMYFUNCTION("""COMPUTED_VALUE"""),42628.0)</f>
        <v>42628</v>
      </c>
      <c r="G147" s="27">
        <f>IFERROR(__xludf.DUMMYFUNCTION("""COMPUTED_VALUE"""),0.4666666666666667)</f>
        <v>0.4666666667</v>
      </c>
      <c r="H147" s="23">
        <f>IFERROR(__xludf.DUMMYFUNCTION("""COMPUTED_VALUE"""),41205.0)</f>
        <v>41205</v>
      </c>
      <c r="I147" s="27">
        <f>IFERROR(__xludf.DUMMYFUNCTION("""COMPUTED_VALUE"""),3.8555555555555556)</f>
        <v>3.855555556</v>
      </c>
      <c r="J147" s="29">
        <f>IFERROR(__xludf.DUMMYFUNCTION("""COMPUTED_VALUE"""),86.0)</f>
        <v>86</v>
      </c>
      <c r="K147" s="29">
        <f>IFERROR(__xludf.DUMMYFUNCTION("""COMPUTED_VALUE"""),16.0)</f>
        <v>16</v>
      </c>
      <c r="L147" s="31" t="str">
        <f>IFERROR(__xludf.DUMMYFUNCTION("""COMPUTED_VALUE"""),"Racing")</f>
        <v>Racing</v>
      </c>
      <c r="M147" s="31" t="str">
        <f>IFERROR(__xludf.DUMMYFUNCTION("""COMPUTED_VALUE"""),"Enhanced")</f>
        <v>Enhanced</v>
      </c>
    </row>
    <row r="148">
      <c r="A148" s="17" t="str">
        <f>IFERROR(__xludf.DUMMYFUNCTION("""COMPUTED_VALUE"""),"Beyond Good &amp; Evil HD")</f>
        <v>Beyond Good &amp; Evil HD</v>
      </c>
      <c r="B148" s="20" t="str">
        <f>IFERROR(__xludf.DUMMYFUNCTION("""COMPUTED_VALUE"""),"XB360/OG Xbox")</f>
        <v>XB360/OG Xbox</v>
      </c>
      <c r="C148" s="21"/>
      <c r="D148" s="21" t="str">
        <f>IFERROR(__xludf.DUMMYFUNCTION("""COMPUTED_VALUE"""),"GwG Permanent")</f>
        <v>GwG Permanent</v>
      </c>
      <c r="E148" s="23">
        <f>IFERROR(__xludf.DUMMYFUNCTION("""COMPUTED_VALUE"""),42598.0)</f>
        <v>42598</v>
      </c>
      <c r="F148" s="24">
        <f>IFERROR(__xludf.DUMMYFUNCTION("""COMPUTED_VALUE"""),42613.0)</f>
        <v>42613</v>
      </c>
      <c r="G148" s="27">
        <f>IFERROR(__xludf.DUMMYFUNCTION("""COMPUTED_VALUE"""),0.4666666666666667)</f>
        <v>0.4666666667</v>
      </c>
      <c r="H148" s="23">
        <f>IFERROR(__xludf.DUMMYFUNCTION("""COMPUTED_VALUE"""),40880.0)</f>
        <v>40880</v>
      </c>
      <c r="I148" s="27">
        <f>IFERROR(__xludf.DUMMYFUNCTION("""COMPUTED_VALUE"""),4.7027777777777775)</f>
        <v>4.702777778</v>
      </c>
      <c r="J148" s="29">
        <f>IFERROR(__xludf.DUMMYFUNCTION("""COMPUTED_VALUE"""),86.0)</f>
        <v>86</v>
      </c>
      <c r="K148" s="29">
        <f>IFERROR(__xludf.DUMMYFUNCTION("""COMPUTED_VALUE"""),18.0)</f>
        <v>18</v>
      </c>
      <c r="L148" s="31" t="str">
        <f>IFERROR(__xludf.DUMMYFUNCTION("""COMPUTED_VALUE"""),"Action-Adventure")</f>
        <v>Action-Adventure</v>
      </c>
      <c r="M148" s="31"/>
    </row>
    <row r="149">
      <c r="A149" s="17" t="str">
        <f>IFERROR(__xludf.DUMMYFUNCTION("""COMPUTED_VALUE"""),"Saints Row IV")</f>
        <v>Saints Row IV</v>
      </c>
      <c r="B149" s="20" t="str">
        <f>IFERROR(__xludf.DUMMYFUNCTION("""COMPUTED_VALUE"""),"XB360/OG Xbox")</f>
        <v>XB360/OG Xbox</v>
      </c>
      <c r="C149" s="21"/>
      <c r="D149" s="21" t="str">
        <f>IFERROR(__xludf.DUMMYFUNCTION("""COMPUTED_VALUE"""),"GwG Permanent")</f>
        <v>GwG Permanent</v>
      </c>
      <c r="E149" s="23">
        <f>IFERROR(__xludf.DUMMYFUNCTION("""COMPUTED_VALUE"""),42476.0)</f>
        <v>42476</v>
      </c>
      <c r="F149" s="24">
        <f>IFERROR(__xludf.DUMMYFUNCTION("""COMPUTED_VALUE"""),42490.0)</f>
        <v>42490</v>
      </c>
      <c r="G149" s="27">
        <f>IFERROR(__xludf.DUMMYFUNCTION("""COMPUTED_VALUE"""),0.4666666666666667)</f>
        <v>0.4666666667</v>
      </c>
      <c r="H149" s="23">
        <f>IFERROR(__xludf.DUMMYFUNCTION("""COMPUTED_VALUE"""),41506.0)</f>
        <v>41506</v>
      </c>
      <c r="I149" s="27">
        <f>IFERROR(__xludf.DUMMYFUNCTION("""COMPUTED_VALUE"""),2.6555555555555554)</f>
        <v>2.655555556</v>
      </c>
      <c r="J149" s="29">
        <f>IFERROR(__xludf.DUMMYFUNCTION("""COMPUTED_VALUE"""),86.0)</f>
        <v>86</v>
      </c>
      <c r="K149" s="29">
        <f>IFERROR(__xludf.DUMMYFUNCTION("""COMPUTED_VALUE"""),15.0)</f>
        <v>15</v>
      </c>
      <c r="L149" s="31" t="str">
        <f>IFERROR(__xludf.DUMMYFUNCTION("""COMPUTED_VALUE"""),"Action-Adventure")</f>
        <v>Action-Adventure</v>
      </c>
      <c r="M149" s="31"/>
    </row>
    <row r="150">
      <c r="A150" s="17" t="str">
        <f>IFERROR(__xludf.DUMMYFUNCTION("""COMPUTED_VALUE"""),"The Walking Dead: The Complete First Season")</f>
        <v>The Walking Dead: The Complete First Season</v>
      </c>
      <c r="B150" s="20" t="str">
        <f>IFERROR(__xludf.DUMMYFUNCTION("""COMPUTED_VALUE"""),"XB360/OG Xbox")</f>
        <v>XB360/OG Xbox</v>
      </c>
      <c r="C150" s="21"/>
      <c r="D150" s="21" t="str">
        <f>IFERROR(__xludf.DUMMYFUNCTION("""COMPUTED_VALUE"""),"GwG Permanent")</f>
        <v>GwG Permanent</v>
      </c>
      <c r="E150" s="23">
        <f>IFERROR(__xludf.DUMMYFUNCTION("""COMPUTED_VALUE"""),42293.0)</f>
        <v>42293</v>
      </c>
      <c r="F150" s="24">
        <f>IFERROR(__xludf.DUMMYFUNCTION("""COMPUTED_VALUE"""),42308.0)</f>
        <v>42308</v>
      </c>
      <c r="G150" s="27">
        <f>IFERROR(__xludf.DUMMYFUNCTION("""COMPUTED_VALUE"""),0.4666666666666667)</f>
        <v>0.4666666667</v>
      </c>
      <c r="H150" s="23">
        <f>IFERROR(__xludf.DUMMYFUNCTION("""COMPUTED_VALUE"""),41022.0)</f>
        <v>41022</v>
      </c>
      <c r="I150" s="27">
        <f>IFERROR(__xludf.DUMMYFUNCTION("""COMPUTED_VALUE"""),3.4805555555555556)</f>
        <v>3.480555556</v>
      </c>
      <c r="J150" s="29">
        <f>IFERROR(__xludf.DUMMYFUNCTION("""COMPUTED_VALUE"""),86.0)</f>
        <v>86</v>
      </c>
      <c r="K150" s="29">
        <f>IFERROR(__xludf.DUMMYFUNCTION("""COMPUTED_VALUE"""),8.0)</f>
        <v>8</v>
      </c>
      <c r="L150" s="31" t="str">
        <f>IFERROR(__xludf.DUMMYFUNCTION("""COMPUTED_VALUE"""),"Adventure")</f>
        <v>Adventure</v>
      </c>
      <c r="M150" s="31"/>
    </row>
    <row r="151">
      <c r="A151" s="17" t="str">
        <f>IFERROR(__xludf.DUMMYFUNCTION("""COMPUTED_VALUE"""),"Just Cause 2")</f>
        <v>Just Cause 2</v>
      </c>
      <c r="B151" s="20" t="str">
        <f>IFERROR(__xludf.DUMMYFUNCTION("""COMPUTED_VALUE"""),"XB360/OG Xbox")</f>
        <v>XB360/OG Xbox</v>
      </c>
      <c r="C151" s="21"/>
      <c r="D151" s="21" t="str">
        <f>IFERROR(__xludf.DUMMYFUNCTION("""COMPUTED_VALUE"""),"GwG Permanent")</f>
        <v>GwG Permanent</v>
      </c>
      <c r="E151" s="23">
        <f>IFERROR(__xludf.DUMMYFUNCTION("""COMPUTED_VALUE"""),42156.0)</f>
        <v>42156</v>
      </c>
      <c r="F151" s="24">
        <f>IFERROR(__xludf.DUMMYFUNCTION("""COMPUTED_VALUE"""),42170.0)</f>
        <v>42170</v>
      </c>
      <c r="G151" s="27">
        <f>IFERROR(__xludf.DUMMYFUNCTION("""COMPUTED_VALUE"""),0.4666666666666667)</f>
        <v>0.4666666667</v>
      </c>
      <c r="H151" s="23">
        <f>IFERROR(__xludf.DUMMYFUNCTION("""COMPUTED_VALUE"""),40260.0)</f>
        <v>40260</v>
      </c>
      <c r="I151" s="27">
        <f>IFERROR(__xludf.DUMMYFUNCTION("""COMPUTED_VALUE"""),5.188888888888889)</f>
        <v>5.188888889</v>
      </c>
      <c r="J151" s="29">
        <f>IFERROR(__xludf.DUMMYFUNCTION("""COMPUTED_VALUE"""),86.0)</f>
        <v>86</v>
      </c>
      <c r="K151" s="29">
        <f>IFERROR(__xludf.DUMMYFUNCTION("""COMPUTED_VALUE"""),25.0)</f>
        <v>25</v>
      </c>
      <c r="L151" s="31" t="str">
        <f>IFERROR(__xludf.DUMMYFUNCTION("""COMPUTED_VALUE"""),"Action-Adventure")</f>
        <v>Action-Adventure</v>
      </c>
      <c r="M151" s="31"/>
    </row>
    <row r="152">
      <c r="A152" s="17" t="str">
        <f>IFERROR(__xludf.DUMMYFUNCTION("""COMPUTED_VALUE"""),"Tomb Raider")</f>
        <v>Tomb Raider</v>
      </c>
      <c r="B152" s="20" t="str">
        <f>IFERROR(__xludf.DUMMYFUNCTION("""COMPUTED_VALUE"""),"XB360/OG Xbox")</f>
        <v>XB360/OG Xbox</v>
      </c>
      <c r="C152" s="21"/>
      <c r="D152" s="21" t="str">
        <f>IFERROR(__xludf.DUMMYFUNCTION("""COMPUTED_VALUE"""),"GwG Permanent")</f>
        <v>GwG Permanent</v>
      </c>
      <c r="E152" s="23">
        <f>IFERROR(__xludf.DUMMYFUNCTION("""COMPUTED_VALUE"""),42064.0)</f>
        <v>42064</v>
      </c>
      <c r="F152" s="24">
        <f>IFERROR(__xludf.DUMMYFUNCTION("""COMPUTED_VALUE"""),42078.0)</f>
        <v>42078</v>
      </c>
      <c r="G152" s="27">
        <f>IFERROR(__xludf.DUMMYFUNCTION("""COMPUTED_VALUE"""),0.4666666666666667)</f>
        <v>0.4666666667</v>
      </c>
      <c r="H152" s="23">
        <f>IFERROR(__xludf.DUMMYFUNCTION("""COMPUTED_VALUE"""),41338.0)</f>
        <v>41338</v>
      </c>
      <c r="I152" s="27">
        <f>IFERROR(__xludf.DUMMYFUNCTION("""COMPUTED_VALUE"""),1.988888888888889)</f>
        <v>1.988888889</v>
      </c>
      <c r="J152" s="29">
        <f>IFERROR(__xludf.DUMMYFUNCTION("""COMPUTED_VALUE"""),86.0)</f>
        <v>86</v>
      </c>
      <c r="K152" s="29">
        <f>IFERROR(__xludf.DUMMYFUNCTION("""COMPUTED_VALUE"""),12.0)</f>
        <v>12</v>
      </c>
      <c r="L152" s="31" t="str">
        <f>IFERROR(__xludf.DUMMYFUNCTION("""COMPUTED_VALUE"""),"Action-Adventure")</f>
        <v>Action-Adventure</v>
      </c>
      <c r="M152" s="31"/>
    </row>
    <row r="153">
      <c r="A153" s="17" t="str">
        <f>IFERROR(__xludf.DUMMYFUNCTION("""COMPUTED_VALUE"""),"BattleBlock Theater")</f>
        <v>BattleBlock Theater</v>
      </c>
      <c r="B153" s="20" t="str">
        <f>IFERROR(__xludf.DUMMYFUNCTION("""COMPUTED_VALUE"""),"XB360/OG Xbox")</f>
        <v>XB360/OG Xbox</v>
      </c>
      <c r="C153" s="21"/>
      <c r="D153" s="21" t="str">
        <f>IFERROR(__xludf.DUMMYFUNCTION("""COMPUTED_VALUE"""),"GwG Permanent")</f>
        <v>GwG Permanent</v>
      </c>
      <c r="E153" s="23">
        <f>IFERROR(__xludf.DUMMYFUNCTION("""COMPUTED_VALUE"""),41836.0)</f>
        <v>41836</v>
      </c>
      <c r="F153" s="24">
        <f>IFERROR(__xludf.DUMMYFUNCTION("""COMPUTED_VALUE"""),41851.0)</f>
        <v>41851</v>
      </c>
      <c r="G153" s="27">
        <f>IFERROR(__xludf.DUMMYFUNCTION("""COMPUTED_VALUE"""),0.4666666666666667)</f>
        <v>0.4666666667</v>
      </c>
      <c r="H153" s="23">
        <f>IFERROR(__xludf.DUMMYFUNCTION("""COMPUTED_VALUE"""),41367.0)</f>
        <v>41367</v>
      </c>
      <c r="I153" s="27">
        <f>IFERROR(__xludf.DUMMYFUNCTION("""COMPUTED_VALUE"""),1.2861111111111112)</f>
        <v>1.286111111</v>
      </c>
      <c r="J153" s="29">
        <f>IFERROR(__xludf.DUMMYFUNCTION("""COMPUTED_VALUE"""),86.0)</f>
        <v>86</v>
      </c>
      <c r="K153" s="29">
        <f>IFERROR(__xludf.DUMMYFUNCTION("""COMPUTED_VALUE"""),8.0)</f>
        <v>8</v>
      </c>
      <c r="L153" s="31" t="str">
        <f>IFERROR(__xludf.DUMMYFUNCTION("""COMPUTED_VALUE"""),"Platformer")</f>
        <v>Platformer</v>
      </c>
      <c r="M153" s="31"/>
    </row>
    <row r="154">
      <c r="A154" s="17" t="str">
        <f>IFERROR(__xludf.DUMMYFUNCTION("""COMPUTED_VALUE"""),"Might &amp; Magic: Clash of Heroes")</f>
        <v>Might &amp; Magic: Clash of Heroes</v>
      </c>
      <c r="B154" s="20" t="str">
        <f>IFERROR(__xludf.DUMMYFUNCTION("""COMPUTED_VALUE"""),"XB360/OG Xbox")</f>
        <v>XB360/OG Xbox</v>
      </c>
      <c r="C154" s="21"/>
      <c r="D154" s="21" t="str">
        <f>IFERROR(__xludf.DUMMYFUNCTION("""COMPUTED_VALUE"""),"GwG Permanent")</f>
        <v>GwG Permanent</v>
      </c>
      <c r="E154" s="23">
        <f>IFERROR(__xludf.DUMMYFUNCTION("""COMPUTED_VALUE"""),41548.0)</f>
        <v>41548</v>
      </c>
      <c r="F154" s="24">
        <f>IFERROR(__xludf.DUMMYFUNCTION("""COMPUTED_VALUE"""),41562.0)</f>
        <v>41562</v>
      </c>
      <c r="G154" s="27">
        <f>IFERROR(__xludf.DUMMYFUNCTION("""COMPUTED_VALUE"""),0.4666666666666667)</f>
        <v>0.4666666667</v>
      </c>
      <c r="H154" s="23">
        <f>IFERROR(__xludf.DUMMYFUNCTION("""COMPUTED_VALUE"""),40016.0)</f>
        <v>40016</v>
      </c>
      <c r="I154" s="27">
        <f>IFERROR(__xludf.DUMMYFUNCTION("""COMPUTED_VALUE"""),4.191666666666666)</f>
        <v>4.191666667</v>
      </c>
      <c r="J154" s="29">
        <f>IFERROR(__xludf.DUMMYFUNCTION("""COMPUTED_VALUE"""),86.0)</f>
        <v>86</v>
      </c>
      <c r="K154" s="29">
        <f>IFERROR(__xludf.DUMMYFUNCTION("""COMPUTED_VALUE"""),20.0)</f>
        <v>20</v>
      </c>
      <c r="L154" s="31" t="str">
        <f>IFERROR(__xludf.DUMMYFUNCTION("""COMPUTED_VALUE"""),"Puzzle")</f>
        <v>Puzzle</v>
      </c>
      <c r="M154" s="31"/>
    </row>
    <row r="155">
      <c r="A155" s="17" t="str">
        <f>IFERROR(__xludf.DUMMYFUNCTION("""COMPUTED_VALUE"""),"Defense Grid: The Awakening")</f>
        <v>Defense Grid: The Awakening</v>
      </c>
      <c r="B155" s="20" t="str">
        <f>IFERROR(__xludf.DUMMYFUNCTION("""COMPUTED_VALUE"""),"XB360/OG Xbox")</f>
        <v>XB360/OG Xbox</v>
      </c>
      <c r="C155" s="21"/>
      <c r="D155" s="21" t="str">
        <f>IFERROR(__xludf.DUMMYFUNCTION("""COMPUTED_VALUE"""),"GwG Permanent")</f>
        <v>GwG Permanent</v>
      </c>
      <c r="E155" s="23">
        <f>IFERROR(__xludf.DUMMYFUNCTION("""COMPUTED_VALUE"""),41456.0)</f>
        <v>41456</v>
      </c>
      <c r="F155" s="24">
        <f>IFERROR(__xludf.DUMMYFUNCTION("""COMPUTED_VALUE"""),41470.0)</f>
        <v>41470</v>
      </c>
      <c r="G155" s="27">
        <f>IFERROR(__xludf.DUMMYFUNCTION("""COMPUTED_VALUE"""),0.4666666666666667)</f>
        <v>0.4666666667</v>
      </c>
      <c r="H155" s="23">
        <f>IFERROR(__xludf.DUMMYFUNCTION("""COMPUTED_VALUE"""),39903.0)</f>
        <v>39903</v>
      </c>
      <c r="I155" s="27">
        <f>IFERROR(__xludf.DUMMYFUNCTION("""COMPUTED_VALUE"""),4.252777777777778)</f>
        <v>4.252777778</v>
      </c>
      <c r="J155" s="29">
        <f>IFERROR(__xludf.DUMMYFUNCTION("""COMPUTED_VALUE"""),86.0)</f>
        <v>86</v>
      </c>
      <c r="K155" s="29">
        <f>IFERROR(__xludf.DUMMYFUNCTION("""COMPUTED_VALUE"""),10.0)</f>
        <v>10</v>
      </c>
      <c r="L155" s="31" t="str">
        <f>IFERROR(__xludf.DUMMYFUNCTION("""COMPUTED_VALUE"""),"Strategy")</f>
        <v>Strategy</v>
      </c>
      <c r="M155" s="31"/>
    </row>
    <row r="156">
      <c r="A156" s="17" t="str">
        <f>IFERROR(__xludf.DUMMYFUNCTION("""COMPUTED_VALUE"""),"Buckshot Roulette")</f>
        <v>Buckshot Roulette</v>
      </c>
      <c r="B156" s="20" t="str">
        <f>IFERROR(__xludf.DUMMYFUNCTION("""COMPUTED_VALUE"""),"Xbox / PC")</f>
        <v>Xbox / PC</v>
      </c>
      <c r="C156" s="21" t="str">
        <f>IFERROR(__xludf.DUMMYFUNCTION("""COMPUTED_VALUE"""),"Yes")</f>
        <v>Yes</v>
      </c>
      <c r="D156" s="21" t="str">
        <f>IFERROR(__xludf.DUMMYFUNCTION("""COMPUTED_VALUE"""),"Active")</f>
        <v>Active</v>
      </c>
      <c r="E156" s="23">
        <f>IFERROR(__xludf.DUMMYFUNCTION("""COMPUTED_VALUE"""),46211.0)</f>
        <v>46211</v>
      </c>
      <c r="F156" s="24"/>
      <c r="G156" s="27">
        <f>IFERROR(__xludf.DUMMYFUNCTION("""COMPUTED_VALUE"""),2.933333333333333)</f>
        <v>2.933333333</v>
      </c>
      <c r="H156" s="23">
        <f>IFERROR(__xludf.DUMMYFUNCTION("""COMPUTED_VALUE"""),45288.0)</f>
        <v>45288</v>
      </c>
      <c r="I156" s="27">
        <f>IFERROR(__xludf.DUMMYFUNCTION("""COMPUTED_VALUE"""),2.5277777777777777)</f>
        <v>2.527777778</v>
      </c>
      <c r="J156" s="29">
        <f>IFERROR(__xludf.DUMMYFUNCTION("""COMPUTED_VALUE"""),85.0)</f>
        <v>85</v>
      </c>
      <c r="K156" s="29">
        <f>IFERROR(__xludf.DUMMYFUNCTION("""COMPUTED_VALUE"""),1.0)</f>
        <v>1</v>
      </c>
      <c r="L156" s="31" t="str">
        <f>IFERROR(__xludf.DUMMYFUNCTION("""COMPUTED_VALUE"""),"Strategy")</f>
        <v>Strategy</v>
      </c>
      <c r="M156" s="31"/>
    </row>
    <row r="157">
      <c r="A157" s="17" t="str">
        <f>IFERROR(__xludf.DUMMYFUNCTION("""COMPUTED_VALUE"""),"TerraTech Legion")</f>
        <v>TerraTech Legion</v>
      </c>
      <c r="B157" s="20" t="str">
        <f>IFERROR(__xludf.DUMMYFUNCTION("""COMPUTED_VALUE"""),"Xbox / PC")</f>
        <v>Xbox / PC</v>
      </c>
      <c r="C157" s="21" t="str">
        <f>IFERROR(__xludf.DUMMYFUNCTION("""COMPUTED_VALUE"""),"Yes")</f>
        <v>Yes</v>
      </c>
      <c r="D157" s="21" t="str">
        <f>IFERROR(__xludf.DUMMYFUNCTION("""COMPUTED_VALUE"""),"Active")</f>
        <v>Active</v>
      </c>
      <c r="E157" s="23">
        <f>IFERROR(__xludf.DUMMYFUNCTION("""COMPUTED_VALUE"""),46142.0)</f>
        <v>46142</v>
      </c>
      <c r="F157" s="24"/>
      <c r="G157" s="27">
        <f>IFERROR(__xludf.DUMMYFUNCTION("""COMPUTED_VALUE"""),5.2)</f>
        <v>5.2</v>
      </c>
      <c r="H157" s="23">
        <f>IFERROR(__xludf.DUMMYFUNCTION("""COMPUTED_VALUE"""),46142.0)</f>
        <v>46142</v>
      </c>
      <c r="I157" s="27">
        <f>IFERROR(__xludf.DUMMYFUNCTION("""COMPUTED_VALUE"""),0.0)</f>
        <v>0</v>
      </c>
      <c r="J157" s="29">
        <f>IFERROR(__xludf.DUMMYFUNCTION("""COMPUTED_VALUE"""),85.0)</f>
        <v>85</v>
      </c>
      <c r="K157" s="29">
        <f>IFERROR(__xludf.DUMMYFUNCTION("""COMPUTED_VALUE"""),4.0)</f>
        <v>4</v>
      </c>
      <c r="L157" s="31" t="str">
        <f>IFERROR(__xludf.DUMMYFUNCTION("""COMPUTED_VALUE"""),"Action-Adventure")</f>
        <v>Action-Adventure</v>
      </c>
      <c r="M157" s="31" t="str">
        <f>IFERROR(__xludf.DUMMYFUNCTION("""COMPUTED_VALUE"""),"Exclusive")</f>
        <v>Exclusive</v>
      </c>
    </row>
    <row r="158">
      <c r="A158" s="17" t="str">
        <f>IFERROR(__xludf.DUMMYFUNCTION("""COMPUTED_VALUE"""),"Dice A Million")</f>
        <v>Dice A Million</v>
      </c>
      <c r="B158" s="20" t="str">
        <f>IFERROR(__xludf.DUMMYFUNCTION("""COMPUTED_VALUE"""),"Xbox / PC")</f>
        <v>Xbox / PC</v>
      </c>
      <c r="C158" s="21" t="str">
        <f>IFERROR(__xludf.DUMMYFUNCTION("""COMPUTED_VALUE"""),"Yes")</f>
        <v>Yes</v>
      </c>
      <c r="D158" s="21" t="str">
        <f>IFERROR(__xludf.DUMMYFUNCTION("""COMPUTED_VALUE"""),"Active")</f>
        <v>Active</v>
      </c>
      <c r="E158" s="23">
        <f>IFERROR(__xludf.DUMMYFUNCTION("""COMPUTED_VALUE"""),46078.0)</f>
        <v>46078</v>
      </c>
      <c r="F158" s="24"/>
      <c r="G158" s="27">
        <f>IFERROR(__xludf.DUMMYFUNCTION("""COMPUTED_VALUE"""),7.366666666666667)</f>
        <v>7.366666667</v>
      </c>
      <c r="H158" s="23">
        <f>IFERROR(__xludf.DUMMYFUNCTION("""COMPUTED_VALUE"""),46078.0)</f>
        <v>46078</v>
      </c>
      <c r="I158" s="27">
        <f>IFERROR(__xludf.DUMMYFUNCTION("""COMPUTED_VALUE"""),0.0)</f>
        <v>0</v>
      </c>
      <c r="J158" s="29">
        <f>IFERROR(__xludf.DUMMYFUNCTION("""COMPUTED_VALUE"""),85.0)</f>
        <v>85</v>
      </c>
      <c r="K158" s="29">
        <f>IFERROR(__xludf.DUMMYFUNCTION("""COMPUTED_VALUE"""),5.0)</f>
        <v>5</v>
      </c>
      <c r="L158" s="31" t="str">
        <f>IFERROR(__xludf.DUMMYFUNCTION("""COMPUTED_VALUE"""),"Strategy")</f>
        <v>Strategy</v>
      </c>
      <c r="M158" s="31" t="str">
        <f>IFERROR(__xludf.DUMMYFUNCTION("""COMPUTED_VALUE"""),"Exclusive")</f>
        <v>Exclusive</v>
      </c>
    </row>
    <row r="159">
      <c r="A159" s="17" t="str">
        <f>IFERROR(__xludf.DUMMYFUNCTION("""COMPUTED_VALUE"""),"Death Stranding: Director's Cut")</f>
        <v>Death Stranding: Director's Cut</v>
      </c>
      <c r="B159" s="20" t="str">
        <f>IFERROR(__xludf.DUMMYFUNCTION("""COMPUTED_VALUE"""),"Xbox / PC")</f>
        <v>Xbox / PC</v>
      </c>
      <c r="C159" s="21" t="str">
        <f>IFERROR(__xludf.DUMMYFUNCTION("""COMPUTED_VALUE"""),"Yes")</f>
        <v>Yes</v>
      </c>
      <c r="D159" s="21" t="str">
        <f>IFERROR(__xludf.DUMMYFUNCTION("""COMPUTED_VALUE"""),"Active")</f>
        <v>Active</v>
      </c>
      <c r="E159" s="23">
        <f>IFERROR(__xludf.DUMMYFUNCTION("""COMPUTED_VALUE"""),46043.0)</f>
        <v>46043</v>
      </c>
      <c r="F159" s="24"/>
      <c r="G159" s="27">
        <f>IFERROR(__xludf.DUMMYFUNCTION("""COMPUTED_VALUE"""),8.5)</f>
        <v>8.5</v>
      </c>
      <c r="H159" s="23">
        <f>IFERROR(__xludf.DUMMYFUNCTION("""COMPUTED_VALUE"""),44217.0)</f>
        <v>44217</v>
      </c>
      <c r="I159" s="27">
        <f>IFERROR(__xludf.DUMMYFUNCTION("""COMPUTED_VALUE"""),5.0)</f>
        <v>5</v>
      </c>
      <c r="J159" s="29">
        <f>IFERROR(__xludf.DUMMYFUNCTION("""COMPUTED_VALUE"""),85.0)</f>
        <v>85</v>
      </c>
      <c r="K159" s="29">
        <f>IFERROR(__xludf.DUMMYFUNCTION("""COMPUTED_VALUE"""),38.0)</f>
        <v>38</v>
      </c>
      <c r="L159" s="31" t="str">
        <f>IFERROR(__xludf.DUMMYFUNCTION("""COMPUTED_VALUE"""),"Action-Adventure")</f>
        <v>Action-Adventure</v>
      </c>
      <c r="M159" s="31" t="str">
        <f>IFERROR(__xludf.DUMMYFUNCTION("""COMPUTED_VALUE"""),"Exclusive")</f>
        <v>Exclusive</v>
      </c>
    </row>
    <row r="160">
      <c r="A160" s="17" t="str">
        <f>IFERROR(__xludf.DUMMYFUNCTION("""COMPUTED_VALUE"""),"Ice Hockey")</f>
        <v>Ice Hockey</v>
      </c>
      <c r="B160" s="20" t="str">
        <f>IFERROR(__xludf.DUMMYFUNCTION("""COMPUTED_VALUE"""),"Xbox / PC")</f>
        <v>Xbox / PC</v>
      </c>
      <c r="C160" s="21" t="str">
        <f>IFERROR(__xludf.DUMMYFUNCTION("""COMPUTED_VALUE"""),"Yes")</f>
        <v>Yes</v>
      </c>
      <c r="D160" s="21" t="str">
        <f>IFERROR(__xludf.DUMMYFUNCTION("""COMPUTED_VALUE"""),"Active")</f>
        <v>Active</v>
      </c>
      <c r="E160" s="23">
        <f>IFERROR(__xludf.DUMMYFUNCTION("""COMPUTED_VALUE"""),45945.0)</f>
        <v>45945</v>
      </c>
      <c r="F160" s="24"/>
      <c r="G160" s="27">
        <f>IFERROR(__xludf.DUMMYFUNCTION("""COMPUTED_VALUE"""),11.7)</f>
        <v>11.7</v>
      </c>
      <c r="H160" s="23">
        <f>IFERROR(__xludf.DUMMYFUNCTION("""COMPUTED_VALUE"""),29921.0)</f>
        <v>29921</v>
      </c>
      <c r="I160" s="27">
        <f>IFERROR(__xludf.DUMMYFUNCTION("""COMPUTED_VALUE"""),43.87222222222222)</f>
        <v>43.87222222</v>
      </c>
      <c r="J160" s="29">
        <f>IFERROR(__xludf.DUMMYFUNCTION("""COMPUTED_VALUE"""),85.0)</f>
        <v>85</v>
      </c>
      <c r="K160" s="29">
        <f>IFERROR(__xludf.DUMMYFUNCTION("""COMPUTED_VALUE"""),1.0)</f>
        <v>1</v>
      </c>
      <c r="L160" s="31" t="str">
        <f>IFERROR(__xludf.DUMMYFUNCTION("""COMPUTED_VALUE"""),"Sports")</f>
        <v>Sports</v>
      </c>
      <c r="M160" s="31"/>
    </row>
    <row r="161">
      <c r="A161" s="17" t="str">
        <f>IFERROR(__xludf.DUMMYFUNCTION("""COMPUTED_VALUE"""),"South Park: The Stick of Truth")</f>
        <v>South Park: The Stick of Truth</v>
      </c>
      <c r="B161" s="20" t="str">
        <f>IFERROR(__xludf.DUMMYFUNCTION("""COMPUTED_VALUE"""),"Xbox / PC")</f>
        <v>Xbox / PC</v>
      </c>
      <c r="C161" s="21" t="str">
        <f>IFERROR(__xludf.DUMMYFUNCTION("""COMPUTED_VALUE"""),"Yes")</f>
        <v>Yes</v>
      </c>
      <c r="D161" s="21" t="str">
        <f>IFERROR(__xludf.DUMMYFUNCTION("""COMPUTED_VALUE"""),"Active")</f>
        <v>Active</v>
      </c>
      <c r="E161" s="23">
        <f>IFERROR(__xludf.DUMMYFUNCTION("""COMPUTED_VALUE"""),45931.0)</f>
        <v>45931</v>
      </c>
      <c r="F161" s="24"/>
      <c r="G161" s="27">
        <f>IFERROR(__xludf.DUMMYFUNCTION("""COMPUTED_VALUE"""),12.166666666666666)</f>
        <v>12.16666667</v>
      </c>
      <c r="H161" s="23">
        <f>IFERROR(__xludf.DUMMYFUNCTION("""COMPUTED_VALUE"""),41702.0)</f>
        <v>41702</v>
      </c>
      <c r="I161" s="27">
        <f>IFERROR(__xludf.DUMMYFUNCTION("""COMPUTED_VALUE"""),11.575)</f>
        <v>11.575</v>
      </c>
      <c r="J161" s="29">
        <f>IFERROR(__xludf.DUMMYFUNCTION("""COMPUTED_VALUE"""),85.0)</f>
        <v>85</v>
      </c>
      <c r="K161" s="29">
        <f>IFERROR(__xludf.DUMMYFUNCTION("""COMPUTED_VALUE"""),12.0)</f>
        <v>12</v>
      </c>
      <c r="L161" s="31" t="str">
        <f>IFERROR(__xludf.DUMMYFUNCTION("""COMPUTED_VALUE"""),"RPG")</f>
        <v>RPG</v>
      </c>
      <c r="M161" s="31"/>
    </row>
    <row r="162">
      <c r="A162" s="17" t="str">
        <f>IFERROR(__xludf.DUMMYFUNCTION("""COMPUTED_VALUE"""),"Crash Bandicoot 4: It's About Time")</f>
        <v>Crash Bandicoot 4: It's About Time</v>
      </c>
      <c r="B162" s="20" t="str">
        <f>IFERROR(__xludf.DUMMYFUNCTION("""COMPUTED_VALUE"""),"Xbox / PC")</f>
        <v>Xbox / PC</v>
      </c>
      <c r="C162" s="21"/>
      <c r="D162" s="21" t="str">
        <f>IFERROR(__xludf.DUMMYFUNCTION("""COMPUTED_VALUE"""),"Active")</f>
        <v>Active</v>
      </c>
      <c r="E162" s="23">
        <f>IFERROR(__xludf.DUMMYFUNCTION("""COMPUTED_VALUE"""),45825.0)</f>
        <v>45825</v>
      </c>
      <c r="F162" s="24"/>
      <c r="G162" s="27">
        <f>IFERROR(__xludf.DUMMYFUNCTION("""COMPUTED_VALUE"""),15.633333333333333)</f>
        <v>15.63333333</v>
      </c>
      <c r="H162" s="23">
        <f>IFERROR(__xludf.DUMMYFUNCTION("""COMPUTED_VALUE"""),44106.0)</f>
        <v>44106</v>
      </c>
      <c r="I162" s="27">
        <f>IFERROR(__xludf.DUMMYFUNCTION("""COMPUTED_VALUE"""),4.708333333333333)</f>
        <v>4.708333333</v>
      </c>
      <c r="J162" s="29">
        <f>IFERROR(__xludf.DUMMYFUNCTION("""COMPUTED_VALUE"""),85.0)</f>
        <v>85</v>
      </c>
      <c r="K162" s="29">
        <f>IFERROR(__xludf.DUMMYFUNCTION("""COMPUTED_VALUE"""),10.0)</f>
        <v>10</v>
      </c>
      <c r="L162" s="31" t="str">
        <f>IFERROR(__xludf.DUMMYFUNCTION("""COMPUTED_VALUE"""),"Plaformer")</f>
        <v>Plaformer</v>
      </c>
      <c r="M162" s="31"/>
    </row>
    <row r="163">
      <c r="A163" s="17" t="str">
        <f>IFERROR(__xludf.DUMMYFUNCTION("""COMPUTED_VALUE"""),"Symphonia (2024)")</f>
        <v>Symphonia (2024)</v>
      </c>
      <c r="B163" s="20" t="str">
        <f>IFERROR(__xludf.DUMMYFUNCTION("""COMPUTED_VALUE"""),"Xbox / PC")</f>
        <v>Xbox / PC</v>
      </c>
      <c r="C163" s="21" t="str">
        <f>IFERROR(__xludf.DUMMYFUNCTION("""COMPUTED_VALUE"""),"Yes")</f>
        <v>Yes</v>
      </c>
      <c r="D163" s="21" t="str">
        <f>IFERROR(__xludf.DUMMYFUNCTION("""COMPUTED_VALUE"""),"Active")</f>
        <v>Active</v>
      </c>
      <c r="E163" s="23">
        <f>IFERROR(__xludf.DUMMYFUNCTION("""COMPUTED_VALUE"""),45811.0)</f>
        <v>45811</v>
      </c>
      <c r="F163" s="24"/>
      <c r="G163" s="27">
        <f>IFERROR(__xludf.DUMMYFUNCTION("""COMPUTED_VALUE"""),16.099999999999998)</f>
        <v>16.1</v>
      </c>
      <c r="H163" s="23">
        <f>IFERROR(__xludf.DUMMYFUNCTION("""COMPUTED_VALUE"""),45631.0)</f>
        <v>45631</v>
      </c>
      <c r="I163" s="27">
        <f>IFERROR(__xludf.DUMMYFUNCTION("""COMPUTED_VALUE"""),0.49444444444444446)</f>
        <v>0.4944444444</v>
      </c>
      <c r="J163" s="29">
        <f>IFERROR(__xludf.DUMMYFUNCTION("""COMPUTED_VALUE"""),85.0)</f>
        <v>85</v>
      </c>
      <c r="K163" s="29">
        <f>IFERROR(__xludf.DUMMYFUNCTION("""COMPUTED_VALUE"""),5.0)</f>
        <v>5</v>
      </c>
      <c r="L163" s="31" t="str">
        <f>IFERROR(__xludf.DUMMYFUNCTION("""COMPUTED_VALUE"""),"Platformer")</f>
        <v>Platformer</v>
      </c>
      <c r="M163" s="31"/>
    </row>
    <row r="164">
      <c r="A164" s="17" t="str">
        <f>IFERROR(__xludf.DUMMYFUNCTION("""COMPUTED_VALUE"""),"DOOM: The Dark Ages")</f>
        <v>DOOM: The Dark Ages</v>
      </c>
      <c r="B164" s="20" t="str">
        <f>IFERROR(__xludf.DUMMYFUNCTION("""COMPUTED_VALUE"""),"Xbox / PC")</f>
        <v>Xbox / PC</v>
      </c>
      <c r="C164" s="21" t="str">
        <f>IFERROR(__xludf.DUMMYFUNCTION("""COMPUTED_VALUE"""),"Yes")</f>
        <v>Yes</v>
      </c>
      <c r="D164" s="21" t="str">
        <f>IFERROR(__xludf.DUMMYFUNCTION("""COMPUTED_VALUE"""),"Active")</f>
        <v>Active</v>
      </c>
      <c r="E164" s="23">
        <f>IFERROR(__xludf.DUMMYFUNCTION("""COMPUTED_VALUE"""),45792.0)</f>
        <v>45792</v>
      </c>
      <c r="F164" s="24"/>
      <c r="G164" s="27">
        <f>IFERROR(__xludf.DUMMYFUNCTION("""COMPUTED_VALUE"""),16.7)</f>
        <v>16.7</v>
      </c>
      <c r="H164" s="23">
        <f>IFERROR(__xludf.DUMMYFUNCTION("""COMPUTED_VALUE"""),45792.0)</f>
        <v>45792</v>
      </c>
      <c r="I164" s="27">
        <f>IFERROR(__xludf.DUMMYFUNCTION("""COMPUTED_VALUE"""),0.0)</f>
        <v>0</v>
      </c>
      <c r="J164" s="29">
        <f>IFERROR(__xludf.DUMMYFUNCTION("""COMPUTED_VALUE"""),85.0)</f>
        <v>85</v>
      </c>
      <c r="K164" s="29">
        <f>IFERROR(__xludf.DUMMYFUNCTION("""COMPUTED_VALUE"""),13.0)</f>
        <v>13</v>
      </c>
      <c r="L164" s="31" t="str">
        <f>IFERROR(__xludf.DUMMYFUNCTION("""COMPUTED_VALUE"""),"Shooter")</f>
        <v>Shooter</v>
      </c>
      <c r="M164" s="31" t="str">
        <f>IFERROR(__xludf.DUMMYFUNCTION("""COMPUTED_VALUE"""),"Exclusive")</f>
        <v>Exclusive</v>
      </c>
    </row>
    <row r="165">
      <c r="A165" s="17" t="str">
        <f>IFERROR(__xludf.DUMMYFUNCTION("""COMPUTED_VALUE"""),"Far Cry 4")</f>
        <v>Far Cry 4</v>
      </c>
      <c r="B165" s="20" t="str">
        <f>IFERROR(__xludf.DUMMYFUNCTION("""COMPUTED_VALUE"""),"Xbox / PC")</f>
        <v>Xbox / PC</v>
      </c>
      <c r="C165" s="21" t="str">
        <f>IFERROR(__xludf.DUMMYFUNCTION("""COMPUTED_VALUE"""),"Yes")</f>
        <v>Yes</v>
      </c>
      <c r="D165" s="21" t="str">
        <f>IFERROR(__xludf.DUMMYFUNCTION("""COMPUTED_VALUE"""),"Active")</f>
        <v>Active</v>
      </c>
      <c r="E165" s="23">
        <f>IFERROR(__xludf.DUMMYFUNCTION("""COMPUTED_VALUE"""),45777.0)</f>
        <v>45777</v>
      </c>
      <c r="F165" s="24"/>
      <c r="G165" s="27">
        <f>IFERROR(__xludf.DUMMYFUNCTION("""COMPUTED_VALUE"""),17.2)</f>
        <v>17.2</v>
      </c>
      <c r="H165" s="23">
        <f>IFERROR(__xludf.DUMMYFUNCTION("""COMPUTED_VALUE"""),41961.0)</f>
        <v>41961</v>
      </c>
      <c r="I165" s="27">
        <f>IFERROR(__xludf.DUMMYFUNCTION("""COMPUTED_VALUE"""),10.45)</f>
        <v>10.45</v>
      </c>
      <c r="J165" s="29">
        <f>IFERROR(__xludf.DUMMYFUNCTION("""COMPUTED_VALUE"""),85.0)</f>
        <v>85</v>
      </c>
      <c r="K165" s="29">
        <f>IFERROR(__xludf.DUMMYFUNCTION("""COMPUTED_VALUE"""),18.0)</f>
        <v>18</v>
      </c>
      <c r="L165" s="31" t="str">
        <f>IFERROR(__xludf.DUMMYFUNCTION("""COMPUTED_VALUE"""),"Shooter")</f>
        <v>Shooter</v>
      </c>
      <c r="M165" s="31"/>
    </row>
    <row r="166">
      <c r="A166" s="17" t="str">
        <f>IFERROR(__xludf.DUMMYFUNCTION("""COMPUTED_VALUE"""),"Inscryption")</f>
        <v>Inscryption</v>
      </c>
      <c r="B166" s="20" t="str">
        <f>IFERROR(__xludf.DUMMYFUNCTION("""COMPUTED_VALUE"""),"Xbox / PC")</f>
        <v>Xbox / PC</v>
      </c>
      <c r="C166" s="21" t="str">
        <f>IFERROR(__xludf.DUMMYFUNCTION("""COMPUTED_VALUE"""),"Yes")</f>
        <v>Yes</v>
      </c>
      <c r="D166" s="21" t="str">
        <f>IFERROR(__xludf.DUMMYFUNCTION("""COMPUTED_VALUE"""),"Active")</f>
        <v>Active</v>
      </c>
      <c r="E166" s="23">
        <f>IFERROR(__xludf.DUMMYFUNCTION("""COMPUTED_VALUE"""),45575.0)</f>
        <v>45575</v>
      </c>
      <c r="F166" s="24"/>
      <c r="G166" s="27">
        <f>IFERROR(__xludf.DUMMYFUNCTION("""COMPUTED_VALUE"""),23.866666666666667)</f>
        <v>23.86666667</v>
      </c>
      <c r="H166" s="23">
        <f>IFERROR(__xludf.DUMMYFUNCTION("""COMPUTED_VALUE"""),44488.0)</f>
        <v>44488</v>
      </c>
      <c r="I166" s="27">
        <f>IFERROR(__xludf.DUMMYFUNCTION("""COMPUTED_VALUE"""),2.975)</f>
        <v>2.975</v>
      </c>
      <c r="J166" s="29">
        <f>IFERROR(__xludf.DUMMYFUNCTION("""COMPUTED_VALUE"""),85.0)</f>
        <v>85</v>
      </c>
      <c r="K166" s="29">
        <f>IFERROR(__xludf.DUMMYFUNCTION("""COMPUTED_VALUE"""),13.0)</f>
        <v>13</v>
      </c>
      <c r="L166" s="31" t="str">
        <f>IFERROR(__xludf.DUMMYFUNCTION("""COMPUTED_VALUE"""),"Card Battle")</f>
        <v>Card Battle</v>
      </c>
      <c r="M166" s="31"/>
    </row>
    <row r="167">
      <c r="A167" s="17" t="str">
        <f>IFERROR(__xludf.DUMMYFUNCTION("""COMPUTED_VALUE"""),"Star Wars Jedi: Survivor")</f>
        <v>Star Wars Jedi: Survivor</v>
      </c>
      <c r="B167" s="20" t="str">
        <f>IFERROR(__xludf.DUMMYFUNCTION("""COMPUTED_VALUE"""),"Xbox / PC")</f>
        <v>Xbox / PC</v>
      </c>
      <c r="C167" s="21"/>
      <c r="D167" s="21" t="str">
        <f>IFERROR(__xludf.DUMMYFUNCTION("""COMPUTED_VALUE"""),"Active")</f>
        <v>Active</v>
      </c>
      <c r="E167" s="23">
        <f>IFERROR(__xludf.DUMMYFUNCTION("""COMPUTED_VALUE"""),45407.0)</f>
        <v>45407</v>
      </c>
      <c r="F167" s="24"/>
      <c r="G167" s="27">
        <f>IFERROR(__xludf.DUMMYFUNCTION("""COMPUTED_VALUE"""),29.366666666666667)</f>
        <v>29.36666667</v>
      </c>
      <c r="H167" s="23">
        <f>IFERROR(__xludf.DUMMYFUNCTION("""COMPUTED_VALUE"""),45044.0)</f>
        <v>45044</v>
      </c>
      <c r="I167" s="27">
        <f>IFERROR(__xludf.DUMMYFUNCTION("""COMPUTED_VALUE"""),0.9916666666666667)</f>
        <v>0.9916666667</v>
      </c>
      <c r="J167" s="29">
        <f>IFERROR(__xludf.DUMMYFUNCTION("""COMPUTED_VALUE"""),85.0)</f>
        <v>85</v>
      </c>
      <c r="K167" s="29">
        <f>IFERROR(__xludf.DUMMYFUNCTION("""COMPUTED_VALUE"""),20.0)</f>
        <v>20</v>
      </c>
      <c r="L167" s="31" t="str">
        <f>IFERROR(__xludf.DUMMYFUNCTION("""COMPUTED_VALUE"""),"Action-Adventure")</f>
        <v>Action-Adventure</v>
      </c>
      <c r="M167" s="31"/>
    </row>
    <row r="168">
      <c r="A168" s="17" t="str">
        <f>IFERROR(__xludf.DUMMYFUNCTION("""COMPUTED_VALUE"""),"Control: Ultimate Edition")</f>
        <v>Control: Ultimate Edition</v>
      </c>
      <c r="B168" s="20" t="str">
        <f>IFERROR(__xludf.DUMMYFUNCTION("""COMPUTED_VALUE"""),"Xbox / PC")</f>
        <v>Xbox / PC</v>
      </c>
      <c r="C168" s="21" t="str">
        <f>IFERROR(__xludf.DUMMYFUNCTION("""COMPUTED_VALUE"""),"Yes")</f>
        <v>Yes</v>
      </c>
      <c r="D168" s="21" t="str">
        <f>IFERROR(__xludf.DUMMYFUNCTION("""COMPUTED_VALUE"""),"Active")</f>
        <v>Active</v>
      </c>
      <c r="E168" s="23">
        <f>IFERROR(__xludf.DUMMYFUNCTION("""COMPUTED_VALUE"""),45364.0)</f>
        <v>45364</v>
      </c>
      <c r="F168" s="24"/>
      <c r="G168" s="27">
        <f>IFERROR(__xludf.DUMMYFUNCTION("""COMPUTED_VALUE"""),30.76666666666667)</f>
        <v>30.76666667</v>
      </c>
      <c r="H168" s="23">
        <f>IFERROR(__xludf.DUMMYFUNCTION("""COMPUTED_VALUE"""),44229.0)</f>
        <v>44229</v>
      </c>
      <c r="I168" s="27">
        <f>IFERROR(__xludf.DUMMYFUNCTION("""COMPUTED_VALUE"""),3.113888888888889)</f>
        <v>3.113888889</v>
      </c>
      <c r="J168" s="29">
        <f>IFERROR(__xludf.DUMMYFUNCTION("""COMPUTED_VALUE"""),85.0)</f>
        <v>85</v>
      </c>
      <c r="K168" s="29">
        <f>IFERROR(__xludf.DUMMYFUNCTION("""COMPUTED_VALUE"""),13.0)</f>
        <v>13</v>
      </c>
      <c r="L168" s="31" t="str">
        <f>IFERROR(__xludf.DUMMYFUNCTION("""COMPUTED_VALUE"""),"Action")</f>
        <v>Action</v>
      </c>
      <c r="M168" s="31"/>
    </row>
    <row r="169">
      <c r="A169" s="17" t="str">
        <f>IFERROR(__xludf.DUMMYFUNCTION("""COMPUTED_VALUE"""),"Forza Motorsport (2023)")</f>
        <v>Forza Motorsport (2023)</v>
      </c>
      <c r="B169" s="20" t="str">
        <f>IFERROR(__xludf.DUMMYFUNCTION("""COMPUTED_VALUE"""),"Xbox / PC")</f>
        <v>Xbox / PC</v>
      </c>
      <c r="C169" s="21" t="str">
        <f>IFERROR(__xludf.DUMMYFUNCTION("""COMPUTED_VALUE"""),"Yes")</f>
        <v>Yes</v>
      </c>
      <c r="D169" s="21" t="str">
        <f>IFERROR(__xludf.DUMMYFUNCTION("""COMPUTED_VALUE"""),"Active")</f>
        <v>Active</v>
      </c>
      <c r="E169" s="23">
        <f>IFERROR(__xludf.DUMMYFUNCTION("""COMPUTED_VALUE"""),45209.0)</f>
        <v>45209</v>
      </c>
      <c r="F169" s="24"/>
      <c r="G169" s="27">
        <f>IFERROR(__xludf.DUMMYFUNCTION("""COMPUTED_VALUE"""),35.86666666666667)</f>
        <v>35.86666667</v>
      </c>
      <c r="H169" s="23">
        <f>IFERROR(__xludf.DUMMYFUNCTION("""COMPUTED_VALUE"""),45209.0)</f>
        <v>45209</v>
      </c>
      <c r="I169" s="27">
        <f>IFERROR(__xludf.DUMMYFUNCTION("""COMPUTED_VALUE"""),0.0)</f>
        <v>0</v>
      </c>
      <c r="J169" s="29">
        <f>IFERROR(__xludf.DUMMYFUNCTION("""COMPUTED_VALUE"""),85.0)</f>
        <v>85</v>
      </c>
      <c r="K169" s="29">
        <f>IFERROR(__xludf.DUMMYFUNCTION("""COMPUTED_VALUE"""),8.0)</f>
        <v>8</v>
      </c>
      <c r="L169" s="31" t="str">
        <f>IFERROR(__xludf.DUMMYFUNCTION("""COMPUTED_VALUE"""),"Racing")</f>
        <v>Racing</v>
      </c>
      <c r="M169" s="31" t="str">
        <f>IFERROR(__xludf.DUMMYFUNCTION("""COMPUTED_VALUE"""),"Exclusive")</f>
        <v>Exclusive</v>
      </c>
    </row>
    <row r="170">
      <c r="A170" s="17" t="str">
        <f>IFERROR(__xludf.DUMMYFUNCTION("""COMPUTED_VALUE"""),"Limbo")</f>
        <v>Limbo</v>
      </c>
      <c r="B170" s="20" t="str">
        <f>IFERROR(__xludf.DUMMYFUNCTION("""COMPUTED_VALUE"""),"Xbox / PC")</f>
        <v>Xbox / PC</v>
      </c>
      <c r="C170" s="21" t="str">
        <f>IFERROR(__xludf.DUMMYFUNCTION("""COMPUTED_VALUE"""),"Yes")</f>
        <v>Yes</v>
      </c>
      <c r="D170" s="21" t="str">
        <f>IFERROR(__xludf.DUMMYFUNCTION("""COMPUTED_VALUE"""),"Active")</f>
        <v>Active</v>
      </c>
      <c r="E170" s="23">
        <f>IFERROR(__xludf.DUMMYFUNCTION("""COMPUTED_VALUE"""),45147.0)</f>
        <v>45147</v>
      </c>
      <c r="F170" s="24"/>
      <c r="G170" s="27">
        <f>IFERROR(__xludf.DUMMYFUNCTION("""COMPUTED_VALUE"""),37.9)</f>
        <v>37.9</v>
      </c>
      <c r="H170" s="23">
        <f>IFERROR(__xludf.DUMMYFUNCTION("""COMPUTED_VALUE"""),40380.0)</f>
        <v>40380</v>
      </c>
      <c r="I170" s="27">
        <f>IFERROR(__xludf.DUMMYFUNCTION("""COMPUTED_VALUE"""),13.05)</f>
        <v>13.05</v>
      </c>
      <c r="J170" s="29">
        <f>IFERROR(__xludf.DUMMYFUNCTION("""COMPUTED_VALUE"""),85.0)</f>
        <v>85</v>
      </c>
      <c r="K170" s="29">
        <f>IFERROR(__xludf.DUMMYFUNCTION("""COMPUTED_VALUE"""),3.5)</f>
        <v>3.5</v>
      </c>
      <c r="L170" s="31" t="str">
        <f>IFERROR(__xludf.DUMMYFUNCTION("""COMPUTED_VALUE"""),"Platformer")</f>
        <v>Platformer</v>
      </c>
      <c r="M170" s="31"/>
    </row>
    <row r="171">
      <c r="A171" s="17" t="str">
        <f>IFERROR(__xludf.DUMMYFUNCTION("""COMPUTED_VALUE"""),"Wolfenstein 3D")</f>
        <v>Wolfenstein 3D</v>
      </c>
      <c r="B171" s="20" t="str">
        <f>IFERROR(__xludf.DUMMYFUNCTION("""COMPUTED_VALUE"""),"Xbox / PC")</f>
        <v>Xbox / PC</v>
      </c>
      <c r="C171" s="21" t="str">
        <f>IFERROR(__xludf.DUMMYFUNCTION("""COMPUTED_VALUE"""),"Yes")</f>
        <v>Yes</v>
      </c>
      <c r="D171" s="21" t="str">
        <f>IFERROR(__xludf.DUMMYFUNCTION("""COMPUTED_VALUE"""),"Active")</f>
        <v>Active</v>
      </c>
      <c r="E171" s="23">
        <f>IFERROR(__xludf.DUMMYFUNCTION("""COMPUTED_VALUE"""),44791.0)</f>
        <v>44791</v>
      </c>
      <c r="F171" s="24"/>
      <c r="G171" s="27">
        <f>IFERROR(__xludf.DUMMYFUNCTION("""COMPUTED_VALUE"""),49.60000000000001)</f>
        <v>49.6</v>
      </c>
      <c r="H171" s="23">
        <f>IFERROR(__xludf.DUMMYFUNCTION("""COMPUTED_VALUE"""),33729.0)</f>
        <v>33729</v>
      </c>
      <c r="I171" s="27">
        <f>IFERROR(__xludf.DUMMYFUNCTION("""COMPUTED_VALUE"""),30.28611111111111)</f>
        <v>30.28611111</v>
      </c>
      <c r="J171" s="29">
        <f>IFERROR(__xludf.DUMMYFUNCTION("""COMPUTED_VALUE"""),85.0)</f>
        <v>85</v>
      </c>
      <c r="K171" s="29">
        <f>IFERROR(__xludf.DUMMYFUNCTION("""COMPUTED_VALUE"""),6.5)</f>
        <v>6.5</v>
      </c>
      <c r="L171" s="31" t="str">
        <f>IFERROR(__xludf.DUMMYFUNCTION("""COMPUTED_VALUE"""),"Shooter")</f>
        <v>Shooter</v>
      </c>
      <c r="M171" s="31"/>
    </row>
    <row r="172">
      <c r="A172" s="17" t="str">
        <f>IFERROR(__xludf.DUMMYFUNCTION("""COMPUTED_VALUE"""),"Roboquest (2020)")</f>
        <v>Roboquest (2020)</v>
      </c>
      <c r="B172" s="20" t="str">
        <f>IFERROR(__xludf.DUMMYFUNCTION("""COMPUTED_VALUE"""),"Xbox / PC")</f>
        <v>Xbox / PC</v>
      </c>
      <c r="C172" s="21"/>
      <c r="D172" s="21" t="str">
        <f>IFERROR(__xludf.DUMMYFUNCTION("""COMPUTED_VALUE"""),"Active")</f>
        <v>Active</v>
      </c>
      <c r="E172" s="23">
        <f>IFERROR(__xludf.DUMMYFUNCTION("""COMPUTED_VALUE"""),44614.0)</f>
        <v>44614</v>
      </c>
      <c r="F172" s="24"/>
      <c r="G172" s="27">
        <f>IFERROR(__xludf.DUMMYFUNCTION("""COMPUTED_VALUE"""),55.46666666666666)</f>
        <v>55.46666667</v>
      </c>
      <c r="H172" s="23">
        <f>IFERROR(__xludf.DUMMYFUNCTION("""COMPUTED_VALUE"""),44063.0)</f>
        <v>44063</v>
      </c>
      <c r="I172" s="27">
        <f>IFERROR(__xludf.DUMMYFUNCTION("""COMPUTED_VALUE"""),1.5055555555555555)</f>
        <v>1.505555556</v>
      </c>
      <c r="J172" s="29">
        <f>IFERROR(__xludf.DUMMYFUNCTION("""COMPUTED_VALUE"""),85.0)</f>
        <v>85</v>
      </c>
      <c r="K172" s="29">
        <f>IFERROR(__xludf.DUMMYFUNCTION("""COMPUTED_VALUE"""),6.0)</f>
        <v>6</v>
      </c>
      <c r="L172" s="31" t="str">
        <f>IFERROR(__xludf.DUMMYFUNCTION("""COMPUTED_VALUE"""),"Shooter")</f>
        <v>Shooter</v>
      </c>
      <c r="M172" s="31"/>
    </row>
    <row r="173">
      <c r="A173" s="17" t="str">
        <f>IFERROR(__xludf.DUMMYFUNCTION("""COMPUTED_VALUE"""),"Among Us")</f>
        <v>Among Us</v>
      </c>
      <c r="B173" s="20" t="str">
        <f>IFERROR(__xludf.DUMMYFUNCTION("""COMPUTED_VALUE"""),"Xbox / PC")</f>
        <v>Xbox / PC</v>
      </c>
      <c r="C173" s="21" t="str">
        <f>IFERROR(__xludf.DUMMYFUNCTION("""COMPUTED_VALUE"""),"Touch Controls")</f>
        <v>Touch Controls</v>
      </c>
      <c r="D173" s="21" t="str">
        <f>IFERROR(__xludf.DUMMYFUNCTION("""COMPUTED_VALUE"""),"Active")</f>
        <v>Active</v>
      </c>
      <c r="E173" s="23">
        <f>IFERROR(__xludf.DUMMYFUNCTION("""COMPUTED_VALUE"""),44182.0)</f>
        <v>44182</v>
      </c>
      <c r="F173" s="24"/>
      <c r="G173" s="27">
        <f>IFERROR(__xludf.DUMMYFUNCTION("""COMPUTED_VALUE"""),69.63333333333334)</f>
        <v>69.63333333</v>
      </c>
      <c r="H173" s="23">
        <f>IFERROR(__xludf.DUMMYFUNCTION("""COMPUTED_VALUE"""),43267.0)</f>
        <v>43267</v>
      </c>
      <c r="I173" s="27">
        <f>IFERROR(__xludf.DUMMYFUNCTION("""COMPUTED_VALUE"""),2.5027777777777778)</f>
        <v>2.502777778</v>
      </c>
      <c r="J173" s="29">
        <f>IFERROR(__xludf.DUMMYFUNCTION("""COMPUTED_VALUE"""),85.0)</f>
        <v>85</v>
      </c>
      <c r="K173" s="29">
        <f>IFERROR(__xludf.DUMMYFUNCTION("""COMPUTED_VALUE"""),14.0)</f>
        <v>14</v>
      </c>
      <c r="L173" s="31" t="str">
        <f>IFERROR(__xludf.DUMMYFUNCTION("""COMPUTED_VALUE"""),"Strategy")</f>
        <v>Strategy</v>
      </c>
      <c r="M173" s="31"/>
    </row>
    <row r="174">
      <c r="A174" s="17" t="str">
        <f>IFERROR(__xludf.DUMMYFUNCTION("""COMPUTED_VALUE"""),"The Outer Worlds")</f>
        <v>The Outer Worlds</v>
      </c>
      <c r="B174" s="20" t="str">
        <f>IFERROR(__xludf.DUMMYFUNCTION("""COMPUTED_VALUE"""),"Xbox / PC")</f>
        <v>Xbox / PC</v>
      </c>
      <c r="C174" s="21" t="str">
        <f>IFERROR(__xludf.DUMMYFUNCTION("""COMPUTED_VALUE"""),"Yes")</f>
        <v>Yes</v>
      </c>
      <c r="D174" s="21" t="str">
        <f>IFERROR(__xludf.DUMMYFUNCTION("""COMPUTED_VALUE"""),"Active")</f>
        <v>Active</v>
      </c>
      <c r="E174" s="23">
        <f>IFERROR(__xludf.DUMMYFUNCTION("""COMPUTED_VALUE"""),43763.0)</f>
        <v>43763</v>
      </c>
      <c r="F174" s="24"/>
      <c r="G174" s="27">
        <f>IFERROR(__xludf.DUMMYFUNCTION("""COMPUTED_VALUE"""),83.36666666666666)</f>
        <v>83.36666667</v>
      </c>
      <c r="H174" s="23">
        <f>IFERROR(__xludf.DUMMYFUNCTION("""COMPUTED_VALUE"""),43763.0)</f>
        <v>43763</v>
      </c>
      <c r="I174" s="27">
        <f>IFERROR(__xludf.DUMMYFUNCTION("""COMPUTED_VALUE"""),0.0)</f>
        <v>0</v>
      </c>
      <c r="J174" s="29">
        <f>IFERROR(__xludf.DUMMYFUNCTION("""COMPUTED_VALUE"""),85.0)</f>
        <v>85</v>
      </c>
      <c r="K174" s="29">
        <f>IFERROR(__xludf.DUMMYFUNCTION("""COMPUTED_VALUE"""),12.0)</f>
        <v>12</v>
      </c>
      <c r="L174" s="31" t="str">
        <f>IFERROR(__xludf.DUMMYFUNCTION("""COMPUTED_VALUE"""),"Shooter")</f>
        <v>Shooter</v>
      </c>
      <c r="M174" s="31"/>
    </row>
    <row r="175">
      <c r="A175" s="17" t="str">
        <f>IFERROR(__xludf.DUMMYFUNCTION("""COMPUTED_VALUE"""),"Killer Instinct Classic")</f>
        <v>Killer Instinct Classic</v>
      </c>
      <c r="B175" s="20" t="str">
        <f>IFERROR(__xludf.DUMMYFUNCTION("""COMPUTED_VALUE"""),"Xbox")</f>
        <v>Xbox</v>
      </c>
      <c r="C175" s="21"/>
      <c r="D175" s="21" t="str">
        <f>IFERROR(__xludf.DUMMYFUNCTION("""COMPUTED_VALUE"""),"Active")</f>
        <v>Active</v>
      </c>
      <c r="E175" s="23">
        <f>IFERROR(__xludf.DUMMYFUNCTION("""COMPUTED_VALUE"""),43671.0)</f>
        <v>43671</v>
      </c>
      <c r="F175" s="24"/>
      <c r="G175" s="27">
        <f>IFERROR(__xludf.DUMMYFUNCTION("""COMPUTED_VALUE"""),86.36666666666666)</f>
        <v>86.36666667</v>
      </c>
      <c r="H175" s="23">
        <f>IFERROR(__xludf.DUMMYFUNCTION("""COMPUTED_VALUE"""),34635.0)</f>
        <v>34635</v>
      </c>
      <c r="I175" s="27">
        <f>IFERROR(__xludf.DUMMYFUNCTION("""COMPUTED_VALUE"""),24.741666666666667)</f>
        <v>24.74166667</v>
      </c>
      <c r="J175" s="29">
        <f>IFERROR(__xludf.DUMMYFUNCTION("""COMPUTED_VALUE"""),85.0)</f>
        <v>85</v>
      </c>
      <c r="K175" s="29">
        <f>IFERROR(__xludf.DUMMYFUNCTION("""COMPUTED_VALUE"""),1.0)</f>
        <v>1</v>
      </c>
      <c r="L175" s="31" t="str">
        <f>IFERROR(__xludf.DUMMYFUNCTION("""COMPUTED_VALUE"""),"Fighting")</f>
        <v>Fighting</v>
      </c>
      <c r="M175" s="31"/>
    </row>
    <row r="176">
      <c r="A176" s="17" t="str">
        <f>IFERROR(__xludf.DUMMYFUNCTION("""COMPUTED_VALUE"""),"Batman: Arkham Knight")</f>
        <v>Batman: Arkham Knight</v>
      </c>
      <c r="B176" s="20" t="str">
        <f>IFERROR(__xludf.DUMMYFUNCTION("""COMPUTED_VALUE"""),"Xbox / PC")</f>
        <v>Xbox / PC</v>
      </c>
      <c r="C176" s="21" t="str">
        <f>IFERROR(__xludf.DUMMYFUNCTION("""COMPUTED_VALUE"""),"Yes")</f>
        <v>Yes</v>
      </c>
      <c r="D176" s="21" t="str">
        <f>IFERROR(__xludf.DUMMYFUNCTION("""COMPUTED_VALUE"""),"Active")</f>
        <v>Active</v>
      </c>
      <c r="E176" s="23">
        <f>IFERROR(__xludf.DUMMYFUNCTION("""COMPUTED_VALUE"""),43625.0)</f>
        <v>43625</v>
      </c>
      <c r="F176" s="24"/>
      <c r="G176" s="27">
        <f>IFERROR(__xludf.DUMMYFUNCTION("""COMPUTED_VALUE"""),87.9)</f>
        <v>87.9</v>
      </c>
      <c r="H176" s="23">
        <f>IFERROR(__xludf.DUMMYFUNCTION("""COMPUTED_VALUE"""),42178.0)</f>
        <v>42178</v>
      </c>
      <c r="I176" s="27">
        <f>IFERROR(__xludf.DUMMYFUNCTION("""COMPUTED_VALUE"""),3.9611111111111112)</f>
        <v>3.961111111</v>
      </c>
      <c r="J176" s="29">
        <f>IFERROR(__xludf.DUMMYFUNCTION("""COMPUTED_VALUE"""),85.0)</f>
        <v>85</v>
      </c>
      <c r="K176" s="29">
        <f>IFERROR(__xludf.DUMMYFUNCTION("""COMPUTED_VALUE"""),16.5)</f>
        <v>16.5</v>
      </c>
      <c r="L176" s="31" t="str">
        <f>IFERROR(__xludf.DUMMYFUNCTION("""COMPUTED_VALUE"""),"Action-Adventure")</f>
        <v>Action-Adventure</v>
      </c>
      <c r="M176" s="31"/>
    </row>
    <row r="177">
      <c r="A177" s="17" t="str">
        <f>IFERROR(__xludf.DUMMYFUNCTION("""COMPUTED_VALUE"""),"Halo: The Master Chief Collection")</f>
        <v>Halo: The Master Chief Collection</v>
      </c>
      <c r="B177" s="20" t="str">
        <f>IFERROR(__xludf.DUMMYFUNCTION("""COMPUTED_VALUE"""),"Xbox / PC")</f>
        <v>Xbox / PC</v>
      </c>
      <c r="C177" s="21" t="str">
        <f>IFERROR(__xludf.DUMMYFUNCTION("""COMPUTED_VALUE"""),"Yes")</f>
        <v>Yes</v>
      </c>
      <c r="D177" s="21" t="str">
        <f>IFERROR(__xludf.DUMMYFUNCTION("""COMPUTED_VALUE"""),"Active")</f>
        <v>Active</v>
      </c>
      <c r="E177" s="23">
        <f>IFERROR(__xludf.DUMMYFUNCTION("""COMPUTED_VALUE"""),43344.0)</f>
        <v>43344</v>
      </c>
      <c r="F177" s="24"/>
      <c r="G177" s="27">
        <f>IFERROR(__xludf.DUMMYFUNCTION("""COMPUTED_VALUE"""),97.16666666666666)</f>
        <v>97.16666667</v>
      </c>
      <c r="H177" s="23">
        <f>IFERROR(__xludf.DUMMYFUNCTION("""COMPUTED_VALUE"""),41954.0)</f>
        <v>41954</v>
      </c>
      <c r="I177" s="27">
        <f>IFERROR(__xludf.DUMMYFUNCTION("""COMPUTED_VALUE"""),3.8055555555555554)</f>
        <v>3.805555556</v>
      </c>
      <c r="J177" s="29">
        <f>IFERROR(__xludf.DUMMYFUNCTION("""COMPUTED_VALUE"""),85.0)</f>
        <v>85</v>
      </c>
      <c r="K177" s="29">
        <f>IFERROR(__xludf.DUMMYFUNCTION("""COMPUTED_VALUE"""),52.5)</f>
        <v>52.5</v>
      </c>
      <c r="L177" s="31" t="str">
        <f>IFERROR(__xludf.DUMMYFUNCTION("""COMPUTED_VALUE"""),"Shooter")</f>
        <v>Shooter</v>
      </c>
      <c r="M177" s="31" t="str">
        <f>IFERROR(__xludf.DUMMYFUNCTION("""COMPUTED_VALUE"""),"Optimized")</f>
        <v>Optimized</v>
      </c>
    </row>
    <row r="178">
      <c r="A178" s="17" t="str">
        <f>IFERROR(__xludf.DUMMYFUNCTION("""COMPUTED_VALUE"""),"A Plague Tale: Requiem")</f>
        <v>A Plague Tale: Requiem</v>
      </c>
      <c r="B178" s="20" t="str">
        <f>IFERROR(__xludf.DUMMYFUNCTION("""COMPUTED_VALUE"""),"Xbox / PC")</f>
        <v>Xbox / PC</v>
      </c>
      <c r="C178" s="21" t="str">
        <f>IFERROR(__xludf.DUMMYFUNCTION("""COMPUTED_VALUE"""),"Yes")</f>
        <v>Yes</v>
      </c>
      <c r="D178" s="21" t="str">
        <f>IFERROR(__xludf.DUMMYFUNCTION("""COMPUTED_VALUE"""),"Leaving Soon")</f>
        <v>Leaving Soon</v>
      </c>
      <c r="E178" s="23">
        <f>IFERROR(__xludf.DUMMYFUNCTION("""COMPUTED_VALUE"""),44852.0)</f>
        <v>44852</v>
      </c>
      <c r="F178" s="24">
        <f>IFERROR(__xludf.DUMMYFUNCTION("""COMPUTED_VALUE"""),46310.0)</f>
        <v>46310</v>
      </c>
      <c r="G178" s="27">
        <f>IFERROR(__xludf.DUMMYFUNCTION("""COMPUTED_VALUE"""),47.9)</f>
        <v>47.9</v>
      </c>
      <c r="H178" s="23">
        <f>IFERROR(__xludf.DUMMYFUNCTION("""COMPUTED_VALUE"""),44852.0)</f>
        <v>44852</v>
      </c>
      <c r="I178" s="27">
        <f>IFERROR(__xludf.DUMMYFUNCTION("""COMPUTED_VALUE"""),0.0)</f>
        <v>0</v>
      </c>
      <c r="J178" s="29">
        <f>IFERROR(__xludf.DUMMYFUNCTION("""COMPUTED_VALUE"""),85.0)</f>
        <v>85</v>
      </c>
      <c r="K178" s="29">
        <f>IFERROR(__xludf.DUMMYFUNCTION("""COMPUTED_VALUE"""),15.0)</f>
        <v>15</v>
      </c>
      <c r="L178" s="31" t="str">
        <f>IFERROR(__xludf.DUMMYFUNCTION("""COMPUTED_VALUE"""),"Action-Adventure")</f>
        <v>Action-Adventure</v>
      </c>
      <c r="M178" s="31" t="str">
        <f>IFERROR(__xludf.DUMMYFUNCTION("""COMPUTED_VALUE"""),"Exclusive")</f>
        <v>Exclusive</v>
      </c>
    </row>
    <row r="179">
      <c r="A179" s="17" t="str">
        <f>IFERROR(__xludf.DUMMYFUNCTION("""COMPUTED_VALUE"""),"Resident Evil Code: Veronica X")</f>
        <v>Resident Evil Code: Veronica X</v>
      </c>
      <c r="B179" s="20" t="str">
        <f>IFERROR(__xludf.DUMMYFUNCTION("""COMPUTED_VALUE"""),"XB360/OG Xbox")</f>
        <v>XB360/OG Xbox</v>
      </c>
      <c r="C179" s="21"/>
      <c r="D179" s="21" t="str">
        <f>IFERROR(__xludf.DUMMYFUNCTION("""COMPUTED_VALUE"""),"GwG Permanent")</f>
        <v>GwG Permanent</v>
      </c>
      <c r="E179" s="23">
        <f>IFERROR(__xludf.DUMMYFUNCTION("""COMPUTED_VALUE"""),44485.0)</f>
        <v>44485</v>
      </c>
      <c r="F179" s="24">
        <f>IFERROR(__xludf.DUMMYFUNCTION("""COMPUTED_VALUE"""),44500.0)</f>
        <v>44500</v>
      </c>
      <c r="G179" s="27">
        <f>IFERROR(__xludf.DUMMYFUNCTION("""COMPUTED_VALUE"""),0.4666666666666667)</f>
        <v>0.4666666667</v>
      </c>
      <c r="H179" s="23">
        <f>IFERROR(__xludf.DUMMYFUNCTION("""COMPUTED_VALUE"""),37327.0)</f>
        <v>37327</v>
      </c>
      <c r="I179" s="27">
        <f>IFERROR(__xludf.DUMMYFUNCTION("""COMPUTED_VALUE"""),19.594444444444445)</f>
        <v>19.59444444</v>
      </c>
      <c r="J179" s="29">
        <f>IFERROR(__xludf.DUMMYFUNCTION("""COMPUTED_VALUE"""),85.0)</f>
        <v>85</v>
      </c>
      <c r="K179" s="29">
        <f>IFERROR(__xludf.DUMMYFUNCTION("""COMPUTED_VALUE"""),11.5)</f>
        <v>11.5</v>
      </c>
      <c r="L179" s="31" t="str">
        <f>IFERROR(__xludf.DUMMYFUNCTION("""COMPUTED_VALUE"""),"Survival")</f>
        <v>Survival</v>
      </c>
      <c r="M179" s="31"/>
    </row>
    <row r="180">
      <c r="A180" s="17" t="str">
        <f>IFERROR(__xludf.DUMMYFUNCTION("""COMPUTED_VALUE"""),"Metal Gear Rising: Revengeance")</f>
        <v>Metal Gear Rising: Revengeance</v>
      </c>
      <c r="B180" s="20" t="str">
        <f>IFERROR(__xludf.DUMMYFUNCTION("""COMPUTED_VALUE"""),"XB360/OG Xbox")</f>
        <v>XB360/OG Xbox</v>
      </c>
      <c r="C180" s="21"/>
      <c r="D180" s="21" t="str">
        <f>IFERROR(__xludf.DUMMYFUNCTION("""COMPUTED_VALUE"""),"GwG Permanent")</f>
        <v>GwG Permanent</v>
      </c>
      <c r="E180" s="23">
        <f>IFERROR(__xludf.DUMMYFUNCTION("""COMPUTED_VALUE"""),43540.0)</f>
        <v>43540</v>
      </c>
      <c r="F180" s="24">
        <f>IFERROR(__xludf.DUMMYFUNCTION("""COMPUTED_VALUE"""),43555.0)</f>
        <v>43555</v>
      </c>
      <c r="G180" s="27">
        <f>IFERROR(__xludf.DUMMYFUNCTION("""COMPUTED_VALUE"""),0.4666666666666667)</f>
        <v>0.4666666667</v>
      </c>
      <c r="H180" s="23">
        <f>IFERROR(__xludf.DUMMYFUNCTION("""COMPUTED_VALUE"""),41324.0)</f>
        <v>41324</v>
      </c>
      <c r="I180" s="27">
        <f>IFERROR(__xludf.DUMMYFUNCTION("""COMPUTED_VALUE"""),6.075)</f>
        <v>6.075</v>
      </c>
      <c r="J180" s="29">
        <f>IFERROR(__xludf.DUMMYFUNCTION("""COMPUTED_VALUE"""),85.0)</f>
        <v>85</v>
      </c>
      <c r="K180" s="29">
        <f>IFERROR(__xludf.DUMMYFUNCTION("""COMPUTED_VALUE"""),5.0)</f>
        <v>5</v>
      </c>
      <c r="L180" s="31" t="str">
        <f>IFERROR(__xludf.DUMMYFUNCTION("""COMPUTED_VALUE"""),"Action-Adventure")</f>
        <v>Action-Adventure</v>
      </c>
      <c r="M180" s="31"/>
    </row>
    <row r="181">
      <c r="A181" s="17" t="str">
        <f>IFERROR(__xludf.DUMMYFUNCTION("""COMPUTED_VALUE"""),"Assassin's Creed III")</f>
        <v>Assassin's Creed III</v>
      </c>
      <c r="B181" s="20" t="str">
        <f>IFERROR(__xludf.DUMMYFUNCTION("""COMPUTED_VALUE"""),"XB360/OG Xbox")</f>
        <v>XB360/OG Xbox</v>
      </c>
      <c r="C181" s="21"/>
      <c r="D181" s="21" t="str">
        <f>IFERROR(__xludf.DUMMYFUNCTION("""COMPUTED_VALUE"""),"GwG Permanent")</f>
        <v>GwG Permanent</v>
      </c>
      <c r="E181" s="23">
        <f>IFERROR(__xludf.DUMMYFUNCTION("""COMPUTED_VALUE"""),42887.0)</f>
        <v>42887</v>
      </c>
      <c r="F181" s="24">
        <f>IFERROR(__xludf.DUMMYFUNCTION("""COMPUTED_VALUE"""),42901.0)</f>
        <v>42901</v>
      </c>
      <c r="G181" s="27">
        <f>IFERROR(__xludf.DUMMYFUNCTION("""COMPUTED_VALUE"""),0.4666666666666667)</f>
        <v>0.4666666667</v>
      </c>
      <c r="H181" s="23">
        <f>IFERROR(__xludf.DUMMYFUNCTION("""COMPUTED_VALUE"""),41235.0)</f>
        <v>41235</v>
      </c>
      <c r="I181" s="27">
        <f>IFERROR(__xludf.DUMMYFUNCTION("""COMPUTED_VALUE"""),4.525)</f>
        <v>4.525</v>
      </c>
      <c r="J181" s="29">
        <f>IFERROR(__xludf.DUMMYFUNCTION("""COMPUTED_VALUE"""),85.0)</f>
        <v>85</v>
      </c>
      <c r="K181" s="29">
        <f>IFERROR(__xludf.DUMMYFUNCTION("""COMPUTED_VALUE"""),19.0)</f>
        <v>19</v>
      </c>
      <c r="L181" s="31" t="str">
        <f>IFERROR(__xludf.DUMMYFUNCTION("""COMPUTED_VALUE"""),"Action-Adventure")</f>
        <v>Action-Adventure</v>
      </c>
      <c r="M181" s="31"/>
    </row>
    <row r="182">
      <c r="A182" s="17" t="str">
        <f>IFERROR(__xludf.DUMMYFUNCTION("""COMPUTED_VALUE"""),"Darksiders")</f>
        <v>Darksiders</v>
      </c>
      <c r="B182" s="20" t="str">
        <f>IFERROR(__xludf.DUMMYFUNCTION("""COMPUTED_VALUE"""),"XB360/OG Xbox")</f>
        <v>XB360/OG Xbox</v>
      </c>
      <c r="C182" s="21"/>
      <c r="D182" s="21" t="str">
        <f>IFERROR(__xludf.DUMMYFUNCTION("""COMPUTED_VALUE"""),"GwG Permanent")</f>
        <v>GwG Permanent</v>
      </c>
      <c r="E182" s="23">
        <f>IFERROR(__xludf.DUMMYFUNCTION("""COMPUTED_VALUE"""),42826.0)</f>
        <v>42826</v>
      </c>
      <c r="F182" s="24">
        <f>IFERROR(__xludf.DUMMYFUNCTION("""COMPUTED_VALUE"""),42840.0)</f>
        <v>42840</v>
      </c>
      <c r="G182" s="27">
        <f>IFERROR(__xludf.DUMMYFUNCTION("""COMPUTED_VALUE"""),0.4666666666666667)</f>
        <v>0.4666666667</v>
      </c>
      <c r="H182" s="23">
        <f>IFERROR(__xludf.DUMMYFUNCTION("""COMPUTED_VALUE"""),40183.0)</f>
        <v>40183</v>
      </c>
      <c r="I182" s="27">
        <f>IFERROR(__xludf.DUMMYFUNCTION("""COMPUTED_VALUE"""),7.238888888888889)</f>
        <v>7.238888889</v>
      </c>
      <c r="J182" s="29">
        <f>IFERROR(__xludf.DUMMYFUNCTION("""COMPUTED_VALUE"""),85.0)</f>
        <v>85</v>
      </c>
      <c r="K182" s="29">
        <f>IFERROR(__xludf.DUMMYFUNCTION("""COMPUTED_VALUE"""),14.0)</f>
        <v>14</v>
      </c>
      <c r="L182" s="31" t="str">
        <f>IFERROR(__xludf.DUMMYFUNCTION("""COMPUTED_VALUE"""),"Action-Adventure")</f>
        <v>Action-Adventure</v>
      </c>
      <c r="M182" s="31" t="str">
        <f>IFERROR(__xludf.DUMMYFUNCTION("""COMPUTED_VALUE"""),"Enhanced")</f>
        <v>Enhanced</v>
      </c>
    </row>
    <row r="183">
      <c r="A183" s="17" t="str">
        <f>IFERROR(__xludf.DUMMYFUNCTION("""COMPUTED_VALUE"""),"Borderlands")</f>
        <v>Borderlands</v>
      </c>
      <c r="B183" s="20" t="str">
        <f>IFERROR(__xludf.DUMMYFUNCTION("""COMPUTED_VALUE"""),"XB360/OG Xbox")</f>
        <v>XB360/OG Xbox</v>
      </c>
      <c r="C183" s="21"/>
      <c r="D183" s="21" t="str">
        <f>IFERROR(__xludf.DUMMYFUNCTION("""COMPUTED_VALUE"""),"GwG Permanent")</f>
        <v>GwG Permanent</v>
      </c>
      <c r="E183" s="23">
        <f>IFERROR(__xludf.DUMMYFUNCTION("""COMPUTED_VALUE"""),42445.0)</f>
        <v>42445</v>
      </c>
      <c r="F183" s="24">
        <f>IFERROR(__xludf.DUMMYFUNCTION("""COMPUTED_VALUE"""),42460.0)</f>
        <v>42460</v>
      </c>
      <c r="G183" s="27">
        <f>IFERROR(__xludf.DUMMYFUNCTION("""COMPUTED_VALUE"""),0.4666666666666667)</f>
        <v>0.4666666667</v>
      </c>
      <c r="H183" s="23">
        <f>IFERROR(__xludf.DUMMYFUNCTION("""COMPUTED_VALUE"""),40106.0)</f>
        <v>40106</v>
      </c>
      <c r="I183" s="27">
        <f>IFERROR(__xludf.DUMMYFUNCTION("""COMPUTED_VALUE"""),6.405555555555556)</f>
        <v>6.405555556</v>
      </c>
      <c r="J183" s="29">
        <f>IFERROR(__xludf.DUMMYFUNCTION("""COMPUTED_VALUE"""),85.0)</f>
        <v>85</v>
      </c>
      <c r="K183" s="29">
        <f>IFERROR(__xludf.DUMMYFUNCTION("""COMPUTED_VALUE"""),20.0)</f>
        <v>20</v>
      </c>
      <c r="L183" s="31" t="str">
        <f>IFERROR(__xludf.DUMMYFUNCTION("""COMPUTED_VALUE"""),"Shooter")</f>
        <v>Shooter</v>
      </c>
      <c r="M183" s="31"/>
    </row>
    <row r="184">
      <c r="A184" s="17" t="str">
        <f>IFERROR(__xludf.DUMMYFUNCTION("""COMPUTED_VALUE"""),"Brothers: A Tale of Two Sons")</f>
        <v>Brothers: A Tale of Two Sons</v>
      </c>
      <c r="B184" s="20" t="str">
        <f>IFERROR(__xludf.DUMMYFUNCTION("""COMPUTED_VALUE"""),"XB360/OG Xbox")</f>
        <v>XB360/OG Xbox</v>
      </c>
      <c r="C184" s="21"/>
      <c r="D184" s="21" t="str">
        <f>IFERROR(__xludf.DUMMYFUNCTION("""COMPUTED_VALUE"""),"GwG Permanent")</f>
        <v>GwG Permanent</v>
      </c>
      <c r="E184" s="23">
        <f>IFERROR(__xludf.DUMMYFUNCTION("""COMPUTED_VALUE"""),42036.0)</f>
        <v>42036</v>
      </c>
      <c r="F184" s="24">
        <f>IFERROR(__xludf.DUMMYFUNCTION("""COMPUTED_VALUE"""),42050.0)</f>
        <v>42050</v>
      </c>
      <c r="G184" s="27">
        <f>IFERROR(__xludf.DUMMYFUNCTION("""COMPUTED_VALUE"""),0.4666666666666667)</f>
        <v>0.4666666667</v>
      </c>
      <c r="H184" s="23">
        <f>IFERROR(__xludf.DUMMYFUNCTION("""COMPUTED_VALUE"""),41493.0)</f>
        <v>41493</v>
      </c>
      <c r="I184" s="27">
        <f>IFERROR(__xludf.DUMMYFUNCTION("""COMPUTED_VALUE"""),1.4833333333333334)</f>
        <v>1.483333333</v>
      </c>
      <c r="J184" s="29">
        <f>IFERROR(__xludf.DUMMYFUNCTION("""COMPUTED_VALUE"""),85.0)</f>
        <v>85</v>
      </c>
      <c r="K184" s="29">
        <f>IFERROR(__xludf.DUMMYFUNCTION("""COMPUTED_VALUE"""),3.0)</f>
        <v>3</v>
      </c>
      <c r="L184" s="31" t="str">
        <f>IFERROR(__xludf.DUMMYFUNCTION("""COMPUTED_VALUE"""),"Adventure")</f>
        <v>Adventure</v>
      </c>
      <c r="M184" s="31"/>
    </row>
    <row r="185">
      <c r="A185" s="17" t="str">
        <f>IFERROR(__xludf.DUMMYFUNCTION("""COMPUTED_VALUE"""),"Red Faction: Guerrilla")</f>
        <v>Red Faction: Guerrilla</v>
      </c>
      <c r="B185" s="20" t="str">
        <f>IFERROR(__xludf.DUMMYFUNCTION("""COMPUTED_VALUE"""),"XB360/OG Xbox")</f>
        <v>XB360/OG Xbox</v>
      </c>
      <c r="C185" s="21"/>
      <c r="D185" s="21" t="str">
        <f>IFERROR(__xludf.DUMMYFUNCTION("""COMPUTED_VALUE"""),"GwG Permanent")</f>
        <v>GwG Permanent</v>
      </c>
      <c r="E185" s="23">
        <f>IFERROR(__xludf.DUMMYFUNCTION("""COMPUTED_VALUE"""),41959.0)</f>
        <v>41959</v>
      </c>
      <c r="F185" s="24">
        <f>IFERROR(__xludf.DUMMYFUNCTION("""COMPUTED_VALUE"""),41973.0)</f>
        <v>41973</v>
      </c>
      <c r="G185" s="27">
        <f>IFERROR(__xludf.DUMMYFUNCTION("""COMPUTED_VALUE"""),0.4666666666666667)</f>
        <v>0.4666666667</v>
      </c>
      <c r="H185" s="23">
        <f>IFERROR(__xludf.DUMMYFUNCTION("""COMPUTED_VALUE"""),39966.0)</f>
        <v>39966</v>
      </c>
      <c r="I185" s="27">
        <f>IFERROR(__xludf.DUMMYFUNCTION("""COMPUTED_VALUE"""),5.455555555555556)</f>
        <v>5.455555556</v>
      </c>
      <c r="J185" s="29">
        <f>IFERROR(__xludf.DUMMYFUNCTION("""COMPUTED_VALUE"""),85.0)</f>
        <v>85</v>
      </c>
      <c r="K185" s="29">
        <f>IFERROR(__xludf.DUMMYFUNCTION("""COMPUTED_VALUE"""),14.0)</f>
        <v>14</v>
      </c>
      <c r="L185" s="31" t="str">
        <f>IFERROR(__xludf.DUMMYFUNCTION("""COMPUTED_VALUE"""),"Action-Adventure")</f>
        <v>Action-Adventure</v>
      </c>
      <c r="M185" s="31"/>
    </row>
    <row r="186">
      <c r="A186" s="17" t="str">
        <f>IFERROR(__xludf.DUMMYFUNCTION("""COMPUTED_VALUE"""),"Dust: An Elysian Tail")</f>
        <v>Dust: An Elysian Tail</v>
      </c>
      <c r="B186" s="20" t="str">
        <f>IFERROR(__xludf.DUMMYFUNCTION("""COMPUTED_VALUE"""),"XB360/OG Xbox")</f>
        <v>XB360/OG Xbox</v>
      </c>
      <c r="C186" s="21"/>
      <c r="D186" s="21" t="str">
        <f>IFERROR(__xludf.DUMMYFUNCTION("""COMPUTED_VALUE"""),"GwG Permanent")</f>
        <v>GwG Permanent</v>
      </c>
      <c r="E186" s="23">
        <f>IFERROR(__xludf.DUMMYFUNCTION("""COMPUTED_VALUE"""),41760.0)</f>
        <v>41760</v>
      </c>
      <c r="F186" s="24">
        <f>IFERROR(__xludf.DUMMYFUNCTION("""COMPUTED_VALUE"""),41774.0)</f>
        <v>41774</v>
      </c>
      <c r="G186" s="27">
        <f>IFERROR(__xludf.DUMMYFUNCTION("""COMPUTED_VALUE"""),0.4666666666666667)</f>
        <v>0.4666666667</v>
      </c>
      <c r="H186" s="23">
        <f>IFERROR(__xludf.DUMMYFUNCTION("""COMPUTED_VALUE"""),41136.0)</f>
        <v>41136</v>
      </c>
      <c r="I186" s="27">
        <f>IFERROR(__xludf.DUMMYFUNCTION("""COMPUTED_VALUE"""),1.711111111111111)</f>
        <v>1.711111111</v>
      </c>
      <c r="J186" s="29">
        <f>IFERROR(__xludf.DUMMYFUNCTION("""COMPUTED_VALUE"""),85.0)</f>
        <v>85</v>
      </c>
      <c r="K186" s="29">
        <f>IFERROR(__xludf.DUMMYFUNCTION("""COMPUTED_VALUE"""),8.0)</f>
        <v>8</v>
      </c>
      <c r="L186" s="31" t="str">
        <f>IFERROR(__xludf.DUMMYFUNCTION("""COMPUTED_VALUE"""),"Action-Adventure")</f>
        <v>Action-Adventure</v>
      </c>
      <c r="M186" s="31"/>
    </row>
    <row r="187">
      <c r="A187" s="17" t="str">
        <f>IFERROR(__xludf.DUMMYFUNCTION("""COMPUTED_VALUE"""),"Assassin's Creed Origins")</f>
        <v>Assassin's Creed Origins</v>
      </c>
      <c r="B187" s="20" t="str">
        <f>IFERROR(__xludf.DUMMYFUNCTION("""COMPUTED_VALUE"""),"Xbox / PC")</f>
        <v>Xbox / PC</v>
      </c>
      <c r="C187" s="21" t="str">
        <f>IFERROR(__xludf.DUMMYFUNCTION("""COMPUTED_VALUE"""),"Touch Controls")</f>
        <v>Touch Controls</v>
      </c>
      <c r="D187" s="21" t="str">
        <f>IFERROR(__xludf.DUMMYFUNCTION("""COMPUTED_VALUE"""),"Active")</f>
        <v>Active</v>
      </c>
      <c r="E187" s="23">
        <f>IFERROR(__xludf.DUMMYFUNCTION("""COMPUTED_VALUE"""),44719.0)</f>
        <v>44719</v>
      </c>
      <c r="F187" s="24"/>
      <c r="G187" s="27">
        <f>IFERROR(__xludf.DUMMYFUNCTION("""COMPUTED_VALUE"""),51.96666666666667)</f>
        <v>51.96666667</v>
      </c>
      <c r="H187" s="23">
        <f>IFERROR(__xludf.DUMMYFUNCTION("""COMPUTED_VALUE"""),43035.0)</f>
        <v>43035</v>
      </c>
      <c r="I187" s="27">
        <f>IFERROR(__xludf.DUMMYFUNCTION("""COMPUTED_VALUE"""),4.611111111111111)</f>
        <v>4.611111111</v>
      </c>
      <c r="J187" s="29">
        <f>IFERROR(__xludf.DUMMYFUNCTION("""COMPUTED_VALUE"""),84.5)</f>
        <v>84.5</v>
      </c>
      <c r="K187" s="29">
        <f>IFERROR(__xludf.DUMMYFUNCTION("""COMPUTED_VALUE"""),30.0)</f>
        <v>30</v>
      </c>
      <c r="L187" s="31" t="str">
        <f>IFERROR(__xludf.DUMMYFUNCTION("""COMPUTED_VALUE"""),"RPG")</f>
        <v>RPG</v>
      </c>
      <c r="M187" s="31"/>
    </row>
    <row r="188">
      <c r="A188" s="17" t="str">
        <f>IFERROR(__xludf.DUMMYFUNCTION("""COMPUTED_VALUE"""),"Shape of Dreams")</f>
        <v>Shape of Dreams</v>
      </c>
      <c r="B188" s="20" t="str">
        <f>IFERROR(__xludf.DUMMYFUNCTION("""COMPUTED_VALUE"""),"Xbox / PC")</f>
        <v>Xbox / PC</v>
      </c>
      <c r="C188" s="21" t="str">
        <f>IFERROR(__xludf.DUMMYFUNCTION("""COMPUTED_VALUE"""),"Yes")</f>
        <v>Yes</v>
      </c>
      <c r="D188" s="21" t="str">
        <f>IFERROR(__xludf.DUMMYFUNCTION("""COMPUTED_VALUE"""),"Active")</f>
        <v>Active</v>
      </c>
      <c r="E188" s="23">
        <f>IFERROR(__xludf.DUMMYFUNCTION("""COMPUTED_VALUE"""),46282.0)</f>
        <v>46282</v>
      </c>
      <c r="F188" s="24"/>
      <c r="G188" s="27">
        <f>IFERROR(__xludf.DUMMYFUNCTION("""COMPUTED_VALUE"""),0.6333333333333333)</f>
        <v>0.6333333333</v>
      </c>
      <c r="H188" s="23">
        <f>IFERROR(__xludf.DUMMYFUNCTION("""COMPUTED_VALUE"""),45910.0)</f>
        <v>45910</v>
      </c>
      <c r="I188" s="27">
        <f>IFERROR(__xludf.DUMMYFUNCTION("""COMPUTED_VALUE"""),1.0194444444444444)</f>
        <v>1.019444444</v>
      </c>
      <c r="J188" s="29">
        <f>IFERROR(__xludf.DUMMYFUNCTION("""COMPUTED_VALUE"""),84.0)</f>
        <v>84</v>
      </c>
      <c r="K188" s="29">
        <f>IFERROR(__xludf.DUMMYFUNCTION("""COMPUTED_VALUE"""),9.0)</f>
        <v>9</v>
      </c>
      <c r="L188" s="31" t="str">
        <f>IFERROR(__xludf.DUMMYFUNCTION("""COMPUTED_VALUE"""),"RPG")</f>
        <v>RPG</v>
      </c>
      <c r="M188" s="31"/>
    </row>
    <row r="189">
      <c r="A189" s="17" t="str">
        <f>IFERROR(__xludf.DUMMYFUNCTION("""COMPUTED_VALUE"""),"Remnant II")</f>
        <v>Remnant II</v>
      </c>
      <c r="B189" s="20" t="str">
        <f>IFERROR(__xludf.DUMMYFUNCTION("""COMPUTED_VALUE"""),"Xbox / PC")</f>
        <v>Xbox / PC</v>
      </c>
      <c r="C189" s="21" t="str">
        <f>IFERROR(__xludf.DUMMYFUNCTION("""COMPUTED_VALUE"""),"Yes")</f>
        <v>Yes</v>
      </c>
      <c r="D189" s="21" t="str">
        <f>IFERROR(__xludf.DUMMYFUNCTION("""COMPUTED_VALUE"""),"Active")</f>
        <v>Active</v>
      </c>
      <c r="E189" s="23">
        <f>IFERROR(__xludf.DUMMYFUNCTION("""COMPUTED_VALUE"""),46162.0)</f>
        <v>46162</v>
      </c>
      <c r="F189" s="24"/>
      <c r="G189" s="27">
        <f>IFERROR(__xludf.DUMMYFUNCTION("""COMPUTED_VALUE"""),4.533333333333333)</f>
        <v>4.533333333</v>
      </c>
      <c r="H189" s="23">
        <f>IFERROR(__xludf.DUMMYFUNCTION("""COMPUTED_VALUE"""),45132.0)</f>
        <v>45132</v>
      </c>
      <c r="I189" s="27">
        <f>IFERROR(__xludf.DUMMYFUNCTION("""COMPUTED_VALUE"""),2.8194444444444446)</f>
        <v>2.819444444</v>
      </c>
      <c r="J189" s="29">
        <f>IFERROR(__xludf.DUMMYFUNCTION("""COMPUTED_VALUE"""),84.0)</f>
        <v>84</v>
      </c>
      <c r="K189" s="29">
        <f>IFERROR(__xludf.DUMMYFUNCTION("""COMPUTED_VALUE"""),18.0)</f>
        <v>18</v>
      </c>
      <c r="L189" s="31" t="str">
        <f>IFERROR(__xludf.DUMMYFUNCTION("""COMPUTED_VALUE"""),"RPG")</f>
        <v>RPG</v>
      </c>
      <c r="M189" s="31"/>
    </row>
    <row r="190">
      <c r="A190" s="17" t="str">
        <f>IFERROR(__xludf.DUMMYFUNCTION("""COMPUTED_VALUE"""),"Beyond Zork: The Coconut of Quendor")</f>
        <v>Beyond Zork: The Coconut of Quendor</v>
      </c>
      <c r="B190" s="20" t="str">
        <f>IFERROR(__xludf.DUMMYFUNCTION("""COMPUTED_VALUE"""),"Xbox / PC")</f>
        <v>Xbox / PC</v>
      </c>
      <c r="C190" s="21" t="str">
        <f>IFERROR(__xludf.DUMMYFUNCTION("""COMPUTED_VALUE"""),"Yes")</f>
        <v>Yes</v>
      </c>
      <c r="D190" s="21" t="str">
        <f>IFERROR(__xludf.DUMMYFUNCTION("""COMPUTED_VALUE"""),"Active")</f>
        <v>Active</v>
      </c>
      <c r="E190" s="23">
        <f>IFERROR(__xludf.DUMMYFUNCTION("""COMPUTED_VALUE"""),46072.0)</f>
        <v>46072</v>
      </c>
      <c r="F190" s="24"/>
      <c r="G190" s="27">
        <f>IFERROR(__xludf.DUMMYFUNCTION("""COMPUTED_VALUE"""),7.566666666666666)</f>
        <v>7.566666667</v>
      </c>
      <c r="H190" s="23">
        <f>IFERROR(__xludf.DUMMYFUNCTION("""COMPUTED_VALUE"""),32051.0)</f>
        <v>32051</v>
      </c>
      <c r="I190" s="27">
        <f>IFERROR(__xludf.DUMMYFUNCTION("""COMPUTED_VALUE"""),38.38333333333333)</f>
        <v>38.38333333</v>
      </c>
      <c r="J190" s="29">
        <f>IFERROR(__xludf.DUMMYFUNCTION("""COMPUTED_VALUE"""),84.0)</f>
        <v>84</v>
      </c>
      <c r="K190" s="29">
        <f>IFERROR(__xludf.DUMMYFUNCTION("""COMPUTED_VALUE"""),1.0)</f>
        <v>1</v>
      </c>
      <c r="L190" s="31" t="str">
        <f>IFERROR(__xludf.DUMMYFUNCTION("""COMPUTED_VALUE"""),"Action-Adventure")</f>
        <v>Action-Adventure</v>
      </c>
      <c r="M190" s="31"/>
    </row>
    <row r="191">
      <c r="A191" s="17" t="str">
        <f>IFERROR(__xludf.DUMMYFUNCTION("""COMPUTED_VALUE"""),"Ninja Gaiden: Ragebound")</f>
        <v>Ninja Gaiden: Ragebound</v>
      </c>
      <c r="B191" s="20" t="str">
        <f>IFERROR(__xludf.DUMMYFUNCTION("""COMPUTED_VALUE"""),"Xbox / PC")</f>
        <v>Xbox / PC</v>
      </c>
      <c r="C191" s="21" t="str">
        <f>IFERROR(__xludf.DUMMYFUNCTION("""COMPUTED_VALUE"""),"Yes")</f>
        <v>Yes</v>
      </c>
      <c r="D191" s="21" t="str">
        <f>IFERROR(__xludf.DUMMYFUNCTION("""COMPUTED_VALUE"""),"Active")</f>
        <v>Active</v>
      </c>
      <c r="E191" s="23">
        <f>IFERROR(__xludf.DUMMYFUNCTION("""COMPUTED_VALUE"""),46043.0)</f>
        <v>46043</v>
      </c>
      <c r="F191" s="24"/>
      <c r="G191" s="27">
        <f>IFERROR(__xludf.DUMMYFUNCTION("""COMPUTED_VALUE"""),8.5)</f>
        <v>8.5</v>
      </c>
      <c r="H191" s="23">
        <f>IFERROR(__xludf.DUMMYFUNCTION("""COMPUTED_VALUE"""),45869.0)</f>
        <v>45869</v>
      </c>
      <c r="I191" s="27">
        <f>IFERROR(__xludf.DUMMYFUNCTION("""COMPUTED_VALUE"""),0.475)</f>
        <v>0.475</v>
      </c>
      <c r="J191" s="29">
        <f>IFERROR(__xludf.DUMMYFUNCTION("""COMPUTED_VALUE"""),84.0)</f>
        <v>84</v>
      </c>
      <c r="K191" s="29">
        <f>IFERROR(__xludf.DUMMYFUNCTION("""COMPUTED_VALUE"""),6.0)</f>
        <v>6</v>
      </c>
      <c r="L191" s="31" t="str">
        <f>IFERROR(__xludf.DUMMYFUNCTION("""COMPUTED_VALUE"""),"Action-Adventure")</f>
        <v>Action-Adventure</v>
      </c>
      <c r="M191" s="31" t="str">
        <f>IFERROR(__xludf.DUMMYFUNCTION("""COMPUTED_VALUE"""),"Exclusive")</f>
        <v>Exclusive</v>
      </c>
    </row>
    <row r="192">
      <c r="A192" s="17" t="str">
        <f>IFERROR(__xludf.DUMMYFUNCTION("""COMPUTED_VALUE"""),"Resident Evil Village")</f>
        <v>Resident Evil Village</v>
      </c>
      <c r="B192" s="20" t="str">
        <f>IFERROR(__xludf.DUMMYFUNCTION("""COMPUTED_VALUE"""),"Xbox / PC")</f>
        <v>Xbox / PC</v>
      </c>
      <c r="C192" s="21" t="str">
        <f>IFERROR(__xludf.DUMMYFUNCTION("""COMPUTED_VALUE"""),"Yes")</f>
        <v>Yes</v>
      </c>
      <c r="D192" s="21" t="str">
        <f>IFERROR(__xludf.DUMMYFUNCTION("""COMPUTED_VALUE"""),"Active")</f>
        <v>Active</v>
      </c>
      <c r="E192" s="23">
        <f>IFERROR(__xludf.DUMMYFUNCTION("""COMPUTED_VALUE"""),46042.0)</f>
        <v>46042</v>
      </c>
      <c r="F192" s="24"/>
      <c r="G192" s="27">
        <f>IFERROR(__xludf.DUMMYFUNCTION("""COMPUTED_VALUE"""),8.533333333333333)</f>
        <v>8.533333333</v>
      </c>
      <c r="H192" s="23">
        <f>IFERROR(__xludf.DUMMYFUNCTION("""COMPUTED_VALUE"""),44323.0)</f>
        <v>44323</v>
      </c>
      <c r="I192" s="27">
        <f>IFERROR(__xludf.DUMMYFUNCTION("""COMPUTED_VALUE"""),4.7027777777777775)</f>
        <v>4.702777778</v>
      </c>
      <c r="J192" s="29">
        <f>IFERROR(__xludf.DUMMYFUNCTION("""COMPUTED_VALUE"""),84.0)</f>
        <v>84</v>
      </c>
      <c r="K192" s="29">
        <f>IFERROR(__xludf.DUMMYFUNCTION("""COMPUTED_VALUE"""),9.0)</f>
        <v>9</v>
      </c>
      <c r="L192" s="31" t="str">
        <f>IFERROR(__xludf.DUMMYFUNCTION("""COMPUTED_VALUE"""),"Action-Adventure")</f>
        <v>Action-Adventure</v>
      </c>
      <c r="M192" s="31"/>
    </row>
    <row r="193">
      <c r="A193" s="17" t="str">
        <f>IFERROR(__xludf.DUMMYFUNCTION("""COMPUTED_VALUE"""),"Ball x Pit")</f>
        <v>Ball x Pit</v>
      </c>
      <c r="B193" s="20" t="str">
        <f>IFERROR(__xludf.DUMMYFUNCTION("""COMPUTED_VALUE"""),"Xbox / PC")</f>
        <v>Xbox / PC</v>
      </c>
      <c r="C193" s="21" t="str">
        <f>IFERROR(__xludf.DUMMYFUNCTION("""COMPUTED_VALUE"""),"Yes")</f>
        <v>Yes</v>
      </c>
      <c r="D193" s="21" t="str">
        <f>IFERROR(__xludf.DUMMYFUNCTION("""COMPUTED_VALUE"""),"Active")</f>
        <v>Active</v>
      </c>
      <c r="E193" s="23">
        <f>IFERROR(__xludf.DUMMYFUNCTION("""COMPUTED_VALUE"""),45945.0)</f>
        <v>45945</v>
      </c>
      <c r="F193" s="24"/>
      <c r="G193" s="27">
        <f>IFERROR(__xludf.DUMMYFUNCTION("""COMPUTED_VALUE"""),11.7)</f>
        <v>11.7</v>
      </c>
      <c r="H193" s="23">
        <f>IFERROR(__xludf.DUMMYFUNCTION("""COMPUTED_VALUE"""),45945.0)</f>
        <v>45945</v>
      </c>
      <c r="I193" s="27">
        <f>IFERROR(__xludf.DUMMYFUNCTION("""COMPUTED_VALUE"""),0.0)</f>
        <v>0</v>
      </c>
      <c r="J193" s="29">
        <f>IFERROR(__xludf.DUMMYFUNCTION("""COMPUTED_VALUE"""),84.0)</f>
        <v>84</v>
      </c>
      <c r="K193" s="29">
        <f>IFERROR(__xludf.DUMMYFUNCTION("""COMPUTED_VALUE"""),19.0)</f>
        <v>19</v>
      </c>
      <c r="L193" s="31" t="str">
        <f>IFERROR(__xludf.DUMMYFUNCTION("""COMPUTED_VALUE"""),"Shoot-'Em-Up")</f>
        <v>Shoot-'Em-Up</v>
      </c>
      <c r="M193" s="31"/>
    </row>
    <row r="194">
      <c r="A194" s="17" t="str">
        <f>IFERROR(__xludf.DUMMYFUNCTION("""COMPUTED_VALUE"""),"Hogwarts Legacy")</f>
        <v>Hogwarts Legacy</v>
      </c>
      <c r="B194" s="20" t="str">
        <f>IFERROR(__xludf.DUMMYFUNCTION("""COMPUTED_VALUE"""),"Xbox / PC")</f>
        <v>Xbox / PC</v>
      </c>
      <c r="C194" s="21" t="str">
        <f>IFERROR(__xludf.DUMMYFUNCTION("""COMPUTED_VALUE"""),"Yes")</f>
        <v>Yes</v>
      </c>
      <c r="D194" s="21" t="str">
        <f>IFERROR(__xludf.DUMMYFUNCTION("""COMPUTED_VALUE"""),"Active")</f>
        <v>Active</v>
      </c>
      <c r="E194" s="23">
        <f>IFERROR(__xludf.DUMMYFUNCTION("""COMPUTED_VALUE"""),45931.0)</f>
        <v>45931</v>
      </c>
      <c r="F194" s="24"/>
      <c r="G194" s="27">
        <f>IFERROR(__xludf.DUMMYFUNCTION("""COMPUTED_VALUE"""),12.166666666666666)</f>
        <v>12.16666667</v>
      </c>
      <c r="H194" s="23">
        <f>IFERROR(__xludf.DUMMYFUNCTION("""COMPUTED_VALUE"""),44964.0)</f>
        <v>44964</v>
      </c>
      <c r="I194" s="27">
        <f>IFERROR(__xludf.DUMMYFUNCTION("""COMPUTED_VALUE"""),2.65)</f>
        <v>2.65</v>
      </c>
      <c r="J194" s="29">
        <f>IFERROR(__xludf.DUMMYFUNCTION("""COMPUTED_VALUE"""),84.0)</f>
        <v>84</v>
      </c>
      <c r="K194" s="29">
        <f>IFERROR(__xludf.DUMMYFUNCTION("""COMPUTED_VALUE"""),27.0)</f>
        <v>27</v>
      </c>
      <c r="L194" s="31" t="str">
        <f>IFERROR(__xludf.DUMMYFUNCTION("""COMPUTED_VALUE"""),"Action-Adventure")</f>
        <v>Action-Adventure</v>
      </c>
      <c r="M194" s="31"/>
    </row>
    <row r="195">
      <c r="A195" s="17" t="str">
        <f>IFERROR(__xludf.DUMMYFUNCTION("""COMPUTED_VALUE"""),"The Alters")</f>
        <v>The Alters</v>
      </c>
      <c r="B195" s="20" t="str">
        <f>IFERROR(__xludf.DUMMYFUNCTION("""COMPUTED_VALUE"""),"Xbox / PC")</f>
        <v>Xbox / PC</v>
      </c>
      <c r="C195" s="21" t="str">
        <f>IFERROR(__xludf.DUMMYFUNCTION("""COMPUTED_VALUE"""),"Yes")</f>
        <v>Yes</v>
      </c>
      <c r="D195" s="21" t="str">
        <f>IFERROR(__xludf.DUMMYFUNCTION("""COMPUTED_VALUE"""),"Active")</f>
        <v>Active</v>
      </c>
      <c r="E195" s="23">
        <f>IFERROR(__xludf.DUMMYFUNCTION("""COMPUTED_VALUE"""),45821.0)</f>
        <v>45821</v>
      </c>
      <c r="F195" s="24"/>
      <c r="G195" s="27">
        <f>IFERROR(__xludf.DUMMYFUNCTION("""COMPUTED_VALUE"""),15.766666666666666)</f>
        <v>15.76666667</v>
      </c>
      <c r="H195" s="23">
        <f>IFERROR(__xludf.DUMMYFUNCTION("""COMPUTED_VALUE"""),45821.0)</f>
        <v>45821</v>
      </c>
      <c r="I195" s="27">
        <f>IFERROR(__xludf.DUMMYFUNCTION("""COMPUTED_VALUE"""),0.0)</f>
        <v>0</v>
      </c>
      <c r="J195" s="29">
        <f>IFERROR(__xludf.DUMMYFUNCTION("""COMPUTED_VALUE"""),84.0)</f>
        <v>84</v>
      </c>
      <c r="K195" s="29">
        <f>IFERROR(__xludf.DUMMYFUNCTION("""COMPUTED_VALUE"""),19.0)</f>
        <v>19</v>
      </c>
      <c r="L195" s="31" t="str">
        <f>IFERROR(__xludf.DUMMYFUNCTION("""COMPUTED_VALUE"""),"Survival")</f>
        <v>Survival</v>
      </c>
      <c r="M195" s="31" t="str">
        <f>IFERROR(__xludf.DUMMYFUNCTION("""COMPUTED_VALUE"""),"Exclusive")</f>
        <v>Exclusive</v>
      </c>
    </row>
    <row r="196">
      <c r="A196" s="17" t="str">
        <f>IFERROR(__xludf.DUMMYFUNCTION("""COMPUTED_VALUE"""),"Kingdom: Two Crowns")</f>
        <v>Kingdom: Two Crowns</v>
      </c>
      <c r="B196" s="20" t="str">
        <f>IFERROR(__xludf.DUMMYFUNCTION("""COMPUTED_VALUE"""),"Xbox / PC")</f>
        <v>Xbox / PC</v>
      </c>
      <c r="C196" s="21" t="str">
        <f>IFERROR(__xludf.DUMMYFUNCTION("""COMPUTED_VALUE"""),"Yes")</f>
        <v>Yes</v>
      </c>
      <c r="D196" s="21" t="str">
        <f>IFERROR(__xludf.DUMMYFUNCTION("""COMPUTED_VALUE"""),"Active")</f>
        <v>Active</v>
      </c>
      <c r="E196" s="23">
        <f>IFERROR(__xludf.DUMMYFUNCTION("""COMPUTED_VALUE"""),45701.0)</f>
        <v>45701</v>
      </c>
      <c r="F196" s="24"/>
      <c r="G196" s="27">
        <f>IFERROR(__xludf.DUMMYFUNCTION("""COMPUTED_VALUE"""),19.766666666666666)</f>
        <v>19.76666667</v>
      </c>
      <c r="H196" s="23">
        <f>IFERROR(__xludf.DUMMYFUNCTION("""COMPUTED_VALUE"""),43445.0)</f>
        <v>43445</v>
      </c>
      <c r="I196" s="27">
        <f>IFERROR(__xludf.DUMMYFUNCTION("""COMPUTED_VALUE"""),6.1722222222222225)</f>
        <v>6.172222222</v>
      </c>
      <c r="J196" s="29">
        <f>IFERROR(__xludf.DUMMYFUNCTION("""COMPUTED_VALUE"""),84.0)</f>
        <v>84</v>
      </c>
      <c r="K196" s="29">
        <f>IFERROR(__xludf.DUMMYFUNCTION("""COMPUTED_VALUE"""),28.5)</f>
        <v>28.5</v>
      </c>
      <c r="L196" s="31" t="str">
        <f>IFERROR(__xludf.DUMMYFUNCTION("""COMPUTED_VALUE"""),"Strategy")</f>
        <v>Strategy</v>
      </c>
      <c r="M196" s="31"/>
    </row>
    <row r="197">
      <c r="A197" s="17" t="str">
        <f>IFERROR(__xludf.DUMMYFUNCTION("""COMPUTED_VALUE"""),"Age of Mythology: Retold")</f>
        <v>Age of Mythology: Retold</v>
      </c>
      <c r="B197" s="20" t="str">
        <f>IFERROR(__xludf.DUMMYFUNCTION("""COMPUTED_VALUE"""),"Xbox / PC")</f>
        <v>Xbox / PC</v>
      </c>
      <c r="C197" s="21" t="str">
        <f>IFERROR(__xludf.DUMMYFUNCTION("""COMPUTED_VALUE"""),"Yes")</f>
        <v>Yes</v>
      </c>
      <c r="D197" s="21" t="str">
        <f>IFERROR(__xludf.DUMMYFUNCTION("""COMPUTED_VALUE"""),"Active")</f>
        <v>Active</v>
      </c>
      <c r="E197" s="23">
        <f>IFERROR(__xludf.DUMMYFUNCTION("""COMPUTED_VALUE"""),45539.0)</f>
        <v>45539</v>
      </c>
      <c r="F197" s="24"/>
      <c r="G197" s="27">
        <f>IFERROR(__xludf.DUMMYFUNCTION("""COMPUTED_VALUE"""),25.06666666666667)</f>
        <v>25.06666667</v>
      </c>
      <c r="H197" s="23">
        <f>IFERROR(__xludf.DUMMYFUNCTION("""COMPUTED_VALUE"""),45539.0)</f>
        <v>45539</v>
      </c>
      <c r="I197" s="27">
        <f>IFERROR(__xludf.DUMMYFUNCTION("""COMPUTED_VALUE"""),0.0)</f>
        <v>0</v>
      </c>
      <c r="J197" s="29">
        <f>IFERROR(__xludf.DUMMYFUNCTION("""COMPUTED_VALUE"""),84.0)</f>
        <v>84</v>
      </c>
      <c r="K197" s="29">
        <f>IFERROR(__xludf.DUMMYFUNCTION("""COMPUTED_VALUE"""),21.0)</f>
        <v>21</v>
      </c>
      <c r="L197" s="31" t="str">
        <f>IFERROR(__xludf.DUMMYFUNCTION("""COMPUTED_VALUE"""),"Strategy")</f>
        <v>Strategy</v>
      </c>
      <c r="M197" s="31" t="str">
        <f>IFERROR(__xludf.DUMMYFUNCTION("""COMPUTED_VALUE"""),"Exclusive")</f>
        <v>Exclusive</v>
      </c>
    </row>
    <row r="198">
      <c r="A198" s="17" t="str">
        <f>IFERROR(__xludf.DUMMYFUNCTION("""COMPUTED_VALUE"""),"Starfield")</f>
        <v>Starfield</v>
      </c>
      <c r="B198" s="20" t="str">
        <f>IFERROR(__xludf.DUMMYFUNCTION("""COMPUTED_VALUE"""),"Xbox / PC")</f>
        <v>Xbox / PC</v>
      </c>
      <c r="C198" s="21" t="str">
        <f>IFERROR(__xludf.DUMMYFUNCTION("""COMPUTED_VALUE"""),"Yes")</f>
        <v>Yes</v>
      </c>
      <c r="D198" s="21" t="str">
        <f>IFERROR(__xludf.DUMMYFUNCTION("""COMPUTED_VALUE"""),"Active")</f>
        <v>Active</v>
      </c>
      <c r="E198" s="23">
        <f>IFERROR(__xludf.DUMMYFUNCTION("""COMPUTED_VALUE"""),45175.0)</f>
        <v>45175</v>
      </c>
      <c r="F198" s="24"/>
      <c r="G198" s="27">
        <f>IFERROR(__xludf.DUMMYFUNCTION("""COMPUTED_VALUE"""),37.0)</f>
        <v>37</v>
      </c>
      <c r="H198" s="23">
        <f>IFERROR(__xludf.DUMMYFUNCTION("""COMPUTED_VALUE"""),45175.0)</f>
        <v>45175</v>
      </c>
      <c r="I198" s="27">
        <f>IFERROR(__xludf.DUMMYFUNCTION("""COMPUTED_VALUE"""),0.0)</f>
        <v>0</v>
      </c>
      <c r="J198" s="29">
        <f>IFERROR(__xludf.DUMMYFUNCTION("""COMPUTED_VALUE"""),84.0)</f>
        <v>84</v>
      </c>
      <c r="K198" s="29">
        <f>IFERROR(__xludf.DUMMYFUNCTION("""COMPUTED_VALUE"""),20.0)</f>
        <v>20</v>
      </c>
      <c r="L198" s="31" t="str">
        <f>IFERROR(__xludf.DUMMYFUNCTION("""COMPUTED_VALUE"""),"RPG")</f>
        <v>RPG</v>
      </c>
      <c r="M198" s="31" t="str">
        <f>IFERROR(__xludf.DUMMYFUNCTION("""COMPUTED_VALUE"""),"Exclusive")</f>
        <v>Exclusive</v>
      </c>
    </row>
    <row r="199">
      <c r="A199" s="17" t="str">
        <f>IFERROR(__xludf.DUMMYFUNCTION("""COMPUTED_VALUE"""),"Battlefield 3: Premium Edition")</f>
        <v>Battlefield 3: Premium Edition</v>
      </c>
      <c r="B199" s="20" t="str">
        <f>IFERROR(__xludf.DUMMYFUNCTION("""COMPUTED_VALUE"""),"Xbox / PC")</f>
        <v>Xbox / PC</v>
      </c>
      <c r="C199" s="21"/>
      <c r="D199" s="21" t="str">
        <f>IFERROR(__xludf.DUMMYFUNCTION("""COMPUTED_VALUE"""),"Active")</f>
        <v>Active</v>
      </c>
      <c r="E199" s="23">
        <f>IFERROR(__xludf.DUMMYFUNCTION("""COMPUTED_VALUE"""),44145.0)</f>
        <v>44145</v>
      </c>
      <c r="F199" s="24"/>
      <c r="G199" s="27">
        <f>IFERROR(__xludf.DUMMYFUNCTION("""COMPUTED_VALUE"""),70.86666666666667)</f>
        <v>70.86666667</v>
      </c>
      <c r="H199" s="23">
        <f>IFERROR(__xludf.DUMMYFUNCTION("""COMPUTED_VALUE"""),40841.0)</f>
        <v>40841</v>
      </c>
      <c r="I199" s="27">
        <f>IFERROR(__xludf.DUMMYFUNCTION("""COMPUTED_VALUE"""),9.041666666666666)</f>
        <v>9.041666667</v>
      </c>
      <c r="J199" s="29">
        <f>IFERROR(__xludf.DUMMYFUNCTION("""COMPUTED_VALUE"""),84.0)</f>
        <v>84</v>
      </c>
      <c r="K199" s="29">
        <f>IFERROR(__xludf.DUMMYFUNCTION("""COMPUTED_VALUE"""),6.0)</f>
        <v>6</v>
      </c>
      <c r="L199" s="31" t="str">
        <f>IFERROR(__xludf.DUMMYFUNCTION("""COMPUTED_VALUE"""),"Shooter")</f>
        <v>Shooter</v>
      </c>
      <c r="M199" s="31"/>
    </row>
    <row r="200">
      <c r="A200" s="17" t="str">
        <f>IFERROR(__xludf.DUMMYFUNCTION("""COMPUTED_VALUE"""),"Crysis 2: Maximum Edition")</f>
        <v>Crysis 2: Maximum Edition</v>
      </c>
      <c r="B200" s="20" t="str">
        <f>IFERROR(__xludf.DUMMYFUNCTION("""COMPUTED_VALUE"""),"Xbox / PC")</f>
        <v>Xbox / PC</v>
      </c>
      <c r="C200" s="21"/>
      <c r="D200" s="21" t="str">
        <f>IFERROR(__xludf.DUMMYFUNCTION("""COMPUTED_VALUE"""),"Active")</f>
        <v>Active</v>
      </c>
      <c r="E200" s="23">
        <f>IFERROR(__xludf.DUMMYFUNCTION("""COMPUTED_VALUE"""),44145.0)</f>
        <v>44145</v>
      </c>
      <c r="F200" s="24"/>
      <c r="G200" s="27">
        <f>IFERROR(__xludf.DUMMYFUNCTION("""COMPUTED_VALUE"""),70.86666666666667)</f>
        <v>70.86666667</v>
      </c>
      <c r="H200" s="23">
        <f>IFERROR(__xludf.DUMMYFUNCTION("""COMPUTED_VALUE"""),40624.0)</f>
        <v>40624</v>
      </c>
      <c r="I200" s="27">
        <f>IFERROR(__xludf.DUMMYFUNCTION("""COMPUTED_VALUE"""),9.633333333333333)</f>
        <v>9.633333333</v>
      </c>
      <c r="J200" s="29">
        <f>IFERROR(__xludf.DUMMYFUNCTION("""COMPUTED_VALUE"""),84.0)</f>
        <v>84</v>
      </c>
      <c r="K200" s="29">
        <f>IFERROR(__xludf.DUMMYFUNCTION("""COMPUTED_VALUE"""),9.0)</f>
        <v>9</v>
      </c>
      <c r="L200" s="31" t="str">
        <f>IFERROR(__xludf.DUMMYFUNCTION("""COMPUTED_VALUE"""),"Shooter")</f>
        <v>Shooter</v>
      </c>
      <c r="M200" s="31"/>
    </row>
    <row r="201">
      <c r="A201" s="17" t="str">
        <f>IFERROR(__xludf.DUMMYFUNCTION("""COMPUTED_VALUE"""),"Deep Rock Galactic")</f>
        <v>Deep Rock Galactic</v>
      </c>
      <c r="B201" s="20" t="str">
        <f>IFERROR(__xludf.DUMMYFUNCTION("""COMPUTED_VALUE"""),"Xbox / PC")</f>
        <v>Xbox / PC</v>
      </c>
      <c r="C201" s="21" t="str">
        <f>IFERROR(__xludf.DUMMYFUNCTION("""COMPUTED_VALUE"""),"M+KB")</f>
        <v>M+KB</v>
      </c>
      <c r="D201" s="21" t="str">
        <f>IFERROR(__xludf.DUMMYFUNCTION("""COMPUTED_VALUE"""),"Active")</f>
        <v>Active</v>
      </c>
      <c r="E201" s="23">
        <f>IFERROR(__xludf.DUMMYFUNCTION("""COMPUTED_VALUE"""),44140.0)</f>
        <v>44140</v>
      </c>
      <c r="F201" s="24"/>
      <c r="G201" s="27">
        <f>IFERROR(__xludf.DUMMYFUNCTION("""COMPUTED_VALUE"""),71.03333333333333)</f>
        <v>71.03333333</v>
      </c>
      <c r="H201" s="23">
        <f>IFERROR(__xludf.DUMMYFUNCTION("""COMPUTED_VALUE"""),43964.0)</f>
        <v>43964</v>
      </c>
      <c r="I201" s="27">
        <f>IFERROR(__xludf.DUMMYFUNCTION("""COMPUTED_VALUE"""),0.4777777777777778)</f>
        <v>0.4777777778</v>
      </c>
      <c r="J201" s="29">
        <f>IFERROR(__xludf.DUMMYFUNCTION("""COMPUTED_VALUE"""),84.0)</f>
        <v>84</v>
      </c>
      <c r="K201" s="29">
        <f>IFERROR(__xludf.DUMMYFUNCTION("""COMPUTED_VALUE"""),119.0)</f>
        <v>119</v>
      </c>
      <c r="L201" s="31" t="str">
        <f>IFERROR(__xludf.DUMMYFUNCTION("""COMPUTED_VALUE"""),"Shooter")</f>
        <v>Shooter</v>
      </c>
      <c r="M201" s="31"/>
    </row>
    <row r="202">
      <c r="A202" s="17" t="str">
        <f>IFERROR(__xludf.DUMMYFUNCTION("""COMPUTED_VALUE"""),"Day of the Tentacle Remastered")</f>
        <v>Day of the Tentacle Remastered</v>
      </c>
      <c r="B202" s="20" t="str">
        <f>IFERROR(__xludf.DUMMYFUNCTION("""COMPUTED_VALUE"""),"Xbox / PC")</f>
        <v>Xbox / PC</v>
      </c>
      <c r="C202" s="21"/>
      <c r="D202" s="21" t="str">
        <f>IFERROR(__xludf.DUMMYFUNCTION("""COMPUTED_VALUE"""),"Active")</f>
        <v>Active</v>
      </c>
      <c r="E202" s="23">
        <f>IFERROR(__xludf.DUMMYFUNCTION("""COMPUTED_VALUE"""),44133.0)</f>
        <v>44133</v>
      </c>
      <c r="F202" s="24"/>
      <c r="G202" s="27">
        <f>IFERROR(__xludf.DUMMYFUNCTION("""COMPUTED_VALUE"""),71.23333333333333)</f>
        <v>71.23333333</v>
      </c>
      <c r="H202" s="23">
        <f>IFERROR(__xludf.DUMMYFUNCTION("""COMPUTED_VALUE"""),42451.0)</f>
        <v>42451</v>
      </c>
      <c r="I202" s="27">
        <f>IFERROR(__xludf.DUMMYFUNCTION("""COMPUTED_VALUE"""),4.602777777777778)</f>
        <v>4.602777778</v>
      </c>
      <c r="J202" s="29">
        <f>IFERROR(__xludf.DUMMYFUNCTION("""COMPUTED_VALUE"""),84.0)</f>
        <v>84</v>
      </c>
      <c r="K202" s="29">
        <f>IFERROR(__xludf.DUMMYFUNCTION("""COMPUTED_VALUE"""),4.5)</f>
        <v>4.5</v>
      </c>
      <c r="L202" s="31" t="str">
        <f>IFERROR(__xludf.DUMMYFUNCTION("""COMPUTED_VALUE"""),"Adventure")</f>
        <v>Adventure</v>
      </c>
      <c r="M202" s="31"/>
    </row>
    <row r="203">
      <c r="A203" s="17" t="str">
        <f>IFERROR(__xludf.DUMMYFUNCTION("""COMPUTED_VALUE"""),"Age of Empires II: Definitive Edition")</f>
        <v>Age of Empires II: Definitive Edition</v>
      </c>
      <c r="B203" s="20" t="str">
        <f>IFERROR(__xludf.DUMMYFUNCTION("""COMPUTED_VALUE"""),"Xbox / PC")</f>
        <v>Xbox / PC</v>
      </c>
      <c r="C203" s="21"/>
      <c r="D203" s="21" t="str">
        <f>IFERROR(__xludf.DUMMYFUNCTION("""COMPUTED_VALUE"""),"Active")</f>
        <v>Active</v>
      </c>
      <c r="E203" s="23">
        <f>IFERROR(__xludf.DUMMYFUNCTION("""COMPUTED_VALUE"""),43783.0)</f>
        <v>43783</v>
      </c>
      <c r="F203" s="24"/>
      <c r="G203" s="27">
        <f>IFERROR(__xludf.DUMMYFUNCTION("""COMPUTED_VALUE"""),82.73333333333333)</f>
        <v>82.73333333</v>
      </c>
      <c r="H203" s="23">
        <f>IFERROR(__xludf.DUMMYFUNCTION("""COMPUTED_VALUE"""),43783.0)</f>
        <v>43783</v>
      </c>
      <c r="I203" s="27">
        <f>IFERROR(__xludf.DUMMYFUNCTION("""COMPUTED_VALUE"""),0.0)</f>
        <v>0</v>
      </c>
      <c r="J203" s="29">
        <f>IFERROR(__xludf.DUMMYFUNCTION("""COMPUTED_VALUE"""),84.0)</f>
        <v>84</v>
      </c>
      <c r="K203" s="29">
        <f>IFERROR(__xludf.DUMMYFUNCTION("""COMPUTED_VALUE"""),35.5)</f>
        <v>35.5</v>
      </c>
      <c r="L203" s="31" t="str">
        <f>IFERROR(__xludf.DUMMYFUNCTION("""COMPUTED_VALUE"""),"Strategy")</f>
        <v>Strategy</v>
      </c>
      <c r="M203" s="31"/>
    </row>
    <row r="204">
      <c r="A204" s="17" t="str">
        <f>IFERROR(__xludf.DUMMYFUNCTION("""COMPUTED_VALUE"""),"Fallout: New Vegas - Ultimate Edition")</f>
        <v>Fallout: New Vegas - Ultimate Edition</v>
      </c>
      <c r="B204" s="20" t="str">
        <f>IFERROR(__xludf.DUMMYFUNCTION("""COMPUTED_VALUE"""),"Xbox / PC")</f>
        <v>Xbox / PC</v>
      </c>
      <c r="C204" s="21" t="str">
        <f>IFERROR(__xludf.DUMMYFUNCTION("""COMPUTED_VALUE"""),"Yes")</f>
        <v>Yes</v>
      </c>
      <c r="D204" s="21" t="str">
        <f>IFERROR(__xludf.DUMMYFUNCTION("""COMPUTED_VALUE"""),"Active")</f>
        <v>Active</v>
      </c>
      <c r="E204" s="23">
        <f>IFERROR(__xludf.DUMMYFUNCTION("""COMPUTED_VALUE"""),43755.0)</f>
        <v>43755</v>
      </c>
      <c r="F204" s="24"/>
      <c r="G204" s="27">
        <f>IFERROR(__xludf.DUMMYFUNCTION("""COMPUTED_VALUE"""),83.63333333333333)</f>
        <v>83.63333333</v>
      </c>
      <c r="H204" s="23">
        <f>IFERROR(__xludf.DUMMYFUNCTION("""COMPUTED_VALUE"""),40470.0)</f>
        <v>40470</v>
      </c>
      <c r="I204" s="27">
        <f>IFERROR(__xludf.DUMMYFUNCTION("""COMPUTED_VALUE"""),8.994444444444444)</f>
        <v>8.994444444</v>
      </c>
      <c r="J204" s="29">
        <f>IFERROR(__xludf.DUMMYFUNCTION("""COMPUTED_VALUE"""),84.0)</f>
        <v>84</v>
      </c>
      <c r="K204" s="29">
        <f>IFERROR(__xludf.DUMMYFUNCTION("""COMPUTED_VALUE"""),27.5)</f>
        <v>27.5</v>
      </c>
      <c r="L204" s="31" t="str">
        <f>IFERROR(__xludf.DUMMYFUNCTION("""COMPUTED_VALUE"""),"Shooter")</f>
        <v>Shooter</v>
      </c>
      <c r="M204" s="31" t="str">
        <f>IFERROR(__xludf.DUMMYFUNCTION("""COMPUTED_VALUE"""),"FPS Boost")</f>
        <v>FPS Boost</v>
      </c>
    </row>
    <row r="205">
      <c r="A205" s="17" t="str">
        <f>IFERROR(__xludf.DUMMYFUNCTION("""COMPUTED_VALUE"""),"Rare Replay")</f>
        <v>Rare Replay</v>
      </c>
      <c r="B205" s="20" t="str">
        <f>IFERROR(__xludf.DUMMYFUNCTION("""COMPUTED_VALUE"""),"Xbox")</f>
        <v>Xbox</v>
      </c>
      <c r="C205" s="21"/>
      <c r="D205" s="21" t="str">
        <f>IFERROR(__xludf.DUMMYFUNCTION("""COMPUTED_VALUE"""),"Active")</f>
        <v>Active</v>
      </c>
      <c r="E205" s="23">
        <f>IFERROR(__xludf.DUMMYFUNCTION("""COMPUTED_VALUE"""),43636.0)</f>
        <v>43636</v>
      </c>
      <c r="F205" s="24"/>
      <c r="G205" s="27">
        <f>IFERROR(__xludf.DUMMYFUNCTION("""COMPUTED_VALUE"""),87.53333333333333)</f>
        <v>87.53333333</v>
      </c>
      <c r="H205" s="23">
        <f>IFERROR(__xludf.DUMMYFUNCTION("""COMPUTED_VALUE"""),42220.0)</f>
        <v>42220</v>
      </c>
      <c r="I205" s="27">
        <f>IFERROR(__xludf.DUMMYFUNCTION("""COMPUTED_VALUE"""),3.8777777777777778)</f>
        <v>3.877777778</v>
      </c>
      <c r="J205" s="29">
        <f>IFERROR(__xludf.DUMMYFUNCTION("""COMPUTED_VALUE"""),84.0)</f>
        <v>84</v>
      </c>
      <c r="K205" s="29">
        <f>IFERROR(__xludf.DUMMYFUNCTION("""COMPUTED_VALUE"""),44.0)</f>
        <v>44</v>
      </c>
      <c r="L205" s="31" t="str">
        <f>IFERROR(__xludf.DUMMYFUNCTION("""COMPUTED_VALUE"""),"Compilation")</f>
        <v>Compilation</v>
      </c>
      <c r="M205" s="31"/>
    </row>
    <row r="206">
      <c r="A206" s="17" t="str">
        <f>IFERROR(__xludf.DUMMYFUNCTION("""COMPUTED_VALUE"""),"Moonlighter")</f>
        <v>Moonlighter</v>
      </c>
      <c r="B206" s="20" t="str">
        <f>IFERROR(__xludf.DUMMYFUNCTION("""COMPUTED_VALUE"""),"Xbox / PC")</f>
        <v>Xbox / PC</v>
      </c>
      <c r="C206" s="21" t="str">
        <f>IFERROR(__xludf.DUMMYFUNCTION("""COMPUTED_VALUE"""),"Yes")</f>
        <v>Yes</v>
      </c>
      <c r="D206" s="21" t="str">
        <f>IFERROR(__xludf.DUMMYFUNCTION("""COMPUTED_VALUE"""),"Active")</f>
        <v>Active</v>
      </c>
      <c r="E206" s="23">
        <f>IFERROR(__xludf.DUMMYFUNCTION("""COMPUTED_VALUE"""),43625.0)</f>
        <v>43625</v>
      </c>
      <c r="F206" s="24"/>
      <c r="G206" s="27">
        <f>IFERROR(__xludf.DUMMYFUNCTION("""COMPUTED_VALUE"""),87.9)</f>
        <v>87.9</v>
      </c>
      <c r="H206" s="23">
        <f>IFERROR(__xludf.DUMMYFUNCTION("""COMPUTED_VALUE"""),43249.0)</f>
        <v>43249</v>
      </c>
      <c r="I206" s="27">
        <f>IFERROR(__xludf.DUMMYFUNCTION("""COMPUTED_VALUE"""),1.0277777777777777)</f>
        <v>1.027777778</v>
      </c>
      <c r="J206" s="29">
        <f>IFERROR(__xludf.DUMMYFUNCTION("""COMPUTED_VALUE"""),84.0)</f>
        <v>84</v>
      </c>
      <c r="K206" s="29">
        <f>IFERROR(__xludf.DUMMYFUNCTION("""COMPUTED_VALUE"""),14.0)</f>
        <v>14</v>
      </c>
      <c r="L206" s="31" t="str">
        <f>IFERROR(__xludf.DUMMYFUNCTION("""COMPUTED_VALUE"""),"RPG")</f>
        <v>RPG</v>
      </c>
      <c r="M206" s="31"/>
    </row>
    <row r="207">
      <c r="A207" s="17" t="str">
        <f>IFERROR(__xludf.DUMMYFUNCTION("""COMPUTED_VALUE"""),"Gears of War 4")</f>
        <v>Gears of War 4</v>
      </c>
      <c r="B207" s="20" t="str">
        <f>IFERROR(__xludf.DUMMYFUNCTION("""COMPUTED_VALUE"""),"Xbox / PC")</f>
        <v>Xbox / PC</v>
      </c>
      <c r="C207" s="21" t="str">
        <f>IFERROR(__xludf.DUMMYFUNCTION("""COMPUTED_VALUE"""),"Yes")</f>
        <v>Yes</v>
      </c>
      <c r="D207" s="21" t="str">
        <f>IFERROR(__xludf.DUMMYFUNCTION("""COMPUTED_VALUE"""),"Active")</f>
        <v>Active</v>
      </c>
      <c r="E207" s="23">
        <f>IFERROR(__xludf.DUMMYFUNCTION("""COMPUTED_VALUE"""),43070.0)</f>
        <v>43070</v>
      </c>
      <c r="F207" s="24"/>
      <c r="G207" s="27">
        <f>IFERROR(__xludf.DUMMYFUNCTION("""COMPUTED_VALUE"""),106.16666666666666)</f>
        <v>106.1666667</v>
      </c>
      <c r="H207" s="23">
        <f>IFERROR(__xludf.DUMMYFUNCTION("""COMPUTED_VALUE"""),42650.0)</f>
        <v>42650</v>
      </c>
      <c r="I207" s="27">
        <f>IFERROR(__xludf.DUMMYFUNCTION("""COMPUTED_VALUE"""),1.15)</f>
        <v>1.15</v>
      </c>
      <c r="J207" s="29">
        <f>IFERROR(__xludf.DUMMYFUNCTION("""COMPUTED_VALUE"""),84.0)</f>
        <v>84</v>
      </c>
      <c r="K207" s="29">
        <f>IFERROR(__xludf.DUMMYFUNCTION("""COMPUTED_VALUE"""),9.0)</f>
        <v>9</v>
      </c>
      <c r="L207" s="31" t="str">
        <f>IFERROR(__xludf.DUMMYFUNCTION("""COMPUTED_VALUE"""),"Shooter")</f>
        <v>Shooter</v>
      </c>
      <c r="M207" s="31" t="str">
        <f>IFERROR(__xludf.DUMMYFUNCTION("""COMPUTED_VALUE"""),"FPS Boost")</f>
        <v>FPS Boost</v>
      </c>
    </row>
    <row r="208">
      <c r="A208" s="17" t="str">
        <f>IFERROR(__xludf.DUMMYFUNCTION("""COMPUTED_VALUE"""),"Halo 5: Guardians")</f>
        <v>Halo 5: Guardians</v>
      </c>
      <c r="B208" s="20" t="str">
        <f>IFERROR(__xludf.DUMMYFUNCTION("""COMPUTED_VALUE"""),"Xbox")</f>
        <v>Xbox</v>
      </c>
      <c r="C208" s="21" t="str">
        <f>IFERROR(__xludf.DUMMYFUNCTION("""COMPUTED_VALUE"""),"Yes")</f>
        <v>Yes</v>
      </c>
      <c r="D208" s="21" t="str">
        <f>IFERROR(__xludf.DUMMYFUNCTION("""COMPUTED_VALUE"""),"Active")</f>
        <v>Active</v>
      </c>
      <c r="E208" s="23">
        <f>IFERROR(__xludf.DUMMYFUNCTION("""COMPUTED_VALUE"""),42887.0)</f>
        <v>42887</v>
      </c>
      <c r="F208" s="24"/>
      <c r="G208" s="27">
        <f>IFERROR(__xludf.DUMMYFUNCTION("""COMPUTED_VALUE"""),112.16666666666666)</f>
        <v>112.1666667</v>
      </c>
      <c r="H208" s="23">
        <f>IFERROR(__xludf.DUMMYFUNCTION("""COMPUTED_VALUE"""),42304.0)</f>
        <v>42304</v>
      </c>
      <c r="I208" s="27">
        <f>IFERROR(__xludf.DUMMYFUNCTION("""COMPUTED_VALUE"""),1.5944444444444446)</f>
        <v>1.594444444</v>
      </c>
      <c r="J208" s="29">
        <f>IFERROR(__xludf.DUMMYFUNCTION("""COMPUTED_VALUE"""),84.0)</f>
        <v>84</v>
      </c>
      <c r="K208" s="29">
        <f>IFERROR(__xludf.DUMMYFUNCTION("""COMPUTED_VALUE"""),8.0)</f>
        <v>8</v>
      </c>
      <c r="L208" s="31" t="str">
        <f>IFERROR(__xludf.DUMMYFUNCTION("""COMPUTED_VALUE"""),"Shooter")</f>
        <v>Shooter</v>
      </c>
      <c r="M208" s="31"/>
    </row>
    <row r="209">
      <c r="A209" s="17" t="str">
        <f>IFERROR(__xludf.DUMMYFUNCTION("""COMPUTED_VALUE"""),"Terraria")</f>
        <v>Terraria</v>
      </c>
      <c r="B209" s="20" t="str">
        <f>IFERROR(__xludf.DUMMYFUNCTION("""COMPUTED_VALUE"""),"Xbox")</f>
        <v>Xbox</v>
      </c>
      <c r="C209" s="21" t="str">
        <f>IFERROR(__xludf.DUMMYFUNCTION("""COMPUTED_VALUE"""),"M+KB")</f>
        <v>M+KB</v>
      </c>
      <c r="D209" s="21" t="str">
        <f>IFERROR(__xludf.DUMMYFUNCTION("""COMPUTED_VALUE"""),"Active")</f>
        <v>Active</v>
      </c>
      <c r="E209" s="23">
        <f>IFERROR(__xludf.DUMMYFUNCTION("""COMPUTED_VALUE"""),42887.0)</f>
        <v>42887</v>
      </c>
      <c r="F209" s="24"/>
      <c r="G209" s="27">
        <f>IFERROR(__xludf.DUMMYFUNCTION("""COMPUTED_VALUE"""),112.16666666666666)</f>
        <v>112.1666667</v>
      </c>
      <c r="H209" s="23">
        <f>IFERROR(__xludf.DUMMYFUNCTION("""COMPUTED_VALUE"""),40679.0)</f>
        <v>40679</v>
      </c>
      <c r="I209" s="27">
        <f>IFERROR(__xludf.DUMMYFUNCTION("""COMPUTED_VALUE"""),6.041666666666667)</f>
        <v>6.041666667</v>
      </c>
      <c r="J209" s="29">
        <f>IFERROR(__xludf.DUMMYFUNCTION("""COMPUTED_VALUE"""),84.0)</f>
        <v>84</v>
      </c>
      <c r="K209" s="29">
        <f>IFERROR(__xludf.DUMMYFUNCTION("""COMPUTED_VALUE"""),94.0)</f>
        <v>94</v>
      </c>
      <c r="L209" s="31" t="str">
        <f>IFERROR(__xludf.DUMMYFUNCTION("""COMPUTED_VALUE"""),"Platformer")</f>
        <v>Platformer</v>
      </c>
      <c r="M209" s="31"/>
    </row>
    <row r="210">
      <c r="A210" s="17" t="str">
        <f>IFERROR(__xludf.DUMMYFUNCTION("""COMPUTED_VALUE"""),"Viva Piñata")</f>
        <v>Viva Piñata</v>
      </c>
      <c r="B210" s="20" t="str">
        <f>IFERROR(__xludf.DUMMYFUNCTION("""COMPUTED_VALUE"""),"Xbox")</f>
        <v>Xbox</v>
      </c>
      <c r="C210" s="21" t="str">
        <f>IFERROR(__xludf.DUMMYFUNCTION("""COMPUTED_VALUE"""),"Touch Controls")</f>
        <v>Touch Controls</v>
      </c>
      <c r="D210" s="21" t="str">
        <f>IFERROR(__xludf.DUMMYFUNCTION("""COMPUTED_VALUE"""),"Active")</f>
        <v>Active</v>
      </c>
      <c r="E210" s="23">
        <f>IFERROR(__xludf.DUMMYFUNCTION("""COMPUTED_VALUE"""),42887.0)</f>
        <v>42887</v>
      </c>
      <c r="F210" s="24"/>
      <c r="G210" s="27">
        <f>IFERROR(__xludf.DUMMYFUNCTION("""COMPUTED_VALUE"""),112.16666666666666)</f>
        <v>112.1666667</v>
      </c>
      <c r="H210" s="23">
        <f>IFERROR(__xludf.DUMMYFUNCTION("""COMPUTED_VALUE"""),39030.0)</f>
        <v>39030</v>
      </c>
      <c r="I210" s="27">
        <f>IFERROR(__xludf.DUMMYFUNCTION("""COMPUTED_VALUE"""),10.561111111111112)</f>
        <v>10.56111111</v>
      </c>
      <c r="J210" s="29">
        <f>IFERROR(__xludf.DUMMYFUNCTION("""COMPUTED_VALUE"""),84.0)</f>
        <v>84</v>
      </c>
      <c r="K210" s="29">
        <f>IFERROR(__xludf.DUMMYFUNCTION("""COMPUTED_VALUE"""),19.0)</f>
        <v>19</v>
      </c>
      <c r="L210" s="31" t="str">
        <f>IFERROR(__xludf.DUMMYFUNCTION("""COMPUTED_VALUE"""),"Simulation")</f>
        <v>Simulation</v>
      </c>
      <c r="M210" s="31"/>
    </row>
    <row r="211">
      <c r="A211" s="17" t="str">
        <f>IFERROR(__xludf.DUMMYFUNCTION("""COMPUTED_VALUE"""),"Monaco: What's Yours is Mine")</f>
        <v>Monaco: What's Yours is Mine</v>
      </c>
      <c r="B211" s="20" t="str">
        <f>IFERROR(__xludf.DUMMYFUNCTION("""COMPUTED_VALUE"""),"XB360/OG Xbox")</f>
        <v>XB360/OG Xbox</v>
      </c>
      <c r="C211" s="21"/>
      <c r="D211" s="21" t="str">
        <f>IFERROR(__xludf.DUMMYFUNCTION("""COMPUTED_VALUE"""),"GwG Permanent")</f>
        <v>GwG Permanent</v>
      </c>
      <c r="E211" s="23">
        <f>IFERROR(__xludf.DUMMYFUNCTION("""COMPUTED_VALUE"""),44788.0)</f>
        <v>44788</v>
      </c>
      <c r="F211" s="24">
        <f>IFERROR(__xludf.DUMMYFUNCTION("""COMPUTED_VALUE"""),44804.0)</f>
        <v>44804</v>
      </c>
      <c r="G211" s="27">
        <f>IFERROR(__xludf.DUMMYFUNCTION("""COMPUTED_VALUE"""),0.5)</f>
        <v>0.5</v>
      </c>
      <c r="H211" s="23">
        <f>IFERROR(__xludf.DUMMYFUNCTION("""COMPUTED_VALUE"""),41388.0)</f>
        <v>41388</v>
      </c>
      <c r="I211" s="27">
        <f>IFERROR(__xludf.DUMMYFUNCTION("""COMPUTED_VALUE"""),9.308333333333334)</f>
        <v>9.308333333</v>
      </c>
      <c r="J211" s="29">
        <f>IFERROR(__xludf.DUMMYFUNCTION("""COMPUTED_VALUE"""),84.0)</f>
        <v>84</v>
      </c>
      <c r="K211" s="29">
        <f>IFERROR(__xludf.DUMMYFUNCTION("""COMPUTED_VALUE"""),8.0)</f>
        <v>8</v>
      </c>
      <c r="L211" s="31" t="str">
        <f>IFERROR(__xludf.DUMMYFUNCTION("""COMPUTED_VALUE"""),"Stealth")</f>
        <v>Stealth</v>
      </c>
      <c r="M211" s="31"/>
    </row>
    <row r="212">
      <c r="A212" s="17" t="str">
        <f>IFERROR(__xludf.DUMMYFUNCTION("""COMPUTED_VALUE"""),"Radiant Silvergun")</f>
        <v>Radiant Silvergun</v>
      </c>
      <c r="B212" s="20" t="str">
        <f>IFERROR(__xludf.DUMMYFUNCTION("""COMPUTED_VALUE"""),"XB360/OG Xbox")</f>
        <v>XB360/OG Xbox</v>
      </c>
      <c r="C212" s="21"/>
      <c r="D212" s="21" t="str">
        <f>IFERROR(__xludf.DUMMYFUNCTION("""COMPUTED_VALUE"""),"GwG Permanent")</f>
        <v>GwG Permanent</v>
      </c>
      <c r="E212" s="23">
        <f>IFERROR(__xludf.DUMMYFUNCTION("""COMPUTED_VALUE"""),44562.0)</f>
        <v>44562</v>
      </c>
      <c r="F212" s="24">
        <f>IFERROR(__xludf.DUMMYFUNCTION("""COMPUTED_VALUE"""),44576.0)</f>
        <v>44576</v>
      </c>
      <c r="G212" s="27">
        <f>IFERROR(__xludf.DUMMYFUNCTION("""COMPUTED_VALUE"""),0.4666666666666667)</f>
        <v>0.4666666667</v>
      </c>
      <c r="H212" s="23">
        <f>IFERROR(__xludf.DUMMYFUNCTION("""COMPUTED_VALUE"""),41720.0)</f>
        <v>41720</v>
      </c>
      <c r="I212" s="27">
        <f>IFERROR(__xludf.DUMMYFUNCTION("""COMPUTED_VALUE"""),7.775)</f>
        <v>7.775</v>
      </c>
      <c r="J212" s="29">
        <f>IFERROR(__xludf.DUMMYFUNCTION("""COMPUTED_VALUE"""),84.0)</f>
        <v>84</v>
      </c>
      <c r="K212" s="29">
        <f>IFERROR(__xludf.DUMMYFUNCTION("""COMPUTED_VALUE"""),3.0)</f>
        <v>3</v>
      </c>
      <c r="L212" s="31" t="str">
        <f>IFERROR(__xludf.DUMMYFUNCTION("""COMPUTED_VALUE"""),"Shooter")</f>
        <v>Shooter</v>
      </c>
      <c r="M212" s="31"/>
    </row>
    <row r="213">
      <c r="A213" s="17" t="str">
        <f>IFERROR(__xludf.DUMMYFUNCTION("""COMPUTED_VALUE"""),"Garou: Mark of the Wolves")</f>
        <v>Garou: Mark of the Wolves</v>
      </c>
      <c r="B213" s="20" t="str">
        <f>IFERROR(__xludf.DUMMYFUNCTION("""COMPUTED_VALUE"""),"XB360/OG Xbox")</f>
        <v>XB360/OG Xbox</v>
      </c>
      <c r="C213" s="21"/>
      <c r="D213" s="21" t="str">
        <f>IFERROR(__xludf.DUMMYFUNCTION("""COMPUTED_VALUE"""),"GwG Permanent")</f>
        <v>GwG Permanent</v>
      </c>
      <c r="E213" s="23">
        <f>IFERROR(__xludf.DUMMYFUNCTION("""COMPUTED_VALUE"""),44424.0)</f>
        <v>44424</v>
      </c>
      <c r="F213" s="24">
        <f>IFERROR(__xludf.DUMMYFUNCTION("""COMPUTED_VALUE"""),44439.0)</f>
        <v>44439</v>
      </c>
      <c r="G213" s="27">
        <f>IFERROR(__xludf.DUMMYFUNCTION("""COMPUTED_VALUE"""),0.4666666666666667)</f>
        <v>0.4666666667</v>
      </c>
      <c r="H213" s="23">
        <f>IFERROR(__xludf.DUMMYFUNCTION("""COMPUTED_VALUE"""),42130.0)</f>
        <v>42130</v>
      </c>
      <c r="I213" s="27">
        <f>IFERROR(__xludf.DUMMYFUNCTION("""COMPUTED_VALUE"""),6.277777777777778)</f>
        <v>6.277777778</v>
      </c>
      <c r="J213" s="29">
        <f>IFERROR(__xludf.DUMMYFUNCTION("""COMPUTED_VALUE"""),84.0)</f>
        <v>84</v>
      </c>
      <c r="K213" s="29">
        <f>IFERROR(__xludf.DUMMYFUNCTION("""COMPUTED_VALUE"""),1.0)</f>
        <v>1</v>
      </c>
      <c r="L213" s="31" t="str">
        <f>IFERROR(__xludf.DUMMYFUNCTION("""COMPUTED_VALUE"""),"Fighting")</f>
        <v>Fighting</v>
      </c>
      <c r="M213" s="31"/>
    </row>
    <row r="214">
      <c r="A214" s="17" t="str">
        <f>IFERROR(__xludf.DUMMYFUNCTION("""COMPUTED_VALUE"""),"MX Unleashed")</f>
        <v>MX Unleashed</v>
      </c>
      <c r="B214" s="20" t="str">
        <f>IFERROR(__xludf.DUMMYFUNCTION("""COMPUTED_VALUE"""),"XB360/OG Xbox")</f>
        <v>XB360/OG Xbox</v>
      </c>
      <c r="C214" s="21"/>
      <c r="D214" s="21" t="str">
        <f>IFERROR(__xludf.DUMMYFUNCTION("""COMPUTED_VALUE"""),"GwG Permanent")</f>
        <v>GwG Permanent</v>
      </c>
      <c r="E214" s="23">
        <f>IFERROR(__xludf.DUMMYFUNCTION("""COMPUTED_VALUE"""),44044.0)</f>
        <v>44044</v>
      </c>
      <c r="F214" s="24">
        <f>IFERROR(__xludf.DUMMYFUNCTION("""COMPUTED_VALUE"""),44058.0)</f>
        <v>44058</v>
      </c>
      <c r="G214" s="27">
        <f>IFERROR(__xludf.DUMMYFUNCTION("""COMPUTED_VALUE"""),0.4666666666666667)</f>
        <v>0.4666666667</v>
      </c>
      <c r="H214" s="23">
        <f>IFERROR(__xludf.DUMMYFUNCTION("""COMPUTED_VALUE"""),38034.0)</f>
        <v>38034</v>
      </c>
      <c r="I214" s="27">
        <f>IFERROR(__xludf.DUMMYFUNCTION("""COMPUTED_VALUE"""),16.455555555555556)</f>
        <v>16.45555556</v>
      </c>
      <c r="J214" s="29">
        <f>IFERROR(__xludf.DUMMYFUNCTION("""COMPUTED_VALUE"""),84.0)</f>
        <v>84</v>
      </c>
      <c r="K214" s="29">
        <f>IFERROR(__xludf.DUMMYFUNCTION("""COMPUTED_VALUE"""),10.0)</f>
        <v>10</v>
      </c>
      <c r="L214" s="31" t="str">
        <f>IFERROR(__xludf.DUMMYFUNCTION("""COMPUTED_VALUE"""),"Racing")</f>
        <v>Racing</v>
      </c>
      <c r="M214" s="31" t="str">
        <f>IFERROR(__xludf.DUMMYFUNCTION("""COMPUTED_VALUE"""),"Enhanced")</f>
        <v>Enhanced</v>
      </c>
    </row>
    <row r="215">
      <c r="A215" s="17" t="str">
        <f>IFERROR(__xludf.DUMMYFUNCTION("""COMPUTED_VALUE"""),"Lara Croft and the Guardian of Light")</f>
        <v>Lara Croft and the Guardian of Light</v>
      </c>
      <c r="B215" s="20" t="str">
        <f>IFERROR(__xludf.DUMMYFUNCTION("""COMPUTED_VALUE"""),"XB360/OG Xbox")</f>
        <v>XB360/OG Xbox</v>
      </c>
      <c r="C215" s="21"/>
      <c r="D215" s="21" t="str">
        <f>IFERROR(__xludf.DUMMYFUNCTION("""COMPUTED_VALUE"""),"GwG Permanent")</f>
        <v>GwG Permanent</v>
      </c>
      <c r="E215" s="23">
        <f>IFERROR(__xludf.DUMMYFUNCTION("""COMPUTED_VALUE"""),43466.0)</f>
        <v>43466</v>
      </c>
      <c r="F215" s="24">
        <f>IFERROR(__xludf.DUMMYFUNCTION("""COMPUTED_VALUE"""),43480.0)</f>
        <v>43480</v>
      </c>
      <c r="G215" s="27">
        <f>IFERROR(__xludf.DUMMYFUNCTION("""COMPUTED_VALUE"""),0.4666666666666667)</f>
        <v>0.4666666667</v>
      </c>
      <c r="H215" s="23">
        <f>IFERROR(__xludf.DUMMYFUNCTION("""COMPUTED_VALUE"""),40269.0)</f>
        <v>40269</v>
      </c>
      <c r="I215" s="27">
        <f>IFERROR(__xludf.DUMMYFUNCTION("""COMPUTED_VALUE"""),8.75)</f>
        <v>8.75</v>
      </c>
      <c r="J215" s="29">
        <f>IFERROR(__xludf.DUMMYFUNCTION("""COMPUTED_VALUE"""),84.0)</f>
        <v>84</v>
      </c>
      <c r="K215" s="29">
        <f>IFERROR(__xludf.DUMMYFUNCTION("""COMPUTED_VALUE"""),6.0)</f>
        <v>6</v>
      </c>
      <c r="L215" s="31" t="str">
        <f>IFERROR(__xludf.DUMMYFUNCTION("""COMPUTED_VALUE"""),"Action-Adventure")</f>
        <v>Action-Adventure</v>
      </c>
      <c r="M215" s="31"/>
    </row>
    <row r="216">
      <c r="A216" s="17" t="str">
        <f>IFERROR(__xludf.DUMMYFUNCTION("""COMPUTED_VALUE"""),"Child of Eden")</f>
        <v>Child of Eden</v>
      </c>
      <c r="B216" s="20" t="str">
        <f>IFERROR(__xludf.DUMMYFUNCTION("""COMPUTED_VALUE"""),"XB360/OG Xbox")</f>
        <v>XB360/OG Xbox</v>
      </c>
      <c r="C216" s="21"/>
      <c r="D216" s="21" t="str">
        <f>IFERROR(__xludf.DUMMYFUNCTION("""COMPUTED_VALUE"""),"GwG Permanent")</f>
        <v>GwG Permanent</v>
      </c>
      <c r="E216" s="23">
        <f>IFERROR(__xludf.DUMMYFUNCTION("""COMPUTED_VALUE"""),43070.0)</f>
        <v>43070</v>
      </c>
      <c r="F216" s="24">
        <f>IFERROR(__xludf.DUMMYFUNCTION("""COMPUTED_VALUE"""),43084.0)</f>
        <v>43084</v>
      </c>
      <c r="G216" s="27">
        <f>IFERROR(__xludf.DUMMYFUNCTION("""COMPUTED_VALUE"""),0.4666666666666667)</f>
        <v>0.4666666667</v>
      </c>
      <c r="H216" s="23">
        <f>IFERROR(__xludf.DUMMYFUNCTION("""COMPUTED_VALUE"""),40708.0)</f>
        <v>40708</v>
      </c>
      <c r="I216" s="27">
        <f>IFERROR(__xludf.DUMMYFUNCTION("""COMPUTED_VALUE"""),6.463888888888889)</f>
        <v>6.463888889</v>
      </c>
      <c r="J216" s="29">
        <f>IFERROR(__xludf.DUMMYFUNCTION("""COMPUTED_VALUE"""),84.0)</f>
        <v>84</v>
      </c>
      <c r="K216" s="29">
        <f>IFERROR(__xludf.DUMMYFUNCTION("""COMPUTED_VALUE"""),3.0)</f>
        <v>3</v>
      </c>
      <c r="L216" s="31" t="str">
        <f>IFERROR(__xludf.DUMMYFUNCTION("""COMPUTED_VALUE"""),"Shooter")</f>
        <v>Shooter</v>
      </c>
      <c r="M216" s="31"/>
    </row>
    <row r="217">
      <c r="A217" s="17" t="str">
        <f>IFERROR(__xludf.DUMMYFUNCTION("""COMPUTED_VALUE"""),"DiRT 3")</f>
        <v>DiRT 3</v>
      </c>
      <c r="B217" s="20" t="str">
        <f>IFERROR(__xludf.DUMMYFUNCTION("""COMPUTED_VALUE"""),"XB360/OG Xbox")</f>
        <v>XB360/OG Xbox</v>
      </c>
      <c r="C217" s="21"/>
      <c r="D217" s="21" t="str">
        <f>IFERROR(__xludf.DUMMYFUNCTION("""COMPUTED_VALUE"""),"GwG Permanent")</f>
        <v>GwG Permanent</v>
      </c>
      <c r="E217" s="23">
        <f>IFERROR(__xludf.DUMMYFUNCTION("""COMPUTED_VALUE"""),42309.0)</f>
        <v>42309</v>
      </c>
      <c r="F217" s="24">
        <f>IFERROR(__xludf.DUMMYFUNCTION("""COMPUTED_VALUE"""),42323.0)</f>
        <v>42323</v>
      </c>
      <c r="G217" s="27">
        <f>IFERROR(__xludf.DUMMYFUNCTION("""COMPUTED_VALUE"""),0.4666666666666667)</f>
        <v>0.4666666667</v>
      </c>
      <c r="H217" s="23">
        <f>IFERROR(__xludf.DUMMYFUNCTION("""COMPUTED_VALUE"""),40687.0)</f>
        <v>40687</v>
      </c>
      <c r="I217" s="27">
        <f>IFERROR(__xludf.DUMMYFUNCTION("""COMPUTED_VALUE"""),4.436111111111111)</f>
        <v>4.436111111</v>
      </c>
      <c r="J217" s="29">
        <f>IFERROR(__xludf.DUMMYFUNCTION("""COMPUTED_VALUE"""),84.0)</f>
        <v>84</v>
      </c>
      <c r="K217" s="29">
        <f>IFERROR(__xludf.DUMMYFUNCTION("""COMPUTED_VALUE"""),8.0)</f>
        <v>8</v>
      </c>
      <c r="L217" s="31" t="str">
        <f>IFERROR(__xludf.DUMMYFUNCTION("""COMPUTED_VALUE"""),"Racing")</f>
        <v>Racing</v>
      </c>
      <c r="M217" s="31"/>
    </row>
    <row r="218">
      <c r="A218" s="17" t="str">
        <f>IFERROR(__xludf.DUMMYFUNCTION("""COMPUTED_VALUE"""),"Plants vs. Zombies")</f>
        <v>Plants vs. Zombies</v>
      </c>
      <c r="B218" s="20" t="str">
        <f>IFERROR(__xludf.DUMMYFUNCTION("""COMPUTED_VALUE"""),"XB360/OG Xbox")</f>
        <v>XB360/OG Xbox</v>
      </c>
      <c r="C218" s="21"/>
      <c r="D218" s="21" t="str">
        <f>IFERROR(__xludf.DUMMYFUNCTION("""COMPUTED_VALUE"""),"GwG Permanent")</f>
        <v>GwG Permanent</v>
      </c>
      <c r="E218" s="23">
        <f>IFERROR(__xludf.DUMMYFUNCTION("""COMPUTED_VALUE"""),42186.0)</f>
        <v>42186</v>
      </c>
      <c r="F218" s="24">
        <f>IFERROR(__xludf.DUMMYFUNCTION("""COMPUTED_VALUE"""),42200.0)</f>
        <v>42200</v>
      </c>
      <c r="G218" s="27">
        <f>IFERROR(__xludf.DUMMYFUNCTION("""COMPUTED_VALUE"""),0.4666666666666667)</f>
        <v>0.4666666667</v>
      </c>
      <c r="H218" s="23">
        <f>IFERROR(__xludf.DUMMYFUNCTION("""COMPUTED_VALUE"""),39938.0)</f>
        <v>39938</v>
      </c>
      <c r="I218" s="27">
        <f>IFERROR(__xludf.DUMMYFUNCTION("""COMPUTED_VALUE"""),6.155555555555556)</f>
        <v>6.155555556</v>
      </c>
      <c r="J218" s="29">
        <f>IFERROR(__xludf.DUMMYFUNCTION("""COMPUTED_VALUE"""),84.0)</f>
        <v>84</v>
      </c>
      <c r="K218" s="29">
        <f>IFERROR(__xludf.DUMMYFUNCTION("""COMPUTED_VALUE"""),6.0)</f>
        <v>6</v>
      </c>
      <c r="L218" s="31" t="str">
        <f>IFERROR(__xludf.DUMMYFUNCTION("""COMPUTED_VALUE"""),"Strategy")</f>
        <v>Strategy</v>
      </c>
      <c r="M218" s="31"/>
    </row>
    <row r="219">
      <c r="A219" s="17" t="str">
        <f>IFERROR(__xludf.DUMMYFUNCTION("""COMPUTED_VALUE"""),"Darksiders II")</f>
        <v>Darksiders II</v>
      </c>
      <c r="B219" s="20" t="str">
        <f>IFERROR(__xludf.DUMMYFUNCTION("""COMPUTED_VALUE"""),"XB360/OG Xbox")</f>
        <v>XB360/OG Xbox</v>
      </c>
      <c r="C219" s="21"/>
      <c r="D219" s="21" t="str">
        <f>IFERROR(__xludf.DUMMYFUNCTION("""COMPUTED_VALUE"""),"GwG Permanent")</f>
        <v>GwG Permanent</v>
      </c>
      <c r="E219" s="23">
        <f>IFERROR(__xludf.DUMMYFUNCTION("""COMPUTED_VALUE"""),41928.0)</f>
        <v>41928</v>
      </c>
      <c r="F219" s="24">
        <f>IFERROR(__xludf.DUMMYFUNCTION("""COMPUTED_VALUE"""),41943.0)</f>
        <v>41943</v>
      </c>
      <c r="G219" s="27">
        <f>IFERROR(__xludf.DUMMYFUNCTION("""COMPUTED_VALUE"""),0.4666666666666667)</f>
        <v>0.4666666667</v>
      </c>
      <c r="H219" s="23">
        <f>IFERROR(__xludf.DUMMYFUNCTION("""COMPUTED_VALUE"""),41135.0)</f>
        <v>41135</v>
      </c>
      <c r="I219" s="27">
        <f>IFERROR(__xludf.DUMMYFUNCTION("""COMPUTED_VALUE"""),2.172222222222222)</f>
        <v>2.172222222</v>
      </c>
      <c r="J219" s="29">
        <f>IFERROR(__xludf.DUMMYFUNCTION("""COMPUTED_VALUE"""),84.0)</f>
        <v>84</v>
      </c>
      <c r="K219" s="29">
        <f>IFERROR(__xludf.DUMMYFUNCTION("""COMPUTED_VALUE"""),22.0)</f>
        <v>22</v>
      </c>
      <c r="L219" s="31" t="str">
        <f>IFERROR(__xludf.DUMMYFUNCTION("""COMPUTED_VALUE"""),"Action-Adventure")</f>
        <v>Action-Adventure</v>
      </c>
      <c r="M219" s="31"/>
    </row>
    <row r="220">
      <c r="A220" s="17" t="str">
        <f>IFERROR(__xludf.DUMMYFUNCTION("""COMPUTED_VALUE"""),"Monaco: What's Yours Is Mine")</f>
        <v>Monaco: What's Yours Is Mine</v>
      </c>
      <c r="B220" s="20" t="str">
        <f>IFERROR(__xludf.DUMMYFUNCTION("""COMPUTED_VALUE"""),"XB360/OG Xbox")</f>
        <v>XB360/OG Xbox</v>
      </c>
      <c r="C220" s="21"/>
      <c r="D220" s="21" t="str">
        <f>IFERROR(__xludf.DUMMYFUNCTION("""COMPUTED_VALUE"""),"GwG Permanent")</f>
        <v>GwG Permanent</v>
      </c>
      <c r="E220" s="23">
        <f>IFERROR(__xludf.DUMMYFUNCTION("""COMPUTED_VALUE"""),41883.0)</f>
        <v>41883</v>
      </c>
      <c r="F220" s="24">
        <f>IFERROR(__xludf.DUMMYFUNCTION("""COMPUTED_VALUE"""),41897.0)</f>
        <v>41897</v>
      </c>
      <c r="G220" s="27">
        <f>IFERROR(__xludf.DUMMYFUNCTION("""COMPUTED_VALUE"""),0.4666666666666667)</f>
        <v>0.4666666667</v>
      </c>
      <c r="H220" s="23">
        <f>IFERROR(__xludf.DUMMYFUNCTION("""COMPUTED_VALUE"""),41388.0)</f>
        <v>41388</v>
      </c>
      <c r="I220" s="27">
        <f>IFERROR(__xludf.DUMMYFUNCTION("""COMPUTED_VALUE"""),1.3527777777777779)</f>
        <v>1.352777778</v>
      </c>
      <c r="J220" s="29">
        <f>IFERROR(__xludf.DUMMYFUNCTION("""COMPUTED_VALUE"""),84.0)</f>
        <v>84</v>
      </c>
      <c r="K220" s="29">
        <f>IFERROR(__xludf.DUMMYFUNCTION("""COMPUTED_VALUE"""),8.0)</f>
        <v>8</v>
      </c>
      <c r="L220" s="31" t="str">
        <f>IFERROR(__xludf.DUMMYFUNCTION("""COMPUTED_VALUE"""),"Stealth")</f>
        <v>Stealth</v>
      </c>
      <c r="M220" s="31"/>
    </row>
    <row r="221">
      <c r="A221" s="17" t="str">
        <f>IFERROR(__xludf.DUMMYFUNCTION("""COMPUTED_VALUE"""),"Saints Row: The Third")</f>
        <v>Saints Row: The Third</v>
      </c>
      <c r="B221" s="20" t="str">
        <f>IFERROR(__xludf.DUMMYFUNCTION("""COMPUTED_VALUE"""),"XB360/OG Xbox")</f>
        <v>XB360/OG Xbox</v>
      </c>
      <c r="C221" s="21"/>
      <c r="D221" s="21" t="str">
        <f>IFERROR(__xludf.DUMMYFUNCTION("""COMPUTED_VALUE"""),"GwG Permanent")</f>
        <v>GwG Permanent</v>
      </c>
      <c r="E221" s="23">
        <f>IFERROR(__xludf.DUMMYFUNCTION("""COMPUTED_VALUE"""),41775.0)</f>
        <v>41775</v>
      </c>
      <c r="F221" s="24">
        <f>IFERROR(__xludf.DUMMYFUNCTION("""COMPUTED_VALUE"""),41790.0)</f>
        <v>41790</v>
      </c>
      <c r="G221" s="27">
        <f>IFERROR(__xludf.DUMMYFUNCTION("""COMPUTED_VALUE"""),0.4666666666666667)</f>
        <v>0.4666666667</v>
      </c>
      <c r="H221" s="23">
        <f>IFERROR(__xludf.DUMMYFUNCTION("""COMPUTED_VALUE"""),40862.0)</f>
        <v>40862</v>
      </c>
      <c r="I221" s="27">
        <f>IFERROR(__xludf.DUMMYFUNCTION("""COMPUTED_VALUE"""),2.5027777777777778)</f>
        <v>2.502777778</v>
      </c>
      <c r="J221" s="29">
        <f>IFERROR(__xludf.DUMMYFUNCTION("""COMPUTED_VALUE"""),84.0)</f>
        <v>84</v>
      </c>
      <c r="K221" s="29">
        <f>IFERROR(__xludf.DUMMYFUNCTION("""COMPUTED_VALUE"""),15.0)</f>
        <v>15</v>
      </c>
      <c r="L221" s="31" t="str">
        <f>IFERROR(__xludf.DUMMYFUNCTION("""COMPUTED_VALUE"""),"Action-Adventure")</f>
        <v>Action-Adventure</v>
      </c>
      <c r="M221" s="31"/>
    </row>
    <row r="222">
      <c r="A222" s="17" t="str">
        <f>IFERROR(__xludf.DUMMYFUNCTION("""COMPUTED_VALUE"""),"Lara Croft and the Guardian of Light")</f>
        <v>Lara Croft and the Guardian of Light</v>
      </c>
      <c r="B222" s="20" t="str">
        <f>IFERROR(__xludf.DUMMYFUNCTION("""COMPUTED_VALUE"""),"XB360/OG Xbox")</f>
        <v>XB360/OG Xbox</v>
      </c>
      <c r="C222" s="21"/>
      <c r="D222" s="21" t="str">
        <f>IFERROR(__xludf.DUMMYFUNCTION("""COMPUTED_VALUE"""),"GwG Permanent")</f>
        <v>GwG Permanent</v>
      </c>
      <c r="E222" s="23">
        <f>IFERROR(__xludf.DUMMYFUNCTION("""COMPUTED_VALUE"""),41655.0)</f>
        <v>41655</v>
      </c>
      <c r="F222" s="24">
        <f>IFERROR(__xludf.DUMMYFUNCTION("""COMPUTED_VALUE"""),41670.0)</f>
        <v>41670</v>
      </c>
      <c r="G222" s="27">
        <f>IFERROR(__xludf.DUMMYFUNCTION("""COMPUTED_VALUE"""),0.4666666666666667)</f>
        <v>0.4666666667</v>
      </c>
      <c r="H222" s="23">
        <f>IFERROR(__xludf.DUMMYFUNCTION("""COMPUTED_VALUE"""),40269.0)</f>
        <v>40269</v>
      </c>
      <c r="I222" s="27">
        <f>IFERROR(__xludf.DUMMYFUNCTION("""COMPUTED_VALUE"""),3.7916666666666665)</f>
        <v>3.791666667</v>
      </c>
      <c r="J222" s="29">
        <f>IFERROR(__xludf.DUMMYFUNCTION("""COMPUTED_VALUE"""),84.0)</f>
        <v>84</v>
      </c>
      <c r="K222" s="29">
        <f>IFERROR(__xludf.DUMMYFUNCTION("""COMPUTED_VALUE"""),7.0)</f>
        <v>7</v>
      </c>
      <c r="L222" s="31" t="str">
        <f>IFERROR(__xludf.DUMMYFUNCTION("""COMPUTED_VALUE"""),"Action-Adventure")</f>
        <v>Action-Adventure</v>
      </c>
      <c r="M222" s="31"/>
    </row>
    <row r="223">
      <c r="A223" s="17" t="str">
        <f>IFERROR(__xludf.DUMMYFUNCTION("""COMPUTED_VALUE"""),"Tunic")</f>
        <v>Tunic</v>
      </c>
      <c r="B223" s="20" t="str">
        <f>IFERROR(__xludf.DUMMYFUNCTION("""COMPUTED_VALUE"""),"Xbox / PC")</f>
        <v>Xbox / PC</v>
      </c>
      <c r="C223" s="21" t="str">
        <f>IFERROR(__xludf.DUMMYFUNCTION("""COMPUTED_VALUE"""),"Yes")</f>
        <v>Yes</v>
      </c>
      <c r="D223" s="21" t="str">
        <f>IFERROR(__xludf.DUMMYFUNCTION("""COMPUTED_VALUE"""),"Active")</f>
        <v>Active</v>
      </c>
      <c r="E223" s="23">
        <f>IFERROR(__xludf.DUMMYFUNCTION("""COMPUTED_VALUE"""),44636.0)</f>
        <v>44636</v>
      </c>
      <c r="F223" s="24"/>
      <c r="G223" s="27">
        <f>IFERROR(__xludf.DUMMYFUNCTION("""COMPUTED_VALUE"""),54.666666666666664)</f>
        <v>54.66666667</v>
      </c>
      <c r="H223" s="23">
        <f>IFERROR(__xludf.DUMMYFUNCTION("""COMPUTED_VALUE"""),44636.0)</f>
        <v>44636</v>
      </c>
      <c r="I223" s="27">
        <f>IFERROR(__xludf.DUMMYFUNCTION("""COMPUTED_VALUE"""),0.0)</f>
        <v>0</v>
      </c>
      <c r="J223" s="29">
        <f>IFERROR(__xludf.DUMMYFUNCTION("""COMPUTED_VALUE"""),83.5)</f>
        <v>83.5</v>
      </c>
      <c r="K223" s="29">
        <f>IFERROR(__xludf.DUMMYFUNCTION("""COMPUTED_VALUE"""),12.0)</f>
        <v>12</v>
      </c>
      <c r="L223" s="31" t="str">
        <f>IFERROR(__xludf.DUMMYFUNCTION("""COMPUTED_VALUE"""),"Action-Adventure")</f>
        <v>Action-Adventure</v>
      </c>
      <c r="M223" s="31"/>
    </row>
    <row r="224">
      <c r="A224" s="17" t="str">
        <f>IFERROR(__xludf.DUMMYFUNCTION("""COMPUTED_VALUE"""),"Halo: Infinite")</f>
        <v>Halo: Infinite</v>
      </c>
      <c r="B224" s="20" t="str">
        <f>IFERROR(__xludf.DUMMYFUNCTION("""COMPUTED_VALUE"""),"Xbox / PC")</f>
        <v>Xbox / PC</v>
      </c>
      <c r="C224" s="21" t="str">
        <f>IFERROR(__xludf.DUMMYFUNCTION("""COMPUTED_VALUE"""),"M+KB")</f>
        <v>M+KB</v>
      </c>
      <c r="D224" s="21" t="str">
        <f>IFERROR(__xludf.DUMMYFUNCTION("""COMPUTED_VALUE"""),"Active")</f>
        <v>Active</v>
      </c>
      <c r="E224" s="23">
        <f>IFERROR(__xludf.DUMMYFUNCTION("""COMPUTED_VALUE"""),44538.0)</f>
        <v>44538</v>
      </c>
      <c r="F224" s="24"/>
      <c r="G224" s="27">
        <f>IFERROR(__xludf.DUMMYFUNCTION("""COMPUTED_VALUE"""),57.93333333333333)</f>
        <v>57.93333333</v>
      </c>
      <c r="H224" s="23">
        <f>IFERROR(__xludf.DUMMYFUNCTION("""COMPUTED_VALUE"""),44538.0)</f>
        <v>44538</v>
      </c>
      <c r="I224" s="27">
        <f>IFERROR(__xludf.DUMMYFUNCTION("""COMPUTED_VALUE"""),0.0)</f>
        <v>0</v>
      </c>
      <c r="J224" s="29">
        <f>IFERROR(__xludf.DUMMYFUNCTION("""COMPUTED_VALUE"""),83.5)</f>
        <v>83.5</v>
      </c>
      <c r="K224" s="29">
        <f>IFERROR(__xludf.DUMMYFUNCTION("""COMPUTED_VALUE"""),10.0)</f>
        <v>10</v>
      </c>
      <c r="L224" s="31" t="str">
        <f>IFERROR(__xludf.DUMMYFUNCTION("""COMPUTED_VALUE"""),"Shooter")</f>
        <v>Shooter</v>
      </c>
      <c r="M224" s="31"/>
    </row>
    <row r="225">
      <c r="A225" s="17" t="str">
        <f>IFERROR(__xludf.DUMMYFUNCTION("""COMPUTED_VALUE"""),"Vampire Crawlers: The Turbo Wildcard from Vampire Survivors")</f>
        <v>Vampire Crawlers: The Turbo Wildcard from Vampire Survivors</v>
      </c>
      <c r="B225" s="20" t="str">
        <f>IFERROR(__xludf.DUMMYFUNCTION("""COMPUTED_VALUE"""),"Xbox / PC")</f>
        <v>Xbox / PC</v>
      </c>
      <c r="C225" s="21" t="str">
        <f>IFERROR(__xludf.DUMMYFUNCTION("""COMPUTED_VALUE"""),"Yes")</f>
        <v>Yes</v>
      </c>
      <c r="D225" s="21" t="str">
        <f>IFERROR(__xludf.DUMMYFUNCTION("""COMPUTED_VALUE"""),"Active")</f>
        <v>Active</v>
      </c>
      <c r="E225" s="23">
        <f>IFERROR(__xludf.DUMMYFUNCTION("""COMPUTED_VALUE"""),46133.0)</f>
        <v>46133</v>
      </c>
      <c r="F225" s="24"/>
      <c r="G225" s="27">
        <f>IFERROR(__xludf.DUMMYFUNCTION("""COMPUTED_VALUE"""),5.5)</f>
        <v>5.5</v>
      </c>
      <c r="H225" s="23">
        <f>IFERROR(__xludf.DUMMYFUNCTION("""COMPUTED_VALUE"""),46133.0)</f>
        <v>46133</v>
      </c>
      <c r="I225" s="27">
        <f>IFERROR(__xludf.DUMMYFUNCTION("""COMPUTED_VALUE"""),0.0)</f>
        <v>0</v>
      </c>
      <c r="J225" s="29">
        <f>IFERROR(__xludf.DUMMYFUNCTION("""COMPUTED_VALUE"""),83.0)</f>
        <v>83</v>
      </c>
      <c r="K225" s="29">
        <f>IFERROR(__xludf.DUMMYFUNCTION("""COMPUTED_VALUE"""),14.0)</f>
        <v>14</v>
      </c>
      <c r="L225" s="31" t="str">
        <f>IFERROR(__xludf.DUMMYFUNCTION("""COMPUTED_VALUE"""),"Card Battle")</f>
        <v>Card Battle</v>
      </c>
      <c r="M225" s="31" t="str">
        <f>IFERROR(__xludf.DUMMYFUNCTION("""COMPUTED_VALUE"""),"Exclusive")</f>
        <v>Exclusive</v>
      </c>
    </row>
    <row r="226">
      <c r="A226" s="17" t="str">
        <f>IFERROR(__xludf.DUMMYFUNCTION("""COMPUTED_VALUE"""),"Planet of Lana II: Children of the Leaf")</f>
        <v>Planet of Lana II: Children of the Leaf</v>
      </c>
      <c r="B226" s="20" t="str">
        <f>IFERROR(__xludf.DUMMYFUNCTION("""COMPUTED_VALUE"""),"Xbox / PC")</f>
        <v>Xbox / PC</v>
      </c>
      <c r="C226" s="21" t="str">
        <f>IFERROR(__xludf.DUMMYFUNCTION("""COMPUTED_VALUE"""),"Yes")</f>
        <v>Yes</v>
      </c>
      <c r="D226" s="21" t="str">
        <f>IFERROR(__xludf.DUMMYFUNCTION("""COMPUTED_VALUE"""),"Active")</f>
        <v>Active</v>
      </c>
      <c r="E226" s="23">
        <f>IFERROR(__xludf.DUMMYFUNCTION("""COMPUTED_VALUE"""),46086.0)</f>
        <v>46086</v>
      </c>
      <c r="F226" s="24"/>
      <c r="G226" s="27">
        <f>IFERROR(__xludf.DUMMYFUNCTION("""COMPUTED_VALUE"""),7.033333333333333)</f>
        <v>7.033333333</v>
      </c>
      <c r="H226" s="23">
        <f>IFERROR(__xludf.DUMMYFUNCTION("""COMPUTED_VALUE"""),46086.0)</f>
        <v>46086</v>
      </c>
      <c r="I226" s="27">
        <f>IFERROR(__xludf.DUMMYFUNCTION("""COMPUTED_VALUE"""),0.0)</f>
        <v>0</v>
      </c>
      <c r="J226" s="29">
        <f>IFERROR(__xludf.DUMMYFUNCTION("""COMPUTED_VALUE"""),83.0)</f>
        <v>83</v>
      </c>
      <c r="K226" s="29">
        <f>IFERROR(__xludf.DUMMYFUNCTION("""COMPUTED_VALUE"""),6.0)</f>
        <v>6</v>
      </c>
      <c r="L226" s="31" t="str">
        <f>IFERROR(__xludf.DUMMYFUNCTION("""COMPUTED_VALUE"""),"Action-Adventure")</f>
        <v>Action-Adventure</v>
      </c>
      <c r="M226" s="31" t="str">
        <f>IFERROR(__xludf.DUMMYFUNCTION("""COMPUTED_VALUE"""),"Exclusive")</f>
        <v>Exclusive</v>
      </c>
    </row>
    <row r="227">
      <c r="A227" s="17" t="str">
        <f>IFERROR(__xludf.DUMMYFUNCTION("""COMPUTED_VALUE"""),"Stampede")</f>
        <v>Stampede</v>
      </c>
      <c r="B227" s="20" t="str">
        <f>IFERROR(__xludf.DUMMYFUNCTION("""COMPUTED_VALUE"""),"Xbox / PC")</f>
        <v>Xbox / PC</v>
      </c>
      <c r="C227" s="21" t="str">
        <f>IFERROR(__xludf.DUMMYFUNCTION("""COMPUTED_VALUE"""),"Yes")</f>
        <v>Yes</v>
      </c>
      <c r="D227" s="21" t="str">
        <f>IFERROR(__xludf.DUMMYFUNCTION("""COMPUTED_VALUE"""),"Active")</f>
        <v>Active</v>
      </c>
      <c r="E227" s="23">
        <f>IFERROR(__xludf.DUMMYFUNCTION("""COMPUTED_VALUE"""),46072.0)</f>
        <v>46072</v>
      </c>
      <c r="F227" s="24"/>
      <c r="G227" s="27">
        <f>IFERROR(__xludf.DUMMYFUNCTION("""COMPUTED_VALUE"""),7.566666666666666)</f>
        <v>7.566666667</v>
      </c>
      <c r="H227" s="23">
        <f>IFERROR(__xludf.DUMMYFUNCTION("""COMPUTED_VALUE"""),29921.0)</f>
        <v>29921</v>
      </c>
      <c r="I227" s="27">
        <f>IFERROR(__xludf.DUMMYFUNCTION("""COMPUTED_VALUE"""),44.21666666666667)</f>
        <v>44.21666667</v>
      </c>
      <c r="J227" s="29">
        <f>IFERROR(__xludf.DUMMYFUNCTION("""COMPUTED_VALUE"""),83.0)</f>
        <v>83</v>
      </c>
      <c r="K227" s="29"/>
      <c r="L227" s="31" t="str">
        <f>IFERROR(__xludf.DUMMYFUNCTION("""COMPUTED_VALUE"""),"Action")</f>
        <v>Action</v>
      </c>
      <c r="M227" s="31"/>
    </row>
    <row r="228">
      <c r="A228" s="17" t="str">
        <f>IFERROR(__xludf.DUMMYFUNCTION("""COMPUTED_VALUE"""),"BlazBlue Entropy Effect X")</f>
        <v>BlazBlue Entropy Effect X</v>
      </c>
      <c r="B228" s="20" t="str">
        <f>IFERROR(__xludf.DUMMYFUNCTION("""COMPUTED_VALUE"""),"Xbox / PC")</f>
        <v>Xbox / PC</v>
      </c>
      <c r="C228" s="21" t="str">
        <f>IFERROR(__xludf.DUMMYFUNCTION("""COMPUTED_VALUE"""),"Yes")</f>
        <v>Yes</v>
      </c>
      <c r="D228" s="21" t="str">
        <f>IFERROR(__xludf.DUMMYFUNCTION("""COMPUTED_VALUE"""),"Active")</f>
        <v>Active</v>
      </c>
      <c r="E228" s="23">
        <f>IFERROR(__xludf.DUMMYFUNCTION("""COMPUTED_VALUE"""),46065.0)</f>
        <v>46065</v>
      </c>
      <c r="F228" s="24"/>
      <c r="G228" s="27">
        <f>IFERROR(__xludf.DUMMYFUNCTION("""COMPUTED_VALUE"""),7.800000000000001)</f>
        <v>7.8</v>
      </c>
      <c r="H228" s="23">
        <f>IFERROR(__xludf.DUMMYFUNCTION("""COMPUTED_VALUE"""),46065.0)</f>
        <v>46065</v>
      </c>
      <c r="I228" s="27">
        <f>IFERROR(__xludf.DUMMYFUNCTION("""COMPUTED_VALUE"""),0.0)</f>
        <v>0</v>
      </c>
      <c r="J228" s="29">
        <f>IFERROR(__xludf.DUMMYFUNCTION("""COMPUTED_VALUE"""),83.0)</f>
        <v>83</v>
      </c>
      <c r="K228" s="29">
        <f>IFERROR(__xludf.DUMMYFUNCTION("""COMPUTED_VALUE"""),13.0)</f>
        <v>13</v>
      </c>
      <c r="L228" s="31" t="str">
        <f>IFERROR(__xludf.DUMMYFUNCTION("""COMPUTED_VALUE"""),"Action-Adventure")</f>
        <v>Action-Adventure</v>
      </c>
      <c r="M228" s="31" t="str">
        <f>IFERROR(__xludf.DUMMYFUNCTION("""COMPUTED_VALUE"""),"Exclusive")</f>
        <v>Exclusive</v>
      </c>
    </row>
    <row r="229">
      <c r="A229" s="17" t="str">
        <f>IFERROR(__xludf.DUMMYFUNCTION("""COMPUTED_VALUE"""),"Drop Duchy")</f>
        <v>Drop Duchy</v>
      </c>
      <c r="B229" s="20" t="str">
        <f>IFERROR(__xludf.DUMMYFUNCTION("""COMPUTED_VALUE"""),"Xbox / PC")</f>
        <v>Xbox / PC</v>
      </c>
      <c r="C229" s="21" t="str">
        <f>IFERROR(__xludf.DUMMYFUNCTION("""COMPUTED_VALUE"""),"Yes")</f>
        <v>Yes</v>
      </c>
      <c r="D229" s="21" t="str">
        <f>IFERROR(__xludf.DUMMYFUNCTION("""COMPUTED_VALUE"""),"Active")</f>
        <v>Active</v>
      </c>
      <c r="E229" s="23">
        <f>IFERROR(__xludf.DUMMYFUNCTION("""COMPUTED_VALUE"""),46050.0)</f>
        <v>46050</v>
      </c>
      <c r="F229" s="24"/>
      <c r="G229" s="27">
        <f>IFERROR(__xludf.DUMMYFUNCTION("""COMPUTED_VALUE"""),8.266666666666666)</f>
        <v>8.266666667</v>
      </c>
      <c r="H229" s="23">
        <f>IFERROR(__xludf.DUMMYFUNCTION("""COMPUTED_VALUE"""),46050.0)</f>
        <v>46050</v>
      </c>
      <c r="I229" s="27">
        <f>IFERROR(__xludf.DUMMYFUNCTION("""COMPUTED_VALUE"""),0.0)</f>
        <v>0</v>
      </c>
      <c r="J229" s="29">
        <f>IFERROR(__xludf.DUMMYFUNCTION("""COMPUTED_VALUE"""),83.0)</f>
        <v>83</v>
      </c>
      <c r="K229" s="29">
        <f>IFERROR(__xludf.DUMMYFUNCTION("""COMPUTED_VALUE"""),5.0)</f>
        <v>5</v>
      </c>
      <c r="L229" s="31" t="str">
        <f>IFERROR(__xludf.DUMMYFUNCTION("""COMPUTED_VALUE"""),"Action-Adventure")</f>
        <v>Action-Adventure</v>
      </c>
      <c r="M229" s="31"/>
    </row>
    <row r="230">
      <c r="A230" s="17" t="str">
        <f>IFERROR(__xludf.DUMMYFUNCTION("""COMPUTED_VALUE"""),"MIO: Memories in Orbit")</f>
        <v>MIO: Memories in Orbit</v>
      </c>
      <c r="B230" s="20" t="str">
        <f>IFERROR(__xludf.DUMMYFUNCTION("""COMPUTED_VALUE"""),"Xbox / PC")</f>
        <v>Xbox / PC</v>
      </c>
      <c r="C230" s="21" t="str">
        <f>IFERROR(__xludf.DUMMYFUNCTION("""COMPUTED_VALUE"""),"Yes")</f>
        <v>Yes</v>
      </c>
      <c r="D230" s="21" t="str">
        <f>IFERROR(__xludf.DUMMYFUNCTION("""COMPUTED_VALUE"""),"Active")</f>
        <v>Active</v>
      </c>
      <c r="E230" s="23">
        <f>IFERROR(__xludf.DUMMYFUNCTION("""COMPUTED_VALUE"""),46042.0)</f>
        <v>46042</v>
      </c>
      <c r="F230" s="24"/>
      <c r="G230" s="27">
        <f>IFERROR(__xludf.DUMMYFUNCTION("""COMPUTED_VALUE"""),8.533333333333333)</f>
        <v>8.533333333</v>
      </c>
      <c r="H230" s="23">
        <f>IFERROR(__xludf.DUMMYFUNCTION("""COMPUTED_VALUE"""),46042.0)</f>
        <v>46042</v>
      </c>
      <c r="I230" s="27">
        <f>IFERROR(__xludf.DUMMYFUNCTION("""COMPUTED_VALUE"""),0.0)</f>
        <v>0</v>
      </c>
      <c r="J230" s="29">
        <f>IFERROR(__xludf.DUMMYFUNCTION("""COMPUTED_VALUE"""),83.0)</f>
        <v>83</v>
      </c>
      <c r="K230" s="29">
        <f>IFERROR(__xludf.DUMMYFUNCTION("""COMPUTED_VALUE"""),16.0)</f>
        <v>16</v>
      </c>
      <c r="L230" s="31" t="str">
        <f>IFERROR(__xludf.DUMMYFUNCTION("""COMPUTED_VALUE"""),"Action-Adventure")</f>
        <v>Action-Adventure</v>
      </c>
      <c r="M230" s="31" t="str">
        <f>IFERROR(__xludf.DUMMYFUNCTION("""COMPUTED_VALUE"""),"Exclusive")</f>
        <v>Exclusive</v>
      </c>
    </row>
    <row r="231">
      <c r="A231" s="17" t="str">
        <f>IFERROR(__xludf.DUMMYFUNCTION("""COMPUTED_VALUE"""),"Mortal Kombat 1")</f>
        <v>Mortal Kombat 1</v>
      </c>
      <c r="B231" s="20" t="str">
        <f>IFERROR(__xludf.DUMMYFUNCTION("""COMPUTED_VALUE"""),"Xbox / PC")</f>
        <v>Xbox / PC</v>
      </c>
      <c r="C231" s="21" t="str">
        <f>IFERROR(__xludf.DUMMYFUNCTION("""COMPUTED_VALUE"""),"Yes")</f>
        <v>Yes</v>
      </c>
      <c r="D231" s="21" t="str">
        <f>IFERROR(__xludf.DUMMYFUNCTION("""COMPUTED_VALUE"""),"Active")</f>
        <v>Active</v>
      </c>
      <c r="E231" s="23">
        <f>IFERROR(__xludf.DUMMYFUNCTION("""COMPUTED_VALUE"""),46001.0)</f>
        <v>46001</v>
      </c>
      <c r="F231" s="24"/>
      <c r="G231" s="27">
        <f>IFERROR(__xludf.DUMMYFUNCTION("""COMPUTED_VALUE"""),9.866666666666667)</f>
        <v>9.866666667</v>
      </c>
      <c r="H231" s="23">
        <f>IFERROR(__xludf.DUMMYFUNCTION("""COMPUTED_VALUE"""),45188.0)</f>
        <v>45188</v>
      </c>
      <c r="I231" s="27">
        <f>IFERROR(__xludf.DUMMYFUNCTION("""COMPUTED_VALUE"""),2.225)</f>
        <v>2.225</v>
      </c>
      <c r="J231" s="29">
        <f>IFERROR(__xludf.DUMMYFUNCTION("""COMPUTED_VALUE"""),83.0)</f>
        <v>83</v>
      </c>
      <c r="K231" s="29">
        <f>IFERROR(__xludf.DUMMYFUNCTION("""COMPUTED_VALUE"""),7.0)</f>
        <v>7</v>
      </c>
      <c r="L231" s="31" t="str">
        <f>IFERROR(__xludf.DUMMYFUNCTION("""COMPUTED_VALUE"""),"Action-Adventure")</f>
        <v>Action-Adventure</v>
      </c>
      <c r="M231" s="31" t="str">
        <f>IFERROR(__xludf.DUMMYFUNCTION("""COMPUTED_VALUE"""),"Exclusive")</f>
        <v>Exclusive</v>
      </c>
    </row>
    <row r="232">
      <c r="A232" s="17" t="str">
        <f>IFERROR(__xludf.DUMMYFUNCTION("""COMPUTED_VALUE"""),"The Outer Worlds 2")</f>
        <v>The Outer Worlds 2</v>
      </c>
      <c r="B232" s="20" t="str">
        <f>IFERROR(__xludf.DUMMYFUNCTION("""COMPUTED_VALUE"""),"Xbox / PC")</f>
        <v>Xbox / PC</v>
      </c>
      <c r="C232" s="21" t="str">
        <f>IFERROR(__xludf.DUMMYFUNCTION("""COMPUTED_VALUE"""),"Yes")</f>
        <v>Yes</v>
      </c>
      <c r="D232" s="21" t="str">
        <f>IFERROR(__xludf.DUMMYFUNCTION("""COMPUTED_VALUE"""),"Active")</f>
        <v>Active</v>
      </c>
      <c r="E232" s="23">
        <f>IFERROR(__xludf.DUMMYFUNCTION("""COMPUTED_VALUE"""),45959.0)</f>
        <v>45959</v>
      </c>
      <c r="F232" s="24"/>
      <c r="G232" s="27">
        <f>IFERROR(__xludf.DUMMYFUNCTION("""COMPUTED_VALUE"""),11.233333333333334)</f>
        <v>11.23333333</v>
      </c>
      <c r="H232" s="23">
        <f>IFERROR(__xludf.DUMMYFUNCTION("""COMPUTED_VALUE"""),45959.0)</f>
        <v>45959</v>
      </c>
      <c r="I232" s="27">
        <f>IFERROR(__xludf.DUMMYFUNCTION("""COMPUTED_VALUE"""),0.0)</f>
        <v>0</v>
      </c>
      <c r="J232" s="29">
        <f>IFERROR(__xludf.DUMMYFUNCTION("""COMPUTED_VALUE"""),83.0)</f>
        <v>83</v>
      </c>
      <c r="K232" s="29">
        <f>IFERROR(__xludf.DUMMYFUNCTION("""COMPUTED_VALUE"""),16.0)</f>
        <v>16</v>
      </c>
      <c r="L232" s="31" t="str">
        <f>IFERROR(__xludf.DUMMYFUNCTION("""COMPUTED_VALUE"""),"RPG")</f>
        <v>RPG</v>
      </c>
      <c r="M232" s="31" t="str">
        <f>IFERROR(__xludf.DUMMYFUNCTION("""COMPUTED_VALUE"""),"Exclusive")</f>
        <v>Exclusive</v>
      </c>
    </row>
    <row r="233">
      <c r="A233" s="17" t="str">
        <f>IFERROR(__xludf.DUMMYFUNCTION("""COMPUTED_VALUE"""),"Caesar III")</f>
        <v>Caesar III</v>
      </c>
      <c r="B233" s="20" t="str">
        <f>IFERROR(__xludf.DUMMYFUNCTION("""COMPUTED_VALUE"""),"Xbox / PC")</f>
        <v>Xbox / PC</v>
      </c>
      <c r="C233" s="21" t="str">
        <f>IFERROR(__xludf.DUMMYFUNCTION("""COMPUTED_VALUE"""),"Yes")</f>
        <v>Yes</v>
      </c>
      <c r="D233" s="21" t="str">
        <f>IFERROR(__xludf.DUMMYFUNCTION("""COMPUTED_VALUE"""),"Active")</f>
        <v>Active</v>
      </c>
      <c r="E233" s="23">
        <f>IFERROR(__xludf.DUMMYFUNCTION("""COMPUTED_VALUE"""),45883.0)</f>
        <v>45883</v>
      </c>
      <c r="F233" s="24"/>
      <c r="G233" s="27">
        <f>IFERROR(__xludf.DUMMYFUNCTION("""COMPUTED_VALUE"""),13.733333333333333)</f>
        <v>13.73333333</v>
      </c>
      <c r="H233" s="23">
        <f>IFERROR(__xludf.DUMMYFUNCTION("""COMPUTED_VALUE"""),36068.0)</f>
        <v>36068</v>
      </c>
      <c r="I233" s="27">
        <f>IFERROR(__xludf.DUMMYFUNCTION("""COMPUTED_VALUE"""),26.872222222222224)</f>
        <v>26.87222222</v>
      </c>
      <c r="J233" s="29">
        <f>IFERROR(__xludf.DUMMYFUNCTION("""COMPUTED_VALUE"""),83.0)</f>
        <v>83</v>
      </c>
      <c r="K233" s="29">
        <f>IFERROR(__xludf.DUMMYFUNCTION("""COMPUTED_VALUE"""),35.0)</f>
        <v>35</v>
      </c>
      <c r="L233" s="31" t="str">
        <f>IFERROR(__xludf.DUMMYFUNCTION("""COMPUTED_VALUE"""),"Strategy")</f>
        <v>Strategy</v>
      </c>
      <c r="M233" s="31"/>
    </row>
    <row r="234">
      <c r="A234" s="17" t="str">
        <f>IFERROR(__xludf.DUMMYFUNCTION("""COMPUTED_VALUE"""),"H.E.R.O.")</f>
        <v>H.E.R.O.</v>
      </c>
      <c r="B234" s="20" t="str">
        <f>IFERROR(__xludf.DUMMYFUNCTION("""COMPUTED_VALUE"""),"Xbox / PC")</f>
        <v>Xbox / PC</v>
      </c>
      <c r="C234" s="21" t="str">
        <f>IFERROR(__xludf.DUMMYFUNCTION("""COMPUTED_VALUE"""),"Yes")</f>
        <v>Yes</v>
      </c>
      <c r="D234" s="21" t="str">
        <f>IFERROR(__xludf.DUMMYFUNCTION("""COMPUTED_VALUE"""),"Active")</f>
        <v>Active</v>
      </c>
      <c r="E234" s="23">
        <f>IFERROR(__xludf.DUMMYFUNCTION("""COMPUTED_VALUE"""),45798.0)</f>
        <v>45798</v>
      </c>
      <c r="F234" s="24"/>
      <c r="G234" s="27">
        <f>IFERROR(__xludf.DUMMYFUNCTION("""COMPUTED_VALUE"""),16.5)</f>
        <v>16.5</v>
      </c>
      <c r="H234" s="23">
        <f>IFERROR(__xludf.DUMMYFUNCTION("""COMPUTED_VALUE"""),30764.0)</f>
        <v>30764</v>
      </c>
      <c r="I234" s="27">
        <f>IFERROR(__xludf.DUMMYFUNCTION("""COMPUTED_VALUE"""),41.16111111111111)</f>
        <v>41.16111111</v>
      </c>
      <c r="J234" s="29">
        <f>IFERROR(__xludf.DUMMYFUNCTION("""COMPUTED_VALUE"""),83.0)</f>
        <v>83</v>
      </c>
      <c r="K234" s="29"/>
      <c r="L234" s="31" t="str">
        <f>IFERROR(__xludf.DUMMYFUNCTION("""COMPUTED_VALUE"""),"Action‑Adventure")</f>
        <v>Action‑Adventure</v>
      </c>
      <c r="M234" s="31"/>
    </row>
    <row r="235">
      <c r="A235" s="17" t="str">
        <f>IFERROR(__xludf.DUMMYFUNCTION("""COMPUTED_VALUE"""),"Space Quest 2")</f>
        <v>Space Quest 2</v>
      </c>
      <c r="B235" s="20" t="str">
        <f>IFERROR(__xludf.DUMMYFUNCTION("""COMPUTED_VALUE"""),"Xbox / PC")</f>
        <v>Xbox / PC</v>
      </c>
      <c r="C235" s="21" t="str">
        <f>IFERROR(__xludf.DUMMYFUNCTION("""COMPUTED_VALUE"""),"Yes")</f>
        <v>Yes</v>
      </c>
      <c r="D235" s="21" t="str">
        <f>IFERROR(__xludf.DUMMYFUNCTION("""COMPUTED_VALUE"""),"Active")</f>
        <v>Active</v>
      </c>
      <c r="E235" s="23">
        <f>IFERROR(__xludf.DUMMYFUNCTION("""COMPUTED_VALUE"""),45798.0)</f>
        <v>45798</v>
      </c>
      <c r="F235" s="24"/>
      <c r="G235" s="27">
        <f>IFERROR(__xludf.DUMMYFUNCTION("""COMPUTED_VALUE"""),16.5)</f>
        <v>16.5</v>
      </c>
      <c r="H235" s="23">
        <f>IFERROR(__xludf.DUMMYFUNCTION("""COMPUTED_VALUE"""),32082.0)</f>
        <v>32082</v>
      </c>
      <c r="I235" s="27">
        <f>IFERROR(__xludf.DUMMYFUNCTION("""COMPUTED_VALUE"""),37.55555555555556)</f>
        <v>37.55555556</v>
      </c>
      <c r="J235" s="29">
        <f>IFERROR(__xludf.DUMMYFUNCTION("""COMPUTED_VALUE"""),83.0)</f>
        <v>83</v>
      </c>
      <c r="K235" s="29">
        <f>IFERROR(__xludf.DUMMYFUNCTION("""COMPUTED_VALUE"""),3.0)</f>
        <v>3</v>
      </c>
      <c r="L235" s="31" t="str">
        <f>IFERROR(__xludf.DUMMYFUNCTION("""COMPUTED_VALUE"""),"Action‑Adventure")</f>
        <v>Action‑Adventure</v>
      </c>
      <c r="M235" s="31"/>
    </row>
    <row r="236">
      <c r="A236" s="17" t="str">
        <f>IFERROR(__xludf.DUMMYFUNCTION("""COMPUTED_VALUE"""),"Warhammer: Vermintide 2")</f>
        <v>Warhammer: Vermintide 2</v>
      </c>
      <c r="B236" s="20" t="str">
        <f>IFERROR(__xludf.DUMMYFUNCTION("""COMPUTED_VALUE"""),"Xbox")</f>
        <v>Xbox</v>
      </c>
      <c r="C236" s="21" t="str">
        <f>IFERROR(__xludf.DUMMYFUNCTION("""COMPUTED_VALUE"""),"Yes")</f>
        <v>Yes</v>
      </c>
      <c r="D236" s="21" t="str">
        <f>IFERROR(__xludf.DUMMYFUNCTION("""COMPUTED_VALUE"""),"Active")</f>
        <v>Active</v>
      </c>
      <c r="E236" s="23">
        <f>IFERROR(__xludf.DUMMYFUNCTION("""COMPUTED_VALUE"""),45790.0)</f>
        <v>45790</v>
      </c>
      <c r="F236" s="24"/>
      <c r="G236" s="27">
        <f>IFERROR(__xludf.DUMMYFUNCTION("""COMPUTED_VALUE"""),16.766666666666666)</f>
        <v>16.76666667</v>
      </c>
      <c r="H236" s="23">
        <f>IFERROR(__xludf.DUMMYFUNCTION("""COMPUTED_VALUE"""),43167.0)</f>
        <v>43167</v>
      </c>
      <c r="I236" s="27">
        <f>IFERROR(__xludf.DUMMYFUNCTION("""COMPUTED_VALUE"""),7.180555555555555)</f>
        <v>7.180555556</v>
      </c>
      <c r="J236" s="29">
        <f>IFERROR(__xludf.DUMMYFUNCTION("""COMPUTED_VALUE"""),83.0)</f>
        <v>83</v>
      </c>
      <c r="K236" s="29">
        <f>IFERROR(__xludf.DUMMYFUNCTION("""COMPUTED_VALUE"""),20.0)</f>
        <v>20</v>
      </c>
      <c r="L236" s="31" t="str">
        <f>IFERROR(__xludf.DUMMYFUNCTION("""COMPUTED_VALUE"""),"Shooter")</f>
        <v>Shooter</v>
      </c>
      <c r="M236" s="31" t="str">
        <f>IFERROR(__xludf.DUMMYFUNCTION("""COMPUTED_VALUE"""),"Optimized")</f>
        <v>Optimized</v>
      </c>
    </row>
    <row r="237">
      <c r="A237" s="17" t="str">
        <f>IFERROR(__xludf.DUMMYFUNCTION("""COMPUTED_VALUE"""),"EA Sports College Football 25")</f>
        <v>EA Sports College Football 25</v>
      </c>
      <c r="B237" s="20" t="str">
        <f>IFERROR(__xludf.DUMMYFUNCTION("""COMPUTED_VALUE"""),"Xbox")</f>
        <v>Xbox</v>
      </c>
      <c r="C237" s="21" t="str">
        <f>IFERROR(__xludf.DUMMYFUNCTION("""COMPUTED_VALUE"""),"Yes")</f>
        <v>Yes</v>
      </c>
      <c r="D237" s="21" t="str">
        <f>IFERROR(__xludf.DUMMYFUNCTION("""COMPUTED_VALUE"""),"Active")</f>
        <v>Active</v>
      </c>
      <c r="E237" s="23">
        <f>IFERROR(__xludf.DUMMYFUNCTION("""COMPUTED_VALUE"""),45743.0)</f>
        <v>45743</v>
      </c>
      <c r="F237" s="24"/>
      <c r="G237" s="27">
        <f>IFERROR(__xludf.DUMMYFUNCTION("""COMPUTED_VALUE"""),18.299999999999997)</f>
        <v>18.3</v>
      </c>
      <c r="H237" s="23">
        <f>IFERROR(__xludf.DUMMYFUNCTION("""COMPUTED_VALUE"""),45492.0)</f>
        <v>45492</v>
      </c>
      <c r="I237" s="27">
        <f>IFERROR(__xludf.DUMMYFUNCTION("""COMPUTED_VALUE"""),0.6888888888888889)</f>
        <v>0.6888888889</v>
      </c>
      <c r="J237" s="29">
        <f>IFERROR(__xludf.DUMMYFUNCTION("""COMPUTED_VALUE"""),83.0)</f>
        <v>83</v>
      </c>
      <c r="K237" s="29">
        <f>IFERROR(__xludf.DUMMYFUNCTION("""COMPUTED_VALUE"""),11.0)</f>
        <v>11</v>
      </c>
      <c r="L237" s="31" t="str">
        <f>IFERROR(__xludf.DUMMYFUNCTION("""COMPUTED_VALUE"""),"Sports")</f>
        <v>Sports</v>
      </c>
      <c r="M237" s="31" t="str">
        <f>IFERROR(__xludf.DUMMYFUNCTION("""COMPUTED_VALUE"""),"Exclusive")</f>
        <v>Exclusive</v>
      </c>
    </row>
    <row r="238">
      <c r="A238" s="17" t="str">
        <f>IFERROR(__xludf.DUMMYFUNCTION("""COMPUTED_VALUE"""),"Crash Team Racing: Nitro-Fueled")</f>
        <v>Crash Team Racing: Nitro-Fueled</v>
      </c>
      <c r="B238" s="20" t="str">
        <f>IFERROR(__xludf.DUMMYFUNCTION("""COMPUTED_VALUE"""),"Xbox")</f>
        <v>Xbox</v>
      </c>
      <c r="C238" s="21"/>
      <c r="D238" s="21" t="str">
        <f>IFERROR(__xludf.DUMMYFUNCTION("""COMPUTED_VALUE"""),"Active")</f>
        <v>Active</v>
      </c>
      <c r="E238" s="23">
        <f>IFERROR(__xludf.DUMMYFUNCTION("""COMPUTED_VALUE"""),45630.0)</f>
        <v>45630</v>
      </c>
      <c r="F238" s="24"/>
      <c r="G238" s="27">
        <f>IFERROR(__xludf.DUMMYFUNCTION("""COMPUTED_VALUE"""),22.066666666666666)</f>
        <v>22.06666667</v>
      </c>
      <c r="H238" s="23">
        <f>IFERROR(__xludf.DUMMYFUNCTION("""COMPUTED_VALUE"""),43637.0)</f>
        <v>43637</v>
      </c>
      <c r="I238" s="27">
        <f>IFERROR(__xludf.DUMMYFUNCTION("""COMPUTED_VALUE"""),5.4527777777777775)</f>
        <v>5.452777778</v>
      </c>
      <c r="J238" s="29">
        <f>IFERROR(__xludf.DUMMYFUNCTION("""COMPUTED_VALUE"""),83.0)</f>
        <v>83</v>
      </c>
      <c r="K238" s="29">
        <f>IFERROR(__xludf.DUMMYFUNCTION("""COMPUTED_VALUE"""),6.0)</f>
        <v>6</v>
      </c>
      <c r="L238" s="31" t="str">
        <f>IFERROR(__xludf.DUMMYFUNCTION("""COMPUTED_VALUE"""),"Racing")</f>
        <v>Racing</v>
      </c>
      <c r="M238" s="31"/>
    </row>
    <row r="239">
      <c r="A239" s="17" t="str">
        <f>IFERROR(__xludf.DUMMYFUNCTION("""COMPUTED_VALUE"""),"Nine Sols")</f>
        <v>Nine Sols</v>
      </c>
      <c r="B239" s="20" t="str">
        <f>IFERROR(__xludf.DUMMYFUNCTION("""COMPUTED_VALUE"""),"Xbox / PC")</f>
        <v>Xbox / PC</v>
      </c>
      <c r="C239" s="21" t="str">
        <f>IFERROR(__xludf.DUMMYFUNCTION("""COMPUTED_VALUE"""),"Yes")</f>
        <v>Yes</v>
      </c>
      <c r="D239" s="21" t="str">
        <f>IFERROR(__xludf.DUMMYFUNCTION("""COMPUTED_VALUE"""),"Active")</f>
        <v>Active</v>
      </c>
      <c r="E239" s="23">
        <f>IFERROR(__xludf.DUMMYFUNCTION("""COMPUTED_VALUE"""),45622.0)</f>
        <v>45622</v>
      </c>
      <c r="F239" s="24"/>
      <c r="G239" s="27">
        <f>IFERROR(__xludf.DUMMYFUNCTION("""COMPUTED_VALUE"""),22.333333333333336)</f>
        <v>22.33333333</v>
      </c>
      <c r="H239" s="23">
        <f>IFERROR(__xludf.DUMMYFUNCTION("""COMPUTED_VALUE"""),45440.0)</f>
        <v>45440</v>
      </c>
      <c r="I239" s="27">
        <f>IFERROR(__xludf.DUMMYFUNCTION("""COMPUTED_VALUE"""),0.49444444444444446)</f>
        <v>0.4944444444</v>
      </c>
      <c r="J239" s="29">
        <f>IFERROR(__xludf.DUMMYFUNCTION("""COMPUTED_VALUE"""),83.0)</f>
        <v>83</v>
      </c>
      <c r="K239" s="29">
        <f>IFERROR(__xludf.DUMMYFUNCTION("""COMPUTED_VALUE"""),21.0)</f>
        <v>21</v>
      </c>
      <c r="L239" s="31" t="str">
        <f>IFERROR(__xludf.DUMMYFUNCTION("""COMPUTED_VALUE"""),"Platformer")</f>
        <v>Platformer</v>
      </c>
      <c r="M239" s="31" t="str">
        <f>IFERROR(__xludf.DUMMYFUNCTION("""COMPUTED_VALUE"""),"Exclusive")</f>
        <v>Exclusive</v>
      </c>
    </row>
    <row r="240">
      <c r="A240" s="17" t="str">
        <f>IFERROR(__xludf.DUMMYFUNCTION("""COMPUTED_VALUE"""),"Call of Duty: Black Ops 6")</f>
        <v>Call of Duty: Black Ops 6</v>
      </c>
      <c r="B240" s="20" t="str">
        <f>IFERROR(__xludf.DUMMYFUNCTION("""COMPUTED_VALUE"""),"Xbox / PC")</f>
        <v>Xbox / PC</v>
      </c>
      <c r="C240" s="21" t="str">
        <f>IFERROR(__xludf.DUMMYFUNCTION("""COMPUTED_VALUE"""),"Yes")</f>
        <v>Yes</v>
      </c>
      <c r="D240" s="21" t="str">
        <f>IFERROR(__xludf.DUMMYFUNCTION("""COMPUTED_VALUE"""),"Active")</f>
        <v>Active</v>
      </c>
      <c r="E240" s="23">
        <f>IFERROR(__xludf.DUMMYFUNCTION("""COMPUTED_VALUE"""),45590.0)</f>
        <v>45590</v>
      </c>
      <c r="F240" s="24"/>
      <c r="G240" s="27">
        <f>IFERROR(__xludf.DUMMYFUNCTION("""COMPUTED_VALUE"""),23.366666666666667)</f>
        <v>23.36666667</v>
      </c>
      <c r="H240" s="23">
        <f>IFERROR(__xludf.DUMMYFUNCTION("""COMPUTED_VALUE"""),45590.0)</f>
        <v>45590</v>
      </c>
      <c r="I240" s="27">
        <f>IFERROR(__xludf.DUMMYFUNCTION("""COMPUTED_VALUE"""),0.0)</f>
        <v>0</v>
      </c>
      <c r="J240" s="29">
        <f>IFERROR(__xludf.DUMMYFUNCTION("""COMPUTED_VALUE"""),83.0)</f>
        <v>83</v>
      </c>
      <c r="K240" s="29">
        <f>IFERROR(__xludf.DUMMYFUNCTION("""COMPUTED_VALUE"""),9.0)</f>
        <v>9</v>
      </c>
      <c r="L240" s="31" t="str">
        <f>IFERROR(__xludf.DUMMYFUNCTION("""COMPUTED_VALUE"""),"Shooter")</f>
        <v>Shooter</v>
      </c>
      <c r="M240" s="31"/>
    </row>
    <row r="241">
      <c r="A241" s="17" t="str">
        <f>IFERROR(__xludf.DUMMYFUNCTION("""COMPUTED_VALUE"""),"Halo 3: ODST")</f>
        <v>Halo 3: ODST</v>
      </c>
      <c r="B241" s="20" t="str">
        <f>IFERROR(__xludf.DUMMYFUNCTION("""COMPUTED_VALUE"""),"Xbox / PC")</f>
        <v>Xbox / PC</v>
      </c>
      <c r="C241" s="21" t="str">
        <f>IFERROR(__xludf.DUMMYFUNCTION("""COMPUTED_VALUE"""),"Yes")</f>
        <v>Yes</v>
      </c>
      <c r="D241" s="21" t="str">
        <f>IFERROR(__xludf.DUMMYFUNCTION("""COMPUTED_VALUE"""),"Active")</f>
        <v>Active</v>
      </c>
      <c r="E241" s="23">
        <f>IFERROR(__xludf.DUMMYFUNCTION("""COMPUTED_VALUE"""),44096.0)</f>
        <v>44096</v>
      </c>
      <c r="F241" s="24"/>
      <c r="G241" s="27">
        <f>IFERROR(__xludf.DUMMYFUNCTION("""COMPUTED_VALUE"""),72.46666666666667)</f>
        <v>72.46666667</v>
      </c>
      <c r="H241" s="23">
        <f>IFERROR(__xludf.DUMMYFUNCTION("""COMPUTED_VALUE"""),40078.0)</f>
        <v>40078</v>
      </c>
      <c r="I241" s="27">
        <f>IFERROR(__xludf.DUMMYFUNCTION("""COMPUTED_VALUE"""),11.0)</f>
        <v>11</v>
      </c>
      <c r="J241" s="29">
        <f>IFERROR(__xludf.DUMMYFUNCTION("""COMPUTED_VALUE"""),83.0)</f>
        <v>83</v>
      </c>
      <c r="K241" s="29">
        <f>IFERROR(__xludf.DUMMYFUNCTION("""COMPUTED_VALUE"""),7.0)</f>
        <v>7</v>
      </c>
      <c r="L241" s="31" t="str">
        <f>IFERROR(__xludf.DUMMYFUNCTION("""COMPUTED_VALUE"""),"Shooter")</f>
        <v>Shooter</v>
      </c>
      <c r="M241" s="31"/>
    </row>
    <row r="242">
      <c r="A242" s="17" t="str">
        <f>IFERROR(__xludf.DUMMYFUNCTION("""COMPUTED_VALUE"""),"Overcooked! 2")</f>
        <v>Overcooked! 2</v>
      </c>
      <c r="B242" s="20" t="str">
        <f>IFERROR(__xludf.DUMMYFUNCTION("""COMPUTED_VALUE"""),"Xbox / PC")</f>
        <v>Xbox / PC</v>
      </c>
      <c r="C242" s="21" t="str">
        <f>IFERROR(__xludf.DUMMYFUNCTION("""COMPUTED_VALUE"""),"Touch Controls")</f>
        <v>Touch Controls</v>
      </c>
      <c r="D242" s="21" t="str">
        <f>IFERROR(__xludf.DUMMYFUNCTION("""COMPUTED_VALUE"""),"Active")</f>
        <v>Active</v>
      </c>
      <c r="E242" s="23">
        <f>IFERROR(__xludf.DUMMYFUNCTION("""COMPUTED_VALUE"""),43811.0)</f>
        <v>43811</v>
      </c>
      <c r="F242" s="24"/>
      <c r="G242" s="27">
        <f>IFERROR(__xludf.DUMMYFUNCTION("""COMPUTED_VALUE"""),81.8)</f>
        <v>81.8</v>
      </c>
      <c r="H242" s="23">
        <f>IFERROR(__xludf.DUMMYFUNCTION("""COMPUTED_VALUE"""),43319.0)</f>
        <v>43319</v>
      </c>
      <c r="I242" s="27">
        <f>IFERROR(__xludf.DUMMYFUNCTION("""COMPUTED_VALUE"""),1.3472222222222223)</f>
        <v>1.347222222</v>
      </c>
      <c r="J242" s="29">
        <f>IFERROR(__xludf.DUMMYFUNCTION("""COMPUTED_VALUE"""),83.0)</f>
        <v>83</v>
      </c>
      <c r="K242" s="29">
        <f>IFERROR(__xludf.DUMMYFUNCTION("""COMPUTED_VALUE"""),6.5)</f>
        <v>6.5</v>
      </c>
      <c r="L242" s="31" t="str">
        <f>IFERROR(__xludf.DUMMYFUNCTION("""COMPUTED_VALUE"""),"Simulation")</f>
        <v>Simulation</v>
      </c>
      <c r="M242" s="31" t="str">
        <f>IFERROR(__xludf.DUMMYFUNCTION("""COMPUTED_VALUE"""),"FPS Boost")</f>
        <v>FPS Boost</v>
      </c>
    </row>
    <row r="243">
      <c r="A243" s="17" t="str">
        <f>IFERROR(__xludf.DUMMYFUNCTION("""COMPUTED_VALUE"""),"Gears 5: Game of the Year Edition")</f>
        <v>Gears 5: Game of the Year Edition</v>
      </c>
      <c r="B243" s="20" t="str">
        <f>IFERROR(__xludf.DUMMYFUNCTION("""COMPUTED_VALUE"""),"Xbox / PC")</f>
        <v>Xbox / PC</v>
      </c>
      <c r="C243" s="21" t="str">
        <f>IFERROR(__xludf.DUMMYFUNCTION("""COMPUTED_VALUE"""),"Touch Controls")</f>
        <v>Touch Controls</v>
      </c>
      <c r="D243" s="21" t="str">
        <f>IFERROR(__xludf.DUMMYFUNCTION("""COMPUTED_VALUE"""),"Active")</f>
        <v>Active</v>
      </c>
      <c r="E243" s="23">
        <f>IFERROR(__xludf.DUMMYFUNCTION("""COMPUTED_VALUE"""),43718.0)</f>
        <v>43718</v>
      </c>
      <c r="F243" s="24"/>
      <c r="G243" s="27">
        <f>IFERROR(__xludf.DUMMYFUNCTION("""COMPUTED_VALUE"""),84.86666666666666)</f>
        <v>84.86666667</v>
      </c>
      <c r="H243" s="23">
        <f>IFERROR(__xludf.DUMMYFUNCTION("""COMPUTED_VALUE"""),43718.0)</f>
        <v>43718</v>
      </c>
      <c r="I243" s="27">
        <f>IFERROR(__xludf.DUMMYFUNCTION("""COMPUTED_VALUE"""),0.0)</f>
        <v>0</v>
      </c>
      <c r="J243" s="29">
        <f>IFERROR(__xludf.DUMMYFUNCTION("""COMPUTED_VALUE"""),83.0)</f>
        <v>83</v>
      </c>
      <c r="K243" s="29">
        <f>IFERROR(__xludf.DUMMYFUNCTION("""COMPUTED_VALUE"""),10.5)</f>
        <v>10.5</v>
      </c>
      <c r="L243" s="31" t="str">
        <f>IFERROR(__xludf.DUMMYFUNCTION("""COMPUTED_VALUE"""),"Action")</f>
        <v>Action</v>
      </c>
      <c r="M243" s="31" t="str">
        <f>IFERROR(__xludf.DUMMYFUNCTION("""COMPUTED_VALUE"""),"Optimized")</f>
        <v>Optimized</v>
      </c>
    </row>
    <row r="244">
      <c r="A244" s="17" t="str">
        <f>IFERROR(__xludf.DUMMYFUNCTION("""COMPUTED_VALUE"""),"Prey")</f>
        <v>Prey</v>
      </c>
      <c r="B244" s="20" t="str">
        <f>IFERROR(__xludf.DUMMYFUNCTION("""COMPUTED_VALUE"""),"Xbox / PC")</f>
        <v>Xbox / PC</v>
      </c>
      <c r="C244" s="21" t="str">
        <f>IFERROR(__xludf.DUMMYFUNCTION("""COMPUTED_VALUE"""),"Yes")</f>
        <v>Yes</v>
      </c>
      <c r="D244" s="21" t="str">
        <f>IFERROR(__xludf.DUMMYFUNCTION("""COMPUTED_VALUE"""),"Active")</f>
        <v>Active</v>
      </c>
      <c r="E244" s="23">
        <f>IFERROR(__xludf.DUMMYFUNCTION("""COMPUTED_VALUE"""),43566.0)</f>
        <v>43566</v>
      </c>
      <c r="F244" s="24"/>
      <c r="G244" s="27">
        <f>IFERROR(__xludf.DUMMYFUNCTION("""COMPUTED_VALUE"""),89.83333333333333)</f>
        <v>89.83333333</v>
      </c>
      <c r="H244" s="23">
        <f>IFERROR(__xludf.DUMMYFUNCTION("""COMPUTED_VALUE"""),42860.0)</f>
        <v>42860</v>
      </c>
      <c r="I244" s="27">
        <f>IFERROR(__xludf.DUMMYFUNCTION("""COMPUTED_VALUE"""),1.9333333333333333)</f>
        <v>1.933333333</v>
      </c>
      <c r="J244" s="29">
        <f>IFERROR(__xludf.DUMMYFUNCTION("""COMPUTED_VALUE"""),83.0)</f>
        <v>83</v>
      </c>
      <c r="K244" s="29">
        <f>IFERROR(__xludf.DUMMYFUNCTION("""COMPUTED_VALUE"""),16.0)</f>
        <v>16</v>
      </c>
      <c r="L244" s="31" t="str">
        <f>IFERROR(__xludf.DUMMYFUNCTION("""COMPUTED_VALUE"""),"Shooter")</f>
        <v>Shooter</v>
      </c>
      <c r="M244" s="31" t="str">
        <f>IFERROR(__xludf.DUMMYFUNCTION("""COMPUTED_VALUE"""),"FPS Boost")</f>
        <v>FPS Boost</v>
      </c>
    </row>
    <row r="245">
      <c r="A245" s="17" t="str">
        <f>IFERROR(__xludf.DUMMYFUNCTION("""COMPUTED_VALUE"""),"The Walking Dead: Season Two")</f>
        <v>The Walking Dead: Season Two</v>
      </c>
      <c r="B245" s="20" t="str">
        <f>IFERROR(__xludf.DUMMYFUNCTION("""COMPUTED_VALUE"""),"Xbox / PC")</f>
        <v>Xbox / PC</v>
      </c>
      <c r="C245" s="21" t="str">
        <f>IFERROR(__xludf.DUMMYFUNCTION("""COMPUTED_VALUE"""),"Touch Controls")</f>
        <v>Touch Controls</v>
      </c>
      <c r="D245" s="21" t="str">
        <f>IFERROR(__xludf.DUMMYFUNCTION("""COMPUTED_VALUE"""),"Active")</f>
        <v>Active</v>
      </c>
      <c r="E245" s="23">
        <f>IFERROR(__xludf.DUMMYFUNCTION("""COMPUTED_VALUE"""),43524.0)</f>
        <v>43524</v>
      </c>
      <c r="F245" s="24"/>
      <c r="G245" s="27">
        <f>IFERROR(__xludf.DUMMYFUNCTION("""COMPUTED_VALUE"""),91.26666666666667)</f>
        <v>91.26666667</v>
      </c>
      <c r="H245" s="23">
        <f>IFERROR(__xludf.DUMMYFUNCTION("""COMPUTED_VALUE"""),41625.0)</f>
        <v>41625</v>
      </c>
      <c r="I245" s="27">
        <f>IFERROR(__xludf.DUMMYFUNCTION("""COMPUTED_VALUE"""),5.197222222222222)</f>
        <v>5.197222222</v>
      </c>
      <c r="J245" s="29">
        <f>IFERROR(__xludf.DUMMYFUNCTION("""COMPUTED_VALUE"""),83.0)</f>
        <v>83</v>
      </c>
      <c r="K245" s="29">
        <f>IFERROR(__xludf.DUMMYFUNCTION("""COMPUTED_VALUE"""),9.5)</f>
        <v>9.5</v>
      </c>
      <c r="L245" s="31" t="str">
        <f>IFERROR(__xludf.DUMMYFUNCTION("""COMPUTED_VALUE"""),"Adventure")</f>
        <v>Adventure</v>
      </c>
      <c r="M245" s="31"/>
    </row>
    <row r="246">
      <c r="A246" s="17" t="str">
        <f>IFERROR(__xludf.DUMMYFUNCTION("""COMPUTED_VALUE"""),"Cities: Skylines - Remastered")</f>
        <v>Cities: Skylines - Remastered</v>
      </c>
      <c r="B246" s="20" t="str">
        <f>IFERROR(__xludf.DUMMYFUNCTION("""COMPUTED_VALUE"""),"Xbox / PC")</f>
        <v>Xbox / PC</v>
      </c>
      <c r="C246" s="21" t="str">
        <f>IFERROR(__xludf.DUMMYFUNCTION("""COMPUTED_VALUE"""),"M+KB")</f>
        <v>M+KB</v>
      </c>
      <c r="D246" s="21" t="str">
        <f>IFERROR(__xludf.DUMMYFUNCTION("""COMPUTED_VALUE"""),"Active")</f>
        <v>Active</v>
      </c>
      <c r="E246" s="23">
        <f>IFERROR(__xludf.DUMMYFUNCTION("""COMPUTED_VALUE"""),43191.0)</f>
        <v>43191</v>
      </c>
      <c r="F246" s="24"/>
      <c r="G246" s="27">
        <f>IFERROR(__xludf.DUMMYFUNCTION("""COMPUTED_VALUE"""),102.16666666666667)</f>
        <v>102.1666667</v>
      </c>
      <c r="H246" s="23">
        <f>IFERROR(__xludf.DUMMYFUNCTION("""COMPUTED_VALUE"""),42073.0)</f>
        <v>42073</v>
      </c>
      <c r="I246" s="27">
        <f>IFERROR(__xludf.DUMMYFUNCTION("""COMPUTED_VALUE"""),3.058333333333333)</f>
        <v>3.058333333</v>
      </c>
      <c r="J246" s="29">
        <f>IFERROR(__xludf.DUMMYFUNCTION("""COMPUTED_VALUE"""),83.0)</f>
        <v>83</v>
      </c>
      <c r="K246" s="29">
        <f>IFERROR(__xludf.DUMMYFUNCTION("""COMPUTED_VALUE"""),25.5)</f>
        <v>25.5</v>
      </c>
      <c r="L246" s="31" t="str">
        <f>IFERROR(__xludf.DUMMYFUNCTION("""COMPUTED_VALUE"""),"Simulation")</f>
        <v>Simulation</v>
      </c>
      <c r="M246" s="31"/>
    </row>
    <row r="247">
      <c r="A247" s="17" t="str">
        <f>IFERROR(__xludf.DUMMYFUNCTION("""COMPUTED_VALUE"""),"theHunter: Call of the Wild")</f>
        <v>theHunter: Call of the Wild</v>
      </c>
      <c r="B247" s="20" t="str">
        <f>IFERROR(__xludf.DUMMYFUNCTION("""COMPUTED_VALUE"""),"Xbox / PC")</f>
        <v>Xbox / PC</v>
      </c>
      <c r="C247" s="21" t="str">
        <f>IFERROR(__xludf.DUMMYFUNCTION("""COMPUTED_VALUE"""),"Yes")</f>
        <v>Yes</v>
      </c>
      <c r="D247" s="21" t="str">
        <f>IFERROR(__xludf.DUMMYFUNCTION("""COMPUTED_VALUE"""),"Active")</f>
        <v>Active</v>
      </c>
      <c r="E247" s="23">
        <f>IFERROR(__xludf.DUMMYFUNCTION("""COMPUTED_VALUE"""),43191.0)</f>
        <v>43191</v>
      </c>
      <c r="F247" s="24"/>
      <c r="G247" s="27">
        <f>IFERROR(__xludf.DUMMYFUNCTION("""COMPUTED_VALUE"""),102.16666666666667)</f>
        <v>102.1666667</v>
      </c>
      <c r="H247" s="23">
        <f>IFERROR(__xludf.DUMMYFUNCTION("""COMPUTED_VALUE"""),42781.0)</f>
        <v>42781</v>
      </c>
      <c r="I247" s="27">
        <f>IFERROR(__xludf.DUMMYFUNCTION("""COMPUTED_VALUE"""),1.1277777777777778)</f>
        <v>1.127777778</v>
      </c>
      <c r="J247" s="29">
        <f>IFERROR(__xludf.DUMMYFUNCTION("""COMPUTED_VALUE"""),83.0)</f>
        <v>83</v>
      </c>
      <c r="K247" s="29">
        <f>IFERROR(__xludf.DUMMYFUNCTION("""COMPUTED_VALUE"""),20.5)</f>
        <v>20.5</v>
      </c>
      <c r="L247" s="31" t="str">
        <f>IFERROR(__xludf.DUMMYFUNCTION("""COMPUTED_VALUE"""),"Shooter")</f>
        <v>Shooter</v>
      </c>
      <c r="M247" s="31"/>
    </row>
    <row r="248">
      <c r="A248" s="17" t="str">
        <f>IFERROR(__xludf.DUMMYFUNCTION("""COMPUTED_VALUE"""),"Torchlight")</f>
        <v>Torchlight</v>
      </c>
      <c r="B248" s="20" t="str">
        <f>IFERROR(__xludf.DUMMYFUNCTION("""COMPUTED_VALUE"""),"XB360/OG Xbox")</f>
        <v>XB360/OG Xbox</v>
      </c>
      <c r="C248" s="21"/>
      <c r="D248" s="21" t="str">
        <f>IFERROR(__xludf.DUMMYFUNCTION("""COMPUTED_VALUE"""),"GwG Permanent")</f>
        <v>GwG Permanent</v>
      </c>
      <c r="E248" s="23">
        <f>IFERROR(__xludf.DUMMYFUNCTION("""COMPUTED_VALUE"""),44758.0)</f>
        <v>44758</v>
      </c>
      <c r="F248" s="24">
        <f>IFERROR(__xludf.DUMMYFUNCTION("""COMPUTED_VALUE"""),44773.0)</f>
        <v>44773</v>
      </c>
      <c r="G248" s="27">
        <f>IFERROR(__xludf.DUMMYFUNCTION("""COMPUTED_VALUE"""),0.4666666666666667)</f>
        <v>0.4666666667</v>
      </c>
      <c r="H248" s="23">
        <f>IFERROR(__xludf.DUMMYFUNCTION("""COMPUTED_VALUE"""),40113.0)</f>
        <v>40113</v>
      </c>
      <c r="I248" s="27">
        <f>IFERROR(__xludf.DUMMYFUNCTION("""COMPUTED_VALUE"""),12.719444444444445)</f>
        <v>12.71944444</v>
      </c>
      <c r="J248" s="29">
        <f>IFERROR(__xludf.DUMMYFUNCTION("""COMPUTED_VALUE"""),83.0)</f>
        <v>83</v>
      </c>
      <c r="K248" s="29">
        <f>IFERROR(__xludf.DUMMYFUNCTION("""COMPUTED_VALUE"""),14.0)</f>
        <v>14</v>
      </c>
      <c r="L248" s="31" t="str">
        <f>IFERROR(__xludf.DUMMYFUNCTION("""COMPUTED_VALUE"""),"RPG")</f>
        <v>RPG</v>
      </c>
      <c r="M248" s="31"/>
    </row>
    <row r="249">
      <c r="A249" s="17" t="str">
        <f>IFERROR(__xludf.DUMMYFUNCTION("""COMPUTED_VALUE"""),"Injustice: Gods Among Us")</f>
        <v>Injustice: Gods Among Us</v>
      </c>
      <c r="B249" s="20" t="str">
        <f>IFERROR(__xludf.DUMMYFUNCTION("""COMPUTED_VALUE"""),"XB360/OG Xbox")</f>
        <v>XB360/OG Xbox</v>
      </c>
      <c r="C249" s="21"/>
      <c r="D249" s="21" t="str">
        <f>IFERROR(__xludf.DUMMYFUNCTION("""COMPUTED_VALUE"""),"GwG Permanent")</f>
        <v>GwG Permanent</v>
      </c>
      <c r="E249" s="23">
        <f>IFERROR(__xludf.DUMMYFUNCTION("""COMPUTED_VALUE"""),44363.0)</f>
        <v>44363</v>
      </c>
      <c r="F249" s="24">
        <f>IFERROR(__xludf.DUMMYFUNCTION("""COMPUTED_VALUE"""),44377.0)</f>
        <v>44377</v>
      </c>
      <c r="G249" s="27">
        <f>IFERROR(__xludf.DUMMYFUNCTION("""COMPUTED_VALUE"""),0.4666666666666667)</f>
        <v>0.4666666667</v>
      </c>
      <c r="H249" s="23">
        <f>IFERROR(__xludf.DUMMYFUNCTION("""COMPUTED_VALUE"""),41380.0)</f>
        <v>41380</v>
      </c>
      <c r="I249" s="27">
        <f>IFERROR(__xludf.DUMMYFUNCTION("""COMPUTED_VALUE"""),8.166666666666666)</f>
        <v>8.166666667</v>
      </c>
      <c r="J249" s="29">
        <f>IFERROR(__xludf.DUMMYFUNCTION("""COMPUTED_VALUE"""),83.0)</f>
        <v>83</v>
      </c>
      <c r="K249" s="29">
        <f>IFERROR(__xludf.DUMMYFUNCTION("""COMPUTED_VALUE"""),5.0)</f>
        <v>5</v>
      </c>
      <c r="L249" s="31" t="str">
        <f>IFERROR(__xludf.DUMMYFUNCTION("""COMPUTED_VALUE"""),"Fighting")</f>
        <v>Fighting</v>
      </c>
      <c r="M249" s="31"/>
    </row>
    <row r="250">
      <c r="A250" s="17" t="str">
        <f>IFERROR(__xludf.DUMMYFUNCTION("""COMPUTED_VALUE"""),"Hard Corps: Uprising")</f>
        <v>Hard Corps: Uprising</v>
      </c>
      <c r="B250" s="20" t="str">
        <f>IFERROR(__xludf.DUMMYFUNCTION("""COMPUTED_VALUE"""),"XB360/OG Xbox")</f>
        <v>XB360/OG Xbox</v>
      </c>
      <c r="C250" s="21"/>
      <c r="D250" s="21" t="str">
        <f>IFERROR(__xludf.DUMMYFUNCTION("""COMPUTED_VALUE"""),"GwG Permanent")</f>
        <v>GwG Permanent</v>
      </c>
      <c r="E250" s="23">
        <f>IFERROR(__xludf.DUMMYFUNCTION("""COMPUTED_VALUE"""),44302.0)</f>
        <v>44302</v>
      </c>
      <c r="F250" s="24">
        <f>IFERROR(__xludf.DUMMYFUNCTION("""COMPUTED_VALUE"""),44316.0)</f>
        <v>44316</v>
      </c>
      <c r="G250" s="27">
        <f>IFERROR(__xludf.DUMMYFUNCTION("""COMPUTED_VALUE"""),0.4666666666666667)</f>
        <v>0.4666666667</v>
      </c>
      <c r="H250" s="23">
        <f>IFERROR(__xludf.DUMMYFUNCTION("""COMPUTED_VALUE"""),40590.0)</f>
        <v>40590</v>
      </c>
      <c r="I250" s="27">
        <f>IFERROR(__xludf.DUMMYFUNCTION("""COMPUTED_VALUE"""),10.166666666666666)</f>
        <v>10.16666667</v>
      </c>
      <c r="J250" s="29">
        <f>IFERROR(__xludf.DUMMYFUNCTION("""COMPUTED_VALUE"""),83.0)</f>
        <v>83</v>
      </c>
      <c r="K250" s="29">
        <f>IFERROR(__xludf.DUMMYFUNCTION("""COMPUTED_VALUE"""),3.0)</f>
        <v>3</v>
      </c>
      <c r="L250" s="31" t="str">
        <f>IFERROR(__xludf.DUMMYFUNCTION("""COMPUTED_VALUE"""),"Action")</f>
        <v>Action</v>
      </c>
      <c r="M250" s="31"/>
    </row>
    <row r="251">
      <c r="A251" s="17" t="str">
        <f>IFERROR(__xludf.DUMMYFUNCTION("""COMPUTED_VALUE"""),"Earth Defense Force 2025")</f>
        <v>Earth Defense Force 2025</v>
      </c>
      <c r="B251" s="20" t="str">
        <f>IFERROR(__xludf.DUMMYFUNCTION("""COMPUTED_VALUE"""),"XB360/OG Xbox")</f>
        <v>XB360/OG Xbox</v>
      </c>
      <c r="C251" s="21"/>
      <c r="D251" s="21" t="str">
        <f>IFERROR(__xludf.DUMMYFUNCTION("""COMPUTED_VALUE"""),"GwG Permanent")</f>
        <v>GwG Permanent</v>
      </c>
      <c r="E251" s="23">
        <f>IFERROR(__xludf.DUMMYFUNCTION("""COMPUTED_VALUE"""),43709.0)</f>
        <v>43709</v>
      </c>
      <c r="F251" s="24">
        <f>IFERROR(__xludf.DUMMYFUNCTION("""COMPUTED_VALUE"""),43723.0)</f>
        <v>43723</v>
      </c>
      <c r="G251" s="27">
        <f>IFERROR(__xludf.DUMMYFUNCTION("""COMPUTED_VALUE"""),0.4666666666666667)</f>
        <v>0.4666666667</v>
      </c>
      <c r="H251" s="23">
        <f>IFERROR(__xludf.DUMMYFUNCTION("""COMPUTED_VALUE"""),41464.0)</f>
        <v>41464</v>
      </c>
      <c r="I251" s="27">
        <f>IFERROR(__xludf.DUMMYFUNCTION("""COMPUTED_VALUE"""),6.144444444444445)</f>
        <v>6.144444444</v>
      </c>
      <c r="J251" s="29">
        <f>IFERROR(__xludf.DUMMYFUNCTION("""COMPUTED_VALUE"""),83.0)</f>
        <v>83</v>
      </c>
      <c r="K251" s="29">
        <f>IFERROR(__xludf.DUMMYFUNCTION("""COMPUTED_VALUE"""),15.0)</f>
        <v>15</v>
      </c>
      <c r="L251" s="31" t="str">
        <f>IFERROR(__xludf.DUMMYFUNCTION("""COMPUTED_VALUE"""),"Shooter")</f>
        <v>Shooter</v>
      </c>
      <c r="M251" s="31"/>
    </row>
    <row r="252">
      <c r="A252" s="17" t="str">
        <f>IFERROR(__xludf.DUMMYFUNCTION("""COMPUTED_VALUE"""),"Castlevania: Lords of Shadow")</f>
        <v>Castlevania: Lords of Shadow</v>
      </c>
      <c r="B252" s="20" t="str">
        <f>IFERROR(__xludf.DUMMYFUNCTION("""COMPUTED_VALUE"""),"XB360/OG Xbox")</f>
        <v>XB360/OG Xbox</v>
      </c>
      <c r="C252" s="21"/>
      <c r="D252" s="21" t="str">
        <f>IFERROR(__xludf.DUMMYFUNCTION("""COMPUTED_VALUE"""),"GwG Permanent")</f>
        <v>GwG Permanent</v>
      </c>
      <c r="E252" s="23">
        <f>IFERROR(__xludf.DUMMYFUNCTION("""COMPUTED_VALUE"""),43693.0)</f>
        <v>43693</v>
      </c>
      <c r="F252" s="24">
        <f>IFERROR(__xludf.DUMMYFUNCTION("""COMPUTED_VALUE"""),43708.0)</f>
        <v>43708</v>
      </c>
      <c r="G252" s="27">
        <f>IFERROR(__xludf.DUMMYFUNCTION("""COMPUTED_VALUE"""),0.4666666666666667)</f>
        <v>0.4666666667</v>
      </c>
      <c r="H252" s="23">
        <f>IFERROR(__xludf.DUMMYFUNCTION("""COMPUTED_VALUE"""),40458.0)</f>
        <v>40458</v>
      </c>
      <c r="I252" s="27">
        <f>IFERROR(__xludf.DUMMYFUNCTION("""COMPUTED_VALUE"""),8.858333333333333)</f>
        <v>8.858333333</v>
      </c>
      <c r="J252" s="29">
        <f>IFERROR(__xludf.DUMMYFUNCTION("""COMPUTED_VALUE"""),83.0)</f>
        <v>83</v>
      </c>
      <c r="K252" s="29">
        <f>IFERROR(__xludf.DUMMYFUNCTION("""COMPUTED_VALUE"""),19.0)</f>
        <v>19</v>
      </c>
      <c r="L252" s="31" t="str">
        <f>IFERROR(__xludf.DUMMYFUNCTION("""COMPUTED_VALUE"""),"Action-Adventure")</f>
        <v>Action-Adventure</v>
      </c>
      <c r="M252" s="31"/>
    </row>
    <row r="253">
      <c r="A253" s="17" t="str">
        <f>IFERROR(__xludf.DUMMYFUNCTION("""COMPUTED_VALUE"""),"Torchlight")</f>
        <v>Torchlight</v>
      </c>
      <c r="B253" s="20" t="str">
        <f>IFERROR(__xludf.DUMMYFUNCTION("""COMPUTED_VALUE"""),"XB360/OG Xbox")</f>
        <v>XB360/OG Xbox</v>
      </c>
      <c r="C253" s="21"/>
      <c r="D253" s="21" t="str">
        <f>IFERROR(__xludf.DUMMYFUNCTION("""COMPUTED_VALUE"""),"GwG Permanent")</f>
        <v>GwG Permanent</v>
      </c>
      <c r="E253" s="23">
        <f>IFERROR(__xludf.DUMMYFUNCTION("""COMPUTED_VALUE"""),43678.0)</f>
        <v>43678</v>
      </c>
      <c r="F253" s="24">
        <f>IFERROR(__xludf.DUMMYFUNCTION("""COMPUTED_VALUE"""),43692.0)</f>
        <v>43692</v>
      </c>
      <c r="G253" s="27">
        <f>IFERROR(__xludf.DUMMYFUNCTION("""COMPUTED_VALUE"""),0.4666666666666667)</f>
        <v>0.4666666667</v>
      </c>
      <c r="H253" s="23">
        <f>IFERROR(__xludf.DUMMYFUNCTION("""COMPUTED_VALUE"""),40113.0)</f>
        <v>40113</v>
      </c>
      <c r="I253" s="27">
        <f>IFERROR(__xludf.DUMMYFUNCTION("""COMPUTED_VALUE"""),9.761111111111111)</f>
        <v>9.761111111</v>
      </c>
      <c r="J253" s="29">
        <f>IFERROR(__xludf.DUMMYFUNCTION("""COMPUTED_VALUE"""),83.0)</f>
        <v>83</v>
      </c>
      <c r="K253" s="29">
        <f>IFERROR(__xludf.DUMMYFUNCTION("""COMPUTED_VALUE"""),14.0)</f>
        <v>14</v>
      </c>
      <c r="L253" s="31" t="str">
        <f>IFERROR(__xludf.DUMMYFUNCTION("""COMPUTED_VALUE"""),"RPG")</f>
        <v>RPG</v>
      </c>
      <c r="M253" s="31"/>
    </row>
    <row r="254">
      <c r="A254" s="17" t="str">
        <f>IFERROR(__xludf.DUMMYFUNCTION("""COMPUTED_VALUE"""),"Hitman: Blood Money")</f>
        <v>Hitman: Blood Money</v>
      </c>
      <c r="B254" s="20" t="str">
        <f>IFERROR(__xludf.DUMMYFUNCTION("""COMPUTED_VALUE"""),"XB360/OG Xbox")</f>
        <v>XB360/OG Xbox</v>
      </c>
      <c r="C254" s="21"/>
      <c r="D254" s="21" t="str">
        <f>IFERROR(__xludf.DUMMYFUNCTION("""COMPUTED_VALUE"""),"GwG Permanent")</f>
        <v>GwG Permanent</v>
      </c>
      <c r="E254" s="23">
        <f>IFERROR(__xludf.DUMMYFUNCTION("""COMPUTED_VALUE"""),43389.0)</f>
        <v>43389</v>
      </c>
      <c r="F254" s="24">
        <f>IFERROR(__xludf.DUMMYFUNCTION("""COMPUTED_VALUE"""),43404.0)</f>
        <v>43404</v>
      </c>
      <c r="G254" s="27">
        <f>IFERROR(__xludf.DUMMYFUNCTION("""COMPUTED_VALUE"""),0.4666666666666667)</f>
        <v>0.4666666667</v>
      </c>
      <c r="H254" s="23">
        <f>IFERROR(__xludf.DUMMYFUNCTION("""COMPUTED_VALUE"""),38867.0)</f>
        <v>38867</v>
      </c>
      <c r="I254" s="27">
        <f>IFERROR(__xludf.DUMMYFUNCTION("""COMPUTED_VALUE"""),12.377777777777778)</f>
        <v>12.37777778</v>
      </c>
      <c r="J254" s="29">
        <f>IFERROR(__xludf.DUMMYFUNCTION("""COMPUTED_VALUE"""),83.0)</f>
        <v>83</v>
      </c>
      <c r="K254" s="29">
        <f>IFERROR(__xludf.DUMMYFUNCTION("""COMPUTED_VALUE"""),12.0)</f>
        <v>12</v>
      </c>
      <c r="L254" s="31" t="str">
        <f>IFERROR(__xludf.DUMMYFUNCTION("""COMPUTED_VALUE"""),"Action-Adventure")</f>
        <v>Action-Adventure</v>
      </c>
      <c r="M254" s="31"/>
    </row>
    <row r="255">
      <c r="A255" s="17" t="str">
        <f>IFERROR(__xludf.DUMMYFUNCTION("""COMPUTED_VALUE"""),"Virtua Fighter 5 Final Showdown")</f>
        <v>Virtua Fighter 5 Final Showdown</v>
      </c>
      <c r="B255" s="20" t="str">
        <f>IFERROR(__xludf.DUMMYFUNCTION("""COMPUTED_VALUE"""),"XB360/OG Xbox")</f>
        <v>XB360/OG Xbox</v>
      </c>
      <c r="C255" s="21"/>
      <c r="D255" s="21" t="str">
        <f>IFERROR(__xludf.DUMMYFUNCTION("""COMPUTED_VALUE"""),"GwG Permanent")</f>
        <v>GwG Permanent</v>
      </c>
      <c r="E255" s="23">
        <f>IFERROR(__xludf.DUMMYFUNCTION("""COMPUTED_VALUE"""),43282.0)</f>
        <v>43282</v>
      </c>
      <c r="F255" s="24">
        <f>IFERROR(__xludf.DUMMYFUNCTION("""COMPUTED_VALUE"""),43296.0)</f>
        <v>43296</v>
      </c>
      <c r="G255" s="27">
        <f>IFERROR(__xludf.DUMMYFUNCTION("""COMPUTED_VALUE"""),0.4666666666666667)</f>
        <v>0.4666666667</v>
      </c>
      <c r="H255" s="23">
        <f>IFERROR(__xludf.DUMMYFUNCTION("""COMPUTED_VALUE"""),41149.0)</f>
        <v>41149</v>
      </c>
      <c r="I255" s="27">
        <f>IFERROR(__xludf.DUMMYFUNCTION("""COMPUTED_VALUE"""),5.841666666666667)</f>
        <v>5.841666667</v>
      </c>
      <c r="J255" s="29">
        <f>IFERROR(__xludf.DUMMYFUNCTION("""COMPUTED_VALUE"""),83.0)</f>
        <v>83</v>
      </c>
      <c r="K255" s="29">
        <f>IFERROR(__xludf.DUMMYFUNCTION("""COMPUTED_VALUE"""),1.0)</f>
        <v>1</v>
      </c>
      <c r="L255" s="31" t="str">
        <f>IFERROR(__xludf.DUMMYFUNCTION("""COMPUTED_VALUE"""),"Fighting")</f>
        <v>Fighting</v>
      </c>
      <c r="M255" s="31"/>
    </row>
    <row r="256">
      <c r="A256" s="17" t="str">
        <f>IFERROR(__xludf.DUMMYFUNCTION("""COMPUTED_VALUE"""),"Star Wars: The Force Unleashed")</f>
        <v>Star Wars: The Force Unleashed</v>
      </c>
      <c r="B256" s="20" t="str">
        <f>IFERROR(__xludf.DUMMYFUNCTION("""COMPUTED_VALUE"""),"XB360/OG Xbox")</f>
        <v>XB360/OG Xbox</v>
      </c>
      <c r="C256" s="21"/>
      <c r="D256" s="21" t="str">
        <f>IFERROR(__xludf.DUMMYFUNCTION("""COMPUTED_VALUE"""),"GwG Permanent")</f>
        <v>GwG Permanent</v>
      </c>
      <c r="E256" s="23">
        <f>IFERROR(__xludf.DUMMYFUNCTION("""COMPUTED_VALUE"""),42782.0)</f>
        <v>42782</v>
      </c>
      <c r="F256" s="24">
        <f>IFERROR(__xludf.DUMMYFUNCTION("""COMPUTED_VALUE"""),42794.0)</f>
        <v>42794</v>
      </c>
      <c r="G256" s="27">
        <f>IFERROR(__xludf.DUMMYFUNCTION("""COMPUTED_VALUE"""),0.4)</f>
        <v>0.4</v>
      </c>
      <c r="H256" s="23">
        <f>IFERROR(__xludf.DUMMYFUNCTION("""COMPUTED_VALUE"""),39707.0)</f>
        <v>39707</v>
      </c>
      <c r="I256" s="27">
        <f>IFERROR(__xludf.DUMMYFUNCTION("""COMPUTED_VALUE"""),8.416666666666666)</f>
        <v>8.416666667</v>
      </c>
      <c r="J256" s="29">
        <f>IFERROR(__xludf.DUMMYFUNCTION("""COMPUTED_VALUE"""),83.0)</f>
        <v>83</v>
      </c>
      <c r="K256" s="29">
        <f>IFERROR(__xludf.DUMMYFUNCTION("""COMPUTED_VALUE"""),10.0)</f>
        <v>10</v>
      </c>
      <c r="L256" s="31" t="str">
        <f>IFERROR(__xludf.DUMMYFUNCTION("""COMPUTED_VALUE"""),"Action-Adventure")</f>
        <v>Action-Adventure</v>
      </c>
      <c r="M256" s="31" t="str">
        <f>IFERROR(__xludf.DUMMYFUNCTION("""COMPUTED_VALUE"""),"Enhanced")</f>
        <v>Enhanced</v>
      </c>
    </row>
    <row r="257">
      <c r="A257" s="17" t="str">
        <f>IFERROR(__xludf.DUMMYFUNCTION("""COMPUTED_VALUE"""),"Terraria")</f>
        <v>Terraria</v>
      </c>
      <c r="B257" s="20" t="str">
        <f>IFERROR(__xludf.DUMMYFUNCTION("""COMPUTED_VALUE"""),"XB360/OG Xbox")</f>
        <v>XB360/OG Xbox</v>
      </c>
      <c r="C257" s="21"/>
      <c r="D257" s="21" t="str">
        <f>IFERROR(__xludf.DUMMYFUNCTION("""COMPUTED_VALUE"""),"GwG Permanent")</f>
        <v>GwG Permanent</v>
      </c>
      <c r="E257" s="23">
        <f>IFERROR(__xludf.DUMMYFUNCTION("""COMPUTED_VALUE"""),42095.0)</f>
        <v>42095</v>
      </c>
      <c r="F257" s="24">
        <f>IFERROR(__xludf.DUMMYFUNCTION("""COMPUTED_VALUE"""),42109.0)</f>
        <v>42109</v>
      </c>
      <c r="G257" s="27">
        <f>IFERROR(__xludf.DUMMYFUNCTION("""COMPUTED_VALUE"""),0.4666666666666667)</f>
        <v>0.4666666667</v>
      </c>
      <c r="H257" s="23">
        <f>IFERROR(__xludf.DUMMYFUNCTION("""COMPUTED_VALUE"""),40679.0)</f>
        <v>40679</v>
      </c>
      <c r="I257" s="27">
        <f>IFERROR(__xludf.DUMMYFUNCTION("""COMPUTED_VALUE"""),3.875)</f>
        <v>3.875</v>
      </c>
      <c r="J257" s="29">
        <f>IFERROR(__xludf.DUMMYFUNCTION("""COMPUTED_VALUE"""),83.0)</f>
        <v>83</v>
      </c>
      <c r="K257" s="29">
        <f>IFERROR(__xludf.DUMMYFUNCTION("""COMPUTED_VALUE"""),29.0)</f>
        <v>29</v>
      </c>
      <c r="L257" s="31" t="str">
        <f>IFERROR(__xludf.DUMMYFUNCTION("""COMPUTED_VALUE"""),"Sandbox")</f>
        <v>Sandbox</v>
      </c>
      <c r="M257" s="31"/>
    </row>
    <row r="258">
      <c r="A258" s="17" t="str">
        <f>IFERROR(__xludf.DUMMYFUNCTION("""COMPUTED_VALUE"""),"Hitman: Absolution")</f>
        <v>Hitman: Absolution</v>
      </c>
      <c r="B258" s="20" t="str">
        <f>IFERROR(__xludf.DUMMYFUNCTION("""COMPUTED_VALUE"""),"XB360/OG Xbox")</f>
        <v>XB360/OG Xbox</v>
      </c>
      <c r="C258" s="21"/>
      <c r="D258" s="21" t="str">
        <f>IFERROR(__xludf.DUMMYFUNCTION("""COMPUTED_VALUE"""),"GwG Permanent")</f>
        <v>GwG Permanent</v>
      </c>
      <c r="E258" s="23">
        <f>IFERROR(__xludf.DUMMYFUNCTION("""COMPUTED_VALUE"""),41730.0)</f>
        <v>41730</v>
      </c>
      <c r="F258" s="24">
        <f>IFERROR(__xludf.DUMMYFUNCTION("""COMPUTED_VALUE"""),41744.0)</f>
        <v>41744</v>
      </c>
      <c r="G258" s="27">
        <f>IFERROR(__xludf.DUMMYFUNCTION("""COMPUTED_VALUE"""),0.4666666666666667)</f>
        <v>0.4666666667</v>
      </c>
      <c r="H258" s="23">
        <f>IFERROR(__xludf.DUMMYFUNCTION("""COMPUTED_VALUE"""),41233.0)</f>
        <v>41233</v>
      </c>
      <c r="I258" s="27">
        <f>IFERROR(__xludf.DUMMYFUNCTION("""COMPUTED_VALUE"""),1.363888888888889)</f>
        <v>1.363888889</v>
      </c>
      <c r="J258" s="29">
        <f>IFERROR(__xludf.DUMMYFUNCTION("""COMPUTED_VALUE"""),83.0)</f>
        <v>83</v>
      </c>
      <c r="K258" s="29">
        <f>IFERROR(__xludf.DUMMYFUNCTION("""COMPUTED_VALUE"""),15.0)</f>
        <v>15</v>
      </c>
      <c r="L258" s="31" t="str">
        <f>IFERROR(__xludf.DUMMYFUNCTION("""COMPUTED_VALUE"""),"Action-Adventure")</f>
        <v>Action-Adventure</v>
      </c>
      <c r="M258" s="31"/>
    </row>
    <row r="259">
      <c r="A259" s="17" t="str">
        <f>IFERROR(__xludf.DUMMYFUNCTION("""COMPUTED_VALUE"""),"Dishonored: Death of the Outsider")</f>
        <v>Dishonored: Death of the Outsider</v>
      </c>
      <c r="B259" s="20" t="str">
        <f>IFERROR(__xludf.DUMMYFUNCTION("""COMPUTED_VALUE"""),"Xbox / PC")</f>
        <v>Xbox / PC</v>
      </c>
      <c r="C259" s="21" t="str">
        <f>IFERROR(__xludf.DUMMYFUNCTION("""COMPUTED_VALUE"""),"Yes")</f>
        <v>Yes</v>
      </c>
      <c r="D259" s="21" t="str">
        <f>IFERROR(__xludf.DUMMYFUNCTION("""COMPUTED_VALUE"""),"Active")</f>
        <v>Active</v>
      </c>
      <c r="E259" s="23">
        <f>IFERROR(__xludf.DUMMYFUNCTION("""COMPUTED_VALUE"""),44360.0)</f>
        <v>44360</v>
      </c>
      <c r="F259" s="24"/>
      <c r="G259" s="27">
        <f>IFERROR(__xludf.DUMMYFUNCTION("""COMPUTED_VALUE"""),63.766666666666666)</f>
        <v>63.76666667</v>
      </c>
      <c r="H259" s="23">
        <f>IFERROR(__xludf.DUMMYFUNCTION("""COMPUTED_VALUE"""),42993.0)</f>
        <v>42993</v>
      </c>
      <c r="I259" s="27">
        <f>IFERROR(__xludf.DUMMYFUNCTION("""COMPUTED_VALUE"""),3.7444444444444445)</f>
        <v>3.744444444</v>
      </c>
      <c r="J259" s="29">
        <f>IFERROR(__xludf.DUMMYFUNCTION("""COMPUTED_VALUE"""),82.5)</f>
        <v>82.5</v>
      </c>
      <c r="K259" s="29">
        <f>IFERROR(__xludf.DUMMYFUNCTION("""COMPUTED_VALUE"""),6.5)</f>
        <v>6.5</v>
      </c>
      <c r="L259" s="31" t="str">
        <f>IFERROR(__xludf.DUMMYFUNCTION("""COMPUTED_VALUE"""),"Action-Adventure")</f>
        <v>Action-Adventure</v>
      </c>
      <c r="M259" s="31" t="str">
        <f>IFERROR(__xludf.DUMMYFUNCTION("""COMPUTED_VALUE"""),"FPS Boost")</f>
        <v>FPS Boost</v>
      </c>
    </row>
    <row r="260">
      <c r="A260" s="17" t="str">
        <f>IFERROR(__xludf.DUMMYFUNCTION("""COMPUTED_VALUE"""),"Conker: Live &amp; Reloaded")</f>
        <v>Conker: Live &amp; Reloaded</v>
      </c>
      <c r="B260" s="20" t="str">
        <f>IFERROR(__xludf.DUMMYFUNCTION("""COMPUTED_VALUE"""),"Xbox / PC")</f>
        <v>Xbox / PC</v>
      </c>
      <c r="C260" s="21" t="str">
        <f>IFERROR(__xludf.DUMMYFUNCTION("""COMPUTED_VALUE"""),"Yes")</f>
        <v>Yes</v>
      </c>
      <c r="D260" s="21" t="str">
        <f>IFERROR(__xludf.DUMMYFUNCTION("""COMPUTED_VALUE"""),"Active")</f>
        <v>Active</v>
      </c>
      <c r="E260" s="23">
        <f>IFERROR(__xludf.DUMMYFUNCTION("""COMPUTED_VALUE"""),46225.0)</f>
        <v>46225</v>
      </c>
      <c r="F260" s="24"/>
      <c r="G260" s="27">
        <f>IFERROR(__xludf.DUMMYFUNCTION("""COMPUTED_VALUE"""),2.466666666666667)</f>
        <v>2.466666667</v>
      </c>
      <c r="H260" s="23">
        <f>IFERROR(__xludf.DUMMYFUNCTION("""COMPUTED_VALUE"""),38673.0)</f>
        <v>38673</v>
      </c>
      <c r="I260" s="27">
        <f>IFERROR(__xludf.DUMMYFUNCTION("""COMPUTED_VALUE"""),20.680555555555557)</f>
        <v>20.68055556</v>
      </c>
      <c r="J260" s="29">
        <f>IFERROR(__xludf.DUMMYFUNCTION("""COMPUTED_VALUE"""),82.0)</f>
        <v>82</v>
      </c>
      <c r="K260" s="29">
        <f>IFERROR(__xludf.DUMMYFUNCTION("""COMPUTED_VALUE"""),11.0)</f>
        <v>11</v>
      </c>
      <c r="L260" s="31" t="str">
        <f>IFERROR(__xludf.DUMMYFUNCTION("""COMPUTED_VALUE"""),"Action-Adventure")</f>
        <v>Action-Adventure</v>
      </c>
      <c r="M260" s="31" t="str">
        <f>IFERROR(__xludf.DUMMYFUNCTION("""COMPUTED_VALUE"""),"Enhanced")</f>
        <v>Enhanced</v>
      </c>
    </row>
    <row r="261">
      <c r="A261" s="17" t="str">
        <f>IFERROR(__xludf.DUMMYFUNCTION("""COMPUTED_VALUE"""),"Ascend to Zero")</f>
        <v>Ascend to Zero</v>
      </c>
      <c r="B261" s="20" t="str">
        <f>IFERROR(__xludf.DUMMYFUNCTION("""COMPUTED_VALUE"""),"Xbox / PC")</f>
        <v>Xbox / PC</v>
      </c>
      <c r="C261" s="21" t="str">
        <f>IFERROR(__xludf.DUMMYFUNCTION("""COMPUTED_VALUE"""),"Yes")</f>
        <v>Yes</v>
      </c>
      <c r="D261" s="21" t="str">
        <f>IFERROR(__xludf.DUMMYFUNCTION("""COMPUTED_VALUE"""),"Active")</f>
        <v>Active</v>
      </c>
      <c r="E261" s="23">
        <f>IFERROR(__xludf.DUMMYFUNCTION("""COMPUTED_VALUE"""),46216.0)</f>
        <v>46216</v>
      </c>
      <c r="F261" s="24"/>
      <c r="G261" s="27">
        <f>IFERROR(__xludf.DUMMYFUNCTION("""COMPUTED_VALUE"""),2.7666666666666666)</f>
        <v>2.766666667</v>
      </c>
      <c r="H261" s="23">
        <f>IFERROR(__xludf.DUMMYFUNCTION("""COMPUTED_VALUE"""),46216.0)</f>
        <v>46216</v>
      </c>
      <c r="I261" s="27">
        <f>IFERROR(__xludf.DUMMYFUNCTION("""COMPUTED_VALUE"""),0.0)</f>
        <v>0</v>
      </c>
      <c r="J261" s="29">
        <f>IFERROR(__xludf.DUMMYFUNCTION("""COMPUTED_VALUE"""),82.0)</f>
        <v>82</v>
      </c>
      <c r="K261" s="29">
        <f>IFERROR(__xludf.DUMMYFUNCTION("""COMPUTED_VALUE"""),13.0)</f>
        <v>13</v>
      </c>
      <c r="L261" s="31" t="str">
        <f>IFERROR(__xludf.DUMMYFUNCTION("""COMPUTED_VALUE"""),"Action-Adventure")</f>
        <v>Action-Adventure</v>
      </c>
      <c r="M261" s="31" t="str">
        <f>IFERROR(__xludf.DUMMYFUNCTION("""COMPUTED_VALUE"""),"Exclusive")</f>
        <v>Exclusive</v>
      </c>
    </row>
    <row r="262">
      <c r="A262" s="17" t="str">
        <f>IFERROR(__xludf.DUMMYFUNCTION("""COMPUTED_VALUE"""),"The Outer Worlds: Spacer’s Choice Edition")</f>
        <v>The Outer Worlds: Spacer’s Choice Edition</v>
      </c>
      <c r="B262" s="20" t="str">
        <f>IFERROR(__xludf.DUMMYFUNCTION("""COMPUTED_VALUE"""),"Xbox / PC")</f>
        <v>Xbox / PC</v>
      </c>
      <c r="C262" s="21" t="str">
        <f>IFERROR(__xludf.DUMMYFUNCTION("""COMPUTED_VALUE"""),"Yes")</f>
        <v>Yes</v>
      </c>
      <c r="D262" s="21" t="str">
        <f>IFERROR(__xludf.DUMMYFUNCTION("""COMPUTED_VALUE"""),"Active")</f>
        <v>Active</v>
      </c>
      <c r="E262" s="23">
        <f>IFERROR(__xludf.DUMMYFUNCTION("""COMPUTED_VALUE"""),46169.0)</f>
        <v>46169</v>
      </c>
      <c r="F262" s="24"/>
      <c r="G262" s="27">
        <f>IFERROR(__xludf.DUMMYFUNCTION("""COMPUTED_VALUE"""),4.3)</f>
        <v>4.3</v>
      </c>
      <c r="H262" s="23">
        <f>IFERROR(__xludf.DUMMYFUNCTION("""COMPUTED_VALUE"""),44992.0)</f>
        <v>44992</v>
      </c>
      <c r="I262" s="27">
        <f>IFERROR(__xludf.DUMMYFUNCTION("""COMPUTED_VALUE"""),3.2222222222222223)</f>
        <v>3.222222222</v>
      </c>
      <c r="J262" s="29">
        <f>IFERROR(__xludf.DUMMYFUNCTION("""COMPUTED_VALUE"""),82.0)</f>
        <v>82</v>
      </c>
      <c r="K262" s="29">
        <f>IFERROR(__xludf.DUMMYFUNCTION("""COMPUTED_VALUE"""),13.0)</f>
        <v>13</v>
      </c>
      <c r="L262" s="31" t="str">
        <f>IFERROR(__xludf.DUMMYFUNCTION("""COMPUTED_VALUE"""),"RPG")</f>
        <v>RPG</v>
      </c>
      <c r="M262" s="31" t="str">
        <f>IFERROR(__xludf.DUMMYFUNCTION("""COMPUTED_VALUE"""),"Exclusive")</f>
        <v>Exclusive</v>
      </c>
    </row>
    <row r="263">
      <c r="A263" s="17" t="str">
        <f>IFERROR(__xludf.DUMMYFUNCTION("""COMPUTED_VALUE"""),"Black Jacket")</f>
        <v>Black Jacket</v>
      </c>
      <c r="B263" s="20" t="str">
        <f>IFERROR(__xludf.DUMMYFUNCTION("""COMPUTED_VALUE"""),"Xbox / PC")</f>
        <v>Xbox / PC</v>
      </c>
      <c r="C263" s="21" t="str">
        <f>IFERROR(__xludf.DUMMYFUNCTION("""COMPUTED_VALUE"""),"Yes")</f>
        <v>Yes</v>
      </c>
      <c r="D263" s="21" t="str">
        <f>IFERROR(__xludf.DUMMYFUNCTION("""COMPUTED_VALUE"""),"Active")</f>
        <v>Active</v>
      </c>
      <c r="E263" s="23">
        <f>IFERROR(__xludf.DUMMYFUNCTION("""COMPUTED_VALUE"""),46154.0)</f>
        <v>46154</v>
      </c>
      <c r="F263" s="24"/>
      <c r="G263" s="27">
        <f>IFERROR(__xludf.DUMMYFUNCTION("""COMPUTED_VALUE"""),4.800000000000001)</f>
        <v>4.8</v>
      </c>
      <c r="H263" s="23">
        <f>IFERROR(__xludf.DUMMYFUNCTION("""COMPUTED_VALUE"""),46154.0)</f>
        <v>46154</v>
      </c>
      <c r="I263" s="27">
        <f>IFERROR(__xludf.DUMMYFUNCTION("""COMPUTED_VALUE"""),0.0)</f>
        <v>0</v>
      </c>
      <c r="J263" s="29">
        <f>IFERROR(__xludf.DUMMYFUNCTION("""COMPUTED_VALUE"""),82.0)</f>
        <v>82</v>
      </c>
      <c r="K263" s="29">
        <f>IFERROR(__xludf.DUMMYFUNCTION("""COMPUTED_VALUE"""),6.0)</f>
        <v>6</v>
      </c>
      <c r="L263" s="31" t="str">
        <f>IFERROR(__xludf.DUMMYFUNCTION("""COMPUTED_VALUE"""),"Roguelike Card Game")</f>
        <v>Roguelike Card Game</v>
      </c>
      <c r="M263" s="31" t="str">
        <f>IFERROR(__xludf.DUMMYFUNCTION("""COMPUTED_VALUE"""),"Exclusive")</f>
        <v>Exclusive</v>
      </c>
    </row>
    <row r="264">
      <c r="A264" s="17" t="str">
        <f>IFERROR(__xludf.DUMMYFUNCTION("""COMPUTED_VALUE"""),"Final Fantasy V")</f>
        <v>Final Fantasy V</v>
      </c>
      <c r="B264" s="20" t="str">
        <f>IFERROR(__xludf.DUMMYFUNCTION("""COMPUTED_VALUE"""),"Xbox / PC")</f>
        <v>Xbox / PC</v>
      </c>
      <c r="C264" s="21" t="str">
        <f>IFERROR(__xludf.DUMMYFUNCTION("""COMPUTED_VALUE"""),"Yes")</f>
        <v>Yes</v>
      </c>
      <c r="D264" s="21" t="str">
        <f>IFERROR(__xludf.DUMMYFUNCTION("""COMPUTED_VALUE"""),"Active")</f>
        <v>Active</v>
      </c>
      <c r="E264" s="23">
        <f>IFERROR(__xludf.DUMMYFUNCTION("""COMPUTED_VALUE"""),46147.0)</f>
        <v>46147</v>
      </c>
      <c r="F264" s="24"/>
      <c r="G264" s="27">
        <f>IFERROR(__xludf.DUMMYFUNCTION("""COMPUTED_VALUE"""),5.033333333333333)</f>
        <v>5.033333333</v>
      </c>
      <c r="H264" s="23">
        <f>IFERROR(__xludf.DUMMYFUNCTION("""COMPUTED_VALUE"""),39027.0)</f>
        <v>39027</v>
      </c>
      <c r="I264" s="27">
        <f>IFERROR(__xludf.DUMMYFUNCTION("""COMPUTED_VALUE"""),19.497222222222224)</f>
        <v>19.49722222</v>
      </c>
      <c r="J264" s="29">
        <f>IFERROR(__xludf.DUMMYFUNCTION("""COMPUTED_VALUE"""),82.0)</f>
        <v>82</v>
      </c>
      <c r="K264" s="29">
        <f>IFERROR(__xludf.DUMMYFUNCTION("""COMPUTED_VALUE"""),31.0)</f>
        <v>31</v>
      </c>
      <c r="L264" s="31" t="str">
        <f>IFERROR(__xludf.DUMMYFUNCTION("""COMPUTED_VALUE"""),"RPG")</f>
        <v>RPG</v>
      </c>
      <c r="M264" s="31" t="str">
        <f>IFERROR(__xludf.DUMMYFUNCTION("""COMPUTED_VALUE"""),"Exclusive")</f>
        <v>Exclusive</v>
      </c>
    </row>
    <row r="265">
      <c r="A265" s="17" t="str">
        <f>IFERROR(__xludf.DUMMYFUNCTION("""COMPUTED_VALUE"""),"inKonbini: One Store. Many Stories ")</f>
        <v>inKonbini: One Store. Many Stories </v>
      </c>
      <c r="B265" s="20" t="str">
        <f>IFERROR(__xludf.DUMMYFUNCTION("""COMPUTED_VALUE"""),"Xbox / PC")</f>
        <v>Xbox / PC</v>
      </c>
      <c r="C265" s="21" t="str">
        <f>IFERROR(__xludf.DUMMYFUNCTION("""COMPUTED_VALUE"""),"Yes")</f>
        <v>Yes</v>
      </c>
      <c r="D265" s="21" t="str">
        <f>IFERROR(__xludf.DUMMYFUNCTION("""COMPUTED_VALUE"""),"Active")</f>
        <v>Active</v>
      </c>
      <c r="E265" s="23">
        <f>IFERROR(__xludf.DUMMYFUNCTION("""COMPUTED_VALUE"""),46142.0)</f>
        <v>46142</v>
      </c>
      <c r="F265" s="24"/>
      <c r="G265" s="27">
        <f>IFERROR(__xludf.DUMMYFUNCTION("""COMPUTED_VALUE"""),5.2)</f>
        <v>5.2</v>
      </c>
      <c r="H265" s="23">
        <f>IFERROR(__xludf.DUMMYFUNCTION("""COMPUTED_VALUE"""),46142.0)</f>
        <v>46142</v>
      </c>
      <c r="I265" s="27">
        <f>IFERROR(__xludf.DUMMYFUNCTION("""COMPUTED_VALUE"""),0.0)</f>
        <v>0</v>
      </c>
      <c r="J265" s="29">
        <f>IFERROR(__xludf.DUMMYFUNCTION("""COMPUTED_VALUE"""),82.0)</f>
        <v>82</v>
      </c>
      <c r="K265" s="29">
        <f>IFERROR(__xludf.DUMMYFUNCTION("""COMPUTED_VALUE"""),7.0)</f>
        <v>7</v>
      </c>
      <c r="L265" s="31" t="str">
        <f>IFERROR(__xludf.DUMMYFUNCTION("""COMPUTED_VALUE"""),"Action-Adventure")</f>
        <v>Action-Adventure</v>
      </c>
      <c r="M265" s="31"/>
    </row>
    <row r="266">
      <c r="A266" s="17" t="str">
        <f>IFERROR(__xludf.DUMMYFUNCTION("""COMPUTED_VALUE"""),"EA Sports College Football 26")</f>
        <v>EA Sports College Football 26</v>
      </c>
      <c r="B266" s="20" t="str">
        <f>IFERROR(__xludf.DUMMYFUNCTION("""COMPUTED_VALUE"""),"Xbox")</f>
        <v>Xbox</v>
      </c>
      <c r="C266" s="21" t="str">
        <f>IFERROR(__xludf.DUMMYFUNCTION("""COMPUTED_VALUE"""),"Yes")</f>
        <v>Yes</v>
      </c>
      <c r="D266" s="21" t="str">
        <f>IFERROR(__xludf.DUMMYFUNCTION("""COMPUTED_VALUE"""),"Active")</f>
        <v>Active</v>
      </c>
      <c r="E266" s="23">
        <f>IFERROR(__xludf.DUMMYFUNCTION("""COMPUTED_VALUE"""),46072.0)</f>
        <v>46072</v>
      </c>
      <c r="F266" s="24"/>
      <c r="G266" s="27">
        <f>IFERROR(__xludf.DUMMYFUNCTION("""COMPUTED_VALUE"""),7.566666666666666)</f>
        <v>7.566666667</v>
      </c>
      <c r="H266" s="23">
        <f>IFERROR(__xludf.DUMMYFUNCTION("""COMPUTED_VALUE"""),45856.0)</f>
        <v>45856</v>
      </c>
      <c r="I266" s="27">
        <f>IFERROR(__xludf.DUMMYFUNCTION("""COMPUTED_VALUE"""),0.5861111111111111)</f>
        <v>0.5861111111</v>
      </c>
      <c r="J266" s="29">
        <f>IFERROR(__xludf.DUMMYFUNCTION("""COMPUTED_VALUE"""),82.0)</f>
        <v>82</v>
      </c>
      <c r="K266" s="29">
        <f>IFERROR(__xludf.DUMMYFUNCTION("""COMPUTED_VALUE"""),6.0)</f>
        <v>6</v>
      </c>
      <c r="L266" s="31" t="str">
        <f>IFERROR(__xludf.DUMMYFUNCTION("""COMPUTED_VALUE"""),"Sports")</f>
        <v>Sports</v>
      </c>
      <c r="M266" s="31" t="str">
        <f>IFERROR(__xludf.DUMMYFUNCTION("""COMPUTED_VALUE"""),"Exclusive")</f>
        <v>Exclusive</v>
      </c>
    </row>
    <row r="267">
      <c r="A267" s="17" t="str">
        <f>IFERROR(__xludf.DUMMYFUNCTION("""COMPUTED_VALUE"""),"Warhammer 40,000: Space Marine II")</f>
        <v>Warhammer 40,000: Space Marine II</v>
      </c>
      <c r="B267" s="20" t="str">
        <f>IFERROR(__xludf.DUMMYFUNCTION("""COMPUTED_VALUE"""),"Xbox / PC")</f>
        <v>Xbox / PC</v>
      </c>
      <c r="C267" s="21" t="str">
        <f>IFERROR(__xludf.DUMMYFUNCTION("""COMPUTED_VALUE"""),"Yes")</f>
        <v>Yes</v>
      </c>
      <c r="D267" s="21" t="str">
        <f>IFERROR(__xludf.DUMMYFUNCTION("""COMPUTED_VALUE"""),"Active")</f>
        <v>Active</v>
      </c>
      <c r="E267" s="23">
        <f>IFERROR(__xludf.DUMMYFUNCTION("""COMPUTED_VALUE"""),46051.0)</f>
        <v>46051</v>
      </c>
      <c r="F267" s="24"/>
      <c r="G267" s="27">
        <f>IFERROR(__xludf.DUMMYFUNCTION("""COMPUTED_VALUE"""),8.233333333333334)</f>
        <v>8.233333333</v>
      </c>
      <c r="H267" s="23">
        <f>IFERROR(__xludf.DUMMYFUNCTION("""COMPUTED_VALUE"""),45540.0)</f>
        <v>45540</v>
      </c>
      <c r="I267" s="27">
        <f>IFERROR(__xludf.DUMMYFUNCTION("""COMPUTED_VALUE"""),1.4)</f>
        <v>1.4</v>
      </c>
      <c r="J267" s="29">
        <f>IFERROR(__xludf.DUMMYFUNCTION("""COMPUTED_VALUE"""),82.0)</f>
        <v>82</v>
      </c>
      <c r="K267" s="29">
        <f>IFERROR(__xludf.DUMMYFUNCTION("""COMPUTED_VALUE"""),9.0)</f>
        <v>9</v>
      </c>
      <c r="L267" s="31" t="str">
        <f>IFERROR(__xludf.DUMMYFUNCTION("""COMPUTED_VALUE"""),"Shooter")</f>
        <v>Shooter</v>
      </c>
      <c r="M267" s="31" t="str">
        <f>IFERROR(__xludf.DUMMYFUNCTION("""COMPUTED_VALUE"""),"Exclusive")</f>
        <v>Exclusive</v>
      </c>
    </row>
    <row r="268">
      <c r="A268" s="17" t="str">
        <f>IFERROR(__xludf.DUMMYFUNCTION("""COMPUTED_VALUE"""),"Death Howl")</f>
        <v>Death Howl</v>
      </c>
      <c r="B268" s="20" t="str">
        <f>IFERROR(__xludf.DUMMYFUNCTION("""COMPUTED_VALUE"""),"Xbox / PC")</f>
        <v>Xbox / PC</v>
      </c>
      <c r="C268" s="21" t="str">
        <f>IFERROR(__xludf.DUMMYFUNCTION("""COMPUTED_VALUE"""),"Yes")</f>
        <v>Yes</v>
      </c>
      <c r="D268" s="21" t="str">
        <f>IFERROR(__xludf.DUMMYFUNCTION("""COMPUTED_VALUE"""),"Active")</f>
        <v>Active</v>
      </c>
      <c r="E268" s="23">
        <f>IFERROR(__xludf.DUMMYFUNCTION("""COMPUTED_VALUE"""),46000.0)</f>
        <v>46000</v>
      </c>
      <c r="F268" s="24"/>
      <c r="G268" s="27">
        <f>IFERROR(__xludf.DUMMYFUNCTION("""COMPUTED_VALUE"""),9.899999999999999)</f>
        <v>9.9</v>
      </c>
      <c r="H268" s="23">
        <f>IFERROR(__xludf.DUMMYFUNCTION("""COMPUTED_VALUE"""),46000.0)</f>
        <v>46000</v>
      </c>
      <c r="I268" s="27">
        <f>IFERROR(__xludf.DUMMYFUNCTION("""COMPUTED_VALUE"""),0.0)</f>
        <v>0</v>
      </c>
      <c r="J268" s="29">
        <f>IFERROR(__xludf.DUMMYFUNCTION("""COMPUTED_VALUE"""),82.0)</f>
        <v>82</v>
      </c>
      <c r="K268" s="29">
        <f>IFERROR(__xludf.DUMMYFUNCTION("""COMPUTED_VALUE"""),25.0)</f>
        <v>25</v>
      </c>
      <c r="L268" s="31" t="str">
        <f>IFERROR(__xludf.DUMMYFUNCTION("""COMPUTED_VALUE"""),"Adventure")</f>
        <v>Adventure</v>
      </c>
      <c r="M268" s="31" t="str">
        <f>IFERROR(__xludf.DUMMYFUNCTION("""COMPUTED_VALUE"""),"Exclusive")</f>
        <v>Exclusive</v>
      </c>
    </row>
    <row r="269">
      <c r="A269" s="17" t="str">
        <f>IFERROR(__xludf.DUMMYFUNCTION("""COMPUTED_VALUE"""),"Voidtrain")</f>
        <v>Voidtrain</v>
      </c>
      <c r="B269" s="20" t="str">
        <f>IFERROR(__xludf.DUMMYFUNCTION("""COMPUTED_VALUE"""),"Xbox / PC")</f>
        <v>Xbox / PC</v>
      </c>
      <c r="C269" s="21" t="str">
        <f>IFERROR(__xludf.DUMMYFUNCTION("""COMPUTED_VALUE"""),"Yes")</f>
        <v>Yes</v>
      </c>
      <c r="D269" s="21" t="str">
        <f>IFERROR(__xludf.DUMMYFUNCTION("""COMPUTED_VALUE"""),"Active")</f>
        <v>Active</v>
      </c>
      <c r="E269" s="23">
        <f>IFERROR(__xludf.DUMMYFUNCTION("""COMPUTED_VALUE"""),45968.0)</f>
        <v>45968</v>
      </c>
      <c r="F269" s="24"/>
      <c r="G269" s="27">
        <f>IFERROR(__xludf.DUMMYFUNCTION("""COMPUTED_VALUE"""),10.966666666666667)</f>
        <v>10.96666667</v>
      </c>
      <c r="H269" s="23">
        <f>IFERROR(__xludf.DUMMYFUNCTION("""COMPUTED_VALUE"""),45968.0)</f>
        <v>45968</v>
      </c>
      <c r="I269" s="27">
        <f>IFERROR(__xludf.DUMMYFUNCTION("""COMPUTED_VALUE"""),0.0)</f>
        <v>0</v>
      </c>
      <c r="J269" s="29">
        <f>IFERROR(__xludf.DUMMYFUNCTION("""COMPUTED_VALUE"""),82.0)</f>
        <v>82</v>
      </c>
      <c r="K269" s="29">
        <f>IFERROR(__xludf.DUMMYFUNCTION("""COMPUTED_VALUE"""),19.0)</f>
        <v>19</v>
      </c>
      <c r="L269" s="31" t="str">
        <f>IFERROR(__xludf.DUMMYFUNCTION("""COMPUTED_VALUE"""),"Shooter")</f>
        <v>Shooter</v>
      </c>
      <c r="M269" s="31" t="str">
        <f>IFERROR(__xludf.DUMMYFUNCTION("""COMPUTED_VALUE"""),"Exclusive")</f>
        <v>Exclusive</v>
      </c>
    </row>
    <row r="270">
      <c r="A270" s="17" t="str">
        <f>IFERROR(__xludf.DUMMYFUNCTION("""COMPUTED_VALUE"""),"PowerWash Simulator 2")</f>
        <v>PowerWash Simulator 2</v>
      </c>
      <c r="B270" s="20" t="str">
        <f>IFERROR(__xludf.DUMMYFUNCTION("""COMPUTED_VALUE"""),"Xbox / PC")</f>
        <v>Xbox / PC</v>
      </c>
      <c r="C270" s="21" t="str">
        <f>IFERROR(__xludf.DUMMYFUNCTION("""COMPUTED_VALUE"""),"Yes")</f>
        <v>Yes</v>
      </c>
      <c r="D270" s="21" t="str">
        <f>IFERROR(__xludf.DUMMYFUNCTION("""COMPUTED_VALUE"""),"Active")</f>
        <v>Active</v>
      </c>
      <c r="E270" s="23">
        <f>IFERROR(__xludf.DUMMYFUNCTION("""COMPUTED_VALUE"""),45953.0)</f>
        <v>45953</v>
      </c>
      <c r="F270" s="24"/>
      <c r="G270" s="27">
        <f>IFERROR(__xludf.DUMMYFUNCTION("""COMPUTED_VALUE"""),11.433333333333334)</f>
        <v>11.43333333</v>
      </c>
      <c r="H270" s="23">
        <f>IFERROR(__xludf.DUMMYFUNCTION("""COMPUTED_VALUE"""),45953.0)</f>
        <v>45953</v>
      </c>
      <c r="I270" s="27">
        <f>IFERROR(__xludf.DUMMYFUNCTION("""COMPUTED_VALUE"""),0.0)</f>
        <v>0</v>
      </c>
      <c r="J270" s="29">
        <f>IFERROR(__xludf.DUMMYFUNCTION("""COMPUTED_VALUE"""),82.0)</f>
        <v>82</v>
      </c>
      <c r="K270" s="29">
        <f>IFERROR(__xludf.DUMMYFUNCTION("""COMPUTED_VALUE"""),37.0)</f>
        <v>37</v>
      </c>
      <c r="L270" s="31" t="str">
        <f>IFERROR(__xludf.DUMMYFUNCTION("""COMPUTED_VALUE"""),"Simulation")</f>
        <v>Simulation</v>
      </c>
      <c r="M270" s="31" t="str">
        <f>IFERROR(__xludf.DUMMYFUNCTION("""COMPUTED_VALUE"""),"Exclusive")</f>
        <v>Exclusive</v>
      </c>
    </row>
    <row r="271">
      <c r="A271" s="17" t="str">
        <f>IFERROR(__xludf.DUMMYFUNCTION("""COMPUTED_VALUE"""),"Ninja Gaiden 4")</f>
        <v>Ninja Gaiden 4</v>
      </c>
      <c r="B271" s="20" t="str">
        <f>IFERROR(__xludf.DUMMYFUNCTION("""COMPUTED_VALUE"""),"Xbox / PC")</f>
        <v>Xbox / PC</v>
      </c>
      <c r="C271" s="21" t="str">
        <f>IFERROR(__xludf.DUMMYFUNCTION("""COMPUTED_VALUE"""),"Yes")</f>
        <v>Yes</v>
      </c>
      <c r="D271" s="21" t="str">
        <f>IFERROR(__xludf.DUMMYFUNCTION("""COMPUTED_VALUE"""),"Active")</f>
        <v>Active</v>
      </c>
      <c r="E271" s="23">
        <f>IFERROR(__xludf.DUMMYFUNCTION("""COMPUTED_VALUE"""),45951.0)</f>
        <v>45951</v>
      </c>
      <c r="F271" s="24"/>
      <c r="G271" s="27">
        <f>IFERROR(__xludf.DUMMYFUNCTION("""COMPUTED_VALUE"""),11.5)</f>
        <v>11.5</v>
      </c>
      <c r="H271" s="23">
        <f>IFERROR(__xludf.DUMMYFUNCTION("""COMPUTED_VALUE"""),45951.0)</f>
        <v>45951</v>
      </c>
      <c r="I271" s="27">
        <f>IFERROR(__xludf.DUMMYFUNCTION("""COMPUTED_VALUE"""),0.0)</f>
        <v>0</v>
      </c>
      <c r="J271" s="29">
        <f>IFERROR(__xludf.DUMMYFUNCTION("""COMPUTED_VALUE"""),82.0)</f>
        <v>82</v>
      </c>
      <c r="K271" s="29">
        <f>IFERROR(__xludf.DUMMYFUNCTION("""COMPUTED_VALUE"""),12.0)</f>
        <v>12</v>
      </c>
      <c r="L271" s="31" t="str">
        <f>IFERROR(__xludf.DUMMYFUNCTION("""COMPUTED_VALUE"""),"Action-Adventure")</f>
        <v>Action-Adventure</v>
      </c>
      <c r="M271" s="31" t="str">
        <f>IFERROR(__xludf.DUMMYFUNCTION("""COMPUTED_VALUE"""),"Exclusive")</f>
        <v>Exclusive</v>
      </c>
    </row>
    <row r="272">
      <c r="A272" s="17" t="str">
        <f>IFERROR(__xludf.DUMMYFUNCTION("""COMPUTED_VALUE"""),"Child of Light")</f>
        <v>Child of Light</v>
      </c>
      <c r="B272" s="20" t="str">
        <f>IFERROR(__xludf.DUMMYFUNCTION("""COMPUTED_VALUE"""),"Xbox / PC")</f>
        <v>Xbox / PC</v>
      </c>
      <c r="C272" s="21" t="str">
        <f>IFERROR(__xludf.DUMMYFUNCTION("""COMPUTED_VALUE"""),"Yes")</f>
        <v>Yes</v>
      </c>
      <c r="D272" s="21" t="str">
        <f>IFERROR(__xludf.DUMMYFUNCTION("""COMPUTED_VALUE"""),"Active")</f>
        <v>Active</v>
      </c>
      <c r="E272" s="23">
        <f>IFERROR(__xludf.DUMMYFUNCTION("""COMPUTED_VALUE"""),45931.0)</f>
        <v>45931</v>
      </c>
      <c r="F272" s="24"/>
      <c r="G272" s="27">
        <f>IFERROR(__xludf.DUMMYFUNCTION("""COMPUTED_VALUE"""),12.166666666666666)</f>
        <v>12.16666667</v>
      </c>
      <c r="H272" s="23">
        <f>IFERROR(__xludf.DUMMYFUNCTION("""COMPUTED_VALUE"""),41758.0)</f>
        <v>41758</v>
      </c>
      <c r="I272" s="27">
        <f>IFERROR(__xludf.DUMMYFUNCTION("""COMPUTED_VALUE"""),11.422222222222222)</f>
        <v>11.42222222</v>
      </c>
      <c r="J272" s="29">
        <f>IFERROR(__xludf.DUMMYFUNCTION("""COMPUTED_VALUE"""),82.0)</f>
        <v>82</v>
      </c>
      <c r="K272" s="29">
        <f>IFERROR(__xludf.DUMMYFUNCTION("""COMPUTED_VALUE"""),11.0)</f>
        <v>11</v>
      </c>
      <c r="L272" s="31" t="str">
        <f>IFERROR(__xludf.DUMMYFUNCTION("""COMPUTED_VALUE"""),"RPG")</f>
        <v>RPG</v>
      </c>
      <c r="M272" s="31"/>
    </row>
    <row r="273">
      <c r="A273" s="17" t="str">
        <f>IFERROR(__xludf.DUMMYFUNCTION("""COMPUTED_VALUE"""),"Dragon Age: The Veilguard")</f>
        <v>Dragon Age: The Veilguard</v>
      </c>
      <c r="B273" s="20" t="str">
        <f>IFERROR(__xludf.DUMMYFUNCTION("""COMPUTED_VALUE"""),"Xbox / PC")</f>
        <v>Xbox / PC</v>
      </c>
      <c r="C273" s="21" t="str">
        <f>IFERROR(__xludf.DUMMYFUNCTION("""COMPUTED_VALUE"""),"Yes")</f>
        <v>Yes</v>
      </c>
      <c r="D273" s="21" t="str">
        <f>IFERROR(__xludf.DUMMYFUNCTION("""COMPUTED_VALUE"""),"Active")</f>
        <v>Active</v>
      </c>
      <c r="E273" s="23">
        <f>IFERROR(__xludf.DUMMYFUNCTION("""COMPUTED_VALUE"""),45897.0)</f>
        <v>45897</v>
      </c>
      <c r="F273" s="24"/>
      <c r="G273" s="27">
        <f>IFERROR(__xludf.DUMMYFUNCTION("""COMPUTED_VALUE"""),13.266666666666667)</f>
        <v>13.26666667</v>
      </c>
      <c r="H273" s="23">
        <f>IFERROR(__xludf.DUMMYFUNCTION("""COMPUTED_VALUE"""),45596.0)</f>
        <v>45596</v>
      </c>
      <c r="I273" s="27">
        <f>IFERROR(__xludf.DUMMYFUNCTION("""COMPUTED_VALUE"""),0.8277777777777777)</f>
        <v>0.8277777778</v>
      </c>
      <c r="J273" s="29">
        <f>IFERROR(__xludf.DUMMYFUNCTION("""COMPUTED_VALUE"""),82.0)</f>
        <v>82</v>
      </c>
      <c r="K273" s="29">
        <f>IFERROR(__xludf.DUMMYFUNCTION("""COMPUTED_VALUE"""),29.0)</f>
        <v>29</v>
      </c>
      <c r="L273" s="31" t="str">
        <f>IFERROR(__xludf.DUMMYFUNCTION("""COMPUTED_VALUE"""),"RPG")</f>
        <v>RPG</v>
      </c>
      <c r="M273" s="31" t="str">
        <f>IFERROR(__xludf.DUMMYFUNCTION("""COMPUTED_VALUE"""),"Exclusive")</f>
        <v>Exclusive</v>
      </c>
    </row>
    <row r="274">
      <c r="A274" s="17" t="str">
        <f>IFERROR(__xludf.DUMMYFUNCTION("""COMPUTED_VALUE"""),"Heretic + Hexen")</f>
        <v>Heretic + Hexen</v>
      </c>
      <c r="B274" s="20" t="str">
        <f>IFERROR(__xludf.DUMMYFUNCTION("""COMPUTED_VALUE"""),"Xbox / PC")</f>
        <v>Xbox / PC</v>
      </c>
      <c r="C274" s="21" t="str">
        <f>IFERROR(__xludf.DUMMYFUNCTION("""COMPUTED_VALUE"""),"Yes")</f>
        <v>Yes</v>
      </c>
      <c r="D274" s="21" t="str">
        <f>IFERROR(__xludf.DUMMYFUNCTION("""COMPUTED_VALUE"""),"Active")</f>
        <v>Active</v>
      </c>
      <c r="E274" s="23">
        <f>IFERROR(__xludf.DUMMYFUNCTION("""COMPUTED_VALUE"""),45876.0)</f>
        <v>45876</v>
      </c>
      <c r="F274" s="24"/>
      <c r="G274" s="27">
        <f>IFERROR(__xludf.DUMMYFUNCTION("""COMPUTED_VALUE"""),13.966666666666669)</f>
        <v>13.96666667</v>
      </c>
      <c r="H274" s="23">
        <f>IFERROR(__xludf.DUMMYFUNCTION("""COMPUTED_VALUE"""),45876.0)</f>
        <v>45876</v>
      </c>
      <c r="I274" s="27">
        <f>IFERROR(__xludf.DUMMYFUNCTION("""COMPUTED_VALUE"""),0.0)</f>
        <v>0</v>
      </c>
      <c r="J274" s="29">
        <f>IFERROR(__xludf.DUMMYFUNCTION("""COMPUTED_VALUE"""),82.0)</f>
        <v>82</v>
      </c>
      <c r="K274" s="29">
        <f>IFERROR(__xludf.DUMMYFUNCTION("""COMPUTED_VALUE"""),27.0)</f>
        <v>27</v>
      </c>
      <c r="L274" s="31" t="str">
        <f>IFERROR(__xludf.DUMMYFUNCTION("""COMPUTED_VALUE"""),"Compilation")</f>
        <v>Compilation</v>
      </c>
      <c r="M274" s="31"/>
    </row>
    <row r="275">
      <c r="A275" s="17" t="str">
        <f>IFERROR(__xludf.DUMMYFUNCTION("""COMPUTED_VALUE"""),"Tony Hawk's Pro Skater 3 + 4")</f>
        <v>Tony Hawk's Pro Skater 3 + 4</v>
      </c>
      <c r="B275" s="20" t="str">
        <f>IFERROR(__xludf.DUMMYFUNCTION("""COMPUTED_VALUE"""),"Xbox / PC")</f>
        <v>Xbox / PC</v>
      </c>
      <c r="C275" s="21" t="str">
        <f>IFERROR(__xludf.DUMMYFUNCTION("""COMPUTED_VALUE"""),"Yes")</f>
        <v>Yes</v>
      </c>
      <c r="D275" s="21" t="str">
        <f>IFERROR(__xludf.DUMMYFUNCTION("""COMPUTED_VALUE"""),"Active")</f>
        <v>Active</v>
      </c>
      <c r="E275" s="23">
        <f>IFERROR(__xludf.DUMMYFUNCTION("""COMPUTED_VALUE"""),45849.0)</f>
        <v>45849</v>
      </c>
      <c r="F275" s="24"/>
      <c r="G275" s="27">
        <f>IFERROR(__xludf.DUMMYFUNCTION("""COMPUTED_VALUE"""),14.833333333333334)</f>
        <v>14.83333333</v>
      </c>
      <c r="H275" s="23">
        <f>IFERROR(__xludf.DUMMYFUNCTION("""COMPUTED_VALUE"""),45849.0)</f>
        <v>45849</v>
      </c>
      <c r="I275" s="27">
        <f>IFERROR(__xludf.DUMMYFUNCTION("""COMPUTED_VALUE"""),0.0)</f>
        <v>0</v>
      </c>
      <c r="J275" s="29">
        <f>IFERROR(__xludf.DUMMYFUNCTION("""COMPUTED_VALUE"""),82.0)</f>
        <v>82</v>
      </c>
      <c r="K275" s="29">
        <f>IFERROR(__xludf.DUMMYFUNCTION("""COMPUTED_VALUE"""),18.0)</f>
        <v>18</v>
      </c>
      <c r="L275" s="31" t="str">
        <f>IFERROR(__xludf.DUMMYFUNCTION("""COMPUTED_VALUE"""),"Skating")</f>
        <v>Skating</v>
      </c>
      <c r="M275" s="31"/>
    </row>
    <row r="276">
      <c r="A276" s="17" t="str">
        <f>IFERROR(__xludf.DUMMYFUNCTION("""COMPUTED_VALUE"""),"Tom Clancy's The Division 2")</f>
        <v>Tom Clancy's The Division 2</v>
      </c>
      <c r="B276" s="20" t="str">
        <f>IFERROR(__xludf.DUMMYFUNCTION("""COMPUTED_VALUE"""),"Xbox / PC")</f>
        <v>Xbox / PC</v>
      </c>
      <c r="C276" s="21" t="str">
        <f>IFERROR(__xludf.DUMMYFUNCTION("""COMPUTED_VALUE"""),"Yes")</f>
        <v>Yes</v>
      </c>
      <c r="D276" s="21" t="str">
        <f>IFERROR(__xludf.DUMMYFUNCTION("""COMPUTED_VALUE"""),"Active")</f>
        <v>Active</v>
      </c>
      <c r="E276" s="23">
        <f>IFERROR(__xludf.DUMMYFUNCTION("""COMPUTED_VALUE"""),45804.0)</f>
        <v>45804</v>
      </c>
      <c r="F276" s="24"/>
      <c r="G276" s="27">
        <f>IFERROR(__xludf.DUMMYFUNCTION("""COMPUTED_VALUE"""),16.3)</f>
        <v>16.3</v>
      </c>
      <c r="H276" s="23">
        <f>IFERROR(__xludf.DUMMYFUNCTION("""COMPUTED_VALUE"""),43536.0)</f>
        <v>43536</v>
      </c>
      <c r="I276" s="27">
        <f>IFERROR(__xludf.DUMMYFUNCTION("""COMPUTED_VALUE"""),6.208333333333333)</f>
        <v>6.208333333</v>
      </c>
      <c r="J276" s="29">
        <f>IFERROR(__xludf.DUMMYFUNCTION("""COMPUTED_VALUE"""),82.0)</f>
        <v>82</v>
      </c>
      <c r="K276" s="29">
        <f>IFERROR(__xludf.DUMMYFUNCTION("""COMPUTED_VALUE"""),26.0)</f>
        <v>26</v>
      </c>
      <c r="L276" s="31" t="str">
        <f>IFERROR(__xludf.DUMMYFUNCTION("""COMPUTED_VALUE"""),"Shooter")</f>
        <v>Shooter</v>
      </c>
      <c r="M276" s="31"/>
    </row>
    <row r="277">
      <c r="A277" s="17" t="str">
        <f>IFERROR(__xludf.DUMMYFUNCTION("""COMPUTED_VALUE"""),"Caesar II")</f>
        <v>Caesar II</v>
      </c>
      <c r="B277" s="20" t="str">
        <f>IFERROR(__xludf.DUMMYFUNCTION("""COMPUTED_VALUE"""),"Xbox / PC")</f>
        <v>Xbox / PC</v>
      </c>
      <c r="C277" s="21" t="str">
        <f>IFERROR(__xludf.DUMMYFUNCTION("""COMPUTED_VALUE"""),"Yes")</f>
        <v>Yes</v>
      </c>
      <c r="D277" s="21" t="str">
        <f>IFERROR(__xludf.DUMMYFUNCTION("""COMPUTED_VALUE"""),"Active")</f>
        <v>Active</v>
      </c>
      <c r="E277" s="23">
        <f>IFERROR(__xludf.DUMMYFUNCTION("""COMPUTED_VALUE"""),45798.0)</f>
        <v>45798</v>
      </c>
      <c r="F277" s="24"/>
      <c r="G277" s="27">
        <f>IFERROR(__xludf.DUMMYFUNCTION("""COMPUTED_VALUE"""),16.5)</f>
        <v>16.5</v>
      </c>
      <c r="H277" s="23">
        <f>IFERROR(__xludf.DUMMYFUNCTION("""COMPUTED_VALUE"""),34956.0)</f>
        <v>34956</v>
      </c>
      <c r="I277" s="27">
        <f>IFERROR(__xludf.DUMMYFUNCTION("""COMPUTED_VALUE"""),29.68611111111111)</f>
        <v>29.68611111</v>
      </c>
      <c r="J277" s="29">
        <f>IFERROR(__xludf.DUMMYFUNCTION("""COMPUTED_VALUE"""),82.0)</f>
        <v>82</v>
      </c>
      <c r="K277" s="29">
        <f>IFERROR(__xludf.DUMMYFUNCTION("""COMPUTED_VALUE"""),7.0)</f>
        <v>7</v>
      </c>
      <c r="L277" s="31" t="str">
        <f>IFERROR(__xludf.DUMMYFUNCTION("""COMPUTED_VALUE"""),"Strategy")</f>
        <v>Strategy</v>
      </c>
      <c r="M277" s="31"/>
    </row>
    <row r="278">
      <c r="A278" s="17" t="str">
        <f>IFERROR(__xludf.DUMMYFUNCTION("""COMPUTED_VALUE"""),"Pitfall II: Lost Caverns")</f>
        <v>Pitfall II: Lost Caverns</v>
      </c>
      <c r="B278" s="20" t="str">
        <f>IFERROR(__xludf.DUMMYFUNCTION("""COMPUTED_VALUE"""),"Xbox / PC")</f>
        <v>Xbox / PC</v>
      </c>
      <c r="C278" s="21" t="str">
        <f>IFERROR(__xludf.DUMMYFUNCTION("""COMPUTED_VALUE"""),"Yes")</f>
        <v>Yes</v>
      </c>
      <c r="D278" s="21" t="str">
        <f>IFERROR(__xludf.DUMMYFUNCTION("""COMPUTED_VALUE"""),"Active")</f>
        <v>Active</v>
      </c>
      <c r="E278" s="23">
        <f>IFERROR(__xludf.DUMMYFUNCTION("""COMPUTED_VALUE"""),45798.0)</f>
        <v>45798</v>
      </c>
      <c r="F278" s="24"/>
      <c r="G278" s="27">
        <f>IFERROR(__xludf.DUMMYFUNCTION("""COMPUTED_VALUE"""),16.5)</f>
        <v>16.5</v>
      </c>
      <c r="H278" s="23">
        <f>IFERROR(__xludf.DUMMYFUNCTION("""COMPUTED_VALUE"""),30575.0)</f>
        <v>30575</v>
      </c>
      <c r="I278" s="27">
        <f>IFERROR(__xludf.DUMMYFUNCTION("""COMPUTED_VALUE"""),41.68055555555556)</f>
        <v>41.68055556</v>
      </c>
      <c r="J278" s="29">
        <f>IFERROR(__xludf.DUMMYFUNCTION("""COMPUTED_VALUE"""),82.0)</f>
        <v>82</v>
      </c>
      <c r="K278" s="29"/>
      <c r="L278" s="31" t="str">
        <f>IFERROR(__xludf.DUMMYFUNCTION("""COMPUTED_VALUE"""),"Platformer")</f>
        <v>Platformer</v>
      </c>
      <c r="M278" s="31"/>
    </row>
    <row r="279">
      <c r="A279" s="17" t="str">
        <f>IFERROR(__xludf.DUMMYFUNCTION("""COMPUTED_VALUE"""),"The Elder Scrolls IV: Oblivion - Remastered")</f>
        <v>The Elder Scrolls IV: Oblivion - Remastered</v>
      </c>
      <c r="B279" s="20" t="str">
        <f>IFERROR(__xludf.DUMMYFUNCTION("""COMPUTED_VALUE"""),"Xbox / PC")</f>
        <v>Xbox / PC</v>
      </c>
      <c r="C279" s="21" t="str">
        <f>IFERROR(__xludf.DUMMYFUNCTION("""COMPUTED_VALUE"""),"Yes")</f>
        <v>Yes</v>
      </c>
      <c r="D279" s="21" t="str">
        <f>IFERROR(__xludf.DUMMYFUNCTION("""COMPUTED_VALUE"""),"Active")</f>
        <v>Active</v>
      </c>
      <c r="E279" s="23">
        <f>IFERROR(__xludf.DUMMYFUNCTION("""COMPUTED_VALUE"""),45769.0)</f>
        <v>45769</v>
      </c>
      <c r="F279" s="24"/>
      <c r="G279" s="27">
        <f>IFERROR(__xludf.DUMMYFUNCTION("""COMPUTED_VALUE"""),17.466666666666665)</f>
        <v>17.46666667</v>
      </c>
      <c r="H279" s="23">
        <f>IFERROR(__xludf.DUMMYFUNCTION("""COMPUTED_VALUE"""),45769.0)</f>
        <v>45769</v>
      </c>
      <c r="I279" s="27">
        <f>IFERROR(__xludf.DUMMYFUNCTION("""COMPUTED_VALUE"""),0.0)</f>
        <v>0</v>
      </c>
      <c r="J279" s="29">
        <f>IFERROR(__xludf.DUMMYFUNCTION("""COMPUTED_VALUE"""),82.0)</f>
        <v>82</v>
      </c>
      <c r="K279" s="29">
        <f>IFERROR(__xludf.DUMMYFUNCTION("""COMPUTED_VALUE"""),14.0)</f>
        <v>14</v>
      </c>
      <c r="L279" s="31" t="str">
        <f>IFERROR(__xludf.DUMMYFUNCTION("""COMPUTED_VALUE"""),"RPG")</f>
        <v>RPG</v>
      </c>
      <c r="M279" s="31" t="str">
        <f>IFERROR(__xludf.DUMMYFUNCTION("""COMPUTED_VALUE"""),"Exclusive")</f>
        <v>Exclusive</v>
      </c>
    </row>
    <row r="280">
      <c r="A280" s="17" t="str">
        <f>IFERROR(__xludf.DUMMYFUNCTION("""COMPUTED_VALUE"""),"Spyro Reignited Trilogy")</f>
        <v>Spyro Reignited Trilogy</v>
      </c>
      <c r="B280" s="20" t="str">
        <f>IFERROR(__xludf.DUMMYFUNCTION("""COMPUTED_VALUE"""),"Xbox / PC")</f>
        <v>Xbox / PC</v>
      </c>
      <c r="C280" s="21"/>
      <c r="D280" s="21" t="str">
        <f>IFERROR(__xludf.DUMMYFUNCTION("""COMPUTED_VALUE"""),"Active")</f>
        <v>Active</v>
      </c>
      <c r="E280" s="23">
        <f>IFERROR(__xludf.DUMMYFUNCTION("""COMPUTED_VALUE"""),45608.0)</f>
        <v>45608</v>
      </c>
      <c r="F280" s="24"/>
      <c r="G280" s="27">
        <f>IFERROR(__xludf.DUMMYFUNCTION("""COMPUTED_VALUE"""),22.799999999999997)</f>
        <v>22.8</v>
      </c>
      <c r="H280" s="23">
        <f>IFERROR(__xludf.DUMMYFUNCTION("""COMPUTED_VALUE"""),43417.0)</f>
        <v>43417</v>
      </c>
      <c r="I280" s="27">
        <f>IFERROR(__xludf.DUMMYFUNCTION("""COMPUTED_VALUE"""),5.997222222222222)</f>
        <v>5.997222222</v>
      </c>
      <c r="J280" s="29">
        <f>IFERROR(__xludf.DUMMYFUNCTION("""COMPUTED_VALUE"""),82.0)</f>
        <v>82</v>
      </c>
      <c r="K280" s="29">
        <f>IFERROR(__xludf.DUMMYFUNCTION("""COMPUTED_VALUE"""),17.0)</f>
        <v>17</v>
      </c>
      <c r="L280" s="31" t="str">
        <f>IFERROR(__xludf.DUMMYFUNCTION("""COMPUTED_VALUE"""),"Platformer")</f>
        <v>Platformer</v>
      </c>
      <c r="M280" s="31"/>
    </row>
    <row r="281">
      <c r="A281" s="17" t="str">
        <f>IFERROR(__xludf.DUMMYFUNCTION("""COMPUTED_VALUE"""),"DOOM + DOOM II: Enhanced")</f>
        <v>DOOM + DOOM II: Enhanced</v>
      </c>
      <c r="B281" s="20" t="str">
        <f>IFERROR(__xludf.DUMMYFUNCTION("""COMPUTED_VALUE"""),"Xbox / PC")</f>
        <v>Xbox / PC</v>
      </c>
      <c r="C281" s="21" t="str">
        <f>IFERROR(__xludf.DUMMYFUNCTION("""COMPUTED_VALUE"""),"Yes")</f>
        <v>Yes</v>
      </c>
      <c r="D281" s="21" t="str">
        <f>IFERROR(__xludf.DUMMYFUNCTION("""COMPUTED_VALUE"""),"Active")</f>
        <v>Active</v>
      </c>
      <c r="E281" s="23">
        <f>IFERROR(__xludf.DUMMYFUNCTION("""COMPUTED_VALUE"""),45512.0)</f>
        <v>45512</v>
      </c>
      <c r="F281" s="24"/>
      <c r="G281" s="27">
        <f>IFERROR(__xludf.DUMMYFUNCTION("""COMPUTED_VALUE"""),25.93333333333333)</f>
        <v>25.93333333</v>
      </c>
      <c r="H281" s="23">
        <f>IFERROR(__xludf.DUMMYFUNCTION("""COMPUTED_VALUE"""),45512.0)</f>
        <v>45512</v>
      </c>
      <c r="I281" s="27">
        <f>IFERROR(__xludf.DUMMYFUNCTION("""COMPUTED_VALUE"""),0.0)</f>
        <v>0</v>
      </c>
      <c r="J281" s="29">
        <f>IFERROR(__xludf.DUMMYFUNCTION("""COMPUTED_VALUE"""),82.0)</f>
        <v>82</v>
      </c>
      <c r="K281" s="29">
        <f>IFERROR(__xludf.DUMMYFUNCTION("""COMPUTED_VALUE"""),12.0)</f>
        <v>12</v>
      </c>
      <c r="L281" s="31" t="str">
        <f>IFERROR(__xludf.DUMMYFUNCTION("""COMPUTED_VALUE"""),"Shooter")</f>
        <v>Shooter</v>
      </c>
      <c r="M281" s="31"/>
    </row>
    <row r="282">
      <c r="A282" s="17" t="str">
        <f>IFERROR(__xludf.DUMMYFUNCTION("""COMPUTED_VALUE"""),"Superhot: Mind Control Delete")</f>
        <v>Superhot: Mind Control Delete</v>
      </c>
      <c r="B282" s="20" t="str">
        <f>IFERROR(__xludf.DUMMYFUNCTION("""COMPUTED_VALUE"""),"Xbox / PC")</f>
        <v>Xbox / PC</v>
      </c>
      <c r="C282" s="21" t="str">
        <f>IFERROR(__xludf.DUMMYFUNCTION("""COMPUTED_VALUE"""),"Yes")</f>
        <v>Yes</v>
      </c>
      <c r="D282" s="21" t="str">
        <f>IFERROR(__xludf.DUMMYFUNCTION("""COMPUTED_VALUE"""),"Active")</f>
        <v>Active</v>
      </c>
      <c r="E282" s="23">
        <f>IFERROR(__xludf.DUMMYFUNCTION("""COMPUTED_VALUE"""),45384.0)</f>
        <v>45384</v>
      </c>
      <c r="F282" s="24"/>
      <c r="G282" s="27">
        <f>IFERROR(__xludf.DUMMYFUNCTION("""COMPUTED_VALUE"""),30.133333333333333)</f>
        <v>30.13333333</v>
      </c>
      <c r="H282" s="23">
        <f>IFERROR(__xludf.DUMMYFUNCTION("""COMPUTED_VALUE"""),44028.0)</f>
        <v>44028</v>
      </c>
      <c r="I282" s="27">
        <f>IFERROR(__xludf.DUMMYFUNCTION("""COMPUTED_VALUE"""),3.7111111111111112)</f>
        <v>3.711111111</v>
      </c>
      <c r="J282" s="29">
        <f>IFERROR(__xludf.DUMMYFUNCTION("""COMPUTED_VALUE"""),82.0)</f>
        <v>82</v>
      </c>
      <c r="K282" s="29">
        <f>IFERROR(__xludf.DUMMYFUNCTION("""COMPUTED_VALUE"""),5.5)</f>
        <v>5.5</v>
      </c>
      <c r="L282" s="31" t="str">
        <f>IFERROR(__xludf.DUMMYFUNCTION("""COMPUTED_VALUE"""),"Shooter")</f>
        <v>Shooter</v>
      </c>
      <c r="M282" s="31" t="str">
        <f>IFERROR(__xludf.DUMMYFUNCTION("""COMPUTED_VALUE"""),"Optimized")</f>
        <v>Optimized</v>
      </c>
    </row>
    <row r="283">
      <c r="A283" s="111" t="str">
        <f>IFERROR(__xludf.DUMMYFUNCTION("""COMPUTED_VALUE"""),"Clone Drone in the Danger Zone")</f>
        <v>Clone Drone in the Danger Zone</v>
      </c>
      <c r="B283" s="20" t="str">
        <f>IFERROR(__xludf.DUMMYFUNCTION("""COMPUTED_VALUE"""),"Xbox / PC")</f>
        <v>Xbox / PC</v>
      </c>
      <c r="C283" s="21" t="str">
        <f>IFERROR(__xludf.DUMMYFUNCTION("""COMPUTED_VALUE"""),"Yes")</f>
        <v>Yes</v>
      </c>
      <c r="D283" s="21" t="str">
        <f>IFERROR(__xludf.DUMMYFUNCTION("""COMPUTED_VALUE"""),"Active")</f>
        <v>Active</v>
      </c>
      <c r="E283" s="23">
        <f>IFERROR(__xludf.DUMMYFUNCTION("""COMPUTED_VALUE"""),45265.0)</f>
        <v>45265</v>
      </c>
      <c r="F283" s="24"/>
      <c r="G283" s="27">
        <f>IFERROR(__xludf.DUMMYFUNCTION("""COMPUTED_VALUE"""),34.03333333333333)</f>
        <v>34.03333333</v>
      </c>
      <c r="H283" s="23">
        <f>IFERROR(__xludf.DUMMYFUNCTION("""COMPUTED_VALUE"""),42702.0)</f>
        <v>42702</v>
      </c>
      <c r="I283" s="27">
        <f>IFERROR(__xludf.DUMMYFUNCTION("""COMPUTED_VALUE"""),7.019444444444445)</f>
        <v>7.019444444</v>
      </c>
      <c r="J283" s="29">
        <f>IFERROR(__xludf.DUMMYFUNCTION("""COMPUTED_VALUE"""),82.0)</f>
        <v>82</v>
      </c>
      <c r="K283" s="29">
        <f>IFERROR(__xludf.DUMMYFUNCTION("""COMPUTED_VALUE"""),2.0)</f>
        <v>2</v>
      </c>
      <c r="L283" s="31" t="str">
        <f>IFERROR(__xludf.DUMMYFUNCTION("""COMPUTED_VALUE"""),"Action")</f>
        <v>Action</v>
      </c>
      <c r="M283" s="31" t="str">
        <f>IFERROR(__xludf.DUMMYFUNCTION("""COMPUTED_VALUE"""),"Exclusive")</f>
        <v>Exclusive</v>
      </c>
    </row>
    <row r="284">
      <c r="A284" s="17" t="str">
        <f>IFERROR(__xludf.DUMMYFUNCTION("""COMPUTED_VALUE"""),"Stacking")</f>
        <v>Stacking</v>
      </c>
      <c r="B284" s="20" t="str">
        <f>IFERROR(__xludf.DUMMYFUNCTION("""COMPUTED_VALUE"""),"Xbox")</f>
        <v>Xbox</v>
      </c>
      <c r="C284" s="21" t="str">
        <f>IFERROR(__xludf.DUMMYFUNCTION("""COMPUTED_VALUE"""),"Yes")</f>
        <v>Yes</v>
      </c>
      <c r="D284" s="21" t="str">
        <f>IFERROR(__xludf.DUMMYFUNCTION("""COMPUTED_VALUE"""),"Active")</f>
        <v>Active</v>
      </c>
      <c r="E284" s="23">
        <f>IFERROR(__xludf.DUMMYFUNCTION("""COMPUTED_VALUE"""),45085.0)</f>
        <v>45085</v>
      </c>
      <c r="F284" s="24"/>
      <c r="G284" s="27">
        <f>IFERROR(__xludf.DUMMYFUNCTION("""COMPUTED_VALUE"""),39.93333333333334)</f>
        <v>39.93333333</v>
      </c>
      <c r="H284" s="23">
        <f>IFERROR(__xludf.DUMMYFUNCTION("""COMPUTED_VALUE"""),40582.0)</f>
        <v>40582</v>
      </c>
      <c r="I284" s="27">
        <f>IFERROR(__xludf.DUMMYFUNCTION("""COMPUTED_VALUE"""),12.333333333333334)</f>
        <v>12.33333333</v>
      </c>
      <c r="J284" s="29">
        <f>IFERROR(__xludf.DUMMYFUNCTION("""COMPUTED_VALUE"""),82.0)</f>
        <v>82</v>
      </c>
      <c r="K284" s="29">
        <f>IFERROR(__xludf.DUMMYFUNCTION("""COMPUTED_VALUE"""),4.0)</f>
        <v>4</v>
      </c>
      <c r="L284" s="31" t="str">
        <f>IFERROR(__xludf.DUMMYFUNCTION("""COMPUTED_VALUE"""),"Adventure")</f>
        <v>Adventure</v>
      </c>
      <c r="M284" s="31"/>
    </row>
    <row r="285">
      <c r="A285" s="17" t="str">
        <f>IFERROR(__xludf.DUMMYFUNCTION("""COMPUTED_VALUE"""),"Iron Brigade")</f>
        <v>Iron Brigade</v>
      </c>
      <c r="B285" s="20" t="str">
        <f>IFERROR(__xludf.DUMMYFUNCTION("""COMPUTED_VALUE"""),"Xbox")</f>
        <v>Xbox</v>
      </c>
      <c r="C285" s="21"/>
      <c r="D285" s="21" t="str">
        <f>IFERROR(__xludf.DUMMYFUNCTION("""COMPUTED_VALUE"""),"Active")</f>
        <v>Active</v>
      </c>
      <c r="E285" s="23">
        <f>IFERROR(__xludf.DUMMYFUNCTION("""COMPUTED_VALUE"""),45022.0)</f>
        <v>45022</v>
      </c>
      <c r="F285" s="24"/>
      <c r="G285" s="27">
        <f>IFERROR(__xludf.DUMMYFUNCTION("""COMPUTED_VALUE"""),42.0)</f>
        <v>42</v>
      </c>
      <c r="H285" s="23">
        <f>IFERROR(__xludf.DUMMYFUNCTION("""COMPUTED_VALUE"""),40716.0)</f>
        <v>40716</v>
      </c>
      <c r="I285" s="27">
        <f>IFERROR(__xludf.DUMMYFUNCTION("""COMPUTED_VALUE"""),11.78888888888889)</f>
        <v>11.78888889</v>
      </c>
      <c r="J285" s="29">
        <f>IFERROR(__xludf.DUMMYFUNCTION("""COMPUTED_VALUE"""),82.0)</f>
        <v>82</v>
      </c>
      <c r="K285" s="29">
        <f>IFERROR(__xludf.DUMMYFUNCTION("""COMPUTED_VALUE"""),6.5)</f>
        <v>6.5</v>
      </c>
      <c r="L285" s="31" t="str">
        <f>IFERROR(__xludf.DUMMYFUNCTION("""COMPUTED_VALUE"""),"Shooter")</f>
        <v>Shooter</v>
      </c>
      <c r="M285" s="31"/>
    </row>
    <row r="286">
      <c r="A286" s="17" t="str">
        <f>IFERROR(__xludf.DUMMYFUNCTION("""COMPUTED_VALUE"""),"Chivalry II")</f>
        <v>Chivalry II</v>
      </c>
      <c r="B286" s="20" t="str">
        <f>IFERROR(__xludf.DUMMYFUNCTION("""COMPUTED_VALUE"""),"Xbox / PC")</f>
        <v>Xbox / PC</v>
      </c>
      <c r="C286" s="21" t="str">
        <f>IFERROR(__xludf.DUMMYFUNCTION("""COMPUTED_VALUE"""),"Yes")</f>
        <v>Yes</v>
      </c>
      <c r="D286" s="21" t="str">
        <f>IFERROR(__xludf.DUMMYFUNCTION("""COMPUTED_VALUE"""),"Active")</f>
        <v>Active</v>
      </c>
      <c r="E286" s="23">
        <f>IFERROR(__xludf.DUMMYFUNCTION("""COMPUTED_VALUE"""),44838.0)</f>
        <v>44838</v>
      </c>
      <c r="F286" s="24"/>
      <c r="G286" s="27">
        <f>IFERROR(__xludf.DUMMYFUNCTION("""COMPUTED_VALUE"""),48.06666666666666)</f>
        <v>48.06666667</v>
      </c>
      <c r="H286" s="23">
        <f>IFERROR(__xludf.DUMMYFUNCTION("""COMPUTED_VALUE"""),44355.0)</f>
        <v>44355</v>
      </c>
      <c r="I286" s="27">
        <f>IFERROR(__xludf.DUMMYFUNCTION("""COMPUTED_VALUE"""),1.3222222222222222)</f>
        <v>1.322222222</v>
      </c>
      <c r="J286" s="29">
        <f>IFERROR(__xludf.DUMMYFUNCTION("""COMPUTED_VALUE"""),82.0)</f>
        <v>82</v>
      </c>
      <c r="K286" s="29">
        <f>IFERROR(__xludf.DUMMYFUNCTION("""COMPUTED_VALUE"""),42.5)</f>
        <v>42.5</v>
      </c>
      <c r="L286" s="31" t="str">
        <f>IFERROR(__xludf.DUMMYFUNCTION("""COMPUTED_VALUE"""),"Action")</f>
        <v>Action</v>
      </c>
      <c r="M286" s="31"/>
    </row>
    <row r="287">
      <c r="A287" s="17" t="str">
        <f>IFERROR(__xludf.DUMMYFUNCTION("""COMPUTED_VALUE"""),"Ni no Kuni: Wrath of the White Witch - Remastered")</f>
        <v>Ni no Kuni: Wrath of the White Witch - Remastered</v>
      </c>
      <c r="B287" s="20" t="str">
        <f>IFERROR(__xludf.DUMMYFUNCTION("""COMPUTED_VALUE"""),"Xbox / PC")</f>
        <v>Xbox / PC</v>
      </c>
      <c r="C287" s="21" t="str">
        <f>IFERROR(__xludf.DUMMYFUNCTION("""COMPUTED_VALUE"""),"Touch Controls")</f>
        <v>Touch Controls</v>
      </c>
      <c r="D287" s="21" t="str">
        <f>IFERROR(__xludf.DUMMYFUNCTION("""COMPUTED_VALUE"""),"Active")</f>
        <v>Active</v>
      </c>
      <c r="E287" s="23">
        <f>IFERROR(__xludf.DUMMYFUNCTION("""COMPUTED_VALUE"""),44819.0)</f>
        <v>44819</v>
      </c>
      <c r="F287" s="24"/>
      <c r="G287" s="27">
        <f>IFERROR(__xludf.DUMMYFUNCTION("""COMPUTED_VALUE"""),48.7)</f>
        <v>48.7</v>
      </c>
      <c r="H287" s="23">
        <f>IFERROR(__xludf.DUMMYFUNCTION("""COMPUTED_VALUE"""),43728.0)</f>
        <v>43728</v>
      </c>
      <c r="I287" s="27">
        <f>IFERROR(__xludf.DUMMYFUNCTION("""COMPUTED_VALUE"""),2.986111111111111)</f>
        <v>2.986111111</v>
      </c>
      <c r="J287" s="29">
        <f>IFERROR(__xludf.DUMMYFUNCTION("""COMPUTED_VALUE"""),82.0)</f>
        <v>82</v>
      </c>
      <c r="K287" s="29">
        <f>IFERROR(__xludf.DUMMYFUNCTION("""COMPUTED_VALUE"""),44.5)</f>
        <v>44.5</v>
      </c>
      <c r="L287" s="31" t="str">
        <f>IFERROR(__xludf.DUMMYFUNCTION("""COMPUTED_VALUE"""),"RPG")</f>
        <v>RPG</v>
      </c>
      <c r="M287" s="31"/>
    </row>
    <row r="288">
      <c r="A288" s="17" t="str">
        <f>IFERROR(__xludf.DUMMYFUNCTION("""COMPUTED_VALUE"""),"DiRT Rally 2.0")</f>
        <v>DiRT Rally 2.0</v>
      </c>
      <c r="B288" s="20" t="str">
        <f>IFERROR(__xludf.DUMMYFUNCTION("""COMPUTED_VALUE"""),"Xbox")</f>
        <v>Xbox</v>
      </c>
      <c r="C288" s="21"/>
      <c r="D288" s="21" t="str">
        <f>IFERROR(__xludf.DUMMYFUNCTION("""COMPUTED_VALUE"""),"Active")</f>
        <v>Active</v>
      </c>
      <c r="E288" s="23">
        <f>IFERROR(__xludf.DUMMYFUNCTION("""COMPUTED_VALUE"""),44418.0)</f>
        <v>44418</v>
      </c>
      <c r="F288" s="24"/>
      <c r="G288" s="27">
        <f>IFERROR(__xludf.DUMMYFUNCTION("""COMPUTED_VALUE"""),61.866666666666674)</f>
        <v>61.86666667</v>
      </c>
      <c r="H288" s="23">
        <f>IFERROR(__xludf.DUMMYFUNCTION("""COMPUTED_VALUE"""),43522.0)</f>
        <v>43522</v>
      </c>
      <c r="I288" s="27">
        <f>IFERROR(__xludf.DUMMYFUNCTION("""COMPUTED_VALUE"""),2.4555555555555557)</f>
        <v>2.455555556</v>
      </c>
      <c r="J288" s="29">
        <f>IFERROR(__xludf.DUMMYFUNCTION("""COMPUTED_VALUE"""),82.0)</f>
        <v>82</v>
      </c>
      <c r="K288" s="29">
        <f>IFERROR(__xludf.DUMMYFUNCTION("""COMPUTED_VALUE"""),10.0)</f>
        <v>10</v>
      </c>
      <c r="L288" s="31" t="str">
        <f>IFERROR(__xludf.DUMMYFUNCTION("""COMPUTED_VALUE"""),"Racing")</f>
        <v>Racing</v>
      </c>
      <c r="M288" s="31"/>
    </row>
    <row r="289">
      <c r="A289" s="17" t="str">
        <f>IFERROR(__xludf.DUMMYFUNCTION("""COMPUTED_VALUE"""),"EA Sports UFC 4")</f>
        <v>EA Sports UFC 4</v>
      </c>
      <c r="B289" s="20" t="str">
        <f>IFERROR(__xludf.DUMMYFUNCTION("""COMPUTED_VALUE"""),"Xbox")</f>
        <v>Xbox</v>
      </c>
      <c r="C289" s="21"/>
      <c r="D289" s="21" t="str">
        <f>IFERROR(__xludf.DUMMYFUNCTION("""COMPUTED_VALUE"""),"Active")</f>
        <v>Active</v>
      </c>
      <c r="E289" s="23">
        <f>IFERROR(__xludf.DUMMYFUNCTION("""COMPUTED_VALUE"""),44385.0)</f>
        <v>44385</v>
      </c>
      <c r="F289" s="24"/>
      <c r="G289" s="27">
        <f>IFERROR(__xludf.DUMMYFUNCTION("""COMPUTED_VALUE"""),62.93333333333334)</f>
        <v>62.93333333</v>
      </c>
      <c r="H289" s="23">
        <f>IFERROR(__xludf.DUMMYFUNCTION("""COMPUTED_VALUE"""),44057.0)</f>
        <v>44057</v>
      </c>
      <c r="I289" s="27">
        <f>IFERROR(__xludf.DUMMYFUNCTION("""COMPUTED_VALUE"""),0.9)</f>
        <v>0.9</v>
      </c>
      <c r="J289" s="29">
        <f>IFERROR(__xludf.DUMMYFUNCTION("""COMPUTED_VALUE"""),82.0)</f>
        <v>82</v>
      </c>
      <c r="K289" s="29">
        <f>IFERROR(__xludf.DUMMYFUNCTION("""COMPUTED_VALUE"""),12.0)</f>
        <v>12</v>
      </c>
      <c r="L289" s="31" t="str">
        <f>IFERROR(__xludf.DUMMYFUNCTION("""COMPUTED_VALUE"""),"Sports")</f>
        <v>Sports</v>
      </c>
      <c r="M289" s="31" t="str">
        <f>IFERROR(__xludf.DUMMYFUNCTION("""COMPUTED_VALUE"""),"FPS Boost")</f>
        <v>FPS Boost</v>
      </c>
    </row>
    <row r="290">
      <c r="A290" s="17" t="str">
        <f>IFERROR(__xludf.DUMMYFUNCTION("""COMPUTED_VALUE"""),"Wreckfest")</f>
        <v>Wreckfest</v>
      </c>
      <c r="B290" s="20" t="str">
        <f>IFERROR(__xludf.DUMMYFUNCTION("""COMPUTED_VALUE"""),"Xbox / PC")</f>
        <v>Xbox / PC</v>
      </c>
      <c r="C290" s="21" t="str">
        <f>IFERROR(__xludf.DUMMYFUNCTION("""COMPUTED_VALUE"""),"Touch Controls")</f>
        <v>Touch Controls</v>
      </c>
      <c r="D290" s="21" t="str">
        <f>IFERROR(__xludf.DUMMYFUNCTION("""COMPUTED_VALUE"""),"Active")</f>
        <v>Active</v>
      </c>
      <c r="E290" s="23">
        <f>IFERROR(__xludf.DUMMYFUNCTION("""COMPUTED_VALUE"""),44245.0)</f>
        <v>44245</v>
      </c>
      <c r="F290" s="24"/>
      <c r="G290" s="27">
        <f>IFERROR(__xludf.DUMMYFUNCTION("""COMPUTED_VALUE"""),67.60000000000001)</f>
        <v>67.6</v>
      </c>
      <c r="H290" s="23">
        <f>IFERROR(__xludf.DUMMYFUNCTION("""COMPUTED_VALUE"""),43265.0)</f>
        <v>43265</v>
      </c>
      <c r="I290" s="27">
        <f>IFERROR(__xludf.DUMMYFUNCTION("""COMPUTED_VALUE"""),2.6777777777777776)</f>
        <v>2.677777778</v>
      </c>
      <c r="J290" s="29">
        <f>IFERROR(__xludf.DUMMYFUNCTION("""COMPUTED_VALUE"""),82.0)</f>
        <v>82</v>
      </c>
      <c r="K290" s="29">
        <f>IFERROR(__xludf.DUMMYFUNCTION("""COMPUTED_VALUE"""),19.5)</f>
        <v>19.5</v>
      </c>
      <c r="L290" s="31" t="str">
        <f>IFERROR(__xludf.DUMMYFUNCTION("""COMPUTED_VALUE"""),"Racing")</f>
        <v>Racing</v>
      </c>
      <c r="M290" s="31"/>
    </row>
    <row r="291">
      <c r="A291" s="17" t="str">
        <f>IFERROR(__xludf.DUMMYFUNCTION("""COMPUTED_VALUE"""),"The Elder Scrolls V: Skyrim Special Edition")</f>
        <v>The Elder Scrolls V: Skyrim Special Edition</v>
      </c>
      <c r="B291" s="20" t="str">
        <f>IFERROR(__xludf.DUMMYFUNCTION("""COMPUTED_VALUE"""),"Xbox / PC")</f>
        <v>Xbox / PC</v>
      </c>
      <c r="C291" s="21" t="str">
        <f>IFERROR(__xludf.DUMMYFUNCTION("""COMPUTED_VALUE"""),"Yes")</f>
        <v>Yes</v>
      </c>
      <c r="D291" s="21" t="str">
        <f>IFERROR(__xludf.DUMMYFUNCTION("""COMPUTED_VALUE"""),"Active")</f>
        <v>Active</v>
      </c>
      <c r="E291" s="23">
        <f>IFERROR(__xludf.DUMMYFUNCTION("""COMPUTED_VALUE"""),44180.0)</f>
        <v>44180</v>
      </c>
      <c r="F291" s="24"/>
      <c r="G291" s="27">
        <f>IFERROR(__xludf.DUMMYFUNCTION("""COMPUTED_VALUE"""),69.7)</f>
        <v>69.7</v>
      </c>
      <c r="H291" s="23">
        <f>IFERROR(__xludf.DUMMYFUNCTION("""COMPUTED_VALUE"""),42671.0)</f>
        <v>42671</v>
      </c>
      <c r="I291" s="27">
        <f>IFERROR(__xludf.DUMMYFUNCTION("""COMPUTED_VALUE"""),4.1305555555555555)</f>
        <v>4.130555556</v>
      </c>
      <c r="J291" s="29">
        <f>IFERROR(__xludf.DUMMYFUNCTION("""COMPUTED_VALUE"""),82.0)</f>
        <v>82</v>
      </c>
      <c r="K291" s="29">
        <f>IFERROR(__xludf.DUMMYFUNCTION("""COMPUTED_VALUE"""),25.5)</f>
        <v>25.5</v>
      </c>
      <c r="L291" s="31" t="str">
        <f>IFERROR(__xludf.DUMMYFUNCTION("""COMPUTED_VALUE"""),"RPG")</f>
        <v>RPG</v>
      </c>
      <c r="M291" s="31" t="str">
        <f>IFERROR(__xludf.DUMMYFUNCTION("""COMPUTED_VALUE"""),"FPS Boost")</f>
        <v>FPS Boost</v>
      </c>
    </row>
    <row r="292">
      <c r="A292" s="17" t="str">
        <f>IFERROR(__xludf.DUMMYFUNCTION("""COMPUTED_VALUE"""),"Monster Sanctuary")</f>
        <v>Monster Sanctuary</v>
      </c>
      <c r="B292" s="20" t="str">
        <f>IFERROR(__xludf.DUMMYFUNCTION("""COMPUTED_VALUE"""),"Xbox / PC")</f>
        <v>Xbox / PC</v>
      </c>
      <c r="C292" s="21" t="str">
        <f>IFERROR(__xludf.DUMMYFUNCTION("""COMPUTED_VALUE"""),"Touch Controls")</f>
        <v>Touch Controls</v>
      </c>
      <c r="D292" s="21" t="str">
        <f>IFERROR(__xludf.DUMMYFUNCTION("""COMPUTED_VALUE"""),"Active")</f>
        <v>Active</v>
      </c>
      <c r="E292" s="23">
        <f>IFERROR(__xludf.DUMMYFUNCTION("""COMPUTED_VALUE"""),44173.0)</f>
        <v>44173</v>
      </c>
      <c r="F292" s="24"/>
      <c r="G292" s="27">
        <f>IFERROR(__xludf.DUMMYFUNCTION("""COMPUTED_VALUE"""),69.93333333333334)</f>
        <v>69.93333333</v>
      </c>
      <c r="H292" s="23">
        <f>IFERROR(__xludf.DUMMYFUNCTION("""COMPUTED_VALUE"""),43705.0)</f>
        <v>43705</v>
      </c>
      <c r="I292" s="27">
        <f>IFERROR(__xludf.DUMMYFUNCTION("""COMPUTED_VALUE"""),1.2777777777777777)</f>
        <v>1.277777778</v>
      </c>
      <c r="J292" s="29">
        <f>IFERROR(__xludf.DUMMYFUNCTION("""COMPUTED_VALUE"""),82.0)</f>
        <v>82</v>
      </c>
      <c r="K292" s="29">
        <f>IFERROR(__xludf.DUMMYFUNCTION("""COMPUTED_VALUE"""),27.0)</f>
        <v>27</v>
      </c>
      <c r="L292" s="31" t="str">
        <f>IFERROR(__xludf.DUMMYFUNCTION("""COMPUTED_VALUE"""),"Platformer")</f>
        <v>Platformer</v>
      </c>
      <c r="M292" s="31"/>
    </row>
    <row r="293">
      <c r="A293" s="17" t="str">
        <f>IFERROR(__xludf.DUMMYFUNCTION("""COMPUTED_VALUE"""),"SSX")</f>
        <v>SSX</v>
      </c>
      <c r="B293" s="20" t="str">
        <f>IFERROR(__xludf.DUMMYFUNCTION("""COMPUTED_VALUE"""),"Xbox")</f>
        <v>Xbox</v>
      </c>
      <c r="C293" s="21"/>
      <c r="D293" s="21" t="str">
        <f>IFERROR(__xludf.DUMMYFUNCTION("""COMPUTED_VALUE"""),"Active")</f>
        <v>Active</v>
      </c>
      <c r="E293" s="23">
        <f>IFERROR(__xludf.DUMMYFUNCTION("""COMPUTED_VALUE"""),44145.0)</f>
        <v>44145</v>
      </c>
      <c r="F293" s="24"/>
      <c r="G293" s="27">
        <f>IFERROR(__xludf.DUMMYFUNCTION("""COMPUTED_VALUE"""),70.86666666666667)</f>
        <v>70.86666667</v>
      </c>
      <c r="H293" s="23">
        <f>IFERROR(__xludf.DUMMYFUNCTION("""COMPUTED_VALUE"""),40967.0)</f>
        <v>40967</v>
      </c>
      <c r="I293" s="27">
        <f>IFERROR(__xludf.DUMMYFUNCTION("""COMPUTED_VALUE"""),8.7)</f>
        <v>8.7</v>
      </c>
      <c r="J293" s="29">
        <f>IFERROR(__xludf.DUMMYFUNCTION("""COMPUTED_VALUE"""),82.0)</f>
        <v>82</v>
      </c>
      <c r="K293" s="29">
        <f>IFERROR(__xludf.DUMMYFUNCTION("""COMPUTED_VALUE"""),11.5)</f>
        <v>11.5</v>
      </c>
      <c r="L293" s="31" t="str">
        <f>IFERROR(__xludf.DUMMYFUNCTION("""COMPUTED_VALUE"""),"Sports")</f>
        <v>Sports</v>
      </c>
      <c r="M293" s="31"/>
    </row>
    <row r="294">
      <c r="A294" s="17" t="str">
        <f>IFERROR(__xludf.DUMMYFUNCTION("""COMPUTED_VALUE"""),"Brütal Legend")</f>
        <v>Brütal Legend</v>
      </c>
      <c r="B294" s="20" t="str">
        <f>IFERROR(__xludf.DUMMYFUNCTION("""COMPUTED_VALUE"""),"Xbox")</f>
        <v>Xbox</v>
      </c>
      <c r="C294" s="21"/>
      <c r="D294" s="21" t="str">
        <f>IFERROR(__xludf.DUMMYFUNCTION("""COMPUTED_VALUE"""),"Active")</f>
        <v>Active</v>
      </c>
      <c r="E294" s="23">
        <f>IFERROR(__xludf.DUMMYFUNCTION("""COMPUTED_VALUE"""),44112.0)</f>
        <v>44112</v>
      </c>
      <c r="F294" s="24"/>
      <c r="G294" s="27">
        <f>IFERROR(__xludf.DUMMYFUNCTION("""COMPUTED_VALUE"""),71.93333333333334)</f>
        <v>71.93333333</v>
      </c>
      <c r="H294" s="23">
        <f>IFERROR(__xludf.DUMMYFUNCTION("""COMPUTED_VALUE"""),40099.0)</f>
        <v>40099</v>
      </c>
      <c r="I294" s="27">
        <f>IFERROR(__xludf.DUMMYFUNCTION("""COMPUTED_VALUE"""),10.98611111111111)</f>
        <v>10.98611111</v>
      </c>
      <c r="J294" s="29">
        <f>IFERROR(__xludf.DUMMYFUNCTION("""COMPUTED_VALUE"""),82.0)</f>
        <v>82</v>
      </c>
      <c r="K294" s="29">
        <f>IFERROR(__xludf.DUMMYFUNCTION("""COMPUTED_VALUE"""),9.0)</f>
        <v>9</v>
      </c>
      <c r="L294" s="31" t="str">
        <f>IFERROR(__xludf.DUMMYFUNCTION("""COMPUTED_VALUE"""),"Action-Adventure")</f>
        <v>Action-Adventure</v>
      </c>
      <c r="M294" s="31"/>
    </row>
    <row r="295">
      <c r="A295" s="17" t="str">
        <f>IFERROR(__xludf.DUMMYFUNCTION("""COMPUTED_VALUE"""),"Gears of War: Ultimate Edition")</f>
        <v>Gears of War: Ultimate Edition</v>
      </c>
      <c r="B295" s="20" t="str">
        <f>IFERROR(__xludf.DUMMYFUNCTION("""COMPUTED_VALUE"""),"Xbox / PC")</f>
        <v>Xbox / PC</v>
      </c>
      <c r="C295" s="21" t="str">
        <f>IFERROR(__xludf.DUMMYFUNCTION("""COMPUTED_VALUE"""),"Yes")</f>
        <v>Yes</v>
      </c>
      <c r="D295" s="21" t="str">
        <f>IFERROR(__xludf.DUMMYFUNCTION("""COMPUTED_VALUE"""),"Active")</f>
        <v>Active</v>
      </c>
      <c r="E295" s="23">
        <f>IFERROR(__xludf.DUMMYFUNCTION("""COMPUTED_VALUE"""),42887.0)</f>
        <v>42887</v>
      </c>
      <c r="F295" s="24"/>
      <c r="G295" s="27">
        <f>IFERROR(__xludf.DUMMYFUNCTION("""COMPUTED_VALUE"""),112.16666666666666)</f>
        <v>112.1666667</v>
      </c>
      <c r="H295" s="23">
        <f>IFERROR(__xludf.DUMMYFUNCTION("""COMPUTED_VALUE"""),39028.0)</f>
        <v>39028</v>
      </c>
      <c r="I295" s="27">
        <f>IFERROR(__xludf.DUMMYFUNCTION("""COMPUTED_VALUE"""),10.566666666666666)</f>
        <v>10.56666667</v>
      </c>
      <c r="J295" s="29">
        <f>IFERROR(__xludf.DUMMYFUNCTION("""COMPUTED_VALUE"""),82.0)</f>
        <v>82</v>
      </c>
      <c r="K295" s="29">
        <f>IFERROR(__xludf.DUMMYFUNCTION("""COMPUTED_VALUE"""),9.0)</f>
        <v>9</v>
      </c>
      <c r="L295" s="31" t="str">
        <f>IFERROR(__xludf.DUMMYFUNCTION("""COMPUTED_VALUE"""),"Shooter")</f>
        <v>Shooter</v>
      </c>
      <c r="M295" s="31" t="str">
        <f>IFERROR(__xludf.DUMMYFUNCTION("""COMPUTED_VALUE"""),"FPS Boost")</f>
        <v>FPS Boost</v>
      </c>
    </row>
    <row r="296">
      <c r="A296" s="17" t="str">
        <f>IFERROR(__xludf.DUMMYFUNCTION("""COMPUTED_VALUE"""),"Viva Piñata: Trouble in Paradise")</f>
        <v>Viva Piñata: Trouble in Paradise</v>
      </c>
      <c r="B296" s="20" t="str">
        <f>IFERROR(__xludf.DUMMYFUNCTION("""COMPUTED_VALUE"""),"Xbox")</f>
        <v>Xbox</v>
      </c>
      <c r="C296" s="21" t="str">
        <f>IFERROR(__xludf.DUMMYFUNCTION("""COMPUTED_VALUE"""),"Touch Controls")</f>
        <v>Touch Controls</v>
      </c>
      <c r="D296" s="21" t="str">
        <f>IFERROR(__xludf.DUMMYFUNCTION("""COMPUTED_VALUE"""),"Active")</f>
        <v>Active</v>
      </c>
      <c r="E296" s="23">
        <f>IFERROR(__xludf.DUMMYFUNCTION("""COMPUTED_VALUE"""),42887.0)</f>
        <v>42887</v>
      </c>
      <c r="F296" s="24"/>
      <c r="G296" s="27">
        <f>IFERROR(__xludf.DUMMYFUNCTION("""COMPUTED_VALUE"""),112.16666666666666)</f>
        <v>112.1666667</v>
      </c>
      <c r="H296" s="23">
        <f>IFERROR(__xludf.DUMMYFUNCTION("""COMPUTED_VALUE"""),39693.0)</f>
        <v>39693</v>
      </c>
      <c r="I296" s="27">
        <f>IFERROR(__xludf.DUMMYFUNCTION("""COMPUTED_VALUE"""),8.747222222222222)</f>
        <v>8.747222222</v>
      </c>
      <c r="J296" s="29">
        <f>IFERROR(__xludf.DUMMYFUNCTION("""COMPUTED_VALUE"""),82.0)</f>
        <v>82</v>
      </c>
      <c r="K296" s="29">
        <f>IFERROR(__xludf.DUMMYFUNCTION("""COMPUTED_VALUE"""),26.5)</f>
        <v>26.5</v>
      </c>
      <c r="L296" s="31" t="str">
        <f>IFERROR(__xludf.DUMMYFUNCTION("""COMPUTED_VALUE"""),"Simulation")</f>
        <v>Simulation</v>
      </c>
      <c r="M296" s="31"/>
    </row>
    <row r="297">
      <c r="A297" s="17" t="str">
        <f>IFERROR(__xludf.DUMMYFUNCTION("""COMPUTED_VALUE"""),"Donut County")</f>
        <v>Donut County</v>
      </c>
      <c r="B297" s="20" t="str">
        <f>IFERROR(__xludf.DUMMYFUNCTION("""COMPUTED_VALUE"""),"Xbox / PC")</f>
        <v>Xbox / PC</v>
      </c>
      <c r="C297" s="21" t="str">
        <f>IFERROR(__xludf.DUMMYFUNCTION("""COMPUTED_VALUE"""),"Touch Controls")</f>
        <v>Touch Controls</v>
      </c>
      <c r="D297" s="21" t="str">
        <f>IFERROR(__xludf.DUMMYFUNCTION("""COMPUTED_VALUE"""),"Leaving Soon")</f>
        <v>Leaving Soon</v>
      </c>
      <c r="E297" s="23">
        <f>IFERROR(__xludf.DUMMYFUNCTION("""COMPUTED_VALUE"""),45582.0)</f>
        <v>45582</v>
      </c>
      <c r="F297" s="24">
        <f>IFERROR(__xludf.DUMMYFUNCTION("""COMPUTED_VALUE"""),46310.0)</f>
        <v>46310</v>
      </c>
      <c r="G297" s="27">
        <f>IFERROR(__xludf.DUMMYFUNCTION("""COMPUTED_VALUE"""),23.933333333333334)</f>
        <v>23.93333333</v>
      </c>
      <c r="H297" s="23">
        <f>IFERROR(__xludf.DUMMYFUNCTION("""COMPUTED_VALUE"""),43340.0)</f>
        <v>43340</v>
      </c>
      <c r="I297" s="27">
        <f>IFERROR(__xludf.DUMMYFUNCTION("""COMPUTED_VALUE"""),6.136111111111111)</f>
        <v>6.136111111</v>
      </c>
      <c r="J297" s="29">
        <f>IFERROR(__xludf.DUMMYFUNCTION("""COMPUTED_VALUE"""),82.0)</f>
        <v>82</v>
      </c>
      <c r="K297" s="29">
        <f>IFERROR(__xludf.DUMMYFUNCTION("""COMPUTED_VALUE"""),2.0)</f>
        <v>2</v>
      </c>
      <c r="L297" s="31" t="str">
        <f>IFERROR(__xludf.DUMMYFUNCTION("""COMPUTED_VALUE"""),"Action")</f>
        <v>Action</v>
      </c>
      <c r="M297" s="31"/>
    </row>
    <row r="298">
      <c r="A298" s="17" t="str">
        <f>IFERROR(__xludf.DUMMYFUNCTION("""COMPUTED_VALUE"""),"Saints Row 2")</f>
        <v>Saints Row 2</v>
      </c>
      <c r="B298" s="20" t="str">
        <f>IFERROR(__xludf.DUMMYFUNCTION("""COMPUTED_VALUE"""),"XB360/OG Xbox")</f>
        <v>XB360/OG Xbox</v>
      </c>
      <c r="C298" s="21"/>
      <c r="D298" s="21" t="str">
        <f>IFERROR(__xludf.DUMMYFUNCTION("""COMPUTED_VALUE"""),"GwG Permanent")</f>
        <v>GwG Permanent</v>
      </c>
      <c r="E298" s="23">
        <f>IFERROR(__xludf.DUMMYFUNCTION("""COMPUTED_VALUE"""),44774.0)</f>
        <v>44774</v>
      </c>
      <c r="F298" s="24">
        <f>IFERROR(__xludf.DUMMYFUNCTION("""COMPUTED_VALUE"""),44788.0)</f>
        <v>44788</v>
      </c>
      <c r="G298" s="27">
        <f>IFERROR(__xludf.DUMMYFUNCTION("""COMPUTED_VALUE"""),0.4666666666666667)</f>
        <v>0.4666666667</v>
      </c>
      <c r="H298" s="23">
        <f>IFERROR(__xludf.DUMMYFUNCTION("""COMPUTED_VALUE"""),39735.0)</f>
        <v>39735</v>
      </c>
      <c r="I298" s="27">
        <f>IFERROR(__xludf.DUMMYFUNCTION("""COMPUTED_VALUE"""),13.797222222222222)</f>
        <v>13.79722222</v>
      </c>
      <c r="J298" s="29">
        <f>IFERROR(__xludf.DUMMYFUNCTION("""COMPUTED_VALUE"""),82.0)</f>
        <v>82</v>
      </c>
      <c r="K298" s="29">
        <f>IFERROR(__xludf.DUMMYFUNCTION("""COMPUTED_VALUE"""),20.0)</f>
        <v>20</v>
      </c>
      <c r="L298" s="31" t="str">
        <f>IFERROR(__xludf.DUMMYFUNCTION("""COMPUTED_VALUE"""),"Action-Adventure")</f>
        <v>Action-Adventure</v>
      </c>
      <c r="M298" s="31"/>
    </row>
    <row r="299" ht="13.5" customHeight="1">
      <c r="A299" s="17" t="str">
        <f>IFERROR(__xludf.DUMMYFUNCTION("""COMPUTED_VALUE"""),"Orcs Must Die!")</f>
        <v>Orcs Must Die!</v>
      </c>
      <c r="B299" s="20" t="str">
        <f>IFERROR(__xludf.DUMMYFUNCTION("""COMPUTED_VALUE"""),"XB360/OG Xbox")</f>
        <v>XB360/OG Xbox</v>
      </c>
      <c r="C299" s="21"/>
      <c r="D299" s="21" t="str">
        <f>IFERROR(__xludf.DUMMYFUNCTION("""COMPUTED_VALUE"""),"GwG Permanent")</f>
        <v>GwG Permanent</v>
      </c>
      <c r="E299" s="23">
        <f>IFERROR(__xludf.DUMMYFUNCTION("""COMPUTED_VALUE"""),44531.0)</f>
        <v>44531</v>
      </c>
      <c r="F299" s="24">
        <f>IFERROR(__xludf.DUMMYFUNCTION("""COMPUTED_VALUE"""),44545.0)</f>
        <v>44545</v>
      </c>
      <c r="G299" s="27">
        <f>IFERROR(__xludf.DUMMYFUNCTION("""COMPUTED_VALUE"""),0.4666666666666667)</f>
        <v>0.4666666667</v>
      </c>
      <c r="H299" s="23">
        <f>IFERROR(__xludf.DUMMYFUNCTION("""COMPUTED_VALUE"""),40737.0)</f>
        <v>40737</v>
      </c>
      <c r="I299" s="27">
        <f>IFERROR(__xludf.DUMMYFUNCTION("""COMPUTED_VALUE"""),10.383333333333333)</f>
        <v>10.38333333</v>
      </c>
      <c r="J299" s="29">
        <f>IFERROR(__xludf.DUMMYFUNCTION("""COMPUTED_VALUE"""),82.0)</f>
        <v>82</v>
      </c>
      <c r="K299" s="29">
        <f>IFERROR(__xludf.DUMMYFUNCTION("""COMPUTED_VALUE"""),8.0)</f>
        <v>8</v>
      </c>
      <c r="L299" s="31" t="str">
        <f>IFERROR(__xludf.DUMMYFUNCTION("""COMPUTED_VALUE"""),"Action-Adventure")</f>
        <v>Action-Adventure</v>
      </c>
      <c r="M299" s="31"/>
    </row>
    <row r="300">
      <c r="A300" s="17" t="str">
        <f>IFERROR(__xludf.DUMMYFUNCTION("""COMPUTED_VALUE"""),"Conker: Live &amp; Reloaded")</f>
        <v>Conker: Live &amp; Reloaded</v>
      </c>
      <c r="B300" s="20" t="str">
        <f>IFERROR(__xludf.DUMMYFUNCTION("""COMPUTED_VALUE"""),"XB360/OG Xbox")</f>
        <v>XB360/OG Xbox</v>
      </c>
      <c r="C300" s="21"/>
      <c r="D300" s="21" t="str">
        <f>IFERROR(__xludf.DUMMYFUNCTION("""COMPUTED_VALUE"""),"GwG Permanent")</f>
        <v>GwG Permanent</v>
      </c>
      <c r="E300" s="23">
        <f>IFERROR(__xludf.DUMMYFUNCTION("""COMPUTED_VALUE"""),44378.0)</f>
        <v>44378</v>
      </c>
      <c r="F300" s="24">
        <f>IFERROR(__xludf.DUMMYFUNCTION("""COMPUTED_VALUE"""),44392.0)</f>
        <v>44392</v>
      </c>
      <c r="G300" s="27">
        <f>IFERROR(__xludf.DUMMYFUNCTION("""COMPUTED_VALUE"""),0.4666666666666667)</f>
        <v>0.4666666667</v>
      </c>
      <c r="H300" s="23">
        <f>IFERROR(__xludf.DUMMYFUNCTION("""COMPUTED_VALUE"""),38673.0)</f>
        <v>38673</v>
      </c>
      <c r="I300" s="27">
        <f>IFERROR(__xludf.DUMMYFUNCTION("""COMPUTED_VALUE"""),15.622222222222222)</f>
        <v>15.62222222</v>
      </c>
      <c r="J300" s="29">
        <f>IFERROR(__xludf.DUMMYFUNCTION("""COMPUTED_VALUE"""),82.0)</f>
        <v>82</v>
      </c>
      <c r="K300" s="29">
        <f>IFERROR(__xludf.DUMMYFUNCTION("""COMPUTED_VALUE"""),10.0)</f>
        <v>10</v>
      </c>
      <c r="L300" s="31" t="str">
        <f>IFERROR(__xludf.DUMMYFUNCTION("""COMPUTED_VALUE"""),"Action-Adventure")</f>
        <v>Action-Adventure</v>
      </c>
      <c r="M300" s="31" t="str">
        <f>IFERROR(__xludf.DUMMYFUNCTION("""COMPUTED_VALUE"""),"Enhanced")</f>
        <v>Enhanced</v>
      </c>
    </row>
    <row r="301">
      <c r="A301" s="17" t="str">
        <f>IFERROR(__xludf.DUMMYFUNCTION("""COMPUTED_VALUE"""),"Armed and Dangerous")</f>
        <v>Armed and Dangerous</v>
      </c>
      <c r="B301" s="20" t="str">
        <f>IFERROR(__xludf.DUMMYFUNCTION("""COMPUTED_VALUE"""),"XB360/OG Xbox")</f>
        <v>XB360/OG Xbox</v>
      </c>
      <c r="C301" s="21"/>
      <c r="D301" s="21" t="str">
        <f>IFERROR(__xludf.DUMMYFUNCTION("""COMPUTED_VALUE"""),"GwG Permanent")</f>
        <v>GwG Permanent</v>
      </c>
      <c r="E301" s="23">
        <f>IFERROR(__xludf.DUMMYFUNCTION("""COMPUTED_VALUE"""),44090.0)</f>
        <v>44090</v>
      </c>
      <c r="F301" s="24">
        <f>IFERROR(__xludf.DUMMYFUNCTION("""COMPUTED_VALUE"""),44104.0)</f>
        <v>44104</v>
      </c>
      <c r="G301" s="27">
        <f>IFERROR(__xludf.DUMMYFUNCTION("""COMPUTED_VALUE"""),0.4666666666666667)</f>
        <v>0.4666666667</v>
      </c>
      <c r="H301" s="23">
        <f>IFERROR(__xludf.DUMMYFUNCTION("""COMPUTED_VALUE"""),37957.0)</f>
        <v>37957</v>
      </c>
      <c r="I301" s="27">
        <f>IFERROR(__xludf.DUMMYFUNCTION("""COMPUTED_VALUE"""),16.788888888888888)</f>
        <v>16.78888889</v>
      </c>
      <c r="J301" s="29">
        <f>IFERROR(__xludf.DUMMYFUNCTION("""COMPUTED_VALUE"""),82.0)</f>
        <v>82</v>
      </c>
      <c r="K301" s="29">
        <f>IFERROR(__xludf.DUMMYFUNCTION("""COMPUTED_VALUE"""),8.0)</f>
        <v>8</v>
      </c>
      <c r="L301" s="31" t="str">
        <f>IFERROR(__xludf.DUMMYFUNCTION("""COMPUTED_VALUE"""),"Shooter")</f>
        <v>Shooter</v>
      </c>
      <c r="M301" s="31" t="str">
        <f>IFERROR(__xludf.DUMMYFUNCTION("""COMPUTED_VALUE"""),"Enhanced")</f>
        <v>Enhanced</v>
      </c>
    </row>
    <row r="302">
      <c r="A302" s="17" t="str">
        <f>IFERROR(__xludf.DUMMYFUNCTION("""COMPUTED_VALUE"""),"Saints Row 2")</f>
        <v>Saints Row 2</v>
      </c>
      <c r="B302" s="20" t="str">
        <f>IFERROR(__xludf.DUMMYFUNCTION("""COMPUTED_VALUE"""),"XB360/OG Xbox")</f>
        <v>XB360/OG Xbox</v>
      </c>
      <c r="C302" s="21"/>
      <c r="D302" s="21" t="str">
        <f>IFERROR(__xludf.DUMMYFUNCTION("""COMPUTED_VALUE"""),"GwG Permanent")</f>
        <v>GwG Permanent</v>
      </c>
      <c r="E302" s="23">
        <f>IFERROR(__xludf.DUMMYFUNCTION("""COMPUTED_VALUE"""),44013.0)</f>
        <v>44013</v>
      </c>
      <c r="F302" s="24">
        <f>IFERROR(__xludf.DUMMYFUNCTION("""COMPUTED_VALUE"""),44027.0)</f>
        <v>44027</v>
      </c>
      <c r="G302" s="27">
        <f>IFERROR(__xludf.DUMMYFUNCTION("""COMPUTED_VALUE"""),0.4666666666666667)</f>
        <v>0.4666666667</v>
      </c>
      <c r="H302" s="23">
        <f>IFERROR(__xludf.DUMMYFUNCTION("""COMPUTED_VALUE"""),39735.0)</f>
        <v>39735</v>
      </c>
      <c r="I302" s="27">
        <f>IFERROR(__xludf.DUMMYFUNCTION("""COMPUTED_VALUE"""),11.713888888888889)</f>
        <v>11.71388889</v>
      </c>
      <c r="J302" s="29">
        <f>IFERROR(__xludf.DUMMYFUNCTION("""COMPUTED_VALUE"""),82.0)</f>
        <v>82</v>
      </c>
      <c r="K302" s="29">
        <f>IFERROR(__xludf.DUMMYFUNCTION("""COMPUTED_VALUE"""),20.0)</f>
        <v>20</v>
      </c>
      <c r="L302" s="31" t="str">
        <f>IFERROR(__xludf.DUMMYFUNCTION("""COMPUTED_VALUE"""),"Action-Adventure")</f>
        <v>Action-Adventure</v>
      </c>
      <c r="M302" s="31"/>
    </row>
    <row r="303">
      <c r="A303" s="17" t="str">
        <f>IFERROR(__xludf.DUMMYFUNCTION("""COMPUTED_VALUE"""),"Sine Mora")</f>
        <v>Sine Mora</v>
      </c>
      <c r="B303" s="20" t="str">
        <f>IFERROR(__xludf.DUMMYFUNCTION("""COMPUTED_VALUE"""),"XB360/OG Xbox")</f>
        <v>XB360/OG Xbox</v>
      </c>
      <c r="C303" s="21"/>
      <c r="D303" s="21" t="str">
        <f>IFERROR(__xludf.DUMMYFUNCTION("""COMPUTED_VALUE"""),"GwG Permanent")</f>
        <v>GwG Permanent</v>
      </c>
      <c r="E303" s="23">
        <f>IFERROR(__xludf.DUMMYFUNCTION("""COMPUTED_VALUE"""),43998.0)</f>
        <v>43998</v>
      </c>
      <c r="F303" s="24">
        <f>IFERROR(__xludf.DUMMYFUNCTION("""COMPUTED_VALUE"""),44012.0)</f>
        <v>44012</v>
      </c>
      <c r="G303" s="27">
        <f>IFERROR(__xludf.DUMMYFUNCTION("""COMPUTED_VALUE"""),0.4666666666666667)</f>
        <v>0.4666666667</v>
      </c>
      <c r="H303" s="23">
        <f>IFERROR(__xludf.DUMMYFUNCTION("""COMPUTED_VALUE"""),41222.0)</f>
        <v>41222</v>
      </c>
      <c r="I303" s="27">
        <f>IFERROR(__xludf.DUMMYFUNCTION("""COMPUTED_VALUE"""),7.602777777777778)</f>
        <v>7.602777778</v>
      </c>
      <c r="J303" s="29">
        <f>IFERROR(__xludf.DUMMYFUNCTION("""COMPUTED_VALUE"""),82.0)</f>
        <v>82</v>
      </c>
      <c r="K303" s="29">
        <f>IFERROR(__xludf.DUMMYFUNCTION("""COMPUTED_VALUE"""),3.0)</f>
        <v>3</v>
      </c>
      <c r="L303" s="31" t="str">
        <f>IFERROR(__xludf.DUMMYFUNCTION("""COMPUTED_VALUE"""),"Shooter")</f>
        <v>Shooter</v>
      </c>
      <c r="M303" s="31"/>
    </row>
    <row r="304">
      <c r="A304" s="17" t="str">
        <f>IFERROR(__xludf.DUMMYFUNCTION("""COMPUTED_VALUE"""),"Tekken 6")</f>
        <v>Tekken 6</v>
      </c>
      <c r="B304" s="20" t="str">
        <f>IFERROR(__xludf.DUMMYFUNCTION("""COMPUTED_VALUE"""),"XB360/OG Xbox")</f>
        <v>XB360/OG Xbox</v>
      </c>
      <c r="C304" s="21"/>
      <c r="D304" s="21" t="str">
        <f>IFERROR(__xludf.DUMMYFUNCTION("""COMPUTED_VALUE"""),"GwG Permanent")</f>
        <v>GwG Permanent</v>
      </c>
      <c r="E304" s="23">
        <f>IFERROR(__xludf.DUMMYFUNCTION("""COMPUTED_VALUE"""),43831.0)</f>
        <v>43831</v>
      </c>
      <c r="F304" s="24">
        <f>IFERROR(__xludf.DUMMYFUNCTION("""COMPUTED_VALUE"""),43845.0)</f>
        <v>43845</v>
      </c>
      <c r="G304" s="27">
        <f>IFERROR(__xludf.DUMMYFUNCTION("""COMPUTED_VALUE"""),0.4666666666666667)</f>
        <v>0.4666666667</v>
      </c>
      <c r="H304" s="23">
        <f>IFERROR(__xludf.DUMMYFUNCTION("""COMPUTED_VALUE"""),40113.0)</f>
        <v>40113</v>
      </c>
      <c r="I304" s="27">
        <f>IFERROR(__xludf.DUMMYFUNCTION("""COMPUTED_VALUE"""),10.177777777777777)</f>
        <v>10.17777778</v>
      </c>
      <c r="J304" s="29">
        <f>IFERROR(__xludf.DUMMYFUNCTION("""COMPUTED_VALUE"""),82.0)</f>
        <v>82</v>
      </c>
      <c r="K304" s="29">
        <f>IFERROR(__xludf.DUMMYFUNCTION("""COMPUTED_VALUE"""),5.0)</f>
        <v>5</v>
      </c>
      <c r="L304" s="31" t="str">
        <f>IFERROR(__xludf.DUMMYFUNCTION("""COMPUTED_VALUE"""),"Fighting")</f>
        <v>Fighting</v>
      </c>
      <c r="M304" s="31"/>
    </row>
    <row r="305">
      <c r="A305" s="17" t="str">
        <f>IFERROR(__xludf.DUMMYFUNCTION("""COMPUTED_VALUE"""),"Star Wars: Battlefront II")</f>
        <v>Star Wars: Battlefront II</v>
      </c>
      <c r="B305" s="20" t="str">
        <f>IFERROR(__xludf.DUMMYFUNCTION("""COMPUTED_VALUE"""),"XB360/OG Xbox")</f>
        <v>XB360/OG Xbox</v>
      </c>
      <c r="C305" s="21"/>
      <c r="D305" s="21" t="str">
        <f>IFERROR(__xludf.DUMMYFUNCTION("""COMPUTED_VALUE"""),"GwG Permanent")</f>
        <v>GwG Permanent</v>
      </c>
      <c r="E305" s="23">
        <f>IFERROR(__xludf.DUMMYFUNCTION("""COMPUTED_VALUE"""),43556.0)</f>
        <v>43556</v>
      </c>
      <c r="F305" s="24">
        <f>IFERROR(__xludf.DUMMYFUNCTION("""COMPUTED_VALUE"""),43570.0)</f>
        <v>43570</v>
      </c>
      <c r="G305" s="27">
        <f>IFERROR(__xludf.DUMMYFUNCTION("""COMPUTED_VALUE"""),0.4666666666666667)</f>
        <v>0.4666666667</v>
      </c>
      <c r="H305" s="23">
        <f>IFERROR(__xludf.DUMMYFUNCTION("""COMPUTED_VALUE"""),43056.0)</f>
        <v>43056</v>
      </c>
      <c r="I305" s="27">
        <f>IFERROR(__xludf.DUMMYFUNCTION("""COMPUTED_VALUE"""),1.3722222222222222)</f>
        <v>1.372222222</v>
      </c>
      <c r="J305" s="29">
        <f>IFERROR(__xludf.DUMMYFUNCTION("""COMPUTED_VALUE"""),82.0)</f>
        <v>82</v>
      </c>
      <c r="K305" s="29">
        <f>IFERROR(__xludf.DUMMYFUNCTION("""COMPUTED_VALUE"""),7.5)</f>
        <v>7.5</v>
      </c>
      <c r="L305" s="31" t="str">
        <f>IFERROR(__xludf.DUMMYFUNCTION("""COMPUTED_VALUE"""),"Shooter")</f>
        <v>Shooter</v>
      </c>
      <c r="M305" s="31" t="str">
        <f>IFERROR(__xludf.DUMMYFUNCTION("""COMPUTED_VALUE"""),"Enhanced")</f>
        <v>Enhanced</v>
      </c>
    </row>
    <row r="306">
      <c r="A306" s="17" t="str">
        <f>IFERROR(__xludf.DUMMYFUNCTION("""COMPUTED_VALUE"""),"Dragon Age II")</f>
        <v>Dragon Age II</v>
      </c>
      <c r="B306" s="20" t="str">
        <f>IFERROR(__xludf.DUMMYFUNCTION("""COMPUTED_VALUE"""),"XB360/OG Xbox")</f>
        <v>XB360/OG Xbox</v>
      </c>
      <c r="C306" s="21"/>
      <c r="D306" s="21" t="str">
        <f>IFERROR(__xludf.DUMMYFUNCTION("""COMPUTED_VALUE"""),"GwG Permanent")</f>
        <v>GwG Permanent</v>
      </c>
      <c r="E306" s="23">
        <f>IFERROR(__xludf.DUMMYFUNCTION("""COMPUTED_VALUE"""),43435.0)</f>
        <v>43435</v>
      </c>
      <c r="F306" s="24">
        <f>IFERROR(__xludf.DUMMYFUNCTION("""COMPUTED_VALUE"""),43449.0)</f>
        <v>43449</v>
      </c>
      <c r="G306" s="27">
        <f>IFERROR(__xludf.DUMMYFUNCTION("""COMPUTED_VALUE"""),0.4666666666666667)</f>
        <v>0.4666666667</v>
      </c>
      <c r="H306" s="23">
        <f>IFERROR(__xludf.DUMMYFUNCTION("""COMPUTED_VALUE"""),40610.0)</f>
        <v>40610</v>
      </c>
      <c r="I306" s="27">
        <f>IFERROR(__xludf.DUMMYFUNCTION("""COMPUTED_VALUE"""),7.730555555555555)</f>
        <v>7.730555556</v>
      </c>
      <c r="J306" s="29">
        <f>IFERROR(__xludf.DUMMYFUNCTION("""COMPUTED_VALUE"""),82.0)</f>
        <v>82</v>
      </c>
      <c r="K306" s="29">
        <f>IFERROR(__xludf.DUMMYFUNCTION("""COMPUTED_VALUE"""),27.0)</f>
        <v>27</v>
      </c>
      <c r="L306" s="31" t="str">
        <f>IFERROR(__xludf.DUMMYFUNCTION("""COMPUTED_VALUE"""),"RPG")</f>
        <v>RPG</v>
      </c>
      <c r="M306" s="31"/>
    </row>
    <row r="307">
      <c r="A307" s="17" t="str">
        <f>IFERROR(__xludf.DUMMYFUNCTION("""COMPUTED_VALUE"""),"Tom Clancy's Splinter Cell: Conviction")</f>
        <v>Tom Clancy's Splinter Cell: Conviction</v>
      </c>
      <c r="B307" s="20" t="str">
        <f>IFERROR(__xludf.DUMMYFUNCTION("""COMPUTED_VALUE"""),"XB360/OG Xbox")</f>
        <v>XB360/OG Xbox</v>
      </c>
      <c r="C307" s="21"/>
      <c r="D307" s="21" t="str">
        <f>IFERROR(__xludf.DUMMYFUNCTION("""COMPUTED_VALUE"""),"GwG Permanent")</f>
        <v>GwG Permanent</v>
      </c>
      <c r="E307" s="23">
        <f>IFERROR(__xludf.DUMMYFUNCTION("""COMPUTED_VALUE"""),43297.0)</f>
        <v>43297</v>
      </c>
      <c r="F307" s="24">
        <f>IFERROR(__xludf.DUMMYFUNCTION("""COMPUTED_VALUE"""),43312.0)</f>
        <v>43312</v>
      </c>
      <c r="G307" s="27">
        <f>IFERROR(__xludf.DUMMYFUNCTION("""COMPUTED_VALUE"""),0.4666666666666667)</f>
        <v>0.4666666667</v>
      </c>
      <c r="H307" s="23">
        <f>IFERROR(__xludf.DUMMYFUNCTION("""COMPUTED_VALUE"""),40270.0)</f>
        <v>40270</v>
      </c>
      <c r="I307" s="27">
        <f>IFERROR(__xludf.DUMMYFUNCTION("""COMPUTED_VALUE"""),8.28888888888889)</f>
        <v>8.288888889</v>
      </c>
      <c r="J307" s="29">
        <f>IFERROR(__xludf.DUMMYFUNCTION("""COMPUTED_VALUE"""),82.0)</f>
        <v>82</v>
      </c>
      <c r="K307" s="29">
        <f>IFERROR(__xludf.DUMMYFUNCTION("""COMPUTED_VALUE"""),8.0)</f>
        <v>8</v>
      </c>
      <c r="L307" s="31" t="str">
        <f>IFERROR(__xludf.DUMMYFUNCTION("""COMPUTED_VALUE"""),"Shooter")</f>
        <v>Shooter</v>
      </c>
      <c r="M307" s="31"/>
    </row>
    <row r="308">
      <c r="A308" s="17" t="str">
        <f>IFERROR(__xludf.DUMMYFUNCTION("""COMPUTED_VALUE"""),"Split/Second")</f>
        <v>Split/Second</v>
      </c>
      <c r="B308" s="20" t="str">
        <f>IFERROR(__xludf.DUMMYFUNCTION("""COMPUTED_VALUE"""),"XB360/OG Xbox")</f>
        <v>XB360/OG Xbox</v>
      </c>
      <c r="C308" s="21"/>
      <c r="D308" s="21" t="str">
        <f>IFERROR(__xludf.DUMMYFUNCTION("""COMPUTED_VALUE"""),"GwG Permanent")</f>
        <v>GwG Permanent</v>
      </c>
      <c r="E308" s="23">
        <f>IFERROR(__xludf.DUMMYFUNCTION("""COMPUTED_VALUE"""),43132.0)</f>
        <v>43132</v>
      </c>
      <c r="F308" s="24">
        <f>IFERROR(__xludf.DUMMYFUNCTION("""COMPUTED_VALUE"""),43146.0)</f>
        <v>43146</v>
      </c>
      <c r="G308" s="27">
        <f>IFERROR(__xludf.DUMMYFUNCTION("""COMPUTED_VALUE"""),0.4666666666666667)</f>
        <v>0.4666666667</v>
      </c>
      <c r="H308" s="23">
        <f>IFERROR(__xludf.DUMMYFUNCTION("""COMPUTED_VALUE"""),40316.0)</f>
        <v>40316</v>
      </c>
      <c r="I308" s="27">
        <f>IFERROR(__xludf.DUMMYFUNCTION("""COMPUTED_VALUE"""),7.7027777777777775)</f>
        <v>7.702777778</v>
      </c>
      <c r="J308" s="29">
        <f>IFERROR(__xludf.DUMMYFUNCTION("""COMPUTED_VALUE"""),82.0)</f>
        <v>82</v>
      </c>
      <c r="K308" s="29">
        <f>IFERROR(__xludf.DUMMYFUNCTION("""COMPUTED_VALUE"""),7.0)</f>
        <v>7</v>
      </c>
      <c r="L308" s="31" t="str">
        <f>IFERROR(__xludf.DUMMYFUNCTION("""COMPUTED_VALUE"""),"Racing")</f>
        <v>Racing</v>
      </c>
      <c r="M308" s="31"/>
    </row>
    <row r="309">
      <c r="A309" s="17" t="str">
        <f>IFERROR(__xludf.DUMMYFUNCTION("""COMPUTED_VALUE"""),"Rayman 3 HD")</f>
        <v>Rayman 3 HD</v>
      </c>
      <c r="B309" s="20" t="str">
        <f>IFERROR(__xludf.DUMMYFUNCTION("""COMPUTED_VALUE"""),"XB360/OG Xbox")</f>
        <v>XB360/OG Xbox</v>
      </c>
      <c r="C309" s="21"/>
      <c r="D309" s="21" t="str">
        <f>IFERROR(__xludf.DUMMYFUNCTION("""COMPUTED_VALUE"""),"GwG Permanent")</f>
        <v>GwG Permanent</v>
      </c>
      <c r="E309" s="23">
        <f>IFERROR(__xludf.DUMMYFUNCTION("""COMPUTED_VALUE"""),43009.0)</f>
        <v>43009</v>
      </c>
      <c r="F309" s="24">
        <f>IFERROR(__xludf.DUMMYFUNCTION("""COMPUTED_VALUE"""),43023.0)</f>
        <v>43023</v>
      </c>
      <c r="G309" s="27">
        <f>IFERROR(__xludf.DUMMYFUNCTION("""COMPUTED_VALUE"""),0.4666666666666667)</f>
        <v>0.4666666667</v>
      </c>
      <c r="H309" s="23">
        <f>IFERROR(__xludf.DUMMYFUNCTION("""COMPUTED_VALUE"""),41180.0)</f>
        <v>41180</v>
      </c>
      <c r="I309" s="27">
        <f>IFERROR(__xludf.DUMMYFUNCTION("""COMPUTED_VALUE"""),5.008333333333334)</f>
        <v>5.008333333</v>
      </c>
      <c r="J309" s="29">
        <f>IFERROR(__xludf.DUMMYFUNCTION("""COMPUTED_VALUE"""),82.0)</f>
        <v>82</v>
      </c>
      <c r="K309" s="29">
        <f>IFERROR(__xludf.DUMMYFUNCTION("""COMPUTED_VALUE"""),5.0)</f>
        <v>5</v>
      </c>
      <c r="L309" s="31" t="str">
        <f>IFERROR(__xludf.DUMMYFUNCTION("""COMPUTED_VALUE"""),"Platformer")</f>
        <v>Platformer</v>
      </c>
      <c r="M309" s="31"/>
    </row>
    <row r="310">
      <c r="A310" s="17" t="str">
        <f>IFERROR(__xludf.DUMMYFUNCTION("""COMPUTED_VALUE"""),"F1 2013")</f>
        <v>F1 2013</v>
      </c>
      <c r="B310" s="20" t="str">
        <f>IFERROR(__xludf.DUMMYFUNCTION("""COMPUTED_VALUE"""),"XB360/OG Xbox")</f>
        <v>XB360/OG Xbox</v>
      </c>
      <c r="C310" s="21"/>
      <c r="D310" s="21" t="str">
        <f>IFERROR(__xludf.DUMMYFUNCTION("""COMPUTED_VALUE"""),"GwG Permanent")</f>
        <v>GwG Permanent</v>
      </c>
      <c r="E310" s="23">
        <f>IFERROR(__xludf.DUMMYFUNCTION("""COMPUTED_VALUE"""),42140.0)</f>
        <v>42140</v>
      </c>
      <c r="F310" s="24">
        <f>IFERROR(__xludf.DUMMYFUNCTION("""COMPUTED_VALUE"""),42155.0)</f>
        <v>42155</v>
      </c>
      <c r="G310" s="27">
        <f>IFERROR(__xludf.DUMMYFUNCTION("""COMPUTED_VALUE"""),0.4666666666666667)</f>
        <v>0.4666666667</v>
      </c>
      <c r="H310" s="23">
        <f>IFERROR(__xludf.DUMMYFUNCTION("""COMPUTED_VALUE"""),41516.0)</f>
        <v>41516</v>
      </c>
      <c r="I310" s="27">
        <f>IFERROR(__xludf.DUMMYFUNCTION("""COMPUTED_VALUE"""),1.711111111111111)</f>
        <v>1.711111111</v>
      </c>
      <c r="J310" s="29">
        <f>IFERROR(__xludf.DUMMYFUNCTION("""COMPUTED_VALUE"""),82.0)</f>
        <v>82</v>
      </c>
      <c r="K310" s="29">
        <f>IFERROR(__xludf.DUMMYFUNCTION("""COMPUTED_VALUE"""),6.0)</f>
        <v>6</v>
      </c>
      <c r="L310" s="31" t="str">
        <f>IFERROR(__xludf.DUMMYFUNCTION("""COMPUTED_VALUE"""),"Racing")</f>
        <v>Racing</v>
      </c>
      <c r="M310" s="31"/>
    </row>
    <row r="311">
      <c r="A311" s="17" t="str">
        <f>IFERROR(__xludf.DUMMYFUNCTION("""COMPUTED_VALUE"""),"SSX")</f>
        <v>SSX</v>
      </c>
      <c r="B311" s="20" t="str">
        <f>IFERROR(__xludf.DUMMYFUNCTION("""COMPUTED_VALUE"""),"XB360/OG Xbox")</f>
        <v>XB360/OG Xbox</v>
      </c>
      <c r="C311" s="21"/>
      <c r="D311" s="21" t="str">
        <f>IFERROR(__xludf.DUMMYFUNCTION("""COMPUTED_VALUE"""),"GwG Permanent")</f>
        <v>GwG Permanent</v>
      </c>
      <c r="E311" s="23">
        <f>IFERROR(__xludf.DUMMYFUNCTION("""COMPUTED_VALUE"""),41989.0)</f>
        <v>41989</v>
      </c>
      <c r="F311" s="24">
        <f>IFERROR(__xludf.DUMMYFUNCTION("""COMPUTED_VALUE"""),42004.0)</f>
        <v>42004</v>
      </c>
      <c r="G311" s="27">
        <f>IFERROR(__xludf.DUMMYFUNCTION("""COMPUTED_VALUE"""),0.4666666666666667)</f>
        <v>0.4666666667</v>
      </c>
      <c r="H311" s="23">
        <f>IFERROR(__xludf.DUMMYFUNCTION("""COMPUTED_VALUE"""),40967.0)</f>
        <v>40967</v>
      </c>
      <c r="I311" s="27">
        <f>IFERROR(__xludf.DUMMYFUNCTION("""COMPUTED_VALUE"""),2.8)</f>
        <v>2.8</v>
      </c>
      <c r="J311" s="29">
        <f>IFERROR(__xludf.DUMMYFUNCTION("""COMPUTED_VALUE"""),82.0)</f>
        <v>82</v>
      </c>
      <c r="K311" s="29">
        <f>IFERROR(__xludf.DUMMYFUNCTION("""COMPUTED_VALUE"""),12.0)</f>
        <v>12</v>
      </c>
      <c r="L311" s="31" t="str">
        <f>IFERROR(__xludf.DUMMYFUNCTION("""COMPUTED_VALUE"""),"Sports")</f>
        <v>Sports</v>
      </c>
      <c r="M311" s="31"/>
    </row>
    <row r="312">
      <c r="A312" s="17" t="str">
        <f>IFERROR(__xludf.DUMMYFUNCTION("""COMPUTED_VALUE"""),"Iron Brigade")</f>
        <v>Iron Brigade</v>
      </c>
      <c r="B312" s="20" t="str">
        <f>IFERROR(__xludf.DUMMYFUNCTION("""COMPUTED_VALUE"""),"XB360/OG Xbox")</f>
        <v>XB360/OG Xbox</v>
      </c>
      <c r="C312" s="21"/>
      <c r="D312" s="21" t="str">
        <f>IFERROR(__xludf.DUMMYFUNCTION("""COMPUTED_VALUE"""),"GwG Permanent")</f>
        <v>GwG Permanent</v>
      </c>
      <c r="E312" s="23">
        <f>IFERROR(__xludf.DUMMYFUNCTION("""COMPUTED_VALUE"""),41594.0)</f>
        <v>41594</v>
      </c>
      <c r="F312" s="24">
        <f>IFERROR(__xludf.DUMMYFUNCTION("""COMPUTED_VALUE"""),41608.0)</f>
        <v>41608</v>
      </c>
      <c r="G312" s="27">
        <f>IFERROR(__xludf.DUMMYFUNCTION("""COMPUTED_VALUE"""),0.4666666666666667)</f>
        <v>0.4666666667</v>
      </c>
      <c r="H312" s="23">
        <f>IFERROR(__xludf.DUMMYFUNCTION("""COMPUTED_VALUE"""),40736.0)</f>
        <v>40736</v>
      </c>
      <c r="I312" s="27">
        <f>IFERROR(__xludf.DUMMYFUNCTION("""COMPUTED_VALUE"""),2.3444444444444446)</f>
        <v>2.344444444</v>
      </c>
      <c r="J312" s="29">
        <f>IFERROR(__xludf.DUMMYFUNCTION("""COMPUTED_VALUE"""),82.0)</f>
        <v>82</v>
      </c>
      <c r="K312" s="29">
        <f>IFERROR(__xludf.DUMMYFUNCTION("""COMPUTED_VALUE"""),7.0)</f>
        <v>7</v>
      </c>
      <c r="L312" s="31" t="str">
        <f>IFERROR(__xludf.DUMMYFUNCTION("""COMPUTED_VALUE"""),"Strategy")</f>
        <v>Strategy</v>
      </c>
      <c r="M312" s="31"/>
    </row>
    <row r="313">
      <c r="A313" s="17" t="str">
        <f>IFERROR(__xludf.DUMMYFUNCTION("""COMPUTED_VALUE"""),"Crackdown")</f>
        <v>Crackdown</v>
      </c>
      <c r="B313" s="20" t="str">
        <f>IFERROR(__xludf.DUMMYFUNCTION("""COMPUTED_VALUE"""),"XB360/OG Xbox")</f>
        <v>XB360/OG Xbox</v>
      </c>
      <c r="C313" s="21"/>
      <c r="D313" s="21" t="str">
        <f>IFERROR(__xludf.DUMMYFUNCTION("""COMPUTED_VALUE"""),"GwG Permanent")</f>
        <v>GwG Permanent</v>
      </c>
      <c r="E313" s="23">
        <f>IFERROR(__xludf.DUMMYFUNCTION("""COMPUTED_VALUE"""),41487.0)</f>
        <v>41487</v>
      </c>
      <c r="F313" s="24">
        <f>IFERROR(__xludf.DUMMYFUNCTION("""COMPUTED_VALUE"""),41501.0)</f>
        <v>41501</v>
      </c>
      <c r="G313" s="27">
        <f>IFERROR(__xludf.DUMMYFUNCTION("""COMPUTED_VALUE"""),0.4666666666666667)</f>
        <v>0.4666666667</v>
      </c>
      <c r="H313" s="23">
        <f>IFERROR(__xludf.DUMMYFUNCTION("""COMPUTED_VALUE"""),39133.0)</f>
        <v>39133</v>
      </c>
      <c r="I313" s="27">
        <f>IFERROR(__xludf.DUMMYFUNCTION("""COMPUTED_VALUE"""),6.447222222222222)</f>
        <v>6.447222222</v>
      </c>
      <c r="J313" s="29">
        <f>IFERROR(__xludf.DUMMYFUNCTION("""COMPUTED_VALUE"""),82.0)</f>
        <v>82</v>
      </c>
      <c r="K313" s="29">
        <f>IFERROR(__xludf.DUMMYFUNCTION("""COMPUTED_VALUE"""),12.0)</f>
        <v>12</v>
      </c>
      <c r="L313" s="31" t="str">
        <f>IFERROR(__xludf.DUMMYFUNCTION("""COMPUTED_VALUE"""),"Action-Adventure")</f>
        <v>Action-Adventure</v>
      </c>
      <c r="M313" s="31" t="str">
        <f>IFERROR(__xludf.DUMMYFUNCTION("""COMPUTED_VALUE"""),"Enhanced")</f>
        <v>Enhanced</v>
      </c>
    </row>
    <row r="314">
      <c r="A314" s="17" t="str">
        <f>IFERROR(__xludf.DUMMYFUNCTION("""COMPUTED_VALUE"""),"Super Mega Baseball 3")</f>
        <v>Super Mega Baseball 3</v>
      </c>
      <c r="B314" s="20" t="str">
        <f>IFERROR(__xludf.DUMMYFUNCTION("""COMPUTED_VALUE"""),"Xbox / PC")</f>
        <v>Xbox / PC</v>
      </c>
      <c r="C314" s="21" t="str">
        <f>IFERROR(__xludf.DUMMYFUNCTION("""COMPUTED_VALUE"""),"Touch Controls")</f>
        <v>Touch Controls</v>
      </c>
      <c r="D314" s="21" t="str">
        <f>IFERROR(__xludf.DUMMYFUNCTION("""COMPUTED_VALUE"""),"Active")</f>
        <v>Active</v>
      </c>
      <c r="E314" s="23">
        <f>IFERROR(__xludf.DUMMYFUNCTION("""COMPUTED_VALUE"""),44616.0)</f>
        <v>44616</v>
      </c>
      <c r="F314" s="24"/>
      <c r="G314" s="27">
        <f>IFERROR(__xludf.DUMMYFUNCTION("""COMPUTED_VALUE"""),55.39999999999999)</f>
        <v>55.4</v>
      </c>
      <c r="H314" s="23">
        <f>IFERROR(__xludf.DUMMYFUNCTION("""COMPUTED_VALUE"""),43964.0)</f>
        <v>43964</v>
      </c>
      <c r="I314" s="27">
        <f>IFERROR(__xludf.DUMMYFUNCTION("""COMPUTED_VALUE"""),1.7805555555555554)</f>
        <v>1.780555556</v>
      </c>
      <c r="J314" s="29">
        <f>IFERROR(__xludf.DUMMYFUNCTION("""COMPUTED_VALUE"""),81.5)</f>
        <v>81.5</v>
      </c>
      <c r="K314" s="29">
        <f>IFERROR(__xludf.DUMMYFUNCTION("""COMPUTED_VALUE"""),24.0)</f>
        <v>24</v>
      </c>
      <c r="L314" s="31" t="str">
        <f>IFERROR(__xludf.DUMMYFUNCTION("""COMPUTED_VALUE"""),"Sports")</f>
        <v>Sports</v>
      </c>
      <c r="M314" s="31"/>
    </row>
    <row r="315">
      <c r="A315" s="17" t="str">
        <f>IFERROR(__xludf.DUMMYFUNCTION("""COMPUTED_VALUE"""),"The Planet Crafter")</f>
        <v>The Planet Crafter</v>
      </c>
      <c r="B315" s="20" t="str">
        <f>IFERROR(__xludf.DUMMYFUNCTION("""COMPUTED_VALUE"""),"Xbox / PC")</f>
        <v>Xbox / PC</v>
      </c>
      <c r="C315" s="21" t="str">
        <f>IFERROR(__xludf.DUMMYFUNCTION("""COMPUTED_VALUE"""),"Yes")</f>
        <v>Yes</v>
      </c>
      <c r="D315" s="21" t="str">
        <f>IFERROR(__xludf.DUMMYFUNCTION("""COMPUTED_VALUE"""),"Active")</f>
        <v>Active</v>
      </c>
      <c r="E315" s="23">
        <f>IFERROR(__xludf.DUMMYFUNCTION("""COMPUTED_VALUE"""),46224.0)</f>
        <v>46224</v>
      </c>
      <c r="F315" s="24"/>
      <c r="G315" s="27">
        <f>IFERROR(__xludf.DUMMYFUNCTION("""COMPUTED_VALUE"""),2.5)</f>
        <v>2.5</v>
      </c>
      <c r="H315" s="23">
        <f>IFERROR(__xludf.DUMMYFUNCTION("""COMPUTED_VALUE"""),44644.0)</f>
        <v>44644</v>
      </c>
      <c r="I315" s="27">
        <f>IFERROR(__xludf.DUMMYFUNCTION("""COMPUTED_VALUE"""),4.325)</f>
        <v>4.325</v>
      </c>
      <c r="J315" s="29">
        <f>IFERROR(__xludf.DUMMYFUNCTION("""COMPUTED_VALUE"""),81.0)</f>
        <v>81</v>
      </c>
      <c r="K315" s="29">
        <f>IFERROR(__xludf.DUMMYFUNCTION("""COMPUTED_VALUE"""),35.0)</f>
        <v>35</v>
      </c>
      <c r="L315" s="31" t="str">
        <f>IFERROR(__xludf.DUMMYFUNCTION("""COMPUTED_VALUE"""),"Sandbox")</f>
        <v>Sandbox</v>
      </c>
      <c r="M315" s="31" t="str">
        <f>IFERROR(__xludf.DUMMYFUNCTION("""COMPUTED_VALUE"""),"Exclusive")</f>
        <v>Exclusive</v>
      </c>
    </row>
    <row r="316">
      <c r="A316" s="17" t="str">
        <f>IFERROR(__xludf.DUMMYFUNCTION("""COMPUTED_VALUE"""),"Jurassic World Evolution 3")</f>
        <v>Jurassic World Evolution 3</v>
      </c>
      <c r="B316" s="20" t="str">
        <f>IFERROR(__xludf.DUMMYFUNCTION("""COMPUTED_VALUE"""),"Xbox / PC")</f>
        <v>Xbox / PC</v>
      </c>
      <c r="C316" s="21" t="str">
        <f>IFERROR(__xludf.DUMMYFUNCTION("""COMPUTED_VALUE"""),"Yes")</f>
        <v>Yes</v>
      </c>
      <c r="D316" s="21" t="str">
        <f>IFERROR(__xludf.DUMMYFUNCTION("""COMPUTED_VALUE"""),"Active")</f>
        <v>Active</v>
      </c>
      <c r="E316" s="23">
        <f>IFERROR(__xludf.DUMMYFUNCTION("""COMPUTED_VALUE"""),46175.0)</f>
        <v>46175</v>
      </c>
      <c r="F316" s="24"/>
      <c r="G316" s="27">
        <f>IFERROR(__xludf.DUMMYFUNCTION("""COMPUTED_VALUE"""),4.133333333333333)</f>
        <v>4.133333333</v>
      </c>
      <c r="H316" s="23">
        <f>IFERROR(__xludf.DUMMYFUNCTION("""COMPUTED_VALUE"""),45951.0)</f>
        <v>45951</v>
      </c>
      <c r="I316" s="27">
        <f>IFERROR(__xludf.DUMMYFUNCTION("""COMPUTED_VALUE"""),0.6138888888888889)</f>
        <v>0.6138888889</v>
      </c>
      <c r="J316" s="29">
        <f>IFERROR(__xludf.DUMMYFUNCTION("""COMPUTED_VALUE"""),81.0)</f>
        <v>81</v>
      </c>
      <c r="K316" s="29">
        <f>IFERROR(__xludf.DUMMYFUNCTION("""COMPUTED_VALUE"""),20.0)</f>
        <v>20</v>
      </c>
      <c r="L316" s="31" t="str">
        <f>IFERROR(__xludf.DUMMYFUNCTION("""COMPUTED_VALUE"""),"Simulation")</f>
        <v>Simulation</v>
      </c>
      <c r="M316" s="31" t="str">
        <f>IFERROR(__xludf.DUMMYFUNCTION("""COMPUTED_VALUE"""),"Exclusive")</f>
        <v>Exclusive</v>
      </c>
    </row>
    <row r="317">
      <c r="A317" s="17" t="str">
        <f>IFERROR(__xludf.DUMMYFUNCTION("""COMPUTED_VALUE"""),"Escape Simulator")</f>
        <v>Escape Simulator</v>
      </c>
      <c r="B317" s="20" t="str">
        <f>IFERROR(__xludf.DUMMYFUNCTION("""COMPUTED_VALUE"""),"Xbox / PC")</f>
        <v>Xbox / PC</v>
      </c>
      <c r="C317" s="21" t="str">
        <f>IFERROR(__xludf.DUMMYFUNCTION("""COMPUTED_VALUE"""),"Yes")</f>
        <v>Yes</v>
      </c>
      <c r="D317" s="21" t="str">
        <f>IFERROR(__xludf.DUMMYFUNCTION("""COMPUTED_VALUE"""),"Active")</f>
        <v>Active</v>
      </c>
      <c r="E317" s="23">
        <f>IFERROR(__xludf.DUMMYFUNCTION("""COMPUTED_VALUE"""),46168.0)</f>
        <v>46168</v>
      </c>
      <c r="F317" s="24"/>
      <c r="G317" s="27">
        <f>IFERROR(__xludf.DUMMYFUNCTION("""COMPUTED_VALUE"""),4.333333333333333)</f>
        <v>4.333333333</v>
      </c>
      <c r="H317" s="23">
        <f>IFERROR(__xludf.DUMMYFUNCTION("""COMPUTED_VALUE"""),44491.0)</f>
        <v>44491</v>
      </c>
      <c r="I317" s="27">
        <f>IFERROR(__xludf.DUMMYFUNCTION("""COMPUTED_VALUE"""),4.594444444444444)</f>
        <v>4.594444444</v>
      </c>
      <c r="J317" s="29">
        <f>IFERROR(__xludf.DUMMYFUNCTION("""COMPUTED_VALUE"""),81.0)</f>
        <v>81</v>
      </c>
      <c r="K317" s="29">
        <f>IFERROR(__xludf.DUMMYFUNCTION("""COMPUTED_VALUE"""),6.0)</f>
        <v>6</v>
      </c>
      <c r="L317" s="31" t="str">
        <f>IFERROR(__xludf.DUMMYFUNCTION("""COMPUTED_VALUE"""),"Puzzle")</f>
        <v>Puzzle</v>
      </c>
      <c r="M317" s="31" t="str">
        <f>IFERROR(__xludf.DUMMYFUNCTION("""COMPUTED_VALUE"""),"Exclusive")</f>
        <v>Exclusive</v>
      </c>
    </row>
    <row r="318">
      <c r="A318" s="17" t="str">
        <f>IFERROR(__xludf.DUMMYFUNCTION("""COMPUTED_VALUE"""),"Luna Abyss")</f>
        <v>Luna Abyss</v>
      </c>
      <c r="B318" s="20" t="str">
        <f>IFERROR(__xludf.DUMMYFUNCTION("""COMPUTED_VALUE"""),"Xbox / PC")</f>
        <v>Xbox / PC</v>
      </c>
      <c r="C318" s="21" t="str">
        <f>IFERROR(__xludf.DUMMYFUNCTION("""COMPUTED_VALUE"""),"Yes")</f>
        <v>Yes</v>
      </c>
      <c r="D318" s="21" t="str">
        <f>IFERROR(__xludf.DUMMYFUNCTION("""COMPUTED_VALUE"""),"Active")</f>
        <v>Active</v>
      </c>
      <c r="E318" s="23">
        <f>IFERROR(__xludf.DUMMYFUNCTION("""COMPUTED_VALUE"""),46163.0)</f>
        <v>46163</v>
      </c>
      <c r="F318" s="24"/>
      <c r="G318" s="27">
        <f>IFERROR(__xludf.DUMMYFUNCTION("""COMPUTED_VALUE"""),4.5)</f>
        <v>4.5</v>
      </c>
      <c r="H318" s="23">
        <f>IFERROR(__xludf.DUMMYFUNCTION("""COMPUTED_VALUE"""),46163.0)</f>
        <v>46163</v>
      </c>
      <c r="I318" s="27">
        <f>IFERROR(__xludf.DUMMYFUNCTION("""COMPUTED_VALUE"""),0.0)</f>
        <v>0</v>
      </c>
      <c r="J318" s="29">
        <f>IFERROR(__xludf.DUMMYFUNCTION("""COMPUTED_VALUE"""),81.0)</f>
        <v>81</v>
      </c>
      <c r="K318" s="29">
        <f>IFERROR(__xludf.DUMMYFUNCTION("""COMPUTED_VALUE"""),8.0)</f>
        <v>8</v>
      </c>
      <c r="L318" s="31" t="str">
        <f>IFERROR(__xludf.DUMMYFUNCTION("""COMPUTED_VALUE"""),"Shooter")</f>
        <v>Shooter</v>
      </c>
      <c r="M318" s="31" t="str">
        <f>IFERROR(__xludf.DUMMYFUNCTION("""COMPUTED_VALUE"""),"Exclusive")</f>
        <v>Exclusive</v>
      </c>
    </row>
    <row r="319">
      <c r="A319" s="17" t="str">
        <f>IFERROR(__xludf.DUMMYFUNCTION("""COMPUTED_VALUE"""),"Tiny Bookshop")</f>
        <v>Tiny Bookshop</v>
      </c>
      <c r="B319" s="20" t="str">
        <f>IFERROR(__xludf.DUMMYFUNCTION("""COMPUTED_VALUE"""),"Xbox / PC")</f>
        <v>Xbox / PC</v>
      </c>
      <c r="C319" s="21" t="str">
        <f>IFERROR(__xludf.DUMMYFUNCTION("""COMPUTED_VALUE"""),"Yes")</f>
        <v>Yes</v>
      </c>
      <c r="D319" s="21" t="str">
        <f>IFERROR(__xludf.DUMMYFUNCTION("""COMPUTED_VALUE"""),"Active")</f>
        <v>Active</v>
      </c>
      <c r="E319" s="23">
        <f>IFERROR(__xludf.DUMMYFUNCTION("""COMPUTED_VALUE"""),46122.0)</f>
        <v>46122</v>
      </c>
      <c r="F319" s="24"/>
      <c r="G319" s="27">
        <f>IFERROR(__xludf.DUMMYFUNCTION("""COMPUTED_VALUE"""),5.866666666666666)</f>
        <v>5.866666667</v>
      </c>
      <c r="H319" s="23">
        <f>IFERROR(__xludf.DUMMYFUNCTION("""COMPUTED_VALUE"""),45876.0)</f>
        <v>45876</v>
      </c>
      <c r="I319" s="27">
        <f>IFERROR(__xludf.DUMMYFUNCTION("""COMPUTED_VALUE"""),0.675)</f>
        <v>0.675</v>
      </c>
      <c r="J319" s="29">
        <f>IFERROR(__xludf.DUMMYFUNCTION("""COMPUTED_VALUE"""),81.0)</f>
        <v>81</v>
      </c>
      <c r="K319" s="29">
        <f>IFERROR(__xludf.DUMMYFUNCTION("""COMPUTED_VALUE"""),16.0)</f>
        <v>16</v>
      </c>
      <c r="L319" s="31" t="str">
        <f>IFERROR(__xludf.DUMMYFUNCTION("""COMPUTED_VALUE"""),"Tycoon")</f>
        <v>Tycoon</v>
      </c>
      <c r="M319" s="31" t="str">
        <f>IFERROR(__xludf.DUMMYFUNCTION("""COMPUTED_VALUE"""),"Exclusive")</f>
        <v>Exclusive</v>
      </c>
    </row>
    <row r="320">
      <c r="A320" s="17" t="str">
        <f>IFERROR(__xludf.DUMMYFUNCTION("""COMPUTED_VALUE"""),"Marvel Cosmic Invasion")</f>
        <v>Marvel Cosmic Invasion</v>
      </c>
      <c r="B320" s="20" t="str">
        <f>IFERROR(__xludf.DUMMYFUNCTION("""COMPUTED_VALUE"""),"Xbox / PC")</f>
        <v>Xbox / PC</v>
      </c>
      <c r="C320" s="21" t="str">
        <f>IFERROR(__xludf.DUMMYFUNCTION("""COMPUTED_VALUE"""),"Yes")</f>
        <v>Yes</v>
      </c>
      <c r="D320" s="21" t="str">
        <f>IFERROR(__xludf.DUMMYFUNCTION("""COMPUTED_VALUE"""),"Active")</f>
        <v>Active</v>
      </c>
      <c r="E320" s="23">
        <f>IFERROR(__xludf.DUMMYFUNCTION("""COMPUTED_VALUE"""),45992.0)</f>
        <v>45992</v>
      </c>
      <c r="F320" s="24"/>
      <c r="G320" s="27">
        <f>IFERROR(__xludf.DUMMYFUNCTION("""COMPUTED_VALUE"""),10.166666666666666)</f>
        <v>10.16666667</v>
      </c>
      <c r="H320" s="23">
        <f>IFERROR(__xludf.DUMMYFUNCTION("""COMPUTED_VALUE"""),45992.0)</f>
        <v>45992</v>
      </c>
      <c r="I320" s="27">
        <f>IFERROR(__xludf.DUMMYFUNCTION("""COMPUTED_VALUE"""),0.0)</f>
        <v>0</v>
      </c>
      <c r="J320" s="29">
        <f>IFERROR(__xludf.DUMMYFUNCTION("""COMPUTED_VALUE"""),81.0)</f>
        <v>81</v>
      </c>
      <c r="K320" s="29">
        <f>IFERROR(__xludf.DUMMYFUNCTION("""COMPUTED_VALUE"""),4.0)</f>
        <v>4</v>
      </c>
      <c r="L320" s="31" t="str">
        <f>IFERROR(__xludf.DUMMYFUNCTION("""COMPUTED_VALUE"""),"Beat ’em up")</f>
        <v>Beat ’em up</v>
      </c>
      <c r="M320" s="31"/>
    </row>
    <row r="321">
      <c r="A321" s="17" t="str">
        <f>IFERROR(__xludf.DUMMYFUNCTION("""COMPUTED_VALUE"""),"Great God Grove")</f>
        <v>Great God Grove</v>
      </c>
      <c r="B321" s="20" t="str">
        <f>IFERROR(__xludf.DUMMYFUNCTION("""COMPUTED_VALUE"""),"Xbox / PC")</f>
        <v>Xbox / PC</v>
      </c>
      <c r="C321" s="21" t="str">
        <f>IFERROR(__xludf.DUMMYFUNCTION("""COMPUTED_VALUE"""),"Yes")</f>
        <v>Yes</v>
      </c>
      <c r="D321" s="21" t="str">
        <f>IFERROR(__xludf.DUMMYFUNCTION("""COMPUTED_VALUE"""),"Active")</f>
        <v>Active</v>
      </c>
      <c r="E321" s="23">
        <f>IFERROR(__xludf.DUMMYFUNCTION("""COMPUTED_VALUE"""),45972.0)</f>
        <v>45972</v>
      </c>
      <c r="F321" s="24"/>
      <c r="G321" s="27">
        <f>IFERROR(__xludf.DUMMYFUNCTION("""COMPUTED_VALUE"""),10.833333333333334)</f>
        <v>10.83333333</v>
      </c>
      <c r="H321" s="23">
        <f>IFERROR(__xludf.DUMMYFUNCTION("""COMPUTED_VALUE"""),45611.0)</f>
        <v>45611</v>
      </c>
      <c r="I321" s="27">
        <f>IFERROR(__xludf.DUMMYFUNCTION("""COMPUTED_VALUE"""),0.9888888888888889)</f>
        <v>0.9888888889</v>
      </c>
      <c r="J321" s="29">
        <f>IFERROR(__xludf.DUMMYFUNCTION("""COMPUTED_VALUE"""),81.0)</f>
        <v>81</v>
      </c>
      <c r="K321" s="29">
        <f>IFERROR(__xludf.DUMMYFUNCTION("""COMPUTED_VALUE"""),6.0)</f>
        <v>6</v>
      </c>
      <c r="L321" s="31" t="str">
        <f>IFERROR(__xludf.DUMMYFUNCTION("""COMPUTED_VALUE"""),"Action-Adventure")</f>
        <v>Action-Adventure</v>
      </c>
      <c r="M321" s="31" t="str">
        <f>IFERROR(__xludf.DUMMYFUNCTION("""COMPUTED_VALUE"""),"Exclusive")</f>
        <v>Exclusive</v>
      </c>
    </row>
    <row r="322">
      <c r="A322" s="17" t="str">
        <f>IFERROR(__xludf.DUMMYFUNCTION("""COMPUTED_VALUE"""),"Moonsweeper")</f>
        <v>Moonsweeper</v>
      </c>
      <c r="B322" s="20" t="str">
        <f>IFERROR(__xludf.DUMMYFUNCTION("""COMPUTED_VALUE"""),"Xbox / PC")</f>
        <v>Xbox / PC</v>
      </c>
      <c r="C322" s="21" t="str">
        <f>IFERROR(__xludf.DUMMYFUNCTION("""COMPUTED_VALUE"""),"Yes")</f>
        <v>Yes</v>
      </c>
      <c r="D322" s="21" t="str">
        <f>IFERROR(__xludf.DUMMYFUNCTION("""COMPUTED_VALUE"""),"Active")</f>
        <v>Active</v>
      </c>
      <c r="E322" s="23">
        <f>IFERROR(__xludf.DUMMYFUNCTION("""COMPUTED_VALUE"""),45945.0)</f>
        <v>45945</v>
      </c>
      <c r="F322" s="24"/>
      <c r="G322" s="27">
        <f>IFERROR(__xludf.DUMMYFUNCTION("""COMPUTED_VALUE"""),11.7)</f>
        <v>11.7</v>
      </c>
      <c r="H322" s="23">
        <f>IFERROR(__xludf.DUMMYFUNCTION("""COMPUTED_VALUE"""),30529.0)</f>
        <v>30529</v>
      </c>
      <c r="I322" s="27">
        <f>IFERROR(__xludf.DUMMYFUNCTION("""COMPUTED_VALUE"""),42.205555555555556)</f>
        <v>42.20555556</v>
      </c>
      <c r="J322" s="29">
        <f>IFERROR(__xludf.DUMMYFUNCTION("""COMPUTED_VALUE"""),81.0)</f>
        <v>81</v>
      </c>
      <c r="K322" s="29"/>
      <c r="L322" s="31" t="str">
        <f>IFERROR(__xludf.DUMMYFUNCTION("""COMPUTED_VALUE"""),"Action-Adventure")</f>
        <v>Action-Adventure</v>
      </c>
      <c r="M322" s="31"/>
    </row>
    <row r="323">
      <c r="A323" s="17" t="str">
        <f>IFERROR(__xludf.DUMMYFUNCTION("""COMPUTED_VALUE"""),"Trackmania Turbo")</f>
        <v>Trackmania Turbo</v>
      </c>
      <c r="B323" s="20" t="str">
        <f>IFERROR(__xludf.DUMMYFUNCTION("""COMPUTED_VALUE"""),"Xbox / PC")</f>
        <v>Xbox / PC</v>
      </c>
      <c r="C323" s="21" t="str">
        <f>IFERROR(__xludf.DUMMYFUNCTION("""COMPUTED_VALUE"""),"Yes")</f>
        <v>Yes</v>
      </c>
      <c r="D323" s="21" t="str">
        <f>IFERROR(__xludf.DUMMYFUNCTION("""COMPUTED_VALUE"""),"Active")</f>
        <v>Active</v>
      </c>
      <c r="E323" s="23">
        <f>IFERROR(__xludf.DUMMYFUNCTION("""COMPUTED_VALUE"""),45931.0)</f>
        <v>45931</v>
      </c>
      <c r="F323" s="24"/>
      <c r="G323" s="27">
        <f>IFERROR(__xludf.DUMMYFUNCTION("""COMPUTED_VALUE"""),12.166666666666666)</f>
        <v>12.16666667</v>
      </c>
      <c r="H323" s="23">
        <f>IFERROR(__xludf.DUMMYFUNCTION("""COMPUTED_VALUE"""),42451.0)</f>
        <v>42451</v>
      </c>
      <c r="I323" s="27">
        <f>IFERROR(__xludf.DUMMYFUNCTION("""COMPUTED_VALUE"""),9.525)</f>
        <v>9.525</v>
      </c>
      <c r="J323" s="29">
        <f>IFERROR(__xludf.DUMMYFUNCTION("""COMPUTED_VALUE"""),81.0)</f>
        <v>81</v>
      </c>
      <c r="K323" s="29">
        <f>IFERROR(__xludf.DUMMYFUNCTION("""COMPUTED_VALUE"""),13.0)</f>
        <v>13</v>
      </c>
      <c r="L323" s="31" t="str">
        <f>IFERROR(__xludf.DUMMYFUNCTION("""COMPUTED_VALUE"""),"Racing")</f>
        <v>Racing</v>
      </c>
      <c r="M323" s="31"/>
    </row>
    <row r="324">
      <c r="A324" s="17" t="str">
        <f>IFERROR(__xludf.DUMMYFUNCTION("""COMPUTED_VALUE"""),"Uno")</f>
        <v>Uno</v>
      </c>
      <c r="B324" s="20" t="str">
        <f>IFERROR(__xludf.DUMMYFUNCTION("""COMPUTED_VALUE"""),"Xbox / PC")</f>
        <v>Xbox / PC</v>
      </c>
      <c r="C324" s="21" t="str">
        <f>IFERROR(__xludf.DUMMYFUNCTION("""COMPUTED_VALUE"""),"Yes")</f>
        <v>Yes</v>
      </c>
      <c r="D324" s="21" t="str">
        <f>IFERROR(__xludf.DUMMYFUNCTION("""COMPUTED_VALUE"""),"Active")</f>
        <v>Active</v>
      </c>
      <c r="E324" s="23">
        <f>IFERROR(__xludf.DUMMYFUNCTION("""COMPUTED_VALUE"""),45931.0)</f>
        <v>45931</v>
      </c>
      <c r="F324" s="24"/>
      <c r="G324" s="27">
        <f>IFERROR(__xludf.DUMMYFUNCTION("""COMPUTED_VALUE"""),12.166666666666666)</f>
        <v>12.16666667</v>
      </c>
      <c r="H324" s="23">
        <f>IFERROR(__xludf.DUMMYFUNCTION("""COMPUTED_VALUE"""),38846.0)</f>
        <v>38846</v>
      </c>
      <c r="I324" s="27">
        <f>IFERROR(__xludf.DUMMYFUNCTION("""COMPUTED_VALUE"""),19.394444444444446)</f>
        <v>19.39444444</v>
      </c>
      <c r="J324" s="29">
        <f>IFERROR(__xludf.DUMMYFUNCTION("""COMPUTED_VALUE"""),81.0)</f>
        <v>81</v>
      </c>
      <c r="K324" s="29">
        <f>IFERROR(__xludf.DUMMYFUNCTION("""COMPUTED_VALUE"""),3.0)</f>
        <v>3</v>
      </c>
      <c r="L324" s="31" t="str">
        <f>IFERROR(__xludf.DUMMYFUNCTION("""COMPUTED_VALUE"""),"Board")</f>
        <v>Board</v>
      </c>
      <c r="M324" s="31"/>
    </row>
    <row r="325">
      <c r="A325" s="17" t="str">
        <f>IFERROR(__xludf.DUMMYFUNCTION("""COMPUTED_VALUE"""),"The Rogue Prince of Persia")</f>
        <v>The Rogue Prince of Persia</v>
      </c>
      <c r="B325" s="20" t="str">
        <f>IFERROR(__xludf.DUMMYFUNCTION("""COMPUTED_VALUE"""),"Xbox / PC")</f>
        <v>Xbox / PC</v>
      </c>
      <c r="C325" s="21" t="str">
        <f>IFERROR(__xludf.DUMMYFUNCTION("""COMPUTED_VALUE"""),"Yes")</f>
        <v>Yes</v>
      </c>
      <c r="D325" s="21" t="str">
        <f>IFERROR(__xludf.DUMMYFUNCTION("""COMPUTED_VALUE"""),"Active")</f>
        <v>Active</v>
      </c>
      <c r="E325" s="23">
        <f>IFERROR(__xludf.DUMMYFUNCTION("""COMPUTED_VALUE"""),45889.0)</f>
        <v>45889</v>
      </c>
      <c r="F325" s="24"/>
      <c r="G325" s="27">
        <f>IFERROR(__xludf.DUMMYFUNCTION("""COMPUTED_VALUE"""),13.533333333333333)</f>
        <v>13.53333333</v>
      </c>
      <c r="H325" s="23">
        <f>IFERROR(__xludf.DUMMYFUNCTION("""COMPUTED_VALUE"""),45889.0)</f>
        <v>45889</v>
      </c>
      <c r="I325" s="27">
        <f>IFERROR(__xludf.DUMMYFUNCTION("""COMPUTED_VALUE"""),0.0)</f>
        <v>0</v>
      </c>
      <c r="J325" s="29">
        <f>IFERROR(__xludf.DUMMYFUNCTION("""COMPUTED_VALUE"""),81.0)</f>
        <v>81</v>
      </c>
      <c r="K325" s="29">
        <f>IFERROR(__xludf.DUMMYFUNCTION("""COMPUTED_VALUE"""),8.0)</f>
        <v>8</v>
      </c>
      <c r="L325" s="31" t="str">
        <f>IFERROR(__xludf.DUMMYFUNCTION("""COMPUTED_VALUE"""),"Platformer")</f>
        <v>Platformer</v>
      </c>
      <c r="M325" s="31"/>
    </row>
    <row r="326">
      <c r="A326" s="17" t="str">
        <f>IFERROR(__xludf.DUMMYFUNCTION("""COMPUTED_VALUE"""),"Anno 1800")</f>
        <v>Anno 1800</v>
      </c>
      <c r="B326" s="20" t="str">
        <f>IFERROR(__xludf.DUMMYFUNCTION("""COMPUTED_VALUE"""),"Xbox / PC")</f>
        <v>Xbox / PC</v>
      </c>
      <c r="C326" s="21" t="str">
        <f>IFERROR(__xludf.DUMMYFUNCTION("""COMPUTED_VALUE"""),"Yes")</f>
        <v>Yes</v>
      </c>
      <c r="D326" s="21" t="str">
        <f>IFERROR(__xludf.DUMMYFUNCTION("""COMPUTED_VALUE"""),"Active")</f>
        <v>Active</v>
      </c>
      <c r="E326" s="23">
        <f>IFERROR(__xludf.DUMMYFUNCTION("""COMPUTED_VALUE"""),45778.0)</f>
        <v>45778</v>
      </c>
      <c r="F326" s="24"/>
      <c r="G326" s="27">
        <f>IFERROR(__xludf.DUMMYFUNCTION("""COMPUTED_VALUE"""),17.166666666666668)</f>
        <v>17.16666667</v>
      </c>
      <c r="H326" s="23">
        <f>IFERROR(__xludf.DUMMYFUNCTION("""COMPUTED_VALUE"""),43571.0)</f>
        <v>43571</v>
      </c>
      <c r="I326" s="27">
        <f>IFERROR(__xludf.DUMMYFUNCTION("""COMPUTED_VALUE"""),6.041666666666667)</f>
        <v>6.041666667</v>
      </c>
      <c r="J326" s="29">
        <f>IFERROR(__xludf.DUMMYFUNCTION("""COMPUTED_VALUE"""),81.0)</f>
        <v>81</v>
      </c>
      <c r="K326" s="29">
        <f>IFERROR(__xludf.DUMMYFUNCTION("""COMPUTED_VALUE"""),15.0)</f>
        <v>15</v>
      </c>
      <c r="L326" s="31" t="str">
        <f>IFERROR(__xludf.DUMMYFUNCTION("""COMPUTED_VALUE"""),"Management")</f>
        <v>Management</v>
      </c>
      <c r="M326" s="31" t="str">
        <f>IFERROR(__xludf.DUMMYFUNCTION("""COMPUTED_VALUE"""),"Exclusive")</f>
        <v>Exclusive</v>
      </c>
    </row>
    <row r="327">
      <c r="A327" s="17" t="str">
        <f>IFERROR(__xludf.DUMMYFUNCTION("""COMPUTED_VALUE"""),"Avowed")</f>
        <v>Avowed</v>
      </c>
      <c r="B327" s="20" t="str">
        <f>IFERROR(__xludf.DUMMYFUNCTION("""COMPUTED_VALUE"""),"Xbox / PC")</f>
        <v>Xbox / PC</v>
      </c>
      <c r="C327" s="21" t="str">
        <f>IFERROR(__xludf.DUMMYFUNCTION("""COMPUTED_VALUE"""),"Yes")</f>
        <v>Yes</v>
      </c>
      <c r="D327" s="21" t="str">
        <f>IFERROR(__xludf.DUMMYFUNCTION("""COMPUTED_VALUE"""),"Active")</f>
        <v>Active</v>
      </c>
      <c r="E327" s="23">
        <f>IFERROR(__xludf.DUMMYFUNCTION("""COMPUTED_VALUE"""),45706.0)</f>
        <v>45706</v>
      </c>
      <c r="F327" s="24"/>
      <c r="G327" s="27">
        <f>IFERROR(__xludf.DUMMYFUNCTION("""COMPUTED_VALUE"""),19.6)</f>
        <v>19.6</v>
      </c>
      <c r="H327" s="23">
        <f>IFERROR(__xludf.DUMMYFUNCTION("""COMPUTED_VALUE"""),45706.0)</f>
        <v>45706</v>
      </c>
      <c r="I327" s="27">
        <f>IFERROR(__xludf.DUMMYFUNCTION("""COMPUTED_VALUE"""),0.0)</f>
        <v>0</v>
      </c>
      <c r="J327" s="29">
        <f>IFERROR(__xludf.DUMMYFUNCTION("""COMPUTED_VALUE"""),81.0)</f>
        <v>81</v>
      </c>
      <c r="K327" s="29">
        <f>IFERROR(__xludf.DUMMYFUNCTION("""COMPUTED_VALUE"""),17.0)</f>
        <v>17</v>
      </c>
      <c r="L327" s="31" t="str">
        <f>IFERROR(__xludf.DUMMYFUNCTION("""COMPUTED_VALUE"""),"RPG")</f>
        <v>RPG</v>
      </c>
      <c r="M327" s="31" t="str">
        <f>IFERROR(__xludf.DUMMYFUNCTION("""COMPUTED_VALUE"""),"Exclusive")</f>
        <v>Exclusive</v>
      </c>
    </row>
    <row r="328">
      <c r="A328" s="17" t="str">
        <f>IFERROR(__xludf.DUMMYFUNCTION("""COMPUTED_VALUE"""),"Ni no Kuni II: Revenant Kingdom - The Prince's Edition")</f>
        <v>Ni no Kuni II: Revenant Kingdom - The Prince's Edition</v>
      </c>
      <c r="B328" s="20" t="str">
        <f>IFERROR(__xludf.DUMMYFUNCTION("""COMPUTED_VALUE"""),"Xbox / PC")</f>
        <v>Xbox / PC</v>
      </c>
      <c r="C328" s="21"/>
      <c r="D328" s="21" t="str">
        <f>IFERROR(__xludf.DUMMYFUNCTION("""COMPUTED_VALUE"""),"Active")</f>
        <v>Active</v>
      </c>
      <c r="E328" s="23">
        <f>IFERROR(__xludf.DUMMYFUNCTION("""COMPUTED_VALUE"""),45006.0)</f>
        <v>45006</v>
      </c>
      <c r="F328" s="24"/>
      <c r="G328" s="27">
        <f>IFERROR(__xludf.DUMMYFUNCTION("""COMPUTED_VALUE"""),42.5)</f>
        <v>42.5</v>
      </c>
      <c r="H328" s="23">
        <f>IFERROR(__xludf.DUMMYFUNCTION("""COMPUTED_VALUE"""),43182.0)</f>
        <v>43182</v>
      </c>
      <c r="I328" s="27">
        <f>IFERROR(__xludf.DUMMYFUNCTION("""COMPUTED_VALUE"""),4.9944444444444445)</f>
        <v>4.994444444</v>
      </c>
      <c r="J328" s="29">
        <f>IFERROR(__xludf.DUMMYFUNCTION("""COMPUTED_VALUE"""),81.0)</f>
        <v>81</v>
      </c>
      <c r="K328" s="29">
        <f>IFERROR(__xludf.DUMMYFUNCTION("""COMPUTED_VALUE"""),39.0)</f>
        <v>39</v>
      </c>
      <c r="L328" s="31" t="str">
        <f>IFERROR(__xludf.DUMMYFUNCTION("""COMPUTED_VALUE"""),"RPG")</f>
        <v>RPG</v>
      </c>
      <c r="M328" s="31"/>
    </row>
    <row r="329">
      <c r="A329" s="17" t="str">
        <f>IFERROR(__xludf.DUMMYFUNCTION("""COMPUTED_VALUE"""),"Immortals Fenyx Rising")</f>
        <v>Immortals Fenyx Rising</v>
      </c>
      <c r="B329" s="20" t="str">
        <f>IFERROR(__xludf.DUMMYFUNCTION("""COMPUTED_VALUE"""),"Xbox / PC")</f>
        <v>Xbox / PC</v>
      </c>
      <c r="C329" s="21" t="str">
        <f>IFERROR(__xludf.DUMMYFUNCTION("""COMPUTED_VALUE"""),"Touch Controls")</f>
        <v>Touch Controls</v>
      </c>
      <c r="D329" s="21" t="str">
        <f>IFERROR(__xludf.DUMMYFUNCTION("""COMPUTED_VALUE"""),"Active")</f>
        <v>Active</v>
      </c>
      <c r="E329" s="23">
        <f>IFERROR(__xludf.DUMMYFUNCTION("""COMPUTED_VALUE"""),44803.0)</f>
        <v>44803</v>
      </c>
      <c r="F329" s="24"/>
      <c r="G329" s="27">
        <f>IFERROR(__xludf.DUMMYFUNCTION("""COMPUTED_VALUE"""),49.199999999999996)</f>
        <v>49.2</v>
      </c>
      <c r="H329" s="23">
        <f>IFERROR(__xludf.DUMMYFUNCTION("""COMPUTED_VALUE"""),44168.0)</f>
        <v>44168</v>
      </c>
      <c r="I329" s="27">
        <f>IFERROR(__xludf.DUMMYFUNCTION("""COMPUTED_VALUE"""),1.7416666666666667)</f>
        <v>1.741666667</v>
      </c>
      <c r="J329" s="29">
        <f>IFERROR(__xludf.DUMMYFUNCTION("""COMPUTED_VALUE"""),81.0)</f>
        <v>81</v>
      </c>
      <c r="K329" s="29">
        <f>IFERROR(__xludf.DUMMYFUNCTION("""COMPUTED_VALUE"""),25.5)</f>
        <v>25.5</v>
      </c>
      <c r="L329" s="31" t="str">
        <f>IFERROR(__xludf.DUMMYFUNCTION("""COMPUTED_VALUE"""),"RPG")</f>
        <v>RPG</v>
      </c>
      <c r="M329" s="31"/>
    </row>
    <row r="330">
      <c r="A330" s="17" t="str">
        <f>IFERROR(__xludf.DUMMYFUNCTION("""COMPUTED_VALUE"""),"Age of Empires IV: Anniversary Edition")</f>
        <v>Age of Empires IV: Anniversary Edition</v>
      </c>
      <c r="B330" s="20" t="str">
        <f>IFERROR(__xludf.DUMMYFUNCTION("""COMPUTED_VALUE"""),"Xbox / PC")</f>
        <v>Xbox / PC</v>
      </c>
      <c r="C330" s="21" t="str">
        <f>IFERROR(__xludf.DUMMYFUNCTION("""COMPUTED_VALUE"""),"Yes")</f>
        <v>Yes</v>
      </c>
      <c r="D330" s="21" t="str">
        <f>IFERROR(__xludf.DUMMYFUNCTION("""COMPUTED_VALUE"""),"Active")</f>
        <v>Active</v>
      </c>
      <c r="E330" s="23">
        <f>IFERROR(__xludf.DUMMYFUNCTION("""COMPUTED_VALUE"""),44497.0)</f>
        <v>44497</v>
      </c>
      <c r="F330" s="24"/>
      <c r="G330" s="27">
        <f>IFERROR(__xludf.DUMMYFUNCTION("""COMPUTED_VALUE"""),59.266666666666666)</f>
        <v>59.26666667</v>
      </c>
      <c r="H330" s="23">
        <f>IFERROR(__xludf.DUMMYFUNCTION("""COMPUTED_VALUE"""),44497.0)</f>
        <v>44497</v>
      </c>
      <c r="I330" s="27">
        <f>IFERROR(__xludf.DUMMYFUNCTION("""COMPUTED_VALUE"""),0.0)</f>
        <v>0</v>
      </c>
      <c r="J330" s="29">
        <f>IFERROR(__xludf.DUMMYFUNCTION("""COMPUTED_VALUE"""),81.0)</f>
        <v>81</v>
      </c>
      <c r="K330" s="29">
        <f>IFERROR(__xludf.DUMMYFUNCTION("""COMPUTED_VALUE"""),24.5)</f>
        <v>24.5</v>
      </c>
      <c r="L330" s="31" t="str">
        <f>IFERROR(__xludf.DUMMYFUNCTION("""COMPUTED_VALUE"""),"Real-Time Strategy")</f>
        <v>Real-Time Strategy</v>
      </c>
      <c r="M330" s="31"/>
    </row>
    <row r="331">
      <c r="A331" s="17" t="str">
        <f>IFERROR(__xludf.DUMMYFUNCTION("""COMPUTED_VALUE"""),"The Evil Within 2")</f>
        <v>The Evil Within 2</v>
      </c>
      <c r="B331" s="20" t="str">
        <f>IFERROR(__xludf.DUMMYFUNCTION("""COMPUTED_VALUE"""),"Xbox / PC")</f>
        <v>Xbox / PC</v>
      </c>
      <c r="C331" s="21" t="str">
        <f>IFERROR(__xludf.DUMMYFUNCTION("""COMPUTED_VALUE"""),"Yes")</f>
        <v>Yes</v>
      </c>
      <c r="D331" s="21" t="str">
        <f>IFERROR(__xludf.DUMMYFUNCTION("""COMPUTED_VALUE"""),"Active")</f>
        <v>Active</v>
      </c>
      <c r="E331" s="23">
        <f>IFERROR(__xludf.DUMMYFUNCTION("""COMPUTED_VALUE"""),44360.0)</f>
        <v>44360</v>
      </c>
      <c r="F331" s="24"/>
      <c r="G331" s="27">
        <f>IFERROR(__xludf.DUMMYFUNCTION("""COMPUTED_VALUE"""),63.766666666666666)</f>
        <v>63.76666667</v>
      </c>
      <c r="H331" s="23">
        <f>IFERROR(__xludf.DUMMYFUNCTION("""COMPUTED_VALUE"""),43021.0)</f>
        <v>43021</v>
      </c>
      <c r="I331" s="27">
        <f>IFERROR(__xludf.DUMMYFUNCTION("""COMPUTED_VALUE"""),3.6666666666666665)</f>
        <v>3.666666667</v>
      </c>
      <c r="J331" s="29">
        <f>IFERROR(__xludf.DUMMYFUNCTION("""COMPUTED_VALUE"""),81.0)</f>
        <v>81</v>
      </c>
      <c r="K331" s="29">
        <f>IFERROR(__xludf.DUMMYFUNCTION("""COMPUTED_VALUE"""),13.5)</f>
        <v>13.5</v>
      </c>
      <c r="L331" s="31" t="str">
        <f>IFERROR(__xludf.DUMMYFUNCTION("""COMPUTED_VALUE"""),"Shooter")</f>
        <v>Shooter</v>
      </c>
      <c r="M331" s="31" t="str">
        <f>IFERROR(__xludf.DUMMYFUNCTION("""COMPUTED_VALUE"""),"FPS Boost")</f>
        <v>FPS Boost</v>
      </c>
    </row>
    <row r="332">
      <c r="A332" s="17" t="str">
        <f>IFERROR(__xludf.DUMMYFUNCTION("""COMPUTED_VALUE"""),"SnowRunner")</f>
        <v>SnowRunner</v>
      </c>
      <c r="B332" s="20" t="str">
        <f>IFERROR(__xludf.DUMMYFUNCTION("""COMPUTED_VALUE"""),"Xbox / PC")</f>
        <v>Xbox / PC</v>
      </c>
      <c r="C332" s="21" t="str">
        <f>IFERROR(__xludf.DUMMYFUNCTION("""COMPUTED_VALUE"""),"Yes")</f>
        <v>Yes</v>
      </c>
      <c r="D332" s="21" t="str">
        <f>IFERROR(__xludf.DUMMYFUNCTION("""COMPUTED_VALUE"""),"Active")</f>
        <v>Active</v>
      </c>
      <c r="E332" s="23">
        <f>IFERROR(__xludf.DUMMYFUNCTION("""COMPUTED_VALUE"""),44334.0)</f>
        <v>44334</v>
      </c>
      <c r="F332" s="24"/>
      <c r="G332" s="27">
        <f>IFERROR(__xludf.DUMMYFUNCTION("""COMPUTED_VALUE"""),64.60000000000001)</f>
        <v>64.6</v>
      </c>
      <c r="H332" s="23">
        <f>IFERROR(__xludf.DUMMYFUNCTION("""COMPUTED_VALUE"""),43949.0)</f>
        <v>43949</v>
      </c>
      <c r="I332" s="27">
        <f>IFERROR(__xludf.DUMMYFUNCTION("""COMPUTED_VALUE"""),1.0555555555555556)</f>
        <v>1.055555556</v>
      </c>
      <c r="J332" s="29">
        <f>IFERROR(__xludf.DUMMYFUNCTION("""COMPUTED_VALUE"""),81.0)</f>
        <v>81</v>
      </c>
      <c r="K332" s="29">
        <f>IFERROR(__xludf.DUMMYFUNCTION("""COMPUTED_VALUE"""),90.0)</f>
        <v>90</v>
      </c>
      <c r="L332" s="31" t="str">
        <f>IFERROR(__xludf.DUMMYFUNCTION("""COMPUTED_VALUE"""),"Racing")</f>
        <v>Racing</v>
      </c>
      <c r="M332" s="31"/>
    </row>
    <row r="333">
      <c r="A333" s="17" t="str">
        <f>IFERROR(__xludf.DUMMYFUNCTION("""COMPUTED_VALUE"""),"Battlefield 4: Premium Edition")</f>
        <v>Battlefield 4: Premium Edition</v>
      </c>
      <c r="B333" s="20" t="str">
        <f>IFERROR(__xludf.DUMMYFUNCTION("""COMPUTED_VALUE"""),"Xbox / PC")</f>
        <v>Xbox / PC</v>
      </c>
      <c r="C333" s="21" t="str">
        <f>IFERROR(__xludf.DUMMYFUNCTION("""COMPUTED_VALUE"""),"Yes")</f>
        <v>Yes</v>
      </c>
      <c r="D333" s="21" t="str">
        <f>IFERROR(__xludf.DUMMYFUNCTION("""COMPUTED_VALUE"""),"Active")</f>
        <v>Active</v>
      </c>
      <c r="E333" s="23">
        <f>IFERROR(__xludf.DUMMYFUNCTION("""COMPUTED_VALUE"""),44145.0)</f>
        <v>44145</v>
      </c>
      <c r="F333" s="24"/>
      <c r="G333" s="27">
        <f>IFERROR(__xludf.DUMMYFUNCTION("""COMPUTED_VALUE"""),70.86666666666667)</f>
        <v>70.86666667</v>
      </c>
      <c r="H333" s="23">
        <f>IFERROR(__xludf.DUMMYFUNCTION("""COMPUTED_VALUE"""),41576.0)</f>
        <v>41576</v>
      </c>
      <c r="I333" s="27">
        <f>IFERROR(__xludf.DUMMYFUNCTION("""COMPUTED_VALUE"""),7.030555555555556)</f>
        <v>7.030555556</v>
      </c>
      <c r="J333" s="29">
        <f>IFERROR(__xludf.DUMMYFUNCTION("""COMPUTED_VALUE"""),81.0)</f>
        <v>81</v>
      </c>
      <c r="K333" s="29">
        <f>IFERROR(__xludf.DUMMYFUNCTION("""COMPUTED_VALUE"""),6.0)</f>
        <v>6</v>
      </c>
      <c r="L333" s="31" t="str">
        <f>IFERROR(__xludf.DUMMYFUNCTION("""COMPUTED_VALUE"""),"Shooter")</f>
        <v>Shooter</v>
      </c>
      <c r="M333" s="31" t="str">
        <f>IFERROR(__xludf.DUMMYFUNCTION("""COMPUTED_VALUE"""),"FPS Boost")</f>
        <v>FPS Boost</v>
      </c>
    </row>
    <row r="334">
      <c r="A334" s="17" t="str">
        <f>IFERROR(__xludf.DUMMYFUNCTION("""COMPUTED_VALUE"""),"Crysis")</f>
        <v>Crysis</v>
      </c>
      <c r="B334" s="20" t="str">
        <f>IFERROR(__xludf.DUMMYFUNCTION("""COMPUTED_VALUE"""),"Xbox / PC")</f>
        <v>Xbox / PC</v>
      </c>
      <c r="C334" s="21"/>
      <c r="D334" s="21" t="str">
        <f>IFERROR(__xludf.DUMMYFUNCTION("""COMPUTED_VALUE"""),"Active")</f>
        <v>Active</v>
      </c>
      <c r="E334" s="23">
        <f>IFERROR(__xludf.DUMMYFUNCTION("""COMPUTED_VALUE"""),44145.0)</f>
        <v>44145</v>
      </c>
      <c r="F334" s="24"/>
      <c r="G334" s="27">
        <f>IFERROR(__xludf.DUMMYFUNCTION("""COMPUTED_VALUE"""),70.86666666666667)</f>
        <v>70.86666667</v>
      </c>
      <c r="H334" s="23">
        <f>IFERROR(__xludf.DUMMYFUNCTION("""COMPUTED_VALUE"""),39399.0)</f>
        <v>39399</v>
      </c>
      <c r="I334" s="27">
        <f>IFERROR(__xludf.DUMMYFUNCTION("""COMPUTED_VALUE"""),12.991666666666667)</f>
        <v>12.99166667</v>
      </c>
      <c r="J334" s="29">
        <f>IFERROR(__xludf.DUMMYFUNCTION("""COMPUTED_VALUE"""),81.0)</f>
        <v>81</v>
      </c>
      <c r="K334" s="29">
        <f>IFERROR(__xludf.DUMMYFUNCTION("""COMPUTED_VALUE"""),10.0)</f>
        <v>10</v>
      </c>
      <c r="L334" s="31" t="str">
        <f>IFERROR(__xludf.DUMMYFUNCTION("""COMPUTED_VALUE"""),"Shooter")</f>
        <v>Shooter</v>
      </c>
      <c r="M334" s="31"/>
    </row>
    <row r="335">
      <c r="A335" s="17" t="str">
        <f>IFERROR(__xludf.DUMMYFUNCTION("""COMPUTED_VALUE"""),"Star Wars Jedi: Fallen Order")</f>
        <v>Star Wars Jedi: Fallen Order</v>
      </c>
      <c r="B335" s="20" t="str">
        <f>IFERROR(__xludf.DUMMYFUNCTION("""COMPUTED_VALUE"""),"Xbox / PC")</f>
        <v>Xbox / PC</v>
      </c>
      <c r="C335" s="21" t="str">
        <f>IFERROR(__xludf.DUMMYFUNCTION("""COMPUTED_VALUE"""),"Yes")</f>
        <v>Yes</v>
      </c>
      <c r="D335" s="21" t="str">
        <f>IFERROR(__xludf.DUMMYFUNCTION("""COMPUTED_VALUE"""),"Active")</f>
        <v>Active</v>
      </c>
      <c r="E335" s="23">
        <f>IFERROR(__xludf.DUMMYFUNCTION("""COMPUTED_VALUE"""),44145.0)</f>
        <v>44145</v>
      </c>
      <c r="F335" s="24"/>
      <c r="G335" s="27">
        <f>IFERROR(__xludf.DUMMYFUNCTION("""COMPUTED_VALUE"""),70.86666666666667)</f>
        <v>70.86666667</v>
      </c>
      <c r="H335" s="23">
        <f>IFERROR(__xludf.DUMMYFUNCTION("""COMPUTED_VALUE"""),43784.0)</f>
        <v>43784</v>
      </c>
      <c r="I335" s="27">
        <f>IFERROR(__xludf.DUMMYFUNCTION("""COMPUTED_VALUE"""),0.9861111111111112)</f>
        <v>0.9861111111</v>
      </c>
      <c r="J335" s="29">
        <f>IFERROR(__xludf.DUMMYFUNCTION("""COMPUTED_VALUE"""),81.0)</f>
        <v>81</v>
      </c>
      <c r="K335" s="29">
        <f>IFERROR(__xludf.DUMMYFUNCTION("""COMPUTED_VALUE"""),24.0)</f>
        <v>24</v>
      </c>
      <c r="L335" s="31" t="str">
        <f>IFERROR(__xludf.DUMMYFUNCTION("""COMPUTED_VALUE"""),"Action-Adventure")</f>
        <v>Action-Adventure</v>
      </c>
      <c r="M335" s="31" t="str">
        <f>IFERROR(__xludf.DUMMYFUNCTION("""COMPUTED_VALUE"""),"Optimized")</f>
        <v>Optimized</v>
      </c>
    </row>
    <row r="336">
      <c r="A336" s="17" t="str">
        <f>IFERROR(__xludf.DUMMYFUNCTION("""COMPUTED_VALUE"""),"Unravel Two")</f>
        <v>Unravel Two</v>
      </c>
      <c r="B336" s="20" t="str">
        <f>IFERROR(__xludf.DUMMYFUNCTION("""COMPUTED_VALUE"""),"Xbox / PC")</f>
        <v>Xbox / PC</v>
      </c>
      <c r="C336" s="21" t="str">
        <f>IFERROR(__xludf.DUMMYFUNCTION("""COMPUTED_VALUE"""),"Yes")</f>
        <v>Yes</v>
      </c>
      <c r="D336" s="21" t="str">
        <f>IFERROR(__xludf.DUMMYFUNCTION("""COMPUTED_VALUE"""),"Active")</f>
        <v>Active</v>
      </c>
      <c r="E336" s="23">
        <f>IFERROR(__xludf.DUMMYFUNCTION("""COMPUTED_VALUE"""),44145.0)</f>
        <v>44145</v>
      </c>
      <c r="F336" s="24"/>
      <c r="G336" s="27">
        <f>IFERROR(__xludf.DUMMYFUNCTION("""COMPUTED_VALUE"""),70.86666666666667)</f>
        <v>70.86666667</v>
      </c>
      <c r="H336" s="23">
        <f>IFERROR(__xludf.DUMMYFUNCTION("""COMPUTED_VALUE"""),43260.0)</f>
        <v>43260</v>
      </c>
      <c r="I336" s="27">
        <f>IFERROR(__xludf.DUMMYFUNCTION("""COMPUTED_VALUE"""),2.4194444444444443)</f>
        <v>2.419444444</v>
      </c>
      <c r="J336" s="29">
        <f>IFERROR(__xludf.DUMMYFUNCTION("""COMPUTED_VALUE"""),81.0)</f>
        <v>81</v>
      </c>
      <c r="K336" s="29">
        <f>IFERROR(__xludf.DUMMYFUNCTION("""COMPUTED_VALUE"""),5.0)</f>
        <v>5</v>
      </c>
      <c r="L336" s="31" t="str">
        <f>IFERROR(__xludf.DUMMYFUNCTION("""COMPUTED_VALUE"""),"Platformer")</f>
        <v>Platformer</v>
      </c>
      <c r="M336" s="31" t="str">
        <f>IFERROR(__xludf.DUMMYFUNCTION("""COMPUTED_VALUE"""),"FPS Boost")</f>
        <v>FPS Boost</v>
      </c>
    </row>
    <row r="337">
      <c r="A337" s="17" t="str">
        <f>IFERROR(__xludf.DUMMYFUNCTION("""COMPUTED_VALUE"""),"Gears Tactics")</f>
        <v>Gears Tactics</v>
      </c>
      <c r="B337" s="20" t="str">
        <f>IFERROR(__xludf.DUMMYFUNCTION("""COMPUTED_VALUE"""),"Xbox / PC")</f>
        <v>Xbox / PC</v>
      </c>
      <c r="C337" s="21" t="str">
        <f>IFERROR(__xludf.DUMMYFUNCTION("""COMPUTED_VALUE"""),"M+KB")</f>
        <v>M+KB</v>
      </c>
      <c r="D337" s="21" t="str">
        <f>IFERROR(__xludf.DUMMYFUNCTION("""COMPUTED_VALUE"""),"Active")</f>
        <v>Active</v>
      </c>
      <c r="E337" s="23">
        <f>IFERROR(__xludf.DUMMYFUNCTION("""COMPUTED_VALUE"""),43949.0)</f>
        <v>43949</v>
      </c>
      <c r="F337" s="24"/>
      <c r="G337" s="27">
        <f>IFERROR(__xludf.DUMMYFUNCTION("""COMPUTED_VALUE"""),77.26666666666667)</f>
        <v>77.26666667</v>
      </c>
      <c r="H337" s="23">
        <f>IFERROR(__xludf.DUMMYFUNCTION("""COMPUTED_VALUE"""),43949.0)</f>
        <v>43949</v>
      </c>
      <c r="I337" s="27">
        <f>IFERROR(__xludf.DUMMYFUNCTION("""COMPUTED_VALUE"""),0.0)</f>
        <v>0</v>
      </c>
      <c r="J337" s="29">
        <f>IFERROR(__xludf.DUMMYFUNCTION("""COMPUTED_VALUE"""),81.0)</f>
        <v>81</v>
      </c>
      <c r="K337" s="29">
        <f>IFERROR(__xludf.DUMMYFUNCTION("""COMPUTED_VALUE"""),22.5)</f>
        <v>22.5</v>
      </c>
      <c r="L337" s="31" t="str">
        <f>IFERROR(__xludf.DUMMYFUNCTION("""COMPUTED_VALUE"""),"Strategy")</f>
        <v>Strategy</v>
      </c>
      <c r="M337" s="31" t="str">
        <f>IFERROR(__xludf.DUMMYFUNCTION("""COMPUTED_VALUE"""),"Optimized")</f>
        <v>Optimized</v>
      </c>
    </row>
    <row r="338">
      <c r="A338" s="17" t="str">
        <f>IFERROR(__xludf.DUMMYFUNCTION("""COMPUTED_VALUE"""),"Torment: Tides of Numenera")</f>
        <v>Torment: Tides of Numenera</v>
      </c>
      <c r="B338" s="20" t="str">
        <f>IFERROR(__xludf.DUMMYFUNCTION("""COMPUTED_VALUE"""),"Xbox / PC")</f>
        <v>Xbox / PC</v>
      </c>
      <c r="C338" s="21" t="str">
        <f>IFERROR(__xludf.DUMMYFUNCTION("""COMPUTED_VALUE"""),"Touch Controls")</f>
        <v>Touch Controls</v>
      </c>
      <c r="D338" s="21" t="str">
        <f>IFERROR(__xludf.DUMMYFUNCTION("""COMPUTED_VALUE"""),"Active")</f>
        <v>Active</v>
      </c>
      <c r="E338" s="23">
        <f>IFERROR(__xludf.DUMMYFUNCTION("""COMPUTED_VALUE"""),43643.0)</f>
        <v>43643</v>
      </c>
      <c r="F338" s="24"/>
      <c r="G338" s="27">
        <f>IFERROR(__xludf.DUMMYFUNCTION("""COMPUTED_VALUE"""),87.30000000000001)</f>
        <v>87.3</v>
      </c>
      <c r="H338" s="23">
        <f>IFERROR(__xludf.DUMMYFUNCTION("""COMPUTED_VALUE"""),42794.0)</f>
        <v>42794</v>
      </c>
      <c r="I338" s="27">
        <f>IFERROR(__xludf.DUMMYFUNCTION("""COMPUTED_VALUE"""),2.3305555555555557)</f>
        <v>2.330555556</v>
      </c>
      <c r="J338" s="29">
        <f>IFERROR(__xludf.DUMMYFUNCTION("""COMPUTED_VALUE"""),81.0)</f>
        <v>81</v>
      </c>
      <c r="K338" s="29">
        <f>IFERROR(__xludf.DUMMYFUNCTION("""COMPUTED_VALUE"""),26.0)</f>
        <v>26</v>
      </c>
      <c r="L338" s="31" t="str">
        <f>IFERROR(__xludf.DUMMYFUNCTION("""COMPUTED_VALUE"""),"RPG")</f>
        <v>RPG</v>
      </c>
      <c r="M338" s="31"/>
    </row>
    <row r="339">
      <c r="A339" s="17" t="str">
        <f>IFERROR(__xludf.DUMMYFUNCTION("""COMPUTED_VALUE"""),"RAGE")</f>
        <v>RAGE</v>
      </c>
      <c r="B339" s="20" t="str">
        <f>IFERROR(__xludf.DUMMYFUNCTION("""COMPUTED_VALUE"""),"Xbox")</f>
        <v>Xbox</v>
      </c>
      <c r="C339" s="21" t="str">
        <f>IFERROR(__xludf.DUMMYFUNCTION("""COMPUTED_VALUE"""),"Yes")</f>
        <v>Yes</v>
      </c>
      <c r="D339" s="21" t="str">
        <f>IFERROR(__xludf.DUMMYFUNCTION("""COMPUTED_VALUE"""),"Active")</f>
        <v>Active</v>
      </c>
      <c r="E339" s="23">
        <f>IFERROR(__xludf.DUMMYFUNCTION("""COMPUTED_VALUE"""),43313.0)</f>
        <v>43313</v>
      </c>
      <c r="F339" s="24"/>
      <c r="G339" s="27">
        <f>IFERROR(__xludf.DUMMYFUNCTION("""COMPUTED_VALUE"""),98.16666666666666)</f>
        <v>98.16666667</v>
      </c>
      <c r="H339" s="23">
        <f>IFERROR(__xludf.DUMMYFUNCTION("""COMPUTED_VALUE"""),40820.0)</f>
        <v>40820</v>
      </c>
      <c r="I339" s="27">
        <f>IFERROR(__xludf.DUMMYFUNCTION("""COMPUTED_VALUE"""),6.825)</f>
        <v>6.825</v>
      </c>
      <c r="J339" s="29">
        <f>IFERROR(__xludf.DUMMYFUNCTION("""COMPUTED_VALUE"""),81.0)</f>
        <v>81</v>
      </c>
      <c r="K339" s="29">
        <f>IFERROR(__xludf.DUMMYFUNCTION("""COMPUTED_VALUE"""),11.0)</f>
        <v>11</v>
      </c>
      <c r="L339" s="31" t="str">
        <f>IFERROR(__xludf.DUMMYFUNCTION("""COMPUTED_VALUE"""),"Shooter")</f>
        <v>Shooter</v>
      </c>
      <c r="M339" s="31"/>
    </row>
    <row r="340">
      <c r="A340" s="17" t="str">
        <f>IFERROR(__xludf.DUMMYFUNCTION("""COMPUTED_VALUE"""),"Halo Wars: Definitive Edition")</f>
        <v>Halo Wars: Definitive Edition</v>
      </c>
      <c r="B340" s="20" t="str">
        <f>IFERROR(__xludf.DUMMYFUNCTION("""COMPUTED_VALUE"""),"Xbox / PC")</f>
        <v>Xbox / PC</v>
      </c>
      <c r="C340" s="21" t="str">
        <f>IFERROR(__xludf.DUMMYFUNCTION("""COMPUTED_VALUE"""),"Touch Controls")</f>
        <v>Touch Controls</v>
      </c>
      <c r="D340" s="21" t="str">
        <f>IFERROR(__xludf.DUMMYFUNCTION("""COMPUTED_VALUE"""),"Active")</f>
        <v>Active</v>
      </c>
      <c r="E340" s="23">
        <f>IFERROR(__xludf.DUMMYFUNCTION("""COMPUTED_VALUE"""),43040.0)</f>
        <v>43040</v>
      </c>
      <c r="F340" s="24"/>
      <c r="G340" s="27">
        <f>IFERROR(__xludf.DUMMYFUNCTION("""COMPUTED_VALUE"""),107.16666666666666)</f>
        <v>107.1666667</v>
      </c>
      <c r="H340" s="23">
        <f>IFERROR(__xludf.DUMMYFUNCTION("""COMPUTED_VALUE"""),39870.0)</f>
        <v>39870</v>
      </c>
      <c r="I340" s="27">
        <f>IFERROR(__xludf.DUMMYFUNCTION("""COMPUTED_VALUE"""),8.680555555555555)</f>
        <v>8.680555556</v>
      </c>
      <c r="J340" s="29">
        <f>IFERROR(__xludf.DUMMYFUNCTION("""COMPUTED_VALUE"""),81.0)</f>
        <v>81</v>
      </c>
      <c r="K340" s="29">
        <f>IFERROR(__xludf.DUMMYFUNCTION("""COMPUTED_VALUE"""),9.0)</f>
        <v>9</v>
      </c>
      <c r="L340" s="31" t="str">
        <f>IFERROR(__xludf.DUMMYFUNCTION("""COMPUTED_VALUE"""),"RPG")</f>
        <v>RPG</v>
      </c>
      <c r="M340" s="31"/>
    </row>
    <row r="341">
      <c r="A341" s="17" t="str">
        <f>IFERROR(__xludf.DUMMYFUNCTION("""COMPUTED_VALUE"""),"Perfect Dark Zero")</f>
        <v>Perfect Dark Zero</v>
      </c>
      <c r="B341" s="20" t="str">
        <f>IFERROR(__xludf.DUMMYFUNCTION("""COMPUTED_VALUE"""),"Xbox")</f>
        <v>Xbox</v>
      </c>
      <c r="C341" s="21" t="str">
        <f>IFERROR(__xludf.DUMMYFUNCTION("""COMPUTED_VALUE"""),"Yes")</f>
        <v>Yes</v>
      </c>
      <c r="D341" s="21" t="str">
        <f>IFERROR(__xludf.DUMMYFUNCTION("""COMPUTED_VALUE"""),"Active")</f>
        <v>Active</v>
      </c>
      <c r="E341" s="23">
        <f>IFERROR(__xludf.DUMMYFUNCTION("""COMPUTED_VALUE"""),42887.0)</f>
        <v>42887</v>
      </c>
      <c r="F341" s="24"/>
      <c r="G341" s="27">
        <f>IFERROR(__xludf.DUMMYFUNCTION("""COMPUTED_VALUE"""),112.16666666666666)</f>
        <v>112.1666667</v>
      </c>
      <c r="H341" s="23">
        <f>IFERROR(__xludf.DUMMYFUNCTION("""COMPUTED_VALUE"""),38875.0)</f>
        <v>38875</v>
      </c>
      <c r="I341" s="27">
        <f>IFERROR(__xludf.DUMMYFUNCTION("""COMPUTED_VALUE"""),10.983333333333333)</f>
        <v>10.98333333</v>
      </c>
      <c r="J341" s="29">
        <f>IFERROR(__xludf.DUMMYFUNCTION("""COMPUTED_VALUE"""),81.0)</f>
        <v>81</v>
      </c>
      <c r="K341" s="29">
        <f>IFERROR(__xludf.DUMMYFUNCTION("""COMPUTED_VALUE"""),8.0)</f>
        <v>8</v>
      </c>
      <c r="L341" s="31" t="str">
        <f>IFERROR(__xludf.DUMMYFUNCTION("""COMPUTED_VALUE"""),"Shooter")</f>
        <v>Shooter</v>
      </c>
      <c r="M341" s="31"/>
    </row>
    <row r="342">
      <c r="A342" s="17" t="str">
        <f>IFERROR(__xludf.DUMMYFUNCTION("""COMPUTED_VALUE"""),"Sunset Overdrive")</f>
        <v>Sunset Overdrive</v>
      </c>
      <c r="B342" s="20" t="str">
        <f>IFERROR(__xludf.DUMMYFUNCTION("""COMPUTED_VALUE"""),"Xbox / PC")</f>
        <v>Xbox / PC</v>
      </c>
      <c r="C342" s="21"/>
      <c r="D342" s="21" t="str">
        <f>IFERROR(__xludf.DUMMYFUNCTION("""COMPUTED_VALUE"""),"Active")</f>
        <v>Active</v>
      </c>
      <c r="E342" s="23">
        <f>IFERROR(__xludf.DUMMYFUNCTION("""COMPUTED_VALUE"""),42887.0)</f>
        <v>42887</v>
      </c>
      <c r="F342" s="24"/>
      <c r="G342" s="27">
        <f>IFERROR(__xludf.DUMMYFUNCTION("""COMPUTED_VALUE"""),112.16666666666666)</f>
        <v>112.1666667</v>
      </c>
      <c r="H342" s="23">
        <f>IFERROR(__xludf.DUMMYFUNCTION("""COMPUTED_VALUE"""),41940.0)</f>
        <v>41940</v>
      </c>
      <c r="I342" s="27">
        <f>IFERROR(__xludf.DUMMYFUNCTION("""COMPUTED_VALUE"""),2.591666666666667)</f>
        <v>2.591666667</v>
      </c>
      <c r="J342" s="29">
        <f>IFERROR(__xludf.DUMMYFUNCTION("""COMPUTED_VALUE"""),81.0)</f>
        <v>81</v>
      </c>
      <c r="K342" s="29">
        <f>IFERROR(__xludf.DUMMYFUNCTION("""COMPUTED_VALUE"""),10.0)</f>
        <v>10</v>
      </c>
      <c r="L342" s="31" t="str">
        <f>IFERROR(__xludf.DUMMYFUNCTION("""COMPUTED_VALUE"""),"Shooter")</f>
        <v>Shooter</v>
      </c>
      <c r="M342" s="31"/>
    </row>
    <row r="343">
      <c r="A343" s="17" t="str">
        <f>IFERROR(__xludf.DUMMYFUNCTION("""COMPUTED_VALUE"""),"Assassin's Creed")</f>
        <v>Assassin's Creed</v>
      </c>
      <c r="B343" s="20" t="str">
        <f>IFERROR(__xludf.DUMMYFUNCTION("""COMPUTED_VALUE"""),"XB360/OG Xbox")</f>
        <v>XB360/OG Xbox</v>
      </c>
      <c r="C343" s="21"/>
      <c r="D343" s="21" t="str">
        <f>IFERROR(__xludf.DUMMYFUNCTION("""COMPUTED_VALUE"""),"GwG Permanent")</f>
        <v>GwG Permanent</v>
      </c>
      <c r="E343" s="23">
        <f>IFERROR(__xludf.DUMMYFUNCTION("""COMPUTED_VALUE"""),43405.0)</f>
        <v>43405</v>
      </c>
      <c r="F343" s="24">
        <f>IFERROR(__xludf.DUMMYFUNCTION("""COMPUTED_VALUE"""),43419.0)</f>
        <v>43419</v>
      </c>
      <c r="G343" s="27">
        <f>IFERROR(__xludf.DUMMYFUNCTION("""COMPUTED_VALUE"""),0.4666666666666667)</f>
        <v>0.4666666667</v>
      </c>
      <c r="H343" s="23">
        <f>IFERROR(__xludf.DUMMYFUNCTION("""COMPUTED_VALUE"""),39399.0)</f>
        <v>39399</v>
      </c>
      <c r="I343" s="27">
        <f>IFERROR(__xludf.DUMMYFUNCTION("""COMPUTED_VALUE"""),10.966666666666667)</f>
        <v>10.96666667</v>
      </c>
      <c r="J343" s="29">
        <f>IFERROR(__xludf.DUMMYFUNCTION("""COMPUTED_VALUE"""),81.0)</f>
        <v>81</v>
      </c>
      <c r="K343" s="29">
        <f>IFERROR(__xludf.DUMMYFUNCTION("""COMPUTED_VALUE"""),15.0)</f>
        <v>15</v>
      </c>
      <c r="L343" s="31" t="str">
        <f>IFERROR(__xludf.DUMMYFUNCTION("""COMPUTED_VALUE"""),"Action-Adventure")</f>
        <v>Action-Adventure</v>
      </c>
      <c r="M343" s="31" t="str">
        <f>IFERROR(__xludf.DUMMYFUNCTION("""COMPUTED_VALUE"""),"Enhanced")</f>
        <v>Enhanced</v>
      </c>
    </row>
    <row r="344">
      <c r="A344" s="17" t="str">
        <f>IFERROR(__xludf.DUMMYFUNCTION("""COMPUTED_VALUE"""),"Tom Clancy's Rainbow Six: Vegas 2")</f>
        <v>Tom Clancy's Rainbow Six: Vegas 2</v>
      </c>
      <c r="B344" s="20" t="str">
        <f>IFERROR(__xludf.DUMMYFUNCTION("""COMPUTED_VALUE"""),"XB360/OG Xbox")</f>
        <v>XB360/OG Xbox</v>
      </c>
      <c r="C344" s="21"/>
      <c r="D344" s="21" t="str">
        <f>IFERROR(__xludf.DUMMYFUNCTION("""COMPUTED_VALUE"""),"GwG Permanent")</f>
        <v>GwG Permanent</v>
      </c>
      <c r="E344" s="23">
        <f>IFERROR(__xludf.DUMMYFUNCTION("""COMPUTED_VALUE"""),42552.0)</f>
        <v>42552</v>
      </c>
      <c r="F344" s="24">
        <f>IFERROR(__xludf.DUMMYFUNCTION("""COMPUTED_VALUE"""),42566.0)</f>
        <v>42566</v>
      </c>
      <c r="G344" s="27">
        <f>IFERROR(__xludf.DUMMYFUNCTION("""COMPUTED_VALUE"""),0.4666666666666667)</f>
        <v>0.4666666667</v>
      </c>
      <c r="H344" s="23">
        <f>IFERROR(__xludf.DUMMYFUNCTION("""COMPUTED_VALUE"""),39525.0)</f>
        <v>39525</v>
      </c>
      <c r="I344" s="27">
        <f>IFERROR(__xludf.DUMMYFUNCTION("""COMPUTED_VALUE"""),8.286111111111111)</f>
        <v>8.286111111</v>
      </c>
      <c r="J344" s="29">
        <f>IFERROR(__xludf.DUMMYFUNCTION("""COMPUTED_VALUE"""),81.0)</f>
        <v>81</v>
      </c>
      <c r="K344" s="29">
        <f>IFERROR(__xludf.DUMMYFUNCTION("""COMPUTED_VALUE"""),10.0)</f>
        <v>10</v>
      </c>
      <c r="L344" s="31" t="str">
        <f>IFERROR(__xludf.DUMMYFUNCTION("""COMPUTED_VALUE"""),"Shooter")</f>
        <v>Shooter</v>
      </c>
      <c r="M344" s="31"/>
    </row>
    <row r="345">
      <c r="A345" s="17" t="str">
        <f>IFERROR(__xludf.DUMMYFUNCTION("""COMPUTED_VALUE"""),"Metro 2033")</f>
        <v>Metro 2033</v>
      </c>
      <c r="B345" s="20" t="str">
        <f>IFERROR(__xludf.DUMMYFUNCTION("""COMPUTED_VALUE"""),"XB360/OG Xbox")</f>
        <v>XB360/OG Xbox</v>
      </c>
      <c r="C345" s="21"/>
      <c r="D345" s="21" t="str">
        <f>IFERROR(__xludf.DUMMYFUNCTION("""COMPUTED_VALUE"""),"GwG Permanent")</f>
        <v>GwG Permanent</v>
      </c>
      <c r="E345" s="23">
        <f>IFERROR(__xludf.DUMMYFUNCTION("""COMPUTED_VALUE"""),42217.0)</f>
        <v>42217</v>
      </c>
      <c r="F345" s="24">
        <f>IFERROR(__xludf.DUMMYFUNCTION("""COMPUTED_VALUE"""),42231.0)</f>
        <v>42231</v>
      </c>
      <c r="G345" s="27">
        <f>IFERROR(__xludf.DUMMYFUNCTION("""COMPUTED_VALUE"""),0.4666666666666667)</f>
        <v>0.4666666667</v>
      </c>
      <c r="H345" s="23">
        <f>IFERROR(__xludf.DUMMYFUNCTION("""COMPUTED_VALUE"""),40253.0)</f>
        <v>40253</v>
      </c>
      <c r="I345" s="27">
        <f>IFERROR(__xludf.DUMMYFUNCTION("""COMPUTED_VALUE"""),5.375)</f>
        <v>5.375</v>
      </c>
      <c r="J345" s="29">
        <f>IFERROR(__xludf.DUMMYFUNCTION("""COMPUTED_VALUE"""),81.0)</f>
        <v>81</v>
      </c>
      <c r="K345" s="29">
        <f>IFERROR(__xludf.DUMMYFUNCTION("""COMPUTED_VALUE"""),10.0)</f>
        <v>10</v>
      </c>
      <c r="L345" s="31" t="str">
        <f>IFERROR(__xludf.DUMMYFUNCTION("""COMPUTED_VALUE"""),"Shooter")</f>
        <v>Shooter</v>
      </c>
      <c r="M345" s="31"/>
    </row>
    <row r="346">
      <c r="A346" s="17" t="str">
        <f>IFERROR(__xludf.DUMMYFUNCTION("""COMPUTED_VALUE"""),"Gears of War: Judgment")</f>
        <v>Gears of War: Judgment</v>
      </c>
      <c r="B346" s="20" t="str">
        <f>IFERROR(__xludf.DUMMYFUNCTION("""COMPUTED_VALUE"""),"XB360/OG Xbox")</f>
        <v>XB360/OG Xbox</v>
      </c>
      <c r="C346" s="21"/>
      <c r="D346" s="21" t="str">
        <f>IFERROR(__xludf.DUMMYFUNCTION("""COMPUTED_VALUE"""),"GwG Permanent")</f>
        <v>GwG Permanent</v>
      </c>
      <c r="E346" s="23">
        <f>IFERROR(__xludf.DUMMYFUNCTION("""COMPUTED_VALUE"""),42095.0)</f>
        <v>42095</v>
      </c>
      <c r="F346" s="24">
        <f>IFERROR(__xludf.DUMMYFUNCTION("""COMPUTED_VALUE"""),42109.0)</f>
        <v>42109</v>
      </c>
      <c r="G346" s="27">
        <f>IFERROR(__xludf.DUMMYFUNCTION("""COMPUTED_VALUE"""),0.4666666666666667)</f>
        <v>0.4666666667</v>
      </c>
      <c r="H346" s="23">
        <f>IFERROR(__xludf.DUMMYFUNCTION("""COMPUTED_VALUE"""),41352.0)</f>
        <v>41352</v>
      </c>
      <c r="I346" s="27">
        <f>IFERROR(__xludf.DUMMYFUNCTION("""COMPUTED_VALUE"""),2.033333333333333)</f>
        <v>2.033333333</v>
      </c>
      <c r="J346" s="29">
        <f>IFERROR(__xludf.DUMMYFUNCTION("""COMPUTED_VALUE"""),81.0)</f>
        <v>81</v>
      </c>
      <c r="K346" s="29">
        <f>IFERROR(__xludf.DUMMYFUNCTION("""COMPUTED_VALUE"""),8.0)</f>
        <v>8</v>
      </c>
      <c r="L346" s="31" t="str">
        <f>IFERROR(__xludf.DUMMYFUNCTION("""COMPUTED_VALUE"""),"Shooter")</f>
        <v>Shooter</v>
      </c>
      <c r="M346" s="31"/>
    </row>
    <row r="347">
      <c r="A347" s="17" t="str">
        <f>IFERROR(__xludf.DUMMYFUNCTION("""COMPUTED_VALUE"""),"The Royal Writ")</f>
        <v>The Royal Writ</v>
      </c>
      <c r="B347" s="20" t="str">
        <f>IFERROR(__xludf.DUMMYFUNCTION("""COMPUTED_VALUE"""),"Xbox / PC")</f>
        <v>Xbox / PC</v>
      </c>
      <c r="C347" s="21" t="str">
        <f>IFERROR(__xludf.DUMMYFUNCTION("""COMPUTED_VALUE"""),"Yes")</f>
        <v>Yes</v>
      </c>
      <c r="D347" s="21" t="str">
        <f>IFERROR(__xludf.DUMMYFUNCTION("""COMPUTED_VALUE"""),"Active")</f>
        <v>Active</v>
      </c>
      <c r="E347" s="23">
        <f>IFERROR(__xludf.DUMMYFUNCTION("""COMPUTED_VALUE"""),46275.0)</f>
        <v>46275</v>
      </c>
      <c r="F347" s="24"/>
      <c r="G347" s="27">
        <f>IFERROR(__xludf.DUMMYFUNCTION("""COMPUTED_VALUE"""),0.8666666666666666)</f>
        <v>0.8666666667</v>
      </c>
      <c r="H347" s="23">
        <f>IFERROR(__xludf.DUMMYFUNCTION("""COMPUTED_VALUE"""),45876.0)</f>
        <v>45876</v>
      </c>
      <c r="I347" s="27">
        <f>IFERROR(__xludf.DUMMYFUNCTION("""COMPUTED_VALUE"""),1.0916666666666666)</f>
        <v>1.091666667</v>
      </c>
      <c r="J347" s="29">
        <f>IFERROR(__xludf.DUMMYFUNCTION("""COMPUTED_VALUE"""),80.0)</f>
        <v>80</v>
      </c>
      <c r="K347" s="29">
        <f>IFERROR(__xludf.DUMMYFUNCTION("""COMPUTED_VALUE"""),5.0)</f>
        <v>5</v>
      </c>
      <c r="L347" s="31" t="str">
        <f>IFERROR(__xludf.DUMMYFUNCTION("""COMPUTED_VALUE"""),"Card Battle")</f>
        <v>Card Battle</v>
      </c>
      <c r="M347" s="31" t="str">
        <f>IFERROR(__xludf.DUMMYFUNCTION("""COMPUTED_VALUE"""),"Exclusive")</f>
        <v>Exclusive</v>
      </c>
    </row>
    <row r="348">
      <c r="A348" s="17" t="str">
        <f>IFERROR(__xludf.DUMMYFUNCTION("""COMPUTED_VALUE"""),"Halo: Campaign Evolved")</f>
        <v>Halo: Campaign Evolved</v>
      </c>
      <c r="B348" s="20" t="str">
        <f>IFERROR(__xludf.DUMMYFUNCTION("""COMPUTED_VALUE"""),"Xbox / PC")</f>
        <v>Xbox / PC</v>
      </c>
      <c r="C348" s="21" t="str">
        <f>IFERROR(__xludf.DUMMYFUNCTION("""COMPUTED_VALUE"""),"Yes")</f>
        <v>Yes</v>
      </c>
      <c r="D348" s="21" t="str">
        <f>IFERROR(__xludf.DUMMYFUNCTION("""COMPUTED_VALUE"""),"Active")</f>
        <v>Active</v>
      </c>
      <c r="E348" s="23">
        <f>IFERROR(__xludf.DUMMYFUNCTION("""COMPUTED_VALUE"""),46231.0)</f>
        <v>46231</v>
      </c>
      <c r="F348" s="24"/>
      <c r="G348" s="27">
        <f>IFERROR(__xludf.DUMMYFUNCTION("""COMPUTED_VALUE"""),2.2666666666666666)</f>
        <v>2.266666667</v>
      </c>
      <c r="H348" s="23">
        <f>IFERROR(__xludf.DUMMYFUNCTION("""COMPUTED_VALUE"""),46231.0)</f>
        <v>46231</v>
      </c>
      <c r="I348" s="27">
        <f>IFERROR(__xludf.DUMMYFUNCTION("""COMPUTED_VALUE"""),0.0)</f>
        <v>0</v>
      </c>
      <c r="J348" s="29">
        <f>IFERROR(__xludf.DUMMYFUNCTION("""COMPUTED_VALUE"""),80.0)</f>
        <v>80</v>
      </c>
      <c r="K348" s="29">
        <f>IFERROR(__xludf.DUMMYFUNCTION("""COMPUTED_VALUE"""),9.0)</f>
        <v>9</v>
      </c>
      <c r="L348" s="31" t="str">
        <f>IFERROR(__xludf.DUMMYFUNCTION("""COMPUTED_VALUE"""),"Shooter")</f>
        <v>Shooter</v>
      </c>
      <c r="M348" s="31"/>
    </row>
    <row r="349">
      <c r="A349" s="17" t="str">
        <f>IFERROR(__xludf.DUMMYFUNCTION("""COMPUTED_VALUE"""),"Shift at Midnight")</f>
        <v>Shift at Midnight</v>
      </c>
      <c r="B349" s="20" t="str">
        <f>IFERROR(__xludf.DUMMYFUNCTION("""COMPUTED_VALUE"""),"Xbox / PC")</f>
        <v>Xbox / PC</v>
      </c>
      <c r="C349" s="21" t="str">
        <f>IFERROR(__xludf.DUMMYFUNCTION("""COMPUTED_VALUE"""),"Yes")</f>
        <v>Yes</v>
      </c>
      <c r="D349" s="21" t="str">
        <f>IFERROR(__xludf.DUMMYFUNCTION("""COMPUTED_VALUE"""),"Active")</f>
        <v>Active</v>
      </c>
      <c r="E349" s="23">
        <f>IFERROR(__xludf.DUMMYFUNCTION("""COMPUTED_VALUE"""),46225.0)</f>
        <v>46225</v>
      </c>
      <c r="F349" s="24"/>
      <c r="G349" s="27">
        <f>IFERROR(__xludf.DUMMYFUNCTION("""COMPUTED_VALUE"""),2.466666666666667)</f>
        <v>2.466666667</v>
      </c>
      <c r="H349" s="23">
        <f>IFERROR(__xludf.DUMMYFUNCTION("""COMPUTED_VALUE"""),46225.0)</f>
        <v>46225</v>
      </c>
      <c r="I349" s="27">
        <f>IFERROR(__xludf.DUMMYFUNCTION("""COMPUTED_VALUE"""),0.0)</f>
        <v>0</v>
      </c>
      <c r="J349" s="29">
        <f>IFERROR(__xludf.DUMMYFUNCTION("""COMPUTED_VALUE"""),80.0)</f>
        <v>80</v>
      </c>
      <c r="K349" s="29">
        <f>IFERROR(__xludf.DUMMYFUNCTION("""COMPUTED_VALUE"""),5.0)</f>
        <v>5</v>
      </c>
      <c r="L349" s="31" t="str">
        <f>IFERROR(__xludf.DUMMYFUNCTION("""COMPUTED_VALUE"""),"Horror")</f>
        <v>Horror</v>
      </c>
      <c r="M349" s="31" t="str">
        <f>IFERROR(__xludf.DUMMYFUNCTION("""COMPUTED_VALUE"""),"Exclusive")</f>
        <v>Exclusive</v>
      </c>
    </row>
    <row r="350">
      <c r="A350" s="17" t="str">
        <f>IFERROR(__xludf.DUMMYFUNCTION("""COMPUTED_VALUE"""),"FixForce")</f>
        <v>FixForce</v>
      </c>
      <c r="B350" s="20" t="str">
        <f>IFERROR(__xludf.DUMMYFUNCTION("""COMPUTED_VALUE"""),"Xbox / PC")</f>
        <v>Xbox / PC</v>
      </c>
      <c r="C350" s="21" t="str">
        <f>IFERROR(__xludf.DUMMYFUNCTION("""COMPUTED_VALUE"""),"Yes")</f>
        <v>Yes</v>
      </c>
      <c r="D350" s="21" t="str">
        <f>IFERROR(__xludf.DUMMYFUNCTION("""COMPUTED_VALUE"""),"Active")</f>
        <v>Active</v>
      </c>
      <c r="E350" s="23">
        <f>IFERROR(__xludf.DUMMYFUNCTION("""COMPUTED_VALUE"""),46220.0)</f>
        <v>46220</v>
      </c>
      <c r="F350" s="24"/>
      <c r="G350" s="27">
        <f>IFERROR(__xludf.DUMMYFUNCTION("""COMPUTED_VALUE"""),2.6333333333333333)</f>
        <v>2.633333333</v>
      </c>
      <c r="H350" s="23">
        <f>IFERROR(__xludf.DUMMYFUNCTION("""COMPUTED_VALUE"""),46220.0)</f>
        <v>46220</v>
      </c>
      <c r="I350" s="27">
        <f>IFERROR(__xludf.DUMMYFUNCTION("""COMPUTED_VALUE"""),0.0)</f>
        <v>0</v>
      </c>
      <c r="J350" s="29">
        <f>IFERROR(__xludf.DUMMYFUNCTION("""COMPUTED_VALUE"""),80.0)</f>
        <v>80</v>
      </c>
      <c r="K350" s="29"/>
      <c r="L350" s="31" t="str">
        <f>IFERROR(__xludf.DUMMYFUNCTION("""COMPUTED_VALUE"""),"Platformer")</f>
        <v>Platformer</v>
      </c>
      <c r="M350" s="31" t="str">
        <f>IFERROR(__xludf.DUMMYFUNCTION("""COMPUTED_VALUE"""),"Exclusive")</f>
        <v>Exclusive</v>
      </c>
    </row>
    <row r="351">
      <c r="A351" s="17" t="str">
        <f>IFERROR(__xludf.DUMMYFUNCTION("""COMPUTED_VALUE"""),"Abyssus")</f>
        <v>Abyssus</v>
      </c>
      <c r="B351" s="20" t="str">
        <f>IFERROR(__xludf.DUMMYFUNCTION("""COMPUTED_VALUE"""),"Xbox / PC")</f>
        <v>Xbox / PC</v>
      </c>
      <c r="C351" s="21" t="str">
        <f>IFERROR(__xludf.DUMMYFUNCTION("""COMPUTED_VALUE"""),"Yes")</f>
        <v>Yes</v>
      </c>
      <c r="D351" s="21" t="str">
        <f>IFERROR(__xludf.DUMMYFUNCTION("""COMPUTED_VALUE"""),"Active")</f>
        <v>Active</v>
      </c>
      <c r="E351" s="23">
        <f>IFERROR(__xludf.DUMMYFUNCTION("""COMPUTED_VALUE"""),46198.0)</f>
        <v>46198</v>
      </c>
      <c r="F351" s="24"/>
      <c r="G351" s="27">
        <f>IFERROR(__xludf.DUMMYFUNCTION("""COMPUTED_VALUE"""),3.3666666666666667)</f>
        <v>3.366666667</v>
      </c>
      <c r="H351" s="23">
        <f>IFERROR(__xludf.DUMMYFUNCTION("""COMPUTED_VALUE"""),46198.0)</f>
        <v>46198</v>
      </c>
      <c r="I351" s="27">
        <f>IFERROR(__xludf.DUMMYFUNCTION("""COMPUTED_VALUE"""),0.0)</f>
        <v>0</v>
      </c>
      <c r="J351" s="29">
        <f>IFERROR(__xludf.DUMMYFUNCTION("""COMPUTED_VALUE"""),80.0)</f>
        <v>80</v>
      </c>
      <c r="K351" s="29">
        <f>IFERROR(__xludf.DUMMYFUNCTION("""COMPUTED_VALUE"""),25.0)</f>
        <v>25</v>
      </c>
      <c r="L351" s="31" t="str">
        <f>IFERROR(__xludf.DUMMYFUNCTION("""COMPUTED_VALUE"""),"Shooter")</f>
        <v>Shooter</v>
      </c>
      <c r="M351" s="31" t="str">
        <f>IFERROR(__xludf.DUMMYFUNCTION("""COMPUTED_VALUE"""),"Exclusive")</f>
        <v>Exclusive</v>
      </c>
    </row>
    <row r="352">
      <c r="A352" s="17" t="str">
        <f>IFERROR(__xludf.DUMMYFUNCTION("""COMPUTED_VALUE"""),"Wo Long: Fallen Dynasty")</f>
        <v>Wo Long: Fallen Dynasty</v>
      </c>
      <c r="B352" s="20" t="str">
        <f>IFERROR(__xludf.DUMMYFUNCTION("""COMPUTED_VALUE"""),"Xbox / PC")</f>
        <v>Xbox / PC</v>
      </c>
      <c r="C352" s="21" t="str">
        <f>IFERROR(__xludf.DUMMYFUNCTION("""COMPUTED_VALUE"""),"Yes")</f>
        <v>Yes</v>
      </c>
      <c r="D352" s="21" t="str">
        <f>IFERROR(__xludf.DUMMYFUNCTION("""COMPUTED_VALUE"""),"Active")</f>
        <v>Active</v>
      </c>
      <c r="E352" s="23">
        <f>IFERROR(__xludf.DUMMYFUNCTION("""COMPUTED_VALUE"""),46180.0)</f>
        <v>46180</v>
      </c>
      <c r="F352" s="24"/>
      <c r="G352" s="27">
        <f>IFERROR(__xludf.DUMMYFUNCTION("""COMPUTED_VALUE"""),3.966666666666667)</f>
        <v>3.966666667</v>
      </c>
      <c r="H352" s="23">
        <f>IFERROR(__xludf.DUMMYFUNCTION("""COMPUTED_VALUE"""),44988.0)</f>
        <v>44988</v>
      </c>
      <c r="I352" s="27">
        <f>IFERROR(__xludf.DUMMYFUNCTION("""COMPUTED_VALUE"""),3.261111111111111)</f>
        <v>3.261111111</v>
      </c>
      <c r="J352" s="29">
        <f>IFERROR(__xludf.DUMMYFUNCTION("""COMPUTED_VALUE"""),80.0)</f>
        <v>80</v>
      </c>
      <c r="K352" s="29">
        <f>IFERROR(__xludf.DUMMYFUNCTION("""COMPUTED_VALUE"""),29.0)</f>
        <v>29</v>
      </c>
      <c r="L352" s="31" t="str">
        <f>IFERROR(__xludf.DUMMYFUNCTION("""COMPUTED_VALUE"""),"Action")</f>
        <v>Action</v>
      </c>
      <c r="M352" s="31"/>
    </row>
    <row r="353">
      <c r="A353" s="17" t="str">
        <f>IFERROR(__xludf.DUMMYFUNCTION("""COMPUTED_VALUE"""),"Escape the Backrooms")</f>
        <v>Escape the Backrooms</v>
      </c>
      <c r="B353" s="20" t="str">
        <f>IFERROR(__xludf.DUMMYFUNCTION("""COMPUTED_VALUE"""),"Xbox / PC")</f>
        <v>Xbox / PC</v>
      </c>
      <c r="C353" s="21" t="str">
        <f>IFERROR(__xludf.DUMMYFUNCTION("""COMPUTED_VALUE"""),"Yes")</f>
        <v>Yes</v>
      </c>
      <c r="D353" s="21" t="str">
        <f>IFERROR(__xludf.DUMMYFUNCTION("""COMPUTED_VALUE"""),"Active")</f>
        <v>Active</v>
      </c>
      <c r="E353" s="23">
        <f>IFERROR(__xludf.DUMMYFUNCTION("""COMPUTED_VALUE"""),46170.0)</f>
        <v>46170</v>
      </c>
      <c r="F353" s="24"/>
      <c r="G353" s="27">
        <f>IFERROR(__xludf.DUMMYFUNCTION("""COMPUTED_VALUE"""),4.266666666666667)</f>
        <v>4.266666667</v>
      </c>
      <c r="H353" s="23">
        <f>IFERROR(__xludf.DUMMYFUNCTION("""COMPUTED_VALUE"""),45953.0)</f>
        <v>45953</v>
      </c>
      <c r="I353" s="27">
        <f>IFERROR(__xludf.DUMMYFUNCTION("""COMPUTED_VALUE"""),0.5972222222222222)</f>
        <v>0.5972222222</v>
      </c>
      <c r="J353" s="29">
        <f>IFERROR(__xludf.DUMMYFUNCTION("""COMPUTED_VALUE"""),80.0)</f>
        <v>80</v>
      </c>
      <c r="K353" s="29">
        <f>IFERROR(__xludf.DUMMYFUNCTION("""COMPUTED_VALUE"""),9.0)</f>
        <v>9</v>
      </c>
      <c r="L353" s="31" t="str">
        <f>IFERROR(__xludf.DUMMYFUNCTION("""COMPUTED_VALUE"""),"Survival")</f>
        <v>Survival</v>
      </c>
      <c r="M353" s="31" t="str">
        <f>IFERROR(__xludf.DUMMYFUNCTION("""COMPUTED_VALUE"""),"Exclusive")</f>
        <v>Exclusive</v>
      </c>
    </row>
    <row r="354">
      <c r="A354" s="17" t="str">
        <f>IFERROR(__xludf.DUMMYFUNCTION("""COMPUTED_VALUE"""),"Crashout Crew")</f>
        <v>Crashout Crew</v>
      </c>
      <c r="B354" s="20" t="str">
        <f>IFERROR(__xludf.DUMMYFUNCTION("""COMPUTED_VALUE"""),"Xbox / PC")</f>
        <v>Xbox / PC</v>
      </c>
      <c r="C354" s="21" t="str">
        <f>IFERROR(__xludf.DUMMYFUNCTION("""COMPUTED_VALUE"""),"Yes")</f>
        <v>Yes</v>
      </c>
      <c r="D354" s="21" t="str">
        <f>IFERROR(__xludf.DUMMYFUNCTION("""COMPUTED_VALUE"""),"Active")</f>
        <v>Active</v>
      </c>
      <c r="E354" s="23">
        <f>IFERROR(__xludf.DUMMYFUNCTION("""COMPUTED_VALUE"""),46170.0)</f>
        <v>46170</v>
      </c>
      <c r="F354" s="24"/>
      <c r="G354" s="27">
        <f>IFERROR(__xludf.DUMMYFUNCTION("""COMPUTED_VALUE"""),4.266666666666667)</f>
        <v>4.266666667</v>
      </c>
      <c r="H354" s="23">
        <f>IFERROR(__xludf.DUMMYFUNCTION("""COMPUTED_VALUE"""),46170.0)</f>
        <v>46170</v>
      </c>
      <c r="I354" s="27">
        <f>IFERROR(__xludf.DUMMYFUNCTION("""COMPUTED_VALUE"""),0.0)</f>
        <v>0</v>
      </c>
      <c r="J354" s="29">
        <f>IFERROR(__xludf.DUMMYFUNCTION("""COMPUTED_VALUE"""),80.0)</f>
        <v>80</v>
      </c>
      <c r="K354" s="29">
        <f>IFERROR(__xludf.DUMMYFUNCTION("""COMPUTED_VALUE"""),12.0)</f>
        <v>12</v>
      </c>
      <c r="L354" s="31" t="str">
        <f>IFERROR(__xludf.DUMMYFUNCTION("""COMPUTED_VALUE"""),"Action-Adventure")</f>
        <v>Action-Adventure</v>
      </c>
      <c r="M354" s="31" t="str">
        <f>IFERROR(__xludf.DUMMYFUNCTION("""COMPUTED_VALUE"""),"Exclusive")</f>
        <v>Exclusive</v>
      </c>
    </row>
    <row r="355">
      <c r="A355" s="17" t="str">
        <f>IFERROR(__xludf.DUMMYFUNCTION("""COMPUTED_VALUE"""),"Elite Dangerous")</f>
        <v>Elite Dangerous</v>
      </c>
      <c r="B355" s="20" t="str">
        <f>IFERROR(__xludf.DUMMYFUNCTION("""COMPUTED_VALUE"""),"Xbox")</f>
        <v>Xbox</v>
      </c>
      <c r="C355" s="21" t="str">
        <f>IFERROR(__xludf.DUMMYFUNCTION("""COMPUTED_VALUE"""),"Yes")</f>
        <v>Yes</v>
      </c>
      <c r="D355" s="21" t="str">
        <f>IFERROR(__xludf.DUMMYFUNCTION("""COMPUTED_VALUE"""),"Active")</f>
        <v>Active</v>
      </c>
      <c r="E355" s="23">
        <f>IFERROR(__xludf.DUMMYFUNCTION("""COMPUTED_VALUE"""),46154.0)</f>
        <v>46154</v>
      </c>
      <c r="F355" s="24"/>
      <c r="G355" s="27">
        <f>IFERROR(__xludf.DUMMYFUNCTION("""COMPUTED_VALUE"""),4.800000000000001)</f>
        <v>4.8</v>
      </c>
      <c r="H355" s="23">
        <f>IFERROR(__xludf.DUMMYFUNCTION("""COMPUTED_VALUE"""),41989.0)</f>
        <v>41989</v>
      </c>
      <c r="I355" s="27">
        <f>IFERROR(__xludf.DUMMYFUNCTION("""COMPUTED_VALUE"""),11.405555555555555)</f>
        <v>11.40555556</v>
      </c>
      <c r="J355" s="29">
        <f>IFERROR(__xludf.DUMMYFUNCTION("""COMPUTED_VALUE"""),80.0)</f>
        <v>80</v>
      </c>
      <c r="K355" s="29">
        <f>IFERROR(__xludf.DUMMYFUNCTION("""COMPUTED_VALUE"""),113.0)</f>
        <v>113</v>
      </c>
      <c r="L355" s="31" t="str">
        <f>IFERROR(__xludf.DUMMYFUNCTION("""COMPUTED_VALUE"""),"Space Simulation")</f>
        <v>Space Simulation</v>
      </c>
      <c r="M355" s="31"/>
    </row>
    <row r="356">
      <c r="A356" s="17" t="str">
        <f>IFERROR(__xludf.DUMMYFUNCTION("""COMPUTED_VALUE"""),"Call of Duty: Modern Warfare (2019)")</f>
        <v>Call of Duty: Modern Warfare (2019)</v>
      </c>
      <c r="B356" s="20" t="str">
        <f>IFERROR(__xludf.DUMMYFUNCTION("""COMPUTED_VALUE"""),"Xbox / PC")</f>
        <v>Xbox / PC</v>
      </c>
      <c r="C356" s="21" t="str">
        <f>IFERROR(__xludf.DUMMYFUNCTION("""COMPUTED_VALUE"""),"Yes")</f>
        <v>Yes</v>
      </c>
      <c r="D356" s="21" t="str">
        <f>IFERROR(__xludf.DUMMYFUNCTION("""COMPUTED_VALUE"""),"Active")</f>
        <v>Active</v>
      </c>
      <c r="E356" s="23">
        <f>IFERROR(__xludf.DUMMYFUNCTION("""COMPUTED_VALUE"""),46129.0)</f>
        <v>46129</v>
      </c>
      <c r="F356" s="24"/>
      <c r="G356" s="27">
        <f>IFERROR(__xludf.DUMMYFUNCTION("""COMPUTED_VALUE"""),5.633333333333333)</f>
        <v>5.633333333</v>
      </c>
      <c r="H356" s="23">
        <f>IFERROR(__xludf.DUMMYFUNCTION("""COMPUTED_VALUE"""),43763.0)</f>
        <v>43763</v>
      </c>
      <c r="I356" s="27">
        <f>IFERROR(__xludf.DUMMYFUNCTION("""COMPUTED_VALUE"""),6.477777777777778)</f>
        <v>6.477777778</v>
      </c>
      <c r="J356" s="29">
        <f>IFERROR(__xludf.DUMMYFUNCTION("""COMPUTED_VALUE"""),80.0)</f>
        <v>80</v>
      </c>
      <c r="K356" s="29">
        <f>IFERROR(__xludf.DUMMYFUNCTION("""COMPUTED_VALUE"""),6.0)</f>
        <v>6</v>
      </c>
      <c r="L356" s="31" t="str">
        <f>IFERROR(__xludf.DUMMYFUNCTION("""COMPUTED_VALUE"""),"Shooter")</f>
        <v>Shooter</v>
      </c>
      <c r="M356" s="31"/>
    </row>
    <row r="357">
      <c r="A357" s="17" t="str">
        <f>IFERROR(__xludf.DUMMYFUNCTION("""COMPUTED_VALUE"""),"Barbie Horse Trails")</f>
        <v>Barbie Horse Trails</v>
      </c>
      <c r="B357" s="20" t="str">
        <f>IFERROR(__xludf.DUMMYFUNCTION("""COMPUTED_VALUE"""),"Xbox / PC")</f>
        <v>Xbox / PC</v>
      </c>
      <c r="C357" s="21" t="str">
        <f>IFERROR(__xludf.DUMMYFUNCTION("""COMPUTED_VALUE"""),"Yes")</f>
        <v>Yes</v>
      </c>
      <c r="D357" s="21" t="str">
        <f>IFERROR(__xludf.DUMMYFUNCTION("""COMPUTED_VALUE"""),"Active")</f>
        <v>Active</v>
      </c>
      <c r="E357" s="23">
        <f>IFERROR(__xludf.DUMMYFUNCTION("""COMPUTED_VALUE"""),46114.0)</f>
        <v>46114</v>
      </c>
      <c r="F357" s="24"/>
      <c r="G357" s="27">
        <f>IFERROR(__xludf.DUMMYFUNCTION("""COMPUTED_VALUE"""),6.133333333333333)</f>
        <v>6.133333333</v>
      </c>
      <c r="H357" s="23">
        <f>IFERROR(__xludf.DUMMYFUNCTION("""COMPUTED_VALUE"""),39734.0)</f>
        <v>39734</v>
      </c>
      <c r="I357" s="27">
        <f>IFERROR(__xludf.DUMMYFUNCTION("""COMPUTED_VALUE"""),17.469444444444445)</f>
        <v>17.46944444</v>
      </c>
      <c r="J357" s="29">
        <f>IFERROR(__xludf.DUMMYFUNCTION("""COMPUTED_VALUE"""),80.0)</f>
        <v>80</v>
      </c>
      <c r="K357" s="29">
        <f>IFERROR(__xludf.DUMMYFUNCTION("""COMPUTED_VALUE"""),6.0)</f>
        <v>6</v>
      </c>
      <c r="L357" s="31" t="str">
        <f>IFERROR(__xludf.DUMMYFUNCTION("""COMPUTED_VALUE"""),"Action-Adventure")</f>
        <v>Action-Adventure</v>
      </c>
      <c r="M357" s="31"/>
    </row>
    <row r="358">
      <c r="A358" s="17" t="str">
        <f>IFERROR(__xludf.DUMMYFUNCTION("""COMPUTED_VALUE"""),"DreamWorks Gabby's Dollhouse: Ready to Party")</f>
        <v>DreamWorks Gabby's Dollhouse: Ready to Party</v>
      </c>
      <c r="B358" s="20" t="str">
        <f>IFERROR(__xludf.DUMMYFUNCTION("""COMPUTED_VALUE"""),"Xbox / PC")</f>
        <v>Xbox / PC</v>
      </c>
      <c r="C358" s="21" t="str">
        <f>IFERROR(__xludf.DUMMYFUNCTION("""COMPUTED_VALUE"""),"Yes")</f>
        <v>Yes</v>
      </c>
      <c r="D358" s="21" t="str">
        <f>IFERROR(__xludf.DUMMYFUNCTION("""COMPUTED_VALUE"""),"Active")</f>
        <v>Active</v>
      </c>
      <c r="E358" s="23">
        <f>IFERROR(__xludf.DUMMYFUNCTION("""COMPUTED_VALUE"""),46098.0)</f>
        <v>46098</v>
      </c>
      <c r="F358" s="24"/>
      <c r="G358" s="27">
        <f>IFERROR(__xludf.DUMMYFUNCTION("""COMPUTED_VALUE"""),6.633333333333334)</f>
        <v>6.633333333</v>
      </c>
      <c r="H358" s="23">
        <f>IFERROR(__xludf.DUMMYFUNCTION("""COMPUTED_VALUE"""),45919.0)</f>
        <v>45919</v>
      </c>
      <c r="I358" s="27">
        <f>IFERROR(__xludf.DUMMYFUNCTION("""COMPUTED_VALUE"""),0.49444444444444446)</f>
        <v>0.4944444444</v>
      </c>
      <c r="J358" s="29">
        <f>IFERROR(__xludf.DUMMYFUNCTION("""COMPUTED_VALUE"""),80.0)</f>
        <v>80</v>
      </c>
      <c r="K358" s="29">
        <f>IFERROR(__xludf.DUMMYFUNCTION("""COMPUTED_VALUE"""),3.0)</f>
        <v>3</v>
      </c>
      <c r="L358" s="31" t="str">
        <f>IFERROR(__xludf.DUMMYFUNCTION("""COMPUTED_VALUE"""),"Action-Adventure")</f>
        <v>Action-Adventure</v>
      </c>
      <c r="M358" s="31" t="str">
        <f>IFERROR(__xludf.DUMMYFUNCTION("""COMPUTED_VALUE"""),"Exclusive")</f>
        <v>Exclusive</v>
      </c>
    </row>
    <row r="359">
      <c r="A359" s="17" t="str">
        <f>IFERROR(__xludf.DUMMYFUNCTION("""COMPUTED_VALUE"""),"F1 25")</f>
        <v>F1 25</v>
      </c>
      <c r="B359" s="20" t="str">
        <f>IFERROR(__xludf.DUMMYFUNCTION("""COMPUTED_VALUE"""),"Xbox / PC")</f>
        <v>Xbox / PC</v>
      </c>
      <c r="C359" s="21" t="str">
        <f>IFERROR(__xludf.DUMMYFUNCTION("""COMPUTED_VALUE"""),"Yes")</f>
        <v>Yes</v>
      </c>
      <c r="D359" s="21" t="str">
        <f>IFERROR(__xludf.DUMMYFUNCTION("""COMPUTED_VALUE"""),"Active")</f>
        <v>Active</v>
      </c>
      <c r="E359" s="23">
        <f>IFERROR(__xludf.DUMMYFUNCTION("""COMPUTED_VALUE"""),46085.0)</f>
        <v>46085</v>
      </c>
      <c r="F359" s="24"/>
      <c r="G359" s="27">
        <f>IFERROR(__xludf.DUMMYFUNCTION("""COMPUTED_VALUE"""),7.066666666666666)</f>
        <v>7.066666667</v>
      </c>
      <c r="H359" s="23">
        <f>IFERROR(__xludf.DUMMYFUNCTION("""COMPUTED_VALUE"""),46085.0)</f>
        <v>46085</v>
      </c>
      <c r="I359" s="27">
        <f>IFERROR(__xludf.DUMMYFUNCTION("""COMPUTED_VALUE"""),0.0)</f>
        <v>0</v>
      </c>
      <c r="J359" s="29">
        <f>IFERROR(__xludf.DUMMYFUNCTION("""COMPUTED_VALUE"""),80.0)</f>
        <v>80</v>
      </c>
      <c r="K359" s="29">
        <f>IFERROR(__xludf.DUMMYFUNCTION("""COMPUTED_VALUE"""),6.0)</f>
        <v>6</v>
      </c>
      <c r="L359" s="31" t="str">
        <f>IFERROR(__xludf.DUMMYFUNCTION("""COMPUTED_VALUE"""),"Racing")</f>
        <v>Racing</v>
      </c>
      <c r="M359" s="31" t="str">
        <f>IFERROR(__xludf.DUMMYFUNCTION("""COMPUTED_VALUE"""),"Exclusive")</f>
        <v>Exclusive</v>
      </c>
    </row>
    <row r="360">
      <c r="A360" s="17" t="str">
        <f>IFERROR(__xludf.DUMMYFUNCTION("""COMPUTED_VALUE"""),"Diablo II: Resurrected")</f>
        <v>Diablo II: Resurrected</v>
      </c>
      <c r="B360" s="20" t="str">
        <f>IFERROR(__xludf.DUMMYFUNCTION("""COMPUTED_VALUE"""),"Xbox / PC")</f>
        <v>Xbox / PC</v>
      </c>
      <c r="C360" s="21" t="str">
        <f>IFERROR(__xludf.DUMMYFUNCTION("""COMPUTED_VALUE"""),"Yes")</f>
        <v>Yes</v>
      </c>
      <c r="D360" s="21" t="str">
        <f>IFERROR(__xludf.DUMMYFUNCTION("""COMPUTED_VALUE"""),"Active")</f>
        <v>Active</v>
      </c>
      <c r="E360" s="23">
        <f>IFERROR(__xludf.DUMMYFUNCTION("""COMPUTED_VALUE"""),46064.0)</f>
        <v>46064</v>
      </c>
      <c r="F360" s="24"/>
      <c r="G360" s="27">
        <f>IFERROR(__xludf.DUMMYFUNCTION("""COMPUTED_VALUE"""),7.833333333333334)</f>
        <v>7.833333333</v>
      </c>
      <c r="H360" s="23">
        <f>IFERROR(__xludf.DUMMYFUNCTION("""COMPUTED_VALUE"""),44462.0)</f>
        <v>44462</v>
      </c>
      <c r="I360" s="27">
        <f>IFERROR(__xludf.DUMMYFUNCTION("""COMPUTED_VALUE"""),4.383333333333334)</f>
        <v>4.383333333</v>
      </c>
      <c r="J360" s="29">
        <f>IFERROR(__xludf.DUMMYFUNCTION("""COMPUTED_VALUE"""),80.0)</f>
        <v>80</v>
      </c>
      <c r="K360" s="29">
        <f>IFERROR(__xludf.DUMMYFUNCTION("""COMPUTED_VALUE"""),22.0)</f>
        <v>22</v>
      </c>
      <c r="L360" s="31" t="str">
        <f>IFERROR(__xludf.DUMMYFUNCTION("""COMPUTED_VALUE"""),"RPG")</f>
        <v>RPG</v>
      </c>
      <c r="M360" s="31"/>
    </row>
    <row r="361">
      <c r="A361" s="17" t="str">
        <f>IFERROR(__xludf.DUMMYFUNCTION("""COMPUTED_VALUE"""),"Like A Dragon: Pirate Yakuza in Hawaii")</f>
        <v>Like A Dragon: Pirate Yakuza in Hawaii</v>
      </c>
      <c r="B361" s="20" t="str">
        <f>IFERROR(__xludf.DUMMYFUNCTION("""COMPUTED_VALUE"""),"Xbox / PC")</f>
        <v>Xbox / PC</v>
      </c>
      <c r="C361" s="21" t="str">
        <f>IFERROR(__xludf.DUMMYFUNCTION("""COMPUTED_VALUE"""),"Yes")</f>
        <v>Yes</v>
      </c>
      <c r="D361" s="21" t="str">
        <f>IFERROR(__xludf.DUMMYFUNCTION("""COMPUTED_VALUE"""),"Active")</f>
        <v>Active</v>
      </c>
      <c r="E361" s="23">
        <f>IFERROR(__xludf.DUMMYFUNCTION("""COMPUTED_VALUE"""),46055.0)</f>
        <v>46055</v>
      </c>
      <c r="F361" s="24"/>
      <c r="G361" s="27">
        <f>IFERROR(__xludf.DUMMYFUNCTION("""COMPUTED_VALUE"""),8.133333333333333)</f>
        <v>8.133333333</v>
      </c>
      <c r="H361" s="23">
        <f>IFERROR(__xludf.DUMMYFUNCTION("""COMPUTED_VALUE"""),45709.0)</f>
        <v>45709</v>
      </c>
      <c r="I361" s="27">
        <f>IFERROR(__xludf.DUMMYFUNCTION("""COMPUTED_VALUE"""),0.9472222222222222)</f>
        <v>0.9472222222</v>
      </c>
      <c r="J361" s="29">
        <f>IFERROR(__xludf.DUMMYFUNCTION("""COMPUTED_VALUE"""),80.0)</f>
        <v>80</v>
      </c>
      <c r="K361" s="29">
        <f>IFERROR(__xludf.DUMMYFUNCTION("""COMPUTED_VALUE"""),35.0)</f>
        <v>35</v>
      </c>
      <c r="L361" s="31" t="str">
        <f>IFERROR(__xludf.DUMMYFUNCTION("""COMPUTED_VALUE"""),"Action-Adventure")</f>
        <v>Action-Adventure</v>
      </c>
      <c r="M361" s="31"/>
    </row>
    <row r="362">
      <c r="A362" s="17" t="str">
        <f>IFERROR(__xludf.DUMMYFUNCTION("""COMPUTED_VALUE"""),"INDIKA")</f>
        <v>INDIKA</v>
      </c>
      <c r="B362" s="20" t="str">
        <f>IFERROR(__xludf.DUMMYFUNCTION("""COMPUTED_VALUE"""),"Xbox / PC")</f>
        <v>Xbox / PC</v>
      </c>
      <c r="C362" s="21" t="str">
        <f>IFERROR(__xludf.DUMMYFUNCTION("""COMPUTED_VALUE"""),"Yes")</f>
        <v>Yes</v>
      </c>
      <c r="D362" s="21" t="str">
        <f>IFERROR(__xludf.DUMMYFUNCTION("""COMPUTED_VALUE"""),"Active")</f>
        <v>Active</v>
      </c>
      <c r="E362" s="23">
        <f>IFERROR(__xludf.DUMMYFUNCTION("""COMPUTED_VALUE"""),46055.0)</f>
        <v>46055</v>
      </c>
      <c r="F362" s="24"/>
      <c r="G362" s="27">
        <f>IFERROR(__xludf.DUMMYFUNCTION("""COMPUTED_VALUE"""),8.133333333333333)</f>
        <v>8.133333333</v>
      </c>
      <c r="H362" s="23">
        <f>IFERROR(__xludf.DUMMYFUNCTION("""COMPUTED_VALUE"""),45414.0)</f>
        <v>45414</v>
      </c>
      <c r="I362" s="27">
        <f>IFERROR(__xludf.DUMMYFUNCTION("""COMPUTED_VALUE"""),1.75)</f>
        <v>1.75</v>
      </c>
      <c r="J362" s="29">
        <f>IFERROR(__xludf.DUMMYFUNCTION("""COMPUTED_VALUE"""),80.0)</f>
        <v>80</v>
      </c>
      <c r="K362" s="29">
        <f>IFERROR(__xludf.DUMMYFUNCTION("""COMPUTED_VALUE"""),4.0)</f>
        <v>4</v>
      </c>
      <c r="L362" s="31" t="str">
        <f>IFERROR(__xludf.DUMMYFUNCTION("""COMPUTED_VALUE"""),"Action-Adventure")</f>
        <v>Action-Adventure</v>
      </c>
      <c r="M362" s="31" t="str">
        <f>IFERROR(__xludf.DUMMYFUNCTION("""COMPUTED_VALUE"""),"Exclusive")</f>
        <v>Exclusive</v>
      </c>
    </row>
    <row r="363">
      <c r="A363" s="17" t="str">
        <f>IFERROR(__xludf.DUMMYFUNCTION("""COMPUTED_VALUE"""),"Ultimate Sheep Raccoon")</f>
        <v>Ultimate Sheep Raccoon</v>
      </c>
      <c r="B363" s="20" t="str">
        <f>IFERROR(__xludf.DUMMYFUNCTION("""COMPUTED_VALUE"""),"Xbox / PC")</f>
        <v>Xbox / PC</v>
      </c>
      <c r="C363" s="21" t="str">
        <f>IFERROR(__xludf.DUMMYFUNCTION("""COMPUTED_VALUE"""),"Yes")</f>
        <v>Yes</v>
      </c>
      <c r="D363" s="21" t="str">
        <f>IFERROR(__xludf.DUMMYFUNCTION("""COMPUTED_VALUE"""),"Active")</f>
        <v>Active</v>
      </c>
      <c r="E363" s="23">
        <f>IFERROR(__xludf.DUMMYFUNCTION("""COMPUTED_VALUE"""),46000.0)</f>
        <v>46000</v>
      </c>
      <c r="F363" s="24"/>
      <c r="G363" s="27">
        <f>IFERROR(__xludf.DUMMYFUNCTION("""COMPUTED_VALUE"""),9.899999999999999)</f>
        <v>9.9</v>
      </c>
      <c r="H363" s="23">
        <f>IFERROR(__xludf.DUMMYFUNCTION("""COMPUTED_VALUE"""),46000.0)</f>
        <v>46000</v>
      </c>
      <c r="I363" s="27">
        <f>IFERROR(__xludf.DUMMYFUNCTION("""COMPUTED_VALUE"""),0.0)</f>
        <v>0</v>
      </c>
      <c r="J363" s="29">
        <f>IFERROR(__xludf.DUMMYFUNCTION("""COMPUTED_VALUE"""),80.0)</f>
        <v>80</v>
      </c>
      <c r="K363" s="29"/>
      <c r="L363" s="31" t="str">
        <f>IFERROR(__xludf.DUMMYFUNCTION("""COMPUTED_VALUE"""),"Racing")</f>
        <v>Racing</v>
      </c>
      <c r="M363" s="31"/>
    </row>
    <row r="364">
      <c r="A364" s="17" t="str">
        <f>IFERROR(__xludf.DUMMYFUNCTION("""COMPUTED_VALUE"""),"Total Chaos (2025)")</f>
        <v>Total Chaos (2025)</v>
      </c>
      <c r="B364" s="20" t="str">
        <f>IFERROR(__xludf.DUMMYFUNCTION("""COMPUTED_VALUE"""),"Xbox / PC")</f>
        <v>Xbox / PC</v>
      </c>
      <c r="C364" s="21" t="str">
        <f>IFERROR(__xludf.DUMMYFUNCTION("""COMPUTED_VALUE"""),"Yes")</f>
        <v>Yes</v>
      </c>
      <c r="D364" s="21" t="str">
        <f>IFERROR(__xludf.DUMMYFUNCTION("""COMPUTED_VALUE"""),"Active")</f>
        <v>Active</v>
      </c>
      <c r="E364" s="23">
        <f>IFERROR(__xludf.DUMMYFUNCTION("""COMPUTED_VALUE"""),45981.0)</f>
        <v>45981</v>
      </c>
      <c r="F364" s="24"/>
      <c r="G364" s="27">
        <f>IFERROR(__xludf.DUMMYFUNCTION("""COMPUTED_VALUE"""),10.533333333333333)</f>
        <v>10.53333333</v>
      </c>
      <c r="H364" s="23">
        <f>IFERROR(__xludf.DUMMYFUNCTION("""COMPUTED_VALUE"""),45981.0)</f>
        <v>45981</v>
      </c>
      <c r="I364" s="27">
        <f>IFERROR(__xludf.DUMMYFUNCTION("""COMPUTED_VALUE"""),0.0)</f>
        <v>0</v>
      </c>
      <c r="J364" s="29">
        <f>IFERROR(__xludf.DUMMYFUNCTION("""COMPUTED_VALUE"""),80.0)</f>
        <v>80</v>
      </c>
      <c r="K364" s="29">
        <f>IFERROR(__xludf.DUMMYFUNCTION("""COMPUTED_VALUE"""),11.0)</f>
        <v>11</v>
      </c>
      <c r="L364" s="31" t="str">
        <f>IFERROR(__xludf.DUMMYFUNCTION("""COMPUTED_VALUE"""),"Action-Adventure")</f>
        <v>Action-Adventure</v>
      </c>
      <c r="M364" s="31" t="str">
        <f>IFERROR(__xludf.DUMMYFUNCTION("""COMPUTED_VALUE"""),"Exclusive")</f>
        <v>Exclusive</v>
      </c>
    </row>
    <row r="365">
      <c r="A365" s="17" t="str">
        <f>IFERROR(__xludf.DUMMYFUNCTION("""COMPUTED_VALUE"""),"Egging On")</f>
        <v>Egging On</v>
      </c>
      <c r="B365" s="20" t="str">
        <f>IFERROR(__xludf.DUMMYFUNCTION("""COMPUTED_VALUE"""),"Xbox / PC")</f>
        <v>Xbox / PC</v>
      </c>
      <c r="C365" s="21" t="str">
        <f>IFERROR(__xludf.DUMMYFUNCTION("""COMPUTED_VALUE"""),"Yes")</f>
        <v>Yes</v>
      </c>
      <c r="D365" s="21" t="str">
        <f>IFERROR(__xludf.DUMMYFUNCTION("""COMPUTED_VALUE"""),"Active")</f>
        <v>Active</v>
      </c>
      <c r="E365" s="23">
        <f>IFERROR(__xludf.DUMMYFUNCTION("""COMPUTED_VALUE"""),45967.0)</f>
        <v>45967</v>
      </c>
      <c r="F365" s="24"/>
      <c r="G365" s="27">
        <f>IFERROR(__xludf.DUMMYFUNCTION("""COMPUTED_VALUE"""),11.0)</f>
        <v>11</v>
      </c>
      <c r="H365" s="23">
        <f>IFERROR(__xludf.DUMMYFUNCTION("""COMPUTED_VALUE"""),45967.0)</f>
        <v>45967</v>
      </c>
      <c r="I365" s="27">
        <f>IFERROR(__xludf.DUMMYFUNCTION("""COMPUTED_VALUE"""),0.0)</f>
        <v>0</v>
      </c>
      <c r="J365" s="29">
        <f>IFERROR(__xludf.DUMMYFUNCTION("""COMPUTED_VALUE"""),80.0)</f>
        <v>80</v>
      </c>
      <c r="K365" s="29">
        <f>IFERROR(__xludf.DUMMYFUNCTION("""COMPUTED_VALUE"""),8.0)</f>
        <v>8</v>
      </c>
      <c r="L365" s="31" t="str">
        <f>IFERROR(__xludf.DUMMYFUNCTION("""COMPUTED_VALUE"""),"Platformer")</f>
        <v>Platformer</v>
      </c>
      <c r="M365" s="31" t="str">
        <f>IFERROR(__xludf.DUMMYFUNCTION("""COMPUTED_VALUE"""),"Exclusive")</f>
        <v>Exclusive</v>
      </c>
    </row>
    <row r="366">
      <c r="A366" s="17" t="str">
        <f>IFERROR(__xludf.DUMMYFUNCTION("""COMPUTED_VALUE"""),"Keeper (2025)")</f>
        <v>Keeper (2025)</v>
      </c>
      <c r="B366" s="20" t="str">
        <f>IFERROR(__xludf.DUMMYFUNCTION("""COMPUTED_VALUE"""),"Xbox / PC")</f>
        <v>Xbox / PC</v>
      </c>
      <c r="C366" s="21" t="str">
        <f>IFERROR(__xludf.DUMMYFUNCTION("""COMPUTED_VALUE"""),"Yes")</f>
        <v>Yes</v>
      </c>
      <c r="D366" s="21" t="str">
        <f>IFERROR(__xludf.DUMMYFUNCTION("""COMPUTED_VALUE"""),"Active")</f>
        <v>Active</v>
      </c>
      <c r="E366" s="23">
        <f>IFERROR(__xludf.DUMMYFUNCTION("""COMPUTED_VALUE"""),45947.0)</f>
        <v>45947</v>
      </c>
      <c r="F366" s="24"/>
      <c r="G366" s="27">
        <f>IFERROR(__xludf.DUMMYFUNCTION("""COMPUTED_VALUE"""),11.633333333333333)</f>
        <v>11.63333333</v>
      </c>
      <c r="H366" s="23">
        <f>IFERROR(__xludf.DUMMYFUNCTION("""COMPUTED_VALUE"""),45947.0)</f>
        <v>45947</v>
      </c>
      <c r="I366" s="27">
        <f>IFERROR(__xludf.DUMMYFUNCTION("""COMPUTED_VALUE"""),0.0)</f>
        <v>0</v>
      </c>
      <c r="J366" s="29">
        <f>IFERROR(__xludf.DUMMYFUNCTION("""COMPUTED_VALUE"""),80.0)</f>
        <v>80</v>
      </c>
      <c r="K366" s="29">
        <f>IFERROR(__xludf.DUMMYFUNCTION("""COMPUTED_VALUE"""),5.0)</f>
        <v>5</v>
      </c>
      <c r="L366" s="31" t="str">
        <f>IFERROR(__xludf.DUMMYFUNCTION("""COMPUTED_VALUE"""),"Action-Adventure")</f>
        <v>Action-Adventure</v>
      </c>
      <c r="M366" s="31" t="str">
        <f>IFERROR(__xludf.DUMMYFUNCTION("""COMPUTED_VALUE"""),"Exclusive")</f>
        <v>Exclusive</v>
      </c>
    </row>
    <row r="367">
      <c r="A367" s="17" t="str">
        <f>IFERROR(__xludf.DUMMYFUNCTION("""COMPUTED_VALUE"""),"Assassin's Creed Revelations")</f>
        <v>Assassin's Creed Revelations</v>
      </c>
      <c r="B367" s="20" t="str">
        <f>IFERROR(__xludf.DUMMYFUNCTION("""COMPUTED_VALUE"""),"Xbox / PC")</f>
        <v>Xbox / PC</v>
      </c>
      <c r="C367" s="21"/>
      <c r="D367" s="21" t="str">
        <f>IFERROR(__xludf.DUMMYFUNCTION("""COMPUTED_VALUE"""),"Active")</f>
        <v>Active</v>
      </c>
      <c r="E367" s="23">
        <f>IFERROR(__xludf.DUMMYFUNCTION("""COMPUTED_VALUE"""),45931.0)</f>
        <v>45931</v>
      </c>
      <c r="F367" s="24"/>
      <c r="G367" s="27">
        <f>IFERROR(__xludf.DUMMYFUNCTION("""COMPUTED_VALUE"""),12.166666666666666)</f>
        <v>12.16666667</v>
      </c>
      <c r="H367" s="23">
        <f>IFERROR(__xludf.DUMMYFUNCTION("""COMPUTED_VALUE"""),40862.0)</f>
        <v>40862</v>
      </c>
      <c r="I367" s="27">
        <f>IFERROR(__xludf.DUMMYFUNCTION("""COMPUTED_VALUE"""),13.877777777777778)</f>
        <v>13.87777778</v>
      </c>
      <c r="J367" s="29">
        <f>IFERROR(__xludf.DUMMYFUNCTION("""COMPUTED_VALUE"""),80.0)</f>
        <v>80</v>
      </c>
      <c r="K367" s="29">
        <f>IFERROR(__xludf.DUMMYFUNCTION("""COMPUTED_VALUE"""),13.0)</f>
        <v>13</v>
      </c>
      <c r="L367" s="31" t="str">
        <f>IFERROR(__xludf.DUMMYFUNCTION("""COMPUTED_VALUE"""),"Action-Adventure")</f>
        <v>Action-Adventure</v>
      </c>
      <c r="M367" s="31"/>
    </row>
    <row r="368">
      <c r="A368" s="17" t="str">
        <f>IFERROR(__xludf.DUMMYFUNCTION("""COMPUTED_VALUE"""),"Far Cry 3: Blood Dragon")</f>
        <v>Far Cry 3: Blood Dragon</v>
      </c>
      <c r="B368" s="20" t="str">
        <f>IFERROR(__xludf.DUMMYFUNCTION("""COMPUTED_VALUE"""),"Xbox / PC")</f>
        <v>Xbox / PC</v>
      </c>
      <c r="C368" s="21" t="str">
        <f>IFERROR(__xludf.DUMMYFUNCTION("""COMPUTED_VALUE"""),"Yes")</f>
        <v>Yes</v>
      </c>
      <c r="D368" s="21" t="str">
        <f>IFERROR(__xludf.DUMMYFUNCTION("""COMPUTED_VALUE"""),"Active")</f>
        <v>Active</v>
      </c>
      <c r="E368" s="23">
        <f>IFERROR(__xludf.DUMMYFUNCTION("""COMPUTED_VALUE"""),45931.0)</f>
        <v>45931</v>
      </c>
      <c r="F368" s="24"/>
      <c r="G368" s="27">
        <f>IFERROR(__xludf.DUMMYFUNCTION("""COMPUTED_VALUE"""),12.166666666666666)</f>
        <v>12.16666667</v>
      </c>
      <c r="H368" s="23">
        <f>IFERROR(__xludf.DUMMYFUNCTION("""COMPUTED_VALUE"""),41395.0)</f>
        <v>41395</v>
      </c>
      <c r="I368" s="27">
        <f>IFERROR(__xludf.DUMMYFUNCTION("""COMPUTED_VALUE"""),12.416666666666666)</f>
        <v>12.41666667</v>
      </c>
      <c r="J368" s="29">
        <f>IFERROR(__xludf.DUMMYFUNCTION("""COMPUTED_VALUE"""),80.0)</f>
        <v>80</v>
      </c>
      <c r="K368" s="29">
        <f>IFERROR(__xludf.DUMMYFUNCTION("""COMPUTED_VALUE"""),5.0)</f>
        <v>5</v>
      </c>
      <c r="L368" s="31" t="str">
        <f>IFERROR(__xludf.DUMMYFUNCTION("""COMPUTED_VALUE"""),"Action-Adventure")</f>
        <v>Action-Adventure</v>
      </c>
      <c r="M368" s="31"/>
    </row>
    <row r="369">
      <c r="A369" s="17" t="str">
        <f>IFERROR(__xludf.DUMMYFUNCTION("""COMPUTED_VALUE"""),"Tom Clancy's The Division")</f>
        <v>Tom Clancy's The Division</v>
      </c>
      <c r="B369" s="20" t="str">
        <f>IFERROR(__xludf.DUMMYFUNCTION("""COMPUTED_VALUE"""),"Xbox / PC")</f>
        <v>Xbox / PC</v>
      </c>
      <c r="C369" s="21" t="str">
        <f>IFERROR(__xludf.DUMMYFUNCTION("""COMPUTED_VALUE"""),"Yes")</f>
        <v>Yes</v>
      </c>
      <c r="D369" s="21" t="str">
        <f>IFERROR(__xludf.DUMMYFUNCTION("""COMPUTED_VALUE"""),"Active")</f>
        <v>Active</v>
      </c>
      <c r="E369" s="23">
        <f>IFERROR(__xludf.DUMMYFUNCTION("""COMPUTED_VALUE"""),45931.0)</f>
        <v>45931</v>
      </c>
      <c r="F369" s="24"/>
      <c r="G369" s="27">
        <f>IFERROR(__xludf.DUMMYFUNCTION("""COMPUTED_VALUE"""),12.166666666666666)</f>
        <v>12.16666667</v>
      </c>
      <c r="H369" s="23">
        <f>IFERROR(__xludf.DUMMYFUNCTION("""COMPUTED_VALUE"""),42437.0)</f>
        <v>42437</v>
      </c>
      <c r="I369" s="27">
        <f>IFERROR(__xludf.DUMMYFUNCTION("""COMPUTED_VALUE"""),9.563888888888888)</f>
        <v>9.563888889</v>
      </c>
      <c r="J369" s="29">
        <f>IFERROR(__xludf.DUMMYFUNCTION("""COMPUTED_VALUE"""),80.0)</f>
        <v>80</v>
      </c>
      <c r="K369" s="29">
        <f>IFERROR(__xludf.DUMMYFUNCTION("""COMPUTED_VALUE"""),24.0)</f>
        <v>24</v>
      </c>
      <c r="L369" s="31" t="str">
        <f>IFERROR(__xludf.DUMMYFUNCTION("""COMPUTED_VALUE"""),"Shooter")</f>
        <v>Shooter</v>
      </c>
      <c r="M369" s="31"/>
    </row>
    <row r="370">
      <c r="A370" s="17" t="str">
        <f>IFERROR(__xludf.DUMMYFUNCTION("""COMPUTED_VALUE"""),"Watch_Dogs")</f>
        <v>Watch_Dogs</v>
      </c>
      <c r="B370" s="20" t="str">
        <f>IFERROR(__xludf.DUMMYFUNCTION("""COMPUTED_VALUE"""),"Xbox / PC")</f>
        <v>Xbox / PC</v>
      </c>
      <c r="C370" s="21" t="str">
        <f>IFERROR(__xludf.DUMMYFUNCTION("""COMPUTED_VALUE"""),"Yes")</f>
        <v>Yes</v>
      </c>
      <c r="D370" s="21" t="str">
        <f>IFERROR(__xludf.DUMMYFUNCTION("""COMPUTED_VALUE"""),"Active")</f>
        <v>Active</v>
      </c>
      <c r="E370" s="23">
        <f>IFERROR(__xludf.DUMMYFUNCTION("""COMPUTED_VALUE"""),45931.0)</f>
        <v>45931</v>
      </c>
      <c r="F370" s="24"/>
      <c r="G370" s="27">
        <f>IFERROR(__xludf.DUMMYFUNCTION("""COMPUTED_VALUE"""),12.166666666666666)</f>
        <v>12.16666667</v>
      </c>
      <c r="H370" s="23">
        <f>IFERROR(__xludf.DUMMYFUNCTION("""COMPUTED_VALUE"""),41786.0)</f>
        <v>41786</v>
      </c>
      <c r="I370" s="27">
        <f>IFERROR(__xludf.DUMMYFUNCTION("""COMPUTED_VALUE"""),11.344444444444445)</f>
        <v>11.34444444</v>
      </c>
      <c r="J370" s="29">
        <f>IFERROR(__xludf.DUMMYFUNCTION("""COMPUTED_VALUE"""),80.0)</f>
        <v>80</v>
      </c>
      <c r="K370" s="29">
        <f>IFERROR(__xludf.DUMMYFUNCTION("""COMPUTED_VALUE"""),20.0)</f>
        <v>20</v>
      </c>
      <c r="L370" s="31" t="str">
        <f>IFERROR(__xludf.DUMMYFUNCTION("""COMPUTED_VALUE"""),"Action-Adventure")</f>
        <v>Action-Adventure</v>
      </c>
      <c r="M370" s="31"/>
    </row>
    <row r="371">
      <c r="A371" s="17" t="str">
        <f>IFERROR(__xludf.DUMMYFUNCTION("""COMPUTED_VALUE"""),"Wheel of Fortune")</f>
        <v>Wheel of Fortune</v>
      </c>
      <c r="B371" s="20" t="str">
        <f>IFERROR(__xludf.DUMMYFUNCTION("""COMPUTED_VALUE"""),"Xbox")</f>
        <v>Xbox</v>
      </c>
      <c r="C371" s="21" t="str">
        <f>IFERROR(__xludf.DUMMYFUNCTION("""COMPUTED_VALUE"""),"Yes")</f>
        <v>Yes</v>
      </c>
      <c r="D371" s="21" t="str">
        <f>IFERROR(__xludf.DUMMYFUNCTION("""COMPUTED_VALUE"""),"Active")</f>
        <v>Active</v>
      </c>
      <c r="E371" s="23">
        <f>IFERROR(__xludf.DUMMYFUNCTION("""COMPUTED_VALUE"""),45931.0)</f>
        <v>45931</v>
      </c>
      <c r="F371" s="24"/>
      <c r="G371" s="27">
        <f>IFERROR(__xludf.DUMMYFUNCTION("""COMPUTED_VALUE"""),12.166666666666666)</f>
        <v>12.16666667</v>
      </c>
      <c r="H371" s="23">
        <f>IFERROR(__xludf.DUMMYFUNCTION("""COMPUTED_VALUE"""),43046.0)</f>
        <v>43046</v>
      </c>
      <c r="I371" s="27">
        <f>IFERROR(__xludf.DUMMYFUNCTION("""COMPUTED_VALUE"""),7.9)</f>
        <v>7.9</v>
      </c>
      <c r="J371" s="29">
        <f>IFERROR(__xludf.DUMMYFUNCTION("""COMPUTED_VALUE"""),80.0)</f>
        <v>80</v>
      </c>
      <c r="K371" s="29">
        <f>IFERROR(__xludf.DUMMYFUNCTION("""COMPUTED_VALUE"""),2.0)</f>
        <v>2</v>
      </c>
      <c r="L371" s="31" t="str">
        <f>IFERROR(__xludf.DUMMYFUNCTION("""COMPUTED_VALUE"""),"Trivia")</f>
        <v>Trivia</v>
      </c>
      <c r="M371" s="31"/>
    </row>
    <row r="372">
      <c r="A372" s="17" t="str">
        <f>IFERROR(__xludf.DUMMYFUNCTION("""COMPUTED_VALUE"""),"Wobbly Life")</f>
        <v>Wobbly Life</v>
      </c>
      <c r="B372" s="20" t="str">
        <f>IFERROR(__xludf.DUMMYFUNCTION("""COMPUTED_VALUE"""),"Xbox / PC")</f>
        <v>Xbox / PC</v>
      </c>
      <c r="C372" s="21" t="str">
        <f>IFERROR(__xludf.DUMMYFUNCTION("""COMPUTED_VALUE"""),"Yes")</f>
        <v>Yes</v>
      </c>
      <c r="D372" s="21" t="str">
        <f>IFERROR(__xludf.DUMMYFUNCTION("""COMPUTED_VALUE"""),"Active")</f>
        <v>Active</v>
      </c>
      <c r="E372" s="23">
        <f>IFERROR(__xludf.DUMMYFUNCTION("""COMPUTED_VALUE"""),45918.0)</f>
        <v>45918</v>
      </c>
      <c r="F372" s="24"/>
      <c r="G372" s="27">
        <f>IFERROR(__xludf.DUMMYFUNCTION("""COMPUTED_VALUE"""),12.600000000000001)</f>
        <v>12.6</v>
      </c>
      <c r="H372" s="23">
        <f>IFERROR(__xludf.DUMMYFUNCTION("""COMPUTED_VALUE"""),45898.0)</f>
        <v>45898</v>
      </c>
      <c r="I372" s="27">
        <f>IFERROR(__xludf.DUMMYFUNCTION("""COMPUTED_VALUE"""),0.05277777777777778)</f>
        <v>0.05277777778</v>
      </c>
      <c r="J372" s="29">
        <f>IFERROR(__xludf.DUMMYFUNCTION("""COMPUTED_VALUE"""),80.0)</f>
        <v>80</v>
      </c>
      <c r="K372" s="29">
        <f>IFERROR(__xludf.DUMMYFUNCTION("""COMPUTED_VALUE"""),3.0)</f>
        <v>3</v>
      </c>
      <c r="L372" s="31" t="str">
        <f>IFERROR(__xludf.DUMMYFUNCTION("""COMPUTED_VALUE"""),"Action-Adventure")</f>
        <v>Action-Adventure</v>
      </c>
      <c r="M372" s="31" t="str">
        <f>IFERROR(__xludf.DUMMYFUNCTION("""COMPUTED_VALUE"""),"Exclusive")</f>
        <v>Exclusive</v>
      </c>
    </row>
    <row r="373">
      <c r="A373" s="17" t="str">
        <f>IFERROR(__xludf.DUMMYFUNCTION("""COMPUTED_VALUE"""),"Climber 5")</f>
        <v>Climber 5</v>
      </c>
      <c r="B373" s="20" t="str">
        <f>IFERROR(__xludf.DUMMYFUNCTION("""COMPUTED_VALUE"""),"Xbox / PC")</f>
        <v>Xbox / PC</v>
      </c>
      <c r="C373" s="21" t="str">
        <f>IFERROR(__xludf.DUMMYFUNCTION("""COMPUTED_VALUE"""),"Yes")</f>
        <v>Yes</v>
      </c>
      <c r="D373" s="21" t="str">
        <f>IFERROR(__xludf.DUMMYFUNCTION("""COMPUTED_VALUE"""),"Active")</f>
        <v>Active</v>
      </c>
      <c r="E373" s="23">
        <f>IFERROR(__xludf.DUMMYFUNCTION("""COMPUTED_VALUE"""),45883.0)</f>
        <v>45883</v>
      </c>
      <c r="F373" s="24"/>
      <c r="G373" s="27">
        <f>IFERROR(__xludf.DUMMYFUNCTION("""COMPUTED_VALUE"""),13.733333333333333)</f>
        <v>13.73333333</v>
      </c>
      <c r="H373" s="23">
        <f>IFERROR(__xludf.DUMMYFUNCTION("""COMPUTED_VALUE"""),31048.0)</f>
        <v>31048</v>
      </c>
      <c r="I373" s="27">
        <f>IFERROR(__xludf.DUMMYFUNCTION("""COMPUTED_VALUE"""),40.61944444444445)</f>
        <v>40.61944444</v>
      </c>
      <c r="J373" s="29">
        <f>IFERROR(__xludf.DUMMYFUNCTION("""COMPUTED_VALUE"""),80.0)</f>
        <v>80</v>
      </c>
      <c r="K373" s="29"/>
      <c r="L373" s="31" t="str">
        <f>IFERROR(__xludf.DUMMYFUNCTION("""COMPUTED_VALUE"""),"Action")</f>
        <v>Action</v>
      </c>
      <c r="M373" s="31"/>
    </row>
    <row r="374">
      <c r="A374" s="17" t="str">
        <f>IFERROR(__xludf.DUMMYFUNCTION("""COMPUTED_VALUE"""),"Kaboom!")</f>
        <v>Kaboom!</v>
      </c>
      <c r="B374" s="20" t="str">
        <f>IFERROR(__xludf.DUMMYFUNCTION("""COMPUTED_VALUE"""),"Xbox / PC")</f>
        <v>Xbox / PC</v>
      </c>
      <c r="C374" s="21" t="str">
        <f>IFERROR(__xludf.DUMMYFUNCTION("""COMPUTED_VALUE"""),"Yes")</f>
        <v>Yes</v>
      </c>
      <c r="D374" s="21" t="str">
        <f>IFERROR(__xludf.DUMMYFUNCTION("""COMPUTED_VALUE"""),"Active")</f>
        <v>Active</v>
      </c>
      <c r="E374" s="23">
        <f>IFERROR(__xludf.DUMMYFUNCTION("""COMPUTED_VALUE"""),45798.0)</f>
        <v>45798</v>
      </c>
      <c r="F374" s="24"/>
      <c r="G374" s="27">
        <f>IFERROR(__xludf.DUMMYFUNCTION("""COMPUTED_VALUE"""),16.5)</f>
        <v>16.5</v>
      </c>
      <c r="H374" s="23">
        <f>IFERROR(__xludf.DUMMYFUNCTION("""COMPUTED_VALUE"""),29768.0)</f>
        <v>29768</v>
      </c>
      <c r="I374" s="27">
        <f>IFERROR(__xludf.DUMMYFUNCTION("""COMPUTED_VALUE"""),43.888888888888886)</f>
        <v>43.88888889</v>
      </c>
      <c r="J374" s="29">
        <f>IFERROR(__xludf.DUMMYFUNCTION("""COMPUTED_VALUE"""),80.0)</f>
        <v>80</v>
      </c>
      <c r="K374" s="29"/>
      <c r="L374" s="31" t="str">
        <f>IFERROR(__xludf.DUMMYFUNCTION("""COMPUTED_VALUE"""),"Action‑Adventure")</f>
        <v>Action‑Adventure</v>
      </c>
      <c r="M374" s="31"/>
    </row>
    <row r="375">
      <c r="A375" s="17" t="str">
        <f>IFERROR(__xludf.DUMMYFUNCTION("""COMPUTED_VALUE"""),"DREDGE")</f>
        <v>DREDGE</v>
      </c>
      <c r="B375" s="20" t="str">
        <f>IFERROR(__xludf.DUMMYFUNCTION("""COMPUTED_VALUE"""),"Xbox / PC")</f>
        <v>Xbox / PC</v>
      </c>
      <c r="C375" s="21" t="str">
        <f>IFERROR(__xludf.DUMMYFUNCTION("""COMPUTED_VALUE"""),"Yes")</f>
        <v>Yes</v>
      </c>
      <c r="D375" s="21" t="str">
        <f>IFERROR(__xludf.DUMMYFUNCTION("""COMPUTED_VALUE"""),"Active")</f>
        <v>Active</v>
      </c>
      <c r="E375" s="23">
        <f>IFERROR(__xludf.DUMMYFUNCTION("""COMPUTED_VALUE"""),45783.0)</f>
        <v>45783</v>
      </c>
      <c r="F375" s="24"/>
      <c r="G375" s="27">
        <f>IFERROR(__xludf.DUMMYFUNCTION("""COMPUTED_VALUE"""),17.0)</f>
        <v>17</v>
      </c>
      <c r="H375" s="23">
        <f>IFERROR(__xludf.DUMMYFUNCTION("""COMPUTED_VALUE"""),45015.0)</f>
        <v>45015</v>
      </c>
      <c r="I375" s="27">
        <f>IFERROR(__xludf.DUMMYFUNCTION("""COMPUTED_VALUE"""),2.1)</f>
        <v>2.1</v>
      </c>
      <c r="J375" s="29">
        <f>IFERROR(__xludf.DUMMYFUNCTION("""COMPUTED_VALUE"""),80.0)</f>
        <v>80</v>
      </c>
      <c r="K375" s="29">
        <f>IFERROR(__xludf.DUMMYFUNCTION("""COMPUTED_VALUE"""),10.0)</f>
        <v>10</v>
      </c>
      <c r="L375" s="31" t="str">
        <f>IFERROR(__xludf.DUMMYFUNCTION("""COMPUTED_VALUE"""),"Action-Adventure")</f>
        <v>Action-Adventure</v>
      </c>
      <c r="M375" s="31" t="str">
        <f>IFERROR(__xludf.DUMMYFUNCTION("""COMPUTED_VALUE"""),"Exclusive")</f>
        <v>Exclusive</v>
      </c>
    </row>
    <row r="376">
      <c r="A376" s="17" t="str">
        <f>IFERROR(__xludf.DUMMYFUNCTION("""COMPUTED_VALUE"""),"Ninja Gaiden II: Black")</f>
        <v>Ninja Gaiden II: Black</v>
      </c>
      <c r="B376" s="20" t="str">
        <f>IFERROR(__xludf.DUMMYFUNCTION("""COMPUTED_VALUE"""),"Xbox / PC")</f>
        <v>Xbox / PC</v>
      </c>
      <c r="C376" s="21" t="str">
        <f>IFERROR(__xludf.DUMMYFUNCTION("""COMPUTED_VALUE"""),"Yes")</f>
        <v>Yes</v>
      </c>
      <c r="D376" s="21" t="str">
        <f>IFERROR(__xludf.DUMMYFUNCTION("""COMPUTED_VALUE"""),"Active")</f>
        <v>Active</v>
      </c>
      <c r="E376" s="23">
        <f>IFERROR(__xludf.DUMMYFUNCTION("""COMPUTED_VALUE"""),45680.0)</f>
        <v>45680</v>
      </c>
      <c r="F376" s="24"/>
      <c r="G376" s="27">
        <f>IFERROR(__xludf.DUMMYFUNCTION("""COMPUTED_VALUE"""),20.433333333333334)</f>
        <v>20.43333333</v>
      </c>
      <c r="H376" s="23">
        <f>IFERROR(__xludf.DUMMYFUNCTION("""COMPUTED_VALUE"""),45680.0)</f>
        <v>45680</v>
      </c>
      <c r="I376" s="27">
        <f>IFERROR(__xludf.DUMMYFUNCTION("""COMPUTED_VALUE"""),0.0)</f>
        <v>0</v>
      </c>
      <c r="J376" s="29">
        <f>IFERROR(__xludf.DUMMYFUNCTION("""COMPUTED_VALUE"""),80.0)</f>
        <v>80</v>
      </c>
      <c r="K376" s="29">
        <f>IFERROR(__xludf.DUMMYFUNCTION("""COMPUTED_VALUE"""),10.0)</f>
        <v>10</v>
      </c>
      <c r="L376" s="31" t="str">
        <f>IFERROR(__xludf.DUMMYFUNCTION("""COMPUTED_VALUE"""),"Action-Adventure")</f>
        <v>Action-Adventure</v>
      </c>
      <c r="M376" s="31"/>
    </row>
    <row r="377">
      <c r="A377" s="17" t="str">
        <f>IFERROR(__xludf.DUMMYFUNCTION("""COMPUTED_VALUE"""),"EA Sports WRC")</f>
        <v>EA Sports WRC</v>
      </c>
      <c r="B377" s="20" t="str">
        <f>IFERROR(__xludf.DUMMYFUNCTION("""COMPUTED_VALUE"""),"Xbox / PC")</f>
        <v>Xbox / PC</v>
      </c>
      <c r="C377" s="21" t="str">
        <f>IFERROR(__xludf.DUMMYFUNCTION("""COMPUTED_VALUE"""),"Yes")</f>
        <v>Yes</v>
      </c>
      <c r="D377" s="21" t="str">
        <f>IFERROR(__xludf.DUMMYFUNCTION("""COMPUTED_VALUE"""),"Active")</f>
        <v>Active</v>
      </c>
      <c r="E377" s="23">
        <f>IFERROR(__xludf.DUMMYFUNCTION("""COMPUTED_VALUE"""),45631.0)</f>
        <v>45631</v>
      </c>
      <c r="F377" s="24"/>
      <c r="G377" s="27">
        <f>IFERROR(__xludf.DUMMYFUNCTION("""COMPUTED_VALUE"""),22.03333333333333)</f>
        <v>22.03333333</v>
      </c>
      <c r="H377" s="23">
        <f>IFERROR(__xludf.DUMMYFUNCTION("""COMPUTED_VALUE"""),45233.0)</f>
        <v>45233</v>
      </c>
      <c r="I377" s="27">
        <f>IFERROR(__xludf.DUMMYFUNCTION("""COMPUTED_VALUE"""),1.0888888888888888)</f>
        <v>1.088888889</v>
      </c>
      <c r="J377" s="29">
        <f>IFERROR(__xludf.DUMMYFUNCTION("""COMPUTED_VALUE"""),80.0)</f>
        <v>80</v>
      </c>
      <c r="K377" s="29">
        <f>IFERROR(__xludf.DUMMYFUNCTION("""COMPUTED_VALUE"""),11.0)</f>
        <v>11</v>
      </c>
      <c r="L377" s="31" t="str">
        <f>IFERROR(__xludf.DUMMYFUNCTION("""COMPUTED_VALUE"""),"Racing")</f>
        <v>Racing</v>
      </c>
      <c r="M377" s="31" t="str">
        <f>IFERROR(__xludf.DUMMYFUNCTION("""COMPUTED_VALUE"""),"Exclusive")</f>
        <v>Exclusive</v>
      </c>
    </row>
    <row r="378">
      <c r="A378" s="17" t="str">
        <f>IFERROR(__xludf.DUMMYFUNCTION("""COMPUTED_VALUE"""),"Crash Bandicoot N. Sane Trilogy")</f>
        <v>Crash Bandicoot N. Sane Trilogy</v>
      </c>
      <c r="B378" s="20" t="str">
        <f>IFERROR(__xludf.DUMMYFUNCTION("""COMPUTED_VALUE"""),"Xbox / PC")</f>
        <v>Xbox / PC</v>
      </c>
      <c r="C378" s="21" t="str">
        <f>IFERROR(__xludf.DUMMYFUNCTION("""COMPUTED_VALUE"""),"Yes")</f>
        <v>Yes</v>
      </c>
      <c r="D378" s="21" t="str">
        <f>IFERROR(__xludf.DUMMYFUNCTION("""COMPUTED_VALUE"""),"Active")</f>
        <v>Active</v>
      </c>
      <c r="E378" s="23">
        <f>IFERROR(__xludf.DUMMYFUNCTION("""COMPUTED_VALUE"""),45512.0)</f>
        <v>45512</v>
      </c>
      <c r="F378" s="24"/>
      <c r="G378" s="27">
        <f>IFERROR(__xludf.DUMMYFUNCTION("""COMPUTED_VALUE"""),25.93333333333333)</f>
        <v>25.93333333</v>
      </c>
      <c r="H378" s="23">
        <f>IFERROR(__xludf.DUMMYFUNCTION("""COMPUTED_VALUE"""),42916.0)</f>
        <v>42916</v>
      </c>
      <c r="I378" s="27">
        <f>IFERROR(__xludf.DUMMYFUNCTION("""COMPUTED_VALUE"""),7.105555555555555)</f>
        <v>7.105555556</v>
      </c>
      <c r="J378" s="29">
        <f>IFERROR(__xludf.DUMMYFUNCTION("""COMPUTED_VALUE"""),80.0)</f>
        <v>80</v>
      </c>
      <c r="K378" s="29">
        <f>IFERROR(__xludf.DUMMYFUNCTION("""COMPUTED_VALUE"""),15.0)</f>
        <v>15</v>
      </c>
      <c r="L378" s="31" t="str">
        <f>IFERROR(__xludf.DUMMYFUNCTION("""COMPUTED_VALUE"""),"Platformer")</f>
        <v>Platformer</v>
      </c>
      <c r="M378" s="31"/>
    </row>
    <row r="379">
      <c r="A379" s="17" t="str">
        <f>IFERROR(__xludf.DUMMYFUNCTION("""COMPUTED_VALUE"""),"Moving Out 2")</f>
        <v>Moving Out 2</v>
      </c>
      <c r="B379" s="20" t="str">
        <f>IFERROR(__xludf.DUMMYFUNCTION("""COMPUTED_VALUE"""),"Xbox / PC")</f>
        <v>Xbox / PC</v>
      </c>
      <c r="C379" s="21" t="str">
        <f>IFERROR(__xludf.DUMMYFUNCTION("""COMPUTED_VALUE"""),"Yes")</f>
        <v>Yes</v>
      </c>
      <c r="D379" s="21" t="str">
        <f>IFERROR(__xludf.DUMMYFUNCTION("""COMPUTED_VALUE"""),"Active")</f>
        <v>Active</v>
      </c>
      <c r="E379" s="23">
        <f>IFERROR(__xludf.DUMMYFUNCTION("""COMPUTED_VALUE"""),45440.0)</f>
        <v>45440</v>
      </c>
      <c r="F379" s="24"/>
      <c r="G379" s="27">
        <f>IFERROR(__xludf.DUMMYFUNCTION("""COMPUTED_VALUE"""),28.266666666666666)</f>
        <v>28.26666667</v>
      </c>
      <c r="H379" s="23">
        <f>IFERROR(__xludf.DUMMYFUNCTION("""COMPUTED_VALUE"""),45153.0)</f>
        <v>45153</v>
      </c>
      <c r="I379" s="27">
        <f>IFERROR(__xludf.DUMMYFUNCTION("""COMPUTED_VALUE"""),0.7861111111111111)</f>
        <v>0.7861111111</v>
      </c>
      <c r="J379" s="29">
        <f>IFERROR(__xludf.DUMMYFUNCTION("""COMPUTED_VALUE"""),80.0)</f>
        <v>80</v>
      </c>
      <c r="K379" s="29">
        <f>IFERROR(__xludf.DUMMYFUNCTION("""COMPUTED_VALUE"""),10.0)</f>
        <v>10</v>
      </c>
      <c r="L379" s="31" t="str">
        <f>IFERROR(__xludf.DUMMYFUNCTION("""COMPUTED_VALUE"""),"Simulation")</f>
        <v>Simulation</v>
      </c>
      <c r="M379" s="31" t="str">
        <f>IFERROR(__xludf.DUMMYFUNCTION("""COMPUTED_VALUE"""),"Exclusive")</f>
        <v>Exclusive</v>
      </c>
    </row>
    <row r="380">
      <c r="A380" s="17" t="str">
        <f>IFERROR(__xludf.DUMMYFUNCTION("""COMPUTED_VALUE"""),"Hellblade II: Senua’s Saga")</f>
        <v>Hellblade II: Senua’s Saga</v>
      </c>
      <c r="B380" s="20" t="str">
        <f>IFERROR(__xludf.DUMMYFUNCTION("""COMPUTED_VALUE"""),"Xbox / PC")</f>
        <v>Xbox / PC</v>
      </c>
      <c r="C380" s="21" t="str">
        <f>IFERROR(__xludf.DUMMYFUNCTION("""COMPUTED_VALUE"""),"Yes")</f>
        <v>Yes</v>
      </c>
      <c r="D380" s="21" t="str">
        <f>IFERROR(__xludf.DUMMYFUNCTION("""COMPUTED_VALUE"""),"Active")</f>
        <v>Active</v>
      </c>
      <c r="E380" s="23">
        <f>IFERROR(__xludf.DUMMYFUNCTION("""COMPUTED_VALUE"""),45433.0)</f>
        <v>45433</v>
      </c>
      <c r="F380" s="24"/>
      <c r="G380" s="27">
        <f>IFERROR(__xludf.DUMMYFUNCTION("""COMPUTED_VALUE"""),28.5)</f>
        <v>28.5</v>
      </c>
      <c r="H380" s="23">
        <f>IFERROR(__xludf.DUMMYFUNCTION("""COMPUTED_VALUE"""),45433.0)</f>
        <v>45433</v>
      </c>
      <c r="I380" s="27">
        <f>IFERROR(__xludf.DUMMYFUNCTION("""COMPUTED_VALUE"""),0.0)</f>
        <v>0</v>
      </c>
      <c r="J380" s="29">
        <f>IFERROR(__xludf.DUMMYFUNCTION("""COMPUTED_VALUE"""),80.0)</f>
        <v>80</v>
      </c>
      <c r="K380" s="29">
        <f>IFERROR(__xludf.DUMMYFUNCTION("""COMPUTED_VALUE"""),7.0)</f>
        <v>7</v>
      </c>
      <c r="L380" s="31" t="str">
        <f>IFERROR(__xludf.DUMMYFUNCTION("""COMPUTED_VALUE"""),"Action-Adventure")</f>
        <v>Action-Adventure</v>
      </c>
      <c r="M380" s="31" t="str">
        <f>IFERROR(__xludf.DUMMYFUNCTION("""COMPUTED_VALUE"""),"Exclusive")</f>
        <v>Exclusive</v>
      </c>
    </row>
    <row r="381">
      <c r="A381" s="17" t="str">
        <f>IFERROR(__xludf.DUMMYFUNCTION("""COMPUTED_VALUE"""),"Assassin's Creed Valhalla")</f>
        <v>Assassin's Creed Valhalla</v>
      </c>
      <c r="B381" s="20" t="str">
        <f>IFERROR(__xludf.DUMMYFUNCTION("""COMPUTED_VALUE"""),"Xbox / PC")</f>
        <v>Xbox / PC</v>
      </c>
      <c r="C381" s="21" t="str">
        <f>IFERROR(__xludf.DUMMYFUNCTION("""COMPUTED_VALUE"""),"Yes")</f>
        <v>Yes</v>
      </c>
      <c r="D381" s="21" t="str">
        <f>IFERROR(__xludf.DUMMYFUNCTION("""COMPUTED_VALUE"""),"Active")</f>
        <v>Active</v>
      </c>
      <c r="E381" s="23">
        <f>IFERROR(__xludf.DUMMYFUNCTION("""COMPUTED_VALUE"""),45300.0)</f>
        <v>45300</v>
      </c>
      <c r="F381" s="24"/>
      <c r="G381" s="27">
        <f>IFERROR(__xludf.DUMMYFUNCTION("""COMPUTED_VALUE"""),32.9)</f>
        <v>32.9</v>
      </c>
      <c r="H381" s="23">
        <f>IFERROR(__xludf.DUMMYFUNCTION("""COMPUTED_VALUE"""),44145.0)</f>
        <v>44145</v>
      </c>
      <c r="I381" s="27">
        <f>IFERROR(__xludf.DUMMYFUNCTION("""COMPUTED_VALUE"""),3.1638888888888888)</f>
        <v>3.163888889</v>
      </c>
      <c r="J381" s="29">
        <f>IFERROR(__xludf.DUMMYFUNCTION("""COMPUTED_VALUE"""),80.0)</f>
        <v>80</v>
      </c>
      <c r="K381" s="29">
        <f>IFERROR(__xludf.DUMMYFUNCTION("""COMPUTED_VALUE"""),61.0)</f>
        <v>61</v>
      </c>
      <c r="L381" s="31" t="str">
        <f>IFERROR(__xludf.DUMMYFUNCTION("""COMPUTED_VALUE"""),"RPG")</f>
        <v>RPG</v>
      </c>
      <c r="M381" s="31"/>
    </row>
    <row r="382">
      <c r="A382" s="17" t="str">
        <f>IFERROR(__xludf.DUMMYFUNCTION("""COMPUTED_VALUE"""),"Wartales")</f>
        <v>Wartales</v>
      </c>
      <c r="B382" s="20" t="str">
        <f>IFERROR(__xludf.DUMMYFUNCTION("""COMPUTED_VALUE"""),"Xbox / PC")</f>
        <v>Xbox / PC</v>
      </c>
      <c r="C382" s="21" t="str">
        <f>IFERROR(__xludf.DUMMYFUNCTION("""COMPUTED_VALUE"""),"Yes")</f>
        <v>Yes</v>
      </c>
      <c r="D382" s="21" t="str">
        <f>IFERROR(__xludf.DUMMYFUNCTION("""COMPUTED_VALUE"""),"Active")</f>
        <v>Active</v>
      </c>
      <c r="E382" s="23">
        <f>IFERROR(__xludf.DUMMYFUNCTION("""COMPUTED_VALUE"""),45230.0)</f>
        <v>45230</v>
      </c>
      <c r="F382" s="24"/>
      <c r="G382" s="27">
        <f>IFERROR(__xludf.DUMMYFUNCTION("""COMPUTED_VALUE"""),35.199999999999996)</f>
        <v>35.2</v>
      </c>
      <c r="H382" s="23">
        <f>IFERROR(__xludf.DUMMYFUNCTION("""COMPUTED_VALUE"""),44531.0)</f>
        <v>44531</v>
      </c>
      <c r="I382" s="27">
        <f>IFERROR(__xludf.DUMMYFUNCTION("""COMPUTED_VALUE"""),1.913888888888889)</f>
        <v>1.913888889</v>
      </c>
      <c r="J382" s="29">
        <f>IFERROR(__xludf.DUMMYFUNCTION("""COMPUTED_VALUE"""),80.0)</f>
        <v>80</v>
      </c>
      <c r="K382" s="29">
        <f>IFERROR(__xludf.DUMMYFUNCTION("""COMPUTED_VALUE"""),38.0)</f>
        <v>38</v>
      </c>
      <c r="L382" s="31" t="str">
        <f>IFERROR(__xludf.DUMMYFUNCTION("""COMPUTED_VALUE"""),"RPG")</f>
        <v>RPG</v>
      </c>
      <c r="M382" s="31"/>
    </row>
    <row r="383">
      <c r="A383" s="17" t="str">
        <f>IFERROR(__xludf.DUMMYFUNCTION("""COMPUTED_VALUE"""),"LEGO Star Wars: The Skywalker Saga")</f>
        <v>LEGO Star Wars: The Skywalker Saga</v>
      </c>
      <c r="B383" s="20" t="str">
        <f>IFERROR(__xludf.DUMMYFUNCTION("""COMPUTED_VALUE"""),"Xbox / PC")</f>
        <v>Xbox / PC</v>
      </c>
      <c r="C383" s="21" t="str">
        <f>IFERROR(__xludf.DUMMYFUNCTION("""COMPUTED_VALUE"""),"Yes")</f>
        <v>Yes</v>
      </c>
      <c r="D383" s="21" t="str">
        <f>IFERROR(__xludf.DUMMYFUNCTION("""COMPUTED_VALUE"""),"Active")</f>
        <v>Active</v>
      </c>
      <c r="E383" s="23">
        <f>IFERROR(__xludf.DUMMYFUNCTION("""COMPUTED_VALUE"""),44901.0)</f>
        <v>44901</v>
      </c>
      <c r="F383" s="24"/>
      <c r="G383" s="27">
        <f>IFERROR(__xludf.DUMMYFUNCTION("""COMPUTED_VALUE"""),46.0)</f>
        <v>46</v>
      </c>
      <c r="H383" s="23">
        <f>IFERROR(__xludf.DUMMYFUNCTION("""COMPUTED_VALUE"""),44656.0)</f>
        <v>44656</v>
      </c>
      <c r="I383" s="27">
        <f>IFERROR(__xludf.DUMMYFUNCTION("""COMPUTED_VALUE"""),0.6694444444444444)</f>
        <v>0.6694444444</v>
      </c>
      <c r="J383" s="29">
        <f>IFERROR(__xludf.DUMMYFUNCTION("""COMPUTED_VALUE"""),80.0)</f>
        <v>80</v>
      </c>
      <c r="K383" s="29">
        <f>IFERROR(__xludf.DUMMYFUNCTION("""COMPUTED_VALUE"""),19.0)</f>
        <v>19</v>
      </c>
      <c r="L383" s="31" t="str">
        <f>IFERROR(__xludf.DUMMYFUNCTION("""COMPUTED_VALUE"""),"Shooter")</f>
        <v>Shooter</v>
      </c>
      <c r="M383" s="31"/>
    </row>
    <row r="384">
      <c r="A384" s="17" t="str">
        <f>IFERROR(__xludf.DUMMYFUNCTION("""COMPUTED_VALUE"""),"Far Cry 5")</f>
        <v>Far Cry 5</v>
      </c>
      <c r="B384" s="20" t="str">
        <f>IFERROR(__xludf.DUMMYFUNCTION("""COMPUTED_VALUE"""),"Xbox / PC")</f>
        <v>Xbox / PC</v>
      </c>
      <c r="C384" s="21" t="str">
        <f>IFERROR(__xludf.DUMMYFUNCTION("""COMPUTED_VALUE"""),"Yes")</f>
        <v>Yes</v>
      </c>
      <c r="D384" s="21" t="str">
        <f>IFERROR(__xludf.DUMMYFUNCTION("""COMPUTED_VALUE"""),"Active")</f>
        <v>Active</v>
      </c>
      <c r="E384" s="23">
        <f>IFERROR(__xludf.DUMMYFUNCTION("""COMPUTED_VALUE"""),44743.0)</f>
        <v>44743</v>
      </c>
      <c r="F384" s="24"/>
      <c r="G384" s="27">
        <f>IFERROR(__xludf.DUMMYFUNCTION("""COMPUTED_VALUE"""),51.16666666666667)</f>
        <v>51.16666667</v>
      </c>
      <c r="H384" s="23">
        <f>IFERROR(__xludf.DUMMYFUNCTION("""COMPUTED_VALUE"""),43186.0)</f>
        <v>43186</v>
      </c>
      <c r="I384" s="27">
        <f>IFERROR(__xludf.DUMMYFUNCTION("""COMPUTED_VALUE"""),4.261111111111111)</f>
        <v>4.261111111</v>
      </c>
      <c r="J384" s="29">
        <f>IFERROR(__xludf.DUMMYFUNCTION("""COMPUTED_VALUE"""),80.0)</f>
        <v>80</v>
      </c>
      <c r="K384" s="29">
        <f>IFERROR(__xludf.DUMMYFUNCTION("""COMPUTED_VALUE"""),18.0)</f>
        <v>18</v>
      </c>
      <c r="L384" s="31" t="str">
        <f>IFERROR(__xludf.DUMMYFUNCTION("""COMPUTED_VALUE"""),"Shooter")</f>
        <v>Shooter</v>
      </c>
      <c r="M384" s="31"/>
    </row>
    <row r="385">
      <c r="A385" s="17" t="str">
        <f>IFERROR(__xludf.DUMMYFUNCTION("""COMPUTED_VALUE"""),"Plants vs. Zombies: Garden Warfare 2 - Deluxe Edition")</f>
        <v>Plants vs. Zombies: Garden Warfare 2 - Deluxe Edition</v>
      </c>
      <c r="B385" s="20" t="str">
        <f>IFERROR(__xludf.DUMMYFUNCTION("""COMPUTED_VALUE"""),"Xbox / PC")</f>
        <v>Xbox / PC</v>
      </c>
      <c r="C385" s="21" t="str">
        <f>IFERROR(__xludf.DUMMYFUNCTION("""COMPUTED_VALUE"""),"Yes")</f>
        <v>Yes</v>
      </c>
      <c r="D385" s="21" t="str">
        <f>IFERROR(__xludf.DUMMYFUNCTION("""COMPUTED_VALUE"""),"Active")</f>
        <v>Active</v>
      </c>
      <c r="E385" s="23">
        <f>IFERROR(__xludf.DUMMYFUNCTION("""COMPUTED_VALUE"""),44145.0)</f>
        <v>44145</v>
      </c>
      <c r="F385" s="24"/>
      <c r="G385" s="27">
        <f>IFERROR(__xludf.DUMMYFUNCTION("""COMPUTED_VALUE"""),70.86666666666667)</f>
        <v>70.86666667</v>
      </c>
      <c r="H385" s="23">
        <f>IFERROR(__xludf.DUMMYFUNCTION("""COMPUTED_VALUE"""),42423.0)</f>
        <v>42423</v>
      </c>
      <c r="I385" s="27">
        <f>IFERROR(__xludf.DUMMYFUNCTION("""COMPUTED_VALUE"""),4.713888888888889)</f>
        <v>4.713888889</v>
      </c>
      <c r="J385" s="29">
        <f>IFERROR(__xludf.DUMMYFUNCTION("""COMPUTED_VALUE"""),80.0)</f>
        <v>80</v>
      </c>
      <c r="K385" s="29">
        <f>IFERROR(__xludf.DUMMYFUNCTION("""COMPUTED_VALUE"""),12.5)</f>
        <v>12.5</v>
      </c>
      <c r="L385" s="31" t="str">
        <f>IFERROR(__xludf.DUMMYFUNCTION("""COMPUTED_VALUE"""),"Action")</f>
        <v>Action</v>
      </c>
      <c r="M385" s="31" t="str">
        <f>IFERROR(__xludf.DUMMYFUNCTION("""COMPUTED_VALUE"""),"FPS Boost")</f>
        <v>FPS Boost</v>
      </c>
    </row>
    <row r="386">
      <c r="A386" s="17" t="str">
        <f>IFERROR(__xludf.DUMMYFUNCTION("""COMPUTED_VALUE"""),"Skate 3")</f>
        <v>Skate 3</v>
      </c>
      <c r="B386" s="20" t="str">
        <f>IFERROR(__xludf.DUMMYFUNCTION("""COMPUTED_VALUE"""),"Xbox")</f>
        <v>Xbox</v>
      </c>
      <c r="C386" s="21" t="str">
        <f>IFERROR(__xludf.DUMMYFUNCTION("""COMPUTED_VALUE"""),"Yes")</f>
        <v>Yes</v>
      </c>
      <c r="D386" s="21" t="str">
        <f>IFERROR(__xludf.DUMMYFUNCTION("""COMPUTED_VALUE"""),"Active")</f>
        <v>Active</v>
      </c>
      <c r="E386" s="23">
        <f>IFERROR(__xludf.DUMMYFUNCTION("""COMPUTED_VALUE"""),44145.0)</f>
        <v>44145</v>
      </c>
      <c r="F386" s="24"/>
      <c r="G386" s="27">
        <f>IFERROR(__xludf.DUMMYFUNCTION("""COMPUTED_VALUE"""),70.86666666666667)</f>
        <v>70.86666667</v>
      </c>
      <c r="H386" s="23">
        <f>IFERROR(__xludf.DUMMYFUNCTION("""COMPUTED_VALUE"""),40309.0)</f>
        <v>40309</v>
      </c>
      <c r="I386" s="27">
        <f>IFERROR(__xludf.DUMMYFUNCTION("""COMPUTED_VALUE"""),10.497222222222222)</f>
        <v>10.49722222</v>
      </c>
      <c r="J386" s="29">
        <f>IFERROR(__xludf.DUMMYFUNCTION("""COMPUTED_VALUE"""),80.0)</f>
        <v>80</v>
      </c>
      <c r="K386" s="29">
        <f>IFERROR(__xludf.DUMMYFUNCTION("""COMPUTED_VALUE"""),9.0)</f>
        <v>9</v>
      </c>
      <c r="L386" s="31" t="str">
        <f>IFERROR(__xludf.DUMMYFUNCTION("""COMPUTED_VALUE"""),"Skateboarding")</f>
        <v>Skateboarding</v>
      </c>
      <c r="M386" s="31"/>
    </row>
    <row r="387">
      <c r="A387" s="17" t="str">
        <f>IFERROR(__xludf.DUMMYFUNCTION("""COMPUTED_VALUE"""),"Grim Fandango Remastered")</f>
        <v>Grim Fandango Remastered</v>
      </c>
      <c r="B387" s="20" t="str">
        <f>IFERROR(__xludf.DUMMYFUNCTION("""COMPUTED_VALUE"""),"Xbox / PC")</f>
        <v>Xbox / PC</v>
      </c>
      <c r="C387" s="21"/>
      <c r="D387" s="21" t="str">
        <f>IFERROR(__xludf.DUMMYFUNCTION("""COMPUTED_VALUE"""),"Active")</f>
        <v>Active</v>
      </c>
      <c r="E387" s="23">
        <f>IFERROR(__xludf.DUMMYFUNCTION("""COMPUTED_VALUE"""),44133.0)</f>
        <v>44133</v>
      </c>
      <c r="F387" s="24"/>
      <c r="G387" s="27">
        <f>IFERROR(__xludf.DUMMYFUNCTION("""COMPUTED_VALUE"""),71.23333333333333)</f>
        <v>71.23333333</v>
      </c>
      <c r="H387" s="23">
        <f>IFERROR(__xludf.DUMMYFUNCTION("""COMPUTED_VALUE"""),42031.0)</f>
        <v>42031</v>
      </c>
      <c r="I387" s="27">
        <f>IFERROR(__xludf.DUMMYFUNCTION("""COMPUTED_VALUE"""),5.7555555555555555)</f>
        <v>5.755555556</v>
      </c>
      <c r="J387" s="29">
        <f>IFERROR(__xludf.DUMMYFUNCTION("""COMPUTED_VALUE"""),80.0)</f>
        <v>80</v>
      </c>
      <c r="K387" s="29">
        <f>IFERROR(__xludf.DUMMYFUNCTION("""COMPUTED_VALUE"""),11.0)</f>
        <v>11</v>
      </c>
      <c r="L387" s="31" t="str">
        <f>IFERROR(__xludf.DUMMYFUNCTION("""COMPUTED_VALUE"""),"Adventure")</f>
        <v>Adventure</v>
      </c>
      <c r="M387" s="31"/>
    </row>
    <row r="388">
      <c r="A388" s="17" t="str">
        <f>IFERROR(__xludf.DUMMYFUNCTION("""COMPUTED_VALUE"""),"Tell Me Why")</f>
        <v>Tell Me Why</v>
      </c>
      <c r="B388" s="20" t="str">
        <f>IFERROR(__xludf.DUMMYFUNCTION("""COMPUTED_VALUE"""),"Xbox / PC")</f>
        <v>Xbox / PC</v>
      </c>
      <c r="C388" s="21" t="str">
        <f>IFERROR(__xludf.DUMMYFUNCTION("""COMPUTED_VALUE"""),"Touch Controls")</f>
        <v>Touch Controls</v>
      </c>
      <c r="D388" s="21" t="str">
        <f>IFERROR(__xludf.DUMMYFUNCTION("""COMPUTED_VALUE"""),"Active")</f>
        <v>Active</v>
      </c>
      <c r="E388" s="23">
        <f>IFERROR(__xludf.DUMMYFUNCTION("""COMPUTED_VALUE"""),44070.0)</f>
        <v>44070</v>
      </c>
      <c r="F388" s="24"/>
      <c r="G388" s="27">
        <f>IFERROR(__xludf.DUMMYFUNCTION("""COMPUTED_VALUE"""),73.3)</f>
        <v>73.3</v>
      </c>
      <c r="H388" s="23">
        <f>IFERROR(__xludf.DUMMYFUNCTION("""COMPUTED_VALUE"""),44070.0)</f>
        <v>44070</v>
      </c>
      <c r="I388" s="27">
        <f>IFERROR(__xludf.DUMMYFUNCTION("""COMPUTED_VALUE"""),0.0)</f>
        <v>0</v>
      </c>
      <c r="J388" s="29">
        <f>IFERROR(__xludf.DUMMYFUNCTION("""COMPUTED_VALUE"""),80.0)</f>
        <v>80</v>
      </c>
      <c r="K388" s="29">
        <f>IFERROR(__xludf.DUMMYFUNCTION("""COMPUTED_VALUE"""),9.0)</f>
        <v>9</v>
      </c>
      <c r="L388" s="31" t="str">
        <f>IFERROR(__xludf.DUMMYFUNCTION("""COMPUTED_VALUE"""),"Adventure")</f>
        <v>Adventure</v>
      </c>
      <c r="M388" s="31"/>
    </row>
    <row r="389">
      <c r="A389" s="17" t="str">
        <f>IFERROR(__xludf.DUMMYFUNCTION("""COMPUTED_VALUE"""),"Wolfenstein: The New Order")</f>
        <v>Wolfenstein: The New Order</v>
      </c>
      <c r="B389" s="20" t="str">
        <f>IFERROR(__xludf.DUMMYFUNCTION("""COMPUTED_VALUE"""),"Xbox / PC")</f>
        <v>Xbox / PC</v>
      </c>
      <c r="C389" s="21" t="str">
        <f>IFERROR(__xludf.DUMMYFUNCTION("""COMPUTED_VALUE"""),"Yes")</f>
        <v>Yes</v>
      </c>
      <c r="D389" s="21" t="str">
        <f>IFERROR(__xludf.DUMMYFUNCTION("""COMPUTED_VALUE"""),"Active")</f>
        <v>Active</v>
      </c>
      <c r="E389" s="23">
        <f>IFERROR(__xludf.DUMMYFUNCTION("""COMPUTED_VALUE"""),43374.0)</f>
        <v>43374</v>
      </c>
      <c r="F389" s="24"/>
      <c r="G389" s="27">
        <f>IFERROR(__xludf.DUMMYFUNCTION("""COMPUTED_VALUE"""),96.16666666666667)</f>
        <v>96.16666667</v>
      </c>
      <c r="H389" s="23">
        <f>IFERROR(__xludf.DUMMYFUNCTION("""COMPUTED_VALUE"""),41779.0)</f>
        <v>41779</v>
      </c>
      <c r="I389" s="27">
        <f>IFERROR(__xludf.DUMMYFUNCTION("""COMPUTED_VALUE"""),4.363888888888889)</f>
        <v>4.363888889</v>
      </c>
      <c r="J389" s="29">
        <f>IFERROR(__xludf.DUMMYFUNCTION("""COMPUTED_VALUE"""),80.0)</f>
        <v>80</v>
      </c>
      <c r="K389" s="29">
        <f>IFERROR(__xludf.DUMMYFUNCTION("""COMPUTED_VALUE"""),11.5)</f>
        <v>11.5</v>
      </c>
      <c r="L389" s="31" t="str">
        <f>IFERROR(__xludf.DUMMYFUNCTION("""COMPUTED_VALUE"""),"Shooter")</f>
        <v>Shooter</v>
      </c>
      <c r="M389" s="31"/>
    </row>
    <row r="390">
      <c r="A390" s="17" t="str">
        <f>IFERROR(__xludf.DUMMYFUNCTION("""COMPUTED_VALUE"""),"Fable III")</f>
        <v>Fable III</v>
      </c>
      <c r="B390" s="20" t="str">
        <f>IFERROR(__xludf.DUMMYFUNCTION("""COMPUTED_VALUE"""),"Xbox")</f>
        <v>Xbox</v>
      </c>
      <c r="C390" s="21" t="str">
        <f>IFERROR(__xludf.DUMMYFUNCTION("""COMPUTED_VALUE"""),"Touch Controls")</f>
        <v>Touch Controls</v>
      </c>
      <c r="D390" s="21" t="str">
        <f>IFERROR(__xludf.DUMMYFUNCTION("""COMPUTED_VALUE"""),"Active")</f>
        <v>Active</v>
      </c>
      <c r="E390" s="23">
        <f>IFERROR(__xludf.DUMMYFUNCTION("""COMPUTED_VALUE"""),42887.0)</f>
        <v>42887</v>
      </c>
      <c r="F390" s="24"/>
      <c r="G390" s="27">
        <f>IFERROR(__xludf.DUMMYFUNCTION("""COMPUTED_VALUE"""),112.16666666666666)</f>
        <v>112.1666667</v>
      </c>
      <c r="H390" s="23">
        <f>IFERROR(__xludf.DUMMYFUNCTION("""COMPUTED_VALUE"""),40477.0)</f>
        <v>40477</v>
      </c>
      <c r="I390" s="27">
        <f>IFERROR(__xludf.DUMMYFUNCTION("""COMPUTED_VALUE"""),6.597222222222222)</f>
        <v>6.597222222</v>
      </c>
      <c r="J390" s="29">
        <f>IFERROR(__xludf.DUMMYFUNCTION("""COMPUTED_VALUE"""),80.0)</f>
        <v>80</v>
      </c>
      <c r="K390" s="29">
        <f>IFERROR(__xludf.DUMMYFUNCTION("""COMPUTED_VALUE"""),12.5)</f>
        <v>12.5</v>
      </c>
      <c r="L390" s="31" t="str">
        <f>IFERROR(__xludf.DUMMYFUNCTION("""COMPUTED_VALUE"""),"Adventure")</f>
        <v>Adventure</v>
      </c>
      <c r="M390" s="31" t="str">
        <f>IFERROR(__xludf.DUMMYFUNCTION("""COMPUTED_VALUE"""),"FPS Boost")</f>
        <v>FPS Boost</v>
      </c>
    </row>
    <row r="391">
      <c r="A391" s="17" t="str">
        <f>IFERROR(__xludf.DUMMYFUNCTION("""COMPUTED_VALUE"""),"Samurai Shodown II")</f>
        <v>Samurai Shodown II</v>
      </c>
      <c r="B391" s="20" t="str">
        <f>IFERROR(__xludf.DUMMYFUNCTION("""COMPUTED_VALUE"""),"XB360/OG Xbox")</f>
        <v>XB360/OG Xbox</v>
      </c>
      <c r="C391" s="21"/>
      <c r="D391" s="21" t="str">
        <f>IFERROR(__xludf.DUMMYFUNCTION("""COMPUTED_VALUE"""),"GwG Permanent")</f>
        <v>GwG Permanent</v>
      </c>
      <c r="E391" s="23">
        <f>IFERROR(__xludf.DUMMYFUNCTION("""COMPUTED_VALUE"""),44455.0)</f>
        <v>44455</v>
      </c>
      <c r="F391" s="24">
        <f>IFERROR(__xludf.DUMMYFUNCTION("""COMPUTED_VALUE"""),44469.0)</f>
        <v>44469</v>
      </c>
      <c r="G391" s="27">
        <f>IFERROR(__xludf.DUMMYFUNCTION("""COMPUTED_VALUE"""),0.4666666666666667)</f>
        <v>0.4666666667</v>
      </c>
      <c r="H391" s="23">
        <f>IFERROR(__xludf.DUMMYFUNCTION("""COMPUTED_VALUE"""),34864.0)</f>
        <v>34864</v>
      </c>
      <c r="I391" s="27">
        <f>IFERROR(__xludf.DUMMYFUNCTION("""COMPUTED_VALUE"""),26.255555555555556)</f>
        <v>26.25555556</v>
      </c>
      <c r="J391" s="29">
        <f>IFERROR(__xludf.DUMMYFUNCTION("""COMPUTED_VALUE"""),80.0)</f>
        <v>80</v>
      </c>
      <c r="K391" s="29">
        <f>IFERROR(__xludf.DUMMYFUNCTION("""COMPUTED_VALUE"""),1.0)</f>
        <v>1</v>
      </c>
      <c r="L391" s="31" t="str">
        <f>IFERROR(__xludf.DUMMYFUNCTION("""COMPUTED_VALUE"""),"Fighting")</f>
        <v>Fighting</v>
      </c>
      <c r="M391" s="31"/>
    </row>
    <row r="392">
      <c r="A392" s="17" t="str">
        <f>IFERROR(__xludf.DUMMYFUNCTION("""COMPUTED_VALUE"""),"Tropico 4")</f>
        <v>Tropico 4</v>
      </c>
      <c r="B392" s="20" t="str">
        <f>IFERROR(__xludf.DUMMYFUNCTION("""COMPUTED_VALUE"""),"XB360/OG Xbox")</f>
        <v>XB360/OG Xbox</v>
      </c>
      <c r="C392" s="21"/>
      <c r="D392" s="21" t="str">
        <f>IFERROR(__xludf.DUMMYFUNCTION("""COMPUTED_VALUE"""),"GwG Permanent")</f>
        <v>GwG Permanent</v>
      </c>
      <c r="E392" s="23">
        <f>IFERROR(__xludf.DUMMYFUNCTION("""COMPUTED_VALUE"""),44332.0)</f>
        <v>44332</v>
      </c>
      <c r="F392" s="24">
        <f>IFERROR(__xludf.DUMMYFUNCTION("""COMPUTED_VALUE"""),44347.0)</f>
        <v>44347</v>
      </c>
      <c r="G392" s="27">
        <f>IFERROR(__xludf.DUMMYFUNCTION("""COMPUTED_VALUE"""),0.4666666666666667)</f>
        <v>0.4666666667</v>
      </c>
      <c r="H392" s="23">
        <f>IFERROR(__xludf.DUMMYFUNCTION("""COMPUTED_VALUE"""),40777.0)</f>
        <v>40777</v>
      </c>
      <c r="I392" s="27">
        <f>IFERROR(__xludf.DUMMYFUNCTION("""COMPUTED_VALUE"""),9.733333333333333)</f>
        <v>9.733333333</v>
      </c>
      <c r="J392" s="29">
        <f>IFERROR(__xludf.DUMMYFUNCTION("""COMPUTED_VALUE"""),80.0)</f>
        <v>80</v>
      </c>
      <c r="K392" s="29">
        <f>IFERROR(__xludf.DUMMYFUNCTION("""COMPUTED_VALUE"""),20.0)</f>
        <v>20</v>
      </c>
      <c r="L392" s="31" t="str">
        <f>IFERROR(__xludf.DUMMYFUNCTION("""COMPUTED_VALUE"""),"Strategy")</f>
        <v>Strategy</v>
      </c>
      <c r="M392" s="31"/>
    </row>
    <row r="393">
      <c r="A393" s="17" t="str">
        <f>IFERROR(__xludf.DUMMYFUNCTION("""COMPUTED_VALUE"""),"Metal Slug 3")</f>
        <v>Metal Slug 3</v>
      </c>
      <c r="B393" s="20" t="str">
        <f>IFERROR(__xludf.DUMMYFUNCTION("""COMPUTED_VALUE"""),"XB360/OG Xbox")</f>
        <v>XB360/OG Xbox</v>
      </c>
      <c r="C393" s="21"/>
      <c r="D393" s="21" t="str">
        <f>IFERROR(__xludf.DUMMYFUNCTION("""COMPUTED_VALUE"""),"GwG Permanent")</f>
        <v>GwG Permanent</v>
      </c>
      <c r="E393" s="23">
        <f>IFERROR(__xludf.DUMMYFUNCTION("""COMPUTED_VALUE"""),44256.0)</f>
        <v>44256</v>
      </c>
      <c r="F393" s="24">
        <f>IFERROR(__xludf.DUMMYFUNCTION("""COMPUTED_VALUE"""),44270.0)</f>
        <v>44270</v>
      </c>
      <c r="G393" s="27">
        <f>IFERROR(__xludf.DUMMYFUNCTION("""COMPUTED_VALUE"""),0.4666666666666667)</f>
        <v>0.4666666667</v>
      </c>
      <c r="H393" s="23">
        <f>IFERROR(__xludf.DUMMYFUNCTION("""COMPUTED_VALUE"""),38041.0)</f>
        <v>38041</v>
      </c>
      <c r="I393" s="27">
        <f>IFERROR(__xludf.DUMMYFUNCTION("""COMPUTED_VALUE"""),17.019444444444446)</f>
        <v>17.01944444</v>
      </c>
      <c r="J393" s="29">
        <f>IFERROR(__xludf.DUMMYFUNCTION("""COMPUTED_VALUE"""),80.0)</f>
        <v>80</v>
      </c>
      <c r="K393" s="29">
        <f>IFERROR(__xludf.DUMMYFUNCTION("""COMPUTED_VALUE"""),0.5)</f>
        <v>0.5</v>
      </c>
      <c r="L393" s="31" t="str">
        <f>IFERROR(__xludf.DUMMYFUNCTION("""COMPUTED_VALUE"""),"Shooter")</f>
        <v>Shooter</v>
      </c>
      <c r="M393" s="31"/>
    </row>
    <row r="394">
      <c r="A394" s="17" t="str">
        <f>IFERROR(__xludf.DUMMYFUNCTION("""COMPUTED_VALUE"""),"Stacking")</f>
        <v>Stacking</v>
      </c>
      <c r="B394" s="20" t="str">
        <f>IFERROR(__xludf.DUMMYFUNCTION("""COMPUTED_VALUE"""),"XB360/OG Xbox")</f>
        <v>XB360/OG Xbox</v>
      </c>
      <c r="C394" s="21"/>
      <c r="D394" s="21" t="str">
        <f>IFERROR(__xludf.DUMMYFUNCTION("""COMPUTED_VALUE"""),"GwG Permanent")</f>
        <v>GwG Permanent</v>
      </c>
      <c r="E394" s="23">
        <f>IFERROR(__xludf.DUMMYFUNCTION("""COMPUTED_VALUE"""),44181.0)</f>
        <v>44181</v>
      </c>
      <c r="F394" s="24">
        <f>IFERROR(__xludf.DUMMYFUNCTION("""COMPUTED_VALUE"""),44196.0)</f>
        <v>44196</v>
      </c>
      <c r="G394" s="27">
        <f>IFERROR(__xludf.DUMMYFUNCTION("""COMPUTED_VALUE"""),0.4666666666666667)</f>
        <v>0.4666666667</v>
      </c>
      <c r="H394" s="23">
        <f>IFERROR(__xludf.DUMMYFUNCTION("""COMPUTED_VALUE"""),40582.0)</f>
        <v>40582</v>
      </c>
      <c r="I394" s="27">
        <f>IFERROR(__xludf.DUMMYFUNCTION("""COMPUTED_VALUE"""),9.855555555555556)</f>
        <v>9.855555556</v>
      </c>
      <c r="J394" s="29">
        <f>IFERROR(__xludf.DUMMYFUNCTION("""COMPUTED_VALUE"""),80.0)</f>
        <v>80</v>
      </c>
      <c r="K394" s="29">
        <f>IFERROR(__xludf.DUMMYFUNCTION("""COMPUTED_VALUE"""),4.0)</f>
        <v>4</v>
      </c>
      <c r="L394" s="31" t="str">
        <f>IFERROR(__xludf.DUMMYFUNCTION("""COMPUTED_VALUE"""),"Puzzle")</f>
        <v>Puzzle</v>
      </c>
      <c r="M394" s="31"/>
    </row>
    <row r="395">
      <c r="A395" s="17" t="str">
        <f>IFERROR(__xludf.DUMMYFUNCTION("""COMPUTED_VALUE"""),"Costume Quest")</f>
        <v>Costume Quest</v>
      </c>
      <c r="B395" s="20" t="str">
        <f>IFERROR(__xludf.DUMMYFUNCTION("""COMPUTED_VALUE"""),"XB360/OG Xbox")</f>
        <v>XB360/OG Xbox</v>
      </c>
      <c r="C395" s="21"/>
      <c r="D395" s="21" t="str">
        <f>IFERROR(__xludf.DUMMYFUNCTION("""COMPUTED_VALUE"""),"GwG Permanent")</f>
        <v>GwG Permanent</v>
      </c>
      <c r="E395" s="23">
        <f>IFERROR(__xludf.DUMMYFUNCTION("""COMPUTED_VALUE"""),44120.0)</f>
        <v>44120</v>
      </c>
      <c r="F395" s="24">
        <f>IFERROR(__xludf.DUMMYFUNCTION("""COMPUTED_VALUE"""),44135.0)</f>
        <v>44135</v>
      </c>
      <c r="G395" s="27">
        <f>IFERROR(__xludf.DUMMYFUNCTION("""COMPUTED_VALUE"""),0.4666666666666667)</f>
        <v>0.4666666667</v>
      </c>
      <c r="H395" s="23">
        <f>IFERROR(__xludf.DUMMYFUNCTION("""COMPUTED_VALUE"""),40470.0)</f>
        <v>40470</v>
      </c>
      <c r="I395" s="27">
        <f>IFERROR(__xludf.DUMMYFUNCTION("""COMPUTED_VALUE"""),9.991666666666667)</f>
        <v>9.991666667</v>
      </c>
      <c r="J395" s="29">
        <f>IFERROR(__xludf.DUMMYFUNCTION("""COMPUTED_VALUE"""),80.0)</f>
        <v>80</v>
      </c>
      <c r="K395" s="29">
        <f>IFERROR(__xludf.DUMMYFUNCTION("""COMPUTED_VALUE"""),6.0)</f>
        <v>6</v>
      </c>
      <c r="L395" s="31" t="str">
        <f>IFERROR(__xludf.DUMMYFUNCTION("""COMPUTED_VALUE"""),"RPG")</f>
        <v>RPG</v>
      </c>
      <c r="M395" s="31"/>
    </row>
    <row r="396">
      <c r="A396" s="17" t="str">
        <f>IFERROR(__xludf.DUMMYFUNCTION("""COMPUTED_VALUE"""),"Earth Defense Force 2017")</f>
        <v>Earth Defense Force 2017</v>
      </c>
      <c r="B396" s="20" t="str">
        <f>IFERROR(__xludf.DUMMYFUNCTION("""COMPUTED_VALUE"""),"XB360/OG Xbox")</f>
        <v>XB360/OG Xbox</v>
      </c>
      <c r="C396" s="21"/>
      <c r="D396" s="21" t="str">
        <f>IFERROR(__xludf.DUMMYFUNCTION("""COMPUTED_VALUE"""),"GwG Permanent")</f>
        <v>GwG Permanent</v>
      </c>
      <c r="E396" s="23">
        <f>IFERROR(__xludf.DUMMYFUNCTION("""COMPUTED_VALUE"""),43632.0)</f>
        <v>43632</v>
      </c>
      <c r="F396" s="24">
        <f>IFERROR(__xludf.DUMMYFUNCTION("""COMPUTED_VALUE"""),43646.0)</f>
        <v>43646</v>
      </c>
      <c r="G396" s="27">
        <f>IFERROR(__xludf.DUMMYFUNCTION("""COMPUTED_VALUE"""),0.4666666666666667)</f>
        <v>0.4666666667</v>
      </c>
      <c r="H396" s="23">
        <f>IFERROR(__xludf.DUMMYFUNCTION("""COMPUTED_VALUE"""),41023.0)</f>
        <v>41023</v>
      </c>
      <c r="I396" s="27">
        <f>IFERROR(__xludf.DUMMYFUNCTION("""COMPUTED_VALUE"""),7.144444444444445)</f>
        <v>7.144444444</v>
      </c>
      <c r="J396" s="29">
        <f>IFERROR(__xludf.DUMMYFUNCTION("""COMPUTED_VALUE"""),80.0)</f>
        <v>80</v>
      </c>
      <c r="K396" s="29">
        <f>IFERROR(__xludf.DUMMYFUNCTION("""COMPUTED_VALUE"""),8.0)</f>
        <v>8</v>
      </c>
      <c r="L396" s="31" t="str">
        <f>IFERROR(__xludf.DUMMYFUNCTION("""COMPUTED_VALUE"""),"Shooter")</f>
        <v>Shooter</v>
      </c>
      <c r="M396" s="31"/>
    </row>
    <row r="397">
      <c r="A397" s="17" t="str">
        <f>IFERROR(__xludf.DUMMYFUNCTION("""COMPUTED_VALUE"""),"Dante's Inferno")</f>
        <v>Dante's Inferno</v>
      </c>
      <c r="B397" s="20" t="str">
        <f>IFERROR(__xludf.DUMMYFUNCTION("""COMPUTED_VALUE"""),"XB360/OG Xbox")</f>
        <v>XB360/OG Xbox</v>
      </c>
      <c r="C397" s="21"/>
      <c r="D397" s="21" t="str">
        <f>IFERROR(__xludf.DUMMYFUNCTION("""COMPUTED_VALUE"""),"GwG Permanent")</f>
        <v>GwG Permanent</v>
      </c>
      <c r="E397" s="23">
        <f>IFERROR(__xludf.DUMMYFUNCTION("""COMPUTED_VALUE"""),43420.0)</f>
        <v>43420</v>
      </c>
      <c r="F397" s="24">
        <f>IFERROR(__xludf.DUMMYFUNCTION("""COMPUTED_VALUE"""),43434.0)</f>
        <v>43434</v>
      </c>
      <c r="G397" s="27">
        <f>IFERROR(__xludf.DUMMYFUNCTION("""COMPUTED_VALUE"""),0.4666666666666667)</f>
        <v>0.4666666667</v>
      </c>
      <c r="H397" s="23">
        <f>IFERROR(__xludf.DUMMYFUNCTION("""COMPUTED_VALUE"""),40218.0)</f>
        <v>40218</v>
      </c>
      <c r="I397" s="27">
        <f>IFERROR(__xludf.DUMMYFUNCTION("""COMPUTED_VALUE"""),8.769444444444444)</f>
        <v>8.769444444</v>
      </c>
      <c r="J397" s="29">
        <f>IFERROR(__xludf.DUMMYFUNCTION("""COMPUTED_VALUE"""),80.0)</f>
        <v>80</v>
      </c>
      <c r="K397" s="29">
        <f>IFERROR(__xludf.DUMMYFUNCTION("""COMPUTED_VALUE"""),9.0)</f>
        <v>9</v>
      </c>
      <c r="L397" s="31" t="str">
        <f>IFERROR(__xludf.DUMMYFUNCTION("""COMPUTED_VALUE"""),"Action")</f>
        <v>Action</v>
      </c>
      <c r="M397" s="31"/>
    </row>
    <row r="398">
      <c r="A398" s="17" t="str">
        <f>IFERROR(__xludf.DUMMYFUNCTION("""COMPUTED_VALUE"""),"LEGO Star Wars III: The Clone Wars")</f>
        <v>LEGO Star Wars III: The Clone Wars</v>
      </c>
      <c r="B398" s="20" t="str">
        <f>IFERROR(__xludf.DUMMYFUNCTION("""COMPUTED_VALUE"""),"XB360/OG Xbox")</f>
        <v>XB360/OG Xbox</v>
      </c>
      <c r="C398" s="21"/>
      <c r="D398" s="21" t="str">
        <f>IFERROR(__xludf.DUMMYFUNCTION("""COMPUTED_VALUE"""),"GwG Permanent")</f>
        <v>GwG Permanent</v>
      </c>
      <c r="E398" s="23">
        <f>IFERROR(__xludf.DUMMYFUNCTION("""COMPUTED_VALUE"""),43344.0)</f>
        <v>43344</v>
      </c>
      <c r="F398" s="24">
        <f>IFERROR(__xludf.DUMMYFUNCTION("""COMPUTED_VALUE"""),43358.0)</f>
        <v>43358</v>
      </c>
      <c r="G398" s="27">
        <f>IFERROR(__xludf.DUMMYFUNCTION("""COMPUTED_VALUE"""),0.4666666666666667)</f>
        <v>0.4666666667</v>
      </c>
      <c r="H398" s="23">
        <f>IFERROR(__xludf.DUMMYFUNCTION("""COMPUTED_VALUE"""),40782.0)</f>
        <v>40782</v>
      </c>
      <c r="I398" s="27">
        <f>IFERROR(__xludf.DUMMYFUNCTION("""COMPUTED_VALUE"""),7.011111111111111)</f>
        <v>7.011111111</v>
      </c>
      <c r="J398" s="29">
        <f>IFERROR(__xludf.DUMMYFUNCTION("""COMPUTED_VALUE"""),80.0)</f>
        <v>80</v>
      </c>
      <c r="K398" s="29">
        <f>IFERROR(__xludf.DUMMYFUNCTION("""COMPUTED_VALUE"""),7.0)</f>
        <v>7</v>
      </c>
      <c r="L398" s="31" t="str">
        <f>IFERROR(__xludf.DUMMYFUNCTION("""COMPUTED_VALUE"""),"Action-Adventure")</f>
        <v>Action-Adventure</v>
      </c>
      <c r="M398" s="31"/>
    </row>
    <row r="399">
      <c r="A399" s="17" t="str">
        <f>IFERROR(__xludf.DUMMYFUNCTION("""COMPUTED_VALUE"""),"Lego Star Wars: The Complete Saga")</f>
        <v>Lego Star Wars: The Complete Saga</v>
      </c>
      <c r="B399" s="20" t="str">
        <f>IFERROR(__xludf.DUMMYFUNCTION("""COMPUTED_VALUE"""),"XB360/OG Xbox")</f>
        <v>XB360/OG Xbox</v>
      </c>
      <c r="C399" s="21"/>
      <c r="D399" s="21" t="str">
        <f>IFERROR(__xludf.DUMMYFUNCTION("""COMPUTED_VALUE"""),"GwG Permanent")</f>
        <v>GwG Permanent</v>
      </c>
      <c r="E399" s="23">
        <f>IFERROR(__xludf.DUMMYFUNCTION("""COMPUTED_VALUE"""),42871.0)</f>
        <v>42871</v>
      </c>
      <c r="F399" s="24">
        <f>IFERROR(__xludf.DUMMYFUNCTION("""COMPUTED_VALUE"""),42886.0)</f>
        <v>42886</v>
      </c>
      <c r="G399" s="27">
        <f>IFERROR(__xludf.DUMMYFUNCTION("""COMPUTED_VALUE"""),0.4666666666666667)</f>
        <v>0.4666666667</v>
      </c>
      <c r="H399" s="23">
        <f>IFERROR(__xludf.DUMMYFUNCTION("""COMPUTED_VALUE"""),39392.0)</f>
        <v>39392</v>
      </c>
      <c r="I399" s="27">
        <f>IFERROR(__xludf.DUMMYFUNCTION("""COMPUTED_VALUE"""),9.527777777777779)</f>
        <v>9.527777778</v>
      </c>
      <c r="J399" s="29">
        <f>IFERROR(__xludf.DUMMYFUNCTION("""COMPUTED_VALUE"""),80.0)</f>
        <v>80</v>
      </c>
      <c r="K399" s="29">
        <f>IFERROR(__xludf.DUMMYFUNCTION("""COMPUTED_VALUE"""),24.0)</f>
        <v>24</v>
      </c>
      <c r="L399" s="31" t="str">
        <f>IFERROR(__xludf.DUMMYFUNCTION("""COMPUTED_VALUE"""),"Action-Adventure")</f>
        <v>Action-Adventure</v>
      </c>
      <c r="M399" s="31"/>
    </row>
    <row r="400">
      <c r="A400" s="17" t="str">
        <f>IFERROR(__xludf.DUMMYFUNCTION("""COMPUTED_VALUE"""),"Assassin's Creed Revelations")</f>
        <v>Assassin's Creed Revelations</v>
      </c>
      <c r="B400" s="20" t="str">
        <f>IFERROR(__xludf.DUMMYFUNCTION("""COMPUTED_VALUE"""),"XB360/OG Xbox")</f>
        <v>XB360/OG Xbox</v>
      </c>
      <c r="C400" s="21"/>
      <c r="D400" s="21" t="str">
        <f>IFERROR(__xludf.DUMMYFUNCTION("""COMPUTED_VALUE"""),"GwG Permanent")</f>
        <v>GwG Permanent</v>
      </c>
      <c r="E400" s="23">
        <f>IFERROR(__xludf.DUMMYFUNCTION("""COMPUTED_VALUE"""),42841.0)</f>
        <v>42841</v>
      </c>
      <c r="F400" s="24">
        <f>IFERROR(__xludf.DUMMYFUNCTION("""COMPUTED_VALUE"""),42855.0)</f>
        <v>42855</v>
      </c>
      <c r="G400" s="27">
        <f>IFERROR(__xludf.DUMMYFUNCTION("""COMPUTED_VALUE"""),0.4666666666666667)</f>
        <v>0.4666666667</v>
      </c>
      <c r="H400" s="23">
        <f>IFERROR(__xludf.DUMMYFUNCTION("""COMPUTED_VALUE"""),40862.0)</f>
        <v>40862</v>
      </c>
      <c r="I400" s="27">
        <f>IFERROR(__xludf.DUMMYFUNCTION("""COMPUTED_VALUE"""),5.419444444444444)</f>
        <v>5.419444444</v>
      </c>
      <c r="J400" s="29">
        <f>IFERROR(__xludf.DUMMYFUNCTION("""COMPUTED_VALUE"""),80.0)</f>
        <v>80</v>
      </c>
      <c r="K400" s="29">
        <f>IFERROR(__xludf.DUMMYFUNCTION("""COMPUTED_VALUE"""),13.0)</f>
        <v>13</v>
      </c>
      <c r="L400" s="31" t="str">
        <f>IFERROR(__xludf.DUMMYFUNCTION("""COMPUTED_VALUE"""),"Action-Adventure")</f>
        <v>Action-Adventure</v>
      </c>
      <c r="M400" s="31"/>
    </row>
    <row r="401">
      <c r="A401" s="17" t="str">
        <f>IFERROR(__xludf.DUMMYFUNCTION("""COMPUTED_VALUE"""),"Far Cry 3: Blood Dragon")</f>
        <v>Far Cry 3: Blood Dragon</v>
      </c>
      <c r="B401" s="20" t="str">
        <f>IFERROR(__xludf.DUMMYFUNCTION("""COMPUTED_VALUE"""),"XB360/OG Xbox")</f>
        <v>XB360/OG Xbox</v>
      </c>
      <c r="C401" s="21"/>
      <c r="D401" s="21" t="str">
        <f>IFERROR(__xludf.DUMMYFUNCTION("""COMPUTED_VALUE"""),"GwG Permanent")</f>
        <v>GwG Permanent</v>
      </c>
      <c r="E401" s="23">
        <f>IFERROR(__xludf.DUMMYFUNCTION("""COMPUTED_VALUE"""),42690.0)</f>
        <v>42690</v>
      </c>
      <c r="F401" s="24">
        <f>IFERROR(__xludf.DUMMYFUNCTION("""COMPUTED_VALUE"""),42704.0)</f>
        <v>42704</v>
      </c>
      <c r="G401" s="27">
        <f>IFERROR(__xludf.DUMMYFUNCTION("""COMPUTED_VALUE"""),0.4666666666666667)</f>
        <v>0.4666666667</v>
      </c>
      <c r="H401" s="23">
        <f>IFERROR(__xludf.DUMMYFUNCTION("""COMPUTED_VALUE"""),41395.0)</f>
        <v>41395</v>
      </c>
      <c r="I401" s="27">
        <f>IFERROR(__xludf.DUMMYFUNCTION("""COMPUTED_VALUE"""),3.5416666666666665)</f>
        <v>3.541666667</v>
      </c>
      <c r="J401" s="29">
        <f>IFERROR(__xludf.DUMMYFUNCTION("""COMPUTED_VALUE"""),80.0)</f>
        <v>80</v>
      </c>
      <c r="K401" s="29">
        <f>IFERROR(__xludf.DUMMYFUNCTION("""COMPUTED_VALUE"""),5.0)</f>
        <v>5</v>
      </c>
      <c r="L401" s="31" t="str">
        <f>IFERROR(__xludf.DUMMYFUNCTION("""COMPUTED_VALUE"""),"Action-Adventure")</f>
        <v>Action-Adventure</v>
      </c>
      <c r="M401" s="31"/>
    </row>
    <row r="402">
      <c r="A402" s="17" t="str">
        <f>IFERROR(__xludf.DUMMYFUNCTION("""COMPUTED_VALUE"""),"Grid 2")</f>
        <v>Grid 2</v>
      </c>
      <c r="B402" s="20" t="str">
        <f>IFERROR(__xludf.DUMMYFUNCTION("""COMPUTED_VALUE"""),"XB360/OG Xbox")</f>
        <v>XB360/OG Xbox</v>
      </c>
      <c r="C402" s="21"/>
      <c r="D402" s="21" t="str">
        <f>IFERROR(__xludf.DUMMYFUNCTION("""COMPUTED_VALUE"""),"GwG Permanent")</f>
        <v>GwG Permanent</v>
      </c>
      <c r="E402" s="23">
        <f>IFERROR(__xludf.DUMMYFUNCTION("""COMPUTED_VALUE"""),42491.0)</f>
        <v>42491</v>
      </c>
      <c r="F402" s="24">
        <f>IFERROR(__xludf.DUMMYFUNCTION("""COMPUTED_VALUE"""),42505.0)</f>
        <v>42505</v>
      </c>
      <c r="G402" s="27">
        <f>IFERROR(__xludf.DUMMYFUNCTION("""COMPUTED_VALUE"""),0.4666666666666667)</f>
        <v>0.4666666667</v>
      </c>
      <c r="H402" s="23">
        <f>IFERROR(__xludf.DUMMYFUNCTION("""COMPUTED_VALUE"""),41422.0)</f>
        <v>41422</v>
      </c>
      <c r="I402" s="27">
        <f>IFERROR(__xludf.DUMMYFUNCTION("""COMPUTED_VALUE"""),2.925)</f>
        <v>2.925</v>
      </c>
      <c r="J402" s="29">
        <f>IFERROR(__xludf.DUMMYFUNCTION("""COMPUTED_VALUE"""),80.0)</f>
        <v>80</v>
      </c>
      <c r="K402" s="29">
        <f>IFERROR(__xludf.DUMMYFUNCTION("""COMPUTED_VALUE"""),9.0)</f>
        <v>9</v>
      </c>
      <c r="L402" s="31" t="str">
        <f>IFERROR(__xludf.DUMMYFUNCTION("""COMPUTED_VALUE"""),"Racing")</f>
        <v>Racing</v>
      </c>
      <c r="M402" s="31"/>
    </row>
    <row r="403">
      <c r="A403" s="17" t="str">
        <f>IFERROR(__xludf.DUMMYFUNCTION("""COMPUTED_VALUE"""),"Metro: Last Light")</f>
        <v>Metro: Last Light</v>
      </c>
      <c r="B403" s="20" t="str">
        <f>IFERROR(__xludf.DUMMYFUNCTION("""COMPUTED_VALUE"""),"XB360/OG Xbox")</f>
        <v>XB360/OG Xbox</v>
      </c>
      <c r="C403" s="21"/>
      <c r="D403" s="21" t="str">
        <f>IFERROR(__xludf.DUMMYFUNCTION("""COMPUTED_VALUE"""),"GwG Permanent")</f>
        <v>GwG Permanent</v>
      </c>
      <c r="E403" s="23">
        <f>IFERROR(__xludf.DUMMYFUNCTION("""COMPUTED_VALUE"""),42232.0)</f>
        <v>42232</v>
      </c>
      <c r="F403" s="24">
        <f>IFERROR(__xludf.DUMMYFUNCTION("""COMPUTED_VALUE"""),42247.0)</f>
        <v>42247</v>
      </c>
      <c r="G403" s="27">
        <f>IFERROR(__xludf.DUMMYFUNCTION("""COMPUTED_VALUE"""),0.4666666666666667)</f>
        <v>0.4666666667</v>
      </c>
      <c r="H403" s="23">
        <f>IFERROR(__xludf.DUMMYFUNCTION("""COMPUTED_VALUE"""),41408.0)</f>
        <v>41408</v>
      </c>
      <c r="I403" s="27">
        <f>IFERROR(__xludf.DUMMYFUNCTION("""COMPUTED_VALUE"""),2.2555555555555555)</f>
        <v>2.255555556</v>
      </c>
      <c r="J403" s="29">
        <f>IFERROR(__xludf.DUMMYFUNCTION("""COMPUTED_VALUE"""),80.0)</f>
        <v>80</v>
      </c>
      <c r="K403" s="29">
        <f>IFERROR(__xludf.DUMMYFUNCTION("""COMPUTED_VALUE"""),9.0)</f>
        <v>9</v>
      </c>
      <c r="L403" s="31" t="str">
        <f>IFERROR(__xludf.DUMMYFUNCTION("""COMPUTED_VALUE"""),"Shooter")</f>
        <v>Shooter</v>
      </c>
      <c r="M403" s="31"/>
    </row>
    <row r="404">
      <c r="A404" s="17" t="str">
        <f>IFERROR(__xludf.DUMMYFUNCTION("""COMPUTED_VALUE"""),"Sid Meier's Civilization Revolution")</f>
        <v>Sid Meier's Civilization Revolution</v>
      </c>
      <c r="B404" s="20" t="str">
        <f>IFERROR(__xludf.DUMMYFUNCTION("""COMPUTED_VALUE"""),"XB360/OG Xbox")</f>
        <v>XB360/OG Xbox</v>
      </c>
      <c r="C404" s="21"/>
      <c r="D404" s="21" t="str">
        <f>IFERROR(__xludf.DUMMYFUNCTION("""COMPUTED_VALUE"""),"GwG Permanent")</f>
        <v>GwG Permanent</v>
      </c>
      <c r="E404" s="23">
        <f>IFERROR(__xludf.DUMMYFUNCTION("""COMPUTED_VALUE"""),41699.0)</f>
        <v>41699</v>
      </c>
      <c r="F404" s="24">
        <f>IFERROR(__xludf.DUMMYFUNCTION("""COMPUTED_VALUE"""),41713.0)</f>
        <v>41713</v>
      </c>
      <c r="G404" s="27">
        <f>IFERROR(__xludf.DUMMYFUNCTION("""COMPUTED_VALUE"""),0.4666666666666667)</f>
        <v>0.4666666667</v>
      </c>
      <c r="H404" s="23">
        <f>IFERROR(__xludf.DUMMYFUNCTION("""COMPUTED_VALUE"""),39630.0)</f>
        <v>39630</v>
      </c>
      <c r="I404" s="27">
        <f>IFERROR(__xludf.DUMMYFUNCTION("""COMPUTED_VALUE"""),5.666666666666667)</f>
        <v>5.666666667</v>
      </c>
      <c r="J404" s="29">
        <f>IFERROR(__xludf.DUMMYFUNCTION("""COMPUTED_VALUE"""),80.0)</f>
        <v>80</v>
      </c>
      <c r="K404" s="29">
        <f>IFERROR(__xludf.DUMMYFUNCTION("""COMPUTED_VALUE"""),30.0)</f>
        <v>30</v>
      </c>
      <c r="L404" s="31" t="str">
        <f>IFERROR(__xludf.DUMMYFUNCTION("""COMPUTED_VALUE"""),"Strategy")</f>
        <v>Strategy</v>
      </c>
      <c r="M404" s="31" t="str">
        <f>IFERROR(__xludf.DUMMYFUNCTION("""COMPUTED_VALUE"""),"Enhanced")</f>
        <v>Enhanced</v>
      </c>
    </row>
    <row r="405">
      <c r="A405" s="17" t="str">
        <f>IFERROR(__xludf.DUMMYFUNCTION("""COMPUTED_VALUE"""),"Sleeping Dogs")</f>
        <v>Sleeping Dogs</v>
      </c>
      <c r="B405" s="20" t="str">
        <f>IFERROR(__xludf.DUMMYFUNCTION("""COMPUTED_VALUE"""),"XB360/OG Xbox")</f>
        <v>XB360/OG Xbox</v>
      </c>
      <c r="C405" s="21"/>
      <c r="D405" s="21" t="str">
        <f>IFERROR(__xludf.DUMMYFUNCTION("""COMPUTED_VALUE"""),"GwG Permanent")</f>
        <v>GwG Permanent</v>
      </c>
      <c r="E405" s="23">
        <f>IFERROR(__xludf.DUMMYFUNCTION("""COMPUTED_VALUE"""),41640.0)</f>
        <v>41640</v>
      </c>
      <c r="F405" s="24">
        <f>IFERROR(__xludf.DUMMYFUNCTION("""COMPUTED_VALUE"""),41654.0)</f>
        <v>41654</v>
      </c>
      <c r="G405" s="27">
        <f>IFERROR(__xludf.DUMMYFUNCTION("""COMPUTED_VALUE"""),0.4666666666666667)</f>
        <v>0.4666666667</v>
      </c>
      <c r="H405" s="23">
        <f>IFERROR(__xludf.DUMMYFUNCTION("""COMPUTED_VALUE"""),41135.0)</f>
        <v>41135</v>
      </c>
      <c r="I405" s="27">
        <f>IFERROR(__xludf.DUMMYFUNCTION("""COMPUTED_VALUE"""),1.3805555555555555)</f>
        <v>1.380555556</v>
      </c>
      <c r="J405" s="29">
        <f>IFERROR(__xludf.DUMMYFUNCTION("""COMPUTED_VALUE"""),80.0)</f>
        <v>80</v>
      </c>
      <c r="K405" s="29">
        <f>IFERROR(__xludf.DUMMYFUNCTION("""COMPUTED_VALUE"""),17.0)</f>
        <v>17</v>
      </c>
      <c r="L405" s="31" t="str">
        <f>IFERROR(__xludf.DUMMYFUNCTION("""COMPUTED_VALUE"""),"Action-Adventure")</f>
        <v>Action-Adventure</v>
      </c>
      <c r="M405" s="31"/>
    </row>
    <row r="406">
      <c r="A406" s="17" t="str">
        <f>IFERROR(__xludf.DUMMYFUNCTION("""COMPUTED_VALUE"""),"Tom Clancy's Rainbow Six: Vegas")</f>
        <v>Tom Clancy's Rainbow Six: Vegas</v>
      </c>
      <c r="B406" s="20" t="str">
        <f>IFERROR(__xludf.DUMMYFUNCTION("""COMPUTED_VALUE"""),"XB360/OG Xbox")</f>
        <v>XB360/OG Xbox</v>
      </c>
      <c r="C406" s="21"/>
      <c r="D406" s="21" t="str">
        <f>IFERROR(__xludf.DUMMYFUNCTION("""COMPUTED_VALUE"""),"GwG Permanent")</f>
        <v>GwG Permanent</v>
      </c>
      <c r="E406" s="23">
        <f>IFERROR(__xludf.DUMMYFUNCTION("""COMPUTED_VALUE"""),41533.0)</f>
        <v>41533</v>
      </c>
      <c r="F406" s="24">
        <f>IFERROR(__xludf.DUMMYFUNCTION("""COMPUTED_VALUE"""),41547.0)</f>
        <v>41547</v>
      </c>
      <c r="G406" s="27">
        <f>IFERROR(__xludf.DUMMYFUNCTION("""COMPUTED_VALUE"""),0.4666666666666667)</f>
        <v>0.4666666667</v>
      </c>
      <c r="H406" s="23">
        <f>IFERROR(__xludf.DUMMYFUNCTION("""COMPUTED_VALUE"""),39041.0)</f>
        <v>39041</v>
      </c>
      <c r="I406" s="27">
        <f>IFERROR(__xludf.DUMMYFUNCTION("""COMPUTED_VALUE"""),6.822222222222222)</f>
        <v>6.822222222</v>
      </c>
      <c r="J406" s="29">
        <f>IFERROR(__xludf.DUMMYFUNCTION("""COMPUTED_VALUE"""),80.0)</f>
        <v>80</v>
      </c>
      <c r="K406" s="29">
        <f>IFERROR(__xludf.DUMMYFUNCTION("""COMPUTED_VALUE"""),12.0)</f>
        <v>12</v>
      </c>
      <c r="L406" s="31" t="str">
        <f>IFERROR(__xludf.DUMMYFUNCTION("""COMPUTED_VALUE"""),"Shooter")</f>
        <v>Shooter</v>
      </c>
      <c r="M406" s="31"/>
    </row>
    <row r="407">
      <c r="A407" s="17" t="str">
        <f>IFERROR(__xludf.DUMMYFUNCTION("""COMPUTED_VALUE"""),"Shadowrun Trilogy")</f>
        <v>Shadowrun Trilogy</v>
      </c>
      <c r="B407" s="20" t="str">
        <f>IFERROR(__xludf.DUMMYFUNCTION("""COMPUTED_VALUE"""),"Xbox / PC")</f>
        <v>Xbox / PC</v>
      </c>
      <c r="C407" s="21" t="str">
        <f>IFERROR(__xludf.DUMMYFUNCTION("""COMPUTED_VALUE"""),"Touch Controls")</f>
        <v>Touch Controls</v>
      </c>
      <c r="D407" s="21" t="str">
        <f>IFERROR(__xludf.DUMMYFUNCTION("""COMPUTED_VALUE"""),"Active")</f>
        <v>Active</v>
      </c>
      <c r="E407" s="23">
        <f>IFERROR(__xludf.DUMMYFUNCTION("""COMPUTED_VALUE"""),44733.0)</f>
        <v>44733</v>
      </c>
      <c r="F407" s="24"/>
      <c r="G407" s="27">
        <f>IFERROR(__xludf.DUMMYFUNCTION("""COMPUTED_VALUE"""),51.5)</f>
        <v>51.5</v>
      </c>
      <c r="H407" s="23">
        <f>IFERROR(__xludf.DUMMYFUNCTION("""COMPUTED_VALUE"""),42236.0)</f>
        <v>42236</v>
      </c>
      <c r="I407" s="27">
        <f>IFERROR(__xludf.DUMMYFUNCTION("""COMPUTED_VALUE"""),6.836111111111111)</f>
        <v>6.836111111</v>
      </c>
      <c r="J407" s="29">
        <f>IFERROR(__xludf.DUMMYFUNCTION("""COMPUTED_VALUE"""),79.33333333333333)</f>
        <v>79.33333333</v>
      </c>
      <c r="K407" s="29">
        <f>IFERROR(__xludf.DUMMYFUNCTION("""COMPUTED_VALUE"""),53.5)</f>
        <v>53.5</v>
      </c>
      <c r="L407" s="31" t="str">
        <f>IFERROR(__xludf.DUMMYFUNCTION("""COMPUTED_VALUE"""),"RPG")</f>
        <v>RPG</v>
      </c>
      <c r="M407" s="31"/>
    </row>
    <row r="408">
      <c r="A408" s="17" t="str">
        <f>IFERROR(__xludf.DUMMYFUNCTION("""COMPUTED_VALUE"""),"DiRT 5")</f>
        <v>DiRT 5</v>
      </c>
      <c r="B408" s="20" t="str">
        <f>IFERROR(__xludf.DUMMYFUNCTION("""COMPUTED_VALUE"""),"Xbox / PC")</f>
        <v>Xbox / PC</v>
      </c>
      <c r="C408" s="21" t="str">
        <f>IFERROR(__xludf.DUMMYFUNCTION("""COMPUTED_VALUE"""),"Touch Controls")</f>
        <v>Touch Controls</v>
      </c>
      <c r="D408" s="21" t="str">
        <f>IFERROR(__xludf.DUMMYFUNCTION("""COMPUTED_VALUE"""),"Active")</f>
        <v>Active</v>
      </c>
      <c r="E408" s="23">
        <f>IFERROR(__xludf.DUMMYFUNCTION("""COMPUTED_VALUE"""),44252.0)</f>
        <v>44252</v>
      </c>
      <c r="F408" s="24"/>
      <c r="G408" s="27">
        <f>IFERROR(__xludf.DUMMYFUNCTION("""COMPUTED_VALUE"""),67.36666666666667)</f>
        <v>67.36666667</v>
      </c>
      <c r="H408" s="23">
        <f>IFERROR(__xludf.DUMMYFUNCTION("""COMPUTED_VALUE"""),44120.0)</f>
        <v>44120</v>
      </c>
      <c r="I408" s="27">
        <f>IFERROR(__xludf.DUMMYFUNCTION("""COMPUTED_VALUE"""),0.35833333333333334)</f>
        <v>0.3583333333</v>
      </c>
      <c r="J408" s="29">
        <f>IFERROR(__xludf.DUMMYFUNCTION("""COMPUTED_VALUE"""),79.33333333333333)</f>
        <v>79.33333333</v>
      </c>
      <c r="K408" s="29">
        <f>IFERROR(__xludf.DUMMYFUNCTION("""COMPUTED_VALUE"""),8.0)</f>
        <v>8</v>
      </c>
      <c r="L408" s="31" t="str">
        <f>IFERROR(__xludf.DUMMYFUNCTION("""COMPUTED_VALUE"""),"Racing")</f>
        <v>Racing</v>
      </c>
      <c r="M408" s="31" t="str">
        <f>IFERROR(__xludf.DUMMYFUNCTION("""COMPUTED_VALUE"""),"Optimized")</f>
        <v>Optimized</v>
      </c>
    </row>
    <row r="409">
      <c r="A409" s="17" t="str">
        <f>IFERROR(__xludf.DUMMYFUNCTION("""COMPUTED_VALUE"""),"Tamashika")</f>
        <v>Tamashika</v>
      </c>
      <c r="B409" s="20" t="str">
        <f>IFERROR(__xludf.DUMMYFUNCTION("""COMPUTED_VALUE"""),"Xbox / PC")</f>
        <v>Xbox / PC</v>
      </c>
      <c r="C409" s="21" t="str">
        <f>IFERROR(__xludf.DUMMYFUNCTION("""COMPUTED_VALUE"""),"Yes")</f>
        <v>Yes</v>
      </c>
      <c r="D409" s="21" t="str">
        <f>IFERROR(__xludf.DUMMYFUNCTION("""COMPUTED_VALUE"""),"Active")</f>
        <v>Active</v>
      </c>
      <c r="E409" s="23">
        <f>IFERROR(__xludf.DUMMYFUNCTION("""COMPUTED_VALUE"""),46212.0)</f>
        <v>46212</v>
      </c>
      <c r="F409" s="24"/>
      <c r="G409" s="27">
        <f>IFERROR(__xludf.DUMMYFUNCTION("""COMPUTED_VALUE"""),2.9)</f>
        <v>2.9</v>
      </c>
      <c r="H409" s="23">
        <f>IFERROR(__xludf.DUMMYFUNCTION("""COMPUTED_VALUE"""),46122.0)</f>
        <v>46122</v>
      </c>
      <c r="I409" s="27">
        <f>IFERROR(__xludf.DUMMYFUNCTION("""COMPUTED_VALUE"""),0.24722222222222223)</f>
        <v>0.2472222222</v>
      </c>
      <c r="J409" s="29">
        <f>IFERROR(__xludf.DUMMYFUNCTION("""COMPUTED_VALUE"""),79.0)</f>
        <v>79</v>
      </c>
      <c r="K409" s="29">
        <f>IFERROR(__xludf.DUMMYFUNCTION("""COMPUTED_VALUE"""),2.0)</f>
        <v>2</v>
      </c>
      <c r="L409" s="31" t="str">
        <f>IFERROR(__xludf.DUMMYFUNCTION("""COMPUTED_VALUE"""),"Shooter")</f>
        <v>Shooter</v>
      </c>
      <c r="M409" s="31" t="str">
        <f>IFERROR(__xludf.DUMMYFUNCTION("""COMPUTED_VALUE"""),"Exclusive")</f>
        <v>Exclusive</v>
      </c>
    </row>
    <row r="410">
      <c r="A410" s="17" t="str">
        <f>IFERROR(__xludf.DUMMYFUNCTION("""COMPUTED_VALUE"""),"MOTORSLICE")</f>
        <v>MOTORSLICE</v>
      </c>
      <c r="B410" s="20" t="str">
        <f>IFERROR(__xludf.DUMMYFUNCTION("""COMPUTED_VALUE"""),"Xbox / PC")</f>
        <v>Xbox / PC</v>
      </c>
      <c r="C410" s="21" t="str">
        <f>IFERROR(__xludf.DUMMYFUNCTION("""COMPUTED_VALUE"""),"Yes")</f>
        <v>Yes</v>
      </c>
      <c r="D410" s="21" t="str">
        <f>IFERROR(__xludf.DUMMYFUNCTION("""COMPUTED_VALUE"""),"Active")</f>
        <v>Active</v>
      </c>
      <c r="E410" s="23">
        <f>IFERROR(__xludf.DUMMYFUNCTION("""COMPUTED_VALUE"""),46147.0)</f>
        <v>46147</v>
      </c>
      <c r="F410" s="24"/>
      <c r="G410" s="27">
        <f>IFERROR(__xludf.DUMMYFUNCTION("""COMPUTED_VALUE"""),5.033333333333333)</f>
        <v>5.033333333</v>
      </c>
      <c r="H410" s="23">
        <f>IFERROR(__xludf.DUMMYFUNCTION("""COMPUTED_VALUE"""),46147.0)</f>
        <v>46147</v>
      </c>
      <c r="I410" s="27">
        <f>IFERROR(__xludf.DUMMYFUNCTION("""COMPUTED_VALUE"""),0.0)</f>
        <v>0</v>
      </c>
      <c r="J410" s="29">
        <f>IFERROR(__xludf.DUMMYFUNCTION("""COMPUTED_VALUE"""),79.0)</f>
        <v>79</v>
      </c>
      <c r="K410" s="29">
        <f>IFERROR(__xludf.DUMMYFUNCTION("""COMPUTED_VALUE"""),8.0)</f>
        <v>8</v>
      </c>
      <c r="L410" s="31" t="str">
        <f>IFERROR(__xludf.DUMMYFUNCTION("""COMPUTED_VALUE"""),"Action-Adventure")</f>
        <v>Action-Adventure</v>
      </c>
      <c r="M410" s="31"/>
    </row>
    <row r="411">
      <c r="A411" s="17" t="str">
        <f>IFERROR(__xludf.DUMMYFUNCTION("""COMPUTED_VALUE"""),"Trepang2")</f>
        <v>Trepang2</v>
      </c>
      <c r="B411" s="20" t="str">
        <f>IFERROR(__xludf.DUMMYFUNCTION("""COMPUTED_VALUE"""),"Xbox / PC")</f>
        <v>Xbox / PC</v>
      </c>
      <c r="C411" s="21" t="str">
        <f>IFERROR(__xludf.DUMMYFUNCTION("""COMPUTED_VALUE"""),"Yes")</f>
        <v>Yes</v>
      </c>
      <c r="D411" s="21" t="str">
        <f>IFERROR(__xludf.DUMMYFUNCTION("""COMPUTED_VALUE"""),"Active")</f>
        <v>Active</v>
      </c>
      <c r="E411" s="23">
        <f>IFERROR(__xludf.DUMMYFUNCTION("""COMPUTED_VALUE"""),46141.0)</f>
        <v>46141</v>
      </c>
      <c r="F411" s="24"/>
      <c r="G411" s="27">
        <f>IFERROR(__xludf.DUMMYFUNCTION("""COMPUTED_VALUE"""),5.233333333333333)</f>
        <v>5.233333333</v>
      </c>
      <c r="H411" s="23">
        <f>IFERROR(__xludf.DUMMYFUNCTION("""COMPUTED_VALUE"""),45098.0)</f>
        <v>45098</v>
      </c>
      <c r="I411" s="27">
        <f>IFERROR(__xludf.DUMMYFUNCTION("""COMPUTED_VALUE"""),2.8555555555555556)</f>
        <v>2.855555556</v>
      </c>
      <c r="J411" s="29">
        <f>IFERROR(__xludf.DUMMYFUNCTION("""COMPUTED_VALUE"""),79.0)</f>
        <v>79</v>
      </c>
      <c r="K411" s="29">
        <f>IFERROR(__xludf.DUMMYFUNCTION("""COMPUTED_VALUE"""),5.0)</f>
        <v>5</v>
      </c>
      <c r="L411" s="31" t="str">
        <f>IFERROR(__xludf.DUMMYFUNCTION("""COMPUTED_VALUE"""),"Shooter")</f>
        <v>Shooter</v>
      </c>
      <c r="M411" s="31" t="str">
        <f>IFERROR(__xludf.DUMMYFUNCTION("""COMPUTED_VALUE"""),"Exclusive")</f>
        <v>Exclusive</v>
      </c>
    </row>
    <row r="412">
      <c r="A412" s="17" t="str">
        <f>IFERROR(__xludf.DUMMYFUNCTION("""COMPUTED_VALUE"""),"Little Nightmares: Enhanced Edition")</f>
        <v>Little Nightmares: Enhanced Edition</v>
      </c>
      <c r="B412" s="20" t="str">
        <f>IFERROR(__xludf.DUMMYFUNCTION("""COMPUTED_VALUE"""),"Xbox / PC")</f>
        <v>Xbox / PC</v>
      </c>
      <c r="C412" s="21" t="str">
        <f>IFERROR(__xludf.DUMMYFUNCTION("""COMPUTED_VALUE"""),"Yes")</f>
        <v>Yes</v>
      </c>
      <c r="D412" s="21" t="str">
        <f>IFERROR(__xludf.DUMMYFUNCTION("""COMPUTED_VALUE"""),"Active")</f>
        <v>Active</v>
      </c>
      <c r="E412" s="23">
        <f>IFERROR(__xludf.DUMMYFUNCTION("""COMPUTED_VALUE"""),46028.0)</f>
        <v>46028</v>
      </c>
      <c r="F412" s="24"/>
      <c r="G412" s="27">
        <f>IFERROR(__xludf.DUMMYFUNCTION("""COMPUTED_VALUE"""),9.0)</f>
        <v>9</v>
      </c>
      <c r="H412" s="23">
        <f>IFERROR(__xludf.DUMMYFUNCTION("""COMPUTED_VALUE"""),43238.0)</f>
        <v>43238</v>
      </c>
      <c r="I412" s="27">
        <f>IFERROR(__xludf.DUMMYFUNCTION("""COMPUTED_VALUE"""),7.633333333333334)</f>
        <v>7.633333333</v>
      </c>
      <c r="J412" s="29">
        <f>IFERROR(__xludf.DUMMYFUNCTION("""COMPUTED_VALUE"""),79.0)</f>
        <v>79</v>
      </c>
      <c r="K412" s="29">
        <f>IFERROR(__xludf.DUMMYFUNCTION("""COMPUTED_VALUE"""),4.0)</f>
        <v>4</v>
      </c>
      <c r="L412" s="31" t="str">
        <f>IFERROR(__xludf.DUMMYFUNCTION("""COMPUTED_VALUE"""),"Action-Adventure")</f>
        <v>Action-Adventure</v>
      </c>
      <c r="M412" s="31" t="str">
        <f>IFERROR(__xludf.DUMMYFUNCTION("""COMPUTED_VALUE"""),"Exclusive")</f>
        <v>Exclusive</v>
      </c>
    </row>
    <row r="413">
      <c r="A413" s="17" t="str">
        <f>IFERROR(__xludf.DUMMYFUNCTION("""COMPUTED_VALUE"""),"ROUTINE")</f>
        <v>ROUTINE</v>
      </c>
      <c r="B413" s="20" t="str">
        <f>IFERROR(__xludf.DUMMYFUNCTION("""COMPUTED_VALUE"""),"Xbox / PC")</f>
        <v>Xbox / PC</v>
      </c>
      <c r="C413" s="21" t="str">
        <f>IFERROR(__xludf.DUMMYFUNCTION("""COMPUTED_VALUE"""),"Yes")</f>
        <v>Yes</v>
      </c>
      <c r="D413" s="21" t="str">
        <f>IFERROR(__xludf.DUMMYFUNCTION("""COMPUTED_VALUE"""),"Active")</f>
        <v>Active</v>
      </c>
      <c r="E413" s="23">
        <f>IFERROR(__xludf.DUMMYFUNCTION("""COMPUTED_VALUE"""),45995.0)</f>
        <v>45995</v>
      </c>
      <c r="F413" s="24"/>
      <c r="G413" s="27">
        <f>IFERROR(__xludf.DUMMYFUNCTION("""COMPUTED_VALUE"""),10.066666666666666)</f>
        <v>10.06666667</v>
      </c>
      <c r="H413" s="23">
        <f>IFERROR(__xludf.DUMMYFUNCTION("""COMPUTED_VALUE"""),45995.0)</f>
        <v>45995</v>
      </c>
      <c r="I413" s="27">
        <f>IFERROR(__xludf.DUMMYFUNCTION("""COMPUTED_VALUE"""),0.0)</f>
        <v>0</v>
      </c>
      <c r="J413" s="29">
        <f>IFERROR(__xludf.DUMMYFUNCTION("""COMPUTED_VALUE"""),79.0)</f>
        <v>79</v>
      </c>
      <c r="K413" s="29">
        <f>IFERROR(__xludf.DUMMYFUNCTION("""COMPUTED_VALUE"""),6.0)</f>
        <v>6</v>
      </c>
      <c r="L413" s="31" t="str">
        <f>IFERROR(__xludf.DUMMYFUNCTION("""COMPUTED_VALUE"""),"Action-Adventure")</f>
        <v>Action-Adventure</v>
      </c>
      <c r="M413" s="31"/>
    </row>
    <row r="414">
      <c r="A414" s="17" t="str">
        <f>IFERROR(__xludf.DUMMYFUNCTION("""COMPUTED_VALUE"""),"Trials Fusion")</f>
        <v>Trials Fusion</v>
      </c>
      <c r="B414" s="20" t="str">
        <f>IFERROR(__xludf.DUMMYFUNCTION("""COMPUTED_VALUE"""),"Xbox / PC")</f>
        <v>Xbox / PC</v>
      </c>
      <c r="C414" s="21" t="str">
        <f>IFERROR(__xludf.DUMMYFUNCTION("""COMPUTED_VALUE"""),"Yes")</f>
        <v>Yes</v>
      </c>
      <c r="D414" s="21" t="str">
        <f>IFERROR(__xludf.DUMMYFUNCTION("""COMPUTED_VALUE"""),"Active")</f>
        <v>Active</v>
      </c>
      <c r="E414" s="23">
        <f>IFERROR(__xludf.DUMMYFUNCTION("""COMPUTED_VALUE"""),45931.0)</f>
        <v>45931</v>
      </c>
      <c r="F414" s="24"/>
      <c r="G414" s="27">
        <f>IFERROR(__xludf.DUMMYFUNCTION("""COMPUTED_VALUE"""),12.166666666666666)</f>
        <v>12.16666667</v>
      </c>
      <c r="H414" s="23">
        <f>IFERROR(__xludf.DUMMYFUNCTION("""COMPUTED_VALUE"""),41744.0)</f>
        <v>41744</v>
      </c>
      <c r="I414" s="27">
        <f>IFERROR(__xludf.DUMMYFUNCTION("""COMPUTED_VALUE"""),11.46111111111111)</f>
        <v>11.46111111</v>
      </c>
      <c r="J414" s="29">
        <f>IFERROR(__xludf.DUMMYFUNCTION("""COMPUTED_VALUE"""),79.0)</f>
        <v>79</v>
      </c>
      <c r="K414" s="29">
        <f>IFERROR(__xludf.DUMMYFUNCTION("""COMPUTED_VALUE"""),7.0)</f>
        <v>7</v>
      </c>
      <c r="L414" s="31" t="str">
        <f>IFERROR(__xludf.DUMMYFUNCTION("""COMPUTED_VALUE"""),"Racing")</f>
        <v>Racing</v>
      </c>
      <c r="M414" s="31"/>
    </row>
    <row r="415">
      <c r="A415" s="17" t="str">
        <f>IFERROR(__xludf.DUMMYFUNCTION("""COMPUTED_VALUE"""),"Trials Rising")</f>
        <v>Trials Rising</v>
      </c>
      <c r="B415" s="20" t="str">
        <f>IFERROR(__xludf.DUMMYFUNCTION("""COMPUTED_VALUE"""),"Xbox / PC")</f>
        <v>Xbox / PC</v>
      </c>
      <c r="C415" s="21" t="str">
        <f>IFERROR(__xludf.DUMMYFUNCTION("""COMPUTED_VALUE"""),"Yes")</f>
        <v>Yes</v>
      </c>
      <c r="D415" s="21" t="str">
        <f>IFERROR(__xludf.DUMMYFUNCTION("""COMPUTED_VALUE"""),"Active")</f>
        <v>Active</v>
      </c>
      <c r="E415" s="23">
        <f>IFERROR(__xludf.DUMMYFUNCTION("""COMPUTED_VALUE"""),45931.0)</f>
        <v>45931</v>
      </c>
      <c r="F415" s="24"/>
      <c r="G415" s="27">
        <f>IFERROR(__xludf.DUMMYFUNCTION("""COMPUTED_VALUE"""),12.166666666666666)</f>
        <v>12.16666667</v>
      </c>
      <c r="H415" s="23">
        <f>IFERROR(__xludf.DUMMYFUNCTION("""COMPUTED_VALUE"""),43522.0)</f>
        <v>43522</v>
      </c>
      <c r="I415" s="27">
        <f>IFERROR(__xludf.DUMMYFUNCTION("""COMPUTED_VALUE"""),6.597222222222222)</f>
        <v>6.597222222</v>
      </c>
      <c r="J415" s="29">
        <f>IFERROR(__xludf.DUMMYFUNCTION("""COMPUTED_VALUE"""),79.0)</f>
        <v>79</v>
      </c>
      <c r="K415" s="29">
        <f>IFERROR(__xludf.DUMMYFUNCTION("""COMPUTED_VALUE"""),18.0)</f>
        <v>18</v>
      </c>
      <c r="L415" s="31" t="str">
        <f>IFERROR(__xludf.DUMMYFUNCTION("""COMPUTED_VALUE"""),"Racing")</f>
        <v>Racing</v>
      </c>
      <c r="M415" s="31"/>
    </row>
    <row r="416">
      <c r="A416" s="17" t="str">
        <f>IFERROR(__xludf.DUMMYFUNCTION("""COMPUTED_VALUE"""),"Gears of War: Reloaded")</f>
        <v>Gears of War: Reloaded</v>
      </c>
      <c r="B416" s="20" t="str">
        <f>IFERROR(__xludf.DUMMYFUNCTION("""COMPUTED_VALUE"""),"Xbox / PC")</f>
        <v>Xbox / PC</v>
      </c>
      <c r="C416" s="21" t="str">
        <f>IFERROR(__xludf.DUMMYFUNCTION("""COMPUTED_VALUE"""),"Yes")</f>
        <v>Yes</v>
      </c>
      <c r="D416" s="21" t="str">
        <f>IFERROR(__xludf.DUMMYFUNCTION("""COMPUTED_VALUE"""),"Active")</f>
        <v>Active</v>
      </c>
      <c r="E416" s="23">
        <f>IFERROR(__xludf.DUMMYFUNCTION("""COMPUTED_VALUE"""),45895.0)</f>
        <v>45895</v>
      </c>
      <c r="F416" s="24"/>
      <c r="G416" s="27">
        <f>IFERROR(__xludf.DUMMYFUNCTION("""COMPUTED_VALUE"""),13.333333333333334)</f>
        <v>13.33333333</v>
      </c>
      <c r="H416" s="23">
        <f>IFERROR(__xludf.DUMMYFUNCTION("""COMPUTED_VALUE"""),45895.0)</f>
        <v>45895</v>
      </c>
      <c r="I416" s="27">
        <f>IFERROR(__xludf.DUMMYFUNCTION("""COMPUTED_VALUE"""),0.0)</f>
        <v>0</v>
      </c>
      <c r="J416" s="29">
        <f>IFERROR(__xludf.DUMMYFUNCTION("""COMPUTED_VALUE"""),79.0)</f>
        <v>79</v>
      </c>
      <c r="K416" s="29">
        <f>IFERROR(__xludf.DUMMYFUNCTION("""COMPUTED_VALUE"""),7.0)</f>
        <v>7</v>
      </c>
      <c r="L416" s="31" t="str">
        <f>IFERROR(__xludf.DUMMYFUNCTION("""COMPUTED_VALUE"""),"Shooter")</f>
        <v>Shooter</v>
      </c>
      <c r="M416" s="31" t="str">
        <f>IFERROR(__xludf.DUMMYFUNCTION("""COMPUTED_VALUE"""),"Exclusive")</f>
        <v>Exclusive</v>
      </c>
    </row>
    <row r="417">
      <c r="A417" s="17" t="str">
        <f>IFERROR(__xludf.DUMMYFUNCTION("""COMPUTED_VALUE"""),"Conquests of Camelot: The Search for the Grail")</f>
        <v>Conquests of Camelot: The Search for the Grail</v>
      </c>
      <c r="B417" s="20" t="str">
        <f>IFERROR(__xludf.DUMMYFUNCTION("""COMPUTED_VALUE"""),"Xbox / PC")</f>
        <v>Xbox / PC</v>
      </c>
      <c r="C417" s="21" t="str">
        <f>IFERROR(__xludf.DUMMYFUNCTION("""COMPUTED_VALUE"""),"Yes")</f>
        <v>Yes</v>
      </c>
      <c r="D417" s="21" t="str">
        <f>IFERROR(__xludf.DUMMYFUNCTION("""COMPUTED_VALUE"""),"Active")</f>
        <v>Active</v>
      </c>
      <c r="E417" s="23">
        <f>IFERROR(__xludf.DUMMYFUNCTION("""COMPUTED_VALUE"""),45859.0)</f>
        <v>45859</v>
      </c>
      <c r="F417" s="24"/>
      <c r="G417" s="27">
        <f>IFERROR(__xludf.DUMMYFUNCTION("""COMPUTED_VALUE"""),14.5)</f>
        <v>14.5</v>
      </c>
      <c r="H417" s="23">
        <f>IFERROR(__xludf.DUMMYFUNCTION("""COMPUTED_VALUE"""),32933.0)</f>
        <v>32933</v>
      </c>
      <c r="I417" s="27">
        <f>IFERROR(__xludf.DUMMYFUNCTION("""COMPUTED_VALUE"""),35.388888888888886)</f>
        <v>35.38888889</v>
      </c>
      <c r="J417" s="29">
        <f>IFERROR(__xludf.DUMMYFUNCTION("""COMPUTED_VALUE"""),79.0)</f>
        <v>79</v>
      </c>
      <c r="K417" s="29">
        <f>IFERROR(__xludf.DUMMYFUNCTION("""COMPUTED_VALUE"""),4.0)</f>
        <v>4</v>
      </c>
      <c r="L417" s="31" t="str">
        <f>IFERROR(__xludf.DUMMYFUNCTION("""COMPUTED_VALUE"""),"Action-Adventure")</f>
        <v>Action-Adventure</v>
      </c>
      <c r="M417" s="31"/>
    </row>
    <row r="418">
      <c r="A418" s="17" t="str">
        <f>IFERROR(__xludf.DUMMYFUNCTION("""COMPUTED_VALUE"""),"Call of Duty: WWII")</f>
        <v>Call of Duty: WWII</v>
      </c>
      <c r="B418" s="20" t="str">
        <f>IFERROR(__xludf.DUMMYFUNCTION("""COMPUTED_VALUE"""),"Xbox / PC")</f>
        <v>Xbox / PC</v>
      </c>
      <c r="C418" s="21"/>
      <c r="D418" s="21" t="str">
        <f>IFERROR(__xludf.DUMMYFUNCTION("""COMPUTED_VALUE"""),"Active")</f>
        <v>Active</v>
      </c>
      <c r="E418" s="23">
        <f>IFERROR(__xludf.DUMMYFUNCTION("""COMPUTED_VALUE"""),45838.0)</f>
        <v>45838</v>
      </c>
      <c r="F418" s="24"/>
      <c r="G418" s="27">
        <f>IFERROR(__xludf.DUMMYFUNCTION("""COMPUTED_VALUE"""),15.2)</f>
        <v>15.2</v>
      </c>
      <c r="H418" s="23">
        <f>IFERROR(__xludf.DUMMYFUNCTION("""COMPUTED_VALUE"""),43042.0)</f>
        <v>43042</v>
      </c>
      <c r="I418" s="27">
        <f>IFERROR(__xludf.DUMMYFUNCTION("""COMPUTED_VALUE"""),7.658333333333333)</f>
        <v>7.658333333</v>
      </c>
      <c r="J418" s="29">
        <f>IFERROR(__xludf.DUMMYFUNCTION("""COMPUTED_VALUE"""),79.0)</f>
        <v>79</v>
      </c>
      <c r="K418" s="29">
        <f>IFERROR(__xludf.DUMMYFUNCTION("""COMPUTED_VALUE"""),7.0)</f>
        <v>7</v>
      </c>
      <c r="L418" s="31" t="str">
        <f>IFERROR(__xludf.DUMMYFUNCTION("""COMPUTED_VALUE"""),"Shooter")</f>
        <v>Shooter</v>
      </c>
      <c r="M418" s="31"/>
    </row>
    <row r="419">
      <c r="A419" s="17" t="str">
        <f>IFERROR(__xludf.DUMMYFUNCTION("""COMPUTED_VALUE"""),"33 Immortals")</f>
        <v>33 Immortals</v>
      </c>
      <c r="B419" s="20" t="str">
        <f>IFERROR(__xludf.DUMMYFUNCTION("""COMPUTED_VALUE"""),"Xbox / PC")</f>
        <v>Xbox / PC</v>
      </c>
      <c r="C419" s="21" t="str">
        <f>IFERROR(__xludf.DUMMYFUNCTION("""COMPUTED_VALUE"""),"Yes")</f>
        <v>Yes</v>
      </c>
      <c r="D419" s="21" t="str">
        <f>IFERROR(__xludf.DUMMYFUNCTION("""COMPUTED_VALUE"""),"Active")</f>
        <v>Active</v>
      </c>
      <c r="E419" s="23">
        <f>IFERROR(__xludf.DUMMYFUNCTION("""COMPUTED_VALUE"""),45734.0)</f>
        <v>45734</v>
      </c>
      <c r="F419" s="24"/>
      <c r="G419" s="27">
        <f>IFERROR(__xludf.DUMMYFUNCTION("""COMPUTED_VALUE"""),18.6)</f>
        <v>18.6</v>
      </c>
      <c r="H419" s="23">
        <f>IFERROR(__xludf.DUMMYFUNCTION("""COMPUTED_VALUE"""),45734.0)</f>
        <v>45734</v>
      </c>
      <c r="I419" s="27">
        <f>IFERROR(__xludf.DUMMYFUNCTION("""COMPUTED_VALUE"""),0.0)</f>
        <v>0</v>
      </c>
      <c r="J419" s="29">
        <f>IFERROR(__xludf.DUMMYFUNCTION("""COMPUTED_VALUE"""),79.0)</f>
        <v>79</v>
      </c>
      <c r="K419" s="29">
        <f>IFERROR(__xludf.DUMMYFUNCTION("""COMPUTED_VALUE"""),5.0)</f>
        <v>5</v>
      </c>
      <c r="L419" s="31" t="str">
        <f>IFERROR(__xludf.DUMMYFUNCTION("""COMPUTED_VALUE"""),"RPG")</f>
        <v>RPG</v>
      </c>
      <c r="M419" s="31" t="str">
        <f>IFERROR(__xludf.DUMMYFUNCTION("""COMPUTED_VALUE"""),"Exclusive")</f>
        <v>Exclusive</v>
      </c>
    </row>
    <row r="420">
      <c r="A420" s="17" t="str">
        <f>IFERROR(__xludf.DUMMYFUNCTION("""COMPUTED_VALUE"""),"Mechwarrior 5: Clans")</f>
        <v>Mechwarrior 5: Clans</v>
      </c>
      <c r="B420" s="20" t="str">
        <f>IFERROR(__xludf.DUMMYFUNCTION("""COMPUTED_VALUE"""),"Xbox / PC")</f>
        <v>Xbox / PC</v>
      </c>
      <c r="C420" s="21" t="str">
        <f>IFERROR(__xludf.DUMMYFUNCTION("""COMPUTED_VALUE"""),"Yes")</f>
        <v>Yes</v>
      </c>
      <c r="D420" s="21" t="str">
        <f>IFERROR(__xludf.DUMMYFUNCTION("""COMPUTED_VALUE"""),"Active")</f>
        <v>Active</v>
      </c>
      <c r="E420" s="23">
        <f>IFERROR(__xludf.DUMMYFUNCTION("""COMPUTED_VALUE"""),45582.0)</f>
        <v>45582</v>
      </c>
      <c r="F420" s="24"/>
      <c r="G420" s="27">
        <f>IFERROR(__xludf.DUMMYFUNCTION("""COMPUTED_VALUE"""),23.633333333333333)</f>
        <v>23.63333333</v>
      </c>
      <c r="H420" s="23">
        <f>IFERROR(__xludf.DUMMYFUNCTION("""COMPUTED_VALUE"""),45582.0)</f>
        <v>45582</v>
      </c>
      <c r="I420" s="27">
        <f>IFERROR(__xludf.DUMMYFUNCTION("""COMPUTED_VALUE"""),0.0)</f>
        <v>0</v>
      </c>
      <c r="J420" s="29">
        <f>IFERROR(__xludf.DUMMYFUNCTION("""COMPUTED_VALUE"""),79.0)</f>
        <v>79</v>
      </c>
      <c r="K420" s="29">
        <f>IFERROR(__xludf.DUMMYFUNCTION("""COMPUTED_VALUE"""),23.0)</f>
        <v>23</v>
      </c>
      <c r="L420" s="31" t="str">
        <f>IFERROR(__xludf.DUMMYFUNCTION("""COMPUTED_VALUE"""),"Simulation")</f>
        <v>Simulation</v>
      </c>
      <c r="M420" s="31" t="str">
        <f>IFERROR(__xludf.DUMMYFUNCTION("""COMPUTED_VALUE"""),"Exclusive")</f>
        <v>Exclusive</v>
      </c>
    </row>
    <row r="421">
      <c r="A421" s="17" t="str">
        <f>IFERROR(__xludf.DUMMYFUNCTION("""COMPUTED_VALUE"""),"Overwatch 2")</f>
        <v>Overwatch 2</v>
      </c>
      <c r="B421" s="20" t="str">
        <f>IFERROR(__xludf.DUMMYFUNCTION("""COMPUTED_VALUE"""),"Xbox / PC")</f>
        <v>Xbox / PC</v>
      </c>
      <c r="C421" s="21"/>
      <c r="D421" s="21" t="str">
        <f>IFERROR(__xludf.DUMMYFUNCTION("""COMPUTED_VALUE"""),"Active")</f>
        <v>Active</v>
      </c>
      <c r="E421" s="23">
        <f>IFERROR(__xludf.DUMMYFUNCTION("""COMPUTED_VALUE"""),45552.0)</f>
        <v>45552</v>
      </c>
      <c r="F421" s="24"/>
      <c r="G421" s="27">
        <f>IFERROR(__xludf.DUMMYFUNCTION("""COMPUTED_VALUE"""),24.633333333333333)</f>
        <v>24.63333333</v>
      </c>
      <c r="H421" s="23">
        <f>IFERROR(__xludf.DUMMYFUNCTION("""COMPUTED_VALUE"""),45148.0)</f>
        <v>45148</v>
      </c>
      <c r="I421" s="27">
        <f>IFERROR(__xludf.DUMMYFUNCTION("""COMPUTED_VALUE"""),1.1027777777777779)</f>
        <v>1.102777778</v>
      </c>
      <c r="J421" s="29">
        <f>IFERROR(__xludf.DUMMYFUNCTION("""COMPUTED_VALUE"""),79.0)</f>
        <v>79</v>
      </c>
      <c r="K421" s="29">
        <f>IFERROR(__xludf.DUMMYFUNCTION("""COMPUTED_VALUE"""),57.0)</f>
        <v>57</v>
      </c>
      <c r="L421" s="31" t="str">
        <f>IFERROR(__xludf.DUMMYFUNCTION("""COMPUTED_VALUE"""),"Shooter")</f>
        <v>Shooter</v>
      </c>
      <c r="M421" s="31"/>
    </row>
    <row r="422">
      <c r="A422" s="17" t="str">
        <f>IFERROR(__xludf.DUMMYFUNCTION("""COMPUTED_VALUE"""),"Little Kitty, Big City")</f>
        <v>Little Kitty, Big City</v>
      </c>
      <c r="B422" s="20" t="str">
        <f>IFERROR(__xludf.DUMMYFUNCTION("""COMPUTED_VALUE"""),"Xbox / PC")</f>
        <v>Xbox / PC</v>
      </c>
      <c r="C422" s="21" t="str">
        <f>IFERROR(__xludf.DUMMYFUNCTION("""COMPUTED_VALUE"""),"Yes")</f>
        <v>Yes</v>
      </c>
      <c r="D422" s="21" t="str">
        <f>IFERROR(__xludf.DUMMYFUNCTION("""COMPUTED_VALUE"""),"Active")</f>
        <v>Active</v>
      </c>
      <c r="E422" s="23">
        <f>IFERROR(__xludf.DUMMYFUNCTION("""COMPUTED_VALUE"""),45421.0)</f>
        <v>45421</v>
      </c>
      <c r="F422" s="24"/>
      <c r="G422" s="27">
        <f>IFERROR(__xludf.DUMMYFUNCTION("""COMPUTED_VALUE"""),28.9)</f>
        <v>28.9</v>
      </c>
      <c r="H422" s="23">
        <f>IFERROR(__xludf.DUMMYFUNCTION("""COMPUTED_VALUE"""),45421.0)</f>
        <v>45421</v>
      </c>
      <c r="I422" s="27">
        <f>IFERROR(__xludf.DUMMYFUNCTION("""COMPUTED_VALUE"""),0.0)</f>
        <v>0</v>
      </c>
      <c r="J422" s="29">
        <f>IFERROR(__xludf.DUMMYFUNCTION("""COMPUTED_VALUE"""),79.0)</f>
        <v>79</v>
      </c>
      <c r="K422" s="29">
        <f>IFERROR(__xludf.DUMMYFUNCTION("""COMPUTED_VALUE"""),3.0)</f>
        <v>3</v>
      </c>
      <c r="L422" s="31" t="str">
        <f>IFERROR(__xludf.DUMMYFUNCTION("""COMPUTED_VALUE"""),"Action-Adventure")</f>
        <v>Action-Adventure</v>
      </c>
      <c r="M422" s="31"/>
    </row>
    <row r="423">
      <c r="A423" s="17" t="str">
        <f>IFERROR(__xludf.DUMMYFUNCTION("""COMPUTED_VALUE"""),"Resident Evil 3")</f>
        <v>Resident Evil 3</v>
      </c>
      <c r="B423" s="20" t="str">
        <f>IFERROR(__xludf.DUMMYFUNCTION("""COMPUTED_VALUE"""),"Xbox / PC")</f>
        <v>Xbox / PC</v>
      </c>
      <c r="C423" s="21" t="str">
        <f>IFERROR(__xludf.DUMMYFUNCTION("""COMPUTED_VALUE"""),"Yes")</f>
        <v>Yes</v>
      </c>
      <c r="D423" s="21" t="str">
        <f>IFERROR(__xludf.DUMMYFUNCTION("""COMPUTED_VALUE"""),"Active")</f>
        <v>Active</v>
      </c>
      <c r="E423" s="23">
        <f>IFERROR(__xludf.DUMMYFUNCTION("""COMPUTED_VALUE"""),45335.0)</f>
        <v>45335</v>
      </c>
      <c r="F423" s="24"/>
      <c r="G423" s="27">
        <f>IFERROR(__xludf.DUMMYFUNCTION("""COMPUTED_VALUE"""),31.766666666666666)</f>
        <v>31.76666667</v>
      </c>
      <c r="H423" s="23">
        <f>IFERROR(__xludf.DUMMYFUNCTION("""COMPUTED_VALUE"""),43924.0)</f>
        <v>43924</v>
      </c>
      <c r="I423" s="27">
        <f>IFERROR(__xludf.DUMMYFUNCTION("""COMPUTED_VALUE"""),3.861111111111111)</f>
        <v>3.861111111</v>
      </c>
      <c r="J423" s="29">
        <f>IFERROR(__xludf.DUMMYFUNCTION("""COMPUTED_VALUE"""),79.0)</f>
        <v>79</v>
      </c>
      <c r="K423" s="29">
        <f>IFERROR(__xludf.DUMMYFUNCTION("""COMPUTED_VALUE"""),6.0)</f>
        <v>6</v>
      </c>
      <c r="L423" s="31" t="str">
        <f>IFERROR(__xludf.DUMMYFUNCTION("""COMPUTED_VALUE"""),"Shooter")</f>
        <v>Shooter</v>
      </c>
      <c r="M423" s="31"/>
    </row>
    <row r="424">
      <c r="A424" s="17" t="str">
        <f>IFERROR(__xludf.DUMMYFUNCTION("""COMPUTED_VALUE"""),"Super Mega Baseball 4")</f>
        <v>Super Mega Baseball 4</v>
      </c>
      <c r="B424" s="20" t="str">
        <f>IFERROR(__xludf.DUMMYFUNCTION("""COMPUTED_VALUE"""),"Xbox / PC")</f>
        <v>Xbox / PC</v>
      </c>
      <c r="C424" s="21" t="str">
        <f>IFERROR(__xludf.DUMMYFUNCTION("""COMPUTED_VALUE"""),"Yes")</f>
        <v>Yes</v>
      </c>
      <c r="D424" s="21" t="str">
        <f>IFERROR(__xludf.DUMMYFUNCTION("""COMPUTED_VALUE"""),"Active")</f>
        <v>Active</v>
      </c>
      <c r="E424" s="23">
        <f>IFERROR(__xludf.DUMMYFUNCTION("""COMPUTED_VALUE"""),45302.0)</f>
        <v>45302</v>
      </c>
      <c r="F424" s="24"/>
      <c r="G424" s="27">
        <f>IFERROR(__xludf.DUMMYFUNCTION("""COMPUTED_VALUE"""),32.833333333333336)</f>
        <v>32.83333333</v>
      </c>
      <c r="H424" s="23">
        <f>IFERROR(__xludf.DUMMYFUNCTION("""COMPUTED_VALUE"""),45079.0)</f>
        <v>45079</v>
      </c>
      <c r="I424" s="27">
        <f>IFERROR(__xludf.DUMMYFUNCTION("""COMPUTED_VALUE"""),0.6083333333333333)</f>
        <v>0.6083333333</v>
      </c>
      <c r="J424" s="29">
        <f>IFERROR(__xludf.DUMMYFUNCTION("""COMPUTED_VALUE"""),79.0)</f>
        <v>79</v>
      </c>
      <c r="K424" s="29">
        <f>IFERROR(__xludf.DUMMYFUNCTION("""COMPUTED_VALUE"""),12.0)</f>
        <v>12</v>
      </c>
      <c r="L424" s="31" t="str">
        <f>IFERROR(__xludf.DUMMYFUNCTION("""COMPUTED_VALUE"""),"Sports")</f>
        <v>Sports</v>
      </c>
      <c r="M424" s="31"/>
    </row>
    <row r="425">
      <c r="A425" s="17" t="str">
        <f>IFERROR(__xludf.DUMMYFUNCTION("""COMPUTED_VALUE"""),"Wild Hearts")</f>
        <v>Wild Hearts</v>
      </c>
      <c r="B425" s="20" t="str">
        <f>IFERROR(__xludf.DUMMYFUNCTION("""COMPUTED_VALUE"""),"Xbox / PC")</f>
        <v>Xbox / PC</v>
      </c>
      <c r="C425" s="21" t="str">
        <f>IFERROR(__xludf.DUMMYFUNCTION("""COMPUTED_VALUE"""),"Yes")</f>
        <v>Yes</v>
      </c>
      <c r="D425" s="21" t="str">
        <f>IFERROR(__xludf.DUMMYFUNCTION("""COMPUTED_VALUE"""),"Active")</f>
        <v>Active</v>
      </c>
      <c r="E425" s="23">
        <f>IFERROR(__xludf.DUMMYFUNCTION("""COMPUTED_VALUE"""),45239.0)</f>
        <v>45239</v>
      </c>
      <c r="F425" s="24"/>
      <c r="G425" s="27">
        <f>IFERROR(__xludf.DUMMYFUNCTION("""COMPUTED_VALUE"""),34.9)</f>
        <v>34.9</v>
      </c>
      <c r="H425" s="23">
        <f>IFERROR(__xludf.DUMMYFUNCTION("""COMPUTED_VALUE"""),44974.0)</f>
        <v>44974</v>
      </c>
      <c r="I425" s="27">
        <f>IFERROR(__xludf.DUMMYFUNCTION("""COMPUTED_VALUE"""),0.7277777777777777)</f>
        <v>0.7277777778</v>
      </c>
      <c r="J425" s="29">
        <f>IFERROR(__xludf.DUMMYFUNCTION("""COMPUTED_VALUE"""),79.0)</f>
        <v>79</v>
      </c>
      <c r="K425" s="29">
        <f>IFERROR(__xludf.DUMMYFUNCTION("""COMPUTED_VALUE"""),46.0)</f>
        <v>46</v>
      </c>
      <c r="L425" s="31" t="str">
        <f>IFERROR(__xludf.DUMMYFUNCTION("""COMPUTED_VALUE"""),"Action-Adventure")</f>
        <v>Action-Adventure</v>
      </c>
      <c r="M425" s="31"/>
    </row>
    <row r="426">
      <c r="A426" s="17" t="str">
        <f>IFERROR(__xludf.DUMMYFUNCTION("""COMPUTED_VALUE"""),"Genesis Noir")</f>
        <v>Genesis Noir</v>
      </c>
      <c r="B426" s="20" t="str">
        <f>IFERROR(__xludf.DUMMYFUNCTION("""COMPUTED_VALUE"""),"Xbox / PC")</f>
        <v>Xbox / PC</v>
      </c>
      <c r="C426" s="21" t="str">
        <f>IFERROR(__xludf.DUMMYFUNCTION("""COMPUTED_VALUE"""),"Touch Controls")</f>
        <v>Touch Controls</v>
      </c>
      <c r="D426" s="21" t="str">
        <f>IFERROR(__xludf.DUMMYFUNCTION("""COMPUTED_VALUE"""),"Active")</f>
        <v>Active</v>
      </c>
      <c r="E426" s="23">
        <f>IFERROR(__xludf.DUMMYFUNCTION("""COMPUTED_VALUE"""),44280.0)</f>
        <v>44280</v>
      </c>
      <c r="F426" s="24"/>
      <c r="G426" s="27">
        <f>IFERROR(__xludf.DUMMYFUNCTION("""COMPUTED_VALUE"""),66.36666666666667)</f>
        <v>66.36666667</v>
      </c>
      <c r="H426" s="23">
        <f>IFERROR(__xludf.DUMMYFUNCTION("""COMPUTED_VALUE"""),44280.0)</f>
        <v>44280</v>
      </c>
      <c r="I426" s="27">
        <f>IFERROR(__xludf.DUMMYFUNCTION("""COMPUTED_VALUE"""),0.0)</f>
        <v>0</v>
      </c>
      <c r="J426" s="29">
        <f>IFERROR(__xludf.DUMMYFUNCTION("""COMPUTED_VALUE"""),79.0)</f>
        <v>79</v>
      </c>
      <c r="K426" s="29">
        <f>IFERROR(__xludf.DUMMYFUNCTION("""COMPUTED_VALUE"""),4.5)</f>
        <v>4.5</v>
      </c>
      <c r="L426" s="31" t="str">
        <f>IFERROR(__xludf.DUMMYFUNCTION("""COMPUTED_VALUE"""),"Adventure")</f>
        <v>Adventure</v>
      </c>
      <c r="M426" s="31"/>
    </row>
    <row r="427">
      <c r="A427" s="17" t="str">
        <f>IFERROR(__xludf.DUMMYFUNCTION("""COMPUTED_VALUE"""),"A Way Out")</f>
        <v>A Way Out</v>
      </c>
      <c r="B427" s="20" t="str">
        <f>IFERROR(__xludf.DUMMYFUNCTION("""COMPUTED_VALUE"""),"Xbox / PC")</f>
        <v>Xbox / PC</v>
      </c>
      <c r="C427" s="21"/>
      <c r="D427" s="21" t="str">
        <f>IFERROR(__xludf.DUMMYFUNCTION("""COMPUTED_VALUE"""),"Active")</f>
        <v>Active</v>
      </c>
      <c r="E427" s="23">
        <f>IFERROR(__xludf.DUMMYFUNCTION("""COMPUTED_VALUE"""),44145.0)</f>
        <v>44145</v>
      </c>
      <c r="F427" s="24"/>
      <c r="G427" s="27">
        <f>IFERROR(__xludf.DUMMYFUNCTION("""COMPUTED_VALUE"""),70.86666666666667)</f>
        <v>70.86666667</v>
      </c>
      <c r="H427" s="23">
        <f>IFERROR(__xludf.DUMMYFUNCTION("""COMPUTED_VALUE"""),43182.0)</f>
        <v>43182</v>
      </c>
      <c r="I427" s="27">
        <f>IFERROR(__xludf.DUMMYFUNCTION("""COMPUTED_VALUE"""),2.6305555555555555)</f>
        <v>2.630555556</v>
      </c>
      <c r="J427" s="29">
        <f>IFERROR(__xludf.DUMMYFUNCTION("""COMPUTED_VALUE"""),79.0)</f>
        <v>79</v>
      </c>
      <c r="K427" s="29">
        <f>IFERROR(__xludf.DUMMYFUNCTION("""COMPUTED_VALUE"""),6.0)</f>
        <v>6</v>
      </c>
      <c r="L427" s="31" t="str">
        <f>IFERROR(__xludf.DUMMYFUNCTION("""COMPUTED_VALUE"""),"Action-Adventure")</f>
        <v>Action-Adventure</v>
      </c>
      <c r="M427" s="31"/>
    </row>
    <row r="428">
      <c r="A428" s="17" t="str">
        <f>IFERROR(__xludf.DUMMYFUNCTION("""COMPUTED_VALUE"""),"Burnout: Paradise - Remastered")</f>
        <v>Burnout: Paradise - Remastered</v>
      </c>
      <c r="B428" s="20" t="str">
        <f>IFERROR(__xludf.DUMMYFUNCTION("""COMPUTED_VALUE"""),"Xbox / PC")</f>
        <v>Xbox / PC</v>
      </c>
      <c r="C428" s="21"/>
      <c r="D428" s="21" t="str">
        <f>IFERROR(__xludf.DUMMYFUNCTION("""COMPUTED_VALUE"""),"Active")</f>
        <v>Active</v>
      </c>
      <c r="E428" s="23">
        <f>IFERROR(__xludf.DUMMYFUNCTION("""COMPUTED_VALUE"""),44145.0)</f>
        <v>44145</v>
      </c>
      <c r="F428" s="24"/>
      <c r="G428" s="27">
        <f>IFERROR(__xludf.DUMMYFUNCTION("""COMPUTED_VALUE"""),70.86666666666667)</f>
        <v>70.86666667</v>
      </c>
      <c r="H428" s="23">
        <f>IFERROR(__xludf.DUMMYFUNCTION("""COMPUTED_VALUE"""),39469.0)</f>
        <v>39469</v>
      </c>
      <c r="I428" s="27">
        <f>IFERROR(__xludf.DUMMYFUNCTION("""COMPUTED_VALUE"""),12.8)</f>
        <v>12.8</v>
      </c>
      <c r="J428" s="29">
        <f>IFERROR(__xludf.DUMMYFUNCTION("""COMPUTED_VALUE"""),79.0)</f>
        <v>79</v>
      </c>
      <c r="K428" s="29">
        <f>IFERROR(__xludf.DUMMYFUNCTION("""COMPUTED_VALUE"""),10.5)</f>
        <v>10.5</v>
      </c>
      <c r="L428" s="31" t="str">
        <f>IFERROR(__xludf.DUMMYFUNCTION("""COMPUTED_VALUE"""),"Racing")</f>
        <v>Racing</v>
      </c>
      <c r="M428" s="31"/>
    </row>
    <row r="429">
      <c r="A429" s="17" t="str">
        <f>IFERROR(__xludf.DUMMYFUNCTION("""COMPUTED_VALUE"""),"Dragon Age II")</f>
        <v>Dragon Age II</v>
      </c>
      <c r="B429" s="20" t="str">
        <f>IFERROR(__xludf.DUMMYFUNCTION("""COMPUTED_VALUE"""),"Xbox / PC")</f>
        <v>Xbox / PC</v>
      </c>
      <c r="C429" s="21" t="str">
        <f>IFERROR(__xludf.DUMMYFUNCTION("""COMPUTED_VALUE"""),"Touch Controls")</f>
        <v>Touch Controls</v>
      </c>
      <c r="D429" s="21" t="str">
        <f>IFERROR(__xludf.DUMMYFUNCTION("""COMPUTED_VALUE"""),"Active")</f>
        <v>Active</v>
      </c>
      <c r="E429" s="23">
        <f>IFERROR(__xludf.DUMMYFUNCTION("""COMPUTED_VALUE"""),44145.0)</f>
        <v>44145</v>
      </c>
      <c r="F429" s="24"/>
      <c r="G429" s="27">
        <f>IFERROR(__xludf.DUMMYFUNCTION("""COMPUTED_VALUE"""),70.86666666666667)</f>
        <v>70.86666667</v>
      </c>
      <c r="H429" s="23">
        <f>IFERROR(__xludf.DUMMYFUNCTION("""COMPUTED_VALUE"""),40610.0)</f>
        <v>40610</v>
      </c>
      <c r="I429" s="27">
        <f>IFERROR(__xludf.DUMMYFUNCTION("""COMPUTED_VALUE"""),9.672222222222222)</f>
        <v>9.672222222</v>
      </c>
      <c r="J429" s="29">
        <f>IFERROR(__xludf.DUMMYFUNCTION("""COMPUTED_VALUE"""),79.0)</f>
        <v>79</v>
      </c>
      <c r="K429" s="29">
        <f>IFERROR(__xludf.DUMMYFUNCTION("""COMPUTED_VALUE"""),26.5)</f>
        <v>26.5</v>
      </c>
      <c r="L429" s="31" t="str">
        <f>IFERROR(__xludf.DUMMYFUNCTION("""COMPUTED_VALUE"""),"RPG")</f>
        <v>RPG</v>
      </c>
      <c r="M429" s="31" t="str">
        <f>IFERROR(__xludf.DUMMYFUNCTION("""COMPUTED_VALUE"""),"FPS Boost")</f>
        <v>FPS Boost</v>
      </c>
    </row>
    <row r="430">
      <c r="A430" s="17" t="str">
        <f>IFERROR(__xludf.DUMMYFUNCTION("""COMPUTED_VALUE"""),"Mirror's Edge")</f>
        <v>Mirror's Edge</v>
      </c>
      <c r="B430" s="20" t="str">
        <f>IFERROR(__xludf.DUMMYFUNCTION("""COMPUTED_VALUE"""),"Xbox / PC")</f>
        <v>Xbox / PC</v>
      </c>
      <c r="C430" s="21"/>
      <c r="D430" s="21" t="str">
        <f>IFERROR(__xludf.DUMMYFUNCTION("""COMPUTED_VALUE"""),"Active")</f>
        <v>Active</v>
      </c>
      <c r="E430" s="23">
        <f>IFERROR(__xludf.DUMMYFUNCTION("""COMPUTED_VALUE"""),44145.0)</f>
        <v>44145</v>
      </c>
      <c r="F430" s="24"/>
      <c r="G430" s="27">
        <f>IFERROR(__xludf.DUMMYFUNCTION("""COMPUTED_VALUE"""),70.86666666666667)</f>
        <v>70.86666667</v>
      </c>
      <c r="H430" s="23">
        <f>IFERROR(__xludf.DUMMYFUNCTION("""COMPUTED_VALUE"""),40269.0)</f>
        <v>40269</v>
      </c>
      <c r="I430" s="27">
        <f>IFERROR(__xludf.DUMMYFUNCTION("""COMPUTED_VALUE"""),10.608333333333333)</f>
        <v>10.60833333</v>
      </c>
      <c r="J430" s="29">
        <f>IFERROR(__xludf.DUMMYFUNCTION("""COMPUTED_VALUE"""),79.0)</f>
        <v>79</v>
      </c>
      <c r="K430" s="29">
        <f>IFERROR(__xludf.DUMMYFUNCTION("""COMPUTED_VALUE"""),6.0)</f>
        <v>6</v>
      </c>
      <c r="L430" s="31" t="str">
        <f>IFERROR(__xludf.DUMMYFUNCTION("""COMPUTED_VALUE"""),"Platformer")</f>
        <v>Platformer</v>
      </c>
      <c r="M430" s="31" t="str">
        <f>IFERROR(__xludf.DUMMYFUNCTION("""COMPUTED_VALUE"""),"FPS Boost")</f>
        <v>FPS Boost</v>
      </c>
    </row>
    <row r="431">
      <c r="A431" s="17" t="str">
        <f>IFERROR(__xludf.DUMMYFUNCTION("""COMPUTED_VALUE"""),"Halo: Combat Evolved - Anniversary")</f>
        <v>Halo: Combat Evolved - Anniversary</v>
      </c>
      <c r="B431" s="20" t="str">
        <f>IFERROR(__xludf.DUMMYFUNCTION("""COMPUTED_VALUE"""),"Xbox / PC")</f>
        <v>Xbox / PC</v>
      </c>
      <c r="C431" s="21"/>
      <c r="D431" s="21" t="str">
        <f>IFERROR(__xludf.DUMMYFUNCTION("""COMPUTED_VALUE"""),"Active")</f>
        <v>Active</v>
      </c>
      <c r="E431" s="23">
        <f>IFERROR(__xludf.DUMMYFUNCTION("""COMPUTED_VALUE"""),43893.0)</f>
        <v>43893</v>
      </c>
      <c r="F431" s="24"/>
      <c r="G431" s="27">
        <f>IFERROR(__xludf.DUMMYFUNCTION("""COMPUTED_VALUE"""),79.1)</f>
        <v>79.1</v>
      </c>
      <c r="H431" s="23">
        <f>IFERROR(__xludf.DUMMYFUNCTION("""COMPUTED_VALUE"""),37210.0)</f>
        <v>37210</v>
      </c>
      <c r="I431" s="27">
        <f>IFERROR(__xludf.DUMMYFUNCTION("""COMPUTED_VALUE"""),18.3)</f>
        <v>18.3</v>
      </c>
      <c r="J431" s="29">
        <f>IFERROR(__xludf.DUMMYFUNCTION("""COMPUTED_VALUE"""),79.0)</f>
        <v>79</v>
      </c>
      <c r="K431" s="29">
        <f>IFERROR(__xludf.DUMMYFUNCTION("""COMPUTED_VALUE"""),10.0)</f>
        <v>10</v>
      </c>
      <c r="L431" s="31" t="str">
        <f>IFERROR(__xludf.DUMMYFUNCTION("""COMPUTED_VALUE"""),"Shooter")</f>
        <v>Shooter</v>
      </c>
      <c r="M431" s="31"/>
    </row>
    <row r="432">
      <c r="A432" s="17" t="str">
        <f>IFERROR(__xludf.DUMMYFUNCTION("""COMPUTED_VALUE"""),"Perfect Dark")</f>
        <v>Perfect Dark</v>
      </c>
      <c r="B432" s="20" t="str">
        <f>IFERROR(__xludf.DUMMYFUNCTION("""COMPUTED_VALUE"""),"Xbox")</f>
        <v>Xbox</v>
      </c>
      <c r="C432" s="21" t="str">
        <f>IFERROR(__xludf.DUMMYFUNCTION("""COMPUTED_VALUE"""),"Yes")</f>
        <v>Yes</v>
      </c>
      <c r="D432" s="21" t="str">
        <f>IFERROR(__xludf.DUMMYFUNCTION("""COMPUTED_VALUE"""),"Active")</f>
        <v>Active</v>
      </c>
      <c r="E432" s="23">
        <f>IFERROR(__xludf.DUMMYFUNCTION("""COMPUTED_VALUE"""),43636.0)</f>
        <v>43636</v>
      </c>
      <c r="F432" s="24"/>
      <c r="G432" s="27">
        <f>IFERROR(__xludf.DUMMYFUNCTION("""COMPUTED_VALUE"""),87.53333333333333)</f>
        <v>87.53333333</v>
      </c>
      <c r="H432" s="23">
        <f>IFERROR(__xludf.DUMMYFUNCTION("""COMPUTED_VALUE"""),36766.0)</f>
        <v>36766</v>
      </c>
      <c r="I432" s="27">
        <f>IFERROR(__xludf.DUMMYFUNCTION("""COMPUTED_VALUE"""),18.81111111111111)</f>
        <v>18.81111111</v>
      </c>
      <c r="J432" s="29">
        <f>IFERROR(__xludf.DUMMYFUNCTION("""COMPUTED_VALUE"""),79.0)</f>
        <v>79</v>
      </c>
      <c r="K432" s="29">
        <f>IFERROR(__xludf.DUMMYFUNCTION("""COMPUTED_VALUE"""),9.0)</f>
        <v>9</v>
      </c>
      <c r="L432" s="31" t="str">
        <f>IFERROR(__xludf.DUMMYFUNCTION("""COMPUTED_VALUE"""),"Shooter")</f>
        <v>Shooter</v>
      </c>
      <c r="M432" s="31"/>
    </row>
    <row r="433">
      <c r="A433" s="17" t="str">
        <f>IFERROR(__xludf.DUMMYFUNCTION("""COMPUTED_VALUE"""),"Halo Wars 2")</f>
        <v>Halo Wars 2</v>
      </c>
      <c r="B433" s="20" t="str">
        <f>IFERROR(__xludf.DUMMYFUNCTION("""COMPUTED_VALUE"""),"Xbox / PC")</f>
        <v>Xbox / PC</v>
      </c>
      <c r="C433" s="21" t="str">
        <f>IFERROR(__xludf.DUMMYFUNCTION("""COMPUTED_VALUE"""),"Touch Controls")</f>
        <v>Touch Controls</v>
      </c>
      <c r="D433" s="21" t="str">
        <f>IFERROR(__xludf.DUMMYFUNCTION("""COMPUTED_VALUE"""),"Active")</f>
        <v>Active</v>
      </c>
      <c r="E433" s="23">
        <f>IFERROR(__xludf.DUMMYFUNCTION("""COMPUTED_VALUE"""),43132.0)</f>
        <v>43132</v>
      </c>
      <c r="F433" s="24"/>
      <c r="G433" s="27">
        <f>IFERROR(__xludf.DUMMYFUNCTION("""COMPUTED_VALUE"""),104.16666666666666)</f>
        <v>104.1666667</v>
      </c>
      <c r="H433" s="23">
        <f>IFERROR(__xludf.DUMMYFUNCTION("""COMPUTED_VALUE"""),42783.0)</f>
        <v>42783</v>
      </c>
      <c r="I433" s="27">
        <f>IFERROR(__xludf.DUMMYFUNCTION("""COMPUTED_VALUE"""),0.9555555555555556)</f>
        <v>0.9555555556</v>
      </c>
      <c r="J433" s="29">
        <f>IFERROR(__xludf.DUMMYFUNCTION("""COMPUTED_VALUE"""),79.0)</f>
        <v>79</v>
      </c>
      <c r="K433" s="29">
        <f>IFERROR(__xludf.DUMMYFUNCTION("""COMPUTED_VALUE"""),8.0)</f>
        <v>8</v>
      </c>
      <c r="L433" s="31" t="str">
        <f>IFERROR(__xludf.DUMMYFUNCTION("""COMPUTED_VALUE"""),"Real-Time Strategy")</f>
        <v>Real-Time Strategy</v>
      </c>
      <c r="M433" s="31" t="str">
        <f>IFERROR(__xludf.DUMMYFUNCTION("""COMPUTED_VALUE"""),"FPS Boost")</f>
        <v>FPS Boost</v>
      </c>
    </row>
    <row r="434">
      <c r="A434" s="17" t="str">
        <f>IFERROR(__xludf.DUMMYFUNCTION("""COMPUTED_VALUE"""),"Banjo-Kazooie: Nuts &amp; Bolts")</f>
        <v>Banjo-Kazooie: Nuts &amp; Bolts</v>
      </c>
      <c r="B434" s="20" t="str">
        <f>IFERROR(__xludf.DUMMYFUNCTION("""COMPUTED_VALUE"""),"Xbox")</f>
        <v>Xbox</v>
      </c>
      <c r="C434" s="21" t="str">
        <f>IFERROR(__xludf.DUMMYFUNCTION("""COMPUTED_VALUE"""),"Yes")</f>
        <v>Yes</v>
      </c>
      <c r="D434" s="21" t="str">
        <f>IFERROR(__xludf.DUMMYFUNCTION("""COMPUTED_VALUE"""),"Active")</f>
        <v>Active</v>
      </c>
      <c r="E434" s="23">
        <f>IFERROR(__xludf.DUMMYFUNCTION("""COMPUTED_VALUE"""),42887.0)</f>
        <v>42887</v>
      </c>
      <c r="F434" s="24"/>
      <c r="G434" s="27">
        <f>IFERROR(__xludf.DUMMYFUNCTION("""COMPUTED_VALUE"""),112.16666666666666)</f>
        <v>112.1666667</v>
      </c>
      <c r="H434" s="23">
        <f>IFERROR(__xludf.DUMMYFUNCTION("""COMPUTED_VALUE"""),39763.0)</f>
        <v>39763</v>
      </c>
      <c r="I434" s="27">
        <f>IFERROR(__xludf.DUMMYFUNCTION("""COMPUTED_VALUE"""),8.555555555555555)</f>
        <v>8.555555556</v>
      </c>
      <c r="J434" s="29">
        <f>IFERROR(__xludf.DUMMYFUNCTION("""COMPUTED_VALUE"""),79.0)</f>
        <v>79</v>
      </c>
      <c r="K434" s="29">
        <f>IFERROR(__xludf.DUMMYFUNCTION("""COMPUTED_VALUE"""),15.5)</f>
        <v>15.5</v>
      </c>
      <c r="L434" s="31" t="str">
        <f>IFERROR(__xludf.DUMMYFUNCTION("""COMPUTED_VALUE"""),"Adventure")</f>
        <v>Adventure</v>
      </c>
      <c r="M434" s="31"/>
    </row>
    <row r="435">
      <c r="A435" s="17" t="str">
        <f>IFERROR(__xludf.DUMMYFUNCTION("""COMPUTED_VALUE"""),"Gears of War: Judgment")</f>
        <v>Gears of War: Judgment</v>
      </c>
      <c r="B435" s="20" t="str">
        <f>IFERROR(__xludf.DUMMYFUNCTION("""COMPUTED_VALUE"""),"Xbox")</f>
        <v>Xbox</v>
      </c>
      <c r="C435" s="21" t="str">
        <f>IFERROR(__xludf.DUMMYFUNCTION("""COMPUTED_VALUE"""),"Yes")</f>
        <v>Yes</v>
      </c>
      <c r="D435" s="21" t="str">
        <f>IFERROR(__xludf.DUMMYFUNCTION("""COMPUTED_VALUE"""),"Active")</f>
        <v>Active</v>
      </c>
      <c r="E435" s="23">
        <f>IFERROR(__xludf.DUMMYFUNCTION("""COMPUTED_VALUE"""),42887.0)</f>
        <v>42887</v>
      </c>
      <c r="F435" s="24"/>
      <c r="G435" s="27">
        <f>IFERROR(__xludf.DUMMYFUNCTION("""COMPUTED_VALUE"""),112.16666666666666)</f>
        <v>112.1666667</v>
      </c>
      <c r="H435" s="23">
        <f>IFERROR(__xludf.DUMMYFUNCTION("""COMPUTED_VALUE"""),41352.0)</f>
        <v>41352</v>
      </c>
      <c r="I435" s="27">
        <f>IFERROR(__xludf.DUMMYFUNCTION("""COMPUTED_VALUE"""),4.2)</f>
        <v>4.2</v>
      </c>
      <c r="J435" s="29">
        <f>IFERROR(__xludf.DUMMYFUNCTION("""COMPUTED_VALUE"""),79.0)</f>
        <v>79</v>
      </c>
      <c r="K435" s="29">
        <f>IFERROR(__xludf.DUMMYFUNCTION("""COMPUTED_VALUE"""),7.0)</f>
        <v>7</v>
      </c>
      <c r="L435" s="31" t="str">
        <f>IFERROR(__xludf.DUMMYFUNCTION("""COMPUTED_VALUE"""),"Shooter")</f>
        <v>Shooter</v>
      </c>
      <c r="M435" s="31" t="str">
        <f>IFERROR(__xludf.DUMMYFUNCTION("""COMPUTED_VALUE"""),"FPS Boost")</f>
        <v>FPS Boost</v>
      </c>
    </row>
    <row r="436">
      <c r="A436" s="17" t="str">
        <f>IFERROR(__xludf.DUMMYFUNCTION("""COMPUTED_VALUE"""),"Kameo: Elements of Power")</f>
        <v>Kameo: Elements of Power</v>
      </c>
      <c r="B436" s="20" t="str">
        <f>IFERROR(__xludf.DUMMYFUNCTION("""COMPUTED_VALUE"""),"Xbox")</f>
        <v>Xbox</v>
      </c>
      <c r="C436" s="21" t="str">
        <f>IFERROR(__xludf.DUMMYFUNCTION("""COMPUTED_VALUE"""),"Yes")</f>
        <v>Yes</v>
      </c>
      <c r="D436" s="21" t="str">
        <f>IFERROR(__xludf.DUMMYFUNCTION("""COMPUTED_VALUE"""),"Active")</f>
        <v>Active</v>
      </c>
      <c r="E436" s="23">
        <f>IFERROR(__xludf.DUMMYFUNCTION("""COMPUTED_VALUE"""),42887.0)</f>
        <v>42887</v>
      </c>
      <c r="F436" s="24"/>
      <c r="G436" s="27">
        <f>IFERROR(__xludf.DUMMYFUNCTION("""COMPUTED_VALUE"""),112.16666666666666)</f>
        <v>112.1666667</v>
      </c>
      <c r="H436" s="23">
        <f>IFERROR(__xludf.DUMMYFUNCTION("""COMPUTED_VALUE"""),38670.0)</f>
        <v>38670</v>
      </c>
      <c r="I436" s="27">
        <f>IFERROR(__xludf.DUMMYFUNCTION("""COMPUTED_VALUE"""),11.547222222222222)</f>
        <v>11.54722222</v>
      </c>
      <c r="J436" s="29">
        <f>IFERROR(__xludf.DUMMYFUNCTION("""COMPUTED_VALUE"""),79.0)</f>
        <v>79</v>
      </c>
      <c r="K436" s="29">
        <f>IFERROR(__xludf.DUMMYFUNCTION("""COMPUTED_VALUE"""),9.5)</f>
        <v>9.5</v>
      </c>
      <c r="L436" s="31" t="str">
        <f>IFERROR(__xludf.DUMMYFUNCTION("""COMPUTED_VALUE"""),"Action-Adventure")</f>
        <v>Action-Adventure</v>
      </c>
      <c r="M436" s="31" t="str">
        <f>IFERROR(__xludf.DUMMYFUNCTION("""COMPUTED_VALUE"""),"FPS Boost")</f>
        <v>FPS Boost</v>
      </c>
    </row>
    <row r="437">
      <c r="A437" s="17" t="str">
        <f>IFERROR(__xludf.DUMMYFUNCTION("""COMPUTED_VALUE"""),"Pacific Drive")</f>
        <v>Pacific Drive</v>
      </c>
      <c r="B437" s="20" t="str">
        <f>IFERROR(__xludf.DUMMYFUNCTION("""COMPUTED_VALUE"""),"Xbox / PC")</f>
        <v>Xbox / PC</v>
      </c>
      <c r="C437" s="21" t="str">
        <f>IFERROR(__xludf.DUMMYFUNCTION("""COMPUTED_VALUE"""),"Yes")</f>
        <v>Yes</v>
      </c>
      <c r="D437" s="21" t="str">
        <f>IFERROR(__xludf.DUMMYFUNCTION("""COMPUTED_VALUE"""),"Leaving Soon")</f>
        <v>Leaving Soon</v>
      </c>
      <c r="E437" s="23">
        <f>IFERROR(__xludf.DUMMYFUNCTION("""COMPUTED_VALUE"""),45953.0)</f>
        <v>45953</v>
      </c>
      <c r="F437" s="24">
        <f>IFERROR(__xludf.DUMMYFUNCTION("""COMPUTED_VALUE"""),46310.0)</f>
        <v>46310</v>
      </c>
      <c r="G437" s="27">
        <f>IFERROR(__xludf.DUMMYFUNCTION("""COMPUTED_VALUE"""),11.733333333333333)</f>
        <v>11.73333333</v>
      </c>
      <c r="H437" s="23">
        <f>IFERROR(__xludf.DUMMYFUNCTION("""COMPUTED_VALUE"""),45343.0)</f>
        <v>45343</v>
      </c>
      <c r="I437" s="27">
        <f>IFERROR(__xludf.DUMMYFUNCTION("""COMPUTED_VALUE"""),1.6722222222222223)</f>
        <v>1.672222222</v>
      </c>
      <c r="J437" s="29">
        <f>IFERROR(__xludf.DUMMYFUNCTION("""COMPUTED_VALUE"""),79.0)</f>
        <v>79</v>
      </c>
      <c r="K437" s="29">
        <f>IFERROR(__xludf.DUMMYFUNCTION("""COMPUTED_VALUE"""),20.0)</f>
        <v>20</v>
      </c>
      <c r="L437" s="31" t="str">
        <f>IFERROR(__xludf.DUMMYFUNCTION("""COMPUTED_VALUE"""),"Racing")</f>
        <v>Racing</v>
      </c>
      <c r="M437" s="31" t="str">
        <f>IFERROR(__xludf.DUMMYFUNCTION("""COMPUTED_VALUE"""),"Exclusive")</f>
        <v>Exclusive</v>
      </c>
    </row>
    <row r="438">
      <c r="A438" s="17" t="str">
        <f>IFERROR(__xludf.DUMMYFUNCTION("""COMPUTED_VALUE"""),"Lego Batman")</f>
        <v>Lego Batman</v>
      </c>
      <c r="B438" s="20" t="str">
        <f>IFERROR(__xludf.DUMMYFUNCTION("""COMPUTED_VALUE"""),"XB360/OG Xbox")</f>
        <v>XB360/OG Xbox</v>
      </c>
      <c r="C438" s="21"/>
      <c r="D438" s="21" t="str">
        <f>IFERROR(__xludf.DUMMYFUNCTION("""COMPUTED_VALUE"""),"GwG Permanent")</f>
        <v>GwG Permanent</v>
      </c>
      <c r="E438" s="23">
        <f>IFERROR(__xludf.DUMMYFUNCTION("""COMPUTED_VALUE"""),44317.0)</f>
        <v>44317</v>
      </c>
      <c r="F438" s="24">
        <f>IFERROR(__xludf.DUMMYFUNCTION("""COMPUTED_VALUE"""),44331.0)</f>
        <v>44331</v>
      </c>
      <c r="G438" s="27">
        <f>IFERROR(__xludf.DUMMYFUNCTION("""COMPUTED_VALUE"""),0.4666666666666667)</f>
        <v>0.4666666667</v>
      </c>
      <c r="H438" s="23">
        <f>IFERROR(__xludf.DUMMYFUNCTION("""COMPUTED_VALUE"""),39741.0)</f>
        <v>39741</v>
      </c>
      <c r="I438" s="27">
        <f>IFERROR(__xludf.DUMMYFUNCTION("""COMPUTED_VALUE"""),12.530555555555555)</f>
        <v>12.53055556</v>
      </c>
      <c r="J438" s="29">
        <f>IFERROR(__xludf.DUMMYFUNCTION("""COMPUTED_VALUE"""),79.0)</f>
        <v>79</v>
      </c>
      <c r="K438" s="29">
        <f>IFERROR(__xludf.DUMMYFUNCTION("""COMPUTED_VALUE"""),10.0)</f>
        <v>10</v>
      </c>
      <c r="L438" s="31" t="str">
        <f>IFERROR(__xludf.DUMMYFUNCTION("""COMPUTED_VALUE"""),"Action-Adventure")</f>
        <v>Action-Adventure</v>
      </c>
      <c r="M438" s="31"/>
    </row>
    <row r="439">
      <c r="A439" s="17" t="str">
        <f>IFERROR(__xludf.DUMMYFUNCTION("""COMPUTED_VALUE"""),"The King of Fighters XIII")</f>
        <v>The King of Fighters XIII</v>
      </c>
      <c r="B439" s="20" t="str">
        <f>IFERROR(__xludf.DUMMYFUNCTION("""COMPUTED_VALUE"""),"XB360/OG Xbox")</f>
        <v>XB360/OG Xbox</v>
      </c>
      <c r="C439" s="21"/>
      <c r="D439" s="21" t="str">
        <f>IFERROR(__xludf.DUMMYFUNCTION("""COMPUTED_VALUE"""),"GwG Permanent")</f>
        <v>GwG Permanent</v>
      </c>
      <c r="E439" s="23">
        <f>IFERROR(__xludf.DUMMYFUNCTION("""COMPUTED_VALUE"""),44197.0)</f>
        <v>44197</v>
      </c>
      <c r="F439" s="24">
        <f>IFERROR(__xludf.DUMMYFUNCTION("""COMPUTED_VALUE"""),44211.0)</f>
        <v>44211</v>
      </c>
      <c r="G439" s="27">
        <f>IFERROR(__xludf.DUMMYFUNCTION("""COMPUTED_VALUE"""),0.4666666666666667)</f>
        <v>0.4666666667</v>
      </c>
      <c r="H439" s="23">
        <f>IFERROR(__xludf.DUMMYFUNCTION("""COMPUTED_VALUE"""),40869.0)</f>
        <v>40869</v>
      </c>
      <c r="I439" s="27">
        <f>IFERROR(__xludf.DUMMYFUNCTION("""COMPUTED_VALUE"""),9.108333333333333)</f>
        <v>9.108333333</v>
      </c>
      <c r="J439" s="29">
        <f>IFERROR(__xludf.DUMMYFUNCTION("""COMPUTED_VALUE"""),79.0)</f>
        <v>79</v>
      </c>
      <c r="K439" s="29">
        <f>IFERROR(__xludf.DUMMYFUNCTION("""COMPUTED_VALUE"""),2.5)</f>
        <v>2.5</v>
      </c>
      <c r="L439" s="31" t="str">
        <f>IFERROR(__xludf.DUMMYFUNCTION("""COMPUTED_VALUE"""),"Fighting")</f>
        <v>Fighting</v>
      </c>
      <c r="M439" s="31"/>
    </row>
    <row r="440">
      <c r="A440" s="17" t="str">
        <f>IFERROR(__xludf.DUMMYFUNCTION("""COMPUTED_VALUE"""),"Overlord II")</f>
        <v>Overlord II</v>
      </c>
      <c r="B440" s="20" t="str">
        <f>IFERROR(__xludf.DUMMYFUNCTION("""COMPUTED_VALUE"""),"XB360/OG Xbox")</f>
        <v>XB360/OG Xbox</v>
      </c>
      <c r="C440" s="21"/>
      <c r="D440" s="21" t="str">
        <f>IFERROR(__xludf.DUMMYFUNCTION("""COMPUTED_VALUE"""),"GwG Permanent")</f>
        <v>GwG Permanent</v>
      </c>
      <c r="E440" s="23">
        <f>IFERROR(__xludf.DUMMYFUNCTION("""COMPUTED_VALUE"""),43967.0)</f>
        <v>43967</v>
      </c>
      <c r="F440" s="24">
        <f>IFERROR(__xludf.DUMMYFUNCTION("""COMPUTED_VALUE"""),43982.0)</f>
        <v>43982</v>
      </c>
      <c r="G440" s="27">
        <f>IFERROR(__xludf.DUMMYFUNCTION("""COMPUTED_VALUE"""),0.4666666666666667)</f>
        <v>0.4666666667</v>
      </c>
      <c r="H440" s="23">
        <f>IFERROR(__xludf.DUMMYFUNCTION("""COMPUTED_VALUE"""),39987.0)</f>
        <v>39987</v>
      </c>
      <c r="I440" s="27">
        <f>IFERROR(__xludf.DUMMYFUNCTION("""COMPUTED_VALUE"""),10.897222222222222)</f>
        <v>10.89722222</v>
      </c>
      <c r="J440" s="29">
        <f>IFERROR(__xludf.DUMMYFUNCTION("""COMPUTED_VALUE"""),79.0)</f>
        <v>79</v>
      </c>
      <c r="K440" s="29">
        <f>IFERROR(__xludf.DUMMYFUNCTION("""COMPUTED_VALUE"""),9.0)</f>
        <v>9</v>
      </c>
      <c r="L440" s="31" t="str">
        <f>IFERROR(__xludf.DUMMYFUNCTION("""COMPUTED_VALUE"""),"Action-Adventure")</f>
        <v>Action-Adventure</v>
      </c>
      <c r="M440" s="31"/>
    </row>
    <row r="441">
      <c r="A441" s="17" t="str">
        <f>IFERROR(__xludf.DUMMYFUNCTION("""COMPUTED_VALUE"""),"Mirror's Edge")</f>
        <v>Mirror's Edge</v>
      </c>
      <c r="B441" s="20" t="str">
        <f>IFERROR(__xludf.DUMMYFUNCTION("""COMPUTED_VALUE"""),"XB360/OG Xbox")</f>
        <v>XB360/OG Xbox</v>
      </c>
      <c r="C441" s="21"/>
      <c r="D441" s="21" t="str">
        <f>IFERROR(__xludf.DUMMYFUNCTION("""COMPUTED_VALUE"""),"GwG Permanent")</f>
        <v>GwG Permanent</v>
      </c>
      <c r="E441" s="23">
        <f>IFERROR(__xludf.DUMMYFUNCTION("""COMPUTED_VALUE"""),42629.0)</f>
        <v>42629</v>
      </c>
      <c r="F441" s="24">
        <f>IFERROR(__xludf.DUMMYFUNCTION("""COMPUTED_VALUE"""),42643.0)</f>
        <v>42643</v>
      </c>
      <c r="G441" s="27">
        <f>IFERROR(__xludf.DUMMYFUNCTION("""COMPUTED_VALUE"""),0.4666666666666667)</f>
        <v>0.4666666667</v>
      </c>
      <c r="H441" s="23">
        <f>IFERROR(__xludf.DUMMYFUNCTION("""COMPUTED_VALUE"""),39763.0)</f>
        <v>39763</v>
      </c>
      <c r="I441" s="27">
        <f>IFERROR(__xludf.DUMMYFUNCTION("""COMPUTED_VALUE"""),7.847222222222222)</f>
        <v>7.847222222</v>
      </c>
      <c r="J441" s="29">
        <f>IFERROR(__xludf.DUMMYFUNCTION("""COMPUTED_VALUE"""),79.0)</f>
        <v>79</v>
      </c>
      <c r="K441" s="29">
        <f>IFERROR(__xludf.DUMMYFUNCTION("""COMPUTED_VALUE"""),8.0)</f>
        <v>8</v>
      </c>
      <c r="L441" s="31" t="str">
        <f>IFERROR(__xludf.DUMMYFUNCTION("""COMPUTED_VALUE"""),"Action-Adventure")</f>
        <v>Action-Adventure</v>
      </c>
      <c r="M441" s="31" t="str">
        <f>IFERROR(__xludf.DUMMYFUNCTION("""COMPUTED_VALUE"""),"Enhanced")</f>
        <v>Enhanced</v>
      </c>
    </row>
    <row r="442">
      <c r="A442" s="17" t="str">
        <f>IFERROR(__xludf.DUMMYFUNCTION("""COMPUTED_VALUE"""),"Dead Rising 2")</f>
        <v>Dead Rising 2</v>
      </c>
      <c r="B442" s="20" t="str">
        <f>IFERROR(__xludf.DUMMYFUNCTION("""COMPUTED_VALUE"""),"XB360/OG Xbox")</f>
        <v>XB360/OG Xbox</v>
      </c>
      <c r="C442" s="21"/>
      <c r="D442" s="21" t="str">
        <f>IFERROR(__xludf.DUMMYFUNCTION("""COMPUTED_VALUE"""),"GwG Permanent")</f>
        <v>GwG Permanent</v>
      </c>
      <c r="E442" s="23">
        <f>IFERROR(__xludf.DUMMYFUNCTION("""COMPUTED_VALUE"""),41502.0)</f>
        <v>41502</v>
      </c>
      <c r="F442" s="24">
        <f>IFERROR(__xludf.DUMMYFUNCTION("""COMPUTED_VALUE"""),41517.0)</f>
        <v>41517</v>
      </c>
      <c r="G442" s="27">
        <f>IFERROR(__xludf.DUMMYFUNCTION("""COMPUTED_VALUE"""),0.4666666666666667)</f>
        <v>0.4666666667</v>
      </c>
      <c r="H442" s="23">
        <f>IFERROR(__xludf.DUMMYFUNCTION("""COMPUTED_VALUE"""),40786.0)</f>
        <v>40786</v>
      </c>
      <c r="I442" s="27">
        <f>IFERROR(__xludf.DUMMYFUNCTION("""COMPUTED_VALUE"""),1.961111111111111)</f>
        <v>1.961111111</v>
      </c>
      <c r="J442" s="29">
        <f>IFERROR(__xludf.DUMMYFUNCTION("""COMPUTED_VALUE"""),79.0)</f>
        <v>79</v>
      </c>
      <c r="K442" s="29">
        <f>IFERROR(__xludf.DUMMYFUNCTION("""COMPUTED_VALUE"""),18.0)</f>
        <v>18</v>
      </c>
      <c r="L442" s="31" t="str">
        <f>IFERROR(__xludf.DUMMYFUNCTION("""COMPUTED_VALUE"""),"Action")</f>
        <v>Action</v>
      </c>
      <c r="M442" s="31"/>
    </row>
    <row r="443">
      <c r="A443" s="17" t="str">
        <f>IFERROR(__xludf.DUMMYFUNCTION("""COMPUTED_VALUE"""),"Star Wars Squadrons")</f>
        <v>Star Wars Squadrons</v>
      </c>
      <c r="B443" s="20" t="str">
        <f>IFERROR(__xludf.DUMMYFUNCTION("""COMPUTED_VALUE"""),"Xbox / PC")</f>
        <v>Xbox / PC</v>
      </c>
      <c r="C443" s="21" t="str">
        <f>IFERROR(__xludf.DUMMYFUNCTION("""COMPUTED_VALUE"""),"Touch Controls")</f>
        <v>Touch Controls</v>
      </c>
      <c r="D443" s="21" t="str">
        <f>IFERROR(__xludf.DUMMYFUNCTION("""COMPUTED_VALUE"""),"Active")</f>
        <v>Active</v>
      </c>
      <c r="E443" s="23">
        <f>IFERROR(__xludf.DUMMYFUNCTION("""COMPUTED_VALUE"""),44273.0)</f>
        <v>44273</v>
      </c>
      <c r="F443" s="24"/>
      <c r="G443" s="27">
        <f>IFERROR(__xludf.DUMMYFUNCTION("""COMPUTED_VALUE"""),66.6)</f>
        <v>66.6</v>
      </c>
      <c r="H443" s="23">
        <f>IFERROR(__xludf.DUMMYFUNCTION("""COMPUTED_VALUE"""),44106.0)</f>
        <v>44106</v>
      </c>
      <c r="I443" s="27">
        <f>IFERROR(__xludf.DUMMYFUNCTION("""COMPUTED_VALUE"""),0.46111111111111114)</f>
        <v>0.4611111111</v>
      </c>
      <c r="J443" s="29">
        <f>IFERROR(__xludf.DUMMYFUNCTION("""COMPUTED_VALUE"""),78.5)</f>
        <v>78.5</v>
      </c>
      <c r="K443" s="29">
        <f>IFERROR(__xludf.DUMMYFUNCTION("""COMPUTED_VALUE"""),9.0)</f>
        <v>9</v>
      </c>
      <c r="L443" s="31" t="str">
        <f>IFERROR(__xludf.DUMMYFUNCTION("""COMPUTED_VALUE"""),"Flight")</f>
        <v>Flight</v>
      </c>
      <c r="M443" s="31" t="str">
        <f>IFERROR(__xludf.DUMMYFUNCTION("""COMPUTED_VALUE"""),"Optimized")</f>
        <v>Optimized</v>
      </c>
    </row>
    <row r="444">
      <c r="A444" s="17" t="str">
        <f>IFERROR(__xludf.DUMMYFUNCTION("""COMPUTED_VALUE"""),"Dune: Awakening")</f>
        <v>Dune: Awakening</v>
      </c>
      <c r="B444" s="20" t="str">
        <f>IFERROR(__xludf.DUMMYFUNCTION("""COMPUTED_VALUE"""),"Xbox / PC")</f>
        <v>Xbox / PC</v>
      </c>
      <c r="C444" s="21" t="str">
        <f>IFERROR(__xludf.DUMMYFUNCTION("""COMPUTED_VALUE"""),"Yes")</f>
        <v>Yes</v>
      </c>
      <c r="D444" s="21" t="str">
        <f>IFERROR(__xludf.DUMMYFUNCTION("""COMPUTED_VALUE"""),"Active")</f>
        <v>Active</v>
      </c>
      <c r="E444" s="23">
        <f>IFERROR(__xludf.DUMMYFUNCTION("""COMPUTED_VALUE"""),46287.0)</f>
        <v>46287</v>
      </c>
      <c r="F444" s="24"/>
      <c r="G444" s="27">
        <f>IFERROR(__xludf.DUMMYFUNCTION("""COMPUTED_VALUE"""),0.4666666666666667)</f>
        <v>0.4666666667</v>
      </c>
      <c r="H444" s="23">
        <f>IFERROR(__xludf.DUMMYFUNCTION("""COMPUTED_VALUE"""),45818.0)</f>
        <v>45818</v>
      </c>
      <c r="I444" s="27">
        <f>IFERROR(__xludf.DUMMYFUNCTION("""COMPUTED_VALUE"""),1.2833333333333334)</f>
        <v>1.283333333</v>
      </c>
      <c r="J444" s="29">
        <f>IFERROR(__xludf.DUMMYFUNCTION("""COMPUTED_VALUE"""),78.0)</f>
        <v>78</v>
      </c>
      <c r="K444" s="29">
        <f>IFERROR(__xludf.DUMMYFUNCTION("""COMPUTED_VALUE"""),114.0)</f>
        <v>114</v>
      </c>
      <c r="L444" s="31" t="str">
        <f>IFERROR(__xludf.DUMMYFUNCTION("""COMPUTED_VALUE"""),"Action-Adventure")</f>
        <v>Action-Adventure</v>
      </c>
      <c r="M444" s="31" t="str">
        <f>IFERROR(__xludf.DUMMYFUNCTION("""COMPUTED_VALUE"""),"Exclusive")</f>
        <v>Exclusive</v>
      </c>
    </row>
    <row r="445">
      <c r="A445" s="17" t="str">
        <f>IFERROR(__xludf.DUMMYFUNCTION("""COMPUTED_VALUE"""),"Virtua Fighter 5 R.E.V.O. World Stage")</f>
        <v>Virtua Fighter 5 R.E.V.O. World Stage</v>
      </c>
      <c r="B445" s="20" t="str">
        <f>IFERROR(__xludf.DUMMYFUNCTION("""COMPUTED_VALUE"""),"Xbox / PC")</f>
        <v>Xbox / PC</v>
      </c>
      <c r="C445" s="21" t="str">
        <f>IFERROR(__xludf.DUMMYFUNCTION("""COMPUTED_VALUE"""),"Yes")</f>
        <v>Yes</v>
      </c>
      <c r="D445" s="21" t="str">
        <f>IFERROR(__xludf.DUMMYFUNCTION("""COMPUTED_VALUE"""),"Active")</f>
        <v>Active</v>
      </c>
      <c r="E445" s="23">
        <f>IFERROR(__xludf.DUMMYFUNCTION("""COMPUTED_VALUE"""),46275.0)</f>
        <v>46275</v>
      </c>
      <c r="F445" s="24"/>
      <c r="G445" s="27">
        <f>IFERROR(__xludf.DUMMYFUNCTION("""COMPUTED_VALUE"""),0.8666666666666666)</f>
        <v>0.8666666667</v>
      </c>
      <c r="H445" s="23">
        <f>IFERROR(__xludf.DUMMYFUNCTION("""COMPUTED_VALUE"""),45960.0)</f>
        <v>45960</v>
      </c>
      <c r="I445" s="27">
        <f>IFERROR(__xludf.DUMMYFUNCTION("""COMPUTED_VALUE"""),0.8611111111111112)</f>
        <v>0.8611111111</v>
      </c>
      <c r="J445" s="29">
        <f>IFERROR(__xludf.DUMMYFUNCTION("""COMPUTED_VALUE"""),78.0)</f>
        <v>78</v>
      </c>
      <c r="K445" s="29">
        <f>IFERROR(__xludf.DUMMYFUNCTION("""COMPUTED_VALUE"""),1.0)</f>
        <v>1</v>
      </c>
      <c r="L445" s="31" t="str">
        <f>IFERROR(__xludf.DUMMYFUNCTION("""COMPUTED_VALUE"""),"Fighting")</f>
        <v>Fighting</v>
      </c>
      <c r="M445" s="31" t="str">
        <f>IFERROR(__xludf.DUMMYFUNCTION("""COMPUTED_VALUE"""),"Exclusive")</f>
        <v>Exclusive</v>
      </c>
    </row>
    <row r="446">
      <c r="A446" s="17" t="str">
        <f>IFERROR(__xludf.DUMMYFUNCTION("""COMPUTED_VALUE"""),"Resonance: A Plague Tale Legacy")</f>
        <v>Resonance: A Plague Tale Legacy</v>
      </c>
      <c r="B446" s="20" t="str">
        <f>IFERROR(__xludf.DUMMYFUNCTION("""COMPUTED_VALUE"""),"Xbox / PC")</f>
        <v>Xbox / PC</v>
      </c>
      <c r="C446" s="21" t="str">
        <f>IFERROR(__xludf.DUMMYFUNCTION("""COMPUTED_VALUE"""),"Yes")</f>
        <v>Yes</v>
      </c>
      <c r="D446" s="21" t="str">
        <f>IFERROR(__xludf.DUMMYFUNCTION("""COMPUTED_VALUE"""),"Active")</f>
        <v>Active</v>
      </c>
      <c r="E446" s="23">
        <f>IFERROR(__xludf.DUMMYFUNCTION("""COMPUTED_VALUE"""),46261.0)</f>
        <v>46261</v>
      </c>
      <c r="F446" s="24"/>
      <c r="G446" s="27">
        <f>IFERROR(__xludf.DUMMYFUNCTION("""COMPUTED_VALUE"""),1.3)</f>
        <v>1.3</v>
      </c>
      <c r="H446" s="23">
        <f>IFERROR(__xludf.DUMMYFUNCTION("""COMPUTED_VALUE"""),46261.0)</f>
        <v>46261</v>
      </c>
      <c r="I446" s="27">
        <f>IFERROR(__xludf.DUMMYFUNCTION("""COMPUTED_VALUE"""),0.0)</f>
        <v>0</v>
      </c>
      <c r="J446" s="29">
        <f>IFERROR(__xludf.DUMMYFUNCTION("""COMPUTED_VALUE"""),78.0)</f>
        <v>78</v>
      </c>
      <c r="K446" s="29">
        <f>IFERROR(__xludf.DUMMYFUNCTION("""COMPUTED_VALUE"""),12.0)</f>
        <v>12</v>
      </c>
      <c r="L446" s="31" t="str">
        <f>IFERROR(__xludf.DUMMYFUNCTION("""COMPUTED_VALUE"""),"Action-Adventure")</f>
        <v>Action-Adventure</v>
      </c>
      <c r="M446" s="31" t="str">
        <f>IFERROR(__xludf.DUMMYFUNCTION("""COMPUTED_VALUE"""),"Exclusive")</f>
        <v>Exclusive</v>
      </c>
    </row>
    <row r="447">
      <c r="A447" s="17" t="str">
        <f>IFERROR(__xludf.DUMMYFUNCTION("""COMPUTED_VALUE"""),"Date Everything!")</f>
        <v>Date Everything!</v>
      </c>
      <c r="B447" s="20" t="str">
        <f>IFERROR(__xludf.DUMMYFUNCTION("""COMPUTED_VALUE"""),"Xbox / PC")</f>
        <v>Xbox / PC</v>
      </c>
      <c r="C447" s="21" t="str">
        <f>IFERROR(__xludf.DUMMYFUNCTION("""COMPUTED_VALUE"""),"Yes")</f>
        <v>Yes</v>
      </c>
      <c r="D447" s="21" t="str">
        <f>IFERROR(__xludf.DUMMYFUNCTION("""COMPUTED_VALUE"""),"Active")</f>
        <v>Active</v>
      </c>
      <c r="E447" s="23">
        <f>IFERROR(__xludf.DUMMYFUNCTION("""COMPUTED_VALUE"""),46245.0)</f>
        <v>46245</v>
      </c>
      <c r="F447" s="24"/>
      <c r="G447" s="27">
        <f>IFERROR(__xludf.DUMMYFUNCTION("""COMPUTED_VALUE"""),1.8333333333333335)</f>
        <v>1.833333333</v>
      </c>
      <c r="H447" s="23">
        <f>IFERROR(__xludf.DUMMYFUNCTION("""COMPUTED_VALUE"""),45825.0)</f>
        <v>45825</v>
      </c>
      <c r="I447" s="27">
        <f>IFERROR(__xludf.DUMMYFUNCTION("""COMPUTED_VALUE"""),1.15)</f>
        <v>1.15</v>
      </c>
      <c r="J447" s="29">
        <f>IFERROR(__xludf.DUMMYFUNCTION("""COMPUTED_VALUE"""),78.0)</f>
        <v>78</v>
      </c>
      <c r="K447" s="29">
        <f>IFERROR(__xludf.DUMMYFUNCTION("""COMPUTED_VALUE"""),15.0)</f>
        <v>15</v>
      </c>
      <c r="L447" s="31" t="str">
        <f>IFERROR(__xludf.DUMMYFUNCTION("""COMPUTED_VALUE"""),"Simulation")</f>
        <v>Simulation</v>
      </c>
      <c r="M447" s="31" t="str">
        <f>IFERROR(__xludf.DUMMYFUNCTION("""COMPUTED_VALUE"""),"Exclusive")</f>
        <v>Exclusive</v>
      </c>
    </row>
    <row r="448">
      <c r="A448" s="17" t="str">
        <f>IFERROR(__xludf.DUMMYFUNCTION("""COMPUTED_VALUE"""),"Mavrix by Matt Jones")</f>
        <v>Mavrix by Matt Jones</v>
      </c>
      <c r="B448" s="20" t="str">
        <f>IFERROR(__xludf.DUMMYFUNCTION("""COMPUTED_VALUE"""),"Xbox / PC")</f>
        <v>Xbox / PC</v>
      </c>
      <c r="C448" s="21" t="str">
        <f>IFERROR(__xludf.DUMMYFUNCTION("""COMPUTED_VALUE"""),"Yes")</f>
        <v>Yes</v>
      </c>
      <c r="D448" s="21" t="str">
        <f>IFERROR(__xludf.DUMMYFUNCTION("""COMPUTED_VALUE"""),"Active")</f>
        <v>Active</v>
      </c>
      <c r="E448" s="23">
        <f>IFERROR(__xludf.DUMMYFUNCTION("""COMPUTED_VALUE"""),46219.0)</f>
        <v>46219</v>
      </c>
      <c r="F448" s="24"/>
      <c r="G448" s="27">
        <f>IFERROR(__xludf.DUMMYFUNCTION("""COMPUTED_VALUE"""),2.6666666666666665)</f>
        <v>2.666666667</v>
      </c>
      <c r="H448" s="23">
        <f>IFERROR(__xludf.DUMMYFUNCTION("""COMPUTED_VALUE"""),46219.0)</f>
        <v>46219</v>
      </c>
      <c r="I448" s="27">
        <f>IFERROR(__xludf.DUMMYFUNCTION("""COMPUTED_VALUE"""),0.0)</f>
        <v>0</v>
      </c>
      <c r="J448" s="29">
        <f>IFERROR(__xludf.DUMMYFUNCTION("""COMPUTED_VALUE"""),78.0)</f>
        <v>78</v>
      </c>
      <c r="K448" s="29"/>
      <c r="L448" s="31" t="str">
        <f>IFERROR(__xludf.DUMMYFUNCTION("""COMPUTED_VALUE"""),"Racing")</f>
        <v>Racing</v>
      </c>
      <c r="M448" s="31" t="str">
        <f>IFERROR(__xludf.DUMMYFUNCTION("""COMPUTED_VALUE"""),"Exclusive")</f>
        <v>Exclusive</v>
      </c>
    </row>
    <row r="449">
      <c r="A449" s="17" t="str">
        <f>IFERROR(__xludf.DUMMYFUNCTION("""COMPUTED_VALUE"""),"Junkster")</f>
        <v>Junkster</v>
      </c>
      <c r="B449" s="20" t="str">
        <f>IFERROR(__xludf.DUMMYFUNCTION("""COMPUTED_VALUE"""),"Xbox / PC")</f>
        <v>Xbox / PC</v>
      </c>
      <c r="C449" s="21" t="str">
        <f>IFERROR(__xludf.DUMMYFUNCTION("""COMPUTED_VALUE"""),"Yes")</f>
        <v>Yes</v>
      </c>
      <c r="D449" s="21" t="str">
        <f>IFERROR(__xludf.DUMMYFUNCTION("""COMPUTED_VALUE"""),"Active")</f>
        <v>Active</v>
      </c>
      <c r="E449" s="23">
        <f>IFERROR(__xludf.DUMMYFUNCTION("""COMPUTED_VALUE"""),46189.0)</f>
        <v>46189</v>
      </c>
      <c r="F449" s="24"/>
      <c r="G449" s="27">
        <f>IFERROR(__xludf.DUMMYFUNCTION("""COMPUTED_VALUE"""),3.666666666666667)</f>
        <v>3.666666667</v>
      </c>
      <c r="H449" s="23">
        <f>IFERROR(__xludf.DUMMYFUNCTION("""COMPUTED_VALUE"""),46189.0)</f>
        <v>46189</v>
      </c>
      <c r="I449" s="27">
        <f>IFERROR(__xludf.DUMMYFUNCTION("""COMPUTED_VALUE"""),0.0)</f>
        <v>0</v>
      </c>
      <c r="J449" s="29">
        <f>IFERROR(__xludf.DUMMYFUNCTION("""COMPUTED_VALUE"""),78.0)</f>
        <v>78</v>
      </c>
      <c r="K449" s="29">
        <f>IFERROR(__xludf.DUMMYFUNCTION("""COMPUTED_VALUE"""),4.0)</f>
        <v>4</v>
      </c>
      <c r="L449" s="31" t="str">
        <f>IFERROR(__xludf.DUMMYFUNCTION("""COMPUTED_VALUE"""),"Action-Adventure")</f>
        <v>Action-Adventure</v>
      </c>
      <c r="M449" s="31" t="str">
        <f>IFERROR(__xludf.DUMMYFUNCTION("""COMPUTED_VALUE"""),"Exclusive")</f>
        <v>Exclusive</v>
      </c>
    </row>
    <row r="450">
      <c r="A450" s="17" t="str">
        <f>IFERROR(__xludf.DUMMYFUNCTION("""COMPUTED_VALUE"""),"Kabuto Park")</f>
        <v>Kabuto Park</v>
      </c>
      <c r="B450" s="20" t="str">
        <f>IFERROR(__xludf.DUMMYFUNCTION("""COMPUTED_VALUE"""),"Xbox / PC")</f>
        <v>Xbox / PC</v>
      </c>
      <c r="C450" s="21" t="str">
        <f>IFERROR(__xludf.DUMMYFUNCTION("""COMPUTED_VALUE"""),"Yes")</f>
        <v>Yes</v>
      </c>
      <c r="D450" s="21" t="str">
        <f>IFERROR(__xludf.DUMMYFUNCTION("""COMPUTED_VALUE"""),"Active")</f>
        <v>Active</v>
      </c>
      <c r="E450" s="23">
        <f>IFERROR(__xludf.DUMMYFUNCTION("""COMPUTED_VALUE"""),46170.0)</f>
        <v>46170</v>
      </c>
      <c r="F450" s="24"/>
      <c r="G450" s="27">
        <f>IFERROR(__xludf.DUMMYFUNCTION("""COMPUTED_VALUE"""),4.266666666666667)</f>
        <v>4.266666667</v>
      </c>
      <c r="H450" s="23">
        <f>IFERROR(__xludf.DUMMYFUNCTION("""COMPUTED_VALUE"""),46170.0)</f>
        <v>46170</v>
      </c>
      <c r="I450" s="27">
        <f>IFERROR(__xludf.DUMMYFUNCTION("""COMPUTED_VALUE"""),0.0)</f>
        <v>0</v>
      </c>
      <c r="J450" s="29">
        <f>IFERROR(__xludf.DUMMYFUNCTION("""COMPUTED_VALUE"""),78.0)</f>
        <v>78</v>
      </c>
      <c r="K450" s="29">
        <f>IFERROR(__xludf.DUMMYFUNCTION("""COMPUTED_VALUE"""),2.0)</f>
        <v>2</v>
      </c>
      <c r="L450" s="31" t="str">
        <f>IFERROR(__xludf.DUMMYFUNCTION("""COMPUTED_VALUE"""),"Simulation")</f>
        <v>Simulation</v>
      </c>
      <c r="M450" s="31" t="str">
        <f>IFERROR(__xludf.DUMMYFUNCTION("""COMPUTED_VALUE"""),"Exclusive")</f>
        <v>Exclusive</v>
      </c>
    </row>
    <row r="451">
      <c r="A451" s="17" t="str">
        <f>IFERROR(__xludf.DUMMYFUNCTION("""COMPUTED_VALUE"""),"Kingdom Come: Deliverance")</f>
        <v>Kingdom Come: Deliverance</v>
      </c>
      <c r="B451" s="20" t="str">
        <f>IFERROR(__xludf.DUMMYFUNCTION("""COMPUTED_VALUE"""),"Xbox / PC")</f>
        <v>Xbox / PC</v>
      </c>
      <c r="C451" s="21" t="str">
        <f>IFERROR(__xludf.DUMMYFUNCTION("""COMPUTED_VALUE"""),"Yes")</f>
        <v>Yes</v>
      </c>
      <c r="D451" s="21" t="str">
        <f>IFERROR(__xludf.DUMMYFUNCTION("""COMPUTED_VALUE"""),"Active")</f>
        <v>Active</v>
      </c>
      <c r="E451" s="23">
        <f>IFERROR(__xludf.DUMMYFUNCTION("""COMPUTED_VALUE"""),46066.0)</f>
        <v>46066</v>
      </c>
      <c r="F451" s="24"/>
      <c r="G451" s="27">
        <f>IFERROR(__xludf.DUMMYFUNCTION("""COMPUTED_VALUE"""),7.7666666666666675)</f>
        <v>7.766666667</v>
      </c>
      <c r="H451" s="23">
        <f>IFERROR(__xludf.DUMMYFUNCTION("""COMPUTED_VALUE"""),43144.0)</f>
        <v>43144</v>
      </c>
      <c r="I451" s="27">
        <f>IFERROR(__xludf.DUMMYFUNCTION("""COMPUTED_VALUE"""),8.0)</f>
        <v>8</v>
      </c>
      <c r="J451" s="29">
        <f>IFERROR(__xludf.DUMMYFUNCTION("""COMPUTED_VALUE"""),78.0)</f>
        <v>78</v>
      </c>
      <c r="K451" s="29">
        <f>IFERROR(__xludf.DUMMYFUNCTION("""COMPUTED_VALUE"""),50.0)</f>
        <v>50</v>
      </c>
      <c r="L451" s="31" t="str">
        <f>IFERROR(__xludf.DUMMYFUNCTION("""COMPUTED_VALUE"""),"Action-Adventure")</f>
        <v>Action-Adventure</v>
      </c>
      <c r="M451" s="31"/>
    </row>
    <row r="452">
      <c r="A452" s="17" t="str">
        <f>IFERROR(__xludf.DUMMYFUNCTION("""COMPUTED_VALUE"""),"Banishers: Ghosts of New Eden")</f>
        <v>Banishers: Ghosts of New Eden</v>
      </c>
      <c r="B452" s="20" t="str">
        <f>IFERROR(__xludf.DUMMYFUNCTION("""COMPUTED_VALUE"""),"Xbox / PC")</f>
        <v>Xbox / PC</v>
      </c>
      <c r="C452" s="21" t="str">
        <f>IFERROR(__xludf.DUMMYFUNCTION("""COMPUTED_VALUE"""),"Yes")</f>
        <v>Yes</v>
      </c>
      <c r="D452" s="21" t="str">
        <f>IFERROR(__xludf.DUMMYFUNCTION("""COMPUTED_VALUE"""),"Active")</f>
        <v>Active</v>
      </c>
      <c r="E452" s="23">
        <f>IFERROR(__xludf.DUMMYFUNCTION("""COMPUTED_VALUE"""),45986.0)</f>
        <v>45986</v>
      </c>
      <c r="F452" s="24"/>
      <c r="G452" s="27">
        <f>IFERROR(__xludf.DUMMYFUNCTION("""COMPUTED_VALUE"""),10.366666666666667)</f>
        <v>10.36666667</v>
      </c>
      <c r="H452" s="23">
        <f>IFERROR(__xludf.DUMMYFUNCTION("""COMPUTED_VALUE"""),45335.0)</f>
        <v>45335</v>
      </c>
      <c r="I452" s="27">
        <f>IFERROR(__xludf.DUMMYFUNCTION("""COMPUTED_VALUE"""),1.7833333333333334)</f>
        <v>1.783333333</v>
      </c>
      <c r="J452" s="29">
        <f>IFERROR(__xludf.DUMMYFUNCTION("""COMPUTED_VALUE"""),78.0)</f>
        <v>78</v>
      </c>
      <c r="K452" s="29">
        <f>IFERROR(__xludf.DUMMYFUNCTION("""COMPUTED_VALUE"""),27.0)</f>
        <v>27</v>
      </c>
      <c r="L452" s="31" t="str">
        <f>IFERROR(__xludf.DUMMYFUNCTION("""COMPUTED_VALUE"""),"Action-Adventure")</f>
        <v>Action-Adventure</v>
      </c>
      <c r="M452" s="31" t="str">
        <f>IFERROR(__xludf.DUMMYFUNCTION("""COMPUTED_VALUE"""),"Exclusive")</f>
        <v>Exclusive</v>
      </c>
    </row>
    <row r="453">
      <c r="A453" s="17" t="str">
        <f>IFERROR(__xludf.DUMMYFUNCTION("""COMPUTED_VALUE"""),"The Colonel's Bequest")</f>
        <v>The Colonel's Bequest</v>
      </c>
      <c r="B453" s="20" t="str">
        <f>IFERROR(__xludf.DUMMYFUNCTION("""COMPUTED_VALUE"""),"Xbox / PC")</f>
        <v>Xbox / PC</v>
      </c>
      <c r="C453" s="21" t="str">
        <f>IFERROR(__xludf.DUMMYFUNCTION("""COMPUTED_VALUE"""),"Yes")</f>
        <v>Yes</v>
      </c>
      <c r="D453" s="21" t="str">
        <f>IFERROR(__xludf.DUMMYFUNCTION("""COMPUTED_VALUE"""),"Active")</f>
        <v>Active</v>
      </c>
      <c r="E453" s="23">
        <f>IFERROR(__xludf.DUMMYFUNCTION("""COMPUTED_VALUE"""),45883.0)</f>
        <v>45883</v>
      </c>
      <c r="F453" s="24"/>
      <c r="G453" s="27">
        <f>IFERROR(__xludf.DUMMYFUNCTION("""COMPUTED_VALUE"""),13.733333333333333)</f>
        <v>13.73333333</v>
      </c>
      <c r="H453" s="23">
        <f>IFERROR(__xludf.DUMMYFUNCTION("""COMPUTED_VALUE"""),32782.0)</f>
        <v>32782</v>
      </c>
      <c r="I453" s="27">
        <f>IFERROR(__xludf.DUMMYFUNCTION("""COMPUTED_VALUE"""),35.86944444444445)</f>
        <v>35.86944444</v>
      </c>
      <c r="J453" s="29">
        <f>IFERROR(__xludf.DUMMYFUNCTION("""COMPUTED_VALUE"""),78.0)</f>
        <v>78</v>
      </c>
      <c r="K453" s="29">
        <f>IFERROR(__xludf.DUMMYFUNCTION("""COMPUTED_VALUE"""),3.5)</f>
        <v>3.5</v>
      </c>
      <c r="L453" s="31" t="str">
        <f>IFERROR(__xludf.DUMMYFUNCTION("""COMPUTED_VALUE"""),"Action-Adventure")</f>
        <v>Action-Adventure</v>
      </c>
      <c r="M453" s="31"/>
    </row>
    <row r="454">
      <c r="A454" s="17" t="str">
        <f>IFERROR(__xludf.DUMMYFUNCTION("""COMPUTED_VALUE"""),"Rematch")</f>
        <v>Rematch</v>
      </c>
      <c r="B454" s="20" t="str">
        <f>IFERROR(__xludf.DUMMYFUNCTION("""COMPUTED_VALUE"""),"Xbox / PC")</f>
        <v>Xbox / PC</v>
      </c>
      <c r="C454" s="21" t="str">
        <f>IFERROR(__xludf.DUMMYFUNCTION("""COMPUTED_VALUE"""),"Yes")</f>
        <v>Yes</v>
      </c>
      <c r="D454" s="21" t="str">
        <f>IFERROR(__xludf.DUMMYFUNCTION("""COMPUTED_VALUE"""),"Active")</f>
        <v>Active</v>
      </c>
      <c r="E454" s="23">
        <f>IFERROR(__xludf.DUMMYFUNCTION("""COMPUTED_VALUE"""),45827.0)</f>
        <v>45827</v>
      </c>
      <c r="F454" s="24"/>
      <c r="G454" s="27">
        <f>IFERROR(__xludf.DUMMYFUNCTION("""COMPUTED_VALUE"""),15.566666666666666)</f>
        <v>15.56666667</v>
      </c>
      <c r="H454" s="23">
        <f>IFERROR(__xludf.DUMMYFUNCTION("""COMPUTED_VALUE"""),45827.0)</f>
        <v>45827</v>
      </c>
      <c r="I454" s="27">
        <f>IFERROR(__xludf.DUMMYFUNCTION("""COMPUTED_VALUE"""),0.0)</f>
        <v>0</v>
      </c>
      <c r="J454" s="29">
        <f>IFERROR(__xludf.DUMMYFUNCTION("""COMPUTED_VALUE"""),78.0)</f>
        <v>78</v>
      </c>
      <c r="K454" s="29">
        <f>IFERROR(__xludf.DUMMYFUNCTION("""COMPUTED_VALUE"""),37.0)</f>
        <v>37</v>
      </c>
      <c r="L454" s="31" t="str">
        <f>IFERROR(__xludf.DUMMYFUNCTION("""COMPUTED_VALUE"""),"Sports")</f>
        <v>Sports</v>
      </c>
      <c r="M454" s="31" t="str">
        <f>IFERROR(__xludf.DUMMYFUNCTION("""COMPUTED_VALUE"""),"Exclusive")</f>
        <v>Exclusive</v>
      </c>
    </row>
    <row r="455">
      <c r="A455" s="17" t="str">
        <f>IFERROR(__xludf.DUMMYFUNCTION("""COMPUTED_VALUE"""),"Lost in Random: The Eternal Die")</f>
        <v>Lost in Random: The Eternal Die</v>
      </c>
      <c r="B455" s="20" t="str">
        <f>IFERROR(__xludf.DUMMYFUNCTION("""COMPUTED_VALUE"""),"Xbox / PC")</f>
        <v>Xbox / PC</v>
      </c>
      <c r="C455" s="21" t="str">
        <f>IFERROR(__xludf.DUMMYFUNCTION("""COMPUTED_VALUE"""),"Yes")</f>
        <v>Yes</v>
      </c>
      <c r="D455" s="21" t="str">
        <f>IFERROR(__xludf.DUMMYFUNCTION("""COMPUTED_VALUE"""),"Active")</f>
        <v>Active</v>
      </c>
      <c r="E455" s="23">
        <f>IFERROR(__xludf.DUMMYFUNCTION("""COMPUTED_VALUE"""),45825.0)</f>
        <v>45825</v>
      </c>
      <c r="F455" s="24"/>
      <c r="G455" s="27">
        <f>IFERROR(__xludf.DUMMYFUNCTION("""COMPUTED_VALUE"""),15.633333333333333)</f>
        <v>15.63333333</v>
      </c>
      <c r="H455" s="23">
        <f>IFERROR(__xludf.DUMMYFUNCTION("""COMPUTED_VALUE"""),45825.0)</f>
        <v>45825</v>
      </c>
      <c r="I455" s="27">
        <f>IFERROR(__xludf.DUMMYFUNCTION("""COMPUTED_VALUE"""),0.0)</f>
        <v>0</v>
      </c>
      <c r="J455" s="29">
        <f>IFERROR(__xludf.DUMMYFUNCTION("""COMPUTED_VALUE"""),78.0)</f>
        <v>78</v>
      </c>
      <c r="K455" s="29">
        <f>IFERROR(__xludf.DUMMYFUNCTION("""COMPUTED_VALUE"""),6.0)</f>
        <v>6</v>
      </c>
      <c r="L455" s="31" t="str">
        <f>IFERROR(__xludf.DUMMYFUNCTION("""COMPUTED_VALUE"""),"Action-Adventure")</f>
        <v>Action-Adventure</v>
      </c>
      <c r="M455" s="31" t="str">
        <f>IFERROR(__xludf.DUMMYFUNCTION("""COMPUTED_VALUE"""),"Exclusive")</f>
        <v>Exclusive</v>
      </c>
    </row>
    <row r="456">
      <c r="A456" s="17" t="str">
        <f>IFERROR(__xludf.DUMMYFUNCTION("""COMPUTED_VALUE"""),"Baldur's Gate: Enhanced Edition")</f>
        <v>Baldur's Gate: Enhanced Edition</v>
      </c>
      <c r="B456" s="20" t="str">
        <f>IFERROR(__xludf.DUMMYFUNCTION("""COMPUTED_VALUE"""),"Xbox / PC")</f>
        <v>Xbox / PC</v>
      </c>
      <c r="C456" s="21" t="str">
        <f>IFERROR(__xludf.DUMMYFUNCTION("""COMPUTED_VALUE"""),"Yes")</f>
        <v>Yes</v>
      </c>
      <c r="D456" s="21" t="str">
        <f>IFERROR(__xludf.DUMMYFUNCTION("""COMPUTED_VALUE"""),"Active")</f>
        <v>Active</v>
      </c>
      <c r="E456" s="23">
        <f>IFERROR(__xludf.DUMMYFUNCTION("""COMPUTED_VALUE"""),45813.0)</f>
        <v>45813</v>
      </c>
      <c r="F456" s="24"/>
      <c r="G456" s="27">
        <f>IFERROR(__xludf.DUMMYFUNCTION("""COMPUTED_VALUE"""),16.03333333333333)</f>
        <v>16.03333333</v>
      </c>
      <c r="H456" s="23">
        <f>IFERROR(__xludf.DUMMYFUNCTION("""COMPUTED_VALUE"""),41241.0)</f>
        <v>41241</v>
      </c>
      <c r="I456" s="27">
        <f>IFERROR(__xludf.DUMMYFUNCTION("""COMPUTED_VALUE"""),12.519444444444444)</f>
        <v>12.51944444</v>
      </c>
      <c r="J456" s="29">
        <f>IFERROR(__xludf.DUMMYFUNCTION("""COMPUTED_VALUE"""),78.0)</f>
        <v>78</v>
      </c>
      <c r="K456" s="29">
        <f>IFERROR(__xludf.DUMMYFUNCTION("""COMPUTED_VALUE"""),31.0)</f>
        <v>31</v>
      </c>
      <c r="L456" s="31" t="str">
        <f>IFERROR(__xludf.DUMMYFUNCTION("""COMPUTED_VALUE"""),"RPG")</f>
        <v>RPG</v>
      </c>
      <c r="M456" s="31"/>
    </row>
    <row r="457">
      <c r="A457" s="17" t="str">
        <f>IFERROR(__xludf.DUMMYFUNCTION("""COMPUTED_VALUE"""),"Baldur's Gate II: Enhanced Edition")</f>
        <v>Baldur's Gate II: Enhanced Edition</v>
      </c>
      <c r="B457" s="20" t="str">
        <f>IFERROR(__xludf.DUMMYFUNCTION("""COMPUTED_VALUE"""),"Xbox / PC")</f>
        <v>Xbox / PC</v>
      </c>
      <c r="C457" s="21" t="str">
        <f>IFERROR(__xludf.DUMMYFUNCTION("""COMPUTED_VALUE"""),"Yes")</f>
        <v>Yes</v>
      </c>
      <c r="D457" s="21" t="str">
        <f>IFERROR(__xludf.DUMMYFUNCTION("""COMPUTED_VALUE"""),"Active")</f>
        <v>Active</v>
      </c>
      <c r="E457" s="23">
        <f>IFERROR(__xludf.DUMMYFUNCTION("""COMPUTED_VALUE"""),45813.0)</f>
        <v>45813</v>
      </c>
      <c r="F457" s="24"/>
      <c r="G457" s="27">
        <f>IFERROR(__xludf.DUMMYFUNCTION("""COMPUTED_VALUE"""),16.03333333333333)</f>
        <v>16.03333333</v>
      </c>
      <c r="H457" s="23">
        <f>IFERROR(__xludf.DUMMYFUNCTION("""COMPUTED_VALUE"""),41593.0)</f>
        <v>41593</v>
      </c>
      <c r="I457" s="27">
        <f>IFERROR(__xludf.DUMMYFUNCTION("""COMPUTED_VALUE"""),11.555555555555555)</f>
        <v>11.55555556</v>
      </c>
      <c r="J457" s="29">
        <f>IFERROR(__xludf.DUMMYFUNCTION("""COMPUTED_VALUE"""),78.0)</f>
        <v>78</v>
      </c>
      <c r="K457" s="29">
        <f>IFERROR(__xludf.DUMMYFUNCTION("""COMPUTED_VALUE"""),45.0)</f>
        <v>45</v>
      </c>
      <c r="L457" s="31" t="str">
        <f>IFERROR(__xludf.DUMMYFUNCTION("""COMPUTED_VALUE"""),"RPG")</f>
        <v>RPG</v>
      </c>
      <c r="M457" s="31"/>
    </row>
    <row r="458">
      <c r="A458" s="17" t="str">
        <f>IFERROR(__xludf.DUMMYFUNCTION("""COMPUTED_VALUE"""),"Atlantis")</f>
        <v>Atlantis</v>
      </c>
      <c r="B458" s="20" t="str">
        <f>IFERROR(__xludf.DUMMYFUNCTION("""COMPUTED_VALUE"""),"Xbox / PC")</f>
        <v>Xbox / PC</v>
      </c>
      <c r="C458" s="21" t="str">
        <f>IFERROR(__xludf.DUMMYFUNCTION("""COMPUTED_VALUE"""),"Yes")</f>
        <v>Yes</v>
      </c>
      <c r="D458" s="21" t="str">
        <f>IFERROR(__xludf.DUMMYFUNCTION("""COMPUTED_VALUE"""),"Active")</f>
        <v>Active</v>
      </c>
      <c r="E458" s="23">
        <f>IFERROR(__xludf.DUMMYFUNCTION("""COMPUTED_VALUE"""),45798.0)</f>
        <v>45798</v>
      </c>
      <c r="F458" s="24"/>
      <c r="G458" s="27">
        <f>IFERROR(__xludf.DUMMYFUNCTION("""COMPUTED_VALUE"""),16.5)</f>
        <v>16.5</v>
      </c>
      <c r="H458" s="23">
        <f>IFERROR(__xludf.DUMMYFUNCTION("""COMPUTED_VALUE"""),32255.0)</f>
        <v>32255</v>
      </c>
      <c r="I458" s="27">
        <f>IFERROR(__xludf.DUMMYFUNCTION("""COMPUTED_VALUE"""),37.080555555555556)</f>
        <v>37.08055556</v>
      </c>
      <c r="J458" s="29">
        <f>IFERROR(__xludf.DUMMYFUNCTION("""COMPUTED_VALUE"""),78.0)</f>
        <v>78</v>
      </c>
      <c r="K458" s="29"/>
      <c r="L458" s="31" t="str">
        <f>IFERROR(__xludf.DUMMYFUNCTION("""COMPUTED_VALUE"""),"Shooter")</f>
        <v>Shooter</v>
      </c>
      <c r="M458" s="31"/>
    </row>
    <row r="459">
      <c r="A459" s="17" t="str">
        <f>IFERROR(__xludf.DUMMYFUNCTION("""COMPUTED_VALUE"""),"River Raid")</f>
        <v>River Raid</v>
      </c>
      <c r="B459" s="20" t="str">
        <f>IFERROR(__xludf.DUMMYFUNCTION("""COMPUTED_VALUE"""),"Xbox / PC")</f>
        <v>Xbox / PC</v>
      </c>
      <c r="C459" s="21" t="str">
        <f>IFERROR(__xludf.DUMMYFUNCTION("""COMPUTED_VALUE"""),"Yes")</f>
        <v>Yes</v>
      </c>
      <c r="D459" s="21" t="str">
        <f>IFERROR(__xludf.DUMMYFUNCTION("""COMPUTED_VALUE"""),"Active")</f>
        <v>Active</v>
      </c>
      <c r="E459" s="23">
        <f>IFERROR(__xludf.DUMMYFUNCTION("""COMPUTED_VALUE"""),45798.0)</f>
        <v>45798</v>
      </c>
      <c r="F459" s="24"/>
      <c r="G459" s="27">
        <f>IFERROR(__xludf.DUMMYFUNCTION("""COMPUTED_VALUE"""),16.5)</f>
        <v>16.5</v>
      </c>
      <c r="H459" s="23">
        <f>IFERROR(__xludf.DUMMYFUNCTION("""COMPUTED_VALUE"""),30164.0)</f>
        <v>30164</v>
      </c>
      <c r="I459" s="27">
        <f>IFERROR(__xludf.DUMMYFUNCTION("""COMPUTED_VALUE"""),42.80555555555556)</f>
        <v>42.80555556</v>
      </c>
      <c r="J459" s="29">
        <f>IFERROR(__xludf.DUMMYFUNCTION("""COMPUTED_VALUE"""),78.0)</f>
        <v>78</v>
      </c>
      <c r="K459" s="29">
        <f>IFERROR(__xludf.DUMMYFUNCTION("""COMPUTED_VALUE"""),1.0)</f>
        <v>1</v>
      </c>
      <c r="L459" s="31" t="str">
        <f>IFERROR(__xludf.DUMMYFUNCTION("""COMPUTED_VALUE"""),"Shooter")</f>
        <v>Shooter</v>
      </c>
      <c r="M459" s="31"/>
    </row>
    <row r="460">
      <c r="A460" s="17" t="str">
        <f>IFERROR(__xludf.DUMMYFUNCTION("""COMPUTED_VALUE"""),"EA Sports UFC 5")</f>
        <v>EA Sports UFC 5</v>
      </c>
      <c r="B460" s="20" t="str">
        <f>IFERROR(__xludf.DUMMYFUNCTION("""COMPUTED_VALUE"""),"Xbox")</f>
        <v>Xbox</v>
      </c>
      <c r="C460" s="21" t="str">
        <f>IFERROR(__xludf.DUMMYFUNCTION("""COMPUTED_VALUE"""),"Yes")</f>
        <v>Yes</v>
      </c>
      <c r="D460" s="21" t="str">
        <f>IFERROR(__xludf.DUMMYFUNCTION("""COMPUTED_VALUE"""),"Active")</f>
        <v>Active</v>
      </c>
      <c r="E460" s="23">
        <f>IFERROR(__xludf.DUMMYFUNCTION("""COMPUTED_VALUE"""),45671.0)</f>
        <v>45671</v>
      </c>
      <c r="F460" s="24"/>
      <c r="G460" s="27">
        <f>IFERROR(__xludf.DUMMYFUNCTION("""COMPUTED_VALUE"""),20.733333333333334)</f>
        <v>20.73333333</v>
      </c>
      <c r="H460" s="23">
        <f>IFERROR(__xludf.DUMMYFUNCTION("""COMPUTED_VALUE"""),45226.0)</f>
        <v>45226</v>
      </c>
      <c r="I460" s="27">
        <f>IFERROR(__xludf.DUMMYFUNCTION("""COMPUTED_VALUE"""),1.2138888888888888)</f>
        <v>1.213888889</v>
      </c>
      <c r="J460" s="29">
        <f>IFERROR(__xludf.DUMMYFUNCTION("""COMPUTED_VALUE"""),78.0)</f>
        <v>78</v>
      </c>
      <c r="K460" s="29">
        <f>IFERROR(__xludf.DUMMYFUNCTION("""COMPUTED_VALUE"""),14.0)</f>
        <v>14</v>
      </c>
      <c r="L460" s="31" t="str">
        <f>IFERROR(__xludf.DUMMYFUNCTION("""COMPUTED_VALUE"""),"Fighting")</f>
        <v>Fighting</v>
      </c>
      <c r="M460" s="31" t="str">
        <f>IFERROR(__xludf.DUMMYFUNCTION("""COMPUTED_VALUE"""),"Exclusive")</f>
        <v>Exclusive</v>
      </c>
    </row>
    <row r="461">
      <c r="A461" s="17" t="str">
        <f>IFERROR(__xludf.DUMMYFUNCTION("""COMPUTED_VALUE"""),"Microsoft Flight Simulator 2024")</f>
        <v>Microsoft Flight Simulator 2024</v>
      </c>
      <c r="B461" s="20" t="str">
        <f>IFERROR(__xludf.DUMMYFUNCTION("""COMPUTED_VALUE"""),"Xbox / PC")</f>
        <v>Xbox / PC</v>
      </c>
      <c r="C461" s="21" t="str">
        <f>IFERROR(__xludf.DUMMYFUNCTION("""COMPUTED_VALUE"""),"Yes")</f>
        <v>Yes</v>
      </c>
      <c r="D461" s="21" t="str">
        <f>IFERROR(__xludf.DUMMYFUNCTION("""COMPUTED_VALUE"""),"Active")</f>
        <v>Active</v>
      </c>
      <c r="E461" s="23">
        <f>IFERROR(__xludf.DUMMYFUNCTION("""COMPUTED_VALUE"""),45615.0)</f>
        <v>45615</v>
      </c>
      <c r="F461" s="24"/>
      <c r="G461" s="27">
        <f>IFERROR(__xludf.DUMMYFUNCTION("""COMPUTED_VALUE"""),22.566666666666666)</f>
        <v>22.56666667</v>
      </c>
      <c r="H461" s="23">
        <f>IFERROR(__xludf.DUMMYFUNCTION("""COMPUTED_VALUE"""),45615.0)</f>
        <v>45615</v>
      </c>
      <c r="I461" s="27">
        <f>IFERROR(__xludf.DUMMYFUNCTION("""COMPUTED_VALUE"""),0.0)</f>
        <v>0</v>
      </c>
      <c r="J461" s="29">
        <f>IFERROR(__xludf.DUMMYFUNCTION("""COMPUTED_VALUE"""),78.0)</f>
        <v>78</v>
      </c>
      <c r="K461" s="29">
        <f>IFERROR(__xludf.DUMMYFUNCTION("""COMPUTED_VALUE"""),50.0)</f>
        <v>50</v>
      </c>
      <c r="L461" s="31" t="str">
        <f>IFERROR(__xludf.DUMMYFUNCTION("""COMPUTED_VALUE"""),"Simulation")</f>
        <v>Simulation</v>
      </c>
      <c r="M461" s="31" t="str">
        <f>IFERROR(__xludf.DUMMYFUNCTION("""COMPUTED_VALUE"""),"Exclusive")</f>
        <v>Exclusive</v>
      </c>
    </row>
    <row r="462">
      <c r="A462" s="17" t="str">
        <f>IFERROR(__xludf.DUMMYFUNCTION("""COMPUTED_VALUE"""),"Palworld")</f>
        <v>Palworld</v>
      </c>
      <c r="B462" s="20" t="str">
        <f>IFERROR(__xludf.DUMMYFUNCTION("""COMPUTED_VALUE"""),"Xbox / PC")</f>
        <v>Xbox / PC</v>
      </c>
      <c r="C462" s="21" t="str">
        <f>IFERROR(__xludf.DUMMYFUNCTION("""COMPUTED_VALUE"""),"Yes")</f>
        <v>Yes</v>
      </c>
      <c r="D462" s="21" t="str">
        <f>IFERROR(__xludf.DUMMYFUNCTION("""COMPUTED_VALUE"""),"Active")</f>
        <v>Active</v>
      </c>
      <c r="E462" s="23">
        <f>IFERROR(__xludf.DUMMYFUNCTION("""COMPUTED_VALUE"""),45310.0)</f>
        <v>45310</v>
      </c>
      <c r="F462" s="24"/>
      <c r="G462" s="27">
        <f>IFERROR(__xludf.DUMMYFUNCTION("""COMPUTED_VALUE"""),32.56666666666667)</f>
        <v>32.56666667</v>
      </c>
      <c r="H462" s="23">
        <f>IFERROR(__xludf.DUMMYFUNCTION("""COMPUTED_VALUE"""),45310.0)</f>
        <v>45310</v>
      </c>
      <c r="I462" s="27">
        <f>IFERROR(__xludf.DUMMYFUNCTION("""COMPUTED_VALUE"""),0.0)</f>
        <v>0</v>
      </c>
      <c r="J462" s="29">
        <f>IFERROR(__xludf.DUMMYFUNCTION("""COMPUTED_VALUE"""),78.0)</f>
        <v>78</v>
      </c>
      <c r="K462" s="29">
        <f>IFERROR(__xludf.DUMMYFUNCTION("""COMPUTED_VALUE"""),31.0)</f>
        <v>31</v>
      </c>
      <c r="L462" s="31" t="str">
        <f>IFERROR(__xludf.DUMMYFUNCTION("""COMPUTED_VALUE"""),"Action")</f>
        <v>Action</v>
      </c>
      <c r="M462" s="31"/>
    </row>
    <row r="463">
      <c r="A463" s="17" t="str">
        <f>IFERROR(__xludf.DUMMYFUNCTION("""COMPUTED_VALUE"""),"The Walking Dead: The Final Season")</f>
        <v>The Walking Dead: The Final Season</v>
      </c>
      <c r="B463" s="20" t="str">
        <f>IFERROR(__xludf.DUMMYFUNCTION("""COMPUTED_VALUE"""),"Xbox / PC")</f>
        <v>Xbox / PC</v>
      </c>
      <c r="C463" s="21" t="str">
        <f>IFERROR(__xludf.DUMMYFUNCTION("""COMPUTED_VALUE"""),"Yes")</f>
        <v>Yes</v>
      </c>
      <c r="D463" s="21" t="str">
        <f>IFERROR(__xludf.DUMMYFUNCTION("""COMPUTED_VALUE"""),"Active")</f>
        <v>Active</v>
      </c>
      <c r="E463" s="23">
        <f>IFERROR(__xludf.DUMMYFUNCTION("""COMPUTED_VALUE"""),44896.0)</f>
        <v>44896</v>
      </c>
      <c r="F463" s="24"/>
      <c r="G463" s="27">
        <f>IFERROR(__xludf.DUMMYFUNCTION("""COMPUTED_VALUE"""),46.16666666666667)</f>
        <v>46.16666667</v>
      </c>
      <c r="H463" s="23">
        <f>IFERROR(__xludf.DUMMYFUNCTION("""COMPUTED_VALUE"""),43325.0)</f>
        <v>43325</v>
      </c>
      <c r="I463" s="27">
        <f>IFERROR(__xludf.DUMMYFUNCTION("""COMPUTED_VALUE"""),4.3)</f>
        <v>4.3</v>
      </c>
      <c r="J463" s="29">
        <f>IFERROR(__xludf.DUMMYFUNCTION("""COMPUTED_VALUE"""),78.0)</f>
        <v>78</v>
      </c>
      <c r="K463" s="29">
        <f>IFERROR(__xludf.DUMMYFUNCTION("""COMPUTED_VALUE"""),10.0)</f>
        <v>10</v>
      </c>
      <c r="L463" s="31" t="str">
        <f>IFERROR(__xludf.DUMMYFUNCTION("""COMPUTED_VALUE"""),"Adventure")</f>
        <v>Adventure</v>
      </c>
      <c r="M463" s="31"/>
    </row>
    <row r="464">
      <c r="A464" s="17" t="str">
        <f>IFERROR(__xludf.DUMMYFUNCTION("""COMPUTED_VALUE"""),"Warhammer 40,000: Darktide")</f>
        <v>Warhammer 40,000: Darktide</v>
      </c>
      <c r="B464" s="20" t="str">
        <f>IFERROR(__xludf.DUMMYFUNCTION("""COMPUTED_VALUE"""),"Xbox / PC")</f>
        <v>Xbox / PC</v>
      </c>
      <c r="C464" s="21" t="str">
        <f>IFERROR(__xludf.DUMMYFUNCTION("""COMPUTED_VALUE"""),"Yes")</f>
        <v>Yes</v>
      </c>
      <c r="D464" s="21" t="str">
        <f>IFERROR(__xludf.DUMMYFUNCTION("""COMPUTED_VALUE"""),"Active")</f>
        <v>Active</v>
      </c>
      <c r="E464" s="23">
        <f>IFERROR(__xludf.DUMMYFUNCTION("""COMPUTED_VALUE"""),44895.0)</f>
        <v>44895</v>
      </c>
      <c r="F464" s="24"/>
      <c r="G464" s="27">
        <f>IFERROR(__xludf.DUMMYFUNCTION("""COMPUTED_VALUE"""),46.2)</f>
        <v>46.2</v>
      </c>
      <c r="H464" s="23">
        <f>IFERROR(__xludf.DUMMYFUNCTION("""COMPUTED_VALUE"""),44895.0)</f>
        <v>44895</v>
      </c>
      <c r="I464" s="27">
        <f>IFERROR(__xludf.DUMMYFUNCTION("""COMPUTED_VALUE"""),0.0)</f>
        <v>0</v>
      </c>
      <c r="J464" s="29">
        <f>IFERROR(__xludf.DUMMYFUNCTION("""COMPUTED_VALUE"""),78.0)</f>
        <v>78</v>
      </c>
      <c r="K464" s="29">
        <f>IFERROR(__xludf.DUMMYFUNCTION("""COMPUTED_VALUE"""),41.0)</f>
        <v>41</v>
      </c>
      <c r="L464" s="31" t="str">
        <f>IFERROR(__xludf.DUMMYFUNCTION("""COMPUTED_VALUE"""),"Action")</f>
        <v>Action</v>
      </c>
      <c r="M464" s="31" t="str">
        <f>IFERROR(__xludf.DUMMYFUNCTION("""COMPUTED_VALUE"""),"Exclusive")</f>
        <v>Exclusive</v>
      </c>
    </row>
    <row r="465">
      <c r="A465" s="17" t="str">
        <f>IFERROR(__xludf.DUMMYFUNCTION("""COMPUTED_VALUE"""),"As Dusk Falls")</f>
        <v>As Dusk Falls</v>
      </c>
      <c r="B465" s="20" t="str">
        <f>IFERROR(__xludf.DUMMYFUNCTION("""COMPUTED_VALUE"""),"Xbox / PC")</f>
        <v>Xbox / PC</v>
      </c>
      <c r="C465" s="21" t="str">
        <f>IFERROR(__xludf.DUMMYFUNCTION("""COMPUTED_VALUE"""),"Touch Controls")</f>
        <v>Touch Controls</v>
      </c>
      <c r="D465" s="21" t="str">
        <f>IFERROR(__xludf.DUMMYFUNCTION("""COMPUTED_VALUE"""),"Active")</f>
        <v>Active</v>
      </c>
      <c r="E465" s="23">
        <f>IFERROR(__xludf.DUMMYFUNCTION("""COMPUTED_VALUE"""),44761.0)</f>
        <v>44761</v>
      </c>
      <c r="F465" s="24"/>
      <c r="G465" s="27">
        <f>IFERROR(__xludf.DUMMYFUNCTION("""COMPUTED_VALUE"""),50.56666666666666)</f>
        <v>50.56666667</v>
      </c>
      <c r="H465" s="23">
        <f>IFERROR(__xludf.DUMMYFUNCTION("""COMPUTED_VALUE"""),44761.0)</f>
        <v>44761</v>
      </c>
      <c r="I465" s="27">
        <f>IFERROR(__xludf.DUMMYFUNCTION("""COMPUTED_VALUE"""),0.0)</f>
        <v>0</v>
      </c>
      <c r="J465" s="29">
        <f>IFERROR(__xludf.DUMMYFUNCTION("""COMPUTED_VALUE"""),78.0)</f>
        <v>78</v>
      </c>
      <c r="K465" s="29">
        <f>IFERROR(__xludf.DUMMYFUNCTION("""COMPUTED_VALUE"""),6.0)</f>
        <v>6</v>
      </c>
      <c r="L465" s="31" t="str">
        <f>IFERROR(__xludf.DUMMYFUNCTION("""COMPUTED_VALUE"""),"Adventure")</f>
        <v>Adventure</v>
      </c>
      <c r="M465" s="31"/>
    </row>
    <row r="466">
      <c r="A466" s="17" t="str">
        <f>IFERROR(__xludf.DUMMYFUNCTION("""COMPUTED_VALUE"""),"Watch_Dogs 2")</f>
        <v>Watch_Dogs 2</v>
      </c>
      <c r="B466" s="20" t="str">
        <f>IFERROR(__xludf.DUMMYFUNCTION("""COMPUTED_VALUE"""),"Xbox / PC")</f>
        <v>Xbox / PC</v>
      </c>
      <c r="C466" s="21" t="str">
        <f>IFERROR(__xludf.DUMMYFUNCTION("""COMPUTED_VALUE"""),"Yes")</f>
        <v>Yes</v>
      </c>
      <c r="D466" s="21" t="str">
        <f>IFERROR(__xludf.DUMMYFUNCTION("""COMPUTED_VALUE"""),"Active")</f>
        <v>Active</v>
      </c>
      <c r="E466" s="23">
        <f>IFERROR(__xludf.DUMMYFUNCTION("""COMPUTED_VALUE"""),44761.0)</f>
        <v>44761</v>
      </c>
      <c r="F466" s="24"/>
      <c r="G466" s="27">
        <f>IFERROR(__xludf.DUMMYFUNCTION("""COMPUTED_VALUE"""),50.56666666666666)</f>
        <v>50.56666667</v>
      </c>
      <c r="H466" s="23">
        <f>IFERROR(__xludf.DUMMYFUNCTION("""COMPUTED_VALUE"""),42689.0)</f>
        <v>42689</v>
      </c>
      <c r="I466" s="27">
        <f>IFERROR(__xludf.DUMMYFUNCTION("""COMPUTED_VALUE"""),5.677777777777778)</f>
        <v>5.677777778</v>
      </c>
      <c r="J466" s="29">
        <f>IFERROR(__xludf.DUMMYFUNCTION("""COMPUTED_VALUE"""),78.0)</f>
        <v>78</v>
      </c>
      <c r="K466" s="29">
        <f>IFERROR(__xludf.DUMMYFUNCTION("""COMPUTED_VALUE"""),19.0)</f>
        <v>19</v>
      </c>
      <c r="L466" s="31" t="str">
        <f>IFERROR(__xludf.DUMMYFUNCTION("""COMPUTED_VALUE"""),"Shooter")</f>
        <v>Shooter</v>
      </c>
      <c r="M466" s="31"/>
    </row>
    <row r="467">
      <c r="A467" s="17" t="str">
        <f>IFERROR(__xludf.DUMMYFUNCTION("""COMPUTED_VALUE"""),"Battlefield V: Year Two Edition")</f>
        <v>Battlefield V: Year Two Edition</v>
      </c>
      <c r="B467" s="20" t="str">
        <f>IFERROR(__xludf.DUMMYFUNCTION("""COMPUTED_VALUE"""),"Xbox / PC")</f>
        <v>Xbox / PC</v>
      </c>
      <c r="C467" s="21" t="str">
        <f>IFERROR(__xludf.DUMMYFUNCTION("""COMPUTED_VALUE"""),"Yes")</f>
        <v>Yes</v>
      </c>
      <c r="D467" s="21" t="str">
        <f>IFERROR(__xludf.DUMMYFUNCTION("""COMPUTED_VALUE"""),"Active")</f>
        <v>Active</v>
      </c>
      <c r="E467" s="23">
        <f>IFERROR(__xludf.DUMMYFUNCTION("""COMPUTED_VALUE"""),44145.0)</f>
        <v>44145</v>
      </c>
      <c r="F467" s="24"/>
      <c r="G467" s="27">
        <f>IFERROR(__xludf.DUMMYFUNCTION("""COMPUTED_VALUE"""),70.86666666666667)</f>
        <v>70.86666667</v>
      </c>
      <c r="H467" s="23">
        <f>IFERROR(__xludf.DUMMYFUNCTION("""COMPUTED_VALUE"""),43419.0)</f>
        <v>43419</v>
      </c>
      <c r="I467" s="27">
        <f>IFERROR(__xludf.DUMMYFUNCTION("""COMPUTED_VALUE"""),1.9861111111111112)</f>
        <v>1.986111111</v>
      </c>
      <c r="J467" s="29">
        <f>IFERROR(__xludf.DUMMYFUNCTION("""COMPUTED_VALUE"""),78.0)</f>
        <v>78</v>
      </c>
      <c r="K467" s="29">
        <f>IFERROR(__xludf.DUMMYFUNCTION("""COMPUTED_VALUE"""),6.0)</f>
        <v>6</v>
      </c>
      <c r="L467" s="31" t="str">
        <f>IFERROR(__xludf.DUMMYFUNCTION("""COMPUTED_VALUE"""),"Shooter")</f>
        <v>Shooter</v>
      </c>
      <c r="M467" s="31" t="str">
        <f>IFERROR(__xludf.DUMMYFUNCTION("""COMPUTED_VALUE"""),"FPS Boost X Only")</f>
        <v>FPS Boost X Only</v>
      </c>
    </row>
    <row r="468">
      <c r="A468" s="17" t="str">
        <f>IFERROR(__xludf.DUMMYFUNCTION("""COMPUTED_VALUE"""),"Bejeweled 3")</f>
        <v>Bejeweled 3</v>
      </c>
      <c r="B468" s="20" t="str">
        <f>IFERROR(__xludf.DUMMYFUNCTION("""COMPUTED_VALUE"""),"Xbox")</f>
        <v>Xbox</v>
      </c>
      <c r="C468" s="21"/>
      <c r="D468" s="21" t="str">
        <f>IFERROR(__xludf.DUMMYFUNCTION("""COMPUTED_VALUE"""),"Active")</f>
        <v>Active</v>
      </c>
      <c r="E468" s="23">
        <f>IFERROR(__xludf.DUMMYFUNCTION("""COMPUTED_VALUE"""),44145.0)</f>
        <v>44145</v>
      </c>
      <c r="F468" s="24"/>
      <c r="G468" s="27">
        <f>IFERROR(__xludf.DUMMYFUNCTION("""COMPUTED_VALUE"""),70.86666666666667)</f>
        <v>70.86666667</v>
      </c>
      <c r="H468" s="23">
        <f>IFERROR(__xludf.DUMMYFUNCTION("""COMPUTED_VALUE"""),40519.0)</f>
        <v>40519</v>
      </c>
      <c r="I468" s="27">
        <f>IFERROR(__xludf.DUMMYFUNCTION("""COMPUTED_VALUE"""),9.925)</f>
        <v>9.925</v>
      </c>
      <c r="J468" s="29">
        <f>IFERROR(__xludf.DUMMYFUNCTION("""COMPUTED_VALUE"""),78.0)</f>
        <v>78</v>
      </c>
      <c r="K468" s="29">
        <f>IFERROR(__xludf.DUMMYFUNCTION("""COMPUTED_VALUE"""),4.5)</f>
        <v>4.5</v>
      </c>
      <c r="L468" s="31" t="str">
        <f>IFERROR(__xludf.DUMMYFUNCTION("""COMPUTED_VALUE"""),"Puzzle")</f>
        <v>Puzzle</v>
      </c>
      <c r="M468" s="31"/>
    </row>
    <row r="469">
      <c r="A469" s="17" t="str">
        <f>IFERROR(__xludf.DUMMYFUNCTION("""COMPUTED_VALUE"""),"Dead Space 3")</f>
        <v>Dead Space 3</v>
      </c>
      <c r="B469" s="20" t="str">
        <f>IFERROR(__xludf.DUMMYFUNCTION("""COMPUTED_VALUE"""),"Xbox / PC")</f>
        <v>Xbox / PC</v>
      </c>
      <c r="C469" s="21" t="str">
        <f>IFERROR(__xludf.DUMMYFUNCTION("""COMPUTED_VALUE"""),"Yes")</f>
        <v>Yes</v>
      </c>
      <c r="D469" s="21" t="str">
        <f>IFERROR(__xludf.DUMMYFUNCTION("""COMPUTED_VALUE"""),"Active")</f>
        <v>Active</v>
      </c>
      <c r="E469" s="23">
        <f>IFERROR(__xludf.DUMMYFUNCTION("""COMPUTED_VALUE"""),44145.0)</f>
        <v>44145</v>
      </c>
      <c r="F469" s="24"/>
      <c r="G469" s="27">
        <f>IFERROR(__xludf.DUMMYFUNCTION("""COMPUTED_VALUE"""),70.86666666666667)</f>
        <v>70.86666667</v>
      </c>
      <c r="H469" s="23">
        <f>IFERROR(__xludf.DUMMYFUNCTION("""COMPUTED_VALUE"""),41310.0)</f>
        <v>41310</v>
      </c>
      <c r="I469" s="27">
        <f>IFERROR(__xludf.DUMMYFUNCTION("""COMPUTED_VALUE"""),7.763888888888889)</f>
        <v>7.763888889</v>
      </c>
      <c r="J469" s="29">
        <f>IFERROR(__xludf.DUMMYFUNCTION("""COMPUTED_VALUE"""),78.0)</f>
        <v>78</v>
      </c>
      <c r="K469" s="29">
        <f>IFERROR(__xludf.DUMMYFUNCTION("""COMPUTED_VALUE"""),13.0)</f>
        <v>13</v>
      </c>
      <c r="L469" s="31" t="str">
        <f>IFERROR(__xludf.DUMMYFUNCTION("""COMPUTED_VALUE"""),"Shooter")</f>
        <v>Shooter</v>
      </c>
      <c r="M469" s="31" t="str">
        <f>IFERROR(__xludf.DUMMYFUNCTION("""COMPUTED_VALUE"""),"FPS Boost")</f>
        <v>FPS Boost</v>
      </c>
    </row>
    <row r="470">
      <c r="A470" s="17" t="str">
        <f>IFERROR(__xludf.DUMMYFUNCTION("""COMPUTED_VALUE"""),"Zuma")</f>
        <v>Zuma</v>
      </c>
      <c r="B470" s="20" t="str">
        <f>IFERROR(__xludf.DUMMYFUNCTION("""COMPUTED_VALUE"""),"Xbox")</f>
        <v>Xbox</v>
      </c>
      <c r="C470" s="21"/>
      <c r="D470" s="21" t="str">
        <f>IFERROR(__xludf.DUMMYFUNCTION("""COMPUTED_VALUE"""),"Active")</f>
        <v>Active</v>
      </c>
      <c r="E470" s="23">
        <f>IFERROR(__xludf.DUMMYFUNCTION("""COMPUTED_VALUE"""),44145.0)</f>
        <v>44145</v>
      </c>
      <c r="F470" s="24"/>
      <c r="G470" s="27">
        <f>IFERROR(__xludf.DUMMYFUNCTION("""COMPUTED_VALUE"""),70.86666666666667)</f>
        <v>70.86666667</v>
      </c>
      <c r="H470" s="23">
        <f>IFERROR(__xludf.DUMMYFUNCTION("""COMPUTED_VALUE"""),37967.0)</f>
        <v>37967</v>
      </c>
      <c r="I470" s="27">
        <f>IFERROR(__xludf.DUMMYFUNCTION("""COMPUTED_VALUE"""),16.91111111111111)</f>
        <v>16.91111111</v>
      </c>
      <c r="J470" s="29">
        <f>IFERROR(__xludf.DUMMYFUNCTION("""COMPUTED_VALUE"""),78.0)</f>
        <v>78</v>
      </c>
      <c r="K470" s="29">
        <f>IFERROR(__xludf.DUMMYFUNCTION("""COMPUTED_VALUE"""),5.0)</f>
        <v>5</v>
      </c>
      <c r="L470" s="31" t="str">
        <f>IFERROR(__xludf.DUMMYFUNCTION("""COMPUTED_VALUE"""),"Puzzle")</f>
        <v>Puzzle</v>
      </c>
      <c r="M470" s="31"/>
    </row>
    <row r="471">
      <c r="A471" s="17" t="str">
        <f>IFERROR(__xludf.DUMMYFUNCTION("""COMPUTED_VALUE"""),"State of Decay 2: Juggernaut Edition")</f>
        <v>State of Decay 2: Juggernaut Edition</v>
      </c>
      <c r="B471" s="20" t="str">
        <f>IFERROR(__xludf.DUMMYFUNCTION("""COMPUTED_VALUE"""),"Xbox / PC")</f>
        <v>Xbox / PC</v>
      </c>
      <c r="C471" s="21" t="str">
        <f>IFERROR(__xludf.DUMMYFUNCTION("""COMPUTED_VALUE"""),"M+KB")</f>
        <v>M+KB</v>
      </c>
      <c r="D471" s="21" t="str">
        <f>IFERROR(__xludf.DUMMYFUNCTION("""COMPUTED_VALUE"""),"Active")</f>
        <v>Active</v>
      </c>
      <c r="E471" s="23">
        <f>IFERROR(__xludf.DUMMYFUNCTION("""COMPUTED_VALUE"""),43242.0)</f>
        <v>43242</v>
      </c>
      <c r="F471" s="24"/>
      <c r="G471" s="27">
        <f>IFERROR(__xludf.DUMMYFUNCTION("""COMPUTED_VALUE"""),100.46666666666667)</f>
        <v>100.4666667</v>
      </c>
      <c r="H471" s="23">
        <f>IFERROR(__xludf.DUMMYFUNCTION("""COMPUTED_VALUE"""),43238.0)</f>
        <v>43238</v>
      </c>
      <c r="I471" s="27">
        <f>IFERROR(__xludf.DUMMYFUNCTION("""COMPUTED_VALUE"""),0.011111111111111112)</f>
        <v>0.01111111111</v>
      </c>
      <c r="J471" s="29">
        <f>IFERROR(__xludf.DUMMYFUNCTION("""COMPUTED_VALUE"""),78.0)</f>
        <v>78</v>
      </c>
      <c r="K471" s="29">
        <f>IFERROR(__xludf.DUMMYFUNCTION("""COMPUTED_VALUE"""),36.5)</f>
        <v>36.5</v>
      </c>
      <c r="L471" s="31" t="str">
        <f>IFERROR(__xludf.DUMMYFUNCTION("""COMPUTED_VALUE"""),"Action-Adventure")</f>
        <v>Action-Adventure</v>
      </c>
      <c r="M471" s="31" t="str">
        <f>IFERROR(__xludf.DUMMYFUNCTION("""COMPUTED_VALUE"""),"Optimized")</f>
        <v>Optimized</v>
      </c>
    </row>
    <row r="472">
      <c r="A472" s="17" t="str">
        <f>IFERROR(__xludf.DUMMYFUNCTION("""COMPUTED_VALUE"""),"Insanely Twisted Shadow Planet")</f>
        <v>Insanely Twisted Shadow Planet</v>
      </c>
      <c r="B472" s="20" t="str">
        <f>IFERROR(__xludf.DUMMYFUNCTION("""COMPUTED_VALUE"""),"XB360/OG Xbox")</f>
        <v>XB360/OG Xbox</v>
      </c>
      <c r="C472" s="21"/>
      <c r="D472" s="21" t="str">
        <f>IFERROR(__xludf.DUMMYFUNCTION("""COMPUTED_VALUE"""),"GwG Permanent")</f>
        <v>GwG Permanent</v>
      </c>
      <c r="E472" s="23">
        <f>IFERROR(__xludf.DUMMYFUNCTION("""COMPUTED_VALUE"""),44546.0)</f>
        <v>44546</v>
      </c>
      <c r="F472" s="24">
        <f>IFERROR(__xludf.DUMMYFUNCTION("""COMPUTED_VALUE"""),44561.0)</f>
        <v>44561</v>
      </c>
      <c r="G472" s="27">
        <f>IFERROR(__xludf.DUMMYFUNCTION("""COMPUTED_VALUE"""),0.4666666666666667)</f>
        <v>0.4666666667</v>
      </c>
      <c r="H472" s="23">
        <f>IFERROR(__xludf.DUMMYFUNCTION("""COMPUTED_VALUE"""),41038.0)</f>
        <v>41038</v>
      </c>
      <c r="I472" s="27">
        <f>IFERROR(__xludf.DUMMYFUNCTION("""COMPUTED_VALUE"""),9.602777777777778)</f>
        <v>9.602777778</v>
      </c>
      <c r="J472" s="29">
        <f>IFERROR(__xludf.DUMMYFUNCTION("""COMPUTED_VALUE"""),78.0)</f>
        <v>78</v>
      </c>
      <c r="K472" s="29">
        <f>IFERROR(__xludf.DUMMYFUNCTION("""COMPUTED_VALUE"""),5.0)</f>
        <v>5</v>
      </c>
      <c r="L472" s="31" t="str">
        <f>IFERROR(__xludf.DUMMYFUNCTION("""COMPUTED_VALUE"""),"Adventure")</f>
        <v>Adventure</v>
      </c>
      <c r="M472" s="31"/>
    </row>
    <row r="473">
      <c r="A473" s="17" t="str">
        <f>IFERROR(__xludf.DUMMYFUNCTION("""COMPUTED_VALUE"""),"Lego Indiana Jones")</f>
        <v>Lego Indiana Jones</v>
      </c>
      <c r="B473" s="20" t="str">
        <f>IFERROR(__xludf.DUMMYFUNCTION("""COMPUTED_VALUE"""),"XB360/OG Xbox")</f>
        <v>XB360/OG Xbox</v>
      </c>
      <c r="C473" s="21"/>
      <c r="D473" s="21" t="str">
        <f>IFERROR(__xludf.DUMMYFUNCTION("""COMPUTED_VALUE"""),"GwG Permanent")</f>
        <v>GwG Permanent</v>
      </c>
      <c r="E473" s="23">
        <f>IFERROR(__xludf.DUMMYFUNCTION("""COMPUTED_VALUE"""),44151.0)</f>
        <v>44151</v>
      </c>
      <c r="F473" s="24">
        <f>IFERROR(__xludf.DUMMYFUNCTION("""COMPUTED_VALUE"""),44165.0)</f>
        <v>44165</v>
      </c>
      <c r="G473" s="27">
        <f>IFERROR(__xludf.DUMMYFUNCTION("""COMPUTED_VALUE"""),0.4666666666666667)</f>
        <v>0.4666666667</v>
      </c>
      <c r="H473" s="23">
        <f>IFERROR(__xludf.DUMMYFUNCTION("""COMPUTED_VALUE"""),39602.0)</f>
        <v>39602</v>
      </c>
      <c r="I473" s="27">
        <f>IFERROR(__xludf.DUMMYFUNCTION("""COMPUTED_VALUE"""),12.452777777777778)</f>
        <v>12.45277778</v>
      </c>
      <c r="J473" s="29">
        <f>IFERROR(__xludf.DUMMYFUNCTION("""COMPUTED_VALUE"""),78.0)</f>
        <v>78</v>
      </c>
      <c r="K473" s="29">
        <f>IFERROR(__xludf.DUMMYFUNCTION("""COMPUTED_VALUE"""),7.0)</f>
        <v>7</v>
      </c>
      <c r="L473" s="31" t="str">
        <f>IFERROR(__xludf.DUMMYFUNCTION("""COMPUTED_VALUE"""),"Action-Adventure")</f>
        <v>Action-Adventure</v>
      </c>
      <c r="M473" s="31"/>
    </row>
    <row r="474">
      <c r="A474" s="17" t="str">
        <f>IFERROR(__xludf.DUMMYFUNCTION("""COMPUTED_VALUE"""),"Full Spectrum Warrior")</f>
        <v>Full Spectrum Warrior</v>
      </c>
      <c r="B474" s="20" t="str">
        <f>IFERROR(__xludf.DUMMYFUNCTION("""COMPUTED_VALUE"""),"XB360/OG Xbox")</f>
        <v>XB360/OG Xbox</v>
      </c>
      <c r="C474" s="21"/>
      <c r="D474" s="21" t="str">
        <f>IFERROR(__xludf.DUMMYFUNCTION("""COMPUTED_VALUE"""),"GwG Permanent")</f>
        <v>GwG Permanent</v>
      </c>
      <c r="E474" s="23">
        <f>IFERROR(__xludf.DUMMYFUNCTION("""COMPUTED_VALUE"""),44136.0)</f>
        <v>44136</v>
      </c>
      <c r="F474" s="24">
        <f>IFERROR(__xludf.DUMMYFUNCTION("""COMPUTED_VALUE"""),44150.0)</f>
        <v>44150</v>
      </c>
      <c r="G474" s="27">
        <f>IFERROR(__xludf.DUMMYFUNCTION("""COMPUTED_VALUE"""),0.4666666666666667)</f>
        <v>0.4666666667</v>
      </c>
      <c r="H474" s="23">
        <f>IFERROR(__xludf.DUMMYFUNCTION("""COMPUTED_VALUE"""),38139.0)</f>
        <v>38139</v>
      </c>
      <c r="I474" s="27">
        <f>IFERROR(__xludf.DUMMYFUNCTION("""COMPUTED_VALUE"""),16.416666666666668)</f>
        <v>16.41666667</v>
      </c>
      <c r="J474" s="29">
        <f>IFERROR(__xludf.DUMMYFUNCTION("""COMPUTED_VALUE"""),78.0)</f>
        <v>78</v>
      </c>
      <c r="K474" s="29">
        <f>IFERROR(__xludf.DUMMYFUNCTION("""COMPUTED_VALUE"""),10.0)</f>
        <v>10</v>
      </c>
      <c r="L474" s="31" t="str">
        <f>IFERROR(__xludf.DUMMYFUNCTION("""COMPUTED_VALUE"""),"Shooter")</f>
        <v>Shooter</v>
      </c>
      <c r="M474" s="31" t="str">
        <f>IFERROR(__xludf.DUMMYFUNCTION("""COMPUTED_VALUE"""),"Enhanced")</f>
        <v>Enhanced</v>
      </c>
    </row>
    <row r="475">
      <c r="A475" s="17" t="str">
        <f>IFERROR(__xludf.DUMMYFUNCTION("""COMPUTED_VALUE"""),"Sphinx and the Cursed Mummy")</f>
        <v>Sphinx and the Cursed Mummy</v>
      </c>
      <c r="B475" s="20" t="str">
        <f>IFERROR(__xludf.DUMMYFUNCTION("""COMPUTED_VALUE"""),"XB360/OG Xbox")</f>
        <v>XB360/OG Xbox</v>
      </c>
      <c r="C475" s="21"/>
      <c r="D475" s="21" t="str">
        <f>IFERROR(__xludf.DUMMYFUNCTION("""COMPUTED_VALUE"""),"GwG Permanent")</f>
        <v>GwG Permanent</v>
      </c>
      <c r="E475" s="23">
        <f>IFERROR(__xludf.DUMMYFUNCTION("""COMPUTED_VALUE"""),44105.0)</f>
        <v>44105</v>
      </c>
      <c r="F475" s="24">
        <f>IFERROR(__xludf.DUMMYFUNCTION("""COMPUTED_VALUE"""),44119.0)</f>
        <v>44119</v>
      </c>
      <c r="G475" s="27">
        <f>IFERROR(__xludf.DUMMYFUNCTION("""COMPUTED_VALUE"""),0.4666666666666667)</f>
        <v>0.4666666667</v>
      </c>
      <c r="H475" s="23">
        <f>IFERROR(__xludf.DUMMYFUNCTION("""COMPUTED_VALUE"""),37935.0)</f>
        <v>37935</v>
      </c>
      <c r="I475" s="27">
        <f>IFERROR(__xludf.DUMMYFUNCTION("""COMPUTED_VALUE"""),16.891666666666666)</f>
        <v>16.89166667</v>
      </c>
      <c r="J475" s="29">
        <f>IFERROR(__xludf.DUMMYFUNCTION("""COMPUTED_VALUE"""),78.0)</f>
        <v>78</v>
      </c>
      <c r="K475" s="29">
        <f>IFERROR(__xludf.DUMMYFUNCTION("""COMPUTED_VALUE"""),12.0)</f>
        <v>12</v>
      </c>
      <c r="L475" s="31" t="str">
        <f>IFERROR(__xludf.DUMMYFUNCTION("""COMPUTED_VALUE"""),"Action-Adventure")</f>
        <v>Action-Adventure</v>
      </c>
      <c r="M475" s="31" t="str">
        <f>IFERROR(__xludf.DUMMYFUNCTION("""COMPUTED_VALUE"""),"Enhanced")</f>
        <v>Enhanced</v>
      </c>
    </row>
    <row r="476">
      <c r="A476" s="17" t="str">
        <f>IFERROR(__xludf.DUMMYFUNCTION("""COMPUTED_VALUE"""),"Red Faction II")</f>
        <v>Red Faction II</v>
      </c>
      <c r="B476" s="20" t="str">
        <f>IFERROR(__xludf.DUMMYFUNCTION("""COMPUTED_VALUE"""),"XB360/OG Xbox")</f>
        <v>XB360/OG Xbox</v>
      </c>
      <c r="C476" s="21"/>
      <c r="D476" s="21" t="str">
        <f>IFERROR(__xludf.DUMMYFUNCTION("""COMPUTED_VALUE"""),"GwG Permanent")</f>
        <v>GwG Permanent</v>
      </c>
      <c r="E476" s="23">
        <f>IFERROR(__xludf.DUMMYFUNCTION("""COMPUTED_VALUE"""),44059.0)</f>
        <v>44059</v>
      </c>
      <c r="F476" s="24">
        <f>IFERROR(__xludf.DUMMYFUNCTION("""COMPUTED_VALUE"""),44074.0)</f>
        <v>44074</v>
      </c>
      <c r="G476" s="27">
        <f>IFERROR(__xludf.DUMMYFUNCTION("""COMPUTED_VALUE"""),0.4666666666666667)</f>
        <v>0.4666666667</v>
      </c>
      <c r="H476" s="23">
        <f>IFERROR(__xludf.DUMMYFUNCTION("""COMPUTED_VALUE"""),37726.0)</f>
        <v>37726</v>
      </c>
      <c r="I476" s="27">
        <f>IFERROR(__xludf.DUMMYFUNCTION("""COMPUTED_VALUE"""),17.336111111111112)</f>
        <v>17.33611111</v>
      </c>
      <c r="J476" s="29">
        <f>IFERROR(__xludf.DUMMYFUNCTION("""COMPUTED_VALUE"""),78.0)</f>
        <v>78</v>
      </c>
      <c r="K476" s="29">
        <f>IFERROR(__xludf.DUMMYFUNCTION("""COMPUTED_VALUE"""),4.5)</f>
        <v>4.5</v>
      </c>
      <c r="L476" s="31" t="str">
        <f>IFERROR(__xludf.DUMMYFUNCTION("""COMPUTED_VALUE"""),"Shooter")</f>
        <v>Shooter</v>
      </c>
      <c r="M476" s="31" t="str">
        <f>IFERROR(__xludf.DUMMYFUNCTION("""COMPUTED_VALUE"""),"Enhanced")</f>
        <v>Enhanced</v>
      </c>
    </row>
    <row r="477">
      <c r="A477" s="17" t="str">
        <f>IFERROR(__xludf.DUMMYFUNCTION("""COMPUTED_VALUE"""),"Destroy All Humans!")</f>
        <v>Destroy All Humans!</v>
      </c>
      <c r="B477" s="20" t="str">
        <f>IFERROR(__xludf.DUMMYFUNCTION("""COMPUTED_VALUE"""),"XB360/OG Xbox")</f>
        <v>XB360/OG Xbox</v>
      </c>
      <c r="C477" s="21"/>
      <c r="D477" s="21" t="str">
        <f>IFERROR(__xludf.DUMMYFUNCTION("""COMPUTED_VALUE"""),"GwG Permanent")</f>
        <v>GwG Permanent</v>
      </c>
      <c r="E477" s="23">
        <f>IFERROR(__xludf.DUMMYFUNCTION("""COMPUTED_VALUE"""),43983.0)</f>
        <v>43983</v>
      </c>
      <c r="F477" s="24">
        <f>IFERROR(__xludf.DUMMYFUNCTION("""COMPUTED_VALUE"""),43997.0)</f>
        <v>43997</v>
      </c>
      <c r="G477" s="27">
        <f>IFERROR(__xludf.DUMMYFUNCTION("""COMPUTED_VALUE"""),0.4666666666666667)</f>
        <v>0.4666666667</v>
      </c>
      <c r="H477" s="23">
        <f>IFERROR(__xludf.DUMMYFUNCTION("""COMPUTED_VALUE"""),38524.0)</f>
        <v>38524</v>
      </c>
      <c r="I477" s="27">
        <f>IFERROR(__xludf.DUMMYFUNCTION("""COMPUTED_VALUE"""),14.944444444444445)</f>
        <v>14.94444444</v>
      </c>
      <c r="J477" s="29">
        <f>IFERROR(__xludf.DUMMYFUNCTION("""COMPUTED_VALUE"""),78.0)</f>
        <v>78</v>
      </c>
      <c r="K477" s="29">
        <f>IFERROR(__xludf.DUMMYFUNCTION("""COMPUTED_VALUE"""),9.0)</f>
        <v>9</v>
      </c>
      <c r="L477" s="31" t="str">
        <f>IFERROR(__xludf.DUMMYFUNCTION("""COMPUTED_VALUE"""),"Action-Adventure")</f>
        <v>Action-Adventure</v>
      </c>
      <c r="M477" s="31" t="str">
        <f>IFERROR(__xludf.DUMMYFUNCTION("""COMPUTED_VALUE"""),"Enhanced")</f>
        <v>Enhanced</v>
      </c>
    </row>
    <row r="478">
      <c r="A478" s="17" t="str">
        <f>IFERROR(__xludf.DUMMYFUNCTION("""COMPUTED_VALUE"""),"Star Wars: Jedi Starfighter")</f>
        <v>Star Wars: Jedi Starfighter</v>
      </c>
      <c r="B478" s="20" t="str">
        <f>IFERROR(__xludf.DUMMYFUNCTION("""COMPUTED_VALUE"""),"XB360/OG Xbox")</f>
        <v>XB360/OG Xbox</v>
      </c>
      <c r="C478" s="21"/>
      <c r="D478" s="21" t="str">
        <f>IFERROR(__xludf.DUMMYFUNCTION("""COMPUTED_VALUE"""),"GwG Permanent")</f>
        <v>GwG Permanent</v>
      </c>
      <c r="E478" s="23">
        <f>IFERROR(__xludf.DUMMYFUNCTION("""COMPUTED_VALUE"""),43770.0)</f>
        <v>43770</v>
      </c>
      <c r="F478" s="24">
        <f>IFERROR(__xludf.DUMMYFUNCTION("""COMPUTED_VALUE"""),43784.0)</f>
        <v>43784</v>
      </c>
      <c r="G478" s="27">
        <f>IFERROR(__xludf.DUMMYFUNCTION("""COMPUTED_VALUE"""),0.4666666666666667)</f>
        <v>0.4666666667</v>
      </c>
      <c r="H478" s="23">
        <f>IFERROR(__xludf.DUMMYFUNCTION("""COMPUTED_VALUE"""),37308.0)</f>
        <v>37308</v>
      </c>
      <c r="I478" s="27">
        <f>IFERROR(__xludf.DUMMYFUNCTION("""COMPUTED_VALUE"""),17.694444444444443)</f>
        <v>17.69444444</v>
      </c>
      <c r="J478" s="29">
        <f>IFERROR(__xludf.DUMMYFUNCTION("""COMPUTED_VALUE"""),78.0)</f>
        <v>78</v>
      </c>
      <c r="K478" s="29">
        <f>IFERROR(__xludf.DUMMYFUNCTION("""COMPUTED_VALUE"""),6.0)</f>
        <v>6</v>
      </c>
      <c r="L478" s="31" t="str">
        <f>IFERROR(__xludf.DUMMYFUNCTION("""COMPUTED_VALUE"""),"Shooter")</f>
        <v>Shooter</v>
      </c>
      <c r="M478" s="31"/>
    </row>
    <row r="479">
      <c r="A479" s="17" t="str">
        <f>IFERROR(__xludf.DUMMYFUNCTION("""COMPUTED_VALUE"""),"Quantum Conundrum")</f>
        <v>Quantum Conundrum</v>
      </c>
      <c r="B479" s="20" t="str">
        <f>IFERROR(__xludf.DUMMYFUNCTION("""COMPUTED_VALUE"""),"XB360/OG Xbox")</f>
        <v>XB360/OG Xbox</v>
      </c>
      <c r="C479" s="21"/>
      <c r="D479" s="21" t="str">
        <f>IFERROR(__xludf.DUMMYFUNCTION("""COMPUTED_VALUE"""),"GwG Permanent")</f>
        <v>GwG Permanent</v>
      </c>
      <c r="E479" s="23">
        <f>IFERROR(__xludf.DUMMYFUNCTION("""COMPUTED_VALUE"""),43175.0)</f>
        <v>43175</v>
      </c>
      <c r="F479" s="24">
        <f>IFERROR(__xludf.DUMMYFUNCTION("""COMPUTED_VALUE"""),43190.0)</f>
        <v>43190</v>
      </c>
      <c r="G479" s="27">
        <f>IFERROR(__xludf.DUMMYFUNCTION("""COMPUTED_VALUE"""),0.4666666666666667)</f>
        <v>0.4666666667</v>
      </c>
      <c r="H479" s="23">
        <f>IFERROR(__xludf.DUMMYFUNCTION("""COMPUTED_VALUE"""),41009.0)</f>
        <v>41009</v>
      </c>
      <c r="I479" s="27">
        <f>IFERROR(__xludf.DUMMYFUNCTION("""COMPUTED_VALUE"""),5.933333333333334)</f>
        <v>5.933333333</v>
      </c>
      <c r="J479" s="29">
        <f>IFERROR(__xludf.DUMMYFUNCTION("""COMPUTED_VALUE"""),78.0)</f>
        <v>78</v>
      </c>
      <c r="K479" s="29">
        <f>IFERROR(__xludf.DUMMYFUNCTION("""COMPUTED_VALUE"""),4.0)</f>
        <v>4</v>
      </c>
      <c r="L479" s="31" t="str">
        <f>IFERROR(__xludf.DUMMYFUNCTION("""COMPUTED_VALUE"""),"Puzzle")</f>
        <v>Puzzle</v>
      </c>
      <c r="M479" s="31"/>
    </row>
    <row r="480">
      <c r="A480" s="17" t="str">
        <f>IFERROR(__xludf.DUMMYFUNCTION("""COMPUTED_VALUE"""),"Monkey Island 2 Special Edition: LeChuck's Revenge")</f>
        <v>Monkey Island 2 Special Edition: LeChuck's Revenge</v>
      </c>
      <c r="B480" s="20" t="str">
        <f>IFERROR(__xludf.DUMMYFUNCTION("""COMPUTED_VALUE"""),"XB360/OG Xbox")</f>
        <v>XB360/OG Xbox</v>
      </c>
      <c r="C480" s="21"/>
      <c r="D480" s="21" t="str">
        <f>IFERROR(__xludf.DUMMYFUNCTION("""COMPUTED_VALUE"""),"GwG Permanent")</f>
        <v>GwG Permanent</v>
      </c>
      <c r="E480" s="23">
        <f>IFERROR(__xludf.DUMMYFUNCTION("""COMPUTED_VALUE"""),42767.0)</f>
        <v>42767</v>
      </c>
      <c r="F480" s="24">
        <f>IFERROR(__xludf.DUMMYFUNCTION("""COMPUTED_VALUE"""),42781.0)</f>
        <v>42781</v>
      </c>
      <c r="G480" s="27">
        <f>IFERROR(__xludf.DUMMYFUNCTION("""COMPUTED_VALUE"""),0.4666666666666667)</f>
        <v>0.4666666667</v>
      </c>
      <c r="H480" s="23">
        <f>IFERROR(__xludf.DUMMYFUNCTION("""COMPUTED_VALUE"""),40374.0)</f>
        <v>40374</v>
      </c>
      <c r="I480" s="27">
        <f>IFERROR(__xludf.DUMMYFUNCTION("""COMPUTED_VALUE"""),6.544444444444444)</f>
        <v>6.544444444</v>
      </c>
      <c r="J480" s="29">
        <f>IFERROR(__xludf.DUMMYFUNCTION("""COMPUTED_VALUE"""),78.0)</f>
        <v>78</v>
      </c>
      <c r="K480" s="29">
        <f>IFERROR(__xludf.DUMMYFUNCTION("""COMPUTED_VALUE"""),8.0)</f>
        <v>8</v>
      </c>
      <c r="L480" s="31" t="str">
        <f>IFERROR(__xludf.DUMMYFUNCTION("""COMPUTED_VALUE"""),"Adventure")</f>
        <v>Adventure</v>
      </c>
      <c r="M480" s="31"/>
    </row>
    <row r="481">
      <c r="A481" s="17" t="str">
        <f>IFERROR(__xludf.DUMMYFUNCTION("""COMPUTED_VALUE"""),"Outland")</f>
        <v>Outland</v>
      </c>
      <c r="B481" s="20" t="str">
        <f>IFERROR(__xludf.DUMMYFUNCTION("""COMPUTED_VALUE"""),"XB360/OG Xbox")</f>
        <v>XB360/OG Xbox</v>
      </c>
      <c r="C481" s="21"/>
      <c r="D481" s="21" t="str">
        <f>IFERROR(__xludf.DUMMYFUNCTION("""COMPUTED_VALUE"""),"GwG Permanent")</f>
        <v>GwG Permanent</v>
      </c>
      <c r="E481" s="23">
        <f>IFERROR(__xludf.DUMMYFUNCTION("""COMPUTED_VALUE"""),42705.0)</f>
        <v>42705</v>
      </c>
      <c r="F481" s="24">
        <f>IFERROR(__xludf.DUMMYFUNCTION("""COMPUTED_VALUE"""),42719.0)</f>
        <v>42719</v>
      </c>
      <c r="G481" s="27">
        <f>IFERROR(__xludf.DUMMYFUNCTION("""COMPUTED_VALUE"""),0.4666666666666667)</f>
        <v>0.4666666667</v>
      </c>
      <c r="H481" s="23">
        <f>IFERROR(__xludf.DUMMYFUNCTION("""COMPUTED_VALUE"""),40716.0)</f>
        <v>40716</v>
      </c>
      <c r="I481" s="27">
        <f>IFERROR(__xludf.DUMMYFUNCTION("""COMPUTED_VALUE"""),5.441666666666666)</f>
        <v>5.441666667</v>
      </c>
      <c r="J481" s="29">
        <f>IFERROR(__xludf.DUMMYFUNCTION("""COMPUTED_VALUE"""),78.0)</f>
        <v>78</v>
      </c>
      <c r="K481" s="29">
        <f>IFERROR(__xludf.DUMMYFUNCTION("""COMPUTED_VALUE"""),6.0)</f>
        <v>6</v>
      </c>
      <c r="L481" s="31" t="str">
        <f>IFERROR(__xludf.DUMMYFUNCTION("""COMPUTED_VALUE"""),"Platformer")</f>
        <v>Platformer</v>
      </c>
      <c r="M481" s="31"/>
    </row>
    <row r="482">
      <c r="A482" s="17" t="str">
        <f>IFERROR(__xludf.DUMMYFUNCTION("""COMPUTED_VALUE"""),"Viva Piñata: Trouble in Paradise")</f>
        <v>Viva Piñata: Trouble in Paradise</v>
      </c>
      <c r="B482" s="20" t="str">
        <f>IFERROR(__xludf.DUMMYFUNCTION("""COMPUTED_VALUE"""),"XB360/OG Xbox")</f>
        <v>XB360/OG Xbox</v>
      </c>
      <c r="C482" s="21"/>
      <c r="D482" s="21" t="str">
        <f>IFERROR(__xludf.DUMMYFUNCTION("""COMPUTED_VALUE"""),"GwG Permanent")</f>
        <v>GwG Permanent</v>
      </c>
      <c r="E482" s="23">
        <f>IFERROR(__xludf.DUMMYFUNCTION("""COMPUTED_VALUE"""),41944.0)</f>
        <v>41944</v>
      </c>
      <c r="F482" s="24">
        <f>IFERROR(__xludf.DUMMYFUNCTION("""COMPUTED_VALUE"""),41958.0)</f>
        <v>41958</v>
      </c>
      <c r="G482" s="27">
        <f>IFERROR(__xludf.DUMMYFUNCTION("""COMPUTED_VALUE"""),0.4666666666666667)</f>
        <v>0.4666666667</v>
      </c>
      <c r="H482" s="23">
        <f>IFERROR(__xludf.DUMMYFUNCTION("""COMPUTED_VALUE"""),39742.0)</f>
        <v>39742</v>
      </c>
      <c r="I482" s="27">
        <f>IFERROR(__xludf.DUMMYFUNCTION("""COMPUTED_VALUE"""),6.027777777777778)</f>
        <v>6.027777778</v>
      </c>
      <c r="J482" s="29">
        <f>IFERROR(__xludf.DUMMYFUNCTION("""COMPUTED_VALUE"""),78.0)</f>
        <v>78</v>
      </c>
      <c r="K482" s="29">
        <f>IFERROR(__xludf.DUMMYFUNCTION("""COMPUTED_VALUE"""),18.0)</f>
        <v>18</v>
      </c>
      <c r="L482" s="31" t="str">
        <f>IFERROR(__xludf.DUMMYFUNCTION("""COMPUTED_VALUE"""),"Simulation")</f>
        <v>Simulation</v>
      </c>
      <c r="M482" s="31" t="str">
        <f>IFERROR(__xludf.DUMMYFUNCTION("""COMPUTED_VALUE"""),"Enhanced")</f>
        <v>Enhanced</v>
      </c>
    </row>
    <row r="483">
      <c r="A483" s="17" t="str">
        <f>IFERROR(__xludf.DUMMYFUNCTION("""COMPUTED_VALUE"""),"Charlie Murder")</f>
        <v>Charlie Murder</v>
      </c>
      <c r="B483" s="20" t="str">
        <f>IFERROR(__xludf.DUMMYFUNCTION("""COMPUTED_VALUE"""),"XB360/OG Xbox")</f>
        <v>XB360/OG Xbox</v>
      </c>
      <c r="C483" s="21"/>
      <c r="D483" s="21" t="str">
        <f>IFERROR(__xludf.DUMMYFUNCTION("""COMPUTED_VALUE"""),"GwG Permanent")</f>
        <v>GwG Permanent</v>
      </c>
      <c r="E483" s="23">
        <f>IFERROR(__xludf.DUMMYFUNCTION("""COMPUTED_VALUE"""),41806.0)</f>
        <v>41806</v>
      </c>
      <c r="F483" s="24">
        <f>IFERROR(__xludf.DUMMYFUNCTION("""COMPUTED_VALUE"""),41820.0)</f>
        <v>41820</v>
      </c>
      <c r="G483" s="27">
        <f>IFERROR(__xludf.DUMMYFUNCTION("""COMPUTED_VALUE"""),0.4666666666666667)</f>
        <v>0.4666666667</v>
      </c>
      <c r="H483" s="23">
        <f>IFERROR(__xludf.DUMMYFUNCTION("""COMPUTED_VALUE"""),41562.0)</f>
        <v>41562</v>
      </c>
      <c r="I483" s="27">
        <f>IFERROR(__xludf.DUMMYFUNCTION("""COMPUTED_VALUE"""),0.6694444444444444)</f>
        <v>0.6694444444</v>
      </c>
      <c r="J483" s="29">
        <f>IFERROR(__xludf.DUMMYFUNCTION("""COMPUTED_VALUE"""),78.0)</f>
        <v>78</v>
      </c>
      <c r="K483" s="29">
        <f>IFERROR(__xludf.DUMMYFUNCTION("""COMPUTED_VALUE"""),6.0)</f>
        <v>6</v>
      </c>
      <c r="L483" s="31" t="str">
        <f>IFERROR(__xludf.DUMMYFUNCTION("""COMPUTED_VALUE"""),"Beat-Em-Up")</f>
        <v>Beat-Em-Up</v>
      </c>
      <c r="M483" s="31"/>
    </row>
    <row r="484">
      <c r="A484" s="17" t="str">
        <f>IFERROR(__xludf.DUMMYFUNCTION("""COMPUTED_VALUE"""),"Dungeon Defenders")</f>
        <v>Dungeon Defenders</v>
      </c>
      <c r="B484" s="20" t="str">
        <f>IFERROR(__xludf.DUMMYFUNCTION("""COMPUTED_VALUE"""),"XB360/OG Xbox")</f>
        <v>XB360/OG Xbox</v>
      </c>
      <c r="C484" s="21"/>
      <c r="D484" s="21" t="str">
        <f>IFERROR(__xludf.DUMMYFUNCTION("""COMPUTED_VALUE"""),"GwG Permanent")</f>
        <v>GwG Permanent</v>
      </c>
      <c r="E484" s="23">
        <f>IFERROR(__xludf.DUMMYFUNCTION("""COMPUTED_VALUE"""),41714.0)</f>
        <v>41714</v>
      </c>
      <c r="F484" s="24">
        <f>IFERROR(__xludf.DUMMYFUNCTION("""COMPUTED_VALUE"""),41729.0)</f>
        <v>41729</v>
      </c>
      <c r="G484" s="27">
        <f>IFERROR(__xludf.DUMMYFUNCTION("""COMPUTED_VALUE"""),0.4666666666666667)</f>
        <v>0.4666666667</v>
      </c>
      <c r="H484" s="23">
        <f>IFERROR(__xludf.DUMMYFUNCTION("""COMPUTED_VALUE"""),40835.0)</f>
        <v>40835</v>
      </c>
      <c r="I484" s="27">
        <f>IFERROR(__xludf.DUMMYFUNCTION("""COMPUTED_VALUE"""),2.408333333333333)</f>
        <v>2.408333333</v>
      </c>
      <c r="J484" s="29">
        <f>IFERROR(__xludf.DUMMYFUNCTION("""COMPUTED_VALUE"""),78.0)</f>
        <v>78</v>
      </c>
      <c r="K484" s="29">
        <f>IFERROR(__xludf.DUMMYFUNCTION("""COMPUTED_VALUE"""),20.0)</f>
        <v>20</v>
      </c>
      <c r="L484" s="31" t="str">
        <f>IFERROR(__xludf.DUMMYFUNCTION("""COMPUTED_VALUE"""),"Action")</f>
        <v>Action</v>
      </c>
      <c r="M484" s="31"/>
    </row>
    <row r="485">
      <c r="A485" s="17" t="str">
        <f>IFERROR(__xludf.DUMMYFUNCTION("""COMPUTED_VALUE"""),"For Honor: Marching Fire Edition")</f>
        <v>For Honor: Marching Fire Edition</v>
      </c>
      <c r="B485" s="20" t="str">
        <f>IFERROR(__xludf.DUMMYFUNCTION("""COMPUTED_VALUE"""),"Xbox / PC")</f>
        <v>Xbox / PC</v>
      </c>
      <c r="C485" s="21" t="str">
        <f>IFERROR(__xludf.DUMMYFUNCTION("""COMPUTED_VALUE"""),"Yes")</f>
        <v>Yes</v>
      </c>
      <c r="D485" s="21" t="str">
        <f>IFERROR(__xludf.DUMMYFUNCTION("""COMPUTED_VALUE"""),"Active")</f>
        <v>Active</v>
      </c>
      <c r="E485" s="23">
        <f>IFERROR(__xludf.DUMMYFUNCTION("""COMPUTED_VALUE"""),44350.0)</f>
        <v>44350</v>
      </c>
      <c r="F485" s="24"/>
      <c r="G485" s="27">
        <f>IFERROR(__xludf.DUMMYFUNCTION("""COMPUTED_VALUE"""),64.1)</f>
        <v>64.1</v>
      </c>
      <c r="H485" s="23">
        <f>IFERROR(__xludf.DUMMYFUNCTION("""COMPUTED_VALUE"""),43083.0)</f>
        <v>43083</v>
      </c>
      <c r="I485" s="27">
        <f>IFERROR(__xludf.DUMMYFUNCTION("""COMPUTED_VALUE"""),3.4694444444444446)</f>
        <v>3.469444444</v>
      </c>
      <c r="J485" s="29">
        <f>IFERROR(__xludf.DUMMYFUNCTION("""COMPUTED_VALUE"""),77.5)</f>
        <v>77.5</v>
      </c>
      <c r="K485" s="29">
        <f>IFERROR(__xludf.DUMMYFUNCTION("""COMPUTED_VALUE"""),7.0)</f>
        <v>7</v>
      </c>
      <c r="L485" s="31" t="str">
        <f>IFERROR(__xludf.DUMMYFUNCTION("""COMPUTED_VALUE"""),"Action")</f>
        <v>Action</v>
      </c>
      <c r="M485" s="31" t="str">
        <f>IFERROR(__xludf.DUMMYFUNCTION("""COMPUTED_VALUE"""),"Optimized")</f>
        <v>Optimized</v>
      </c>
    </row>
    <row r="486">
      <c r="A486" s="17" t="str">
        <f>IFERROR(__xludf.DUMMYFUNCTION("""COMPUTED_VALUE"""),"Hell is Us")</f>
        <v>Hell is Us</v>
      </c>
      <c r="B486" s="20" t="str">
        <f>IFERROR(__xludf.DUMMYFUNCTION("""COMPUTED_VALUE"""),"Xbox / PC")</f>
        <v>Xbox / PC</v>
      </c>
      <c r="C486" s="21" t="str">
        <f>IFERROR(__xludf.DUMMYFUNCTION("""COMPUTED_VALUE"""),"Yes")</f>
        <v>Yes</v>
      </c>
      <c r="D486" s="21" t="str">
        <f>IFERROR(__xludf.DUMMYFUNCTION("""COMPUTED_VALUE"""),"Active")</f>
        <v>Active</v>
      </c>
      <c r="E486" s="23">
        <f>IFERROR(__xludf.DUMMYFUNCTION("""COMPUTED_VALUE"""),46226.0)</f>
        <v>46226</v>
      </c>
      <c r="F486" s="24"/>
      <c r="G486" s="27">
        <f>IFERROR(__xludf.DUMMYFUNCTION("""COMPUTED_VALUE"""),2.4333333333333336)</f>
        <v>2.433333333</v>
      </c>
      <c r="H486" s="23">
        <f>IFERROR(__xludf.DUMMYFUNCTION("""COMPUTED_VALUE"""),45904.0)</f>
        <v>45904</v>
      </c>
      <c r="I486" s="27">
        <f>IFERROR(__xludf.DUMMYFUNCTION("""COMPUTED_VALUE"""),0.8861111111111111)</f>
        <v>0.8861111111</v>
      </c>
      <c r="J486" s="29">
        <f>IFERROR(__xludf.DUMMYFUNCTION("""COMPUTED_VALUE"""),77.0)</f>
        <v>77</v>
      </c>
      <c r="K486" s="29">
        <f>IFERROR(__xludf.DUMMYFUNCTION("""COMPUTED_VALUE"""),18.0)</f>
        <v>18</v>
      </c>
      <c r="L486" s="31" t="str">
        <f>IFERROR(__xludf.DUMMYFUNCTION("""COMPUTED_VALUE"""),"Action-Adventure")</f>
        <v>Action-Adventure</v>
      </c>
      <c r="M486" s="31" t="str">
        <f>IFERROR(__xludf.DUMMYFUNCTION("""COMPUTED_VALUE"""),"Exclusive")</f>
        <v>Exclusive</v>
      </c>
    </row>
    <row r="487">
      <c r="A487" s="17" t="str">
        <f>IFERROR(__xludf.DUMMYFUNCTION("""COMPUTED_VALUE"""),"EA Sports FC 26")</f>
        <v>EA Sports FC 26</v>
      </c>
      <c r="B487" s="20" t="str">
        <f>IFERROR(__xludf.DUMMYFUNCTION("""COMPUTED_VALUE"""),"Xbox / PC")</f>
        <v>Xbox / PC</v>
      </c>
      <c r="C487" s="21" t="str">
        <f>IFERROR(__xludf.DUMMYFUNCTION("""COMPUTED_VALUE"""),"Yes")</f>
        <v>Yes</v>
      </c>
      <c r="D487" s="21" t="str">
        <f>IFERROR(__xludf.DUMMYFUNCTION("""COMPUTED_VALUE"""),"Active")</f>
        <v>Active</v>
      </c>
      <c r="E487" s="23">
        <f>IFERROR(__xludf.DUMMYFUNCTION("""COMPUTED_VALUE"""),46191.0)</f>
        <v>46191</v>
      </c>
      <c r="F487" s="24"/>
      <c r="G487" s="27">
        <f>IFERROR(__xludf.DUMMYFUNCTION("""COMPUTED_VALUE"""),3.5999999999999996)</f>
        <v>3.6</v>
      </c>
      <c r="H487" s="23">
        <f>IFERROR(__xludf.DUMMYFUNCTION("""COMPUTED_VALUE"""),45926.0)</f>
        <v>45926</v>
      </c>
      <c r="I487" s="27">
        <f>IFERROR(__xludf.DUMMYFUNCTION("""COMPUTED_VALUE"""),0.7277777777777777)</f>
        <v>0.7277777778</v>
      </c>
      <c r="J487" s="29">
        <f>IFERROR(__xludf.DUMMYFUNCTION("""COMPUTED_VALUE"""),77.0)</f>
        <v>77</v>
      </c>
      <c r="K487" s="29">
        <f>IFERROR(__xludf.DUMMYFUNCTION("""COMPUTED_VALUE"""),25.0)</f>
        <v>25</v>
      </c>
      <c r="L487" s="31" t="str">
        <f>IFERROR(__xludf.DUMMYFUNCTION("""COMPUTED_VALUE"""),"Sports")</f>
        <v>Sports</v>
      </c>
      <c r="M487" s="31"/>
    </row>
    <row r="488">
      <c r="A488" s="12" t="str">
        <f>IFERROR(__xludf.DUMMYFUNCTION("""COMPUTED_VALUE"""),"The Long Dark")</f>
        <v>The Long Dark</v>
      </c>
      <c r="B488" s="13" t="str">
        <f>IFERROR(__xludf.DUMMYFUNCTION("""COMPUTED_VALUE"""),"Xbox / PC")</f>
        <v>Xbox / PC</v>
      </c>
      <c r="C488" s="14" t="str">
        <f>IFERROR(__xludf.DUMMYFUNCTION("""COMPUTED_VALUE"""),"Yes")</f>
        <v>Yes</v>
      </c>
      <c r="D488" s="14" t="str">
        <f>IFERROR(__xludf.DUMMYFUNCTION("""COMPUTED_VALUE"""),"Active")</f>
        <v>Active</v>
      </c>
      <c r="E488" s="15">
        <f>IFERROR(__xludf.DUMMYFUNCTION("""COMPUTED_VALUE"""),46111.0)</f>
        <v>46111</v>
      </c>
      <c r="F488" s="16"/>
      <c r="G488" s="18">
        <f>IFERROR(__xludf.DUMMYFUNCTION("""COMPUTED_VALUE"""),6.200000000000001)</f>
        <v>6.2</v>
      </c>
      <c r="H488" s="15">
        <f>IFERROR(__xludf.DUMMYFUNCTION("""COMPUTED_VALUE"""),42948.0)</f>
        <v>42948</v>
      </c>
      <c r="I488" s="18">
        <f>IFERROR(__xludf.DUMMYFUNCTION("""COMPUTED_VALUE"""),8.66388888888889)</f>
        <v>8.663888889</v>
      </c>
      <c r="J488" s="22">
        <f>IFERROR(__xludf.DUMMYFUNCTION("""COMPUTED_VALUE"""),77.0)</f>
        <v>77</v>
      </c>
      <c r="K488" s="22">
        <f>IFERROR(__xludf.DUMMYFUNCTION("""COMPUTED_VALUE"""),20.0)</f>
        <v>20</v>
      </c>
      <c r="L488" s="26" t="str">
        <f>IFERROR(__xludf.DUMMYFUNCTION("""COMPUTED_VALUE"""),"Action-Adventure")</f>
        <v>Action-Adventure</v>
      </c>
      <c r="M488" s="26"/>
    </row>
    <row r="489">
      <c r="A489" s="12" t="str">
        <f>IFERROR(__xludf.DUMMYFUNCTION("""COMPUTED_VALUE"""),"Final Fantasy III")</f>
        <v>Final Fantasy III</v>
      </c>
      <c r="B489" s="13" t="str">
        <f>IFERROR(__xludf.DUMMYFUNCTION("""COMPUTED_VALUE"""),"Xbox / PC")</f>
        <v>Xbox / PC</v>
      </c>
      <c r="C489" s="14" t="str">
        <f>IFERROR(__xludf.DUMMYFUNCTION("""COMPUTED_VALUE"""),"Yes")</f>
        <v>Yes</v>
      </c>
      <c r="D489" s="14" t="str">
        <f>IFERROR(__xludf.DUMMYFUNCTION("""COMPUTED_VALUE"""),"Active")</f>
        <v>Active</v>
      </c>
      <c r="E489" s="15">
        <f>IFERROR(__xludf.DUMMYFUNCTION("""COMPUTED_VALUE"""),46084.0)</f>
        <v>46084</v>
      </c>
      <c r="F489" s="16"/>
      <c r="G489" s="18">
        <f>IFERROR(__xludf.DUMMYFUNCTION("""COMPUTED_VALUE"""),7.1)</f>
        <v>7.1</v>
      </c>
      <c r="H489" s="15">
        <f>IFERROR(__xludf.DUMMYFUNCTION("""COMPUTED_VALUE"""),33082.0)</f>
        <v>33082</v>
      </c>
      <c r="I489" s="18">
        <f>IFERROR(__xludf.DUMMYFUNCTION("""COMPUTED_VALUE"""),35.59722222222222)</f>
        <v>35.59722222</v>
      </c>
      <c r="J489" s="22">
        <f>IFERROR(__xludf.DUMMYFUNCTION("""COMPUTED_VALUE"""),77.0)</f>
        <v>77</v>
      </c>
      <c r="K489" s="22">
        <f>IFERROR(__xludf.DUMMYFUNCTION("""COMPUTED_VALUE"""),28.0)</f>
        <v>28</v>
      </c>
      <c r="L489" s="26" t="str">
        <f>IFERROR(__xludf.DUMMYFUNCTION("""COMPUTED_VALUE"""),"RPG")</f>
        <v>RPG</v>
      </c>
      <c r="M489" s="26" t="str">
        <f>IFERROR(__xludf.DUMMYFUNCTION("""COMPUTED_VALUE"""),"Exclusive")</f>
        <v>Exclusive</v>
      </c>
    </row>
    <row r="490">
      <c r="A490" s="12" t="str">
        <f>IFERROR(__xludf.DUMMYFUNCTION("""COMPUTED_VALUE"""),"Madden NFL 26")</f>
        <v>Madden NFL 26</v>
      </c>
      <c r="B490" s="13" t="str">
        <f>IFERROR(__xludf.DUMMYFUNCTION("""COMPUTED_VALUE"""),"Xbox / PC")</f>
        <v>Xbox / PC</v>
      </c>
      <c r="C490" s="14" t="str">
        <f>IFERROR(__xludf.DUMMYFUNCTION("""COMPUTED_VALUE"""),"Yes")</f>
        <v>Yes</v>
      </c>
      <c r="D490" s="14" t="str">
        <f>IFERROR(__xludf.DUMMYFUNCTION("""COMPUTED_VALUE"""),"Active")</f>
        <v>Active</v>
      </c>
      <c r="E490" s="15">
        <f>IFERROR(__xludf.DUMMYFUNCTION("""COMPUTED_VALUE"""),46058.0)</f>
        <v>46058</v>
      </c>
      <c r="F490" s="16"/>
      <c r="G490" s="18">
        <f>IFERROR(__xludf.DUMMYFUNCTION("""COMPUTED_VALUE"""),8.033333333333333)</f>
        <v>8.033333333</v>
      </c>
      <c r="H490" s="15">
        <f>IFERROR(__xludf.DUMMYFUNCTION("""COMPUTED_VALUE"""),45883.0)</f>
        <v>45883</v>
      </c>
      <c r="I490" s="18">
        <f>IFERROR(__xludf.DUMMYFUNCTION("""COMPUTED_VALUE"""),0.475)</f>
        <v>0.475</v>
      </c>
      <c r="J490" s="22">
        <f>IFERROR(__xludf.DUMMYFUNCTION("""COMPUTED_VALUE"""),77.0)</f>
        <v>77</v>
      </c>
      <c r="K490" s="22">
        <f>IFERROR(__xludf.DUMMYFUNCTION("""COMPUTED_VALUE"""),4.0)</f>
        <v>4</v>
      </c>
      <c r="L490" s="26" t="str">
        <f>IFERROR(__xludf.DUMMYFUNCTION("""COMPUTED_VALUE"""),"Sports")</f>
        <v>Sports</v>
      </c>
      <c r="M490" s="26"/>
    </row>
    <row r="491">
      <c r="A491" s="12" t="str">
        <f>IFERROR(__xludf.DUMMYFUNCTION("""COMPUTED_VALUE"""),"Final Fantasy II")</f>
        <v>Final Fantasy II</v>
      </c>
      <c r="B491" s="13" t="str">
        <f>IFERROR(__xludf.DUMMYFUNCTION("""COMPUTED_VALUE"""),"Xbox / PC")</f>
        <v>Xbox / PC</v>
      </c>
      <c r="C491" s="14" t="str">
        <f>IFERROR(__xludf.DUMMYFUNCTION("""COMPUTED_VALUE"""),"Yes")</f>
        <v>Yes</v>
      </c>
      <c r="D491" s="14" t="str">
        <f>IFERROR(__xludf.DUMMYFUNCTION("""COMPUTED_VALUE"""),"Active")</f>
        <v>Active</v>
      </c>
      <c r="E491" s="15">
        <f>IFERROR(__xludf.DUMMYFUNCTION("""COMPUTED_VALUE"""),46056.0)</f>
        <v>46056</v>
      </c>
      <c r="F491" s="16"/>
      <c r="G491" s="18">
        <f>IFERROR(__xludf.DUMMYFUNCTION("""COMPUTED_VALUE"""),8.100000000000001)</f>
        <v>8.1</v>
      </c>
      <c r="H491" s="15">
        <f>IFERROR(__xludf.DUMMYFUNCTION("""COMPUTED_VALUE"""),44405.0)</f>
        <v>44405</v>
      </c>
      <c r="I491" s="18">
        <f>IFERROR(__xludf.DUMMYFUNCTION("""COMPUTED_VALUE"""),4.513888888888889)</f>
        <v>4.513888889</v>
      </c>
      <c r="J491" s="22">
        <f>IFERROR(__xludf.DUMMYFUNCTION("""COMPUTED_VALUE"""),77.0)</f>
        <v>77</v>
      </c>
      <c r="K491" s="22">
        <f>IFERROR(__xludf.DUMMYFUNCTION("""COMPUTED_VALUE"""),20.0)</f>
        <v>20</v>
      </c>
      <c r="L491" s="26" t="str">
        <f>IFERROR(__xludf.DUMMYFUNCTION("""COMPUTED_VALUE"""),"Action-Adventure")</f>
        <v>Action-Adventure</v>
      </c>
      <c r="M491" s="26" t="str">
        <f>IFERROR(__xludf.DUMMYFUNCTION("""COMPUTED_VALUE"""),"Exclusive")</f>
        <v>Exclusive</v>
      </c>
    </row>
    <row r="492">
      <c r="A492" s="12" t="str">
        <f>IFERROR(__xludf.DUMMYFUNCTION("""COMPUTED_VALUE"""),"Clover Pit")</f>
        <v>Clover Pit</v>
      </c>
      <c r="B492" s="13" t="str">
        <f>IFERROR(__xludf.DUMMYFUNCTION("""COMPUTED_VALUE"""),"Xbox / PC")</f>
        <v>Xbox / PC</v>
      </c>
      <c r="C492" s="14" t="str">
        <f>IFERROR(__xludf.DUMMYFUNCTION("""COMPUTED_VALUE"""),"Yes")</f>
        <v>Yes</v>
      </c>
      <c r="D492" s="14" t="str">
        <f>IFERROR(__xludf.DUMMYFUNCTION("""COMPUTED_VALUE"""),"Active")</f>
        <v>Active</v>
      </c>
      <c r="E492" s="15">
        <f>IFERROR(__xludf.DUMMYFUNCTION("""COMPUTED_VALUE"""),45981.0)</f>
        <v>45981</v>
      </c>
      <c r="F492" s="16"/>
      <c r="G492" s="18">
        <f>IFERROR(__xludf.DUMMYFUNCTION("""COMPUTED_VALUE"""),10.533333333333333)</f>
        <v>10.53333333</v>
      </c>
      <c r="H492" s="15">
        <f>IFERROR(__xludf.DUMMYFUNCTION("""COMPUTED_VALUE"""),45926.0)</f>
        <v>45926</v>
      </c>
      <c r="I492" s="18">
        <f>IFERROR(__xludf.DUMMYFUNCTION("""COMPUTED_VALUE"""),0.15)</f>
        <v>0.15</v>
      </c>
      <c r="J492" s="22">
        <f>IFERROR(__xludf.DUMMYFUNCTION("""COMPUTED_VALUE"""),77.0)</f>
        <v>77</v>
      </c>
      <c r="K492" s="22">
        <f>IFERROR(__xludf.DUMMYFUNCTION("""COMPUTED_VALUE"""),8.0)</f>
        <v>8</v>
      </c>
      <c r="L492" s="26" t="str">
        <f>IFERROR(__xludf.DUMMYFUNCTION("""COMPUTED_VALUE"""),"Action-Adventure")</f>
        <v>Action-Adventure</v>
      </c>
      <c r="M492" s="26"/>
    </row>
    <row r="493">
      <c r="A493" s="12" t="str">
        <f>IFERROR(__xludf.DUMMYFUNCTION("""COMPUTED_VALUE"""),"Valiant Hearts: The Great War")</f>
        <v>Valiant Hearts: The Great War</v>
      </c>
      <c r="B493" s="13" t="str">
        <f>IFERROR(__xludf.DUMMYFUNCTION("""COMPUTED_VALUE"""),"Xbox / PC")</f>
        <v>Xbox / PC</v>
      </c>
      <c r="C493" s="14" t="str">
        <f>IFERROR(__xludf.DUMMYFUNCTION("""COMPUTED_VALUE"""),"Yes")</f>
        <v>Yes</v>
      </c>
      <c r="D493" s="14" t="str">
        <f>IFERROR(__xludf.DUMMYFUNCTION("""COMPUTED_VALUE"""),"Active")</f>
        <v>Active</v>
      </c>
      <c r="E493" s="15">
        <f>IFERROR(__xludf.DUMMYFUNCTION("""COMPUTED_VALUE"""),45931.0)</f>
        <v>45931</v>
      </c>
      <c r="F493" s="16"/>
      <c r="G493" s="18">
        <f>IFERROR(__xludf.DUMMYFUNCTION("""COMPUTED_VALUE"""),12.166666666666666)</f>
        <v>12.16666667</v>
      </c>
      <c r="H493" s="15">
        <f>IFERROR(__xludf.DUMMYFUNCTION("""COMPUTED_VALUE"""),41814.0)</f>
        <v>41814</v>
      </c>
      <c r="I493" s="18">
        <f>IFERROR(__xludf.DUMMYFUNCTION("""COMPUTED_VALUE"""),11.269444444444444)</f>
        <v>11.26944444</v>
      </c>
      <c r="J493" s="22">
        <f>IFERROR(__xludf.DUMMYFUNCTION("""COMPUTED_VALUE"""),77.0)</f>
        <v>77</v>
      </c>
      <c r="K493" s="22">
        <f>IFERROR(__xludf.DUMMYFUNCTION("""COMPUTED_VALUE"""),7.0)</f>
        <v>7</v>
      </c>
      <c r="L493" s="26" t="str">
        <f>IFERROR(__xludf.DUMMYFUNCTION("""COMPUTED_VALUE"""),"Platformer")</f>
        <v>Platformer</v>
      </c>
      <c r="M493" s="26"/>
    </row>
    <row r="494">
      <c r="A494" s="12" t="str">
        <f>IFERROR(__xludf.DUMMYFUNCTION("""COMPUTED_VALUE"""),"RoadCraft")</f>
        <v>RoadCraft</v>
      </c>
      <c r="B494" s="13" t="str">
        <f>IFERROR(__xludf.DUMMYFUNCTION("""COMPUTED_VALUE"""),"Xbox / PC")</f>
        <v>Xbox / PC</v>
      </c>
      <c r="C494" s="14" t="str">
        <f>IFERROR(__xludf.DUMMYFUNCTION("""COMPUTED_VALUE"""),"Yes")</f>
        <v>Yes</v>
      </c>
      <c r="D494" s="14" t="str">
        <f>IFERROR(__xludf.DUMMYFUNCTION("""COMPUTED_VALUE"""),"Active")</f>
        <v>Active</v>
      </c>
      <c r="E494" s="15">
        <f>IFERROR(__xludf.DUMMYFUNCTION("""COMPUTED_VALUE"""),45916.0)</f>
        <v>45916</v>
      </c>
      <c r="F494" s="16"/>
      <c r="G494" s="18">
        <f>IFERROR(__xludf.DUMMYFUNCTION("""COMPUTED_VALUE"""),12.666666666666668)</f>
        <v>12.66666667</v>
      </c>
      <c r="H494" s="15">
        <f>IFERROR(__xludf.DUMMYFUNCTION("""COMPUTED_VALUE"""),45797.0)</f>
        <v>45797</v>
      </c>
      <c r="I494" s="18">
        <f>IFERROR(__xludf.DUMMYFUNCTION("""COMPUTED_VALUE"""),0.32222222222222224)</f>
        <v>0.3222222222</v>
      </c>
      <c r="J494" s="22">
        <f>IFERROR(__xludf.DUMMYFUNCTION("""COMPUTED_VALUE"""),77.0)</f>
        <v>77</v>
      </c>
      <c r="K494" s="22">
        <f>IFERROR(__xludf.DUMMYFUNCTION("""COMPUTED_VALUE"""),51.0)</f>
        <v>51</v>
      </c>
      <c r="L494" s="26" t="str">
        <f>IFERROR(__xludf.DUMMYFUNCTION("""COMPUTED_VALUE"""),"Racing")</f>
        <v>Racing</v>
      </c>
      <c r="M494" s="26" t="str">
        <f>IFERROR(__xludf.DUMMYFUNCTION("""COMPUTED_VALUE"""),"Exclusive")</f>
        <v>Exclusive</v>
      </c>
    </row>
    <row r="495">
      <c r="A495" s="12" t="str">
        <f>IFERROR(__xludf.DUMMYFUNCTION("""COMPUTED_VALUE"""),"Herdling")</f>
        <v>Herdling</v>
      </c>
      <c r="B495" s="13" t="str">
        <f>IFERROR(__xludf.DUMMYFUNCTION("""COMPUTED_VALUE"""),"Xbox / PC")</f>
        <v>Xbox / PC</v>
      </c>
      <c r="C495" s="14" t="str">
        <f>IFERROR(__xludf.DUMMYFUNCTION("""COMPUTED_VALUE"""),"Yes")</f>
        <v>Yes</v>
      </c>
      <c r="D495" s="14" t="str">
        <f>IFERROR(__xludf.DUMMYFUNCTION("""COMPUTED_VALUE"""),"Active")</f>
        <v>Active</v>
      </c>
      <c r="E495" s="15">
        <f>IFERROR(__xludf.DUMMYFUNCTION("""COMPUTED_VALUE"""),45890.0)</f>
        <v>45890</v>
      </c>
      <c r="F495" s="16"/>
      <c r="G495" s="18">
        <f>IFERROR(__xludf.DUMMYFUNCTION("""COMPUTED_VALUE"""),13.5)</f>
        <v>13.5</v>
      </c>
      <c r="H495" s="15">
        <f>IFERROR(__xludf.DUMMYFUNCTION("""COMPUTED_VALUE"""),45890.0)</f>
        <v>45890</v>
      </c>
      <c r="I495" s="18">
        <f>IFERROR(__xludf.DUMMYFUNCTION("""COMPUTED_VALUE"""),0.0)</f>
        <v>0</v>
      </c>
      <c r="J495" s="22">
        <f>IFERROR(__xludf.DUMMYFUNCTION("""COMPUTED_VALUE"""),77.0)</f>
        <v>77</v>
      </c>
      <c r="K495" s="22">
        <f>IFERROR(__xludf.DUMMYFUNCTION("""COMPUTED_VALUE"""),4.0)</f>
        <v>4</v>
      </c>
      <c r="L495" s="26" t="str">
        <f>IFERROR(__xludf.DUMMYFUNCTION("""COMPUTED_VALUE"""),"Action-Adventure")</f>
        <v>Action-Adventure</v>
      </c>
      <c r="M495" s="26" t="str">
        <f>IFERROR(__xludf.DUMMYFUNCTION("""COMPUTED_VALUE"""),"Exclusive")</f>
        <v>Exclusive</v>
      </c>
    </row>
    <row r="496">
      <c r="A496" s="12" t="str">
        <f>IFERROR(__xludf.DUMMYFUNCTION("""COMPUTED_VALUE"""),"Demon Attack")</f>
        <v>Demon Attack</v>
      </c>
      <c r="B496" s="13" t="str">
        <f>IFERROR(__xludf.DUMMYFUNCTION("""COMPUTED_VALUE"""),"Xbox / PC")</f>
        <v>Xbox / PC</v>
      </c>
      <c r="C496" s="14" t="str">
        <f>IFERROR(__xludf.DUMMYFUNCTION("""COMPUTED_VALUE"""),"Yes")</f>
        <v>Yes</v>
      </c>
      <c r="D496" s="14" t="str">
        <f>IFERROR(__xludf.DUMMYFUNCTION("""COMPUTED_VALUE"""),"Active")</f>
        <v>Active</v>
      </c>
      <c r="E496" s="15">
        <f>IFERROR(__xludf.DUMMYFUNCTION("""COMPUTED_VALUE"""),45798.0)</f>
        <v>45798</v>
      </c>
      <c r="F496" s="16"/>
      <c r="G496" s="18">
        <f>IFERROR(__xludf.DUMMYFUNCTION("""COMPUTED_VALUE"""),16.5)</f>
        <v>16.5</v>
      </c>
      <c r="H496" s="15">
        <f>IFERROR(__xludf.DUMMYFUNCTION("""COMPUTED_VALUE"""),32255.0)</f>
        <v>32255</v>
      </c>
      <c r="I496" s="18">
        <f>IFERROR(__xludf.DUMMYFUNCTION("""COMPUTED_VALUE"""),37.080555555555556)</f>
        <v>37.08055556</v>
      </c>
      <c r="J496" s="22">
        <f>IFERROR(__xludf.DUMMYFUNCTION("""COMPUTED_VALUE"""),77.0)</f>
        <v>77</v>
      </c>
      <c r="K496" s="22"/>
      <c r="L496" s="26" t="str">
        <f>IFERROR(__xludf.DUMMYFUNCTION("""COMPUTED_VALUE"""),"Shooter")</f>
        <v>Shooter</v>
      </c>
      <c r="M496" s="26"/>
    </row>
    <row r="497">
      <c r="A497" s="12" t="str">
        <f>IFERROR(__xludf.DUMMYFUNCTION("""COMPUTED_VALUE"""),"Police Quest")</f>
        <v>Police Quest</v>
      </c>
      <c r="B497" s="13" t="str">
        <f>IFERROR(__xludf.DUMMYFUNCTION("""COMPUTED_VALUE"""),"Xbox / PC")</f>
        <v>Xbox / PC</v>
      </c>
      <c r="C497" s="14" t="str">
        <f>IFERROR(__xludf.DUMMYFUNCTION("""COMPUTED_VALUE"""),"Yes")</f>
        <v>Yes</v>
      </c>
      <c r="D497" s="14" t="str">
        <f>IFERROR(__xludf.DUMMYFUNCTION("""COMPUTED_VALUE"""),"Active")</f>
        <v>Active</v>
      </c>
      <c r="E497" s="15">
        <f>IFERROR(__xludf.DUMMYFUNCTION("""COMPUTED_VALUE"""),45798.0)</f>
        <v>45798</v>
      </c>
      <c r="F497" s="16"/>
      <c r="G497" s="18">
        <f>IFERROR(__xludf.DUMMYFUNCTION("""COMPUTED_VALUE"""),16.5)</f>
        <v>16.5</v>
      </c>
      <c r="H497" s="15">
        <f>IFERROR(__xludf.DUMMYFUNCTION("""COMPUTED_VALUE"""),31778.0)</f>
        <v>31778</v>
      </c>
      <c r="I497" s="18">
        <f>IFERROR(__xludf.DUMMYFUNCTION("""COMPUTED_VALUE"""),38.388888888888886)</f>
        <v>38.38888889</v>
      </c>
      <c r="J497" s="22">
        <f>IFERROR(__xludf.DUMMYFUNCTION("""COMPUTED_VALUE"""),77.0)</f>
        <v>77</v>
      </c>
      <c r="K497" s="22">
        <f>IFERROR(__xludf.DUMMYFUNCTION("""COMPUTED_VALUE"""),4.0)</f>
        <v>4</v>
      </c>
      <c r="L497" s="26" t="str">
        <f>IFERROR(__xludf.DUMMYFUNCTION("""COMPUTED_VALUE"""),"Adventure")</f>
        <v>Adventure</v>
      </c>
      <c r="M497" s="26"/>
    </row>
    <row r="498">
      <c r="A498" s="12" t="str">
        <f>IFERROR(__xludf.DUMMYFUNCTION("""COMPUTED_VALUE"""),"South of Midnight")</f>
        <v>South of Midnight</v>
      </c>
      <c r="B498" s="13" t="str">
        <f>IFERROR(__xludf.DUMMYFUNCTION("""COMPUTED_VALUE"""),"Xbox / PC")</f>
        <v>Xbox / PC</v>
      </c>
      <c r="C498" s="14"/>
      <c r="D498" s="14" t="str">
        <f>IFERROR(__xludf.DUMMYFUNCTION("""COMPUTED_VALUE"""),"Active")</f>
        <v>Active</v>
      </c>
      <c r="E498" s="15">
        <f>IFERROR(__xludf.DUMMYFUNCTION("""COMPUTED_VALUE"""),45755.0)</f>
        <v>45755</v>
      </c>
      <c r="F498" s="16"/>
      <c r="G498" s="18">
        <f>IFERROR(__xludf.DUMMYFUNCTION("""COMPUTED_VALUE"""),17.933333333333334)</f>
        <v>17.93333333</v>
      </c>
      <c r="H498" s="15">
        <f>IFERROR(__xludf.DUMMYFUNCTION("""COMPUTED_VALUE"""),45755.0)</f>
        <v>45755</v>
      </c>
      <c r="I498" s="18">
        <f>IFERROR(__xludf.DUMMYFUNCTION("""COMPUTED_VALUE"""),0.0)</f>
        <v>0</v>
      </c>
      <c r="J498" s="22">
        <f>IFERROR(__xludf.DUMMYFUNCTION("""COMPUTED_VALUE"""),77.0)</f>
        <v>77</v>
      </c>
      <c r="K498" s="22">
        <f>IFERROR(__xludf.DUMMYFUNCTION("""COMPUTED_VALUE"""),10.0)</f>
        <v>10</v>
      </c>
      <c r="L498" s="26" t="str">
        <f>IFERROR(__xludf.DUMMYFUNCTION("""COMPUTED_VALUE"""),"Action-Adventure")</f>
        <v>Action-Adventure</v>
      </c>
      <c r="M498" s="26" t="str">
        <f>IFERROR(__xludf.DUMMYFUNCTION("""COMPUTED_VALUE"""),"Exclusive")</f>
        <v>Exclusive</v>
      </c>
    </row>
    <row r="499">
      <c r="A499" s="12" t="str">
        <f>IFERROR(__xludf.DUMMYFUNCTION("""COMPUTED_VALUE"""),"Riders Republic")</f>
        <v>Riders Republic</v>
      </c>
      <c r="B499" s="13" t="str">
        <f>IFERROR(__xludf.DUMMYFUNCTION("""COMPUTED_VALUE"""),"Xbox / PC")</f>
        <v>Xbox / PC</v>
      </c>
      <c r="C499" s="14" t="str">
        <f>IFERROR(__xludf.DUMMYFUNCTION("""COMPUTED_VALUE"""),"Yes")</f>
        <v>Yes</v>
      </c>
      <c r="D499" s="14" t="str">
        <f>IFERROR(__xludf.DUMMYFUNCTION("""COMPUTED_VALUE"""),"Active")</f>
        <v>Active</v>
      </c>
      <c r="E499" s="15">
        <f>IFERROR(__xludf.DUMMYFUNCTION("""COMPUTED_VALUE"""),45546.0)</f>
        <v>45546</v>
      </c>
      <c r="F499" s="16"/>
      <c r="G499" s="18">
        <f>IFERROR(__xludf.DUMMYFUNCTION("""COMPUTED_VALUE"""),24.833333333333336)</f>
        <v>24.83333333</v>
      </c>
      <c r="H499" s="15">
        <f>IFERROR(__xludf.DUMMYFUNCTION("""COMPUTED_VALUE"""),44497.0)</f>
        <v>44497</v>
      </c>
      <c r="I499" s="18">
        <f>IFERROR(__xludf.DUMMYFUNCTION("""COMPUTED_VALUE"""),2.8694444444444445)</f>
        <v>2.869444444</v>
      </c>
      <c r="J499" s="22">
        <f>IFERROR(__xludf.DUMMYFUNCTION("""COMPUTED_VALUE"""),77.0)</f>
        <v>77</v>
      </c>
      <c r="K499" s="22">
        <f>IFERROR(__xludf.DUMMYFUNCTION("""COMPUTED_VALUE"""),18.0)</f>
        <v>18</v>
      </c>
      <c r="L499" s="26" t="str">
        <f>IFERROR(__xludf.DUMMYFUNCTION("""COMPUTED_VALUE"""),"Sports")</f>
        <v>Sports</v>
      </c>
      <c r="M499" s="26"/>
    </row>
    <row r="500">
      <c r="A500" s="12" t="str">
        <f>IFERROR(__xludf.DUMMYFUNCTION("""COMPUTED_VALUE"""),"Nickelodeon All-Star Brawl 2")</f>
        <v>Nickelodeon All-Star Brawl 2</v>
      </c>
      <c r="B500" s="13" t="str">
        <f>IFERROR(__xludf.DUMMYFUNCTION("""COMPUTED_VALUE"""),"Xbox / PC")</f>
        <v>Xbox / PC</v>
      </c>
      <c r="C500" s="14" t="str">
        <f>IFERROR(__xludf.DUMMYFUNCTION("""COMPUTED_VALUE"""),"Yes")</f>
        <v>Yes</v>
      </c>
      <c r="D500" s="14" t="str">
        <f>IFERROR(__xludf.DUMMYFUNCTION("""COMPUTED_VALUE"""),"Active")</f>
        <v>Active</v>
      </c>
      <c r="E500" s="15">
        <f>IFERROR(__xludf.DUMMYFUNCTION("""COMPUTED_VALUE"""),45476.0)</f>
        <v>45476</v>
      </c>
      <c r="F500" s="16"/>
      <c r="G500" s="18">
        <f>IFERROR(__xludf.DUMMYFUNCTION("""COMPUTED_VALUE"""),27.1)</f>
        <v>27.1</v>
      </c>
      <c r="H500" s="15">
        <f>IFERROR(__xludf.DUMMYFUNCTION("""COMPUTED_VALUE"""),45237.0)</f>
        <v>45237</v>
      </c>
      <c r="I500" s="18">
        <f>IFERROR(__xludf.DUMMYFUNCTION("""COMPUTED_VALUE"""),0.6555555555555556)</f>
        <v>0.6555555556</v>
      </c>
      <c r="J500" s="22">
        <f>IFERROR(__xludf.DUMMYFUNCTION("""COMPUTED_VALUE"""),77.0)</f>
        <v>77</v>
      </c>
      <c r="K500" s="22">
        <f>IFERROR(__xludf.DUMMYFUNCTION("""COMPUTED_VALUE"""),4.0)</f>
        <v>4</v>
      </c>
      <c r="L500" s="26" t="str">
        <f>IFERROR(__xludf.DUMMYFUNCTION("""COMPUTED_VALUE"""),"Fighting")</f>
        <v>Fighting</v>
      </c>
      <c r="M500" s="26"/>
    </row>
    <row r="501">
      <c r="A501" s="12" t="str">
        <f>IFERROR(__xludf.DUMMYFUNCTION("""COMPUTED_VALUE"""),"Need for Speed: Unbound")</f>
        <v>Need for Speed: Unbound</v>
      </c>
      <c r="B501" s="13" t="str">
        <f>IFERROR(__xludf.DUMMYFUNCTION("""COMPUTED_VALUE"""),"Xbox / PC")</f>
        <v>Xbox / PC</v>
      </c>
      <c r="C501" s="14" t="str">
        <f>IFERROR(__xludf.DUMMYFUNCTION("""COMPUTED_VALUE"""),"Yes")</f>
        <v>Yes</v>
      </c>
      <c r="D501" s="14" t="str">
        <f>IFERROR(__xludf.DUMMYFUNCTION("""COMPUTED_VALUE"""),"Active")</f>
        <v>Active</v>
      </c>
      <c r="E501" s="15">
        <f>IFERROR(__xludf.DUMMYFUNCTION("""COMPUTED_VALUE"""),45099.0)</f>
        <v>45099</v>
      </c>
      <c r="F501" s="16"/>
      <c r="G501" s="18">
        <f>IFERROR(__xludf.DUMMYFUNCTION("""COMPUTED_VALUE"""),39.46666666666667)</f>
        <v>39.46666667</v>
      </c>
      <c r="H501" s="15">
        <f>IFERROR(__xludf.DUMMYFUNCTION("""COMPUTED_VALUE"""),44894.0)</f>
        <v>44894</v>
      </c>
      <c r="I501" s="18">
        <f>IFERROR(__xludf.DUMMYFUNCTION("""COMPUTED_VALUE"""),0.5638888888888889)</f>
        <v>0.5638888889</v>
      </c>
      <c r="J501" s="22">
        <f>IFERROR(__xludf.DUMMYFUNCTION("""COMPUTED_VALUE"""),77.0)</f>
        <v>77</v>
      </c>
      <c r="K501" s="22">
        <f>IFERROR(__xludf.DUMMYFUNCTION("""COMPUTED_VALUE"""),23.0)</f>
        <v>23</v>
      </c>
      <c r="L501" s="26" t="str">
        <f>IFERROR(__xludf.DUMMYFUNCTION("""COMPUTED_VALUE"""),"Racing")</f>
        <v>Racing</v>
      </c>
      <c r="M501" s="26" t="str">
        <f>IFERROR(__xludf.DUMMYFUNCTION("""COMPUTED_VALUE"""),"Exclusive")</f>
        <v>Exclusive</v>
      </c>
    </row>
    <row r="502">
      <c r="A502" s="12" t="str">
        <f>IFERROR(__xludf.DUMMYFUNCTION("""COMPUTED_VALUE"""),"Broken Age")</f>
        <v>Broken Age</v>
      </c>
      <c r="B502" s="13" t="str">
        <f>IFERROR(__xludf.DUMMYFUNCTION("""COMPUTED_VALUE"""),"Xbox / PC")</f>
        <v>Xbox / PC</v>
      </c>
      <c r="C502" s="14" t="str">
        <f>IFERROR(__xludf.DUMMYFUNCTION("""COMPUTED_VALUE"""),"Touch Controls")</f>
        <v>Touch Controls</v>
      </c>
      <c r="D502" s="14" t="str">
        <f>IFERROR(__xludf.DUMMYFUNCTION("""COMPUTED_VALUE"""),"Active")</f>
        <v>Active</v>
      </c>
      <c r="E502" s="15">
        <f>IFERROR(__xludf.DUMMYFUNCTION("""COMPUTED_VALUE"""),44546.0)</f>
        <v>44546</v>
      </c>
      <c r="F502" s="16"/>
      <c r="G502" s="18">
        <f>IFERROR(__xludf.DUMMYFUNCTION("""COMPUTED_VALUE"""),57.666666666666664)</f>
        <v>57.66666667</v>
      </c>
      <c r="H502" s="15">
        <f>IFERROR(__xludf.DUMMYFUNCTION("""COMPUTED_VALUE"""),41653.0)</f>
        <v>41653</v>
      </c>
      <c r="I502" s="18">
        <f>IFERROR(__xludf.DUMMYFUNCTION("""COMPUTED_VALUE"""),7.9222222222222225)</f>
        <v>7.922222222</v>
      </c>
      <c r="J502" s="22">
        <f>IFERROR(__xludf.DUMMYFUNCTION("""COMPUTED_VALUE"""),77.0)</f>
        <v>77</v>
      </c>
      <c r="K502" s="22">
        <f>IFERROR(__xludf.DUMMYFUNCTION("""COMPUTED_VALUE"""),10.0)</f>
        <v>10</v>
      </c>
      <c r="L502" s="26" t="str">
        <f>IFERROR(__xludf.DUMMYFUNCTION("""COMPUTED_VALUE"""),"Adventure")</f>
        <v>Adventure</v>
      </c>
      <c r="M502" s="26"/>
    </row>
    <row r="503">
      <c r="A503" s="12" t="str">
        <f>IFERROR(__xludf.DUMMYFUNCTION("""COMPUTED_VALUE"""),"DOOM 64")</f>
        <v>DOOM 64</v>
      </c>
      <c r="B503" s="13" t="str">
        <f>IFERROR(__xludf.DUMMYFUNCTION("""COMPUTED_VALUE"""),"Xbox / PC")</f>
        <v>Xbox / PC</v>
      </c>
      <c r="C503" s="14" t="str">
        <f>IFERROR(__xludf.DUMMYFUNCTION("""COMPUTED_VALUE"""),"M+KB")</f>
        <v>M+KB</v>
      </c>
      <c r="D503" s="14" t="str">
        <f>IFERROR(__xludf.DUMMYFUNCTION("""COMPUTED_VALUE"""),"Active")</f>
        <v>Active</v>
      </c>
      <c r="E503" s="15">
        <f>IFERROR(__xludf.DUMMYFUNCTION("""COMPUTED_VALUE"""),44267.0)</f>
        <v>44267</v>
      </c>
      <c r="F503" s="16"/>
      <c r="G503" s="18">
        <f>IFERROR(__xludf.DUMMYFUNCTION("""COMPUTED_VALUE"""),66.8)</f>
        <v>66.8</v>
      </c>
      <c r="H503" s="15">
        <f>IFERROR(__xludf.DUMMYFUNCTION("""COMPUTED_VALUE"""),35520.0)</f>
        <v>35520</v>
      </c>
      <c r="I503" s="18">
        <f>IFERROR(__xludf.DUMMYFUNCTION("""COMPUTED_VALUE"""),23.95)</f>
        <v>23.95</v>
      </c>
      <c r="J503" s="22">
        <f>IFERROR(__xludf.DUMMYFUNCTION("""COMPUTED_VALUE"""),77.0)</f>
        <v>77</v>
      </c>
      <c r="K503" s="22">
        <f>IFERROR(__xludf.DUMMYFUNCTION("""COMPUTED_VALUE"""),7.0)</f>
        <v>7</v>
      </c>
      <c r="L503" s="26" t="str">
        <f>IFERROR(__xludf.DUMMYFUNCTION("""COMPUTED_VALUE"""),"Shooter")</f>
        <v>Shooter</v>
      </c>
      <c r="M503" s="26"/>
    </row>
    <row r="504">
      <c r="A504" s="12" t="str">
        <f>IFERROR(__xludf.DUMMYFUNCTION("""COMPUTED_VALUE"""),"BLACK")</f>
        <v>BLACK</v>
      </c>
      <c r="B504" s="13" t="str">
        <f>IFERROR(__xludf.DUMMYFUNCTION("""COMPUTED_VALUE"""),"Xbox")</f>
        <v>Xbox</v>
      </c>
      <c r="C504" s="14"/>
      <c r="D504" s="14" t="str">
        <f>IFERROR(__xludf.DUMMYFUNCTION("""COMPUTED_VALUE"""),"Active")</f>
        <v>Active</v>
      </c>
      <c r="E504" s="15">
        <f>IFERROR(__xludf.DUMMYFUNCTION("""COMPUTED_VALUE"""),44145.0)</f>
        <v>44145</v>
      </c>
      <c r="F504" s="16"/>
      <c r="G504" s="18">
        <f>IFERROR(__xludf.DUMMYFUNCTION("""COMPUTED_VALUE"""),70.86666666666667)</f>
        <v>70.86666667</v>
      </c>
      <c r="H504" s="15">
        <f>IFERROR(__xludf.DUMMYFUNCTION("""COMPUTED_VALUE"""),38776.0)</f>
        <v>38776</v>
      </c>
      <c r="I504" s="18">
        <f>IFERROR(__xludf.DUMMYFUNCTION("""COMPUTED_VALUE"""),14.7)</f>
        <v>14.7</v>
      </c>
      <c r="J504" s="22">
        <f>IFERROR(__xludf.DUMMYFUNCTION("""COMPUTED_VALUE"""),77.0)</f>
        <v>77</v>
      </c>
      <c r="K504" s="22">
        <f>IFERROR(__xludf.DUMMYFUNCTION("""COMPUTED_VALUE"""),6.0)</f>
        <v>6</v>
      </c>
      <c r="L504" s="26" t="str">
        <f>IFERROR(__xludf.DUMMYFUNCTION("""COMPUTED_VALUE"""),"Shooter")</f>
        <v>Shooter</v>
      </c>
      <c r="M504" s="26"/>
    </row>
    <row r="505">
      <c r="A505" s="12" t="str">
        <f>IFERROR(__xludf.DUMMYFUNCTION("""COMPUTED_VALUE"""),"Heavy Weapon")</f>
        <v>Heavy Weapon</v>
      </c>
      <c r="B505" s="13" t="str">
        <f>IFERROR(__xludf.DUMMYFUNCTION("""COMPUTED_VALUE"""),"Xbox")</f>
        <v>Xbox</v>
      </c>
      <c r="C505" s="14"/>
      <c r="D505" s="14" t="str">
        <f>IFERROR(__xludf.DUMMYFUNCTION("""COMPUTED_VALUE"""),"Active")</f>
        <v>Active</v>
      </c>
      <c r="E505" s="15">
        <f>IFERROR(__xludf.DUMMYFUNCTION("""COMPUTED_VALUE"""),44145.0)</f>
        <v>44145</v>
      </c>
      <c r="F505" s="16"/>
      <c r="G505" s="18">
        <f>IFERROR(__xludf.DUMMYFUNCTION("""COMPUTED_VALUE"""),70.86666666666667)</f>
        <v>70.86666667</v>
      </c>
      <c r="H505" s="15">
        <f>IFERROR(__xludf.DUMMYFUNCTION("""COMPUTED_VALUE"""),39099.0)</f>
        <v>39099</v>
      </c>
      <c r="I505" s="18">
        <f>IFERROR(__xludf.DUMMYFUNCTION("""COMPUTED_VALUE"""),13.813888888888888)</f>
        <v>13.81388889</v>
      </c>
      <c r="J505" s="22">
        <f>IFERROR(__xludf.DUMMYFUNCTION("""COMPUTED_VALUE"""),77.0)</f>
        <v>77</v>
      </c>
      <c r="K505" s="22">
        <f>IFERROR(__xludf.DUMMYFUNCTION("""COMPUTED_VALUE"""),2.0)</f>
        <v>2</v>
      </c>
      <c r="L505" s="26" t="str">
        <f>IFERROR(__xludf.DUMMYFUNCTION("""COMPUTED_VALUE"""),"Shooter")</f>
        <v>Shooter</v>
      </c>
      <c r="M505" s="26"/>
    </row>
    <row r="506">
      <c r="A506" s="12" t="str">
        <f>IFERROR(__xludf.DUMMYFUNCTION("""COMPUTED_VALUE"""),"Descenders")</f>
        <v>Descenders</v>
      </c>
      <c r="B506" s="13" t="str">
        <f>IFERROR(__xludf.DUMMYFUNCTION("""COMPUTED_VALUE"""),"Xbox / PC")</f>
        <v>Xbox / PC</v>
      </c>
      <c r="C506" s="14" t="str">
        <f>IFERROR(__xludf.DUMMYFUNCTION("""COMPUTED_VALUE"""),"Yes")</f>
        <v>Yes</v>
      </c>
      <c r="D506" s="14" t="str">
        <f>IFERROR(__xludf.DUMMYFUNCTION("""COMPUTED_VALUE"""),"Active")</f>
        <v>Active</v>
      </c>
      <c r="E506" s="15">
        <f>IFERROR(__xludf.DUMMYFUNCTION("""COMPUTED_VALUE"""),43592.0)</f>
        <v>43592</v>
      </c>
      <c r="F506" s="16"/>
      <c r="G506" s="18">
        <f>IFERROR(__xludf.DUMMYFUNCTION("""COMPUTED_VALUE"""),88.96666666666667)</f>
        <v>88.96666667</v>
      </c>
      <c r="H506" s="15">
        <f>IFERROR(__xludf.DUMMYFUNCTION("""COMPUTED_VALUE"""),43140.0)</f>
        <v>43140</v>
      </c>
      <c r="I506" s="18">
        <f>IFERROR(__xludf.DUMMYFUNCTION("""COMPUTED_VALUE"""),1.2444444444444445)</f>
        <v>1.244444444</v>
      </c>
      <c r="J506" s="22">
        <f>IFERROR(__xludf.DUMMYFUNCTION("""COMPUTED_VALUE"""),77.0)</f>
        <v>77</v>
      </c>
      <c r="K506" s="22">
        <f>IFERROR(__xludf.DUMMYFUNCTION("""COMPUTED_VALUE"""),4.0)</f>
        <v>4</v>
      </c>
      <c r="L506" s="26" t="str">
        <f>IFERROR(__xludf.DUMMYFUNCTION("""COMPUTED_VALUE"""),"Racing")</f>
        <v>Racing</v>
      </c>
      <c r="M506" s="26" t="str">
        <f>IFERROR(__xludf.DUMMYFUNCTION("""COMPUTED_VALUE"""),"Optimized")</f>
        <v>Optimized</v>
      </c>
    </row>
    <row r="507">
      <c r="A507" s="12" t="str">
        <f>IFERROR(__xludf.DUMMYFUNCTION("""COMPUTED_VALUE"""),"Quantum Break")</f>
        <v>Quantum Break</v>
      </c>
      <c r="B507" s="13" t="str">
        <f>IFERROR(__xludf.DUMMYFUNCTION("""COMPUTED_VALUE"""),"Xbox / PC")</f>
        <v>Xbox / PC</v>
      </c>
      <c r="C507" s="14"/>
      <c r="D507" s="14" t="str">
        <f>IFERROR(__xludf.DUMMYFUNCTION("""COMPUTED_VALUE"""),"Active")</f>
        <v>Active</v>
      </c>
      <c r="E507" s="15">
        <f>IFERROR(__xludf.DUMMYFUNCTION("""COMPUTED_VALUE"""),43344.0)</f>
        <v>43344</v>
      </c>
      <c r="F507" s="16"/>
      <c r="G507" s="18">
        <f>IFERROR(__xludf.DUMMYFUNCTION("""COMPUTED_VALUE"""),97.16666666666666)</f>
        <v>97.16666667</v>
      </c>
      <c r="H507" s="15">
        <f>IFERROR(__xludf.DUMMYFUNCTION("""COMPUTED_VALUE"""),42465.0)</f>
        <v>42465</v>
      </c>
      <c r="I507" s="18">
        <f>IFERROR(__xludf.DUMMYFUNCTION("""COMPUTED_VALUE"""),2.4055555555555554)</f>
        <v>2.405555556</v>
      </c>
      <c r="J507" s="22">
        <f>IFERROR(__xludf.DUMMYFUNCTION("""COMPUTED_VALUE"""),77.0)</f>
        <v>77</v>
      </c>
      <c r="K507" s="22">
        <f>IFERROR(__xludf.DUMMYFUNCTION("""COMPUTED_VALUE"""),10.0)</f>
        <v>10</v>
      </c>
      <c r="L507" s="26" t="str">
        <f>IFERROR(__xludf.DUMMYFUNCTION("""COMPUTED_VALUE"""),"Shooter")</f>
        <v>Shooter</v>
      </c>
      <c r="M507" s="26"/>
    </row>
    <row r="508">
      <c r="A508" s="12" t="str">
        <f>IFERROR(__xludf.DUMMYFUNCTION("""COMPUTED_VALUE"""),"The Elder Scrolls Online")</f>
        <v>The Elder Scrolls Online</v>
      </c>
      <c r="B508" s="13" t="str">
        <f>IFERROR(__xludf.DUMMYFUNCTION("""COMPUTED_VALUE"""),"Xbox / PC")</f>
        <v>Xbox / PC</v>
      </c>
      <c r="C508" s="14"/>
      <c r="D508" s="14" t="str">
        <f>IFERROR(__xludf.DUMMYFUNCTION("""COMPUTED_VALUE"""),"Active")</f>
        <v>Active</v>
      </c>
      <c r="E508" s="15">
        <f>IFERROR(__xludf.DUMMYFUNCTION("""COMPUTED_VALUE"""),43261.0)</f>
        <v>43261</v>
      </c>
      <c r="F508" s="16"/>
      <c r="G508" s="18">
        <f>IFERROR(__xludf.DUMMYFUNCTION("""COMPUTED_VALUE"""),99.86666666666667)</f>
        <v>99.86666667</v>
      </c>
      <c r="H508" s="15">
        <f>IFERROR(__xludf.DUMMYFUNCTION("""COMPUTED_VALUE"""),41733.0)</f>
        <v>41733</v>
      </c>
      <c r="I508" s="18">
        <f>IFERROR(__xludf.DUMMYFUNCTION("""COMPUTED_VALUE"""),4.183333333333334)</f>
        <v>4.183333333</v>
      </c>
      <c r="J508" s="22">
        <f>IFERROR(__xludf.DUMMYFUNCTION("""COMPUTED_VALUE"""),77.0)</f>
        <v>77</v>
      </c>
      <c r="K508" s="22">
        <f>IFERROR(__xludf.DUMMYFUNCTION("""COMPUTED_VALUE"""),87.0)</f>
        <v>87</v>
      </c>
      <c r="L508" s="26" t="str">
        <f>IFERROR(__xludf.DUMMYFUNCTION("""COMPUTED_VALUE"""),"MMORPG")</f>
        <v>MMORPG</v>
      </c>
      <c r="M508" s="26"/>
    </row>
    <row r="509">
      <c r="A509" s="12" t="str">
        <f>IFERROR(__xludf.DUMMYFUNCTION("""COMPUTED_VALUE"""),"Wasteland 2: Director's Cut")</f>
        <v>Wasteland 2: Director's Cut</v>
      </c>
      <c r="B509" s="13" t="str">
        <f>IFERROR(__xludf.DUMMYFUNCTION("""COMPUTED_VALUE"""),"Xbox / PC")</f>
        <v>Xbox / PC</v>
      </c>
      <c r="C509" s="14" t="str">
        <f>IFERROR(__xludf.DUMMYFUNCTION("""COMPUTED_VALUE"""),"Touch Controls")</f>
        <v>Touch Controls</v>
      </c>
      <c r="D509" s="14" t="str">
        <f>IFERROR(__xludf.DUMMYFUNCTION("""COMPUTED_VALUE"""),"Active")</f>
        <v>Active</v>
      </c>
      <c r="E509" s="15">
        <f>IFERROR(__xludf.DUMMYFUNCTION("""COMPUTED_VALUE"""),43252.0)</f>
        <v>43252</v>
      </c>
      <c r="F509" s="16"/>
      <c r="G509" s="18">
        <f>IFERROR(__xludf.DUMMYFUNCTION("""COMPUTED_VALUE"""),100.16666666666666)</f>
        <v>100.1666667</v>
      </c>
      <c r="H509" s="15">
        <f>IFERROR(__xludf.DUMMYFUNCTION("""COMPUTED_VALUE"""),41900.0)</f>
        <v>41900</v>
      </c>
      <c r="I509" s="18">
        <f>IFERROR(__xludf.DUMMYFUNCTION("""COMPUTED_VALUE"""),3.702777777777778)</f>
        <v>3.702777778</v>
      </c>
      <c r="J509" s="22">
        <f>IFERROR(__xludf.DUMMYFUNCTION("""COMPUTED_VALUE"""),77.0)</f>
        <v>77</v>
      </c>
      <c r="K509" s="22">
        <f>IFERROR(__xludf.DUMMYFUNCTION("""COMPUTED_VALUE"""),39.5)</f>
        <v>39.5</v>
      </c>
      <c r="L509" s="26" t="str">
        <f>IFERROR(__xludf.DUMMYFUNCTION("""COMPUTED_VALUE"""),"RPG")</f>
        <v>RPG</v>
      </c>
      <c r="M509" s="26"/>
    </row>
    <row r="510">
      <c r="A510" s="12" t="str">
        <f>IFERROR(__xludf.DUMMYFUNCTION("""COMPUTED_VALUE"""),"Banjo-Kazooie")</f>
        <v>Banjo-Kazooie</v>
      </c>
      <c r="B510" s="13" t="str">
        <f>IFERROR(__xludf.DUMMYFUNCTION("""COMPUTED_VALUE"""),"Xbox")</f>
        <v>Xbox</v>
      </c>
      <c r="C510" s="14" t="str">
        <f>IFERROR(__xludf.DUMMYFUNCTION("""COMPUTED_VALUE"""),"Touch Controls")</f>
        <v>Touch Controls</v>
      </c>
      <c r="D510" s="14" t="str">
        <f>IFERROR(__xludf.DUMMYFUNCTION("""COMPUTED_VALUE"""),"Active")</f>
        <v>Active</v>
      </c>
      <c r="E510" s="15">
        <f>IFERROR(__xludf.DUMMYFUNCTION("""COMPUTED_VALUE"""),42887.0)</f>
        <v>42887</v>
      </c>
      <c r="F510" s="16"/>
      <c r="G510" s="18">
        <f>IFERROR(__xludf.DUMMYFUNCTION("""COMPUTED_VALUE"""),112.16666666666666)</f>
        <v>112.1666667</v>
      </c>
      <c r="H510" s="15">
        <f>IFERROR(__xludf.DUMMYFUNCTION("""COMPUTED_VALUE"""),35975.0)</f>
        <v>35975</v>
      </c>
      <c r="I510" s="18">
        <f>IFERROR(__xludf.DUMMYFUNCTION("""COMPUTED_VALUE"""),18.92222222222222)</f>
        <v>18.92222222</v>
      </c>
      <c r="J510" s="22">
        <f>IFERROR(__xludf.DUMMYFUNCTION("""COMPUTED_VALUE"""),77.0)</f>
        <v>77</v>
      </c>
      <c r="K510" s="22">
        <f>IFERROR(__xludf.DUMMYFUNCTION("""COMPUTED_VALUE"""),11.0)</f>
        <v>11</v>
      </c>
      <c r="L510" s="26" t="str">
        <f>IFERROR(__xludf.DUMMYFUNCTION("""COMPUTED_VALUE"""),"Adventure")</f>
        <v>Adventure</v>
      </c>
      <c r="M510" s="26"/>
    </row>
    <row r="511">
      <c r="A511" s="12" t="str">
        <f>IFERROR(__xludf.DUMMYFUNCTION("""COMPUTED_VALUE"""),"Toybox Turbos")</f>
        <v>Toybox Turbos</v>
      </c>
      <c r="B511" s="13" t="str">
        <f>IFERROR(__xludf.DUMMYFUNCTION("""COMPUTED_VALUE"""),"XB360/OG Xbox")</f>
        <v>XB360/OG Xbox</v>
      </c>
      <c r="C511" s="14"/>
      <c r="D511" s="14" t="str">
        <f>IFERROR(__xludf.DUMMYFUNCTION("""COMPUTED_VALUE"""),"GwG Permanent")</f>
        <v>GwG Permanent</v>
      </c>
      <c r="E511" s="15">
        <f>IFERROR(__xludf.DUMMYFUNCTION("""COMPUTED_VALUE"""),43937.0)</f>
        <v>43937</v>
      </c>
      <c r="F511" s="16">
        <f>IFERROR(__xludf.DUMMYFUNCTION("""COMPUTED_VALUE"""),43951.0)</f>
        <v>43951</v>
      </c>
      <c r="G511" s="18">
        <f>IFERROR(__xludf.DUMMYFUNCTION("""COMPUTED_VALUE"""),0.4666666666666667)</f>
        <v>0.4666666667</v>
      </c>
      <c r="H511" s="15">
        <f>IFERROR(__xludf.DUMMYFUNCTION("""COMPUTED_VALUE"""),41954.0)</f>
        <v>41954</v>
      </c>
      <c r="I511" s="18">
        <f>IFERROR(__xludf.DUMMYFUNCTION("""COMPUTED_VALUE"""),5.430555555555555)</f>
        <v>5.430555556</v>
      </c>
      <c r="J511" s="22">
        <f>IFERROR(__xludf.DUMMYFUNCTION("""COMPUTED_VALUE"""),77.0)</f>
        <v>77</v>
      </c>
      <c r="K511" s="22">
        <f>IFERROR(__xludf.DUMMYFUNCTION("""COMPUTED_VALUE"""),4.0)</f>
        <v>4</v>
      </c>
      <c r="L511" s="26" t="str">
        <f>IFERROR(__xludf.DUMMYFUNCTION("""COMPUTED_VALUE"""),"Racing")</f>
        <v>Racing</v>
      </c>
      <c r="M511" s="26"/>
    </row>
    <row r="512">
      <c r="A512" s="12" t="str">
        <f>IFERROR(__xludf.DUMMYFUNCTION("""COMPUTED_VALUE"""),"Sonic Generations")</f>
        <v>Sonic Generations</v>
      </c>
      <c r="B512" s="13" t="str">
        <f>IFERROR(__xludf.DUMMYFUNCTION("""COMPUTED_VALUE"""),"XB360/OG Xbox")</f>
        <v>XB360/OG Xbox</v>
      </c>
      <c r="C512" s="14"/>
      <c r="D512" s="14" t="str">
        <f>IFERROR(__xludf.DUMMYFUNCTION("""COMPUTED_VALUE"""),"GwG Permanent")</f>
        <v>GwG Permanent</v>
      </c>
      <c r="E512" s="15">
        <f>IFERROR(__xludf.DUMMYFUNCTION("""COMPUTED_VALUE"""),43906.0)</f>
        <v>43906</v>
      </c>
      <c r="F512" s="16">
        <f>IFERROR(__xludf.DUMMYFUNCTION("""COMPUTED_VALUE"""),43921.0)</f>
        <v>43921</v>
      </c>
      <c r="G512" s="18">
        <f>IFERROR(__xludf.DUMMYFUNCTION("""COMPUTED_VALUE"""),0.4666666666666667)</f>
        <v>0.4666666667</v>
      </c>
      <c r="H512" s="15">
        <f>IFERROR(__xludf.DUMMYFUNCTION("""COMPUTED_VALUE"""),40848.0)</f>
        <v>40848</v>
      </c>
      <c r="I512" s="18">
        <f>IFERROR(__xludf.DUMMYFUNCTION("""COMPUTED_VALUE"""),8.375)</f>
        <v>8.375</v>
      </c>
      <c r="J512" s="22">
        <f>IFERROR(__xludf.DUMMYFUNCTION("""COMPUTED_VALUE"""),77.0)</f>
        <v>77</v>
      </c>
      <c r="K512" s="22">
        <f>IFERROR(__xludf.DUMMYFUNCTION("""COMPUTED_VALUE"""),5.5)</f>
        <v>5.5</v>
      </c>
      <c r="L512" s="26" t="str">
        <f>IFERROR(__xludf.DUMMYFUNCTION("""COMPUTED_VALUE"""),"Platformer")</f>
        <v>Platformer</v>
      </c>
      <c r="M512" s="26" t="str">
        <f>IFERROR(__xludf.DUMMYFUNCTION("""COMPUTED_VALUE"""),"Enhanced")</f>
        <v>Enhanced</v>
      </c>
    </row>
    <row r="513">
      <c r="A513" s="12" t="str">
        <f>IFERROR(__xludf.DUMMYFUNCTION("""COMPUTED_VALUE"""),"Stuntman: Ignition")</f>
        <v>Stuntman: Ignition</v>
      </c>
      <c r="B513" s="13" t="str">
        <f>IFERROR(__xludf.DUMMYFUNCTION("""COMPUTED_VALUE"""),"XB360/OG Xbox")</f>
        <v>XB360/OG Xbox</v>
      </c>
      <c r="C513" s="14"/>
      <c r="D513" s="14" t="str">
        <f>IFERROR(__xludf.DUMMYFUNCTION("""COMPUTED_VALUE"""),"GwG Permanent")</f>
        <v>GwG Permanent</v>
      </c>
      <c r="E513" s="15">
        <f>IFERROR(__xludf.DUMMYFUNCTION("""COMPUTED_VALUE"""),43374.0)</f>
        <v>43374</v>
      </c>
      <c r="F513" s="16">
        <f>IFERROR(__xludf.DUMMYFUNCTION("""COMPUTED_VALUE"""),43388.0)</f>
        <v>43388</v>
      </c>
      <c r="G513" s="18">
        <f>IFERROR(__xludf.DUMMYFUNCTION("""COMPUTED_VALUE"""),0.4666666666666667)</f>
        <v>0.4666666667</v>
      </c>
      <c r="H513" s="15">
        <f>IFERROR(__xludf.DUMMYFUNCTION("""COMPUTED_VALUE"""),39351.0)</f>
        <v>39351</v>
      </c>
      <c r="I513" s="18">
        <f>IFERROR(__xludf.DUMMYFUNCTION("""COMPUTED_VALUE"""),11.01388888888889)</f>
        <v>11.01388889</v>
      </c>
      <c r="J513" s="22">
        <f>IFERROR(__xludf.DUMMYFUNCTION("""COMPUTED_VALUE"""),77.0)</f>
        <v>77</v>
      </c>
      <c r="K513" s="22">
        <f>IFERROR(__xludf.DUMMYFUNCTION("""COMPUTED_VALUE"""),6.0)</f>
        <v>6</v>
      </c>
      <c r="L513" s="26" t="str">
        <f>IFERROR(__xludf.DUMMYFUNCTION("""COMPUTED_VALUE"""),"Racing")</f>
        <v>Racing</v>
      </c>
      <c r="M513" s="26"/>
    </row>
    <row r="514">
      <c r="A514" s="12" t="str">
        <f>IFERROR(__xludf.DUMMYFUNCTION("""COMPUTED_VALUE"""),"LEGO Indiana Jones 2: The Adventure Continues")</f>
        <v>LEGO Indiana Jones 2: The Adventure Continues</v>
      </c>
      <c r="B514" s="13" t="str">
        <f>IFERROR(__xludf.DUMMYFUNCTION("""COMPUTED_VALUE"""),"XB360/OG Xbox")</f>
        <v>XB360/OG Xbox</v>
      </c>
      <c r="C514" s="14"/>
      <c r="D514" s="14" t="str">
        <f>IFERROR(__xludf.DUMMYFUNCTION("""COMPUTED_VALUE"""),"GwG Permanent")</f>
        <v>GwG Permanent</v>
      </c>
      <c r="E514" s="15">
        <f>IFERROR(__xludf.DUMMYFUNCTION("""COMPUTED_VALUE"""),43267.0)</f>
        <v>43267</v>
      </c>
      <c r="F514" s="16">
        <f>IFERROR(__xludf.DUMMYFUNCTION("""COMPUTED_VALUE"""),43281.0)</f>
        <v>43281</v>
      </c>
      <c r="G514" s="18">
        <f>IFERROR(__xludf.DUMMYFUNCTION("""COMPUTED_VALUE"""),0.4666666666666667)</f>
        <v>0.4666666667</v>
      </c>
      <c r="H514" s="15">
        <f>IFERROR(__xludf.DUMMYFUNCTION("""COMPUTED_VALUE"""),39982.0)</f>
        <v>39982</v>
      </c>
      <c r="I514" s="18">
        <f>IFERROR(__xludf.DUMMYFUNCTION("""COMPUTED_VALUE"""),8.994444444444444)</f>
        <v>8.994444444</v>
      </c>
      <c r="J514" s="22">
        <f>IFERROR(__xludf.DUMMYFUNCTION("""COMPUTED_VALUE"""),77.0)</f>
        <v>77</v>
      </c>
      <c r="K514" s="22">
        <f>IFERROR(__xludf.DUMMYFUNCTION("""COMPUTED_VALUE"""),7.0)</f>
        <v>7</v>
      </c>
      <c r="L514" s="26" t="str">
        <f>IFERROR(__xludf.DUMMYFUNCTION("""COMPUTED_VALUE"""),"Action-Adventure")</f>
        <v>Action-Adventure</v>
      </c>
      <c r="M514" s="26"/>
    </row>
    <row r="515">
      <c r="A515" s="12" t="str">
        <f>IFERROR(__xludf.DUMMYFUNCTION("""COMPUTED_VALUE"""),"MX vs. ATV Reflex")</f>
        <v>MX vs. ATV Reflex</v>
      </c>
      <c r="B515" s="13" t="str">
        <f>IFERROR(__xludf.DUMMYFUNCTION("""COMPUTED_VALUE"""),"XB360/OG Xbox")</f>
        <v>XB360/OG Xbox</v>
      </c>
      <c r="C515" s="14"/>
      <c r="D515" s="14" t="str">
        <f>IFERROR(__xludf.DUMMYFUNCTION("""COMPUTED_VALUE"""),"GwG Permanent")</f>
        <v>GwG Permanent</v>
      </c>
      <c r="E515" s="15">
        <f>IFERROR(__xludf.DUMMYFUNCTION("""COMPUTED_VALUE"""),42644.0)</f>
        <v>42644</v>
      </c>
      <c r="F515" s="16">
        <f>IFERROR(__xludf.DUMMYFUNCTION("""COMPUTED_VALUE"""),42658.0)</f>
        <v>42658</v>
      </c>
      <c r="G515" s="18">
        <f>IFERROR(__xludf.DUMMYFUNCTION("""COMPUTED_VALUE"""),0.4666666666666667)</f>
        <v>0.4666666667</v>
      </c>
      <c r="H515" s="15">
        <f>IFERROR(__xludf.DUMMYFUNCTION("""COMPUTED_VALUE"""),39870.0)</f>
        <v>39870</v>
      </c>
      <c r="I515" s="18">
        <f>IFERROR(__xludf.DUMMYFUNCTION("""COMPUTED_VALUE"""),7.597222222222222)</f>
        <v>7.597222222</v>
      </c>
      <c r="J515" s="22">
        <f>IFERROR(__xludf.DUMMYFUNCTION("""COMPUTED_VALUE"""),77.0)</f>
        <v>77</v>
      </c>
      <c r="K515" s="22">
        <f>IFERROR(__xludf.DUMMYFUNCTION("""COMPUTED_VALUE"""),8.0)</f>
        <v>8</v>
      </c>
      <c r="L515" s="26" t="str">
        <f>IFERROR(__xludf.DUMMYFUNCTION("""COMPUTED_VALUE"""),"Racing")</f>
        <v>Racing</v>
      </c>
      <c r="M515" s="26"/>
    </row>
    <row r="516">
      <c r="A516" s="12" t="str">
        <f>IFERROR(__xludf.DUMMYFUNCTION("""COMPUTED_VALUE"""),"Mafia II")</f>
        <v>Mafia II</v>
      </c>
      <c r="B516" s="13" t="str">
        <f>IFERROR(__xludf.DUMMYFUNCTION("""COMPUTED_VALUE"""),"XB360/OG Xbox")</f>
        <v>XB360/OG Xbox</v>
      </c>
      <c r="C516" s="14"/>
      <c r="D516" s="14" t="str">
        <f>IFERROR(__xludf.DUMMYFUNCTION("""COMPUTED_VALUE"""),"GwG Permanent")</f>
        <v>GwG Permanent</v>
      </c>
      <c r="E516" s="15">
        <f>IFERROR(__xludf.DUMMYFUNCTION("""COMPUTED_VALUE"""),42125.0)</f>
        <v>42125</v>
      </c>
      <c r="F516" s="16">
        <f>IFERROR(__xludf.DUMMYFUNCTION("""COMPUTED_VALUE"""),42139.0)</f>
        <v>42139</v>
      </c>
      <c r="G516" s="18">
        <f>IFERROR(__xludf.DUMMYFUNCTION("""COMPUTED_VALUE"""),0.4666666666666667)</f>
        <v>0.4666666667</v>
      </c>
      <c r="H516" s="15">
        <f>IFERROR(__xludf.DUMMYFUNCTION("""COMPUTED_VALUE"""),40414.0)</f>
        <v>40414</v>
      </c>
      <c r="I516" s="18">
        <f>IFERROR(__xludf.DUMMYFUNCTION("""COMPUTED_VALUE"""),4.686111111111111)</f>
        <v>4.686111111</v>
      </c>
      <c r="J516" s="22">
        <f>IFERROR(__xludf.DUMMYFUNCTION("""COMPUTED_VALUE"""),77.0)</f>
        <v>77</v>
      </c>
      <c r="K516" s="22">
        <f>IFERROR(__xludf.DUMMYFUNCTION("""COMPUTED_VALUE"""),11.0)</f>
        <v>11</v>
      </c>
      <c r="L516" s="26" t="str">
        <f>IFERROR(__xludf.DUMMYFUNCTION("""COMPUTED_VALUE"""),"Action-Adventure")</f>
        <v>Action-Adventure</v>
      </c>
      <c r="M516" s="26"/>
    </row>
    <row r="517">
      <c r="A517" s="12" t="str">
        <f>IFERROR(__xludf.DUMMYFUNCTION("""COMPUTED_VALUE"""),"Sniper Elite V2")</f>
        <v>Sniper Elite V2</v>
      </c>
      <c r="B517" s="13" t="str">
        <f>IFERROR(__xludf.DUMMYFUNCTION("""COMPUTED_VALUE"""),"XB360/OG Xbox")</f>
        <v>XB360/OG Xbox</v>
      </c>
      <c r="C517" s="14"/>
      <c r="D517" s="14" t="str">
        <f>IFERROR(__xludf.DUMMYFUNCTION("""COMPUTED_VALUE"""),"GwG Permanent")</f>
        <v>GwG Permanent</v>
      </c>
      <c r="E517" s="15">
        <f>IFERROR(__xludf.DUMMYFUNCTION("""COMPUTED_VALUE"""),42051.0)</f>
        <v>42051</v>
      </c>
      <c r="F517" s="16">
        <f>IFERROR(__xludf.DUMMYFUNCTION("""COMPUTED_VALUE"""),42063.0)</f>
        <v>42063</v>
      </c>
      <c r="G517" s="18">
        <f>IFERROR(__xludf.DUMMYFUNCTION("""COMPUTED_VALUE"""),0.4)</f>
        <v>0.4</v>
      </c>
      <c r="H517" s="15">
        <f>IFERROR(__xludf.DUMMYFUNCTION("""COMPUTED_VALUE"""),41033.0)</f>
        <v>41033</v>
      </c>
      <c r="I517" s="18">
        <f>IFERROR(__xludf.DUMMYFUNCTION("""COMPUTED_VALUE"""),2.783333333333333)</f>
        <v>2.783333333</v>
      </c>
      <c r="J517" s="22">
        <f>IFERROR(__xludf.DUMMYFUNCTION("""COMPUTED_VALUE"""),77.0)</f>
        <v>77</v>
      </c>
      <c r="K517" s="22">
        <f>IFERROR(__xludf.DUMMYFUNCTION("""COMPUTED_VALUE"""),9.0)</f>
        <v>9</v>
      </c>
      <c r="L517" s="26" t="str">
        <f>IFERROR(__xludf.DUMMYFUNCTION("""COMPUTED_VALUE"""),"Shooter")</f>
        <v>Shooter</v>
      </c>
      <c r="M517" s="26"/>
    </row>
    <row r="518">
      <c r="A518" s="12" t="str">
        <f>IFERROR(__xludf.DUMMYFUNCTION("""COMPUTED_VALUE"""),"Toy Soldiers: Cold War")</f>
        <v>Toy Soldiers: Cold War</v>
      </c>
      <c r="B518" s="13" t="str">
        <f>IFERROR(__xludf.DUMMYFUNCTION("""COMPUTED_VALUE"""),"XB360/OG Xbox")</f>
        <v>XB360/OG Xbox</v>
      </c>
      <c r="C518" s="14"/>
      <c r="D518" s="14" t="str">
        <f>IFERROR(__xludf.DUMMYFUNCTION("""COMPUTED_VALUE"""),"GwG Permanent")</f>
        <v>GwG Permanent</v>
      </c>
      <c r="E518" s="15">
        <f>IFERROR(__xludf.DUMMYFUNCTION("""COMPUTED_VALUE"""),41686.0)</f>
        <v>41686</v>
      </c>
      <c r="F518" s="16">
        <f>IFERROR(__xludf.DUMMYFUNCTION("""COMPUTED_VALUE"""),41698.0)</f>
        <v>41698</v>
      </c>
      <c r="G518" s="18">
        <f>IFERROR(__xludf.DUMMYFUNCTION("""COMPUTED_VALUE"""),0.4)</f>
        <v>0.4</v>
      </c>
      <c r="H518" s="15">
        <f>IFERROR(__xludf.DUMMYFUNCTION("""COMPUTED_VALUE"""),40842.0)</f>
        <v>40842</v>
      </c>
      <c r="I518" s="18">
        <f>IFERROR(__xludf.DUMMYFUNCTION("""COMPUTED_VALUE"""),2.3055555555555554)</f>
        <v>2.305555556</v>
      </c>
      <c r="J518" s="22">
        <f>IFERROR(__xludf.DUMMYFUNCTION("""COMPUTED_VALUE"""),77.0)</f>
        <v>77</v>
      </c>
      <c r="K518" s="22">
        <f>IFERROR(__xludf.DUMMYFUNCTION("""COMPUTED_VALUE"""),8.0)</f>
        <v>8</v>
      </c>
      <c r="L518" s="26" t="str">
        <f>IFERROR(__xludf.DUMMYFUNCTION("""COMPUTED_VALUE"""),"Strategy")</f>
        <v>Strategy</v>
      </c>
      <c r="M518" s="26"/>
    </row>
    <row r="519">
      <c r="A519" s="12" t="str">
        <f>IFERROR(__xludf.DUMMYFUNCTION("""COMPUTED_VALUE"""),"Supermarket Simulator")</f>
        <v>Supermarket Simulator</v>
      </c>
      <c r="B519" s="13" t="str">
        <f>IFERROR(__xludf.DUMMYFUNCTION("""COMPUTED_VALUE"""),"Xbox / PC")</f>
        <v>Xbox / PC</v>
      </c>
      <c r="C519" s="14" t="str">
        <f>IFERROR(__xludf.DUMMYFUNCTION("""COMPUTED_VALUE"""),"Yes")</f>
        <v>Yes</v>
      </c>
      <c r="D519" s="14" t="str">
        <f>IFERROR(__xludf.DUMMYFUNCTION("""COMPUTED_VALUE"""),"Active")</f>
        <v>Active</v>
      </c>
      <c r="E519" s="15">
        <f>IFERROR(__xludf.DUMMYFUNCTION("""COMPUTED_VALUE"""),45938.0)</f>
        <v>45938</v>
      </c>
      <c r="F519" s="16"/>
      <c r="G519" s="18">
        <f>IFERROR(__xludf.DUMMYFUNCTION("""COMPUTED_VALUE"""),11.933333333333334)</f>
        <v>11.93333333</v>
      </c>
      <c r="H519" s="15">
        <f>IFERROR(__xludf.DUMMYFUNCTION("""COMPUTED_VALUE"""),45827.0)</f>
        <v>45827</v>
      </c>
      <c r="I519" s="18">
        <f>IFERROR(__xludf.DUMMYFUNCTION("""COMPUTED_VALUE"""),0.30277777777777776)</f>
        <v>0.3027777778</v>
      </c>
      <c r="J519" s="22">
        <f>IFERROR(__xludf.DUMMYFUNCTION("""COMPUTED_VALUE"""),76.66666666666667)</f>
        <v>76.66666667</v>
      </c>
      <c r="K519" s="22">
        <f>IFERROR(__xludf.DUMMYFUNCTION("""COMPUTED_VALUE"""),22.0)</f>
        <v>22</v>
      </c>
      <c r="L519" s="26" t="str">
        <f>IFERROR(__xludf.DUMMYFUNCTION("""COMPUTED_VALUE"""),"Simulation")</f>
        <v>Simulation</v>
      </c>
      <c r="M519" s="26"/>
    </row>
    <row r="520">
      <c r="A520" s="12" t="str">
        <f>IFERROR(__xludf.DUMMYFUNCTION("""COMPUTED_VALUE"""),"Crime Scene Cleaner")</f>
        <v>Crime Scene Cleaner</v>
      </c>
      <c r="B520" s="13" t="str">
        <f>IFERROR(__xludf.DUMMYFUNCTION("""COMPUTED_VALUE"""),"Xbox / PC")</f>
        <v>Xbox / PC</v>
      </c>
      <c r="C520" s="14" t="str">
        <f>IFERROR(__xludf.DUMMYFUNCTION("""COMPUTED_VALUE"""),"Yes")</f>
        <v>Yes</v>
      </c>
      <c r="D520" s="14" t="str">
        <f>IFERROR(__xludf.DUMMYFUNCTION("""COMPUTED_VALUE"""),"Leaving Soon")</f>
        <v>Leaving Soon</v>
      </c>
      <c r="E520" s="15">
        <f>IFERROR(__xludf.DUMMYFUNCTION("""COMPUTED_VALUE"""),45764.0)</f>
        <v>45764</v>
      </c>
      <c r="F520" s="16">
        <f>IFERROR(__xludf.DUMMYFUNCTION("""COMPUTED_VALUE"""),46310.0)</f>
        <v>46310</v>
      </c>
      <c r="G520" s="18">
        <f>IFERROR(__xludf.DUMMYFUNCTION("""COMPUTED_VALUE"""),17.933333333333334)</f>
        <v>17.93333333</v>
      </c>
      <c r="H520" s="15">
        <f>IFERROR(__xludf.DUMMYFUNCTION("""COMPUTED_VALUE"""),45518.0)</f>
        <v>45518</v>
      </c>
      <c r="I520" s="18">
        <f>IFERROR(__xludf.DUMMYFUNCTION("""COMPUTED_VALUE"""),0.675)</f>
        <v>0.675</v>
      </c>
      <c r="J520" s="22">
        <f>IFERROR(__xludf.DUMMYFUNCTION("""COMPUTED_VALUE"""),76.66666666666667)</f>
        <v>76.66666667</v>
      </c>
      <c r="K520" s="22">
        <f>IFERROR(__xludf.DUMMYFUNCTION("""COMPUTED_VALUE"""),13.0)</f>
        <v>13</v>
      </c>
      <c r="L520" s="26" t="str">
        <f>IFERROR(__xludf.DUMMYFUNCTION("""COMPUTED_VALUE"""),"Simulation")</f>
        <v>Simulation</v>
      </c>
      <c r="M520" s="26" t="str">
        <f>IFERROR(__xludf.DUMMYFUNCTION("""COMPUTED_VALUE"""),"Exclusive")</f>
        <v>Exclusive</v>
      </c>
    </row>
    <row r="521">
      <c r="A521" s="12" t="str">
        <f>IFERROR(__xludf.DUMMYFUNCTION("""COMPUTED_VALUE"""),"Call of Duty: Black Ops Cold War")</f>
        <v>Call of Duty: Black Ops Cold War</v>
      </c>
      <c r="B521" s="13" t="str">
        <f>IFERROR(__xludf.DUMMYFUNCTION("""COMPUTED_VALUE"""),"Xbox / PC")</f>
        <v>Xbox / PC</v>
      </c>
      <c r="C521" s="14" t="str">
        <f>IFERROR(__xludf.DUMMYFUNCTION("""COMPUTED_VALUE"""),"Yes")</f>
        <v>Yes</v>
      </c>
      <c r="D521" s="14" t="str">
        <f>IFERROR(__xludf.DUMMYFUNCTION("""COMPUTED_VALUE"""),"Active")</f>
        <v>Active</v>
      </c>
      <c r="E521" s="15">
        <f>IFERROR(__xludf.DUMMYFUNCTION("""COMPUTED_VALUE"""),46273.0)</f>
        <v>46273</v>
      </c>
      <c r="F521" s="16"/>
      <c r="G521" s="18">
        <f>IFERROR(__xludf.DUMMYFUNCTION("""COMPUTED_VALUE"""),0.9333333333333333)</f>
        <v>0.9333333333</v>
      </c>
      <c r="H521" s="15">
        <f>IFERROR(__xludf.DUMMYFUNCTION("""COMPUTED_VALUE"""),44148.0)</f>
        <v>44148</v>
      </c>
      <c r="I521" s="18">
        <f>IFERROR(__xludf.DUMMYFUNCTION("""COMPUTED_VALUE"""),5.819444444444445)</f>
        <v>5.819444444</v>
      </c>
      <c r="J521" s="22">
        <f>IFERROR(__xludf.DUMMYFUNCTION("""COMPUTED_VALUE"""),76.0)</f>
        <v>76</v>
      </c>
      <c r="K521" s="22">
        <f>IFERROR(__xludf.DUMMYFUNCTION("""COMPUTED_VALUE"""),5.5)</f>
        <v>5.5</v>
      </c>
      <c r="L521" s="26" t="str">
        <f>IFERROR(__xludf.DUMMYFUNCTION("""COMPUTED_VALUE"""),"Shooter")</f>
        <v>Shooter</v>
      </c>
      <c r="M521" s="26"/>
    </row>
    <row r="522">
      <c r="A522" s="12" t="str">
        <f>IFERROR(__xludf.DUMMYFUNCTION("""COMPUTED_VALUE"""),"Call of the Elder Gods")</f>
        <v>Call of the Elder Gods</v>
      </c>
      <c r="B522" s="13" t="str">
        <f>IFERROR(__xludf.DUMMYFUNCTION("""COMPUTED_VALUE"""),"Xbox / PC")</f>
        <v>Xbox / PC</v>
      </c>
      <c r="C522" s="14" t="str">
        <f>IFERROR(__xludf.DUMMYFUNCTION("""COMPUTED_VALUE"""),"Yes")</f>
        <v>Yes</v>
      </c>
      <c r="D522" s="14" t="str">
        <f>IFERROR(__xludf.DUMMYFUNCTION("""COMPUTED_VALUE"""),"Active")</f>
        <v>Active</v>
      </c>
      <c r="E522" s="15">
        <f>IFERROR(__xludf.DUMMYFUNCTION("""COMPUTED_VALUE"""),46154.0)</f>
        <v>46154</v>
      </c>
      <c r="F522" s="16"/>
      <c r="G522" s="18">
        <f>IFERROR(__xludf.DUMMYFUNCTION("""COMPUTED_VALUE"""),4.800000000000001)</f>
        <v>4.8</v>
      </c>
      <c r="H522" s="15">
        <f>IFERROR(__xludf.DUMMYFUNCTION("""COMPUTED_VALUE"""),46154.0)</f>
        <v>46154</v>
      </c>
      <c r="I522" s="18">
        <f>IFERROR(__xludf.DUMMYFUNCTION("""COMPUTED_VALUE"""),0.0)</f>
        <v>0</v>
      </c>
      <c r="J522" s="22">
        <f>IFERROR(__xludf.DUMMYFUNCTION("""COMPUTED_VALUE"""),76.0)</f>
        <v>76</v>
      </c>
      <c r="K522" s="22">
        <f>IFERROR(__xludf.DUMMYFUNCTION("""COMPUTED_VALUE"""),6.0)</f>
        <v>6</v>
      </c>
      <c r="L522" s="26" t="str">
        <f>IFERROR(__xludf.DUMMYFUNCTION("""COMPUTED_VALUE"""),"Action-Adventure")</f>
        <v>Action-Adventure</v>
      </c>
      <c r="M522" s="26" t="str">
        <f>IFERROR(__xludf.DUMMYFUNCTION("""COMPUTED_VALUE"""),"Exclusive")</f>
        <v>Exclusive</v>
      </c>
    </row>
    <row r="523">
      <c r="A523" s="12" t="str">
        <f>IFERROR(__xludf.DUMMYFUNCTION("""COMPUTED_VALUE"""),"REPLACED")</f>
        <v>REPLACED</v>
      </c>
      <c r="B523" s="13" t="str">
        <f>IFERROR(__xludf.DUMMYFUNCTION("""COMPUTED_VALUE"""),"Xbox / PC")</f>
        <v>Xbox / PC</v>
      </c>
      <c r="C523" s="14" t="str">
        <f>IFERROR(__xludf.DUMMYFUNCTION("""COMPUTED_VALUE"""),"Yes")</f>
        <v>Yes</v>
      </c>
      <c r="D523" s="14" t="str">
        <f>IFERROR(__xludf.DUMMYFUNCTION("""COMPUTED_VALUE"""),"Active")</f>
        <v>Active</v>
      </c>
      <c r="E523" s="15">
        <f>IFERROR(__xludf.DUMMYFUNCTION("""COMPUTED_VALUE"""),46126.0)</f>
        <v>46126</v>
      </c>
      <c r="F523" s="16"/>
      <c r="G523" s="18">
        <f>IFERROR(__xludf.DUMMYFUNCTION("""COMPUTED_VALUE"""),5.733333333333333)</f>
        <v>5.733333333</v>
      </c>
      <c r="H523" s="15">
        <f>IFERROR(__xludf.DUMMYFUNCTION("""COMPUTED_VALUE"""),46126.0)</f>
        <v>46126</v>
      </c>
      <c r="I523" s="18">
        <f>IFERROR(__xludf.DUMMYFUNCTION("""COMPUTED_VALUE"""),0.0)</f>
        <v>0</v>
      </c>
      <c r="J523" s="22">
        <f>IFERROR(__xludf.DUMMYFUNCTION("""COMPUTED_VALUE"""),76.0)</f>
        <v>76</v>
      </c>
      <c r="K523" s="22">
        <f>IFERROR(__xludf.DUMMYFUNCTION("""COMPUTED_VALUE"""),11.0)</f>
        <v>11</v>
      </c>
      <c r="L523" s="26" t="str">
        <f>IFERROR(__xludf.DUMMYFUNCTION("""COMPUTED_VALUE"""),"Action-Adventure")</f>
        <v>Action-Adventure</v>
      </c>
      <c r="M523" s="26" t="str">
        <f>IFERROR(__xludf.DUMMYFUNCTION("""COMPUTED_VALUE"""),"Exclusive")</f>
        <v>Exclusive</v>
      </c>
    </row>
    <row r="524">
      <c r="A524" s="12" t="str">
        <f>IFERROR(__xludf.DUMMYFUNCTION("""COMPUTED_VALUE"""),"Planet Coaster 2")</f>
        <v>Planet Coaster 2</v>
      </c>
      <c r="B524" s="13" t="str">
        <f>IFERROR(__xludf.DUMMYFUNCTION("""COMPUTED_VALUE"""),"Xbox / PC")</f>
        <v>Xbox / PC</v>
      </c>
      <c r="C524" s="14" t="str">
        <f>IFERROR(__xludf.DUMMYFUNCTION("""COMPUTED_VALUE"""),"Yes")</f>
        <v>Yes</v>
      </c>
      <c r="D524" s="14" t="str">
        <f>IFERROR(__xludf.DUMMYFUNCTION("""COMPUTED_VALUE"""),"Active")</f>
        <v>Active</v>
      </c>
      <c r="E524" s="15">
        <f>IFERROR(__xludf.DUMMYFUNCTION("""COMPUTED_VALUE"""),46121.0)</f>
        <v>46121</v>
      </c>
      <c r="F524" s="16"/>
      <c r="G524" s="18">
        <f>IFERROR(__xludf.DUMMYFUNCTION("""COMPUTED_VALUE"""),5.8999999999999995)</f>
        <v>5.9</v>
      </c>
      <c r="H524" s="15">
        <f>IFERROR(__xludf.DUMMYFUNCTION("""COMPUTED_VALUE"""),45602.0)</f>
        <v>45602</v>
      </c>
      <c r="I524" s="18">
        <f>IFERROR(__xludf.DUMMYFUNCTION("""COMPUTED_VALUE"""),1.425)</f>
        <v>1.425</v>
      </c>
      <c r="J524" s="22">
        <f>IFERROR(__xludf.DUMMYFUNCTION("""COMPUTED_VALUE"""),76.0)</f>
        <v>76</v>
      </c>
      <c r="K524" s="22">
        <f>IFERROR(__xludf.DUMMYFUNCTION("""COMPUTED_VALUE"""),32.0)</f>
        <v>32</v>
      </c>
      <c r="L524" s="26" t="str">
        <f>IFERROR(__xludf.DUMMYFUNCTION("""COMPUTED_VALUE"""),"Simulation")</f>
        <v>Simulation</v>
      </c>
      <c r="M524" s="26" t="str">
        <f>IFERROR(__xludf.DUMMYFUNCTION("""COMPUTED_VALUE"""),"Exclusive")</f>
        <v>Exclusive</v>
      </c>
    </row>
    <row r="525">
      <c r="A525" s="12" t="str">
        <f>IFERROR(__xludf.DUMMYFUNCTION("""COMPUTED_VALUE"""),"Relooted")</f>
        <v>Relooted</v>
      </c>
      <c r="B525" s="13" t="str">
        <f>IFERROR(__xludf.DUMMYFUNCTION("""COMPUTED_VALUE"""),"Xbox / PC")</f>
        <v>Xbox / PC</v>
      </c>
      <c r="C525" s="14" t="str">
        <f>IFERROR(__xludf.DUMMYFUNCTION("""COMPUTED_VALUE"""),"Yes")</f>
        <v>Yes</v>
      </c>
      <c r="D525" s="14" t="str">
        <f>IFERROR(__xludf.DUMMYFUNCTION("""COMPUTED_VALUE"""),"Active")</f>
        <v>Active</v>
      </c>
      <c r="E525" s="15">
        <f>IFERROR(__xludf.DUMMYFUNCTION("""COMPUTED_VALUE"""),46063.0)</f>
        <v>46063</v>
      </c>
      <c r="F525" s="16"/>
      <c r="G525" s="18">
        <f>IFERROR(__xludf.DUMMYFUNCTION("""COMPUTED_VALUE"""),7.866666666666667)</f>
        <v>7.866666667</v>
      </c>
      <c r="H525" s="15">
        <f>IFERROR(__xludf.DUMMYFUNCTION("""COMPUTED_VALUE"""),46063.0)</f>
        <v>46063</v>
      </c>
      <c r="I525" s="18">
        <f>IFERROR(__xludf.DUMMYFUNCTION("""COMPUTED_VALUE"""),0.0)</f>
        <v>0</v>
      </c>
      <c r="J525" s="22">
        <f>IFERROR(__xludf.DUMMYFUNCTION("""COMPUTED_VALUE"""),76.0)</f>
        <v>76</v>
      </c>
      <c r="K525" s="22">
        <f>IFERROR(__xludf.DUMMYFUNCTION("""COMPUTED_VALUE"""),6.0)</f>
        <v>6</v>
      </c>
      <c r="L525" s="26" t="str">
        <f>IFERROR(__xludf.DUMMYFUNCTION("""COMPUTED_VALUE"""),"Action-Adventure")</f>
        <v>Action-Adventure</v>
      </c>
      <c r="M525" s="26" t="str">
        <f>IFERROR(__xludf.DUMMYFUNCTION("""COMPUTED_VALUE"""),"Exclusive")</f>
        <v>Exclusive</v>
      </c>
    </row>
    <row r="526">
      <c r="A526" s="12" t="str">
        <f>IFERROR(__xludf.DUMMYFUNCTION("""COMPUTED_VALUE"""),"The Crew Motorfest")</f>
        <v>The Crew Motorfest</v>
      </c>
      <c r="B526" s="13" t="str">
        <f>IFERROR(__xludf.DUMMYFUNCTION("""COMPUTED_VALUE"""),"Xbox / PC")</f>
        <v>Xbox / PC</v>
      </c>
      <c r="C526" s="14" t="str">
        <f>IFERROR(__xludf.DUMMYFUNCTION("""COMPUTED_VALUE"""),"Yes")</f>
        <v>Yes</v>
      </c>
      <c r="D526" s="14" t="str">
        <f>IFERROR(__xludf.DUMMYFUNCTION("""COMPUTED_VALUE"""),"Active")</f>
        <v>Active</v>
      </c>
      <c r="E526" s="15">
        <f>IFERROR(__xludf.DUMMYFUNCTION("""COMPUTED_VALUE"""),45981.0)</f>
        <v>45981</v>
      </c>
      <c r="F526" s="16"/>
      <c r="G526" s="18">
        <f>IFERROR(__xludf.DUMMYFUNCTION("""COMPUTED_VALUE"""),10.533333333333333)</f>
        <v>10.53333333</v>
      </c>
      <c r="H526" s="15">
        <f>IFERROR(__xludf.DUMMYFUNCTION("""COMPUTED_VALUE"""),45183.0)</f>
        <v>45183</v>
      </c>
      <c r="I526" s="18">
        <f>IFERROR(__xludf.DUMMYFUNCTION("""COMPUTED_VALUE"""),2.183333333333333)</f>
        <v>2.183333333</v>
      </c>
      <c r="J526" s="22">
        <f>IFERROR(__xludf.DUMMYFUNCTION("""COMPUTED_VALUE"""),76.0)</f>
        <v>76</v>
      </c>
      <c r="K526" s="22">
        <f>IFERROR(__xludf.DUMMYFUNCTION("""COMPUTED_VALUE"""),21.0)</f>
        <v>21</v>
      </c>
      <c r="L526" s="26" t="str">
        <f>IFERROR(__xludf.DUMMYFUNCTION("""COMPUTED_VALUE"""),"Racing")</f>
        <v>Racing</v>
      </c>
      <c r="M526" s="26"/>
    </row>
    <row r="527">
      <c r="A527" s="12" t="str">
        <f>IFERROR(__xludf.DUMMYFUNCTION("""COMPUTED_VALUE"""),"Assassin's Creed Syndicate")</f>
        <v>Assassin's Creed Syndicate</v>
      </c>
      <c r="B527" s="13" t="str">
        <f>IFERROR(__xludf.DUMMYFUNCTION("""COMPUTED_VALUE"""),"Xbox / PC")</f>
        <v>Xbox / PC</v>
      </c>
      <c r="C527" s="14" t="str">
        <f>IFERROR(__xludf.DUMMYFUNCTION("""COMPUTED_VALUE"""),"Yes")</f>
        <v>Yes</v>
      </c>
      <c r="D527" s="14" t="str">
        <f>IFERROR(__xludf.DUMMYFUNCTION("""COMPUTED_VALUE"""),"Active")</f>
        <v>Active</v>
      </c>
      <c r="E527" s="15">
        <f>IFERROR(__xludf.DUMMYFUNCTION("""COMPUTED_VALUE"""),45931.0)</f>
        <v>45931</v>
      </c>
      <c r="F527" s="16"/>
      <c r="G527" s="18">
        <f>IFERROR(__xludf.DUMMYFUNCTION("""COMPUTED_VALUE"""),12.166666666666666)</f>
        <v>12.16666667</v>
      </c>
      <c r="H527" s="15">
        <f>IFERROR(__xludf.DUMMYFUNCTION("""COMPUTED_VALUE"""),42300.0)</f>
        <v>42300</v>
      </c>
      <c r="I527" s="18">
        <f>IFERROR(__xludf.DUMMYFUNCTION("""COMPUTED_VALUE"""),9.938888888888888)</f>
        <v>9.938888889</v>
      </c>
      <c r="J527" s="22">
        <f>IFERROR(__xludf.DUMMYFUNCTION("""COMPUTED_VALUE"""),76.0)</f>
        <v>76</v>
      </c>
      <c r="K527" s="22">
        <f>IFERROR(__xludf.DUMMYFUNCTION("""COMPUTED_VALUE"""),19.0)</f>
        <v>19</v>
      </c>
      <c r="L527" s="26" t="str">
        <f>IFERROR(__xludf.DUMMYFUNCTION("""COMPUTED_VALUE"""),"Action-Adventure")</f>
        <v>Action-Adventure</v>
      </c>
      <c r="M527" s="26"/>
    </row>
    <row r="528">
      <c r="A528" s="12" t="str">
        <f>IFERROR(__xludf.DUMMYFUNCTION("""COMPUTED_VALUE"""),"Far Cry Primal")</f>
        <v>Far Cry Primal</v>
      </c>
      <c r="B528" s="13" t="str">
        <f>IFERROR(__xludf.DUMMYFUNCTION("""COMPUTED_VALUE"""),"Xbox / PC")</f>
        <v>Xbox / PC</v>
      </c>
      <c r="C528" s="14" t="str">
        <f>IFERROR(__xludf.DUMMYFUNCTION("""COMPUTED_VALUE"""),"Yes")</f>
        <v>Yes</v>
      </c>
      <c r="D528" s="14" t="str">
        <f>IFERROR(__xludf.DUMMYFUNCTION("""COMPUTED_VALUE"""),"Active")</f>
        <v>Active</v>
      </c>
      <c r="E528" s="15">
        <f>IFERROR(__xludf.DUMMYFUNCTION("""COMPUTED_VALUE"""),45931.0)</f>
        <v>45931</v>
      </c>
      <c r="F528" s="16"/>
      <c r="G528" s="18">
        <f>IFERROR(__xludf.DUMMYFUNCTION("""COMPUTED_VALUE"""),12.166666666666666)</f>
        <v>12.16666667</v>
      </c>
      <c r="H528" s="15">
        <f>IFERROR(__xludf.DUMMYFUNCTION("""COMPUTED_VALUE"""),42423.0)</f>
        <v>42423</v>
      </c>
      <c r="I528" s="18">
        <f>IFERROR(__xludf.DUMMYFUNCTION("""COMPUTED_VALUE"""),9.605555555555556)</f>
        <v>9.605555556</v>
      </c>
      <c r="J528" s="22">
        <f>IFERROR(__xludf.DUMMYFUNCTION("""COMPUTED_VALUE"""),76.0)</f>
        <v>76</v>
      </c>
      <c r="K528" s="22">
        <f>IFERROR(__xludf.DUMMYFUNCTION("""COMPUTED_VALUE"""),15.0)</f>
        <v>15</v>
      </c>
      <c r="L528" s="26" t="str">
        <f>IFERROR(__xludf.DUMMYFUNCTION("""COMPUTED_VALUE"""),"Action-Adventure")</f>
        <v>Action-Adventure</v>
      </c>
      <c r="M528" s="26"/>
    </row>
    <row r="529">
      <c r="A529" s="12" t="str">
        <f>IFERROR(__xludf.DUMMYFUNCTION("""COMPUTED_VALUE"""),"Shootin' Gallery")</f>
        <v>Shootin' Gallery</v>
      </c>
      <c r="B529" s="13" t="str">
        <f>IFERROR(__xludf.DUMMYFUNCTION("""COMPUTED_VALUE"""),"Xbox / PC")</f>
        <v>Xbox / PC</v>
      </c>
      <c r="C529" s="14" t="str">
        <f>IFERROR(__xludf.DUMMYFUNCTION("""COMPUTED_VALUE"""),"Yes")</f>
        <v>Yes</v>
      </c>
      <c r="D529" s="14" t="str">
        <f>IFERROR(__xludf.DUMMYFUNCTION("""COMPUTED_VALUE"""),"Active")</f>
        <v>Active</v>
      </c>
      <c r="E529" s="15">
        <f>IFERROR(__xludf.DUMMYFUNCTION("""COMPUTED_VALUE"""),45883.0)</f>
        <v>45883</v>
      </c>
      <c r="F529" s="16"/>
      <c r="G529" s="18">
        <f>IFERROR(__xludf.DUMMYFUNCTION("""COMPUTED_VALUE"""),13.733333333333333)</f>
        <v>13.73333333</v>
      </c>
      <c r="H529" s="15">
        <f>IFERROR(__xludf.DUMMYFUNCTION("""COMPUTED_VALUE"""),30376.0)</f>
        <v>30376</v>
      </c>
      <c r="I529" s="18">
        <f>IFERROR(__xludf.DUMMYFUNCTION("""COMPUTED_VALUE"""),42.452777777777776)</f>
        <v>42.45277778</v>
      </c>
      <c r="J529" s="22">
        <f>IFERROR(__xludf.DUMMYFUNCTION("""COMPUTED_VALUE"""),76.0)</f>
        <v>76</v>
      </c>
      <c r="K529" s="22"/>
      <c r="L529" s="26" t="str">
        <f>IFERROR(__xludf.DUMMYFUNCTION("""COMPUTED_VALUE"""),"Shooter")</f>
        <v>Shooter</v>
      </c>
      <c r="M529" s="26"/>
    </row>
    <row r="530">
      <c r="A530" s="12" t="str">
        <f>IFERROR(__xludf.DUMMYFUNCTION("""COMPUTED_VALUE"""),"Assassin's Creed Mirage")</f>
        <v>Assassin's Creed Mirage</v>
      </c>
      <c r="B530" s="13" t="str">
        <f>IFERROR(__xludf.DUMMYFUNCTION("""COMPUTED_VALUE"""),"Xbox / PC")</f>
        <v>Xbox / PC</v>
      </c>
      <c r="C530" s="14" t="str">
        <f>IFERROR(__xludf.DUMMYFUNCTION("""COMPUTED_VALUE"""),"Yes")</f>
        <v>Yes</v>
      </c>
      <c r="D530" s="14" t="str">
        <f>IFERROR(__xludf.DUMMYFUNCTION("""COMPUTED_VALUE"""),"Active")</f>
        <v>Active</v>
      </c>
      <c r="E530" s="15">
        <f>IFERROR(__xludf.DUMMYFUNCTION("""COMPUTED_VALUE"""),45876.0)</f>
        <v>45876</v>
      </c>
      <c r="F530" s="16"/>
      <c r="G530" s="18">
        <f>IFERROR(__xludf.DUMMYFUNCTION("""COMPUTED_VALUE"""),13.966666666666669)</f>
        <v>13.96666667</v>
      </c>
      <c r="H530" s="15">
        <f>IFERROR(__xludf.DUMMYFUNCTION("""COMPUTED_VALUE"""),45204.0)</f>
        <v>45204</v>
      </c>
      <c r="I530" s="18">
        <f>IFERROR(__xludf.DUMMYFUNCTION("""COMPUTED_VALUE"""),1.8388888888888888)</f>
        <v>1.838888889</v>
      </c>
      <c r="J530" s="22">
        <f>IFERROR(__xludf.DUMMYFUNCTION("""COMPUTED_VALUE"""),76.0)</f>
        <v>76</v>
      </c>
      <c r="K530" s="22">
        <f>IFERROR(__xludf.DUMMYFUNCTION("""COMPUTED_VALUE"""),16.0)</f>
        <v>16</v>
      </c>
      <c r="L530" s="26" t="str">
        <f>IFERROR(__xludf.DUMMYFUNCTION("""COMPUTED_VALUE"""),"RPG")</f>
        <v>RPG</v>
      </c>
      <c r="M530" s="26"/>
    </row>
    <row r="531">
      <c r="A531" s="12" t="str">
        <f>IFERROR(__xludf.DUMMYFUNCTION("""COMPUTED_VALUE"""),"EA Sports FC 25")</f>
        <v>EA Sports FC 25</v>
      </c>
      <c r="B531" s="13" t="str">
        <f>IFERROR(__xludf.DUMMYFUNCTION("""COMPUTED_VALUE"""),"Xbox / PC")</f>
        <v>Xbox / PC</v>
      </c>
      <c r="C531" s="14" t="str">
        <f>IFERROR(__xludf.DUMMYFUNCTION("""COMPUTED_VALUE"""),"Yes")</f>
        <v>Yes</v>
      </c>
      <c r="D531" s="14" t="str">
        <f>IFERROR(__xludf.DUMMYFUNCTION("""COMPUTED_VALUE"""),"Active")</f>
        <v>Active</v>
      </c>
      <c r="E531" s="15">
        <f>IFERROR(__xludf.DUMMYFUNCTION("""COMPUTED_VALUE"""),45820.0)</f>
        <v>45820</v>
      </c>
      <c r="F531" s="16"/>
      <c r="G531" s="18">
        <f>IFERROR(__xludf.DUMMYFUNCTION("""COMPUTED_VALUE"""),15.8)</f>
        <v>15.8</v>
      </c>
      <c r="H531" s="15">
        <f>IFERROR(__xludf.DUMMYFUNCTION("""COMPUTED_VALUE"""),45562.0)</f>
        <v>45562</v>
      </c>
      <c r="I531" s="18">
        <f>IFERROR(__xludf.DUMMYFUNCTION("""COMPUTED_VALUE"""),0.7083333333333334)</f>
        <v>0.7083333333</v>
      </c>
      <c r="J531" s="22">
        <f>IFERROR(__xludf.DUMMYFUNCTION("""COMPUTED_VALUE"""),76.0)</f>
        <v>76</v>
      </c>
      <c r="K531" s="22">
        <f>IFERROR(__xludf.DUMMYFUNCTION("""COMPUTED_VALUE"""),35.0)</f>
        <v>35</v>
      </c>
      <c r="L531" s="26" t="str">
        <f>IFERROR(__xludf.DUMMYFUNCTION("""COMPUTED_VALUE"""),"Sports")</f>
        <v>Sports</v>
      </c>
      <c r="M531" s="26"/>
    </row>
    <row r="532">
      <c r="A532" s="12" t="str">
        <f>IFERROR(__xludf.DUMMYFUNCTION("""COMPUTED_VALUE"""),"Tales of Kenzera: ZAU")</f>
        <v>Tales of Kenzera: ZAU</v>
      </c>
      <c r="B532" s="13" t="str">
        <f>IFERROR(__xludf.DUMMYFUNCTION("""COMPUTED_VALUE"""),"Xbox / PC")</f>
        <v>Xbox / PC</v>
      </c>
      <c r="C532" s="14" t="str">
        <f>IFERROR(__xludf.DUMMYFUNCTION("""COMPUTED_VALUE"""),"Yes")</f>
        <v>Yes</v>
      </c>
      <c r="D532" s="14" t="str">
        <f>IFERROR(__xludf.DUMMYFUNCTION("""COMPUTED_VALUE"""),"Active")</f>
        <v>Active</v>
      </c>
      <c r="E532" s="15">
        <f>IFERROR(__xludf.DUMMYFUNCTION("""COMPUTED_VALUE"""),45799.0)</f>
        <v>45799</v>
      </c>
      <c r="F532" s="16"/>
      <c r="G532" s="18">
        <f>IFERROR(__xludf.DUMMYFUNCTION("""COMPUTED_VALUE"""),16.46666666666667)</f>
        <v>16.46666667</v>
      </c>
      <c r="H532" s="15">
        <f>IFERROR(__xludf.DUMMYFUNCTION("""COMPUTED_VALUE"""),45405.0)</f>
        <v>45405</v>
      </c>
      <c r="I532" s="18">
        <f>IFERROR(__xludf.DUMMYFUNCTION("""COMPUTED_VALUE"""),1.0805555555555555)</f>
        <v>1.080555556</v>
      </c>
      <c r="J532" s="22">
        <f>IFERROR(__xludf.DUMMYFUNCTION("""COMPUTED_VALUE"""),76.0)</f>
        <v>76</v>
      </c>
      <c r="K532" s="22">
        <f>IFERROR(__xludf.DUMMYFUNCTION("""COMPUTED_VALUE"""),8.0)</f>
        <v>8</v>
      </c>
      <c r="L532" s="26" t="str">
        <f>IFERROR(__xludf.DUMMYFUNCTION("""COMPUTED_VALUE"""),"Metroidvania ")</f>
        <v>Metroidvania </v>
      </c>
      <c r="M532" s="26" t="str">
        <f>IFERROR(__xludf.DUMMYFUNCTION("""COMPUTED_VALUE"""),"Exclusive")</f>
        <v>Exclusive</v>
      </c>
    </row>
    <row r="533">
      <c r="A533" s="12" t="str">
        <f>IFERROR(__xludf.DUMMYFUNCTION("""COMPUTED_VALUE"""),"Beamrider")</f>
        <v>Beamrider</v>
      </c>
      <c r="B533" s="13" t="str">
        <f>IFERROR(__xludf.DUMMYFUNCTION("""COMPUTED_VALUE"""),"Xbox / PC")</f>
        <v>Xbox / PC</v>
      </c>
      <c r="C533" s="14" t="str">
        <f>IFERROR(__xludf.DUMMYFUNCTION("""COMPUTED_VALUE"""),"Yes")</f>
        <v>Yes</v>
      </c>
      <c r="D533" s="14" t="str">
        <f>IFERROR(__xludf.DUMMYFUNCTION("""COMPUTED_VALUE"""),"Active")</f>
        <v>Active</v>
      </c>
      <c r="E533" s="15">
        <f>IFERROR(__xludf.DUMMYFUNCTION("""COMPUTED_VALUE"""),45798.0)</f>
        <v>45798</v>
      </c>
      <c r="F533" s="16"/>
      <c r="G533" s="18">
        <f>IFERROR(__xludf.DUMMYFUNCTION("""COMPUTED_VALUE"""),16.5)</f>
        <v>16.5</v>
      </c>
      <c r="H533" s="15">
        <f>IFERROR(__xludf.DUMMYFUNCTION("""COMPUTED_VALUE"""),30705.0)</f>
        <v>30705</v>
      </c>
      <c r="I533" s="18">
        <f>IFERROR(__xludf.DUMMYFUNCTION("""COMPUTED_VALUE"""),41.325)</f>
        <v>41.325</v>
      </c>
      <c r="J533" s="22">
        <f>IFERROR(__xludf.DUMMYFUNCTION("""COMPUTED_VALUE"""),76.0)</f>
        <v>76</v>
      </c>
      <c r="K533" s="22"/>
      <c r="L533" s="26" t="str">
        <f>IFERROR(__xludf.DUMMYFUNCTION("""COMPUTED_VALUE"""),"Shooter")</f>
        <v>Shooter</v>
      </c>
      <c r="M533" s="26"/>
    </row>
    <row r="534">
      <c r="A534" s="12" t="str">
        <f>IFERROR(__xludf.DUMMYFUNCTION("""COMPUTED_VALUE"""),"Chopper Command")</f>
        <v>Chopper Command</v>
      </c>
      <c r="B534" s="13" t="str">
        <f>IFERROR(__xludf.DUMMYFUNCTION("""COMPUTED_VALUE"""),"Xbox / PC")</f>
        <v>Xbox / PC</v>
      </c>
      <c r="C534" s="14" t="str">
        <f>IFERROR(__xludf.DUMMYFUNCTION("""COMPUTED_VALUE"""),"Yes")</f>
        <v>Yes</v>
      </c>
      <c r="D534" s="14" t="str">
        <f>IFERROR(__xludf.DUMMYFUNCTION("""COMPUTED_VALUE"""),"Active")</f>
        <v>Active</v>
      </c>
      <c r="E534" s="15">
        <f>IFERROR(__xludf.DUMMYFUNCTION("""COMPUTED_VALUE"""),45798.0)</f>
        <v>45798</v>
      </c>
      <c r="F534" s="16"/>
      <c r="G534" s="18">
        <f>IFERROR(__xludf.DUMMYFUNCTION("""COMPUTED_VALUE"""),16.5)</f>
        <v>16.5</v>
      </c>
      <c r="H534" s="15">
        <f>IFERROR(__xludf.DUMMYFUNCTION("""COMPUTED_VALUE"""),30072.0)</f>
        <v>30072</v>
      </c>
      <c r="I534" s="18">
        <f>IFERROR(__xludf.DUMMYFUNCTION("""COMPUTED_VALUE"""),43.05555555555556)</f>
        <v>43.05555556</v>
      </c>
      <c r="J534" s="22">
        <f>IFERROR(__xludf.DUMMYFUNCTION("""COMPUTED_VALUE"""),76.0)</f>
        <v>76</v>
      </c>
      <c r="K534" s="22"/>
      <c r="L534" s="26" t="str">
        <f>IFERROR(__xludf.DUMMYFUNCTION("""COMPUTED_VALUE"""),"Shooter")</f>
        <v>Shooter</v>
      </c>
      <c r="M534" s="26"/>
    </row>
    <row r="535">
      <c r="A535" s="12" t="str">
        <f>IFERROR(__xludf.DUMMYFUNCTION("""COMPUTED_VALUE"""),"Enduro")</f>
        <v>Enduro</v>
      </c>
      <c r="B535" s="13" t="str">
        <f>IFERROR(__xludf.DUMMYFUNCTION("""COMPUTED_VALUE"""),"Xbox / PC")</f>
        <v>Xbox / PC</v>
      </c>
      <c r="C535" s="14" t="str">
        <f>IFERROR(__xludf.DUMMYFUNCTION("""COMPUTED_VALUE"""),"Yes")</f>
        <v>Yes</v>
      </c>
      <c r="D535" s="14" t="str">
        <f>IFERROR(__xludf.DUMMYFUNCTION("""COMPUTED_VALUE"""),"Active")</f>
        <v>Active</v>
      </c>
      <c r="E535" s="15">
        <f>IFERROR(__xludf.DUMMYFUNCTION("""COMPUTED_VALUE"""),45798.0)</f>
        <v>45798</v>
      </c>
      <c r="F535" s="16"/>
      <c r="G535" s="18">
        <f>IFERROR(__xludf.DUMMYFUNCTION("""COMPUTED_VALUE"""),16.5)</f>
        <v>16.5</v>
      </c>
      <c r="H535" s="15">
        <f>IFERROR(__xludf.DUMMYFUNCTION("""COMPUTED_VALUE"""),30348.0)</f>
        <v>30348</v>
      </c>
      <c r="I535" s="18">
        <f>IFERROR(__xludf.DUMMYFUNCTION("""COMPUTED_VALUE"""),42.30555555555556)</f>
        <v>42.30555556</v>
      </c>
      <c r="J535" s="22">
        <f>IFERROR(__xludf.DUMMYFUNCTION("""COMPUTED_VALUE"""),76.0)</f>
        <v>76</v>
      </c>
      <c r="K535" s="22">
        <f>IFERROR(__xludf.DUMMYFUNCTION("""COMPUTED_VALUE"""),1.0)</f>
        <v>1</v>
      </c>
      <c r="L535" s="26" t="str">
        <f>IFERROR(__xludf.DUMMYFUNCTION("""COMPUTED_VALUE"""),"Racing")</f>
        <v>Racing</v>
      </c>
      <c r="M535" s="26"/>
    </row>
    <row r="536">
      <c r="A536" s="12" t="str">
        <f>IFERROR(__xludf.DUMMYFUNCTION("""COMPUTED_VALUE"""),"Watch Dogs: Legion")</f>
        <v>Watch Dogs: Legion</v>
      </c>
      <c r="B536" s="13" t="str">
        <f>IFERROR(__xludf.DUMMYFUNCTION("""COMPUTED_VALUE"""),"Xbox / PC")</f>
        <v>Xbox / PC</v>
      </c>
      <c r="C536" s="14" t="str">
        <f>IFERROR(__xludf.DUMMYFUNCTION("""COMPUTED_VALUE"""),"Yes")</f>
        <v>Yes</v>
      </c>
      <c r="D536" s="14" t="str">
        <f>IFERROR(__xludf.DUMMYFUNCTION("""COMPUTED_VALUE"""),"Active")</f>
        <v>Active</v>
      </c>
      <c r="E536" s="15">
        <f>IFERROR(__xludf.DUMMYFUNCTION("""COMPUTED_VALUE"""),45713.0)</f>
        <v>45713</v>
      </c>
      <c r="F536" s="16"/>
      <c r="G536" s="18">
        <f>IFERROR(__xludf.DUMMYFUNCTION("""COMPUTED_VALUE"""),19.366666666666667)</f>
        <v>19.36666667</v>
      </c>
      <c r="H536" s="15">
        <f>IFERROR(__xludf.DUMMYFUNCTION("""COMPUTED_VALUE"""),44133.0)</f>
        <v>44133</v>
      </c>
      <c r="I536" s="18">
        <f>IFERROR(__xludf.DUMMYFUNCTION("""COMPUTED_VALUE"""),4.322222222222222)</f>
        <v>4.322222222</v>
      </c>
      <c r="J536" s="22">
        <f>IFERROR(__xludf.DUMMYFUNCTION("""COMPUTED_VALUE"""),76.0)</f>
        <v>76</v>
      </c>
      <c r="K536" s="22">
        <f>IFERROR(__xludf.DUMMYFUNCTION("""COMPUTED_VALUE"""),18.0)</f>
        <v>18</v>
      </c>
      <c r="L536" s="26" t="str">
        <f>IFERROR(__xludf.DUMMYFUNCTION("""COMPUTED_VALUE"""),"Action-Adventure")</f>
        <v>Action-Adventure</v>
      </c>
      <c r="M536" s="26"/>
    </row>
    <row r="537">
      <c r="A537" s="12" t="str">
        <f>IFERROR(__xludf.DUMMYFUNCTION("""COMPUTED_VALUE"""),"For The King II")</f>
        <v>For The King II</v>
      </c>
      <c r="B537" s="13" t="str">
        <f>IFERROR(__xludf.DUMMYFUNCTION("""COMPUTED_VALUE"""),"Xbox / PC")</f>
        <v>Xbox / PC</v>
      </c>
      <c r="C537" s="14" t="str">
        <f>IFERROR(__xludf.DUMMYFUNCTION("""COMPUTED_VALUE"""),"Yes")</f>
        <v>Yes</v>
      </c>
      <c r="D537" s="14" t="str">
        <f>IFERROR(__xludf.DUMMYFUNCTION("""COMPUTED_VALUE"""),"Active")</f>
        <v>Active</v>
      </c>
      <c r="E537" s="15">
        <f>IFERROR(__xludf.DUMMYFUNCTION("""COMPUTED_VALUE"""),45638.0)</f>
        <v>45638</v>
      </c>
      <c r="F537" s="16"/>
      <c r="G537" s="18">
        <f>IFERROR(__xludf.DUMMYFUNCTION("""COMPUTED_VALUE"""),21.8)</f>
        <v>21.8</v>
      </c>
      <c r="H537" s="15">
        <f>IFERROR(__xludf.DUMMYFUNCTION("""COMPUTED_VALUE"""),45232.0)</f>
        <v>45232</v>
      </c>
      <c r="I537" s="18">
        <f>IFERROR(__xludf.DUMMYFUNCTION("""COMPUTED_VALUE"""),1.1111111111111112)</f>
        <v>1.111111111</v>
      </c>
      <c r="J537" s="22">
        <f>IFERROR(__xludf.DUMMYFUNCTION("""COMPUTED_VALUE"""),76.0)</f>
        <v>76</v>
      </c>
      <c r="K537" s="22">
        <f>IFERROR(__xludf.DUMMYFUNCTION("""COMPUTED_VALUE"""),15.0)</f>
        <v>15</v>
      </c>
      <c r="L537" s="26" t="str">
        <f>IFERROR(__xludf.DUMMYFUNCTION("""COMPUTED_VALUE"""),"Roguelike")</f>
        <v>Roguelike</v>
      </c>
      <c r="M537" s="26"/>
    </row>
    <row r="538">
      <c r="A538" s="12" t="str">
        <f>IFERROR(__xludf.DUMMYFUNCTION("""COMPUTED_VALUE"""),"Trials of Mana (2020)")</f>
        <v>Trials of Mana (2020)</v>
      </c>
      <c r="B538" s="13" t="str">
        <f>IFERROR(__xludf.DUMMYFUNCTION("""COMPUTED_VALUE"""),"Xbox / PC")</f>
        <v>Xbox / PC</v>
      </c>
      <c r="C538" s="14" t="str">
        <f>IFERROR(__xludf.DUMMYFUNCTION("""COMPUTED_VALUE"""),"Yes")</f>
        <v>Yes</v>
      </c>
      <c r="D538" s="14" t="str">
        <f>IFERROR(__xludf.DUMMYFUNCTION("""COMPUTED_VALUE"""),"Active")</f>
        <v>Active</v>
      </c>
      <c r="E538" s="15">
        <f>IFERROR(__xludf.DUMMYFUNCTION("""COMPUTED_VALUE"""),45561.0)</f>
        <v>45561</v>
      </c>
      <c r="F538" s="16"/>
      <c r="G538" s="18">
        <f>IFERROR(__xludf.DUMMYFUNCTION("""COMPUTED_VALUE"""),24.333333333333332)</f>
        <v>24.33333333</v>
      </c>
      <c r="H538" s="15">
        <f>IFERROR(__xludf.DUMMYFUNCTION("""COMPUTED_VALUE"""),43945.0)</f>
        <v>43945</v>
      </c>
      <c r="I538" s="18">
        <f>IFERROR(__xludf.DUMMYFUNCTION("""COMPUTED_VALUE"""),4.4222222222222225)</f>
        <v>4.422222222</v>
      </c>
      <c r="J538" s="22">
        <f>IFERROR(__xludf.DUMMYFUNCTION("""COMPUTED_VALUE"""),76.0)</f>
        <v>76</v>
      </c>
      <c r="K538" s="22">
        <f>IFERROR(__xludf.DUMMYFUNCTION("""COMPUTED_VALUE"""),21.0)</f>
        <v>21</v>
      </c>
      <c r="L538" s="26" t="str">
        <f>IFERROR(__xludf.DUMMYFUNCTION("""COMPUTED_VALUE"""),"RPG")</f>
        <v>RPG</v>
      </c>
      <c r="M538" s="26"/>
    </row>
    <row r="539">
      <c r="A539" s="12" t="str">
        <f>IFERROR(__xludf.DUMMYFUNCTION("""COMPUTED_VALUE"""),"EA Sports PGA Tour")</f>
        <v>EA Sports PGA Tour</v>
      </c>
      <c r="B539" s="13" t="str">
        <f>IFERROR(__xludf.DUMMYFUNCTION("""COMPUTED_VALUE"""),"Xbox / PC")</f>
        <v>Xbox / PC</v>
      </c>
      <c r="C539" s="14" t="str">
        <f>IFERROR(__xludf.DUMMYFUNCTION("""COMPUTED_VALUE"""),"Yes")</f>
        <v>Yes</v>
      </c>
      <c r="D539" s="14" t="str">
        <f>IFERROR(__xludf.DUMMYFUNCTION("""COMPUTED_VALUE"""),"Active")</f>
        <v>Active</v>
      </c>
      <c r="E539" s="15">
        <f>IFERROR(__xludf.DUMMYFUNCTION("""COMPUTED_VALUE"""),45386.0)</f>
        <v>45386</v>
      </c>
      <c r="F539" s="16"/>
      <c r="G539" s="18">
        <f>IFERROR(__xludf.DUMMYFUNCTION("""COMPUTED_VALUE"""),30.066666666666666)</f>
        <v>30.06666667</v>
      </c>
      <c r="H539" s="15">
        <f>IFERROR(__xludf.DUMMYFUNCTION("""COMPUTED_VALUE"""),45020.0)</f>
        <v>45020</v>
      </c>
      <c r="I539" s="18">
        <f>IFERROR(__xludf.DUMMYFUNCTION("""COMPUTED_VALUE"""),1.0)</f>
        <v>1</v>
      </c>
      <c r="J539" s="22">
        <f>IFERROR(__xludf.DUMMYFUNCTION("""COMPUTED_VALUE"""),76.0)</f>
        <v>76</v>
      </c>
      <c r="K539" s="22">
        <f>IFERROR(__xludf.DUMMYFUNCTION("""COMPUTED_VALUE"""),31.0)</f>
        <v>31</v>
      </c>
      <c r="L539" s="26" t="str">
        <f>IFERROR(__xludf.DUMMYFUNCTION("""COMPUTED_VALUE"""),"Sports")</f>
        <v>Sports</v>
      </c>
      <c r="M539" s="26" t="str">
        <f>IFERROR(__xludf.DUMMYFUNCTION("""COMPUTED_VALUE"""),"Exclusive")</f>
        <v>Exclusive</v>
      </c>
    </row>
    <row r="540">
      <c r="A540" s="12" t="str">
        <f>IFERROR(__xludf.DUMMYFUNCTION("""COMPUTED_VALUE"""),"Brotato")</f>
        <v>Brotato</v>
      </c>
      <c r="B540" s="13" t="str">
        <f>IFERROR(__xludf.DUMMYFUNCTION("""COMPUTED_VALUE"""),"Xbox / PC")</f>
        <v>Xbox / PC</v>
      </c>
      <c r="C540" s="14" t="str">
        <f>IFERROR(__xludf.DUMMYFUNCTION("""COMPUTED_VALUE"""),"Yes")</f>
        <v>Yes</v>
      </c>
      <c r="D540" s="14" t="str">
        <f>IFERROR(__xludf.DUMMYFUNCTION("""COMPUTED_VALUE"""),"Active")</f>
        <v>Active</v>
      </c>
      <c r="E540" s="15">
        <f>IFERROR(__xludf.DUMMYFUNCTION("""COMPUTED_VALUE"""),45321.0)</f>
        <v>45321</v>
      </c>
      <c r="F540" s="16"/>
      <c r="G540" s="18">
        <f>IFERROR(__xludf.DUMMYFUNCTION("""COMPUTED_VALUE"""),32.199999999999996)</f>
        <v>32.2</v>
      </c>
      <c r="H540" s="15">
        <f>IFERROR(__xludf.DUMMYFUNCTION("""COMPUTED_VALUE"""),44619.0)</f>
        <v>44619</v>
      </c>
      <c r="I540" s="18">
        <f>IFERROR(__xludf.DUMMYFUNCTION("""COMPUTED_VALUE"""),1.925)</f>
        <v>1.925</v>
      </c>
      <c r="J540" s="22">
        <f>IFERROR(__xludf.DUMMYFUNCTION("""COMPUTED_VALUE"""),76.0)</f>
        <v>76</v>
      </c>
      <c r="K540" s="22">
        <f>IFERROR(__xludf.DUMMYFUNCTION("""COMPUTED_VALUE"""),5.0)</f>
        <v>5</v>
      </c>
      <c r="L540" s="26" t="str">
        <f>IFERROR(__xludf.DUMMYFUNCTION("""COMPUTED_VALUE"""),"Action")</f>
        <v>Action</v>
      </c>
      <c r="M540" s="26"/>
    </row>
    <row r="541">
      <c r="A541" s="12" t="str">
        <f>IFERROR(__xludf.DUMMYFUNCTION("""COMPUTED_VALUE"""),"Ghostwire: Tokyo")</f>
        <v>Ghostwire: Tokyo</v>
      </c>
      <c r="B541" s="13" t="str">
        <f>IFERROR(__xludf.DUMMYFUNCTION("""COMPUTED_VALUE"""),"Xbox / PC")</f>
        <v>Xbox / PC</v>
      </c>
      <c r="C541" s="14" t="str">
        <f>IFERROR(__xludf.DUMMYFUNCTION("""COMPUTED_VALUE"""),"Yes")</f>
        <v>Yes</v>
      </c>
      <c r="D541" s="14" t="str">
        <f>IFERROR(__xludf.DUMMYFUNCTION("""COMPUTED_VALUE"""),"Active")</f>
        <v>Active</v>
      </c>
      <c r="E541" s="15">
        <f>IFERROR(__xludf.DUMMYFUNCTION("""COMPUTED_VALUE"""),45028.0)</f>
        <v>45028</v>
      </c>
      <c r="F541" s="16"/>
      <c r="G541" s="18">
        <f>IFERROR(__xludf.DUMMYFUNCTION("""COMPUTED_VALUE"""),41.8)</f>
        <v>41.8</v>
      </c>
      <c r="H541" s="15">
        <f>IFERROR(__xludf.DUMMYFUNCTION("""COMPUTED_VALUE"""),44645.0)</f>
        <v>44645</v>
      </c>
      <c r="I541" s="18">
        <f>IFERROR(__xludf.DUMMYFUNCTION("""COMPUTED_VALUE"""),1.0472222222222223)</f>
        <v>1.047222222</v>
      </c>
      <c r="J541" s="22">
        <f>IFERROR(__xludf.DUMMYFUNCTION("""COMPUTED_VALUE"""),76.0)</f>
        <v>76</v>
      </c>
      <c r="K541" s="22">
        <f>IFERROR(__xludf.DUMMYFUNCTION("""COMPUTED_VALUE"""),11.0)</f>
        <v>11</v>
      </c>
      <c r="L541" s="26" t="str">
        <f>IFERROR(__xludf.DUMMYFUNCTION("""COMPUTED_VALUE"""),"Action-Adventure")</f>
        <v>Action-Adventure</v>
      </c>
      <c r="M541" s="26" t="str">
        <f>IFERROR(__xludf.DUMMYFUNCTION("""COMPUTED_VALUE"""),"Exclusive")</f>
        <v>Exclusive</v>
      </c>
    </row>
    <row r="542">
      <c r="A542" s="12" t="str">
        <f>IFERROR(__xludf.DUMMYFUNCTION("""COMPUTED_VALUE"""),"Tom Clancy's Ghost Recon: Wildlands")</f>
        <v>Tom Clancy's Ghost Recon: Wildlands</v>
      </c>
      <c r="B542" s="13" t="str">
        <f>IFERROR(__xludf.DUMMYFUNCTION("""COMPUTED_VALUE"""),"Xbox / PC")</f>
        <v>Xbox / PC</v>
      </c>
      <c r="C542" s="14" t="str">
        <f>IFERROR(__xludf.DUMMYFUNCTION("""COMPUTED_VALUE"""),"Yes")</f>
        <v>Yes</v>
      </c>
      <c r="D542" s="14" t="str">
        <f>IFERROR(__xludf.DUMMYFUNCTION("""COMPUTED_VALUE"""),"Active")</f>
        <v>Active</v>
      </c>
      <c r="E542" s="15">
        <f>IFERROR(__xludf.DUMMYFUNCTION("""COMPUTED_VALUE"""),44774.0)</f>
        <v>44774</v>
      </c>
      <c r="F542" s="16"/>
      <c r="G542" s="18">
        <f>IFERROR(__xludf.DUMMYFUNCTION("""COMPUTED_VALUE"""),50.166666666666664)</f>
        <v>50.16666667</v>
      </c>
      <c r="H542" s="15">
        <f>IFERROR(__xludf.DUMMYFUNCTION("""COMPUTED_VALUE"""),42801.0)</f>
        <v>42801</v>
      </c>
      <c r="I542" s="18">
        <f>IFERROR(__xludf.DUMMYFUNCTION("""COMPUTED_VALUE"""),5.4)</f>
        <v>5.4</v>
      </c>
      <c r="J542" s="22">
        <f>IFERROR(__xludf.DUMMYFUNCTION("""COMPUTED_VALUE"""),76.0)</f>
        <v>76</v>
      </c>
      <c r="K542" s="22">
        <f>IFERROR(__xludf.DUMMYFUNCTION("""COMPUTED_VALUE"""),26.5)</f>
        <v>26.5</v>
      </c>
      <c r="L542" s="26" t="str">
        <f>IFERROR(__xludf.DUMMYFUNCTION("""COMPUTED_VALUE"""),"Shooter")</f>
        <v>Shooter</v>
      </c>
      <c r="M542" s="26"/>
    </row>
    <row r="543">
      <c r="A543" s="12" t="str">
        <f>IFERROR(__xludf.DUMMYFUNCTION("""COMPUTED_VALUE"""),"Need for Speed: Hot Pursuit - Remastered")</f>
        <v>Need for Speed: Hot Pursuit - Remastered</v>
      </c>
      <c r="B543" s="13" t="str">
        <f>IFERROR(__xludf.DUMMYFUNCTION("""COMPUTED_VALUE"""),"Xbox / PC")</f>
        <v>Xbox / PC</v>
      </c>
      <c r="C543" s="14" t="str">
        <f>IFERROR(__xludf.DUMMYFUNCTION("""COMPUTED_VALUE"""),"Touch Controls")</f>
        <v>Touch Controls</v>
      </c>
      <c r="D543" s="14" t="str">
        <f>IFERROR(__xludf.DUMMYFUNCTION("""COMPUTED_VALUE"""),"Active")</f>
        <v>Active</v>
      </c>
      <c r="E543" s="15">
        <f>IFERROR(__xludf.DUMMYFUNCTION("""COMPUTED_VALUE"""),44371.0)</f>
        <v>44371</v>
      </c>
      <c r="F543" s="16"/>
      <c r="G543" s="18">
        <f>IFERROR(__xludf.DUMMYFUNCTION("""COMPUTED_VALUE"""),63.4)</f>
        <v>63.4</v>
      </c>
      <c r="H543" s="15">
        <f>IFERROR(__xludf.DUMMYFUNCTION("""COMPUTED_VALUE"""),44141.0)</f>
        <v>44141</v>
      </c>
      <c r="I543" s="18">
        <f>IFERROR(__xludf.DUMMYFUNCTION("""COMPUTED_VALUE"""),0.6333333333333333)</f>
        <v>0.6333333333</v>
      </c>
      <c r="J543" s="22">
        <f>IFERROR(__xludf.DUMMYFUNCTION("""COMPUTED_VALUE"""),76.0)</f>
        <v>76</v>
      </c>
      <c r="K543" s="22">
        <f>IFERROR(__xludf.DUMMYFUNCTION("""COMPUTED_VALUE"""),15.5)</f>
        <v>15.5</v>
      </c>
      <c r="L543" s="26" t="str">
        <f>IFERROR(__xludf.DUMMYFUNCTION("""COMPUTED_VALUE"""),"Racing")</f>
        <v>Racing</v>
      </c>
      <c r="M543" s="26"/>
    </row>
    <row r="544">
      <c r="A544" s="12" t="str">
        <f>IFERROR(__xludf.DUMMYFUNCTION("""COMPUTED_VALUE"""),"Dishonored: Definitive Edition")</f>
        <v>Dishonored: Definitive Edition</v>
      </c>
      <c r="B544" s="13" t="str">
        <f>IFERROR(__xludf.DUMMYFUNCTION("""COMPUTED_VALUE"""),"Xbox / PC")</f>
        <v>Xbox / PC</v>
      </c>
      <c r="C544" s="14" t="str">
        <f>IFERROR(__xludf.DUMMYFUNCTION("""COMPUTED_VALUE"""),"Yes")</f>
        <v>Yes</v>
      </c>
      <c r="D544" s="14" t="str">
        <f>IFERROR(__xludf.DUMMYFUNCTION("""COMPUTED_VALUE"""),"Active")</f>
        <v>Active</v>
      </c>
      <c r="E544" s="15">
        <f>IFERROR(__xludf.DUMMYFUNCTION("""COMPUTED_VALUE"""),44267.0)</f>
        <v>44267</v>
      </c>
      <c r="F544" s="16"/>
      <c r="G544" s="18">
        <f>IFERROR(__xludf.DUMMYFUNCTION("""COMPUTED_VALUE"""),66.8)</f>
        <v>66.8</v>
      </c>
      <c r="H544" s="15">
        <f>IFERROR(__xludf.DUMMYFUNCTION("""COMPUTED_VALUE"""),43337.0)</f>
        <v>43337</v>
      </c>
      <c r="I544" s="18">
        <f>IFERROR(__xludf.DUMMYFUNCTION("""COMPUTED_VALUE"""),2.547222222222222)</f>
        <v>2.547222222</v>
      </c>
      <c r="J544" s="22">
        <f>IFERROR(__xludf.DUMMYFUNCTION("""COMPUTED_VALUE"""),76.0)</f>
        <v>76</v>
      </c>
      <c r="K544" s="22">
        <f>IFERROR(__xludf.DUMMYFUNCTION("""COMPUTED_VALUE"""),12.5)</f>
        <v>12.5</v>
      </c>
      <c r="L544" s="26" t="str">
        <f>IFERROR(__xludf.DUMMYFUNCTION("""COMPUTED_VALUE"""),"Shooter")</f>
        <v>Shooter</v>
      </c>
      <c r="M544" s="26" t="str">
        <f>IFERROR(__xludf.DUMMYFUNCTION("""COMPUTED_VALUE"""),"FPS Boost")</f>
        <v>FPS Boost</v>
      </c>
    </row>
    <row r="545">
      <c r="A545" s="12" t="str">
        <f>IFERROR(__xludf.DUMMYFUNCTION("""COMPUTED_VALUE"""),"Crysis 3")</f>
        <v>Crysis 3</v>
      </c>
      <c r="B545" s="13" t="str">
        <f>IFERROR(__xludf.DUMMYFUNCTION("""COMPUTED_VALUE"""),"Xbox / PC")</f>
        <v>Xbox / PC</v>
      </c>
      <c r="C545" s="14"/>
      <c r="D545" s="14" t="str">
        <f>IFERROR(__xludf.DUMMYFUNCTION("""COMPUTED_VALUE"""),"Active")</f>
        <v>Active</v>
      </c>
      <c r="E545" s="15">
        <f>IFERROR(__xludf.DUMMYFUNCTION("""COMPUTED_VALUE"""),44145.0)</f>
        <v>44145</v>
      </c>
      <c r="F545" s="16"/>
      <c r="G545" s="18">
        <f>IFERROR(__xludf.DUMMYFUNCTION("""COMPUTED_VALUE"""),70.86666666666667)</f>
        <v>70.86666667</v>
      </c>
      <c r="H545" s="15">
        <f>IFERROR(__xludf.DUMMYFUNCTION("""COMPUTED_VALUE"""),41324.0)</f>
        <v>41324</v>
      </c>
      <c r="I545" s="18">
        <f>IFERROR(__xludf.DUMMYFUNCTION("""COMPUTED_VALUE"""),7.725)</f>
        <v>7.725</v>
      </c>
      <c r="J545" s="22">
        <f>IFERROR(__xludf.DUMMYFUNCTION("""COMPUTED_VALUE"""),76.0)</f>
        <v>76</v>
      </c>
      <c r="K545" s="22">
        <f>IFERROR(__xludf.DUMMYFUNCTION("""COMPUTED_VALUE"""),7.0)</f>
        <v>7</v>
      </c>
      <c r="L545" s="26" t="str">
        <f>IFERROR(__xludf.DUMMYFUNCTION("""COMPUTED_VALUE"""),"Shooter")</f>
        <v>Shooter</v>
      </c>
      <c r="M545" s="26"/>
    </row>
    <row r="546">
      <c r="A546" s="12" t="str">
        <f>IFERROR(__xludf.DUMMYFUNCTION("""COMPUTED_VALUE"""),"Mass Effect: Andromeda - Deluxe Edition")</f>
        <v>Mass Effect: Andromeda - Deluxe Edition</v>
      </c>
      <c r="B546" s="13" t="str">
        <f>IFERROR(__xludf.DUMMYFUNCTION("""COMPUTED_VALUE"""),"Xbox / PC")</f>
        <v>Xbox / PC</v>
      </c>
      <c r="C546" s="14" t="str">
        <f>IFERROR(__xludf.DUMMYFUNCTION("""COMPUTED_VALUE"""),"Yes")</f>
        <v>Yes</v>
      </c>
      <c r="D546" s="14" t="str">
        <f>IFERROR(__xludf.DUMMYFUNCTION("""COMPUTED_VALUE"""),"Active")</f>
        <v>Active</v>
      </c>
      <c r="E546" s="15">
        <f>IFERROR(__xludf.DUMMYFUNCTION("""COMPUTED_VALUE"""),44145.0)</f>
        <v>44145</v>
      </c>
      <c r="F546" s="16"/>
      <c r="G546" s="18">
        <f>IFERROR(__xludf.DUMMYFUNCTION("""COMPUTED_VALUE"""),70.86666666666667)</f>
        <v>70.86666667</v>
      </c>
      <c r="H546" s="15">
        <f>IFERROR(__xludf.DUMMYFUNCTION("""COMPUTED_VALUE"""),42815.0)</f>
        <v>42815</v>
      </c>
      <c r="I546" s="18">
        <f>IFERROR(__xludf.DUMMYFUNCTION("""COMPUTED_VALUE"""),3.636111111111111)</f>
        <v>3.636111111</v>
      </c>
      <c r="J546" s="22">
        <f>IFERROR(__xludf.DUMMYFUNCTION("""COMPUTED_VALUE"""),76.0)</f>
        <v>76</v>
      </c>
      <c r="K546" s="22">
        <f>IFERROR(__xludf.DUMMYFUNCTION("""COMPUTED_VALUE"""),18.5)</f>
        <v>18.5</v>
      </c>
      <c r="L546" s="26" t="str">
        <f>IFERROR(__xludf.DUMMYFUNCTION("""COMPUTED_VALUE"""),"RPG")</f>
        <v>RPG</v>
      </c>
      <c r="M546" s="26"/>
    </row>
    <row r="547">
      <c r="A547" s="12" t="str">
        <f>IFERROR(__xludf.DUMMYFUNCTION("""COMPUTED_VALUE"""),"Plants vs. Zombies: Battle for Neighborville - Deluxe Edition")</f>
        <v>Plants vs. Zombies: Battle for Neighborville - Deluxe Edition</v>
      </c>
      <c r="B547" s="13" t="str">
        <f>IFERROR(__xludf.DUMMYFUNCTION("""COMPUTED_VALUE"""),"Xbox / PC")</f>
        <v>Xbox / PC</v>
      </c>
      <c r="C547" s="14" t="str">
        <f>IFERROR(__xludf.DUMMYFUNCTION("""COMPUTED_VALUE"""),"Yes")</f>
        <v>Yes</v>
      </c>
      <c r="D547" s="14" t="str">
        <f>IFERROR(__xludf.DUMMYFUNCTION("""COMPUTED_VALUE"""),"Active")</f>
        <v>Active</v>
      </c>
      <c r="E547" s="15">
        <f>IFERROR(__xludf.DUMMYFUNCTION("""COMPUTED_VALUE"""),44145.0)</f>
        <v>44145</v>
      </c>
      <c r="F547" s="16"/>
      <c r="G547" s="18">
        <f>IFERROR(__xludf.DUMMYFUNCTION("""COMPUTED_VALUE"""),70.86666666666667)</f>
        <v>70.86666667</v>
      </c>
      <c r="H547" s="15">
        <f>IFERROR(__xludf.DUMMYFUNCTION("""COMPUTED_VALUE"""),43756.0)</f>
        <v>43756</v>
      </c>
      <c r="I547" s="18">
        <f>IFERROR(__xludf.DUMMYFUNCTION("""COMPUTED_VALUE"""),1.0611111111111111)</f>
        <v>1.061111111</v>
      </c>
      <c r="J547" s="22">
        <f>IFERROR(__xludf.DUMMYFUNCTION("""COMPUTED_VALUE"""),76.0)</f>
        <v>76</v>
      </c>
      <c r="K547" s="22">
        <f>IFERROR(__xludf.DUMMYFUNCTION("""COMPUTED_VALUE"""),4.5)</f>
        <v>4.5</v>
      </c>
      <c r="L547" s="26" t="str">
        <f>IFERROR(__xludf.DUMMYFUNCTION("""COMPUTED_VALUE"""),"Shooter")</f>
        <v>Shooter</v>
      </c>
      <c r="M547" s="26" t="str">
        <f>IFERROR(__xludf.DUMMYFUNCTION("""COMPUTED_VALUE"""),"FPS Boost")</f>
        <v>FPS Boost</v>
      </c>
    </row>
    <row r="548">
      <c r="A548" s="12" t="str">
        <f>IFERROR(__xludf.DUMMYFUNCTION("""COMPUTED_VALUE"""),"Plants vs. Zombies: Garden Warfare")</f>
        <v>Plants vs. Zombies: Garden Warfare</v>
      </c>
      <c r="B548" s="13" t="str">
        <f>IFERROR(__xludf.DUMMYFUNCTION("""COMPUTED_VALUE"""),"Xbox / PC")</f>
        <v>Xbox / PC</v>
      </c>
      <c r="C548" s="14" t="str">
        <f>IFERROR(__xludf.DUMMYFUNCTION("""COMPUTED_VALUE"""),"Yes")</f>
        <v>Yes</v>
      </c>
      <c r="D548" s="14" t="str">
        <f>IFERROR(__xludf.DUMMYFUNCTION("""COMPUTED_VALUE"""),"Active")</f>
        <v>Active</v>
      </c>
      <c r="E548" s="15">
        <f>IFERROR(__xludf.DUMMYFUNCTION("""COMPUTED_VALUE"""),44145.0)</f>
        <v>44145</v>
      </c>
      <c r="F548" s="16"/>
      <c r="G548" s="18">
        <f>IFERROR(__xludf.DUMMYFUNCTION("""COMPUTED_VALUE"""),70.86666666666667)</f>
        <v>70.86666667</v>
      </c>
      <c r="H548" s="15">
        <f>IFERROR(__xludf.DUMMYFUNCTION("""COMPUTED_VALUE"""),41688.0)</f>
        <v>41688</v>
      </c>
      <c r="I548" s="18">
        <f>IFERROR(__xludf.DUMMYFUNCTION("""COMPUTED_VALUE"""),6.727777777777778)</f>
        <v>6.727777778</v>
      </c>
      <c r="J548" s="22">
        <f>IFERROR(__xludf.DUMMYFUNCTION("""COMPUTED_VALUE"""),76.0)</f>
        <v>76</v>
      </c>
      <c r="K548" s="22">
        <f>IFERROR(__xludf.DUMMYFUNCTION("""COMPUTED_VALUE"""),67.5)</f>
        <v>67.5</v>
      </c>
      <c r="L548" s="26" t="str">
        <f>IFERROR(__xludf.DUMMYFUNCTION("""COMPUTED_VALUE"""),"Shooter")</f>
        <v>Shooter</v>
      </c>
      <c r="M548" s="26" t="str">
        <f>IFERROR(__xludf.DUMMYFUNCTION("""COMPUTED_VALUE"""),"FPS Boost")</f>
        <v>FPS Boost</v>
      </c>
    </row>
    <row r="549">
      <c r="A549" s="12" t="str">
        <f>IFERROR(__xludf.DUMMYFUNCTION("""COMPUTED_VALUE"""),"Zuma's Revenge!")</f>
        <v>Zuma's Revenge!</v>
      </c>
      <c r="B549" s="13" t="str">
        <f>IFERROR(__xludf.DUMMYFUNCTION("""COMPUTED_VALUE"""),"Xbox")</f>
        <v>Xbox</v>
      </c>
      <c r="C549" s="14"/>
      <c r="D549" s="14" t="str">
        <f>IFERROR(__xludf.DUMMYFUNCTION("""COMPUTED_VALUE"""),"Active")</f>
        <v>Active</v>
      </c>
      <c r="E549" s="15">
        <f>IFERROR(__xludf.DUMMYFUNCTION("""COMPUTED_VALUE"""),44145.0)</f>
        <v>44145</v>
      </c>
      <c r="F549" s="16"/>
      <c r="G549" s="18">
        <f>IFERROR(__xludf.DUMMYFUNCTION("""COMPUTED_VALUE"""),70.86666666666667)</f>
        <v>70.86666667</v>
      </c>
      <c r="H549" s="15">
        <f>IFERROR(__xludf.DUMMYFUNCTION("""COMPUTED_VALUE"""),40071.0)</f>
        <v>40071</v>
      </c>
      <c r="I549" s="18">
        <f>IFERROR(__xludf.DUMMYFUNCTION("""COMPUTED_VALUE"""),11.152777777777779)</f>
        <v>11.15277778</v>
      </c>
      <c r="J549" s="22">
        <f>IFERROR(__xludf.DUMMYFUNCTION("""COMPUTED_VALUE"""),76.0)</f>
        <v>76</v>
      </c>
      <c r="K549" s="22">
        <f>IFERROR(__xludf.DUMMYFUNCTION("""COMPUTED_VALUE"""),5.0)</f>
        <v>5</v>
      </c>
      <c r="L549" s="26" t="str">
        <f>IFERROR(__xludf.DUMMYFUNCTION("""COMPUTED_VALUE"""),"Puzzle")</f>
        <v>Puzzle</v>
      </c>
      <c r="M549" s="26"/>
    </row>
    <row r="550">
      <c r="A550" s="12" t="str">
        <f>IFERROR(__xludf.DUMMYFUNCTION("""COMPUTED_VALUE"""),"Full Throttle Remastered")</f>
        <v>Full Throttle Remastered</v>
      </c>
      <c r="B550" s="13" t="str">
        <f>IFERROR(__xludf.DUMMYFUNCTION("""COMPUTED_VALUE"""),"Xbox / PC")</f>
        <v>Xbox / PC</v>
      </c>
      <c r="C550" s="14"/>
      <c r="D550" s="14" t="str">
        <f>IFERROR(__xludf.DUMMYFUNCTION("""COMPUTED_VALUE"""),"Active")</f>
        <v>Active</v>
      </c>
      <c r="E550" s="15">
        <f>IFERROR(__xludf.DUMMYFUNCTION("""COMPUTED_VALUE"""),44133.0)</f>
        <v>44133</v>
      </c>
      <c r="F550" s="16"/>
      <c r="G550" s="18">
        <f>IFERROR(__xludf.DUMMYFUNCTION("""COMPUTED_VALUE"""),71.23333333333333)</f>
        <v>71.23333333</v>
      </c>
      <c r="H550" s="15">
        <f>IFERROR(__xludf.DUMMYFUNCTION("""COMPUTED_VALUE"""),42843.0)</f>
        <v>42843</v>
      </c>
      <c r="I550" s="18">
        <f>IFERROR(__xludf.DUMMYFUNCTION("""COMPUTED_VALUE"""),3.5305555555555554)</f>
        <v>3.530555556</v>
      </c>
      <c r="J550" s="22">
        <f>IFERROR(__xludf.DUMMYFUNCTION("""COMPUTED_VALUE"""),76.0)</f>
        <v>76</v>
      </c>
      <c r="K550" s="22">
        <f>IFERROR(__xludf.DUMMYFUNCTION("""COMPUTED_VALUE"""),4.0)</f>
        <v>4</v>
      </c>
      <c r="L550" s="26" t="str">
        <f>IFERROR(__xludf.DUMMYFUNCTION("""COMPUTED_VALUE"""),"Adventure")</f>
        <v>Adventure</v>
      </c>
      <c r="M550" s="26"/>
    </row>
    <row r="551">
      <c r="A551" s="12" t="str">
        <f>IFERROR(__xludf.DUMMYFUNCTION("""COMPUTED_VALUE"""),"New Super Lucky's Tale")</f>
        <v>New Super Lucky's Tale</v>
      </c>
      <c r="B551" s="13" t="str">
        <f>IFERROR(__xludf.DUMMYFUNCTION("""COMPUTED_VALUE"""),"Xbox / PC")</f>
        <v>Xbox / PC</v>
      </c>
      <c r="C551" s="14" t="str">
        <f>IFERROR(__xludf.DUMMYFUNCTION("""COMPUTED_VALUE"""),"Touch Controls")</f>
        <v>Touch Controls</v>
      </c>
      <c r="D551" s="14" t="str">
        <f>IFERROR(__xludf.DUMMYFUNCTION("""COMPUTED_VALUE"""),"Active")</f>
        <v>Active</v>
      </c>
      <c r="E551" s="15">
        <f>IFERROR(__xludf.DUMMYFUNCTION("""COMPUTED_VALUE"""),44063.0)</f>
        <v>44063</v>
      </c>
      <c r="F551" s="16"/>
      <c r="G551" s="18">
        <f>IFERROR(__xludf.DUMMYFUNCTION("""COMPUTED_VALUE"""),73.53333333333333)</f>
        <v>73.53333333</v>
      </c>
      <c r="H551" s="15">
        <f>IFERROR(__xludf.DUMMYFUNCTION("""COMPUTED_VALUE"""),43777.0)</f>
        <v>43777</v>
      </c>
      <c r="I551" s="18">
        <f>IFERROR(__xludf.DUMMYFUNCTION("""COMPUTED_VALUE"""),0.7833333333333333)</f>
        <v>0.7833333333</v>
      </c>
      <c r="J551" s="22">
        <f>IFERROR(__xludf.DUMMYFUNCTION("""COMPUTED_VALUE"""),76.0)</f>
        <v>76</v>
      </c>
      <c r="K551" s="22">
        <f>IFERROR(__xludf.DUMMYFUNCTION("""COMPUTED_VALUE"""),7.5)</f>
        <v>7.5</v>
      </c>
      <c r="L551" s="26" t="str">
        <f>IFERROR(__xludf.DUMMYFUNCTION("""COMPUTED_VALUE"""),"Platformer")</f>
        <v>Platformer</v>
      </c>
      <c r="M551" s="26" t="str">
        <f>IFERROR(__xludf.DUMMYFUNCTION("""COMPUTED_VALUE"""),"FPS Boost")</f>
        <v>FPS Boost</v>
      </c>
    </row>
    <row r="552">
      <c r="A552" s="12" t="str">
        <f>IFERROR(__xludf.DUMMYFUNCTION("""COMPUTED_VALUE"""),"Totally Accurate Battle Simulator")</f>
        <v>Totally Accurate Battle Simulator</v>
      </c>
      <c r="B552" s="13" t="str">
        <f>IFERROR(__xludf.DUMMYFUNCTION("""COMPUTED_VALUE"""),"Xbox / PC")</f>
        <v>Xbox / PC</v>
      </c>
      <c r="C552" s="14" t="str">
        <f>IFERROR(__xludf.DUMMYFUNCTION("""COMPUTED_VALUE"""),"Touch Controls")</f>
        <v>Touch Controls</v>
      </c>
      <c r="D552" s="14" t="str">
        <f>IFERROR(__xludf.DUMMYFUNCTION("""COMPUTED_VALUE"""),"Active")</f>
        <v>Active</v>
      </c>
      <c r="E552" s="15">
        <f>IFERROR(__xludf.DUMMYFUNCTION("""COMPUTED_VALUE"""),43819.0)</f>
        <v>43819</v>
      </c>
      <c r="F552" s="16"/>
      <c r="G552" s="18">
        <f>IFERROR(__xludf.DUMMYFUNCTION("""COMPUTED_VALUE"""),81.53333333333333)</f>
        <v>81.53333333</v>
      </c>
      <c r="H552" s="15">
        <f>IFERROR(__xludf.DUMMYFUNCTION("""COMPUTED_VALUE"""),43556.0)</f>
        <v>43556</v>
      </c>
      <c r="I552" s="18">
        <f>IFERROR(__xludf.DUMMYFUNCTION("""COMPUTED_VALUE"""),0.7194444444444444)</f>
        <v>0.7194444444</v>
      </c>
      <c r="J552" s="22">
        <f>IFERROR(__xludf.DUMMYFUNCTION("""COMPUTED_VALUE"""),76.0)</f>
        <v>76</v>
      </c>
      <c r="K552" s="22">
        <f>IFERROR(__xludf.DUMMYFUNCTION("""COMPUTED_VALUE"""),4.5)</f>
        <v>4.5</v>
      </c>
      <c r="L552" s="26" t="str">
        <f>IFERROR(__xludf.DUMMYFUNCTION("""COMPUTED_VALUE"""),"Strategy")</f>
        <v>Strategy</v>
      </c>
      <c r="M552" s="26"/>
    </row>
    <row r="553">
      <c r="A553" s="12" t="str">
        <f>IFERROR(__xludf.DUMMYFUNCTION("""COMPUTED_VALUE"""),"Sensible World of Soccer")</f>
        <v>Sensible World of Soccer</v>
      </c>
      <c r="B553" s="13" t="str">
        <f>IFERROR(__xludf.DUMMYFUNCTION("""COMPUTED_VALUE"""),"XB360/OG Xbox")</f>
        <v>XB360/OG Xbox</v>
      </c>
      <c r="C553" s="14"/>
      <c r="D553" s="14" t="str">
        <f>IFERROR(__xludf.DUMMYFUNCTION("""COMPUTED_VALUE"""),"GwG Permanent")</f>
        <v>GwG Permanent</v>
      </c>
      <c r="E553" s="15">
        <f>IFERROR(__xludf.DUMMYFUNCTION("""COMPUTED_VALUE"""),43952.0)</f>
        <v>43952</v>
      </c>
      <c r="F553" s="16">
        <f>IFERROR(__xludf.DUMMYFUNCTION("""COMPUTED_VALUE"""),43966.0)</f>
        <v>43966</v>
      </c>
      <c r="G553" s="18">
        <f>IFERROR(__xludf.DUMMYFUNCTION("""COMPUTED_VALUE"""),0.4666666666666667)</f>
        <v>0.4666666667</v>
      </c>
      <c r="H553" s="15">
        <f>IFERROR(__xludf.DUMMYFUNCTION("""COMPUTED_VALUE"""),39405.0)</f>
        <v>39405</v>
      </c>
      <c r="I553" s="18">
        <f>IFERROR(__xludf.DUMMYFUNCTION("""COMPUTED_VALUE"""),12.45)</f>
        <v>12.45</v>
      </c>
      <c r="J553" s="22">
        <f>IFERROR(__xludf.DUMMYFUNCTION("""COMPUTED_VALUE"""),76.0)</f>
        <v>76</v>
      </c>
      <c r="K553" s="22">
        <f>IFERROR(__xludf.DUMMYFUNCTION("""COMPUTED_VALUE"""),4.0)</f>
        <v>4</v>
      </c>
      <c r="L553" s="26" t="str">
        <f>IFERROR(__xludf.DUMMYFUNCTION("""COMPUTED_VALUE"""),"Sports")</f>
        <v>Sports</v>
      </c>
      <c r="M553" s="26"/>
    </row>
    <row r="554">
      <c r="A554" s="12" t="str">
        <f>IFERROR(__xludf.DUMMYFUNCTION("""COMPUTED_VALUE"""),"Earth Defense Force: Insect Armageddon")</f>
        <v>Earth Defense Force: Insect Armageddon</v>
      </c>
      <c r="B554" s="13" t="str">
        <f>IFERROR(__xludf.DUMMYFUNCTION("""COMPUTED_VALUE"""),"XB360/OG Xbox")</f>
        <v>XB360/OG Xbox</v>
      </c>
      <c r="C554" s="14"/>
      <c r="D554" s="14" t="str">
        <f>IFERROR(__xludf.DUMMYFUNCTION("""COMPUTED_VALUE"""),"GwG Permanent")</f>
        <v>GwG Permanent</v>
      </c>
      <c r="E554" s="15">
        <f>IFERROR(__xludf.DUMMYFUNCTION("""COMPUTED_VALUE"""),43586.0)</f>
        <v>43586</v>
      </c>
      <c r="F554" s="16">
        <f>IFERROR(__xludf.DUMMYFUNCTION("""COMPUTED_VALUE"""),43600.0)</f>
        <v>43600</v>
      </c>
      <c r="G554" s="18">
        <f>IFERROR(__xludf.DUMMYFUNCTION("""COMPUTED_VALUE"""),0.4666666666666667)</f>
        <v>0.4666666667</v>
      </c>
      <c r="H554" s="15">
        <f>IFERROR(__xludf.DUMMYFUNCTION("""COMPUTED_VALUE"""),40737.0)</f>
        <v>40737</v>
      </c>
      <c r="I554" s="18">
        <f>IFERROR(__xludf.DUMMYFUNCTION("""COMPUTED_VALUE"""),7.8)</f>
        <v>7.8</v>
      </c>
      <c r="J554" s="22">
        <f>IFERROR(__xludf.DUMMYFUNCTION("""COMPUTED_VALUE"""),76.0)</f>
        <v>76</v>
      </c>
      <c r="K554" s="22">
        <f>IFERROR(__xludf.DUMMYFUNCTION("""COMPUTED_VALUE"""),8.0)</f>
        <v>8</v>
      </c>
      <c r="L554" s="26" t="str">
        <f>IFERROR(__xludf.DUMMYFUNCTION("""COMPUTED_VALUE"""),"Shooter")</f>
        <v>Shooter</v>
      </c>
      <c r="M554" s="26"/>
    </row>
    <row r="555">
      <c r="A555" s="12" t="str">
        <f>IFERROR(__xludf.DUMMYFUNCTION("""COMPUTED_VALUE"""),"Mercenaries: Playground of Destruction")</f>
        <v>Mercenaries: Playground of Destruction</v>
      </c>
      <c r="B555" s="13" t="str">
        <f>IFERROR(__xludf.DUMMYFUNCTION("""COMPUTED_VALUE"""),"XB360/OG Xbox")</f>
        <v>XB360/OG Xbox</v>
      </c>
      <c r="C555" s="14"/>
      <c r="D555" s="14" t="str">
        <f>IFERROR(__xludf.DUMMYFUNCTION("""COMPUTED_VALUE"""),"GwG Permanent")</f>
        <v>GwG Permanent</v>
      </c>
      <c r="E555" s="15">
        <f>IFERROR(__xludf.DUMMYFUNCTION("""COMPUTED_VALUE"""),43450.0)</f>
        <v>43450</v>
      </c>
      <c r="F555" s="16">
        <f>IFERROR(__xludf.DUMMYFUNCTION("""COMPUTED_VALUE"""),43465.0)</f>
        <v>43465</v>
      </c>
      <c r="G555" s="18">
        <f>IFERROR(__xludf.DUMMYFUNCTION("""COMPUTED_VALUE"""),0.4666666666666667)</f>
        <v>0.4666666667</v>
      </c>
      <c r="H555" s="15">
        <f>IFERROR(__xludf.DUMMYFUNCTION("""COMPUTED_VALUE"""),38425.0)</f>
        <v>38425</v>
      </c>
      <c r="I555" s="18">
        <f>IFERROR(__xludf.DUMMYFUNCTION("""COMPUTED_VALUE"""),13.755555555555556)</f>
        <v>13.75555556</v>
      </c>
      <c r="J555" s="22">
        <f>IFERROR(__xludf.DUMMYFUNCTION("""COMPUTED_VALUE"""),76.0)</f>
        <v>76</v>
      </c>
      <c r="K555" s="22">
        <f>IFERROR(__xludf.DUMMYFUNCTION("""COMPUTED_VALUE"""),18.0)</f>
        <v>18</v>
      </c>
      <c r="L555" s="26" t="str">
        <f>IFERROR(__xludf.DUMMYFUNCTION("""COMPUTED_VALUE"""),"Action-Adventure")</f>
        <v>Action-Adventure</v>
      </c>
      <c r="M555" s="26" t="str">
        <f>IFERROR(__xludf.DUMMYFUNCTION("""COMPUTED_VALUE"""),"Enhanced")</f>
        <v>Enhanced</v>
      </c>
    </row>
    <row r="556">
      <c r="A556" s="12" t="str">
        <f>IFERROR(__xludf.DUMMYFUNCTION("""COMPUTED_VALUE"""),"Tomb Raider: Underworld")</f>
        <v>Tomb Raider: Underworld</v>
      </c>
      <c r="B556" s="13" t="str">
        <f>IFERROR(__xludf.DUMMYFUNCTION("""COMPUTED_VALUE"""),"XB360/OG Xbox")</f>
        <v>XB360/OG Xbox</v>
      </c>
      <c r="C556" s="14"/>
      <c r="D556" s="14" t="str">
        <f>IFERROR(__xludf.DUMMYFUNCTION("""COMPUTED_VALUE"""),"GwG Permanent")</f>
        <v>GwG Permanent</v>
      </c>
      <c r="E556" s="15">
        <f>IFERROR(__xludf.DUMMYFUNCTION("""COMPUTED_VALUE"""),43101.0)</f>
        <v>43101</v>
      </c>
      <c r="F556" s="16">
        <f>IFERROR(__xludf.DUMMYFUNCTION("""COMPUTED_VALUE"""),43115.0)</f>
        <v>43115</v>
      </c>
      <c r="G556" s="18">
        <f>IFERROR(__xludf.DUMMYFUNCTION("""COMPUTED_VALUE"""),0.4666666666666667)</f>
        <v>0.4666666667</v>
      </c>
      <c r="H556" s="15">
        <f>IFERROR(__xludf.DUMMYFUNCTION("""COMPUTED_VALUE"""),39770.0)</f>
        <v>39770</v>
      </c>
      <c r="I556" s="18">
        <f>IFERROR(__xludf.DUMMYFUNCTION("""COMPUTED_VALUE"""),9.119444444444444)</f>
        <v>9.119444444</v>
      </c>
      <c r="J556" s="22">
        <f>IFERROR(__xludf.DUMMYFUNCTION("""COMPUTED_VALUE"""),76.0)</f>
        <v>76</v>
      </c>
      <c r="K556" s="22">
        <f>IFERROR(__xludf.DUMMYFUNCTION("""COMPUTED_VALUE"""),10.0)</f>
        <v>10</v>
      </c>
      <c r="L556" s="26" t="str">
        <f>IFERROR(__xludf.DUMMYFUNCTION("""COMPUTED_VALUE"""),"Action‑Adventure")</f>
        <v>Action‑Adventure</v>
      </c>
      <c r="M556" s="26"/>
    </row>
    <row r="557">
      <c r="A557" s="12" t="str">
        <f>IFERROR(__xludf.DUMMYFUNCTION("""COMPUTED_VALUE"""),"Tron: Evolution")</f>
        <v>Tron: Evolution</v>
      </c>
      <c r="B557" s="13" t="str">
        <f>IFERROR(__xludf.DUMMYFUNCTION("""COMPUTED_VALUE"""),"XB360/OG Xbox")</f>
        <v>XB360/OG Xbox</v>
      </c>
      <c r="C557" s="14"/>
      <c r="D557" s="14" t="str">
        <f>IFERROR(__xludf.DUMMYFUNCTION("""COMPUTED_VALUE"""),"GwG Permanent")</f>
        <v>GwG Permanent</v>
      </c>
      <c r="E557" s="15">
        <f>IFERROR(__xludf.DUMMYFUNCTION("""COMPUTED_VALUE"""),42567.0)</f>
        <v>42567</v>
      </c>
      <c r="F557" s="16">
        <f>IFERROR(__xludf.DUMMYFUNCTION("""COMPUTED_VALUE"""),42582.0)</f>
        <v>42582</v>
      </c>
      <c r="G557" s="18">
        <f>IFERROR(__xludf.DUMMYFUNCTION("""COMPUTED_VALUE"""),0.4666666666666667)</f>
        <v>0.4666666667</v>
      </c>
      <c r="H557" s="15">
        <f>IFERROR(__xludf.DUMMYFUNCTION("""COMPUTED_VALUE"""),40701.0)</f>
        <v>40701</v>
      </c>
      <c r="I557" s="18">
        <f>IFERROR(__xludf.DUMMYFUNCTION("""COMPUTED_VALUE"""),5.108333333333333)</f>
        <v>5.108333333</v>
      </c>
      <c r="J557" s="22">
        <f>IFERROR(__xludf.DUMMYFUNCTION("""COMPUTED_VALUE"""),76.0)</f>
        <v>76</v>
      </c>
      <c r="K557" s="22">
        <f>IFERROR(__xludf.DUMMYFUNCTION("""COMPUTED_VALUE"""),10.0)</f>
        <v>10</v>
      </c>
      <c r="L557" s="26" t="str">
        <f>IFERROR(__xludf.DUMMYFUNCTION("""COMPUTED_VALUE"""),"Action-Adventure")</f>
        <v>Action-Adventure</v>
      </c>
      <c r="M557" s="26"/>
    </row>
    <row r="558">
      <c r="A558" s="12" t="str">
        <f>IFERROR(__xludf.DUMMYFUNCTION("""COMPUTED_VALUE"""),"Peggle")</f>
        <v>Peggle</v>
      </c>
      <c r="B558" s="13" t="str">
        <f>IFERROR(__xludf.DUMMYFUNCTION("""COMPUTED_VALUE"""),"XB360/OG Xbox")</f>
        <v>XB360/OG Xbox</v>
      </c>
      <c r="C558" s="14"/>
      <c r="D558" s="14" t="str">
        <f>IFERROR(__xludf.DUMMYFUNCTION("""COMPUTED_VALUE"""),"GwG Permanent")</f>
        <v>GwG Permanent</v>
      </c>
      <c r="E558" s="15">
        <f>IFERROR(__xludf.DUMMYFUNCTION("""COMPUTED_VALUE"""),42506.0)</f>
        <v>42506</v>
      </c>
      <c r="F558" s="16">
        <f>IFERROR(__xludf.DUMMYFUNCTION("""COMPUTED_VALUE"""),42521.0)</f>
        <v>42521</v>
      </c>
      <c r="G558" s="18">
        <f>IFERROR(__xludf.DUMMYFUNCTION("""COMPUTED_VALUE"""),0.4666666666666667)</f>
        <v>0.4666666667</v>
      </c>
      <c r="H558" s="15">
        <f>IFERROR(__xludf.DUMMYFUNCTION("""COMPUTED_VALUE"""),39140.0)</f>
        <v>39140</v>
      </c>
      <c r="I558" s="18">
        <f>IFERROR(__xludf.DUMMYFUNCTION("""COMPUTED_VALUE"""),9.219444444444445)</f>
        <v>9.219444444</v>
      </c>
      <c r="J558" s="22">
        <f>IFERROR(__xludf.DUMMYFUNCTION("""COMPUTED_VALUE"""),76.0)</f>
        <v>76</v>
      </c>
      <c r="K558" s="22">
        <f>IFERROR(__xludf.DUMMYFUNCTION("""COMPUTED_VALUE"""),4.0)</f>
        <v>4</v>
      </c>
      <c r="L558" s="26" t="str">
        <f>IFERROR(__xludf.DUMMYFUNCTION("""COMPUTED_VALUE"""),"Puzzle")</f>
        <v>Puzzle</v>
      </c>
      <c r="M558" s="26"/>
    </row>
    <row r="559">
      <c r="A559" s="12" t="str">
        <f>IFERROR(__xludf.DUMMYFUNCTION("""COMPUTED_VALUE"""),"Crysis 3")</f>
        <v>Crysis 3</v>
      </c>
      <c r="B559" s="13" t="str">
        <f>IFERROR(__xludf.DUMMYFUNCTION("""COMPUTED_VALUE"""),"XB360/OG Xbox")</f>
        <v>XB360/OG Xbox</v>
      </c>
      <c r="C559" s="14"/>
      <c r="D559" s="14" t="str">
        <f>IFERROR(__xludf.DUMMYFUNCTION("""COMPUTED_VALUE"""),"GwG Permanent")</f>
        <v>GwG Permanent</v>
      </c>
      <c r="E559" s="15">
        <f>IFERROR(__xludf.DUMMYFUNCTION("""COMPUTED_VALUE"""),42263.0)</f>
        <v>42263</v>
      </c>
      <c r="F559" s="16">
        <f>IFERROR(__xludf.DUMMYFUNCTION("""COMPUTED_VALUE"""),42277.0)</f>
        <v>42277</v>
      </c>
      <c r="G559" s="18">
        <f>IFERROR(__xludf.DUMMYFUNCTION("""COMPUTED_VALUE"""),0.4666666666666667)</f>
        <v>0.4666666667</v>
      </c>
      <c r="H559" s="15">
        <f>IFERROR(__xludf.DUMMYFUNCTION("""COMPUTED_VALUE"""),41324.0)</f>
        <v>41324</v>
      </c>
      <c r="I559" s="18">
        <f>IFERROR(__xludf.DUMMYFUNCTION("""COMPUTED_VALUE"""),2.575)</f>
        <v>2.575</v>
      </c>
      <c r="J559" s="22">
        <f>IFERROR(__xludf.DUMMYFUNCTION("""COMPUTED_VALUE"""),76.0)</f>
        <v>76</v>
      </c>
      <c r="K559" s="22">
        <f>IFERROR(__xludf.DUMMYFUNCTION("""COMPUTED_VALUE"""),6.0)</f>
        <v>6</v>
      </c>
      <c r="L559" s="26" t="str">
        <f>IFERROR(__xludf.DUMMYFUNCTION("""COMPUTED_VALUE"""),"Shooter")</f>
        <v>Shooter</v>
      </c>
      <c r="M559" s="26"/>
    </row>
    <row r="560">
      <c r="A560" s="12" t="str">
        <f>IFERROR(__xludf.DUMMYFUNCTION("""COMPUTED_VALUE"""),"Battlestations: Pacific")</f>
        <v>Battlestations: Pacific</v>
      </c>
      <c r="B560" s="13" t="str">
        <f>IFERROR(__xludf.DUMMYFUNCTION("""COMPUTED_VALUE"""),"XB360/OG Xbox")</f>
        <v>XB360/OG Xbox</v>
      </c>
      <c r="C560" s="14"/>
      <c r="D560" s="14" t="str">
        <f>IFERROR(__xludf.DUMMYFUNCTION("""COMPUTED_VALUE"""),"GwG Permanent")</f>
        <v>GwG Permanent</v>
      </c>
      <c r="E560" s="15">
        <f>IFERROR(__xludf.DUMMYFUNCTION("""COMPUTED_VALUE"""),42248.0)</f>
        <v>42248</v>
      </c>
      <c r="F560" s="16">
        <f>IFERROR(__xludf.DUMMYFUNCTION("""COMPUTED_VALUE"""),42262.0)</f>
        <v>42262</v>
      </c>
      <c r="G560" s="18">
        <f>IFERROR(__xludf.DUMMYFUNCTION("""COMPUTED_VALUE"""),0.4666666666666667)</f>
        <v>0.4666666667</v>
      </c>
      <c r="H560" s="15">
        <f>IFERROR(__xludf.DUMMYFUNCTION("""COMPUTED_VALUE"""),40150.0)</f>
        <v>40150</v>
      </c>
      <c r="I560" s="18">
        <f>IFERROR(__xludf.DUMMYFUNCTION("""COMPUTED_VALUE"""),5.7444444444444445)</f>
        <v>5.744444444</v>
      </c>
      <c r="J560" s="22">
        <f>IFERROR(__xludf.DUMMYFUNCTION("""COMPUTED_VALUE"""),76.0)</f>
        <v>76</v>
      </c>
      <c r="K560" s="22">
        <f>IFERROR(__xludf.DUMMYFUNCTION("""COMPUTED_VALUE"""),12.0)</f>
        <v>12</v>
      </c>
      <c r="L560" s="26" t="str">
        <f>IFERROR(__xludf.DUMMYFUNCTION("""COMPUTED_VALUE"""),"Strategy")</f>
        <v>Strategy</v>
      </c>
      <c r="M560" s="26"/>
    </row>
    <row r="561">
      <c r="A561" s="12" t="str">
        <f>IFERROR(__xludf.DUMMYFUNCTION("""COMPUTED_VALUE"""),"Zombie Army 4: Dead War")</f>
        <v>Zombie Army 4: Dead War</v>
      </c>
      <c r="B561" s="13" t="str">
        <f>IFERROR(__xludf.DUMMYFUNCTION("""COMPUTED_VALUE"""),"Xbox / PC")</f>
        <v>Xbox / PC</v>
      </c>
      <c r="C561" s="14" t="str">
        <f>IFERROR(__xludf.DUMMYFUNCTION("""COMPUTED_VALUE"""),"M+KB")</f>
        <v>M+KB</v>
      </c>
      <c r="D561" s="14" t="str">
        <f>IFERROR(__xludf.DUMMYFUNCTION("""COMPUTED_VALUE"""),"Active")</f>
        <v>Active</v>
      </c>
      <c r="E561" s="15">
        <f>IFERROR(__xludf.DUMMYFUNCTION("""COMPUTED_VALUE"""),44294.0)</f>
        <v>44294</v>
      </c>
      <c r="F561" s="16"/>
      <c r="G561" s="18">
        <f>IFERROR(__xludf.DUMMYFUNCTION("""COMPUTED_VALUE"""),65.93333333333334)</f>
        <v>65.93333333</v>
      </c>
      <c r="H561" s="15">
        <f>IFERROR(__xludf.DUMMYFUNCTION("""COMPUTED_VALUE"""),43865.0)</f>
        <v>43865</v>
      </c>
      <c r="I561" s="18">
        <f>IFERROR(__xludf.DUMMYFUNCTION("""COMPUTED_VALUE"""),1.1777777777777778)</f>
        <v>1.177777778</v>
      </c>
      <c r="J561" s="22">
        <f>IFERROR(__xludf.DUMMYFUNCTION("""COMPUTED_VALUE"""),75.5)</f>
        <v>75.5</v>
      </c>
      <c r="K561" s="22">
        <f>IFERROR(__xludf.DUMMYFUNCTION("""COMPUTED_VALUE"""),11.5)</f>
        <v>11.5</v>
      </c>
      <c r="L561" s="26" t="str">
        <f>IFERROR(__xludf.DUMMYFUNCTION("""COMPUTED_VALUE"""),"Shooter")</f>
        <v>Shooter</v>
      </c>
      <c r="M561" s="26" t="str">
        <f>IFERROR(__xludf.DUMMYFUNCTION("""COMPUTED_VALUE"""),"Optimized")</f>
        <v>Optimized</v>
      </c>
    </row>
    <row r="562">
      <c r="A562" s="12" t="str">
        <f>IFERROR(__xludf.DUMMYFUNCTION("""COMPUTED_VALUE"""),"Wolfenstein: The Old Blood")</f>
        <v>Wolfenstein: The Old Blood</v>
      </c>
      <c r="B562" s="13" t="str">
        <f>IFERROR(__xludf.DUMMYFUNCTION("""COMPUTED_VALUE"""),"Xbox / PC")</f>
        <v>Xbox / PC</v>
      </c>
      <c r="C562" s="14" t="str">
        <f>IFERROR(__xludf.DUMMYFUNCTION("""COMPUTED_VALUE"""),"Yes")</f>
        <v>Yes</v>
      </c>
      <c r="D562" s="14" t="str">
        <f>IFERROR(__xludf.DUMMYFUNCTION("""COMPUTED_VALUE"""),"Active")</f>
        <v>Active</v>
      </c>
      <c r="E562" s="15">
        <f>IFERROR(__xludf.DUMMYFUNCTION("""COMPUTED_VALUE"""),44267.0)</f>
        <v>44267</v>
      </c>
      <c r="F562" s="16"/>
      <c r="G562" s="18">
        <f>IFERROR(__xludf.DUMMYFUNCTION("""COMPUTED_VALUE"""),66.8)</f>
        <v>66.8</v>
      </c>
      <c r="H562" s="15">
        <f>IFERROR(__xludf.DUMMYFUNCTION("""COMPUTED_VALUE"""),42129.0)</f>
        <v>42129</v>
      </c>
      <c r="I562" s="18">
        <f>IFERROR(__xludf.DUMMYFUNCTION("""COMPUTED_VALUE"""),5.852777777777778)</f>
        <v>5.852777778</v>
      </c>
      <c r="J562" s="22">
        <f>IFERROR(__xludf.DUMMYFUNCTION("""COMPUTED_VALUE"""),75.5)</f>
        <v>75.5</v>
      </c>
      <c r="K562" s="22">
        <f>IFERROR(__xludf.DUMMYFUNCTION("""COMPUTED_VALUE"""),6.0)</f>
        <v>6</v>
      </c>
      <c r="L562" s="26" t="str">
        <f>IFERROR(__xludf.DUMMYFUNCTION("""COMPUTED_VALUE"""),"Shooter")</f>
        <v>Shooter</v>
      </c>
      <c r="M562" s="26"/>
    </row>
    <row r="563">
      <c r="A563" s="12" t="str">
        <f>IFERROR(__xludf.DUMMYFUNCTION("""COMPUTED_VALUE"""),"Cricket 26")</f>
        <v>Cricket 26</v>
      </c>
      <c r="B563" s="13" t="str">
        <f>IFERROR(__xludf.DUMMYFUNCTION("""COMPUTED_VALUE"""),"Xbox / PC")</f>
        <v>Xbox / PC</v>
      </c>
      <c r="C563" s="14" t="str">
        <f>IFERROR(__xludf.DUMMYFUNCTION("""COMPUTED_VALUE"""),"Yes")</f>
        <v>Yes</v>
      </c>
      <c r="D563" s="14" t="str">
        <f>IFERROR(__xludf.DUMMYFUNCTION("""COMPUTED_VALUE"""),"Active")</f>
        <v>Active</v>
      </c>
      <c r="E563" s="15">
        <f>IFERROR(__xludf.DUMMYFUNCTION("""COMPUTED_VALUE"""),46247.0)</f>
        <v>46247</v>
      </c>
      <c r="F563" s="16"/>
      <c r="G563" s="18">
        <f>IFERROR(__xludf.DUMMYFUNCTION("""COMPUTED_VALUE"""),1.7666666666666666)</f>
        <v>1.766666667</v>
      </c>
      <c r="H563" s="15">
        <f>IFERROR(__xludf.DUMMYFUNCTION("""COMPUTED_VALUE"""),45974.0)</f>
        <v>45974</v>
      </c>
      <c r="I563" s="18">
        <f>IFERROR(__xludf.DUMMYFUNCTION("""COMPUTED_VALUE"""),0.75)</f>
        <v>0.75</v>
      </c>
      <c r="J563" s="22">
        <f>IFERROR(__xludf.DUMMYFUNCTION("""COMPUTED_VALUE"""),75.0)</f>
        <v>75</v>
      </c>
      <c r="K563" s="22">
        <f>IFERROR(__xludf.DUMMYFUNCTION("""COMPUTED_VALUE"""),33.0)</f>
        <v>33</v>
      </c>
      <c r="L563" s="26" t="str">
        <f>IFERROR(__xludf.DUMMYFUNCTION("""COMPUTED_VALUE"""),"Sports")</f>
        <v>Sports</v>
      </c>
      <c r="M563" s="26"/>
    </row>
    <row r="564">
      <c r="A564" s="12" t="str">
        <f>IFERROR(__xludf.DUMMYFUNCTION("""COMPUTED_VALUE"""),"Super Meat Boy 3D")</f>
        <v>Super Meat Boy 3D</v>
      </c>
      <c r="B564" s="13" t="str">
        <f>IFERROR(__xludf.DUMMYFUNCTION("""COMPUTED_VALUE"""),"Xbox / PC")</f>
        <v>Xbox / PC</v>
      </c>
      <c r="C564" s="14" t="str">
        <f>IFERROR(__xludf.DUMMYFUNCTION("""COMPUTED_VALUE"""),"Yes")</f>
        <v>Yes</v>
      </c>
      <c r="D564" s="14" t="str">
        <f>IFERROR(__xludf.DUMMYFUNCTION("""COMPUTED_VALUE"""),"Active")</f>
        <v>Active</v>
      </c>
      <c r="E564" s="15">
        <f>IFERROR(__xludf.DUMMYFUNCTION("""COMPUTED_VALUE"""),46112.0)</f>
        <v>46112</v>
      </c>
      <c r="F564" s="16"/>
      <c r="G564" s="18">
        <f>IFERROR(__xludf.DUMMYFUNCTION("""COMPUTED_VALUE"""),6.200000000000001)</f>
        <v>6.2</v>
      </c>
      <c r="H564" s="15">
        <f>IFERROR(__xludf.DUMMYFUNCTION("""COMPUTED_VALUE"""),46112.0)</f>
        <v>46112</v>
      </c>
      <c r="I564" s="18">
        <f>IFERROR(__xludf.DUMMYFUNCTION("""COMPUTED_VALUE"""),0.0)</f>
        <v>0</v>
      </c>
      <c r="J564" s="22">
        <f>IFERROR(__xludf.DUMMYFUNCTION("""COMPUTED_VALUE"""),75.0)</f>
        <v>75</v>
      </c>
      <c r="K564" s="22">
        <f>IFERROR(__xludf.DUMMYFUNCTION("""COMPUTED_VALUE"""),6.0)</f>
        <v>6</v>
      </c>
      <c r="L564" s="26" t="str">
        <f>IFERROR(__xludf.DUMMYFUNCTION("""COMPUTED_VALUE"""),"Platformer")</f>
        <v>Platformer</v>
      </c>
      <c r="M564" s="26" t="str">
        <f>IFERROR(__xludf.DUMMYFUNCTION("""COMPUTED_VALUE"""),"Exclusive")</f>
        <v>Exclusive</v>
      </c>
    </row>
    <row r="565">
      <c r="A565" s="12" t="str">
        <f>IFERROR(__xludf.DUMMYFUNCTION("""COMPUTED_VALUE"""),"Star Wars Outlaws")</f>
        <v>Star Wars Outlaws</v>
      </c>
      <c r="B565" s="13" t="str">
        <f>IFERROR(__xludf.DUMMYFUNCTION("""COMPUTED_VALUE"""),"Xbox / PC")</f>
        <v>Xbox / PC</v>
      </c>
      <c r="C565" s="14" t="str">
        <f>IFERROR(__xludf.DUMMYFUNCTION("""COMPUTED_VALUE"""),"Yes")</f>
        <v>Yes</v>
      </c>
      <c r="D565" s="14" t="str">
        <f>IFERROR(__xludf.DUMMYFUNCTION("""COMPUTED_VALUE"""),"Active")</f>
        <v>Active</v>
      </c>
      <c r="E565" s="15">
        <f>IFERROR(__xludf.DUMMYFUNCTION("""COMPUTED_VALUE"""),46035.0)</f>
        <v>46035</v>
      </c>
      <c r="F565" s="16"/>
      <c r="G565" s="18">
        <f>IFERROR(__xludf.DUMMYFUNCTION("""COMPUTED_VALUE"""),8.766666666666666)</f>
        <v>8.766666667</v>
      </c>
      <c r="H565" s="15">
        <f>IFERROR(__xludf.DUMMYFUNCTION("""COMPUTED_VALUE"""),45531.0)</f>
        <v>45531</v>
      </c>
      <c r="I565" s="18">
        <f>IFERROR(__xludf.DUMMYFUNCTION("""COMPUTED_VALUE"""),1.3777777777777778)</f>
        <v>1.377777778</v>
      </c>
      <c r="J565" s="22">
        <f>IFERROR(__xludf.DUMMYFUNCTION("""COMPUTED_VALUE"""),75.0)</f>
        <v>75</v>
      </c>
      <c r="K565" s="22">
        <f>IFERROR(__xludf.DUMMYFUNCTION("""COMPUTED_VALUE"""),19.0)</f>
        <v>19</v>
      </c>
      <c r="L565" s="26" t="str">
        <f>IFERROR(__xludf.DUMMYFUNCTION("""COMPUTED_VALUE"""),"Action-Adventure")</f>
        <v>Action-Adventure</v>
      </c>
      <c r="M565" s="26" t="str">
        <f>IFERROR(__xludf.DUMMYFUNCTION("""COMPUTED_VALUE"""),"Exclusive")</f>
        <v>Exclusive</v>
      </c>
    </row>
    <row r="566">
      <c r="A566" s="12" t="str">
        <f>IFERROR(__xludf.DUMMYFUNCTION("""COMPUTED_VALUE"""),"A Game About Digging A Hole")</f>
        <v>A Game About Digging A Hole</v>
      </c>
      <c r="B566" s="13" t="str">
        <f>IFERROR(__xludf.DUMMYFUNCTION("""COMPUTED_VALUE"""),"Xbox / PC")</f>
        <v>Xbox / PC</v>
      </c>
      <c r="C566" s="14" t="str">
        <f>IFERROR(__xludf.DUMMYFUNCTION("""COMPUTED_VALUE"""),"Yes")</f>
        <v>Yes</v>
      </c>
      <c r="D566" s="14" t="str">
        <f>IFERROR(__xludf.DUMMYFUNCTION("""COMPUTED_VALUE"""),"Active")</f>
        <v>Active</v>
      </c>
      <c r="E566" s="15">
        <f>IFERROR(__xludf.DUMMYFUNCTION("""COMPUTED_VALUE"""),46000.0)</f>
        <v>46000</v>
      </c>
      <c r="F566" s="16"/>
      <c r="G566" s="18">
        <f>IFERROR(__xludf.DUMMYFUNCTION("""COMPUTED_VALUE"""),9.899999999999999)</f>
        <v>9.9</v>
      </c>
      <c r="H566" s="15">
        <f>IFERROR(__xludf.DUMMYFUNCTION("""COMPUTED_VALUE"""),45695.0)</f>
        <v>45695</v>
      </c>
      <c r="I566" s="18">
        <f>IFERROR(__xludf.DUMMYFUNCTION("""COMPUTED_VALUE"""),0.8388888888888889)</f>
        <v>0.8388888889</v>
      </c>
      <c r="J566" s="22">
        <f>IFERROR(__xludf.DUMMYFUNCTION("""COMPUTED_VALUE"""),75.0)</f>
        <v>75</v>
      </c>
      <c r="K566" s="22">
        <f>IFERROR(__xludf.DUMMYFUNCTION("""COMPUTED_VALUE"""),2.35)</f>
        <v>2.35</v>
      </c>
      <c r="L566" s="26" t="str">
        <f>IFERROR(__xludf.DUMMYFUNCTION("""COMPUTED_VALUE"""),"Adventure")</f>
        <v>Adventure</v>
      </c>
      <c r="M566" s="26"/>
    </row>
    <row r="567">
      <c r="A567" s="12" t="str">
        <f>IFERROR(__xludf.DUMMYFUNCTION("""COMPUTED_VALUE"""),"Visions of Mana")</f>
        <v>Visions of Mana</v>
      </c>
      <c r="B567" s="13" t="str">
        <f>IFERROR(__xludf.DUMMYFUNCTION("""COMPUTED_VALUE"""),"Xbox / PC")</f>
        <v>Xbox / PC</v>
      </c>
      <c r="C567" s="14" t="str">
        <f>IFERROR(__xludf.DUMMYFUNCTION("""COMPUTED_VALUE"""),"Yes")</f>
        <v>Yes</v>
      </c>
      <c r="D567" s="14" t="str">
        <f>IFERROR(__xludf.DUMMYFUNCTION("""COMPUTED_VALUE"""),"Active")</f>
        <v>Active</v>
      </c>
      <c r="E567" s="15">
        <f>IFERROR(__xludf.DUMMYFUNCTION("""COMPUTED_VALUE"""),45925.0)</f>
        <v>45925</v>
      </c>
      <c r="F567" s="16"/>
      <c r="G567" s="18">
        <f>IFERROR(__xludf.DUMMYFUNCTION("""COMPUTED_VALUE"""),12.366666666666665)</f>
        <v>12.36666667</v>
      </c>
      <c r="H567" s="15">
        <f>IFERROR(__xludf.DUMMYFUNCTION("""COMPUTED_VALUE"""),45533.0)</f>
        <v>45533</v>
      </c>
      <c r="I567" s="18">
        <f>IFERROR(__xludf.DUMMYFUNCTION("""COMPUTED_VALUE"""),1.0722222222222222)</f>
        <v>1.072222222</v>
      </c>
      <c r="J567" s="22">
        <f>IFERROR(__xludf.DUMMYFUNCTION("""COMPUTED_VALUE"""),75.0)</f>
        <v>75</v>
      </c>
      <c r="K567" s="22">
        <f>IFERROR(__xludf.DUMMYFUNCTION("""COMPUTED_VALUE"""),29.0)</f>
        <v>29</v>
      </c>
      <c r="L567" s="26" t="str">
        <f>IFERROR(__xludf.DUMMYFUNCTION("""COMPUTED_VALUE"""),"RPG")</f>
        <v>RPG</v>
      </c>
      <c r="M567" s="26" t="str">
        <f>IFERROR(__xludf.DUMMYFUNCTION("""COMPUTED_VALUE"""),"Exclusive")</f>
        <v>Exclusive</v>
      </c>
    </row>
    <row r="568">
      <c r="A568" s="12" t="str">
        <f>IFERROR(__xludf.DUMMYFUNCTION("""COMPUTED_VALUE"""),"Farming Simulator 25")</f>
        <v>Farming Simulator 25</v>
      </c>
      <c r="B568" s="13" t="str">
        <f>IFERROR(__xludf.DUMMYFUNCTION("""COMPUTED_VALUE"""),"Xbox / PC")</f>
        <v>Xbox / PC</v>
      </c>
      <c r="C568" s="14" t="str">
        <f>IFERROR(__xludf.DUMMYFUNCTION("""COMPUTED_VALUE"""),"Yes")</f>
        <v>Yes</v>
      </c>
      <c r="D568" s="14" t="str">
        <f>IFERROR(__xludf.DUMMYFUNCTION("""COMPUTED_VALUE"""),"Active")</f>
        <v>Active</v>
      </c>
      <c r="E568" s="15">
        <f>IFERROR(__xludf.DUMMYFUNCTION("""COMPUTED_VALUE"""),45870.0)</f>
        <v>45870</v>
      </c>
      <c r="F568" s="16"/>
      <c r="G568" s="18">
        <f>IFERROR(__xludf.DUMMYFUNCTION("""COMPUTED_VALUE"""),14.166666666666668)</f>
        <v>14.16666667</v>
      </c>
      <c r="H568" s="15">
        <f>IFERROR(__xludf.DUMMYFUNCTION("""COMPUTED_VALUE"""),45608.0)</f>
        <v>45608</v>
      </c>
      <c r="I568" s="18">
        <f>IFERROR(__xludf.DUMMYFUNCTION("""COMPUTED_VALUE"""),0.7194444444444444)</f>
        <v>0.7194444444</v>
      </c>
      <c r="J568" s="22">
        <f>IFERROR(__xludf.DUMMYFUNCTION("""COMPUTED_VALUE"""),75.0)</f>
        <v>75</v>
      </c>
      <c r="K568" s="22">
        <f>IFERROR(__xludf.DUMMYFUNCTION("""COMPUTED_VALUE"""),45.0)</f>
        <v>45</v>
      </c>
      <c r="L568" s="26" t="str">
        <f>IFERROR(__xludf.DUMMYFUNCTION("""COMPUTED_VALUE"""),"Simulation")</f>
        <v>Simulation</v>
      </c>
      <c r="M568" s="26"/>
    </row>
    <row r="569">
      <c r="A569" s="12" t="str">
        <f>IFERROR(__xludf.DUMMYFUNCTION("""COMPUTED_VALUE"""),"Skeleton+")</f>
        <v>Skeleton+</v>
      </c>
      <c r="B569" s="13" t="str">
        <f>IFERROR(__xludf.DUMMYFUNCTION("""COMPUTED_VALUE"""),"Xbox / PC")</f>
        <v>Xbox / PC</v>
      </c>
      <c r="C569" s="14" t="str">
        <f>IFERROR(__xludf.DUMMYFUNCTION("""COMPUTED_VALUE"""),"Yes")</f>
        <v>Yes</v>
      </c>
      <c r="D569" s="14" t="str">
        <f>IFERROR(__xludf.DUMMYFUNCTION("""COMPUTED_VALUE"""),"Active")</f>
        <v>Active</v>
      </c>
      <c r="E569" s="15">
        <f>IFERROR(__xludf.DUMMYFUNCTION("""COMPUTED_VALUE"""),45859.0)</f>
        <v>45859</v>
      </c>
      <c r="F569" s="16"/>
      <c r="G569" s="18">
        <f>IFERROR(__xludf.DUMMYFUNCTION("""COMPUTED_VALUE"""),14.5)</f>
        <v>14.5</v>
      </c>
      <c r="H569" s="15">
        <f>IFERROR(__xludf.DUMMYFUNCTION("""COMPUTED_VALUE"""),37774.0)</f>
        <v>37774</v>
      </c>
      <c r="I569" s="18">
        <f>IFERROR(__xludf.DUMMYFUNCTION("""COMPUTED_VALUE"""),22.136111111111113)</f>
        <v>22.13611111</v>
      </c>
      <c r="J569" s="22">
        <f>IFERROR(__xludf.DUMMYFUNCTION("""COMPUTED_VALUE"""),75.0)</f>
        <v>75</v>
      </c>
      <c r="K569" s="22">
        <f>IFERROR(__xludf.DUMMYFUNCTION("""COMPUTED_VALUE"""),2.0)</f>
        <v>2</v>
      </c>
      <c r="L569" s="26" t="str">
        <f>IFERROR(__xludf.DUMMYFUNCTION("""COMPUTED_VALUE"""),"Action")</f>
        <v>Action</v>
      </c>
      <c r="M569" s="26"/>
    </row>
    <row r="570">
      <c r="A570" s="12" t="str">
        <f>IFERROR(__xludf.DUMMYFUNCTION("""COMPUTED_VALUE"""),"Call of Duty: Modern Warfare II")</f>
        <v>Call of Duty: Modern Warfare II</v>
      </c>
      <c r="B570" s="13" t="str">
        <f>IFERROR(__xludf.DUMMYFUNCTION("""COMPUTED_VALUE"""),"Xbox / PC")</f>
        <v>Xbox / PC</v>
      </c>
      <c r="C570" s="14" t="str">
        <f>IFERROR(__xludf.DUMMYFUNCTION("""COMPUTED_VALUE"""),"Yes")</f>
        <v>Yes</v>
      </c>
      <c r="D570" s="14" t="str">
        <f>IFERROR(__xludf.DUMMYFUNCTION("""COMPUTED_VALUE"""),"Active")</f>
        <v>Active</v>
      </c>
      <c r="E570" s="15">
        <f>IFERROR(__xludf.DUMMYFUNCTION("""COMPUTED_VALUE"""),45778.0)</f>
        <v>45778</v>
      </c>
      <c r="F570" s="16"/>
      <c r="G570" s="18">
        <f>IFERROR(__xludf.DUMMYFUNCTION("""COMPUTED_VALUE"""),17.166666666666668)</f>
        <v>17.16666667</v>
      </c>
      <c r="H570" s="15">
        <f>IFERROR(__xludf.DUMMYFUNCTION("""COMPUTED_VALUE"""),44862.0)</f>
        <v>44862</v>
      </c>
      <c r="I570" s="18">
        <f>IFERROR(__xludf.DUMMYFUNCTION("""COMPUTED_VALUE"""),2.5083333333333333)</f>
        <v>2.508333333</v>
      </c>
      <c r="J570" s="22">
        <f>IFERROR(__xludf.DUMMYFUNCTION("""COMPUTED_VALUE"""),75.0)</f>
        <v>75</v>
      </c>
      <c r="K570" s="22">
        <f>IFERROR(__xludf.DUMMYFUNCTION("""COMPUTED_VALUE"""),8.0)</f>
        <v>8</v>
      </c>
      <c r="L570" s="26" t="str">
        <f>IFERROR(__xludf.DUMMYFUNCTION("""COMPUTED_VALUE"""),"Shooter")</f>
        <v>Shooter</v>
      </c>
      <c r="M570" s="26"/>
    </row>
    <row r="571">
      <c r="A571" s="12" t="str">
        <f>IFERROR(__xludf.DUMMYFUNCTION("""COMPUTED_VALUE"""),"Blizzard Arcade Collection")</f>
        <v>Blizzard Arcade Collection</v>
      </c>
      <c r="B571" s="13" t="str">
        <f>IFERROR(__xludf.DUMMYFUNCTION("""COMPUTED_VALUE"""),"Xbox / PC")</f>
        <v>Xbox / PC</v>
      </c>
      <c r="C571" s="14" t="str">
        <f>IFERROR(__xludf.DUMMYFUNCTION("""COMPUTED_VALUE"""),"Yes")</f>
        <v>Yes</v>
      </c>
      <c r="D571" s="14" t="str">
        <f>IFERROR(__xludf.DUMMYFUNCTION("""COMPUTED_VALUE"""),"Active")</f>
        <v>Active</v>
      </c>
      <c r="E571" s="15">
        <f>IFERROR(__xludf.DUMMYFUNCTION("""COMPUTED_VALUE"""),45741.0)</f>
        <v>45741</v>
      </c>
      <c r="F571" s="16"/>
      <c r="G571" s="18">
        <f>IFERROR(__xludf.DUMMYFUNCTION("""COMPUTED_VALUE"""),18.366666666666667)</f>
        <v>18.36666667</v>
      </c>
      <c r="H571" s="15">
        <f>IFERROR(__xludf.DUMMYFUNCTION("""COMPUTED_VALUE"""),44246.0)</f>
        <v>44246</v>
      </c>
      <c r="I571" s="18">
        <f>IFERROR(__xludf.DUMMYFUNCTION("""COMPUTED_VALUE"""),4.1)</f>
        <v>4.1</v>
      </c>
      <c r="J571" s="22">
        <f>IFERROR(__xludf.DUMMYFUNCTION("""COMPUTED_VALUE"""),75.0)</f>
        <v>75</v>
      </c>
      <c r="K571" s="22">
        <f>IFERROR(__xludf.DUMMYFUNCTION("""COMPUTED_VALUE"""),5.0)</f>
        <v>5</v>
      </c>
      <c r="L571" s="26" t="str">
        <f>IFERROR(__xludf.DUMMYFUNCTION("""COMPUTED_VALUE"""),"Compilation")</f>
        <v>Compilation</v>
      </c>
      <c r="M571" s="26"/>
    </row>
    <row r="572">
      <c r="A572" s="12" t="str">
        <f>IFERROR(__xludf.DUMMYFUNCTION("""COMPUTED_VALUE"""),"Aliens: Dark Descent")</f>
        <v>Aliens: Dark Descent</v>
      </c>
      <c r="B572" s="13" t="str">
        <f>IFERROR(__xludf.DUMMYFUNCTION("""COMPUTED_VALUE"""),"Xbox / PC")</f>
        <v>Xbox / PC</v>
      </c>
      <c r="C572" s="14" t="str">
        <f>IFERROR(__xludf.DUMMYFUNCTION("""COMPUTED_VALUE"""),"Yes")</f>
        <v>Yes</v>
      </c>
      <c r="D572" s="14" t="str">
        <f>IFERROR(__xludf.DUMMYFUNCTION("""COMPUTED_VALUE"""),"Active")</f>
        <v>Active</v>
      </c>
      <c r="E572" s="15">
        <f>IFERROR(__xludf.DUMMYFUNCTION("""COMPUTED_VALUE"""),45623.0)</f>
        <v>45623</v>
      </c>
      <c r="F572" s="16"/>
      <c r="G572" s="18">
        <f>IFERROR(__xludf.DUMMYFUNCTION("""COMPUTED_VALUE"""),22.3)</f>
        <v>22.3</v>
      </c>
      <c r="H572" s="15">
        <f>IFERROR(__xludf.DUMMYFUNCTION("""COMPUTED_VALUE"""),45097.0)</f>
        <v>45097</v>
      </c>
      <c r="I572" s="18">
        <f>IFERROR(__xludf.DUMMYFUNCTION("""COMPUTED_VALUE"""),1.4361111111111111)</f>
        <v>1.436111111</v>
      </c>
      <c r="J572" s="22">
        <f>IFERROR(__xludf.DUMMYFUNCTION("""COMPUTED_VALUE"""),75.0)</f>
        <v>75</v>
      </c>
      <c r="K572" s="22">
        <f>IFERROR(__xludf.DUMMYFUNCTION("""COMPUTED_VALUE"""),24.0)</f>
        <v>24</v>
      </c>
      <c r="L572" s="26" t="str">
        <f>IFERROR(__xludf.DUMMYFUNCTION("""COMPUTED_VALUE"""),"Strategy")</f>
        <v>Strategy</v>
      </c>
      <c r="M572" s="26"/>
    </row>
    <row r="573">
      <c r="A573" s="12" t="str">
        <f>IFERROR(__xludf.DUMMYFUNCTION("""COMPUTED_VALUE"""),"South Park: The Fractured but Whole")</f>
        <v>South Park: The Fractured but Whole</v>
      </c>
      <c r="B573" s="13" t="str">
        <f>IFERROR(__xludf.DUMMYFUNCTION("""COMPUTED_VALUE"""),"Xbox / PC")</f>
        <v>Xbox / PC</v>
      </c>
      <c r="C573" s="14" t="str">
        <f>IFERROR(__xludf.DUMMYFUNCTION("""COMPUTED_VALUE"""),"Yes")</f>
        <v>Yes</v>
      </c>
      <c r="D573" s="14" t="str">
        <f>IFERROR(__xludf.DUMMYFUNCTION("""COMPUTED_VALUE"""),"Active")</f>
        <v>Active</v>
      </c>
      <c r="E573" s="15">
        <f>IFERROR(__xludf.DUMMYFUNCTION("""COMPUTED_VALUE"""),45581.0)</f>
        <v>45581</v>
      </c>
      <c r="F573" s="16"/>
      <c r="G573" s="18">
        <f>IFERROR(__xludf.DUMMYFUNCTION("""COMPUTED_VALUE"""),23.666666666666668)</f>
        <v>23.66666667</v>
      </c>
      <c r="H573" s="15">
        <f>IFERROR(__xludf.DUMMYFUNCTION("""COMPUTED_VALUE"""),43312.0)</f>
        <v>43312</v>
      </c>
      <c r="I573" s="18">
        <f>IFERROR(__xludf.DUMMYFUNCTION("""COMPUTED_VALUE"""),6.211111111111111)</f>
        <v>6.211111111</v>
      </c>
      <c r="J573" s="22">
        <f>IFERROR(__xludf.DUMMYFUNCTION("""COMPUTED_VALUE"""),75.0)</f>
        <v>75</v>
      </c>
      <c r="K573" s="22">
        <f>IFERROR(__xludf.DUMMYFUNCTION("""COMPUTED_VALUE"""),18.0)</f>
        <v>18</v>
      </c>
      <c r="L573" s="26" t="str">
        <f>IFERROR(__xludf.DUMMYFUNCTION("""COMPUTED_VALUE"""),"RPG")</f>
        <v>RPG</v>
      </c>
      <c r="M573" s="26"/>
    </row>
    <row r="574">
      <c r="A574" s="12" t="str">
        <f>IFERROR(__xludf.DUMMYFUNCTION("""COMPUTED_VALUE"""),"Disney Dreamlight Valley: Founder's Edition")</f>
        <v>Disney Dreamlight Valley: Founder's Edition</v>
      </c>
      <c r="B574" s="13" t="str">
        <f>IFERROR(__xludf.DUMMYFUNCTION("""COMPUTED_VALUE"""),"Xbox / PC")</f>
        <v>Xbox / PC</v>
      </c>
      <c r="C574" s="14" t="str">
        <f>IFERROR(__xludf.DUMMYFUNCTION("""COMPUTED_VALUE"""),"Touch Controls")</f>
        <v>Touch Controls</v>
      </c>
      <c r="D574" s="14" t="str">
        <f>IFERROR(__xludf.DUMMYFUNCTION("""COMPUTED_VALUE"""),"Active")</f>
        <v>Active</v>
      </c>
      <c r="E574" s="15">
        <f>IFERROR(__xludf.DUMMYFUNCTION("""COMPUTED_VALUE"""),44810.0)</f>
        <v>44810</v>
      </c>
      <c r="F574" s="16"/>
      <c r="G574" s="18">
        <f>IFERROR(__xludf.DUMMYFUNCTION("""COMPUTED_VALUE"""),49.0)</f>
        <v>49</v>
      </c>
      <c r="H574" s="15">
        <f>IFERROR(__xludf.DUMMYFUNCTION("""COMPUTED_VALUE"""),44810.0)</f>
        <v>44810</v>
      </c>
      <c r="I574" s="18">
        <f>IFERROR(__xludf.DUMMYFUNCTION("""COMPUTED_VALUE"""),0.0)</f>
        <v>0</v>
      </c>
      <c r="J574" s="22">
        <f>IFERROR(__xludf.DUMMYFUNCTION("""COMPUTED_VALUE"""),75.0)</f>
        <v>75</v>
      </c>
      <c r="K574" s="22">
        <f>IFERROR(__xludf.DUMMYFUNCTION("""COMPUTED_VALUE"""),15.5)</f>
        <v>15.5</v>
      </c>
      <c r="L574" s="26" t="str">
        <f>IFERROR(__xludf.DUMMYFUNCTION("""COMPUTED_VALUE"""),"Simulation")</f>
        <v>Simulation</v>
      </c>
      <c r="M574" s="26"/>
    </row>
    <row r="575">
      <c r="A575" s="12" t="str">
        <f>IFERROR(__xludf.DUMMYFUNCTION("""COMPUTED_VALUE"""),"GRID: Legends")</f>
        <v>GRID: Legends</v>
      </c>
      <c r="B575" s="13" t="str">
        <f>IFERROR(__xludf.DUMMYFUNCTION("""COMPUTED_VALUE"""),"Xbox / PC")</f>
        <v>Xbox / PC</v>
      </c>
      <c r="C575" s="14" t="str">
        <f>IFERROR(__xludf.DUMMYFUNCTION("""COMPUTED_VALUE"""),"Yes")</f>
        <v>Yes</v>
      </c>
      <c r="D575" s="14" t="str">
        <f>IFERROR(__xludf.DUMMYFUNCTION("""COMPUTED_VALUE"""),"Active")</f>
        <v>Active</v>
      </c>
      <c r="E575" s="15">
        <f>IFERROR(__xludf.DUMMYFUNCTION("""COMPUTED_VALUE"""),44805.0)</f>
        <v>44805</v>
      </c>
      <c r="F575" s="16"/>
      <c r="G575" s="18">
        <f>IFERROR(__xludf.DUMMYFUNCTION("""COMPUTED_VALUE"""),49.16666666666667)</f>
        <v>49.16666667</v>
      </c>
      <c r="H575" s="15">
        <f>IFERROR(__xludf.DUMMYFUNCTION("""COMPUTED_VALUE"""),44617.0)</f>
        <v>44617</v>
      </c>
      <c r="I575" s="18">
        <f>IFERROR(__xludf.DUMMYFUNCTION("""COMPUTED_VALUE"""),0.5166666666666667)</f>
        <v>0.5166666667</v>
      </c>
      <c r="J575" s="22">
        <f>IFERROR(__xludf.DUMMYFUNCTION("""COMPUTED_VALUE"""),75.0)</f>
        <v>75</v>
      </c>
      <c r="K575" s="22">
        <f>IFERROR(__xludf.DUMMYFUNCTION("""COMPUTED_VALUE"""),6.0)</f>
        <v>6</v>
      </c>
      <c r="L575" s="26" t="str">
        <f>IFERROR(__xludf.DUMMYFUNCTION("""COMPUTED_VALUE"""),"Racing")</f>
        <v>Racing</v>
      </c>
      <c r="M575" s="26"/>
    </row>
    <row r="576">
      <c r="A576" s="12" t="str">
        <f>IFERROR(__xludf.DUMMYFUNCTION("""COMPUTED_VALUE"""),"Need for Speed: Rivals - Complete Edition")</f>
        <v>Need for Speed: Rivals - Complete Edition</v>
      </c>
      <c r="B576" s="13" t="str">
        <f>IFERROR(__xludf.DUMMYFUNCTION("""COMPUTED_VALUE"""),"Xbox / PC")</f>
        <v>Xbox / PC</v>
      </c>
      <c r="C576" s="14"/>
      <c r="D576" s="14" t="str">
        <f>IFERROR(__xludf.DUMMYFUNCTION("""COMPUTED_VALUE"""),"Active")</f>
        <v>Active</v>
      </c>
      <c r="E576" s="15">
        <f>IFERROR(__xludf.DUMMYFUNCTION("""COMPUTED_VALUE"""),44145.0)</f>
        <v>44145</v>
      </c>
      <c r="F576" s="16"/>
      <c r="G576" s="18">
        <f>IFERROR(__xludf.DUMMYFUNCTION("""COMPUTED_VALUE"""),70.86666666666667)</f>
        <v>70.86666667</v>
      </c>
      <c r="H576" s="15">
        <f>IFERROR(__xludf.DUMMYFUNCTION("""COMPUTED_VALUE"""),41593.0)</f>
        <v>41593</v>
      </c>
      <c r="I576" s="18">
        <f>IFERROR(__xludf.DUMMYFUNCTION("""COMPUTED_VALUE"""),6.986111111111111)</f>
        <v>6.986111111</v>
      </c>
      <c r="J576" s="22">
        <f>IFERROR(__xludf.DUMMYFUNCTION("""COMPUTED_VALUE"""),75.0)</f>
        <v>75</v>
      </c>
      <c r="K576" s="22">
        <f>IFERROR(__xludf.DUMMYFUNCTION("""COMPUTED_VALUE"""),13.0)</f>
        <v>13</v>
      </c>
      <c r="L576" s="26" t="str">
        <f>IFERROR(__xludf.DUMMYFUNCTION("""COMPUTED_VALUE"""),"Racing")</f>
        <v>Racing</v>
      </c>
      <c r="M576" s="26"/>
    </row>
    <row r="577">
      <c r="A577" s="12" t="str">
        <f>IFERROR(__xludf.DUMMYFUNCTION("""COMPUTED_VALUE"""),"Star Wars Battlefront: Ultimate Edition")</f>
        <v>Star Wars Battlefront: Ultimate Edition</v>
      </c>
      <c r="B577" s="13" t="str">
        <f>IFERROR(__xludf.DUMMYFUNCTION("""COMPUTED_VALUE"""),"Xbox / PC")</f>
        <v>Xbox / PC</v>
      </c>
      <c r="C577" s="14"/>
      <c r="D577" s="14" t="str">
        <f>IFERROR(__xludf.DUMMYFUNCTION("""COMPUTED_VALUE"""),"Active")</f>
        <v>Active</v>
      </c>
      <c r="E577" s="15">
        <f>IFERROR(__xludf.DUMMYFUNCTION("""COMPUTED_VALUE"""),44145.0)</f>
        <v>44145</v>
      </c>
      <c r="F577" s="16"/>
      <c r="G577" s="18">
        <f>IFERROR(__xludf.DUMMYFUNCTION("""COMPUTED_VALUE"""),70.86666666666667)</f>
        <v>70.86666667</v>
      </c>
      <c r="H577" s="15">
        <f>IFERROR(__xludf.DUMMYFUNCTION("""COMPUTED_VALUE"""),42325.0)</f>
        <v>42325</v>
      </c>
      <c r="I577" s="18">
        <f>IFERROR(__xludf.DUMMYFUNCTION("""COMPUTED_VALUE"""),4.980555555555555)</f>
        <v>4.980555556</v>
      </c>
      <c r="J577" s="22">
        <f>IFERROR(__xludf.DUMMYFUNCTION("""COMPUTED_VALUE"""),75.0)</f>
        <v>75</v>
      </c>
      <c r="K577" s="22">
        <f>IFERROR(__xludf.DUMMYFUNCTION("""COMPUTED_VALUE"""),14.5)</f>
        <v>14.5</v>
      </c>
      <c r="L577" s="26" t="str">
        <f>IFERROR(__xludf.DUMMYFUNCTION("""COMPUTED_VALUE"""),"Shooter")</f>
        <v>Shooter</v>
      </c>
      <c r="M577" s="26" t="str">
        <f>IFERROR(__xludf.DUMMYFUNCTION("""COMPUTED_VALUE"""),"FPS Boost")</f>
        <v>FPS Boost</v>
      </c>
    </row>
    <row r="578">
      <c r="A578" s="12" t="str">
        <f>IFERROR(__xludf.DUMMYFUNCTION("""COMPUTED_VALUE"""),"Unravel")</f>
        <v>Unravel</v>
      </c>
      <c r="B578" s="13" t="str">
        <f>IFERROR(__xludf.DUMMYFUNCTION("""COMPUTED_VALUE"""),"Xbox / PC")</f>
        <v>Xbox / PC</v>
      </c>
      <c r="C578" s="14"/>
      <c r="D578" s="14" t="str">
        <f>IFERROR(__xludf.DUMMYFUNCTION("""COMPUTED_VALUE"""),"Active")</f>
        <v>Active</v>
      </c>
      <c r="E578" s="15">
        <f>IFERROR(__xludf.DUMMYFUNCTION("""COMPUTED_VALUE"""),44145.0)</f>
        <v>44145</v>
      </c>
      <c r="F578" s="16"/>
      <c r="G578" s="18">
        <f>IFERROR(__xludf.DUMMYFUNCTION("""COMPUTED_VALUE"""),70.86666666666667)</f>
        <v>70.86666667</v>
      </c>
      <c r="H578" s="15">
        <f>IFERROR(__xludf.DUMMYFUNCTION("""COMPUTED_VALUE"""),42409.0)</f>
        <v>42409</v>
      </c>
      <c r="I578" s="18">
        <f>IFERROR(__xludf.DUMMYFUNCTION("""COMPUTED_VALUE"""),4.752777777777778)</f>
        <v>4.752777778</v>
      </c>
      <c r="J578" s="22">
        <f>IFERROR(__xludf.DUMMYFUNCTION("""COMPUTED_VALUE"""),75.0)</f>
        <v>75</v>
      </c>
      <c r="K578" s="22">
        <f>IFERROR(__xludf.DUMMYFUNCTION("""COMPUTED_VALUE"""),6.0)</f>
        <v>6</v>
      </c>
      <c r="L578" s="26" t="str">
        <f>IFERROR(__xludf.DUMMYFUNCTION("""COMPUTED_VALUE"""),"Platformer")</f>
        <v>Platformer</v>
      </c>
      <c r="M578" s="26"/>
    </row>
    <row r="579">
      <c r="A579" s="12" t="str">
        <f>IFERROR(__xludf.DUMMYFUNCTION("""COMPUTED_VALUE"""),"de Blob 2")</f>
        <v>de Blob 2</v>
      </c>
      <c r="B579" s="13" t="str">
        <f>IFERROR(__xludf.DUMMYFUNCTION("""COMPUTED_VALUE"""),"XB360/OG Xbox")</f>
        <v>XB360/OG Xbox</v>
      </c>
      <c r="C579" s="14"/>
      <c r="D579" s="14" t="str">
        <f>IFERROR(__xludf.DUMMYFUNCTION("""COMPUTED_VALUE"""),"GwG Permanent")</f>
        <v>GwG Permanent</v>
      </c>
      <c r="E579" s="15">
        <f>IFERROR(__xludf.DUMMYFUNCTION("""COMPUTED_VALUE"""),44075.0)</f>
        <v>44075</v>
      </c>
      <c r="F579" s="16">
        <f>IFERROR(__xludf.DUMMYFUNCTION("""COMPUTED_VALUE"""),44089.0)</f>
        <v>44089</v>
      </c>
      <c r="G579" s="18">
        <f>IFERROR(__xludf.DUMMYFUNCTION("""COMPUTED_VALUE"""),0.4666666666666667)</f>
        <v>0.4666666667</v>
      </c>
      <c r="H579" s="15">
        <f>IFERROR(__xludf.DUMMYFUNCTION("""COMPUTED_VALUE"""),40596.0)</f>
        <v>40596</v>
      </c>
      <c r="I579" s="18">
        <f>IFERROR(__xludf.DUMMYFUNCTION("""COMPUTED_VALUE"""),9.525)</f>
        <v>9.525</v>
      </c>
      <c r="J579" s="22">
        <f>IFERROR(__xludf.DUMMYFUNCTION("""COMPUTED_VALUE"""),75.0)</f>
        <v>75</v>
      </c>
      <c r="K579" s="22">
        <f>IFERROR(__xludf.DUMMYFUNCTION("""COMPUTED_VALUE"""),11.0)</f>
        <v>11</v>
      </c>
      <c r="L579" s="26" t="str">
        <f>IFERROR(__xludf.DUMMYFUNCTION("""COMPUTED_VALUE"""),"Action-Adventure")</f>
        <v>Action-Adventure</v>
      </c>
      <c r="M579" s="26"/>
    </row>
    <row r="580">
      <c r="A580" s="12" t="str">
        <f>IFERROR(__xludf.DUMMYFUNCTION("""COMPUTED_VALUE"""),"Star Wars Battlefront")</f>
        <v>Star Wars Battlefront</v>
      </c>
      <c r="B580" s="13" t="str">
        <f>IFERROR(__xludf.DUMMYFUNCTION("""COMPUTED_VALUE"""),"XB360/OG Xbox")</f>
        <v>XB360/OG Xbox</v>
      </c>
      <c r="C580" s="14"/>
      <c r="D580" s="14" t="str">
        <f>IFERROR(__xludf.DUMMYFUNCTION("""COMPUTED_VALUE"""),"GwG Permanent")</f>
        <v>GwG Permanent</v>
      </c>
      <c r="E580" s="15">
        <f>IFERROR(__xludf.DUMMYFUNCTION("""COMPUTED_VALUE"""),43877.0)</f>
        <v>43877</v>
      </c>
      <c r="F580" s="16">
        <f>IFERROR(__xludf.DUMMYFUNCTION("""COMPUTED_VALUE"""),43890.0)</f>
        <v>43890</v>
      </c>
      <c r="G580" s="18">
        <f>IFERROR(__xludf.DUMMYFUNCTION("""COMPUTED_VALUE"""),0.4333333333333333)</f>
        <v>0.4333333333</v>
      </c>
      <c r="H580" s="15">
        <f>IFERROR(__xludf.DUMMYFUNCTION("""COMPUTED_VALUE"""),42325.0)</f>
        <v>42325</v>
      </c>
      <c r="I580" s="18">
        <f>IFERROR(__xludf.DUMMYFUNCTION("""COMPUTED_VALUE"""),4.247222222222222)</f>
        <v>4.247222222</v>
      </c>
      <c r="J580" s="22">
        <f>IFERROR(__xludf.DUMMYFUNCTION("""COMPUTED_VALUE"""),75.0)</f>
        <v>75</v>
      </c>
      <c r="K580" s="22">
        <f>IFERROR(__xludf.DUMMYFUNCTION("""COMPUTED_VALUE"""),7.0)</f>
        <v>7</v>
      </c>
      <c r="L580" s="26" t="str">
        <f>IFERROR(__xludf.DUMMYFUNCTION("""COMPUTED_VALUE"""),"Shooter")</f>
        <v>Shooter</v>
      </c>
      <c r="M580" s="26" t="str">
        <f>IFERROR(__xludf.DUMMYFUNCTION("""COMPUTED_VALUE"""),"Enhanced")</f>
        <v>Enhanced</v>
      </c>
    </row>
    <row r="581">
      <c r="A581" s="12" t="str">
        <f>IFERROR(__xludf.DUMMYFUNCTION("""COMPUTED_VALUE"""),"Toy Story 3")</f>
        <v>Toy Story 3</v>
      </c>
      <c r="B581" s="13" t="str">
        <f>IFERROR(__xludf.DUMMYFUNCTION("""COMPUTED_VALUE"""),"XB360/OG Xbox")</f>
        <v>XB360/OG Xbox</v>
      </c>
      <c r="C581" s="14"/>
      <c r="D581" s="14" t="str">
        <f>IFERROR(__xludf.DUMMYFUNCTION("""COMPUTED_VALUE"""),"GwG Permanent")</f>
        <v>GwG Permanent</v>
      </c>
      <c r="E581" s="15">
        <f>IFERROR(__xludf.DUMMYFUNCTION("""COMPUTED_VALUE"""),43800.0)</f>
        <v>43800</v>
      </c>
      <c r="F581" s="16">
        <f>IFERROR(__xludf.DUMMYFUNCTION("""COMPUTED_VALUE"""),43814.0)</f>
        <v>43814</v>
      </c>
      <c r="G581" s="18">
        <f>IFERROR(__xludf.DUMMYFUNCTION("""COMPUTED_VALUE"""),0.4666666666666667)</f>
        <v>0.4666666667</v>
      </c>
      <c r="H581" s="15">
        <f>IFERROR(__xludf.DUMMYFUNCTION("""COMPUTED_VALUE"""),40344.0)</f>
        <v>40344</v>
      </c>
      <c r="I581" s="18">
        <f>IFERROR(__xludf.DUMMYFUNCTION("""COMPUTED_VALUE"""),9.46111111111111)</f>
        <v>9.461111111</v>
      </c>
      <c r="J581" s="22">
        <f>IFERROR(__xludf.DUMMYFUNCTION("""COMPUTED_VALUE"""),75.0)</f>
        <v>75</v>
      </c>
      <c r="K581" s="22">
        <f>IFERROR(__xludf.DUMMYFUNCTION("""COMPUTED_VALUE"""),4.0)</f>
        <v>4</v>
      </c>
      <c r="L581" s="26" t="str">
        <f>IFERROR(__xludf.DUMMYFUNCTION("""COMPUTED_VALUE"""),"Action-Adventure")</f>
        <v>Action-Adventure</v>
      </c>
      <c r="M581" s="26"/>
    </row>
    <row r="582">
      <c r="A582" s="12" t="str">
        <f>IFERROR(__xludf.DUMMYFUNCTION("""COMPUTED_VALUE"""),"Comic Jumper")</f>
        <v>Comic Jumper</v>
      </c>
      <c r="B582" s="13" t="str">
        <f>IFERROR(__xludf.DUMMYFUNCTION("""COMPUTED_VALUE"""),"XB360/OG Xbox")</f>
        <v>XB360/OG Xbox</v>
      </c>
      <c r="C582" s="14"/>
      <c r="D582" s="14" t="str">
        <f>IFERROR(__xludf.DUMMYFUNCTION("""COMPUTED_VALUE"""),"GwG Permanent")</f>
        <v>GwG Permanent</v>
      </c>
      <c r="E582" s="15">
        <f>IFERROR(__xludf.DUMMYFUNCTION("""COMPUTED_VALUE"""),43601.0)</f>
        <v>43601</v>
      </c>
      <c r="F582" s="16">
        <f>IFERROR(__xludf.DUMMYFUNCTION("""COMPUTED_VALUE"""),43616.0)</f>
        <v>43616</v>
      </c>
      <c r="G582" s="18">
        <f>IFERROR(__xludf.DUMMYFUNCTION("""COMPUTED_VALUE"""),0.4666666666666667)</f>
        <v>0.4666666667</v>
      </c>
      <c r="H582" s="15">
        <f>IFERROR(__xludf.DUMMYFUNCTION("""COMPUTED_VALUE"""),41207.0)</f>
        <v>41207</v>
      </c>
      <c r="I582" s="18">
        <f>IFERROR(__xludf.DUMMYFUNCTION("""COMPUTED_VALUE"""),6.558333333333334)</f>
        <v>6.558333333</v>
      </c>
      <c r="J582" s="22">
        <f>IFERROR(__xludf.DUMMYFUNCTION("""COMPUTED_VALUE"""),75.0)</f>
        <v>75</v>
      </c>
      <c r="K582" s="22">
        <f>IFERROR(__xludf.DUMMYFUNCTION("""COMPUTED_VALUE"""),4.0)</f>
        <v>4</v>
      </c>
      <c r="L582" s="26" t="str">
        <f>IFERROR(__xludf.DUMMYFUNCTION("""COMPUTED_VALUE"""),"Action-Adventure")</f>
        <v>Action-Adventure</v>
      </c>
      <c r="M582" s="26"/>
    </row>
    <row r="583">
      <c r="A583" s="12" t="str">
        <f>IFERROR(__xludf.DUMMYFUNCTION("""COMPUTED_VALUE"""),"Sega Vintage Collection: Monster World")</f>
        <v>Sega Vintage Collection: Monster World</v>
      </c>
      <c r="B583" s="13" t="str">
        <f>IFERROR(__xludf.DUMMYFUNCTION("""COMPUTED_VALUE"""),"XB360/OG Xbox")</f>
        <v>XB360/OG Xbox</v>
      </c>
      <c r="C583" s="14"/>
      <c r="D583" s="14" t="str">
        <f>IFERROR(__xludf.DUMMYFUNCTION("""COMPUTED_VALUE"""),"GwG Permanent")</f>
        <v>GwG Permanent</v>
      </c>
      <c r="E583" s="15">
        <f>IFERROR(__xludf.DUMMYFUNCTION("""COMPUTED_VALUE"""),43359.0)</f>
        <v>43359</v>
      </c>
      <c r="F583" s="16">
        <f>IFERROR(__xludf.DUMMYFUNCTION("""COMPUTED_VALUE"""),43373.0)</f>
        <v>43373</v>
      </c>
      <c r="G583" s="18">
        <f>IFERROR(__xludf.DUMMYFUNCTION("""COMPUTED_VALUE"""),0.4666666666666667)</f>
        <v>0.4666666667</v>
      </c>
      <c r="H583" s="15">
        <f>IFERROR(__xludf.DUMMYFUNCTION("""COMPUTED_VALUE"""),41744.0)</f>
        <v>41744</v>
      </c>
      <c r="I583" s="18">
        <f>IFERROR(__xludf.DUMMYFUNCTION("""COMPUTED_VALUE"""),4.419444444444444)</f>
        <v>4.419444444</v>
      </c>
      <c r="J583" s="22">
        <f>IFERROR(__xludf.DUMMYFUNCTION("""COMPUTED_VALUE"""),75.0)</f>
        <v>75</v>
      </c>
      <c r="K583" s="22">
        <f>IFERROR(__xludf.DUMMYFUNCTION("""COMPUTED_VALUE"""),5.0)</f>
        <v>5</v>
      </c>
      <c r="L583" s="26" t="str">
        <f>IFERROR(__xludf.DUMMYFUNCTION("""COMPUTED_VALUE"""),"Compilation")</f>
        <v>Compilation</v>
      </c>
      <c r="M583" s="26"/>
    </row>
    <row r="584">
      <c r="A584" s="12" t="str">
        <f>IFERROR(__xludf.DUMMYFUNCTION("""COMPUTED_VALUE"""),"Magic: The Gathering - Duels of the Planeswalkers 2013")</f>
        <v>Magic: The Gathering - Duels of the Planeswalkers 2013</v>
      </c>
      <c r="B584" s="13" t="str">
        <f>IFERROR(__xludf.DUMMYFUNCTION("""COMPUTED_VALUE"""),"XB360/OG Xbox")</f>
        <v>XB360/OG Xbox</v>
      </c>
      <c r="C584" s="14"/>
      <c r="D584" s="14" t="str">
        <f>IFERROR(__xludf.DUMMYFUNCTION("""COMPUTED_VALUE"""),"GwG Permanent")</f>
        <v>GwG Permanent</v>
      </c>
      <c r="E584" s="15">
        <f>IFERROR(__xludf.DUMMYFUNCTION("""COMPUTED_VALUE"""),41518.0)</f>
        <v>41518</v>
      </c>
      <c r="F584" s="16">
        <f>IFERROR(__xludf.DUMMYFUNCTION("""COMPUTED_VALUE"""),41532.0)</f>
        <v>41532</v>
      </c>
      <c r="G584" s="18">
        <f>IFERROR(__xludf.DUMMYFUNCTION("""COMPUTED_VALUE"""),0.4666666666666667)</f>
        <v>0.4666666667</v>
      </c>
      <c r="H584" s="15">
        <f>IFERROR(__xludf.DUMMYFUNCTION("""COMPUTED_VALUE"""),41109.0)</f>
        <v>41109</v>
      </c>
      <c r="I584" s="18">
        <f>IFERROR(__xludf.DUMMYFUNCTION("""COMPUTED_VALUE"""),1.1166666666666667)</f>
        <v>1.116666667</v>
      </c>
      <c r="J584" s="22">
        <f>IFERROR(__xludf.DUMMYFUNCTION("""COMPUTED_VALUE"""),75.0)</f>
        <v>75</v>
      </c>
      <c r="K584" s="22">
        <f>IFERROR(__xludf.DUMMYFUNCTION("""COMPUTED_VALUE"""),10.0)</f>
        <v>10</v>
      </c>
      <c r="L584" s="26" t="str">
        <f>IFERROR(__xludf.DUMMYFUNCTION("""COMPUTED_VALUE"""),"Card Game")</f>
        <v>Card Game</v>
      </c>
      <c r="M584" s="26"/>
    </row>
    <row r="585">
      <c r="A585" s="12" t="str">
        <f>IFERROR(__xludf.DUMMYFUNCTION("""COMPUTED_VALUE"""),"Blood Dungeon")</f>
        <v>Blood Dungeon</v>
      </c>
      <c r="B585" s="13" t="str">
        <f>IFERROR(__xludf.DUMMYFUNCTION("""COMPUTED_VALUE"""),"Xbox / PC")</f>
        <v>Xbox / PC</v>
      </c>
      <c r="C585" s="14" t="str">
        <f>IFERROR(__xludf.DUMMYFUNCTION("""COMPUTED_VALUE"""),"Yes")</f>
        <v>Yes</v>
      </c>
      <c r="D585" s="14" t="str">
        <f>IFERROR(__xludf.DUMMYFUNCTION("""COMPUTED_VALUE"""),"Active")</f>
        <v>Active</v>
      </c>
      <c r="E585" s="15">
        <f>IFERROR(__xludf.DUMMYFUNCTION("""COMPUTED_VALUE"""),46259.0)</f>
        <v>46259</v>
      </c>
      <c r="F585" s="16"/>
      <c r="G585" s="18">
        <f>IFERROR(__xludf.DUMMYFUNCTION("""COMPUTED_VALUE"""),1.3666666666666667)</f>
        <v>1.366666667</v>
      </c>
      <c r="H585" s="15">
        <f>IFERROR(__xludf.DUMMYFUNCTION("""COMPUTED_VALUE"""),46259.0)</f>
        <v>46259</v>
      </c>
      <c r="I585" s="18">
        <f>IFERROR(__xludf.DUMMYFUNCTION("""COMPUTED_VALUE"""),0.0)</f>
        <v>0</v>
      </c>
      <c r="J585" s="22">
        <f>IFERROR(__xludf.DUMMYFUNCTION("""COMPUTED_VALUE"""),74.0)</f>
        <v>74</v>
      </c>
      <c r="K585" s="22">
        <f>IFERROR(__xludf.DUMMYFUNCTION("""COMPUTED_VALUE"""),2.0)</f>
        <v>2</v>
      </c>
      <c r="L585" s="26" t="str">
        <f>IFERROR(__xludf.DUMMYFUNCTION("""COMPUTED_VALUE"""),"Action-Adventure")</f>
        <v>Action-Adventure</v>
      </c>
      <c r="M585" s="26" t="str">
        <f>IFERROR(__xludf.DUMMYFUNCTION("""COMPUTED_VALUE"""),"Exclusive")</f>
        <v>Exclusive</v>
      </c>
    </row>
    <row r="586">
      <c r="A586" s="12" t="str">
        <f>IFERROR(__xludf.DUMMYFUNCTION("""COMPUTED_VALUE"""),"The Thaumaturge")</f>
        <v>The Thaumaturge</v>
      </c>
      <c r="B586" s="13" t="str">
        <f>IFERROR(__xludf.DUMMYFUNCTION("""COMPUTED_VALUE"""),"Xbox / PC")</f>
        <v>Xbox / PC</v>
      </c>
      <c r="C586" s="14" t="str">
        <f>IFERROR(__xludf.DUMMYFUNCTION("""COMPUTED_VALUE"""),"Yes")</f>
        <v>Yes</v>
      </c>
      <c r="D586" s="14" t="str">
        <f>IFERROR(__xludf.DUMMYFUNCTION("""COMPUTED_VALUE"""),"Active")</f>
        <v>Active</v>
      </c>
      <c r="E586" s="15">
        <f>IFERROR(__xludf.DUMMYFUNCTION("""COMPUTED_VALUE"""),46126.0)</f>
        <v>46126</v>
      </c>
      <c r="F586" s="16"/>
      <c r="G586" s="18">
        <f>IFERROR(__xludf.DUMMYFUNCTION("""COMPUTED_VALUE"""),5.733333333333333)</f>
        <v>5.733333333</v>
      </c>
      <c r="H586" s="15">
        <f>IFERROR(__xludf.DUMMYFUNCTION("""COMPUTED_VALUE"""),45355.0)</f>
        <v>45355</v>
      </c>
      <c r="I586" s="18">
        <f>IFERROR(__xludf.DUMMYFUNCTION("""COMPUTED_VALUE"""),2.111111111111111)</f>
        <v>2.111111111</v>
      </c>
      <c r="J586" s="22">
        <f>IFERROR(__xludf.DUMMYFUNCTION("""COMPUTED_VALUE"""),74.0)</f>
        <v>74</v>
      </c>
      <c r="K586" s="22">
        <f>IFERROR(__xludf.DUMMYFUNCTION("""COMPUTED_VALUE"""),16.0)</f>
        <v>16</v>
      </c>
      <c r="L586" s="26" t="str">
        <f>IFERROR(__xludf.DUMMYFUNCTION("""COMPUTED_VALUE"""),"RPG")</f>
        <v>RPG</v>
      </c>
      <c r="M586" s="26" t="str">
        <f>IFERROR(__xludf.DUMMYFUNCTION("""COMPUTED_VALUE"""),"Exclusive")</f>
        <v>Exclusive</v>
      </c>
    </row>
    <row r="587">
      <c r="A587" s="12" t="str">
        <f>IFERROR(__xludf.DUMMYFUNCTION("""COMPUTED_VALUE"""),"Lost Records: Bloom &amp; Rage")</f>
        <v>Lost Records: Bloom &amp; Rage</v>
      </c>
      <c r="B587" s="13" t="str">
        <f>IFERROR(__xludf.DUMMYFUNCTION("""COMPUTED_VALUE"""),"Xbox / PC")</f>
        <v>Xbox / PC</v>
      </c>
      <c r="C587" s="14" t="str">
        <f>IFERROR(__xludf.DUMMYFUNCTION("""COMPUTED_VALUE"""),"Yes")</f>
        <v>Yes</v>
      </c>
      <c r="D587" s="14" t="str">
        <f>IFERROR(__xludf.DUMMYFUNCTION("""COMPUTED_VALUE"""),"Active")</f>
        <v>Active</v>
      </c>
      <c r="E587" s="15">
        <f>IFERROR(__xludf.DUMMYFUNCTION("""COMPUTED_VALUE"""),45993.0)</f>
        <v>45993</v>
      </c>
      <c r="F587" s="16"/>
      <c r="G587" s="18">
        <f>IFERROR(__xludf.DUMMYFUNCTION("""COMPUTED_VALUE"""),10.133333333333333)</f>
        <v>10.13333333</v>
      </c>
      <c r="H587" s="15">
        <f>IFERROR(__xludf.DUMMYFUNCTION("""COMPUTED_VALUE"""),45706.0)</f>
        <v>45706</v>
      </c>
      <c r="I587" s="18">
        <f>IFERROR(__xludf.DUMMYFUNCTION("""COMPUTED_VALUE"""),0.7888888888888889)</f>
        <v>0.7888888889</v>
      </c>
      <c r="J587" s="22">
        <f>IFERROR(__xludf.DUMMYFUNCTION("""COMPUTED_VALUE"""),74.0)</f>
        <v>74</v>
      </c>
      <c r="K587" s="22">
        <f>IFERROR(__xludf.DUMMYFUNCTION("""COMPUTED_VALUE"""),11.0)</f>
        <v>11</v>
      </c>
      <c r="L587" s="26" t="str">
        <f>IFERROR(__xludf.DUMMYFUNCTION("""COMPUTED_VALUE"""),"Action-Adventure")</f>
        <v>Action-Adventure</v>
      </c>
      <c r="M587" s="26" t="str">
        <f>IFERROR(__xludf.DUMMYFUNCTION("""COMPUTED_VALUE"""),"Exclusive")</f>
        <v>Exclusive</v>
      </c>
    </row>
    <row r="588">
      <c r="A588" s="12" t="str">
        <f>IFERROR(__xludf.DUMMYFUNCTION("""COMPUTED_VALUE"""),"Lara Croft and the Temple of Osiris")</f>
        <v>Lara Croft and the Temple of Osiris</v>
      </c>
      <c r="B588" s="13" t="str">
        <f>IFERROR(__xludf.DUMMYFUNCTION("""COMPUTED_VALUE"""),"Xbox / PC")</f>
        <v>Xbox / PC</v>
      </c>
      <c r="C588" s="14" t="str">
        <f>IFERROR(__xludf.DUMMYFUNCTION("""COMPUTED_VALUE"""),"Yes")</f>
        <v>Yes</v>
      </c>
      <c r="D588" s="14" t="str">
        <f>IFERROR(__xludf.DUMMYFUNCTION("""COMPUTED_VALUE"""),"Active")</f>
        <v>Active</v>
      </c>
      <c r="E588" s="15">
        <f>IFERROR(__xludf.DUMMYFUNCTION("""COMPUTED_VALUE"""),45972.0)</f>
        <v>45972</v>
      </c>
      <c r="F588" s="16"/>
      <c r="G588" s="18">
        <f>IFERROR(__xludf.DUMMYFUNCTION("""COMPUTED_VALUE"""),10.833333333333334)</f>
        <v>10.83333333</v>
      </c>
      <c r="H588" s="15">
        <f>IFERROR(__xludf.DUMMYFUNCTION("""COMPUTED_VALUE"""),41982.0)</f>
        <v>41982</v>
      </c>
      <c r="I588" s="18">
        <f>IFERROR(__xludf.DUMMYFUNCTION("""COMPUTED_VALUE"""),10.922222222222222)</f>
        <v>10.92222222</v>
      </c>
      <c r="J588" s="22">
        <f>IFERROR(__xludf.DUMMYFUNCTION("""COMPUTED_VALUE"""),74.0)</f>
        <v>74</v>
      </c>
      <c r="K588" s="22">
        <f>IFERROR(__xludf.DUMMYFUNCTION("""COMPUTED_VALUE"""),5.0)</f>
        <v>5</v>
      </c>
      <c r="L588" s="26" t="str">
        <f>IFERROR(__xludf.DUMMYFUNCTION("""COMPUTED_VALUE"""),"Action-Adventure")</f>
        <v>Action-Adventure</v>
      </c>
      <c r="M588" s="26"/>
    </row>
    <row r="589">
      <c r="A589" s="12" t="str">
        <f>IFERROR(__xludf.DUMMYFUNCTION("""COMPUTED_VALUE"""),"Bounty Star: The Morose Tale of Graveyard Clem")</f>
        <v>Bounty Star: The Morose Tale of Graveyard Clem</v>
      </c>
      <c r="B589" s="13" t="str">
        <f>IFERROR(__xludf.DUMMYFUNCTION("""COMPUTED_VALUE"""),"Xbox / PC")</f>
        <v>Xbox / PC</v>
      </c>
      <c r="C589" s="14" t="str">
        <f>IFERROR(__xludf.DUMMYFUNCTION("""COMPUTED_VALUE"""),"Yes")</f>
        <v>Yes</v>
      </c>
      <c r="D589" s="14" t="str">
        <f>IFERROR(__xludf.DUMMYFUNCTION("""COMPUTED_VALUE"""),"Active")</f>
        <v>Active</v>
      </c>
      <c r="E589" s="15">
        <f>IFERROR(__xludf.DUMMYFUNCTION("""COMPUTED_VALUE"""),45953.0)</f>
        <v>45953</v>
      </c>
      <c r="F589" s="16"/>
      <c r="G589" s="18">
        <f>IFERROR(__xludf.DUMMYFUNCTION("""COMPUTED_VALUE"""),11.433333333333334)</f>
        <v>11.43333333</v>
      </c>
      <c r="H589" s="15">
        <f>IFERROR(__xludf.DUMMYFUNCTION("""COMPUTED_VALUE"""),45953.0)</f>
        <v>45953</v>
      </c>
      <c r="I589" s="18">
        <f>IFERROR(__xludf.DUMMYFUNCTION("""COMPUTED_VALUE"""),0.0)</f>
        <v>0</v>
      </c>
      <c r="J589" s="22">
        <f>IFERROR(__xludf.DUMMYFUNCTION("""COMPUTED_VALUE"""),74.0)</f>
        <v>74</v>
      </c>
      <c r="K589" s="22">
        <f>IFERROR(__xludf.DUMMYFUNCTION("""COMPUTED_VALUE"""),13.0)</f>
        <v>13</v>
      </c>
      <c r="L589" s="26" t="str">
        <f>IFERROR(__xludf.DUMMYFUNCTION("""COMPUTED_VALUE"""),"Shooter")</f>
        <v>Shooter</v>
      </c>
      <c r="M589" s="26" t="str">
        <f>IFERROR(__xludf.DUMMYFUNCTION("""COMPUTED_VALUE"""),"Exclusive")</f>
        <v>Exclusive</v>
      </c>
    </row>
    <row r="590">
      <c r="A590" s="12" t="str">
        <f>IFERROR(__xludf.DUMMYFUNCTION("""COMPUTED_VALUE"""),"Monopoly (2024)")</f>
        <v>Monopoly (2024)</v>
      </c>
      <c r="B590" s="13" t="str">
        <f>IFERROR(__xludf.DUMMYFUNCTION("""COMPUTED_VALUE"""),"Xbox / PC")</f>
        <v>Xbox / PC</v>
      </c>
      <c r="C590" s="14" t="str">
        <f>IFERROR(__xludf.DUMMYFUNCTION("""COMPUTED_VALUE"""),"Yes")</f>
        <v>Yes</v>
      </c>
      <c r="D590" s="14" t="str">
        <f>IFERROR(__xludf.DUMMYFUNCTION("""COMPUTED_VALUE"""),"Active")</f>
        <v>Active</v>
      </c>
      <c r="E590" s="15">
        <f>IFERROR(__xludf.DUMMYFUNCTION("""COMPUTED_VALUE"""),45931.0)</f>
        <v>45931</v>
      </c>
      <c r="F590" s="16"/>
      <c r="G590" s="18">
        <f>IFERROR(__xludf.DUMMYFUNCTION("""COMPUTED_VALUE"""),12.166666666666666)</f>
        <v>12.16666667</v>
      </c>
      <c r="H590" s="15">
        <f>IFERROR(__xludf.DUMMYFUNCTION("""COMPUTED_VALUE"""),45561.0)</f>
        <v>45561</v>
      </c>
      <c r="I590" s="18">
        <f>IFERROR(__xludf.DUMMYFUNCTION("""COMPUTED_VALUE"""),1.0138888888888888)</f>
        <v>1.013888889</v>
      </c>
      <c r="J590" s="22">
        <f>IFERROR(__xludf.DUMMYFUNCTION("""COMPUTED_VALUE"""),74.0)</f>
        <v>74</v>
      </c>
      <c r="K590" s="22">
        <f>IFERROR(__xludf.DUMMYFUNCTION("""COMPUTED_VALUE"""),14.0)</f>
        <v>14</v>
      </c>
      <c r="L590" s="26" t="str">
        <f>IFERROR(__xludf.DUMMYFUNCTION("""COMPUTED_VALUE"""),"Board")</f>
        <v>Board</v>
      </c>
      <c r="M590" s="26"/>
    </row>
    <row r="591">
      <c r="A591" s="12" t="str">
        <f>IFERROR(__xludf.DUMMYFUNCTION("""COMPUTED_VALUE"""),"Starlink: Battle for Atlas")</f>
        <v>Starlink: Battle for Atlas</v>
      </c>
      <c r="B591" s="13" t="str">
        <f>IFERROR(__xludf.DUMMYFUNCTION("""COMPUTED_VALUE"""),"Xbox / PC")</f>
        <v>Xbox / PC</v>
      </c>
      <c r="C591" s="14" t="str">
        <f>IFERROR(__xludf.DUMMYFUNCTION("""COMPUTED_VALUE"""),"Yes")</f>
        <v>Yes</v>
      </c>
      <c r="D591" s="14" t="str">
        <f>IFERROR(__xludf.DUMMYFUNCTION("""COMPUTED_VALUE"""),"Active")</f>
        <v>Active</v>
      </c>
      <c r="E591" s="15">
        <f>IFERROR(__xludf.DUMMYFUNCTION("""COMPUTED_VALUE"""),45931.0)</f>
        <v>45931</v>
      </c>
      <c r="F591" s="16"/>
      <c r="G591" s="18">
        <f>IFERROR(__xludf.DUMMYFUNCTION("""COMPUTED_VALUE"""),12.166666666666666)</f>
        <v>12.16666667</v>
      </c>
      <c r="H591" s="15">
        <f>IFERROR(__xludf.DUMMYFUNCTION("""COMPUTED_VALUE"""),43389.0)</f>
        <v>43389</v>
      </c>
      <c r="I591" s="18">
        <f>IFERROR(__xludf.DUMMYFUNCTION("""COMPUTED_VALUE"""),6.958333333333333)</f>
        <v>6.958333333</v>
      </c>
      <c r="J591" s="22">
        <f>IFERROR(__xludf.DUMMYFUNCTION("""COMPUTED_VALUE"""),74.0)</f>
        <v>74</v>
      </c>
      <c r="K591" s="22">
        <f>IFERROR(__xludf.DUMMYFUNCTION("""COMPUTED_VALUE"""),15.0)</f>
        <v>15</v>
      </c>
      <c r="L591" s="26" t="str">
        <f>IFERROR(__xludf.DUMMYFUNCTION("""COMPUTED_VALUE"""),"Simulation")</f>
        <v>Simulation</v>
      </c>
      <c r="M591" s="26"/>
    </row>
    <row r="592">
      <c r="A592" s="12" t="str">
        <f>IFERROR(__xludf.DUMMYFUNCTION("""COMPUTED_VALUE"""),"WUCHANG: Fallen Feathers")</f>
        <v>WUCHANG: Fallen Feathers</v>
      </c>
      <c r="B592" s="13" t="str">
        <f>IFERROR(__xludf.DUMMYFUNCTION("""COMPUTED_VALUE"""),"Xbox / PC")</f>
        <v>Xbox / PC</v>
      </c>
      <c r="C592" s="14" t="str">
        <f>IFERROR(__xludf.DUMMYFUNCTION("""COMPUTED_VALUE"""),"Yes")</f>
        <v>Yes</v>
      </c>
      <c r="D592" s="14" t="str">
        <f>IFERROR(__xludf.DUMMYFUNCTION("""COMPUTED_VALUE"""),"Active")</f>
        <v>Active</v>
      </c>
      <c r="E592" s="15">
        <f>IFERROR(__xludf.DUMMYFUNCTION("""COMPUTED_VALUE"""),45862.0)</f>
        <v>45862</v>
      </c>
      <c r="F592" s="16"/>
      <c r="G592" s="18">
        <f>IFERROR(__xludf.DUMMYFUNCTION("""COMPUTED_VALUE"""),14.399999999999999)</f>
        <v>14.4</v>
      </c>
      <c r="H592" s="15">
        <f>IFERROR(__xludf.DUMMYFUNCTION("""COMPUTED_VALUE"""),45862.0)</f>
        <v>45862</v>
      </c>
      <c r="I592" s="18">
        <f>IFERROR(__xludf.DUMMYFUNCTION("""COMPUTED_VALUE"""),0.0)</f>
        <v>0</v>
      </c>
      <c r="J592" s="22">
        <f>IFERROR(__xludf.DUMMYFUNCTION("""COMPUTED_VALUE"""),74.0)</f>
        <v>74</v>
      </c>
      <c r="K592" s="22">
        <f>IFERROR(__xludf.DUMMYFUNCTION("""COMPUTED_VALUE"""),32.0)</f>
        <v>32</v>
      </c>
      <c r="L592" s="26" t="str">
        <f>IFERROR(__xludf.DUMMYFUNCTION("""COMPUTED_VALUE"""),"RPG")</f>
        <v>RPG</v>
      </c>
      <c r="M592" s="26" t="str">
        <f>IFERROR(__xludf.DUMMYFUNCTION("""COMPUTED_VALUE"""),"Exclusive")</f>
        <v>Exclusive</v>
      </c>
    </row>
    <row r="593">
      <c r="A593" s="12" t="str">
        <f>IFERROR(__xludf.DUMMYFUNCTION("""COMPUTED_VALUE"""),"Fathom")</f>
        <v>Fathom</v>
      </c>
      <c r="B593" s="13" t="str">
        <f>IFERROR(__xludf.DUMMYFUNCTION("""COMPUTED_VALUE"""),"Xbox / PC")</f>
        <v>Xbox / PC</v>
      </c>
      <c r="C593" s="14" t="str">
        <f>IFERROR(__xludf.DUMMYFUNCTION("""COMPUTED_VALUE"""),"Yes")</f>
        <v>Yes</v>
      </c>
      <c r="D593" s="14" t="str">
        <f>IFERROR(__xludf.DUMMYFUNCTION("""COMPUTED_VALUE"""),"Active")</f>
        <v>Active</v>
      </c>
      <c r="E593" s="15">
        <f>IFERROR(__xludf.DUMMYFUNCTION("""COMPUTED_VALUE"""),45798.0)</f>
        <v>45798</v>
      </c>
      <c r="F593" s="16"/>
      <c r="G593" s="18">
        <f>IFERROR(__xludf.DUMMYFUNCTION("""COMPUTED_VALUE"""),16.5)</f>
        <v>16.5</v>
      </c>
      <c r="H593" s="15">
        <f>IFERROR(__xludf.DUMMYFUNCTION("""COMPUTED_VALUE"""),30529.0)</f>
        <v>30529</v>
      </c>
      <c r="I593" s="18">
        <f>IFERROR(__xludf.DUMMYFUNCTION("""COMPUTED_VALUE"""),41.80555555555556)</f>
        <v>41.80555556</v>
      </c>
      <c r="J593" s="22">
        <f>IFERROR(__xludf.DUMMYFUNCTION("""COMPUTED_VALUE"""),74.0)</f>
        <v>74</v>
      </c>
      <c r="K593" s="22"/>
      <c r="L593" s="26" t="str">
        <f>IFERROR(__xludf.DUMMYFUNCTION("""COMPUTED_VALUE"""),"Action‑Adventure")</f>
        <v>Action‑Adventure</v>
      </c>
      <c r="M593" s="26"/>
    </row>
    <row r="594">
      <c r="A594" s="12" t="str">
        <f>IFERROR(__xludf.DUMMYFUNCTION("""COMPUTED_VALUE"""),"Tempopo")</f>
        <v>Tempopo</v>
      </c>
      <c r="B594" s="13" t="str">
        <f>IFERROR(__xludf.DUMMYFUNCTION("""COMPUTED_VALUE"""),"Xbox / PC")</f>
        <v>Xbox / PC</v>
      </c>
      <c r="C594" s="14" t="str">
        <f>IFERROR(__xludf.DUMMYFUNCTION("""COMPUTED_VALUE"""),"Yes")</f>
        <v>Yes</v>
      </c>
      <c r="D594" s="14" t="str">
        <f>IFERROR(__xludf.DUMMYFUNCTION("""COMPUTED_VALUE"""),"Active")</f>
        <v>Active</v>
      </c>
      <c r="E594" s="15">
        <f>IFERROR(__xludf.DUMMYFUNCTION("""COMPUTED_VALUE"""),45764.0)</f>
        <v>45764</v>
      </c>
      <c r="F594" s="16"/>
      <c r="G594" s="18">
        <f>IFERROR(__xludf.DUMMYFUNCTION("""COMPUTED_VALUE"""),17.633333333333333)</f>
        <v>17.63333333</v>
      </c>
      <c r="H594" s="15">
        <f>IFERROR(__xludf.DUMMYFUNCTION("""COMPUTED_VALUE"""),45764.0)</f>
        <v>45764</v>
      </c>
      <c r="I594" s="18">
        <f>IFERROR(__xludf.DUMMYFUNCTION("""COMPUTED_VALUE"""),0.0)</f>
        <v>0</v>
      </c>
      <c r="J594" s="22">
        <f>IFERROR(__xludf.DUMMYFUNCTION("""COMPUTED_VALUE"""),74.0)</f>
        <v>74</v>
      </c>
      <c r="K594" s="22">
        <f>IFERROR(__xludf.DUMMYFUNCTION("""COMPUTED_VALUE"""),5.0)</f>
        <v>5</v>
      </c>
      <c r="L594" s="26" t="str">
        <f>IFERROR(__xludf.DUMMYFUNCTION("""COMPUTED_VALUE"""),"Acton Puzzle")</f>
        <v>Acton Puzzle</v>
      </c>
      <c r="M594" s="26"/>
    </row>
    <row r="595">
      <c r="A595" s="12" t="str">
        <f>IFERROR(__xludf.DUMMYFUNCTION("""COMPUTED_VALUE"""),"Star Trucker")</f>
        <v>Star Trucker</v>
      </c>
      <c r="B595" s="13" t="str">
        <f>IFERROR(__xludf.DUMMYFUNCTION("""COMPUTED_VALUE"""),"Xbox / PC")</f>
        <v>Xbox / PC</v>
      </c>
      <c r="C595" s="14" t="str">
        <f>IFERROR(__xludf.DUMMYFUNCTION("""COMPUTED_VALUE"""),"Yes")</f>
        <v>Yes</v>
      </c>
      <c r="D595" s="14" t="str">
        <f>IFERROR(__xludf.DUMMYFUNCTION("""COMPUTED_VALUE"""),"Active")</f>
        <v>Active</v>
      </c>
      <c r="E595" s="15">
        <f>IFERROR(__xludf.DUMMYFUNCTION("""COMPUTED_VALUE"""),45538.0)</f>
        <v>45538</v>
      </c>
      <c r="F595" s="16"/>
      <c r="G595" s="18">
        <f>IFERROR(__xludf.DUMMYFUNCTION("""COMPUTED_VALUE"""),25.1)</f>
        <v>25.1</v>
      </c>
      <c r="H595" s="15">
        <f>IFERROR(__xludf.DUMMYFUNCTION("""COMPUTED_VALUE"""),45538.0)</f>
        <v>45538</v>
      </c>
      <c r="I595" s="18">
        <f>IFERROR(__xludf.DUMMYFUNCTION("""COMPUTED_VALUE"""),0.0)</f>
        <v>0</v>
      </c>
      <c r="J595" s="22">
        <f>IFERROR(__xludf.DUMMYFUNCTION("""COMPUTED_VALUE"""),74.0)</f>
        <v>74</v>
      </c>
      <c r="K595" s="22">
        <f>IFERROR(__xludf.DUMMYFUNCTION("""COMPUTED_VALUE"""),25.0)</f>
        <v>25</v>
      </c>
      <c r="L595" s="26" t="str">
        <f>IFERROR(__xludf.DUMMYFUNCTION("""COMPUTED_VALUE"""),"Simulation")</f>
        <v>Simulation</v>
      </c>
      <c r="M595" s="26"/>
    </row>
    <row r="596">
      <c r="A596" s="12" t="str">
        <f>IFERROR(__xludf.DUMMYFUNCTION("""COMPUTED_VALUE"""),"Costume Quest")</f>
        <v>Costume Quest</v>
      </c>
      <c r="B596" s="13" t="str">
        <f>IFERROR(__xludf.DUMMYFUNCTION("""COMPUTED_VALUE"""),"Xbox")</f>
        <v>Xbox</v>
      </c>
      <c r="C596" s="14" t="str">
        <f>IFERROR(__xludf.DUMMYFUNCTION("""COMPUTED_VALUE"""),"Yes")</f>
        <v>Yes</v>
      </c>
      <c r="D596" s="14" t="str">
        <f>IFERROR(__xludf.DUMMYFUNCTION("""COMPUTED_VALUE"""),"Active")</f>
        <v>Active</v>
      </c>
      <c r="E596" s="15">
        <f>IFERROR(__xludf.DUMMYFUNCTION("""COMPUTED_VALUE"""),44845.0)</f>
        <v>44845</v>
      </c>
      <c r="F596" s="16"/>
      <c r="G596" s="18">
        <f>IFERROR(__xludf.DUMMYFUNCTION("""COMPUTED_VALUE"""),47.833333333333336)</f>
        <v>47.83333333</v>
      </c>
      <c r="H596" s="15">
        <f>IFERROR(__xludf.DUMMYFUNCTION("""COMPUTED_VALUE"""),40471.0)</f>
        <v>40471</v>
      </c>
      <c r="I596" s="18">
        <f>IFERROR(__xludf.DUMMYFUNCTION("""COMPUTED_VALUE"""),11.975)</f>
        <v>11.975</v>
      </c>
      <c r="J596" s="22">
        <f>IFERROR(__xludf.DUMMYFUNCTION("""COMPUTED_VALUE"""),74.0)</f>
        <v>74</v>
      </c>
      <c r="K596" s="22">
        <f>IFERROR(__xludf.DUMMYFUNCTION("""COMPUTED_VALUE"""),5.5)</f>
        <v>5.5</v>
      </c>
      <c r="L596" s="26" t="str">
        <f>IFERROR(__xludf.DUMMYFUNCTION("""COMPUTED_VALUE"""),"RPG")</f>
        <v>RPG</v>
      </c>
      <c r="M596" s="26"/>
    </row>
    <row r="597">
      <c r="A597" s="12" t="str">
        <f>IFERROR(__xludf.DUMMYFUNCTION("""COMPUTED_VALUE"""),"Need for Speed: Heat - Deluxe Edition")</f>
        <v>Need for Speed: Heat - Deluxe Edition</v>
      </c>
      <c r="B597" s="13" t="str">
        <f>IFERROR(__xludf.DUMMYFUNCTION("""COMPUTED_VALUE"""),"Xbox / PC")</f>
        <v>Xbox / PC</v>
      </c>
      <c r="C597" s="14" t="str">
        <f>IFERROR(__xludf.DUMMYFUNCTION("""COMPUTED_VALUE"""),"Touch Controls")</f>
        <v>Touch Controls</v>
      </c>
      <c r="D597" s="14" t="str">
        <f>IFERROR(__xludf.DUMMYFUNCTION("""COMPUTED_VALUE"""),"Active")</f>
        <v>Active</v>
      </c>
      <c r="E597" s="15">
        <f>IFERROR(__xludf.DUMMYFUNCTION("""COMPUTED_VALUE"""),44145.0)</f>
        <v>44145</v>
      </c>
      <c r="F597" s="16"/>
      <c r="G597" s="18">
        <f>IFERROR(__xludf.DUMMYFUNCTION("""COMPUTED_VALUE"""),70.86666666666667)</f>
        <v>70.86666667</v>
      </c>
      <c r="H597" s="15">
        <f>IFERROR(__xludf.DUMMYFUNCTION("""COMPUTED_VALUE"""),43777.0)</f>
        <v>43777</v>
      </c>
      <c r="I597" s="18">
        <f>IFERROR(__xludf.DUMMYFUNCTION("""COMPUTED_VALUE"""),1.0055555555555555)</f>
        <v>1.005555556</v>
      </c>
      <c r="J597" s="22">
        <f>IFERROR(__xludf.DUMMYFUNCTION("""COMPUTED_VALUE"""),74.0)</f>
        <v>74</v>
      </c>
      <c r="K597" s="22">
        <f>IFERROR(__xludf.DUMMYFUNCTION("""COMPUTED_VALUE"""),12.5)</f>
        <v>12.5</v>
      </c>
      <c r="L597" s="26" t="str">
        <f>IFERROR(__xludf.DUMMYFUNCTION("""COMPUTED_VALUE"""),"Racing")</f>
        <v>Racing</v>
      </c>
      <c r="M597" s="26"/>
    </row>
    <row r="598">
      <c r="A598" s="12" t="str">
        <f>IFERROR(__xludf.DUMMYFUNCTION("""COMPUTED_VALUE"""),"Tom Clancy's Rainbow Six: Siege - Deluxe Edition")</f>
        <v>Tom Clancy's Rainbow Six: Siege - Deluxe Edition</v>
      </c>
      <c r="B598" s="13" t="str">
        <f>IFERROR(__xludf.DUMMYFUNCTION("""COMPUTED_VALUE"""),"Xbox / PC")</f>
        <v>Xbox / PC</v>
      </c>
      <c r="C598" s="14" t="str">
        <f>IFERROR(__xludf.DUMMYFUNCTION("""COMPUTED_VALUE"""),"Yes")</f>
        <v>Yes</v>
      </c>
      <c r="D598" s="14" t="str">
        <f>IFERROR(__xludf.DUMMYFUNCTION("""COMPUTED_VALUE"""),"Active")</f>
        <v>Active</v>
      </c>
      <c r="E598" s="15">
        <f>IFERROR(__xludf.DUMMYFUNCTION("""COMPUTED_VALUE"""),44126.0)</f>
        <v>44126</v>
      </c>
      <c r="F598" s="16"/>
      <c r="G598" s="18">
        <f>IFERROR(__xludf.DUMMYFUNCTION("""COMPUTED_VALUE"""),71.46666666666667)</f>
        <v>71.46666667</v>
      </c>
      <c r="H598" s="15">
        <f>IFERROR(__xludf.DUMMYFUNCTION("""COMPUTED_VALUE"""),42339.0)</f>
        <v>42339</v>
      </c>
      <c r="I598" s="18">
        <f>IFERROR(__xludf.DUMMYFUNCTION("""COMPUTED_VALUE"""),4.891666666666667)</f>
        <v>4.891666667</v>
      </c>
      <c r="J598" s="22">
        <f>IFERROR(__xludf.DUMMYFUNCTION("""COMPUTED_VALUE"""),74.0)</f>
        <v>74</v>
      </c>
      <c r="K598" s="22">
        <f>IFERROR(__xludf.DUMMYFUNCTION("""COMPUTED_VALUE"""),7.5)</f>
        <v>7.5</v>
      </c>
      <c r="L598" s="26" t="str">
        <f>IFERROR(__xludf.DUMMYFUNCTION("""COMPUTED_VALUE"""),"Shooter")</f>
        <v>Shooter</v>
      </c>
      <c r="M598" s="26" t="str">
        <f>IFERROR(__xludf.DUMMYFUNCTION("""COMPUTED_VALUE"""),"Optimized")</f>
        <v>Optimized</v>
      </c>
    </row>
    <row r="599">
      <c r="A599" s="12" t="str">
        <f>IFERROR(__xludf.DUMMYFUNCTION("""COMPUTED_VALUE"""),"MechWarrior 5: Mercenaries")</f>
        <v>MechWarrior 5: Mercenaries</v>
      </c>
      <c r="B599" s="13" t="str">
        <f>IFERROR(__xludf.DUMMYFUNCTION("""COMPUTED_VALUE"""),"Xbox / PC")</f>
        <v>Xbox / PC</v>
      </c>
      <c r="C599" s="14" t="str">
        <f>IFERROR(__xludf.DUMMYFUNCTION("""COMPUTED_VALUE"""),"Yes")</f>
        <v>Yes</v>
      </c>
      <c r="D599" s="14" t="str">
        <f>IFERROR(__xludf.DUMMYFUNCTION("""COMPUTED_VALUE"""),"Active")</f>
        <v>Active</v>
      </c>
      <c r="E599" s="15">
        <f>IFERROR(__xludf.DUMMYFUNCTION("""COMPUTED_VALUE"""),43958.0)</f>
        <v>43958</v>
      </c>
      <c r="F599" s="16"/>
      <c r="G599" s="18">
        <f>IFERROR(__xludf.DUMMYFUNCTION("""COMPUTED_VALUE"""),76.96666666666667)</f>
        <v>76.96666667</v>
      </c>
      <c r="H599" s="15">
        <f>IFERROR(__xludf.DUMMYFUNCTION("""COMPUTED_VALUE"""),43809.0)</f>
        <v>43809</v>
      </c>
      <c r="I599" s="18">
        <f>IFERROR(__xludf.DUMMYFUNCTION("""COMPUTED_VALUE"""),0.4083333333333333)</f>
        <v>0.4083333333</v>
      </c>
      <c r="J599" s="22">
        <f>IFERROR(__xludf.DUMMYFUNCTION("""COMPUTED_VALUE"""),74.0)</f>
        <v>74</v>
      </c>
      <c r="K599" s="22">
        <f>IFERROR(__xludf.DUMMYFUNCTION("""COMPUTED_VALUE"""),46.5)</f>
        <v>46.5</v>
      </c>
      <c r="L599" s="26" t="str">
        <f>IFERROR(__xludf.DUMMYFUNCTION("""COMPUTED_VALUE"""),"Shooter")</f>
        <v>Shooter</v>
      </c>
      <c r="M599" s="26"/>
    </row>
    <row r="600">
      <c r="A600" s="12" t="str">
        <f>IFERROR(__xludf.DUMMYFUNCTION("""COMPUTED_VALUE"""),"Phoenix Point")</f>
        <v>Phoenix Point</v>
      </c>
      <c r="B600" s="13" t="str">
        <f>IFERROR(__xludf.DUMMYFUNCTION("""COMPUTED_VALUE"""),"Xbox / PC")</f>
        <v>Xbox / PC</v>
      </c>
      <c r="C600" s="14" t="str">
        <f>IFERROR(__xludf.DUMMYFUNCTION("""COMPUTED_VALUE"""),"Touch Controls")</f>
        <v>Touch Controls</v>
      </c>
      <c r="D600" s="14" t="str">
        <f>IFERROR(__xludf.DUMMYFUNCTION("""COMPUTED_VALUE"""),"Active")</f>
        <v>Active</v>
      </c>
      <c r="E600" s="15">
        <f>IFERROR(__xludf.DUMMYFUNCTION("""COMPUTED_VALUE"""),43819.0)</f>
        <v>43819</v>
      </c>
      <c r="F600" s="16"/>
      <c r="G600" s="18">
        <f>IFERROR(__xludf.DUMMYFUNCTION("""COMPUTED_VALUE"""),81.53333333333333)</f>
        <v>81.53333333</v>
      </c>
      <c r="H600" s="15">
        <f>IFERROR(__xludf.DUMMYFUNCTION("""COMPUTED_VALUE"""),43802.0)</f>
        <v>43802</v>
      </c>
      <c r="I600" s="18">
        <f>IFERROR(__xludf.DUMMYFUNCTION("""COMPUTED_VALUE"""),0.04722222222222222)</f>
        <v>0.04722222222</v>
      </c>
      <c r="J600" s="22">
        <f>IFERROR(__xludf.DUMMYFUNCTION("""COMPUTED_VALUE"""),74.0)</f>
        <v>74</v>
      </c>
      <c r="K600" s="22">
        <f>IFERROR(__xludf.DUMMYFUNCTION("""COMPUTED_VALUE"""),32.0)</f>
        <v>32</v>
      </c>
      <c r="L600" s="26" t="str">
        <f>IFERROR(__xludf.DUMMYFUNCTION("""COMPUTED_VALUE"""),"Strategy")</f>
        <v>Strategy</v>
      </c>
      <c r="M600" s="26"/>
    </row>
    <row r="601">
      <c r="A601" s="12" t="str">
        <f>IFERROR(__xludf.DUMMYFUNCTION("""COMPUTED_VALUE"""),"Castlevania: Harmony of Despair")</f>
        <v>Castlevania: Harmony of Despair</v>
      </c>
      <c r="B601" s="13" t="str">
        <f>IFERROR(__xludf.DUMMYFUNCTION("""COMPUTED_VALUE"""),"XB360/OG Xbox")</f>
        <v>XB360/OG Xbox</v>
      </c>
      <c r="C601" s="14"/>
      <c r="D601" s="14" t="str">
        <f>IFERROR(__xludf.DUMMYFUNCTION("""COMPUTED_VALUE"""),"GwG Permanent")</f>
        <v>GwG Permanent</v>
      </c>
      <c r="E601" s="15">
        <f>IFERROR(__xludf.DUMMYFUNCTION("""COMPUTED_VALUE"""),44470.0)</f>
        <v>44470</v>
      </c>
      <c r="F601" s="16">
        <f>IFERROR(__xludf.DUMMYFUNCTION("""COMPUTED_VALUE"""),44484.0)</f>
        <v>44484</v>
      </c>
      <c r="G601" s="18">
        <f>IFERROR(__xludf.DUMMYFUNCTION("""COMPUTED_VALUE"""),0.4666666666666667)</f>
        <v>0.4666666667</v>
      </c>
      <c r="H601" s="15">
        <f>IFERROR(__xludf.DUMMYFUNCTION("""COMPUTED_VALUE"""),41409.0)</f>
        <v>41409</v>
      </c>
      <c r="I601" s="18">
        <f>IFERROR(__xludf.DUMMYFUNCTION("""COMPUTED_VALUE"""),8.377777777777778)</f>
        <v>8.377777778</v>
      </c>
      <c r="J601" s="22">
        <f>IFERROR(__xludf.DUMMYFUNCTION("""COMPUTED_VALUE"""),74.0)</f>
        <v>74</v>
      </c>
      <c r="K601" s="22">
        <f>IFERROR(__xludf.DUMMYFUNCTION("""COMPUTED_VALUE"""),10.0)</f>
        <v>10</v>
      </c>
      <c r="L601" s="26" t="str">
        <f>IFERROR(__xludf.DUMMYFUNCTION("""COMPUTED_VALUE"""),"Action")</f>
        <v>Action</v>
      </c>
      <c r="M601" s="26"/>
    </row>
    <row r="602">
      <c r="A602" s="12" t="str">
        <f>IFERROR(__xludf.DUMMYFUNCTION("""COMPUTED_VALUE"""),"Breakdown")</f>
        <v>Breakdown</v>
      </c>
      <c r="B602" s="13" t="str">
        <f>IFERROR(__xludf.DUMMYFUNCTION("""COMPUTED_VALUE"""),"XB360/OG Xbox")</f>
        <v>XB360/OG Xbox</v>
      </c>
      <c r="C602" s="14"/>
      <c r="D602" s="14" t="str">
        <f>IFERROR(__xludf.DUMMYFUNCTION("""COMPUTED_VALUE"""),"GwG Permanent")</f>
        <v>GwG Permanent</v>
      </c>
      <c r="E602" s="15">
        <f>IFERROR(__xludf.DUMMYFUNCTION("""COMPUTED_VALUE"""),44212.0)</f>
        <v>44212</v>
      </c>
      <c r="F602" s="16">
        <f>IFERROR(__xludf.DUMMYFUNCTION("""COMPUTED_VALUE"""),44227.0)</f>
        <v>44227</v>
      </c>
      <c r="G602" s="18">
        <f>IFERROR(__xludf.DUMMYFUNCTION("""COMPUTED_VALUE"""),0.4666666666666667)</f>
        <v>0.4666666667</v>
      </c>
      <c r="H602" s="15">
        <f>IFERROR(__xludf.DUMMYFUNCTION("""COMPUTED_VALUE"""),38061.0)</f>
        <v>38061</v>
      </c>
      <c r="I602" s="18">
        <f>IFERROR(__xludf.DUMMYFUNCTION("""COMPUTED_VALUE"""),16.836111111111112)</f>
        <v>16.83611111</v>
      </c>
      <c r="J602" s="22">
        <f>IFERROR(__xludf.DUMMYFUNCTION("""COMPUTED_VALUE"""),74.0)</f>
        <v>74</v>
      </c>
      <c r="K602" s="22">
        <f>IFERROR(__xludf.DUMMYFUNCTION("""COMPUTED_VALUE"""),10.0)</f>
        <v>10</v>
      </c>
      <c r="L602" s="26" t="str">
        <f>IFERROR(__xludf.DUMMYFUNCTION("""COMPUTED_VALUE"""),"Action-Adventure")</f>
        <v>Action-Adventure</v>
      </c>
      <c r="M602" s="26" t="str">
        <f>IFERROR(__xludf.DUMMYFUNCTION("""COMPUTED_VALUE"""),"Enhanced")</f>
        <v>Enhanced</v>
      </c>
    </row>
    <row r="603">
      <c r="A603" s="12" t="str">
        <f>IFERROR(__xludf.DUMMYFUNCTION("""COMPUTED_VALUE"""),"Assassin's Creed Rogue")</f>
        <v>Assassin's Creed Rogue</v>
      </c>
      <c r="B603" s="13" t="str">
        <f>IFERROR(__xludf.DUMMYFUNCTION("""COMPUTED_VALUE"""),"XB360/OG Xbox")</f>
        <v>XB360/OG Xbox</v>
      </c>
      <c r="C603" s="14"/>
      <c r="D603" s="14" t="str">
        <f>IFERROR(__xludf.DUMMYFUNCTION("""COMPUTED_VALUE"""),"GwG Permanent")</f>
        <v>GwG Permanent</v>
      </c>
      <c r="E603" s="15">
        <f>IFERROR(__xludf.DUMMYFUNCTION("""COMPUTED_VALUE"""),43497.0)</f>
        <v>43497</v>
      </c>
      <c r="F603" s="16">
        <f>IFERROR(__xludf.DUMMYFUNCTION("""COMPUTED_VALUE"""),43511.0)</f>
        <v>43511</v>
      </c>
      <c r="G603" s="18">
        <f>IFERROR(__xludf.DUMMYFUNCTION("""COMPUTED_VALUE"""),0.4666666666666667)</f>
        <v>0.4666666667</v>
      </c>
      <c r="H603" s="15">
        <f>IFERROR(__xludf.DUMMYFUNCTION("""COMPUTED_VALUE"""),41954.0)</f>
        <v>41954</v>
      </c>
      <c r="I603" s="18">
        <f>IFERROR(__xludf.DUMMYFUNCTION("""COMPUTED_VALUE"""),4.222222222222222)</f>
        <v>4.222222222</v>
      </c>
      <c r="J603" s="22">
        <f>IFERROR(__xludf.DUMMYFUNCTION("""COMPUTED_VALUE"""),74.0)</f>
        <v>74</v>
      </c>
      <c r="K603" s="22">
        <f>IFERROR(__xludf.DUMMYFUNCTION("""COMPUTED_VALUE"""),10.0)</f>
        <v>10</v>
      </c>
      <c r="L603" s="26" t="str">
        <f>IFERROR(__xludf.DUMMYFUNCTION("""COMPUTED_VALUE"""),"Action-Adventure")</f>
        <v>Action-Adventure</v>
      </c>
      <c r="M603" s="26"/>
    </row>
    <row r="604">
      <c r="A604" s="12" t="str">
        <f>IFERROR(__xludf.DUMMYFUNCTION("""COMPUTED_VALUE"""),"Dead Space 3")</f>
        <v>Dead Space 3</v>
      </c>
      <c r="B604" s="13" t="str">
        <f>IFERROR(__xludf.DUMMYFUNCTION("""COMPUTED_VALUE"""),"XB360/OG Xbox")</f>
        <v>XB360/OG Xbox</v>
      </c>
      <c r="C604" s="14"/>
      <c r="D604" s="14" t="str">
        <f>IFERROR(__xludf.DUMMYFUNCTION("""COMPUTED_VALUE"""),"GwG Permanent")</f>
        <v>GwG Permanent</v>
      </c>
      <c r="E604" s="15">
        <f>IFERROR(__xludf.DUMMYFUNCTION("""COMPUTED_VALUE"""),43313.0)</f>
        <v>43313</v>
      </c>
      <c r="F604" s="16">
        <f>IFERROR(__xludf.DUMMYFUNCTION("""COMPUTED_VALUE"""),43327.0)</f>
        <v>43327</v>
      </c>
      <c r="G604" s="18">
        <f>IFERROR(__xludf.DUMMYFUNCTION("""COMPUTED_VALUE"""),0.4666666666666667)</f>
        <v>0.4666666667</v>
      </c>
      <c r="H604" s="15">
        <f>IFERROR(__xludf.DUMMYFUNCTION("""COMPUTED_VALUE"""),41310.0)</f>
        <v>41310</v>
      </c>
      <c r="I604" s="18">
        <f>IFERROR(__xludf.DUMMYFUNCTION("""COMPUTED_VALUE"""),5.488888888888889)</f>
        <v>5.488888889</v>
      </c>
      <c r="J604" s="22">
        <f>IFERROR(__xludf.DUMMYFUNCTION("""COMPUTED_VALUE"""),74.0)</f>
        <v>74</v>
      </c>
      <c r="K604" s="22">
        <f>IFERROR(__xludf.DUMMYFUNCTION("""COMPUTED_VALUE"""),11.0)</f>
        <v>11</v>
      </c>
      <c r="L604" s="26" t="str">
        <f>IFERROR(__xludf.DUMMYFUNCTION("""COMPUTED_VALUE"""),"Action-Adventure")</f>
        <v>Action-Adventure</v>
      </c>
      <c r="M604" s="26"/>
    </row>
    <row r="605">
      <c r="A605" s="12" t="str">
        <f>IFERROR(__xludf.DUMMYFUNCTION("""COMPUTED_VALUE"""),"Star Wars: The Force Unleashed II")</f>
        <v>Star Wars: The Force Unleashed II</v>
      </c>
      <c r="B605" s="13" t="str">
        <f>IFERROR(__xludf.DUMMYFUNCTION("""COMPUTED_VALUE"""),"XB360/OG Xbox")</f>
        <v>XB360/OG Xbox</v>
      </c>
      <c r="C605" s="14"/>
      <c r="D605" s="14" t="str">
        <f>IFERROR(__xludf.DUMMYFUNCTION("""COMPUTED_VALUE"""),"GwG Permanent")</f>
        <v>GwG Permanent</v>
      </c>
      <c r="E605" s="15">
        <f>IFERROR(__xludf.DUMMYFUNCTION("""COMPUTED_VALUE"""),42856.0)</f>
        <v>42856</v>
      </c>
      <c r="F605" s="16">
        <f>IFERROR(__xludf.DUMMYFUNCTION("""COMPUTED_VALUE"""),42870.0)</f>
        <v>42870</v>
      </c>
      <c r="G605" s="18">
        <f>IFERROR(__xludf.DUMMYFUNCTION("""COMPUTED_VALUE"""),0.4666666666666667)</f>
        <v>0.4666666667</v>
      </c>
      <c r="H605" s="15">
        <f>IFERROR(__xludf.DUMMYFUNCTION("""COMPUTED_VALUE"""),40477.0)</f>
        <v>40477</v>
      </c>
      <c r="I605" s="18">
        <f>IFERROR(__xludf.DUMMYFUNCTION("""COMPUTED_VALUE"""),6.513888888888889)</f>
        <v>6.513888889</v>
      </c>
      <c r="J605" s="22">
        <f>IFERROR(__xludf.DUMMYFUNCTION("""COMPUTED_VALUE"""),74.0)</f>
        <v>74</v>
      </c>
      <c r="K605" s="22">
        <f>IFERROR(__xludf.DUMMYFUNCTION("""COMPUTED_VALUE"""),8.0)</f>
        <v>8</v>
      </c>
      <c r="L605" s="26" t="str">
        <f>IFERROR(__xludf.DUMMYFUNCTION("""COMPUTED_VALUE"""),"Action-Adventure")</f>
        <v>Action-Adventure</v>
      </c>
      <c r="M605" s="26"/>
    </row>
    <row r="606">
      <c r="A606" s="12" t="str">
        <f>IFERROR(__xludf.DUMMYFUNCTION("""COMPUTED_VALUE"""),"Heavy Weapon")</f>
        <v>Heavy Weapon</v>
      </c>
      <c r="B606" s="13" t="str">
        <f>IFERROR(__xludf.DUMMYFUNCTION("""COMPUTED_VALUE"""),"XB360/OG Xbox")</f>
        <v>XB360/OG Xbox</v>
      </c>
      <c r="C606" s="14"/>
      <c r="D606" s="14" t="str">
        <f>IFERROR(__xludf.DUMMYFUNCTION("""COMPUTED_VALUE"""),"GwG Permanent")</f>
        <v>GwG Permanent</v>
      </c>
      <c r="E606" s="15">
        <f>IFERROR(__xludf.DUMMYFUNCTION("""COMPUTED_VALUE"""),42810.0)</f>
        <v>42810</v>
      </c>
      <c r="F606" s="16">
        <f>IFERROR(__xludf.DUMMYFUNCTION("""COMPUTED_VALUE"""),42825.0)</f>
        <v>42825</v>
      </c>
      <c r="G606" s="18">
        <f>IFERROR(__xludf.DUMMYFUNCTION("""COMPUTED_VALUE"""),0.4666666666666667)</f>
        <v>0.4666666667</v>
      </c>
      <c r="H606" s="15">
        <f>IFERROR(__xludf.DUMMYFUNCTION("""COMPUTED_VALUE"""),39009.0)</f>
        <v>39009</v>
      </c>
      <c r="I606" s="18">
        <f>IFERROR(__xludf.DUMMYFUNCTION("""COMPUTED_VALUE"""),10.408333333333333)</f>
        <v>10.40833333</v>
      </c>
      <c r="J606" s="22">
        <f>IFERROR(__xludf.DUMMYFUNCTION("""COMPUTED_VALUE"""),74.0)</f>
        <v>74</v>
      </c>
      <c r="K606" s="22">
        <f>IFERROR(__xludf.DUMMYFUNCTION("""COMPUTED_VALUE"""),3.0)</f>
        <v>3</v>
      </c>
      <c r="L606" s="26" t="str">
        <f>IFERROR(__xludf.DUMMYFUNCTION("""COMPUTED_VALUE"""),"Shooter")</f>
        <v>Shooter</v>
      </c>
      <c r="M606" s="26"/>
    </row>
    <row r="607">
      <c r="A607" s="12" t="str">
        <f>IFERROR(__xludf.DUMMYFUNCTION("""COMPUTED_VALUE"""),"Supreme Commander 2")</f>
        <v>Supreme Commander 2</v>
      </c>
      <c r="B607" s="13" t="str">
        <f>IFERROR(__xludf.DUMMYFUNCTION("""COMPUTED_VALUE"""),"XB360/OG Xbox")</f>
        <v>XB360/OG Xbox</v>
      </c>
      <c r="C607" s="14"/>
      <c r="D607" s="14" t="str">
        <f>IFERROR(__xludf.DUMMYFUNCTION("""COMPUTED_VALUE"""),"GwG Permanent")</f>
        <v>GwG Permanent</v>
      </c>
      <c r="E607" s="15">
        <f>IFERROR(__xludf.DUMMYFUNCTION("""COMPUTED_VALUE"""),42430.0)</f>
        <v>42430</v>
      </c>
      <c r="F607" s="16">
        <f>IFERROR(__xludf.DUMMYFUNCTION("""COMPUTED_VALUE"""),42444.0)</f>
        <v>42444</v>
      </c>
      <c r="G607" s="18">
        <f>IFERROR(__xludf.DUMMYFUNCTION("""COMPUTED_VALUE"""),0.4666666666666667)</f>
        <v>0.4666666667</v>
      </c>
      <c r="H607" s="15">
        <f>IFERROR(__xludf.DUMMYFUNCTION("""COMPUTED_VALUE"""),40239.0)</f>
        <v>40239</v>
      </c>
      <c r="I607" s="18">
        <f>IFERROR(__xludf.DUMMYFUNCTION("""COMPUTED_VALUE"""),5.997222222222222)</f>
        <v>5.997222222</v>
      </c>
      <c r="J607" s="22">
        <f>IFERROR(__xludf.DUMMYFUNCTION("""COMPUTED_VALUE"""),74.0)</f>
        <v>74</v>
      </c>
      <c r="K607" s="22">
        <f>IFERROR(__xludf.DUMMYFUNCTION("""COMPUTED_VALUE"""),30.0)</f>
        <v>30</v>
      </c>
      <c r="L607" s="26" t="str">
        <f>IFERROR(__xludf.DUMMYFUNCTION("""COMPUTED_VALUE"""),"Strategy")</f>
        <v>Strategy</v>
      </c>
      <c r="M607" s="26"/>
    </row>
    <row r="608">
      <c r="A608" s="12" t="str">
        <f>IFERROR(__xludf.DUMMYFUNCTION("""COMPUTED_VALUE"""),"DiRT Showdown")</f>
        <v>DiRT Showdown</v>
      </c>
      <c r="B608" s="13" t="str">
        <f>IFERROR(__xludf.DUMMYFUNCTION("""COMPUTED_VALUE"""),"XB360/OG Xbox")</f>
        <v>XB360/OG Xbox</v>
      </c>
      <c r="C608" s="14"/>
      <c r="D608" s="14" t="str">
        <f>IFERROR(__xludf.DUMMYFUNCTION("""COMPUTED_VALUE"""),"GwG Permanent")</f>
        <v>GwG Permanent</v>
      </c>
      <c r="E608" s="15">
        <f>IFERROR(__xludf.DUMMYFUNCTION("""COMPUTED_VALUE"""),42370.0)</f>
        <v>42370</v>
      </c>
      <c r="F608" s="16">
        <f>IFERROR(__xludf.DUMMYFUNCTION("""COMPUTED_VALUE"""),42384.0)</f>
        <v>42384</v>
      </c>
      <c r="G608" s="18">
        <f>IFERROR(__xludf.DUMMYFUNCTION("""COMPUTED_VALUE"""),0.4666666666666667)</f>
        <v>0.4666666667</v>
      </c>
      <c r="H608" s="15">
        <f>IFERROR(__xludf.DUMMYFUNCTION("""COMPUTED_VALUE"""),41054.0)</f>
        <v>41054</v>
      </c>
      <c r="I608" s="18">
        <f>IFERROR(__xludf.DUMMYFUNCTION("""COMPUTED_VALUE"""),3.6)</f>
        <v>3.6</v>
      </c>
      <c r="J608" s="22">
        <f>IFERROR(__xludf.DUMMYFUNCTION("""COMPUTED_VALUE"""),74.0)</f>
        <v>74</v>
      </c>
      <c r="K608" s="22">
        <f>IFERROR(__xludf.DUMMYFUNCTION("""COMPUTED_VALUE"""),6.0)</f>
        <v>6</v>
      </c>
      <c r="L608" s="26" t="str">
        <f>IFERROR(__xludf.DUMMYFUNCTION("""COMPUTED_VALUE"""),"Racing")</f>
        <v>Racing</v>
      </c>
      <c r="M608" s="26"/>
    </row>
    <row r="609">
      <c r="A609" s="12" t="str">
        <f>IFERROR(__xludf.DUMMYFUNCTION("""COMPUTED_VALUE"""),"Metal Gear Solid V: Ground Zeroes")</f>
        <v>Metal Gear Solid V: Ground Zeroes</v>
      </c>
      <c r="B609" s="13" t="str">
        <f>IFERROR(__xludf.DUMMYFUNCTION("""COMPUTED_VALUE"""),"XB360/OG Xbox")</f>
        <v>XB360/OG Xbox</v>
      </c>
      <c r="C609" s="14"/>
      <c r="D609" s="14" t="str">
        <f>IFERROR(__xludf.DUMMYFUNCTION("""COMPUTED_VALUE"""),"GwG Permanent")</f>
        <v>GwG Permanent</v>
      </c>
      <c r="E609" s="15">
        <f>IFERROR(__xludf.DUMMYFUNCTION("""COMPUTED_VALUE"""),42278.0)</f>
        <v>42278</v>
      </c>
      <c r="F609" s="16">
        <f>IFERROR(__xludf.DUMMYFUNCTION("""COMPUTED_VALUE"""),42292.0)</f>
        <v>42292</v>
      </c>
      <c r="G609" s="18">
        <f>IFERROR(__xludf.DUMMYFUNCTION("""COMPUTED_VALUE"""),0.4666666666666667)</f>
        <v>0.4666666667</v>
      </c>
      <c r="H609" s="15">
        <f>IFERROR(__xludf.DUMMYFUNCTION("""COMPUTED_VALUE"""),41716.0)</f>
        <v>41716</v>
      </c>
      <c r="I609" s="18">
        <f>IFERROR(__xludf.DUMMYFUNCTION("""COMPUTED_VALUE"""),1.5361111111111112)</f>
        <v>1.536111111</v>
      </c>
      <c r="J609" s="22">
        <f>IFERROR(__xludf.DUMMYFUNCTION("""COMPUTED_VALUE"""),74.0)</f>
        <v>74</v>
      </c>
      <c r="K609" s="22">
        <f>IFERROR(__xludf.DUMMYFUNCTION("""COMPUTED_VALUE"""),1.0)</f>
        <v>1</v>
      </c>
      <c r="L609" s="26" t="str">
        <f>IFERROR(__xludf.DUMMYFUNCTION("""COMPUTED_VALUE"""),"Action-Adventure")</f>
        <v>Action-Adventure</v>
      </c>
      <c r="M609" s="26"/>
    </row>
    <row r="610">
      <c r="A610" s="12" t="str">
        <f>IFERROR(__xludf.DUMMYFUNCTION("""COMPUTED_VALUE"""),"The Raven: Legacy of a Master Thief")</f>
        <v>The Raven: Legacy of a Master Thief</v>
      </c>
      <c r="B610" s="13" t="str">
        <f>IFERROR(__xludf.DUMMYFUNCTION("""COMPUTED_VALUE"""),"XB360/OG Xbox")</f>
        <v>XB360/OG Xbox</v>
      </c>
      <c r="C610" s="14"/>
      <c r="D610" s="14" t="str">
        <f>IFERROR(__xludf.DUMMYFUNCTION("""COMPUTED_VALUE"""),"GwG Permanent")</f>
        <v>GwG Permanent</v>
      </c>
      <c r="E610" s="15">
        <f>IFERROR(__xludf.DUMMYFUNCTION("""COMPUTED_VALUE"""),41974.0)</f>
        <v>41974</v>
      </c>
      <c r="F610" s="16">
        <f>IFERROR(__xludf.DUMMYFUNCTION("""COMPUTED_VALUE"""),41988.0)</f>
        <v>41988</v>
      </c>
      <c r="G610" s="18">
        <f>IFERROR(__xludf.DUMMYFUNCTION("""COMPUTED_VALUE"""),0.4666666666666667)</f>
        <v>0.4666666667</v>
      </c>
      <c r="H610" s="15">
        <f>IFERROR(__xludf.DUMMYFUNCTION("""COMPUTED_VALUE"""),41449.0)</f>
        <v>41449</v>
      </c>
      <c r="I610" s="18">
        <f>IFERROR(__xludf.DUMMYFUNCTION("""COMPUTED_VALUE"""),1.4361111111111111)</f>
        <v>1.436111111</v>
      </c>
      <c r="J610" s="22">
        <f>IFERROR(__xludf.DUMMYFUNCTION("""COMPUTED_VALUE"""),74.0)</f>
        <v>74</v>
      </c>
      <c r="K610" s="22">
        <f>IFERROR(__xludf.DUMMYFUNCTION("""COMPUTED_VALUE"""),9.0)</f>
        <v>9</v>
      </c>
      <c r="L610" s="26" t="str">
        <f>IFERROR(__xludf.DUMMYFUNCTION("""COMPUTED_VALUE"""),"Adventure")</f>
        <v>Adventure</v>
      </c>
      <c r="M610" s="26"/>
    </row>
    <row r="611">
      <c r="A611" s="12" t="str">
        <f>IFERROR(__xludf.DUMMYFUNCTION("""COMPUTED_VALUE"""),"A World of Keflings")</f>
        <v>A World of Keflings</v>
      </c>
      <c r="B611" s="13" t="str">
        <f>IFERROR(__xludf.DUMMYFUNCTION("""COMPUTED_VALUE"""),"XB360/OG Xbox")</f>
        <v>XB360/OG Xbox</v>
      </c>
      <c r="C611" s="14"/>
      <c r="D611" s="14" t="str">
        <f>IFERROR(__xludf.DUMMYFUNCTION("""COMPUTED_VALUE"""),"GwG Permanent")</f>
        <v>GwG Permanent</v>
      </c>
      <c r="E611" s="15">
        <f>IFERROR(__xludf.DUMMYFUNCTION("""COMPUTED_VALUE"""),41579.0)</f>
        <v>41579</v>
      </c>
      <c r="F611" s="16">
        <f>IFERROR(__xludf.DUMMYFUNCTION("""COMPUTED_VALUE"""),41593.0)</f>
        <v>41593</v>
      </c>
      <c r="G611" s="18">
        <f>IFERROR(__xludf.DUMMYFUNCTION("""COMPUTED_VALUE"""),0.4666666666666667)</f>
        <v>0.4666666667</v>
      </c>
      <c r="H611" s="15">
        <f>IFERROR(__xludf.DUMMYFUNCTION("""COMPUTED_VALUE"""),40254.0)</f>
        <v>40254</v>
      </c>
      <c r="I611" s="18">
        <f>IFERROR(__xludf.DUMMYFUNCTION("""COMPUTED_VALUE"""),3.6222222222222222)</f>
        <v>3.622222222</v>
      </c>
      <c r="J611" s="22">
        <f>IFERROR(__xludf.DUMMYFUNCTION("""COMPUTED_VALUE"""),74.0)</f>
        <v>74</v>
      </c>
      <c r="K611" s="22">
        <f>IFERROR(__xludf.DUMMYFUNCTION("""COMPUTED_VALUE"""),12.0)</f>
        <v>12</v>
      </c>
      <c r="L611" s="26" t="str">
        <f>IFERROR(__xludf.DUMMYFUNCTION("""COMPUTED_VALUE"""),"Simulation")</f>
        <v>Simulation</v>
      </c>
      <c r="M611" s="26"/>
    </row>
    <row r="612">
      <c r="A612" s="12" t="str">
        <f>IFERROR(__xludf.DUMMYFUNCTION("""COMPUTED_VALUE"""),"The Evil Within")</f>
        <v>The Evil Within</v>
      </c>
      <c r="B612" s="13" t="str">
        <f>IFERROR(__xludf.DUMMYFUNCTION("""COMPUTED_VALUE"""),"Xbox / PC")</f>
        <v>Xbox / PC</v>
      </c>
      <c r="C612" s="14" t="str">
        <f>IFERROR(__xludf.DUMMYFUNCTION("""COMPUTED_VALUE"""),"Yes")</f>
        <v>Yes</v>
      </c>
      <c r="D612" s="14" t="str">
        <f>IFERROR(__xludf.DUMMYFUNCTION("""COMPUTED_VALUE"""),"Active")</f>
        <v>Active</v>
      </c>
      <c r="E612" s="15">
        <f>IFERROR(__xludf.DUMMYFUNCTION("""COMPUTED_VALUE"""),44267.0)</f>
        <v>44267</v>
      </c>
      <c r="F612" s="16"/>
      <c r="G612" s="18">
        <f>IFERROR(__xludf.DUMMYFUNCTION("""COMPUTED_VALUE"""),66.8)</f>
        <v>66.8</v>
      </c>
      <c r="H612" s="15">
        <f>IFERROR(__xludf.DUMMYFUNCTION("""COMPUTED_VALUE"""),41926.0)</f>
        <v>41926</v>
      </c>
      <c r="I612" s="18">
        <f>IFERROR(__xludf.DUMMYFUNCTION("""COMPUTED_VALUE"""),6.411111111111111)</f>
        <v>6.411111111</v>
      </c>
      <c r="J612" s="22">
        <f>IFERROR(__xludf.DUMMYFUNCTION("""COMPUTED_VALUE"""),73.5)</f>
        <v>73.5</v>
      </c>
      <c r="K612" s="22">
        <f>IFERROR(__xludf.DUMMYFUNCTION("""COMPUTED_VALUE"""),16.0)</f>
        <v>16</v>
      </c>
      <c r="L612" s="26" t="str">
        <f>IFERROR(__xludf.DUMMYFUNCTION("""COMPUTED_VALUE"""),"Shooter")</f>
        <v>Shooter</v>
      </c>
      <c r="M612" s="26"/>
    </row>
    <row r="613">
      <c r="A613" s="12" t="str">
        <f>IFERROR(__xludf.DUMMYFUNCTION("""COMPUTED_VALUE"""),"Call of Duty: Vanguard")</f>
        <v>Call of Duty: Vanguard</v>
      </c>
      <c r="B613" s="13" t="str">
        <f>IFERROR(__xludf.DUMMYFUNCTION("""COMPUTED_VALUE"""),"Xbox / PC")</f>
        <v>Xbox / PC</v>
      </c>
      <c r="C613" s="14" t="str">
        <f>IFERROR(__xludf.DUMMYFUNCTION("""COMPUTED_VALUE"""),"Yes")</f>
        <v>Yes</v>
      </c>
      <c r="D613" s="14" t="str">
        <f>IFERROR(__xludf.DUMMYFUNCTION("""COMPUTED_VALUE"""),"Active")</f>
        <v>Active</v>
      </c>
      <c r="E613" s="15">
        <f>IFERROR(__xludf.DUMMYFUNCTION("""COMPUTED_VALUE"""),46190.0)</f>
        <v>46190</v>
      </c>
      <c r="F613" s="16"/>
      <c r="G613" s="18">
        <f>IFERROR(__xludf.DUMMYFUNCTION("""COMPUTED_VALUE"""),3.633333333333333)</f>
        <v>3.633333333</v>
      </c>
      <c r="H613" s="15">
        <f>IFERROR(__xludf.DUMMYFUNCTION("""COMPUTED_VALUE"""),44504.0)</f>
        <v>44504</v>
      </c>
      <c r="I613" s="18">
        <f>IFERROR(__xludf.DUMMYFUNCTION("""COMPUTED_VALUE"""),4.6194444444444445)</f>
        <v>4.619444444</v>
      </c>
      <c r="J613" s="22">
        <f>IFERROR(__xludf.DUMMYFUNCTION("""COMPUTED_VALUE"""),73.0)</f>
        <v>73</v>
      </c>
      <c r="K613" s="22">
        <f>IFERROR(__xludf.DUMMYFUNCTION("""COMPUTED_VALUE"""),6.0)</f>
        <v>6</v>
      </c>
      <c r="L613" s="26" t="str">
        <f>IFERROR(__xludf.DUMMYFUNCTION("""COMPUTED_VALUE"""),"Shooter")</f>
        <v>Shooter</v>
      </c>
      <c r="M613" s="26"/>
    </row>
    <row r="614">
      <c r="A614" s="12" t="str">
        <f>IFERROR(__xludf.DUMMYFUNCTION("""COMPUTED_VALUE"""),"Beastro")</f>
        <v>Beastro</v>
      </c>
      <c r="B614" s="13" t="str">
        <f>IFERROR(__xludf.DUMMYFUNCTION("""COMPUTED_VALUE"""),"Xbox / PC")</f>
        <v>Xbox / PC</v>
      </c>
      <c r="C614" s="14" t="str">
        <f>IFERROR(__xludf.DUMMYFUNCTION("""COMPUTED_VALUE"""),"Yes")</f>
        <v>Yes</v>
      </c>
      <c r="D614" s="14" t="str">
        <f>IFERROR(__xludf.DUMMYFUNCTION("""COMPUTED_VALUE"""),"Active")</f>
        <v>Active</v>
      </c>
      <c r="E614" s="15">
        <f>IFERROR(__xludf.DUMMYFUNCTION("""COMPUTED_VALUE"""),46184.0)</f>
        <v>46184</v>
      </c>
      <c r="F614" s="16"/>
      <c r="G614" s="18">
        <f>IFERROR(__xludf.DUMMYFUNCTION("""COMPUTED_VALUE"""),3.833333333333333)</f>
        <v>3.833333333</v>
      </c>
      <c r="H614" s="15">
        <f>IFERROR(__xludf.DUMMYFUNCTION("""COMPUTED_VALUE"""),46163.0)</f>
        <v>46163</v>
      </c>
      <c r="I614" s="18">
        <f>IFERROR(__xludf.DUMMYFUNCTION("""COMPUTED_VALUE"""),0.05555555555555555)</f>
        <v>0.05555555556</v>
      </c>
      <c r="J614" s="22">
        <f>IFERROR(__xludf.DUMMYFUNCTION("""COMPUTED_VALUE"""),73.0)</f>
        <v>73</v>
      </c>
      <c r="K614" s="22">
        <f>IFERROR(__xludf.DUMMYFUNCTION("""COMPUTED_VALUE"""),9.0)</f>
        <v>9</v>
      </c>
      <c r="L614" s="26" t="str">
        <f>IFERROR(__xludf.DUMMYFUNCTION("""COMPUTED_VALUE"""),"Action-Adventure")</f>
        <v>Action-Adventure</v>
      </c>
      <c r="M614" s="26" t="str">
        <f>IFERROR(__xludf.DUMMYFUNCTION("""COMPUTED_VALUE"""),"Exclusive")</f>
        <v>Exclusive</v>
      </c>
    </row>
    <row r="615">
      <c r="A615" s="12" t="str">
        <f>IFERROR(__xludf.DUMMYFUNCTION("""COMPUTED_VALUE"""),"Undisputed")</f>
        <v>Undisputed</v>
      </c>
      <c r="B615" s="13" t="str">
        <f>IFERROR(__xludf.DUMMYFUNCTION("""COMPUTED_VALUE"""),"Xbox / PC")</f>
        <v>Xbox / PC</v>
      </c>
      <c r="C615" s="14" t="str">
        <f>IFERROR(__xludf.DUMMYFUNCTION("""COMPUTED_VALUE"""),"Yes")</f>
        <v>Yes</v>
      </c>
      <c r="D615" s="14" t="str">
        <f>IFERROR(__xludf.DUMMYFUNCTION("""COMPUTED_VALUE"""),"Active")</f>
        <v>Active</v>
      </c>
      <c r="E615" s="15">
        <f>IFERROR(__xludf.DUMMYFUNCTION("""COMPUTED_VALUE"""),46181.0)</f>
        <v>46181</v>
      </c>
      <c r="F615" s="16"/>
      <c r="G615" s="18">
        <f>IFERROR(__xludf.DUMMYFUNCTION("""COMPUTED_VALUE"""),3.9333333333333336)</f>
        <v>3.933333333</v>
      </c>
      <c r="H615" s="15">
        <f>IFERROR(__xludf.DUMMYFUNCTION("""COMPUTED_VALUE"""),45576.0)</f>
        <v>45576</v>
      </c>
      <c r="I615" s="18">
        <f>IFERROR(__xludf.DUMMYFUNCTION("""COMPUTED_VALUE"""),1.6583333333333334)</f>
        <v>1.658333333</v>
      </c>
      <c r="J615" s="22">
        <f>IFERROR(__xludf.DUMMYFUNCTION("""COMPUTED_VALUE"""),73.0)</f>
        <v>73</v>
      </c>
      <c r="K615" s="22">
        <f>IFERROR(__xludf.DUMMYFUNCTION("""COMPUTED_VALUE"""),15.0)</f>
        <v>15</v>
      </c>
      <c r="L615" s="26" t="str">
        <f>IFERROR(__xludf.DUMMYFUNCTION("""COMPUTED_VALUE"""),"Sports")</f>
        <v>Sports</v>
      </c>
      <c r="M615" s="26" t="str">
        <f>IFERROR(__xludf.DUMMYFUNCTION("""COMPUTED_VALUE"""),"Exclusive")</f>
        <v>Exclusive</v>
      </c>
    </row>
    <row r="616">
      <c r="A616" s="12" t="str">
        <f>IFERROR(__xludf.DUMMYFUNCTION("""COMPUTED_VALUE"""),"NHL 26")</f>
        <v>NHL 26</v>
      </c>
      <c r="B616" s="13" t="str">
        <f>IFERROR(__xludf.DUMMYFUNCTION("""COMPUTED_VALUE"""),"Xbox")</f>
        <v>Xbox</v>
      </c>
      <c r="C616" s="14" t="str">
        <f>IFERROR(__xludf.DUMMYFUNCTION("""COMPUTED_VALUE"""),"Yes")</f>
        <v>Yes</v>
      </c>
      <c r="D616" s="14" t="str">
        <f>IFERROR(__xludf.DUMMYFUNCTION("""COMPUTED_VALUE"""),"Active")</f>
        <v>Active</v>
      </c>
      <c r="E616" s="15">
        <f>IFERROR(__xludf.DUMMYFUNCTION("""COMPUTED_VALUE"""),46128.0)</f>
        <v>46128</v>
      </c>
      <c r="F616" s="16"/>
      <c r="G616" s="18">
        <f>IFERROR(__xludf.DUMMYFUNCTION("""COMPUTED_VALUE"""),5.666666666666666)</f>
        <v>5.666666667</v>
      </c>
      <c r="H616" s="15">
        <f>IFERROR(__xludf.DUMMYFUNCTION("""COMPUTED_VALUE"""),45912.0)</f>
        <v>45912</v>
      </c>
      <c r="I616" s="18">
        <f>IFERROR(__xludf.DUMMYFUNCTION("""COMPUTED_VALUE"""),0.5944444444444444)</f>
        <v>0.5944444444</v>
      </c>
      <c r="J616" s="22">
        <f>IFERROR(__xludf.DUMMYFUNCTION("""COMPUTED_VALUE"""),73.0)</f>
        <v>73</v>
      </c>
      <c r="K616" s="22">
        <f>IFERROR(__xludf.DUMMYFUNCTION("""COMPUTED_VALUE"""),20.0)</f>
        <v>20</v>
      </c>
      <c r="L616" s="26" t="str">
        <f>IFERROR(__xludf.DUMMYFUNCTION("""COMPUTED_VALUE"""),"Sports")</f>
        <v>Sports</v>
      </c>
      <c r="M616" s="26" t="str">
        <f>IFERROR(__xludf.DUMMYFUNCTION("""COMPUTED_VALUE"""),"Exclusive")</f>
        <v>Exclusive</v>
      </c>
    </row>
    <row r="617">
      <c r="A617" s="12" t="str">
        <f>IFERROR(__xludf.DUMMYFUNCTION("""COMPUTED_VALUE"""),"Easy Delivery Co.")</f>
        <v>Easy Delivery Co.</v>
      </c>
      <c r="B617" s="13" t="str">
        <f>IFERROR(__xludf.DUMMYFUNCTION("""COMPUTED_VALUE"""),"Xbox / PC")</f>
        <v>Xbox / PC</v>
      </c>
      <c r="C617" s="14" t="str">
        <f>IFERROR(__xludf.DUMMYFUNCTION("""COMPUTED_VALUE"""),"Yes")</f>
        <v>Yes</v>
      </c>
      <c r="D617" s="14" t="str">
        <f>IFERROR(__xludf.DUMMYFUNCTION("""COMPUTED_VALUE"""),"Active")</f>
        <v>Active</v>
      </c>
      <c r="E617" s="15">
        <f>IFERROR(__xludf.DUMMYFUNCTION("""COMPUTED_VALUE"""),46107.0)</f>
        <v>46107</v>
      </c>
      <c r="F617" s="16"/>
      <c r="G617" s="18">
        <f>IFERROR(__xludf.DUMMYFUNCTION("""COMPUTED_VALUE"""),6.333333333333334)</f>
        <v>6.333333333</v>
      </c>
      <c r="H617" s="15">
        <f>IFERROR(__xludf.DUMMYFUNCTION("""COMPUTED_VALUE"""),45918.0)</f>
        <v>45918</v>
      </c>
      <c r="I617" s="18">
        <f>IFERROR(__xludf.DUMMYFUNCTION("""COMPUTED_VALUE"""),0.5222222222222223)</f>
        <v>0.5222222222</v>
      </c>
      <c r="J617" s="22">
        <f>IFERROR(__xludf.DUMMYFUNCTION("""COMPUTED_VALUE"""),73.0)</f>
        <v>73</v>
      </c>
      <c r="K617" s="22">
        <f>IFERROR(__xludf.DUMMYFUNCTION("""COMPUTED_VALUE"""),5.0)</f>
        <v>5</v>
      </c>
      <c r="L617" s="26" t="str">
        <f>IFERROR(__xludf.DUMMYFUNCTION("""COMPUTED_VALUE"""),"Action-Adventure")</f>
        <v>Action-Adventure</v>
      </c>
      <c r="M617" s="26"/>
    </row>
    <row r="618">
      <c r="A618" s="12" t="str">
        <f>IFERROR(__xludf.DUMMYFUNCTION("""COMPUTED_VALUE"""),"Seaquest")</f>
        <v>Seaquest</v>
      </c>
      <c r="B618" s="13" t="str">
        <f>IFERROR(__xludf.DUMMYFUNCTION("""COMPUTED_VALUE"""),"Xbox / PC")</f>
        <v>Xbox / PC</v>
      </c>
      <c r="C618" s="14" t="str">
        <f>IFERROR(__xludf.DUMMYFUNCTION("""COMPUTED_VALUE"""),"Yes")</f>
        <v>Yes</v>
      </c>
      <c r="D618" s="14" t="str">
        <f>IFERROR(__xludf.DUMMYFUNCTION("""COMPUTED_VALUE"""),"Active")</f>
        <v>Active</v>
      </c>
      <c r="E618" s="15">
        <f>IFERROR(__xludf.DUMMYFUNCTION("""COMPUTED_VALUE"""),46072.0)</f>
        <v>46072</v>
      </c>
      <c r="F618" s="16"/>
      <c r="G618" s="18">
        <f>IFERROR(__xludf.DUMMYFUNCTION("""COMPUTED_VALUE"""),7.566666666666666)</f>
        <v>7.566666667</v>
      </c>
      <c r="H618" s="15">
        <f>IFERROR(__xludf.DUMMYFUNCTION("""COMPUTED_VALUE"""),30348.0)</f>
        <v>30348</v>
      </c>
      <c r="I618" s="18">
        <f>IFERROR(__xludf.DUMMYFUNCTION("""COMPUTED_VALUE"""),43.05)</f>
        <v>43.05</v>
      </c>
      <c r="J618" s="22">
        <f>IFERROR(__xludf.DUMMYFUNCTION("""COMPUTED_VALUE"""),73.0)</f>
        <v>73</v>
      </c>
      <c r="K618" s="22"/>
      <c r="L618" s="26" t="str">
        <f>IFERROR(__xludf.DUMMYFUNCTION("""COMPUTED_VALUE"""),"Strategy")</f>
        <v>Strategy</v>
      </c>
      <c r="M618" s="26"/>
    </row>
    <row r="619">
      <c r="A619" s="12" t="str">
        <f>IFERROR(__xludf.DUMMYFUNCTION("""COMPUTED_VALUE"""),"High on Life 2")</f>
        <v>High on Life 2</v>
      </c>
      <c r="B619" s="13" t="str">
        <f>IFERROR(__xludf.DUMMYFUNCTION("""COMPUTED_VALUE"""),"Xbox / PC")</f>
        <v>Xbox / PC</v>
      </c>
      <c r="C619" s="14" t="str">
        <f>IFERROR(__xludf.DUMMYFUNCTION("""COMPUTED_VALUE"""),"Yes")</f>
        <v>Yes</v>
      </c>
      <c r="D619" s="14" t="str">
        <f>IFERROR(__xludf.DUMMYFUNCTION("""COMPUTED_VALUE"""),"Active")</f>
        <v>Active</v>
      </c>
      <c r="E619" s="15">
        <f>IFERROR(__xludf.DUMMYFUNCTION("""COMPUTED_VALUE"""),46066.0)</f>
        <v>46066</v>
      </c>
      <c r="F619" s="16"/>
      <c r="G619" s="18">
        <f>IFERROR(__xludf.DUMMYFUNCTION("""COMPUTED_VALUE"""),7.7666666666666675)</f>
        <v>7.766666667</v>
      </c>
      <c r="H619" s="15">
        <f>IFERROR(__xludf.DUMMYFUNCTION("""COMPUTED_VALUE"""),46066.0)</f>
        <v>46066</v>
      </c>
      <c r="I619" s="18">
        <f>IFERROR(__xludf.DUMMYFUNCTION("""COMPUTED_VALUE"""),0.0)</f>
        <v>0</v>
      </c>
      <c r="J619" s="22">
        <f>IFERROR(__xludf.DUMMYFUNCTION("""COMPUTED_VALUE"""),73.0)</f>
        <v>73</v>
      </c>
      <c r="K619" s="22">
        <f>IFERROR(__xludf.DUMMYFUNCTION("""COMPUTED_VALUE"""),12.0)</f>
        <v>12</v>
      </c>
      <c r="L619" s="26" t="str">
        <f>IFERROR(__xludf.DUMMYFUNCTION("""COMPUTED_VALUE"""),"Shooter")</f>
        <v>Shooter</v>
      </c>
      <c r="M619" s="26" t="str">
        <f>IFERROR(__xludf.DUMMYFUNCTION("""COMPUTED_VALUE"""),"Exclusive")</f>
        <v>Exclusive</v>
      </c>
    </row>
    <row r="620">
      <c r="A620" s="12" t="str">
        <f>IFERROR(__xludf.DUMMYFUNCTION("""COMPUTED_VALUE"""),"To a T")</f>
        <v>To a T</v>
      </c>
      <c r="B620" s="13" t="str">
        <f>IFERROR(__xludf.DUMMYFUNCTION("""COMPUTED_VALUE"""),"Xbox / PC")</f>
        <v>Xbox / PC</v>
      </c>
      <c r="C620" s="14" t="str">
        <f>IFERROR(__xludf.DUMMYFUNCTION("""COMPUTED_VALUE"""),"Yes")</f>
        <v>Yes</v>
      </c>
      <c r="D620" s="14" t="str">
        <f>IFERROR(__xludf.DUMMYFUNCTION("""COMPUTED_VALUE"""),"Active")</f>
        <v>Active</v>
      </c>
      <c r="E620" s="15">
        <f>IFERROR(__xludf.DUMMYFUNCTION("""COMPUTED_VALUE"""),45805.0)</f>
        <v>45805</v>
      </c>
      <c r="F620" s="16"/>
      <c r="G620" s="18">
        <f>IFERROR(__xludf.DUMMYFUNCTION("""COMPUTED_VALUE"""),16.266666666666666)</f>
        <v>16.26666667</v>
      </c>
      <c r="H620" s="15">
        <f>IFERROR(__xludf.DUMMYFUNCTION("""COMPUTED_VALUE"""),45805.0)</f>
        <v>45805</v>
      </c>
      <c r="I620" s="18">
        <f>IFERROR(__xludf.DUMMYFUNCTION("""COMPUTED_VALUE"""),0.0)</f>
        <v>0</v>
      </c>
      <c r="J620" s="22">
        <f>IFERROR(__xludf.DUMMYFUNCTION("""COMPUTED_VALUE"""),73.0)</f>
        <v>73</v>
      </c>
      <c r="K620" s="22">
        <f>IFERROR(__xludf.DUMMYFUNCTION("""COMPUTED_VALUE"""),6.0)</f>
        <v>6</v>
      </c>
      <c r="L620" s="26" t="str">
        <f>IFERROR(__xludf.DUMMYFUNCTION("""COMPUTED_VALUE"""),"Action-Adventure")</f>
        <v>Action-Adventure</v>
      </c>
      <c r="M620" s="26" t="str">
        <f>IFERROR(__xludf.DUMMYFUNCTION("""COMPUTED_VALUE"""),"Exclusive")</f>
        <v>Exclusive</v>
      </c>
    </row>
    <row r="621">
      <c r="A621" s="12" t="str">
        <f>IFERROR(__xludf.DUMMYFUNCTION("""COMPUTED_VALUE"""),"MechWarrior")</f>
        <v>MechWarrior</v>
      </c>
      <c r="B621" s="13" t="str">
        <f>IFERROR(__xludf.DUMMYFUNCTION("""COMPUTED_VALUE"""),"Xbox / PC")</f>
        <v>Xbox / PC</v>
      </c>
      <c r="C621" s="14" t="str">
        <f>IFERROR(__xludf.DUMMYFUNCTION("""COMPUTED_VALUE"""),"Yes")</f>
        <v>Yes</v>
      </c>
      <c r="D621" s="14" t="str">
        <f>IFERROR(__xludf.DUMMYFUNCTION("""COMPUTED_VALUE"""),"Active")</f>
        <v>Active</v>
      </c>
      <c r="E621" s="15">
        <f>IFERROR(__xludf.DUMMYFUNCTION("""COMPUTED_VALUE"""),45798.0)</f>
        <v>45798</v>
      </c>
      <c r="F621" s="16"/>
      <c r="G621" s="18">
        <f>IFERROR(__xludf.DUMMYFUNCTION("""COMPUTED_VALUE"""),16.5)</f>
        <v>16.5</v>
      </c>
      <c r="H621" s="15">
        <f>IFERROR(__xludf.DUMMYFUNCTION("""COMPUTED_VALUE"""),32843.0)</f>
        <v>32843</v>
      </c>
      <c r="I621" s="18">
        <f>IFERROR(__xludf.DUMMYFUNCTION("""COMPUTED_VALUE"""),35.47222222222222)</f>
        <v>35.47222222</v>
      </c>
      <c r="J621" s="22">
        <f>IFERROR(__xludf.DUMMYFUNCTION("""COMPUTED_VALUE"""),73.0)</f>
        <v>73</v>
      </c>
      <c r="K621" s="22">
        <f>IFERROR(__xludf.DUMMYFUNCTION("""COMPUTED_VALUE"""),12.0)</f>
        <v>12</v>
      </c>
      <c r="L621" s="26" t="str">
        <f>IFERROR(__xludf.DUMMYFUNCTION("""COMPUTED_VALUE"""),"Shooter")</f>
        <v>Shooter</v>
      </c>
      <c r="M621" s="26"/>
    </row>
    <row r="622">
      <c r="A622" s="12" t="str">
        <f>IFERROR(__xludf.DUMMYFUNCTION("""COMPUTED_VALUE"""),"Megamania")</f>
        <v>Megamania</v>
      </c>
      <c r="B622" s="13" t="str">
        <f>IFERROR(__xludf.DUMMYFUNCTION("""COMPUTED_VALUE"""),"Xbox / PC")</f>
        <v>Xbox / PC</v>
      </c>
      <c r="C622" s="14" t="str">
        <f>IFERROR(__xludf.DUMMYFUNCTION("""COMPUTED_VALUE"""),"Yes")</f>
        <v>Yes</v>
      </c>
      <c r="D622" s="14" t="str">
        <f>IFERROR(__xludf.DUMMYFUNCTION("""COMPUTED_VALUE"""),"Active")</f>
        <v>Active</v>
      </c>
      <c r="E622" s="15">
        <f>IFERROR(__xludf.DUMMYFUNCTION("""COMPUTED_VALUE"""),45798.0)</f>
        <v>45798</v>
      </c>
      <c r="F622" s="16"/>
      <c r="G622" s="18">
        <f>IFERROR(__xludf.DUMMYFUNCTION("""COMPUTED_VALUE"""),16.5)</f>
        <v>16.5</v>
      </c>
      <c r="H622" s="15">
        <f>IFERROR(__xludf.DUMMYFUNCTION("""COMPUTED_VALUE"""),30050.0)</f>
        <v>30050</v>
      </c>
      <c r="I622" s="18">
        <f>IFERROR(__xludf.DUMMYFUNCTION("""COMPUTED_VALUE"""),43.11666666666667)</f>
        <v>43.11666667</v>
      </c>
      <c r="J622" s="22">
        <f>IFERROR(__xludf.DUMMYFUNCTION("""COMPUTED_VALUE"""),73.0)</f>
        <v>73</v>
      </c>
      <c r="K622" s="22"/>
      <c r="L622" s="26" t="str">
        <f>IFERROR(__xludf.DUMMYFUNCTION("""COMPUTED_VALUE"""),"Shooter")</f>
        <v>Shooter</v>
      </c>
      <c r="M622" s="26"/>
    </row>
    <row r="623">
      <c r="A623" s="12" t="str">
        <f>IFERROR(__xludf.DUMMYFUNCTION("""COMPUTED_VALUE"""),"River Raid II")</f>
        <v>River Raid II</v>
      </c>
      <c r="B623" s="13" t="str">
        <f>IFERROR(__xludf.DUMMYFUNCTION("""COMPUTED_VALUE"""),"Xbox / PC")</f>
        <v>Xbox / PC</v>
      </c>
      <c r="C623" s="14" t="str">
        <f>IFERROR(__xludf.DUMMYFUNCTION("""COMPUTED_VALUE"""),"Yes")</f>
        <v>Yes</v>
      </c>
      <c r="D623" s="14" t="str">
        <f>IFERROR(__xludf.DUMMYFUNCTION("""COMPUTED_VALUE"""),"Active")</f>
        <v>Active</v>
      </c>
      <c r="E623" s="15">
        <f>IFERROR(__xludf.DUMMYFUNCTION("""COMPUTED_VALUE"""),45798.0)</f>
        <v>45798</v>
      </c>
      <c r="F623" s="16"/>
      <c r="G623" s="18">
        <f>IFERROR(__xludf.DUMMYFUNCTION("""COMPUTED_VALUE"""),16.5)</f>
        <v>16.5</v>
      </c>
      <c r="H623" s="15">
        <f>IFERROR(__xludf.DUMMYFUNCTION("""COMPUTED_VALUE"""),32352.0)</f>
        <v>32352</v>
      </c>
      <c r="I623" s="18">
        <f>IFERROR(__xludf.DUMMYFUNCTION("""COMPUTED_VALUE"""),36.81388888888889)</f>
        <v>36.81388889</v>
      </c>
      <c r="J623" s="22">
        <f>IFERROR(__xludf.DUMMYFUNCTION("""COMPUTED_VALUE"""),73.0)</f>
        <v>73</v>
      </c>
      <c r="K623" s="22"/>
      <c r="L623" s="26" t="str">
        <f>IFERROR(__xludf.DUMMYFUNCTION("""COMPUTED_VALUE"""),"Shooter")</f>
        <v>Shooter</v>
      </c>
      <c r="M623" s="26"/>
    </row>
    <row r="624">
      <c r="A624" s="12" t="str">
        <f>IFERROR(__xludf.DUMMYFUNCTION("""COMPUTED_VALUE"""),"Robot Tank")</f>
        <v>Robot Tank</v>
      </c>
      <c r="B624" s="13" t="str">
        <f>IFERROR(__xludf.DUMMYFUNCTION("""COMPUTED_VALUE"""),"Xbox / PC")</f>
        <v>Xbox / PC</v>
      </c>
      <c r="C624" s="14" t="str">
        <f>IFERROR(__xludf.DUMMYFUNCTION("""COMPUTED_VALUE"""),"Yes")</f>
        <v>Yes</v>
      </c>
      <c r="D624" s="14" t="str">
        <f>IFERROR(__xludf.DUMMYFUNCTION("""COMPUTED_VALUE"""),"Active")</f>
        <v>Active</v>
      </c>
      <c r="E624" s="15">
        <f>IFERROR(__xludf.DUMMYFUNCTION("""COMPUTED_VALUE"""),45798.0)</f>
        <v>45798</v>
      </c>
      <c r="F624" s="16"/>
      <c r="G624" s="18">
        <f>IFERROR(__xludf.DUMMYFUNCTION("""COMPUTED_VALUE"""),16.5)</f>
        <v>16.5</v>
      </c>
      <c r="H624" s="15">
        <f>IFERROR(__xludf.DUMMYFUNCTION("""COMPUTED_VALUE"""),30399.0)</f>
        <v>30399</v>
      </c>
      <c r="I624" s="18">
        <f>IFERROR(__xludf.DUMMYFUNCTION("""COMPUTED_VALUE"""),42.15833333333333)</f>
        <v>42.15833333</v>
      </c>
      <c r="J624" s="22">
        <f>IFERROR(__xludf.DUMMYFUNCTION("""COMPUTED_VALUE"""),73.0)</f>
        <v>73</v>
      </c>
      <c r="K624" s="22"/>
      <c r="L624" s="26" t="str">
        <f>IFERROR(__xludf.DUMMYFUNCTION("""COMPUTED_VALUE"""),"Shooter")</f>
        <v>Shooter</v>
      </c>
      <c r="M624" s="26"/>
    </row>
    <row r="625">
      <c r="A625" s="12" t="str">
        <f>IFERROR(__xludf.DUMMYFUNCTION("""COMPUTED_VALUE"""),"The Dagger of Amon Ra")</f>
        <v>The Dagger of Amon Ra</v>
      </c>
      <c r="B625" s="13" t="str">
        <f>IFERROR(__xludf.DUMMYFUNCTION("""COMPUTED_VALUE"""),"Xbox / PC")</f>
        <v>Xbox / PC</v>
      </c>
      <c r="C625" s="14" t="str">
        <f>IFERROR(__xludf.DUMMYFUNCTION("""COMPUTED_VALUE"""),"Yes")</f>
        <v>Yes</v>
      </c>
      <c r="D625" s="14" t="str">
        <f>IFERROR(__xludf.DUMMYFUNCTION("""COMPUTED_VALUE"""),"Active")</f>
        <v>Active</v>
      </c>
      <c r="E625" s="15">
        <f>IFERROR(__xludf.DUMMYFUNCTION("""COMPUTED_VALUE"""),45798.0)</f>
        <v>45798</v>
      </c>
      <c r="F625" s="16"/>
      <c r="G625" s="18">
        <f>IFERROR(__xludf.DUMMYFUNCTION("""COMPUTED_VALUE"""),16.5)</f>
        <v>16.5</v>
      </c>
      <c r="H625" s="15">
        <f>IFERROR(__xludf.DUMMYFUNCTION("""COMPUTED_VALUE"""),33604.0)</f>
        <v>33604</v>
      </c>
      <c r="I625" s="18">
        <f>IFERROR(__xludf.DUMMYFUNCTION("""COMPUTED_VALUE"""),33.388888888888886)</f>
        <v>33.38888889</v>
      </c>
      <c r="J625" s="22">
        <f>IFERROR(__xludf.DUMMYFUNCTION("""COMPUTED_VALUE"""),73.0)</f>
        <v>73</v>
      </c>
      <c r="K625" s="22">
        <f>IFERROR(__xludf.DUMMYFUNCTION("""COMPUTED_VALUE"""),4.0)</f>
        <v>4</v>
      </c>
      <c r="L625" s="26" t="str">
        <f>IFERROR(__xludf.DUMMYFUNCTION("""COMPUTED_VALUE"""),"Action‑Adventure")</f>
        <v>Action‑Adventure</v>
      </c>
      <c r="M625" s="26"/>
    </row>
    <row r="626">
      <c r="A626" s="12" t="str">
        <f>IFERROR(__xludf.DUMMYFUNCTION("""COMPUTED_VALUE"""),"Towerborne")</f>
        <v>Towerborne</v>
      </c>
      <c r="B626" s="13" t="str">
        <f>IFERROR(__xludf.DUMMYFUNCTION("""COMPUTED_VALUE"""),"Xbox / PC")</f>
        <v>Xbox / PC</v>
      </c>
      <c r="C626" s="14" t="str">
        <f>IFERROR(__xludf.DUMMYFUNCTION("""COMPUTED_VALUE"""),"Yes")</f>
        <v>Yes</v>
      </c>
      <c r="D626" s="14" t="str">
        <f>IFERROR(__xludf.DUMMYFUNCTION("""COMPUTED_VALUE"""),"Active")</f>
        <v>Active</v>
      </c>
      <c r="E626" s="15">
        <f>IFERROR(__xludf.DUMMYFUNCTION("""COMPUTED_VALUE"""),45776.0)</f>
        <v>45776</v>
      </c>
      <c r="F626" s="16"/>
      <c r="G626" s="18">
        <f>IFERROR(__xludf.DUMMYFUNCTION("""COMPUTED_VALUE"""),17.233333333333334)</f>
        <v>17.23333333</v>
      </c>
      <c r="H626" s="15">
        <f>IFERROR(__xludf.DUMMYFUNCTION("""COMPUTED_VALUE"""),45776.0)</f>
        <v>45776</v>
      </c>
      <c r="I626" s="18">
        <f>IFERROR(__xludf.DUMMYFUNCTION("""COMPUTED_VALUE"""),0.0)</f>
        <v>0</v>
      </c>
      <c r="J626" s="22">
        <f>IFERROR(__xludf.DUMMYFUNCTION("""COMPUTED_VALUE"""),73.0)</f>
        <v>73</v>
      </c>
      <c r="K626" s="22">
        <f>IFERROR(__xludf.DUMMYFUNCTION("""COMPUTED_VALUE"""),15.0)</f>
        <v>15</v>
      </c>
      <c r="L626" s="26" t="str">
        <f>IFERROR(__xludf.DUMMYFUNCTION("""COMPUTED_VALUE"""),"Beat-'Em-Up ")</f>
        <v>Beat-'Em-Up </v>
      </c>
      <c r="M626" s="26" t="str">
        <f>IFERROR(__xludf.DUMMYFUNCTION("""COMPUTED_VALUE"""),"Exclusive")</f>
        <v>Exclusive</v>
      </c>
    </row>
    <row r="627">
      <c r="A627" s="12" t="str">
        <f>IFERROR(__xludf.DUMMYFUNCTION("""COMPUTED_VALUE"""),"Dead Island 2")</f>
        <v>Dead Island 2</v>
      </c>
      <c r="B627" s="13" t="str">
        <f>IFERROR(__xludf.DUMMYFUNCTION("""COMPUTED_VALUE"""),"Xbox / PC")</f>
        <v>Xbox / PC</v>
      </c>
      <c r="C627" s="14" t="str">
        <f>IFERROR(__xludf.DUMMYFUNCTION("""COMPUTED_VALUE"""),"Yes")</f>
        <v>Yes</v>
      </c>
      <c r="D627" s="14" t="str">
        <f>IFERROR(__xludf.DUMMYFUNCTION("""COMPUTED_VALUE"""),"Active")</f>
        <v>Active</v>
      </c>
      <c r="E627" s="15">
        <f>IFERROR(__xludf.DUMMYFUNCTION("""COMPUTED_VALUE"""),45342.0)</f>
        <v>45342</v>
      </c>
      <c r="F627" s="16"/>
      <c r="G627" s="18">
        <f>IFERROR(__xludf.DUMMYFUNCTION("""COMPUTED_VALUE"""),31.53333333333333)</f>
        <v>31.53333333</v>
      </c>
      <c r="H627" s="15">
        <f>IFERROR(__xludf.DUMMYFUNCTION("""COMPUTED_VALUE"""),45037.0)</f>
        <v>45037</v>
      </c>
      <c r="I627" s="18">
        <f>IFERROR(__xludf.DUMMYFUNCTION("""COMPUTED_VALUE"""),0.8305555555555556)</f>
        <v>0.8305555556</v>
      </c>
      <c r="J627" s="22">
        <f>IFERROR(__xludf.DUMMYFUNCTION("""COMPUTED_VALUE"""),73.0)</f>
        <v>73</v>
      </c>
      <c r="K627" s="22">
        <f>IFERROR(__xludf.DUMMYFUNCTION("""COMPUTED_VALUE"""),16.0)</f>
        <v>16</v>
      </c>
      <c r="L627" s="26" t="str">
        <f>IFERROR(__xludf.DUMMYFUNCTION("""COMPUTED_VALUE"""),"Shooter")</f>
        <v>Shooter</v>
      </c>
      <c r="M627" s="26"/>
    </row>
    <row r="628">
      <c r="A628" s="12" t="str">
        <f>IFERROR(__xludf.DUMMYFUNCTION("""COMPUTED_VALUE"""),"PlateUp!")</f>
        <v>PlateUp!</v>
      </c>
      <c r="B628" s="13" t="str">
        <f>IFERROR(__xludf.DUMMYFUNCTION("""COMPUTED_VALUE"""),"Xbox / PC")</f>
        <v>Xbox / PC</v>
      </c>
      <c r="C628" s="14" t="str">
        <f>IFERROR(__xludf.DUMMYFUNCTION("""COMPUTED_VALUE"""),"Yes")</f>
        <v>Yes</v>
      </c>
      <c r="D628" s="14" t="str">
        <f>IFERROR(__xludf.DUMMYFUNCTION("""COMPUTED_VALUE"""),"Active")</f>
        <v>Active</v>
      </c>
      <c r="E628" s="15">
        <f>IFERROR(__xludf.DUMMYFUNCTION("""COMPUTED_VALUE"""),45337.0)</f>
        <v>45337</v>
      </c>
      <c r="F628" s="16"/>
      <c r="G628" s="18">
        <f>IFERROR(__xludf.DUMMYFUNCTION("""COMPUTED_VALUE"""),31.7)</f>
        <v>31.7</v>
      </c>
      <c r="H628" s="15">
        <f>IFERROR(__xludf.DUMMYFUNCTION("""COMPUTED_VALUE"""),44777.0)</f>
        <v>44777</v>
      </c>
      <c r="I628" s="18">
        <f>IFERROR(__xludf.DUMMYFUNCTION("""COMPUTED_VALUE"""),1.5305555555555554)</f>
        <v>1.530555556</v>
      </c>
      <c r="J628" s="22">
        <f>IFERROR(__xludf.DUMMYFUNCTION("""COMPUTED_VALUE"""),73.0)</f>
        <v>73</v>
      </c>
      <c r="K628" s="22">
        <f>IFERROR(__xludf.DUMMYFUNCTION("""COMPUTED_VALUE"""),19.0)</f>
        <v>19</v>
      </c>
      <c r="L628" s="26" t="str">
        <f>IFERROR(__xludf.DUMMYFUNCTION("""COMPUTED_VALUE"""),"Strategy")</f>
        <v>Strategy</v>
      </c>
      <c r="M628" s="26"/>
    </row>
    <row r="629">
      <c r="A629" s="119" t="str">
        <f>IFERROR(__xludf.DUMMYFUNCTION("""COMPUTED_VALUE"""),"Far Cry 6")</f>
        <v>Far Cry 6</v>
      </c>
      <c r="B629" s="13" t="str">
        <f>IFERROR(__xludf.DUMMYFUNCTION("""COMPUTED_VALUE"""),"Xbox / PC")</f>
        <v>Xbox / PC</v>
      </c>
      <c r="C629" s="14" t="str">
        <f>IFERROR(__xludf.DUMMYFUNCTION("""COMPUTED_VALUE"""),"Yes")</f>
        <v>Yes</v>
      </c>
      <c r="D629" s="14" t="str">
        <f>IFERROR(__xludf.DUMMYFUNCTION("""COMPUTED_VALUE"""),"Active")</f>
        <v>Active</v>
      </c>
      <c r="E629" s="15">
        <f>IFERROR(__xludf.DUMMYFUNCTION("""COMPUTED_VALUE"""),45274.0)</f>
        <v>45274</v>
      </c>
      <c r="F629" s="16"/>
      <c r="G629" s="18">
        <f>IFERROR(__xludf.DUMMYFUNCTION("""COMPUTED_VALUE"""),33.733333333333334)</f>
        <v>33.73333333</v>
      </c>
      <c r="H629" s="15">
        <f>IFERROR(__xludf.DUMMYFUNCTION("""COMPUTED_VALUE"""),44476.0)</f>
        <v>44476</v>
      </c>
      <c r="I629" s="18">
        <f>IFERROR(__xludf.DUMMYFUNCTION("""COMPUTED_VALUE"""),2.186111111111111)</f>
        <v>2.186111111</v>
      </c>
      <c r="J629" s="22">
        <f>IFERROR(__xludf.DUMMYFUNCTION("""COMPUTED_VALUE"""),73.0)</f>
        <v>73</v>
      </c>
      <c r="K629" s="22">
        <f>IFERROR(__xludf.DUMMYFUNCTION("""COMPUTED_VALUE"""),24.0)</f>
        <v>24</v>
      </c>
      <c r="L629" s="26" t="str">
        <f>IFERROR(__xludf.DUMMYFUNCTION("""COMPUTED_VALUE"""),"Shooter")</f>
        <v>Shooter</v>
      </c>
      <c r="M629" s="26"/>
    </row>
    <row r="630">
      <c r="A630" s="12" t="str">
        <f>IFERROR(__xludf.DUMMYFUNCTION("""COMPUTED_VALUE"""),"World War Z: Aftermath")</f>
        <v>World War Z: Aftermath</v>
      </c>
      <c r="B630" s="13" t="str">
        <f>IFERROR(__xludf.DUMMYFUNCTION("""COMPUTED_VALUE"""),"Xbox / PC")</f>
        <v>Xbox / PC</v>
      </c>
      <c r="C630" s="14" t="str">
        <f>IFERROR(__xludf.DUMMYFUNCTION("""COMPUTED_VALUE"""),"Yes")</f>
        <v>Yes</v>
      </c>
      <c r="D630" s="14" t="str">
        <f>IFERROR(__xludf.DUMMYFUNCTION("""COMPUTED_VALUE"""),"Active")</f>
        <v>Active</v>
      </c>
      <c r="E630" s="15">
        <f>IFERROR(__xludf.DUMMYFUNCTION("""COMPUTED_VALUE"""),45265.0)</f>
        <v>45265</v>
      </c>
      <c r="F630" s="16"/>
      <c r="G630" s="18">
        <f>IFERROR(__xludf.DUMMYFUNCTION("""COMPUTED_VALUE"""),34.03333333333333)</f>
        <v>34.03333333</v>
      </c>
      <c r="H630" s="15">
        <f>IFERROR(__xludf.DUMMYFUNCTION("""COMPUTED_VALUE"""),43571.0)</f>
        <v>43571</v>
      </c>
      <c r="I630" s="18">
        <f>IFERROR(__xludf.DUMMYFUNCTION("""COMPUTED_VALUE"""),4.636111111111111)</f>
        <v>4.636111111</v>
      </c>
      <c r="J630" s="22">
        <f>IFERROR(__xludf.DUMMYFUNCTION("""COMPUTED_VALUE"""),73.0)</f>
        <v>73</v>
      </c>
      <c r="K630" s="22">
        <f>IFERROR(__xludf.DUMMYFUNCTION("""COMPUTED_VALUE"""),7.0)</f>
        <v>7</v>
      </c>
      <c r="L630" s="26" t="str">
        <f>IFERROR(__xludf.DUMMYFUNCTION("""COMPUTED_VALUE"""),"Action")</f>
        <v>Action</v>
      </c>
      <c r="M630" s="26"/>
    </row>
    <row r="631">
      <c r="A631" s="12" t="str">
        <f>IFERROR(__xludf.DUMMYFUNCTION("""COMPUTED_VALUE"""),"Medieval Dynasty")</f>
        <v>Medieval Dynasty</v>
      </c>
      <c r="B631" s="13" t="str">
        <f>IFERROR(__xludf.DUMMYFUNCTION("""COMPUTED_VALUE"""),"Xbox / PC")</f>
        <v>Xbox / PC</v>
      </c>
      <c r="C631" s="14" t="str">
        <f>IFERROR(__xludf.DUMMYFUNCTION("""COMPUTED_VALUE"""),"Yes")</f>
        <v>Yes</v>
      </c>
      <c r="D631" s="14" t="str">
        <f>IFERROR(__xludf.DUMMYFUNCTION("""COMPUTED_VALUE"""),"Active")</f>
        <v>Active</v>
      </c>
      <c r="E631" s="15">
        <f>IFERROR(__xludf.DUMMYFUNCTION("""COMPUTED_VALUE"""),44364.0)</f>
        <v>44364</v>
      </c>
      <c r="F631" s="16"/>
      <c r="G631" s="18">
        <f>IFERROR(__xludf.DUMMYFUNCTION("""COMPUTED_VALUE"""),63.63333333333334)</f>
        <v>63.63333333</v>
      </c>
      <c r="H631" s="15">
        <f>IFERROR(__xludf.DUMMYFUNCTION("""COMPUTED_VALUE"""),44091.0)</f>
        <v>44091</v>
      </c>
      <c r="I631" s="18">
        <f>IFERROR(__xludf.DUMMYFUNCTION("""COMPUTED_VALUE"""),0.75)</f>
        <v>0.75</v>
      </c>
      <c r="J631" s="22">
        <f>IFERROR(__xludf.DUMMYFUNCTION("""COMPUTED_VALUE"""),73.0)</f>
        <v>73</v>
      </c>
      <c r="K631" s="22">
        <f>IFERROR(__xludf.DUMMYFUNCTION("""COMPUTED_VALUE"""),29.5)</f>
        <v>29.5</v>
      </c>
      <c r="L631" s="26" t="str">
        <f>IFERROR(__xludf.DUMMYFUNCTION("""COMPUTED_VALUE"""),"RPG")</f>
        <v>RPG</v>
      </c>
      <c r="M631" s="26"/>
    </row>
    <row r="632">
      <c r="A632" s="12" t="str">
        <f>IFERROR(__xludf.DUMMYFUNCTION("""COMPUTED_VALUE"""),"Dante's Inferno")</f>
        <v>Dante's Inferno</v>
      </c>
      <c r="B632" s="13" t="str">
        <f>IFERROR(__xludf.DUMMYFUNCTION("""COMPUTED_VALUE"""),"Xbox")</f>
        <v>Xbox</v>
      </c>
      <c r="C632" s="14"/>
      <c r="D632" s="14" t="str">
        <f>IFERROR(__xludf.DUMMYFUNCTION("""COMPUTED_VALUE"""),"Active")</f>
        <v>Active</v>
      </c>
      <c r="E632" s="15">
        <f>IFERROR(__xludf.DUMMYFUNCTION("""COMPUTED_VALUE"""),44145.0)</f>
        <v>44145</v>
      </c>
      <c r="F632" s="16"/>
      <c r="G632" s="18">
        <f>IFERROR(__xludf.DUMMYFUNCTION("""COMPUTED_VALUE"""),70.86666666666667)</f>
        <v>70.86666667</v>
      </c>
      <c r="H632" s="15">
        <f>IFERROR(__xludf.DUMMYFUNCTION("""COMPUTED_VALUE"""),40218.0)</f>
        <v>40218</v>
      </c>
      <c r="I632" s="18">
        <f>IFERROR(__xludf.DUMMYFUNCTION("""COMPUTED_VALUE"""),10.752777777777778)</f>
        <v>10.75277778</v>
      </c>
      <c r="J632" s="22">
        <f>IFERROR(__xludf.DUMMYFUNCTION("""COMPUTED_VALUE"""),73.0)</f>
        <v>73</v>
      </c>
      <c r="K632" s="22">
        <f>IFERROR(__xludf.DUMMYFUNCTION("""COMPUTED_VALUE"""),8.0)</f>
        <v>8</v>
      </c>
      <c r="L632" s="26" t="str">
        <f>IFERROR(__xludf.DUMMYFUNCTION("""COMPUTED_VALUE"""),"Action")</f>
        <v>Action</v>
      </c>
      <c r="M632" s="26"/>
    </row>
    <row r="633">
      <c r="A633" s="12" t="str">
        <f>IFERROR(__xludf.DUMMYFUNCTION("""COMPUTED_VALUE"""),"Medal of Honor: Airborne")</f>
        <v>Medal of Honor: Airborne</v>
      </c>
      <c r="B633" s="13" t="str">
        <f>IFERROR(__xludf.DUMMYFUNCTION("""COMPUTED_VALUE"""),"Xbox / PC")</f>
        <v>Xbox / PC</v>
      </c>
      <c r="C633" s="14"/>
      <c r="D633" s="14" t="str">
        <f>IFERROR(__xludf.DUMMYFUNCTION("""COMPUTED_VALUE"""),"Active")</f>
        <v>Active</v>
      </c>
      <c r="E633" s="15">
        <f>IFERROR(__xludf.DUMMYFUNCTION("""COMPUTED_VALUE"""),44145.0)</f>
        <v>44145</v>
      </c>
      <c r="F633" s="16"/>
      <c r="G633" s="18">
        <f>IFERROR(__xludf.DUMMYFUNCTION("""COMPUTED_VALUE"""),70.86666666666667)</f>
        <v>70.86666667</v>
      </c>
      <c r="H633" s="15">
        <f>IFERROR(__xludf.DUMMYFUNCTION("""COMPUTED_VALUE"""),39329.0)</f>
        <v>39329</v>
      </c>
      <c r="I633" s="18">
        <f>IFERROR(__xludf.DUMMYFUNCTION("""COMPUTED_VALUE"""),13.183333333333334)</f>
        <v>13.18333333</v>
      </c>
      <c r="J633" s="22">
        <f>IFERROR(__xludf.DUMMYFUNCTION("""COMPUTED_VALUE"""),73.0)</f>
        <v>73</v>
      </c>
      <c r="K633" s="22">
        <f>IFERROR(__xludf.DUMMYFUNCTION("""COMPUTED_VALUE"""),6.0)</f>
        <v>6</v>
      </c>
      <c r="L633" s="26" t="str">
        <f>IFERROR(__xludf.DUMMYFUNCTION("""COMPUTED_VALUE"""),"Shooter")</f>
        <v>Shooter</v>
      </c>
      <c r="M633" s="26" t="str">
        <f>IFERROR(__xludf.DUMMYFUNCTION("""COMPUTED_VALUE"""),"FPS Boost")</f>
        <v>FPS Boost</v>
      </c>
    </row>
    <row r="634">
      <c r="A634" s="12" t="str">
        <f>IFERROR(__xludf.DUMMYFUNCTION("""COMPUTED_VALUE"""),"The Walking Dead: A New Frontier")</f>
        <v>The Walking Dead: A New Frontier</v>
      </c>
      <c r="B634" s="13" t="str">
        <f>IFERROR(__xludf.DUMMYFUNCTION("""COMPUTED_VALUE"""),"Xbox / PC")</f>
        <v>Xbox / PC</v>
      </c>
      <c r="C634" s="14" t="str">
        <f>IFERROR(__xludf.DUMMYFUNCTION("""COMPUTED_VALUE"""),"Touch Controls")</f>
        <v>Touch Controls</v>
      </c>
      <c r="D634" s="14" t="str">
        <f>IFERROR(__xludf.DUMMYFUNCTION("""COMPUTED_VALUE"""),"Active")</f>
        <v>Active</v>
      </c>
      <c r="E634" s="15">
        <f>IFERROR(__xludf.DUMMYFUNCTION("""COMPUTED_VALUE"""),43573.0)</f>
        <v>43573</v>
      </c>
      <c r="F634" s="16"/>
      <c r="G634" s="18">
        <f>IFERROR(__xludf.DUMMYFUNCTION("""COMPUTED_VALUE"""),89.6)</f>
        <v>89.6</v>
      </c>
      <c r="H634" s="15">
        <f>IFERROR(__xludf.DUMMYFUNCTION("""COMPUTED_VALUE"""),42724.0)</f>
        <v>42724</v>
      </c>
      <c r="I634" s="18">
        <f>IFERROR(__xludf.DUMMYFUNCTION("""COMPUTED_VALUE"""),2.327777777777778)</f>
        <v>2.327777778</v>
      </c>
      <c r="J634" s="22">
        <f>IFERROR(__xludf.DUMMYFUNCTION("""COMPUTED_VALUE"""),73.0)</f>
        <v>73</v>
      </c>
      <c r="K634" s="22">
        <f>IFERROR(__xludf.DUMMYFUNCTION("""COMPUTED_VALUE"""),8.0)</f>
        <v>8</v>
      </c>
      <c r="L634" s="26" t="str">
        <f>IFERROR(__xludf.DUMMYFUNCTION("""COMPUTED_VALUE"""),"Adventure")</f>
        <v>Adventure</v>
      </c>
      <c r="M634" s="26"/>
    </row>
    <row r="635">
      <c r="A635" s="12" t="str">
        <f>IFERROR(__xludf.DUMMYFUNCTION("""COMPUTED_VALUE"""),"Human: Fall Flat")</f>
        <v>Human: Fall Flat</v>
      </c>
      <c r="B635" s="13" t="str">
        <f>IFERROR(__xludf.DUMMYFUNCTION("""COMPUTED_VALUE"""),"Xbox / PC")</f>
        <v>Xbox / PC</v>
      </c>
      <c r="C635" s="14" t="str">
        <f>IFERROR(__xludf.DUMMYFUNCTION("""COMPUTED_VALUE"""),"Yes")</f>
        <v>Yes</v>
      </c>
      <c r="D635" s="14" t="str">
        <f>IFERROR(__xludf.DUMMYFUNCTION("""COMPUTED_VALUE"""),"Active")</f>
        <v>Active</v>
      </c>
      <c r="E635" s="15">
        <f>IFERROR(__xludf.DUMMYFUNCTION("""COMPUTED_VALUE"""),43282.0)</f>
        <v>43282</v>
      </c>
      <c r="F635" s="16"/>
      <c r="G635" s="18">
        <f>IFERROR(__xludf.DUMMYFUNCTION("""COMPUTED_VALUE"""),99.16666666666667)</f>
        <v>99.16666667</v>
      </c>
      <c r="H635" s="15">
        <f>IFERROR(__xludf.DUMMYFUNCTION("""COMPUTED_VALUE"""),42573.0)</f>
        <v>42573</v>
      </c>
      <c r="I635" s="18">
        <f>IFERROR(__xludf.DUMMYFUNCTION("""COMPUTED_VALUE"""),1.9416666666666667)</f>
        <v>1.941666667</v>
      </c>
      <c r="J635" s="22">
        <f>IFERROR(__xludf.DUMMYFUNCTION("""COMPUTED_VALUE"""),73.0)</f>
        <v>73</v>
      </c>
      <c r="K635" s="22">
        <f>IFERROR(__xludf.DUMMYFUNCTION("""COMPUTED_VALUE"""),5.5)</f>
        <v>5.5</v>
      </c>
      <c r="L635" s="26" t="str">
        <f>IFERROR(__xludf.DUMMYFUNCTION("""COMPUTED_VALUE"""),"Puzzle")</f>
        <v>Puzzle</v>
      </c>
      <c r="M635" s="26" t="str">
        <f>IFERROR(__xludf.DUMMYFUNCTION("""COMPUTED_VALUE"""),"Optimized")</f>
        <v>Optimized</v>
      </c>
    </row>
    <row r="636">
      <c r="A636" s="12" t="str">
        <f>IFERROR(__xludf.DUMMYFUNCTION("""COMPUTED_VALUE"""),"Banjo-Tooie")</f>
        <v>Banjo-Tooie</v>
      </c>
      <c r="B636" s="13" t="str">
        <f>IFERROR(__xludf.DUMMYFUNCTION("""COMPUTED_VALUE"""),"Xbox")</f>
        <v>Xbox</v>
      </c>
      <c r="C636" s="14" t="str">
        <f>IFERROR(__xludf.DUMMYFUNCTION("""COMPUTED_VALUE"""),"Touch Controls")</f>
        <v>Touch Controls</v>
      </c>
      <c r="D636" s="14" t="str">
        <f>IFERROR(__xludf.DUMMYFUNCTION("""COMPUTED_VALUE"""),"Active")</f>
        <v>Active</v>
      </c>
      <c r="E636" s="15">
        <f>IFERROR(__xludf.DUMMYFUNCTION("""COMPUTED_VALUE"""),42887.0)</f>
        <v>42887</v>
      </c>
      <c r="F636" s="16"/>
      <c r="G636" s="18">
        <f>IFERROR(__xludf.DUMMYFUNCTION("""COMPUTED_VALUE"""),112.16666666666666)</f>
        <v>112.1666667</v>
      </c>
      <c r="H636" s="15">
        <f>IFERROR(__xludf.DUMMYFUNCTION("""COMPUTED_VALUE"""),36849.0)</f>
        <v>36849</v>
      </c>
      <c r="I636" s="18">
        <f>IFERROR(__xludf.DUMMYFUNCTION("""COMPUTED_VALUE"""),16.533333333333335)</f>
        <v>16.53333333</v>
      </c>
      <c r="J636" s="22">
        <f>IFERROR(__xludf.DUMMYFUNCTION("""COMPUTED_VALUE"""),73.0)</f>
        <v>73</v>
      </c>
      <c r="K636" s="22">
        <f>IFERROR(__xludf.DUMMYFUNCTION("""COMPUTED_VALUE"""),16.0)</f>
        <v>16</v>
      </c>
      <c r="L636" s="26" t="str">
        <f>IFERROR(__xludf.DUMMYFUNCTION("""COMPUTED_VALUE"""),"Adventure")</f>
        <v>Adventure</v>
      </c>
      <c r="M636" s="26"/>
    </row>
    <row r="637">
      <c r="A637" s="12" t="str">
        <f>IFERROR(__xludf.DUMMYFUNCTION("""COMPUTED_VALUE"""),"Jetpac Refuelled")</f>
        <v>Jetpac Refuelled</v>
      </c>
      <c r="B637" s="13" t="str">
        <f>IFERROR(__xludf.DUMMYFUNCTION("""COMPUTED_VALUE"""),"Xbox")</f>
        <v>Xbox</v>
      </c>
      <c r="C637" s="14" t="str">
        <f>IFERROR(__xludf.DUMMYFUNCTION("""COMPUTED_VALUE"""),"Touch Controls")</f>
        <v>Touch Controls</v>
      </c>
      <c r="D637" s="14" t="str">
        <f>IFERROR(__xludf.DUMMYFUNCTION("""COMPUTED_VALUE"""),"Active")</f>
        <v>Active</v>
      </c>
      <c r="E637" s="15">
        <f>IFERROR(__xludf.DUMMYFUNCTION("""COMPUTED_VALUE"""),42887.0)</f>
        <v>42887</v>
      </c>
      <c r="F637" s="16"/>
      <c r="G637" s="18">
        <f>IFERROR(__xludf.DUMMYFUNCTION("""COMPUTED_VALUE"""),112.16666666666666)</f>
        <v>112.1666667</v>
      </c>
      <c r="H637" s="15">
        <f>IFERROR(__xludf.DUMMYFUNCTION("""COMPUTED_VALUE"""),39169.0)</f>
        <v>39169</v>
      </c>
      <c r="I637" s="18">
        <f>IFERROR(__xludf.DUMMYFUNCTION("""COMPUTED_VALUE"""),10.175)</f>
        <v>10.175</v>
      </c>
      <c r="J637" s="22">
        <f>IFERROR(__xludf.DUMMYFUNCTION("""COMPUTED_VALUE"""),73.0)</f>
        <v>73</v>
      </c>
      <c r="K637" s="22">
        <f>IFERROR(__xludf.DUMMYFUNCTION("""COMPUTED_VALUE"""),4.5)</f>
        <v>4.5</v>
      </c>
      <c r="L637" s="26" t="str">
        <f>IFERROR(__xludf.DUMMYFUNCTION("""COMPUTED_VALUE"""),"Shooter")</f>
        <v>Shooter</v>
      </c>
      <c r="M637" s="26"/>
    </row>
    <row r="638">
      <c r="A638" s="12" t="str">
        <f>IFERROR(__xludf.DUMMYFUNCTION("""COMPUTED_VALUE"""),"Evil West")</f>
        <v>Evil West</v>
      </c>
      <c r="B638" s="13" t="str">
        <f>IFERROR(__xludf.DUMMYFUNCTION("""COMPUTED_VALUE"""),"Xbox / PC")</f>
        <v>Xbox / PC</v>
      </c>
      <c r="C638" s="14" t="str">
        <f>IFERROR(__xludf.DUMMYFUNCTION("""COMPUTED_VALUE"""),"Yes")</f>
        <v>Yes</v>
      </c>
      <c r="D638" s="14" t="str">
        <f>IFERROR(__xludf.DUMMYFUNCTION("""COMPUTED_VALUE"""),"Leaving Soon")</f>
        <v>Leaving Soon</v>
      </c>
      <c r="E638" s="15">
        <f>IFERROR(__xludf.DUMMYFUNCTION("""COMPUTED_VALUE"""),45951.0)</f>
        <v>45951</v>
      </c>
      <c r="F638" s="16">
        <f>IFERROR(__xludf.DUMMYFUNCTION("""COMPUTED_VALUE"""),46310.0)</f>
        <v>46310</v>
      </c>
      <c r="G638" s="18">
        <f>IFERROR(__xludf.DUMMYFUNCTION("""COMPUTED_VALUE"""),11.799999999999999)</f>
        <v>11.8</v>
      </c>
      <c r="H638" s="15">
        <f>IFERROR(__xludf.DUMMYFUNCTION("""COMPUTED_VALUE"""),44887.0)</f>
        <v>44887</v>
      </c>
      <c r="I638" s="18">
        <f>IFERROR(__xludf.DUMMYFUNCTION("""COMPUTED_VALUE"""),2.9138888888888888)</f>
        <v>2.913888889</v>
      </c>
      <c r="J638" s="22">
        <f>IFERROR(__xludf.DUMMYFUNCTION("""COMPUTED_VALUE"""),73.0)</f>
        <v>73</v>
      </c>
      <c r="K638" s="22">
        <f>IFERROR(__xludf.DUMMYFUNCTION("""COMPUTED_VALUE"""),11.0)</f>
        <v>11</v>
      </c>
      <c r="L638" s="26" t="str">
        <f>IFERROR(__xludf.DUMMYFUNCTION("""COMPUTED_VALUE"""),"Shooter")</f>
        <v>Shooter</v>
      </c>
      <c r="M638" s="26"/>
    </row>
    <row r="639">
      <c r="A639" s="12" t="str">
        <f>IFERROR(__xludf.DUMMYFUNCTION("""COMPUTED_VALUE"""),"Indiana Jones and the Emperor's Tomb")</f>
        <v>Indiana Jones and the Emperor's Tomb</v>
      </c>
      <c r="B639" s="13" t="str">
        <f>IFERROR(__xludf.DUMMYFUNCTION("""COMPUTED_VALUE"""),"XB360/OG Xbox")</f>
        <v>XB360/OG Xbox</v>
      </c>
      <c r="C639" s="14"/>
      <c r="D639" s="14" t="str">
        <f>IFERROR(__xludf.DUMMYFUNCTION("""COMPUTED_VALUE"""),"GwG Permanent")</f>
        <v>GwG Permanent</v>
      </c>
      <c r="E639" s="15">
        <f>IFERROR(__xludf.DUMMYFUNCTION("""COMPUTED_VALUE"""),44228.0)</f>
        <v>44228</v>
      </c>
      <c r="F639" s="16">
        <f>IFERROR(__xludf.DUMMYFUNCTION("""COMPUTED_VALUE"""),44243.0)</f>
        <v>44243</v>
      </c>
      <c r="G639" s="18">
        <f>IFERROR(__xludf.DUMMYFUNCTION("""COMPUTED_VALUE"""),0.5)</f>
        <v>0.5</v>
      </c>
      <c r="H639" s="15">
        <f>IFERROR(__xludf.DUMMYFUNCTION("""COMPUTED_VALUE"""),37677.0)</f>
        <v>37677</v>
      </c>
      <c r="I639" s="18">
        <f>IFERROR(__xludf.DUMMYFUNCTION("""COMPUTED_VALUE"""),17.933333333333334)</f>
        <v>17.93333333</v>
      </c>
      <c r="J639" s="22">
        <f>IFERROR(__xludf.DUMMYFUNCTION("""COMPUTED_VALUE"""),73.0)</f>
        <v>73</v>
      </c>
      <c r="K639" s="22">
        <f>IFERROR(__xludf.DUMMYFUNCTION("""COMPUTED_VALUE"""),11.0)</f>
        <v>11</v>
      </c>
      <c r="L639" s="26" t="str">
        <f>IFERROR(__xludf.DUMMYFUNCTION("""COMPUTED_VALUE"""),"Action-Adventure")</f>
        <v>Action-Adventure</v>
      </c>
      <c r="M639" s="26" t="str">
        <f>IFERROR(__xludf.DUMMYFUNCTION("""COMPUTED_VALUE"""),"Enhanced")</f>
        <v>Enhanced</v>
      </c>
    </row>
    <row r="640">
      <c r="A640" s="12" t="str">
        <f>IFERROR(__xludf.DUMMYFUNCTION("""COMPUTED_VALUE"""),"JUJU")</f>
        <v>JUJU</v>
      </c>
      <c r="B640" s="13" t="str">
        <f>IFERROR(__xludf.DUMMYFUNCTION("""COMPUTED_VALUE"""),"XB360/OG Xbox")</f>
        <v>XB360/OG Xbox</v>
      </c>
      <c r="C640" s="14"/>
      <c r="D640" s="14" t="str">
        <f>IFERROR(__xludf.DUMMYFUNCTION("""COMPUTED_VALUE"""),"GwG Permanent")</f>
        <v>GwG Permanent</v>
      </c>
      <c r="E640" s="15">
        <f>IFERROR(__xludf.DUMMYFUNCTION("""COMPUTED_VALUE"""),44028.0)</f>
        <v>44028</v>
      </c>
      <c r="F640" s="16">
        <f>IFERROR(__xludf.DUMMYFUNCTION("""COMPUTED_VALUE"""),44043.0)</f>
        <v>44043</v>
      </c>
      <c r="G640" s="18">
        <f>IFERROR(__xludf.DUMMYFUNCTION("""COMPUTED_VALUE"""),0.4666666666666667)</f>
        <v>0.4666666667</v>
      </c>
      <c r="H640" s="15">
        <f>IFERROR(__xludf.DUMMYFUNCTION("""COMPUTED_VALUE"""),41982.0)</f>
        <v>41982</v>
      </c>
      <c r="I640" s="18">
        <f>IFERROR(__xludf.DUMMYFUNCTION("""COMPUTED_VALUE"""),5.602777777777778)</f>
        <v>5.602777778</v>
      </c>
      <c r="J640" s="22">
        <f>IFERROR(__xludf.DUMMYFUNCTION("""COMPUTED_VALUE"""),73.0)</f>
        <v>73</v>
      </c>
      <c r="K640" s="22">
        <f>IFERROR(__xludf.DUMMYFUNCTION("""COMPUTED_VALUE"""),5.0)</f>
        <v>5</v>
      </c>
      <c r="L640" s="26" t="str">
        <f>IFERROR(__xludf.DUMMYFUNCTION("""COMPUTED_VALUE"""),"Platformer")</f>
        <v>Platformer</v>
      </c>
      <c r="M640" s="26"/>
    </row>
    <row r="641">
      <c r="A641" s="12" t="str">
        <f>IFERROR(__xludf.DUMMYFUNCTION("""COMPUTED_VALUE"""),"Brave: The Video Game")</f>
        <v>Brave: The Video Game</v>
      </c>
      <c r="B641" s="13" t="str">
        <f>IFERROR(__xludf.DUMMYFUNCTION("""COMPUTED_VALUE"""),"XB360/OG Xbox")</f>
        <v>XB360/OG Xbox</v>
      </c>
      <c r="C641" s="14"/>
      <c r="D641" s="14" t="str">
        <f>IFERROR(__xludf.DUMMYFUNCTION("""COMPUTED_VALUE"""),"GwG Permanent")</f>
        <v>GwG Permanent</v>
      </c>
      <c r="E641" s="15">
        <f>IFERROR(__xludf.DUMMYFUNCTION("""COMPUTED_VALUE"""),43160.0)</f>
        <v>43160</v>
      </c>
      <c r="F641" s="16">
        <f>IFERROR(__xludf.DUMMYFUNCTION("""COMPUTED_VALUE"""),43174.0)</f>
        <v>43174</v>
      </c>
      <c r="G641" s="18">
        <f>IFERROR(__xludf.DUMMYFUNCTION("""COMPUTED_VALUE"""),0.4666666666666667)</f>
        <v>0.4666666667</v>
      </c>
      <c r="H641" s="15">
        <f>IFERROR(__xludf.DUMMYFUNCTION("""COMPUTED_VALUE"""),42291.0)</f>
        <v>42291</v>
      </c>
      <c r="I641" s="18">
        <f>IFERROR(__xludf.DUMMYFUNCTION("""COMPUTED_VALUE"""),2.3805555555555555)</f>
        <v>2.380555556</v>
      </c>
      <c r="J641" s="22">
        <f>IFERROR(__xludf.DUMMYFUNCTION("""COMPUTED_VALUE"""),73.0)</f>
        <v>73</v>
      </c>
      <c r="K641" s="22">
        <f>IFERROR(__xludf.DUMMYFUNCTION("""COMPUTED_VALUE"""),6.0)</f>
        <v>6</v>
      </c>
      <c r="L641" s="26" t="str">
        <f>IFERROR(__xludf.DUMMYFUNCTION("""COMPUTED_VALUE"""),"Action")</f>
        <v>Action</v>
      </c>
      <c r="M641" s="26"/>
    </row>
    <row r="642">
      <c r="A642" s="12" t="str">
        <f>IFERROR(__xludf.DUMMYFUNCTION("""COMPUTED_VALUE"""),"LEGO Pirates of the Caribbean: The Video Game")</f>
        <v>LEGO Pirates of the Caribbean: The Video Game</v>
      </c>
      <c r="B642" s="13" t="str">
        <f>IFERROR(__xludf.DUMMYFUNCTION("""COMPUTED_VALUE"""),"XB360/OG Xbox")</f>
        <v>XB360/OG Xbox</v>
      </c>
      <c r="C642" s="14"/>
      <c r="D642" s="14" t="str">
        <f>IFERROR(__xludf.DUMMYFUNCTION("""COMPUTED_VALUE"""),"GwG Permanent")</f>
        <v>GwG Permanent</v>
      </c>
      <c r="E642" s="15">
        <f>IFERROR(__xludf.DUMMYFUNCTION("""COMPUTED_VALUE"""),42932.0)</f>
        <v>42932</v>
      </c>
      <c r="F642" s="16">
        <f>IFERROR(__xludf.DUMMYFUNCTION("""COMPUTED_VALUE"""),42947.0)</f>
        <v>42947</v>
      </c>
      <c r="G642" s="18">
        <f>IFERROR(__xludf.DUMMYFUNCTION("""COMPUTED_VALUE"""),0.4666666666666667)</f>
        <v>0.4666666667</v>
      </c>
      <c r="H642" s="15">
        <f>IFERROR(__xludf.DUMMYFUNCTION("""COMPUTED_VALUE"""),40673.0)</f>
        <v>40673</v>
      </c>
      <c r="I642" s="18">
        <f>IFERROR(__xludf.DUMMYFUNCTION("""COMPUTED_VALUE"""),6.183333333333334)</f>
        <v>6.183333333</v>
      </c>
      <c r="J642" s="22">
        <f>IFERROR(__xludf.DUMMYFUNCTION("""COMPUTED_VALUE"""),73.0)</f>
        <v>73</v>
      </c>
      <c r="K642" s="22">
        <f>IFERROR(__xludf.DUMMYFUNCTION("""COMPUTED_VALUE"""),27.0)</f>
        <v>27</v>
      </c>
      <c r="L642" s="26" t="str">
        <f>IFERROR(__xludf.DUMMYFUNCTION("""COMPUTED_VALUE"""),"Action-Adventure")</f>
        <v>Action-Adventure</v>
      </c>
      <c r="M642" s="26"/>
    </row>
    <row r="643">
      <c r="A643" s="12" t="str">
        <f>IFERROR(__xludf.DUMMYFUNCTION("""COMPUTED_VALUE"""),"Battletoads")</f>
        <v>Battletoads</v>
      </c>
      <c r="B643" s="13" t="str">
        <f>IFERROR(__xludf.DUMMYFUNCTION("""COMPUTED_VALUE"""),"Xbox / PC")</f>
        <v>Xbox / PC</v>
      </c>
      <c r="C643" s="14" t="str">
        <f>IFERROR(__xludf.DUMMYFUNCTION("""COMPUTED_VALUE"""),"Yes")</f>
        <v>Yes</v>
      </c>
      <c r="D643" s="14" t="str">
        <f>IFERROR(__xludf.DUMMYFUNCTION("""COMPUTED_VALUE"""),"Active")</f>
        <v>Active</v>
      </c>
      <c r="E643" s="15">
        <f>IFERROR(__xludf.DUMMYFUNCTION("""COMPUTED_VALUE"""),44063.0)</f>
        <v>44063</v>
      </c>
      <c r="F643" s="16"/>
      <c r="G643" s="18">
        <f>IFERROR(__xludf.DUMMYFUNCTION("""COMPUTED_VALUE"""),73.53333333333333)</f>
        <v>73.53333333</v>
      </c>
      <c r="H643" s="15">
        <f>IFERROR(__xludf.DUMMYFUNCTION("""COMPUTED_VALUE"""),44063.0)</f>
        <v>44063</v>
      </c>
      <c r="I643" s="18">
        <f>IFERROR(__xludf.DUMMYFUNCTION("""COMPUTED_VALUE"""),0.0)</f>
        <v>0</v>
      </c>
      <c r="J643" s="22">
        <f>IFERROR(__xludf.DUMMYFUNCTION("""COMPUTED_VALUE"""),72.5)</f>
        <v>72.5</v>
      </c>
      <c r="K643" s="22">
        <f>IFERROR(__xludf.DUMMYFUNCTION("""COMPUTED_VALUE"""),4.0)</f>
        <v>4</v>
      </c>
      <c r="L643" s="26" t="str">
        <f>IFERROR(__xludf.DUMMYFUNCTION("""COMPUTED_VALUE"""),"Brawler")</f>
        <v>Brawler</v>
      </c>
      <c r="M643" s="26"/>
    </row>
    <row r="644">
      <c r="A644" s="12" t="str">
        <f>IFERROR(__xludf.DUMMYFUNCTION("""COMPUTED_VALUE"""),"Minecraft Dungeons")</f>
        <v>Minecraft Dungeons</v>
      </c>
      <c r="B644" s="13" t="str">
        <f>IFERROR(__xludf.DUMMYFUNCTION("""COMPUTED_VALUE"""),"Xbox / PC")</f>
        <v>Xbox / PC</v>
      </c>
      <c r="C644" s="14" t="str">
        <f>IFERROR(__xludf.DUMMYFUNCTION("""COMPUTED_VALUE"""),"Touch Controls")</f>
        <v>Touch Controls</v>
      </c>
      <c r="D644" s="14" t="str">
        <f>IFERROR(__xludf.DUMMYFUNCTION("""COMPUTED_VALUE"""),"Active")</f>
        <v>Active</v>
      </c>
      <c r="E644" s="15">
        <f>IFERROR(__xludf.DUMMYFUNCTION("""COMPUTED_VALUE"""),43977.0)</f>
        <v>43977</v>
      </c>
      <c r="F644" s="16"/>
      <c r="G644" s="18">
        <f>IFERROR(__xludf.DUMMYFUNCTION("""COMPUTED_VALUE"""),76.33333333333333)</f>
        <v>76.33333333</v>
      </c>
      <c r="H644" s="15">
        <f>IFERROR(__xludf.DUMMYFUNCTION("""COMPUTED_VALUE"""),43977.0)</f>
        <v>43977</v>
      </c>
      <c r="I644" s="18">
        <f>IFERROR(__xludf.DUMMYFUNCTION("""COMPUTED_VALUE"""),0.0)</f>
        <v>0</v>
      </c>
      <c r="J644" s="22">
        <f>IFERROR(__xludf.DUMMYFUNCTION("""COMPUTED_VALUE"""),72.5)</f>
        <v>72.5</v>
      </c>
      <c r="K644" s="22">
        <f>IFERROR(__xludf.DUMMYFUNCTION("""COMPUTED_VALUE"""),5.0)</f>
        <v>5</v>
      </c>
      <c r="L644" s="26" t="str">
        <f>IFERROR(__xludf.DUMMYFUNCTION("""COMPUTED_VALUE"""),"RPG")</f>
        <v>RPG</v>
      </c>
      <c r="M644" s="26" t="str">
        <f>IFERROR(__xludf.DUMMYFUNCTION("""COMPUTED_VALUE"""),"Optimized")</f>
        <v>Optimized</v>
      </c>
    </row>
    <row r="645">
      <c r="A645" s="12" t="str">
        <f>IFERROR(__xludf.DUMMYFUNCTION("""COMPUTED_VALUE"""),"Beast of Reincarnation")</f>
        <v>Beast of Reincarnation</v>
      </c>
      <c r="B645" s="13" t="str">
        <f>IFERROR(__xludf.DUMMYFUNCTION("""COMPUTED_VALUE"""),"Xbox / PC")</f>
        <v>Xbox / PC</v>
      </c>
      <c r="C645" s="14" t="str">
        <f>IFERROR(__xludf.DUMMYFUNCTION("""COMPUTED_VALUE"""),"Yes")</f>
        <v>Yes</v>
      </c>
      <c r="D645" s="14" t="str">
        <f>IFERROR(__xludf.DUMMYFUNCTION("""COMPUTED_VALUE"""),"Active")</f>
        <v>Active</v>
      </c>
      <c r="E645" s="15">
        <f>IFERROR(__xludf.DUMMYFUNCTION("""COMPUTED_VALUE"""),46238.0)</f>
        <v>46238</v>
      </c>
      <c r="F645" s="16"/>
      <c r="G645" s="18">
        <f>IFERROR(__xludf.DUMMYFUNCTION("""COMPUTED_VALUE"""),2.0666666666666664)</f>
        <v>2.066666667</v>
      </c>
      <c r="H645" s="15">
        <f>IFERROR(__xludf.DUMMYFUNCTION("""COMPUTED_VALUE"""),46238.0)</f>
        <v>46238</v>
      </c>
      <c r="I645" s="18">
        <f>IFERROR(__xludf.DUMMYFUNCTION("""COMPUTED_VALUE"""),0.0)</f>
        <v>0</v>
      </c>
      <c r="J645" s="22">
        <f>IFERROR(__xludf.DUMMYFUNCTION("""COMPUTED_VALUE"""),72.0)</f>
        <v>72</v>
      </c>
      <c r="K645" s="22">
        <f>IFERROR(__xludf.DUMMYFUNCTION("""COMPUTED_VALUE"""),23.0)</f>
        <v>23</v>
      </c>
      <c r="L645" s="26" t="str">
        <f>IFERROR(__xludf.DUMMYFUNCTION("""COMPUTED_VALUE"""),"RPG")</f>
        <v>RPG</v>
      </c>
      <c r="M645" s="26" t="str">
        <f>IFERROR(__xludf.DUMMYFUNCTION("""COMPUTED_VALUE"""),"Exclusive")</f>
        <v>Exclusive</v>
      </c>
    </row>
    <row r="646">
      <c r="A646" s="12" t="str">
        <f>IFERROR(__xludf.DUMMYFUNCTION("""COMPUTED_VALUE"""),"Winds of Arcana: Ruination")</f>
        <v>Winds of Arcana: Ruination</v>
      </c>
      <c r="B646" s="13" t="str">
        <f>IFERROR(__xludf.DUMMYFUNCTION("""COMPUTED_VALUE"""),"Xbox / PC")</f>
        <v>Xbox / PC</v>
      </c>
      <c r="C646" s="14" t="str">
        <f>IFERROR(__xludf.DUMMYFUNCTION("""COMPUTED_VALUE"""),"Yes")</f>
        <v>Yes</v>
      </c>
      <c r="D646" s="14" t="str">
        <f>IFERROR(__xludf.DUMMYFUNCTION("""COMPUTED_VALUE"""),"Active")</f>
        <v>Active</v>
      </c>
      <c r="E646" s="15">
        <f>IFERROR(__xludf.DUMMYFUNCTION("""COMPUTED_VALUE"""),46209.0)</f>
        <v>46209</v>
      </c>
      <c r="F646" s="16"/>
      <c r="G646" s="18">
        <f>IFERROR(__xludf.DUMMYFUNCTION("""COMPUTED_VALUE"""),3.0)</f>
        <v>3</v>
      </c>
      <c r="H646" s="15">
        <f>IFERROR(__xludf.DUMMYFUNCTION("""COMPUTED_VALUE"""),45975.0)</f>
        <v>45975</v>
      </c>
      <c r="I646" s="18">
        <f>IFERROR(__xludf.DUMMYFUNCTION("""COMPUTED_VALUE"""),0.6444444444444445)</f>
        <v>0.6444444444</v>
      </c>
      <c r="J646" s="22">
        <f>IFERROR(__xludf.DUMMYFUNCTION("""COMPUTED_VALUE"""),72.0)</f>
        <v>72</v>
      </c>
      <c r="K646" s="22">
        <f>IFERROR(__xludf.DUMMYFUNCTION("""COMPUTED_VALUE"""),9.0)</f>
        <v>9</v>
      </c>
      <c r="L646" s="26" t="str">
        <f>IFERROR(__xludf.DUMMYFUNCTION("""COMPUTED_VALUE"""),"RPG")</f>
        <v>RPG</v>
      </c>
      <c r="M646" s="26"/>
    </row>
    <row r="647">
      <c r="A647" s="12" t="str">
        <f>IFERROR(__xludf.DUMMYFUNCTION("""COMPUTED_VALUE"""),"Wildgate")</f>
        <v>Wildgate</v>
      </c>
      <c r="B647" s="13" t="str">
        <f>IFERROR(__xludf.DUMMYFUNCTION("""COMPUTED_VALUE"""),"Xbox / PC")</f>
        <v>Xbox / PC</v>
      </c>
      <c r="C647" s="14" t="str">
        <f>IFERROR(__xludf.DUMMYFUNCTION("""COMPUTED_VALUE"""),"Yes")</f>
        <v>Yes</v>
      </c>
      <c r="D647" s="14" t="str">
        <f>IFERROR(__xludf.DUMMYFUNCTION("""COMPUTED_VALUE"""),"Active")</f>
        <v>Active</v>
      </c>
      <c r="E647" s="15">
        <f>IFERROR(__xludf.DUMMYFUNCTION("""COMPUTED_VALUE"""),46148.0)</f>
        <v>46148</v>
      </c>
      <c r="F647" s="16"/>
      <c r="G647" s="18">
        <f>IFERROR(__xludf.DUMMYFUNCTION("""COMPUTED_VALUE"""),5.0)</f>
        <v>5</v>
      </c>
      <c r="H647" s="15">
        <f>IFERROR(__xludf.DUMMYFUNCTION("""COMPUTED_VALUE"""),45860.0)</f>
        <v>45860</v>
      </c>
      <c r="I647" s="18">
        <f>IFERROR(__xludf.DUMMYFUNCTION("""COMPUTED_VALUE"""),0.7888888888888889)</f>
        <v>0.7888888889</v>
      </c>
      <c r="J647" s="22">
        <f>IFERROR(__xludf.DUMMYFUNCTION("""COMPUTED_VALUE"""),72.0)</f>
        <v>72</v>
      </c>
      <c r="K647" s="22">
        <f>IFERROR(__xludf.DUMMYFUNCTION("""COMPUTED_VALUE"""),19.0)</f>
        <v>19</v>
      </c>
      <c r="L647" s="26" t="str">
        <f>IFERROR(__xludf.DUMMYFUNCTION("""COMPUTED_VALUE"""),"Shooter")</f>
        <v>Shooter</v>
      </c>
      <c r="M647" s="26" t="str">
        <f>IFERROR(__xludf.DUMMYFUNCTION("""COMPUTED_VALUE"""),"Exclusive")</f>
        <v>Exclusive</v>
      </c>
    </row>
    <row r="648">
      <c r="A648" s="12" t="str">
        <f>IFERROR(__xludf.DUMMYFUNCTION("""COMPUTED_VALUE"""),"Construction Simulator")</f>
        <v>Construction Simulator</v>
      </c>
      <c r="B648" s="13" t="str">
        <f>IFERROR(__xludf.DUMMYFUNCTION("""COMPUTED_VALUE"""),"Xbox / PC")</f>
        <v>Xbox / PC</v>
      </c>
      <c r="C648" s="14" t="str">
        <f>IFERROR(__xludf.DUMMYFUNCTION("""COMPUTED_VALUE"""),"Yes")</f>
        <v>Yes</v>
      </c>
      <c r="D648" s="14" t="str">
        <f>IFERROR(__xludf.DUMMYFUNCTION("""COMPUTED_VALUE"""),"Active")</f>
        <v>Active</v>
      </c>
      <c r="E648" s="15">
        <f>IFERROR(__xludf.DUMMYFUNCTION("""COMPUTED_VALUE"""),46091.0)</f>
        <v>46091</v>
      </c>
      <c r="F648" s="16"/>
      <c r="G648" s="18">
        <f>IFERROR(__xludf.DUMMYFUNCTION("""COMPUTED_VALUE"""),6.866666666666666)</f>
        <v>6.866666667</v>
      </c>
      <c r="H648" s="15">
        <f>IFERROR(__xludf.DUMMYFUNCTION("""COMPUTED_VALUE"""),43775.0)</f>
        <v>43775</v>
      </c>
      <c r="I648" s="18">
        <f>IFERROR(__xludf.DUMMYFUNCTION("""COMPUTED_VALUE"""),6.344444444444444)</f>
        <v>6.344444444</v>
      </c>
      <c r="J648" s="22">
        <f>IFERROR(__xludf.DUMMYFUNCTION("""COMPUTED_VALUE"""),72.0)</f>
        <v>72</v>
      </c>
      <c r="K648" s="22">
        <f>IFERROR(__xludf.DUMMYFUNCTION("""COMPUTED_VALUE"""),43.0)</f>
        <v>43</v>
      </c>
      <c r="L648" s="26" t="str">
        <f>IFERROR(__xludf.DUMMYFUNCTION("""COMPUTED_VALUE"""),"Simulation")</f>
        <v>Simulation</v>
      </c>
      <c r="M648" s="26"/>
    </row>
    <row r="649">
      <c r="A649" s="12" t="str">
        <f>IFERROR(__xludf.DUMMYFUNCTION("""COMPUTED_VALUE"""),"Avatar: Frontiers of Pandora")</f>
        <v>Avatar: Frontiers of Pandora</v>
      </c>
      <c r="B649" s="13" t="str">
        <f>IFERROR(__xludf.DUMMYFUNCTION("""COMPUTED_VALUE"""),"Xbox / PC")</f>
        <v>Xbox / PC</v>
      </c>
      <c r="C649" s="14" t="str">
        <f>IFERROR(__xludf.DUMMYFUNCTION("""COMPUTED_VALUE"""),"Yes")</f>
        <v>Yes</v>
      </c>
      <c r="D649" s="14" t="str">
        <f>IFERROR(__xludf.DUMMYFUNCTION("""COMPUTED_VALUE"""),"Active")</f>
        <v>Active</v>
      </c>
      <c r="E649" s="15">
        <f>IFERROR(__xludf.DUMMYFUNCTION("""COMPUTED_VALUE"""),46070.0)</f>
        <v>46070</v>
      </c>
      <c r="F649" s="16"/>
      <c r="G649" s="18">
        <f>IFERROR(__xludf.DUMMYFUNCTION("""COMPUTED_VALUE"""),7.633333333333333)</f>
        <v>7.633333333</v>
      </c>
      <c r="H649" s="15">
        <f>IFERROR(__xludf.DUMMYFUNCTION("""COMPUTED_VALUE"""),45267.0)</f>
        <v>45267</v>
      </c>
      <c r="I649" s="18">
        <f>IFERROR(__xludf.DUMMYFUNCTION("""COMPUTED_VALUE"""),2.1944444444444446)</f>
        <v>2.194444444</v>
      </c>
      <c r="J649" s="22">
        <f>IFERROR(__xludf.DUMMYFUNCTION("""COMPUTED_VALUE"""),72.0)</f>
        <v>72</v>
      </c>
      <c r="K649" s="22">
        <f>IFERROR(__xludf.DUMMYFUNCTION("""COMPUTED_VALUE"""),18.0)</f>
        <v>18</v>
      </c>
      <c r="L649" s="26" t="str">
        <f>IFERROR(__xludf.DUMMYFUNCTION("""COMPUTED_VALUE"""),"Shooter")</f>
        <v>Shooter</v>
      </c>
      <c r="M649" s="26" t="str">
        <f>IFERROR(__xludf.DUMMYFUNCTION("""COMPUTED_VALUE"""),"Exclusive")</f>
        <v>Exclusive</v>
      </c>
    </row>
    <row r="650">
      <c r="A650" s="12" t="str">
        <f>IFERROR(__xludf.DUMMYFUNCTION("""COMPUTED_VALUE"""),"Assassin's Creed III: Remastered")</f>
        <v>Assassin's Creed III: Remastered</v>
      </c>
      <c r="B650" s="13" t="str">
        <f>IFERROR(__xludf.DUMMYFUNCTION("""COMPUTED_VALUE"""),"Xbox / PC")</f>
        <v>Xbox / PC</v>
      </c>
      <c r="C650" s="14" t="str">
        <f>IFERROR(__xludf.DUMMYFUNCTION("""COMPUTED_VALUE"""),"Yes")</f>
        <v>Yes</v>
      </c>
      <c r="D650" s="14" t="str">
        <f>IFERROR(__xludf.DUMMYFUNCTION("""COMPUTED_VALUE"""),"Active")</f>
        <v>Active</v>
      </c>
      <c r="E650" s="15">
        <f>IFERROR(__xludf.DUMMYFUNCTION("""COMPUTED_VALUE"""),45931.0)</f>
        <v>45931</v>
      </c>
      <c r="F650" s="16"/>
      <c r="G650" s="18">
        <f>IFERROR(__xludf.DUMMYFUNCTION("""COMPUTED_VALUE"""),12.166666666666666)</f>
        <v>12.16666667</v>
      </c>
      <c r="H650" s="15">
        <f>IFERROR(__xludf.DUMMYFUNCTION("""COMPUTED_VALUE"""),43553.0)</f>
        <v>43553</v>
      </c>
      <c r="I650" s="18">
        <f>IFERROR(__xludf.DUMMYFUNCTION("""COMPUTED_VALUE"""),6.5055555555555555)</f>
        <v>6.505555556</v>
      </c>
      <c r="J650" s="22">
        <f>IFERROR(__xludf.DUMMYFUNCTION("""COMPUTED_VALUE"""),72.0)</f>
        <v>72</v>
      </c>
      <c r="K650" s="22">
        <f>IFERROR(__xludf.DUMMYFUNCTION("""COMPUTED_VALUE"""),15.0)</f>
        <v>15</v>
      </c>
      <c r="L650" s="26" t="str">
        <f>IFERROR(__xludf.DUMMYFUNCTION("""COMPUTED_VALUE"""),"Action-Adventure")</f>
        <v>Action-Adventure</v>
      </c>
      <c r="M650" s="26"/>
    </row>
    <row r="651">
      <c r="A651" s="12" t="str">
        <f>IFERROR(__xludf.DUMMYFUNCTION("""COMPUTED_VALUE"""),"Assassin's Creed: The Ezio Collection")</f>
        <v>Assassin's Creed: The Ezio Collection</v>
      </c>
      <c r="B651" s="13" t="str">
        <f>IFERROR(__xludf.DUMMYFUNCTION("""COMPUTED_VALUE"""),"Xbox / PC")</f>
        <v>Xbox / PC</v>
      </c>
      <c r="C651" s="14" t="str">
        <f>IFERROR(__xludf.DUMMYFUNCTION("""COMPUTED_VALUE"""),"Yes")</f>
        <v>Yes</v>
      </c>
      <c r="D651" s="14" t="str">
        <f>IFERROR(__xludf.DUMMYFUNCTION("""COMPUTED_VALUE"""),"Active")</f>
        <v>Active</v>
      </c>
      <c r="E651" s="15">
        <f>IFERROR(__xludf.DUMMYFUNCTION("""COMPUTED_VALUE"""),45931.0)</f>
        <v>45931</v>
      </c>
      <c r="F651" s="16"/>
      <c r="G651" s="18">
        <f>IFERROR(__xludf.DUMMYFUNCTION("""COMPUTED_VALUE"""),12.166666666666666)</f>
        <v>12.16666667</v>
      </c>
      <c r="H651" s="15">
        <f>IFERROR(__xludf.DUMMYFUNCTION("""COMPUTED_VALUE"""),42689.0)</f>
        <v>42689</v>
      </c>
      <c r="I651" s="18">
        <f>IFERROR(__xludf.DUMMYFUNCTION("""COMPUTED_VALUE"""),8.877777777777778)</f>
        <v>8.877777778</v>
      </c>
      <c r="J651" s="22">
        <f>IFERROR(__xludf.DUMMYFUNCTION("""COMPUTED_VALUE"""),72.0)</f>
        <v>72</v>
      </c>
      <c r="K651" s="22">
        <f>IFERROR(__xludf.DUMMYFUNCTION("""COMPUTED_VALUE"""),72.0)</f>
        <v>72</v>
      </c>
      <c r="L651" s="26" t="str">
        <f>IFERROR(__xludf.DUMMYFUNCTION("""COMPUTED_VALUE"""),"Action-Adventure")</f>
        <v>Action-Adventure</v>
      </c>
      <c r="M651" s="26"/>
    </row>
    <row r="652">
      <c r="A652" s="12" t="str">
        <f>IFERROR(__xludf.DUMMYFUNCTION("""COMPUTED_VALUE"""),"Assassin's Creed Unity")</f>
        <v>Assassin's Creed Unity</v>
      </c>
      <c r="B652" s="13" t="str">
        <f>IFERROR(__xludf.DUMMYFUNCTION("""COMPUTED_VALUE"""),"Xbox / PC")</f>
        <v>Xbox / PC</v>
      </c>
      <c r="C652" s="14" t="str">
        <f>IFERROR(__xludf.DUMMYFUNCTION("""COMPUTED_VALUE"""),"Yes")</f>
        <v>Yes</v>
      </c>
      <c r="D652" s="14" t="str">
        <f>IFERROR(__xludf.DUMMYFUNCTION("""COMPUTED_VALUE"""),"Active")</f>
        <v>Active</v>
      </c>
      <c r="E652" s="15">
        <f>IFERROR(__xludf.DUMMYFUNCTION("""COMPUTED_VALUE"""),45931.0)</f>
        <v>45931</v>
      </c>
      <c r="F652" s="16"/>
      <c r="G652" s="18">
        <f>IFERROR(__xludf.DUMMYFUNCTION("""COMPUTED_VALUE"""),12.166666666666666)</f>
        <v>12.16666667</v>
      </c>
      <c r="H652" s="15">
        <f>IFERROR(__xludf.DUMMYFUNCTION("""COMPUTED_VALUE"""),41954.0)</f>
        <v>41954</v>
      </c>
      <c r="I652" s="18">
        <f>IFERROR(__xludf.DUMMYFUNCTION("""COMPUTED_VALUE"""),10.88888888888889)</f>
        <v>10.88888889</v>
      </c>
      <c r="J652" s="22">
        <f>IFERROR(__xludf.DUMMYFUNCTION("""COMPUTED_VALUE"""),72.0)</f>
        <v>72</v>
      </c>
      <c r="K652" s="22">
        <f>IFERROR(__xludf.DUMMYFUNCTION("""COMPUTED_VALUE"""),17.0)</f>
        <v>17</v>
      </c>
      <c r="L652" s="26" t="str">
        <f>IFERROR(__xludf.DUMMYFUNCTION("""COMPUTED_VALUE"""),"Action-Adventure")</f>
        <v>Action-Adventure</v>
      </c>
      <c r="M652" s="26"/>
    </row>
    <row r="653">
      <c r="A653" s="12" t="str">
        <f>IFERROR(__xludf.DUMMYFUNCTION("""COMPUTED_VALUE"""),"Caesar")</f>
        <v>Caesar</v>
      </c>
      <c r="B653" s="13" t="str">
        <f>IFERROR(__xludf.DUMMYFUNCTION("""COMPUTED_VALUE"""),"Xbox / PC")</f>
        <v>Xbox / PC</v>
      </c>
      <c r="C653" s="14" t="str">
        <f>IFERROR(__xludf.DUMMYFUNCTION("""COMPUTED_VALUE"""),"Yes")</f>
        <v>Yes</v>
      </c>
      <c r="D653" s="14" t="str">
        <f>IFERROR(__xludf.DUMMYFUNCTION("""COMPUTED_VALUE"""),"Active")</f>
        <v>Active</v>
      </c>
      <c r="E653" s="15">
        <f>IFERROR(__xludf.DUMMYFUNCTION("""COMPUTED_VALUE"""),45859.0)</f>
        <v>45859</v>
      </c>
      <c r="F653" s="16"/>
      <c r="G653" s="18">
        <f>IFERROR(__xludf.DUMMYFUNCTION("""COMPUTED_VALUE"""),14.5)</f>
        <v>14.5</v>
      </c>
      <c r="H653" s="15">
        <f>IFERROR(__xludf.DUMMYFUNCTION("""COMPUTED_VALUE"""),33889.0)</f>
        <v>33889</v>
      </c>
      <c r="I653" s="18">
        <f>IFERROR(__xludf.DUMMYFUNCTION("""COMPUTED_VALUE"""),32.775)</f>
        <v>32.775</v>
      </c>
      <c r="J653" s="22">
        <f>IFERROR(__xludf.DUMMYFUNCTION("""COMPUTED_VALUE"""),72.0)</f>
        <v>72</v>
      </c>
      <c r="K653" s="22">
        <f>IFERROR(__xludf.DUMMYFUNCTION("""COMPUTED_VALUE"""),8.0)</f>
        <v>8</v>
      </c>
      <c r="L653" s="26" t="str">
        <f>IFERROR(__xludf.DUMMYFUNCTION("""COMPUTED_VALUE"""),"City‑building")</f>
        <v>City‑building</v>
      </c>
      <c r="M653" s="26"/>
    </row>
    <row r="654">
      <c r="A654" s="12" t="str">
        <f>IFERROR(__xludf.DUMMYFUNCTION("""COMPUTED_VALUE"""),"Hard Head")</f>
        <v>Hard Head</v>
      </c>
      <c r="B654" s="13" t="str">
        <f>IFERROR(__xludf.DUMMYFUNCTION("""COMPUTED_VALUE"""),"Xbox / PC")</f>
        <v>Xbox / PC</v>
      </c>
      <c r="C654" s="14" t="str">
        <f>IFERROR(__xludf.DUMMYFUNCTION("""COMPUTED_VALUE"""),"Yes")</f>
        <v>Yes</v>
      </c>
      <c r="D654" s="14" t="str">
        <f>IFERROR(__xludf.DUMMYFUNCTION("""COMPUTED_VALUE"""),"Active")</f>
        <v>Active</v>
      </c>
      <c r="E654" s="15">
        <f>IFERROR(__xludf.DUMMYFUNCTION("""COMPUTED_VALUE"""),45859.0)</f>
        <v>45859</v>
      </c>
      <c r="F654" s="16"/>
      <c r="G654" s="18">
        <f>IFERROR(__xludf.DUMMYFUNCTION("""COMPUTED_VALUE"""),14.5)</f>
        <v>14.5</v>
      </c>
      <c r="H654" s="15">
        <f>IFERROR(__xludf.DUMMYFUNCTION("""COMPUTED_VALUE"""),30682.0)</f>
        <v>30682</v>
      </c>
      <c r="I654" s="18">
        <f>IFERROR(__xludf.DUMMYFUNCTION("""COMPUTED_VALUE"""),41.55555555555556)</f>
        <v>41.55555556</v>
      </c>
      <c r="J654" s="22">
        <f>IFERROR(__xludf.DUMMYFUNCTION("""COMPUTED_VALUE"""),72.0)</f>
        <v>72</v>
      </c>
      <c r="K654" s="22"/>
      <c r="L654" s="26" t="str">
        <f>IFERROR(__xludf.DUMMYFUNCTION("""COMPUTED_VALUE"""),"Action")</f>
        <v>Action</v>
      </c>
      <c r="M654" s="26"/>
    </row>
    <row r="655">
      <c r="A655" s="12" t="str">
        <f>IFERROR(__xludf.DUMMYFUNCTION("""COMPUTED_VALUE"""),"RoboCop: Rogue City")</f>
        <v>RoboCop: Rogue City</v>
      </c>
      <c r="B655" s="13" t="str">
        <f>IFERROR(__xludf.DUMMYFUNCTION("""COMPUTED_VALUE"""),"Xbox / PC")</f>
        <v>Xbox / PC</v>
      </c>
      <c r="C655" s="14" t="str">
        <f>IFERROR(__xludf.DUMMYFUNCTION("""COMPUTED_VALUE"""),"Yes")</f>
        <v>Yes</v>
      </c>
      <c r="D655" s="14" t="str">
        <f>IFERROR(__xludf.DUMMYFUNCTION("""COMPUTED_VALUE"""),"Active")</f>
        <v>Active</v>
      </c>
      <c r="E655" s="15">
        <f>IFERROR(__xludf.DUMMYFUNCTION("""COMPUTED_VALUE"""),45855.0)</f>
        <v>45855</v>
      </c>
      <c r="F655" s="16"/>
      <c r="G655" s="18">
        <f>IFERROR(__xludf.DUMMYFUNCTION("""COMPUTED_VALUE"""),14.633333333333335)</f>
        <v>14.63333333</v>
      </c>
      <c r="H655" s="15">
        <f>IFERROR(__xludf.DUMMYFUNCTION("""COMPUTED_VALUE"""),45232.0)</f>
        <v>45232</v>
      </c>
      <c r="I655" s="18">
        <f>IFERROR(__xludf.DUMMYFUNCTION("""COMPUTED_VALUE"""),1.7083333333333333)</f>
        <v>1.708333333</v>
      </c>
      <c r="J655" s="22">
        <f>IFERROR(__xludf.DUMMYFUNCTION("""COMPUTED_VALUE"""),72.0)</f>
        <v>72</v>
      </c>
      <c r="K655" s="22">
        <f>IFERROR(__xludf.DUMMYFUNCTION("""COMPUTED_VALUE"""),12.0)</f>
        <v>12</v>
      </c>
      <c r="L655" s="26" t="str">
        <f>IFERROR(__xludf.DUMMYFUNCTION("""COMPUTED_VALUE"""),"Shooter")</f>
        <v>Shooter</v>
      </c>
      <c r="M655" s="26" t="str">
        <f>IFERROR(__xludf.DUMMYFUNCTION("""COMPUTED_VALUE"""),"Exclusive")</f>
        <v>Exclusive</v>
      </c>
    </row>
    <row r="656">
      <c r="A656" s="12" t="str">
        <f>IFERROR(__xludf.DUMMYFUNCTION("""COMPUTED_VALUE"""),"Skiing")</f>
        <v>Skiing</v>
      </c>
      <c r="B656" s="13" t="str">
        <f>IFERROR(__xludf.DUMMYFUNCTION("""COMPUTED_VALUE"""),"Xbox / PC")</f>
        <v>Xbox / PC</v>
      </c>
      <c r="C656" s="14" t="str">
        <f>IFERROR(__xludf.DUMMYFUNCTION("""COMPUTED_VALUE"""),"Yes")</f>
        <v>Yes</v>
      </c>
      <c r="D656" s="14" t="str">
        <f>IFERROR(__xludf.DUMMYFUNCTION("""COMPUTED_VALUE"""),"Active")</f>
        <v>Active</v>
      </c>
      <c r="E656" s="15">
        <f>IFERROR(__xludf.DUMMYFUNCTION("""COMPUTED_VALUE"""),45839.0)</f>
        <v>45839</v>
      </c>
      <c r="F656" s="16"/>
      <c r="G656" s="18">
        <f>IFERROR(__xludf.DUMMYFUNCTION("""COMPUTED_VALUE"""),15.166666666666666)</f>
        <v>15.16666667</v>
      </c>
      <c r="H656" s="15">
        <f>IFERROR(__xludf.DUMMYFUNCTION("""COMPUTED_VALUE"""),29556.0)</f>
        <v>29556</v>
      </c>
      <c r="I656" s="18">
        <f>IFERROR(__xludf.DUMMYFUNCTION("""COMPUTED_VALUE"""),44.583333333333336)</f>
        <v>44.58333333</v>
      </c>
      <c r="J656" s="22">
        <f>IFERROR(__xludf.DUMMYFUNCTION("""COMPUTED_VALUE"""),72.0)</f>
        <v>72</v>
      </c>
      <c r="K656" s="22">
        <f>IFERROR(__xludf.DUMMYFUNCTION("""COMPUTED_VALUE"""),1.0)</f>
        <v>1</v>
      </c>
      <c r="L656" s="26" t="str">
        <f>IFERROR(__xludf.DUMMYFUNCTION("""COMPUTED_VALUE"""),"Sports")</f>
        <v>Sports</v>
      </c>
      <c r="M656" s="26"/>
    </row>
    <row r="657">
      <c r="A657" s="12" t="str">
        <f>IFERROR(__xludf.DUMMYFUNCTION("""COMPUTED_VALUE"""),"Atlantis II")</f>
        <v>Atlantis II</v>
      </c>
      <c r="B657" s="13" t="str">
        <f>IFERROR(__xludf.DUMMYFUNCTION("""COMPUTED_VALUE"""),"Xbox / PC")</f>
        <v>Xbox / PC</v>
      </c>
      <c r="C657" s="14" t="str">
        <f>IFERROR(__xludf.DUMMYFUNCTION("""COMPUTED_VALUE"""),"Yes")</f>
        <v>Yes</v>
      </c>
      <c r="D657" s="14" t="str">
        <f>IFERROR(__xludf.DUMMYFUNCTION("""COMPUTED_VALUE"""),"Active")</f>
        <v>Active</v>
      </c>
      <c r="E657" s="15">
        <f>IFERROR(__xludf.DUMMYFUNCTION("""COMPUTED_VALUE"""),45798.0)</f>
        <v>45798</v>
      </c>
      <c r="F657" s="16"/>
      <c r="G657" s="18">
        <f>IFERROR(__xludf.DUMMYFUNCTION("""COMPUTED_VALUE"""),16.5)</f>
        <v>16.5</v>
      </c>
      <c r="H657" s="15">
        <f>IFERROR(__xludf.DUMMYFUNCTION("""COMPUTED_VALUE"""),32255.0)</f>
        <v>32255</v>
      </c>
      <c r="I657" s="18">
        <f>IFERROR(__xludf.DUMMYFUNCTION("""COMPUTED_VALUE"""),37.080555555555556)</f>
        <v>37.08055556</v>
      </c>
      <c r="J657" s="22">
        <f>IFERROR(__xludf.DUMMYFUNCTION("""COMPUTED_VALUE"""),72.0)</f>
        <v>72</v>
      </c>
      <c r="K657" s="22">
        <f>IFERROR(__xludf.DUMMYFUNCTION("""COMPUTED_VALUE"""),7.0)</f>
        <v>7</v>
      </c>
      <c r="L657" s="26" t="str">
        <f>IFERROR(__xludf.DUMMYFUNCTION("""COMPUTED_VALUE"""),"Shooter")</f>
        <v>Shooter</v>
      </c>
      <c r="M657" s="26"/>
    </row>
    <row r="658">
      <c r="A658" s="12" t="str">
        <f>IFERROR(__xludf.DUMMYFUNCTION("""COMPUTED_VALUE"""),"Frostbite")</f>
        <v>Frostbite</v>
      </c>
      <c r="B658" s="13" t="str">
        <f>IFERROR(__xludf.DUMMYFUNCTION("""COMPUTED_VALUE"""),"Xbox / PC")</f>
        <v>Xbox / PC</v>
      </c>
      <c r="C658" s="14" t="str">
        <f>IFERROR(__xludf.DUMMYFUNCTION("""COMPUTED_VALUE"""),"Yes")</f>
        <v>Yes</v>
      </c>
      <c r="D658" s="14" t="str">
        <f>IFERROR(__xludf.DUMMYFUNCTION("""COMPUTED_VALUE"""),"Active")</f>
        <v>Active</v>
      </c>
      <c r="E658" s="15">
        <f>IFERROR(__xludf.DUMMYFUNCTION("""COMPUTED_VALUE"""),45798.0)</f>
        <v>45798</v>
      </c>
      <c r="F658" s="16"/>
      <c r="G658" s="18">
        <f>IFERROR(__xludf.DUMMYFUNCTION("""COMPUTED_VALUE"""),16.5)</f>
        <v>16.5</v>
      </c>
      <c r="H658" s="15">
        <f>IFERROR(__xludf.DUMMYFUNCTION("""COMPUTED_VALUE"""),30542.0)</f>
        <v>30542</v>
      </c>
      <c r="I658" s="18">
        <f>IFERROR(__xludf.DUMMYFUNCTION("""COMPUTED_VALUE"""),41.769444444444446)</f>
        <v>41.76944444</v>
      </c>
      <c r="J658" s="22">
        <f>IFERROR(__xludf.DUMMYFUNCTION("""COMPUTED_VALUE"""),72.0)</f>
        <v>72</v>
      </c>
      <c r="K658" s="22"/>
      <c r="L658" s="26" t="str">
        <f>IFERROR(__xludf.DUMMYFUNCTION("""COMPUTED_VALUE"""),"Action‑Adventure")</f>
        <v>Action‑Adventure</v>
      </c>
      <c r="M658" s="26"/>
    </row>
    <row r="659">
      <c r="A659" s="12" t="str">
        <f>IFERROR(__xludf.DUMMYFUNCTION("""COMPUTED_VALUE"""),"Spider Fighter")</f>
        <v>Spider Fighter</v>
      </c>
      <c r="B659" s="13" t="str">
        <f>IFERROR(__xludf.DUMMYFUNCTION("""COMPUTED_VALUE"""),"Xbox / PC")</f>
        <v>Xbox / PC</v>
      </c>
      <c r="C659" s="14" t="str">
        <f>IFERROR(__xludf.DUMMYFUNCTION("""COMPUTED_VALUE"""),"Yes")</f>
        <v>Yes</v>
      </c>
      <c r="D659" s="14" t="str">
        <f>IFERROR(__xludf.DUMMYFUNCTION("""COMPUTED_VALUE"""),"Active")</f>
        <v>Active</v>
      </c>
      <c r="E659" s="15">
        <f>IFERROR(__xludf.DUMMYFUNCTION("""COMPUTED_VALUE"""),45798.0)</f>
        <v>45798</v>
      </c>
      <c r="F659" s="16"/>
      <c r="G659" s="18">
        <f>IFERROR(__xludf.DUMMYFUNCTION("""COMPUTED_VALUE"""),16.5)</f>
        <v>16.5</v>
      </c>
      <c r="H659" s="15">
        <f>IFERROR(__xludf.DUMMYFUNCTION("""COMPUTED_VALUE"""),30317.0)</f>
        <v>30317</v>
      </c>
      <c r="I659" s="18">
        <f>IFERROR(__xludf.DUMMYFUNCTION("""COMPUTED_VALUE"""),42.388888888888886)</f>
        <v>42.38888889</v>
      </c>
      <c r="J659" s="22">
        <f>IFERROR(__xludf.DUMMYFUNCTION("""COMPUTED_VALUE"""),72.0)</f>
        <v>72</v>
      </c>
      <c r="K659" s="22"/>
      <c r="L659" s="26" t="str">
        <f>IFERROR(__xludf.DUMMYFUNCTION("""COMPUTED_VALUE"""),"Shooter")</f>
        <v>Shooter</v>
      </c>
      <c r="M659" s="26"/>
    </row>
    <row r="660">
      <c r="A660" s="12" t="str">
        <f>IFERROR(__xludf.DUMMYFUNCTION("""COMPUTED_VALUE"""),"F1 24")</f>
        <v>F1 24</v>
      </c>
      <c r="B660" s="13" t="str">
        <f>IFERROR(__xludf.DUMMYFUNCTION("""COMPUTED_VALUE"""),"Xbox / PC")</f>
        <v>Xbox / PC</v>
      </c>
      <c r="C660" s="14" t="str">
        <f>IFERROR(__xludf.DUMMYFUNCTION("""COMPUTED_VALUE"""),"Yes")</f>
        <v>Yes</v>
      </c>
      <c r="D660" s="14" t="str">
        <f>IFERROR(__xludf.DUMMYFUNCTION("""COMPUTED_VALUE"""),"Active")</f>
        <v>Active</v>
      </c>
      <c r="E660" s="15">
        <f>IFERROR(__xludf.DUMMYFUNCTION("""COMPUTED_VALUE"""),45708.0)</f>
        <v>45708</v>
      </c>
      <c r="F660" s="16"/>
      <c r="G660" s="18">
        <f>IFERROR(__xludf.DUMMYFUNCTION("""COMPUTED_VALUE"""),19.53333333333333)</f>
        <v>19.53333333</v>
      </c>
      <c r="H660" s="15">
        <f>IFERROR(__xludf.DUMMYFUNCTION("""COMPUTED_VALUE"""),45443.0)</f>
        <v>45443</v>
      </c>
      <c r="I660" s="18">
        <f>IFERROR(__xludf.DUMMYFUNCTION("""COMPUTED_VALUE"""),0.7222222222222222)</f>
        <v>0.7222222222</v>
      </c>
      <c r="J660" s="22">
        <f>IFERROR(__xludf.DUMMYFUNCTION("""COMPUTED_VALUE"""),72.0)</f>
        <v>72</v>
      </c>
      <c r="K660" s="22">
        <f>IFERROR(__xludf.DUMMYFUNCTION("""COMPUTED_VALUE"""),7.0)</f>
        <v>7</v>
      </c>
      <c r="L660" s="26" t="str">
        <f>IFERROR(__xludf.DUMMYFUNCTION("""COMPUTED_VALUE"""),"Racing")</f>
        <v>Racing</v>
      </c>
      <c r="M660" s="26"/>
    </row>
    <row r="661">
      <c r="A661" s="12" t="str">
        <f>IFERROR(__xludf.DUMMYFUNCTION("""COMPUTED_VALUE"""),"Legend of Mana (2021)")</f>
        <v>Legend of Mana (2021)</v>
      </c>
      <c r="B661" s="13" t="str">
        <f>IFERROR(__xludf.DUMMYFUNCTION("""COMPUTED_VALUE"""),"Xbox / PC")</f>
        <v>Xbox / PC</v>
      </c>
      <c r="C661" s="14" t="str">
        <f>IFERROR(__xludf.DUMMYFUNCTION("""COMPUTED_VALUE"""),"Yes")</f>
        <v>Yes</v>
      </c>
      <c r="D661" s="14" t="str">
        <f>IFERROR(__xludf.DUMMYFUNCTION("""COMPUTED_VALUE"""),"Active")</f>
        <v>Active</v>
      </c>
      <c r="E661" s="15">
        <f>IFERROR(__xludf.DUMMYFUNCTION("""COMPUTED_VALUE"""),45561.0)</f>
        <v>45561</v>
      </c>
      <c r="F661" s="16"/>
      <c r="G661" s="18">
        <f>IFERROR(__xludf.DUMMYFUNCTION("""COMPUTED_VALUE"""),24.333333333333332)</f>
        <v>24.33333333</v>
      </c>
      <c r="H661" s="15">
        <f>IFERROR(__xludf.DUMMYFUNCTION("""COMPUTED_VALUE"""),44371.0)</f>
        <v>44371</v>
      </c>
      <c r="I661" s="18">
        <f>IFERROR(__xludf.DUMMYFUNCTION("""COMPUTED_VALUE"""),3.2555555555555555)</f>
        <v>3.255555556</v>
      </c>
      <c r="J661" s="22">
        <f>IFERROR(__xludf.DUMMYFUNCTION("""COMPUTED_VALUE"""),72.0)</f>
        <v>72</v>
      </c>
      <c r="K661" s="22">
        <f>IFERROR(__xludf.DUMMYFUNCTION("""COMPUTED_VALUE"""),18.0)</f>
        <v>18</v>
      </c>
      <c r="L661" s="26" t="str">
        <f>IFERROR(__xludf.DUMMYFUNCTION("""COMPUTED_VALUE"""),"RPG")</f>
        <v>RPG</v>
      </c>
      <c r="M661" s="26"/>
    </row>
    <row r="662">
      <c r="A662" s="12" t="str">
        <f>IFERROR(__xludf.DUMMYFUNCTION("""COMPUTED_VALUE"""),"Massive Chalice")</f>
        <v>Massive Chalice</v>
      </c>
      <c r="B662" s="13" t="str">
        <f>IFERROR(__xludf.DUMMYFUNCTION("""COMPUTED_VALUE"""),"Xbox")</f>
        <v>Xbox</v>
      </c>
      <c r="C662" s="14" t="str">
        <f>IFERROR(__xludf.DUMMYFUNCTION("""COMPUTED_VALUE"""),"Yes")</f>
        <v>Yes</v>
      </c>
      <c r="D662" s="14" t="str">
        <f>IFERROR(__xludf.DUMMYFUNCTION("""COMPUTED_VALUE"""),"Active")</f>
        <v>Active</v>
      </c>
      <c r="E662" s="15">
        <f>IFERROR(__xludf.DUMMYFUNCTION("""COMPUTED_VALUE"""),45071.0)</f>
        <v>45071</v>
      </c>
      <c r="F662" s="16"/>
      <c r="G662" s="18">
        <f>IFERROR(__xludf.DUMMYFUNCTION("""COMPUTED_VALUE"""),40.36666666666667)</f>
        <v>40.36666667</v>
      </c>
      <c r="H662" s="15">
        <f>IFERROR(__xludf.DUMMYFUNCTION("""COMPUTED_VALUE"""),42156.0)</f>
        <v>42156</v>
      </c>
      <c r="I662" s="18">
        <f>IFERROR(__xludf.DUMMYFUNCTION("""COMPUTED_VALUE"""),7.983333333333333)</f>
        <v>7.983333333</v>
      </c>
      <c r="J662" s="22">
        <f>IFERROR(__xludf.DUMMYFUNCTION("""COMPUTED_VALUE"""),72.0)</f>
        <v>72</v>
      </c>
      <c r="K662" s="22">
        <f>IFERROR(__xludf.DUMMYFUNCTION("""COMPUTED_VALUE"""),15.5)</f>
        <v>15.5</v>
      </c>
      <c r="L662" s="26" t="str">
        <f>IFERROR(__xludf.DUMMYFUNCTION("""COMPUTED_VALUE"""),"RPG")</f>
        <v>RPG</v>
      </c>
      <c r="M662" s="26"/>
    </row>
    <row r="663">
      <c r="A663" s="12" t="str">
        <f>IFERROR(__xludf.DUMMYFUNCTION("""COMPUTED_VALUE"""),"Army of Two")</f>
        <v>Army of Two</v>
      </c>
      <c r="B663" s="13" t="str">
        <f>IFERROR(__xludf.DUMMYFUNCTION("""COMPUTED_VALUE"""),"Xbox")</f>
        <v>Xbox</v>
      </c>
      <c r="C663" s="14"/>
      <c r="D663" s="14" t="str">
        <f>IFERROR(__xludf.DUMMYFUNCTION("""COMPUTED_VALUE"""),"Active")</f>
        <v>Active</v>
      </c>
      <c r="E663" s="15">
        <f>IFERROR(__xludf.DUMMYFUNCTION("""COMPUTED_VALUE"""),44145.0)</f>
        <v>44145</v>
      </c>
      <c r="F663" s="16"/>
      <c r="G663" s="18">
        <f>IFERROR(__xludf.DUMMYFUNCTION("""COMPUTED_VALUE"""),70.86666666666667)</f>
        <v>70.86666667</v>
      </c>
      <c r="H663" s="15">
        <f>IFERROR(__xludf.DUMMYFUNCTION("""COMPUTED_VALUE"""),39511.0)</f>
        <v>39511</v>
      </c>
      <c r="I663" s="18">
        <f>IFERROR(__xludf.DUMMYFUNCTION("""COMPUTED_VALUE"""),12.683333333333334)</f>
        <v>12.68333333</v>
      </c>
      <c r="J663" s="22">
        <f>IFERROR(__xludf.DUMMYFUNCTION("""COMPUTED_VALUE"""),72.0)</f>
        <v>72</v>
      </c>
      <c r="K663" s="22">
        <f>IFERROR(__xludf.DUMMYFUNCTION("""COMPUTED_VALUE"""),6.5)</f>
        <v>6.5</v>
      </c>
      <c r="L663" s="26" t="str">
        <f>IFERROR(__xludf.DUMMYFUNCTION("""COMPUTED_VALUE"""),"Shooter")</f>
        <v>Shooter</v>
      </c>
      <c r="M663" s="26"/>
    </row>
    <row r="664">
      <c r="A664" s="12" t="str">
        <f>IFERROR(__xludf.DUMMYFUNCTION("""COMPUTED_VALUE"""),"Mirror's Edge: Catalyst")</f>
        <v>Mirror's Edge: Catalyst</v>
      </c>
      <c r="B664" s="13" t="str">
        <f>IFERROR(__xludf.DUMMYFUNCTION("""COMPUTED_VALUE"""),"Xbox / PC")</f>
        <v>Xbox / PC</v>
      </c>
      <c r="C664" s="14" t="str">
        <f>IFERROR(__xludf.DUMMYFUNCTION("""COMPUTED_VALUE"""),"Yes")</f>
        <v>Yes</v>
      </c>
      <c r="D664" s="14" t="str">
        <f>IFERROR(__xludf.DUMMYFUNCTION("""COMPUTED_VALUE"""),"Active")</f>
        <v>Active</v>
      </c>
      <c r="E664" s="15">
        <f>IFERROR(__xludf.DUMMYFUNCTION("""COMPUTED_VALUE"""),44145.0)</f>
        <v>44145</v>
      </c>
      <c r="F664" s="16"/>
      <c r="G664" s="18">
        <f>IFERROR(__xludf.DUMMYFUNCTION("""COMPUTED_VALUE"""),70.86666666666667)</f>
        <v>70.86666667</v>
      </c>
      <c r="H664" s="15">
        <f>IFERROR(__xludf.DUMMYFUNCTION("""COMPUTED_VALUE"""),42528.0)</f>
        <v>42528</v>
      </c>
      <c r="I664" s="18">
        <f>IFERROR(__xludf.DUMMYFUNCTION("""COMPUTED_VALUE"""),4.425)</f>
        <v>4.425</v>
      </c>
      <c r="J664" s="22">
        <f>IFERROR(__xludf.DUMMYFUNCTION("""COMPUTED_VALUE"""),72.0)</f>
        <v>72</v>
      </c>
      <c r="K664" s="22">
        <f>IFERROR(__xludf.DUMMYFUNCTION("""COMPUTED_VALUE"""),8.5)</f>
        <v>8.5</v>
      </c>
      <c r="L664" s="26" t="str">
        <f>IFERROR(__xludf.DUMMYFUNCTION("""COMPUTED_VALUE"""),"Action-Adventure")</f>
        <v>Action-Adventure</v>
      </c>
      <c r="M664" s="26" t="str">
        <f>IFERROR(__xludf.DUMMYFUNCTION("""COMPUTED_VALUE"""),"FPS Boost X Only")</f>
        <v>FPS Boost X Only</v>
      </c>
    </row>
    <row r="665">
      <c r="A665" s="12" t="str">
        <f>IFERROR(__xludf.DUMMYFUNCTION("""COMPUTED_VALUE"""),"Sea of Solitude")</f>
        <v>Sea of Solitude</v>
      </c>
      <c r="B665" s="13" t="str">
        <f>IFERROR(__xludf.DUMMYFUNCTION("""COMPUTED_VALUE"""),"Xbox / PC")</f>
        <v>Xbox / PC</v>
      </c>
      <c r="C665" s="14"/>
      <c r="D665" s="14" t="str">
        <f>IFERROR(__xludf.DUMMYFUNCTION("""COMPUTED_VALUE"""),"Active")</f>
        <v>Active</v>
      </c>
      <c r="E665" s="15">
        <f>IFERROR(__xludf.DUMMYFUNCTION("""COMPUTED_VALUE"""),44145.0)</f>
        <v>44145</v>
      </c>
      <c r="F665" s="16"/>
      <c r="G665" s="18">
        <f>IFERROR(__xludf.DUMMYFUNCTION("""COMPUTED_VALUE"""),70.86666666666667)</f>
        <v>70.86666667</v>
      </c>
      <c r="H665" s="15">
        <f>IFERROR(__xludf.DUMMYFUNCTION("""COMPUTED_VALUE"""),43651.0)</f>
        <v>43651</v>
      </c>
      <c r="I665" s="18">
        <f>IFERROR(__xludf.DUMMYFUNCTION("""COMPUTED_VALUE"""),1.3472222222222223)</f>
        <v>1.347222222</v>
      </c>
      <c r="J665" s="22">
        <f>IFERROR(__xludf.DUMMYFUNCTION("""COMPUTED_VALUE"""),72.0)</f>
        <v>72</v>
      </c>
      <c r="K665" s="22">
        <f>IFERROR(__xludf.DUMMYFUNCTION("""COMPUTED_VALUE"""),3.0)</f>
        <v>3</v>
      </c>
      <c r="L665" s="26" t="str">
        <f>IFERROR(__xludf.DUMMYFUNCTION("""COMPUTED_VALUE"""),"Adventure")</f>
        <v>Adventure</v>
      </c>
      <c r="M665" s="26" t="str">
        <f>IFERROR(__xludf.DUMMYFUNCTION("""COMPUTED_VALUE"""),"FPS Boost")</f>
        <v>FPS Boost</v>
      </c>
    </row>
    <row r="666">
      <c r="A666" s="12" t="str">
        <f>IFERROR(__xludf.DUMMYFUNCTION("""COMPUTED_VALUE"""),"RAGE 2")</f>
        <v>RAGE 2</v>
      </c>
      <c r="B666" s="13" t="str">
        <f>IFERROR(__xludf.DUMMYFUNCTION("""COMPUTED_VALUE"""),"Xbox / PC")</f>
        <v>Xbox / PC</v>
      </c>
      <c r="C666" s="14" t="str">
        <f>IFERROR(__xludf.DUMMYFUNCTION("""COMPUTED_VALUE"""),"Yes")</f>
        <v>Yes</v>
      </c>
      <c r="D666" s="14" t="str">
        <f>IFERROR(__xludf.DUMMYFUNCTION("""COMPUTED_VALUE"""),"Active")</f>
        <v>Active</v>
      </c>
      <c r="E666" s="15">
        <f>IFERROR(__xludf.DUMMYFUNCTION("""COMPUTED_VALUE"""),43783.0)</f>
        <v>43783</v>
      </c>
      <c r="F666" s="16"/>
      <c r="G666" s="18">
        <f>IFERROR(__xludf.DUMMYFUNCTION("""COMPUTED_VALUE"""),82.73333333333333)</f>
        <v>82.73333333</v>
      </c>
      <c r="H666" s="15">
        <f>IFERROR(__xludf.DUMMYFUNCTION("""COMPUTED_VALUE"""),43599.0)</f>
        <v>43599</v>
      </c>
      <c r="I666" s="18">
        <f>IFERROR(__xludf.DUMMYFUNCTION("""COMPUTED_VALUE"""),0.5)</f>
        <v>0.5</v>
      </c>
      <c r="J666" s="22">
        <f>IFERROR(__xludf.DUMMYFUNCTION("""COMPUTED_VALUE"""),72.0)</f>
        <v>72</v>
      </c>
      <c r="K666" s="22">
        <f>IFERROR(__xludf.DUMMYFUNCTION("""COMPUTED_VALUE"""),10.0)</f>
        <v>10</v>
      </c>
      <c r="L666" s="26" t="str">
        <f>IFERROR(__xludf.DUMMYFUNCTION("""COMPUTED_VALUE"""),"Shooter")</f>
        <v>Shooter</v>
      </c>
      <c r="M666" s="26"/>
    </row>
    <row r="667">
      <c r="A667" s="12" t="str">
        <f>IFERROR(__xludf.DUMMYFUNCTION("""COMPUTED_VALUE"""),"ASTRONEER")</f>
        <v>ASTRONEER</v>
      </c>
      <c r="B667" s="13" t="str">
        <f>IFERROR(__xludf.DUMMYFUNCTION("""COMPUTED_VALUE"""),"Xbox / PC")</f>
        <v>Xbox / PC</v>
      </c>
      <c r="C667" s="14" t="str">
        <f>IFERROR(__xludf.DUMMYFUNCTION("""COMPUTED_VALUE"""),"Yes")</f>
        <v>Yes</v>
      </c>
      <c r="D667" s="14" t="str">
        <f>IFERROR(__xludf.DUMMYFUNCTION("""COMPUTED_VALUE"""),"Active")</f>
        <v>Active</v>
      </c>
      <c r="E667" s="15">
        <f>IFERROR(__xludf.DUMMYFUNCTION("""COMPUTED_VALUE"""),43625.0)</f>
        <v>43625</v>
      </c>
      <c r="F667" s="16"/>
      <c r="G667" s="18">
        <f>IFERROR(__xludf.DUMMYFUNCTION("""COMPUTED_VALUE"""),87.9)</f>
        <v>87.9</v>
      </c>
      <c r="H667" s="15">
        <f>IFERROR(__xludf.DUMMYFUNCTION("""COMPUTED_VALUE"""),42720.0)</f>
        <v>42720</v>
      </c>
      <c r="I667" s="18">
        <f>IFERROR(__xludf.DUMMYFUNCTION("""COMPUTED_VALUE"""),2.4805555555555556)</f>
        <v>2.480555556</v>
      </c>
      <c r="J667" s="22">
        <f>IFERROR(__xludf.DUMMYFUNCTION("""COMPUTED_VALUE"""),72.0)</f>
        <v>72</v>
      </c>
      <c r="K667" s="22">
        <f>IFERROR(__xludf.DUMMYFUNCTION("""COMPUTED_VALUE"""),18.5)</f>
        <v>18.5</v>
      </c>
      <c r="L667" s="26" t="str">
        <f>IFERROR(__xludf.DUMMYFUNCTION("""COMPUTED_VALUE"""),"Adventure")</f>
        <v>Adventure</v>
      </c>
      <c r="M667" s="26"/>
    </row>
    <row r="668">
      <c r="A668" s="12" t="str">
        <f>IFERROR(__xludf.DUMMYFUNCTION("""COMPUTED_VALUE"""),"State of Decay: Year One Survival Edition")</f>
        <v>State of Decay: Year One Survival Edition</v>
      </c>
      <c r="B668" s="13" t="str">
        <f>IFERROR(__xludf.DUMMYFUNCTION("""COMPUTED_VALUE"""),"Xbox")</f>
        <v>Xbox</v>
      </c>
      <c r="C668" s="14"/>
      <c r="D668" s="14" t="str">
        <f>IFERROR(__xludf.DUMMYFUNCTION("""COMPUTED_VALUE"""),"Active")</f>
        <v>Active</v>
      </c>
      <c r="E668" s="15">
        <f>IFERROR(__xludf.DUMMYFUNCTION("""COMPUTED_VALUE"""),43009.0)</f>
        <v>43009</v>
      </c>
      <c r="F668" s="16"/>
      <c r="G668" s="18">
        <f>IFERROR(__xludf.DUMMYFUNCTION("""COMPUTED_VALUE"""),108.16666666666667)</f>
        <v>108.1666667</v>
      </c>
      <c r="H668" s="15">
        <f>IFERROR(__xludf.DUMMYFUNCTION("""COMPUTED_VALUE"""),42122.0)</f>
        <v>42122</v>
      </c>
      <c r="I668" s="18">
        <f>IFERROR(__xludf.DUMMYFUNCTION("""COMPUTED_VALUE"""),2.425)</f>
        <v>2.425</v>
      </c>
      <c r="J668" s="22">
        <f>IFERROR(__xludf.DUMMYFUNCTION("""COMPUTED_VALUE"""),72.0)</f>
        <v>72</v>
      </c>
      <c r="K668" s="22">
        <f>IFERROR(__xludf.DUMMYFUNCTION("""COMPUTED_VALUE"""),17.5)</f>
        <v>17.5</v>
      </c>
      <c r="L668" s="26" t="str">
        <f>IFERROR(__xludf.DUMMYFUNCTION("""COMPUTED_VALUE"""),"Shooter")</f>
        <v>Shooter</v>
      </c>
      <c r="M668" s="26"/>
    </row>
    <row r="669">
      <c r="A669" s="12" t="str">
        <f>IFERROR(__xludf.DUMMYFUNCTION("""COMPUTED_VALUE"""),"Max: The Curse of Brotherhood")</f>
        <v>Max: The Curse of Brotherhood</v>
      </c>
      <c r="B669" s="13" t="str">
        <f>IFERROR(__xludf.DUMMYFUNCTION("""COMPUTED_VALUE"""),"Xbox")</f>
        <v>Xbox</v>
      </c>
      <c r="C669" s="14"/>
      <c r="D669" s="14" t="str">
        <f>IFERROR(__xludf.DUMMYFUNCTION("""COMPUTED_VALUE"""),"Active")</f>
        <v>Active</v>
      </c>
      <c r="E669" s="15">
        <f>IFERROR(__xludf.DUMMYFUNCTION("""COMPUTED_VALUE"""),42887.0)</f>
        <v>42887</v>
      </c>
      <c r="F669" s="16"/>
      <c r="G669" s="18">
        <f>IFERROR(__xludf.DUMMYFUNCTION("""COMPUTED_VALUE"""),112.16666666666666)</f>
        <v>112.1666667</v>
      </c>
      <c r="H669" s="15">
        <f>IFERROR(__xludf.DUMMYFUNCTION("""COMPUTED_VALUE"""),41628.0)</f>
        <v>41628</v>
      </c>
      <c r="I669" s="18">
        <f>IFERROR(__xludf.DUMMYFUNCTION("""COMPUTED_VALUE"""),3.4472222222222224)</f>
        <v>3.447222222</v>
      </c>
      <c r="J669" s="22">
        <f>IFERROR(__xludf.DUMMYFUNCTION("""COMPUTED_VALUE"""),72.0)</f>
        <v>72</v>
      </c>
      <c r="K669" s="22">
        <f>IFERROR(__xludf.DUMMYFUNCTION("""COMPUTED_VALUE"""),6.0)</f>
        <v>6</v>
      </c>
      <c r="L669" s="26" t="str">
        <f>IFERROR(__xludf.DUMMYFUNCTION("""COMPUTED_VALUE"""),"Platformer")</f>
        <v>Platformer</v>
      </c>
      <c r="M669" s="26"/>
    </row>
    <row r="670">
      <c r="A670" s="12" t="str">
        <f>IFERROR(__xludf.DUMMYFUNCTION("""COMPUTED_VALUE"""),"Outpost Kaloki X")</f>
        <v>Outpost Kaloki X</v>
      </c>
      <c r="B670" s="13" t="str">
        <f>IFERROR(__xludf.DUMMYFUNCTION("""COMPUTED_VALUE"""),"XB360/OG Xbox")</f>
        <v>XB360/OG Xbox</v>
      </c>
      <c r="C670" s="14"/>
      <c r="D670" s="14" t="str">
        <f>IFERROR(__xludf.DUMMYFUNCTION("""COMPUTED_VALUE"""),"GwG Permanent")</f>
        <v>GwG Permanent</v>
      </c>
      <c r="E670" s="15">
        <f>IFERROR(__xludf.DUMMYFUNCTION("""COMPUTED_VALUE"""),44652.0)</f>
        <v>44652</v>
      </c>
      <c r="F670" s="16">
        <f>IFERROR(__xludf.DUMMYFUNCTION("""COMPUTED_VALUE"""),44666.0)</f>
        <v>44666</v>
      </c>
      <c r="G670" s="18">
        <f>IFERROR(__xludf.DUMMYFUNCTION("""COMPUTED_VALUE"""),0.4666666666666667)</f>
        <v>0.4666666667</v>
      </c>
      <c r="H670" s="15">
        <f>IFERROR(__xludf.DUMMYFUNCTION("""COMPUTED_VALUE"""),41704.0)</f>
        <v>41704</v>
      </c>
      <c r="I670" s="18">
        <f>IFERROR(__xludf.DUMMYFUNCTION("""COMPUTED_VALUE"""),8.069444444444445)</f>
        <v>8.069444444</v>
      </c>
      <c r="J670" s="22">
        <f>IFERROR(__xludf.DUMMYFUNCTION("""COMPUTED_VALUE"""),72.0)</f>
        <v>72</v>
      </c>
      <c r="K670" s="22">
        <f>IFERROR(__xludf.DUMMYFUNCTION("""COMPUTED_VALUE"""),6.0)</f>
        <v>6</v>
      </c>
      <c r="L670" s="26" t="str">
        <f>IFERROR(__xludf.DUMMYFUNCTION("""COMPUTED_VALUE"""),"Simulation")</f>
        <v>Simulation</v>
      </c>
      <c r="M670" s="26"/>
    </row>
    <row r="671">
      <c r="A671" s="12" t="str">
        <f>IFERROR(__xludf.DUMMYFUNCTION("""COMPUTED_VALUE"""),"Sacred 2: Fallen Angel")</f>
        <v>Sacred 2: Fallen Angel</v>
      </c>
      <c r="B671" s="13" t="str">
        <f>IFERROR(__xludf.DUMMYFUNCTION("""COMPUTED_VALUE"""),"XB360/OG Xbox")</f>
        <v>XB360/OG Xbox</v>
      </c>
      <c r="C671" s="14"/>
      <c r="D671" s="14" t="str">
        <f>IFERROR(__xludf.DUMMYFUNCTION("""COMPUTED_VALUE"""),"GwG Permanent")</f>
        <v>GwG Permanent</v>
      </c>
      <c r="E671" s="15">
        <f>IFERROR(__xludf.DUMMYFUNCTION("""COMPUTED_VALUE"""),44621.0)</f>
        <v>44621</v>
      </c>
      <c r="F671" s="16">
        <f>IFERROR(__xludf.DUMMYFUNCTION("""COMPUTED_VALUE"""),44635.0)</f>
        <v>44635</v>
      </c>
      <c r="G671" s="18">
        <f>IFERROR(__xludf.DUMMYFUNCTION("""COMPUTED_VALUE"""),0.4666666666666667)</f>
        <v>0.4666666667</v>
      </c>
      <c r="H671" s="15">
        <f>IFERROR(__xludf.DUMMYFUNCTION("""COMPUTED_VALUE"""),39570.0)</f>
        <v>39570</v>
      </c>
      <c r="I671" s="18">
        <f>IFERROR(__xludf.DUMMYFUNCTION("""COMPUTED_VALUE"""),13.830555555555556)</f>
        <v>13.83055556</v>
      </c>
      <c r="J671" s="22">
        <f>IFERROR(__xludf.DUMMYFUNCTION("""COMPUTED_VALUE"""),72.0)</f>
        <v>72</v>
      </c>
      <c r="K671" s="22">
        <f>IFERROR(__xludf.DUMMYFUNCTION("""COMPUTED_VALUE"""),38.0)</f>
        <v>38</v>
      </c>
      <c r="L671" s="26" t="str">
        <f>IFERROR(__xludf.DUMMYFUNCTION("""COMPUTED_VALUE"""),"RPG")</f>
        <v>RPG</v>
      </c>
      <c r="M671" s="26"/>
    </row>
    <row r="672">
      <c r="A672" s="12" t="str">
        <f>IFERROR(__xludf.DUMMYFUNCTION("""COMPUTED_VALUE"""),"Rocket Knight")</f>
        <v>Rocket Knight</v>
      </c>
      <c r="B672" s="13" t="str">
        <f>IFERROR(__xludf.DUMMYFUNCTION("""COMPUTED_VALUE"""),"XB360/OG Xbox")</f>
        <v>XB360/OG Xbox</v>
      </c>
      <c r="C672" s="14"/>
      <c r="D672" s="14" t="str">
        <f>IFERROR(__xludf.DUMMYFUNCTION("""COMPUTED_VALUE"""),"GwG Permanent")</f>
        <v>GwG Permanent</v>
      </c>
      <c r="E672" s="15">
        <f>IFERROR(__xludf.DUMMYFUNCTION("""COMPUTED_VALUE"""),44501.0)</f>
        <v>44501</v>
      </c>
      <c r="F672" s="16">
        <f>IFERROR(__xludf.DUMMYFUNCTION("""COMPUTED_VALUE"""),44515.0)</f>
        <v>44515</v>
      </c>
      <c r="G672" s="18">
        <f>IFERROR(__xludf.DUMMYFUNCTION("""COMPUTED_VALUE"""),0.4666666666666667)</f>
        <v>0.4666666667</v>
      </c>
      <c r="H672" s="15">
        <f>IFERROR(__xludf.DUMMYFUNCTION("""COMPUTED_VALUE"""),43026.0)</f>
        <v>43026</v>
      </c>
      <c r="I672" s="18">
        <f>IFERROR(__xludf.DUMMYFUNCTION("""COMPUTED_VALUE"""),4.036111111111111)</f>
        <v>4.036111111</v>
      </c>
      <c r="J672" s="22">
        <f>IFERROR(__xludf.DUMMYFUNCTION("""COMPUTED_VALUE"""),72.0)</f>
        <v>72</v>
      </c>
      <c r="K672" s="22">
        <f>IFERROR(__xludf.DUMMYFUNCTION("""COMPUTED_VALUE"""),4.0)</f>
        <v>4</v>
      </c>
      <c r="L672" s="26" t="str">
        <f>IFERROR(__xludf.DUMMYFUNCTION("""COMPUTED_VALUE"""),"Action-Adventure")</f>
        <v>Action-Adventure</v>
      </c>
      <c r="M672" s="26"/>
    </row>
    <row r="673">
      <c r="A673" s="12" t="str">
        <f>IFERROR(__xludf.DUMMYFUNCTION("""COMPUTED_VALUE"""),"Zone of the Enders HD Collection")</f>
        <v>Zone of the Enders HD Collection</v>
      </c>
      <c r="B673" s="13" t="str">
        <f>IFERROR(__xludf.DUMMYFUNCTION("""COMPUTED_VALUE"""),"XB360/OG Xbox")</f>
        <v>XB360/OG Xbox</v>
      </c>
      <c r="C673" s="14"/>
      <c r="D673" s="14" t="str">
        <f>IFERROR(__xludf.DUMMYFUNCTION("""COMPUTED_VALUE"""),"GwG Permanent")</f>
        <v>GwG Permanent</v>
      </c>
      <c r="E673" s="15">
        <f>IFERROR(__xludf.DUMMYFUNCTION("""COMPUTED_VALUE"""),44440.0)</f>
        <v>44440</v>
      </c>
      <c r="F673" s="16">
        <f>IFERROR(__xludf.DUMMYFUNCTION("""COMPUTED_VALUE"""),44454.0)</f>
        <v>44454</v>
      </c>
      <c r="G673" s="18">
        <f>IFERROR(__xludf.DUMMYFUNCTION("""COMPUTED_VALUE"""),0.4666666666666667)</f>
        <v>0.4666666667</v>
      </c>
      <c r="H673" s="15">
        <f>IFERROR(__xludf.DUMMYFUNCTION("""COMPUTED_VALUE"""),41527.0)</f>
        <v>41527</v>
      </c>
      <c r="I673" s="18">
        <f>IFERROR(__xludf.DUMMYFUNCTION("""COMPUTED_VALUE"""),7.975)</f>
        <v>7.975</v>
      </c>
      <c r="J673" s="22">
        <f>IFERROR(__xludf.DUMMYFUNCTION("""COMPUTED_VALUE"""),72.0)</f>
        <v>72</v>
      </c>
      <c r="K673" s="22">
        <f>IFERROR(__xludf.DUMMYFUNCTION("""COMPUTED_VALUE"""),11.0)</f>
        <v>11</v>
      </c>
      <c r="L673" s="26" t="str">
        <f>IFERROR(__xludf.DUMMYFUNCTION("""COMPUTED_VALUE"""),"Action")</f>
        <v>Action</v>
      </c>
      <c r="M673" s="26"/>
    </row>
    <row r="674">
      <c r="A674" s="12" t="str">
        <f>IFERROR(__xludf.DUMMYFUNCTION("""COMPUTED_VALUE"""),"NeoGeo Battle Coliseum")</f>
        <v>NeoGeo Battle Coliseum</v>
      </c>
      <c r="B674" s="13" t="str">
        <f>IFERROR(__xludf.DUMMYFUNCTION("""COMPUTED_VALUE"""),"XB360/OG Xbox")</f>
        <v>XB360/OG Xbox</v>
      </c>
      <c r="C674" s="14"/>
      <c r="D674" s="14" t="str">
        <f>IFERROR(__xludf.DUMMYFUNCTION("""COMPUTED_VALUE"""),"GwG Permanent")</f>
        <v>GwG Permanent</v>
      </c>
      <c r="E674" s="15">
        <f>IFERROR(__xludf.DUMMYFUNCTION("""COMPUTED_VALUE"""),44348.0)</f>
        <v>44348</v>
      </c>
      <c r="F674" s="16">
        <f>IFERROR(__xludf.DUMMYFUNCTION("""COMPUTED_VALUE"""),44362.0)</f>
        <v>44362</v>
      </c>
      <c r="G674" s="18">
        <f>IFERROR(__xludf.DUMMYFUNCTION("""COMPUTED_VALUE"""),0.4666666666666667)</f>
        <v>0.4666666667</v>
      </c>
      <c r="H674" s="15">
        <f>IFERROR(__xludf.DUMMYFUNCTION("""COMPUTED_VALUE"""),39056.0)</f>
        <v>39056</v>
      </c>
      <c r="I674" s="18">
        <f>IFERROR(__xludf.DUMMYFUNCTION("""COMPUTED_VALUE"""),14.488888888888889)</f>
        <v>14.48888889</v>
      </c>
      <c r="J674" s="22">
        <f>IFERROR(__xludf.DUMMYFUNCTION("""COMPUTED_VALUE"""),72.0)</f>
        <v>72</v>
      </c>
      <c r="K674" s="22">
        <f>IFERROR(__xludf.DUMMYFUNCTION("""COMPUTED_VALUE"""),1.0)</f>
        <v>1</v>
      </c>
      <c r="L674" s="26" t="str">
        <f>IFERROR(__xludf.DUMMYFUNCTION("""COMPUTED_VALUE"""),"Fighting")</f>
        <v>Fighting</v>
      </c>
      <c r="M674" s="26"/>
    </row>
    <row r="675">
      <c r="A675" s="12" t="str">
        <f>IFERROR(__xludf.DUMMYFUNCTION("""COMPUTED_VALUE"""),"Castlevania: Lords of Shadow - Mirror of Fate HD")</f>
        <v>Castlevania: Lords of Shadow - Mirror of Fate HD</v>
      </c>
      <c r="B675" s="13" t="str">
        <f>IFERROR(__xludf.DUMMYFUNCTION("""COMPUTED_VALUE"""),"XB360/OG Xbox")</f>
        <v>XB360/OG Xbox</v>
      </c>
      <c r="C675" s="14"/>
      <c r="D675" s="14" t="str">
        <f>IFERROR(__xludf.DUMMYFUNCTION("""COMPUTED_VALUE"""),"GwG Permanent")</f>
        <v>GwG Permanent</v>
      </c>
      <c r="E675" s="15">
        <f>IFERROR(__xludf.DUMMYFUNCTION("""COMPUTED_VALUE"""),43815.0)</f>
        <v>43815</v>
      </c>
      <c r="F675" s="16">
        <f>IFERROR(__xludf.DUMMYFUNCTION("""COMPUTED_VALUE"""),43830.0)</f>
        <v>43830</v>
      </c>
      <c r="G675" s="18">
        <f>IFERROR(__xludf.DUMMYFUNCTION("""COMPUTED_VALUE"""),0.4666666666666667)</f>
        <v>0.4666666667</v>
      </c>
      <c r="H675" s="15">
        <f>IFERROR(__xludf.DUMMYFUNCTION("""COMPUTED_VALUE"""),41572.0)</f>
        <v>41572</v>
      </c>
      <c r="I675" s="18">
        <f>IFERROR(__xludf.DUMMYFUNCTION("""COMPUTED_VALUE"""),6.141666666666667)</f>
        <v>6.141666667</v>
      </c>
      <c r="J675" s="22">
        <f>IFERROR(__xludf.DUMMYFUNCTION("""COMPUTED_VALUE"""),72.0)</f>
        <v>72</v>
      </c>
      <c r="K675" s="22">
        <f>IFERROR(__xludf.DUMMYFUNCTION("""COMPUTED_VALUE"""),6.0)</f>
        <v>6</v>
      </c>
      <c r="L675" s="26" t="str">
        <f>IFERROR(__xludf.DUMMYFUNCTION("""COMPUTED_VALUE"""),"Action-Adventure")</f>
        <v>Action-Adventure</v>
      </c>
      <c r="M675" s="26"/>
    </row>
    <row r="676">
      <c r="A676" s="12" t="str">
        <f>IFERROR(__xludf.DUMMYFUNCTION("""COMPUTED_VALUE"""),"Joy Ride Turbo")</f>
        <v>Joy Ride Turbo</v>
      </c>
      <c r="B676" s="13" t="str">
        <f>IFERROR(__xludf.DUMMYFUNCTION("""COMPUTED_VALUE"""),"XB360/OG Xbox")</f>
        <v>XB360/OG Xbox</v>
      </c>
      <c r="C676" s="14"/>
      <c r="D676" s="14" t="str">
        <f>IFERROR(__xludf.DUMMYFUNCTION("""COMPUTED_VALUE"""),"GwG Permanent")</f>
        <v>GwG Permanent</v>
      </c>
      <c r="E676" s="15">
        <f>IFERROR(__xludf.DUMMYFUNCTION("""COMPUTED_VALUE"""),43785.0)</f>
        <v>43785</v>
      </c>
      <c r="F676" s="16">
        <f>IFERROR(__xludf.DUMMYFUNCTION("""COMPUTED_VALUE"""),43799.0)</f>
        <v>43799</v>
      </c>
      <c r="G676" s="18">
        <f>IFERROR(__xludf.DUMMYFUNCTION("""COMPUTED_VALUE"""),0.4666666666666667)</f>
        <v>0.4666666667</v>
      </c>
      <c r="H676" s="15">
        <f>IFERROR(__xludf.DUMMYFUNCTION("""COMPUTED_VALUE"""),41052.0)</f>
        <v>41052</v>
      </c>
      <c r="I676" s="18">
        <f>IFERROR(__xludf.DUMMYFUNCTION("""COMPUTED_VALUE"""),7.480555555555555)</f>
        <v>7.480555556</v>
      </c>
      <c r="J676" s="22">
        <f>IFERROR(__xludf.DUMMYFUNCTION("""COMPUTED_VALUE"""),72.0)</f>
        <v>72</v>
      </c>
      <c r="K676" s="22">
        <f>IFERROR(__xludf.DUMMYFUNCTION("""COMPUTED_VALUE"""),2.5)</f>
        <v>2.5</v>
      </c>
      <c r="L676" s="26" t="str">
        <f>IFERROR(__xludf.DUMMYFUNCTION("""COMPUTED_VALUE"""),"Racing")</f>
        <v>Racing</v>
      </c>
      <c r="M676" s="26"/>
    </row>
    <row r="677">
      <c r="A677" s="12" t="str">
        <f>IFERROR(__xludf.DUMMYFUNCTION("""COMPUTED_VALUE"""),"Army of Two")</f>
        <v>Army of Two</v>
      </c>
      <c r="B677" s="13" t="str">
        <f>IFERROR(__xludf.DUMMYFUNCTION("""COMPUTED_VALUE"""),"XB360/OG Xbox")</f>
        <v>XB360/OG Xbox</v>
      </c>
      <c r="C677" s="14"/>
      <c r="D677" s="14" t="str">
        <f>IFERROR(__xludf.DUMMYFUNCTION("""COMPUTED_VALUE"""),"GwG Permanent")</f>
        <v>GwG Permanent</v>
      </c>
      <c r="E677" s="15">
        <f>IFERROR(__xludf.DUMMYFUNCTION("""COMPUTED_VALUE"""),43116.0)</f>
        <v>43116</v>
      </c>
      <c r="F677" s="16">
        <f>IFERROR(__xludf.DUMMYFUNCTION("""COMPUTED_VALUE"""),43131.0)</f>
        <v>43131</v>
      </c>
      <c r="G677" s="18">
        <f>IFERROR(__xludf.DUMMYFUNCTION("""COMPUTED_VALUE"""),0.4666666666666667)</f>
        <v>0.4666666667</v>
      </c>
      <c r="H677" s="15">
        <f>IFERROR(__xludf.DUMMYFUNCTION("""COMPUTED_VALUE"""),39513.0)</f>
        <v>39513</v>
      </c>
      <c r="I677" s="18">
        <f>IFERROR(__xludf.DUMMYFUNCTION("""COMPUTED_VALUE"""),9.86111111111111)</f>
        <v>9.861111111</v>
      </c>
      <c r="J677" s="22">
        <f>IFERROR(__xludf.DUMMYFUNCTION("""COMPUTED_VALUE"""),72.0)</f>
        <v>72</v>
      </c>
      <c r="K677" s="22">
        <f>IFERROR(__xludf.DUMMYFUNCTION("""COMPUTED_VALUE"""),6.0)</f>
        <v>6</v>
      </c>
      <c r="L677" s="26" t="str">
        <f>IFERROR(__xludf.DUMMYFUNCTION("""COMPUTED_VALUE"""),"Shooter")</f>
        <v>Shooter</v>
      </c>
      <c r="M677" s="26"/>
    </row>
    <row r="678">
      <c r="A678" s="12" t="str">
        <f>IFERROR(__xludf.DUMMYFUNCTION("""COMPUTED_VALUE"""),"The Cave")</f>
        <v>The Cave</v>
      </c>
      <c r="B678" s="13" t="str">
        <f>IFERROR(__xludf.DUMMYFUNCTION("""COMPUTED_VALUE"""),"XB360/OG Xbox")</f>
        <v>XB360/OG Xbox</v>
      </c>
      <c r="C678" s="14"/>
      <c r="D678" s="14" t="str">
        <f>IFERROR(__xludf.DUMMYFUNCTION("""COMPUTED_VALUE"""),"GwG Permanent")</f>
        <v>GwG Permanent</v>
      </c>
      <c r="E678" s="15">
        <f>IFERROR(__xludf.DUMMYFUNCTION("""COMPUTED_VALUE"""),42736.0)</f>
        <v>42736</v>
      </c>
      <c r="F678" s="16">
        <f>IFERROR(__xludf.DUMMYFUNCTION("""COMPUTED_VALUE"""),42750.0)</f>
        <v>42750</v>
      </c>
      <c r="G678" s="18">
        <f>IFERROR(__xludf.DUMMYFUNCTION("""COMPUTED_VALUE"""),0.4666666666666667)</f>
        <v>0.4666666667</v>
      </c>
      <c r="H678" s="15">
        <f>IFERROR(__xludf.DUMMYFUNCTION("""COMPUTED_VALUE"""),41584.0)</f>
        <v>41584</v>
      </c>
      <c r="I678" s="18">
        <f>IFERROR(__xludf.DUMMYFUNCTION("""COMPUTED_VALUE"""),3.1527777777777777)</f>
        <v>3.152777778</v>
      </c>
      <c r="J678" s="22">
        <f>IFERROR(__xludf.DUMMYFUNCTION("""COMPUTED_VALUE"""),72.0)</f>
        <v>72</v>
      </c>
      <c r="K678" s="22">
        <f>IFERROR(__xludf.DUMMYFUNCTION("""COMPUTED_VALUE"""),5.0)</f>
        <v>5</v>
      </c>
      <c r="L678" s="26" t="str">
        <f>IFERROR(__xludf.DUMMYFUNCTION("""COMPUTED_VALUE"""),"Adventure")</f>
        <v>Adventure</v>
      </c>
      <c r="M678" s="26"/>
    </row>
    <row r="679">
      <c r="A679" s="12" t="str">
        <f>IFERROR(__xludf.DUMMYFUNCTION("""COMPUTED_VALUE"""),"CastleStorm")</f>
        <v>CastleStorm</v>
      </c>
      <c r="B679" s="13" t="str">
        <f>IFERROR(__xludf.DUMMYFUNCTION("""COMPUTED_VALUE"""),"XB360/OG Xbox")</f>
        <v>XB360/OG Xbox</v>
      </c>
      <c r="C679" s="14"/>
      <c r="D679" s="14" t="str">
        <f>IFERROR(__xludf.DUMMYFUNCTION("""COMPUTED_VALUE"""),"GwG Permanent")</f>
        <v>GwG Permanent</v>
      </c>
      <c r="E679" s="15">
        <f>IFERROR(__xludf.DUMMYFUNCTION("""COMPUTED_VALUE"""),42339.0)</f>
        <v>42339</v>
      </c>
      <c r="F679" s="16">
        <f>IFERROR(__xludf.DUMMYFUNCTION("""COMPUTED_VALUE"""),42353.0)</f>
        <v>42353</v>
      </c>
      <c r="G679" s="18">
        <f>IFERROR(__xludf.DUMMYFUNCTION("""COMPUTED_VALUE"""),0.4666666666666667)</f>
        <v>0.4666666667</v>
      </c>
      <c r="H679" s="15">
        <f>IFERROR(__xludf.DUMMYFUNCTION("""COMPUTED_VALUE"""),41360.0)</f>
        <v>41360</v>
      </c>
      <c r="I679" s="18">
        <f>IFERROR(__xludf.DUMMYFUNCTION("""COMPUTED_VALUE"""),2.6777777777777776)</f>
        <v>2.677777778</v>
      </c>
      <c r="J679" s="22">
        <f>IFERROR(__xludf.DUMMYFUNCTION("""COMPUTED_VALUE"""),72.0)</f>
        <v>72</v>
      </c>
      <c r="K679" s="22">
        <f>IFERROR(__xludf.DUMMYFUNCTION("""COMPUTED_VALUE"""),8.0)</f>
        <v>8</v>
      </c>
      <c r="L679" s="26" t="str">
        <f>IFERROR(__xludf.DUMMYFUNCTION("""COMPUTED_VALUE"""),"Strategy")</f>
        <v>Strategy</v>
      </c>
      <c r="M679" s="26"/>
    </row>
    <row r="680">
      <c r="A680" s="12" t="str">
        <f>IFERROR(__xludf.DUMMYFUNCTION("""COMPUTED_VALUE"""),"Deadlight")</f>
        <v>Deadlight</v>
      </c>
      <c r="B680" s="13" t="str">
        <f>IFERROR(__xludf.DUMMYFUNCTION("""COMPUTED_VALUE"""),"XB360/OG Xbox")</f>
        <v>XB360/OG Xbox</v>
      </c>
      <c r="C680" s="14"/>
      <c r="D680" s="14" t="str">
        <f>IFERROR(__xludf.DUMMYFUNCTION("""COMPUTED_VALUE"""),"GwG Permanent")</f>
        <v>GwG Permanent</v>
      </c>
      <c r="E680" s="15">
        <f>IFERROR(__xludf.DUMMYFUNCTION("""COMPUTED_VALUE"""),41745.0)</f>
        <v>41745</v>
      </c>
      <c r="F680" s="16">
        <f>IFERROR(__xludf.DUMMYFUNCTION("""COMPUTED_VALUE"""),41759.0)</f>
        <v>41759</v>
      </c>
      <c r="G680" s="18">
        <f>IFERROR(__xludf.DUMMYFUNCTION("""COMPUTED_VALUE"""),0.4666666666666667)</f>
        <v>0.4666666667</v>
      </c>
      <c r="H680" s="15">
        <f>IFERROR(__xludf.DUMMYFUNCTION("""COMPUTED_VALUE"""),41093.0)</f>
        <v>41093</v>
      </c>
      <c r="I680" s="18">
        <f>IFERROR(__xludf.DUMMYFUNCTION("""COMPUTED_VALUE"""),1.7861111111111112)</f>
        <v>1.786111111</v>
      </c>
      <c r="J680" s="22">
        <f>IFERROR(__xludf.DUMMYFUNCTION("""COMPUTED_VALUE"""),72.0)</f>
        <v>72</v>
      </c>
      <c r="K680" s="22">
        <f>IFERROR(__xludf.DUMMYFUNCTION("""COMPUTED_VALUE"""),6.0)</f>
        <v>6</v>
      </c>
      <c r="L680" s="26" t="str">
        <f>IFERROR(__xludf.DUMMYFUNCTION("""COMPUTED_VALUE"""),"Platformer")</f>
        <v>Platformer</v>
      </c>
      <c r="M680" s="26"/>
    </row>
    <row r="681">
      <c r="A681" s="12" t="str">
        <f>IFERROR(__xludf.DUMMYFUNCTION("""COMPUTED_VALUE"""),"Tom Clancy's Rainbow Six: Extraction")</f>
        <v>Tom Clancy's Rainbow Six: Extraction</v>
      </c>
      <c r="B681" s="13" t="str">
        <f>IFERROR(__xludf.DUMMYFUNCTION("""COMPUTED_VALUE"""),"Xbox / PC")</f>
        <v>Xbox / PC</v>
      </c>
      <c r="C681" s="14" t="str">
        <f>IFERROR(__xludf.DUMMYFUNCTION("""COMPUTED_VALUE"""),"Yes")</f>
        <v>Yes</v>
      </c>
      <c r="D681" s="14" t="str">
        <f>IFERROR(__xludf.DUMMYFUNCTION("""COMPUTED_VALUE"""),"Active")</f>
        <v>Active</v>
      </c>
      <c r="E681" s="15">
        <f>IFERROR(__xludf.DUMMYFUNCTION("""COMPUTED_VALUE"""),45931.0)</f>
        <v>45931</v>
      </c>
      <c r="F681" s="16"/>
      <c r="G681" s="18">
        <f>IFERROR(__xludf.DUMMYFUNCTION("""COMPUTED_VALUE"""),12.166666666666666)</f>
        <v>12.16666667</v>
      </c>
      <c r="H681" s="15">
        <f>IFERROR(__xludf.DUMMYFUNCTION("""COMPUTED_VALUE"""),44581.0)</f>
        <v>44581</v>
      </c>
      <c r="I681" s="18">
        <f>IFERROR(__xludf.DUMMYFUNCTION("""COMPUTED_VALUE"""),3.6972222222222224)</f>
        <v>3.697222222</v>
      </c>
      <c r="J681" s="22">
        <f>IFERROR(__xludf.DUMMYFUNCTION("""COMPUTED_VALUE"""),71.5)</f>
        <v>71.5</v>
      </c>
      <c r="K681" s="22">
        <f>IFERROR(__xludf.DUMMYFUNCTION("""COMPUTED_VALUE"""),8.0)</f>
        <v>8</v>
      </c>
      <c r="L681" s="26" t="str">
        <f>IFERROR(__xludf.DUMMYFUNCTION("""COMPUTED_VALUE"""),"Shooter")</f>
        <v>Shooter</v>
      </c>
      <c r="M681" s="26"/>
    </row>
    <row r="682">
      <c r="A682" s="12" t="str">
        <f>IFERROR(__xludf.DUMMYFUNCTION("""COMPUTED_VALUE"""),"RV There Yet?")</f>
        <v>RV There Yet?</v>
      </c>
      <c r="B682" s="13" t="str">
        <f>IFERROR(__xludf.DUMMYFUNCTION("""COMPUTED_VALUE"""),"Xbox / PC")</f>
        <v>Xbox / PC</v>
      </c>
      <c r="C682" s="14" t="str">
        <f>IFERROR(__xludf.DUMMYFUNCTION("""COMPUTED_VALUE"""),"Yes")</f>
        <v>Yes</v>
      </c>
      <c r="D682" s="14" t="str">
        <f>IFERROR(__xludf.DUMMYFUNCTION("""COMPUTED_VALUE"""),"Active")</f>
        <v>Active</v>
      </c>
      <c r="E682" s="15">
        <f>IFERROR(__xludf.DUMMYFUNCTION("""COMPUTED_VALUE"""),46203.0)</f>
        <v>46203</v>
      </c>
      <c r="F682" s="16"/>
      <c r="G682" s="18">
        <f>IFERROR(__xludf.DUMMYFUNCTION("""COMPUTED_VALUE"""),3.2)</f>
        <v>3.2</v>
      </c>
      <c r="H682" s="15">
        <f>IFERROR(__xludf.DUMMYFUNCTION("""COMPUTED_VALUE"""),46203.0)</f>
        <v>46203</v>
      </c>
      <c r="I682" s="18">
        <f>IFERROR(__xludf.DUMMYFUNCTION("""COMPUTED_VALUE"""),0.0)</f>
        <v>0</v>
      </c>
      <c r="J682" s="22">
        <f>IFERROR(__xludf.DUMMYFUNCTION("""COMPUTED_VALUE"""),71.0)</f>
        <v>71</v>
      </c>
      <c r="K682" s="22">
        <f>IFERROR(__xludf.DUMMYFUNCTION("""COMPUTED_VALUE"""),4.0)</f>
        <v>4</v>
      </c>
      <c r="L682" s="26" t="str">
        <f>IFERROR(__xludf.DUMMYFUNCTION("""COMPUTED_VALUE"""),"Action-Adventure")</f>
        <v>Action-Adventure</v>
      </c>
      <c r="M682" s="26" t="str">
        <f>IFERROR(__xludf.DUMMYFUNCTION("""COMPUTED_VALUE"""),"Exclusive")</f>
        <v>Exclusive</v>
      </c>
    </row>
    <row r="683">
      <c r="A683" s="12" t="str">
        <f>IFERROR(__xludf.DUMMYFUNCTION("""COMPUTED_VALUE"""),"ANNO: Mutationem")</f>
        <v>ANNO: Mutationem</v>
      </c>
      <c r="B683" s="13" t="str">
        <f>IFERROR(__xludf.DUMMYFUNCTION("""COMPUTED_VALUE"""),"Xbox / PC")</f>
        <v>Xbox / PC</v>
      </c>
      <c r="C683" s="14" t="str">
        <f>IFERROR(__xludf.DUMMYFUNCTION("""COMPUTED_VALUE"""),"Yes")</f>
        <v>Yes</v>
      </c>
      <c r="D683" s="14" t="str">
        <f>IFERROR(__xludf.DUMMYFUNCTION("""COMPUTED_VALUE"""),"Active")</f>
        <v>Active</v>
      </c>
      <c r="E683" s="15">
        <f>IFERROR(__xludf.DUMMYFUNCTION("""COMPUTED_VALUE"""),46050.0)</f>
        <v>46050</v>
      </c>
      <c r="F683" s="16"/>
      <c r="G683" s="18">
        <f>IFERROR(__xludf.DUMMYFUNCTION("""COMPUTED_VALUE"""),8.266666666666666)</f>
        <v>8.266666667</v>
      </c>
      <c r="H683" s="15">
        <f>IFERROR(__xludf.DUMMYFUNCTION("""COMPUTED_VALUE"""),44637.0)</f>
        <v>44637</v>
      </c>
      <c r="I683" s="18">
        <f>IFERROR(__xludf.DUMMYFUNCTION("""COMPUTED_VALUE"""),3.863888888888889)</f>
        <v>3.863888889</v>
      </c>
      <c r="J683" s="22">
        <f>IFERROR(__xludf.DUMMYFUNCTION("""COMPUTED_VALUE"""),71.0)</f>
        <v>71</v>
      </c>
      <c r="K683" s="22">
        <f>IFERROR(__xludf.DUMMYFUNCTION("""COMPUTED_VALUE"""),11.0)</f>
        <v>11</v>
      </c>
      <c r="L683" s="26" t="str">
        <f>IFERROR(__xludf.DUMMYFUNCTION("""COMPUTED_VALUE"""),"Action-Adventure")</f>
        <v>Action-Adventure</v>
      </c>
      <c r="M683" s="26"/>
    </row>
    <row r="684">
      <c r="A684" s="12" t="str">
        <f>IFERROR(__xludf.DUMMYFUNCTION("""COMPUTED_VALUE"""),"Assassin's Creed IV Black Flag: Freedom Cry")</f>
        <v>Assassin's Creed IV Black Flag: Freedom Cry</v>
      </c>
      <c r="B684" s="13" t="str">
        <f>IFERROR(__xludf.DUMMYFUNCTION("""COMPUTED_VALUE"""),"Xbox / PC")</f>
        <v>Xbox / PC</v>
      </c>
      <c r="C684" s="14"/>
      <c r="D684" s="14" t="str">
        <f>IFERROR(__xludf.DUMMYFUNCTION("""COMPUTED_VALUE"""),"Active")</f>
        <v>Active</v>
      </c>
      <c r="E684" s="15">
        <f>IFERROR(__xludf.DUMMYFUNCTION("""COMPUTED_VALUE"""),45931.0)</f>
        <v>45931</v>
      </c>
      <c r="F684" s="16"/>
      <c r="G684" s="18">
        <f>IFERROR(__xludf.DUMMYFUNCTION("""COMPUTED_VALUE"""),12.166666666666666)</f>
        <v>12.16666667</v>
      </c>
      <c r="H684" s="15">
        <f>IFERROR(__xludf.DUMMYFUNCTION("""COMPUTED_VALUE"""),41626.0)</f>
        <v>41626</v>
      </c>
      <c r="I684" s="18">
        <f>IFERROR(__xludf.DUMMYFUNCTION("""COMPUTED_VALUE"""),11.786111111111111)</f>
        <v>11.78611111</v>
      </c>
      <c r="J684" s="22">
        <f>IFERROR(__xludf.DUMMYFUNCTION("""COMPUTED_VALUE"""),71.0)</f>
        <v>71</v>
      </c>
      <c r="K684" s="22">
        <f>IFERROR(__xludf.DUMMYFUNCTION("""COMPUTED_VALUE"""),4.0)</f>
        <v>4</v>
      </c>
      <c r="L684" s="26" t="str">
        <f>IFERROR(__xludf.DUMMYFUNCTION("""COMPUTED_VALUE"""),"Action-Adventure")</f>
        <v>Action-Adventure</v>
      </c>
      <c r="M684" s="26"/>
    </row>
    <row r="685">
      <c r="A685" s="12" t="str">
        <f>IFERROR(__xludf.DUMMYFUNCTION("""COMPUTED_VALUE"""),"Assassin's Creed Rogue: Remastered")</f>
        <v>Assassin's Creed Rogue: Remastered</v>
      </c>
      <c r="B685" s="13" t="str">
        <f>IFERROR(__xludf.DUMMYFUNCTION("""COMPUTED_VALUE"""),"Xbox / PC")</f>
        <v>Xbox / PC</v>
      </c>
      <c r="C685" s="14" t="str">
        <f>IFERROR(__xludf.DUMMYFUNCTION("""COMPUTED_VALUE"""),"Yes")</f>
        <v>Yes</v>
      </c>
      <c r="D685" s="14" t="str">
        <f>IFERROR(__xludf.DUMMYFUNCTION("""COMPUTED_VALUE"""),"Active")</f>
        <v>Active</v>
      </c>
      <c r="E685" s="15">
        <f>IFERROR(__xludf.DUMMYFUNCTION("""COMPUTED_VALUE"""),45931.0)</f>
        <v>45931</v>
      </c>
      <c r="F685" s="16"/>
      <c r="G685" s="18">
        <f>IFERROR(__xludf.DUMMYFUNCTION("""COMPUTED_VALUE"""),12.166666666666666)</f>
        <v>12.16666667</v>
      </c>
      <c r="H685" s="15">
        <f>IFERROR(__xludf.DUMMYFUNCTION("""COMPUTED_VALUE"""),43179.0)</f>
        <v>43179</v>
      </c>
      <c r="I685" s="18">
        <f>IFERROR(__xludf.DUMMYFUNCTION("""COMPUTED_VALUE"""),7.530555555555556)</f>
        <v>7.530555556</v>
      </c>
      <c r="J685" s="22">
        <f>IFERROR(__xludf.DUMMYFUNCTION("""COMPUTED_VALUE"""),71.0)</f>
        <v>71</v>
      </c>
      <c r="K685" s="22">
        <f>IFERROR(__xludf.DUMMYFUNCTION("""COMPUTED_VALUE"""),11.0)</f>
        <v>11</v>
      </c>
      <c r="L685" s="26" t="str">
        <f>IFERROR(__xludf.DUMMYFUNCTION("""COMPUTED_VALUE"""),"Action-Adventure")</f>
        <v>Action-Adventure</v>
      </c>
      <c r="M685" s="26"/>
    </row>
    <row r="686">
      <c r="A686" s="12" t="str">
        <f>IFERROR(__xludf.DUMMYFUNCTION("""COMPUTED_VALUE"""),"Monopoly Madness")</f>
        <v>Monopoly Madness</v>
      </c>
      <c r="B686" s="13" t="str">
        <f>IFERROR(__xludf.DUMMYFUNCTION("""COMPUTED_VALUE"""),"Xbox / PC")</f>
        <v>Xbox / PC</v>
      </c>
      <c r="C686" s="14" t="str">
        <f>IFERROR(__xludf.DUMMYFUNCTION("""COMPUTED_VALUE"""),"Yes")</f>
        <v>Yes</v>
      </c>
      <c r="D686" s="14" t="str">
        <f>IFERROR(__xludf.DUMMYFUNCTION("""COMPUTED_VALUE"""),"Active")</f>
        <v>Active</v>
      </c>
      <c r="E686" s="15">
        <f>IFERROR(__xludf.DUMMYFUNCTION("""COMPUTED_VALUE"""),45931.0)</f>
        <v>45931</v>
      </c>
      <c r="F686" s="16"/>
      <c r="G686" s="18">
        <f>IFERROR(__xludf.DUMMYFUNCTION("""COMPUTED_VALUE"""),12.166666666666666)</f>
        <v>12.16666667</v>
      </c>
      <c r="H686" s="15">
        <f>IFERROR(__xludf.DUMMYFUNCTION("""COMPUTED_VALUE"""),44914.0)</f>
        <v>44914</v>
      </c>
      <c r="I686" s="18">
        <f>IFERROR(__xludf.DUMMYFUNCTION("""COMPUTED_VALUE"""),2.783333333333333)</f>
        <v>2.783333333</v>
      </c>
      <c r="J686" s="22">
        <f>IFERROR(__xludf.DUMMYFUNCTION("""COMPUTED_VALUE"""),71.0)</f>
        <v>71</v>
      </c>
      <c r="K686" s="22">
        <f>IFERROR(__xludf.DUMMYFUNCTION("""COMPUTED_VALUE"""),6.0)</f>
        <v>6</v>
      </c>
      <c r="L686" s="26" t="str">
        <f>IFERROR(__xludf.DUMMYFUNCTION("""COMPUTED_VALUE"""),"Party")</f>
        <v>Party</v>
      </c>
      <c r="M686" s="26"/>
    </row>
    <row r="687">
      <c r="A687" s="12" t="str">
        <f>IFERROR(__xludf.DUMMYFUNCTION("""COMPUTED_VALUE"""),"OddBallers")</f>
        <v>OddBallers</v>
      </c>
      <c r="B687" s="13" t="str">
        <f>IFERROR(__xludf.DUMMYFUNCTION("""COMPUTED_VALUE"""),"Xbox / PC")</f>
        <v>Xbox / PC</v>
      </c>
      <c r="C687" s="14" t="str">
        <f>IFERROR(__xludf.DUMMYFUNCTION("""COMPUTED_VALUE"""),"Yes")</f>
        <v>Yes</v>
      </c>
      <c r="D687" s="14" t="str">
        <f>IFERROR(__xludf.DUMMYFUNCTION("""COMPUTED_VALUE"""),"Active")</f>
        <v>Active</v>
      </c>
      <c r="E687" s="15">
        <f>IFERROR(__xludf.DUMMYFUNCTION("""COMPUTED_VALUE"""),45931.0)</f>
        <v>45931</v>
      </c>
      <c r="F687" s="16"/>
      <c r="G687" s="18">
        <f>IFERROR(__xludf.DUMMYFUNCTION("""COMPUTED_VALUE"""),12.166666666666666)</f>
        <v>12.16666667</v>
      </c>
      <c r="H687" s="15">
        <f>IFERROR(__xludf.DUMMYFUNCTION("""COMPUTED_VALUE"""),44952.0)</f>
        <v>44952</v>
      </c>
      <c r="I687" s="18">
        <f>IFERROR(__xludf.DUMMYFUNCTION("""COMPUTED_VALUE"""),2.6805555555555554)</f>
        <v>2.680555556</v>
      </c>
      <c r="J687" s="22">
        <f>IFERROR(__xludf.DUMMYFUNCTION("""COMPUTED_VALUE"""),71.0)</f>
        <v>71</v>
      </c>
      <c r="K687" s="22">
        <f>IFERROR(__xludf.DUMMYFUNCTION("""COMPUTED_VALUE"""),8.0)</f>
        <v>8</v>
      </c>
      <c r="L687" s="26" t="str">
        <f>IFERROR(__xludf.DUMMYFUNCTION("""COMPUTED_VALUE"""),"Party")</f>
        <v>Party</v>
      </c>
      <c r="M687" s="26"/>
    </row>
    <row r="688">
      <c r="A688" s="12" t="str">
        <f>IFERROR(__xludf.DUMMYFUNCTION("""COMPUTED_VALUE"""),"Steep")</f>
        <v>Steep</v>
      </c>
      <c r="B688" s="13" t="str">
        <f>IFERROR(__xludf.DUMMYFUNCTION("""COMPUTED_VALUE"""),"Xbox / PC")</f>
        <v>Xbox / PC</v>
      </c>
      <c r="C688" s="14" t="str">
        <f>IFERROR(__xludf.DUMMYFUNCTION("""COMPUTED_VALUE"""),"Touch Controls")</f>
        <v>Touch Controls</v>
      </c>
      <c r="D688" s="14" t="str">
        <f>IFERROR(__xludf.DUMMYFUNCTION("""COMPUTED_VALUE"""),"Active")</f>
        <v>Active</v>
      </c>
      <c r="E688" s="15">
        <f>IFERROR(__xludf.DUMMYFUNCTION("""COMPUTED_VALUE"""),45931.0)</f>
        <v>45931</v>
      </c>
      <c r="F688" s="16"/>
      <c r="G688" s="18">
        <f>IFERROR(__xludf.DUMMYFUNCTION("""COMPUTED_VALUE"""),12.166666666666666)</f>
        <v>12.16666667</v>
      </c>
      <c r="H688" s="15">
        <f>IFERROR(__xludf.DUMMYFUNCTION("""COMPUTED_VALUE"""),42703.0)</f>
        <v>42703</v>
      </c>
      <c r="I688" s="18">
        <f>IFERROR(__xludf.DUMMYFUNCTION("""COMPUTED_VALUE"""),8.838888888888889)</f>
        <v>8.838888889</v>
      </c>
      <c r="J688" s="22">
        <f>IFERROR(__xludf.DUMMYFUNCTION("""COMPUTED_VALUE"""),71.0)</f>
        <v>71</v>
      </c>
      <c r="K688" s="22">
        <f>IFERROR(__xludf.DUMMYFUNCTION("""COMPUTED_VALUE"""),12.0)</f>
        <v>12</v>
      </c>
      <c r="L688" s="26" t="str">
        <f>IFERROR(__xludf.DUMMYFUNCTION("""COMPUTED_VALUE"""),"Sports")</f>
        <v>Sports</v>
      </c>
      <c r="M688" s="26" t="str">
        <f>IFERROR(__xludf.DUMMYFUNCTION("""COMPUTED_VALUE"""),"FPS Boost S Only")</f>
        <v>FPS Boost S Only</v>
      </c>
    </row>
    <row r="689">
      <c r="A689" s="12" t="str">
        <f>IFERROR(__xludf.DUMMYFUNCTION("""COMPUTED_VALUE"""),"Transference")</f>
        <v>Transference</v>
      </c>
      <c r="B689" s="13" t="str">
        <f>IFERROR(__xludf.DUMMYFUNCTION("""COMPUTED_VALUE"""),"Xbox")</f>
        <v>Xbox</v>
      </c>
      <c r="C689" s="14" t="str">
        <f>IFERROR(__xludf.DUMMYFUNCTION("""COMPUTED_VALUE"""),"Yes")</f>
        <v>Yes</v>
      </c>
      <c r="D689" s="14" t="str">
        <f>IFERROR(__xludf.DUMMYFUNCTION("""COMPUTED_VALUE"""),"Active")</f>
        <v>Active</v>
      </c>
      <c r="E689" s="15">
        <f>IFERROR(__xludf.DUMMYFUNCTION("""COMPUTED_VALUE"""),45931.0)</f>
        <v>45931</v>
      </c>
      <c r="F689" s="16"/>
      <c r="G689" s="18">
        <f>IFERROR(__xludf.DUMMYFUNCTION("""COMPUTED_VALUE"""),12.166666666666666)</f>
        <v>12.16666667</v>
      </c>
      <c r="H689" s="15">
        <f>IFERROR(__xludf.DUMMYFUNCTION("""COMPUTED_VALUE"""),43361.0)</f>
        <v>43361</v>
      </c>
      <c r="I689" s="18">
        <f>IFERROR(__xludf.DUMMYFUNCTION("""COMPUTED_VALUE"""),7.036111111111111)</f>
        <v>7.036111111</v>
      </c>
      <c r="J689" s="22">
        <f>IFERROR(__xludf.DUMMYFUNCTION("""COMPUTED_VALUE"""),71.0)</f>
        <v>71</v>
      </c>
      <c r="K689" s="22">
        <f>IFERROR(__xludf.DUMMYFUNCTION("""COMPUTED_VALUE"""),2.0)</f>
        <v>2</v>
      </c>
      <c r="L689" s="26" t="str">
        <f>IFERROR(__xludf.DUMMYFUNCTION("""COMPUTED_VALUE"""),"Action-Adventure")</f>
        <v>Action-Adventure</v>
      </c>
      <c r="M689" s="26"/>
    </row>
    <row r="690">
      <c r="A690" s="12" t="str">
        <f>IFERROR(__xludf.DUMMYFUNCTION("""COMPUTED_VALUE"""),"Wheel World")</f>
        <v>Wheel World</v>
      </c>
      <c r="B690" s="13" t="str">
        <f>IFERROR(__xludf.DUMMYFUNCTION("""COMPUTED_VALUE"""),"Xbox / PC")</f>
        <v>Xbox / PC</v>
      </c>
      <c r="C690" s="14" t="str">
        <f>IFERROR(__xludf.DUMMYFUNCTION("""COMPUTED_VALUE"""),"Yes")</f>
        <v>Yes</v>
      </c>
      <c r="D690" s="14" t="str">
        <f>IFERROR(__xludf.DUMMYFUNCTION("""COMPUTED_VALUE"""),"Active")</f>
        <v>Active</v>
      </c>
      <c r="E690" s="15">
        <f>IFERROR(__xludf.DUMMYFUNCTION("""COMPUTED_VALUE"""),45861.0)</f>
        <v>45861</v>
      </c>
      <c r="F690" s="16"/>
      <c r="G690" s="18">
        <f>IFERROR(__xludf.DUMMYFUNCTION("""COMPUTED_VALUE"""),14.433333333333334)</f>
        <v>14.43333333</v>
      </c>
      <c r="H690" s="15">
        <f>IFERROR(__xludf.DUMMYFUNCTION("""COMPUTED_VALUE"""),45861.0)</f>
        <v>45861</v>
      </c>
      <c r="I690" s="18">
        <f>IFERROR(__xludf.DUMMYFUNCTION("""COMPUTED_VALUE"""),0.0)</f>
        <v>0</v>
      </c>
      <c r="J690" s="22">
        <f>IFERROR(__xludf.DUMMYFUNCTION("""COMPUTED_VALUE"""),71.0)</f>
        <v>71</v>
      </c>
      <c r="K690" s="22">
        <f>IFERROR(__xludf.DUMMYFUNCTION("""COMPUTED_VALUE"""),5.0)</f>
        <v>5</v>
      </c>
      <c r="L690" s="26" t="str">
        <f>IFERROR(__xludf.DUMMYFUNCTION("""COMPUTED_VALUE"""),"Action-Adventure")</f>
        <v>Action-Adventure</v>
      </c>
      <c r="M690" s="26" t="str">
        <f>IFERROR(__xludf.DUMMYFUNCTION("""COMPUTED_VALUE"""),"Exclusive")</f>
        <v>Exclusive</v>
      </c>
    </row>
    <row r="691">
      <c r="A691" s="12" t="str">
        <f>IFERROR(__xludf.DUMMYFUNCTION("""COMPUTED_VALUE"""),"Solar Storm")</f>
        <v>Solar Storm</v>
      </c>
      <c r="B691" s="13" t="str">
        <f>IFERROR(__xludf.DUMMYFUNCTION("""COMPUTED_VALUE"""),"Xbox / PC")</f>
        <v>Xbox / PC</v>
      </c>
      <c r="C691" s="14" t="str">
        <f>IFERROR(__xludf.DUMMYFUNCTION("""COMPUTED_VALUE"""),"Yes")</f>
        <v>Yes</v>
      </c>
      <c r="D691" s="14" t="str">
        <f>IFERROR(__xludf.DUMMYFUNCTION("""COMPUTED_VALUE"""),"Active")</f>
        <v>Active</v>
      </c>
      <c r="E691" s="15">
        <f>IFERROR(__xludf.DUMMYFUNCTION("""COMPUTED_VALUE"""),45839.0)</f>
        <v>45839</v>
      </c>
      <c r="F691" s="16"/>
      <c r="G691" s="18">
        <f>IFERROR(__xludf.DUMMYFUNCTION("""COMPUTED_VALUE"""),15.166666666666666)</f>
        <v>15.16666667</v>
      </c>
      <c r="H691" s="15">
        <f>IFERROR(__xludf.DUMMYFUNCTION("""COMPUTED_VALUE"""),30468.0)</f>
        <v>30468</v>
      </c>
      <c r="I691" s="18">
        <f>IFERROR(__xludf.DUMMYFUNCTION("""COMPUTED_VALUE"""),42.083333333333336)</f>
        <v>42.08333333</v>
      </c>
      <c r="J691" s="22">
        <f>IFERROR(__xludf.DUMMYFUNCTION("""COMPUTED_VALUE"""),71.0)</f>
        <v>71</v>
      </c>
      <c r="K691" s="22"/>
      <c r="L691" s="26" t="str">
        <f>IFERROR(__xludf.DUMMYFUNCTION("""COMPUTED_VALUE"""),"Action-Adventure")</f>
        <v>Action-Adventure</v>
      </c>
      <c r="M691" s="26"/>
    </row>
    <row r="692">
      <c r="A692" s="12" t="str">
        <f>IFERROR(__xludf.DUMMYFUNCTION("""COMPUTED_VALUE"""),"Cosmic Ark")</f>
        <v>Cosmic Ark</v>
      </c>
      <c r="B692" s="13" t="str">
        <f>IFERROR(__xludf.DUMMYFUNCTION("""COMPUTED_VALUE"""),"Xbox / PC")</f>
        <v>Xbox / PC</v>
      </c>
      <c r="C692" s="14" t="str">
        <f>IFERROR(__xludf.DUMMYFUNCTION("""COMPUTED_VALUE"""),"Yes")</f>
        <v>Yes</v>
      </c>
      <c r="D692" s="14" t="str">
        <f>IFERROR(__xludf.DUMMYFUNCTION("""COMPUTED_VALUE"""),"Active")</f>
        <v>Active</v>
      </c>
      <c r="E692" s="15">
        <f>IFERROR(__xludf.DUMMYFUNCTION("""COMPUTED_VALUE"""),45798.0)</f>
        <v>45798</v>
      </c>
      <c r="F692" s="16"/>
      <c r="G692" s="18">
        <f>IFERROR(__xludf.DUMMYFUNCTION("""COMPUTED_VALUE"""),16.5)</f>
        <v>16.5</v>
      </c>
      <c r="H692" s="15">
        <f>IFERROR(__xludf.DUMMYFUNCTION("""COMPUTED_VALUE"""),30164.0)</f>
        <v>30164</v>
      </c>
      <c r="I692" s="18">
        <f>IFERROR(__xludf.DUMMYFUNCTION("""COMPUTED_VALUE"""),42.80555555555556)</f>
        <v>42.80555556</v>
      </c>
      <c r="J692" s="22">
        <f>IFERROR(__xludf.DUMMYFUNCTION("""COMPUTED_VALUE"""),71.0)</f>
        <v>71</v>
      </c>
      <c r="K692" s="22"/>
      <c r="L692" s="26" t="str">
        <f>IFERROR(__xludf.DUMMYFUNCTION("""COMPUTED_VALUE"""),"Action‑Adventure")</f>
        <v>Action‑Adventure</v>
      </c>
      <c r="M692" s="26"/>
    </row>
    <row r="693">
      <c r="A693" s="12" t="str">
        <f>IFERROR(__xludf.DUMMYFUNCTION("""COMPUTED_VALUE"""),"Pitfall!")</f>
        <v>Pitfall!</v>
      </c>
      <c r="B693" s="13" t="str">
        <f>IFERROR(__xludf.DUMMYFUNCTION("""COMPUTED_VALUE"""),"Xbox / PC")</f>
        <v>Xbox / PC</v>
      </c>
      <c r="C693" s="14" t="str">
        <f>IFERROR(__xludf.DUMMYFUNCTION("""COMPUTED_VALUE"""),"Yes")</f>
        <v>Yes</v>
      </c>
      <c r="D693" s="14" t="str">
        <f>IFERROR(__xludf.DUMMYFUNCTION("""COMPUTED_VALUE"""),"Active")</f>
        <v>Active</v>
      </c>
      <c r="E693" s="15">
        <f>IFERROR(__xludf.DUMMYFUNCTION("""COMPUTED_VALUE"""),45798.0)</f>
        <v>45798</v>
      </c>
      <c r="F693" s="16"/>
      <c r="G693" s="18">
        <f>IFERROR(__xludf.DUMMYFUNCTION("""COMPUTED_VALUE"""),16.5)</f>
        <v>16.5</v>
      </c>
      <c r="H693" s="15">
        <f>IFERROR(__xludf.DUMMYFUNCTION("""COMPUTED_VALUE"""),30061.0)</f>
        <v>30061</v>
      </c>
      <c r="I693" s="18">
        <f>IFERROR(__xludf.DUMMYFUNCTION("""COMPUTED_VALUE"""),43.08611111111111)</f>
        <v>43.08611111</v>
      </c>
      <c r="J693" s="22">
        <f>IFERROR(__xludf.DUMMYFUNCTION("""COMPUTED_VALUE"""),71.0)</f>
        <v>71</v>
      </c>
      <c r="K693" s="22">
        <f>IFERROR(__xludf.DUMMYFUNCTION("""COMPUTED_VALUE"""),1.0)</f>
        <v>1</v>
      </c>
      <c r="L693" s="26" t="str">
        <f>IFERROR(__xludf.DUMMYFUNCTION("""COMPUTED_VALUE"""),"Platformer")</f>
        <v>Platformer</v>
      </c>
      <c r="M693" s="26"/>
    </row>
    <row r="694">
      <c r="A694" s="12" t="str">
        <f>IFERROR(__xludf.DUMMYFUNCTION("""COMPUTED_VALUE"""),"Pressure Cooker")</f>
        <v>Pressure Cooker</v>
      </c>
      <c r="B694" s="13" t="str">
        <f>IFERROR(__xludf.DUMMYFUNCTION("""COMPUTED_VALUE"""),"Xbox / PC")</f>
        <v>Xbox / PC</v>
      </c>
      <c r="C694" s="14" t="str">
        <f>IFERROR(__xludf.DUMMYFUNCTION("""COMPUTED_VALUE"""),"Yes")</f>
        <v>Yes</v>
      </c>
      <c r="D694" s="14" t="str">
        <f>IFERROR(__xludf.DUMMYFUNCTION("""COMPUTED_VALUE"""),"Active")</f>
        <v>Active</v>
      </c>
      <c r="E694" s="15">
        <f>IFERROR(__xludf.DUMMYFUNCTION("""COMPUTED_VALUE"""),45798.0)</f>
        <v>45798</v>
      </c>
      <c r="F694" s="16"/>
      <c r="G694" s="18">
        <f>IFERROR(__xludf.DUMMYFUNCTION("""COMPUTED_VALUE"""),16.5)</f>
        <v>16.5</v>
      </c>
      <c r="H694" s="15">
        <f>IFERROR(__xludf.DUMMYFUNCTION("""COMPUTED_VALUE"""),30369.0)</f>
        <v>30369</v>
      </c>
      <c r="I694" s="18">
        <f>IFERROR(__xludf.DUMMYFUNCTION("""COMPUTED_VALUE"""),42.24722222222222)</f>
        <v>42.24722222</v>
      </c>
      <c r="J694" s="22">
        <f>IFERROR(__xludf.DUMMYFUNCTION("""COMPUTED_VALUE"""),71.0)</f>
        <v>71</v>
      </c>
      <c r="K694" s="22"/>
      <c r="L694" s="26" t="str">
        <f>IFERROR(__xludf.DUMMYFUNCTION("""COMPUTED_VALUE"""),"Simulation")</f>
        <v>Simulation</v>
      </c>
      <c r="M694" s="26"/>
    </row>
    <row r="695">
      <c r="A695" s="12" t="str">
        <f>IFERROR(__xludf.DUMMYFUNCTION("""COMPUTED_VALUE"""),"Space Quest 6")</f>
        <v>Space Quest 6</v>
      </c>
      <c r="B695" s="13" t="str">
        <f>IFERROR(__xludf.DUMMYFUNCTION("""COMPUTED_VALUE"""),"Xbox / PC")</f>
        <v>Xbox / PC</v>
      </c>
      <c r="C695" s="14" t="str">
        <f>IFERROR(__xludf.DUMMYFUNCTION("""COMPUTED_VALUE"""),"Yes")</f>
        <v>Yes</v>
      </c>
      <c r="D695" s="14" t="str">
        <f>IFERROR(__xludf.DUMMYFUNCTION("""COMPUTED_VALUE"""),"Active")</f>
        <v>Active</v>
      </c>
      <c r="E695" s="15">
        <f>IFERROR(__xludf.DUMMYFUNCTION("""COMPUTED_VALUE"""),45798.0)</f>
        <v>45798</v>
      </c>
      <c r="F695" s="16"/>
      <c r="G695" s="18">
        <f>IFERROR(__xludf.DUMMYFUNCTION("""COMPUTED_VALUE"""),16.5)</f>
        <v>16.5</v>
      </c>
      <c r="H695" s="15">
        <f>IFERROR(__xludf.DUMMYFUNCTION("""COMPUTED_VALUE"""),34891.0)</f>
        <v>34891</v>
      </c>
      <c r="I695" s="18">
        <f>IFERROR(__xludf.DUMMYFUNCTION("""COMPUTED_VALUE"""),29.86111111111111)</f>
        <v>29.86111111</v>
      </c>
      <c r="J695" s="22">
        <f>IFERROR(__xludf.DUMMYFUNCTION("""COMPUTED_VALUE"""),71.0)</f>
        <v>71</v>
      </c>
      <c r="K695" s="22">
        <f>IFERROR(__xludf.DUMMYFUNCTION("""COMPUTED_VALUE"""),4.0)</f>
        <v>4</v>
      </c>
      <c r="L695" s="26" t="str">
        <f>IFERROR(__xludf.DUMMYFUNCTION("""COMPUTED_VALUE"""),"Action‑Adventure")</f>
        <v>Action‑Adventure</v>
      </c>
      <c r="M695" s="26"/>
    </row>
    <row r="696">
      <c r="A696" s="12" t="str">
        <f>IFERROR(__xludf.DUMMYFUNCTION("""COMPUTED_VALUE"""),"The Adventures of Willy Beamish")</f>
        <v>The Adventures of Willy Beamish</v>
      </c>
      <c r="B696" s="13" t="str">
        <f>IFERROR(__xludf.DUMMYFUNCTION("""COMPUTED_VALUE"""),"Xbox / PC")</f>
        <v>Xbox / PC</v>
      </c>
      <c r="C696" s="14" t="str">
        <f>IFERROR(__xludf.DUMMYFUNCTION("""COMPUTED_VALUE"""),"Yes")</f>
        <v>Yes</v>
      </c>
      <c r="D696" s="14" t="str">
        <f>IFERROR(__xludf.DUMMYFUNCTION("""COMPUTED_VALUE"""),"Active")</f>
        <v>Active</v>
      </c>
      <c r="E696" s="15">
        <f>IFERROR(__xludf.DUMMYFUNCTION("""COMPUTED_VALUE"""),45798.0)</f>
        <v>45798</v>
      </c>
      <c r="F696" s="16"/>
      <c r="G696" s="18">
        <f>IFERROR(__xludf.DUMMYFUNCTION("""COMPUTED_VALUE"""),16.5)</f>
        <v>16.5</v>
      </c>
      <c r="H696" s="15">
        <f>IFERROR(__xludf.DUMMYFUNCTION("""COMPUTED_VALUE"""),33506.0)</f>
        <v>33506</v>
      </c>
      <c r="I696" s="18">
        <f>IFERROR(__xludf.DUMMYFUNCTION("""COMPUTED_VALUE"""),33.65555555555556)</f>
        <v>33.65555556</v>
      </c>
      <c r="J696" s="22">
        <f>IFERROR(__xludf.DUMMYFUNCTION("""COMPUTED_VALUE"""),71.0)</f>
        <v>71</v>
      </c>
      <c r="K696" s="22">
        <f>IFERROR(__xludf.DUMMYFUNCTION("""COMPUTED_VALUE"""),5.0)</f>
        <v>5</v>
      </c>
      <c r="L696" s="26" t="str">
        <f>IFERROR(__xludf.DUMMYFUNCTION("""COMPUTED_VALUE"""),"Action‑Adventure")</f>
        <v>Action‑Adventure</v>
      </c>
      <c r="M696" s="26"/>
    </row>
    <row r="697">
      <c r="A697" s="12" t="str">
        <f>IFERROR(__xludf.DUMMYFUNCTION("""COMPUTED_VALUE"""),"Far Cry: New Dawn")</f>
        <v>Far Cry: New Dawn</v>
      </c>
      <c r="B697" s="13" t="str">
        <f>IFERROR(__xludf.DUMMYFUNCTION("""COMPUTED_VALUE"""),"Xbox / PC")</f>
        <v>Xbox / PC</v>
      </c>
      <c r="C697" s="14" t="str">
        <f>IFERROR(__xludf.DUMMYFUNCTION("""COMPUTED_VALUE"""),"Yes")</f>
        <v>Yes</v>
      </c>
      <c r="D697" s="14" t="str">
        <f>IFERROR(__xludf.DUMMYFUNCTION("""COMPUTED_VALUE"""),"Active")</f>
        <v>Active</v>
      </c>
      <c r="E697" s="15">
        <f>IFERROR(__xludf.DUMMYFUNCTION("""COMPUTED_VALUE"""),45692.0)</f>
        <v>45692</v>
      </c>
      <c r="F697" s="16"/>
      <c r="G697" s="18">
        <f>IFERROR(__xludf.DUMMYFUNCTION("""COMPUTED_VALUE"""),20.066666666666666)</f>
        <v>20.06666667</v>
      </c>
      <c r="H697" s="15">
        <f>IFERROR(__xludf.DUMMYFUNCTION("""COMPUTED_VALUE"""),43511.0)</f>
        <v>43511</v>
      </c>
      <c r="I697" s="18">
        <f>IFERROR(__xludf.DUMMYFUNCTION("""COMPUTED_VALUE"""),5.969444444444444)</f>
        <v>5.969444444</v>
      </c>
      <c r="J697" s="22">
        <f>IFERROR(__xludf.DUMMYFUNCTION("""COMPUTED_VALUE"""),71.0)</f>
        <v>71</v>
      </c>
      <c r="K697" s="22">
        <f>IFERROR(__xludf.DUMMYFUNCTION("""COMPUTED_VALUE"""),11.0)</f>
        <v>11</v>
      </c>
      <c r="L697" s="26" t="str">
        <f>IFERROR(__xludf.DUMMYFUNCTION("""COMPUTED_VALUE"""),"Shooter")</f>
        <v>Shooter</v>
      </c>
      <c r="M697" s="26"/>
    </row>
    <row r="698">
      <c r="A698" s="12" t="str">
        <f>IFERROR(__xludf.DUMMYFUNCTION("""COMPUTED_VALUE"""),"Blinx: The Time Sweeper")</f>
        <v>Blinx: The Time Sweeper</v>
      </c>
      <c r="B698" s="13" t="str">
        <f>IFERROR(__xludf.DUMMYFUNCTION("""COMPUTED_VALUE"""),"Xbox / PC")</f>
        <v>Xbox / PC</v>
      </c>
      <c r="C698" s="14" t="str">
        <f>IFERROR(__xludf.DUMMYFUNCTION("""COMPUTED_VALUE"""),"Touch Controls")</f>
        <v>Touch Controls</v>
      </c>
      <c r="D698" s="14" t="str">
        <f>IFERROR(__xludf.DUMMYFUNCTION("""COMPUTED_VALUE"""),"Active")</f>
        <v>Active</v>
      </c>
      <c r="E698" s="15">
        <f>IFERROR(__xludf.DUMMYFUNCTION("""COMPUTED_VALUE"""),44399.0)</f>
        <v>44399</v>
      </c>
      <c r="F698" s="16"/>
      <c r="G698" s="18">
        <f>IFERROR(__xludf.DUMMYFUNCTION("""COMPUTED_VALUE"""),62.46666666666667)</f>
        <v>62.46666667</v>
      </c>
      <c r="H698" s="15">
        <f>IFERROR(__xludf.DUMMYFUNCTION("""COMPUTED_VALUE"""),37536.0)</f>
        <v>37536</v>
      </c>
      <c r="I698" s="18">
        <f>IFERROR(__xludf.DUMMYFUNCTION("""COMPUTED_VALUE"""),18.791666666666668)</f>
        <v>18.79166667</v>
      </c>
      <c r="J698" s="22">
        <f>IFERROR(__xludf.DUMMYFUNCTION("""COMPUTED_VALUE"""),71.0)</f>
        <v>71</v>
      </c>
      <c r="K698" s="22">
        <f>IFERROR(__xludf.DUMMYFUNCTION("""COMPUTED_VALUE"""),10.0)</f>
        <v>10</v>
      </c>
      <c r="L698" s="26" t="str">
        <f>IFERROR(__xludf.DUMMYFUNCTION("""COMPUTED_VALUE"""),"Action")</f>
        <v>Action</v>
      </c>
      <c r="M698" s="26"/>
    </row>
    <row r="699">
      <c r="A699" s="12" t="str">
        <f>IFERROR(__xludf.DUMMYFUNCTION("""COMPUTED_VALUE"""),"Battlefield: Hardline - Ultimate Edition")</f>
        <v>Battlefield: Hardline - Ultimate Edition</v>
      </c>
      <c r="B699" s="13" t="str">
        <f>IFERROR(__xludf.DUMMYFUNCTION("""COMPUTED_VALUE"""),"Xbox / PC")</f>
        <v>Xbox / PC</v>
      </c>
      <c r="C699" s="14"/>
      <c r="D699" s="14" t="str">
        <f>IFERROR(__xludf.DUMMYFUNCTION("""COMPUTED_VALUE"""),"Active")</f>
        <v>Active</v>
      </c>
      <c r="E699" s="15">
        <f>IFERROR(__xludf.DUMMYFUNCTION("""COMPUTED_VALUE"""),44145.0)</f>
        <v>44145</v>
      </c>
      <c r="F699" s="16"/>
      <c r="G699" s="18">
        <f>IFERROR(__xludf.DUMMYFUNCTION("""COMPUTED_VALUE"""),70.86666666666667)</f>
        <v>70.86666667</v>
      </c>
      <c r="H699" s="15">
        <f>IFERROR(__xludf.DUMMYFUNCTION("""COMPUTED_VALUE"""),42080.0)</f>
        <v>42080</v>
      </c>
      <c r="I699" s="18">
        <f>IFERROR(__xludf.DUMMYFUNCTION("""COMPUTED_VALUE"""),5.647222222222222)</f>
        <v>5.647222222</v>
      </c>
      <c r="J699" s="22">
        <f>IFERROR(__xludf.DUMMYFUNCTION("""COMPUTED_VALUE"""),71.0)</f>
        <v>71</v>
      </c>
      <c r="K699" s="22">
        <f>IFERROR(__xludf.DUMMYFUNCTION("""COMPUTED_VALUE"""),7.5)</f>
        <v>7.5</v>
      </c>
      <c r="L699" s="26" t="str">
        <f>IFERROR(__xludf.DUMMYFUNCTION("""COMPUTED_VALUE"""),"Shooter")</f>
        <v>Shooter</v>
      </c>
      <c r="M699" s="26" t="str">
        <f>IFERROR(__xludf.DUMMYFUNCTION("""COMPUTED_VALUE"""),"FPS Boost")</f>
        <v>FPS Boost</v>
      </c>
    </row>
    <row r="700">
      <c r="A700" s="12" t="str">
        <f>IFERROR(__xludf.DUMMYFUNCTION("""COMPUTED_VALUE"""),"Halo 2: Anniversary")</f>
        <v>Halo 2: Anniversary</v>
      </c>
      <c r="B700" s="13" t="str">
        <f>IFERROR(__xludf.DUMMYFUNCTION("""COMPUTED_VALUE"""),"Xbox / PC")</f>
        <v>Xbox / PC</v>
      </c>
      <c r="C700" s="14"/>
      <c r="D700" s="14" t="str">
        <f>IFERROR(__xludf.DUMMYFUNCTION("""COMPUTED_VALUE"""),"Active")</f>
        <v>Active</v>
      </c>
      <c r="E700" s="15">
        <f>IFERROR(__xludf.DUMMYFUNCTION("""COMPUTED_VALUE"""),43963.0)</f>
        <v>43963</v>
      </c>
      <c r="F700" s="16"/>
      <c r="G700" s="18">
        <f>IFERROR(__xludf.DUMMYFUNCTION("""COMPUTED_VALUE"""),76.80000000000001)</f>
        <v>76.8</v>
      </c>
      <c r="H700" s="15">
        <f>IFERROR(__xludf.DUMMYFUNCTION("""COMPUTED_VALUE"""),38300.0)</f>
        <v>38300</v>
      </c>
      <c r="I700" s="18">
        <f>IFERROR(__xludf.DUMMYFUNCTION("""COMPUTED_VALUE"""),15.508333333333333)</f>
        <v>15.50833333</v>
      </c>
      <c r="J700" s="22">
        <f>IFERROR(__xludf.DUMMYFUNCTION("""COMPUTED_VALUE"""),71.0)</f>
        <v>71</v>
      </c>
      <c r="K700" s="22">
        <f>IFERROR(__xludf.DUMMYFUNCTION("""COMPUTED_VALUE"""),8.0)</f>
        <v>8</v>
      </c>
      <c r="L700" s="26" t="str">
        <f>IFERROR(__xludf.DUMMYFUNCTION("""COMPUTED_VALUE"""),"Shooter")</f>
        <v>Shooter</v>
      </c>
      <c r="M700" s="26"/>
    </row>
    <row r="701">
      <c r="A701" s="12" t="str">
        <f>IFERROR(__xludf.DUMMYFUNCTION("""COMPUTED_VALUE"""),"ScreamRide")</f>
        <v>ScreamRide</v>
      </c>
      <c r="B701" s="13" t="str">
        <f>IFERROR(__xludf.DUMMYFUNCTION("""COMPUTED_VALUE"""),"Xbox")</f>
        <v>Xbox</v>
      </c>
      <c r="C701" s="14"/>
      <c r="D701" s="14" t="str">
        <f>IFERROR(__xludf.DUMMYFUNCTION("""COMPUTED_VALUE"""),"Active")</f>
        <v>Active</v>
      </c>
      <c r="E701" s="15">
        <f>IFERROR(__xludf.DUMMYFUNCTION("""COMPUTED_VALUE"""),42887.0)</f>
        <v>42887</v>
      </c>
      <c r="F701" s="16"/>
      <c r="G701" s="18">
        <f>IFERROR(__xludf.DUMMYFUNCTION("""COMPUTED_VALUE"""),112.16666666666666)</f>
        <v>112.1666667</v>
      </c>
      <c r="H701" s="15">
        <f>IFERROR(__xludf.DUMMYFUNCTION("""COMPUTED_VALUE"""),42066.0)</f>
        <v>42066</v>
      </c>
      <c r="I701" s="18">
        <f>IFERROR(__xludf.DUMMYFUNCTION("""COMPUTED_VALUE"""),2.2444444444444445)</f>
        <v>2.244444444</v>
      </c>
      <c r="J701" s="22">
        <f>IFERROR(__xludf.DUMMYFUNCTION("""COMPUTED_VALUE"""),71.0)</f>
        <v>71</v>
      </c>
      <c r="K701" s="22">
        <f>IFERROR(__xludf.DUMMYFUNCTION("""COMPUTED_VALUE"""),6.0)</f>
        <v>6</v>
      </c>
      <c r="L701" s="26" t="str">
        <f>IFERROR(__xludf.DUMMYFUNCTION("""COMPUTED_VALUE"""),"Action")</f>
        <v>Action</v>
      </c>
      <c r="M701" s="26"/>
    </row>
    <row r="702">
      <c r="A702" s="12" t="str">
        <f>IFERROR(__xludf.DUMMYFUNCTION("""COMPUTED_VALUE"""),"Thrillville")</f>
        <v>Thrillville</v>
      </c>
      <c r="B702" s="13" t="str">
        <f>IFERROR(__xludf.DUMMYFUNCTION("""COMPUTED_VALUE"""),"XB360/OG Xbox")</f>
        <v>XB360/OG Xbox</v>
      </c>
      <c r="C702" s="14"/>
      <c r="D702" s="14" t="str">
        <f>IFERROR(__xludf.DUMMYFUNCTION("""COMPUTED_VALUE"""),"GwG Permanent")</f>
        <v>GwG Permanent</v>
      </c>
      <c r="E702" s="15">
        <f>IFERROR(__xludf.DUMMYFUNCTION("""COMPUTED_VALUE"""),44805.0)</f>
        <v>44805</v>
      </c>
      <c r="F702" s="16">
        <f>IFERROR(__xludf.DUMMYFUNCTION("""COMPUTED_VALUE"""),44819.0)</f>
        <v>44819</v>
      </c>
      <c r="G702" s="18">
        <f>IFERROR(__xludf.DUMMYFUNCTION("""COMPUTED_VALUE"""),0.4666666666666667)</f>
        <v>0.4666666667</v>
      </c>
      <c r="H702" s="15">
        <f>IFERROR(__xludf.DUMMYFUNCTION("""COMPUTED_VALUE"""),39022.0)</f>
        <v>39022</v>
      </c>
      <c r="I702" s="18">
        <f>IFERROR(__xludf.DUMMYFUNCTION("""COMPUTED_VALUE"""),15.833333333333334)</f>
        <v>15.83333333</v>
      </c>
      <c r="J702" s="22">
        <f>IFERROR(__xludf.DUMMYFUNCTION("""COMPUTED_VALUE"""),71.0)</f>
        <v>71</v>
      </c>
      <c r="K702" s="22">
        <f>IFERROR(__xludf.DUMMYFUNCTION("""COMPUTED_VALUE"""),19.0)</f>
        <v>19</v>
      </c>
      <c r="L702" s="26" t="str">
        <f>IFERROR(__xludf.DUMMYFUNCTION("""COMPUTED_VALUE"""),"Simulation")</f>
        <v>Simulation</v>
      </c>
      <c r="M702" s="26"/>
    </row>
    <row r="703">
      <c r="A703" s="12" t="str">
        <f>IFERROR(__xludf.DUMMYFUNCTION("""COMPUTED_VALUE"""),"Raskulls")</f>
        <v>Raskulls</v>
      </c>
      <c r="B703" s="13" t="str">
        <f>IFERROR(__xludf.DUMMYFUNCTION("""COMPUTED_VALUE"""),"XB360/OG Xbox")</f>
        <v>XB360/OG Xbox</v>
      </c>
      <c r="C703" s="14"/>
      <c r="D703" s="14" t="str">
        <f>IFERROR(__xludf.DUMMYFUNCTION("""COMPUTED_VALUE"""),"GwG Permanent")</f>
        <v>GwG Permanent</v>
      </c>
      <c r="E703" s="15">
        <f>IFERROR(__xludf.DUMMYFUNCTION("""COMPUTED_VALUE"""),44728.0)</f>
        <v>44728</v>
      </c>
      <c r="F703" s="16">
        <f>IFERROR(__xludf.DUMMYFUNCTION("""COMPUTED_VALUE"""),44742.0)</f>
        <v>44742</v>
      </c>
      <c r="G703" s="18">
        <f>IFERROR(__xludf.DUMMYFUNCTION("""COMPUTED_VALUE"""),0.4666666666666667)</f>
        <v>0.4666666667</v>
      </c>
      <c r="H703" s="15">
        <f>IFERROR(__xludf.DUMMYFUNCTION("""COMPUTED_VALUE"""),41499.0)</f>
        <v>41499</v>
      </c>
      <c r="I703" s="18">
        <f>IFERROR(__xludf.DUMMYFUNCTION("""COMPUTED_VALUE"""),8.841666666666667)</f>
        <v>8.841666667</v>
      </c>
      <c r="J703" s="22">
        <f>IFERROR(__xludf.DUMMYFUNCTION("""COMPUTED_VALUE"""),71.0)</f>
        <v>71</v>
      </c>
      <c r="K703" s="22">
        <f>IFERROR(__xludf.DUMMYFUNCTION("""COMPUTED_VALUE"""),6.0)</f>
        <v>6</v>
      </c>
      <c r="L703" s="26" t="str">
        <f>IFERROR(__xludf.DUMMYFUNCTION("""COMPUTED_VALUE"""),"Arcade")</f>
        <v>Arcade</v>
      </c>
      <c r="M703" s="26"/>
    </row>
    <row r="704">
      <c r="A704" s="12" t="str">
        <f>IFERROR(__xludf.DUMMYFUNCTION("""COMPUTED_VALUE"""),"Lego Batman 2 DC Super Heroes")</f>
        <v>Lego Batman 2 DC Super Heroes</v>
      </c>
      <c r="B704" s="13" t="str">
        <f>IFERROR(__xludf.DUMMYFUNCTION("""COMPUTED_VALUE"""),"XB360/OG Xbox")</f>
        <v>XB360/OG Xbox</v>
      </c>
      <c r="C704" s="14"/>
      <c r="D704" s="14" t="str">
        <f>IFERROR(__xludf.DUMMYFUNCTION("""COMPUTED_VALUE"""),"GwG Permanent")</f>
        <v>GwG Permanent</v>
      </c>
      <c r="E704" s="15">
        <f>IFERROR(__xludf.DUMMYFUNCTION("""COMPUTED_VALUE"""),44516.0)</f>
        <v>44516</v>
      </c>
      <c r="F704" s="16">
        <f>IFERROR(__xludf.DUMMYFUNCTION("""COMPUTED_VALUE"""),44530.0)</f>
        <v>44530</v>
      </c>
      <c r="G704" s="18">
        <f>IFERROR(__xludf.DUMMYFUNCTION("""COMPUTED_VALUE"""),0.4666666666666667)</f>
        <v>0.4666666667</v>
      </c>
      <c r="H704" s="15">
        <f>IFERROR(__xludf.DUMMYFUNCTION("""COMPUTED_VALUE"""),41079.0)</f>
        <v>41079</v>
      </c>
      <c r="I704" s="18">
        <f>IFERROR(__xludf.DUMMYFUNCTION("""COMPUTED_VALUE"""),9.408333333333333)</f>
        <v>9.408333333</v>
      </c>
      <c r="J704" s="22">
        <f>IFERROR(__xludf.DUMMYFUNCTION("""COMPUTED_VALUE"""),71.0)</f>
        <v>71</v>
      </c>
      <c r="K704" s="22">
        <f>IFERROR(__xludf.DUMMYFUNCTION("""COMPUTED_VALUE"""),8.0)</f>
        <v>8</v>
      </c>
      <c r="L704" s="26" t="str">
        <f>IFERROR(__xludf.DUMMYFUNCTION("""COMPUTED_VALUE"""),"Action-Adventure")</f>
        <v>Action-Adventure</v>
      </c>
      <c r="M704" s="26"/>
    </row>
    <row r="705">
      <c r="A705" s="12" t="str">
        <f>IFERROR(__xludf.DUMMYFUNCTION("""COMPUTED_VALUE"""),"Red Faction: Armageddon")</f>
        <v>Red Faction: Armageddon</v>
      </c>
      <c r="B705" s="13" t="str">
        <f>IFERROR(__xludf.DUMMYFUNCTION("""COMPUTED_VALUE"""),"XB360/OG Xbox")</f>
        <v>XB360/OG Xbox</v>
      </c>
      <c r="C705" s="14"/>
      <c r="D705" s="14" t="str">
        <f>IFERROR(__xludf.DUMMYFUNCTION("""COMPUTED_VALUE"""),"GwG Permanent")</f>
        <v>GwG Permanent</v>
      </c>
      <c r="E705" s="15">
        <f>IFERROR(__xludf.DUMMYFUNCTION("""COMPUTED_VALUE"""),42963.0)</f>
        <v>42963</v>
      </c>
      <c r="F705" s="16">
        <f>IFERROR(__xludf.DUMMYFUNCTION("""COMPUTED_VALUE"""),42978.0)</f>
        <v>42978</v>
      </c>
      <c r="G705" s="18">
        <f>IFERROR(__xludf.DUMMYFUNCTION("""COMPUTED_VALUE"""),0.4666666666666667)</f>
        <v>0.4666666667</v>
      </c>
      <c r="H705" s="15">
        <f>IFERROR(__xludf.DUMMYFUNCTION("""COMPUTED_VALUE"""),40701.0)</f>
        <v>40701</v>
      </c>
      <c r="I705" s="18">
        <f>IFERROR(__xludf.DUMMYFUNCTION("""COMPUTED_VALUE"""),6.191666666666666)</f>
        <v>6.191666667</v>
      </c>
      <c r="J705" s="22">
        <f>IFERROR(__xludf.DUMMYFUNCTION("""COMPUTED_VALUE"""),71.0)</f>
        <v>71</v>
      </c>
      <c r="K705" s="22">
        <f>IFERROR(__xludf.DUMMYFUNCTION("""COMPUTED_VALUE"""),7.0)</f>
        <v>7</v>
      </c>
      <c r="L705" s="26" t="str">
        <f>IFERROR(__xludf.DUMMYFUNCTION("""COMPUTED_VALUE"""),"Shooter")</f>
        <v>Shooter</v>
      </c>
      <c r="M705" s="26"/>
    </row>
    <row r="706">
      <c r="A706" s="12" t="str">
        <f>IFERROR(__xludf.DUMMYFUNCTION("""COMPUTED_VALUE"""),"Dungeon Siege III")</f>
        <v>Dungeon Siege III</v>
      </c>
      <c r="B706" s="13" t="str">
        <f>IFERROR(__xludf.DUMMYFUNCTION("""COMPUTED_VALUE"""),"XB360/OG Xbox")</f>
        <v>XB360/OG Xbox</v>
      </c>
      <c r="C706" s="14"/>
      <c r="D706" s="14" t="str">
        <f>IFERROR(__xludf.DUMMYFUNCTION("""COMPUTED_VALUE"""),"GwG Permanent")</f>
        <v>GwG Permanent</v>
      </c>
      <c r="E706" s="15">
        <f>IFERROR(__xludf.DUMMYFUNCTION("""COMPUTED_VALUE"""),42324.0)</f>
        <v>42324</v>
      </c>
      <c r="F706" s="16">
        <f>IFERROR(__xludf.DUMMYFUNCTION("""COMPUTED_VALUE"""),42338.0)</f>
        <v>42338</v>
      </c>
      <c r="G706" s="18">
        <f>IFERROR(__xludf.DUMMYFUNCTION("""COMPUTED_VALUE"""),0.4666666666666667)</f>
        <v>0.4666666667</v>
      </c>
      <c r="H706" s="15">
        <f>IFERROR(__xludf.DUMMYFUNCTION("""COMPUTED_VALUE"""),40722.0)</f>
        <v>40722</v>
      </c>
      <c r="I706" s="18">
        <f>IFERROR(__xludf.DUMMYFUNCTION("""COMPUTED_VALUE"""),4.383333333333334)</f>
        <v>4.383333333</v>
      </c>
      <c r="J706" s="22">
        <f>IFERROR(__xludf.DUMMYFUNCTION("""COMPUTED_VALUE"""),71.0)</f>
        <v>71</v>
      </c>
      <c r="K706" s="22">
        <f>IFERROR(__xludf.DUMMYFUNCTION("""COMPUTED_VALUE"""),18.0)</f>
        <v>18</v>
      </c>
      <c r="L706" s="26" t="str">
        <f>IFERROR(__xludf.DUMMYFUNCTION("""COMPUTED_VALUE"""),"Action-Adventure")</f>
        <v>Action-Adventure</v>
      </c>
      <c r="M706" s="26"/>
    </row>
    <row r="707">
      <c r="A707" s="12" t="str">
        <f>IFERROR(__xludf.DUMMYFUNCTION("""COMPUTED_VALUE"""),"Dead Island")</f>
        <v>Dead Island</v>
      </c>
      <c r="B707" s="13" t="str">
        <f>IFERROR(__xludf.DUMMYFUNCTION("""COMPUTED_VALUE"""),"XB360/OG Xbox")</f>
        <v>XB360/OG Xbox</v>
      </c>
      <c r="C707" s="14"/>
      <c r="D707" s="14" t="str">
        <f>IFERROR(__xludf.DUMMYFUNCTION("""COMPUTED_VALUE"""),"GwG Permanent")</f>
        <v>GwG Permanent</v>
      </c>
      <c r="E707" s="15">
        <f>IFERROR(__xludf.DUMMYFUNCTION("""COMPUTED_VALUE"""),41671.0)</f>
        <v>41671</v>
      </c>
      <c r="F707" s="16">
        <f>IFERROR(__xludf.DUMMYFUNCTION("""COMPUTED_VALUE"""),41685.0)</f>
        <v>41685</v>
      </c>
      <c r="G707" s="18">
        <f>IFERROR(__xludf.DUMMYFUNCTION("""COMPUTED_VALUE"""),0.4666666666666667)</f>
        <v>0.4666666667</v>
      </c>
      <c r="H707" s="15">
        <f>IFERROR(__xludf.DUMMYFUNCTION("""COMPUTED_VALUE"""),40792.0)</f>
        <v>40792</v>
      </c>
      <c r="I707" s="18">
        <f>IFERROR(__xludf.DUMMYFUNCTION("""COMPUTED_VALUE"""),2.4027777777777777)</f>
        <v>2.402777778</v>
      </c>
      <c r="J707" s="22">
        <f>IFERROR(__xludf.DUMMYFUNCTION("""COMPUTED_VALUE"""),71.0)</f>
        <v>71</v>
      </c>
      <c r="K707" s="22">
        <f>IFERROR(__xludf.DUMMYFUNCTION("""COMPUTED_VALUE"""),15.0)</f>
        <v>15</v>
      </c>
      <c r="L707" s="26" t="str">
        <f>IFERROR(__xludf.DUMMYFUNCTION("""COMPUTED_VALUE"""),"Action-Adventure")</f>
        <v>Action-Adventure</v>
      </c>
      <c r="M707" s="26"/>
    </row>
    <row r="708">
      <c r="A708" s="12" t="str">
        <f>IFERROR(__xludf.DUMMYFUNCTION("""COMPUTED_VALUE"""),"Fable III")</f>
        <v>Fable III</v>
      </c>
      <c r="B708" s="13" t="str">
        <f>IFERROR(__xludf.DUMMYFUNCTION("""COMPUTED_VALUE"""),"XB360/OG Xbox")</f>
        <v>XB360/OG Xbox</v>
      </c>
      <c r="C708" s="14"/>
      <c r="D708" s="14" t="str">
        <f>IFERROR(__xludf.DUMMYFUNCTION("""COMPUTED_VALUE"""),"GwG Permanent")</f>
        <v>GwG Permanent</v>
      </c>
      <c r="E708" s="15">
        <f>IFERROR(__xludf.DUMMYFUNCTION("""COMPUTED_VALUE"""),41435.0)</f>
        <v>41435</v>
      </c>
      <c r="F708" s="16">
        <f>IFERROR(__xludf.DUMMYFUNCTION("""COMPUTED_VALUE"""),41455.0)</f>
        <v>41455</v>
      </c>
      <c r="G708" s="18">
        <f>IFERROR(__xludf.DUMMYFUNCTION("""COMPUTED_VALUE"""),0.6666666666666666)</f>
        <v>0.6666666667</v>
      </c>
      <c r="H708" s="15">
        <f>IFERROR(__xludf.DUMMYFUNCTION("""COMPUTED_VALUE"""),40477.0)</f>
        <v>40477</v>
      </c>
      <c r="I708" s="18">
        <f>IFERROR(__xludf.DUMMYFUNCTION("""COMPUTED_VALUE"""),2.6222222222222222)</f>
        <v>2.622222222</v>
      </c>
      <c r="J708" s="22">
        <f>IFERROR(__xludf.DUMMYFUNCTION("""COMPUTED_VALUE"""),71.0)</f>
        <v>71</v>
      </c>
      <c r="K708" s="22">
        <f>IFERROR(__xludf.DUMMYFUNCTION("""COMPUTED_VALUE"""),20.0)</f>
        <v>20</v>
      </c>
      <c r="L708" s="26" t="str">
        <f>IFERROR(__xludf.DUMMYFUNCTION("""COMPUTED_VALUE"""),"Action-Adventure")</f>
        <v>Action-Adventure</v>
      </c>
      <c r="M708" s="26" t="str">
        <f>IFERROR(__xludf.DUMMYFUNCTION("""COMPUTED_VALUE"""),"Enhanced")</f>
        <v>Enhanced</v>
      </c>
    </row>
    <row r="709">
      <c r="A709" s="12" t="str">
        <f>IFERROR(__xludf.DUMMYFUNCTION("""COMPUTED_VALUE"""),"Mistfall Hunter")</f>
        <v>Mistfall Hunter</v>
      </c>
      <c r="B709" s="13" t="str">
        <f>IFERROR(__xludf.DUMMYFUNCTION("""COMPUTED_VALUE"""),"Xbox / PC")</f>
        <v>Xbox / PC</v>
      </c>
      <c r="C709" s="14" t="str">
        <f>IFERROR(__xludf.DUMMYFUNCTION("""COMPUTED_VALUE"""),"Yes")</f>
        <v>Yes</v>
      </c>
      <c r="D709" s="14" t="str">
        <f>IFERROR(__xludf.DUMMYFUNCTION("""COMPUTED_VALUE"""),"Active")</f>
        <v>Active</v>
      </c>
      <c r="E709" s="15">
        <f>IFERROR(__xludf.DUMMYFUNCTION("""COMPUTED_VALUE"""),46233.0)</f>
        <v>46233</v>
      </c>
      <c r="F709" s="16"/>
      <c r="G709" s="18">
        <f>IFERROR(__xludf.DUMMYFUNCTION("""COMPUTED_VALUE"""),2.1999999999999997)</f>
        <v>2.2</v>
      </c>
      <c r="H709" s="15">
        <f>IFERROR(__xludf.DUMMYFUNCTION("""COMPUTED_VALUE"""),46233.0)</f>
        <v>46233</v>
      </c>
      <c r="I709" s="18">
        <f>IFERROR(__xludf.DUMMYFUNCTION("""COMPUTED_VALUE"""),0.0)</f>
        <v>0</v>
      </c>
      <c r="J709" s="22">
        <f>IFERROR(__xludf.DUMMYFUNCTION("""COMPUTED_VALUE"""),70.0)</f>
        <v>70</v>
      </c>
      <c r="K709" s="22"/>
      <c r="L709" s="26" t="str">
        <f>IFERROR(__xludf.DUMMYFUNCTION("""COMPUTED_VALUE"""),"RPG")</f>
        <v>RPG</v>
      </c>
      <c r="M709" s="26" t="str">
        <f>IFERROR(__xludf.DUMMYFUNCTION("""COMPUTED_VALUE"""),"Exclusive")</f>
        <v>Exclusive</v>
      </c>
    </row>
    <row r="710">
      <c r="A710" s="12" t="str">
        <f>IFERROR(__xludf.DUMMYFUNCTION("""COMPUTED_VALUE"""),"PBA Pro Bowling 2026")</f>
        <v>PBA Pro Bowling 2026</v>
      </c>
      <c r="B710" s="13" t="str">
        <f>IFERROR(__xludf.DUMMYFUNCTION("""COMPUTED_VALUE"""),"Xbox / PC")</f>
        <v>Xbox / PC</v>
      </c>
      <c r="C710" s="14" t="str">
        <f>IFERROR(__xludf.DUMMYFUNCTION("""COMPUTED_VALUE"""),"Yes")</f>
        <v>Yes</v>
      </c>
      <c r="D710" s="14" t="str">
        <f>IFERROR(__xludf.DUMMYFUNCTION("""COMPUTED_VALUE"""),"Active")</f>
        <v>Active</v>
      </c>
      <c r="E710" s="15">
        <f>IFERROR(__xludf.DUMMYFUNCTION("""COMPUTED_VALUE"""),46217.0)</f>
        <v>46217</v>
      </c>
      <c r="F710" s="16"/>
      <c r="G710" s="18">
        <f>IFERROR(__xludf.DUMMYFUNCTION("""COMPUTED_VALUE"""),2.7333333333333334)</f>
        <v>2.733333333</v>
      </c>
      <c r="H710" s="15">
        <f>IFERROR(__xludf.DUMMYFUNCTION("""COMPUTED_VALUE"""),46217.0)</f>
        <v>46217</v>
      </c>
      <c r="I710" s="18">
        <f>IFERROR(__xludf.DUMMYFUNCTION("""COMPUTED_VALUE"""),0.0)</f>
        <v>0</v>
      </c>
      <c r="J710" s="22">
        <f>IFERROR(__xludf.DUMMYFUNCTION("""COMPUTED_VALUE"""),70.0)</f>
        <v>70</v>
      </c>
      <c r="K710" s="22">
        <f>IFERROR(__xludf.DUMMYFUNCTION("""COMPUTED_VALUE"""),5.0)</f>
        <v>5</v>
      </c>
      <c r="L710" s="26" t="str">
        <f>IFERROR(__xludf.DUMMYFUNCTION("""COMPUTED_VALUE"""),"Sports")</f>
        <v>Sports</v>
      </c>
      <c r="M710" s="26" t="str">
        <f>IFERROR(__xludf.DUMMYFUNCTION("""COMPUTED_VALUE"""),"Exclusive")</f>
        <v>Exclusive</v>
      </c>
    </row>
    <row r="711">
      <c r="A711" s="12" t="str">
        <f>IFERROR(__xludf.DUMMYFUNCTION("""COMPUTED_VALUE"""),"Frog Sqwad")</f>
        <v>Frog Sqwad</v>
      </c>
      <c r="B711" s="13" t="str">
        <f>IFERROR(__xludf.DUMMYFUNCTION("""COMPUTED_VALUE"""),"Xbox / PC")</f>
        <v>Xbox / PC</v>
      </c>
      <c r="C711" s="14" t="str">
        <f>IFERROR(__xludf.DUMMYFUNCTION("""COMPUTED_VALUE"""),"Yes")</f>
        <v>Yes</v>
      </c>
      <c r="D711" s="14" t="str">
        <f>IFERROR(__xludf.DUMMYFUNCTION("""COMPUTED_VALUE"""),"Active")</f>
        <v>Active</v>
      </c>
      <c r="E711" s="15">
        <f>IFERROR(__xludf.DUMMYFUNCTION("""COMPUTED_VALUE"""),46184.0)</f>
        <v>46184</v>
      </c>
      <c r="F711" s="16"/>
      <c r="G711" s="18">
        <f>IFERROR(__xludf.DUMMYFUNCTION("""COMPUTED_VALUE"""),3.833333333333333)</f>
        <v>3.833333333</v>
      </c>
      <c r="H711" s="15">
        <f>IFERROR(__xludf.DUMMYFUNCTION("""COMPUTED_VALUE"""),46184.0)</f>
        <v>46184</v>
      </c>
      <c r="I711" s="18">
        <f>IFERROR(__xludf.DUMMYFUNCTION("""COMPUTED_VALUE"""),0.0)</f>
        <v>0</v>
      </c>
      <c r="J711" s="22">
        <f>IFERROR(__xludf.DUMMYFUNCTION("""COMPUTED_VALUE"""),70.0)</f>
        <v>70</v>
      </c>
      <c r="K711" s="22">
        <f>IFERROR(__xludf.DUMMYFUNCTION("""COMPUTED_VALUE"""),1.0)</f>
        <v>1</v>
      </c>
      <c r="L711" s="26" t="str">
        <f>IFERROR(__xludf.DUMMYFUNCTION("""COMPUTED_VALUE"""),"Puzzle")</f>
        <v>Puzzle</v>
      </c>
      <c r="M711" s="26" t="str">
        <f>IFERROR(__xludf.DUMMYFUNCTION("""COMPUTED_VALUE"""),"Exclusive")</f>
        <v>Exclusive</v>
      </c>
    </row>
    <row r="712">
      <c r="A712" s="12" t="str">
        <f>IFERROR(__xludf.DUMMYFUNCTION("""COMPUTED_VALUE"""),"Echo Generation 2")</f>
        <v>Echo Generation 2</v>
      </c>
      <c r="B712" s="13" t="str">
        <f>IFERROR(__xludf.DUMMYFUNCTION("""COMPUTED_VALUE"""),"Xbox / PC")</f>
        <v>Xbox / PC</v>
      </c>
      <c r="C712" s="14" t="str">
        <f>IFERROR(__xludf.DUMMYFUNCTION("""COMPUTED_VALUE"""),"Yes")</f>
        <v>Yes</v>
      </c>
      <c r="D712" s="14" t="str">
        <f>IFERROR(__xludf.DUMMYFUNCTION("""COMPUTED_VALUE"""),"Active")</f>
        <v>Active</v>
      </c>
      <c r="E712" s="15">
        <f>IFERROR(__xludf.DUMMYFUNCTION("""COMPUTED_VALUE"""),46169.0)</f>
        <v>46169</v>
      </c>
      <c r="F712" s="16"/>
      <c r="G712" s="18">
        <f>IFERROR(__xludf.DUMMYFUNCTION("""COMPUTED_VALUE"""),4.3)</f>
        <v>4.3</v>
      </c>
      <c r="H712" s="15">
        <f>IFERROR(__xludf.DUMMYFUNCTION("""COMPUTED_VALUE"""),46169.0)</f>
        <v>46169</v>
      </c>
      <c r="I712" s="18">
        <f>IFERROR(__xludf.DUMMYFUNCTION("""COMPUTED_VALUE"""),0.0)</f>
        <v>0</v>
      </c>
      <c r="J712" s="22">
        <f>IFERROR(__xludf.DUMMYFUNCTION("""COMPUTED_VALUE"""),70.0)</f>
        <v>70</v>
      </c>
      <c r="K712" s="22">
        <f>IFERROR(__xludf.DUMMYFUNCTION("""COMPUTED_VALUE"""),9.0)</f>
        <v>9</v>
      </c>
      <c r="L712" s="26" t="str">
        <f>IFERROR(__xludf.DUMMYFUNCTION("""COMPUTED_VALUE"""),"RPG")</f>
        <v>RPG</v>
      </c>
      <c r="M712" s="26" t="str">
        <f>IFERROR(__xludf.DUMMYFUNCTION("""COMPUTED_VALUE"""),"Exclusive")</f>
        <v>Exclusive</v>
      </c>
    </row>
    <row r="713">
      <c r="A713" s="12" t="str">
        <f>IFERROR(__xludf.DUMMYFUNCTION("""COMPUTED_VALUE"""),"Ben 10: Power Trip")</f>
        <v>Ben 10: Power Trip</v>
      </c>
      <c r="B713" s="13" t="str">
        <f>IFERROR(__xludf.DUMMYFUNCTION("""COMPUTED_VALUE"""),"Xbox / PC")</f>
        <v>Xbox / PC</v>
      </c>
      <c r="C713" s="14" t="str">
        <f>IFERROR(__xludf.DUMMYFUNCTION("""COMPUTED_VALUE"""),"Touch Controls")</f>
        <v>Touch Controls</v>
      </c>
      <c r="D713" s="14" t="str">
        <f>IFERROR(__xludf.DUMMYFUNCTION("""COMPUTED_VALUE"""),"Active")</f>
        <v>Active</v>
      </c>
      <c r="E713" s="15">
        <f>IFERROR(__xludf.DUMMYFUNCTION("""COMPUTED_VALUE"""),46148.0)</f>
        <v>46148</v>
      </c>
      <c r="F713" s="16"/>
      <c r="G713" s="18">
        <f>IFERROR(__xludf.DUMMYFUNCTION("""COMPUTED_VALUE"""),5.0)</f>
        <v>5</v>
      </c>
      <c r="H713" s="15">
        <f>IFERROR(__xludf.DUMMYFUNCTION("""COMPUTED_VALUE"""),44113.0)</f>
        <v>44113</v>
      </c>
      <c r="I713" s="18">
        <f>IFERROR(__xludf.DUMMYFUNCTION("""COMPUTED_VALUE"""),5.575)</f>
        <v>5.575</v>
      </c>
      <c r="J713" s="22">
        <f>IFERROR(__xludf.DUMMYFUNCTION("""COMPUTED_VALUE"""),70.0)</f>
        <v>70</v>
      </c>
      <c r="K713" s="22">
        <f>IFERROR(__xludf.DUMMYFUNCTION("""COMPUTED_VALUE"""),5.0)</f>
        <v>5</v>
      </c>
      <c r="L713" s="26" t="str">
        <f>IFERROR(__xludf.DUMMYFUNCTION("""COMPUTED_VALUE"""),"Action-Adventure")</f>
        <v>Action-Adventure</v>
      </c>
      <c r="M713" s="26"/>
    </row>
    <row r="714">
      <c r="A714" s="12" t="str">
        <f>IFERROR(__xludf.DUMMYFUNCTION("""COMPUTED_VALUE"""),"Kill It With Fire! 2")</f>
        <v>Kill It With Fire! 2</v>
      </c>
      <c r="B714" s="13" t="str">
        <f>IFERROR(__xludf.DUMMYFUNCTION("""COMPUTED_VALUE"""),"Xbox / PC")</f>
        <v>Xbox / PC</v>
      </c>
      <c r="C714" s="14" t="str">
        <f>IFERROR(__xludf.DUMMYFUNCTION("""COMPUTED_VALUE"""),"Yes")</f>
        <v>Yes</v>
      </c>
      <c r="D714" s="14" t="str">
        <f>IFERROR(__xludf.DUMMYFUNCTION("""COMPUTED_VALUE"""),"Active")</f>
        <v>Active</v>
      </c>
      <c r="E714" s="15">
        <f>IFERROR(__xludf.DUMMYFUNCTION("""COMPUTED_VALUE"""),45986.0)</f>
        <v>45986</v>
      </c>
      <c r="F714" s="16"/>
      <c r="G714" s="18">
        <f>IFERROR(__xludf.DUMMYFUNCTION("""COMPUTED_VALUE"""),10.366666666666667)</f>
        <v>10.36666667</v>
      </c>
      <c r="H714" s="15">
        <f>IFERROR(__xludf.DUMMYFUNCTION("""COMPUTED_VALUE"""),45986.0)</f>
        <v>45986</v>
      </c>
      <c r="I714" s="18">
        <f>IFERROR(__xludf.DUMMYFUNCTION("""COMPUTED_VALUE"""),0.0)</f>
        <v>0</v>
      </c>
      <c r="J714" s="22">
        <f>IFERROR(__xludf.DUMMYFUNCTION("""COMPUTED_VALUE"""),70.0)</f>
        <v>70</v>
      </c>
      <c r="K714" s="22">
        <f>IFERROR(__xludf.DUMMYFUNCTION("""COMPUTED_VALUE"""),8.0)</f>
        <v>8</v>
      </c>
      <c r="L714" s="26" t="str">
        <f>IFERROR(__xludf.DUMMYFUNCTION("""COMPUTED_VALUE"""),"Shooter")</f>
        <v>Shooter</v>
      </c>
      <c r="M714" s="26"/>
    </row>
    <row r="715">
      <c r="A715" s="12" t="str">
        <f>IFERROR(__xludf.DUMMYFUNCTION("""COMPUTED_VALUE"""),"Boxing")</f>
        <v>Boxing</v>
      </c>
      <c r="B715" s="13" t="str">
        <f>IFERROR(__xludf.DUMMYFUNCTION("""COMPUTED_VALUE"""),"Xbox / PC")</f>
        <v>Xbox / PC</v>
      </c>
      <c r="C715" s="14" t="str">
        <f>IFERROR(__xludf.DUMMYFUNCTION("""COMPUTED_VALUE"""),"Yes")</f>
        <v>Yes</v>
      </c>
      <c r="D715" s="14" t="str">
        <f>IFERROR(__xludf.DUMMYFUNCTION("""COMPUTED_VALUE"""),"Active")</f>
        <v>Active</v>
      </c>
      <c r="E715" s="15">
        <f>IFERROR(__xludf.DUMMYFUNCTION("""COMPUTED_VALUE"""),45798.0)</f>
        <v>45798</v>
      </c>
      <c r="F715" s="16"/>
      <c r="G715" s="18">
        <f>IFERROR(__xludf.DUMMYFUNCTION("""COMPUTED_VALUE"""),16.5)</f>
        <v>16.5</v>
      </c>
      <c r="H715" s="15">
        <f>IFERROR(__xludf.DUMMYFUNCTION("""COMPUTED_VALUE"""),29403.0)</f>
        <v>29403</v>
      </c>
      <c r="I715" s="18">
        <f>IFERROR(__xludf.DUMMYFUNCTION("""COMPUTED_VALUE"""),44.888888888888886)</f>
        <v>44.88888889</v>
      </c>
      <c r="J715" s="22">
        <f>IFERROR(__xludf.DUMMYFUNCTION("""COMPUTED_VALUE"""),70.0)</f>
        <v>70</v>
      </c>
      <c r="K715" s="22"/>
      <c r="L715" s="26" t="str">
        <f>IFERROR(__xludf.DUMMYFUNCTION("""COMPUTED_VALUE"""),"Sports")</f>
        <v>Sports</v>
      </c>
      <c r="M715" s="26"/>
    </row>
    <row r="716">
      <c r="A716" s="12" t="str">
        <f>IFERROR(__xludf.DUMMYFUNCTION("""COMPUTED_VALUE"""),"Riddle of the Sphinx")</f>
        <v>Riddle of the Sphinx</v>
      </c>
      <c r="B716" s="13" t="str">
        <f>IFERROR(__xludf.DUMMYFUNCTION("""COMPUTED_VALUE"""),"Xbox / PC")</f>
        <v>Xbox / PC</v>
      </c>
      <c r="C716" s="14" t="str">
        <f>IFERROR(__xludf.DUMMYFUNCTION("""COMPUTED_VALUE"""),"Yes")</f>
        <v>Yes</v>
      </c>
      <c r="D716" s="14" t="str">
        <f>IFERROR(__xludf.DUMMYFUNCTION("""COMPUTED_VALUE"""),"Active")</f>
        <v>Active</v>
      </c>
      <c r="E716" s="15">
        <f>IFERROR(__xludf.DUMMYFUNCTION("""COMPUTED_VALUE"""),45798.0)</f>
        <v>45798</v>
      </c>
      <c r="F716" s="16"/>
      <c r="G716" s="18">
        <f>IFERROR(__xludf.DUMMYFUNCTION("""COMPUTED_VALUE"""),16.5)</f>
        <v>16.5</v>
      </c>
      <c r="H716" s="15">
        <f>IFERROR(__xludf.DUMMYFUNCTION("""COMPUTED_VALUE"""),30195.0)</f>
        <v>30195</v>
      </c>
      <c r="I716" s="18">
        <f>IFERROR(__xludf.DUMMYFUNCTION("""COMPUTED_VALUE"""),42.72222222222222)</f>
        <v>42.72222222</v>
      </c>
      <c r="J716" s="22">
        <f>IFERROR(__xludf.DUMMYFUNCTION("""COMPUTED_VALUE"""),70.0)</f>
        <v>70</v>
      </c>
      <c r="K716" s="22"/>
      <c r="L716" s="26" t="str">
        <f>IFERROR(__xludf.DUMMYFUNCTION("""COMPUTED_VALUE"""),"Action‑Adventure")</f>
        <v>Action‑Adventure</v>
      </c>
      <c r="M716" s="26"/>
    </row>
    <row r="717">
      <c r="A717" s="12" t="str">
        <f>IFERROR(__xludf.DUMMYFUNCTION("""COMPUTED_VALUE"""),"Madden NFL 25 (2024)")</f>
        <v>Madden NFL 25 (2024)</v>
      </c>
      <c r="B717" s="13" t="str">
        <f>IFERROR(__xludf.DUMMYFUNCTION("""COMPUTED_VALUE"""),"Xbox / PC")</f>
        <v>Xbox / PC</v>
      </c>
      <c r="C717" s="14" t="str">
        <f>IFERROR(__xludf.DUMMYFUNCTION("""COMPUTED_VALUE"""),"Yes")</f>
        <v>Yes</v>
      </c>
      <c r="D717" s="14" t="str">
        <f>IFERROR(__xludf.DUMMYFUNCTION("""COMPUTED_VALUE"""),"Active")</f>
        <v>Active</v>
      </c>
      <c r="E717" s="15">
        <f>IFERROR(__xludf.DUMMYFUNCTION("""COMPUTED_VALUE"""),45694.0)</f>
        <v>45694</v>
      </c>
      <c r="F717" s="16"/>
      <c r="G717" s="18">
        <f>IFERROR(__xludf.DUMMYFUNCTION("""COMPUTED_VALUE"""),20.0)</f>
        <v>20</v>
      </c>
      <c r="H717" s="15">
        <f>IFERROR(__xludf.DUMMYFUNCTION("""COMPUTED_VALUE"""),45520.0)</f>
        <v>45520</v>
      </c>
      <c r="I717" s="18">
        <f>IFERROR(__xludf.DUMMYFUNCTION("""COMPUTED_VALUE"""),0.4722222222222222)</f>
        <v>0.4722222222</v>
      </c>
      <c r="J717" s="22">
        <f>IFERROR(__xludf.DUMMYFUNCTION("""COMPUTED_VALUE"""),70.0)</f>
        <v>70</v>
      </c>
      <c r="K717" s="22">
        <f>IFERROR(__xludf.DUMMYFUNCTION("""COMPUTED_VALUE"""),3.1)</f>
        <v>3.1</v>
      </c>
      <c r="L717" s="26" t="str">
        <f>IFERROR(__xludf.DUMMYFUNCTION("""COMPUTED_VALUE"""),"Sports")</f>
        <v>Sports</v>
      </c>
      <c r="M717" s="26"/>
    </row>
    <row r="718">
      <c r="A718" s="12" t="str">
        <f>IFERROR(__xludf.DUMMYFUNCTION("""COMPUTED_VALUE"""),"Car Mechanic Simulator 2021")</f>
        <v>Car Mechanic Simulator 2021</v>
      </c>
      <c r="B718" s="13" t="str">
        <f>IFERROR(__xludf.DUMMYFUNCTION("""COMPUTED_VALUE"""),"Xbox / PC")</f>
        <v>Xbox / PC</v>
      </c>
      <c r="C718" s="14" t="str">
        <f>IFERROR(__xludf.DUMMYFUNCTION("""COMPUTED_VALUE"""),"Yes")</f>
        <v>Yes</v>
      </c>
      <c r="D718" s="14" t="str">
        <f>IFERROR(__xludf.DUMMYFUNCTION("""COMPUTED_VALUE"""),"Active")</f>
        <v>Active</v>
      </c>
      <c r="E718" s="15">
        <f>IFERROR(__xludf.DUMMYFUNCTION("""COMPUTED_VALUE"""),45078.0)</f>
        <v>45078</v>
      </c>
      <c r="F718" s="16"/>
      <c r="G718" s="18">
        <f>IFERROR(__xludf.DUMMYFUNCTION("""COMPUTED_VALUE"""),40.16666666666667)</f>
        <v>40.16666667</v>
      </c>
      <c r="H718" s="15">
        <f>IFERROR(__xludf.DUMMYFUNCTION("""COMPUTED_VALUE"""),44419.0)</f>
        <v>44419</v>
      </c>
      <c r="I718" s="18">
        <f>IFERROR(__xludf.DUMMYFUNCTION("""COMPUTED_VALUE"""),1.8055555555555556)</f>
        <v>1.805555556</v>
      </c>
      <c r="J718" s="22">
        <f>IFERROR(__xludf.DUMMYFUNCTION("""COMPUTED_VALUE"""),70.0)</f>
        <v>70</v>
      </c>
      <c r="K718" s="22">
        <f>IFERROR(__xludf.DUMMYFUNCTION("""COMPUTED_VALUE"""),23.0)</f>
        <v>23</v>
      </c>
      <c r="L718" s="26" t="str">
        <f>IFERROR(__xludf.DUMMYFUNCTION("""COMPUTED_VALUE"""),"Simulation")</f>
        <v>Simulation</v>
      </c>
      <c r="M718" s="26"/>
    </row>
    <row r="719">
      <c r="A719" s="12" t="str">
        <f>IFERROR(__xludf.DUMMYFUNCTION("""COMPUTED_VALUE"""),"Alice: Madness Returns")</f>
        <v>Alice: Madness Returns</v>
      </c>
      <c r="B719" s="13" t="str">
        <f>IFERROR(__xludf.DUMMYFUNCTION("""COMPUTED_VALUE"""),"Xbox / PC")</f>
        <v>Xbox / PC</v>
      </c>
      <c r="C719" s="14"/>
      <c r="D719" s="14" t="str">
        <f>IFERROR(__xludf.DUMMYFUNCTION("""COMPUTED_VALUE"""),"Active")</f>
        <v>Active</v>
      </c>
      <c r="E719" s="15">
        <f>IFERROR(__xludf.DUMMYFUNCTION("""COMPUTED_VALUE"""),44145.0)</f>
        <v>44145</v>
      </c>
      <c r="F719" s="16"/>
      <c r="G719" s="18">
        <f>IFERROR(__xludf.DUMMYFUNCTION("""COMPUTED_VALUE"""),70.86666666666667)</f>
        <v>70.86666667</v>
      </c>
      <c r="H719" s="15">
        <f>IFERROR(__xludf.DUMMYFUNCTION("""COMPUTED_VALUE"""),40708.0)</f>
        <v>40708</v>
      </c>
      <c r="I719" s="18">
        <f>IFERROR(__xludf.DUMMYFUNCTION("""COMPUTED_VALUE"""),9.405555555555555)</f>
        <v>9.405555556</v>
      </c>
      <c r="J719" s="22">
        <f>IFERROR(__xludf.DUMMYFUNCTION("""COMPUTED_VALUE"""),70.0)</f>
        <v>70</v>
      </c>
      <c r="K719" s="22">
        <f>IFERROR(__xludf.DUMMYFUNCTION("""COMPUTED_VALUE"""),14.0)</f>
        <v>14</v>
      </c>
      <c r="L719" s="26" t="str">
        <f>IFERROR(__xludf.DUMMYFUNCTION("""COMPUTED_VALUE"""),"Platformer")</f>
        <v>Platformer</v>
      </c>
      <c r="M719" s="26"/>
    </row>
    <row r="720">
      <c r="A720" s="12" t="str">
        <f>IFERROR(__xludf.DUMMYFUNCTION("""COMPUTED_VALUE"""),"Fe")</f>
        <v>Fe</v>
      </c>
      <c r="B720" s="13" t="str">
        <f>IFERROR(__xludf.DUMMYFUNCTION("""COMPUTED_VALUE"""),"Xbox / PC")</f>
        <v>Xbox / PC</v>
      </c>
      <c r="C720" s="14"/>
      <c r="D720" s="14" t="str">
        <f>IFERROR(__xludf.DUMMYFUNCTION("""COMPUTED_VALUE"""),"Active")</f>
        <v>Active</v>
      </c>
      <c r="E720" s="15">
        <f>IFERROR(__xludf.DUMMYFUNCTION("""COMPUTED_VALUE"""),44145.0)</f>
        <v>44145</v>
      </c>
      <c r="F720" s="16"/>
      <c r="G720" s="18">
        <f>IFERROR(__xludf.DUMMYFUNCTION("""COMPUTED_VALUE"""),70.86666666666667)</f>
        <v>70.86666667</v>
      </c>
      <c r="H720" s="15">
        <f>IFERROR(__xludf.DUMMYFUNCTION("""COMPUTED_VALUE"""),43147.0)</f>
        <v>43147</v>
      </c>
      <c r="I720" s="18">
        <f>IFERROR(__xludf.DUMMYFUNCTION("""COMPUTED_VALUE"""),2.7333333333333334)</f>
        <v>2.733333333</v>
      </c>
      <c r="J720" s="22">
        <f>IFERROR(__xludf.DUMMYFUNCTION("""COMPUTED_VALUE"""),70.0)</f>
        <v>70</v>
      </c>
      <c r="K720" s="22">
        <f>IFERROR(__xludf.DUMMYFUNCTION("""COMPUTED_VALUE"""),5.5)</f>
        <v>5.5</v>
      </c>
      <c r="L720" s="26" t="str">
        <f>IFERROR(__xludf.DUMMYFUNCTION("""COMPUTED_VALUE"""),"Action-Adventure")</f>
        <v>Action-Adventure</v>
      </c>
      <c r="M720" s="26"/>
    </row>
    <row r="721">
      <c r="A721" s="12" t="str">
        <f>IFERROR(__xludf.DUMMYFUNCTION("""COMPUTED_VALUE"""),"Trailmakers")</f>
        <v>Trailmakers</v>
      </c>
      <c r="B721" s="13" t="str">
        <f>IFERROR(__xludf.DUMMYFUNCTION("""COMPUTED_VALUE"""),"Xbox / PC")</f>
        <v>Xbox / PC</v>
      </c>
      <c r="C721" s="14" t="str">
        <f>IFERROR(__xludf.DUMMYFUNCTION("""COMPUTED_VALUE"""),"Yes")</f>
        <v>Yes</v>
      </c>
      <c r="D721" s="14" t="str">
        <f>IFERROR(__xludf.DUMMYFUNCTION("""COMPUTED_VALUE"""),"Active")</f>
        <v>Active</v>
      </c>
      <c r="E721" s="15">
        <f>IFERROR(__xludf.DUMMYFUNCTION("""COMPUTED_VALUE"""),44049.0)</f>
        <v>44049</v>
      </c>
      <c r="F721" s="16"/>
      <c r="G721" s="18">
        <f>IFERROR(__xludf.DUMMYFUNCTION("""COMPUTED_VALUE"""),74.0)</f>
        <v>74</v>
      </c>
      <c r="H721" s="15">
        <f>IFERROR(__xludf.DUMMYFUNCTION("""COMPUTED_VALUE"""),43726.0)</f>
        <v>43726</v>
      </c>
      <c r="I721" s="18">
        <f>IFERROR(__xludf.DUMMYFUNCTION("""COMPUTED_VALUE"""),0.8833333333333333)</f>
        <v>0.8833333333</v>
      </c>
      <c r="J721" s="22">
        <f>IFERROR(__xludf.DUMMYFUNCTION("""COMPUTED_VALUE"""),70.0)</f>
        <v>70</v>
      </c>
      <c r="K721" s="22">
        <f>IFERROR(__xludf.DUMMYFUNCTION("""COMPUTED_VALUE"""),11.5)</f>
        <v>11.5</v>
      </c>
      <c r="L721" s="26" t="str">
        <f>IFERROR(__xludf.DUMMYFUNCTION("""COMPUTED_VALUE"""),"Racing")</f>
        <v>Racing</v>
      </c>
      <c r="M721" s="26"/>
    </row>
    <row r="722">
      <c r="A722" s="12" t="str">
        <f>IFERROR(__xludf.DUMMYFUNCTION("""COMPUTED_VALUE"""),"Bleeding Edge")</f>
        <v>Bleeding Edge</v>
      </c>
      <c r="B722" s="13" t="str">
        <f>IFERROR(__xludf.DUMMYFUNCTION("""COMPUTED_VALUE"""),"Xbox / PC")</f>
        <v>Xbox / PC</v>
      </c>
      <c r="C722" s="14" t="str">
        <f>IFERROR(__xludf.DUMMYFUNCTION("""COMPUTED_VALUE"""),"Yes")</f>
        <v>Yes</v>
      </c>
      <c r="D722" s="14" t="str">
        <f>IFERROR(__xludf.DUMMYFUNCTION("""COMPUTED_VALUE"""),"Active")</f>
        <v>Active</v>
      </c>
      <c r="E722" s="15">
        <f>IFERROR(__xludf.DUMMYFUNCTION("""COMPUTED_VALUE"""),43914.0)</f>
        <v>43914</v>
      </c>
      <c r="F722" s="16"/>
      <c r="G722" s="18">
        <f>IFERROR(__xludf.DUMMYFUNCTION("""COMPUTED_VALUE"""),78.4)</f>
        <v>78.4</v>
      </c>
      <c r="H722" s="15">
        <f>IFERROR(__xludf.DUMMYFUNCTION("""COMPUTED_VALUE"""),43914.0)</f>
        <v>43914</v>
      </c>
      <c r="I722" s="18">
        <f>IFERROR(__xludf.DUMMYFUNCTION("""COMPUTED_VALUE"""),0.0)</f>
        <v>0</v>
      </c>
      <c r="J722" s="22">
        <f>IFERROR(__xludf.DUMMYFUNCTION("""COMPUTED_VALUE"""),70.0)</f>
        <v>70</v>
      </c>
      <c r="K722" s="22">
        <f>IFERROR(__xludf.DUMMYFUNCTION("""COMPUTED_VALUE"""),6.5)</f>
        <v>6.5</v>
      </c>
      <c r="L722" s="26" t="str">
        <f>IFERROR(__xludf.DUMMYFUNCTION("""COMPUTED_VALUE"""),"Action")</f>
        <v>Action</v>
      </c>
      <c r="M722" s="26"/>
    </row>
    <row r="723">
      <c r="A723" s="12" t="str">
        <f>IFERROR(__xludf.DUMMYFUNCTION("""COMPUTED_VALUE"""),"The Bard's Tale IV: Director's Cut")</f>
        <v>The Bard's Tale IV: Director's Cut</v>
      </c>
      <c r="B723" s="13" t="str">
        <f>IFERROR(__xludf.DUMMYFUNCTION("""COMPUTED_VALUE"""),"Xbox / PC")</f>
        <v>Xbox / PC</v>
      </c>
      <c r="C723" s="14" t="str">
        <f>IFERROR(__xludf.DUMMYFUNCTION("""COMPUTED_VALUE"""),"Touch Controls")</f>
        <v>Touch Controls</v>
      </c>
      <c r="D723" s="14" t="str">
        <f>IFERROR(__xludf.DUMMYFUNCTION("""COMPUTED_VALUE"""),"Active")</f>
        <v>Active</v>
      </c>
      <c r="E723" s="15">
        <f>IFERROR(__xludf.DUMMYFUNCTION("""COMPUTED_VALUE"""),43704.0)</f>
        <v>43704</v>
      </c>
      <c r="F723" s="16"/>
      <c r="G723" s="18">
        <f>IFERROR(__xludf.DUMMYFUNCTION("""COMPUTED_VALUE"""),85.3)</f>
        <v>85.3</v>
      </c>
      <c r="H723" s="15">
        <f>IFERROR(__xludf.DUMMYFUNCTION("""COMPUTED_VALUE"""),43361.0)</f>
        <v>43361</v>
      </c>
      <c r="I723" s="18">
        <f>IFERROR(__xludf.DUMMYFUNCTION("""COMPUTED_VALUE"""),0.9416666666666667)</f>
        <v>0.9416666667</v>
      </c>
      <c r="J723" s="22">
        <f>IFERROR(__xludf.DUMMYFUNCTION("""COMPUTED_VALUE"""),70.0)</f>
        <v>70</v>
      </c>
      <c r="K723" s="22">
        <f>IFERROR(__xludf.DUMMYFUNCTION("""COMPUTED_VALUE"""),59.5)</f>
        <v>59.5</v>
      </c>
      <c r="L723" s="26" t="str">
        <f>IFERROR(__xludf.DUMMYFUNCTION("""COMPUTED_VALUE"""),"RPG")</f>
        <v>RPG</v>
      </c>
      <c r="M723" s="26"/>
    </row>
    <row r="724">
      <c r="A724" s="12" t="str">
        <f>IFERROR(__xludf.DUMMYFUNCTION("""COMPUTED_VALUE"""),"The Bard's Tale Trilogy")</f>
        <v>The Bard's Tale Trilogy</v>
      </c>
      <c r="B724" s="13" t="str">
        <f>IFERROR(__xludf.DUMMYFUNCTION("""COMPUTED_VALUE"""),"Xbox / PC")</f>
        <v>Xbox / PC</v>
      </c>
      <c r="C724" s="14" t="str">
        <f>IFERROR(__xludf.DUMMYFUNCTION("""COMPUTED_VALUE"""),"Touch Controls")</f>
        <v>Touch Controls</v>
      </c>
      <c r="D724" s="14" t="str">
        <f>IFERROR(__xludf.DUMMYFUNCTION("""COMPUTED_VALUE"""),"Active")</f>
        <v>Active</v>
      </c>
      <c r="E724" s="15">
        <f>IFERROR(__xludf.DUMMYFUNCTION("""COMPUTED_VALUE"""),43690.0)</f>
        <v>43690</v>
      </c>
      <c r="F724" s="16"/>
      <c r="G724" s="18">
        <f>IFERROR(__xludf.DUMMYFUNCTION("""COMPUTED_VALUE"""),85.76666666666667)</f>
        <v>85.76666667</v>
      </c>
      <c r="H724" s="15">
        <f>IFERROR(__xludf.DUMMYFUNCTION("""COMPUTED_VALUE"""),43326.0)</f>
        <v>43326</v>
      </c>
      <c r="I724" s="18">
        <f>IFERROR(__xludf.DUMMYFUNCTION("""COMPUTED_VALUE"""),0.9972222222222222)</f>
        <v>0.9972222222</v>
      </c>
      <c r="J724" s="22">
        <f>IFERROR(__xludf.DUMMYFUNCTION("""COMPUTED_VALUE"""),70.0)</f>
        <v>70</v>
      </c>
      <c r="K724" s="22">
        <f>IFERROR(__xludf.DUMMYFUNCTION("""COMPUTED_VALUE"""),24.0)</f>
        <v>24</v>
      </c>
      <c r="L724" s="26" t="str">
        <f>IFERROR(__xludf.DUMMYFUNCTION("""COMPUTED_VALUE"""),"RPG")</f>
        <v>RPG</v>
      </c>
      <c r="M724" s="26"/>
    </row>
    <row r="725">
      <c r="A725" s="12" t="str">
        <f>IFERROR(__xludf.DUMMYFUNCTION("""COMPUTED_VALUE"""),"Fuzion Frenzy")</f>
        <v>Fuzion Frenzy</v>
      </c>
      <c r="B725" s="13" t="str">
        <f>IFERROR(__xludf.DUMMYFUNCTION("""COMPUTED_VALUE"""),"Xbox / PC")</f>
        <v>Xbox / PC</v>
      </c>
      <c r="C725" s="14" t="str">
        <f>IFERROR(__xludf.DUMMYFUNCTION("""COMPUTED_VALUE"""),"Touch Controls")</f>
        <v>Touch Controls</v>
      </c>
      <c r="D725" s="14" t="str">
        <f>IFERROR(__xludf.DUMMYFUNCTION("""COMPUTED_VALUE"""),"Active")</f>
        <v>Active</v>
      </c>
      <c r="E725" s="15">
        <f>IFERROR(__xludf.DUMMYFUNCTION("""COMPUTED_VALUE"""),42887.0)</f>
        <v>42887</v>
      </c>
      <c r="F725" s="16"/>
      <c r="G725" s="18">
        <f>IFERROR(__xludf.DUMMYFUNCTION("""COMPUTED_VALUE"""),112.16666666666666)</f>
        <v>112.1666667</v>
      </c>
      <c r="H725" s="15">
        <f>IFERROR(__xludf.DUMMYFUNCTION("""COMPUTED_VALUE"""),37209.0)</f>
        <v>37209</v>
      </c>
      <c r="I725" s="18">
        <f>IFERROR(__xludf.DUMMYFUNCTION("""COMPUTED_VALUE"""),15.547222222222222)</f>
        <v>15.54722222</v>
      </c>
      <c r="J725" s="22">
        <f>IFERROR(__xludf.DUMMYFUNCTION("""COMPUTED_VALUE"""),70.0)</f>
        <v>70</v>
      </c>
      <c r="K725" s="22">
        <f>IFERROR(__xludf.DUMMYFUNCTION("""COMPUTED_VALUE"""),4.0)</f>
        <v>4</v>
      </c>
      <c r="L725" s="26" t="str">
        <f>IFERROR(__xludf.DUMMYFUNCTION("""COMPUTED_VALUE"""),"Minigame Collection")</f>
        <v>Minigame Collection</v>
      </c>
      <c r="M725" s="26"/>
    </row>
    <row r="726">
      <c r="A726" s="12" t="str">
        <f>IFERROR(__xludf.DUMMYFUNCTION("""COMPUTED_VALUE"""),"Thrillville: Off the Rails")</f>
        <v>Thrillville: Off the Rails</v>
      </c>
      <c r="B726" s="13" t="str">
        <f>IFERROR(__xludf.DUMMYFUNCTION("""COMPUTED_VALUE"""),"XB360/OG Xbox")</f>
        <v>XB360/OG Xbox</v>
      </c>
      <c r="C726" s="14"/>
      <c r="D726" s="14" t="str">
        <f>IFERROR(__xludf.DUMMYFUNCTION("""COMPUTED_VALUE"""),"GwG Permanent")</f>
        <v>GwG Permanent</v>
      </c>
      <c r="E726" s="15">
        <f>IFERROR(__xludf.DUMMYFUNCTION("""COMPUTED_VALUE"""),44743.0)</f>
        <v>44743</v>
      </c>
      <c r="F726" s="16">
        <f>IFERROR(__xludf.DUMMYFUNCTION("""COMPUTED_VALUE"""),44757.0)</f>
        <v>44757</v>
      </c>
      <c r="G726" s="18">
        <f>IFERROR(__xludf.DUMMYFUNCTION("""COMPUTED_VALUE"""),0.4666666666666667)</f>
        <v>0.4666666667</v>
      </c>
      <c r="H726" s="15">
        <f>IFERROR(__xludf.DUMMYFUNCTION("""COMPUTED_VALUE"""),39393.0)</f>
        <v>39393</v>
      </c>
      <c r="I726" s="18">
        <f>IFERROR(__xludf.DUMMYFUNCTION("""COMPUTED_VALUE"""),14.65)</f>
        <v>14.65</v>
      </c>
      <c r="J726" s="22">
        <f>IFERROR(__xludf.DUMMYFUNCTION("""COMPUTED_VALUE"""),70.0)</f>
        <v>70</v>
      </c>
      <c r="K726" s="22">
        <f>IFERROR(__xludf.DUMMYFUNCTION("""COMPUTED_VALUE"""),17.0)</f>
        <v>17</v>
      </c>
      <c r="L726" s="26" t="str">
        <f>IFERROR(__xludf.DUMMYFUNCTION("""COMPUTED_VALUE"""),"Simulation")</f>
        <v>Simulation</v>
      </c>
      <c r="M726" s="26"/>
    </row>
    <row r="727">
      <c r="A727" s="12" t="str">
        <f>IFERROR(__xludf.DUMMYFUNCTION("""COMPUTED_VALUE"""),"Space Invaders: Infinity Gene")</f>
        <v>Space Invaders: Infinity Gene</v>
      </c>
      <c r="B727" s="13" t="str">
        <f>IFERROR(__xludf.DUMMYFUNCTION("""COMPUTED_VALUE"""),"XB360/OG Xbox")</f>
        <v>XB360/OG Xbox</v>
      </c>
      <c r="C727" s="14"/>
      <c r="D727" s="14" t="str">
        <f>IFERROR(__xludf.DUMMYFUNCTION("""COMPUTED_VALUE"""),"GwG Permanent")</f>
        <v>GwG Permanent</v>
      </c>
      <c r="E727" s="15">
        <f>IFERROR(__xludf.DUMMYFUNCTION("""COMPUTED_VALUE"""),44577.0)</f>
        <v>44577</v>
      </c>
      <c r="F727" s="16">
        <f>IFERROR(__xludf.DUMMYFUNCTION("""COMPUTED_VALUE"""),44592.0)</f>
        <v>44592</v>
      </c>
      <c r="G727" s="18">
        <f>IFERROR(__xludf.DUMMYFUNCTION("""COMPUTED_VALUE"""),0.4666666666666667)</f>
        <v>0.4666666667</v>
      </c>
      <c r="H727" s="15">
        <f>IFERROR(__xludf.DUMMYFUNCTION("""COMPUTED_VALUE"""),39881.0)</f>
        <v>39881</v>
      </c>
      <c r="I727" s="18">
        <f>IFERROR(__xludf.DUMMYFUNCTION("""COMPUTED_VALUE"""),12.852777777777778)</f>
        <v>12.85277778</v>
      </c>
      <c r="J727" s="22">
        <f>IFERROR(__xludf.DUMMYFUNCTION("""COMPUTED_VALUE"""),70.0)</f>
        <v>70</v>
      </c>
      <c r="K727" s="22">
        <f>IFERROR(__xludf.DUMMYFUNCTION("""COMPUTED_VALUE"""),5.0)</f>
        <v>5</v>
      </c>
      <c r="L727" s="26" t="str">
        <f>IFERROR(__xludf.DUMMYFUNCTION("""COMPUTED_VALUE"""),"Shooter")</f>
        <v>Shooter</v>
      </c>
      <c r="M727" s="26"/>
    </row>
    <row r="728">
      <c r="A728" s="12" t="str">
        <f>IFERROR(__xludf.DUMMYFUNCTION("""COMPUTED_VALUE"""),"Castlevania: Lords of Shadow 2")</f>
        <v>Castlevania: Lords of Shadow 2</v>
      </c>
      <c r="B728" s="13" t="str">
        <f>IFERROR(__xludf.DUMMYFUNCTION("""COMPUTED_VALUE"""),"XB360/OG Xbox")</f>
        <v>XB360/OG Xbox</v>
      </c>
      <c r="C728" s="14"/>
      <c r="D728" s="14" t="str">
        <f>IFERROR(__xludf.DUMMYFUNCTION("""COMPUTED_VALUE"""),"GwG Permanent")</f>
        <v>GwG Permanent</v>
      </c>
      <c r="E728" s="15">
        <f>IFERROR(__xludf.DUMMYFUNCTION("""COMPUTED_VALUE"""),43891.0)</f>
        <v>43891</v>
      </c>
      <c r="F728" s="16">
        <f>IFERROR(__xludf.DUMMYFUNCTION("""COMPUTED_VALUE"""),43905.0)</f>
        <v>43905</v>
      </c>
      <c r="G728" s="18">
        <f>IFERROR(__xludf.DUMMYFUNCTION("""COMPUTED_VALUE"""),0.4666666666666667)</f>
        <v>0.4666666667</v>
      </c>
      <c r="H728" s="15">
        <f>IFERROR(__xludf.DUMMYFUNCTION("""COMPUTED_VALUE"""),41695.0)</f>
        <v>41695</v>
      </c>
      <c r="I728" s="18">
        <f>IFERROR(__xludf.DUMMYFUNCTION("""COMPUTED_VALUE"""),6.016666666666667)</f>
        <v>6.016666667</v>
      </c>
      <c r="J728" s="22">
        <f>IFERROR(__xludf.DUMMYFUNCTION("""COMPUTED_VALUE"""),70.0)</f>
        <v>70</v>
      </c>
      <c r="K728" s="22">
        <f>IFERROR(__xludf.DUMMYFUNCTION("""COMPUTED_VALUE"""),11.0)</f>
        <v>11</v>
      </c>
      <c r="L728" s="26" t="str">
        <f>IFERROR(__xludf.DUMMYFUNCTION("""COMPUTED_VALUE"""),"Action-Adventure")</f>
        <v>Action-Adventure</v>
      </c>
      <c r="M728" s="26"/>
    </row>
    <row r="729">
      <c r="A729" s="12" t="str">
        <f>IFERROR(__xludf.DUMMYFUNCTION("""COMPUTED_VALUE"""),"Thief")</f>
        <v>Thief</v>
      </c>
      <c r="B729" s="13" t="str">
        <f>IFERROR(__xludf.DUMMYFUNCTION("""COMPUTED_VALUE"""),"XB360/OG Xbox")</f>
        <v>XB360/OG Xbox</v>
      </c>
      <c r="C729" s="14"/>
      <c r="D729" s="14" t="str">
        <f>IFERROR(__xludf.DUMMYFUNCTION("""COMPUTED_VALUE"""),"GwG Permanent")</f>
        <v>GwG Permanent</v>
      </c>
      <c r="E729" s="15">
        <f>IFERROR(__xludf.DUMMYFUNCTION("""COMPUTED_VALUE"""),42171.0)</f>
        <v>42171</v>
      </c>
      <c r="F729" s="16">
        <f>IFERROR(__xludf.DUMMYFUNCTION("""COMPUTED_VALUE"""),42185.0)</f>
        <v>42185</v>
      </c>
      <c r="G729" s="18">
        <f>IFERROR(__xludf.DUMMYFUNCTION("""COMPUTED_VALUE"""),0.4666666666666667)</f>
        <v>0.4666666667</v>
      </c>
      <c r="H729" s="15">
        <f>IFERROR(__xludf.DUMMYFUNCTION("""COMPUTED_VALUE"""),41695.0)</f>
        <v>41695</v>
      </c>
      <c r="I729" s="18">
        <f>IFERROR(__xludf.DUMMYFUNCTION("""COMPUTED_VALUE"""),1.3083333333333333)</f>
        <v>1.308333333</v>
      </c>
      <c r="J729" s="22">
        <f>IFERROR(__xludf.DUMMYFUNCTION("""COMPUTED_VALUE"""),70.0)</f>
        <v>70</v>
      </c>
      <c r="K729" s="22">
        <f>IFERROR(__xludf.DUMMYFUNCTION("""COMPUTED_VALUE"""),11.0)</f>
        <v>11</v>
      </c>
      <c r="L729" s="26" t="str">
        <f>IFERROR(__xludf.DUMMYFUNCTION("""COMPUTED_VALUE"""),"Action-Adventure")</f>
        <v>Action-Adventure</v>
      </c>
      <c r="M729" s="26"/>
    </row>
    <row r="730">
      <c r="A730" s="12" t="str">
        <f>IFERROR(__xludf.DUMMYFUNCTION("""COMPUTED_VALUE"""),"Motocross Madness")</f>
        <v>Motocross Madness</v>
      </c>
      <c r="B730" s="13" t="str">
        <f>IFERROR(__xludf.DUMMYFUNCTION("""COMPUTED_VALUE"""),"XB360/OG Xbox")</f>
        <v>XB360/OG Xbox</v>
      </c>
      <c r="C730" s="14"/>
      <c r="D730" s="14" t="str">
        <f>IFERROR(__xludf.DUMMYFUNCTION("""COMPUTED_VALUE"""),"GwG Permanent")</f>
        <v>GwG Permanent</v>
      </c>
      <c r="E730" s="15">
        <f>IFERROR(__xludf.DUMMYFUNCTION("""COMPUTED_VALUE"""),41852.0)</f>
        <v>41852</v>
      </c>
      <c r="F730" s="16">
        <f>IFERROR(__xludf.DUMMYFUNCTION("""COMPUTED_VALUE"""),41866.0)</f>
        <v>41866</v>
      </c>
      <c r="G730" s="18">
        <f>IFERROR(__xludf.DUMMYFUNCTION("""COMPUTED_VALUE"""),0.4666666666666667)</f>
        <v>0.4666666667</v>
      </c>
      <c r="H730" s="15">
        <f>IFERROR(__xludf.DUMMYFUNCTION("""COMPUTED_VALUE"""),40491.0)</f>
        <v>40491</v>
      </c>
      <c r="I730" s="18">
        <f>IFERROR(__xludf.DUMMYFUNCTION("""COMPUTED_VALUE"""),3.727777777777778)</f>
        <v>3.727777778</v>
      </c>
      <c r="J730" s="22">
        <f>IFERROR(__xludf.DUMMYFUNCTION("""COMPUTED_VALUE"""),70.0)</f>
        <v>70</v>
      </c>
      <c r="K730" s="22">
        <f>IFERROR(__xludf.DUMMYFUNCTION("""COMPUTED_VALUE"""),6.0)</f>
        <v>6</v>
      </c>
      <c r="L730" s="26" t="str">
        <f>IFERROR(__xludf.DUMMYFUNCTION("""COMPUTED_VALUE"""),"Racing")</f>
        <v>Racing</v>
      </c>
      <c r="M730" s="26"/>
    </row>
    <row r="731">
      <c r="A731" s="12" t="str">
        <f>IFERROR(__xludf.DUMMYFUNCTION("""COMPUTED_VALUE"""),"Shoot Many Robots")</f>
        <v>Shoot Many Robots</v>
      </c>
      <c r="B731" s="13" t="str">
        <f>IFERROR(__xludf.DUMMYFUNCTION("""COMPUTED_VALUE"""),"XB360/OG Xbox")</f>
        <v>XB360/OG Xbox</v>
      </c>
      <c r="C731" s="14"/>
      <c r="D731" s="14" t="str">
        <f>IFERROR(__xludf.DUMMYFUNCTION("""COMPUTED_VALUE"""),"GwG Permanent")</f>
        <v>GwG Permanent</v>
      </c>
      <c r="E731" s="15">
        <f>IFERROR(__xludf.DUMMYFUNCTION("""COMPUTED_VALUE"""),41624.0)</f>
        <v>41624</v>
      </c>
      <c r="F731" s="16">
        <f>IFERROR(__xludf.DUMMYFUNCTION("""COMPUTED_VALUE"""),41639.0)</f>
        <v>41639</v>
      </c>
      <c r="G731" s="18">
        <f>IFERROR(__xludf.DUMMYFUNCTION("""COMPUTED_VALUE"""),0.4666666666666667)</f>
        <v>0.4666666667</v>
      </c>
      <c r="H731" s="15">
        <f>IFERROR(__xludf.DUMMYFUNCTION("""COMPUTED_VALUE"""),41128.0)</f>
        <v>41128</v>
      </c>
      <c r="I731" s="18">
        <f>IFERROR(__xludf.DUMMYFUNCTION("""COMPUTED_VALUE"""),1.3583333333333334)</f>
        <v>1.358333333</v>
      </c>
      <c r="J731" s="22">
        <f>IFERROR(__xludf.DUMMYFUNCTION("""COMPUTED_VALUE"""),70.0)</f>
        <v>70</v>
      </c>
      <c r="K731" s="22">
        <f>IFERROR(__xludf.DUMMYFUNCTION("""COMPUTED_VALUE"""),6.0)</f>
        <v>6</v>
      </c>
      <c r="L731" s="26" t="str">
        <f>IFERROR(__xludf.DUMMYFUNCTION("""COMPUTED_VALUE"""),"Action")</f>
        <v>Action</v>
      </c>
      <c r="M731" s="26"/>
    </row>
    <row r="732">
      <c r="A732" s="12" t="str">
        <f>IFERROR(__xludf.DUMMYFUNCTION("""COMPUTED_VALUE"""),"BattleTech: The Crescent Hawk's Revenge")</f>
        <v>BattleTech: The Crescent Hawk's Revenge</v>
      </c>
      <c r="B732" s="13" t="str">
        <f>IFERROR(__xludf.DUMMYFUNCTION("""COMPUTED_VALUE"""),"Xbox / PC")</f>
        <v>Xbox / PC</v>
      </c>
      <c r="C732" s="14" t="str">
        <f>IFERROR(__xludf.DUMMYFUNCTION("""COMPUTED_VALUE"""),"Yes")</f>
        <v>Yes</v>
      </c>
      <c r="D732" s="14" t="str">
        <f>IFERROR(__xludf.DUMMYFUNCTION("""COMPUTED_VALUE"""),"Active")</f>
        <v>Active</v>
      </c>
      <c r="E732" s="15">
        <f>IFERROR(__xludf.DUMMYFUNCTION("""COMPUTED_VALUE"""),45945.0)</f>
        <v>45945</v>
      </c>
      <c r="F732" s="16"/>
      <c r="G732" s="18">
        <f>IFERROR(__xludf.DUMMYFUNCTION("""COMPUTED_VALUE"""),11.7)</f>
        <v>11.7</v>
      </c>
      <c r="H732" s="15">
        <f>IFERROR(__xludf.DUMMYFUNCTION("""COMPUTED_VALUE"""),32874.0)</f>
        <v>32874</v>
      </c>
      <c r="I732" s="18">
        <f>IFERROR(__xludf.DUMMYFUNCTION("""COMPUTED_VALUE"""),35.78888888888889)</f>
        <v>35.78888889</v>
      </c>
      <c r="J732" s="22">
        <f>IFERROR(__xludf.DUMMYFUNCTION("""COMPUTED_VALUE"""),69.0)</f>
        <v>69</v>
      </c>
      <c r="K732" s="22"/>
      <c r="L732" s="26" t="str">
        <f>IFERROR(__xludf.DUMMYFUNCTION("""COMPUTED_VALUE"""),"Strategy")</f>
        <v>Strategy</v>
      </c>
      <c r="M732" s="26"/>
    </row>
    <row r="733">
      <c r="A733" s="12" t="str">
        <f>IFERROR(__xludf.DUMMYFUNCTION("""COMPUTED_VALUE"""),"Assassin's Creed Chronicles: China")</f>
        <v>Assassin's Creed Chronicles: China</v>
      </c>
      <c r="B733" s="13" t="str">
        <f>IFERROR(__xludf.DUMMYFUNCTION("""COMPUTED_VALUE"""),"Xbox / PC")</f>
        <v>Xbox / PC</v>
      </c>
      <c r="C733" s="14" t="str">
        <f>IFERROR(__xludf.DUMMYFUNCTION("""COMPUTED_VALUE"""),"Yes")</f>
        <v>Yes</v>
      </c>
      <c r="D733" s="14" t="str">
        <f>IFERROR(__xludf.DUMMYFUNCTION("""COMPUTED_VALUE"""),"Active")</f>
        <v>Active</v>
      </c>
      <c r="E733" s="15">
        <f>IFERROR(__xludf.DUMMYFUNCTION("""COMPUTED_VALUE"""),45931.0)</f>
        <v>45931</v>
      </c>
      <c r="F733" s="16"/>
      <c r="G733" s="18">
        <f>IFERROR(__xludf.DUMMYFUNCTION("""COMPUTED_VALUE"""),12.166666666666666)</f>
        <v>12.16666667</v>
      </c>
      <c r="H733" s="15">
        <f>IFERROR(__xludf.DUMMYFUNCTION("""COMPUTED_VALUE"""),42115.0)</f>
        <v>42115</v>
      </c>
      <c r="I733" s="18">
        <f>IFERROR(__xludf.DUMMYFUNCTION("""COMPUTED_VALUE"""),10.444444444444445)</f>
        <v>10.44444444</v>
      </c>
      <c r="J733" s="22">
        <f>IFERROR(__xludf.DUMMYFUNCTION("""COMPUTED_VALUE"""),69.0)</f>
        <v>69</v>
      </c>
      <c r="K733" s="22">
        <f>IFERROR(__xludf.DUMMYFUNCTION("""COMPUTED_VALUE"""),6.0)</f>
        <v>6</v>
      </c>
      <c r="L733" s="26" t="str">
        <f>IFERROR(__xludf.DUMMYFUNCTION("""COMPUTED_VALUE"""),"Action-Adventure")</f>
        <v>Action-Adventure</v>
      </c>
      <c r="M733" s="26"/>
    </row>
    <row r="734">
      <c r="A734" s="12" t="str">
        <f>IFERROR(__xludf.DUMMYFUNCTION("""COMPUTED_VALUE"""),"Rabbids: Party of Legends")</f>
        <v>Rabbids: Party of Legends</v>
      </c>
      <c r="B734" s="13" t="str">
        <f>IFERROR(__xludf.DUMMYFUNCTION("""COMPUTED_VALUE"""),"Xbox / PC")</f>
        <v>Xbox / PC</v>
      </c>
      <c r="C734" s="14" t="str">
        <f>IFERROR(__xludf.DUMMYFUNCTION("""COMPUTED_VALUE"""),"Yes")</f>
        <v>Yes</v>
      </c>
      <c r="D734" s="14" t="str">
        <f>IFERROR(__xludf.DUMMYFUNCTION("""COMPUTED_VALUE"""),"Active")</f>
        <v>Active</v>
      </c>
      <c r="E734" s="15">
        <f>IFERROR(__xludf.DUMMYFUNCTION("""COMPUTED_VALUE"""),45931.0)</f>
        <v>45931</v>
      </c>
      <c r="F734" s="16"/>
      <c r="G734" s="18">
        <f>IFERROR(__xludf.DUMMYFUNCTION("""COMPUTED_VALUE"""),12.166666666666666)</f>
        <v>12.16666667</v>
      </c>
      <c r="H734" s="15">
        <f>IFERROR(__xludf.DUMMYFUNCTION("""COMPUTED_VALUE"""),44742.0)</f>
        <v>44742</v>
      </c>
      <c r="I734" s="18">
        <f>IFERROR(__xludf.DUMMYFUNCTION("""COMPUTED_VALUE"""),3.2527777777777778)</f>
        <v>3.252777778</v>
      </c>
      <c r="J734" s="22">
        <f>IFERROR(__xludf.DUMMYFUNCTION("""COMPUTED_VALUE"""),69.0)</f>
        <v>69</v>
      </c>
      <c r="K734" s="22">
        <f>IFERROR(__xludf.DUMMYFUNCTION("""COMPUTED_VALUE"""),3.0)</f>
        <v>3</v>
      </c>
      <c r="L734" s="26" t="str">
        <f>IFERROR(__xludf.DUMMYFUNCTION("""COMPUTED_VALUE"""),"Party")</f>
        <v>Party</v>
      </c>
      <c r="M734" s="26"/>
    </row>
    <row r="735">
      <c r="A735" s="12" t="str">
        <f>IFERROR(__xludf.DUMMYFUNCTION("""COMPUTED_VALUE"""),"Immortals of Aveum")</f>
        <v>Immortals of Aveum</v>
      </c>
      <c r="B735" s="13" t="str">
        <f>IFERROR(__xludf.DUMMYFUNCTION("""COMPUTED_VALUE"""),"Xbox / PC")</f>
        <v>Xbox / PC</v>
      </c>
      <c r="C735" s="14" t="str">
        <f>IFERROR(__xludf.DUMMYFUNCTION("""COMPUTED_VALUE"""),"Yes")</f>
        <v>Yes</v>
      </c>
      <c r="D735" s="14" t="str">
        <f>IFERROR(__xludf.DUMMYFUNCTION("""COMPUTED_VALUE"""),"Active")</f>
        <v>Active</v>
      </c>
      <c r="E735" s="15">
        <f>IFERROR(__xludf.DUMMYFUNCTION("""COMPUTED_VALUE"""),45427.0)</f>
        <v>45427</v>
      </c>
      <c r="F735" s="16"/>
      <c r="G735" s="18">
        <f>IFERROR(__xludf.DUMMYFUNCTION("""COMPUTED_VALUE"""),28.7)</f>
        <v>28.7</v>
      </c>
      <c r="H735" s="15">
        <f>IFERROR(__xludf.DUMMYFUNCTION("""COMPUTED_VALUE"""),45160.0)</f>
        <v>45160</v>
      </c>
      <c r="I735" s="18">
        <f>IFERROR(__xludf.DUMMYFUNCTION("""COMPUTED_VALUE"""),0.7305555555555555)</f>
        <v>0.7305555556</v>
      </c>
      <c r="J735" s="22">
        <f>IFERROR(__xludf.DUMMYFUNCTION("""COMPUTED_VALUE"""),69.0)</f>
        <v>69</v>
      </c>
      <c r="K735" s="22">
        <f>IFERROR(__xludf.DUMMYFUNCTION("""COMPUTED_VALUE"""),15.0)</f>
        <v>15</v>
      </c>
      <c r="L735" s="26" t="str">
        <f>IFERROR(__xludf.DUMMYFUNCTION("""COMPUTED_VALUE"""),"Shooter")</f>
        <v>Shooter</v>
      </c>
      <c r="M735" s="26" t="str">
        <f>IFERROR(__xludf.DUMMYFUNCTION("""COMPUTED_VALUE"""),"Exclusive")</f>
        <v>Exclusive</v>
      </c>
    </row>
    <row r="736">
      <c r="A736" s="12" t="str">
        <f>IFERROR(__xludf.DUMMYFUNCTION("""COMPUTED_VALUE"""),"The Cave")</f>
        <v>The Cave</v>
      </c>
      <c r="B736" s="13" t="str">
        <f>IFERROR(__xludf.DUMMYFUNCTION("""COMPUTED_VALUE"""),"Xbox")</f>
        <v>Xbox</v>
      </c>
      <c r="C736" s="14" t="str">
        <f>IFERROR(__xludf.DUMMYFUNCTION("""COMPUTED_VALUE"""),"Yes")</f>
        <v>Yes</v>
      </c>
      <c r="D736" s="14" t="str">
        <f>IFERROR(__xludf.DUMMYFUNCTION("""COMPUTED_VALUE"""),"Active")</f>
        <v>Active</v>
      </c>
      <c r="E736" s="15">
        <f>IFERROR(__xludf.DUMMYFUNCTION("""COMPUTED_VALUE"""),45125.0)</f>
        <v>45125</v>
      </c>
      <c r="F736" s="16"/>
      <c r="G736" s="18">
        <f>IFERROR(__xludf.DUMMYFUNCTION("""COMPUTED_VALUE"""),38.6)</f>
        <v>38.6</v>
      </c>
      <c r="H736" s="15">
        <f>IFERROR(__xludf.DUMMYFUNCTION("""COMPUTED_VALUE"""),41600.0)</f>
        <v>41600</v>
      </c>
      <c r="I736" s="18">
        <f>IFERROR(__xludf.DUMMYFUNCTION("""COMPUTED_VALUE"""),9.655555555555555)</f>
        <v>9.655555556</v>
      </c>
      <c r="J736" s="22">
        <f>IFERROR(__xludf.DUMMYFUNCTION("""COMPUTED_VALUE"""),69.0)</f>
        <v>69</v>
      </c>
      <c r="K736" s="22">
        <f>IFERROR(__xludf.DUMMYFUNCTION("""COMPUTED_VALUE"""),5.0)</f>
        <v>5</v>
      </c>
      <c r="L736" s="26" t="str">
        <f>IFERROR(__xludf.DUMMYFUNCTION("""COMPUTED_VALUE"""),"Platformer")</f>
        <v>Platformer</v>
      </c>
      <c r="M736" s="26"/>
    </row>
    <row r="737">
      <c r="A737" s="12" t="str">
        <f>IFERROR(__xludf.DUMMYFUNCTION("""COMPUTED_VALUE"""),"Minecraft: Legends")</f>
        <v>Minecraft: Legends</v>
      </c>
      <c r="B737" s="13" t="str">
        <f>IFERROR(__xludf.DUMMYFUNCTION("""COMPUTED_VALUE"""),"Xbox / PC")</f>
        <v>Xbox / PC</v>
      </c>
      <c r="C737" s="14" t="str">
        <f>IFERROR(__xludf.DUMMYFUNCTION("""COMPUTED_VALUE"""),"Yes")</f>
        <v>Yes</v>
      </c>
      <c r="D737" s="14" t="str">
        <f>IFERROR(__xludf.DUMMYFUNCTION("""COMPUTED_VALUE"""),"Active")</f>
        <v>Active</v>
      </c>
      <c r="E737" s="15">
        <f>IFERROR(__xludf.DUMMYFUNCTION("""COMPUTED_VALUE"""),45034.0)</f>
        <v>45034</v>
      </c>
      <c r="F737" s="16"/>
      <c r="G737" s="18">
        <f>IFERROR(__xludf.DUMMYFUNCTION("""COMPUTED_VALUE"""),41.6)</f>
        <v>41.6</v>
      </c>
      <c r="H737" s="15">
        <f>IFERROR(__xludf.DUMMYFUNCTION("""COMPUTED_VALUE"""),45034.0)</f>
        <v>45034</v>
      </c>
      <c r="I737" s="18">
        <f>IFERROR(__xludf.DUMMYFUNCTION("""COMPUTED_VALUE"""),0.0)</f>
        <v>0</v>
      </c>
      <c r="J737" s="22">
        <f>IFERROR(__xludf.DUMMYFUNCTION("""COMPUTED_VALUE"""),69.0)</f>
        <v>69</v>
      </c>
      <c r="K737" s="22">
        <f>IFERROR(__xludf.DUMMYFUNCTION("""COMPUTED_VALUE"""),8.0)</f>
        <v>8</v>
      </c>
      <c r="L737" s="26" t="str">
        <f>IFERROR(__xludf.DUMMYFUNCTION("""COMPUTED_VALUE"""),"Action-Adventure")</f>
        <v>Action-Adventure</v>
      </c>
      <c r="M737" s="26" t="str">
        <f>IFERROR(__xludf.DUMMYFUNCTION("""COMPUTED_VALUE"""),"Exclusive")</f>
        <v>Exclusive</v>
      </c>
    </row>
    <row r="738">
      <c r="A738" s="12" t="str">
        <f>IFERROR(__xludf.DUMMYFUNCTION("""COMPUTED_VALUE"""),"Bejeweled 2")</f>
        <v>Bejeweled 2</v>
      </c>
      <c r="B738" s="13" t="str">
        <f>IFERROR(__xludf.DUMMYFUNCTION("""COMPUTED_VALUE"""),"Xbox")</f>
        <v>Xbox</v>
      </c>
      <c r="C738" s="14"/>
      <c r="D738" s="14" t="str">
        <f>IFERROR(__xludf.DUMMYFUNCTION("""COMPUTED_VALUE"""),"Active")</f>
        <v>Active</v>
      </c>
      <c r="E738" s="15">
        <f>IFERROR(__xludf.DUMMYFUNCTION("""COMPUTED_VALUE"""),44145.0)</f>
        <v>44145</v>
      </c>
      <c r="F738" s="16"/>
      <c r="G738" s="18">
        <f>IFERROR(__xludf.DUMMYFUNCTION("""COMPUTED_VALUE"""),70.86666666666667)</f>
        <v>70.86666667</v>
      </c>
      <c r="H738" s="15">
        <f>IFERROR(__xludf.DUMMYFUNCTION("""COMPUTED_VALUE"""),38296.0)</f>
        <v>38296</v>
      </c>
      <c r="I738" s="18">
        <f>IFERROR(__xludf.DUMMYFUNCTION("""COMPUTED_VALUE"""),16.01388888888889)</f>
        <v>16.01388889</v>
      </c>
      <c r="J738" s="22">
        <f>IFERROR(__xludf.DUMMYFUNCTION("""COMPUTED_VALUE"""),69.0)</f>
        <v>69</v>
      </c>
      <c r="K738" s="22">
        <f>IFERROR(__xludf.DUMMYFUNCTION("""COMPUTED_VALUE"""),1.5)</f>
        <v>1.5</v>
      </c>
      <c r="L738" s="26" t="str">
        <f>IFERROR(__xludf.DUMMYFUNCTION("""COMPUTED_VALUE"""),"Puzzle")</f>
        <v>Puzzle</v>
      </c>
      <c r="M738" s="26"/>
    </row>
    <row r="739">
      <c r="A739" s="12" t="str">
        <f>IFERROR(__xludf.DUMMYFUNCTION("""COMPUTED_VALUE"""),"No Man's Sky")</f>
        <v>No Man's Sky</v>
      </c>
      <c r="B739" s="13" t="str">
        <f>IFERROR(__xludf.DUMMYFUNCTION("""COMPUTED_VALUE"""),"Xbox / PC")</f>
        <v>Xbox / PC</v>
      </c>
      <c r="C739" s="14" t="str">
        <f>IFERROR(__xludf.DUMMYFUNCTION("""COMPUTED_VALUE"""),"Yes")</f>
        <v>Yes</v>
      </c>
      <c r="D739" s="14" t="str">
        <f>IFERROR(__xludf.DUMMYFUNCTION("""COMPUTED_VALUE"""),"Active")</f>
        <v>Active</v>
      </c>
      <c r="E739" s="15">
        <f>IFERROR(__xludf.DUMMYFUNCTION("""COMPUTED_VALUE"""),43993.0)</f>
        <v>43993</v>
      </c>
      <c r="F739" s="16"/>
      <c r="G739" s="18">
        <f>IFERROR(__xludf.DUMMYFUNCTION("""COMPUTED_VALUE"""),75.83333333333334)</f>
        <v>75.83333333</v>
      </c>
      <c r="H739" s="15">
        <f>IFERROR(__xludf.DUMMYFUNCTION("""COMPUTED_VALUE"""),42591.0)</f>
        <v>42591</v>
      </c>
      <c r="I739" s="18">
        <f>IFERROR(__xludf.DUMMYFUNCTION("""COMPUTED_VALUE"""),3.838888888888889)</f>
        <v>3.838888889</v>
      </c>
      <c r="J739" s="22">
        <f>IFERROR(__xludf.DUMMYFUNCTION("""COMPUTED_VALUE"""),69.0)</f>
        <v>69</v>
      </c>
      <c r="K739" s="22">
        <f>IFERROR(__xludf.DUMMYFUNCTION("""COMPUTED_VALUE"""),30.5)</f>
        <v>30.5</v>
      </c>
      <c r="L739" s="26" t="str">
        <f>IFERROR(__xludf.DUMMYFUNCTION("""COMPUTED_VALUE"""),"Action-Adventure")</f>
        <v>Action-Adventure</v>
      </c>
      <c r="M739" s="26" t="str">
        <f>IFERROR(__xludf.DUMMYFUNCTION("""COMPUTED_VALUE"""),"Optimized")</f>
        <v>Optimized</v>
      </c>
    </row>
    <row r="740">
      <c r="A740" s="12" t="str">
        <f>IFERROR(__xludf.DUMMYFUNCTION("""COMPUTED_VALUE"""),"ARK: Ultimate Survivor Edition ")</f>
        <v>ARK: Ultimate Survivor Edition </v>
      </c>
      <c r="B740" s="13" t="str">
        <f>IFERROR(__xludf.DUMMYFUNCTION("""COMPUTED_VALUE"""),"Xbox / PC")</f>
        <v>Xbox / PC</v>
      </c>
      <c r="C740" s="14" t="str">
        <f>IFERROR(__xludf.DUMMYFUNCTION("""COMPUTED_VALUE"""),"Yes")</f>
        <v>Yes</v>
      </c>
      <c r="D740" s="14" t="str">
        <f>IFERROR(__xludf.DUMMYFUNCTION("""COMPUTED_VALUE"""),"Active")</f>
        <v>Active</v>
      </c>
      <c r="E740" s="15">
        <f>IFERROR(__xludf.DUMMYFUNCTION("""COMPUTED_VALUE"""),43468.0)</f>
        <v>43468</v>
      </c>
      <c r="F740" s="16"/>
      <c r="G740" s="18">
        <f>IFERROR(__xludf.DUMMYFUNCTION("""COMPUTED_VALUE"""),93.10000000000001)</f>
        <v>93.1</v>
      </c>
      <c r="H740" s="15">
        <f>IFERROR(__xludf.DUMMYFUNCTION("""COMPUTED_VALUE"""),42710.0)</f>
        <v>42710</v>
      </c>
      <c r="I740" s="18">
        <f>IFERROR(__xludf.DUMMYFUNCTION("""COMPUTED_VALUE"""),2.075)</f>
        <v>2.075</v>
      </c>
      <c r="J740" s="22">
        <f>IFERROR(__xludf.DUMMYFUNCTION("""COMPUTED_VALUE"""),69.0)</f>
        <v>69</v>
      </c>
      <c r="K740" s="22">
        <f>IFERROR(__xludf.DUMMYFUNCTION("""COMPUTED_VALUE"""),123.0)</f>
        <v>123</v>
      </c>
      <c r="L740" s="26" t="str">
        <f>IFERROR(__xludf.DUMMYFUNCTION("""COMPUTED_VALUE"""),"Action-Adventure")</f>
        <v>Action-Adventure</v>
      </c>
      <c r="M740" s="26" t="str">
        <f>IFERROR(__xludf.DUMMYFUNCTION("""COMPUTED_VALUE"""),"Optimized")</f>
        <v>Optimized</v>
      </c>
    </row>
    <row r="741">
      <c r="A741" s="12" t="str">
        <f>IFERROR(__xludf.DUMMYFUNCTION("""COMPUTED_VALUE"""),"Sea of Thieves")</f>
        <v>Sea of Thieves</v>
      </c>
      <c r="B741" s="13" t="str">
        <f>IFERROR(__xludf.DUMMYFUNCTION("""COMPUTED_VALUE"""),"Xbox / PC")</f>
        <v>Xbox / PC</v>
      </c>
      <c r="C741" s="14" t="str">
        <f>IFERROR(__xludf.DUMMYFUNCTION("""COMPUTED_VALUE"""),"Touch Controls, M+KB")</f>
        <v>Touch Controls, M+KB</v>
      </c>
      <c r="D741" s="14" t="str">
        <f>IFERROR(__xludf.DUMMYFUNCTION("""COMPUTED_VALUE"""),"Active")</f>
        <v>Active</v>
      </c>
      <c r="E741" s="15">
        <f>IFERROR(__xludf.DUMMYFUNCTION("""COMPUTED_VALUE"""),43179.0)</f>
        <v>43179</v>
      </c>
      <c r="F741" s="16"/>
      <c r="G741" s="18">
        <f>IFERROR(__xludf.DUMMYFUNCTION("""COMPUTED_VALUE"""),102.53333333333333)</f>
        <v>102.5333333</v>
      </c>
      <c r="H741" s="15">
        <f>IFERROR(__xludf.DUMMYFUNCTION("""COMPUTED_VALUE"""),43179.0)</f>
        <v>43179</v>
      </c>
      <c r="I741" s="18">
        <f>IFERROR(__xludf.DUMMYFUNCTION("""COMPUTED_VALUE"""),0.0)</f>
        <v>0</v>
      </c>
      <c r="J741" s="22">
        <f>IFERROR(__xludf.DUMMYFUNCTION("""COMPUTED_VALUE"""),69.0)</f>
        <v>69</v>
      </c>
      <c r="K741" s="22">
        <f>IFERROR(__xludf.DUMMYFUNCTION("""COMPUTED_VALUE"""),33.5)</f>
        <v>33.5</v>
      </c>
      <c r="L741" s="26" t="str">
        <f>IFERROR(__xludf.DUMMYFUNCTION("""COMPUTED_VALUE"""),"Action-Adventure")</f>
        <v>Action-Adventure</v>
      </c>
      <c r="M741" s="26" t="str">
        <f>IFERROR(__xludf.DUMMYFUNCTION("""COMPUTED_VALUE"""),"Optimized")</f>
        <v>Optimized</v>
      </c>
    </row>
    <row r="742">
      <c r="A742" s="12" t="str">
        <f>IFERROR(__xludf.DUMMYFUNCTION("""COMPUTED_VALUE"""),"Hydro Thunder: Hurricane")</f>
        <v>Hydro Thunder: Hurricane</v>
      </c>
      <c r="B742" s="13" t="str">
        <f>IFERROR(__xludf.DUMMYFUNCTION("""COMPUTED_VALUE"""),"XB360/OG Xbox")</f>
        <v>XB360/OG Xbox</v>
      </c>
      <c r="C742" s="14"/>
      <c r="D742" s="14" t="str">
        <f>IFERROR(__xludf.DUMMYFUNCTION("""COMPUTED_VALUE"""),"GwG Permanent")</f>
        <v>GwG Permanent</v>
      </c>
      <c r="E742" s="15">
        <f>IFERROR(__xludf.DUMMYFUNCTION("""COMPUTED_VALUE"""),44682.0)</f>
        <v>44682</v>
      </c>
      <c r="F742" s="16">
        <f>IFERROR(__xludf.DUMMYFUNCTION("""COMPUTED_VALUE"""),44696.0)</f>
        <v>44696</v>
      </c>
      <c r="G742" s="18">
        <f>IFERROR(__xludf.DUMMYFUNCTION("""COMPUTED_VALUE"""),0.4666666666666667)</f>
        <v>0.4666666667</v>
      </c>
      <c r="H742" s="15">
        <f>IFERROR(__xludf.DUMMYFUNCTION("""COMPUTED_VALUE"""),41613.0)</f>
        <v>41613</v>
      </c>
      <c r="I742" s="18">
        <f>IFERROR(__xludf.DUMMYFUNCTION("""COMPUTED_VALUE"""),8.405555555555555)</f>
        <v>8.405555556</v>
      </c>
      <c r="J742" s="22">
        <f>IFERROR(__xludf.DUMMYFUNCTION("""COMPUTED_VALUE"""),69.0)</f>
        <v>69</v>
      </c>
      <c r="K742" s="22">
        <f>IFERROR(__xludf.DUMMYFUNCTION("""COMPUTED_VALUE"""),5.0)</f>
        <v>5</v>
      </c>
      <c r="L742" s="26" t="str">
        <f>IFERROR(__xludf.DUMMYFUNCTION("""COMPUTED_VALUE"""),"Racing")</f>
        <v>Racing</v>
      </c>
      <c r="M742" s="26"/>
    </row>
    <row r="743">
      <c r="A743" s="12" t="str">
        <f>IFERROR(__xludf.DUMMYFUNCTION("""COMPUTED_VALUE"""),"Ninja Gaiden 3: Razor's Edge")</f>
        <v>Ninja Gaiden 3: Razor's Edge</v>
      </c>
      <c r="B743" s="13" t="str">
        <f>IFERROR(__xludf.DUMMYFUNCTION("""COMPUTED_VALUE"""),"XB360/OG Xbox")</f>
        <v>XB360/OG Xbox</v>
      </c>
      <c r="C743" s="14"/>
      <c r="D743" s="14" t="str">
        <f>IFERROR(__xludf.DUMMYFUNCTION("""COMPUTED_VALUE"""),"GwG Permanent")</f>
        <v>GwG Permanent</v>
      </c>
      <c r="E743" s="15">
        <f>IFERROR(__xludf.DUMMYFUNCTION("""COMPUTED_VALUE"""),43754.0)</f>
        <v>43754</v>
      </c>
      <c r="F743" s="16">
        <f>IFERROR(__xludf.DUMMYFUNCTION("""COMPUTED_VALUE"""),43769.0)</f>
        <v>43769</v>
      </c>
      <c r="G743" s="18">
        <f>IFERROR(__xludf.DUMMYFUNCTION("""COMPUTED_VALUE"""),0.4666666666666667)</f>
        <v>0.4666666667</v>
      </c>
      <c r="H743" s="15">
        <f>IFERROR(__xludf.DUMMYFUNCTION("""COMPUTED_VALUE"""),41231.0)</f>
        <v>41231</v>
      </c>
      <c r="I743" s="18">
        <f>IFERROR(__xludf.DUMMYFUNCTION("""COMPUTED_VALUE"""),6.911111111111111)</f>
        <v>6.911111111</v>
      </c>
      <c r="J743" s="22">
        <f>IFERROR(__xludf.DUMMYFUNCTION("""COMPUTED_VALUE"""),69.0)</f>
        <v>69</v>
      </c>
      <c r="K743" s="22">
        <f>IFERROR(__xludf.DUMMYFUNCTION("""COMPUTED_VALUE"""),10.0)</f>
        <v>10</v>
      </c>
      <c r="L743" s="26" t="str">
        <f>IFERROR(__xludf.DUMMYFUNCTION("""COMPUTED_VALUE"""),"Action-Adventure")</f>
        <v>Action-Adventure</v>
      </c>
      <c r="M743" s="26"/>
    </row>
    <row r="744">
      <c r="A744" s="12" t="str">
        <f>IFERROR(__xludf.DUMMYFUNCTION("""COMPUTED_VALUE"""),"Hydro Thunder Hurricane")</f>
        <v>Hydro Thunder Hurricane</v>
      </c>
      <c r="B744" s="13" t="str">
        <f>IFERROR(__xludf.DUMMYFUNCTION("""COMPUTED_VALUE"""),"XB360/OG Xbox")</f>
        <v>XB360/OG Xbox</v>
      </c>
      <c r="C744" s="14"/>
      <c r="D744" s="14" t="str">
        <f>IFERROR(__xludf.DUMMYFUNCTION("""COMPUTED_VALUE"""),"GwG Permanent")</f>
        <v>GwG Permanent</v>
      </c>
      <c r="E744" s="15">
        <f>IFERROR(__xludf.DUMMYFUNCTION("""COMPUTED_VALUE"""),42979.0)</f>
        <v>42979</v>
      </c>
      <c r="F744" s="16">
        <f>IFERROR(__xludf.DUMMYFUNCTION("""COMPUTED_VALUE"""),42993.0)</f>
        <v>42993</v>
      </c>
      <c r="G744" s="18">
        <f>IFERROR(__xludf.DUMMYFUNCTION("""COMPUTED_VALUE"""),0.4666666666666667)</f>
        <v>0.4666666667</v>
      </c>
      <c r="H744" s="15">
        <f>IFERROR(__xludf.DUMMYFUNCTION("""COMPUTED_VALUE"""),41613.0)</f>
        <v>41613</v>
      </c>
      <c r="I744" s="18">
        <f>IFERROR(__xludf.DUMMYFUNCTION("""COMPUTED_VALUE"""),3.738888888888889)</f>
        <v>3.738888889</v>
      </c>
      <c r="J744" s="22">
        <f>IFERROR(__xludf.DUMMYFUNCTION("""COMPUTED_VALUE"""),69.0)</f>
        <v>69</v>
      </c>
      <c r="K744" s="22">
        <f>IFERROR(__xludf.DUMMYFUNCTION("""COMPUTED_VALUE"""),5.0)</f>
        <v>5</v>
      </c>
      <c r="L744" s="26" t="str">
        <f>IFERROR(__xludf.DUMMYFUNCTION("""COMPUTED_VALUE"""),"Racing")</f>
        <v>Racing</v>
      </c>
      <c r="M744" s="26"/>
    </row>
    <row r="745">
      <c r="A745" s="12" t="str">
        <f>IFERROR(__xludf.DUMMYFUNCTION("""COMPUTED_VALUE"""),"The Gunk")</f>
        <v>The Gunk</v>
      </c>
      <c r="B745" s="13" t="str">
        <f>IFERROR(__xludf.DUMMYFUNCTION("""COMPUTED_VALUE"""),"Xbox / PC")</f>
        <v>Xbox / PC</v>
      </c>
      <c r="C745" s="14" t="str">
        <f>IFERROR(__xludf.DUMMYFUNCTION("""COMPUTED_VALUE"""),"Touch Controls")</f>
        <v>Touch Controls</v>
      </c>
      <c r="D745" s="14" t="str">
        <f>IFERROR(__xludf.DUMMYFUNCTION("""COMPUTED_VALUE"""),"Active")</f>
        <v>Active</v>
      </c>
      <c r="E745" s="15">
        <f>IFERROR(__xludf.DUMMYFUNCTION("""COMPUTED_VALUE"""),44546.0)</f>
        <v>44546</v>
      </c>
      <c r="F745" s="16"/>
      <c r="G745" s="18">
        <f>IFERROR(__xludf.DUMMYFUNCTION("""COMPUTED_VALUE"""),57.666666666666664)</f>
        <v>57.66666667</v>
      </c>
      <c r="H745" s="15">
        <f>IFERROR(__xludf.DUMMYFUNCTION("""COMPUTED_VALUE"""),44546.0)</f>
        <v>44546</v>
      </c>
      <c r="I745" s="18">
        <f>IFERROR(__xludf.DUMMYFUNCTION("""COMPUTED_VALUE"""),0.0)</f>
        <v>0</v>
      </c>
      <c r="J745" s="22">
        <f>IFERROR(__xludf.DUMMYFUNCTION("""COMPUTED_VALUE"""),68.33333333333333)</f>
        <v>68.33333333</v>
      </c>
      <c r="K745" s="22">
        <f>IFERROR(__xludf.DUMMYFUNCTION("""COMPUTED_VALUE"""),4.5)</f>
        <v>4.5</v>
      </c>
      <c r="L745" s="26" t="str">
        <f>IFERROR(__xludf.DUMMYFUNCTION("""COMPUTED_VALUE"""),"Action-Adventure")</f>
        <v>Action-Adventure</v>
      </c>
      <c r="M745" s="26"/>
    </row>
    <row r="746">
      <c r="A746" s="12" t="str">
        <f>IFERROR(__xludf.DUMMYFUNCTION("""COMPUTED_VALUE"""),"Kiln")</f>
        <v>Kiln</v>
      </c>
      <c r="B746" s="13" t="str">
        <f>IFERROR(__xludf.DUMMYFUNCTION("""COMPUTED_VALUE"""),"Xbox / PC")</f>
        <v>Xbox / PC</v>
      </c>
      <c r="C746" s="14" t="str">
        <f>IFERROR(__xludf.DUMMYFUNCTION("""COMPUTED_VALUE"""),"Yes")</f>
        <v>Yes</v>
      </c>
      <c r="D746" s="14" t="str">
        <f>IFERROR(__xludf.DUMMYFUNCTION("""COMPUTED_VALUE"""),"Active")</f>
        <v>Active</v>
      </c>
      <c r="E746" s="15">
        <f>IFERROR(__xludf.DUMMYFUNCTION("""COMPUTED_VALUE"""),46135.0)</f>
        <v>46135</v>
      </c>
      <c r="F746" s="16"/>
      <c r="G746" s="18">
        <f>IFERROR(__xludf.DUMMYFUNCTION("""COMPUTED_VALUE"""),5.433333333333334)</f>
        <v>5.433333333</v>
      </c>
      <c r="H746" s="15">
        <f>IFERROR(__xludf.DUMMYFUNCTION("""COMPUTED_VALUE"""),46135.0)</f>
        <v>46135</v>
      </c>
      <c r="I746" s="18">
        <f>IFERROR(__xludf.DUMMYFUNCTION("""COMPUTED_VALUE"""),0.0)</f>
        <v>0</v>
      </c>
      <c r="J746" s="22">
        <f>IFERROR(__xludf.DUMMYFUNCTION("""COMPUTED_VALUE"""),68.0)</f>
        <v>68</v>
      </c>
      <c r="K746" s="22">
        <f>IFERROR(__xludf.DUMMYFUNCTION("""COMPUTED_VALUE"""),6.0)</f>
        <v>6</v>
      </c>
      <c r="L746" s="26" t="str">
        <f>IFERROR(__xludf.DUMMYFUNCTION("""COMPUTED_VALUE"""),"Shooter")</f>
        <v>Shooter</v>
      </c>
      <c r="M746" s="26" t="str">
        <f>IFERROR(__xludf.DUMMYFUNCTION("""COMPUTED_VALUE"""),"Exclusive")</f>
        <v>Exclusive</v>
      </c>
    </row>
    <row r="747">
      <c r="A747" s="12" t="str">
        <f>IFERROR(__xludf.DUMMYFUNCTION("""COMPUTED_VALUE"""),"Winter Burrow")</f>
        <v>Winter Burrow</v>
      </c>
      <c r="B747" s="13" t="str">
        <f>IFERROR(__xludf.DUMMYFUNCTION("""COMPUTED_VALUE"""),"Xbox / PC")</f>
        <v>Xbox / PC</v>
      </c>
      <c r="C747" s="14" t="str">
        <f>IFERROR(__xludf.DUMMYFUNCTION("""COMPUTED_VALUE"""),"Yes")</f>
        <v>Yes</v>
      </c>
      <c r="D747" s="14" t="str">
        <f>IFERROR(__xludf.DUMMYFUNCTION("""COMPUTED_VALUE"""),"Active")</f>
        <v>Active</v>
      </c>
      <c r="E747" s="15">
        <f>IFERROR(__xludf.DUMMYFUNCTION("""COMPUTED_VALUE"""),45973.0)</f>
        <v>45973</v>
      </c>
      <c r="F747" s="16"/>
      <c r="G747" s="18">
        <f>IFERROR(__xludf.DUMMYFUNCTION("""COMPUTED_VALUE"""),10.8)</f>
        <v>10.8</v>
      </c>
      <c r="H747" s="15">
        <f>IFERROR(__xludf.DUMMYFUNCTION("""COMPUTED_VALUE"""),45973.0)</f>
        <v>45973</v>
      </c>
      <c r="I747" s="18">
        <f>IFERROR(__xludf.DUMMYFUNCTION("""COMPUTED_VALUE"""),0.0)</f>
        <v>0</v>
      </c>
      <c r="J747" s="22">
        <f>IFERROR(__xludf.DUMMYFUNCTION("""COMPUTED_VALUE"""),68.0)</f>
        <v>68</v>
      </c>
      <c r="K747" s="22">
        <f>IFERROR(__xludf.DUMMYFUNCTION("""COMPUTED_VALUE"""),8.0)</f>
        <v>8</v>
      </c>
      <c r="L747" s="26" t="str">
        <f>IFERROR(__xludf.DUMMYFUNCTION("""COMPUTED_VALUE"""),"Action-Adventure")</f>
        <v>Action-Adventure</v>
      </c>
      <c r="M747" s="26"/>
    </row>
    <row r="748">
      <c r="A748" s="12" t="str">
        <f>IFERROR(__xludf.DUMMYFUNCTION("""COMPUTED_VALUE"""),"Subterranea")</f>
        <v>Subterranea</v>
      </c>
      <c r="B748" s="13" t="str">
        <f>IFERROR(__xludf.DUMMYFUNCTION("""COMPUTED_VALUE"""),"Xbox / PC")</f>
        <v>Xbox / PC</v>
      </c>
      <c r="C748" s="14" t="str">
        <f>IFERROR(__xludf.DUMMYFUNCTION("""COMPUTED_VALUE"""),"Yes")</f>
        <v>Yes</v>
      </c>
      <c r="D748" s="14" t="str">
        <f>IFERROR(__xludf.DUMMYFUNCTION("""COMPUTED_VALUE"""),"Active")</f>
        <v>Active</v>
      </c>
      <c r="E748" s="15">
        <f>IFERROR(__xludf.DUMMYFUNCTION("""COMPUTED_VALUE"""),45839.0)</f>
        <v>45839</v>
      </c>
      <c r="F748" s="16"/>
      <c r="G748" s="18">
        <f>IFERROR(__xludf.DUMMYFUNCTION("""COMPUTED_VALUE"""),15.166666666666666)</f>
        <v>15.16666667</v>
      </c>
      <c r="H748" s="15">
        <f>IFERROR(__xludf.DUMMYFUNCTION("""COMPUTED_VALUE"""),30317.0)</f>
        <v>30317</v>
      </c>
      <c r="I748" s="18">
        <f>IFERROR(__xludf.DUMMYFUNCTION("""COMPUTED_VALUE"""),42.5)</f>
        <v>42.5</v>
      </c>
      <c r="J748" s="22">
        <f>IFERROR(__xludf.DUMMYFUNCTION("""COMPUTED_VALUE"""),68.0)</f>
        <v>68</v>
      </c>
      <c r="K748" s="22"/>
      <c r="L748" s="26" t="str">
        <f>IFERROR(__xludf.DUMMYFUNCTION("""COMPUTED_VALUE"""),"Shooter")</f>
        <v>Shooter</v>
      </c>
      <c r="M748" s="26"/>
    </row>
    <row r="749">
      <c r="A749" s="12" t="str">
        <f>IFERROR(__xludf.DUMMYFUNCTION("""COMPUTED_VALUE"""),"Bridge")</f>
        <v>Bridge</v>
      </c>
      <c r="B749" s="13" t="str">
        <f>IFERROR(__xludf.DUMMYFUNCTION("""COMPUTED_VALUE"""),"Xbox / PC")</f>
        <v>Xbox / PC</v>
      </c>
      <c r="C749" s="14" t="str">
        <f>IFERROR(__xludf.DUMMYFUNCTION("""COMPUTED_VALUE"""),"Yes")</f>
        <v>Yes</v>
      </c>
      <c r="D749" s="14" t="str">
        <f>IFERROR(__xludf.DUMMYFUNCTION("""COMPUTED_VALUE"""),"Active")</f>
        <v>Active</v>
      </c>
      <c r="E749" s="15">
        <f>IFERROR(__xludf.DUMMYFUNCTION("""COMPUTED_VALUE"""),45798.0)</f>
        <v>45798</v>
      </c>
      <c r="F749" s="16"/>
      <c r="G749" s="18">
        <f>IFERROR(__xludf.DUMMYFUNCTION("""COMPUTED_VALUE"""),16.5)</f>
        <v>16.5</v>
      </c>
      <c r="H749" s="15">
        <f>IFERROR(__xludf.DUMMYFUNCTION("""COMPUTED_VALUE"""),29556.0)</f>
        <v>29556</v>
      </c>
      <c r="I749" s="18">
        <f>IFERROR(__xludf.DUMMYFUNCTION("""COMPUTED_VALUE"""),44.47222222222222)</f>
        <v>44.47222222</v>
      </c>
      <c r="J749" s="22">
        <f>IFERROR(__xludf.DUMMYFUNCTION("""COMPUTED_VALUE"""),68.0)</f>
        <v>68</v>
      </c>
      <c r="K749" s="22"/>
      <c r="L749" s="26" t="str">
        <f>IFERROR(__xludf.DUMMYFUNCTION("""COMPUTED_VALUE"""),"Strategy")</f>
        <v>Strategy</v>
      </c>
      <c r="M749" s="26"/>
    </row>
    <row r="750">
      <c r="A750" s="12" t="str">
        <f>IFERROR(__xludf.DUMMYFUNCTION("""COMPUTED_VALUE"""),"Eternal Strands")</f>
        <v>Eternal Strands</v>
      </c>
      <c r="B750" s="13" t="str">
        <f>IFERROR(__xludf.DUMMYFUNCTION("""COMPUTED_VALUE"""),"Xbox / PC")</f>
        <v>Xbox / PC</v>
      </c>
      <c r="C750" s="14" t="str">
        <f>IFERROR(__xludf.DUMMYFUNCTION("""COMPUTED_VALUE"""),"Yes")</f>
        <v>Yes</v>
      </c>
      <c r="D750" s="14" t="str">
        <f>IFERROR(__xludf.DUMMYFUNCTION("""COMPUTED_VALUE"""),"Active")</f>
        <v>Active</v>
      </c>
      <c r="E750" s="15">
        <f>IFERROR(__xludf.DUMMYFUNCTION("""COMPUTED_VALUE"""),45685.0)</f>
        <v>45685</v>
      </c>
      <c r="F750" s="16"/>
      <c r="G750" s="18">
        <f>IFERROR(__xludf.DUMMYFUNCTION("""COMPUTED_VALUE"""),20.266666666666666)</f>
        <v>20.26666667</v>
      </c>
      <c r="H750" s="15">
        <f>IFERROR(__xludf.DUMMYFUNCTION("""COMPUTED_VALUE"""),45685.0)</f>
        <v>45685</v>
      </c>
      <c r="I750" s="18">
        <f>IFERROR(__xludf.DUMMYFUNCTION("""COMPUTED_VALUE"""),0.0)</f>
        <v>0</v>
      </c>
      <c r="J750" s="22">
        <f>IFERROR(__xludf.DUMMYFUNCTION("""COMPUTED_VALUE"""),68.0)</f>
        <v>68</v>
      </c>
      <c r="K750" s="22">
        <f>IFERROR(__xludf.DUMMYFUNCTION("""COMPUTED_VALUE"""),18.0)</f>
        <v>18</v>
      </c>
      <c r="L750" s="26" t="str">
        <f>IFERROR(__xludf.DUMMYFUNCTION("""COMPUTED_VALUE"""),"Action-Adventure")</f>
        <v>Action-Adventure</v>
      </c>
      <c r="M750" s="26"/>
    </row>
    <row r="751">
      <c r="A751" s="119" t="str">
        <f>IFERROR(__xludf.DUMMYFUNCTION("""COMPUTED_VALUE"""),"Goat Simulator 3")</f>
        <v>Goat Simulator 3</v>
      </c>
      <c r="B751" s="13" t="str">
        <f>IFERROR(__xludf.DUMMYFUNCTION("""COMPUTED_VALUE"""),"Xbox / PC")</f>
        <v>Xbox / PC</v>
      </c>
      <c r="C751" s="14" t="str">
        <f>IFERROR(__xludf.DUMMYFUNCTION("""COMPUTED_VALUE"""),"Yes")</f>
        <v>Yes</v>
      </c>
      <c r="D751" s="14" t="str">
        <f>IFERROR(__xludf.DUMMYFUNCTION("""COMPUTED_VALUE"""),"Active")</f>
        <v>Active</v>
      </c>
      <c r="E751" s="15">
        <f>IFERROR(__xludf.DUMMYFUNCTION("""COMPUTED_VALUE"""),45267.0)</f>
        <v>45267</v>
      </c>
      <c r="F751" s="16"/>
      <c r="G751" s="18">
        <f>IFERROR(__xludf.DUMMYFUNCTION("""COMPUTED_VALUE"""),33.96666666666667)</f>
        <v>33.96666667</v>
      </c>
      <c r="H751" s="15">
        <f>IFERROR(__xludf.DUMMYFUNCTION("""COMPUTED_VALUE"""),44882.0)</f>
        <v>44882</v>
      </c>
      <c r="I751" s="18">
        <f>IFERROR(__xludf.DUMMYFUNCTION("""COMPUTED_VALUE"""),1.0555555555555556)</f>
        <v>1.055555556</v>
      </c>
      <c r="J751" s="22">
        <f>IFERROR(__xludf.DUMMYFUNCTION("""COMPUTED_VALUE"""),68.0)</f>
        <v>68</v>
      </c>
      <c r="K751" s="22">
        <f>IFERROR(__xludf.DUMMYFUNCTION("""COMPUTED_VALUE"""),8.0)</f>
        <v>8</v>
      </c>
      <c r="L751" s="26" t="str">
        <f>IFERROR(__xludf.DUMMYFUNCTION("""COMPUTED_VALUE"""),"Simulation")</f>
        <v>Simulation</v>
      </c>
      <c r="M751" s="26" t="str">
        <f>IFERROR(__xludf.DUMMYFUNCTION("""COMPUTED_VALUE"""),"Exclusive")</f>
        <v>Exclusive</v>
      </c>
    </row>
    <row r="752">
      <c r="A752" s="12" t="str">
        <f>IFERROR(__xludf.DUMMYFUNCTION("""COMPUTED_VALUE"""),"House Flipper")</f>
        <v>House Flipper</v>
      </c>
      <c r="B752" s="13" t="str">
        <f>IFERROR(__xludf.DUMMYFUNCTION("""COMPUTED_VALUE"""),"Xbox / PC")</f>
        <v>Xbox / PC</v>
      </c>
      <c r="C752" s="14" t="str">
        <f>IFERROR(__xludf.DUMMYFUNCTION("""COMPUTED_VALUE"""),"M+KB")</f>
        <v>M+KB</v>
      </c>
      <c r="D752" s="14" t="str">
        <f>IFERROR(__xludf.DUMMYFUNCTION("""COMPUTED_VALUE"""),"Active")</f>
        <v>Active</v>
      </c>
      <c r="E752" s="15">
        <f>IFERROR(__xludf.DUMMYFUNCTION("""COMPUTED_VALUE"""),44742.0)</f>
        <v>44742</v>
      </c>
      <c r="F752" s="16"/>
      <c r="G752" s="18">
        <f>IFERROR(__xludf.DUMMYFUNCTION("""COMPUTED_VALUE"""),51.2)</f>
        <v>51.2</v>
      </c>
      <c r="H752" s="15">
        <f>IFERROR(__xludf.DUMMYFUNCTION("""COMPUTED_VALUE"""),43237.0)</f>
        <v>43237</v>
      </c>
      <c r="I752" s="18">
        <f>IFERROR(__xludf.DUMMYFUNCTION("""COMPUTED_VALUE"""),4.1194444444444445)</f>
        <v>4.119444444</v>
      </c>
      <c r="J752" s="22">
        <f>IFERROR(__xludf.DUMMYFUNCTION("""COMPUTED_VALUE"""),68.0)</f>
        <v>68</v>
      </c>
      <c r="K752" s="22">
        <f>IFERROR(__xludf.DUMMYFUNCTION("""COMPUTED_VALUE"""),12.0)</f>
        <v>12</v>
      </c>
      <c r="L752" s="26" t="str">
        <f>IFERROR(__xludf.DUMMYFUNCTION("""COMPUTED_VALUE"""),"Simulation")</f>
        <v>Simulation</v>
      </c>
      <c r="M752" s="26"/>
    </row>
    <row r="753">
      <c r="A753" s="12" t="str">
        <f>IFERROR(__xludf.DUMMYFUNCTION("""COMPUTED_VALUE"""),"Fallout 76")</f>
        <v>Fallout 76</v>
      </c>
      <c r="B753" s="13" t="str">
        <f>IFERROR(__xludf.DUMMYFUNCTION("""COMPUTED_VALUE"""),"Xbox / PC")</f>
        <v>Xbox / PC</v>
      </c>
      <c r="C753" s="14" t="str">
        <f>IFERROR(__xludf.DUMMYFUNCTION("""COMPUTED_VALUE"""),"Yes")</f>
        <v>Yes</v>
      </c>
      <c r="D753" s="14" t="str">
        <f>IFERROR(__xludf.DUMMYFUNCTION("""COMPUTED_VALUE"""),"Active")</f>
        <v>Active</v>
      </c>
      <c r="E753" s="15">
        <f>IFERROR(__xludf.DUMMYFUNCTION("""COMPUTED_VALUE"""),44021.0)</f>
        <v>44021</v>
      </c>
      <c r="F753" s="16"/>
      <c r="G753" s="18">
        <f>IFERROR(__xludf.DUMMYFUNCTION("""COMPUTED_VALUE"""),74.89999999999999)</f>
        <v>74.9</v>
      </c>
      <c r="H753" s="15">
        <f>IFERROR(__xludf.DUMMYFUNCTION("""COMPUTED_VALUE"""),43418.0)</f>
        <v>43418</v>
      </c>
      <c r="I753" s="18">
        <f>IFERROR(__xludf.DUMMYFUNCTION("""COMPUTED_VALUE"""),1.6527777777777777)</f>
        <v>1.652777778</v>
      </c>
      <c r="J753" s="22">
        <f>IFERROR(__xludf.DUMMYFUNCTION("""COMPUTED_VALUE"""),68.0)</f>
        <v>68</v>
      </c>
      <c r="K753" s="22">
        <f>IFERROR(__xludf.DUMMYFUNCTION("""COMPUTED_VALUE"""),29.5)</f>
        <v>29.5</v>
      </c>
      <c r="L753" s="26" t="str">
        <f>IFERROR(__xludf.DUMMYFUNCTION("""COMPUTED_VALUE"""),"RPG")</f>
        <v>RPG</v>
      </c>
      <c r="M753" s="26" t="str">
        <f>IFERROR(__xludf.DUMMYFUNCTION("""COMPUTED_VALUE"""),"FPS Boost")</f>
        <v>FPS Boost</v>
      </c>
    </row>
    <row r="754">
      <c r="A754" s="12" t="str">
        <f>IFERROR(__xludf.DUMMYFUNCTION("""COMPUTED_VALUE"""),"Wolfenstein: Youngblood")</f>
        <v>Wolfenstein: Youngblood</v>
      </c>
      <c r="B754" s="13" t="str">
        <f>IFERROR(__xludf.DUMMYFUNCTION("""COMPUTED_VALUE"""),"Xbox / PC")</f>
        <v>Xbox / PC</v>
      </c>
      <c r="C754" s="14" t="str">
        <f>IFERROR(__xludf.DUMMYFUNCTION("""COMPUTED_VALUE"""),"Yes")</f>
        <v>Yes</v>
      </c>
      <c r="D754" s="14" t="str">
        <f>IFERROR(__xludf.DUMMYFUNCTION("""COMPUTED_VALUE"""),"Active")</f>
        <v>Active</v>
      </c>
      <c r="E754" s="15">
        <f>IFERROR(__xludf.DUMMYFUNCTION("""COMPUTED_VALUE"""),43867.0)</f>
        <v>43867</v>
      </c>
      <c r="F754" s="16"/>
      <c r="G754" s="18">
        <f>IFERROR(__xludf.DUMMYFUNCTION("""COMPUTED_VALUE"""),80.0)</f>
        <v>80</v>
      </c>
      <c r="H754" s="15">
        <f>IFERROR(__xludf.DUMMYFUNCTION("""COMPUTED_VALUE"""),43671.0)</f>
        <v>43671</v>
      </c>
      <c r="I754" s="18">
        <f>IFERROR(__xludf.DUMMYFUNCTION("""COMPUTED_VALUE"""),0.5305555555555556)</f>
        <v>0.5305555556</v>
      </c>
      <c r="J754" s="22">
        <f>IFERROR(__xludf.DUMMYFUNCTION("""COMPUTED_VALUE"""),68.0)</f>
        <v>68</v>
      </c>
      <c r="K754" s="22">
        <f>IFERROR(__xludf.DUMMYFUNCTION("""COMPUTED_VALUE"""),9.0)</f>
        <v>9</v>
      </c>
      <c r="L754" s="26" t="str">
        <f>IFERROR(__xludf.DUMMYFUNCTION("""COMPUTED_VALUE"""),"Shooter")</f>
        <v>Shooter</v>
      </c>
      <c r="M754" s="26"/>
    </row>
    <row r="755">
      <c r="A755" s="12" t="str">
        <f>IFERROR(__xludf.DUMMYFUNCTION("""COMPUTED_VALUE"""),"Rush: A Disney Pixar Adventure")</f>
        <v>Rush: A Disney Pixar Adventure</v>
      </c>
      <c r="B755" s="13" t="str">
        <f>IFERROR(__xludf.DUMMYFUNCTION("""COMPUTED_VALUE"""),"Xbox / PC")</f>
        <v>Xbox / PC</v>
      </c>
      <c r="C755" s="14" t="str">
        <f>IFERROR(__xludf.DUMMYFUNCTION("""COMPUTED_VALUE"""),"Yes")</f>
        <v>Yes</v>
      </c>
      <c r="D755" s="14" t="str">
        <f>IFERROR(__xludf.DUMMYFUNCTION("""COMPUTED_VALUE"""),"Active")</f>
        <v>Active</v>
      </c>
      <c r="E755" s="15">
        <f>IFERROR(__xludf.DUMMYFUNCTION("""COMPUTED_VALUE"""),43313.0)</f>
        <v>43313</v>
      </c>
      <c r="F755" s="16"/>
      <c r="G755" s="18">
        <f>IFERROR(__xludf.DUMMYFUNCTION("""COMPUTED_VALUE"""),98.16666666666666)</f>
        <v>98.16666667</v>
      </c>
      <c r="H755" s="15">
        <f>IFERROR(__xludf.DUMMYFUNCTION("""COMPUTED_VALUE"""),40988.0)</f>
        <v>40988</v>
      </c>
      <c r="I755" s="18">
        <f>IFERROR(__xludf.DUMMYFUNCTION("""COMPUTED_VALUE"""),6.363888888888889)</f>
        <v>6.363888889</v>
      </c>
      <c r="J755" s="22">
        <f>IFERROR(__xludf.DUMMYFUNCTION("""COMPUTED_VALUE"""),68.0)</f>
        <v>68</v>
      </c>
      <c r="K755" s="22">
        <f>IFERROR(__xludf.DUMMYFUNCTION("""COMPUTED_VALUE"""),3.0)</f>
        <v>3</v>
      </c>
      <c r="L755" s="26" t="str">
        <f>IFERROR(__xludf.DUMMYFUNCTION("""COMPUTED_VALUE"""),"Platformer")</f>
        <v>Platformer</v>
      </c>
      <c r="M755" s="26"/>
    </row>
    <row r="756">
      <c r="A756" s="12" t="str">
        <f>IFERROR(__xludf.DUMMYFUNCTION("""COMPUTED_VALUE"""),"Fable Anniversary")</f>
        <v>Fable Anniversary</v>
      </c>
      <c r="B756" s="13" t="str">
        <f>IFERROR(__xludf.DUMMYFUNCTION("""COMPUTED_VALUE"""),"Xbox")</f>
        <v>Xbox</v>
      </c>
      <c r="C756" s="14" t="str">
        <f>IFERROR(__xludf.DUMMYFUNCTION("""COMPUTED_VALUE"""),"Touch Controls")</f>
        <v>Touch Controls</v>
      </c>
      <c r="D756" s="14" t="str">
        <f>IFERROR(__xludf.DUMMYFUNCTION("""COMPUTED_VALUE"""),"Active")</f>
        <v>Active</v>
      </c>
      <c r="E756" s="15">
        <f>IFERROR(__xludf.DUMMYFUNCTION("""COMPUTED_VALUE"""),43132.0)</f>
        <v>43132</v>
      </c>
      <c r="F756" s="16"/>
      <c r="G756" s="18">
        <f>IFERROR(__xludf.DUMMYFUNCTION("""COMPUTED_VALUE"""),104.16666666666666)</f>
        <v>104.1666667</v>
      </c>
      <c r="H756" s="15">
        <f>IFERROR(__xludf.DUMMYFUNCTION("""COMPUTED_VALUE"""),41674.0)</f>
        <v>41674</v>
      </c>
      <c r="I756" s="18">
        <f>IFERROR(__xludf.DUMMYFUNCTION("""COMPUTED_VALUE"""),3.9916666666666667)</f>
        <v>3.991666667</v>
      </c>
      <c r="J756" s="22">
        <f>IFERROR(__xludf.DUMMYFUNCTION("""COMPUTED_VALUE"""),68.0)</f>
        <v>68</v>
      </c>
      <c r="K756" s="22">
        <f>IFERROR(__xludf.DUMMYFUNCTION("""COMPUTED_VALUE"""),14.0)</f>
        <v>14</v>
      </c>
      <c r="L756" s="26" t="str">
        <f>IFERROR(__xludf.DUMMYFUNCTION("""COMPUTED_VALUE"""),"RPG")</f>
        <v>RPG</v>
      </c>
      <c r="M756" s="26"/>
    </row>
    <row r="757">
      <c r="A757" s="12" t="str">
        <f>IFERROR(__xludf.DUMMYFUNCTION("""COMPUTED_VALUE"""),"Zoo Tycoon: Ultimate Animal Collection")</f>
        <v>Zoo Tycoon: Ultimate Animal Collection</v>
      </c>
      <c r="B757" s="13" t="str">
        <f>IFERROR(__xludf.DUMMYFUNCTION("""COMPUTED_VALUE"""),"Xbox / PC")</f>
        <v>Xbox / PC</v>
      </c>
      <c r="C757" s="14"/>
      <c r="D757" s="14" t="str">
        <f>IFERROR(__xludf.DUMMYFUNCTION("""COMPUTED_VALUE"""),"Active")</f>
        <v>Active</v>
      </c>
      <c r="E757" s="15">
        <f>IFERROR(__xludf.DUMMYFUNCTION("""COMPUTED_VALUE"""),43101.0)</f>
        <v>43101</v>
      </c>
      <c r="F757" s="16"/>
      <c r="G757" s="18">
        <f>IFERROR(__xludf.DUMMYFUNCTION("""COMPUTED_VALUE"""),105.16666666666667)</f>
        <v>105.1666667</v>
      </c>
      <c r="H757" s="15">
        <f>IFERROR(__xludf.DUMMYFUNCTION("""COMPUTED_VALUE"""),43039.0)</f>
        <v>43039</v>
      </c>
      <c r="I757" s="18">
        <f>IFERROR(__xludf.DUMMYFUNCTION("""COMPUTED_VALUE"""),0.16944444444444445)</f>
        <v>0.1694444444</v>
      </c>
      <c r="J757" s="22">
        <f>IFERROR(__xludf.DUMMYFUNCTION("""COMPUTED_VALUE"""),68.0)</f>
        <v>68</v>
      </c>
      <c r="K757" s="22">
        <f>IFERROR(__xludf.DUMMYFUNCTION("""COMPUTED_VALUE"""),14.0)</f>
        <v>14</v>
      </c>
      <c r="L757" s="26" t="str">
        <f>IFERROR(__xludf.DUMMYFUNCTION("""COMPUTED_VALUE"""),"Simulation")</f>
        <v>Simulation</v>
      </c>
      <c r="M757" s="26"/>
    </row>
    <row r="758">
      <c r="A758" s="12" t="str">
        <f>IFERROR(__xludf.DUMMYFUNCTION("""COMPUTED_VALUE"""),"The Casting of Frank Stone")</f>
        <v>The Casting of Frank Stone</v>
      </c>
      <c r="B758" s="13" t="str">
        <f>IFERROR(__xludf.DUMMYFUNCTION("""COMPUTED_VALUE"""),"Xbox / PC")</f>
        <v>Xbox / PC</v>
      </c>
      <c r="C758" s="14" t="str">
        <f>IFERROR(__xludf.DUMMYFUNCTION("""COMPUTED_VALUE"""),"Yes")</f>
        <v>Yes</v>
      </c>
      <c r="D758" s="14" t="str">
        <f>IFERROR(__xludf.DUMMYFUNCTION("""COMPUTED_VALUE"""),"Leaving Soon")</f>
        <v>Leaving Soon</v>
      </c>
      <c r="E758" s="15">
        <f>IFERROR(__xludf.DUMMYFUNCTION("""COMPUTED_VALUE"""),45944.0)</f>
        <v>45944</v>
      </c>
      <c r="F758" s="16">
        <f>IFERROR(__xludf.DUMMYFUNCTION("""COMPUTED_VALUE"""),46310.0)</f>
        <v>46310</v>
      </c>
      <c r="G758" s="18">
        <f>IFERROR(__xludf.DUMMYFUNCTION("""COMPUTED_VALUE"""),12.033333333333333)</f>
        <v>12.03333333</v>
      </c>
      <c r="H758" s="15">
        <f>IFERROR(__xludf.DUMMYFUNCTION("""COMPUTED_VALUE"""),45538.0)</f>
        <v>45538</v>
      </c>
      <c r="I758" s="18">
        <f>IFERROR(__xludf.DUMMYFUNCTION("""COMPUTED_VALUE"""),1.113888888888889)</f>
        <v>1.113888889</v>
      </c>
      <c r="J758" s="22">
        <f>IFERROR(__xludf.DUMMYFUNCTION("""COMPUTED_VALUE"""),68.0)</f>
        <v>68</v>
      </c>
      <c r="K758" s="22">
        <f>IFERROR(__xludf.DUMMYFUNCTION("""COMPUTED_VALUE"""),6.0)</f>
        <v>6</v>
      </c>
      <c r="L758" s="26" t="str">
        <f>IFERROR(__xludf.DUMMYFUNCTION("""COMPUTED_VALUE"""),"Action-Adventure")</f>
        <v>Action-Adventure</v>
      </c>
      <c r="M758" s="26" t="str">
        <f>IFERROR(__xludf.DUMMYFUNCTION("""COMPUTED_VALUE"""),"Exclusive")</f>
        <v>Exclusive</v>
      </c>
    </row>
    <row r="759">
      <c r="A759" s="12" t="str">
        <f>IFERROR(__xludf.DUMMYFUNCTION("""COMPUTED_VALUE"""),"Band of Bugs")</f>
        <v>Band of Bugs</v>
      </c>
      <c r="B759" s="13" t="str">
        <f>IFERROR(__xludf.DUMMYFUNCTION("""COMPUTED_VALUE"""),"XB360/OG Xbox")</f>
        <v>XB360/OG Xbox</v>
      </c>
      <c r="C759" s="14"/>
      <c r="D759" s="14" t="str">
        <f>IFERROR(__xludf.DUMMYFUNCTION("""COMPUTED_VALUE"""),"GwG Permanent")</f>
        <v>GwG Permanent</v>
      </c>
      <c r="E759" s="15">
        <f>IFERROR(__xludf.DUMMYFUNCTION("""COMPUTED_VALUE"""),44608.0)</f>
        <v>44608</v>
      </c>
      <c r="F759" s="16">
        <f>IFERROR(__xludf.DUMMYFUNCTION("""COMPUTED_VALUE"""),44620.0)</f>
        <v>44620</v>
      </c>
      <c r="G759" s="18">
        <f>IFERROR(__xludf.DUMMYFUNCTION("""COMPUTED_VALUE"""),0.4)</f>
        <v>0.4</v>
      </c>
      <c r="H759" s="15">
        <f>IFERROR(__xludf.DUMMYFUNCTION("""COMPUTED_VALUE"""),40666.0)</f>
        <v>40666</v>
      </c>
      <c r="I759" s="18">
        <f>IFERROR(__xludf.DUMMYFUNCTION("""COMPUTED_VALUE"""),10.786111111111111)</f>
        <v>10.78611111</v>
      </c>
      <c r="J759" s="22">
        <f>IFERROR(__xludf.DUMMYFUNCTION("""COMPUTED_VALUE"""),68.0)</f>
        <v>68</v>
      </c>
      <c r="K759" s="22">
        <f>IFERROR(__xludf.DUMMYFUNCTION("""COMPUTED_VALUE"""),7.0)</f>
        <v>7</v>
      </c>
      <c r="L759" s="26" t="str">
        <f>IFERROR(__xludf.DUMMYFUNCTION("""COMPUTED_VALUE"""),"Strategy")</f>
        <v>Strategy</v>
      </c>
      <c r="M759" s="26"/>
    </row>
    <row r="760">
      <c r="A760" s="12" t="str">
        <f>IFERROR(__xludf.DUMMYFUNCTION("""COMPUTED_VALUE"""),"Lost Planet 2")</f>
        <v>Lost Planet 2</v>
      </c>
      <c r="B760" s="13" t="str">
        <f>IFERROR(__xludf.DUMMYFUNCTION("""COMPUTED_VALUE"""),"XB360/OG Xbox")</f>
        <v>XB360/OG Xbox</v>
      </c>
      <c r="C760" s="14"/>
      <c r="D760" s="14" t="str">
        <f>IFERROR(__xludf.DUMMYFUNCTION("""COMPUTED_VALUE"""),"GwG Permanent")</f>
        <v>GwG Permanent</v>
      </c>
      <c r="E760" s="15">
        <f>IFERROR(__xludf.DUMMYFUNCTION("""COMPUTED_VALUE"""),44243.0)</f>
        <v>44243</v>
      </c>
      <c r="F760" s="16">
        <f>IFERROR(__xludf.DUMMYFUNCTION("""COMPUTED_VALUE"""),44255.0)</f>
        <v>44255</v>
      </c>
      <c r="G760" s="18">
        <f>IFERROR(__xludf.DUMMYFUNCTION("""COMPUTED_VALUE"""),0.4)</f>
        <v>0.4</v>
      </c>
      <c r="H760" s="15">
        <f>IFERROR(__xludf.DUMMYFUNCTION("""COMPUTED_VALUE"""),40309.0)</f>
        <v>40309</v>
      </c>
      <c r="I760" s="18">
        <f>IFERROR(__xludf.DUMMYFUNCTION("""COMPUTED_VALUE"""),10.76388888888889)</f>
        <v>10.76388889</v>
      </c>
      <c r="J760" s="22">
        <f>IFERROR(__xludf.DUMMYFUNCTION("""COMPUTED_VALUE"""),68.0)</f>
        <v>68</v>
      </c>
      <c r="K760" s="22">
        <f>IFERROR(__xludf.DUMMYFUNCTION("""COMPUTED_VALUE"""),8.0)</f>
        <v>8</v>
      </c>
      <c r="L760" s="26" t="str">
        <f>IFERROR(__xludf.DUMMYFUNCTION("""COMPUTED_VALUE"""),"Shooter")</f>
        <v>Shooter</v>
      </c>
      <c r="M760" s="26"/>
    </row>
    <row r="761">
      <c r="A761" s="12" t="str">
        <f>IFERROR(__xludf.DUMMYFUNCTION("""COMPUTED_VALUE"""),"Fable Anniversary")</f>
        <v>Fable Anniversary</v>
      </c>
      <c r="B761" s="13" t="str">
        <f>IFERROR(__xludf.DUMMYFUNCTION("""COMPUTED_VALUE"""),"XB360/OG Xbox")</f>
        <v>XB360/OG Xbox</v>
      </c>
      <c r="C761" s="14"/>
      <c r="D761" s="14" t="str">
        <f>IFERROR(__xludf.DUMMYFUNCTION("""COMPUTED_VALUE"""),"GwG Permanent")</f>
        <v>GwG Permanent</v>
      </c>
      <c r="E761" s="15">
        <f>IFERROR(__xludf.DUMMYFUNCTION("""COMPUTED_VALUE"""),43922.0)</f>
        <v>43922</v>
      </c>
      <c r="F761" s="16">
        <f>IFERROR(__xludf.DUMMYFUNCTION("""COMPUTED_VALUE"""),43936.0)</f>
        <v>43936</v>
      </c>
      <c r="G761" s="18">
        <f>IFERROR(__xludf.DUMMYFUNCTION("""COMPUTED_VALUE"""),0.4666666666666667)</f>
        <v>0.4666666667</v>
      </c>
      <c r="H761" s="15">
        <f>IFERROR(__xludf.DUMMYFUNCTION("""COMPUTED_VALUE"""),41674.0)</f>
        <v>41674</v>
      </c>
      <c r="I761" s="18">
        <f>IFERROR(__xludf.DUMMYFUNCTION("""COMPUTED_VALUE"""),6.158333333333333)</f>
        <v>6.158333333</v>
      </c>
      <c r="J761" s="22">
        <f>IFERROR(__xludf.DUMMYFUNCTION("""COMPUTED_VALUE"""),68.0)</f>
        <v>68</v>
      </c>
      <c r="K761" s="22">
        <f>IFERROR(__xludf.DUMMYFUNCTION("""COMPUTED_VALUE"""),13.0)</f>
        <v>13</v>
      </c>
      <c r="L761" s="26" t="str">
        <f>IFERROR(__xludf.DUMMYFUNCTION("""COMPUTED_VALUE"""),"RPG")</f>
        <v>RPG</v>
      </c>
      <c r="M761" s="26" t="str">
        <f>IFERROR(__xludf.DUMMYFUNCTION("""COMPUTED_VALUE"""),"Enhanced")</f>
        <v>Enhanced</v>
      </c>
    </row>
    <row r="762">
      <c r="A762" s="12" t="str">
        <f>IFERROR(__xludf.DUMMYFUNCTION("""COMPUTED_VALUE"""),"Operation Flashpoint: Dragon Rising")</f>
        <v>Operation Flashpoint: Dragon Rising</v>
      </c>
      <c r="B762" s="13" t="str">
        <f>IFERROR(__xludf.DUMMYFUNCTION("""COMPUTED_VALUE"""),"XB360/OG Xbox")</f>
        <v>XB360/OG Xbox</v>
      </c>
      <c r="C762" s="14"/>
      <c r="D762" s="14" t="str">
        <f>IFERROR(__xludf.DUMMYFUNCTION("""COMPUTED_VALUE"""),"GwG Permanent")</f>
        <v>GwG Permanent</v>
      </c>
      <c r="E762" s="15">
        <f>IFERROR(__xludf.DUMMYFUNCTION("""COMPUTED_VALUE"""),42354.0)</f>
        <v>42354</v>
      </c>
      <c r="F762" s="16">
        <f>IFERROR(__xludf.DUMMYFUNCTION("""COMPUTED_VALUE"""),42369.0)</f>
        <v>42369</v>
      </c>
      <c r="G762" s="18">
        <f>IFERROR(__xludf.DUMMYFUNCTION("""COMPUTED_VALUE"""),0.4666666666666667)</f>
        <v>0.4666666667</v>
      </c>
      <c r="H762" s="15">
        <f>IFERROR(__xludf.DUMMYFUNCTION("""COMPUTED_VALUE"""),40123.0)</f>
        <v>40123</v>
      </c>
      <c r="I762" s="18">
        <f>IFERROR(__xludf.DUMMYFUNCTION("""COMPUTED_VALUE"""),6.111111111111111)</f>
        <v>6.111111111</v>
      </c>
      <c r="J762" s="22">
        <f>IFERROR(__xludf.DUMMYFUNCTION("""COMPUTED_VALUE"""),68.0)</f>
        <v>68</v>
      </c>
      <c r="K762" s="22">
        <f>IFERROR(__xludf.DUMMYFUNCTION("""COMPUTED_VALUE"""),18.0)</f>
        <v>18</v>
      </c>
      <c r="L762" s="26" t="str">
        <f>IFERROR(__xludf.DUMMYFUNCTION("""COMPUTED_VALUE"""),"Shooter")</f>
        <v>Shooter</v>
      </c>
      <c r="M762" s="26"/>
    </row>
    <row r="763">
      <c r="A763" s="12" t="str">
        <f>IFERROR(__xludf.DUMMYFUNCTION("""COMPUTED_VALUE"""),"My Friend Peppa Pig")</f>
        <v>My Friend Peppa Pig</v>
      </c>
      <c r="B763" s="13" t="str">
        <f>IFERROR(__xludf.DUMMYFUNCTION("""COMPUTED_VALUE"""),"Xbox / PC")</f>
        <v>Xbox / PC</v>
      </c>
      <c r="C763" s="14" t="str">
        <f>IFERROR(__xludf.DUMMYFUNCTION("""COMPUTED_VALUE"""),"Touch Controls")</f>
        <v>Touch Controls</v>
      </c>
      <c r="D763" s="14" t="str">
        <f>IFERROR(__xludf.DUMMYFUNCTION("""COMPUTED_VALUE"""),"Active")</f>
        <v>Active</v>
      </c>
      <c r="E763" s="15">
        <f>IFERROR(__xludf.DUMMYFUNCTION("""COMPUTED_VALUE"""),46162.0)</f>
        <v>46162</v>
      </c>
      <c r="F763" s="16"/>
      <c r="G763" s="18">
        <f>IFERROR(__xludf.DUMMYFUNCTION("""COMPUTED_VALUE"""),4.533333333333333)</f>
        <v>4.533333333</v>
      </c>
      <c r="H763" s="15">
        <f>IFERROR(__xludf.DUMMYFUNCTION("""COMPUTED_VALUE"""),44491.0)</f>
        <v>44491</v>
      </c>
      <c r="I763" s="18">
        <f>IFERROR(__xludf.DUMMYFUNCTION("""COMPUTED_VALUE"""),4.5777777777777775)</f>
        <v>4.577777778</v>
      </c>
      <c r="J763" s="22">
        <f>IFERROR(__xludf.DUMMYFUNCTION("""COMPUTED_VALUE"""),67.0)</f>
        <v>67</v>
      </c>
      <c r="K763" s="22">
        <f>IFERROR(__xludf.DUMMYFUNCTION("""COMPUTED_VALUE"""),3.0)</f>
        <v>3</v>
      </c>
      <c r="L763" s="26" t="str">
        <f>IFERROR(__xludf.DUMMYFUNCTION("""COMPUTED_VALUE"""),"Action-Adventure")</f>
        <v>Action-Adventure</v>
      </c>
      <c r="M763" s="26"/>
    </row>
    <row r="764">
      <c r="A764" s="12" t="str">
        <f>IFERROR(__xludf.DUMMYFUNCTION("""COMPUTED_VALUE"""),"Final Fantasy IV")</f>
        <v>Final Fantasy IV</v>
      </c>
      <c r="B764" s="13" t="str">
        <f>IFERROR(__xludf.DUMMYFUNCTION("""COMPUTED_VALUE"""),"Xbox / PC")</f>
        <v>Xbox / PC</v>
      </c>
      <c r="C764" s="14" t="str">
        <f>IFERROR(__xludf.DUMMYFUNCTION("""COMPUTED_VALUE"""),"Yes")</f>
        <v>Yes</v>
      </c>
      <c r="D764" s="14" t="str">
        <f>IFERROR(__xludf.DUMMYFUNCTION("""COMPUTED_VALUE"""),"Active")</f>
        <v>Active</v>
      </c>
      <c r="E764" s="15">
        <f>IFERROR(__xludf.DUMMYFUNCTION("""COMPUTED_VALUE"""),46119.0)</f>
        <v>46119</v>
      </c>
      <c r="F764" s="16"/>
      <c r="G764" s="18">
        <f>IFERROR(__xludf.DUMMYFUNCTION("""COMPUTED_VALUE"""),5.966666666666667)</f>
        <v>5.966666667</v>
      </c>
      <c r="H764" s="15">
        <f>IFERROR(__xludf.DUMMYFUNCTION("""COMPUTED_VALUE"""),41899.0)</f>
        <v>41899</v>
      </c>
      <c r="I764" s="18">
        <f>IFERROR(__xludf.DUMMYFUNCTION("""COMPUTED_VALUE"""),11.555555555555555)</f>
        <v>11.55555556</v>
      </c>
      <c r="J764" s="22">
        <f>IFERROR(__xludf.DUMMYFUNCTION("""COMPUTED_VALUE"""),67.0)</f>
        <v>67</v>
      </c>
      <c r="K764" s="22">
        <f>IFERROR(__xludf.DUMMYFUNCTION("""COMPUTED_VALUE"""),23.0)</f>
        <v>23</v>
      </c>
      <c r="L764" s="26" t="str">
        <f>IFERROR(__xludf.DUMMYFUNCTION("""COMPUTED_VALUE"""),"RPG")</f>
        <v>RPG</v>
      </c>
      <c r="M764" s="26" t="str">
        <f>IFERROR(__xludf.DUMMYFUNCTION("""COMPUTED_VALUE"""),"Exclusive")</f>
        <v>Exclusive</v>
      </c>
    </row>
    <row r="765">
      <c r="A765" s="12" t="str">
        <f>IFERROR(__xludf.DUMMYFUNCTION("""COMPUTED_VALUE"""),"FINAL FANTASY")</f>
        <v>FINAL FANTASY</v>
      </c>
      <c r="B765" s="13" t="str">
        <f>IFERROR(__xludf.DUMMYFUNCTION("""COMPUTED_VALUE"""),"Xbox / PC")</f>
        <v>Xbox / PC</v>
      </c>
      <c r="C765" s="14" t="str">
        <f>IFERROR(__xludf.DUMMYFUNCTION("""COMPUTED_VALUE"""),"Yes")</f>
        <v>Yes</v>
      </c>
      <c r="D765" s="14" t="str">
        <f>IFERROR(__xludf.DUMMYFUNCTION("""COMPUTED_VALUE"""),"Active")</f>
        <v>Active</v>
      </c>
      <c r="E765" s="15">
        <f>IFERROR(__xludf.DUMMYFUNCTION("""COMPUTED_VALUE"""),46030.0)</f>
        <v>46030</v>
      </c>
      <c r="F765" s="16"/>
      <c r="G765" s="18">
        <f>IFERROR(__xludf.DUMMYFUNCTION("""COMPUTED_VALUE"""),8.933333333333334)</f>
        <v>8.933333333</v>
      </c>
      <c r="H765" s="15">
        <f>IFERROR(__xludf.DUMMYFUNCTION("""COMPUTED_VALUE"""),39259.0)</f>
        <v>39259</v>
      </c>
      <c r="I765" s="18">
        <f>IFERROR(__xludf.DUMMYFUNCTION("""COMPUTED_VALUE"""),18.533333333333335)</f>
        <v>18.53333333</v>
      </c>
      <c r="J765" s="22">
        <f>IFERROR(__xludf.DUMMYFUNCTION("""COMPUTED_VALUE"""),67.0)</f>
        <v>67</v>
      </c>
      <c r="K765" s="22">
        <f>IFERROR(__xludf.DUMMYFUNCTION("""COMPUTED_VALUE"""),16.0)</f>
        <v>16</v>
      </c>
      <c r="L765" s="26" t="str">
        <f>IFERROR(__xludf.DUMMYFUNCTION("""COMPUTED_VALUE"""),"Action-Adventure")</f>
        <v>Action-Adventure</v>
      </c>
      <c r="M765" s="26" t="str">
        <f>IFERROR(__xludf.DUMMYFUNCTION("""COMPUTED_VALUE"""),"Exclusive")</f>
        <v>Exclusive</v>
      </c>
    </row>
    <row r="766">
      <c r="A766" s="12" t="str">
        <f>IFERROR(__xludf.DUMMYFUNCTION("""COMPUTED_VALUE"""),"High on Life")</f>
        <v>High on Life</v>
      </c>
      <c r="B766" s="13" t="str">
        <f>IFERROR(__xludf.DUMMYFUNCTION("""COMPUTED_VALUE"""),"Xbox / PC")</f>
        <v>Xbox / PC</v>
      </c>
      <c r="C766" s="14" t="str">
        <f>IFERROR(__xludf.DUMMYFUNCTION("""COMPUTED_VALUE"""),"M+KB")</f>
        <v>M+KB</v>
      </c>
      <c r="D766" s="14" t="str">
        <f>IFERROR(__xludf.DUMMYFUNCTION("""COMPUTED_VALUE"""),"Active")</f>
        <v>Active</v>
      </c>
      <c r="E766" s="15">
        <f>IFERROR(__xludf.DUMMYFUNCTION("""COMPUTED_VALUE"""),45853.0)</f>
        <v>45853</v>
      </c>
      <c r="F766" s="16"/>
      <c r="G766" s="18">
        <f>IFERROR(__xludf.DUMMYFUNCTION("""COMPUTED_VALUE"""),14.700000000000001)</f>
        <v>14.7</v>
      </c>
      <c r="H766" s="15">
        <f>IFERROR(__xludf.DUMMYFUNCTION("""COMPUTED_VALUE"""),44908.0)</f>
        <v>44908</v>
      </c>
      <c r="I766" s="18">
        <f>IFERROR(__xludf.DUMMYFUNCTION("""COMPUTED_VALUE"""),2.588888888888889)</f>
        <v>2.588888889</v>
      </c>
      <c r="J766" s="22">
        <f>IFERROR(__xludf.DUMMYFUNCTION("""COMPUTED_VALUE"""),67.0)</f>
        <v>67</v>
      </c>
      <c r="K766" s="22">
        <f>IFERROR(__xludf.DUMMYFUNCTION("""COMPUTED_VALUE"""),9.0)</f>
        <v>9</v>
      </c>
      <c r="L766" s="26" t="str">
        <f>IFERROR(__xludf.DUMMYFUNCTION("""COMPUTED_VALUE"""),"Shooter")</f>
        <v>Shooter</v>
      </c>
      <c r="M766" s="26"/>
    </row>
    <row r="767">
      <c r="A767" s="12" t="str">
        <f>IFERROR(__xludf.DUMMYFUNCTION("""COMPUTED_VALUE"""),"Cosmic Commuter")</f>
        <v>Cosmic Commuter</v>
      </c>
      <c r="B767" s="13" t="str">
        <f>IFERROR(__xludf.DUMMYFUNCTION("""COMPUTED_VALUE"""),"Xbox / PC")</f>
        <v>Xbox / PC</v>
      </c>
      <c r="C767" s="14" t="str">
        <f>IFERROR(__xludf.DUMMYFUNCTION("""COMPUTED_VALUE"""),"Yes")</f>
        <v>Yes</v>
      </c>
      <c r="D767" s="14" t="str">
        <f>IFERROR(__xludf.DUMMYFUNCTION("""COMPUTED_VALUE"""),"Active")</f>
        <v>Active</v>
      </c>
      <c r="E767" s="15">
        <f>IFERROR(__xludf.DUMMYFUNCTION("""COMPUTED_VALUE"""),45839.0)</f>
        <v>45839</v>
      </c>
      <c r="F767" s="16"/>
      <c r="G767" s="18">
        <f>IFERROR(__xludf.DUMMYFUNCTION("""COMPUTED_VALUE"""),15.166666666666666)</f>
        <v>15.16666667</v>
      </c>
      <c r="H767" s="15">
        <f>IFERROR(__xludf.DUMMYFUNCTION("""COMPUTED_VALUE"""),31048.0)</f>
        <v>31048</v>
      </c>
      <c r="I767" s="18">
        <f>IFERROR(__xludf.DUMMYFUNCTION("""COMPUTED_VALUE"""),40.5)</f>
        <v>40.5</v>
      </c>
      <c r="J767" s="22">
        <f>IFERROR(__xludf.DUMMYFUNCTION("""COMPUTED_VALUE"""),67.0)</f>
        <v>67</v>
      </c>
      <c r="K767" s="22"/>
      <c r="L767" s="26" t="str">
        <f>IFERROR(__xludf.DUMMYFUNCTION("""COMPUTED_VALUE"""),"Shooter")</f>
        <v>Shooter</v>
      </c>
      <c r="M767" s="26"/>
    </row>
    <row r="768">
      <c r="A768" s="12" t="str">
        <f>IFERROR(__xludf.DUMMYFUNCTION("""COMPUTED_VALUE"""),"Freeway")</f>
        <v>Freeway</v>
      </c>
      <c r="B768" s="13" t="str">
        <f>IFERROR(__xludf.DUMMYFUNCTION("""COMPUTED_VALUE"""),"Xbox / PC")</f>
        <v>Xbox / PC</v>
      </c>
      <c r="C768" s="14" t="str">
        <f>IFERROR(__xludf.DUMMYFUNCTION("""COMPUTED_VALUE"""),"Yes")</f>
        <v>Yes</v>
      </c>
      <c r="D768" s="14" t="str">
        <f>IFERROR(__xludf.DUMMYFUNCTION("""COMPUTED_VALUE"""),"Active")</f>
        <v>Active</v>
      </c>
      <c r="E768" s="15">
        <f>IFERROR(__xludf.DUMMYFUNCTION("""COMPUTED_VALUE"""),45798.0)</f>
        <v>45798</v>
      </c>
      <c r="F768" s="16"/>
      <c r="G768" s="18">
        <f>IFERROR(__xludf.DUMMYFUNCTION("""COMPUTED_VALUE"""),16.5)</f>
        <v>16.5</v>
      </c>
      <c r="H768" s="15">
        <f>IFERROR(__xludf.DUMMYFUNCTION("""COMPUTED_VALUE"""),29768.0)</f>
        <v>29768</v>
      </c>
      <c r="I768" s="18">
        <f>IFERROR(__xludf.DUMMYFUNCTION("""COMPUTED_VALUE"""),43.888888888888886)</f>
        <v>43.88888889</v>
      </c>
      <c r="J768" s="22">
        <f>IFERROR(__xludf.DUMMYFUNCTION("""COMPUTED_VALUE"""),67.0)</f>
        <v>67</v>
      </c>
      <c r="K768" s="22"/>
      <c r="L768" s="26" t="str">
        <f>IFERROR(__xludf.DUMMYFUNCTION("""COMPUTED_VALUE"""),"Racing")</f>
        <v>Racing</v>
      </c>
      <c r="M768" s="26"/>
    </row>
    <row r="769">
      <c r="A769" s="12" t="str">
        <f>IFERROR(__xludf.DUMMYFUNCTION("""COMPUTED_VALUE"""),"SpongeBob SquarePants: The Patrick Star Game")</f>
        <v>SpongeBob SquarePants: The Patrick Star Game</v>
      </c>
      <c r="B769" s="13" t="str">
        <f>IFERROR(__xludf.DUMMYFUNCTION("""COMPUTED_VALUE"""),"Xbox / PC")</f>
        <v>Xbox / PC</v>
      </c>
      <c r="C769" s="14" t="str">
        <f>IFERROR(__xludf.DUMMYFUNCTION("""COMPUTED_VALUE"""),"Yes")</f>
        <v>Yes</v>
      </c>
      <c r="D769" s="14" t="str">
        <f>IFERROR(__xludf.DUMMYFUNCTION("""COMPUTED_VALUE"""),"Active")</f>
        <v>Active</v>
      </c>
      <c r="E769" s="15">
        <f>IFERROR(__xludf.DUMMYFUNCTION("""COMPUTED_VALUE"""),45763.0)</f>
        <v>45763</v>
      </c>
      <c r="F769" s="16"/>
      <c r="G769" s="18">
        <f>IFERROR(__xludf.DUMMYFUNCTION("""COMPUTED_VALUE"""),17.666666666666668)</f>
        <v>17.66666667</v>
      </c>
      <c r="H769" s="15">
        <f>IFERROR(__xludf.DUMMYFUNCTION("""COMPUTED_VALUE"""),45569.0)</f>
        <v>45569</v>
      </c>
      <c r="I769" s="18">
        <f>IFERROR(__xludf.DUMMYFUNCTION("""COMPUTED_VALUE"""),0.5333333333333333)</f>
        <v>0.5333333333</v>
      </c>
      <c r="J769" s="22">
        <f>IFERROR(__xludf.DUMMYFUNCTION("""COMPUTED_VALUE"""),67.0)</f>
        <v>67</v>
      </c>
      <c r="K769" s="22">
        <f>IFERROR(__xludf.DUMMYFUNCTION("""COMPUTED_VALUE"""),4.0)</f>
        <v>4</v>
      </c>
      <c r="L769" s="26" t="str">
        <f>IFERROR(__xludf.DUMMYFUNCTION("""COMPUTED_VALUE"""),"Platformer")</f>
        <v>Platformer</v>
      </c>
      <c r="M769" s="26"/>
    </row>
    <row r="770">
      <c r="A770" s="12" t="str">
        <f>IFERROR(__xludf.DUMMYFUNCTION("""COMPUTED_VALUE"""),"Gang Beasts")</f>
        <v>Gang Beasts</v>
      </c>
      <c r="B770" s="13" t="str">
        <f>IFERROR(__xludf.DUMMYFUNCTION("""COMPUTED_VALUE"""),"Xbox / PC")</f>
        <v>Xbox / PC</v>
      </c>
      <c r="C770" s="14" t="str">
        <f>IFERROR(__xludf.DUMMYFUNCTION("""COMPUTED_VALUE"""),"Yes")</f>
        <v>Yes</v>
      </c>
      <c r="D770" s="14" t="str">
        <f>IFERROR(__xludf.DUMMYFUNCTION("""COMPUTED_VALUE"""),"Active")</f>
        <v>Active</v>
      </c>
      <c r="E770" s="15">
        <f>IFERROR(__xludf.DUMMYFUNCTION("""COMPUTED_VALUE"""),44378.0)</f>
        <v>44378</v>
      </c>
      <c r="F770" s="16"/>
      <c r="G770" s="18">
        <f>IFERROR(__xludf.DUMMYFUNCTION("""COMPUTED_VALUE"""),63.16666666666667)</f>
        <v>63.16666667</v>
      </c>
      <c r="H770" s="15">
        <f>IFERROR(__xludf.DUMMYFUNCTION("""COMPUTED_VALUE"""),41880.0)</f>
        <v>41880</v>
      </c>
      <c r="I770" s="18">
        <f>IFERROR(__xludf.DUMMYFUNCTION("""COMPUTED_VALUE"""),6.838888888888889)</f>
        <v>6.838888889</v>
      </c>
      <c r="J770" s="22">
        <f>IFERROR(__xludf.DUMMYFUNCTION("""COMPUTED_VALUE"""),67.0)</f>
        <v>67</v>
      </c>
      <c r="K770" s="22">
        <f>IFERROR(__xludf.DUMMYFUNCTION("""COMPUTED_VALUE"""),3.5)</f>
        <v>3.5</v>
      </c>
      <c r="L770" s="26" t="str">
        <f>IFERROR(__xludf.DUMMYFUNCTION("""COMPUTED_VALUE"""),"Brawler")</f>
        <v>Brawler</v>
      </c>
      <c r="M770" s="26"/>
    </row>
    <row r="771">
      <c r="A771" s="12" t="str">
        <f>IFERROR(__xludf.DUMMYFUNCTION("""COMPUTED_VALUE"""),"Disneyland Adventures")</f>
        <v>Disneyland Adventures</v>
      </c>
      <c r="B771" s="13" t="str">
        <f>IFERROR(__xludf.DUMMYFUNCTION("""COMPUTED_VALUE"""),"Xbox / PC")</f>
        <v>Xbox / PC</v>
      </c>
      <c r="C771" s="14" t="str">
        <f>IFERROR(__xludf.DUMMYFUNCTION("""COMPUTED_VALUE"""),"Yes")</f>
        <v>Yes</v>
      </c>
      <c r="D771" s="14" t="str">
        <f>IFERROR(__xludf.DUMMYFUNCTION("""COMPUTED_VALUE"""),"Active")</f>
        <v>Active</v>
      </c>
      <c r="E771" s="15">
        <f>IFERROR(__xludf.DUMMYFUNCTION("""COMPUTED_VALUE"""),43252.0)</f>
        <v>43252</v>
      </c>
      <c r="F771" s="16"/>
      <c r="G771" s="18">
        <f>IFERROR(__xludf.DUMMYFUNCTION("""COMPUTED_VALUE"""),100.16666666666666)</f>
        <v>100.1666667</v>
      </c>
      <c r="H771" s="15">
        <f>IFERROR(__xludf.DUMMYFUNCTION("""COMPUTED_VALUE"""),40862.0)</f>
        <v>40862</v>
      </c>
      <c r="I771" s="18">
        <f>IFERROR(__xludf.DUMMYFUNCTION("""COMPUTED_VALUE"""),6.544444444444444)</f>
        <v>6.544444444</v>
      </c>
      <c r="J771" s="22">
        <f>IFERROR(__xludf.DUMMYFUNCTION("""COMPUTED_VALUE"""),67.0)</f>
        <v>67</v>
      </c>
      <c r="K771" s="22">
        <f>IFERROR(__xludf.DUMMYFUNCTION("""COMPUTED_VALUE"""),16.0)</f>
        <v>16</v>
      </c>
      <c r="L771" s="26" t="str">
        <f>IFERROR(__xludf.DUMMYFUNCTION("""COMPUTED_VALUE"""),"Adventure")</f>
        <v>Adventure</v>
      </c>
      <c r="M771" s="26"/>
    </row>
    <row r="772">
      <c r="A772" s="12" t="str">
        <f>IFERROR(__xludf.DUMMYFUNCTION("""COMPUTED_VALUE"""),"Joy Ride Turbo")</f>
        <v>Joy Ride Turbo</v>
      </c>
      <c r="B772" s="13" t="str">
        <f>IFERROR(__xludf.DUMMYFUNCTION("""COMPUTED_VALUE"""),"Xbox")</f>
        <v>Xbox</v>
      </c>
      <c r="C772" s="14" t="str">
        <f>IFERROR(__xludf.DUMMYFUNCTION("""COMPUTED_VALUE"""),"Touch Controls")</f>
        <v>Touch Controls</v>
      </c>
      <c r="D772" s="14" t="str">
        <f>IFERROR(__xludf.DUMMYFUNCTION("""COMPUTED_VALUE"""),"Active")</f>
        <v>Active</v>
      </c>
      <c r="E772" s="15">
        <f>IFERROR(__xludf.DUMMYFUNCTION("""COMPUTED_VALUE"""),42887.0)</f>
        <v>42887</v>
      </c>
      <c r="F772" s="16"/>
      <c r="G772" s="18">
        <f>IFERROR(__xludf.DUMMYFUNCTION("""COMPUTED_VALUE"""),112.16666666666666)</f>
        <v>112.1666667</v>
      </c>
      <c r="H772" s="15">
        <f>IFERROR(__xludf.DUMMYFUNCTION("""COMPUTED_VALUE"""),41052.0)</f>
        <v>41052</v>
      </c>
      <c r="I772" s="18">
        <f>IFERROR(__xludf.DUMMYFUNCTION("""COMPUTED_VALUE"""),5.022222222222222)</f>
        <v>5.022222222</v>
      </c>
      <c r="J772" s="22">
        <f>IFERROR(__xludf.DUMMYFUNCTION("""COMPUTED_VALUE"""),67.0)</f>
        <v>67</v>
      </c>
      <c r="K772" s="22">
        <f>IFERROR(__xludf.DUMMYFUNCTION("""COMPUTED_VALUE"""),2.0)</f>
        <v>2</v>
      </c>
      <c r="L772" s="26" t="str">
        <f>IFERROR(__xludf.DUMMYFUNCTION("""COMPUTED_VALUE"""),"Racing")</f>
        <v>Racing</v>
      </c>
      <c r="M772" s="26"/>
    </row>
    <row r="773">
      <c r="A773" s="12" t="str">
        <f>IFERROR(__xludf.DUMMYFUNCTION("""COMPUTED_VALUE"""),"Gotham City Impostors")</f>
        <v>Gotham City Impostors</v>
      </c>
      <c r="B773" s="13" t="str">
        <f>IFERROR(__xludf.DUMMYFUNCTION("""COMPUTED_VALUE"""),"XB360/OG Xbox")</f>
        <v>XB360/OG Xbox</v>
      </c>
      <c r="C773" s="14"/>
      <c r="D773" s="14" t="str">
        <f>IFERROR(__xludf.DUMMYFUNCTION("""COMPUTED_VALUE"""),"GwG Permanent")</f>
        <v>GwG Permanent</v>
      </c>
      <c r="E773" s="15">
        <f>IFERROR(__xludf.DUMMYFUNCTION("""COMPUTED_VALUE"""),41821.0)</f>
        <v>41821</v>
      </c>
      <c r="F773" s="16">
        <f>IFERROR(__xludf.DUMMYFUNCTION("""COMPUTED_VALUE"""),41835.0)</f>
        <v>41835</v>
      </c>
      <c r="G773" s="18">
        <f>IFERROR(__xludf.DUMMYFUNCTION("""COMPUTED_VALUE"""),0.4666666666666667)</f>
        <v>0.4666666667</v>
      </c>
      <c r="H773" s="15">
        <f>IFERROR(__xludf.DUMMYFUNCTION("""COMPUTED_VALUE"""),40947.0)</f>
        <v>40947</v>
      </c>
      <c r="I773" s="18">
        <f>IFERROR(__xludf.DUMMYFUNCTION("""COMPUTED_VALUE"""),2.397222222222222)</f>
        <v>2.397222222</v>
      </c>
      <c r="J773" s="22">
        <f>IFERROR(__xludf.DUMMYFUNCTION("""COMPUTED_VALUE"""),67.0)</f>
        <v>67</v>
      </c>
      <c r="K773" s="22">
        <f>IFERROR(__xludf.DUMMYFUNCTION("""COMPUTED_VALUE"""),6.0)</f>
        <v>6</v>
      </c>
      <c r="L773" s="26" t="str">
        <f>IFERROR(__xludf.DUMMYFUNCTION("""COMPUTED_VALUE"""),"Shooter")</f>
        <v>Shooter</v>
      </c>
      <c r="M773" s="26"/>
    </row>
    <row r="774">
      <c r="A774" s="12" t="str">
        <f>IFERROR(__xludf.DUMMYFUNCTION("""COMPUTED_VALUE"""),"Ark: Survival Ascended")</f>
        <v>Ark: Survival Ascended</v>
      </c>
      <c r="B774" s="13" t="str">
        <f>IFERROR(__xludf.DUMMYFUNCTION("""COMPUTED_VALUE"""),"Xbox / PC")</f>
        <v>Xbox / PC</v>
      </c>
      <c r="C774" s="14" t="str">
        <f>IFERROR(__xludf.DUMMYFUNCTION("""COMPUTED_VALUE"""),"M+KB")</f>
        <v>M+KB</v>
      </c>
      <c r="D774" s="14" t="str">
        <f>IFERROR(__xludf.DUMMYFUNCTION("""COMPUTED_VALUE"""),"Active")</f>
        <v>Active</v>
      </c>
      <c r="E774" s="15">
        <f>IFERROR(__xludf.DUMMYFUNCTION("""COMPUTED_VALUE"""),45383.0)</f>
        <v>45383</v>
      </c>
      <c r="F774" s="16"/>
      <c r="G774" s="18">
        <f>IFERROR(__xludf.DUMMYFUNCTION("""COMPUTED_VALUE"""),30.166666666666664)</f>
        <v>30.16666667</v>
      </c>
      <c r="H774" s="15">
        <f>IFERROR(__xludf.DUMMYFUNCTION("""COMPUTED_VALUE"""),45260.0)</f>
        <v>45260</v>
      </c>
      <c r="I774" s="18">
        <f>IFERROR(__xludf.DUMMYFUNCTION("""COMPUTED_VALUE"""),0.33611111111111114)</f>
        <v>0.3361111111</v>
      </c>
      <c r="J774" s="22">
        <f>IFERROR(__xludf.DUMMYFUNCTION("""COMPUTED_VALUE"""),66.66666666666667)</f>
        <v>66.66666667</v>
      </c>
      <c r="K774" s="22">
        <f>IFERROR(__xludf.DUMMYFUNCTION("""COMPUTED_VALUE"""),380.0)</f>
        <v>380</v>
      </c>
      <c r="L774" s="26" t="str">
        <f>IFERROR(__xludf.DUMMYFUNCTION("""COMPUTED_VALUE"""),"Sandbox")</f>
        <v>Sandbox</v>
      </c>
      <c r="M774" s="26" t="str">
        <f>IFERROR(__xludf.DUMMYFUNCTION("""COMPUTED_VALUE"""),"Exclusive")</f>
        <v>Exclusive</v>
      </c>
    </row>
    <row r="775">
      <c r="A775" s="12" t="str">
        <f>IFERROR(__xludf.DUMMYFUNCTION("""COMPUTED_VALUE"""),"NHL 25")</f>
        <v>NHL 25</v>
      </c>
      <c r="B775" s="13" t="str">
        <f>IFERROR(__xludf.DUMMYFUNCTION("""COMPUTED_VALUE"""),"Xbox")</f>
        <v>Xbox</v>
      </c>
      <c r="C775" s="14"/>
      <c r="D775" s="14" t="str">
        <f>IFERROR(__xludf.DUMMYFUNCTION("""COMPUTED_VALUE"""),"Active")</f>
        <v>Active</v>
      </c>
      <c r="E775" s="15">
        <f>IFERROR(__xludf.DUMMYFUNCTION("""COMPUTED_VALUE"""),45762.0)</f>
        <v>45762</v>
      </c>
      <c r="F775" s="16"/>
      <c r="G775" s="18">
        <f>IFERROR(__xludf.DUMMYFUNCTION("""COMPUTED_VALUE"""),17.700000000000003)</f>
        <v>17.7</v>
      </c>
      <c r="H775" s="15">
        <f>IFERROR(__xludf.DUMMYFUNCTION("""COMPUTED_VALUE"""),45757.0)</f>
        <v>45757</v>
      </c>
      <c r="I775" s="18">
        <f>IFERROR(__xludf.DUMMYFUNCTION("""COMPUTED_VALUE"""),0.013888888888888888)</f>
        <v>0.01388888889</v>
      </c>
      <c r="J775" s="22">
        <f>IFERROR(__xludf.DUMMYFUNCTION("""COMPUTED_VALUE"""),66.0)</f>
        <v>66</v>
      </c>
      <c r="K775" s="22">
        <f>IFERROR(__xludf.DUMMYFUNCTION("""COMPUTED_VALUE"""),15.0)</f>
        <v>15</v>
      </c>
      <c r="L775" s="26" t="str">
        <f>IFERROR(__xludf.DUMMYFUNCTION("""COMPUTED_VALUE"""),"Sports")</f>
        <v>Sports</v>
      </c>
      <c r="M775" s="26"/>
    </row>
    <row r="776">
      <c r="A776" s="12" t="str">
        <f>IFERROR(__xludf.DUMMYFUNCTION("""COMPUTED_VALUE"""),"Battlefield 2042")</f>
        <v>Battlefield 2042</v>
      </c>
      <c r="B776" s="13" t="str">
        <f>IFERROR(__xludf.DUMMYFUNCTION("""COMPUTED_VALUE"""),"Xbox / PC")</f>
        <v>Xbox / PC</v>
      </c>
      <c r="C776" s="14" t="str">
        <f>IFERROR(__xludf.DUMMYFUNCTION("""COMPUTED_VALUE"""),"Yes")</f>
        <v>Yes</v>
      </c>
      <c r="D776" s="14" t="str">
        <f>IFERROR(__xludf.DUMMYFUNCTION("""COMPUTED_VALUE"""),"Active")</f>
        <v>Active</v>
      </c>
      <c r="E776" s="15">
        <f>IFERROR(__xludf.DUMMYFUNCTION("""COMPUTED_VALUE"""),44887.0)</f>
        <v>44887</v>
      </c>
      <c r="F776" s="16"/>
      <c r="G776" s="18">
        <f>IFERROR(__xludf.DUMMYFUNCTION("""COMPUTED_VALUE"""),46.46666666666667)</f>
        <v>46.46666667</v>
      </c>
      <c r="H776" s="15">
        <f>IFERROR(__xludf.DUMMYFUNCTION("""COMPUTED_VALUE"""),44512.0)</f>
        <v>44512</v>
      </c>
      <c r="I776" s="18">
        <f>IFERROR(__xludf.DUMMYFUNCTION("""COMPUTED_VALUE"""),1.0277777777777777)</f>
        <v>1.027777778</v>
      </c>
      <c r="J776" s="22">
        <f>IFERROR(__xludf.DUMMYFUNCTION("""COMPUTED_VALUE"""),66.0)</f>
        <v>66</v>
      </c>
      <c r="K776" s="22">
        <f>IFERROR(__xludf.DUMMYFUNCTION("""COMPUTED_VALUE"""),58.0)</f>
        <v>58</v>
      </c>
      <c r="L776" s="26" t="str">
        <f>IFERROR(__xludf.DUMMYFUNCTION("""COMPUTED_VALUE"""),"Shooter")</f>
        <v>Shooter</v>
      </c>
      <c r="M776" s="26"/>
    </row>
    <row r="777">
      <c r="A777" s="12" t="str">
        <f>IFERROR(__xludf.DUMMYFUNCTION("""COMPUTED_VALUE"""),"Star Wars Battlefront II: Celebration Edition")</f>
        <v>Star Wars Battlefront II: Celebration Edition</v>
      </c>
      <c r="B777" s="13" t="str">
        <f>IFERROR(__xludf.DUMMYFUNCTION("""COMPUTED_VALUE"""),"Xbox / PC")</f>
        <v>Xbox / PC</v>
      </c>
      <c r="C777" s="14" t="str">
        <f>IFERROR(__xludf.DUMMYFUNCTION("""COMPUTED_VALUE"""),"Yes")</f>
        <v>Yes</v>
      </c>
      <c r="D777" s="14" t="str">
        <f>IFERROR(__xludf.DUMMYFUNCTION("""COMPUTED_VALUE"""),"Active")</f>
        <v>Active</v>
      </c>
      <c r="E777" s="15">
        <f>IFERROR(__xludf.DUMMYFUNCTION("""COMPUTED_VALUE"""),44145.0)</f>
        <v>44145</v>
      </c>
      <c r="F777" s="16"/>
      <c r="G777" s="18">
        <f>IFERROR(__xludf.DUMMYFUNCTION("""COMPUTED_VALUE"""),70.86666666666667)</f>
        <v>70.86666667</v>
      </c>
      <c r="H777" s="15">
        <f>IFERROR(__xludf.DUMMYFUNCTION("""COMPUTED_VALUE"""),43056.0)</f>
        <v>43056</v>
      </c>
      <c r="I777" s="18">
        <f>IFERROR(__xludf.DUMMYFUNCTION("""COMPUTED_VALUE"""),2.9805555555555556)</f>
        <v>2.980555556</v>
      </c>
      <c r="J777" s="22">
        <f>IFERROR(__xludf.DUMMYFUNCTION("""COMPUTED_VALUE"""),66.0)</f>
        <v>66</v>
      </c>
      <c r="K777" s="22">
        <f>IFERROR(__xludf.DUMMYFUNCTION("""COMPUTED_VALUE"""),6.0)</f>
        <v>6</v>
      </c>
      <c r="L777" s="26" t="str">
        <f>IFERROR(__xludf.DUMMYFUNCTION("""COMPUTED_VALUE"""),"Shooter")</f>
        <v>Shooter</v>
      </c>
      <c r="M777" s="26" t="str">
        <f>IFERROR(__xludf.DUMMYFUNCTION("""COMPUTED_VALUE"""),"FPS Boost X Only")</f>
        <v>FPS Boost X Only</v>
      </c>
    </row>
    <row r="778">
      <c r="A778" s="12" t="str">
        <f>IFERROR(__xludf.DUMMYFUNCTION("""COMPUTED_VALUE"""),"The Sims 4: Deluxe Party Edition")</f>
        <v>The Sims 4: Deluxe Party Edition</v>
      </c>
      <c r="B778" s="13" t="str">
        <f>IFERROR(__xludf.DUMMYFUNCTION("""COMPUTED_VALUE"""),"Xbox / PC")</f>
        <v>Xbox / PC</v>
      </c>
      <c r="C778" s="14" t="str">
        <f>IFERROR(__xludf.DUMMYFUNCTION("""COMPUTED_VALUE"""),"M+KB")</f>
        <v>M+KB</v>
      </c>
      <c r="D778" s="14" t="str">
        <f>IFERROR(__xludf.DUMMYFUNCTION("""COMPUTED_VALUE"""),"Active")</f>
        <v>Active</v>
      </c>
      <c r="E778" s="15">
        <f>IFERROR(__xludf.DUMMYFUNCTION("""COMPUTED_VALUE"""),44145.0)</f>
        <v>44145</v>
      </c>
      <c r="F778" s="16"/>
      <c r="G778" s="18">
        <f>IFERROR(__xludf.DUMMYFUNCTION("""COMPUTED_VALUE"""),70.86666666666667)</f>
        <v>70.86666667</v>
      </c>
      <c r="H778" s="15">
        <f>IFERROR(__xludf.DUMMYFUNCTION("""COMPUTED_VALUE"""),41884.0)</f>
        <v>41884</v>
      </c>
      <c r="I778" s="18">
        <f>IFERROR(__xludf.DUMMYFUNCTION("""COMPUTED_VALUE"""),6.188888888888889)</f>
        <v>6.188888889</v>
      </c>
      <c r="J778" s="22">
        <f>IFERROR(__xludf.DUMMYFUNCTION("""COMPUTED_VALUE"""),66.0)</f>
        <v>66</v>
      </c>
      <c r="K778" s="22">
        <f>IFERROR(__xludf.DUMMYFUNCTION("""COMPUTED_VALUE"""),40.0)</f>
        <v>40</v>
      </c>
      <c r="L778" s="26" t="str">
        <f>IFERROR(__xludf.DUMMYFUNCTION("""COMPUTED_VALUE"""),"Simulation")</f>
        <v>Simulation</v>
      </c>
      <c r="M778" s="26"/>
    </row>
    <row r="779">
      <c r="A779" s="12" t="str">
        <f>IFERROR(__xludf.DUMMYFUNCTION("""COMPUTED_VALUE"""),"Port Royale 3")</f>
        <v>Port Royale 3</v>
      </c>
      <c r="B779" s="13" t="str">
        <f>IFERROR(__xludf.DUMMYFUNCTION("""COMPUTED_VALUE"""),"XB360/OG Xbox")</f>
        <v>XB360/OG Xbox</v>
      </c>
      <c r="C779" s="14"/>
      <c r="D779" s="14" t="str">
        <f>IFERROR(__xludf.DUMMYFUNCTION("""COMPUTED_VALUE"""),"GwG Permanent")</f>
        <v>GwG Permanent</v>
      </c>
      <c r="E779" s="15">
        <f>IFERROR(__xludf.DUMMYFUNCTION("""COMPUTED_VALUE"""),44271.0)</f>
        <v>44271</v>
      </c>
      <c r="F779" s="16">
        <f>IFERROR(__xludf.DUMMYFUNCTION("""COMPUTED_VALUE"""),44286.0)</f>
        <v>44286</v>
      </c>
      <c r="G779" s="18">
        <f>IFERROR(__xludf.DUMMYFUNCTION("""COMPUTED_VALUE"""),0.4666666666666667)</f>
        <v>0.4666666667</v>
      </c>
      <c r="H779" s="15">
        <f>IFERROR(__xludf.DUMMYFUNCTION("""COMPUTED_VALUE"""),40830.0)</f>
        <v>40830</v>
      </c>
      <c r="I779" s="18">
        <f>IFERROR(__xludf.DUMMYFUNCTION("""COMPUTED_VALUE"""),9.422222222222222)</f>
        <v>9.422222222</v>
      </c>
      <c r="J779" s="22">
        <f>IFERROR(__xludf.DUMMYFUNCTION("""COMPUTED_VALUE"""),66.0)</f>
        <v>66</v>
      </c>
      <c r="K779" s="22">
        <f>IFERROR(__xludf.DUMMYFUNCTION("""COMPUTED_VALUE"""),25.0)</f>
        <v>25</v>
      </c>
      <c r="L779" s="26" t="str">
        <f>IFERROR(__xludf.DUMMYFUNCTION("""COMPUTED_VALUE"""),"Strategy")</f>
        <v>Strategy</v>
      </c>
      <c r="M779" s="26"/>
    </row>
    <row r="780">
      <c r="A780" s="12" t="str">
        <f>IFERROR(__xludf.DUMMYFUNCTION("""COMPUTED_VALUE"""),"Saints Row: Gat Out of Hell")</f>
        <v>Saints Row: Gat Out of Hell</v>
      </c>
      <c r="B780" s="13" t="str">
        <f>IFERROR(__xludf.DUMMYFUNCTION("""COMPUTED_VALUE"""),"XB360/OG Xbox")</f>
        <v>XB360/OG Xbox</v>
      </c>
      <c r="C780" s="14"/>
      <c r="D780" s="14" t="str">
        <f>IFERROR(__xludf.DUMMYFUNCTION("""COMPUTED_VALUE"""),"GwG Permanent")</f>
        <v>GwG Permanent</v>
      </c>
      <c r="E780" s="15">
        <f>IFERROR(__xludf.DUMMYFUNCTION("""COMPUTED_VALUE"""),44166.0)</f>
        <v>44166</v>
      </c>
      <c r="F780" s="16">
        <f>IFERROR(__xludf.DUMMYFUNCTION("""COMPUTED_VALUE"""),44180.0)</f>
        <v>44180</v>
      </c>
      <c r="G780" s="18">
        <f>IFERROR(__xludf.DUMMYFUNCTION("""COMPUTED_VALUE"""),0.4666666666666667)</f>
        <v>0.4666666667</v>
      </c>
      <c r="H780" s="15">
        <f>IFERROR(__xludf.DUMMYFUNCTION("""COMPUTED_VALUE"""),42024.0)</f>
        <v>42024</v>
      </c>
      <c r="I780" s="18">
        <f>IFERROR(__xludf.DUMMYFUNCTION("""COMPUTED_VALUE"""),5.863888888888889)</f>
        <v>5.863888889</v>
      </c>
      <c r="J780" s="22">
        <f>IFERROR(__xludf.DUMMYFUNCTION("""COMPUTED_VALUE"""),66.0)</f>
        <v>66</v>
      </c>
      <c r="K780" s="22">
        <f>IFERROR(__xludf.DUMMYFUNCTION("""COMPUTED_VALUE"""),4.5)</f>
        <v>4.5</v>
      </c>
      <c r="L780" s="26" t="str">
        <f>IFERROR(__xludf.DUMMYFUNCTION("""COMPUTED_VALUE"""),"Action-Adventure")</f>
        <v>Action-Adventure</v>
      </c>
      <c r="M780" s="26"/>
    </row>
    <row r="781">
      <c r="A781" s="12" t="str">
        <f>IFERROR(__xludf.DUMMYFUNCTION("""COMPUTED_VALUE"""),"Marlow Briggs and the Mask of Death")</f>
        <v>Marlow Briggs and the Mask of Death</v>
      </c>
      <c r="B781" s="13" t="str">
        <f>IFERROR(__xludf.DUMMYFUNCTION("""COMPUTED_VALUE"""),"XB360/OG Xbox")</f>
        <v>XB360/OG Xbox</v>
      </c>
      <c r="C781" s="14"/>
      <c r="D781" s="14" t="str">
        <f>IFERROR(__xludf.DUMMYFUNCTION("""COMPUTED_VALUE"""),"GwG Permanent")</f>
        <v>GwG Permanent</v>
      </c>
      <c r="E781" s="15">
        <f>IFERROR(__xludf.DUMMYFUNCTION("""COMPUTED_VALUE"""),43085.0)</f>
        <v>43085</v>
      </c>
      <c r="F781" s="16">
        <f>IFERROR(__xludf.DUMMYFUNCTION("""COMPUTED_VALUE"""),43100.0)</f>
        <v>43100</v>
      </c>
      <c r="G781" s="18">
        <f>IFERROR(__xludf.DUMMYFUNCTION("""COMPUTED_VALUE"""),0.4666666666666667)</f>
        <v>0.4666666667</v>
      </c>
      <c r="H781" s="15">
        <f>IFERROR(__xludf.DUMMYFUNCTION("""COMPUTED_VALUE"""),41537.0)</f>
        <v>41537</v>
      </c>
      <c r="I781" s="18">
        <f>IFERROR(__xludf.DUMMYFUNCTION("""COMPUTED_VALUE"""),4.238888888888889)</f>
        <v>4.238888889</v>
      </c>
      <c r="J781" s="22">
        <f>IFERROR(__xludf.DUMMYFUNCTION("""COMPUTED_VALUE"""),66.0)</f>
        <v>66</v>
      </c>
      <c r="K781" s="22">
        <f>IFERROR(__xludf.DUMMYFUNCTION("""COMPUTED_VALUE"""),6.0)</f>
        <v>6</v>
      </c>
      <c r="L781" s="26" t="str">
        <f>IFERROR(__xludf.DUMMYFUNCTION("""COMPUTED_VALUE"""),"Action‑Adventure")</f>
        <v>Action‑Adventure</v>
      </c>
      <c r="M781" s="26"/>
    </row>
    <row r="782">
      <c r="A782" s="12" t="str">
        <f>IFERROR(__xludf.DUMMYFUNCTION("""COMPUTED_VALUE"""),"Solarpunk")</f>
        <v>Solarpunk</v>
      </c>
      <c r="B782" s="13" t="str">
        <f>IFERROR(__xludf.DUMMYFUNCTION("""COMPUTED_VALUE"""),"Xbox / PC")</f>
        <v>Xbox / PC</v>
      </c>
      <c r="C782" s="14" t="str">
        <f>IFERROR(__xludf.DUMMYFUNCTION("""COMPUTED_VALUE"""),"Yes")</f>
        <v>Yes</v>
      </c>
      <c r="D782" s="14" t="str">
        <f>IFERROR(__xludf.DUMMYFUNCTION("""COMPUTED_VALUE"""),"Active")</f>
        <v>Active</v>
      </c>
      <c r="E782" s="15">
        <f>IFERROR(__xludf.DUMMYFUNCTION("""COMPUTED_VALUE"""),46181.0)</f>
        <v>46181</v>
      </c>
      <c r="F782" s="16"/>
      <c r="G782" s="18">
        <f>IFERROR(__xludf.DUMMYFUNCTION("""COMPUTED_VALUE"""),3.9333333333333336)</f>
        <v>3.933333333</v>
      </c>
      <c r="H782" s="15">
        <f>IFERROR(__xludf.DUMMYFUNCTION("""COMPUTED_VALUE"""),46181.0)</f>
        <v>46181</v>
      </c>
      <c r="I782" s="18">
        <f>IFERROR(__xludf.DUMMYFUNCTION("""COMPUTED_VALUE"""),0.0)</f>
        <v>0</v>
      </c>
      <c r="J782" s="22">
        <f>IFERROR(__xludf.DUMMYFUNCTION("""COMPUTED_VALUE"""),65.0)</f>
        <v>65</v>
      </c>
      <c r="K782" s="22">
        <f>IFERROR(__xludf.DUMMYFUNCTION("""COMPUTED_VALUE"""),17.0)</f>
        <v>17</v>
      </c>
      <c r="L782" s="26" t="str">
        <f>IFERROR(__xludf.DUMMYFUNCTION("""COMPUTED_VALUE"""),"Simulation")</f>
        <v>Simulation</v>
      </c>
      <c r="M782" s="26" t="str">
        <f>IFERROR(__xludf.DUMMYFUNCTION("""COMPUTED_VALUE"""),"Exclusive")</f>
        <v>Exclusive</v>
      </c>
    </row>
    <row r="783">
      <c r="A783" s="12" t="str">
        <f>IFERROR(__xludf.DUMMYFUNCTION("""COMPUTED_VALUE"""),"Call of Duty: Black Ops 7")</f>
        <v>Call of Duty: Black Ops 7</v>
      </c>
      <c r="B783" s="13" t="str">
        <f>IFERROR(__xludf.DUMMYFUNCTION("""COMPUTED_VALUE"""),"Xbox / PC")</f>
        <v>Xbox / PC</v>
      </c>
      <c r="C783" s="14" t="str">
        <f>IFERROR(__xludf.DUMMYFUNCTION("""COMPUTED_VALUE"""),"Yes")</f>
        <v>Yes</v>
      </c>
      <c r="D783" s="14" t="str">
        <f>IFERROR(__xludf.DUMMYFUNCTION("""COMPUTED_VALUE"""),"Active")</f>
        <v>Active</v>
      </c>
      <c r="E783" s="15">
        <f>IFERROR(__xludf.DUMMYFUNCTION("""COMPUTED_VALUE"""),45975.0)</f>
        <v>45975</v>
      </c>
      <c r="F783" s="16"/>
      <c r="G783" s="18">
        <f>IFERROR(__xludf.DUMMYFUNCTION("""COMPUTED_VALUE"""),10.733333333333334)</f>
        <v>10.73333333</v>
      </c>
      <c r="H783" s="15">
        <f>IFERROR(__xludf.DUMMYFUNCTION("""COMPUTED_VALUE"""),45975.0)</f>
        <v>45975</v>
      </c>
      <c r="I783" s="18">
        <f>IFERROR(__xludf.DUMMYFUNCTION("""COMPUTED_VALUE"""),0.0)</f>
        <v>0</v>
      </c>
      <c r="J783" s="22">
        <f>IFERROR(__xludf.DUMMYFUNCTION("""COMPUTED_VALUE"""),65.0)</f>
        <v>65</v>
      </c>
      <c r="K783" s="22">
        <f>IFERROR(__xludf.DUMMYFUNCTION("""COMPUTED_VALUE"""),5.0)</f>
        <v>5</v>
      </c>
      <c r="L783" s="26" t="str">
        <f>IFERROR(__xludf.DUMMYFUNCTION("""COMPUTED_VALUE"""),"Shooter")</f>
        <v>Shooter</v>
      </c>
      <c r="M783" s="26"/>
    </row>
    <row r="784">
      <c r="A784" s="12" t="str">
        <f>IFERROR(__xludf.DUMMYFUNCTION("""COMPUTED_VALUE"""),"Zombi")</f>
        <v>Zombi</v>
      </c>
      <c r="B784" s="13" t="str">
        <f>IFERROR(__xludf.DUMMYFUNCTION("""COMPUTED_VALUE"""),"Xbox / PC")</f>
        <v>Xbox / PC</v>
      </c>
      <c r="C784" s="14" t="str">
        <f>IFERROR(__xludf.DUMMYFUNCTION("""COMPUTED_VALUE"""),"Yes")</f>
        <v>Yes</v>
      </c>
      <c r="D784" s="14" t="str">
        <f>IFERROR(__xludf.DUMMYFUNCTION("""COMPUTED_VALUE"""),"Active")</f>
        <v>Active</v>
      </c>
      <c r="E784" s="15">
        <f>IFERROR(__xludf.DUMMYFUNCTION("""COMPUTED_VALUE"""),45931.0)</f>
        <v>45931</v>
      </c>
      <c r="F784" s="16"/>
      <c r="G784" s="18">
        <f>IFERROR(__xludf.DUMMYFUNCTION("""COMPUTED_VALUE"""),12.166666666666666)</f>
        <v>12.16666667</v>
      </c>
      <c r="H784" s="15">
        <f>IFERROR(__xludf.DUMMYFUNCTION("""COMPUTED_VALUE"""),42234.0)</f>
        <v>42234</v>
      </c>
      <c r="I784" s="18">
        <f>IFERROR(__xludf.DUMMYFUNCTION("""COMPUTED_VALUE"""),10.119444444444444)</f>
        <v>10.11944444</v>
      </c>
      <c r="J784" s="22">
        <f>IFERROR(__xludf.DUMMYFUNCTION("""COMPUTED_VALUE"""),65.0)</f>
        <v>65</v>
      </c>
      <c r="K784" s="22">
        <f>IFERROR(__xludf.DUMMYFUNCTION("""COMPUTED_VALUE"""),12.0)</f>
        <v>12</v>
      </c>
      <c r="L784" s="26" t="str">
        <f>IFERROR(__xludf.DUMMYFUNCTION("""COMPUTED_VALUE"""),"Survival")</f>
        <v>Survival</v>
      </c>
      <c r="M784" s="26"/>
    </row>
    <row r="785">
      <c r="A785" s="12" t="str">
        <f>IFERROR(__xludf.DUMMYFUNCTION("""COMPUTED_VALUE"""),"Crackpots")</f>
        <v>Crackpots</v>
      </c>
      <c r="B785" s="13" t="str">
        <f>IFERROR(__xludf.DUMMYFUNCTION("""COMPUTED_VALUE"""),"Xbox / PC")</f>
        <v>Xbox / PC</v>
      </c>
      <c r="C785" s="14" t="str">
        <f>IFERROR(__xludf.DUMMYFUNCTION("""COMPUTED_VALUE"""),"Yes")</f>
        <v>Yes</v>
      </c>
      <c r="D785" s="14" t="str">
        <f>IFERROR(__xludf.DUMMYFUNCTION("""COMPUTED_VALUE"""),"Active")</f>
        <v>Active</v>
      </c>
      <c r="E785" s="15">
        <f>IFERROR(__xludf.DUMMYFUNCTION("""COMPUTED_VALUE"""),45798.0)</f>
        <v>45798</v>
      </c>
      <c r="F785" s="16"/>
      <c r="G785" s="18">
        <f>IFERROR(__xludf.DUMMYFUNCTION("""COMPUTED_VALUE"""),16.5)</f>
        <v>16.5</v>
      </c>
      <c r="H785" s="15">
        <f>IFERROR(__xludf.DUMMYFUNCTION("""COMPUTED_VALUE"""),30452.0)</f>
        <v>30452</v>
      </c>
      <c r="I785" s="18">
        <f>IFERROR(__xludf.DUMMYFUNCTION("""COMPUTED_VALUE"""),42.013888888888886)</f>
        <v>42.01388889</v>
      </c>
      <c r="J785" s="22">
        <f>IFERROR(__xludf.DUMMYFUNCTION("""COMPUTED_VALUE"""),65.0)</f>
        <v>65</v>
      </c>
      <c r="K785" s="22">
        <f>IFERROR(__xludf.DUMMYFUNCTION("""COMPUTED_VALUE"""),2.0)</f>
        <v>2</v>
      </c>
      <c r="L785" s="26" t="str">
        <f>IFERROR(__xludf.DUMMYFUNCTION("""COMPUTED_VALUE"""),"Shooter")</f>
        <v>Shooter</v>
      </c>
      <c r="M785" s="26"/>
    </row>
    <row r="786">
      <c r="A786" s="12" t="str">
        <f>IFERROR(__xludf.DUMMYFUNCTION("""COMPUTED_VALUE"""),"Decathlon")</f>
        <v>Decathlon</v>
      </c>
      <c r="B786" s="13" t="str">
        <f>IFERROR(__xludf.DUMMYFUNCTION("""COMPUTED_VALUE"""),"Xbox / PC")</f>
        <v>Xbox / PC</v>
      </c>
      <c r="C786" s="14" t="str">
        <f>IFERROR(__xludf.DUMMYFUNCTION("""COMPUTED_VALUE"""),"Yes")</f>
        <v>Yes</v>
      </c>
      <c r="D786" s="14" t="str">
        <f>IFERROR(__xludf.DUMMYFUNCTION("""COMPUTED_VALUE"""),"Active")</f>
        <v>Active</v>
      </c>
      <c r="E786" s="15">
        <f>IFERROR(__xludf.DUMMYFUNCTION("""COMPUTED_VALUE"""),45798.0)</f>
        <v>45798</v>
      </c>
      <c r="F786" s="16"/>
      <c r="G786" s="18">
        <f>IFERROR(__xludf.DUMMYFUNCTION("""COMPUTED_VALUE"""),16.5)</f>
        <v>16.5</v>
      </c>
      <c r="H786" s="15">
        <f>IFERROR(__xludf.DUMMYFUNCTION("""COMPUTED_VALUE"""),30393.0)</f>
        <v>30393</v>
      </c>
      <c r="I786" s="18">
        <f>IFERROR(__xludf.DUMMYFUNCTION("""COMPUTED_VALUE"""),42.175)</f>
        <v>42.175</v>
      </c>
      <c r="J786" s="22">
        <f>IFERROR(__xludf.DUMMYFUNCTION("""COMPUTED_VALUE"""),65.0)</f>
        <v>65</v>
      </c>
      <c r="K786" s="22"/>
      <c r="L786" s="26" t="str">
        <f>IFERROR(__xludf.DUMMYFUNCTION("""COMPUTED_VALUE"""),"Sports")</f>
        <v>Sports</v>
      </c>
      <c r="M786" s="26"/>
    </row>
    <row r="787">
      <c r="A787" s="12" t="str">
        <f>IFERROR(__xludf.DUMMYFUNCTION("""COMPUTED_VALUE"""),"Dolphin")</f>
        <v>Dolphin</v>
      </c>
      <c r="B787" s="13" t="str">
        <f>IFERROR(__xludf.DUMMYFUNCTION("""COMPUTED_VALUE"""),"Xbox / PC")</f>
        <v>Xbox / PC</v>
      </c>
      <c r="C787" s="14" t="str">
        <f>IFERROR(__xludf.DUMMYFUNCTION("""COMPUTED_VALUE"""),"Yes")</f>
        <v>Yes</v>
      </c>
      <c r="D787" s="14" t="str">
        <f>IFERROR(__xludf.DUMMYFUNCTION("""COMPUTED_VALUE"""),"Active")</f>
        <v>Active</v>
      </c>
      <c r="E787" s="15">
        <f>IFERROR(__xludf.DUMMYFUNCTION("""COMPUTED_VALUE"""),45798.0)</f>
        <v>45798</v>
      </c>
      <c r="F787" s="16"/>
      <c r="G787" s="18">
        <f>IFERROR(__xludf.DUMMYFUNCTION("""COMPUTED_VALUE"""),16.5)</f>
        <v>16.5</v>
      </c>
      <c r="H787" s="15">
        <f>IFERROR(__xludf.DUMMYFUNCTION("""COMPUTED_VALUE"""),30677.0)</f>
        <v>30677</v>
      </c>
      <c r="I787" s="18">
        <f>IFERROR(__xludf.DUMMYFUNCTION("""COMPUTED_VALUE"""),41.4)</f>
        <v>41.4</v>
      </c>
      <c r="J787" s="22">
        <f>IFERROR(__xludf.DUMMYFUNCTION("""COMPUTED_VALUE"""),65.0)</f>
        <v>65</v>
      </c>
      <c r="K787" s="22"/>
      <c r="L787" s="26" t="str">
        <f>IFERROR(__xludf.DUMMYFUNCTION("""COMPUTED_VALUE"""),"Action")</f>
        <v>Action</v>
      </c>
      <c r="M787" s="26"/>
    </row>
    <row r="788">
      <c r="A788" s="12" t="str">
        <f>IFERROR(__xludf.DUMMYFUNCTION("""COMPUTED_VALUE"""),"Fishing Derby")</f>
        <v>Fishing Derby</v>
      </c>
      <c r="B788" s="13" t="str">
        <f>IFERROR(__xludf.DUMMYFUNCTION("""COMPUTED_VALUE"""),"Xbox / PC")</f>
        <v>Xbox / PC</v>
      </c>
      <c r="C788" s="14" t="str">
        <f>IFERROR(__xludf.DUMMYFUNCTION("""COMPUTED_VALUE"""),"Yes")</f>
        <v>Yes</v>
      </c>
      <c r="D788" s="14" t="str">
        <f>IFERROR(__xludf.DUMMYFUNCTION("""COMPUTED_VALUE"""),"Active")</f>
        <v>Active</v>
      </c>
      <c r="E788" s="15">
        <f>IFERROR(__xludf.DUMMYFUNCTION("""COMPUTED_VALUE"""),45798.0)</f>
        <v>45798</v>
      </c>
      <c r="F788" s="16"/>
      <c r="G788" s="18">
        <f>IFERROR(__xludf.DUMMYFUNCTION("""COMPUTED_VALUE"""),16.5)</f>
        <v>16.5</v>
      </c>
      <c r="H788" s="15">
        <f>IFERROR(__xludf.DUMMYFUNCTION("""COMPUTED_VALUE"""),29403.0)</f>
        <v>29403</v>
      </c>
      <c r="I788" s="18">
        <f>IFERROR(__xludf.DUMMYFUNCTION("""COMPUTED_VALUE"""),44.888888888888886)</f>
        <v>44.88888889</v>
      </c>
      <c r="J788" s="22">
        <f>IFERROR(__xludf.DUMMYFUNCTION("""COMPUTED_VALUE"""),65.0)</f>
        <v>65</v>
      </c>
      <c r="K788" s="22"/>
      <c r="L788" s="26" t="str">
        <f>IFERROR(__xludf.DUMMYFUNCTION("""COMPUTED_VALUE"""),"Sports")</f>
        <v>Sports</v>
      </c>
      <c r="M788" s="26"/>
    </row>
    <row r="789">
      <c r="A789" s="12" t="str">
        <f>IFERROR(__xludf.DUMMYFUNCTION("""COMPUTED_VALUE"""),"Grand Prix")</f>
        <v>Grand Prix</v>
      </c>
      <c r="B789" s="13" t="str">
        <f>IFERROR(__xludf.DUMMYFUNCTION("""COMPUTED_VALUE"""),"Xbox / PC")</f>
        <v>Xbox / PC</v>
      </c>
      <c r="C789" s="14" t="str">
        <f>IFERROR(__xludf.DUMMYFUNCTION("""COMPUTED_VALUE"""),"Yes")</f>
        <v>Yes</v>
      </c>
      <c r="D789" s="14" t="str">
        <f>IFERROR(__xludf.DUMMYFUNCTION("""COMPUTED_VALUE"""),"Active")</f>
        <v>Active</v>
      </c>
      <c r="E789" s="15">
        <f>IFERROR(__xludf.DUMMYFUNCTION("""COMPUTED_VALUE"""),45798.0)</f>
        <v>45798</v>
      </c>
      <c r="F789" s="16"/>
      <c r="G789" s="18">
        <f>IFERROR(__xludf.DUMMYFUNCTION("""COMPUTED_VALUE"""),16.5)</f>
        <v>16.5</v>
      </c>
      <c r="H789" s="15">
        <f>IFERROR(__xludf.DUMMYFUNCTION("""COMPUTED_VALUE"""),30011.0)</f>
        <v>30011</v>
      </c>
      <c r="I789" s="18">
        <f>IFERROR(__xludf.DUMMYFUNCTION("""COMPUTED_VALUE"""),43.22222222222222)</f>
        <v>43.22222222</v>
      </c>
      <c r="J789" s="22">
        <f>IFERROR(__xludf.DUMMYFUNCTION("""COMPUTED_VALUE"""),65.0)</f>
        <v>65</v>
      </c>
      <c r="K789" s="22"/>
      <c r="L789" s="26" t="str">
        <f>IFERROR(__xludf.DUMMYFUNCTION("""COMPUTED_VALUE"""),"Racing")</f>
        <v>Racing</v>
      </c>
      <c r="M789" s="26"/>
    </row>
    <row r="790">
      <c r="A790" s="12" t="str">
        <f>IFERROR(__xludf.DUMMYFUNCTION("""COMPUTED_VALUE"""),"Feeding Frenzy")</f>
        <v>Feeding Frenzy</v>
      </c>
      <c r="B790" s="13" t="str">
        <f>IFERROR(__xludf.DUMMYFUNCTION("""COMPUTED_VALUE"""),"Xbox")</f>
        <v>Xbox</v>
      </c>
      <c r="C790" s="14"/>
      <c r="D790" s="14" t="str">
        <f>IFERROR(__xludf.DUMMYFUNCTION("""COMPUTED_VALUE"""),"Active")</f>
        <v>Active</v>
      </c>
      <c r="E790" s="15">
        <f>IFERROR(__xludf.DUMMYFUNCTION("""COMPUTED_VALUE"""),44145.0)</f>
        <v>44145</v>
      </c>
      <c r="F790" s="16"/>
      <c r="G790" s="18">
        <f>IFERROR(__xludf.DUMMYFUNCTION("""COMPUTED_VALUE"""),70.86666666666667)</f>
        <v>70.86666667</v>
      </c>
      <c r="H790" s="15">
        <f>IFERROR(__xludf.DUMMYFUNCTION("""COMPUTED_VALUE"""),38791.0)</f>
        <v>38791</v>
      </c>
      <c r="I790" s="18">
        <f>IFERROR(__xludf.DUMMYFUNCTION("""COMPUTED_VALUE"""),14.652777777777779)</f>
        <v>14.65277778</v>
      </c>
      <c r="J790" s="22">
        <f>IFERROR(__xludf.DUMMYFUNCTION("""COMPUTED_VALUE"""),65.0)</f>
        <v>65</v>
      </c>
      <c r="K790" s="22">
        <f>IFERROR(__xludf.DUMMYFUNCTION("""COMPUTED_VALUE"""),2.0)</f>
        <v>2</v>
      </c>
      <c r="L790" s="26" t="str">
        <f>IFERROR(__xludf.DUMMYFUNCTION("""COMPUTED_VALUE"""),"Action")</f>
        <v>Action</v>
      </c>
      <c r="M790" s="26"/>
    </row>
    <row r="791">
      <c r="A791" s="12" t="str">
        <f>IFERROR(__xludf.DUMMYFUNCTION("""COMPUTED_VALUE"""),"Feeding Frenzy 2: Shipwreck Showdown")</f>
        <v>Feeding Frenzy 2: Shipwreck Showdown</v>
      </c>
      <c r="B791" s="13" t="str">
        <f>IFERROR(__xludf.DUMMYFUNCTION("""COMPUTED_VALUE"""),"Xbox")</f>
        <v>Xbox</v>
      </c>
      <c r="C791" s="14"/>
      <c r="D791" s="14" t="str">
        <f>IFERROR(__xludf.DUMMYFUNCTION("""COMPUTED_VALUE"""),"Active")</f>
        <v>Active</v>
      </c>
      <c r="E791" s="15">
        <f>IFERROR(__xludf.DUMMYFUNCTION("""COMPUTED_VALUE"""),44145.0)</f>
        <v>44145</v>
      </c>
      <c r="F791" s="16"/>
      <c r="G791" s="18">
        <f>IFERROR(__xludf.DUMMYFUNCTION("""COMPUTED_VALUE"""),70.86666666666667)</f>
        <v>70.86666667</v>
      </c>
      <c r="H791" s="15">
        <f>IFERROR(__xludf.DUMMYFUNCTION("""COMPUTED_VALUE"""),38754.0)</f>
        <v>38754</v>
      </c>
      <c r="I791" s="18">
        <f>IFERROR(__xludf.DUMMYFUNCTION("""COMPUTED_VALUE"""),14.761111111111111)</f>
        <v>14.76111111</v>
      </c>
      <c r="J791" s="22">
        <f>IFERROR(__xludf.DUMMYFUNCTION("""COMPUTED_VALUE"""),65.0)</f>
        <v>65</v>
      </c>
      <c r="K791" s="22">
        <f>IFERROR(__xludf.DUMMYFUNCTION("""COMPUTED_VALUE"""),2.5)</f>
        <v>2.5</v>
      </c>
      <c r="L791" s="26" t="str">
        <f>IFERROR(__xludf.DUMMYFUNCTION("""COMPUTED_VALUE"""),"Action")</f>
        <v>Action</v>
      </c>
      <c r="M791" s="26"/>
    </row>
    <row r="792">
      <c r="A792" s="12" t="str">
        <f>IFERROR(__xludf.DUMMYFUNCTION("""COMPUTED_VALUE"""),"Need for Speed: Deluxe Edition")</f>
        <v>Need for Speed: Deluxe Edition</v>
      </c>
      <c r="B792" s="13" t="str">
        <f>IFERROR(__xludf.DUMMYFUNCTION("""COMPUTED_VALUE"""),"Xbox / PC")</f>
        <v>Xbox / PC</v>
      </c>
      <c r="C792" s="14"/>
      <c r="D792" s="14" t="str">
        <f>IFERROR(__xludf.DUMMYFUNCTION("""COMPUTED_VALUE"""),"Active")</f>
        <v>Active</v>
      </c>
      <c r="E792" s="15">
        <f>IFERROR(__xludf.DUMMYFUNCTION("""COMPUTED_VALUE"""),44145.0)</f>
        <v>44145</v>
      </c>
      <c r="F792" s="16"/>
      <c r="G792" s="18">
        <f>IFERROR(__xludf.DUMMYFUNCTION("""COMPUTED_VALUE"""),70.86666666666667)</f>
        <v>70.86666667</v>
      </c>
      <c r="H792" s="15">
        <f>IFERROR(__xludf.DUMMYFUNCTION("""COMPUTED_VALUE"""),42311.0)</f>
        <v>42311</v>
      </c>
      <c r="I792" s="18">
        <f>IFERROR(__xludf.DUMMYFUNCTION("""COMPUTED_VALUE"""),5.019444444444445)</f>
        <v>5.019444444</v>
      </c>
      <c r="J792" s="22">
        <f>IFERROR(__xludf.DUMMYFUNCTION("""COMPUTED_VALUE"""),65.0)</f>
        <v>65</v>
      </c>
      <c r="K792" s="22">
        <f>IFERROR(__xludf.DUMMYFUNCTION("""COMPUTED_VALUE"""),15.5)</f>
        <v>15.5</v>
      </c>
      <c r="L792" s="26" t="str">
        <f>IFERROR(__xludf.DUMMYFUNCTION("""COMPUTED_VALUE"""),"Racing")</f>
        <v>Racing</v>
      </c>
      <c r="M792" s="26"/>
    </row>
    <row r="793">
      <c r="A793" s="12" t="str">
        <f>IFERROR(__xludf.DUMMYFUNCTION("""COMPUTED_VALUE"""),"Grounded")</f>
        <v>Grounded</v>
      </c>
      <c r="B793" s="13" t="str">
        <f>IFERROR(__xludf.DUMMYFUNCTION("""COMPUTED_VALUE"""),"Xbox / PC")</f>
        <v>Xbox / PC</v>
      </c>
      <c r="C793" s="14" t="str">
        <f>IFERROR(__xludf.DUMMYFUNCTION("""COMPUTED_VALUE"""),"M+KB")</f>
        <v>M+KB</v>
      </c>
      <c r="D793" s="14" t="str">
        <f>IFERROR(__xludf.DUMMYFUNCTION("""COMPUTED_VALUE"""),"Active")</f>
        <v>Active</v>
      </c>
      <c r="E793" s="15">
        <f>IFERROR(__xludf.DUMMYFUNCTION("""COMPUTED_VALUE"""),44040.0)</f>
        <v>44040</v>
      </c>
      <c r="F793" s="16"/>
      <c r="G793" s="18">
        <f>IFERROR(__xludf.DUMMYFUNCTION("""COMPUTED_VALUE"""),74.26666666666667)</f>
        <v>74.26666667</v>
      </c>
      <c r="H793" s="15">
        <f>IFERROR(__xludf.DUMMYFUNCTION("""COMPUTED_VALUE"""),44040.0)</f>
        <v>44040</v>
      </c>
      <c r="I793" s="18">
        <f>IFERROR(__xludf.DUMMYFUNCTION("""COMPUTED_VALUE"""),0.0)</f>
        <v>0</v>
      </c>
      <c r="J793" s="22">
        <f>IFERROR(__xludf.DUMMYFUNCTION("""COMPUTED_VALUE"""),65.0)</f>
        <v>65</v>
      </c>
      <c r="K793" s="22">
        <f>IFERROR(__xludf.DUMMYFUNCTION("""COMPUTED_VALUE"""),6.5)</f>
        <v>6.5</v>
      </c>
      <c r="L793" s="26" t="str">
        <f>IFERROR(__xludf.DUMMYFUNCTION("""COMPUTED_VALUE"""),"Action-Adventure")</f>
        <v>Action-Adventure</v>
      </c>
      <c r="M793" s="26" t="str">
        <f>IFERROR(__xludf.DUMMYFUNCTION("""COMPUTED_VALUE"""),"Optimized")</f>
        <v>Optimized</v>
      </c>
    </row>
    <row r="794">
      <c r="A794" s="12" t="str">
        <f>IFERROR(__xludf.DUMMYFUNCTION("""COMPUTED_VALUE"""),"Costume Quest 2")</f>
        <v>Costume Quest 2</v>
      </c>
      <c r="B794" s="13" t="str">
        <f>IFERROR(__xludf.DUMMYFUNCTION("""COMPUTED_VALUE"""),"Xbox")</f>
        <v>Xbox</v>
      </c>
      <c r="C794" s="14"/>
      <c r="D794" s="14" t="str">
        <f>IFERROR(__xludf.DUMMYFUNCTION("""COMPUTED_VALUE"""),"Active")</f>
        <v>Active</v>
      </c>
      <c r="E794" s="15">
        <f>IFERROR(__xludf.DUMMYFUNCTION("""COMPUTED_VALUE"""),43009.0)</f>
        <v>43009</v>
      </c>
      <c r="F794" s="16"/>
      <c r="G794" s="18">
        <f>IFERROR(__xludf.DUMMYFUNCTION("""COMPUTED_VALUE"""),108.16666666666667)</f>
        <v>108.1666667</v>
      </c>
      <c r="H794" s="15">
        <f>IFERROR(__xludf.DUMMYFUNCTION("""COMPUTED_VALUE"""),41919.0)</f>
        <v>41919</v>
      </c>
      <c r="I794" s="18">
        <f>IFERROR(__xludf.DUMMYFUNCTION("""COMPUTED_VALUE"""),2.9833333333333334)</f>
        <v>2.983333333</v>
      </c>
      <c r="J794" s="22">
        <f>IFERROR(__xludf.DUMMYFUNCTION("""COMPUTED_VALUE"""),65.0)</f>
        <v>65</v>
      </c>
      <c r="K794" s="22">
        <f>IFERROR(__xludf.DUMMYFUNCTION("""COMPUTED_VALUE"""),6.5)</f>
        <v>6.5</v>
      </c>
      <c r="L794" s="26" t="str">
        <f>IFERROR(__xludf.DUMMYFUNCTION("""COMPUTED_VALUE"""),"RPG")</f>
        <v>RPG</v>
      </c>
      <c r="M794" s="26"/>
    </row>
    <row r="795">
      <c r="A795" s="12" t="str">
        <f>IFERROR(__xludf.DUMMYFUNCTION("""COMPUTED_VALUE"""),"Beatdown City Survivors")</f>
        <v>Beatdown City Survivors</v>
      </c>
      <c r="B795" s="13" t="str">
        <f>IFERROR(__xludf.DUMMYFUNCTION("""COMPUTED_VALUE"""),"Xbox / PC")</f>
        <v>Xbox / PC</v>
      </c>
      <c r="C795" s="14" t="str">
        <f>IFERROR(__xludf.DUMMYFUNCTION("""COMPUTED_VALUE"""),"Yes")</f>
        <v>Yes</v>
      </c>
      <c r="D795" s="14" t="str">
        <f>IFERROR(__xludf.DUMMYFUNCTION("""COMPUTED_VALUE"""),"Active")</f>
        <v>Active</v>
      </c>
      <c r="E795" s="15">
        <f>IFERROR(__xludf.DUMMYFUNCTION("""COMPUTED_VALUE"""),46183.0)</f>
        <v>46183</v>
      </c>
      <c r="F795" s="16"/>
      <c r="G795" s="18">
        <f>IFERROR(__xludf.DUMMYFUNCTION("""COMPUTED_VALUE"""),3.866666666666667)</f>
        <v>3.866666667</v>
      </c>
      <c r="H795" s="15">
        <f>IFERROR(__xludf.DUMMYFUNCTION("""COMPUTED_VALUE"""),45693.0)</f>
        <v>45693</v>
      </c>
      <c r="I795" s="18">
        <f>IFERROR(__xludf.DUMMYFUNCTION("""COMPUTED_VALUE"""),1.3472222222222223)</f>
        <v>1.347222222</v>
      </c>
      <c r="J795" s="22">
        <f>IFERROR(__xludf.DUMMYFUNCTION("""COMPUTED_VALUE"""),64.0)</f>
        <v>64</v>
      </c>
      <c r="K795" s="22">
        <f>IFERROR(__xludf.DUMMYFUNCTION("""COMPUTED_VALUE"""),10.0)</f>
        <v>10</v>
      </c>
      <c r="L795" s="26" t="str">
        <f>IFERROR(__xludf.DUMMYFUNCTION("""COMPUTED_VALUE"""),"Action-Adventure")</f>
        <v>Action-Adventure</v>
      </c>
      <c r="M795" s="26" t="str">
        <f>IFERROR(__xludf.DUMMYFUNCTION("""COMPUTED_VALUE"""),"Exclusive")</f>
        <v>Exclusive</v>
      </c>
    </row>
    <row r="796">
      <c r="A796" s="12" t="str">
        <f>IFERROR(__xludf.DUMMYFUNCTION("""COMPUTED_VALUE"""),"Outbound")</f>
        <v>Outbound</v>
      </c>
      <c r="B796" s="13" t="str">
        <f>IFERROR(__xludf.DUMMYFUNCTION("""COMPUTED_VALUE"""),"Xbox / PC")</f>
        <v>Xbox / PC</v>
      </c>
      <c r="C796" s="14" t="str">
        <f>IFERROR(__xludf.DUMMYFUNCTION("""COMPUTED_VALUE"""),"Yes")</f>
        <v>Yes</v>
      </c>
      <c r="D796" s="14" t="str">
        <f>IFERROR(__xludf.DUMMYFUNCTION("""COMPUTED_VALUE"""),"Active")</f>
        <v>Active</v>
      </c>
      <c r="E796" s="15">
        <f>IFERROR(__xludf.DUMMYFUNCTION("""COMPUTED_VALUE"""),46153.0)</f>
        <v>46153</v>
      </c>
      <c r="F796" s="16"/>
      <c r="G796" s="18">
        <f>IFERROR(__xludf.DUMMYFUNCTION("""COMPUTED_VALUE"""),4.833333333333334)</f>
        <v>4.833333333</v>
      </c>
      <c r="H796" s="15">
        <f>IFERROR(__xludf.DUMMYFUNCTION("""COMPUTED_VALUE"""),46153.0)</f>
        <v>46153</v>
      </c>
      <c r="I796" s="18">
        <f>IFERROR(__xludf.DUMMYFUNCTION("""COMPUTED_VALUE"""),0.0)</f>
        <v>0</v>
      </c>
      <c r="J796" s="22">
        <f>IFERROR(__xludf.DUMMYFUNCTION("""COMPUTED_VALUE"""),64.0)</f>
        <v>64</v>
      </c>
      <c r="K796" s="22">
        <f>IFERROR(__xludf.DUMMYFUNCTION("""COMPUTED_VALUE"""),15.0)</f>
        <v>15</v>
      </c>
      <c r="L796" s="26" t="str">
        <f>IFERROR(__xludf.DUMMYFUNCTION("""COMPUTED_VALUE"""),"Survival Crafting")</f>
        <v>Survival Crafting</v>
      </c>
      <c r="M796" s="26"/>
    </row>
    <row r="797">
      <c r="A797" s="12" t="str">
        <f>IFERROR(__xludf.DUMMYFUNCTION("""COMPUTED_VALUE"""),"Pigeon Simulator")</f>
        <v>Pigeon Simulator</v>
      </c>
      <c r="B797" s="13" t="str">
        <f>IFERROR(__xludf.DUMMYFUNCTION("""COMPUTED_VALUE"""),"Xbox / PC")</f>
        <v>Xbox / PC</v>
      </c>
      <c r="C797" s="14" t="str">
        <f>IFERROR(__xludf.DUMMYFUNCTION("""COMPUTED_VALUE"""),"Yes")</f>
        <v>Yes</v>
      </c>
      <c r="D797" s="14" t="str">
        <f>IFERROR(__xludf.DUMMYFUNCTION("""COMPUTED_VALUE"""),"Active")</f>
        <v>Active</v>
      </c>
      <c r="E797" s="15">
        <f>IFERROR(__xludf.DUMMYFUNCTION("""COMPUTED_VALUE"""),45972.0)</f>
        <v>45972</v>
      </c>
      <c r="F797" s="16"/>
      <c r="G797" s="18">
        <f>IFERROR(__xludf.DUMMYFUNCTION("""COMPUTED_VALUE"""),10.833333333333334)</f>
        <v>10.83333333</v>
      </c>
      <c r="H797" s="15">
        <f>IFERROR(__xludf.DUMMYFUNCTION("""COMPUTED_VALUE"""),45972.0)</f>
        <v>45972</v>
      </c>
      <c r="I797" s="18">
        <f>IFERROR(__xludf.DUMMYFUNCTION("""COMPUTED_VALUE"""),0.0)</f>
        <v>0</v>
      </c>
      <c r="J797" s="22">
        <f>IFERROR(__xludf.DUMMYFUNCTION("""COMPUTED_VALUE"""),64.0)</f>
        <v>64</v>
      </c>
      <c r="K797" s="22">
        <f>IFERROR(__xludf.DUMMYFUNCTION("""COMPUTED_VALUE"""),7.0)</f>
        <v>7</v>
      </c>
      <c r="L797" s="26" t="str">
        <f>IFERROR(__xludf.DUMMYFUNCTION("""COMPUTED_VALUE"""),"Sandbox")</f>
        <v>Sandbox</v>
      </c>
      <c r="M797" s="26" t="str">
        <f>IFERROR(__xludf.DUMMYFUNCTION("""COMPUTED_VALUE"""),"Exclusive")</f>
        <v>Exclusive</v>
      </c>
    </row>
    <row r="798">
      <c r="A798" s="12" t="str">
        <f>IFERROR(__xludf.DUMMYFUNCTION("""COMPUTED_VALUE"""),"The Crew 2")</f>
        <v>The Crew 2</v>
      </c>
      <c r="B798" s="13" t="str">
        <f>IFERROR(__xludf.DUMMYFUNCTION("""COMPUTED_VALUE"""),"Xbox / PC")</f>
        <v>Xbox / PC</v>
      </c>
      <c r="C798" s="14" t="str">
        <f>IFERROR(__xludf.DUMMYFUNCTION("""COMPUTED_VALUE"""),"Yes")</f>
        <v>Yes</v>
      </c>
      <c r="D798" s="14" t="str">
        <f>IFERROR(__xludf.DUMMYFUNCTION("""COMPUTED_VALUE"""),"Active")</f>
        <v>Active</v>
      </c>
      <c r="E798" s="15">
        <f>IFERROR(__xludf.DUMMYFUNCTION("""COMPUTED_VALUE"""),45931.0)</f>
        <v>45931</v>
      </c>
      <c r="F798" s="16"/>
      <c r="G798" s="18">
        <f>IFERROR(__xludf.DUMMYFUNCTION("""COMPUTED_VALUE"""),12.166666666666666)</f>
        <v>12.16666667</v>
      </c>
      <c r="H798" s="15">
        <f>IFERROR(__xludf.DUMMYFUNCTION("""COMPUTED_VALUE"""),43277.0)</f>
        <v>43277</v>
      </c>
      <c r="I798" s="18">
        <f>IFERROR(__xludf.DUMMYFUNCTION("""COMPUTED_VALUE"""),7.263888888888889)</f>
        <v>7.263888889</v>
      </c>
      <c r="J798" s="22">
        <f>IFERROR(__xludf.DUMMYFUNCTION("""COMPUTED_VALUE"""),64.0)</f>
        <v>64</v>
      </c>
      <c r="K798" s="22">
        <f>IFERROR(__xludf.DUMMYFUNCTION("""COMPUTED_VALUE"""),21.0)</f>
        <v>21</v>
      </c>
      <c r="L798" s="26" t="str">
        <f>IFERROR(__xludf.DUMMYFUNCTION("""COMPUTED_VALUE"""),"Racing")</f>
        <v>Racing</v>
      </c>
      <c r="M798" s="26"/>
    </row>
    <row r="799">
      <c r="A799" s="12" t="str">
        <f>IFERROR(__xludf.DUMMYFUNCTION("""COMPUTED_VALUE"""),"FBC: Firebreak")</f>
        <v>FBC: Firebreak</v>
      </c>
      <c r="B799" s="13" t="str">
        <f>IFERROR(__xludf.DUMMYFUNCTION("""COMPUTED_VALUE"""),"Xbox / PC")</f>
        <v>Xbox / PC</v>
      </c>
      <c r="C799" s="14" t="str">
        <f>IFERROR(__xludf.DUMMYFUNCTION("""COMPUTED_VALUE"""),"Yes")</f>
        <v>Yes</v>
      </c>
      <c r="D799" s="14" t="str">
        <f>IFERROR(__xludf.DUMMYFUNCTION("""COMPUTED_VALUE"""),"Active")</f>
        <v>Active</v>
      </c>
      <c r="E799" s="15">
        <f>IFERROR(__xludf.DUMMYFUNCTION("""COMPUTED_VALUE"""),45825.0)</f>
        <v>45825</v>
      </c>
      <c r="F799" s="16"/>
      <c r="G799" s="18">
        <f>IFERROR(__xludf.DUMMYFUNCTION("""COMPUTED_VALUE"""),15.633333333333333)</f>
        <v>15.63333333</v>
      </c>
      <c r="H799" s="15">
        <f>IFERROR(__xludf.DUMMYFUNCTION("""COMPUTED_VALUE"""),45825.0)</f>
        <v>45825</v>
      </c>
      <c r="I799" s="18">
        <f>IFERROR(__xludf.DUMMYFUNCTION("""COMPUTED_VALUE"""),0.0)</f>
        <v>0</v>
      </c>
      <c r="J799" s="22">
        <f>IFERROR(__xludf.DUMMYFUNCTION("""COMPUTED_VALUE"""),64.0)</f>
        <v>64</v>
      </c>
      <c r="K799" s="22">
        <f>IFERROR(__xludf.DUMMYFUNCTION("""COMPUTED_VALUE"""),7.0)</f>
        <v>7</v>
      </c>
      <c r="L799" s="26" t="str">
        <f>IFERROR(__xludf.DUMMYFUNCTION("""COMPUTED_VALUE"""),"Shooter")</f>
        <v>Shooter</v>
      </c>
      <c r="M799" s="26" t="str">
        <f>IFERROR(__xludf.DUMMYFUNCTION("""COMPUTED_VALUE"""),"Exclusive")</f>
        <v>Exclusive</v>
      </c>
    </row>
    <row r="800">
      <c r="A800" s="12" t="str">
        <f>IFERROR(__xludf.DUMMYFUNCTION("""COMPUTED_VALUE"""),"We Happy Few")</f>
        <v>We Happy Few</v>
      </c>
      <c r="B800" s="13" t="str">
        <f>IFERROR(__xludf.DUMMYFUNCTION("""COMPUTED_VALUE"""),"Xbox / PC")</f>
        <v>Xbox / PC</v>
      </c>
      <c r="C800" s="14" t="str">
        <f>IFERROR(__xludf.DUMMYFUNCTION("""COMPUTED_VALUE"""),"Yes")</f>
        <v>Yes</v>
      </c>
      <c r="D800" s="14" t="str">
        <f>IFERROR(__xludf.DUMMYFUNCTION("""COMPUTED_VALUE"""),"Active")</f>
        <v>Active</v>
      </c>
      <c r="E800" s="15">
        <f>IFERROR(__xludf.DUMMYFUNCTION("""COMPUTED_VALUE"""),45302.0)</f>
        <v>45302</v>
      </c>
      <c r="F800" s="16"/>
      <c r="G800" s="18">
        <f>IFERROR(__xludf.DUMMYFUNCTION("""COMPUTED_VALUE"""),32.833333333333336)</f>
        <v>32.83333333</v>
      </c>
      <c r="H800" s="15">
        <f>IFERROR(__xludf.DUMMYFUNCTION("""COMPUTED_VALUE"""),43322.0)</f>
        <v>43322</v>
      </c>
      <c r="I800" s="18">
        <f>IFERROR(__xludf.DUMMYFUNCTION("""COMPUTED_VALUE"""),5.419444444444444)</f>
        <v>5.419444444</v>
      </c>
      <c r="J800" s="22">
        <f>IFERROR(__xludf.DUMMYFUNCTION("""COMPUTED_VALUE"""),64.0)</f>
        <v>64</v>
      </c>
      <c r="K800" s="22">
        <f>IFERROR(__xludf.DUMMYFUNCTION("""COMPUTED_VALUE"""),21.0)</f>
        <v>21</v>
      </c>
      <c r="L800" s="26" t="str">
        <f>IFERROR(__xludf.DUMMYFUNCTION("""COMPUTED_VALUE"""),"Shooter")</f>
        <v>Shooter</v>
      </c>
      <c r="M800" s="26" t="str">
        <f>IFERROR(__xludf.DUMMYFUNCTION("""COMPUTED_VALUE"""),"Optimized")</f>
        <v>Optimized</v>
      </c>
    </row>
    <row r="801">
      <c r="A801" s="12" t="str">
        <f>IFERROR(__xludf.DUMMYFUNCTION("""COMPUTED_VALUE"""),"Cooking Simulator")</f>
        <v>Cooking Simulator</v>
      </c>
      <c r="B801" s="13" t="str">
        <f>IFERROR(__xludf.DUMMYFUNCTION("""COMPUTED_VALUE"""),"Xbox / PC")</f>
        <v>Xbox / PC</v>
      </c>
      <c r="C801" s="14" t="str">
        <f>IFERROR(__xludf.DUMMYFUNCTION("""COMPUTED_VALUE"""),"Yes")</f>
        <v>Yes</v>
      </c>
      <c r="D801" s="14" t="str">
        <f>IFERROR(__xludf.DUMMYFUNCTION("""COMPUTED_VALUE"""),"Active")</f>
        <v>Active</v>
      </c>
      <c r="E801" s="15">
        <f>IFERROR(__xludf.DUMMYFUNCTION("""COMPUTED_VALUE"""),44784.0)</f>
        <v>44784</v>
      </c>
      <c r="F801" s="16"/>
      <c r="G801" s="18">
        <f>IFERROR(__xludf.DUMMYFUNCTION("""COMPUTED_VALUE"""),49.83333333333333)</f>
        <v>49.83333333</v>
      </c>
      <c r="H801" s="15">
        <f>IFERROR(__xludf.DUMMYFUNCTION("""COMPUTED_VALUE"""),43622.0)</f>
        <v>43622</v>
      </c>
      <c r="I801" s="18">
        <f>IFERROR(__xludf.DUMMYFUNCTION("""COMPUTED_VALUE"""),3.1805555555555554)</f>
        <v>3.180555556</v>
      </c>
      <c r="J801" s="22">
        <f>IFERROR(__xludf.DUMMYFUNCTION("""COMPUTED_VALUE"""),64.0)</f>
        <v>64</v>
      </c>
      <c r="K801" s="22">
        <f>IFERROR(__xludf.DUMMYFUNCTION("""COMPUTED_VALUE"""),8.5)</f>
        <v>8.5</v>
      </c>
      <c r="L801" s="26" t="str">
        <f>IFERROR(__xludf.DUMMYFUNCTION("""COMPUTED_VALUE"""),"Simulation")</f>
        <v>Simulation</v>
      </c>
      <c r="M801" s="26"/>
    </row>
    <row r="802">
      <c r="A802" s="12" t="str">
        <f>IFERROR(__xludf.DUMMYFUNCTION("""COMPUTED_VALUE"""),"The Walking Dead: Michonne")</f>
        <v>The Walking Dead: Michonne</v>
      </c>
      <c r="B802" s="13" t="str">
        <f>IFERROR(__xludf.DUMMYFUNCTION("""COMPUTED_VALUE"""),"Xbox / PC")</f>
        <v>Xbox / PC</v>
      </c>
      <c r="C802" s="14" t="str">
        <f>IFERROR(__xludf.DUMMYFUNCTION("""COMPUTED_VALUE"""),"Touch Controls")</f>
        <v>Touch Controls</v>
      </c>
      <c r="D802" s="14" t="str">
        <f>IFERROR(__xludf.DUMMYFUNCTION("""COMPUTED_VALUE"""),"Active")</f>
        <v>Active</v>
      </c>
      <c r="E802" s="15">
        <f>IFERROR(__xludf.DUMMYFUNCTION("""COMPUTED_VALUE"""),43552.0)</f>
        <v>43552</v>
      </c>
      <c r="F802" s="16"/>
      <c r="G802" s="18">
        <f>IFERROR(__xludf.DUMMYFUNCTION("""COMPUTED_VALUE"""),90.26666666666667)</f>
        <v>90.26666667</v>
      </c>
      <c r="H802" s="15">
        <f>IFERROR(__xludf.DUMMYFUNCTION("""COMPUTED_VALUE"""),42423.0)</f>
        <v>42423</v>
      </c>
      <c r="I802" s="18">
        <f>IFERROR(__xludf.DUMMYFUNCTION("""COMPUTED_VALUE"""),3.0972222222222223)</f>
        <v>3.097222222</v>
      </c>
      <c r="J802" s="22">
        <f>IFERROR(__xludf.DUMMYFUNCTION("""COMPUTED_VALUE"""),64.0)</f>
        <v>64</v>
      </c>
      <c r="K802" s="22">
        <f>IFERROR(__xludf.DUMMYFUNCTION("""COMPUTED_VALUE"""),4.0)</f>
        <v>4</v>
      </c>
      <c r="L802" s="26" t="str">
        <f>IFERROR(__xludf.DUMMYFUNCTION("""COMPUTED_VALUE"""),"Adventure")</f>
        <v>Adventure</v>
      </c>
      <c r="M802" s="26"/>
    </row>
    <row r="803">
      <c r="A803" s="12" t="str">
        <f>IFERROR(__xludf.DUMMYFUNCTION("""COMPUTED_VALUE"""),"Super Lucky's Tale")</f>
        <v>Super Lucky's Tale</v>
      </c>
      <c r="B803" s="13" t="str">
        <f>IFERROR(__xludf.DUMMYFUNCTION("""COMPUTED_VALUE"""),"Xbox / PC")</f>
        <v>Xbox / PC</v>
      </c>
      <c r="C803" s="14"/>
      <c r="D803" s="14" t="str">
        <f>IFERROR(__xludf.DUMMYFUNCTION("""COMPUTED_VALUE"""),"Active")</f>
        <v>Active</v>
      </c>
      <c r="E803" s="15">
        <f>IFERROR(__xludf.DUMMYFUNCTION("""COMPUTED_VALUE"""),43160.0)</f>
        <v>43160</v>
      </c>
      <c r="F803" s="16"/>
      <c r="G803" s="18">
        <f>IFERROR(__xludf.DUMMYFUNCTION("""COMPUTED_VALUE"""),103.16666666666666)</f>
        <v>103.1666667</v>
      </c>
      <c r="H803" s="15">
        <f>IFERROR(__xludf.DUMMYFUNCTION("""COMPUTED_VALUE"""),43046.0)</f>
        <v>43046</v>
      </c>
      <c r="I803" s="18">
        <f>IFERROR(__xludf.DUMMYFUNCTION("""COMPUTED_VALUE"""),0.31666666666666665)</f>
        <v>0.3166666667</v>
      </c>
      <c r="J803" s="22">
        <f>IFERROR(__xludf.DUMMYFUNCTION("""COMPUTED_VALUE"""),64.0)</f>
        <v>64</v>
      </c>
      <c r="K803" s="22">
        <f>IFERROR(__xludf.DUMMYFUNCTION("""COMPUTED_VALUE"""),6.0)</f>
        <v>6</v>
      </c>
      <c r="L803" s="26" t="str">
        <f>IFERROR(__xludf.DUMMYFUNCTION("""COMPUTED_VALUE"""),"Platformer")</f>
        <v>Platformer</v>
      </c>
      <c r="M803" s="26" t="str">
        <f>IFERROR(__xludf.DUMMYFUNCTION("""COMPUTED_VALUE"""),"FPS Boost")</f>
        <v>FPS Boost</v>
      </c>
    </row>
    <row r="804">
      <c r="A804" s="12" t="str">
        <f>IFERROR(__xludf.DUMMYFUNCTION("""COMPUTED_VALUE"""),"I Am Alive")</f>
        <v>I Am Alive</v>
      </c>
      <c r="B804" s="13" t="str">
        <f>IFERROR(__xludf.DUMMYFUNCTION("""COMPUTED_VALUE"""),"XB360/OG Xbox")</f>
        <v>XB360/OG Xbox</v>
      </c>
      <c r="C804" s="14"/>
      <c r="D804" s="14" t="str">
        <f>IFERROR(__xludf.DUMMYFUNCTION("""COMPUTED_VALUE"""),"GwG Permanent")</f>
        <v>GwG Permanent</v>
      </c>
      <c r="E804" s="15">
        <f>IFERROR(__xludf.DUMMYFUNCTION("""COMPUTED_VALUE"""),42659.0)</f>
        <v>42659</v>
      </c>
      <c r="F804" s="16">
        <f>IFERROR(__xludf.DUMMYFUNCTION("""COMPUTED_VALUE"""),42674.0)</f>
        <v>42674</v>
      </c>
      <c r="G804" s="18">
        <f>IFERROR(__xludf.DUMMYFUNCTION("""COMPUTED_VALUE"""),0.4666666666666667)</f>
        <v>0.4666666667</v>
      </c>
      <c r="H804" s="15">
        <f>IFERROR(__xludf.DUMMYFUNCTION("""COMPUTED_VALUE"""),40975.0)</f>
        <v>40975</v>
      </c>
      <c r="I804" s="18">
        <f>IFERROR(__xludf.DUMMYFUNCTION("""COMPUTED_VALUE"""),4.608333333333333)</f>
        <v>4.608333333</v>
      </c>
      <c r="J804" s="22">
        <f>IFERROR(__xludf.DUMMYFUNCTION("""COMPUTED_VALUE"""),64.0)</f>
        <v>64</v>
      </c>
      <c r="K804" s="22">
        <f>IFERROR(__xludf.DUMMYFUNCTION("""COMPUTED_VALUE"""),6.0)</f>
        <v>6</v>
      </c>
      <c r="L804" s="26" t="str">
        <f>IFERROR(__xludf.DUMMYFUNCTION("""COMPUTED_VALUE"""),"Survival")</f>
        <v>Survival</v>
      </c>
      <c r="M804" s="26"/>
    </row>
    <row r="805">
      <c r="A805" s="12" t="str">
        <f>IFERROR(__xludf.DUMMYFUNCTION("""COMPUTED_VALUE"""),"Contrast")</f>
        <v>Contrast</v>
      </c>
      <c r="B805" s="13" t="str">
        <f>IFERROR(__xludf.DUMMYFUNCTION("""COMPUTED_VALUE"""),"Xbox")</f>
        <v>Xbox</v>
      </c>
      <c r="C805" s="14" t="str">
        <f>IFERROR(__xludf.DUMMYFUNCTION("""COMPUTED_VALUE"""),"Touch Controls")</f>
        <v>Touch Controls</v>
      </c>
      <c r="D805" s="14" t="str">
        <f>IFERROR(__xludf.DUMMYFUNCTION("""COMPUTED_VALUE"""),"Active")</f>
        <v>Active</v>
      </c>
      <c r="E805" s="15">
        <f>IFERROR(__xludf.DUMMYFUNCTION("""COMPUTED_VALUE"""),44595.0)</f>
        <v>44595</v>
      </c>
      <c r="F805" s="16"/>
      <c r="G805" s="18">
        <f>IFERROR(__xludf.DUMMYFUNCTION("""COMPUTED_VALUE"""),56.099999999999994)</f>
        <v>56.1</v>
      </c>
      <c r="H805" s="15">
        <f>IFERROR(__xludf.DUMMYFUNCTION("""COMPUTED_VALUE"""),41593.0)</f>
        <v>41593</v>
      </c>
      <c r="I805" s="18">
        <f>IFERROR(__xludf.DUMMYFUNCTION("""COMPUTED_VALUE"""),8.216666666666667)</f>
        <v>8.216666667</v>
      </c>
      <c r="J805" s="22">
        <f>IFERROR(__xludf.DUMMYFUNCTION("""COMPUTED_VALUE"""),63.5)</f>
        <v>63.5</v>
      </c>
      <c r="K805" s="22">
        <f>IFERROR(__xludf.DUMMYFUNCTION("""COMPUTED_VALUE"""),3.5)</f>
        <v>3.5</v>
      </c>
      <c r="L805" s="26" t="str">
        <f>IFERROR(__xludf.DUMMYFUNCTION("""COMPUTED_VALUE"""),"Platformer")</f>
        <v>Platformer</v>
      </c>
      <c r="M805" s="26"/>
    </row>
    <row r="806">
      <c r="A806" s="12" t="str">
        <f>IFERROR(__xludf.DUMMYFUNCTION("""COMPUTED_VALUE"""),"Aphelion")</f>
        <v>Aphelion</v>
      </c>
      <c r="B806" s="13" t="str">
        <f>IFERROR(__xludf.DUMMYFUNCTION("""COMPUTED_VALUE"""),"Xbox / PC")</f>
        <v>Xbox / PC</v>
      </c>
      <c r="C806" s="14" t="str">
        <f>IFERROR(__xludf.DUMMYFUNCTION("""COMPUTED_VALUE"""),"Yes")</f>
        <v>Yes</v>
      </c>
      <c r="D806" s="14" t="str">
        <f>IFERROR(__xludf.DUMMYFUNCTION("""COMPUTED_VALUE"""),"Active")</f>
        <v>Active</v>
      </c>
      <c r="E806" s="15">
        <f>IFERROR(__xludf.DUMMYFUNCTION("""COMPUTED_VALUE"""),46140.0)</f>
        <v>46140</v>
      </c>
      <c r="F806" s="16"/>
      <c r="G806" s="18">
        <f>IFERROR(__xludf.DUMMYFUNCTION("""COMPUTED_VALUE"""),5.266666666666667)</f>
        <v>5.266666667</v>
      </c>
      <c r="H806" s="15">
        <f>IFERROR(__xludf.DUMMYFUNCTION("""COMPUTED_VALUE"""),46140.0)</f>
        <v>46140</v>
      </c>
      <c r="I806" s="18">
        <f>IFERROR(__xludf.DUMMYFUNCTION("""COMPUTED_VALUE"""),0.0)</f>
        <v>0</v>
      </c>
      <c r="J806" s="22">
        <f>IFERROR(__xludf.DUMMYFUNCTION("""COMPUTED_VALUE"""),63.0)</f>
        <v>63</v>
      </c>
      <c r="K806" s="22">
        <f>IFERROR(__xludf.DUMMYFUNCTION("""COMPUTED_VALUE"""),7.0)</f>
        <v>7</v>
      </c>
      <c r="L806" s="26" t="str">
        <f>IFERROR(__xludf.DUMMYFUNCTION("""COMPUTED_VALUE"""),"Action-Adventure")</f>
        <v>Action-Adventure</v>
      </c>
      <c r="M806" s="26" t="str">
        <f>IFERROR(__xludf.DUMMYFUNCTION("""COMPUTED_VALUE"""),"Exclusive")</f>
        <v>Exclusive</v>
      </c>
    </row>
    <row r="807">
      <c r="A807" s="12" t="str">
        <f>IFERROR(__xludf.DUMMYFUNCTION("""COMPUTED_VALUE"""),"Assassin's Creed Chronicles: India")</f>
        <v>Assassin's Creed Chronicles: India</v>
      </c>
      <c r="B807" s="13" t="str">
        <f>IFERROR(__xludf.DUMMYFUNCTION("""COMPUTED_VALUE"""),"Xbox / PC")</f>
        <v>Xbox / PC</v>
      </c>
      <c r="C807" s="14" t="str">
        <f>IFERROR(__xludf.DUMMYFUNCTION("""COMPUTED_VALUE"""),"Yes")</f>
        <v>Yes</v>
      </c>
      <c r="D807" s="14" t="str">
        <f>IFERROR(__xludf.DUMMYFUNCTION("""COMPUTED_VALUE"""),"Active")</f>
        <v>Active</v>
      </c>
      <c r="E807" s="15">
        <f>IFERROR(__xludf.DUMMYFUNCTION("""COMPUTED_VALUE"""),45931.0)</f>
        <v>45931</v>
      </c>
      <c r="F807" s="16"/>
      <c r="G807" s="18">
        <f>IFERROR(__xludf.DUMMYFUNCTION("""COMPUTED_VALUE"""),12.166666666666666)</f>
        <v>12.16666667</v>
      </c>
      <c r="H807" s="15">
        <f>IFERROR(__xludf.DUMMYFUNCTION("""COMPUTED_VALUE"""),42382.0)</f>
        <v>42382</v>
      </c>
      <c r="I807" s="18">
        <f>IFERROR(__xludf.DUMMYFUNCTION("""COMPUTED_VALUE"""),9.716666666666667)</f>
        <v>9.716666667</v>
      </c>
      <c r="J807" s="22">
        <f>IFERROR(__xludf.DUMMYFUNCTION("""COMPUTED_VALUE"""),63.0)</f>
        <v>63</v>
      </c>
      <c r="K807" s="22">
        <f>IFERROR(__xludf.DUMMYFUNCTION("""COMPUTED_VALUE"""),6.0)</f>
        <v>6</v>
      </c>
      <c r="L807" s="26" t="str">
        <f>IFERROR(__xludf.DUMMYFUNCTION("""COMPUTED_VALUE"""),"Action-Adventure")</f>
        <v>Action-Adventure</v>
      </c>
      <c r="M807" s="26"/>
    </row>
    <row r="808">
      <c r="A808" s="12" t="str">
        <f>IFERROR(__xludf.DUMMYFUNCTION("""COMPUTED_VALUE"""),"Fire Fighter")</f>
        <v>Fire Fighter</v>
      </c>
      <c r="B808" s="13" t="str">
        <f>IFERROR(__xludf.DUMMYFUNCTION("""COMPUTED_VALUE"""),"Xbox / PC")</f>
        <v>Xbox / PC</v>
      </c>
      <c r="C808" s="14" t="str">
        <f>IFERROR(__xludf.DUMMYFUNCTION("""COMPUTED_VALUE"""),"Yes")</f>
        <v>Yes</v>
      </c>
      <c r="D808" s="14" t="str">
        <f>IFERROR(__xludf.DUMMYFUNCTION("""COMPUTED_VALUE"""),"Active")</f>
        <v>Active</v>
      </c>
      <c r="E808" s="15">
        <f>IFERROR(__xludf.DUMMYFUNCTION("""COMPUTED_VALUE"""),45798.0)</f>
        <v>45798</v>
      </c>
      <c r="F808" s="16"/>
      <c r="G808" s="18">
        <f>IFERROR(__xludf.DUMMYFUNCTION("""COMPUTED_VALUE"""),16.5)</f>
        <v>16.5</v>
      </c>
      <c r="H808" s="15">
        <f>IFERROR(__xludf.DUMMYFUNCTION("""COMPUTED_VALUE"""),30195.0)</f>
        <v>30195</v>
      </c>
      <c r="I808" s="18">
        <f>IFERROR(__xludf.DUMMYFUNCTION("""COMPUTED_VALUE"""),42.72222222222222)</f>
        <v>42.72222222</v>
      </c>
      <c r="J808" s="22">
        <f>IFERROR(__xludf.DUMMYFUNCTION("""COMPUTED_VALUE"""),63.0)</f>
        <v>63</v>
      </c>
      <c r="K808" s="22"/>
      <c r="L808" s="26" t="str">
        <f>IFERROR(__xludf.DUMMYFUNCTION("""COMPUTED_VALUE"""),"Action‑Adventure")</f>
        <v>Action‑Adventure</v>
      </c>
      <c r="M808" s="26"/>
    </row>
    <row r="809">
      <c r="A809" s="12" t="str">
        <f>IFERROR(__xludf.DUMMYFUNCTION("""COMPUTED_VALUE"""),"Sky Jinks")</f>
        <v>Sky Jinks</v>
      </c>
      <c r="B809" s="13" t="str">
        <f>IFERROR(__xludf.DUMMYFUNCTION("""COMPUTED_VALUE"""),"Xbox / PC")</f>
        <v>Xbox / PC</v>
      </c>
      <c r="C809" s="14" t="str">
        <f>IFERROR(__xludf.DUMMYFUNCTION("""COMPUTED_VALUE"""),"Yes")</f>
        <v>Yes</v>
      </c>
      <c r="D809" s="14" t="str">
        <f>IFERROR(__xludf.DUMMYFUNCTION("""COMPUTED_VALUE"""),"Active")</f>
        <v>Active</v>
      </c>
      <c r="E809" s="15">
        <f>IFERROR(__xludf.DUMMYFUNCTION("""COMPUTED_VALUE"""),45798.0)</f>
        <v>45798</v>
      </c>
      <c r="F809" s="16"/>
      <c r="G809" s="18">
        <f>IFERROR(__xludf.DUMMYFUNCTION("""COMPUTED_VALUE"""),16.5)</f>
        <v>16.5</v>
      </c>
      <c r="H809" s="15">
        <f>IFERROR(__xludf.DUMMYFUNCTION("""COMPUTED_VALUE"""),30256.0)</f>
        <v>30256</v>
      </c>
      <c r="I809" s="18">
        <f>IFERROR(__xludf.DUMMYFUNCTION("""COMPUTED_VALUE"""),42.55555555555556)</f>
        <v>42.55555556</v>
      </c>
      <c r="J809" s="22">
        <f>IFERROR(__xludf.DUMMYFUNCTION("""COMPUTED_VALUE"""),63.0)</f>
        <v>63</v>
      </c>
      <c r="K809" s="22"/>
      <c r="L809" s="26" t="str">
        <f>IFERROR(__xludf.DUMMYFUNCTION("""COMPUTED_VALUE"""),"Shooter")</f>
        <v>Shooter</v>
      </c>
      <c r="M809" s="26"/>
    </row>
    <row r="810">
      <c r="A810" s="12" t="str">
        <f>IFERROR(__xludf.DUMMYFUNCTION("""COMPUTED_VALUE"""),"Call of the Wild: The Angler")</f>
        <v>Call of the Wild: The Angler</v>
      </c>
      <c r="B810" s="13" t="str">
        <f>IFERROR(__xludf.DUMMYFUNCTION("""COMPUTED_VALUE"""),"Xbox / PC")</f>
        <v>Xbox / PC</v>
      </c>
      <c r="C810" s="14"/>
      <c r="D810" s="14" t="str">
        <f>IFERROR(__xludf.DUMMYFUNCTION("""COMPUTED_VALUE"""),"Active")</f>
        <v>Active</v>
      </c>
      <c r="E810" s="15">
        <f>IFERROR(__xludf.DUMMYFUNCTION("""COMPUTED_VALUE"""),45167.0)</f>
        <v>45167</v>
      </c>
      <c r="F810" s="16"/>
      <c r="G810" s="18">
        <f>IFERROR(__xludf.DUMMYFUNCTION("""COMPUTED_VALUE"""),37.233333333333334)</f>
        <v>37.23333333</v>
      </c>
      <c r="H810" s="15">
        <f>IFERROR(__xludf.DUMMYFUNCTION("""COMPUTED_VALUE"""),44804.0)</f>
        <v>44804</v>
      </c>
      <c r="I810" s="18">
        <f>IFERROR(__xludf.DUMMYFUNCTION("""COMPUTED_VALUE"""),0.9972222222222222)</f>
        <v>0.9972222222</v>
      </c>
      <c r="J810" s="22">
        <f>IFERROR(__xludf.DUMMYFUNCTION("""COMPUTED_VALUE"""),63.0)</f>
        <v>63</v>
      </c>
      <c r="K810" s="22">
        <f>IFERROR(__xludf.DUMMYFUNCTION("""COMPUTED_VALUE"""),11.5)</f>
        <v>11.5</v>
      </c>
      <c r="L810" s="26" t="str">
        <f>IFERROR(__xludf.DUMMYFUNCTION("""COMPUTED_VALUE"""),"Sports")</f>
        <v>Sports</v>
      </c>
      <c r="M810" s="26"/>
    </row>
    <row r="811">
      <c r="A811" s="12" t="str">
        <f>IFERROR(__xludf.DUMMYFUNCTION("""COMPUTED_VALUE"""),"MX vs. ATV: Alive")</f>
        <v>MX vs. ATV: Alive</v>
      </c>
      <c r="B811" s="13" t="str">
        <f>IFERROR(__xludf.DUMMYFUNCTION("""COMPUTED_VALUE"""),"XB360/OG Xbox")</f>
        <v>XB360/OG Xbox</v>
      </c>
      <c r="C811" s="14"/>
      <c r="D811" s="14" t="str">
        <f>IFERROR(__xludf.DUMMYFUNCTION("""COMPUTED_VALUE"""),"GwG Permanent")</f>
        <v>GwG Permanent</v>
      </c>
      <c r="E811" s="15">
        <f>IFERROR(__xludf.DUMMYFUNCTION("""COMPUTED_VALUE"""),44667.0)</f>
        <v>44667</v>
      </c>
      <c r="F811" s="16">
        <f>IFERROR(__xludf.DUMMYFUNCTION("""COMPUTED_VALUE"""),44681.0)</f>
        <v>44681</v>
      </c>
      <c r="G811" s="18">
        <f>IFERROR(__xludf.DUMMYFUNCTION("""COMPUTED_VALUE"""),0.4666666666666667)</f>
        <v>0.4666666667</v>
      </c>
      <c r="H811" s="15">
        <f>IFERROR(__xludf.DUMMYFUNCTION("""COMPUTED_VALUE"""),40673.0)</f>
        <v>40673</v>
      </c>
      <c r="I811" s="18">
        <f>IFERROR(__xludf.DUMMYFUNCTION("""COMPUTED_VALUE"""),10.933333333333334)</f>
        <v>10.93333333</v>
      </c>
      <c r="J811" s="22">
        <f>IFERROR(__xludf.DUMMYFUNCTION("""COMPUTED_VALUE"""),63.0)</f>
        <v>63</v>
      </c>
      <c r="K811" s="22">
        <f>IFERROR(__xludf.DUMMYFUNCTION("""COMPUTED_VALUE"""),15.0)</f>
        <v>15</v>
      </c>
      <c r="L811" s="26" t="str">
        <f>IFERROR(__xludf.DUMMYFUNCTION("""COMPUTED_VALUE"""),"Racing")</f>
        <v>Racing</v>
      </c>
      <c r="M811" s="26"/>
    </row>
    <row r="812">
      <c r="A812" s="12" t="str">
        <f>IFERROR(__xludf.DUMMYFUNCTION("""COMPUTED_VALUE"""),"Hydrophobia")</f>
        <v>Hydrophobia</v>
      </c>
      <c r="B812" s="13" t="str">
        <f>IFERROR(__xludf.DUMMYFUNCTION("""COMPUTED_VALUE"""),"XB360/OG Xbox")</f>
        <v>XB360/OG Xbox</v>
      </c>
      <c r="C812" s="14"/>
      <c r="D812" s="14" t="str">
        <f>IFERROR(__xludf.DUMMYFUNCTION("""COMPUTED_VALUE"""),"GwG Permanent")</f>
        <v>GwG Permanent</v>
      </c>
      <c r="E812" s="15">
        <f>IFERROR(__xludf.DUMMYFUNCTION("""COMPUTED_VALUE"""),44593.0)</f>
        <v>44593</v>
      </c>
      <c r="F812" s="16">
        <f>IFERROR(__xludf.DUMMYFUNCTION("""COMPUTED_VALUE"""),44607.0)</f>
        <v>44607</v>
      </c>
      <c r="G812" s="18">
        <f>IFERROR(__xludf.DUMMYFUNCTION("""COMPUTED_VALUE"""),0.4666666666666667)</f>
        <v>0.4666666667</v>
      </c>
      <c r="H812" s="15">
        <f>IFERROR(__xludf.DUMMYFUNCTION("""COMPUTED_VALUE"""),40260.0)</f>
        <v>40260</v>
      </c>
      <c r="I812" s="18">
        <f>IFERROR(__xludf.DUMMYFUNCTION("""COMPUTED_VALUE"""),11.855555555555556)</f>
        <v>11.85555556</v>
      </c>
      <c r="J812" s="22">
        <f>IFERROR(__xludf.DUMMYFUNCTION("""COMPUTED_VALUE"""),63.0)</f>
        <v>63</v>
      </c>
      <c r="K812" s="22">
        <f>IFERROR(__xludf.DUMMYFUNCTION("""COMPUTED_VALUE"""),5.0)</f>
        <v>5</v>
      </c>
      <c r="L812" s="26" t="str">
        <f>IFERROR(__xludf.DUMMYFUNCTION("""COMPUTED_VALUE"""),"Action-Adventure")</f>
        <v>Action-Adventure</v>
      </c>
      <c r="M812" s="26"/>
    </row>
    <row r="813">
      <c r="A813" s="12" t="str">
        <f>IFERROR(__xludf.DUMMYFUNCTION("""COMPUTED_VALUE"""),"Lost Planet 3")</f>
        <v>Lost Planet 3</v>
      </c>
      <c r="B813" s="13" t="str">
        <f>IFERROR(__xludf.DUMMYFUNCTION("""COMPUTED_VALUE"""),"XB360/OG Xbox")</f>
        <v>XB360/OG Xbox</v>
      </c>
      <c r="C813" s="14"/>
      <c r="D813" s="14" t="str">
        <f>IFERROR(__xludf.DUMMYFUNCTION("""COMPUTED_VALUE"""),"GwG Permanent")</f>
        <v>GwG Permanent</v>
      </c>
      <c r="E813" s="15">
        <f>IFERROR(__xludf.DUMMYFUNCTION("""COMPUTED_VALUE"""),44409.0)</f>
        <v>44409</v>
      </c>
      <c r="F813" s="16">
        <f>IFERROR(__xludf.DUMMYFUNCTION("""COMPUTED_VALUE"""),44423.0)</f>
        <v>44423</v>
      </c>
      <c r="G813" s="18">
        <f>IFERROR(__xludf.DUMMYFUNCTION("""COMPUTED_VALUE"""),0.4666666666666667)</f>
        <v>0.4666666667</v>
      </c>
      <c r="H813" s="15">
        <f>IFERROR(__xludf.DUMMYFUNCTION("""COMPUTED_VALUE"""),41513.0)</f>
        <v>41513</v>
      </c>
      <c r="I813" s="18">
        <f>IFERROR(__xludf.DUMMYFUNCTION("""COMPUTED_VALUE"""),7.927777777777778)</f>
        <v>7.927777778</v>
      </c>
      <c r="J813" s="22">
        <f>IFERROR(__xludf.DUMMYFUNCTION("""COMPUTED_VALUE"""),63.0)</f>
        <v>63</v>
      </c>
      <c r="K813" s="22">
        <f>IFERROR(__xludf.DUMMYFUNCTION("""COMPUTED_VALUE"""),12.0)</f>
        <v>12</v>
      </c>
      <c r="L813" s="26" t="str">
        <f>IFERROR(__xludf.DUMMYFUNCTION("""COMPUTED_VALUE"""),"Action")</f>
        <v>Action</v>
      </c>
      <c r="M813" s="26"/>
    </row>
    <row r="814">
      <c r="A814" s="12" t="str">
        <f>IFERROR(__xludf.DUMMYFUNCTION("""COMPUTED_VALUE"""),"Epic Mickey 2: The Power of Two")</f>
        <v>Epic Mickey 2: The Power of Two</v>
      </c>
      <c r="B814" s="13" t="str">
        <f>IFERROR(__xludf.DUMMYFUNCTION("""COMPUTED_VALUE"""),"XB360/OG Xbox")</f>
        <v>XB360/OG Xbox</v>
      </c>
      <c r="C814" s="14"/>
      <c r="D814" s="14" t="str">
        <f>IFERROR(__xludf.DUMMYFUNCTION("""COMPUTED_VALUE"""),"GwG Permanent")</f>
        <v>GwG Permanent</v>
      </c>
      <c r="E814" s="15">
        <f>IFERROR(__xludf.DUMMYFUNCTION("""COMPUTED_VALUE"""),43328.0)</f>
        <v>43328</v>
      </c>
      <c r="F814" s="16">
        <f>IFERROR(__xludf.DUMMYFUNCTION("""COMPUTED_VALUE"""),43343.0)</f>
        <v>43343</v>
      </c>
      <c r="G814" s="18">
        <f>IFERROR(__xludf.DUMMYFUNCTION("""COMPUTED_VALUE"""),0.4666666666666667)</f>
        <v>0.4666666667</v>
      </c>
      <c r="H814" s="15">
        <f>IFERROR(__xludf.DUMMYFUNCTION("""COMPUTED_VALUE"""),41231.0)</f>
        <v>41231</v>
      </c>
      <c r="I814" s="18">
        <f>IFERROR(__xludf.DUMMYFUNCTION("""COMPUTED_VALUE"""),5.7444444444444445)</f>
        <v>5.744444444</v>
      </c>
      <c r="J814" s="22">
        <f>IFERROR(__xludf.DUMMYFUNCTION("""COMPUTED_VALUE"""),63.0)</f>
        <v>63</v>
      </c>
      <c r="K814" s="22">
        <f>IFERROR(__xludf.DUMMYFUNCTION("""COMPUTED_VALUE"""),8.0)</f>
        <v>8</v>
      </c>
      <c r="L814" s="26" t="str">
        <f>IFERROR(__xludf.DUMMYFUNCTION("""COMPUTED_VALUE"""),"Platformer")</f>
        <v>Platformer</v>
      </c>
      <c r="M814" s="26"/>
    </row>
    <row r="815">
      <c r="A815" s="12" t="str">
        <f>IFERROR(__xludf.DUMMYFUNCTION("""COMPUTED_VALUE"""),"Kane &amp; Lynch 2: Dog Days")</f>
        <v>Kane &amp; Lynch 2: Dog Days</v>
      </c>
      <c r="B815" s="13" t="str">
        <f>IFERROR(__xludf.DUMMYFUNCTION("""COMPUTED_VALUE"""),"XB360/OG Xbox")</f>
        <v>XB360/OG Xbox</v>
      </c>
      <c r="C815" s="14"/>
      <c r="D815" s="14" t="str">
        <f>IFERROR(__xludf.DUMMYFUNCTION("""COMPUTED_VALUE"""),"GwG Permanent")</f>
        <v>GwG Permanent</v>
      </c>
      <c r="E815" s="15">
        <f>IFERROR(__xludf.DUMMYFUNCTION("""COMPUTED_VALUE"""),42917.0)</f>
        <v>42917</v>
      </c>
      <c r="F815" s="16">
        <f>IFERROR(__xludf.DUMMYFUNCTION("""COMPUTED_VALUE"""),42931.0)</f>
        <v>42931</v>
      </c>
      <c r="G815" s="18">
        <f>IFERROR(__xludf.DUMMYFUNCTION("""COMPUTED_VALUE"""),0.4666666666666667)</f>
        <v>0.4666666667</v>
      </c>
      <c r="H815" s="15">
        <f>IFERROR(__xludf.DUMMYFUNCTION("""COMPUTED_VALUE"""),40407.0)</f>
        <v>40407</v>
      </c>
      <c r="I815" s="18">
        <f>IFERROR(__xludf.DUMMYFUNCTION("""COMPUTED_VALUE"""),6.872222222222222)</f>
        <v>6.872222222</v>
      </c>
      <c r="J815" s="22">
        <f>IFERROR(__xludf.DUMMYFUNCTION("""COMPUTED_VALUE"""),63.0)</f>
        <v>63</v>
      </c>
      <c r="K815" s="22">
        <f>IFERROR(__xludf.DUMMYFUNCTION("""COMPUTED_VALUE"""),4.0)</f>
        <v>4</v>
      </c>
      <c r="L815" s="26" t="str">
        <f>IFERROR(__xludf.DUMMYFUNCTION("""COMPUTED_VALUE"""),"Shooter")</f>
        <v>Shooter</v>
      </c>
      <c r="M815" s="26"/>
    </row>
    <row r="816">
      <c r="A816" s="12" t="str">
        <f>IFERROR(__xludf.DUMMYFUNCTION("""COMPUTED_VALUE"""),"MX vs. ATV Alive")</f>
        <v>MX vs. ATV Alive</v>
      </c>
      <c r="B816" s="13" t="str">
        <f>IFERROR(__xludf.DUMMYFUNCTION("""COMPUTED_VALUE"""),"XB360/OG Xbox")</f>
        <v>XB360/OG Xbox</v>
      </c>
      <c r="C816" s="14"/>
      <c r="D816" s="14" t="str">
        <f>IFERROR(__xludf.DUMMYFUNCTION("""COMPUTED_VALUE"""),"GwG Permanent")</f>
        <v>GwG Permanent</v>
      </c>
      <c r="E816" s="15">
        <f>IFERROR(__xludf.DUMMYFUNCTION("""COMPUTED_VALUE"""),42005.0)</f>
        <v>42005</v>
      </c>
      <c r="F816" s="16">
        <f>IFERROR(__xludf.DUMMYFUNCTION("""COMPUTED_VALUE"""),42019.0)</f>
        <v>42019</v>
      </c>
      <c r="G816" s="18">
        <f>IFERROR(__xludf.DUMMYFUNCTION("""COMPUTED_VALUE"""),0.4666666666666667)</f>
        <v>0.4666666667</v>
      </c>
      <c r="H816" s="15">
        <f>IFERROR(__xludf.DUMMYFUNCTION("""COMPUTED_VALUE"""),40673.0)</f>
        <v>40673</v>
      </c>
      <c r="I816" s="18">
        <f>IFERROR(__xludf.DUMMYFUNCTION("""COMPUTED_VALUE"""),3.6416666666666666)</f>
        <v>3.641666667</v>
      </c>
      <c r="J816" s="22">
        <f>IFERROR(__xludf.DUMMYFUNCTION("""COMPUTED_VALUE"""),63.0)</f>
        <v>63</v>
      </c>
      <c r="K816" s="22">
        <f>IFERROR(__xludf.DUMMYFUNCTION("""COMPUTED_VALUE"""),9.0)</f>
        <v>9</v>
      </c>
      <c r="L816" s="26" t="str">
        <f>IFERROR(__xludf.DUMMYFUNCTION("""COMPUTED_VALUE"""),"Racing")</f>
        <v>Racing</v>
      </c>
      <c r="M816" s="26"/>
    </row>
    <row r="817">
      <c r="A817" s="12" t="str">
        <f>IFERROR(__xludf.DUMMYFUNCTION("""COMPUTED_VALUE"""),"Assassin's Creed Chronicles: Russia")</f>
        <v>Assassin's Creed Chronicles: Russia</v>
      </c>
      <c r="B817" s="13" t="str">
        <f>IFERROR(__xludf.DUMMYFUNCTION("""COMPUTED_VALUE"""),"Xbox / PC")</f>
        <v>Xbox / PC</v>
      </c>
      <c r="C817" s="14" t="str">
        <f>IFERROR(__xludf.DUMMYFUNCTION("""COMPUTED_VALUE"""),"Yes")</f>
        <v>Yes</v>
      </c>
      <c r="D817" s="14" t="str">
        <f>IFERROR(__xludf.DUMMYFUNCTION("""COMPUTED_VALUE"""),"Active")</f>
        <v>Active</v>
      </c>
      <c r="E817" s="15">
        <f>IFERROR(__xludf.DUMMYFUNCTION("""COMPUTED_VALUE"""),45931.0)</f>
        <v>45931</v>
      </c>
      <c r="F817" s="16"/>
      <c r="G817" s="18">
        <f>IFERROR(__xludf.DUMMYFUNCTION("""COMPUTED_VALUE"""),12.166666666666666)</f>
        <v>12.16666667</v>
      </c>
      <c r="H817" s="15">
        <f>IFERROR(__xludf.DUMMYFUNCTION("""COMPUTED_VALUE"""),42409.0)</f>
        <v>42409</v>
      </c>
      <c r="I817" s="18">
        <f>IFERROR(__xludf.DUMMYFUNCTION("""COMPUTED_VALUE"""),9.644444444444444)</f>
        <v>9.644444444</v>
      </c>
      <c r="J817" s="22">
        <f>IFERROR(__xludf.DUMMYFUNCTION("""COMPUTED_VALUE"""),62.0)</f>
        <v>62</v>
      </c>
      <c r="K817" s="22">
        <f>IFERROR(__xludf.DUMMYFUNCTION("""COMPUTED_VALUE"""),7.0)</f>
        <v>7</v>
      </c>
      <c r="L817" s="26" t="str">
        <f>IFERROR(__xludf.DUMMYFUNCTION("""COMPUTED_VALUE"""),"Action-Adventure")</f>
        <v>Action-Adventure</v>
      </c>
      <c r="M817" s="26"/>
    </row>
    <row r="818">
      <c r="A818" s="12" t="str">
        <f>IFERROR(__xludf.DUMMYFUNCTION("""COMPUTED_VALUE"""),"Assassin's Creed Liberation HD")</f>
        <v>Assassin's Creed Liberation HD</v>
      </c>
      <c r="B818" s="13" t="str">
        <f>IFERROR(__xludf.DUMMYFUNCTION("""COMPUTED_VALUE"""),"Xbox / PC")</f>
        <v>Xbox / PC</v>
      </c>
      <c r="C818" s="14"/>
      <c r="D818" s="14" t="str">
        <f>IFERROR(__xludf.DUMMYFUNCTION("""COMPUTED_VALUE"""),"Active")</f>
        <v>Active</v>
      </c>
      <c r="E818" s="15">
        <f>IFERROR(__xludf.DUMMYFUNCTION("""COMPUTED_VALUE"""),45931.0)</f>
        <v>45931</v>
      </c>
      <c r="F818" s="16"/>
      <c r="G818" s="18">
        <f>IFERROR(__xludf.DUMMYFUNCTION("""COMPUTED_VALUE"""),12.166666666666666)</f>
        <v>12.16666667</v>
      </c>
      <c r="H818" s="15">
        <f>IFERROR(__xludf.DUMMYFUNCTION("""COMPUTED_VALUE"""),41654.0)</f>
        <v>41654</v>
      </c>
      <c r="I818" s="18">
        <f>IFERROR(__xludf.DUMMYFUNCTION("""COMPUTED_VALUE"""),11.71111111111111)</f>
        <v>11.71111111</v>
      </c>
      <c r="J818" s="22">
        <f>IFERROR(__xludf.DUMMYFUNCTION("""COMPUTED_VALUE"""),62.0)</f>
        <v>62</v>
      </c>
      <c r="K818" s="22">
        <f>IFERROR(__xludf.DUMMYFUNCTION("""COMPUTED_VALUE"""),8.0)</f>
        <v>8</v>
      </c>
      <c r="L818" s="26" t="str">
        <f>IFERROR(__xludf.DUMMYFUNCTION("""COMPUTED_VALUE"""),"Action-Adventure")</f>
        <v>Action-Adventure</v>
      </c>
      <c r="M818" s="26"/>
    </row>
    <row r="819">
      <c r="A819" s="12" t="str">
        <f>IFERROR(__xludf.DUMMYFUNCTION("""COMPUTED_VALUE"""),"Barnstorming")</f>
        <v>Barnstorming</v>
      </c>
      <c r="B819" s="13" t="str">
        <f>IFERROR(__xludf.DUMMYFUNCTION("""COMPUTED_VALUE"""),"Xbox / PC")</f>
        <v>Xbox / PC</v>
      </c>
      <c r="C819" s="14" t="str">
        <f>IFERROR(__xludf.DUMMYFUNCTION("""COMPUTED_VALUE"""),"Yes")</f>
        <v>Yes</v>
      </c>
      <c r="D819" s="14" t="str">
        <f>IFERROR(__xludf.DUMMYFUNCTION("""COMPUTED_VALUE"""),"Active")</f>
        <v>Active</v>
      </c>
      <c r="E819" s="15">
        <f>IFERROR(__xludf.DUMMYFUNCTION("""COMPUTED_VALUE"""),45798.0)</f>
        <v>45798</v>
      </c>
      <c r="F819" s="16"/>
      <c r="G819" s="18">
        <f>IFERROR(__xludf.DUMMYFUNCTION("""COMPUTED_VALUE"""),16.5)</f>
        <v>16.5</v>
      </c>
      <c r="H819" s="15">
        <f>IFERROR(__xludf.DUMMYFUNCTION("""COMPUTED_VALUE"""),30011.0)</f>
        <v>30011</v>
      </c>
      <c r="I819" s="18">
        <f>IFERROR(__xludf.DUMMYFUNCTION("""COMPUTED_VALUE"""),43.22222222222222)</f>
        <v>43.22222222</v>
      </c>
      <c r="J819" s="22">
        <f>IFERROR(__xludf.DUMMYFUNCTION("""COMPUTED_VALUE"""),62.0)</f>
        <v>62</v>
      </c>
      <c r="K819" s="22"/>
      <c r="L819" s="26" t="str">
        <f>IFERROR(__xludf.DUMMYFUNCTION("""COMPUTED_VALUE"""),"Racing")</f>
        <v>Racing</v>
      </c>
      <c r="M819" s="26"/>
    </row>
    <row r="820">
      <c r="A820" s="12" t="str">
        <f>IFERROR(__xludf.DUMMYFUNCTION("""COMPUTED_VALUE"""),"Baseball")</f>
        <v>Baseball</v>
      </c>
      <c r="B820" s="13" t="str">
        <f>IFERROR(__xludf.DUMMYFUNCTION("""COMPUTED_VALUE"""),"Xbox / PC")</f>
        <v>Xbox / PC</v>
      </c>
      <c r="C820" s="14" t="str">
        <f>IFERROR(__xludf.DUMMYFUNCTION("""COMPUTED_VALUE"""),"Yes")</f>
        <v>Yes</v>
      </c>
      <c r="D820" s="14" t="str">
        <f>IFERROR(__xludf.DUMMYFUNCTION("""COMPUTED_VALUE"""),"Active")</f>
        <v>Active</v>
      </c>
      <c r="E820" s="15">
        <f>IFERROR(__xludf.DUMMYFUNCTION("""COMPUTED_VALUE"""),45798.0)</f>
        <v>45798</v>
      </c>
      <c r="F820" s="16"/>
      <c r="G820" s="18">
        <f>IFERROR(__xludf.DUMMYFUNCTION("""COMPUTED_VALUE"""),16.5)</f>
        <v>16.5</v>
      </c>
      <c r="H820" s="15">
        <f>IFERROR(__xludf.DUMMYFUNCTION("""COMPUTED_VALUE"""),32214.0)</f>
        <v>32214</v>
      </c>
      <c r="I820" s="18">
        <f>IFERROR(__xludf.DUMMYFUNCTION("""COMPUTED_VALUE"""),37.19166666666667)</f>
        <v>37.19166667</v>
      </c>
      <c r="J820" s="22">
        <f>IFERROR(__xludf.DUMMYFUNCTION("""COMPUTED_VALUE"""),62.0)</f>
        <v>62</v>
      </c>
      <c r="K820" s="22"/>
      <c r="L820" s="26" t="str">
        <f>IFERROR(__xludf.DUMMYFUNCTION("""COMPUTED_VALUE"""),"Sports")</f>
        <v>Sports</v>
      </c>
      <c r="M820" s="26"/>
    </row>
    <row r="821">
      <c r="A821" s="12" t="str">
        <f>IFERROR(__xludf.DUMMYFUNCTION("""COMPUTED_VALUE"""),"Midway Arcade Origins")</f>
        <v>Midway Arcade Origins</v>
      </c>
      <c r="B821" s="13" t="str">
        <f>IFERROR(__xludf.DUMMYFUNCTION("""COMPUTED_VALUE"""),"XB360/OG Xbox")</f>
        <v>XB360/OG Xbox</v>
      </c>
      <c r="C821" s="14"/>
      <c r="D821" s="14" t="str">
        <f>IFERROR(__xludf.DUMMYFUNCTION("""COMPUTED_VALUE"""),"GwG Permanent")</f>
        <v>GwG Permanent</v>
      </c>
      <c r="E821" s="15">
        <f>IFERROR(__xludf.DUMMYFUNCTION("""COMPUTED_VALUE"""),44393.0)</f>
        <v>44393</v>
      </c>
      <c r="F821" s="16">
        <f>IFERROR(__xludf.DUMMYFUNCTION("""COMPUTED_VALUE"""),44408.0)</f>
        <v>44408</v>
      </c>
      <c r="G821" s="18">
        <f>IFERROR(__xludf.DUMMYFUNCTION("""COMPUTED_VALUE"""),0.4666666666666667)</f>
        <v>0.4666666667</v>
      </c>
      <c r="H821" s="15">
        <f>IFERROR(__xludf.DUMMYFUNCTION("""COMPUTED_VALUE"""),41226.0)</f>
        <v>41226</v>
      </c>
      <c r="I821" s="18">
        <f>IFERROR(__xludf.DUMMYFUNCTION("""COMPUTED_VALUE"""),8.675)</f>
        <v>8.675</v>
      </c>
      <c r="J821" s="22">
        <f>IFERROR(__xludf.DUMMYFUNCTION("""COMPUTED_VALUE"""),62.0)</f>
        <v>62</v>
      </c>
      <c r="K821" s="22">
        <f>IFERROR(__xludf.DUMMYFUNCTION("""COMPUTED_VALUE"""),27.0)</f>
        <v>27</v>
      </c>
      <c r="L821" s="26" t="str">
        <f>IFERROR(__xludf.DUMMYFUNCTION("""COMPUTED_VALUE"""),"Compilation")</f>
        <v>Compilation</v>
      </c>
      <c r="M821" s="26"/>
    </row>
    <row r="822">
      <c r="A822" s="12" t="str">
        <f>IFERROR(__xludf.DUMMYFUNCTION("""COMPUTED_VALUE"""),"Meet the Robinsons")</f>
        <v>Meet the Robinsons</v>
      </c>
      <c r="B822" s="13" t="str">
        <f>IFERROR(__xludf.DUMMYFUNCTION("""COMPUTED_VALUE"""),"XB360/OG Xbox")</f>
        <v>XB360/OG Xbox</v>
      </c>
      <c r="C822" s="14"/>
      <c r="D822" s="14" t="str">
        <f>IFERROR(__xludf.DUMMYFUNCTION("""COMPUTED_VALUE"""),"GwG Permanent")</f>
        <v>GwG Permanent</v>
      </c>
      <c r="E822" s="15">
        <f>IFERROR(__xludf.DUMMYFUNCTION("""COMPUTED_VALUE"""),43662.0)</f>
        <v>43662</v>
      </c>
      <c r="F822" s="16">
        <f>IFERROR(__xludf.DUMMYFUNCTION("""COMPUTED_VALUE"""),43677.0)</f>
        <v>43677</v>
      </c>
      <c r="G822" s="18">
        <f>IFERROR(__xludf.DUMMYFUNCTION("""COMPUTED_VALUE"""),0.4666666666666667)</f>
        <v>0.4666666667</v>
      </c>
      <c r="H822" s="15">
        <f>IFERROR(__xludf.DUMMYFUNCTION("""COMPUTED_VALUE"""),40498.0)</f>
        <v>40498</v>
      </c>
      <c r="I822" s="18">
        <f>IFERROR(__xludf.DUMMYFUNCTION("""COMPUTED_VALUE"""),8.666666666666666)</f>
        <v>8.666666667</v>
      </c>
      <c r="J822" s="22">
        <f>IFERROR(__xludf.DUMMYFUNCTION("""COMPUTED_VALUE"""),62.0)</f>
        <v>62</v>
      </c>
      <c r="K822" s="22">
        <f>IFERROR(__xludf.DUMMYFUNCTION("""COMPUTED_VALUE"""),6.0)</f>
        <v>6</v>
      </c>
      <c r="L822" s="26" t="str">
        <f>IFERROR(__xludf.DUMMYFUNCTION("""COMPUTED_VALUE"""),"Action-Adventure")</f>
        <v>Action-Adventure</v>
      </c>
      <c r="M822" s="26"/>
    </row>
    <row r="823">
      <c r="A823" s="12" t="str">
        <f>IFERROR(__xludf.DUMMYFUNCTION("""COMPUTED_VALUE"""),"Sacred Citadel")</f>
        <v>Sacred Citadel</v>
      </c>
      <c r="B823" s="13" t="str">
        <f>IFERROR(__xludf.DUMMYFUNCTION("""COMPUTED_VALUE"""),"XB360/OG Xbox")</f>
        <v>XB360/OG Xbox</v>
      </c>
      <c r="C823" s="14"/>
      <c r="D823" s="14" t="str">
        <f>IFERROR(__xludf.DUMMYFUNCTION("""COMPUTED_VALUE"""),"GwG Permanent")</f>
        <v>GwG Permanent</v>
      </c>
      <c r="E823" s="15">
        <f>IFERROR(__xludf.DUMMYFUNCTION("""COMPUTED_VALUE"""),42401.0)</f>
        <v>42401</v>
      </c>
      <c r="F823" s="16">
        <f>IFERROR(__xludf.DUMMYFUNCTION("""COMPUTED_VALUE"""),42415.0)</f>
        <v>42415</v>
      </c>
      <c r="G823" s="18">
        <f>IFERROR(__xludf.DUMMYFUNCTION("""COMPUTED_VALUE"""),0.4666666666666667)</f>
        <v>0.4666666667</v>
      </c>
      <c r="H823" s="15">
        <f>IFERROR(__xludf.DUMMYFUNCTION("""COMPUTED_VALUE"""),41248.0)</f>
        <v>41248</v>
      </c>
      <c r="I823" s="18">
        <f>IFERROR(__xludf.DUMMYFUNCTION("""COMPUTED_VALUE"""),3.1555555555555554)</f>
        <v>3.155555556</v>
      </c>
      <c r="J823" s="22">
        <f>IFERROR(__xludf.DUMMYFUNCTION("""COMPUTED_VALUE"""),62.0)</f>
        <v>62</v>
      </c>
      <c r="K823" s="22">
        <f>IFERROR(__xludf.DUMMYFUNCTION("""COMPUTED_VALUE"""),4.0)</f>
        <v>4</v>
      </c>
      <c r="L823" s="26" t="str">
        <f>IFERROR(__xludf.DUMMYFUNCTION("""COMPUTED_VALUE"""),"Action")</f>
        <v>Action</v>
      </c>
      <c r="M823" s="26"/>
    </row>
    <row r="824">
      <c r="A824" s="12" t="str">
        <f>IFERROR(__xludf.DUMMYFUNCTION("""COMPUTED_VALUE"""),"Risk: Urban Assault")</f>
        <v>Risk: Urban Assault</v>
      </c>
      <c r="B824" s="13" t="str">
        <f>IFERROR(__xludf.DUMMYFUNCTION("""COMPUTED_VALUE"""),"Xbox")</f>
        <v>Xbox</v>
      </c>
      <c r="C824" s="14" t="str">
        <f>IFERROR(__xludf.DUMMYFUNCTION("""COMPUTED_VALUE"""),"Yes")</f>
        <v>Yes</v>
      </c>
      <c r="D824" s="14" t="str">
        <f>IFERROR(__xludf.DUMMYFUNCTION("""COMPUTED_VALUE"""),"Active")</f>
        <v>Active</v>
      </c>
      <c r="E824" s="15">
        <f>IFERROR(__xludf.DUMMYFUNCTION("""COMPUTED_VALUE"""),45931.0)</f>
        <v>45931</v>
      </c>
      <c r="F824" s="16"/>
      <c r="G824" s="18">
        <f>IFERROR(__xludf.DUMMYFUNCTION("""COMPUTED_VALUE"""),12.166666666666666)</f>
        <v>12.16666667</v>
      </c>
      <c r="H824" s="15">
        <f>IFERROR(__xludf.DUMMYFUNCTION("""COMPUTED_VALUE"""),42584.0)</f>
        <v>42584</v>
      </c>
      <c r="I824" s="18">
        <f>IFERROR(__xludf.DUMMYFUNCTION("""COMPUTED_VALUE"""),9.16388888888889)</f>
        <v>9.163888889</v>
      </c>
      <c r="J824" s="22">
        <f>IFERROR(__xludf.DUMMYFUNCTION("""COMPUTED_VALUE"""),61.0)</f>
        <v>61</v>
      </c>
      <c r="K824" s="22">
        <f>IFERROR(__xludf.DUMMYFUNCTION("""COMPUTED_VALUE"""),4.0)</f>
        <v>4</v>
      </c>
      <c r="L824" s="26" t="str">
        <f>IFERROR(__xludf.DUMMYFUNCTION("""COMPUTED_VALUE"""),"Board")</f>
        <v>Board</v>
      </c>
      <c r="M824" s="26"/>
    </row>
    <row r="825">
      <c r="A825" s="12" t="str">
        <f>IFERROR(__xludf.DUMMYFUNCTION("""COMPUTED_VALUE"""),"Wing War")</f>
        <v>Wing War</v>
      </c>
      <c r="B825" s="13" t="str">
        <f>IFERROR(__xludf.DUMMYFUNCTION("""COMPUTED_VALUE"""),"Xbox / PC")</f>
        <v>Xbox / PC</v>
      </c>
      <c r="C825" s="14" t="str">
        <f>IFERROR(__xludf.DUMMYFUNCTION("""COMPUTED_VALUE"""),"Yes")</f>
        <v>Yes</v>
      </c>
      <c r="D825" s="14" t="str">
        <f>IFERROR(__xludf.DUMMYFUNCTION("""COMPUTED_VALUE"""),"Active")</f>
        <v>Active</v>
      </c>
      <c r="E825" s="15">
        <f>IFERROR(__xludf.DUMMYFUNCTION("""COMPUTED_VALUE"""),45883.0)</f>
        <v>45883</v>
      </c>
      <c r="F825" s="16"/>
      <c r="G825" s="18">
        <f>IFERROR(__xludf.DUMMYFUNCTION("""COMPUTED_VALUE"""),13.733333333333333)</f>
        <v>13.73333333</v>
      </c>
      <c r="H825" s="15">
        <f>IFERROR(__xludf.DUMMYFUNCTION("""COMPUTED_VALUE"""),30681.0)</f>
        <v>30681</v>
      </c>
      <c r="I825" s="18">
        <f>IFERROR(__xludf.DUMMYFUNCTION("""COMPUTED_VALUE"""),41.62222222222222)</f>
        <v>41.62222222</v>
      </c>
      <c r="J825" s="22">
        <f>IFERROR(__xludf.DUMMYFUNCTION("""COMPUTED_VALUE"""),61.0)</f>
        <v>61</v>
      </c>
      <c r="K825" s="22"/>
      <c r="L825" s="26" t="str">
        <f>IFERROR(__xludf.DUMMYFUNCTION("""COMPUTED_VALUE"""),"Action")</f>
        <v>Action</v>
      </c>
      <c r="M825" s="26"/>
    </row>
    <row r="826">
      <c r="A826" s="12" t="str">
        <f>IFERROR(__xludf.DUMMYFUNCTION("""COMPUTED_VALUE"""),"Need for Speed: Payback - Deluxe Edition")</f>
        <v>Need for Speed: Payback - Deluxe Edition</v>
      </c>
      <c r="B826" s="13" t="str">
        <f>IFERROR(__xludf.DUMMYFUNCTION("""COMPUTED_VALUE"""),"Xbox / PC")</f>
        <v>Xbox / PC</v>
      </c>
      <c r="C826" s="14"/>
      <c r="D826" s="14" t="str">
        <f>IFERROR(__xludf.DUMMYFUNCTION("""COMPUTED_VALUE"""),"Active")</f>
        <v>Active</v>
      </c>
      <c r="E826" s="15">
        <f>IFERROR(__xludf.DUMMYFUNCTION("""COMPUTED_VALUE"""),44145.0)</f>
        <v>44145</v>
      </c>
      <c r="F826" s="16"/>
      <c r="G826" s="18">
        <f>IFERROR(__xludf.DUMMYFUNCTION("""COMPUTED_VALUE"""),70.86666666666667)</f>
        <v>70.86666667</v>
      </c>
      <c r="H826" s="15">
        <f>IFERROR(__xludf.DUMMYFUNCTION("""COMPUTED_VALUE"""),43049.0)</f>
        <v>43049</v>
      </c>
      <c r="I826" s="18">
        <f>IFERROR(__xludf.DUMMYFUNCTION("""COMPUTED_VALUE"""),3.0)</f>
        <v>3</v>
      </c>
      <c r="J826" s="22">
        <f>IFERROR(__xludf.DUMMYFUNCTION("""COMPUTED_VALUE"""),61.0)</f>
        <v>61</v>
      </c>
      <c r="K826" s="22">
        <f>IFERROR(__xludf.DUMMYFUNCTION("""COMPUTED_VALUE"""),18.5)</f>
        <v>18.5</v>
      </c>
      <c r="L826" s="26" t="str">
        <f>IFERROR(__xludf.DUMMYFUNCTION("""COMPUTED_VALUE"""),"Racing")</f>
        <v>Racing</v>
      </c>
      <c r="M826" s="26"/>
    </row>
    <row r="827">
      <c r="A827" s="12" t="str">
        <f>IFERROR(__xludf.DUMMYFUNCTION("""COMPUTED_VALUE"""),"ReCore: Definitive Edition")</f>
        <v>ReCore: Definitive Edition</v>
      </c>
      <c r="B827" s="13" t="str">
        <f>IFERROR(__xludf.DUMMYFUNCTION("""COMPUTED_VALUE"""),"Xbox / PC")</f>
        <v>Xbox / PC</v>
      </c>
      <c r="C827" s="14" t="str">
        <f>IFERROR(__xludf.DUMMYFUNCTION("""COMPUTED_VALUE"""),"Yes")</f>
        <v>Yes</v>
      </c>
      <c r="D827" s="14" t="str">
        <f>IFERROR(__xludf.DUMMYFUNCTION("""COMPUTED_VALUE"""),"Active")</f>
        <v>Active</v>
      </c>
      <c r="E827" s="15">
        <f>IFERROR(__xludf.DUMMYFUNCTION("""COMPUTED_VALUE"""),42976.0)</f>
        <v>42976</v>
      </c>
      <c r="F827" s="16"/>
      <c r="G827" s="18">
        <f>IFERROR(__xludf.DUMMYFUNCTION("""COMPUTED_VALUE"""),109.23333333333333)</f>
        <v>109.2333333</v>
      </c>
      <c r="H827" s="15">
        <f>IFERROR(__xludf.DUMMYFUNCTION("""COMPUTED_VALUE"""),42626.0)</f>
        <v>42626</v>
      </c>
      <c r="I827" s="18">
        <f>IFERROR(__xludf.DUMMYFUNCTION("""COMPUTED_VALUE"""),0.9611111111111111)</f>
        <v>0.9611111111</v>
      </c>
      <c r="J827" s="22">
        <f>IFERROR(__xludf.DUMMYFUNCTION("""COMPUTED_VALUE"""),61.0)</f>
        <v>61</v>
      </c>
      <c r="K827" s="22">
        <f>IFERROR(__xludf.DUMMYFUNCTION("""COMPUTED_VALUE"""),12.0)</f>
        <v>12</v>
      </c>
      <c r="L827" s="26" t="str">
        <f>IFERROR(__xludf.DUMMYFUNCTION("""COMPUTED_VALUE"""),"Adventure")</f>
        <v>Adventure</v>
      </c>
      <c r="M827" s="26" t="str">
        <f>IFERROR(__xludf.DUMMYFUNCTION("""COMPUTED_VALUE"""),"FPS Boost")</f>
        <v>FPS Boost</v>
      </c>
    </row>
    <row r="828">
      <c r="A828" s="12" t="str">
        <f>IFERROR(__xludf.DUMMYFUNCTION("""COMPUTED_VALUE"""),"Sledding Game (Game Preview)")</f>
        <v>Sledding Game (Game Preview)</v>
      </c>
      <c r="B828" s="13" t="str">
        <f>IFERROR(__xludf.DUMMYFUNCTION("""COMPUTED_VALUE"""),"Xbox / PC")</f>
        <v>Xbox / PC</v>
      </c>
      <c r="C828" s="14" t="str">
        <f>IFERROR(__xludf.DUMMYFUNCTION("""COMPUTED_VALUE"""),"Yes")</f>
        <v>Yes</v>
      </c>
      <c r="D828" s="14" t="str">
        <f>IFERROR(__xludf.DUMMYFUNCTION("""COMPUTED_VALUE"""),"Active")</f>
        <v>Active</v>
      </c>
      <c r="E828" s="15">
        <f>IFERROR(__xludf.DUMMYFUNCTION("""COMPUTED_VALUE"""),46142.0)</f>
        <v>46142</v>
      </c>
      <c r="F828" s="16"/>
      <c r="G828" s="18">
        <f>IFERROR(__xludf.DUMMYFUNCTION("""COMPUTED_VALUE"""),5.2)</f>
        <v>5.2</v>
      </c>
      <c r="H828" s="15">
        <f>IFERROR(__xludf.DUMMYFUNCTION("""COMPUTED_VALUE"""),46142.0)</f>
        <v>46142</v>
      </c>
      <c r="I828" s="18">
        <f>IFERROR(__xludf.DUMMYFUNCTION("""COMPUTED_VALUE"""),0.0)</f>
        <v>0</v>
      </c>
      <c r="J828" s="22">
        <f>IFERROR(__xludf.DUMMYFUNCTION("""COMPUTED_VALUE"""),60.0)</f>
        <v>60</v>
      </c>
      <c r="K828" s="22">
        <f>IFERROR(__xludf.DUMMYFUNCTION("""COMPUTED_VALUE"""),27.0)</f>
        <v>27</v>
      </c>
      <c r="L828" s="26" t="str">
        <f>IFERROR(__xludf.DUMMYFUNCTION("""COMPUTED_VALUE"""),"Sports")</f>
        <v>Sports</v>
      </c>
      <c r="M828" s="26" t="str">
        <f>IFERROR(__xludf.DUMMYFUNCTION("""COMPUTED_VALUE"""),"Exclusive")</f>
        <v>Exclusive</v>
      </c>
    </row>
    <row r="829">
      <c r="A829" s="12" t="str">
        <f>IFERROR(__xludf.DUMMYFUNCTION("""COMPUTED_VALUE"""),"Aerial_Knight's DropShot")</f>
        <v>Aerial_Knight's DropShot</v>
      </c>
      <c r="B829" s="13" t="str">
        <f>IFERROR(__xludf.DUMMYFUNCTION("""COMPUTED_VALUE"""),"Xbox / PC")</f>
        <v>Xbox / PC</v>
      </c>
      <c r="C829" s="14" t="str">
        <f>IFERROR(__xludf.DUMMYFUNCTION("""COMPUTED_VALUE"""),"Yes")</f>
        <v>Yes</v>
      </c>
      <c r="D829" s="14" t="str">
        <f>IFERROR(__xludf.DUMMYFUNCTION("""COMPUTED_VALUE"""),"Active")</f>
        <v>Active</v>
      </c>
      <c r="E829" s="15">
        <f>IFERROR(__xludf.DUMMYFUNCTION("""COMPUTED_VALUE"""),46070.0)</f>
        <v>46070</v>
      </c>
      <c r="F829" s="16"/>
      <c r="G829" s="18">
        <f>IFERROR(__xludf.DUMMYFUNCTION("""COMPUTED_VALUE"""),7.633333333333333)</f>
        <v>7.633333333</v>
      </c>
      <c r="H829" s="15">
        <f>IFERROR(__xludf.DUMMYFUNCTION("""COMPUTED_VALUE"""),45337.0)</f>
        <v>45337</v>
      </c>
      <c r="I829" s="18">
        <f>IFERROR(__xludf.DUMMYFUNCTION("""COMPUTED_VALUE"""),2.0055555555555555)</f>
        <v>2.005555556</v>
      </c>
      <c r="J829" s="22">
        <f>IFERROR(__xludf.DUMMYFUNCTION("""COMPUTED_VALUE"""),60.0)</f>
        <v>60</v>
      </c>
      <c r="K829" s="22">
        <f>IFERROR(__xludf.DUMMYFUNCTION("""COMPUTED_VALUE"""),2.0)</f>
        <v>2</v>
      </c>
      <c r="L829" s="26" t="str">
        <f>IFERROR(__xludf.DUMMYFUNCTION("""COMPUTED_VALUE"""),"Action-Adventure")</f>
        <v>Action-Adventure</v>
      </c>
      <c r="M829" s="26" t="str">
        <f>IFERROR(__xludf.DUMMYFUNCTION("""COMPUTED_VALUE"""),"Exclusive")</f>
        <v>Exclusive</v>
      </c>
    </row>
    <row r="830">
      <c r="A830" s="12" t="str">
        <f>IFERROR(__xludf.DUMMYFUNCTION("""COMPUTED_VALUE"""),"Brews &amp; Bastards")</f>
        <v>Brews &amp; Bastards</v>
      </c>
      <c r="B830" s="13" t="str">
        <f>IFERROR(__xludf.DUMMYFUNCTION("""COMPUTED_VALUE"""),"Xbox / PC")</f>
        <v>Xbox / PC</v>
      </c>
      <c r="C830" s="14" t="str">
        <f>IFERROR(__xludf.DUMMYFUNCTION("""COMPUTED_VALUE"""),"Yes")</f>
        <v>Yes</v>
      </c>
      <c r="D830" s="14" t="str">
        <f>IFERROR(__xludf.DUMMYFUNCTION("""COMPUTED_VALUE"""),"Active")</f>
        <v>Active</v>
      </c>
      <c r="E830" s="15">
        <f>IFERROR(__xludf.DUMMYFUNCTION("""COMPUTED_VALUE"""),46028.0)</f>
        <v>46028</v>
      </c>
      <c r="F830" s="16"/>
      <c r="G830" s="18">
        <f>IFERROR(__xludf.DUMMYFUNCTION("""COMPUTED_VALUE"""),9.0)</f>
        <v>9</v>
      </c>
      <c r="H830" s="15">
        <f>IFERROR(__xludf.DUMMYFUNCTION("""COMPUTED_VALUE"""),45922.0)</f>
        <v>45922</v>
      </c>
      <c r="I830" s="18">
        <f>IFERROR(__xludf.DUMMYFUNCTION("""COMPUTED_VALUE"""),0.28888888888888886)</f>
        <v>0.2888888889</v>
      </c>
      <c r="J830" s="22">
        <f>IFERROR(__xludf.DUMMYFUNCTION("""COMPUTED_VALUE"""),60.0)</f>
        <v>60</v>
      </c>
      <c r="K830" s="22">
        <f>IFERROR(__xludf.DUMMYFUNCTION("""COMPUTED_VALUE"""),4.0)</f>
        <v>4</v>
      </c>
      <c r="L830" s="26" t="str">
        <f>IFERROR(__xludf.DUMMYFUNCTION("""COMPUTED_VALUE"""),"Action-Adventure")</f>
        <v>Action-Adventure</v>
      </c>
      <c r="M830" s="26" t="str">
        <f>IFERROR(__xludf.DUMMYFUNCTION("""COMPUTED_VALUE"""),"Exclusive")</f>
        <v>Exclusive</v>
      </c>
    </row>
    <row r="831">
      <c r="A831" s="12" t="str">
        <f>IFERROR(__xludf.DUMMYFUNCTION("""COMPUTED_VALUE"""),"Tennis")</f>
        <v>Tennis</v>
      </c>
      <c r="B831" s="13" t="str">
        <f>IFERROR(__xludf.DUMMYFUNCTION("""COMPUTED_VALUE"""),"Xbox / PC")</f>
        <v>Xbox / PC</v>
      </c>
      <c r="C831" s="14" t="str">
        <f>IFERROR(__xludf.DUMMYFUNCTION("""COMPUTED_VALUE"""),"Yes")</f>
        <v>Yes</v>
      </c>
      <c r="D831" s="14" t="str">
        <f>IFERROR(__xludf.DUMMYFUNCTION("""COMPUTED_VALUE"""),"Active")</f>
        <v>Active</v>
      </c>
      <c r="E831" s="15">
        <f>IFERROR(__xludf.DUMMYFUNCTION("""COMPUTED_VALUE"""),45798.0)</f>
        <v>45798</v>
      </c>
      <c r="F831" s="16"/>
      <c r="G831" s="18">
        <f>IFERROR(__xludf.DUMMYFUNCTION("""COMPUTED_VALUE"""),16.5)</f>
        <v>16.5</v>
      </c>
      <c r="H831" s="15">
        <f>IFERROR(__xludf.DUMMYFUNCTION("""COMPUTED_VALUE"""),29646.0)</f>
        <v>29646</v>
      </c>
      <c r="I831" s="18">
        <f>IFERROR(__xludf.DUMMYFUNCTION("""COMPUTED_VALUE"""),44.22222222222222)</f>
        <v>44.22222222</v>
      </c>
      <c r="J831" s="22">
        <f>IFERROR(__xludf.DUMMYFUNCTION("""COMPUTED_VALUE"""),60.0)</f>
        <v>60</v>
      </c>
      <c r="K831" s="22"/>
      <c r="L831" s="26" t="str">
        <f>IFERROR(__xludf.DUMMYFUNCTION("""COMPUTED_VALUE"""),"Sports")</f>
        <v>Sports</v>
      </c>
      <c r="M831" s="26"/>
    </row>
    <row r="832">
      <c r="A832" s="12" t="str">
        <f>IFERROR(__xludf.DUMMYFUNCTION("""COMPUTED_VALUE"""),"Trick Shot")</f>
        <v>Trick Shot</v>
      </c>
      <c r="B832" s="13" t="str">
        <f>IFERROR(__xludf.DUMMYFUNCTION("""COMPUTED_VALUE"""),"Xbox / PC")</f>
        <v>Xbox / PC</v>
      </c>
      <c r="C832" s="14" t="str">
        <f>IFERROR(__xludf.DUMMYFUNCTION("""COMPUTED_VALUE"""),"Yes")</f>
        <v>Yes</v>
      </c>
      <c r="D832" s="14" t="str">
        <f>IFERROR(__xludf.DUMMYFUNCTION("""COMPUTED_VALUE"""),"Active")</f>
        <v>Active</v>
      </c>
      <c r="E832" s="15">
        <f>IFERROR(__xludf.DUMMYFUNCTION("""COMPUTED_VALUE"""),45798.0)</f>
        <v>45798</v>
      </c>
      <c r="F832" s="16"/>
      <c r="G832" s="18">
        <f>IFERROR(__xludf.DUMMYFUNCTION("""COMPUTED_VALUE"""),16.5)</f>
        <v>16.5</v>
      </c>
      <c r="H832" s="15">
        <f>IFERROR(__xludf.DUMMYFUNCTION("""COMPUTED_VALUE"""),29952.0)</f>
        <v>29952</v>
      </c>
      <c r="I832" s="18">
        <f>IFERROR(__xludf.DUMMYFUNCTION("""COMPUTED_VALUE"""),43.388888888888886)</f>
        <v>43.38888889</v>
      </c>
      <c r="J832" s="22">
        <f>IFERROR(__xludf.DUMMYFUNCTION("""COMPUTED_VALUE"""),60.0)</f>
        <v>60</v>
      </c>
      <c r="K832" s="22"/>
      <c r="L832" s="26" t="str">
        <f>IFERROR(__xludf.DUMMYFUNCTION("""COMPUTED_VALUE"""),"Sports")</f>
        <v>Sports</v>
      </c>
      <c r="M832" s="26"/>
    </row>
    <row r="833">
      <c r="A833" s="12" t="str">
        <f>IFERROR(__xludf.DUMMYFUNCTION("""COMPUTED_VALUE"""),"Firefighting Simulator: The Squad")</f>
        <v>Firefighting Simulator: The Squad</v>
      </c>
      <c r="B833" s="13" t="str">
        <f>IFERROR(__xludf.DUMMYFUNCTION("""COMPUTED_VALUE"""),"Xbox / PC")</f>
        <v>Xbox / PC</v>
      </c>
      <c r="C833" s="14" t="str">
        <f>IFERROR(__xludf.DUMMYFUNCTION("""COMPUTED_VALUE"""),"Yes")</f>
        <v>Yes</v>
      </c>
      <c r="D833" s="14" t="str">
        <f>IFERROR(__xludf.DUMMYFUNCTION("""COMPUTED_VALUE"""),"Active")</f>
        <v>Active</v>
      </c>
      <c r="E833" s="15">
        <f>IFERROR(__xludf.DUMMYFUNCTION("""COMPUTED_VALUE"""),45797.0)</f>
        <v>45797</v>
      </c>
      <c r="F833" s="16"/>
      <c r="G833" s="18">
        <f>IFERROR(__xludf.DUMMYFUNCTION("""COMPUTED_VALUE"""),16.53333333333333)</f>
        <v>16.53333333</v>
      </c>
      <c r="H833" s="15">
        <f>IFERROR(__xludf.DUMMYFUNCTION("""COMPUTED_VALUE"""),44901.0)</f>
        <v>44901</v>
      </c>
      <c r="I833" s="18">
        <f>IFERROR(__xludf.DUMMYFUNCTION("""COMPUTED_VALUE"""),2.4555555555555557)</f>
        <v>2.455555556</v>
      </c>
      <c r="J833" s="22">
        <f>IFERROR(__xludf.DUMMYFUNCTION("""COMPUTED_VALUE"""),60.0)</f>
        <v>60</v>
      </c>
      <c r="K833" s="22">
        <f>IFERROR(__xludf.DUMMYFUNCTION("""COMPUTED_VALUE"""),10.0)</f>
        <v>10</v>
      </c>
      <c r="L833" s="26" t="str">
        <f>IFERROR(__xludf.DUMMYFUNCTION("""COMPUTED_VALUE"""),"Simulation")</f>
        <v>Simulation</v>
      </c>
      <c r="M833" s="26"/>
    </row>
    <row r="834">
      <c r="A834" s="12" t="str">
        <f>IFERROR(__xludf.DUMMYFUNCTION("""COMPUTED_VALUE"""),"Totally Reliable Delivery Service")</f>
        <v>Totally Reliable Delivery Service</v>
      </c>
      <c r="B834" s="13" t="str">
        <f>IFERROR(__xludf.DUMMYFUNCTION("""COMPUTED_VALUE"""),"Xbox / PC")</f>
        <v>Xbox / PC</v>
      </c>
      <c r="C834" s="14" t="str">
        <f>IFERROR(__xludf.DUMMYFUNCTION("""COMPUTED_VALUE"""),"Yes")</f>
        <v>Yes</v>
      </c>
      <c r="D834" s="14" t="str">
        <f>IFERROR(__xludf.DUMMYFUNCTION("""COMPUTED_VALUE"""),"Active")</f>
        <v>Active</v>
      </c>
      <c r="E834" s="15">
        <f>IFERROR(__xludf.DUMMYFUNCTION("""COMPUTED_VALUE"""),43922.0)</f>
        <v>43922</v>
      </c>
      <c r="F834" s="16"/>
      <c r="G834" s="18">
        <f>IFERROR(__xludf.DUMMYFUNCTION("""COMPUTED_VALUE"""),78.16666666666667)</f>
        <v>78.16666667</v>
      </c>
      <c r="H834" s="15">
        <f>IFERROR(__xludf.DUMMYFUNCTION("""COMPUTED_VALUE"""),43922.0)</f>
        <v>43922</v>
      </c>
      <c r="I834" s="18">
        <f>IFERROR(__xludf.DUMMYFUNCTION("""COMPUTED_VALUE"""),0.0)</f>
        <v>0</v>
      </c>
      <c r="J834" s="22">
        <f>IFERROR(__xludf.DUMMYFUNCTION("""COMPUTED_VALUE"""),60.0)</f>
        <v>60</v>
      </c>
      <c r="K834" s="22">
        <f>IFERROR(__xludf.DUMMYFUNCTION("""COMPUTED_VALUE"""),1.0)</f>
        <v>1</v>
      </c>
      <c r="L834" s="26" t="str">
        <f>IFERROR(__xludf.DUMMYFUNCTION("""COMPUTED_VALUE"""),"Action")</f>
        <v>Action</v>
      </c>
      <c r="M834" s="26" t="str">
        <f>IFERROR(__xludf.DUMMYFUNCTION("""COMPUTED_VALUE"""),"FPS Boost")</f>
        <v>FPS Boost</v>
      </c>
    </row>
    <row r="835">
      <c r="A835" s="12" t="str">
        <f>IFERROR(__xludf.DUMMYFUNCTION("""COMPUTED_VALUE"""),"Wasteland Remastered")</f>
        <v>Wasteland Remastered</v>
      </c>
      <c r="B835" s="13" t="str">
        <f>IFERROR(__xludf.DUMMYFUNCTION("""COMPUTED_VALUE"""),"Xbox / PC")</f>
        <v>Xbox / PC</v>
      </c>
      <c r="C835" s="14" t="str">
        <f>IFERROR(__xludf.DUMMYFUNCTION("""COMPUTED_VALUE"""),"Touch Controls")</f>
        <v>Touch Controls</v>
      </c>
      <c r="D835" s="14" t="str">
        <f>IFERROR(__xludf.DUMMYFUNCTION("""COMPUTED_VALUE"""),"Active")</f>
        <v>Active</v>
      </c>
      <c r="E835" s="15">
        <f>IFERROR(__xludf.DUMMYFUNCTION("""COMPUTED_VALUE"""),43886.0)</f>
        <v>43886</v>
      </c>
      <c r="F835" s="16"/>
      <c r="G835" s="18">
        <f>IFERROR(__xludf.DUMMYFUNCTION("""COMPUTED_VALUE"""),79.36666666666667)</f>
        <v>79.36666667</v>
      </c>
      <c r="H835" s="15">
        <f>IFERROR(__xludf.DUMMYFUNCTION("""COMPUTED_VALUE"""),43886.0)</f>
        <v>43886</v>
      </c>
      <c r="I835" s="18">
        <f>IFERROR(__xludf.DUMMYFUNCTION("""COMPUTED_VALUE"""),0.0)</f>
        <v>0</v>
      </c>
      <c r="J835" s="22">
        <f>IFERROR(__xludf.DUMMYFUNCTION("""COMPUTED_VALUE"""),60.0)</f>
        <v>60</v>
      </c>
      <c r="K835" s="22">
        <f>IFERROR(__xludf.DUMMYFUNCTION("""COMPUTED_VALUE"""),18.5)</f>
        <v>18.5</v>
      </c>
      <c r="L835" s="26" t="str">
        <f>IFERROR(__xludf.DUMMYFUNCTION("""COMPUTED_VALUE"""),"RPG")</f>
        <v>RPG</v>
      </c>
      <c r="M835" s="26"/>
    </row>
    <row r="836">
      <c r="A836" s="12" t="str">
        <f>IFERROR(__xludf.DUMMYFUNCTION("""COMPUTED_VALUE"""),"Crackdown 3")</f>
        <v>Crackdown 3</v>
      </c>
      <c r="B836" s="13" t="str">
        <f>IFERROR(__xludf.DUMMYFUNCTION("""COMPUTED_VALUE"""),"Xbox / PC")</f>
        <v>Xbox / PC</v>
      </c>
      <c r="C836" s="14" t="str">
        <f>IFERROR(__xludf.DUMMYFUNCTION("""COMPUTED_VALUE"""),"Yes")</f>
        <v>Yes</v>
      </c>
      <c r="D836" s="14" t="str">
        <f>IFERROR(__xludf.DUMMYFUNCTION("""COMPUTED_VALUE"""),"Active")</f>
        <v>Active</v>
      </c>
      <c r="E836" s="15">
        <f>IFERROR(__xludf.DUMMYFUNCTION("""COMPUTED_VALUE"""),43511.0)</f>
        <v>43511</v>
      </c>
      <c r="F836" s="16"/>
      <c r="G836" s="18">
        <f>IFERROR(__xludf.DUMMYFUNCTION("""COMPUTED_VALUE"""),91.7)</f>
        <v>91.7</v>
      </c>
      <c r="H836" s="15">
        <f>IFERROR(__xludf.DUMMYFUNCTION("""COMPUTED_VALUE"""),43511.0)</f>
        <v>43511</v>
      </c>
      <c r="I836" s="18">
        <f>IFERROR(__xludf.DUMMYFUNCTION("""COMPUTED_VALUE"""),0.0)</f>
        <v>0</v>
      </c>
      <c r="J836" s="22">
        <f>IFERROR(__xludf.DUMMYFUNCTION("""COMPUTED_VALUE"""),60.0)</f>
        <v>60</v>
      </c>
      <c r="K836" s="22">
        <f>IFERROR(__xludf.DUMMYFUNCTION("""COMPUTED_VALUE"""),6.5)</f>
        <v>6.5</v>
      </c>
      <c r="L836" s="26" t="str">
        <f>IFERROR(__xludf.DUMMYFUNCTION("""COMPUTED_VALUE"""),"Action-Adventure")</f>
        <v>Action-Adventure</v>
      </c>
      <c r="M836" s="26"/>
    </row>
    <row r="837">
      <c r="A837" s="12" t="str">
        <f>IFERROR(__xludf.DUMMYFUNCTION("""COMPUTED_VALUE"""),"Ryse: Son of Rome")</f>
        <v>Ryse: Son of Rome</v>
      </c>
      <c r="B837" s="13" t="str">
        <f>IFERROR(__xludf.DUMMYFUNCTION("""COMPUTED_VALUE"""),"Xbox")</f>
        <v>Xbox</v>
      </c>
      <c r="C837" s="14" t="str">
        <f>IFERROR(__xludf.DUMMYFUNCTION("""COMPUTED_VALUE"""),"Yes")</f>
        <v>Yes</v>
      </c>
      <c r="D837" s="14" t="str">
        <f>IFERROR(__xludf.DUMMYFUNCTION("""COMPUTED_VALUE"""),"Active")</f>
        <v>Active</v>
      </c>
      <c r="E837" s="15">
        <f>IFERROR(__xludf.DUMMYFUNCTION("""COMPUTED_VALUE"""),43313.0)</f>
        <v>43313</v>
      </c>
      <c r="F837" s="16"/>
      <c r="G837" s="18">
        <f>IFERROR(__xludf.DUMMYFUNCTION("""COMPUTED_VALUE"""),98.16666666666666)</f>
        <v>98.16666667</v>
      </c>
      <c r="H837" s="15">
        <f>IFERROR(__xludf.DUMMYFUNCTION("""COMPUTED_VALUE"""),41600.0)</f>
        <v>41600</v>
      </c>
      <c r="I837" s="18">
        <f>IFERROR(__xludf.DUMMYFUNCTION("""COMPUTED_VALUE"""),4.691666666666666)</f>
        <v>4.691666667</v>
      </c>
      <c r="J837" s="22">
        <f>IFERROR(__xludf.DUMMYFUNCTION("""COMPUTED_VALUE"""),60.0)</f>
        <v>60</v>
      </c>
      <c r="K837" s="22">
        <f>IFERROR(__xludf.DUMMYFUNCTION("""COMPUTED_VALUE"""),6.5)</f>
        <v>6.5</v>
      </c>
      <c r="L837" s="26" t="str">
        <f>IFERROR(__xludf.DUMMYFUNCTION("""COMPUTED_VALUE"""),"Action-Adventure")</f>
        <v>Action-Adventure</v>
      </c>
      <c r="M837" s="26"/>
    </row>
    <row r="838">
      <c r="A838" s="12" t="str">
        <f>IFERROR(__xludf.DUMMYFUNCTION("""COMPUTED_VALUE"""),"Viva Piñata: Party Animals")</f>
        <v>Viva Piñata: Party Animals</v>
      </c>
      <c r="B838" s="13" t="str">
        <f>IFERROR(__xludf.DUMMYFUNCTION("""COMPUTED_VALUE"""),"XB360/OG Xbox")</f>
        <v>XB360/OG Xbox</v>
      </c>
      <c r="C838" s="14"/>
      <c r="D838" s="14" t="str">
        <f>IFERROR(__xludf.DUMMYFUNCTION("""COMPUTED_VALUE"""),"GwG Permanent")</f>
        <v>GwG Permanent</v>
      </c>
      <c r="E838" s="15">
        <f>IFERROR(__xludf.DUMMYFUNCTION("""COMPUTED_VALUE"""),44697.0)</f>
        <v>44697</v>
      </c>
      <c r="F838" s="16">
        <f>IFERROR(__xludf.DUMMYFUNCTION("""COMPUTED_VALUE"""),44712.0)</f>
        <v>44712</v>
      </c>
      <c r="G838" s="18">
        <f>IFERROR(__xludf.DUMMYFUNCTION("""COMPUTED_VALUE"""),0.4666666666666667)</f>
        <v>0.4666666667</v>
      </c>
      <c r="H838" s="15">
        <f>IFERROR(__xludf.DUMMYFUNCTION("""COMPUTED_VALUE"""),40106.0)</f>
        <v>40106</v>
      </c>
      <c r="I838" s="18">
        <f>IFERROR(__xludf.DUMMYFUNCTION("""COMPUTED_VALUE"""),12.572222222222223)</f>
        <v>12.57222222</v>
      </c>
      <c r="J838" s="22">
        <f>IFERROR(__xludf.DUMMYFUNCTION("""COMPUTED_VALUE"""),60.0)</f>
        <v>60</v>
      </c>
      <c r="K838" s="22">
        <f>IFERROR(__xludf.DUMMYFUNCTION("""COMPUTED_VALUE"""),6.0)</f>
        <v>6</v>
      </c>
      <c r="L838" s="26" t="str">
        <f>IFERROR(__xludf.DUMMYFUNCTION("""COMPUTED_VALUE"""),"Party")</f>
        <v>Party</v>
      </c>
      <c r="M838" s="26"/>
    </row>
    <row r="839">
      <c r="A839" s="12" t="str">
        <f>IFERROR(__xludf.DUMMYFUNCTION("""COMPUTED_VALUE"""),"Fable Heroes")</f>
        <v>Fable Heroes</v>
      </c>
      <c r="B839" s="13" t="str">
        <f>IFERROR(__xludf.DUMMYFUNCTION("""COMPUTED_VALUE"""),"XB360/OG Xbox")</f>
        <v>XB360/OG Xbox</v>
      </c>
      <c r="C839" s="14"/>
      <c r="D839" s="14" t="str">
        <f>IFERROR(__xludf.DUMMYFUNCTION("""COMPUTED_VALUE"""),"GwG Permanent")</f>
        <v>GwG Permanent</v>
      </c>
      <c r="E839" s="15">
        <f>IFERROR(__xludf.DUMMYFUNCTION("""COMPUTED_VALUE"""),43862.0)</f>
        <v>43862</v>
      </c>
      <c r="F839" s="16">
        <f>IFERROR(__xludf.DUMMYFUNCTION("""COMPUTED_VALUE"""),43876.0)</f>
        <v>43876</v>
      </c>
      <c r="G839" s="18">
        <f>IFERROR(__xludf.DUMMYFUNCTION("""COMPUTED_VALUE"""),0.4666666666666667)</f>
        <v>0.4666666667</v>
      </c>
      <c r="H839" s="15">
        <f>IFERROR(__xludf.DUMMYFUNCTION("""COMPUTED_VALUE"""),41031.0)</f>
        <v>41031</v>
      </c>
      <c r="I839" s="18">
        <f>IFERROR(__xludf.DUMMYFUNCTION("""COMPUTED_VALUE"""),7.747222222222222)</f>
        <v>7.747222222</v>
      </c>
      <c r="J839" s="22">
        <f>IFERROR(__xludf.DUMMYFUNCTION("""COMPUTED_VALUE"""),60.0)</f>
        <v>60</v>
      </c>
      <c r="K839" s="22">
        <f>IFERROR(__xludf.DUMMYFUNCTION("""COMPUTED_VALUE"""),5.0)</f>
        <v>5</v>
      </c>
      <c r="L839" s="26" t="str">
        <f>IFERROR(__xludf.DUMMYFUNCTION("""COMPUTED_VALUE"""),"Action-Adventure")</f>
        <v>Action-Adventure</v>
      </c>
      <c r="M839" s="26"/>
    </row>
    <row r="840">
      <c r="A840" s="12" t="str">
        <f>IFERROR(__xludf.DUMMYFUNCTION("""COMPUTED_VALUE"""),"Skull and Bones")</f>
        <v>Skull and Bones</v>
      </c>
      <c r="B840" s="13" t="str">
        <f>IFERROR(__xludf.DUMMYFUNCTION("""COMPUTED_VALUE"""),"Xbox / PC")</f>
        <v>Xbox / PC</v>
      </c>
      <c r="C840" s="14" t="str">
        <f>IFERROR(__xludf.DUMMYFUNCTION("""COMPUTED_VALUE"""),"Yes")</f>
        <v>Yes</v>
      </c>
      <c r="D840" s="14" t="str">
        <f>IFERROR(__xludf.DUMMYFUNCTION("""COMPUTED_VALUE"""),"Active")</f>
        <v>Active</v>
      </c>
      <c r="E840" s="15">
        <f>IFERROR(__xludf.DUMMYFUNCTION("""COMPUTED_VALUE"""),45931.0)</f>
        <v>45931</v>
      </c>
      <c r="F840" s="16"/>
      <c r="G840" s="18">
        <f>IFERROR(__xludf.DUMMYFUNCTION("""COMPUTED_VALUE"""),12.166666666666666)</f>
        <v>12.16666667</v>
      </c>
      <c r="H840" s="15">
        <f>IFERROR(__xludf.DUMMYFUNCTION("""COMPUTED_VALUE"""),45338.0)</f>
        <v>45338</v>
      </c>
      <c r="I840" s="18">
        <f>IFERROR(__xludf.DUMMYFUNCTION("""COMPUTED_VALUE"""),1.625)</f>
        <v>1.625</v>
      </c>
      <c r="J840" s="22">
        <f>IFERROR(__xludf.DUMMYFUNCTION("""COMPUTED_VALUE"""),59.0)</f>
        <v>59</v>
      </c>
      <c r="K840" s="22">
        <f>IFERROR(__xludf.DUMMYFUNCTION("""COMPUTED_VALUE"""),32.0)</f>
        <v>32</v>
      </c>
      <c r="L840" s="26" t="str">
        <f>IFERROR(__xludf.DUMMYFUNCTION("""COMPUTED_VALUE"""),"Action-Adventure")</f>
        <v>Action-Adventure</v>
      </c>
      <c r="M840" s="26"/>
    </row>
    <row r="841">
      <c r="A841" s="12" t="str">
        <f>IFERROR(__xludf.DUMMYFUNCTION("""COMPUTED_VALUE"""),"Star Voyager")</f>
        <v>Star Voyager</v>
      </c>
      <c r="B841" s="13" t="str">
        <f>IFERROR(__xludf.DUMMYFUNCTION("""COMPUTED_VALUE"""),"Xbox / PC")</f>
        <v>Xbox / PC</v>
      </c>
      <c r="C841" s="14" t="str">
        <f>IFERROR(__xludf.DUMMYFUNCTION("""COMPUTED_VALUE"""),"Yes")</f>
        <v>Yes</v>
      </c>
      <c r="D841" s="14" t="str">
        <f>IFERROR(__xludf.DUMMYFUNCTION("""COMPUTED_VALUE"""),"Active")</f>
        <v>Active</v>
      </c>
      <c r="E841" s="15">
        <f>IFERROR(__xludf.DUMMYFUNCTION("""COMPUTED_VALUE"""),45798.0)</f>
        <v>45798</v>
      </c>
      <c r="F841" s="16"/>
      <c r="G841" s="18">
        <f>IFERROR(__xludf.DUMMYFUNCTION("""COMPUTED_VALUE"""),16.5)</f>
        <v>16.5</v>
      </c>
      <c r="H841" s="15">
        <f>IFERROR(__xludf.DUMMYFUNCTION("""COMPUTED_VALUE"""),30042.0)</f>
        <v>30042</v>
      </c>
      <c r="I841" s="18">
        <f>IFERROR(__xludf.DUMMYFUNCTION("""COMPUTED_VALUE"""),43.138888888888886)</f>
        <v>43.13888889</v>
      </c>
      <c r="J841" s="22">
        <f>IFERROR(__xludf.DUMMYFUNCTION("""COMPUTED_VALUE"""),59.0)</f>
        <v>59</v>
      </c>
      <c r="K841" s="22"/>
      <c r="L841" s="26" t="str">
        <f>IFERROR(__xludf.DUMMYFUNCTION("""COMPUTED_VALUE"""),"Shooter")</f>
        <v>Shooter</v>
      </c>
      <c r="M841" s="26"/>
    </row>
    <row r="842">
      <c r="A842" s="12" t="str">
        <f>IFERROR(__xludf.DUMMYFUNCTION("""COMPUTED_VALUE"""),"Killer Instinct 2 Classic")</f>
        <v>Killer Instinct 2 Classic</v>
      </c>
      <c r="B842" s="13" t="str">
        <f>IFERROR(__xludf.DUMMYFUNCTION("""COMPUTED_VALUE"""),"Xbox")</f>
        <v>Xbox</v>
      </c>
      <c r="C842" s="14"/>
      <c r="D842" s="14" t="str">
        <f>IFERROR(__xludf.DUMMYFUNCTION("""COMPUTED_VALUE"""),"Active")</f>
        <v>Active</v>
      </c>
      <c r="E842" s="15">
        <f>IFERROR(__xludf.DUMMYFUNCTION("""COMPUTED_VALUE"""),43671.0)</f>
        <v>43671</v>
      </c>
      <c r="F842" s="16"/>
      <c r="G842" s="18">
        <f>IFERROR(__xludf.DUMMYFUNCTION("""COMPUTED_VALUE"""),86.36666666666666)</f>
        <v>86.36666667</v>
      </c>
      <c r="H842" s="15">
        <f>IFERROR(__xludf.DUMMYFUNCTION("""COMPUTED_VALUE"""),41600.0)</f>
        <v>41600</v>
      </c>
      <c r="I842" s="18">
        <f>IFERROR(__xludf.DUMMYFUNCTION("""COMPUTED_VALUE"""),5.675)</f>
        <v>5.675</v>
      </c>
      <c r="J842" s="22">
        <f>IFERROR(__xludf.DUMMYFUNCTION("""COMPUTED_VALUE"""),59.0)</f>
        <v>59</v>
      </c>
      <c r="K842" s="22">
        <f>IFERROR(__xludf.DUMMYFUNCTION("""COMPUTED_VALUE"""),1.0)</f>
        <v>1</v>
      </c>
      <c r="L842" s="26" t="str">
        <f>IFERROR(__xludf.DUMMYFUNCTION("""COMPUTED_VALUE"""),"Fighting")</f>
        <v>Fighting</v>
      </c>
      <c r="M842" s="26"/>
    </row>
    <row r="843">
      <c r="A843" s="12" t="str">
        <f>IFERROR(__xludf.DUMMYFUNCTION("""COMPUTED_VALUE"""),"Cars 2: The Video Game")</f>
        <v>Cars 2: The Video Game</v>
      </c>
      <c r="B843" s="13" t="str">
        <f>IFERROR(__xludf.DUMMYFUNCTION("""COMPUTED_VALUE"""),"XB360/OG Xbox")</f>
        <v>XB360/OG Xbox</v>
      </c>
      <c r="C843" s="14"/>
      <c r="D843" s="14" t="str">
        <f>IFERROR(__xludf.DUMMYFUNCTION("""COMPUTED_VALUE"""),"GwG Permanent")</f>
        <v>GwG Permanent</v>
      </c>
      <c r="E843" s="15">
        <f>IFERROR(__xludf.DUMMYFUNCTION("""COMPUTED_VALUE"""),43191.0)</f>
        <v>43191</v>
      </c>
      <c r="F843" s="16">
        <f>IFERROR(__xludf.DUMMYFUNCTION("""COMPUTED_VALUE"""),43205.0)</f>
        <v>43205</v>
      </c>
      <c r="G843" s="18">
        <f>IFERROR(__xludf.DUMMYFUNCTION("""COMPUTED_VALUE"""),0.4666666666666667)</f>
        <v>0.4666666667</v>
      </c>
      <c r="H843" s="15">
        <f>IFERROR(__xludf.DUMMYFUNCTION("""COMPUTED_VALUE"""),40713.0)</f>
        <v>40713</v>
      </c>
      <c r="I843" s="18">
        <f>IFERROR(__xludf.DUMMYFUNCTION("""COMPUTED_VALUE"""),6.783333333333333)</f>
        <v>6.783333333</v>
      </c>
      <c r="J843" s="22">
        <f>IFERROR(__xludf.DUMMYFUNCTION("""COMPUTED_VALUE"""),59.0)</f>
        <v>59</v>
      </c>
      <c r="K843" s="22">
        <f>IFERROR(__xludf.DUMMYFUNCTION("""COMPUTED_VALUE"""),7.0)</f>
        <v>7</v>
      </c>
      <c r="L843" s="26" t="str">
        <f>IFERROR(__xludf.DUMMYFUNCTION("""COMPUTED_VALUE"""),"Racing")</f>
        <v>Racing</v>
      </c>
      <c r="M843" s="26"/>
    </row>
    <row r="844">
      <c r="A844" s="12" t="str">
        <f>IFERROR(__xludf.DUMMYFUNCTION("""COMPUTED_VALUE"""),"Crazy Taxi")</f>
        <v>Crazy Taxi</v>
      </c>
      <c r="B844" s="13" t="str">
        <f>IFERROR(__xludf.DUMMYFUNCTION("""COMPUTED_VALUE"""),"XB360/OG Xbox")</f>
        <v>XB360/OG Xbox</v>
      </c>
      <c r="C844" s="14"/>
      <c r="D844" s="14" t="str">
        <f>IFERROR(__xludf.DUMMYFUNCTION("""COMPUTED_VALUE"""),"GwG Permanent")</f>
        <v>GwG Permanent</v>
      </c>
      <c r="E844" s="15">
        <f>IFERROR(__xludf.DUMMYFUNCTION("""COMPUTED_VALUE"""),43147.0)</f>
        <v>43147</v>
      </c>
      <c r="F844" s="16">
        <f>IFERROR(__xludf.DUMMYFUNCTION("""COMPUTED_VALUE"""),43159.0)</f>
        <v>43159</v>
      </c>
      <c r="G844" s="18">
        <f>IFERROR(__xludf.DUMMYFUNCTION("""COMPUTED_VALUE"""),0.4)</f>
        <v>0.4</v>
      </c>
      <c r="H844" s="15">
        <f>IFERROR(__xludf.DUMMYFUNCTION("""COMPUTED_VALUE"""),40506.0)</f>
        <v>40506</v>
      </c>
      <c r="I844" s="18">
        <f>IFERROR(__xludf.DUMMYFUNCTION("""COMPUTED_VALUE"""),7.227777777777778)</f>
        <v>7.227777778</v>
      </c>
      <c r="J844" s="22">
        <f>IFERROR(__xludf.DUMMYFUNCTION("""COMPUTED_VALUE"""),59.0)</f>
        <v>59</v>
      </c>
      <c r="K844" s="22">
        <f>IFERROR(__xludf.DUMMYFUNCTION("""COMPUTED_VALUE"""),1.0)</f>
        <v>1</v>
      </c>
      <c r="L844" s="26" t="str">
        <f>IFERROR(__xludf.DUMMYFUNCTION("""COMPUTED_VALUE"""),"Racing")</f>
        <v>Racing</v>
      </c>
      <c r="M844" s="26"/>
    </row>
    <row r="845">
      <c r="A845" s="12" t="str">
        <f>IFERROR(__xludf.DUMMYFUNCTION("""COMPUTED_VALUE"""),"Hungry Shark World")</f>
        <v>Hungry Shark World</v>
      </c>
      <c r="B845" s="13" t="str">
        <f>IFERROR(__xludf.DUMMYFUNCTION("""COMPUTED_VALUE"""),"Xbox / PC")</f>
        <v>Xbox / PC</v>
      </c>
      <c r="C845" s="14" t="str">
        <f>IFERROR(__xludf.DUMMYFUNCTION("""COMPUTED_VALUE"""),"Yes")</f>
        <v>Yes</v>
      </c>
      <c r="D845" s="14" t="str">
        <f>IFERROR(__xludf.DUMMYFUNCTION("""COMPUTED_VALUE"""),"Active")</f>
        <v>Active</v>
      </c>
      <c r="E845" s="15">
        <f>IFERROR(__xludf.DUMMYFUNCTION("""COMPUTED_VALUE"""),45931.0)</f>
        <v>45931</v>
      </c>
      <c r="F845" s="16"/>
      <c r="G845" s="18">
        <f>IFERROR(__xludf.DUMMYFUNCTION("""COMPUTED_VALUE"""),12.166666666666666)</f>
        <v>12.16666667</v>
      </c>
      <c r="H845" s="15">
        <f>IFERROR(__xludf.DUMMYFUNCTION("""COMPUTED_VALUE"""),43298.0)</f>
        <v>43298</v>
      </c>
      <c r="I845" s="18">
        <f>IFERROR(__xludf.DUMMYFUNCTION("""COMPUTED_VALUE"""),7.205555555555556)</f>
        <v>7.205555556</v>
      </c>
      <c r="J845" s="22">
        <f>IFERROR(__xludf.DUMMYFUNCTION("""COMPUTED_VALUE"""),58.0)</f>
        <v>58</v>
      </c>
      <c r="K845" s="22">
        <f>IFERROR(__xludf.DUMMYFUNCTION("""COMPUTED_VALUE"""),8.0)</f>
        <v>8</v>
      </c>
      <c r="L845" s="26" t="str">
        <f>IFERROR(__xludf.DUMMYFUNCTION("""COMPUTED_VALUE"""),"Action-Adventure")</f>
        <v>Action-Adventure</v>
      </c>
      <c r="M845" s="26"/>
    </row>
    <row r="846">
      <c r="A846" s="12" t="str">
        <f>IFERROR(__xludf.DUMMYFUNCTION("""COMPUTED_VALUE"""),"Skate Boardin'")</f>
        <v>Skate Boardin'</v>
      </c>
      <c r="B846" s="13" t="str">
        <f>IFERROR(__xludf.DUMMYFUNCTION("""COMPUTED_VALUE"""),"Xbox / PC")</f>
        <v>Xbox / PC</v>
      </c>
      <c r="C846" s="14" t="str">
        <f>IFERROR(__xludf.DUMMYFUNCTION("""COMPUTED_VALUE"""),"Yes")</f>
        <v>Yes</v>
      </c>
      <c r="D846" s="14" t="str">
        <f>IFERROR(__xludf.DUMMYFUNCTION("""COMPUTED_VALUE"""),"Active")</f>
        <v>Active</v>
      </c>
      <c r="E846" s="15">
        <f>IFERROR(__xludf.DUMMYFUNCTION("""COMPUTED_VALUE"""),45859.0)</f>
        <v>45859</v>
      </c>
      <c r="F846" s="16"/>
      <c r="G846" s="18">
        <f>IFERROR(__xludf.DUMMYFUNCTION("""COMPUTED_VALUE"""),14.5)</f>
        <v>14.5</v>
      </c>
      <c r="H846" s="15">
        <f>IFERROR(__xludf.DUMMYFUNCTION("""COMPUTED_VALUE"""),31972.0)</f>
        <v>31972</v>
      </c>
      <c r="I846" s="18">
        <f>IFERROR(__xludf.DUMMYFUNCTION("""COMPUTED_VALUE"""),38.019444444444446)</f>
        <v>38.01944444</v>
      </c>
      <c r="J846" s="22">
        <f>IFERROR(__xludf.DUMMYFUNCTION("""COMPUTED_VALUE"""),58.0)</f>
        <v>58</v>
      </c>
      <c r="K846" s="22">
        <f>IFERROR(__xludf.DUMMYFUNCTION("""COMPUTED_VALUE"""),1.0)</f>
        <v>1</v>
      </c>
      <c r="L846" s="26" t="str">
        <f>IFERROR(__xludf.DUMMYFUNCTION("""COMPUTED_VALUE"""),"Sports")</f>
        <v>Sports</v>
      </c>
      <c r="M846" s="26"/>
    </row>
    <row r="847">
      <c r="A847" s="12" t="str">
        <f>IFERROR(__xludf.DUMMYFUNCTION("""COMPUTED_VALUE"""),"Checkers")</f>
        <v>Checkers</v>
      </c>
      <c r="B847" s="13" t="str">
        <f>IFERROR(__xludf.DUMMYFUNCTION("""COMPUTED_VALUE"""),"Xbox / PC")</f>
        <v>Xbox / PC</v>
      </c>
      <c r="C847" s="14" t="str">
        <f>IFERROR(__xludf.DUMMYFUNCTION("""COMPUTED_VALUE"""),"Yes")</f>
        <v>Yes</v>
      </c>
      <c r="D847" s="14" t="str">
        <f>IFERROR(__xludf.DUMMYFUNCTION("""COMPUTED_VALUE"""),"Active")</f>
        <v>Active</v>
      </c>
      <c r="E847" s="15">
        <f>IFERROR(__xludf.DUMMYFUNCTION("""COMPUTED_VALUE"""),45798.0)</f>
        <v>45798</v>
      </c>
      <c r="F847" s="16"/>
      <c r="G847" s="18">
        <f>IFERROR(__xludf.DUMMYFUNCTION("""COMPUTED_VALUE"""),16.5)</f>
        <v>16.5</v>
      </c>
      <c r="H847" s="15">
        <f>IFERROR(__xludf.DUMMYFUNCTION("""COMPUTED_VALUE"""),29403.0)</f>
        <v>29403</v>
      </c>
      <c r="I847" s="18">
        <f>IFERROR(__xludf.DUMMYFUNCTION("""COMPUTED_VALUE"""),44.888888888888886)</f>
        <v>44.88888889</v>
      </c>
      <c r="J847" s="22">
        <f>IFERROR(__xludf.DUMMYFUNCTION("""COMPUTED_VALUE"""),58.0)</f>
        <v>58</v>
      </c>
      <c r="K847" s="22"/>
      <c r="L847" s="26" t="str">
        <f>IFERROR(__xludf.DUMMYFUNCTION("""COMPUTED_VALUE"""),"Strategy")</f>
        <v>Strategy</v>
      </c>
      <c r="M847" s="26"/>
    </row>
    <row r="848">
      <c r="A848" s="12" t="str">
        <f>IFERROR(__xludf.DUMMYFUNCTION("""COMPUTED_VALUE"""),"Police Simulator: Patrol Officers")</f>
        <v>Police Simulator: Patrol Officers</v>
      </c>
      <c r="B848" s="13" t="str">
        <f>IFERROR(__xludf.DUMMYFUNCTION("""COMPUTED_VALUE"""),"Xbox / PC")</f>
        <v>Xbox / PC</v>
      </c>
      <c r="C848" s="14" t="str">
        <f>IFERROR(__xludf.DUMMYFUNCTION("""COMPUTED_VALUE"""),"Yes")</f>
        <v>Yes</v>
      </c>
      <c r="D848" s="14" t="str">
        <f>IFERROR(__xludf.DUMMYFUNCTION("""COMPUTED_VALUE"""),"Active")</f>
        <v>Active</v>
      </c>
      <c r="E848" s="15">
        <f>IFERROR(__xludf.DUMMYFUNCTION("""COMPUTED_VALUE"""),45797.0)</f>
        <v>45797</v>
      </c>
      <c r="F848" s="16"/>
      <c r="G848" s="18">
        <f>IFERROR(__xludf.DUMMYFUNCTION("""COMPUTED_VALUE"""),16.53333333333333)</f>
        <v>16.53333333</v>
      </c>
      <c r="H848" s="15">
        <f>IFERROR(__xludf.DUMMYFUNCTION("""COMPUTED_VALUE"""),44875.0)</f>
        <v>44875</v>
      </c>
      <c r="I848" s="18">
        <f>IFERROR(__xludf.DUMMYFUNCTION("""COMPUTED_VALUE"""),2.5277777777777777)</f>
        <v>2.527777778</v>
      </c>
      <c r="J848" s="22">
        <f>IFERROR(__xludf.DUMMYFUNCTION("""COMPUTED_VALUE"""),58.0)</f>
        <v>58</v>
      </c>
      <c r="K848" s="22">
        <f>IFERROR(__xludf.DUMMYFUNCTION("""COMPUTED_VALUE"""),16.0)</f>
        <v>16</v>
      </c>
      <c r="L848" s="26" t="str">
        <f>IFERROR(__xludf.DUMMYFUNCTION("""COMPUTED_VALUE"""),"Simulation")</f>
        <v>Simulation</v>
      </c>
      <c r="M848" s="26"/>
    </row>
    <row r="849">
      <c r="A849" s="12" t="str">
        <f>IFERROR(__xludf.DUMMYFUNCTION("""COMPUTED_VALUE"""),"Dead by Daylight: Special Edition")</f>
        <v>Dead by Daylight: Special Edition</v>
      </c>
      <c r="B849" s="13" t="str">
        <f>IFERROR(__xludf.DUMMYFUNCTION("""COMPUTED_VALUE"""),"Xbox / PC")</f>
        <v>Xbox / PC</v>
      </c>
      <c r="C849" s="14" t="str">
        <f>IFERROR(__xludf.DUMMYFUNCTION("""COMPUTED_VALUE"""),"Yes")</f>
        <v>Yes</v>
      </c>
      <c r="D849" s="14" t="str">
        <f>IFERROR(__xludf.DUMMYFUNCTION("""COMPUTED_VALUE"""),"Active")</f>
        <v>Active</v>
      </c>
      <c r="E849" s="15">
        <f>IFERROR(__xludf.DUMMYFUNCTION("""COMPUTED_VALUE"""),43615.0)</f>
        <v>43615</v>
      </c>
      <c r="F849" s="16"/>
      <c r="G849" s="18">
        <f>IFERROR(__xludf.DUMMYFUNCTION("""COMPUTED_VALUE"""),88.19999999999999)</f>
        <v>88.2</v>
      </c>
      <c r="H849" s="15">
        <f>IFERROR(__xludf.DUMMYFUNCTION("""COMPUTED_VALUE"""),42535.0)</f>
        <v>42535</v>
      </c>
      <c r="I849" s="18">
        <f>IFERROR(__xludf.DUMMYFUNCTION("""COMPUTED_VALUE"""),2.9611111111111112)</f>
        <v>2.961111111</v>
      </c>
      <c r="J849" s="22">
        <f>IFERROR(__xludf.DUMMYFUNCTION("""COMPUTED_VALUE"""),58.0)</f>
        <v>58</v>
      </c>
      <c r="K849" s="22">
        <f>IFERROR(__xludf.DUMMYFUNCTION("""COMPUTED_VALUE"""),608.0)</f>
        <v>608</v>
      </c>
      <c r="L849" s="26" t="str">
        <f>IFERROR(__xludf.DUMMYFUNCTION("""COMPUTED_VALUE"""),"Action")</f>
        <v>Action</v>
      </c>
      <c r="M849" s="26" t="str">
        <f>IFERROR(__xludf.DUMMYFUNCTION("""COMPUTED_VALUE"""),"Optimized")</f>
        <v>Optimized</v>
      </c>
    </row>
    <row r="850">
      <c r="A850" s="12" t="str">
        <f>IFERROR(__xludf.DUMMYFUNCTION("""COMPUTED_VALUE"""),"Dark Void")</f>
        <v>Dark Void</v>
      </c>
      <c r="B850" s="13" t="str">
        <f>IFERROR(__xludf.DUMMYFUNCTION("""COMPUTED_VALUE"""),"XB360/OG Xbox")</f>
        <v>XB360/OG Xbox</v>
      </c>
      <c r="C850" s="14"/>
      <c r="D850" s="14" t="str">
        <f>IFERROR(__xludf.DUMMYFUNCTION("""COMPUTED_VALUE"""),"GwG Permanent")</f>
        <v>GwG Permanent</v>
      </c>
      <c r="E850" s="15">
        <f>IFERROR(__xludf.DUMMYFUNCTION("""COMPUTED_VALUE"""),44287.0)</f>
        <v>44287</v>
      </c>
      <c r="F850" s="16">
        <f>IFERROR(__xludf.DUMMYFUNCTION("""COMPUTED_VALUE"""),44301.0)</f>
        <v>44301</v>
      </c>
      <c r="G850" s="18">
        <f>IFERROR(__xludf.DUMMYFUNCTION("""COMPUTED_VALUE"""),0.4666666666666667)</f>
        <v>0.4666666667</v>
      </c>
      <c r="H850" s="15">
        <f>IFERROR(__xludf.DUMMYFUNCTION("""COMPUTED_VALUE"""),40259.0)</f>
        <v>40259</v>
      </c>
      <c r="I850" s="18">
        <f>IFERROR(__xludf.DUMMYFUNCTION("""COMPUTED_VALUE"""),11.025)</f>
        <v>11.025</v>
      </c>
      <c r="J850" s="22">
        <f>IFERROR(__xludf.DUMMYFUNCTION("""COMPUTED_VALUE"""),58.0)</f>
        <v>58</v>
      </c>
      <c r="K850" s="22">
        <f>IFERROR(__xludf.DUMMYFUNCTION("""COMPUTED_VALUE"""),8.0)</f>
        <v>8</v>
      </c>
      <c r="L850" s="26" t="str">
        <f>IFERROR(__xludf.DUMMYFUNCTION("""COMPUTED_VALUE"""),"Action")</f>
        <v>Action</v>
      </c>
      <c r="M850" s="26"/>
    </row>
    <row r="851">
      <c r="A851" s="12" t="str">
        <f>IFERROR(__xludf.DUMMYFUNCTION("""COMPUTED_VALUE"""),"Bolt")</f>
        <v>Bolt</v>
      </c>
      <c r="B851" s="13" t="str">
        <f>IFERROR(__xludf.DUMMYFUNCTION("""COMPUTED_VALUE"""),"XB360/OG Xbox")</f>
        <v>XB360/OG Xbox</v>
      </c>
      <c r="C851" s="14"/>
      <c r="D851" s="14" t="str">
        <f>IFERROR(__xludf.DUMMYFUNCTION("""COMPUTED_VALUE"""),"GwG Permanent")</f>
        <v>GwG Permanent</v>
      </c>
      <c r="E851" s="15">
        <f>IFERROR(__xludf.DUMMYFUNCTION("""COMPUTED_VALUE"""),43739.0)</f>
        <v>43739</v>
      </c>
      <c r="F851" s="16">
        <f>IFERROR(__xludf.DUMMYFUNCTION("""COMPUTED_VALUE"""),43753.0)</f>
        <v>43753</v>
      </c>
      <c r="G851" s="18">
        <f>IFERROR(__xludf.DUMMYFUNCTION("""COMPUTED_VALUE"""),0.4666666666666667)</f>
        <v>0.4666666667</v>
      </c>
      <c r="H851" s="15">
        <f>IFERROR(__xludf.DUMMYFUNCTION("""COMPUTED_VALUE"""),39757.0)</f>
        <v>39757</v>
      </c>
      <c r="I851" s="18">
        <f>IFERROR(__xludf.DUMMYFUNCTION("""COMPUTED_VALUE"""),10.905555555555555)</f>
        <v>10.90555556</v>
      </c>
      <c r="J851" s="22">
        <f>IFERROR(__xludf.DUMMYFUNCTION("""COMPUTED_VALUE"""),57.0)</f>
        <v>57</v>
      </c>
      <c r="K851" s="22">
        <f>IFERROR(__xludf.DUMMYFUNCTION("""COMPUTED_VALUE"""),5.0)</f>
        <v>5</v>
      </c>
      <c r="L851" s="26" t="str">
        <f>IFERROR(__xludf.DUMMYFUNCTION("""COMPUTED_VALUE"""),"Action-Adventure")</f>
        <v>Action-Adventure</v>
      </c>
      <c r="M851" s="26"/>
    </row>
    <row r="852">
      <c r="A852" s="12" t="str">
        <f>IFERROR(__xludf.DUMMYFUNCTION("""COMPUTED_VALUE"""),"Tom Clancy's Ghost Recon Breakpoint")</f>
        <v>Tom Clancy's Ghost Recon Breakpoint</v>
      </c>
      <c r="B852" s="13" t="str">
        <f>IFERROR(__xludf.DUMMYFUNCTION("""COMPUTED_VALUE"""),"Xbox / PC")</f>
        <v>Xbox / PC</v>
      </c>
      <c r="C852" s="14" t="str">
        <f>IFERROR(__xludf.DUMMYFUNCTION("""COMPUTED_VALUE"""),"Yes")</f>
        <v>Yes</v>
      </c>
      <c r="D852" s="14" t="str">
        <f>IFERROR(__xludf.DUMMYFUNCTION("""COMPUTED_VALUE"""),"Active")</f>
        <v>Active</v>
      </c>
      <c r="E852" s="15">
        <f>IFERROR(__xludf.DUMMYFUNCTION("""COMPUTED_VALUE"""),45931.0)</f>
        <v>45931</v>
      </c>
      <c r="F852" s="16"/>
      <c r="G852" s="18">
        <f>IFERROR(__xludf.DUMMYFUNCTION("""COMPUTED_VALUE"""),12.166666666666666)</f>
        <v>12.16666667</v>
      </c>
      <c r="H852" s="15">
        <f>IFERROR(__xludf.DUMMYFUNCTION("""COMPUTED_VALUE"""),43739.0)</f>
        <v>43739</v>
      </c>
      <c r="I852" s="18">
        <f>IFERROR(__xludf.DUMMYFUNCTION("""COMPUTED_VALUE"""),6.0)</f>
        <v>6</v>
      </c>
      <c r="J852" s="22">
        <f>IFERROR(__xludf.DUMMYFUNCTION("""COMPUTED_VALUE"""),56.0)</f>
        <v>56</v>
      </c>
      <c r="K852" s="22">
        <f>IFERROR(__xludf.DUMMYFUNCTION("""COMPUTED_VALUE"""),23.0)</f>
        <v>23</v>
      </c>
      <c r="L852" s="26" t="str">
        <f>IFERROR(__xludf.DUMMYFUNCTION("""COMPUTED_VALUE"""),"Shooter")</f>
        <v>Shooter</v>
      </c>
      <c r="M852" s="26"/>
    </row>
    <row r="853">
      <c r="A853" s="12" t="str">
        <f>IFERROR(__xludf.DUMMYFUNCTION("""COMPUTED_VALUE"""),"Commando")</f>
        <v>Commando</v>
      </c>
      <c r="B853" s="13" t="str">
        <f>IFERROR(__xludf.DUMMYFUNCTION("""COMPUTED_VALUE"""),"Xbox / PC")</f>
        <v>Xbox / PC</v>
      </c>
      <c r="C853" s="14" t="str">
        <f>IFERROR(__xludf.DUMMYFUNCTION("""COMPUTED_VALUE"""),"Yes")</f>
        <v>Yes</v>
      </c>
      <c r="D853" s="14" t="str">
        <f>IFERROR(__xludf.DUMMYFUNCTION("""COMPUTED_VALUE"""),"Active")</f>
        <v>Active</v>
      </c>
      <c r="E853" s="15">
        <f>IFERROR(__xludf.DUMMYFUNCTION("""COMPUTED_VALUE"""),45798.0)</f>
        <v>45798</v>
      </c>
      <c r="F853" s="16"/>
      <c r="G853" s="18">
        <f>IFERROR(__xludf.DUMMYFUNCTION("""COMPUTED_VALUE"""),16.5)</f>
        <v>16.5</v>
      </c>
      <c r="H853" s="15">
        <f>IFERROR(__xludf.DUMMYFUNCTION("""COMPUTED_VALUE"""),30393.0)</f>
        <v>30393</v>
      </c>
      <c r="I853" s="18">
        <f>IFERROR(__xludf.DUMMYFUNCTION("""COMPUTED_VALUE"""),42.175)</f>
        <v>42.175</v>
      </c>
      <c r="J853" s="22">
        <f>IFERROR(__xludf.DUMMYFUNCTION("""COMPUTED_VALUE"""),56.0)</f>
        <v>56</v>
      </c>
      <c r="K853" s="22"/>
      <c r="L853" s="26" t="str">
        <f>IFERROR(__xludf.DUMMYFUNCTION("""COMPUTED_VALUE"""),"Shooter")</f>
        <v>Shooter</v>
      </c>
      <c r="M853" s="26"/>
    </row>
    <row r="854">
      <c r="A854" s="12" t="str">
        <f>IFERROR(__xludf.DUMMYFUNCTION("""COMPUTED_VALUE"""),"Call of Duty: Modern Warfare III")</f>
        <v>Call of Duty: Modern Warfare III</v>
      </c>
      <c r="B854" s="13" t="str">
        <f>IFERROR(__xludf.DUMMYFUNCTION("""COMPUTED_VALUE"""),"Xbox / PC")</f>
        <v>Xbox / PC</v>
      </c>
      <c r="C854" s="14" t="str">
        <f>IFERROR(__xludf.DUMMYFUNCTION("""COMPUTED_VALUE"""),"Yes")</f>
        <v>Yes</v>
      </c>
      <c r="D854" s="14" t="str">
        <f>IFERROR(__xludf.DUMMYFUNCTION("""COMPUTED_VALUE"""),"Active")</f>
        <v>Active</v>
      </c>
      <c r="E854" s="15">
        <f>IFERROR(__xludf.DUMMYFUNCTION("""COMPUTED_VALUE"""),45497.0)</f>
        <v>45497</v>
      </c>
      <c r="F854" s="16"/>
      <c r="G854" s="18">
        <f>IFERROR(__xludf.DUMMYFUNCTION("""COMPUTED_VALUE"""),26.400000000000002)</f>
        <v>26.4</v>
      </c>
      <c r="H854" s="15">
        <f>IFERROR(__xludf.DUMMYFUNCTION("""COMPUTED_VALUE"""),45211.0)</f>
        <v>45211</v>
      </c>
      <c r="I854" s="18">
        <f>IFERROR(__xludf.DUMMYFUNCTION("""COMPUTED_VALUE"""),0.7833333333333333)</f>
        <v>0.7833333333</v>
      </c>
      <c r="J854" s="22">
        <f>IFERROR(__xludf.DUMMYFUNCTION("""COMPUTED_VALUE"""),56.0)</f>
        <v>56</v>
      </c>
      <c r="K854" s="22">
        <f>IFERROR(__xludf.DUMMYFUNCTION("""COMPUTED_VALUE"""),5.0)</f>
        <v>5</v>
      </c>
      <c r="L854" s="26" t="str">
        <f>IFERROR(__xludf.DUMMYFUNCTION("""COMPUTED_VALUE"""),"Shooter")</f>
        <v>Shooter</v>
      </c>
      <c r="M854" s="26"/>
    </row>
    <row r="855">
      <c r="A855" s="12" t="str">
        <f>IFERROR(__xludf.DUMMYFUNCTION("""COMPUTED_VALUE"""),"Bluey: The Videogame")</f>
        <v>Bluey: The Videogame</v>
      </c>
      <c r="B855" s="13" t="str">
        <f>IFERROR(__xludf.DUMMYFUNCTION("""COMPUTED_VALUE"""),"Xbox / PC")</f>
        <v>Xbox / PC</v>
      </c>
      <c r="C855" s="14" t="str">
        <f>IFERROR(__xludf.DUMMYFUNCTION("""COMPUTED_VALUE"""),"Yes")</f>
        <v>Yes</v>
      </c>
      <c r="D855" s="14" t="str">
        <f>IFERROR(__xludf.DUMMYFUNCTION("""COMPUTED_VALUE"""),"Active")</f>
        <v>Active</v>
      </c>
      <c r="E855" s="15">
        <f>IFERROR(__xludf.DUMMYFUNCTION("""COMPUTED_VALUE"""),45344.0)</f>
        <v>45344</v>
      </c>
      <c r="F855" s="16"/>
      <c r="G855" s="18">
        <f>IFERROR(__xludf.DUMMYFUNCTION("""COMPUTED_VALUE"""),31.46666666666667)</f>
        <v>31.46666667</v>
      </c>
      <c r="H855" s="15">
        <f>IFERROR(__xludf.DUMMYFUNCTION("""COMPUTED_VALUE"""),45247.0)</f>
        <v>45247</v>
      </c>
      <c r="I855" s="18">
        <f>IFERROR(__xludf.DUMMYFUNCTION("""COMPUTED_VALUE"""),0.2638888888888889)</f>
        <v>0.2638888889</v>
      </c>
      <c r="J855" s="22">
        <f>IFERROR(__xludf.DUMMYFUNCTION("""COMPUTED_VALUE"""),56.0)</f>
        <v>56</v>
      </c>
      <c r="K855" s="22">
        <f>IFERROR(__xludf.DUMMYFUNCTION("""COMPUTED_VALUE"""),1.0)</f>
        <v>1</v>
      </c>
      <c r="L855" s="26" t="str">
        <f>IFERROR(__xludf.DUMMYFUNCTION("""COMPUTED_VALUE"""),"Adventure")</f>
        <v>Adventure</v>
      </c>
      <c r="M855" s="26"/>
    </row>
    <row r="856">
      <c r="A856" s="12" t="str">
        <f>IFERROR(__xludf.DUMMYFUNCTION("""COMPUTED_VALUE"""),"DayZ")</f>
        <v>DayZ</v>
      </c>
      <c r="B856" s="13" t="str">
        <f>IFERROR(__xludf.DUMMYFUNCTION("""COMPUTED_VALUE"""),"Xbox / PC")</f>
        <v>Xbox / PC</v>
      </c>
      <c r="C856" s="14" t="str">
        <f>IFERROR(__xludf.DUMMYFUNCTION("""COMPUTED_VALUE"""),"Yes")</f>
        <v>Yes</v>
      </c>
      <c r="D856" s="14" t="str">
        <f>IFERROR(__xludf.DUMMYFUNCTION("""COMPUTED_VALUE"""),"Active")</f>
        <v>Active</v>
      </c>
      <c r="E856" s="15">
        <f>IFERROR(__xludf.DUMMYFUNCTION("""COMPUTED_VALUE"""),43958.0)</f>
        <v>43958</v>
      </c>
      <c r="F856" s="16"/>
      <c r="G856" s="18">
        <f>IFERROR(__xludf.DUMMYFUNCTION("""COMPUTED_VALUE"""),76.96666666666667)</f>
        <v>76.96666667</v>
      </c>
      <c r="H856" s="15">
        <f>IFERROR(__xludf.DUMMYFUNCTION("""COMPUTED_VALUE"""),41621.0)</f>
        <v>41621</v>
      </c>
      <c r="I856" s="18">
        <f>IFERROR(__xludf.DUMMYFUNCTION("""COMPUTED_VALUE"""),6.4)</f>
        <v>6.4</v>
      </c>
      <c r="J856" s="22">
        <f>IFERROR(__xludf.DUMMYFUNCTION("""COMPUTED_VALUE"""),56.0)</f>
        <v>56</v>
      </c>
      <c r="K856" s="22">
        <f>IFERROR(__xludf.DUMMYFUNCTION("""COMPUTED_VALUE"""),65.5)</f>
        <v>65.5</v>
      </c>
      <c r="L856" s="26" t="str">
        <f>IFERROR(__xludf.DUMMYFUNCTION("""COMPUTED_VALUE"""),"Shooter")</f>
        <v>Shooter</v>
      </c>
      <c r="M856" s="26"/>
    </row>
    <row r="857">
      <c r="A857" s="12" t="str">
        <f>IFERROR(__xludf.DUMMYFUNCTION("""COMPUTED_VALUE"""),"Trials of the Blood Dragon")</f>
        <v>Trials of the Blood Dragon</v>
      </c>
      <c r="B857" s="13" t="str">
        <f>IFERROR(__xludf.DUMMYFUNCTION("""COMPUTED_VALUE"""),"Xbox / PC")</f>
        <v>Xbox / PC</v>
      </c>
      <c r="C857" s="14" t="str">
        <f>IFERROR(__xludf.DUMMYFUNCTION("""COMPUTED_VALUE"""),"Yes")</f>
        <v>Yes</v>
      </c>
      <c r="D857" s="14" t="str">
        <f>IFERROR(__xludf.DUMMYFUNCTION("""COMPUTED_VALUE"""),"Active")</f>
        <v>Active</v>
      </c>
      <c r="E857" s="15">
        <f>IFERROR(__xludf.DUMMYFUNCTION("""COMPUTED_VALUE"""),45931.0)</f>
        <v>45931</v>
      </c>
      <c r="F857" s="16"/>
      <c r="G857" s="18">
        <f>IFERROR(__xludf.DUMMYFUNCTION("""COMPUTED_VALUE"""),12.166666666666666)</f>
        <v>12.16666667</v>
      </c>
      <c r="H857" s="15">
        <f>IFERROR(__xludf.DUMMYFUNCTION("""COMPUTED_VALUE"""),42534.0)</f>
        <v>42534</v>
      </c>
      <c r="I857" s="18">
        <f>IFERROR(__xludf.DUMMYFUNCTION("""COMPUTED_VALUE"""),9.3)</f>
        <v>9.3</v>
      </c>
      <c r="J857" s="22">
        <f>IFERROR(__xludf.DUMMYFUNCTION("""COMPUTED_VALUE"""),55.0)</f>
        <v>55</v>
      </c>
      <c r="K857" s="22">
        <f>IFERROR(__xludf.DUMMYFUNCTION("""COMPUTED_VALUE"""),3.0)</f>
        <v>3</v>
      </c>
      <c r="L857" s="26" t="str">
        <f>IFERROR(__xludf.DUMMYFUNCTION("""COMPUTED_VALUE"""),"Racing")</f>
        <v>Racing</v>
      </c>
      <c r="M857" s="26"/>
    </row>
    <row r="858">
      <c r="A858" s="12" t="str">
        <f>IFERROR(__xludf.DUMMYFUNCTION("""COMPUTED_VALUE"""),"Bloody Human Freeway")</f>
        <v>Bloody Human Freeway</v>
      </c>
      <c r="B858" s="13" t="str">
        <f>IFERROR(__xludf.DUMMYFUNCTION("""COMPUTED_VALUE"""),"Xbox / PC")</f>
        <v>Xbox / PC</v>
      </c>
      <c r="C858" s="14" t="str">
        <f>IFERROR(__xludf.DUMMYFUNCTION("""COMPUTED_VALUE"""),"Yes")</f>
        <v>Yes</v>
      </c>
      <c r="D858" s="14" t="str">
        <f>IFERROR(__xludf.DUMMYFUNCTION("""COMPUTED_VALUE"""),"Active")</f>
        <v>Active</v>
      </c>
      <c r="E858" s="15">
        <f>IFERROR(__xludf.DUMMYFUNCTION("""COMPUTED_VALUE"""),45798.0)</f>
        <v>45798</v>
      </c>
      <c r="F858" s="16"/>
      <c r="G858" s="18">
        <f>IFERROR(__xludf.DUMMYFUNCTION("""COMPUTED_VALUE"""),16.5)</f>
        <v>16.5</v>
      </c>
      <c r="H858" s="15">
        <f>IFERROR(__xludf.DUMMYFUNCTION("""COMPUTED_VALUE"""),29768.0)</f>
        <v>29768</v>
      </c>
      <c r="I858" s="18">
        <f>IFERROR(__xludf.DUMMYFUNCTION("""COMPUTED_VALUE"""),43.888888888888886)</f>
        <v>43.88888889</v>
      </c>
      <c r="J858" s="22">
        <f>IFERROR(__xludf.DUMMYFUNCTION("""COMPUTED_VALUE"""),55.0)</f>
        <v>55</v>
      </c>
      <c r="K858" s="22"/>
      <c r="L858" s="26" t="str">
        <f>IFERROR(__xludf.DUMMYFUNCTION("""COMPUTED_VALUE"""),"Action")</f>
        <v>Action</v>
      </c>
      <c r="M858" s="26"/>
    </row>
    <row r="859">
      <c r="A859" s="12" t="str">
        <f>IFERROR(__xludf.DUMMYFUNCTION("""COMPUTED_VALUE"""),"Laser Blast")</f>
        <v>Laser Blast</v>
      </c>
      <c r="B859" s="13" t="str">
        <f>IFERROR(__xludf.DUMMYFUNCTION("""COMPUTED_VALUE"""),"Xbox / PC")</f>
        <v>Xbox / PC</v>
      </c>
      <c r="C859" s="14" t="str">
        <f>IFERROR(__xludf.DUMMYFUNCTION("""COMPUTED_VALUE"""),"Yes")</f>
        <v>Yes</v>
      </c>
      <c r="D859" s="14" t="str">
        <f>IFERROR(__xludf.DUMMYFUNCTION("""COMPUTED_VALUE"""),"Active")</f>
        <v>Active</v>
      </c>
      <c r="E859" s="15">
        <f>IFERROR(__xludf.DUMMYFUNCTION("""COMPUTED_VALUE"""),45798.0)</f>
        <v>45798</v>
      </c>
      <c r="F859" s="16"/>
      <c r="G859" s="18">
        <f>IFERROR(__xludf.DUMMYFUNCTION("""COMPUTED_VALUE"""),16.5)</f>
        <v>16.5</v>
      </c>
      <c r="H859" s="15">
        <f>IFERROR(__xludf.DUMMYFUNCTION("""COMPUTED_VALUE"""),29646.0)</f>
        <v>29646</v>
      </c>
      <c r="I859" s="18">
        <f>IFERROR(__xludf.DUMMYFUNCTION("""COMPUTED_VALUE"""),44.22222222222222)</f>
        <v>44.22222222</v>
      </c>
      <c r="J859" s="22">
        <f>IFERROR(__xludf.DUMMYFUNCTION("""COMPUTED_VALUE"""),55.0)</f>
        <v>55</v>
      </c>
      <c r="K859" s="22"/>
      <c r="L859" s="26" t="str">
        <f>IFERROR(__xludf.DUMMYFUNCTION("""COMPUTED_VALUE"""),"Shooter")</f>
        <v>Shooter</v>
      </c>
      <c r="M859" s="26"/>
    </row>
    <row r="860">
      <c r="A860" s="12" t="str">
        <f>IFERROR(__xludf.DUMMYFUNCTION("""COMPUTED_VALUE"""),"Redfall")</f>
        <v>Redfall</v>
      </c>
      <c r="B860" s="13" t="str">
        <f>IFERROR(__xludf.DUMMYFUNCTION("""COMPUTED_VALUE"""),"Xbox / PC")</f>
        <v>Xbox / PC</v>
      </c>
      <c r="C860" s="14" t="str">
        <f>IFERROR(__xludf.DUMMYFUNCTION("""COMPUTED_VALUE"""),"Yes")</f>
        <v>Yes</v>
      </c>
      <c r="D860" s="14" t="str">
        <f>IFERROR(__xludf.DUMMYFUNCTION("""COMPUTED_VALUE"""),"Active")</f>
        <v>Active</v>
      </c>
      <c r="E860" s="15">
        <f>IFERROR(__xludf.DUMMYFUNCTION("""COMPUTED_VALUE"""),45048.0)</f>
        <v>45048</v>
      </c>
      <c r="F860" s="16"/>
      <c r="G860" s="18">
        <f>IFERROR(__xludf.DUMMYFUNCTION("""COMPUTED_VALUE"""),41.13333333333333)</f>
        <v>41.13333333</v>
      </c>
      <c r="H860" s="15">
        <f>IFERROR(__xludf.DUMMYFUNCTION("""COMPUTED_VALUE"""),45048.0)</f>
        <v>45048</v>
      </c>
      <c r="I860" s="18">
        <f>IFERROR(__xludf.DUMMYFUNCTION("""COMPUTED_VALUE"""),0.0)</f>
        <v>0</v>
      </c>
      <c r="J860" s="22">
        <f>IFERROR(__xludf.DUMMYFUNCTION("""COMPUTED_VALUE"""),55.0)</f>
        <v>55</v>
      </c>
      <c r="K860" s="22">
        <f>IFERROR(__xludf.DUMMYFUNCTION("""COMPUTED_VALUE"""),11.0)</f>
        <v>11</v>
      </c>
      <c r="L860" s="26" t="str">
        <f>IFERROR(__xludf.DUMMYFUNCTION("""COMPUTED_VALUE"""),"Shooter")</f>
        <v>Shooter</v>
      </c>
      <c r="M860" s="26" t="str">
        <f>IFERROR(__xludf.DUMMYFUNCTION("""COMPUTED_VALUE"""),"Exclusive")</f>
        <v>Exclusive</v>
      </c>
    </row>
    <row r="861">
      <c r="A861" s="12" t="str">
        <f>IFERROR(__xludf.DUMMYFUNCTION("""COMPUTED_VALUE"""),"Army of Two: The Devil's Cartel")</f>
        <v>Army of Two: The Devil's Cartel</v>
      </c>
      <c r="B861" s="13" t="str">
        <f>IFERROR(__xludf.DUMMYFUNCTION("""COMPUTED_VALUE"""),"XB360/OG Xbox")</f>
        <v>XB360/OG Xbox</v>
      </c>
      <c r="C861" s="14"/>
      <c r="D861" s="14" t="str">
        <f>IFERROR(__xludf.DUMMYFUNCTION("""COMPUTED_VALUE"""),"GwG Permanent")</f>
        <v>GwG Permanent</v>
      </c>
      <c r="E861" s="15">
        <f>IFERROR(__xludf.DUMMYFUNCTION("""COMPUTED_VALUE"""),42110.0)</f>
        <v>42110</v>
      </c>
      <c r="F861" s="16">
        <f>IFERROR(__xludf.DUMMYFUNCTION("""COMPUTED_VALUE"""),42124.0)</f>
        <v>42124</v>
      </c>
      <c r="G861" s="18">
        <f>IFERROR(__xludf.DUMMYFUNCTION("""COMPUTED_VALUE"""),0.4666666666666667)</f>
        <v>0.4666666667</v>
      </c>
      <c r="H861" s="15">
        <f>IFERROR(__xludf.DUMMYFUNCTION("""COMPUTED_VALUE"""),41359.0)</f>
        <v>41359</v>
      </c>
      <c r="I861" s="18">
        <f>IFERROR(__xludf.DUMMYFUNCTION("""COMPUTED_VALUE"""),2.0555555555555554)</f>
        <v>2.055555556</v>
      </c>
      <c r="J861" s="22">
        <f>IFERROR(__xludf.DUMMYFUNCTION("""COMPUTED_VALUE"""),55.0)</f>
        <v>55</v>
      </c>
      <c r="K861" s="22">
        <f>IFERROR(__xludf.DUMMYFUNCTION("""COMPUTED_VALUE"""),7.0)</f>
        <v>7</v>
      </c>
      <c r="L861" s="26" t="str">
        <f>IFERROR(__xludf.DUMMYFUNCTION("""COMPUTED_VALUE"""),"Shooter")</f>
        <v>Shooter</v>
      </c>
      <c r="M861" s="26"/>
    </row>
    <row r="862">
      <c r="A862" s="12" t="str">
        <f>IFERROR(__xludf.DUMMYFUNCTION("""COMPUTED_VALUE"""),"The Settlers: New Allies")</f>
        <v>The Settlers: New Allies</v>
      </c>
      <c r="B862" s="13" t="str">
        <f>IFERROR(__xludf.DUMMYFUNCTION("""COMPUTED_VALUE"""),"Xbox / PC")</f>
        <v>Xbox / PC</v>
      </c>
      <c r="C862" s="14" t="str">
        <f>IFERROR(__xludf.DUMMYFUNCTION("""COMPUTED_VALUE"""),"Yes")</f>
        <v>Yes</v>
      </c>
      <c r="D862" s="14" t="str">
        <f>IFERROR(__xludf.DUMMYFUNCTION("""COMPUTED_VALUE"""),"Active")</f>
        <v>Active</v>
      </c>
      <c r="E862" s="15">
        <f>IFERROR(__xludf.DUMMYFUNCTION("""COMPUTED_VALUE"""),45931.0)</f>
        <v>45931</v>
      </c>
      <c r="F862" s="16"/>
      <c r="G862" s="18">
        <f>IFERROR(__xludf.DUMMYFUNCTION("""COMPUTED_VALUE"""),12.166666666666666)</f>
        <v>12.16666667</v>
      </c>
      <c r="H862" s="15">
        <f>IFERROR(__xludf.DUMMYFUNCTION("""COMPUTED_VALUE"""),44974.0)</f>
        <v>44974</v>
      </c>
      <c r="I862" s="18">
        <f>IFERROR(__xludf.DUMMYFUNCTION("""COMPUTED_VALUE"""),2.6222222222222222)</f>
        <v>2.622222222</v>
      </c>
      <c r="J862" s="22">
        <f>IFERROR(__xludf.DUMMYFUNCTION("""COMPUTED_VALUE"""),54.0)</f>
        <v>54</v>
      </c>
      <c r="K862" s="22">
        <f>IFERROR(__xludf.DUMMYFUNCTION("""COMPUTED_VALUE"""),35.0)</f>
        <v>35</v>
      </c>
      <c r="L862" s="26" t="str">
        <f>IFERROR(__xludf.DUMMYFUNCTION("""COMPUTED_VALUE"""),"Management")</f>
        <v>Management</v>
      </c>
      <c r="M862" s="26"/>
    </row>
    <row r="863">
      <c r="A863" s="12" t="str">
        <f>IFERROR(__xludf.DUMMYFUNCTION("""COMPUTED_VALUE"""),"Spongebob's Truth or Square")</f>
        <v>Spongebob's Truth or Square</v>
      </c>
      <c r="B863" s="13" t="str">
        <f>IFERROR(__xludf.DUMMYFUNCTION("""COMPUTED_VALUE"""),"XB360/OG Xbox")</f>
        <v>XB360/OG Xbox</v>
      </c>
      <c r="C863" s="14"/>
      <c r="D863" s="14" t="str">
        <f>IFERROR(__xludf.DUMMYFUNCTION("""COMPUTED_VALUE"""),"GwG Permanent")</f>
        <v>GwG Permanent</v>
      </c>
      <c r="E863" s="15">
        <f>IFERROR(__xludf.DUMMYFUNCTION("""COMPUTED_VALUE"""),44636.0)</f>
        <v>44636</v>
      </c>
      <c r="F863" s="16">
        <f>IFERROR(__xludf.DUMMYFUNCTION("""COMPUTED_VALUE"""),44651.0)</f>
        <v>44651</v>
      </c>
      <c r="G863" s="18">
        <f>IFERROR(__xludf.DUMMYFUNCTION("""COMPUTED_VALUE"""),0.4666666666666667)</f>
        <v>0.4666666667</v>
      </c>
      <c r="H863" s="15">
        <f>IFERROR(__xludf.DUMMYFUNCTION("""COMPUTED_VALUE"""),38636.0)</f>
        <v>38636</v>
      </c>
      <c r="I863" s="18">
        <f>IFERROR(__xludf.DUMMYFUNCTION("""COMPUTED_VALUE"""),16.430555555555557)</f>
        <v>16.43055556</v>
      </c>
      <c r="J863" s="22">
        <f>IFERROR(__xludf.DUMMYFUNCTION("""COMPUTED_VALUE"""),54.0)</f>
        <v>54</v>
      </c>
      <c r="K863" s="22">
        <f>IFERROR(__xludf.DUMMYFUNCTION("""COMPUTED_VALUE"""),5.0)</f>
        <v>5</v>
      </c>
      <c r="L863" s="26" t="str">
        <f>IFERROR(__xludf.DUMMYFUNCTION("""COMPUTED_VALUE"""),"Platformer")</f>
        <v>Platformer</v>
      </c>
      <c r="M863" s="26"/>
    </row>
    <row r="864">
      <c r="A864" s="12" t="str">
        <f>IFERROR(__xludf.DUMMYFUNCTION("""COMPUTED_VALUE"""),"Rabbids Invasion: The Interactive TV Show")</f>
        <v>Rabbids Invasion: The Interactive TV Show</v>
      </c>
      <c r="B864" s="13" t="str">
        <f>IFERROR(__xludf.DUMMYFUNCTION("""COMPUTED_VALUE"""),"Xbox")</f>
        <v>Xbox</v>
      </c>
      <c r="C864" s="14" t="str">
        <f>IFERROR(__xludf.DUMMYFUNCTION("""COMPUTED_VALUE"""),"Yes")</f>
        <v>Yes</v>
      </c>
      <c r="D864" s="14" t="str">
        <f>IFERROR(__xludf.DUMMYFUNCTION("""COMPUTED_VALUE"""),"Active")</f>
        <v>Active</v>
      </c>
      <c r="E864" s="15">
        <f>IFERROR(__xludf.DUMMYFUNCTION("""COMPUTED_VALUE"""),45931.0)</f>
        <v>45931</v>
      </c>
      <c r="F864" s="16"/>
      <c r="G864" s="18">
        <f>IFERROR(__xludf.DUMMYFUNCTION("""COMPUTED_VALUE"""),12.166666666666666)</f>
        <v>12.16666667</v>
      </c>
      <c r="H864" s="15">
        <f>IFERROR(__xludf.DUMMYFUNCTION("""COMPUTED_VALUE"""),41951.0)</f>
        <v>41951</v>
      </c>
      <c r="I864" s="18">
        <f>IFERROR(__xludf.DUMMYFUNCTION("""COMPUTED_VALUE"""),10.897222222222222)</f>
        <v>10.89722222</v>
      </c>
      <c r="J864" s="22">
        <f>IFERROR(__xludf.DUMMYFUNCTION("""COMPUTED_VALUE"""),53.0)</f>
        <v>53</v>
      </c>
      <c r="K864" s="22">
        <f>IFERROR(__xludf.DUMMYFUNCTION("""COMPUTED_VALUE"""),10.0)</f>
        <v>10</v>
      </c>
      <c r="L864" s="26" t="str">
        <f>IFERROR(__xludf.DUMMYFUNCTION("""COMPUTED_VALUE"""),"Party")</f>
        <v>Party</v>
      </c>
      <c r="M864" s="26"/>
    </row>
    <row r="865">
      <c r="A865" s="12" t="str">
        <f>IFERROR(__xludf.DUMMYFUNCTION("""COMPUTED_VALUE"""),"Halo: Spartan Assault")</f>
        <v>Halo: Spartan Assault</v>
      </c>
      <c r="B865" s="13" t="str">
        <f>IFERROR(__xludf.DUMMYFUNCTION("""COMPUTED_VALUE"""),"Xbox / PC")</f>
        <v>Xbox / PC</v>
      </c>
      <c r="C865" s="14" t="str">
        <f>IFERROR(__xludf.DUMMYFUNCTION("""COMPUTED_VALUE"""),"Touch Controls")</f>
        <v>Touch Controls</v>
      </c>
      <c r="D865" s="14" t="str">
        <f>IFERROR(__xludf.DUMMYFUNCTION("""COMPUTED_VALUE"""),"Active")</f>
        <v>Active</v>
      </c>
      <c r="E865" s="15">
        <f>IFERROR(__xludf.DUMMYFUNCTION("""COMPUTED_VALUE"""),42887.0)</f>
        <v>42887</v>
      </c>
      <c r="F865" s="16"/>
      <c r="G865" s="18">
        <f>IFERROR(__xludf.DUMMYFUNCTION("""COMPUTED_VALUE"""),112.16666666666666)</f>
        <v>112.1666667</v>
      </c>
      <c r="H865" s="15">
        <f>IFERROR(__xludf.DUMMYFUNCTION("""COMPUTED_VALUE"""),41473.0)</f>
        <v>41473</v>
      </c>
      <c r="I865" s="18">
        <f>IFERROR(__xludf.DUMMYFUNCTION("""COMPUTED_VALUE"""),3.8694444444444445)</f>
        <v>3.869444444</v>
      </c>
      <c r="J865" s="22">
        <f>IFERROR(__xludf.DUMMYFUNCTION("""COMPUTED_VALUE"""),53.0)</f>
        <v>53</v>
      </c>
      <c r="K865" s="22">
        <f>IFERROR(__xludf.DUMMYFUNCTION("""COMPUTED_VALUE"""),4.0)</f>
        <v>4</v>
      </c>
      <c r="L865" s="26" t="str">
        <f>IFERROR(__xludf.DUMMYFUNCTION("""COMPUTED_VALUE"""),"Shooter")</f>
        <v>Shooter</v>
      </c>
      <c r="M865" s="26" t="str">
        <f>IFERROR(__xludf.DUMMYFUNCTION("""COMPUTED_VALUE"""),"FPS Boost")</f>
        <v>FPS Boost</v>
      </c>
    </row>
    <row r="866">
      <c r="A866" s="12" t="str">
        <f>IFERROR(__xludf.DUMMYFUNCTION("""COMPUTED_VALUE"""),"Deadfall Adventures")</f>
        <v>Deadfall Adventures</v>
      </c>
      <c r="B866" s="13" t="str">
        <f>IFERROR(__xludf.DUMMYFUNCTION("""COMPUTED_VALUE"""),"XB360/OG Xbox")</f>
        <v>XB360/OG Xbox</v>
      </c>
      <c r="C866" s="14"/>
      <c r="D866" s="14" t="str">
        <f>IFERROR(__xludf.DUMMYFUNCTION("""COMPUTED_VALUE"""),"GwG Permanent")</f>
        <v>GwG Permanent</v>
      </c>
      <c r="E866" s="15">
        <f>IFERROR(__xludf.DUMMYFUNCTION("""COMPUTED_VALUE"""),43055.0)</f>
        <v>43055</v>
      </c>
      <c r="F866" s="16">
        <f>IFERROR(__xludf.DUMMYFUNCTION("""COMPUTED_VALUE"""),43069.0)</f>
        <v>43069</v>
      </c>
      <c r="G866" s="18">
        <f>IFERROR(__xludf.DUMMYFUNCTION("""COMPUTED_VALUE"""),0.4666666666666667)</f>
        <v>0.4666666667</v>
      </c>
      <c r="H866" s="15">
        <f>IFERROR(__xludf.DUMMYFUNCTION("""COMPUTED_VALUE"""),41593.0)</f>
        <v>41593</v>
      </c>
      <c r="I866" s="18">
        <f>IFERROR(__xludf.DUMMYFUNCTION("""COMPUTED_VALUE"""),4.002777777777778)</f>
        <v>4.002777778</v>
      </c>
      <c r="J866" s="22">
        <f>IFERROR(__xludf.DUMMYFUNCTION("""COMPUTED_VALUE"""),53.0)</f>
        <v>53</v>
      </c>
      <c r="K866" s="22">
        <f>IFERROR(__xludf.DUMMYFUNCTION("""COMPUTED_VALUE"""),8.0)</f>
        <v>8</v>
      </c>
      <c r="L866" s="26" t="str">
        <f>IFERROR(__xludf.DUMMYFUNCTION("""COMPUTED_VALUE"""),"Shooter")</f>
        <v>Shooter</v>
      </c>
      <c r="M866" s="26"/>
    </row>
    <row r="867">
      <c r="A867" s="12" t="str">
        <f>IFERROR(__xludf.DUMMYFUNCTION("""COMPUTED_VALUE"""),"Generation Zero")</f>
        <v>Generation Zero</v>
      </c>
      <c r="B867" s="13" t="str">
        <f>IFERROR(__xludf.DUMMYFUNCTION("""COMPUTED_VALUE"""),"Xbox / PC")</f>
        <v>Xbox / PC</v>
      </c>
      <c r="C867" s="14" t="str">
        <f>IFERROR(__xludf.DUMMYFUNCTION("""COMPUTED_VALUE"""),"Yes")</f>
        <v>Yes</v>
      </c>
      <c r="D867" s="14" t="str">
        <f>IFERROR(__xludf.DUMMYFUNCTION("""COMPUTED_VALUE"""),"Active")</f>
        <v>Active</v>
      </c>
      <c r="E867" s="15">
        <f>IFERROR(__xludf.DUMMYFUNCTION("""COMPUTED_VALUE"""),44531.0)</f>
        <v>44531</v>
      </c>
      <c r="F867" s="16"/>
      <c r="G867" s="18">
        <f>IFERROR(__xludf.DUMMYFUNCTION("""COMPUTED_VALUE"""),58.16666666666667)</f>
        <v>58.16666667</v>
      </c>
      <c r="H867" s="15">
        <f>IFERROR(__xludf.DUMMYFUNCTION("""COMPUTED_VALUE"""),43550.0)</f>
        <v>43550</v>
      </c>
      <c r="I867" s="18">
        <f>IFERROR(__xludf.DUMMYFUNCTION("""COMPUTED_VALUE"""),2.6805555555555554)</f>
        <v>2.680555556</v>
      </c>
      <c r="J867" s="22">
        <f>IFERROR(__xludf.DUMMYFUNCTION("""COMPUTED_VALUE"""),50.5)</f>
        <v>50.5</v>
      </c>
      <c r="K867" s="22">
        <f>IFERROR(__xludf.DUMMYFUNCTION("""COMPUTED_VALUE"""),21.5)</f>
        <v>21.5</v>
      </c>
      <c r="L867" s="26" t="str">
        <f>IFERROR(__xludf.DUMMYFUNCTION("""COMPUTED_VALUE"""),"Shooter")</f>
        <v>Shooter</v>
      </c>
      <c r="M867" s="26"/>
    </row>
    <row r="868">
      <c r="A868" s="12" t="str">
        <f>IFERROR(__xludf.DUMMYFUNCTION("""COMPUTED_VALUE"""),"Title Match Pro Wrestling")</f>
        <v>Title Match Pro Wrestling</v>
      </c>
      <c r="B868" s="13" t="str">
        <f>IFERROR(__xludf.DUMMYFUNCTION("""COMPUTED_VALUE"""),"Xbox / PC")</f>
        <v>Xbox / PC</v>
      </c>
      <c r="C868" s="14" t="str">
        <f>IFERROR(__xludf.DUMMYFUNCTION("""COMPUTED_VALUE"""),"Yes")</f>
        <v>Yes</v>
      </c>
      <c r="D868" s="14" t="str">
        <f>IFERROR(__xludf.DUMMYFUNCTION("""COMPUTED_VALUE"""),"Active")</f>
        <v>Active</v>
      </c>
      <c r="E868" s="15">
        <f>IFERROR(__xludf.DUMMYFUNCTION("""COMPUTED_VALUE"""),45798.0)</f>
        <v>45798</v>
      </c>
      <c r="F868" s="16"/>
      <c r="G868" s="18">
        <f>IFERROR(__xludf.DUMMYFUNCTION("""COMPUTED_VALUE"""),16.5)</f>
        <v>16.5</v>
      </c>
      <c r="H868" s="15">
        <f>IFERROR(__xludf.DUMMYFUNCTION("""COMPUTED_VALUE"""),31972.0)</f>
        <v>31972</v>
      </c>
      <c r="I868" s="18">
        <f>IFERROR(__xludf.DUMMYFUNCTION("""COMPUTED_VALUE"""),37.852777777777774)</f>
        <v>37.85277778</v>
      </c>
      <c r="J868" s="22">
        <f>IFERROR(__xludf.DUMMYFUNCTION("""COMPUTED_VALUE"""),50.0)</f>
        <v>50</v>
      </c>
      <c r="K868" s="22"/>
      <c r="L868" s="26" t="str">
        <f>IFERROR(__xludf.DUMMYFUNCTION("""COMPUTED_VALUE"""),"Sports")</f>
        <v>Sports</v>
      </c>
      <c r="M868" s="26"/>
    </row>
    <row r="869">
      <c r="A869" s="12" t="str">
        <f>IFERROR(__xludf.DUMMYFUNCTION("""COMPUTED_VALUE"""),"Sacred 3")</f>
        <v>Sacred 3</v>
      </c>
      <c r="B869" s="13" t="str">
        <f>IFERROR(__xludf.DUMMYFUNCTION("""COMPUTED_VALUE"""),"XB360/OG Xbox")</f>
        <v>XB360/OG Xbox</v>
      </c>
      <c r="C869" s="14"/>
      <c r="D869" s="14" t="str">
        <f>IFERROR(__xludf.DUMMYFUNCTION("""COMPUTED_VALUE"""),"GwG Permanent")</f>
        <v>GwG Permanent</v>
      </c>
      <c r="E869" s="15">
        <f>IFERROR(__xludf.DUMMYFUNCTION("""COMPUTED_VALUE"""),42354.0)</f>
        <v>42354</v>
      </c>
      <c r="F869" s="16">
        <f>IFERROR(__xludf.DUMMYFUNCTION("""COMPUTED_VALUE"""),42369.0)</f>
        <v>42369</v>
      </c>
      <c r="G869" s="18">
        <f>IFERROR(__xludf.DUMMYFUNCTION("""COMPUTED_VALUE"""),0.4666666666666667)</f>
        <v>0.4666666667</v>
      </c>
      <c r="H869" s="15">
        <f>IFERROR(__xludf.DUMMYFUNCTION("""COMPUTED_VALUE"""),41871.0)</f>
        <v>41871</v>
      </c>
      <c r="I869" s="18">
        <f>IFERROR(__xludf.DUMMYFUNCTION("""COMPUTED_VALUE"""),1.3222222222222222)</f>
        <v>1.322222222</v>
      </c>
      <c r="J869" s="22">
        <f>IFERROR(__xludf.DUMMYFUNCTION("""COMPUTED_VALUE"""),46.0)</f>
        <v>46</v>
      </c>
      <c r="K869" s="22">
        <f>IFERROR(__xludf.DUMMYFUNCTION("""COMPUTED_VALUE"""),7.0)</f>
        <v>7</v>
      </c>
      <c r="L869" s="26" t="str">
        <f>IFERROR(__xludf.DUMMYFUNCTION("""COMPUTED_VALUE"""),"Action")</f>
        <v>Action</v>
      </c>
      <c r="M869" s="26"/>
    </row>
    <row r="870">
      <c r="A870" s="12" t="str">
        <f>IFERROR(__xludf.DUMMYFUNCTION("""COMPUTED_VALUE"""),"Private Eye")</f>
        <v>Private Eye</v>
      </c>
      <c r="B870" s="13" t="str">
        <f>IFERROR(__xludf.DUMMYFUNCTION("""COMPUTED_VALUE"""),"Xbox / PC")</f>
        <v>Xbox / PC</v>
      </c>
      <c r="C870" s="14" t="str">
        <f>IFERROR(__xludf.DUMMYFUNCTION("""COMPUTED_VALUE"""),"Yes")</f>
        <v>Yes</v>
      </c>
      <c r="D870" s="14" t="str">
        <f>IFERROR(__xludf.DUMMYFUNCTION("""COMPUTED_VALUE"""),"Active")</f>
        <v>Active</v>
      </c>
      <c r="E870" s="15">
        <f>IFERROR(__xludf.DUMMYFUNCTION("""COMPUTED_VALUE"""),45883.0)</f>
        <v>45883</v>
      </c>
      <c r="F870" s="16"/>
      <c r="G870" s="18">
        <f>IFERROR(__xludf.DUMMYFUNCTION("""COMPUTED_VALUE"""),13.733333333333333)</f>
        <v>13.73333333</v>
      </c>
      <c r="H870" s="15">
        <f>IFERROR(__xludf.DUMMYFUNCTION("""COMPUTED_VALUE"""),30713.0)</f>
        <v>30713</v>
      </c>
      <c r="I870" s="18">
        <f>IFERROR(__xludf.DUMMYFUNCTION("""COMPUTED_VALUE"""),41.53611111111111)</f>
        <v>41.53611111</v>
      </c>
      <c r="J870" s="22">
        <f>IFERROR(__xludf.DUMMYFUNCTION("""COMPUTED_VALUE"""),45.0)</f>
        <v>45</v>
      </c>
      <c r="K870" s="22">
        <f>IFERROR(__xludf.DUMMYFUNCTION("""COMPUTED_VALUE"""),12.0)</f>
        <v>12</v>
      </c>
      <c r="L870" s="26" t="str">
        <f>IFERROR(__xludf.DUMMYFUNCTION("""COMPUTED_VALUE"""),"Action")</f>
        <v>Action</v>
      </c>
      <c r="M870" s="26"/>
    </row>
    <row r="871">
      <c r="A871" s="12" t="str">
        <f>IFERROR(__xludf.DUMMYFUNCTION("""COMPUTED_VALUE"""),"Dragster")</f>
        <v>Dragster</v>
      </c>
      <c r="B871" s="13" t="str">
        <f>IFERROR(__xludf.DUMMYFUNCTION("""COMPUTED_VALUE"""),"Xbox / PC")</f>
        <v>Xbox / PC</v>
      </c>
      <c r="C871" s="14" t="str">
        <f>IFERROR(__xludf.DUMMYFUNCTION("""COMPUTED_VALUE"""),"Yes")</f>
        <v>Yes</v>
      </c>
      <c r="D871" s="14" t="str">
        <f>IFERROR(__xludf.DUMMYFUNCTION("""COMPUTED_VALUE"""),"Active")</f>
        <v>Active</v>
      </c>
      <c r="E871" s="15">
        <f>IFERROR(__xludf.DUMMYFUNCTION("""COMPUTED_VALUE"""),45798.0)</f>
        <v>45798</v>
      </c>
      <c r="F871" s="16"/>
      <c r="G871" s="18">
        <f>IFERROR(__xludf.DUMMYFUNCTION("""COMPUTED_VALUE"""),16.5)</f>
        <v>16.5</v>
      </c>
      <c r="H871" s="15">
        <f>IFERROR(__xludf.DUMMYFUNCTION("""COMPUTED_VALUE"""),29403.0)</f>
        <v>29403</v>
      </c>
      <c r="I871" s="18">
        <f>IFERROR(__xludf.DUMMYFUNCTION("""COMPUTED_VALUE"""),44.888888888888886)</f>
        <v>44.88888889</v>
      </c>
      <c r="J871" s="22">
        <f>IFERROR(__xludf.DUMMYFUNCTION("""COMPUTED_VALUE"""),45.0)</f>
        <v>45</v>
      </c>
      <c r="K871" s="22"/>
      <c r="L871" s="26" t="str">
        <f>IFERROR(__xludf.DUMMYFUNCTION("""COMPUTED_VALUE"""),"Racing")</f>
        <v>Racing</v>
      </c>
      <c r="M871" s="26"/>
    </row>
    <row r="872">
      <c r="A872" s="12" t="str">
        <f>IFERROR(__xludf.DUMMYFUNCTION("""COMPUTED_VALUE"""),"Dead Static Drive")</f>
        <v>Dead Static Drive</v>
      </c>
      <c r="B872" s="13" t="str">
        <f>IFERROR(__xludf.DUMMYFUNCTION("""COMPUTED_VALUE"""),"Xbox / PC")</f>
        <v>Xbox / PC</v>
      </c>
      <c r="C872" s="14" t="str">
        <f>IFERROR(__xludf.DUMMYFUNCTION("""COMPUTED_VALUE"""),"Yes")</f>
        <v>Yes</v>
      </c>
      <c r="D872" s="14" t="str">
        <f>IFERROR(__xludf.DUMMYFUNCTION("""COMPUTED_VALUE"""),"Active")</f>
        <v>Active</v>
      </c>
      <c r="E872" s="15">
        <f>IFERROR(__xludf.DUMMYFUNCTION("""COMPUTED_VALUE"""),45966.0)</f>
        <v>45966</v>
      </c>
      <c r="F872" s="16"/>
      <c r="G872" s="18">
        <f>IFERROR(__xludf.DUMMYFUNCTION("""COMPUTED_VALUE"""),11.033333333333333)</f>
        <v>11.03333333</v>
      </c>
      <c r="H872" s="15">
        <f>IFERROR(__xludf.DUMMYFUNCTION("""COMPUTED_VALUE"""),45966.0)</f>
        <v>45966</v>
      </c>
      <c r="I872" s="18">
        <f>IFERROR(__xludf.DUMMYFUNCTION("""COMPUTED_VALUE"""),0.0)</f>
        <v>0</v>
      </c>
      <c r="J872" s="22">
        <f>IFERROR(__xludf.DUMMYFUNCTION("""COMPUTED_VALUE"""),35.0)</f>
        <v>35</v>
      </c>
      <c r="K872" s="22">
        <f>IFERROR(__xludf.DUMMYFUNCTION("""COMPUTED_VALUE"""),4.0)</f>
        <v>4</v>
      </c>
      <c r="L872" s="26" t="str">
        <f>IFERROR(__xludf.DUMMYFUNCTION("""COMPUTED_VALUE"""),"Survival")</f>
        <v>Survival</v>
      </c>
      <c r="M872" s="26"/>
    </row>
    <row r="873">
      <c r="A873" s="12" t="str">
        <f>IFERROR(__xludf.DUMMYFUNCTION("""COMPUTED_VALUE"""),"Dead Space: Ignition")</f>
        <v>Dead Space: Ignition</v>
      </c>
      <c r="B873" s="13" t="str">
        <f>IFERROR(__xludf.DUMMYFUNCTION("""COMPUTED_VALUE"""),"Xbox")</f>
        <v>Xbox</v>
      </c>
      <c r="C873" s="14"/>
      <c r="D873" s="14" t="str">
        <f>IFERROR(__xludf.DUMMYFUNCTION("""COMPUTED_VALUE"""),"Active")</f>
        <v>Active</v>
      </c>
      <c r="E873" s="15">
        <f>IFERROR(__xludf.DUMMYFUNCTION("""COMPUTED_VALUE"""),44145.0)</f>
        <v>44145</v>
      </c>
      <c r="F873" s="16"/>
      <c r="G873" s="18">
        <f>IFERROR(__xludf.DUMMYFUNCTION("""COMPUTED_VALUE"""),70.86666666666667)</f>
        <v>70.86666667</v>
      </c>
      <c r="H873" s="15">
        <f>IFERROR(__xludf.DUMMYFUNCTION("""COMPUTED_VALUE"""),40463.0)</f>
        <v>40463</v>
      </c>
      <c r="I873" s="18">
        <f>IFERROR(__xludf.DUMMYFUNCTION("""COMPUTED_VALUE"""),10.077777777777778)</f>
        <v>10.07777778</v>
      </c>
      <c r="J873" s="22">
        <f>IFERROR(__xludf.DUMMYFUNCTION("""COMPUTED_VALUE"""),35.0)</f>
        <v>35</v>
      </c>
      <c r="K873" s="22">
        <f>IFERROR(__xludf.DUMMYFUNCTION("""COMPUTED_VALUE"""),1.5)</f>
        <v>1.5</v>
      </c>
      <c r="L873" s="26" t="str">
        <f>IFERROR(__xludf.DUMMYFUNCTION("""COMPUTED_VALUE"""),"Puzzle")</f>
        <v>Puzzle</v>
      </c>
      <c r="M873" s="26"/>
    </row>
    <row r="874">
      <c r="A874" s="12" t="str">
        <f>IFERROR(__xludf.DUMMYFUNCTION("""COMPUTED_VALUE"""),"Gears of War: E-Day")</f>
        <v>Gears of War: E-Day</v>
      </c>
      <c r="B874" s="13" t="str">
        <f>IFERROR(__xludf.DUMMYFUNCTION("""COMPUTED_VALUE"""),"Xbox / PC")</f>
        <v>Xbox / PC</v>
      </c>
      <c r="C874" s="14" t="str">
        <f>IFERROR(__xludf.DUMMYFUNCTION("""COMPUTED_VALUE"""),"Yes")</f>
        <v>Yes</v>
      </c>
      <c r="D874" s="14" t="str">
        <f>IFERROR(__xludf.DUMMYFUNCTION("""COMPUTED_VALUE"""),"Active")</f>
        <v>Active</v>
      </c>
      <c r="E874" s="15">
        <f>IFERROR(__xludf.DUMMYFUNCTION("""COMPUTED_VALUE"""),46301.0)</f>
        <v>46301</v>
      </c>
      <c r="F874" s="16"/>
      <c r="G874" s="18">
        <f>IFERROR(__xludf.DUMMYFUNCTION("""COMPUTED_VALUE"""),0.0)</f>
        <v>0</v>
      </c>
      <c r="H874" s="15">
        <f>IFERROR(__xludf.DUMMYFUNCTION("""COMPUTED_VALUE"""),46301.0)</f>
        <v>46301</v>
      </c>
      <c r="I874" s="18">
        <f>IFERROR(__xludf.DUMMYFUNCTION("""COMPUTED_VALUE"""),0.0)</f>
        <v>0</v>
      </c>
      <c r="J874" s="22"/>
      <c r="K874" s="22"/>
      <c r="L874" s="26" t="str">
        <f>IFERROR(__xludf.DUMMYFUNCTION("""COMPUTED_VALUE"""),"Shooter")</f>
        <v>Shooter</v>
      </c>
      <c r="M874" s="26" t="str">
        <f>IFERROR(__xludf.DUMMYFUNCTION("""COMPUTED_VALUE"""),"Exclusive")</f>
        <v>Exclusive</v>
      </c>
    </row>
    <row r="875">
      <c r="A875" s="12" t="str">
        <f>IFERROR(__xludf.DUMMYFUNCTION("""COMPUTED_VALUE"""),"Minecraft Dungeons II")</f>
        <v>Minecraft Dungeons II</v>
      </c>
      <c r="B875" s="13" t="str">
        <f>IFERROR(__xludf.DUMMYFUNCTION("""COMPUTED_VALUE"""),"Xbox / PC")</f>
        <v>Xbox / PC</v>
      </c>
      <c r="C875" s="14" t="str">
        <f>IFERROR(__xludf.DUMMYFUNCTION("""COMPUTED_VALUE"""),"Yes")</f>
        <v>Yes</v>
      </c>
      <c r="D875" s="14" t="str">
        <f>IFERROR(__xludf.DUMMYFUNCTION("""COMPUTED_VALUE"""),"Active")</f>
        <v>Active</v>
      </c>
      <c r="E875" s="15">
        <f>IFERROR(__xludf.DUMMYFUNCTION("""COMPUTED_VALUE"""),46294.0)</f>
        <v>46294</v>
      </c>
      <c r="F875" s="16"/>
      <c r="G875" s="18">
        <f>IFERROR(__xludf.DUMMYFUNCTION("""COMPUTED_VALUE"""),0.23333333333333334)</f>
        <v>0.2333333333</v>
      </c>
      <c r="H875" s="15">
        <f>IFERROR(__xludf.DUMMYFUNCTION("""COMPUTED_VALUE"""),46294.0)</f>
        <v>46294</v>
      </c>
      <c r="I875" s="18">
        <f>IFERROR(__xludf.DUMMYFUNCTION("""COMPUTED_VALUE"""),0.0)</f>
        <v>0</v>
      </c>
      <c r="J875" s="22"/>
      <c r="K875" s="22"/>
      <c r="L875" s="26" t="str">
        <f>IFERROR(__xludf.DUMMYFUNCTION("""COMPUTED_VALUE"""),"Action-Adventure")</f>
        <v>Action-Adventure</v>
      </c>
      <c r="M875" s="26"/>
    </row>
    <row r="876">
      <c r="A876" s="12" t="str">
        <f>IFERROR(__xludf.DUMMYFUNCTION("""COMPUTED_VALUE"""),"Mad King Redemption")</f>
        <v>Mad King Redemption</v>
      </c>
      <c r="B876" s="13" t="str">
        <f>IFERROR(__xludf.DUMMYFUNCTION("""COMPUTED_VALUE"""),"Xbox / PC")</f>
        <v>Xbox / PC</v>
      </c>
      <c r="C876" s="14" t="str">
        <f>IFERROR(__xludf.DUMMYFUNCTION("""COMPUTED_VALUE"""),"Yes")</f>
        <v>Yes</v>
      </c>
      <c r="D876" s="14" t="str">
        <f>IFERROR(__xludf.DUMMYFUNCTION("""COMPUTED_VALUE"""),"Active")</f>
        <v>Active</v>
      </c>
      <c r="E876" s="15">
        <f>IFERROR(__xludf.DUMMYFUNCTION("""COMPUTED_VALUE"""),46288.0)</f>
        <v>46288</v>
      </c>
      <c r="F876" s="16"/>
      <c r="G876" s="18">
        <f>IFERROR(__xludf.DUMMYFUNCTION("""COMPUTED_VALUE"""),0.4333333333333333)</f>
        <v>0.4333333333</v>
      </c>
      <c r="H876" s="15">
        <f>IFERROR(__xludf.DUMMYFUNCTION("""COMPUTED_VALUE"""),46288.0)</f>
        <v>46288</v>
      </c>
      <c r="I876" s="18">
        <f>IFERROR(__xludf.DUMMYFUNCTION("""COMPUTED_VALUE"""),0.0)</f>
        <v>0</v>
      </c>
      <c r="J876" s="22"/>
      <c r="K876" s="22"/>
      <c r="L876" s="26" t="str">
        <f>IFERROR(__xludf.DUMMYFUNCTION("""COMPUTED_VALUE"""),"Action-Adventure")</f>
        <v>Action-Adventure</v>
      </c>
      <c r="M876" s="26" t="str">
        <f>IFERROR(__xludf.DUMMYFUNCTION("""COMPUTED_VALUE"""),"Exclusive")</f>
        <v>Exclusive</v>
      </c>
    </row>
    <row r="877">
      <c r="A877" s="12" t="str">
        <f>IFERROR(__xludf.DUMMYFUNCTION("""COMPUTED_VALUE"""),"Well Dweller")</f>
        <v>Well Dweller</v>
      </c>
      <c r="B877" s="13" t="str">
        <f>IFERROR(__xludf.DUMMYFUNCTION("""COMPUTED_VALUE"""),"Xbox / PC")</f>
        <v>Xbox / PC</v>
      </c>
      <c r="C877" s="14" t="str">
        <f>IFERROR(__xludf.DUMMYFUNCTION("""COMPUTED_VALUE"""),"Yes")</f>
        <v>Yes</v>
      </c>
      <c r="D877" s="14" t="str">
        <f>IFERROR(__xludf.DUMMYFUNCTION("""COMPUTED_VALUE"""),"Active")</f>
        <v>Active</v>
      </c>
      <c r="E877" s="15">
        <f>IFERROR(__xludf.DUMMYFUNCTION("""COMPUTED_VALUE"""),46287.0)</f>
        <v>46287</v>
      </c>
      <c r="F877" s="16"/>
      <c r="G877" s="18">
        <f>IFERROR(__xludf.DUMMYFUNCTION("""COMPUTED_VALUE"""),0.4666666666666667)</f>
        <v>0.4666666667</v>
      </c>
      <c r="H877" s="15">
        <f>IFERROR(__xludf.DUMMYFUNCTION("""COMPUTED_VALUE"""),46287.0)</f>
        <v>46287</v>
      </c>
      <c r="I877" s="18">
        <f>IFERROR(__xludf.DUMMYFUNCTION("""COMPUTED_VALUE"""),0.0)</f>
        <v>0</v>
      </c>
      <c r="J877" s="22"/>
      <c r="K877" s="22"/>
      <c r="L877" s="26" t="str">
        <f>IFERROR(__xludf.DUMMYFUNCTION("""COMPUTED_VALUE"""),"Action-Adventure")</f>
        <v>Action-Adventure</v>
      </c>
      <c r="M877" s="26"/>
    </row>
    <row r="878">
      <c r="A878" s="12" t="str">
        <f>IFERROR(__xludf.DUMMYFUNCTION("""COMPUTED_VALUE"""),"Kernel Hearts")</f>
        <v>Kernel Hearts</v>
      </c>
      <c r="B878" s="13" t="str">
        <f>IFERROR(__xludf.DUMMYFUNCTION("""COMPUTED_VALUE"""),"Xbox / PC")</f>
        <v>Xbox / PC</v>
      </c>
      <c r="C878" s="14" t="str">
        <f>IFERROR(__xludf.DUMMYFUNCTION("""COMPUTED_VALUE"""),"Yes")</f>
        <v>Yes</v>
      </c>
      <c r="D878" s="14" t="str">
        <f>IFERROR(__xludf.DUMMYFUNCTION("""COMPUTED_VALUE"""),"Active")</f>
        <v>Active</v>
      </c>
      <c r="E878" s="15">
        <f>IFERROR(__xludf.DUMMYFUNCTION("""COMPUTED_VALUE"""),46282.0)</f>
        <v>46282</v>
      </c>
      <c r="F878" s="16"/>
      <c r="G878" s="18">
        <f>IFERROR(__xludf.DUMMYFUNCTION("""COMPUTED_VALUE"""),0.6333333333333333)</f>
        <v>0.6333333333</v>
      </c>
      <c r="H878" s="15">
        <f>IFERROR(__xludf.DUMMYFUNCTION("""COMPUTED_VALUE"""),46282.0)</f>
        <v>46282</v>
      </c>
      <c r="I878" s="18">
        <f>IFERROR(__xludf.DUMMYFUNCTION("""COMPUTED_VALUE"""),0.0)</f>
        <v>0</v>
      </c>
      <c r="J878" s="22"/>
      <c r="K878" s="22"/>
      <c r="L878" s="26" t="str">
        <f>IFERROR(__xludf.DUMMYFUNCTION("""COMPUTED_VALUE"""),"RPG")</f>
        <v>RPG</v>
      </c>
      <c r="M878" s="26" t="str">
        <f>IFERROR(__xludf.DUMMYFUNCTION("""COMPUTED_VALUE"""),"Exclusive")</f>
        <v>Exclusive</v>
      </c>
    </row>
    <row r="879">
      <c r="A879" s="12" t="str">
        <f>IFERROR(__xludf.DUMMYFUNCTION("""COMPUTED_VALUE"""),"RuneScape: Dragonwilds")</f>
        <v>RuneScape: Dragonwilds</v>
      </c>
      <c r="B879" s="13" t="str">
        <f>IFERROR(__xludf.DUMMYFUNCTION("""COMPUTED_VALUE"""),"Xbox / PC")</f>
        <v>Xbox / PC</v>
      </c>
      <c r="C879" s="14" t="str">
        <f>IFERROR(__xludf.DUMMYFUNCTION("""COMPUTED_VALUE"""),"Yes")</f>
        <v>Yes</v>
      </c>
      <c r="D879" s="14" t="str">
        <f>IFERROR(__xludf.DUMMYFUNCTION("""COMPUTED_VALUE"""),"Active")</f>
        <v>Active</v>
      </c>
      <c r="E879" s="15">
        <f>IFERROR(__xludf.DUMMYFUNCTION("""COMPUTED_VALUE"""),46280.0)</f>
        <v>46280</v>
      </c>
      <c r="F879" s="16"/>
      <c r="G879" s="18">
        <f>IFERROR(__xludf.DUMMYFUNCTION("""COMPUTED_VALUE"""),0.7)</f>
        <v>0.7</v>
      </c>
      <c r="H879" s="15">
        <f>IFERROR(__xludf.DUMMYFUNCTION("""COMPUTED_VALUE"""),46280.0)</f>
        <v>46280</v>
      </c>
      <c r="I879" s="18">
        <f>IFERROR(__xludf.DUMMYFUNCTION("""COMPUTED_VALUE"""),0.0)</f>
        <v>0</v>
      </c>
      <c r="J879" s="22"/>
      <c r="K879" s="22">
        <f>IFERROR(__xludf.DUMMYFUNCTION("""COMPUTED_VALUE"""),23.0)</f>
        <v>23</v>
      </c>
      <c r="L879" s="26" t="str">
        <f>IFERROR(__xludf.DUMMYFUNCTION("""COMPUTED_VALUE"""),"Action-Adventure")</f>
        <v>Action-Adventure</v>
      </c>
      <c r="M879" s="26" t="str">
        <f>IFERROR(__xludf.DUMMYFUNCTION("""COMPUTED_VALUE"""),"Exclusive")</f>
        <v>Exclusive</v>
      </c>
    </row>
    <row r="880">
      <c r="A880" s="12" t="str">
        <f>IFERROR(__xludf.DUMMYFUNCTION("""COMPUTED_VALUE"""),"Speedrunners 2: King of Speed")</f>
        <v>Speedrunners 2: King of Speed</v>
      </c>
      <c r="B880" s="13" t="str">
        <f>IFERROR(__xludf.DUMMYFUNCTION("""COMPUTED_VALUE"""),"Xbox / PC")</f>
        <v>Xbox / PC</v>
      </c>
      <c r="C880" s="14" t="str">
        <f>IFERROR(__xludf.DUMMYFUNCTION("""COMPUTED_VALUE"""),"Yes")</f>
        <v>Yes</v>
      </c>
      <c r="D880" s="14" t="str">
        <f>IFERROR(__xludf.DUMMYFUNCTION("""COMPUTED_VALUE"""),"Active")</f>
        <v>Active</v>
      </c>
      <c r="E880" s="15">
        <f>IFERROR(__xludf.DUMMYFUNCTION("""COMPUTED_VALUE"""),46268.0)</f>
        <v>46268</v>
      </c>
      <c r="F880" s="16"/>
      <c r="G880" s="18">
        <f>IFERROR(__xludf.DUMMYFUNCTION("""COMPUTED_VALUE"""),1.0999999999999999)</f>
        <v>1.1</v>
      </c>
      <c r="H880" s="15">
        <f>IFERROR(__xludf.DUMMYFUNCTION("""COMPUTED_VALUE"""),46268.0)</f>
        <v>46268</v>
      </c>
      <c r="I880" s="18">
        <f>IFERROR(__xludf.DUMMYFUNCTION("""COMPUTED_VALUE"""),0.0)</f>
        <v>0</v>
      </c>
      <c r="J880" s="22"/>
      <c r="K880" s="22">
        <f>IFERROR(__xludf.DUMMYFUNCTION("""COMPUTED_VALUE"""),3.0)</f>
        <v>3</v>
      </c>
      <c r="L880" s="26" t="str">
        <f>IFERROR(__xludf.DUMMYFUNCTION("""COMPUTED_VALUE"""),"Racing")</f>
        <v>Racing</v>
      </c>
      <c r="M880" s="26" t="str">
        <f>IFERROR(__xludf.DUMMYFUNCTION("""COMPUTED_VALUE"""),"Exclusive")</f>
        <v>Exclusive</v>
      </c>
    </row>
    <row r="881">
      <c r="A881" s="124" t="str">
        <f>IFERROR(__xludf.DUMMYFUNCTION("""COMPUTED_VALUE"""),"Shelldiver")</f>
        <v>Shelldiver</v>
      </c>
      <c r="B881" s="13" t="str">
        <f>IFERROR(__xludf.DUMMYFUNCTION("""COMPUTED_VALUE"""),"Xbox / PC")</f>
        <v>Xbox / PC</v>
      </c>
      <c r="C881" s="14" t="str">
        <f>IFERROR(__xludf.DUMMYFUNCTION("""COMPUTED_VALUE"""),"Yes")</f>
        <v>Yes</v>
      </c>
      <c r="D881" s="14" t="str">
        <f>IFERROR(__xludf.DUMMYFUNCTION("""COMPUTED_VALUE"""),"Active")</f>
        <v>Active</v>
      </c>
      <c r="E881" s="15">
        <f>IFERROR(__xludf.DUMMYFUNCTION("""COMPUTED_VALUE"""),46266.0)</f>
        <v>46266</v>
      </c>
      <c r="F881" s="16"/>
      <c r="G881" s="18">
        <f>IFERROR(__xludf.DUMMYFUNCTION("""COMPUTED_VALUE"""),1.1666666666666667)</f>
        <v>1.166666667</v>
      </c>
      <c r="H881" s="15">
        <f>IFERROR(__xludf.DUMMYFUNCTION("""COMPUTED_VALUE"""),45977.0)</f>
        <v>45977</v>
      </c>
      <c r="I881" s="18">
        <f>IFERROR(__xludf.DUMMYFUNCTION("""COMPUTED_VALUE"""),0.7916666666666666)</f>
        <v>0.7916666667</v>
      </c>
      <c r="J881" s="22"/>
      <c r="K881" s="22">
        <f>IFERROR(__xludf.DUMMYFUNCTION("""COMPUTED_VALUE"""),4.0)</f>
        <v>4</v>
      </c>
      <c r="L881" s="26" t="str">
        <f>IFERROR(__xludf.DUMMYFUNCTION("""COMPUTED_VALUE"""),"Platformer")</f>
        <v>Platformer</v>
      </c>
      <c r="M881" s="26"/>
    </row>
    <row r="882">
      <c r="A882" s="12" t="str">
        <f>IFERROR(__xludf.DUMMYFUNCTION("""COMPUTED_VALUE"""),"Vapor World: Over the Mind (Game Preview)")</f>
        <v>Vapor World: Over the Mind (Game Preview)</v>
      </c>
      <c r="B882" s="13" t="str">
        <f>IFERROR(__xludf.DUMMYFUNCTION("""COMPUTED_VALUE"""),"Xbox / PC")</f>
        <v>Xbox / PC</v>
      </c>
      <c r="C882" s="14" t="str">
        <f>IFERROR(__xludf.DUMMYFUNCTION("""COMPUTED_VALUE"""),"Yes")</f>
        <v>Yes</v>
      </c>
      <c r="D882" s="14" t="str">
        <f>IFERROR(__xludf.DUMMYFUNCTION("""COMPUTED_VALUE"""),"Active")</f>
        <v>Active</v>
      </c>
      <c r="E882" s="15">
        <f>IFERROR(__xludf.DUMMYFUNCTION("""COMPUTED_VALUE"""),46253.0)</f>
        <v>46253</v>
      </c>
      <c r="F882" s="16"/>
      <c r="G882" s="18">
        <f>IFERROR(__xludf.DUMMYFUNCTION("""COMPUTED_VALUE"""),1.5666666666666669)</f>
        <v>1.566666667</v>
      </c>
      <c r="H882" s="15">
        <f>IFERROR(__xludf.DUMMYFUNCTION("""COMPUTED_VALUE"""),46253.0)</f>
        <v>46253</v>
      </c>
      <c r="I882" s="18">
        <f>IFERROR(__xludf.DUMMYFUNCTION("""COMPUTED_VALUE"""),0.0)</f>
        <v>0</v>
      </c>
      <c r="J882" s="22"/>
      <c r="K882" s="22">
        <f>IFERROR(__xludf.DUMMYFUNCTION("""COMPUTED_VALUE"""),12.0)</f>
        <v>12</v>
      </c>
      <c r="L882" s="26" t="str">
        <f>IFERROR(__xludf.DUMMYFUNCTION("""COMPUTED_VALUE"""),"Action-Adventure")</f>
        <v>Action-Adventure</v>
      </c>
      <c r="M882" s="26"/>
    </row>
    <row r="883">
      <c r="A883" s="12" t="str">
        <f>IFERROR(__xludf.DUMMYFUNCTION("""COMPUTED_VALUE"""),"Starseeker: Astroneer Expeditions (Game Preview)")</f>
        <v>Starseeker: Astroneer Expeditions (Game Preview)</v>
      </c>
      <c r="B883" s="13" t="str">
        <f>IFERROR(__xludf.DUMMYFUNCTION("""COMPUTED_VALUE"""),"Xbox / PC")</f>
        <v>Xbox / PC</v>
      </c>
      <c r="C883" s="14" t="str">
        <f>IFERROR(__xludf.DUMMYFUNCTION("""COMPUTED_VALUE"""),"Yes")</f>
        <v>Yes</v>
      </c>
      <c r="D883" s="14" t="str">
        <f>IFERROR(__xludf.DUMMYFUNCTION("""COMPUTED_VALUE"""),"Active")</f>
        <v>Active</v>
      </c>
      <c r="E883" s="15">
        <f>IFERROR(__xludf.DUMMYFUNCTION("""COMPUTED_VALUE"""),46184.0)</f>
        <v>46184</v>
      </c>
      <c r="F883" s="16"/>
      <c r="G883" s="18">
        <f>IFERROR(__xludf.DUMMYFUNCTION("""COMPUTED_VALUE"""),3.833333333333333)</f>
        <v>3.833333333</v>
      </c>
      <c r="H883" s="15">
        <f>IFERROR(__xludf.DUMMYFUNCTION("""COMPUTED_VALUE"""),46184.0)</f>
        <v>46184</v>
      </c>
      <c r="I883" s="18">
        <f>IFERROR(__xludf.DUMMYFUNCTION("""COMPUTED_VALUE"""),0.0)</f>
        <v>0</v>
      </c>
      <c r="J883" s="22"/>
      <c r="K883" s="22">
        <f>IFERROR(__xludf.DUMMYFUNCTION("""COMPUTED_VALUE"""),1.0)</f>
        <v>1</v>
      </c>
      <c r="L883" s="26" t="str">
        <f>IFERROR(__xludf.DUMMYFUNCTION("""COMPUTED_VALUE"""),"Action-Adventure")</f>
        <v>Action-Adventure</v>
      </c>
      <c r="M883" s="26"/>
    </row>
    <row r="884">
      <c r="A884" s="12" t="str">
        <f>IFERROR(__xludf.DUMMYFUNCTION("""COMPUTED_VALUE"""),"Subnautica 2 (Game Preview)")</f>
        <v>Subnautica 2 (Game Preview)</v>
      </c>
      <c r="B884" s="13" t="str">
        <f>IFERROR(__xludf.DUMMYFUNCTION("""COMPUTED_VALUE"""),"Xbox / PC")</f>
        <v>Xbox / PC</v>
      </c>
      <c r="C884" s="14" t="str">
        <f>IFERROR(__xludf.DUMMYFUNCTION("""COMPUTED_VALUE"""),"Yes")</f>
        <v>Yes</v>
      </c>
      <c r="D884" s="14" t="str">
        <f>IFERROR(__xludf.DUMMYFUNCTION("""COMPUTED_VALUE"""),"Active")</f>
        <v>Active</v>
      </c>
      <c r="E884" s="15">
        <f>IFERROR(__xludf.DUMMYFUNCTION("""COMPUTED_VALUE"""),46156.0)</f>
        <v>46156</v>
      </c>
      <c r="F884" s="16"/>
      <c r="G884" s="18">
        <f>IFERROR(__xludf.DUMMYFUNCTION("""COMPUTED_VALUE"""),4.733333333333333)</f>
        <v>4.733333333</v>
      </c>
      <c r="H884" s="15">
        <f>IFERROR(__xludf.DUMMYFUNCTION("""COMPUTED_VALUE"""),46156.0)</f>
        <v>46156</v>
      </c>
      <c r="I884" s="18">
        <f>IFERROR(__xludf.DUMMYFUNCTION("""COMPUTED_VALUE"""),0.0)</f>
        <v>0</v>
      </c>
      <c r="J884" s="22"/>
      <c r="K884" s="22">
        <f>IFERROR(__xludf.DUMMYFUNCTION("""COMPUTED_VALUE"""),13.0)</f>
        <v>13</v>
      </c>
      <c r="L884" s="26" t="str">
        <f>IFERROR(__xludf.DUMMYFUNCTION("""COMPUTED_VALUE"""),"Action-Adventure")</f>
        <v>Action-Adventure</v>
      </c>
      <c r="M884" s="26"/>
    </row>
    <row r="885">
      <c r="A885" s="12" t="str">
        <f>IFERROR(__xludf.DUMMYFUNCTION("""COMPUTED_VALUE"""),"TCG Card Shop Simulator (Game Preview)")</f>
        <v>TCG Card Shop Simulator (Game Preview)</v>
      </c>
      <c r="B885" s="13" t="str">
        <f>IFERROR(__xludf.DUMMYFUNCTION("""COMPUTED_VALUE"""),"Xbox / PC")</f>
        <v>Xbox / PC</v>
      </c>
      <c r="C885" s="14" t="str">
        <f>IFERROR(__xludf.DUMMYFUNCTION("""COMPUTED_VALUE"""),"Yes")</f>
        <v>Yes</v>
      </c>
      <c r="D885" s="14" t="str">
        <f>IFERROR(__xludf.DUMMYFUNCTION("""COMPUTED_VALUE"""),"Active")</f>
        <v>Active</v>
      </c>
      <c r="E885" s="15">
        <f>IFERROR(__xludf.DUMMYFUNCTION("""COMPUTED_VALUE"""),46077.0)</f>
        <v>46077</v>
      </c>
      <c r="F885" s="16"/>
      <c r="G885" s="18">
        <f>IFERROR(__xludf.DUMMYFUNCTION("""COMPUTED_VALUE"""),7.4)</f>
        <v>7.4</v>
      </c>
      <c r="H885" s="15">
        <f>IFERROR(__xludf.DUMMYFUNCTION("""COMPUTED_VALUE"""),45184.0)</f>
        <v>45184</v>
      </c>
      <c r="I885" s="18">
        <f>IFERROR(__xludf.DUMMYFUNCTION("""COMPUTED_VALUE"""),2.441666666666667)</f>
        <v>2.441666667</v>
      </c>
      <c r="J885" s="22"/>
      <c r="K885" s="22">
        <f>IFERROR(__xludf.DUMMYFUNCTION("""COMPUTED_VALUE"""),32.0)</f>
        <v>32</v>
      </c>
      <c r="L885" s="26" t="str">
        <f>IFERROR(__xludf.DUMMYFUNCTION("""COMPUTED_VALUE"""),"Simulation")</f>
        <v>Simulation</v>
      </c>
      <c r="M885" s="26" t="str">
        <f>IFERROR(__xludf.DUMMYFUNCTION("""COMPUTED_VALUE"""),"Exclusive")</f>
        <v>Exclusive</v>
      </c>
    </row>
    <row r="886">
      <c r="A886" s="12" t="str">
        <f>IFERROR(__xludf.DUMMYFUNCTION("""COMPUTED_VALUE"""),"Kabobber")</f>
        <v>Kabobber</v>
      </c>
      <c r="B886" s="13" t="str">
        <f>IFERROR(__xludf.DUMMYFUNCTION("""COMPUTED_VALUE"""),"Xbox / PC")</f>
        <v>Xbox / PC</v>
      </c>
      <c r="C886" s="14" t="str">
        <f>IFERROR(__xludf.DUMMYFUNCTION("""COMPUTED_VALUE"""),"Yes")</f>
        <v>Yes</v>
      </c>
      <c r="D886" s="14" t="str">
        <f>IFERROR(__xludf.DUMMYFUNCTION("""COMPUTED_VALUE"""),"Active")</f>
        <v>Active</v>
      </c>
      <c r="E886" s="15">
        <f>IFERROR(__xludf.DUMMYFUNCTION("""COMPUTED_VALUE"""),46072.0)</f>
        <v>46072</v>
      </c>
      <c r="F886" s="16"/>
      <c r="G886" s="18">
        <f>IFERROR(__xludf.DUMMYFUNCTION("""COMPUTED_VALUE"""),7.566666666666666)</f>
        <v>7.566666667</v>
      </c>
      <c r="H886" s="15">
        <f>IFERROR(__xludf.DUMMYFUNCTION("""COMPUTED_VALUE"""),30317.0)</f>
        <v>30317</v>
      </c>
      <c r="I886" s="18">
        <f>IFERROR(__xludf.DUMMYFUNCTION("""COMPUTED_VALUE"""),43.13333333333333)</f>
        <v>43.13333333</v>
      </c>
      <c r="J886" s="22"/>
      <c r="K886" s="22"/>
      <c r="L886" s="26" t="str">
        <f>IFERROR(__xludf.DUMMYFUNCTION("""COMPUTED_VALUE"""),"Action")</f>
        <v>Action</v>
      </c>
      <c r="M886" s="26"/>
    </row>
    <row r="887">
      <c r="A887" s="12" t="str">
        <f>IFERROR(__xludf.DUMMYFUNCTION("""COMPUTED_VALUE"""),"Return to Zork")</f>
        <v>Return to Zork</v>
      </c>
      <c r="B887" s="13" t="str">
        <f>IFERROR(__xludf.DUMMYFUNCTION("""COMPUTED_VALUE"""),"Xbox / PC")</f>
        <v>Xbox / PC</v>
      </c>
      <c r="C887" s="14" t="str">
        <f>IFERROR(__xludf.DUMMYFUNCTION("""COMPUTED_VALUE"""),"Yes")</f>
        <v>Yes</v>
      </c>
      <c r="D887" s="14" t="str">
        <f>IFERROR(__xludf.DUMMYFUNCTION("""COMPUTED_VALUE"""),"Active")</f>
        <v>Active</v>
      </c>
      <c r="E887" s="15">
        <f>IFERROR(__xludf.DUMMYFUNCTION("""COMPUTED_VALUE"""),46072.0)</f>
        <v>46072</v>
      </c>
      <c r="F887" s="16"/>
      <c r="G887" s="18">
        <f>IFERROR(__xludf.DUMMYFUNCTION("""COMPUTED_VALUE"""),7.566666666666666)</f>
        <v>7.566666667</v>
      </c>
      <c r="H887" s="15">
        <f>IFERROR(__xludf.DUMMYFUNCTION("""COMPUTED_VALUE"""),34192.0)</f>
        <v>34192</v>
      </c>
      <c r="I887" s="18">
        <f>IFERROR(__xludf.DUMMYFUNCTION("""COMPUTED_VALUE"""),32.522222222222226)</f>
        <v>32.52222222</v>
      </c>
      <c r="J887" s="22"/>
      <c r="K887" s="22">
        <f>IFERROR(__xludf.DUMMYFUNCTION("""COMPUTED_VALUE"""),7.0)</f>
        <v>7</v>
      </c>
      <c r="L887" s="26" t="str">
        <f>IFERROR(__xludf.DUMMYFUNCTION("""COMPUTED_VALUE"""),"Point and Click")</f>
        <v>Point and Click</v>
      </c>
      <c r="M887" s="26"/>
    </row>
    <row r="888">
      <c r="A888" s="12" t="str">
        <f>IFERROR(__xludf.DUMMYFUNCTION("""COMPUTED_VALUE"""),"Roadside Research (Game Preview)")</f>
        <v>Roadside Research (Game Preview)</v>
      </c>
      <c r="B888" s="13" t="str">
        <f>IFERROR(__xludf.DUMMYFUNCTION("""COMPUTED_VALUE"""),"Xbox / PC")</f>
        <v>Xbox / PC</v>
      </c>
      <c r="C888" s="14"/>
      <c r="D888" s="14" t="str">
        <f>IFERROR(__xludf.DUMMYFUNCTION("""COMPUTED_VALUE"""),"Active")</f>
        <v>Active</v>
      </c>
      <c r="E888" s="15">
        <f>IFERROR(__xludf.DUMMYFUNCTION("""COMPUTED_VALUE"""),46065.0)</f>
        <v>46065</v>
      </c>
      <c r="F888" s="16"/>
      <c r="G888" s="18">
        <f>IFERROR(__xludf.DUMMYFUNCTION("""COMPUTED_VALUE"""),7.800000000000001)</f>
        <v>7.8</v>
      </c>
      <c r="H888" s="15">
        <f>IFERROR(__xludf.DUMMYFUNCTION("""COMPUTED_VALUE"""),46065.0)</f>
        <v>46065</v>
      </c>
      <c r="I888" s="18">
        <f>IFERROR(__xludf.DUMMYFUNCTION("""COMPUTED_VALUE"""),0.0)</f>
        <v>0</v>
      </c>
      <c r="J888" s="22"/>
      <c r="K888" s="22">
        <f>IFERROR(__xludf.DUMMYFUNCTION("""COMPUTED_VALUE"""),24.0)</f>
        <v>24</v>
      </c>
      <c r="L888" s="26" t="str">
        <f>IFERROR(__xludf.DUMMYFUNCTION("""COMPUTED_VALUE"""),"Action-Adventure")</f>
        <v>Action-Adventure</v>
      </c>
      <c r="M888" s="26" t="str">
        <f>IFERROR(__xludf.DUMMYFUNCTION("""COMPUTED_VALUE"""),"Exclusive")</f>
        <v>Exclusive</v>
      </c>
    </row>
    <row r="889">
      <c r="A889" s="12" t="str">
        <f>IFERROR(__xludf.DUMMYFUNCTION("""COMPUTED_VALUE"""),"Young Suns")</f>
        <v>Young Suns</v>
      </c>
      <c r="B889" s="13" t="str">
        <f>IFERROR(__xludf.DUMMYFUNCTION("""COMPUTED_VALUE"""),"Xbox / PC")</f>
        <v>Xbox / PC</v>
      </c>
      <c r="C889" s="14" t="str">
        <f>IFERROR(__xludf.DUMMYFUNCTION("""COMPUTED_VALUE"""),"Yes")</f>
        <v>Yes</v>
      </c>
      <c r="D889" s="14" t="str">
        <f>IFERROR(__xludf.DUMMYFUNCTION("""COMPUTED_VALUE"""),"Active")</f>
        <v>Active</v>
      </c>
      <c r="E889" s="15">
        <f>IFERROR(__xludf.DUMMYFUNCTION("""COMPUTED_VALUE"""),45986.0)</f>
        <v>45986</v>
      </c>
      <c r="F889" s="16"/>
      <c r="G889" s="18">
        <f>IFERROR(__xludf.DUMMYFUNCTION("""COMPUTED_VALUE"""),10.366666666666667)</f>
        <v>10.36666667</v>
      </c>
      <c r="H889" s="15">
        <f>IFERROR(__xludf.DUMMYFUNCTION("""COMPUTED_VALUE"""),45986.0)</f>
        <v>45986</v>
      </c>
      <c r="I889" s="18">
        <f>IFERROR(__xludf.DUMMYFUNCTION("""COMPUTED_VALUE"""),0.0)</f>
        <v>0</v>
      </c>
      <c r="J889" s="22"/>
      <c r="K889" s="22">
        <f>IFERROR(__xludf.DUMMYFUNCTION("""COMPUTED_VALUE"""),2.0)</f>
        <v>2</v>
      </c>
      <c r="L889" s="26" t="str">
        <f>IFERROR(__xludf.DUMMYFUNCTION("""COMPUTED_VALUE"""),"Virtual Life")</f>
        <v>Virtual Life</v>
      </c>
      <c r="M889" s="26"/>
    </row>
    <row r="890">
      <c r="A890" s="12" t="str">
        <f>IFERROR(__xludf.DUMMYFUNCTION("""COMPUTED_VALUE"""),"Relic Hunters Legend")</f>
        <v>Relic Hunters Legend</v>
      </c>
      <c r="B890" s="13" t="str">
        <f>IFERROR(__xludf.DUMMYFUNCTION("""COMPUTED_VALUE"""),"Xbox / PC")</f>
        <v>Xbox / PC</v>
      </c>
      <c r="C890" s="14" t="str">
        <f>IFERROR(__xludf.DUMMYFUNCTION("""COMPUTED_VALUE"""),"Yes")</f>
        <v>Yes</v>
      </c>
      <c r="D890" s="14" t="str">
        <f>IFERROR(__xludf.DUMMYFUNCTION("""COMPUTED_VALUE"""),"Active")</f>
        <v>Active</v>
      </c>
      <c r="E890" s="15">
        <f>IFERROR(__xludf.DUMMYFUNCTION("""COMPUTED_VALUE"""),45973.0)</f>
        <v>45973</v>
      </c>
      <c r="F890" s="16"/>
      <c r="G890" s="18">
        <f>IFERROR(__xludf.DUMMYFUNCTION("""COMPUTED_VALUE"""),10.8)</f>
        <v>10.8</v>
      </c>
      <c r="H890" s="15">
        <f>IFERROR(__xludf.DUMMYFUNCTION("""COMPUTED_VALUE"""),45883.0)</f>
        <v>45883</v>
      </c>
      <c r="I890" s="18">
        <f>IFERROR(__xludf.DUMMYFUNCTION("""COMPUTED_VALUE"""),0.24444444444444444)</f>
        <v>0.2444444444</v>
      </c>
      <c r="J890" s="22"/>
      <c r="K890" s="22">
        <f>IFERROR(__xludf.DUMMYFUNCTION("""COMPUTED_VALUE"""),29.0)</f>
        <v>29</v>
      </c>
      <c r="L890" s="26" t="str">
        <f>IFERROR(__xludf.DUMMYFUNCTION("""COMPUTED_VALUE"""),"Shoot-’Em-Up")</f>
        <v>Shoot-’Em-Up</v>
      </c>
      <c r="M890" s="26"/>
    </row>
    <row r="891">
      <c r="A891" s="12" t="str">
        <f>IFERROR(__xludf.DUMMYFUNCTION("""COMPUTED_VALUE"""),"BattleTech: The Crescent Hawk's Inception")</f>
        <v>BattleTech: The Crescent Hawk's Inception</v>
      </c>
      <c r="B891" s="13" t="str">
        <f>IFERROR(__xludf.DUMMYFUNCTION("""COMPUTED_VALUE"""),"Xbox / PC")</f>
        <v>Xbox / PC</v>
      </c>
      <c r="C891" s="14" t="str">
        <f>IFERROR(__xludf.DUMMYFUNCTION("""COMPUTED_VALUE"""),"Yes")</f>
        <v>Yes</v>
      </c>
      <c r="D891" s="14" t="str">
        <f>IFERROR(__xludf.DUMMYFUNCTION("""COMPUTED_VALUE"""),"Active")</f>
        <v>Active</v>
      </c>
      <c r="E891" s="15">
        <f>IFERROR(__xludf.DUMMYFUNCTION("""COMPUTED_VALUE"""),45945.0)</f>
        <v>45945</v>
      </c>
      <c r="F891" s="16"/>
      <c r="G891" s="18">
        <f>IFERROR(__xludf.DUMMYFUNCTION("""COMPUTED_VALUE"""),11.7)</f>
        <v>11.7</v>
      </c>
      <c r="H891" s="15">
        <f>IFERROR(__xludf.DUMMYFUNCTION("""COMPUTED_VALUE"""),32813.0)</f>
        <v>32813</v>
      </c>
      <c r="I891" s="18">
        <f>IFERROR(__xludf.DUMMYFUNCTION("""COMPUTED_VALUE"""),35.955555555555556)</f>
        <v>35.95555556</v>
      </c>
      <c r="J891" s="22"/>
      <c r="K891" s="22">
        <f>IFERROR(__xludf.DUMMYFUNCTION("""COMPUTED_VALUE"""),8.0)</f>
        <v>8</v>
      </c>
      <c r="L891" s="26" t="str">
        <f>IFERROR(__xludf.DUMMYFUNCTION("""COMPUTED_VALUE"""),"RPG")</f>
        <v>RPG</v>
      </c>
      <c r="M891" s="26"/>
    </row>
    <row r="892">
      <c r="A892" s="12" t="str">
        <f>IFERROR(__xludf.DUMMYFUNCTION("""COMPUTED_VALUE"""),"Grounded 2 (Game Preview)")</f>
        <v>Grounded 2 (Game Preview)</v>
      </c>
      <c r="B892" s="13" t="str">
        <f>IFERROR(__xludf.DUMMYFUNCTION("""COMPUTED_VALUE"""),"Xbox / PC")</f>
        <v>Xbox / PC</v>
      </c>
      <c r="C892" s="14" t="str">
        <f>IFERROR(__xludf.DUMMYFUNCTION("""COMPUTED_VALUE"""),"Yes")</f>
        <v>Yes</v>
      </c>
      <c r="D892" s="14" t="str">
        <f>IFERROR(__xludf.DUMMYFUNCTION("""COMPUTED_VALUE"""),"Active")</f>
        <v>Active</v>
      </c>
      <c r="E892" s="15">
        <f>IFERROR(__xludf.DUMMYFUNCTION("""COMPUTED_VALUE"""),45867.0)</f>
        <v>45867</v>
      </c>
      <c r="F892" s="16"/>
      <c r="G892" s="18">
        <f>IFERROR(__xludf.DUMMYFUNCTION("""COMPUTED_VALUE"""),14.233333333333334)</f>
        <v>14.23333333</v>
      </c>
      <c r="H892" s="15">
        <f>IFERROR(__xludf.DUMMYFUNCTION("""COMPUTED_VALUE"""),45867.0)</f>
        <v>45867</v>
      </c>
      <c r="I892" s="18">
        <f>IFERROR(__xludf.DUMMYFUNCTION("""COMPUTED_VALUE"""),0.0)</f>
        <v>0</v>
      </c>
      <c r="J892" s="22"/>
      <c r="K892" s="22">
        <f>IFERROR(__xludf.DUMMYFUNCTION("""COMPUTED_VALUE"""),14.0)</f>
        <v>14</v>
      </c>
      <c r="L892" s="26" t="str">
        <f>IFERROR(__xludf.DUMMYFUNCTION("""COMPUTED_VALUE"""),"Sandbox")</f>
        <v>Sandbox</v>
      </c>
      <c r="M892" s="26" t="str">
        <f>IFERROR(__xludf.DUMMYFUNCTION("""COMPUTED_VALUE"""),"Exclusive")</f>
        <v>Exclusive</v>
      </c>
    </row>
    <row r="893">
      <c r="A893" s="12" t="str">
        <f>IFERROR(__xludf.DUMMYFUNCTION("""COMPUTED_VALUE"""),"Descenders Next (Game Preview)")</f>
        <v>Descenders Next (Game Preview)</v>
      </c>
      <c r="B893" s="13" t="str">
        <f>IFERROR(__xludf.DUMMYFUNCTION("""COMPUTED_VALUE"""),"Xbox / PC")</f>
        <v>Xbox / PC</v>
      </c>
      <c r="C893" s="14" t="str">
        <f>IFERROR(__xludf.DUMMYFUNCTION("""COMPUTED_VALUE"""),"Yes")</f>
        <v>Yes</v>
      </c>
      <c r="D893" s="14" t="str">
        <f>IFERROR(__xludf.DUMMYFUNCTION("""COMPUTED_VALUE"""),"Active")</f>
        <v>Active</v>
      </c>
      <c r="E893" s="15">
        <f>IFERROR(__xludf.DUMMYFUNCTION("""COMPUTED_VALUE"""),45859.0)</f>
        <v>45859</v>
      </c>
      <c r="F893" s="16"/>
      <c r="G893" s="18">
        <f>IFERROR(__xludf.DUMMYFUNCTION("""COMPUTED_VALUE"""),14.5)</f>
        <v>14.5</v>
      </c>
      <c r="H893" s="15">
        <f>IFERROR(__xludf.DUMMYFUNCTION("""COMPUTED_VALUE"""),45859.0)</f>
        <v>45859</v>
      </c>
      <c r="I893" s="18">
        <f>IFERROR(__xludf.DUMMYFUNCTION("""COMPUTED_VALUE"""),0.0)</f>
        <v>0</v>
      </c>
      <c r="J893" s="22"/>
      <c r="K893" s="22"/>
      <c r="L893" s="26" t="str">
        <f>IFERROR(__xludf.DUMMYFUNCTION("""COMPUTED_VALUE"""),"Sports")</f>
        <v>Sports</v>
      </c>
      <c r="M893" s="26"/>
    </row>
    <row r="894">
      <c r="A894" s="12" t="str">
        <f>IFERROR(__xludf.DUMMYFUNCTION("""COMPUTED_VALUE"""),"Okie Dokie")</f>
        <v>Okie Dokie</v>
      </c>
      <c r="B894" s="13" t="str">
        <f>IFERROR(__xludf.DUMMYFUNCTION("""COMPUTED_VALUE"""),"Xbox / PC")</f>
        <v>Xbox / PC</v>
      </c>
      <c r="C894" s="14" t="str">
        <f>IFERROR(__xludf.DUMMYFUNCTION("""COMPUTED_VALUE"""),"Yes")</f>
        <v>Yes</v>
      </c>
      <c r="D894" s="14" t="str">
        <f>IFERROR(__xludf.DUMMYFUNCTION("""COMPUTED_VALUE"""),"Active")</f>
        <v>Active</v>
      </c>
      <c r="E894" s="15">
        <f>IFERROR(__xludf.DUMMYFUNCTION("""COMPUTED_VALUE"""),45859.0)</f>
        <v>45859</v>
      </c>
      <c r="F894" s="16"/>
      <c r="G894" s="18">
        <f>IFERROR(__xludf.DUMMYFUNCTION("""COMPUTED_VALUE"""),14.5)</f>
        <v>14.5</v>
      </c>
      <c r="H894" s="15">
        <f>IFERROR(__xludf.DUMMYFUNCTION("""COMPUTED_VALUE"""),31048.0)</f>
        <v>31048</v>
      </c>
      <c r="I894" s="18">
        <f>IFERROR(__xludf.DUMMYFUNCTION("""COMPUTED_VALUE"""),40.55555555555556)</f>
        <v>40.55555556</v>
      </c>
      <c r="J894" s="22"/>
      <c r="K894" s="22"/>
      <c r="L894" s="26" t="str">
        <f>IFERROR(__xludf.DUMMYFUNCTION("""COMPUTED_VALUE"""),"Puzzle")</f>
        <v>Puzzle</v>
      </c>
      <c r="M894" s="26"/>
    </row>
    <row r="895">
      <c r="A895" s="12" t="str">
        <f>IFERROR(__xludf.DUMMYFUNCTION("""COMPUTED_VALUE"""),"Heart of China")</f>
        <v>Heart of China</v>
      </c>
      <c r="B895" s="13" t="str">
        <f>IFERROR(__xludf.DUMMYFUNCTION("""COMPUTED_VALUE"""),"Xbox / PC")</f>
        <v>Xbox / PC</v>
      </c>
      <c r="C895" s="14" t="str">
        <f>IFERROR(__xludf.DUMMYFUNCTION("""COMPUTED_VALUE"""),"Yes")</f>
        <v>Yes</v>
      </c>
      <c r="D895" s="14" t="str">
        <f>IFERROR(__xludf.DUMMYFUNCTION("""COMPUTED_VALUE"""),"Active")</f>
        <v>Active</v>
      </c>
      <c r="E895" s="15">
        <f>IFERROR(__xludf.DUMMYFUNCTION("""COMPUTED_VALUE"""),45839.0)</f>
        <v>45839</v>
      </c>
      <c r="F895" s="16"/>
      <c r="G895" s="18">
        <f>IFERROR(__xludf.DUMMYFUNCTION("""COMPUTED_VALUE"""),15.166666666666666)</f>
        <v>15.16666667</v>
      </c>
      <c r="H895" s="15">
        <f>IFERROR(__xludf.DUMMYFUNCTION("""COMPUTED_VALUE"""),33239.0)</f>
        <v>33239</v>
      </c>
      <c r="I895" s="18">
        <f>IFERROR(__xludf.DUMMYFUNCTION("""COMPUTED_VALUE"""),34.5)</f>
        <v>34.5</v>
      </c>
      <c r="J895" s="22"/>
      <c r="K895" s="22">
        <f>IFERROR(__xludf.DUMMYFUNCTION("""COMPUTED_VALUE"""),4.0)</f>
        <v>4</v>
      </c>
      <c r="L895" s="26" t="str">
        <f>IFERROR(__xludf.DUMMYFUNCTION("""COMPUTED_VALUE"""),"Adventure")</f>
        <v>Adventure</v>
      </c>
      <c r="M895" s="26"/>
    </row>
    <row r="896">
      <c r="A896" s="12" t="str">
        <f>IFERROR(__xludf.DUMMYFUNCTION("""COMPUTED_VALUE"""),"Activision Prototype #1")</f>
        <v>Activision Prototype #1</v>
      </c>
      <c r="B896" s="13" t="str">
        <f>IFERROR(__xludf.DUMMYFUNCTION("""COMPUTED_VALUE"""),"Xbox / PC")</f>
        <v>Xbox / PC</v>
      </c>
      <c r="C896" s="14" t="str">
        <f>IFERROR(__xludf.DUMMYFUNCTION("""COMPUTED_VALUE"""),"Yes")</f>
        <v>Yes</v>
      </c>
      <c r="D896" s="14" t="str">
        <f>IFERROR(__xludf.DUMMYFUNCTION("""COMPUTED_VALUE"""),"Active")</f>
        <v>Active</v>
      </c>
      <c r="E896" s="15">
        <f>IFERROR(__xludf.DUMMYFUNCTION("""COMPUTED_VALUE"""),45798.0)</f>
        <v>45798</v>
      </c>
      <c r="F896" s="16"/>
      <c r="G896" s="18">
        <f>IFERROR(__xludf.DUMMYFUNCTION("""COMPUTED_VALUE"""),16.5)</f>
        <v>16.5</v>
      </c>
      <c r="H896" s="15">
        <f>IFERROR(__xludf.DUMMYFUNCTION("""COMPUTED_VALUE"""),30317.0)</f>
        <v>30317</v>
      </c>
      <c r="I896" s="18">
        <f>IFERROR(__xludf.DUMMYFUNCTION("""COMPUTED_VALUE"""),42.388888888888886)</f>
        <v>42.38888889</v>
      </c>
      <c r="J896" s="22"/>
      <c r="K896" s="22"/>
      <c r="L896" s="26" t="str">
        <f>IFERROR(__xludf.DUMMYFUNCTION("""COMPUTED_VALUE"""),"Action")</f>
        <v>Action</v>
      </c>
      <c r="M896" s="26"/>
    </row>
    <row r="897">
      <c r="A897" s="12" t="str">
        <f>IFERROR(__xludf.DUMMYFUNCTION("""COMPUTED_VALUE"""),"Space Treat Deluxe")</f>
        <v>Space Treat Deluxe</v>
      </c>
      <c r="B897" s="13" t="str">
        <f>IFERROR(__xludf.DUMMYFUNCTION("""COMPUTED_VALUE"""),"Xbox / PC")</f>
        <v>Xbox / PC</v>
      </c>
      <c r="C897" s="14" t="str">
        <f>IFERROR(__xludf.DUMMYFUNCTION("""COMPUTED_VALUE"""),"Yes")</f>
        <v>Yes</v>
      </c>
      <c r="D897" s="14" t="str">
        <f>IFERROR(__xludf.DUMMYFUNCTION("""COMPUTED_VALUE"""),"Active")</f>
        <v>Active</v>
      </c>
      <c r="E897" s="15">
        <f>IFERROR(__xludf.DUMMYFUNCTION("""COMPUTED_VALUE"""),45798.0)</f>
        <v>45798</v>
      </c>
      <c r="F897" s="16"/>
      <c r="G897" s="18">
        <f>IFERROR(__xludf.DUMMYFUNCTION("""COMPUTED_VALUE"""),16.5)</f>
        <v>16.5</v>
      </c>
      <c r="H897" s="15">
        <f>IFERROR(__xludf.DUMMYFUNCTION("""COMPUTED_VALUE"""),37714.0)</f>
        <v>37714</v>
      </c>
      <c r="I897" s="18">
        <f>IFERROR(__xludf.DUMMYFUNCTION("""COMPUTED_VALUE"""),22.133333333333333)</f>
        <v>22.13333333</v>
      </c>
      <c r="J897" s="22"/>
      <c r="K897" s="22"/>
      <c r="L897" s="26" t="str">
        <f>IFERROR(__xludf.DUMMYFUNCTION("""COMPUTED_VALUE"""),"Action")</f>
        <v>Action</v>
      </c>
      <c r="M897" s="26"/>
    </row>
    <row r="898">
      <c r="A898" s="12" t="str">
        <f>IFERROR(__xludf.DUMMYFUNCTION("""COMPUTED_VALUE"""),"Thwocker")</f>
        <v>Thwocker</v>
      </c>
      <c r="B898" s="13" t="str">
        <f>IFERROR(__xludf.DUMMYFUNCTION("""COMPUTED_VALUE"""),"Xbox / PC")</f>
        <v>Xbox / PC</v>
      </c>
      <c r="C898" s="14" t="str">
        <f>IFERROR(__xludf.DUMMYFUNCTION("""COMPUTED_VALUE"""),"Yes")</f>
        <v>Yes</v>
      </c>
      <c r="D898" s="14" t="str">
        <f>IFERROR(__xludf.DUMMYFUNCTION("""COMPUTED_VALUE"""),"Active")</f>
        <v>Active</v>
      </c>
      <c r="E898" s="15">
        <f>IFERROR(__xludf.DUMMYFUNCTION("""COMPUTED_VALUE"""),45798.0)</f>
        <v>45798</v>
      </c>
      <c r="F898" s="16"/>
      <c r="G898" s="18">
        <f>IFERROR(__xludf.DUMMYFUNCTION("""COMPUTED_VALUE"""),16.5)</f>
        <v>16.5</v>
      </c>
      <c r="H898" s="15">
        <f>IFERROR(__xludf.DUMMYFUNCTION("""COMPUTED_VALUE"""),30682.0)</f>
        <v>30682</v>
      </c>
      <c r="I898" s="18">
        <f>IFERROR(__xludf.DUMMYFUNCTION("""COMPUTED_VALUE"""),41.388888888888886)</f>
        <v>41.38888889</v>
      </c>
      <c r="J898" s="22"/>
      <c r="K898" s="22"/>
      <c r="L898" s="26" t="str">
        <f>IFERROR(__xludf.DUMMYFUNCTION("""COMPUTED_VALUE"""),"Action")</f>
        <v>Action</v>
      </c>
      <c r="M898" s="26"/>
    </row>
    <row r="899">
      <c r="A899" s="12" t="str">
        <f>IFERROR(__xludf.DUMMYFUNCTION("""COMPUTED_VALUE"""),"Torin's Passage")</f>
        <v>Torin's Passage</v>
      </c>
      <c r="B899" s="13" t="str">
        <f>IFERROR(__xludf.DUMMYFUNCTION("""COMPUTED_VALUE"""),"Xbox / PC")</f>
        <v>Xbox / PC</v>
      </c>
      <c r="C899" s="14" t="str">
        <f>IFERROR(__xludf.DUMMYFUNCTION("""COMPUTED_VALUE"""),"Yes")</f>
        <v>Yes</v>
      </c>
      <c r="D899" s="14" t="str">
        <f>IFERROR(__xludf.DUMMYFUNCTION("""COMPUTED_VALUE"""),"Active")</f>
        <v>Active</v>
      </c>
      <c r="E899" s="15">
        <f>IFERROR(__xludf.DUMMYFUNCTION("""COMPUTED_VALUE"""),45798.0)</f>
        <v>45798</v>
      </c>
      <c r="F899" s="16"/>
      <c r="G899" s="18">
        <f>IFERROR(__xludf.DUMMYFUNCTION("""COMPUTED_VALUE"""),16.5)</f>
        <v>16.5</v>
      </c>
      <c r="H899" s="15">
        <f>IFERROR(__xludf.DUMMYFUNCTION("""COMPUTED_VALUE"""),35003.0)</f>
        <v>35003</v>
      </c>
      <c r="I899" s="18">
        <f>IFERROR(__xludf.DUMMYFUNCTION("""COMPUTED_VALUE"""),29.558333333333334)</f>
        <v>29.55833333</v>
      </c>
      <c r="J899" s="22"/>
      <c r="K899" s="22">
        <f>IFERROR(__xludf.DUMMYFUNCTION("""COMPUTED_VALUE"""),4.0)</f>
        <v>4</v>
      </c>
      <c r="L899" s="26" t="str">
        <f>IFERROR(__xludf.DUMMYFUNCTION("""COMPUTED_VALUE"""),"Action‑Adventure")</f>
        <v>Action‑Adventure</v>
      </c>
      <c r="M899" s="26"/>
    </row>
    <row r="900">
      <c r="A900" s="12" t="str">
        <f>IFERROR(__xludf.DUMMYFUNCTION("""COMPUTED_VALUE"""),"Vault Assault")</f>
        <v>Vault Assault</v>
      </c>
      <c r="B900" s="13" t="str">
        <f>IFERROR(__xludf.DUMMYFUNCTION("""COMPUTED_VALUE"""),"Xbox / PC")</f>
        <v>Xbox / PC</v>
      </c>
      <c r="C900" s="14" t="str">
        <f>IFERROR(__xludf.DUMMYFUNCTION("""COMPUTED_VALUE"""),"Yes")</f>
        <v>Yes</v>
      </c>
      <c r="D900" s="14" t="str">
        <f>IFERROR(__xludf.DUMMYFUNCTION("""COMPUTED_VALUE"""),"Active")</f>
        <v>Active</v>
      </c>
      <c r="E900" s="15">
        <f>IFERROR(__xludf.DUMMYFUNCTION("""COMPUTED_VALUE"""),45798.0)</f>
        <v>45798</v>
      </c>
      <c r="F900" s="16"/>
      <c r="G900" s="18">
        <f>IFERROR(__xludf.DUMMYFUNCTION("""COMPUTED_VALUE"""),16.5)</f>
        <v>16.5</v>
      </c>
      <c r="H900" s="15">
        <f>IFERROR(__xludf.DUMMYFUNCTION("""COMPUTED_VALUE"""),37114.0)</f>
        <v>37114</v>
      </c>
      <c r="I900" s="18">
        <f>IFERROR(__xludf.DUMMYFUNCTION("""COMPUTED_VALUE"""),23.77777777777778)</f>
        <v>23.77777778</v>
      </c>
      <c r="J900" s="22"/>
      <c r="K900" s="22"/>
      <c r="L900" s="26" t="str">
        <f>IFERROR(__xludf.DUMMYFUNCTION("""COMPUTED_VALUE"""),"Shooter")</f>
        <v>Shooter</v>
      </c>
      <c r="M900" s="26"/>
    </row>
    <row r="901">
      <c r="A901" s="12" t="str">
        <f>IFERROR(__xludf.DUMMYFUNCTION("""COMPUTED_VALUE"""),"Venetian Blinds")</f>
        <v>Venetian Blinds</v>
      </c>
      <c r="B901" s="13" t="str">
        <f>IFERROR(__xludf.DUMMYFUNCTION("""COMPUTED_VALUE"""),"Xbox / PC")</f>
        <v>Xbox / PC</v>
      </c>
      <c r="C901" s="14" t="str">
        <f>IFERROR(__xludf.DUMMYFUNCTION("""COMPUTED_VALUE"""),"Yes")</f>
        <v>Yes</v>
      </c>
      <c r="D901" s="14" t="str">
        <f>IFERROR(__xludf.DUMMYFUNCTION("""COMPUTED_VALUE"""),"Active")</f>
        <v>Active</v>
      </c>
      <c r="E901" s="15">
        <f>IFERROR(__xludf.DUMMYFUNCTION("""COMPUTED_VALUE"""),45798.0)</f>
        <v>45798</v>
      </c>
      <c r="F901" s="16"/>
      <c r="G901" s="18">
        <f>IFERROR(__xludf.DUMMYFUNCTION("""COMPUTED_VALUE"""),16.5)</f>
        <v>16.5</v>
      </c>
      <c r="H901" s="15">
        <f>IFERROR(__xludf.DUMMYFUNCTION("""COMPUTED_VALUE"""),37622.0)</f>
        <v>37622</v>
      </c>
      <c r="I901" s="18">
        <f>IFERROR(__xludf.DUMMYFUNCTION("""COMPUTED_VALUE"""),22.38888888888889)</f>
        <v>22.38888889</v>
      </c>
      <c r="J901" s="22"/>
      <c r="K901" s="22"/>
      <c r="L901" s="26" t="str">
        <f>IFERROR(__xludf.DUMMYFUNCTION("""COMPUTED_VALUE"""),"Simulation")</f>
        <v>Simulation</v>
      </c>
      <c r="M901" s="26"/>
    </row>
    <row r="902">
      <c r="A902" s="12" t="str">
        <f>IFERROR(__xludf.DUMMYFUNCTION("""COMPUTED_VALUE"""),"Zork Zero: The Revenge of Megaboz")</f>
        <v>Zork Zero: The Revenge of Megaboz</v>
      </c>
      <c r="B902" s="13" t="str">
        <f>IFERROR(__xludf.DUMMYFUNCTION("""COMPUTED_VALUE"""),"Xbox / PC")</f>
        <v>Xbox / PC</v>
      </c>
      <c r="C902" s="14" t="str">
        <f>IFERROR(__xludf.DUMMYFUNCTION("""COMPUTED_VALUE"""),"Yes")</f>
        <v>Yes</v>
      </c>
      <c r="D902" s="14" t="str">
        <f>IFERROR(__xludf.DUMMYFUNCTION("""COMPUTED_VALUE"""),"Active")</f>
        <v>Active</v>
      </c>
      <c r="E902" s="15">
        <f>IFERROR(__xludf.DUMMYFUNCTION("""COMPUTED_VALUE"""),45798.0)</f>
        <v>45798</v>
      </c>
      <c r="F902" s="16"/>
      <c r="G902" s="18">
        <f>IFERROR(__xludf.DUMMYFUNCTION("""COMPUTED_VALUE"""),16.5)</f>
        <v>16.5</v>
      </c>
      <c r="H902" s="15">
        <f>IFERROR(__xludf.DUMMYFUNCTION("""COMPUTED_VALUE"""),32435.0)</f>
        <v>32435</v>
      </c>
      <c r="I902" s="18">
        <f>IFERROR(__xludf.DUMMYFUNCTION("""COMPUTED_VALUE"""),36.58888888888889)</f>
        <v>36.58888889</v>
      </c>
      <c r="J902" s="22"/>
      <c r="K902" s="22">
        <f>IFERROR(__xludf.DUMMYFUNCTION("""COMPUTED_VALUE"""),7.0)</f>
        <v>7</v>
      </c>
      <c r="L902" s="26" t="str">
        <f>IFERROR(__xludf.DUMMYFUNCTION("""COMPUTED_VALUE"""),"Action‑Adventure")</f>
        <v>Action‑Adventure</v>
      </c>
      <c r="M902" s="26"/>
    </row>
    <row r="903">
      <c r="A903" s="12" t="str">
        <f>IFERROR(__xludf.DUMMYFUNCTION("""COMPUTED_VALUE"""),"Overthrown (Game Preview)")</f>
        <v>Overthrown (Game Preview)</v>
      </c>
      <c r="B903" s="13" t="str">
        <f>IFERROR(__xludf.DUMMYFUNCTION("""COMPUTED_VALUE"""),"Xbox / PC")</f>
        <v>Xbox / PC</v>
      </c>
      <c r="C903" s="14" t="str">
        <f>IFERROR(__xludf.DUMMYFUNCTION("""COMPUTED_VALUE"""),"Yes")</f>
        <v>Yes</v>
      </c>
      <c r="D903" s="14" t="str">
        <f>IFERROR(__xludf.DUMMYFUNCTION("""COMPUTED_VALUE"""),"Active")</f>
        <v>Active</v>
      </c>
      <c r="E903" s="15">
        <f>IFERROR(__xludf.DUMMYFUNCTION("""COMPUTED_VALUE"""),45631.0)</f>
        <v>45631</v>
      </c>
      <c r="F903" s="16"/>
      <c r="G903" s="18">
        <f>IFERROR(__xludf.DUMMYFUNCTION("""COMPUTED_VALUE"""),22.03333333333333)</f>
        <v>22.03333333</v>
      </c>
      <c r="H903" s="15">
        <f>IFERROR(__xludf.DUMMYFUNCTION("""COMPUTED_VALUE"""),45631.0)</f>
        <v>45631</v>
      </c>
      <c r="I903" s="18">
        <f>IFERROR(__xludf.DUMMYFUNCTION("""COMPUTED_VALUE"""),0.0)</f>
        <v>0</v>
      </c>
      <c r="J903" s="22"/>
      <c r="K903" s="22">
        <f>IFERROR(__xludf.DUMMYFUNCTION("""COMPUTED_VALUE"""),12.0)</f>
        <v>12</v>
      </c>
      <c r="L903" s="26" t="str">
        <f>IFERROR(__xludf.DUMMYFUNCTION("""COMPUTED_VALUE"""),"Sandbox")</f>
        <v>Sandbox</v>
      </c>
      <c r="M903" s="26" t="str">
        <f>IFERROR(__xludf.DUMMYFUNCTION("""COMPUTED_VALUE"""),"Exclusive")</f>
        <v>Exclusive</v>
      </c>
    </row>
    <row r="904">
      <c r="A904" s="12"/>
      <c r="B904" s="13"/>
      <c r="C904" s="14"/>
      <c r="D904" s="14"/>
      <c r="E904" s="15"/>
      <c r="F904" s="16"/>
      <c r="G904" s="18"/>
      <c r="H904" s="15"/>
      <c r="I904" s="18"/>
      <c r="J904" s="22"/>
      <c r="K904" s="108"/>
      <c r="L904" s="26"/>
      <c r="M904" s="26"/>
    </row>
    <row r="905">
      <c r="A905" s="12"/>
      <c r="B905" s="13"/>
      <c r="C905" s="14"/>
      <c r="D905" s="14"/>
      <c r="E905" s="15"/>
      <c r="F905" s="16"/>
      <c r="G905" s="18"/>
      <c r="H905" s="15"/>
      <c r="I905" s="18"/>
      <c r="J905" s="22"/>
      <c r="K905" s="108"/>
      <c r="L905" s="26"/>
      <c r="M905" s="26"/>
    </row>
    <row r="906">
      <c r="A906" s="12"/>
      <c r="B906" s="13"/>
      <c r="C906" s="14"/>
      <c r="D906" s="14"/>
      <c r="E906" s="15"/>
      <c r="F906" s="16"/>
      <c r="G906" s="18"/>
      <c r="H906" s="15"/>
      <c r="I906" s="18"/>
      <c r="J906" s="22"/>
      <c r="K906" s="108"/>
      <c r="L906" s="26"/>
      <c r="M906" s="26"/>
    </row>
    <row r="907">
      <c r="A907" s="12"/>
      <c r="B907" s="13"/>
      <c r="C907" s="14"/>
      <c r="D907" s="14"/>
      <c r="E907" s="15"/>
      <c r="F907" s="16"/>
      <c r="G907" s="18"/>
      <c r="H907" s="15"/>
      <c r="I907" s="18"/>
      <c r="J907" s="22"/>
      <c r="K907" s="108"/>
      <c r="L907" s="26"/>
      <c r="M907" s="26"/>
    </row>
    <row r="908">
      <c r="A908" s="12"/>
      <c r="B908" s="13"/>
      <c r="C908" s="14"/>
      <c r="D908" s="14"/>
      <c r="E908" s="15"/>
      <c r="F908" s="16"/>
      <c r="G908" s="18"/>
      <c r="H908" s="15"/>
      <c r="I908" s="18"/>
      <c r="J908" s="22"/>
      <c r="K908" s="108"/>
      <c r="L908" s="26"/>
      <c r="M908" s="26"/>
    </row>
    <row r="909">
      <c r="A909" s="12"/>
      <c r="B909" s="13"/>
      <c r="C909" s="14"/>
      <c r="D909" s="14"/>
      <c r="E909" s="15"/>
      <c r="F909" s="16"/>
      <c r="G909" s="18"/>
      <c r="H909" s="15"/>
      <c r="I909" s="18"/>
      <c r="J909" s="22"/>
      <c r="K909" s="108"/>
      <c r="L909" s="26"/>
      <c r="M909" s="26"/>
    </row>
    <row r="910">
      <c r="A910" s="12"/>
      <c r="B910" s="13"/>
      <c r="C910" s="14"/>
      <c r="D910" s="14"/>
      <c r="E910" s="15"/>
      <c r="F910" s="16"/>
      <c r="G910" s="18"/>
      <c r="H910" s="15"/>
      <c r="I910" s="18"/>
      <c r="J910" s="22"/>
      <c r="K910" s="108"/>
      <c r="L910" s="26"/>
      <c r="M910" s="26"/>
    </row>
    <row r="911">
      <c r="A911" s="12"/>
      <c r="B911" s="13"/>
      <c r="C911" s="14"/>
      <c r="D911" s="14"/>
      <c r="E911" s="15"/>
      <c r="F911" s="16"/>
      <c r="G911" s="18"/>
      <c r="H911" s="15"/>
      <c r="I911" s="18"/>
      <c r="J911" s="22"/>
      <c r="K911" s="108"/>
      <c r="L911" s="26"/>
      <c r="M911" s="26"/>
    </row>
    <row r="912">
      <c r="A912" s="12"/>
      <c r="B912" s="13"/>
      <c r="C912" s="14"/>
      <c r="D912" s="14"/>
      <c r="E912" s="15"/>
      <c r="F912" s="16"/>
      <c r="G912" s="18"/>
      <c r="H912" s="15"/>
      <c r="I912" s="18"/>
      <c r="J912" s="22"/>
      <c r="K912" s="108"/>
      <c r="L912" s="26"/>
      <c r="M912" s="26"/>
    </row>
    <row r="913">
      <c r="A913" s="12"/>
      <c r="B913" s="13"/>
      <c r="C913" s="14"/>
      <c r="D913" s="14"/>
      <c r="E913" s="15"/>
      <c r="F913" s="16"/>
      <c r="G913" s="18"/>
      <c r="H913" s="15"/>
      <c r="I913" s="18"/>
      <c r="J913" s="22"/>
      <c r="K913" s="108"/>
      <c r="L913" s="26"/>
      <c r="M913" s="26"/>
    </row>
    <row r="914">
      <c r="A914" s="12"/>
      <c r="B914" s="13"/>
      <c r="C914" s="14"/>
      <c r="D914" s="14"/>
      <c r="E914" s="15"/>
      <c r="F914" s="16"/>
      <c r="G914" s="18"/>
      <c r="H914" s="15"/>
      <c r="I914" s="18"/>
      <c r="J914" s="22"/>
      <c r="K914" s="108"/>
      <c r="L914" s="26"/>
      <c r="M914" s="26"/>
    </row>
    <row r="915">
      <c r="A915" s="12"/>
      <c r="B915" s="13"/>
      <c r="C915" s="14"/>
      <c r="D915" s="14"/>
      <c r="E915" s="15"/>
      <c r="F915" s="16"/>
      <c r="G915" s="18"/>
      <c r="H915" s="15"/>
      <c r="I915" s="18"/>
      <c r="J915" s="22"/>
      <c r="K915" s="108"/>
      <c r="L915" s="26"/>
      <c r="M915" s="26"/>
    </row>
    <row r="916">
      <c r="A916" s="12"/>
      <c r="B916" s="13"/>
      <c r="C916" s="14"/>
      <c r="D916" s="14"/>
      <c r="E916" s="15"/>
      <c r="F916" s="16"/>
      <c r="G916" s="18"/>
      <c r="H916" s="15"/>
      <c r="I916" s="18"/>
      <c r="J916" s="22"/>
      <c r="K916" s="108"/>
      <c r="L916" s="26"/>
      <c r="M916" s="26"/>
    </row>
    <row r="917">
      <c r="A917" s="12"/>
      <c r="B917" s="13"/>
      <c r="C917" s="14"/>
      <c r="D917" s="14"/>
      <c r="E917" s="15"/>
      <c r="F917" s="16"/>
      <c r="G917" s="18"/>
      <c r="H917" s="15"/>
      <c r="I917" s="18"/>
      <c r="J917" s="22"/>
      <c r="K917" s="108"/>
      <c r="L917" s="26"/>
      <c r="M917" s="26"/>
    </row>
    <row r="918">
      <c r="A918" s="12"/>
      <c r="B918" s="13"/>
      <c r="C918" s="14"/>
      <c r="D918" s="14"/>
      <c r="E918" s="15"/>
      <c r="F918" s="16"/>
      <c r="G918" s="18"/>
      <c r="H918" s="15"/>
      <c r="I918" s="18"/>
      <c r="J918" s="22"/>
      <c r="K918" s="108"/>
      <c r="L918" s="26"/>
      <c r="M918" s="26"/>
    </row>
    <row r="919">
      <c r="A919" s="12"/>
      <c r="B919" s="13"/>
      <c r="C919" s="14"/>
      <c r="D919" s="14"/>
      <c r="E919" s="15"/>
      <c r="F919" s="16"/>
      <c r="G919" s="18"/>
      <c r="H919" s="15"/>
      <c r="I919" s="18"/>
      <c r="J919" s="22"/>
      <c r="K919" s="108"/>
      <c r="L919" s="26"/>
      <c r="M919" s="26"/>
    </row>
    <row r="920">
      <c r="A920" s="12"/>
      <c r="B920" s="13"/>
      <c r="C920" s="14"/>
      <c r="D920" s="14"/>
      <c r="E920" s="15"/>
      <c r="F920" s="16"/>
      <c r="G920" s="18"/>
      <c r="H920" s="15"/>
      <c r="I920" s="18"/>
      <c r="J920" s="22"/>
      <c r="K920" s="108"/>
      <c r="L920" s="26"/>
      <c r="M920" s="26"/>
    </row>
    <row r="921">
      <c r="A921" s="12"/>
      <c r="B921" s="13"/>
      <c r="C921" s="14"/>
      <c r="D921" s="14"/>
      <c r="E921" s="15"/>
      <c r="F921" s="16"/>
      <c r="G921" s="18"/>
      <c r="H921" s="15"/>
      <c r="I921" s="18"/>
      <c r="J921" s="22"/>
      <c r="K921" s="108"/>
      <c r="L921" s="26"/>
      <c r="M921" s="26"/>
    </row>
    <row r="922">
      <c r="A922" s="12"/>
      <c r="B922" s="13"/>
      <c r="C922" s="14"/>
      <c r="D922" s="14"/>
      <c r="E922" s="15"/>
      <c r="F922" s="16"/>
      <c r="G922" s="18"/>
      <c r="H922" s="15"/>
      <c r="I922" s="18"/>
      <c r="J922" s="22"/>
      <c r="K922" s="108"/>
      <c r="L922" s="26"/>
      <c r="M922" s="26"/>
    </row>
    <row r="923">
      <c r="A923" s="12"/>
      <c r="B923" s="13"/>
      <c r="C923" s="14"/>
      <c r="D923" s="14"/>
      <c r="E923" s="15"/>
      <c r="F923" s="16"/>
      <c r="G923" s="18"/>
      <c r="H923" s="15"/>
      <c r="I923" s="18"/>
      <c r="J923" s="22"/>
      <c r="K923" s="108"/>
      <c r="L923" s="26"/>
      <c r="M923" s="26"/>
    </row>
    <row r="924">
      <c r="A924" s="12"/>
      <c r="B924" s="13"/>
      <c r="C924" s="14"/>
      <c r="D924" s="14"/>
      <c r="E924" s="15"/>
      <c r="F924" s="16"/>
      <c r="G924" s="18"/>
      <c r="H924" s="15"/>
      <c r="I924" s="18"/>
      <c r="J924" s="22"/>
      <c r="K924" s="108"/>
      <c r="L924" s="26"/>
      <c r="M924" s="26"/>
    </row>
    <row r="925">
      <c r="A925" s="12"/>
      <c r="B925" s="13"/>
      <c r="C925" s="14"/>
      <c r="D925" s="14"/>
      <c r="E925" s="15"/>
      <c r="F925" s="16"/>
      <c r="G925" s="18"/>
      <c r="H925" s="15"/>
      <c r="I925" s="18"/>
      <c r="J925" s="22"/>
      <c r="K925" s="108"/>
      <c r="L925" s="26"/>
      <c r="M925" s="26"/>
    </row>
    <row r="926">
      <c r="A926" s="12"/>
      <c r="B926" s="13"/>
      <c r="C926" s="14"/>
      <c r="D926" s="14"/>
      <c r="E926" s="15"/>
      <c r="F926" s="16"/>
      <c r="G926" s="18"/>
      <c r="H926" s="15"/>
      <c r="I926" s="18"/>
      <c r="J926" s="22"/>
      <c r="K926" s="108"/>
      <c r="L926" s="26"/>
      <c r="M926" s="26"/>
    </row>
  </sheetData>
  <autoFilter ref="$A$2:$M$400"/>
  <conditionalFormatting sqref="E3:E926 I3:I926">
    <cfRule type="expression" dxfId="5" priority="1">
      <formula>AND($E3&lt;&gt;"",(($E3-$H3)/365*12)&lt;1)</formula>
    </cfRule>
  </conditionalFormatting>
  <conditionalFormatting sqref="A2:A926 D2:D926">
    <cfRule type="expression" dxfId="13" priority="2">
      <formula>$D2="Coming Soon"</formula>
    </cfRule>
  </conditionalFormatting>
  <conditionalFormatting sqref="A2:A926 D2:D926">
    <cfRule type="expression" dxfId="7" priority="3">
      <formula>$D2="Removed"</formula>
    </cfRule>
  </conditionalFormatting>
  <conditionalFormatting sqref="A2:A926">
    <cfRule type="expression" dxfId="6" priority="4">
      <formula>MATCH(A2,INDIRECT("'Xbox Game Studios'!A:A"),0)</formula>
    </cfRule>
  </conditionalFormatting>
  <conditionalFormatting sqref="A2:A926 D2:D926">
    <cfRule type="expression" dxfId="10" priority="5">
      <formula>$D2="Leaving Soon"</formula>
    </cfRule>
  </conditionalFormatting>
  <conditionalFormatting sqref="A2:A926 D2:D926">
    <cfRule type="expression" dxfId="5" priority="6">
      <formula>AND($D3&lt;&gt;"",(($D3-$G3)/365*12)&lt;1)</formula>
    </cfRule>
  </conditionalFormatting>
  <conditionalFormatting sqref="J2:J926">
    <cfRule type="cellIs" dxfId="5" priority="7" operator="between">
      <formula>75</formula>
      <formula>100</formula>
    </cfRule>
  </conditionalFormatting>
  <conditionalFormatting sqref="J2:J926">
    <cfRule type="cellIs" dxfId="6" priority="8" operator="between">
      <formula>50</formula>
      <formula>74</formula>
    </cfRule>
  </conditionalFormatting>
  <conditionalFormatting sqref="J2:J926">
    <cfRule type="cellIs" dxfId="7" priority="9" operator="between">
      <formula>1</formula>
      <formula>49</formula>
    </cfRule>
  </conditionalFormatting>
  <conditionalFormatting sqref="B3:B926">
    <cfRule type="expression" dxfId="14" priority="10">
      <formula>AND(MATCH(A3,INDIRECT("'Cross Play'!D2:D"),0),MATCH(A3,INDIRECT("'Cross Play'!A2:A"),0))</formula>
    </cfRule>
  </conditionalFormatting>
  <conditionalFormatting sqref="B3:B926">
    <cfRule type="expression" dxfId="15" priority="11">
      <formula>MATCH(A3,INDIRECT("'Cross Play'!A2:A"),0)</formula>
    </cfRule>
  </conditionalFormatting>
  <conditionalFormatting sqref="B3:B926">
    <cfRule type="expression" dxfId="16" priority="12">
      <formula>MATCH(A3,INDIRECT("'Cross Play'!D2:D"),0)</formula>
    </cfRule>
  </conditionalFormatting>
  <conditionalFormatting sqref="B1:B926">
    <cfRule type="cellIs" dxfId="4" priority="13" operator="equal">
      <formula>"Xbox"</formula>
    </cfRule>
  </conditionalFormatting>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C7C3"/>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2"/>
  <cols>
    <col customWidth="1" min="1" max="1" width="48.75"/>
    <col customWidth="1" min="2" max="2" width="9.38"/>
    <col customWidth="1" min="3" max="3" width="9.13"/>
    <col customWidth="1" min="4" max="4" width="11.38"/>
    <col customWidth="1" min="5" max="5" width="11.5"/>
    <col customWidth="1" min="6" max="6" width="12.88"/>
    <col customWidth="1" min="7" max="7" width="9.38"/>
    <col customWidth="1" min="8" max="10" width="11.5"/>
    <col customWidth="1" min="11" max="11" width="12.38"/>
    <col customWidth="1" min="12" max="12" width="44.13"/>
  </cols>
  <sheetData>
    <row r="1">
      <c r="A1" s="126" t="s">
        <v>398</v>
      </c>
      <c r="B1" s="6">
        <f>COUNTA(D2:D1364)</f>
        <v>1106</v>
      </c>
      <c r="C1" s="2"/>
      <c r="D1" s="2"/>
      <c r="E1" s="2"/>
      <c r="F1" s="2"/>
      <c r="G1" s="2"/>
      <c r="H1" s="2"/>
      <c r="I1" s="2"/>
      <c r="J1" s="2"/>
      <c r="K1" s="2"/>
      <c r="L1" s="2"/>
    </row>
    <row r="2">
      <c r="A2" s="1" t="s">
        <v>0</v>
      </c>
      <c r="B2" s="8" t="s">
        <v>2</v>
      </c>
      <c r="C2" s="9" t="s">
        <v>3</v>
      </c>
      <c r="D2" s="8" t="s">
        <v>4</v>
      </c>
      <c r="E2" s="8" t="s">
        <v>5</v>
      </c>
      <c r="F2" s="9" t="s">
        <v>6</v>
      </c>
      <c r="G2" s="11" t="s">
        <v>7</v>
      </c>
      <c r="H2" s="7" t="s">
        <v>8</v>
      </c>
      <c r="I2" s="7" t="s">
        <v>9</v>
      </c>
      <c r="J2" s="7" t="s">
        <v>10</v>
      </c>
      <c r="K2" s="7" t="s">
        <v>11</v>
      </c>
      <c r="L2" s="7" t="s">
        <v>12</v>
      </c>
    </row>
    <row r="3">
      <c r="A3" s="17" t="str">
        <f>IFERROR(__xludf.DUMMYFUNCTION("FILTER('Master List'!A2:L1364, REGEXMATCH('Master List'!D2:D1364, ""Removed""))"),"Little Rocket Lab")</f>
        <v>Little Rocket Lab</v>
      </c>
      <c r="B3" s="20" t="str">
        <f>IFERROR(__xludf.DUMMYFUNCTION("""COMPUTED_VALUE"""),"Xbox / PC")</f>
        <v>Xbox / PC</v>
      </c>
      <c r="C3" s="20" t="str">
        <f>IFERROR(__xludf.DUMMYFUNCTION("""COMPUTED_VALUE"""),"Yes")</f>
        <v>Yes</v>
      </c>
      <c r="D3" s="21" t="str">
        <f>IFERROR(__xludf.DUMMYFUNCTION("""COMPUTED_VALUE"""),"Removed")</f>
        <v>Removed</v>
      </c>
      <c r="E3" s="127">
        <f>IFERROR(__xludf.DUMMYFUNCTION("""COMPUTED_VALUE"""),45938.0)</f>
        <v>45938</v>
      </c>
      <c r="F3" s="24">
        <f>IFERROR(__xludf.DUMMYFUNCTION("""COMPUTED_VALUE"""),46295.0)</f>
        <v>46295</v>
      </c>
      <c r="G3" s="27">
        <f>IFERROR(__xludf.DUMMYFUNCTION("""COMPUTED_VALUE"""),11.733333333333333)</f>
        <v>11.73333333</v>
      </c>
      <c r="H3" s="128">
        <f>IFERROR(__xludf.DUMMYFUNCTION("""COMPUTED_VALUE"""),45937.0)</f>
        <v>45937</v>
      </c>
      <c r="I3" s="27">
        <f>IFERROR(__xludf.DUMMYFUNCTION("""COMPUTED_VALUE"""),0.002777777777777778)</f>
        <v>0.002777777778</v>
      </c>
      <c r="J3" s="29">
        <f>IFERROR(__xludf.DUMMYFUNCTION("""COMPUTED_VALUE"""),83.0)</f>
        <v>83</v>
      </c>
      <c r="K3" s="29">
        <f>IFERROR(__xludf.DUMMYFUNCTION("""COMPUTED_VALUE"""),42.0)</f>
        <v>42</v>
      </c>
      <c r="L3" s="31" t="str">
        <f>IFERROR(__xludf.DUMMYFUNCTION("""COMPUTED_VALUE"""),"Sandbox")</f>
        <v>Sandbox</v>
      </c>
    </row>
    <row r="4">
      <c r="A4" s="17" t="str">
        <f>IFERROR(__xludf.DUMMYFUNCTION("""COMPUTED_VALUE"""),"Sopa: Tale of the Stolen Potato")</f>
        <v>Sopa: Tale of the Stolen Potato</v>
      </c>
      <c r="B4" s="20" t="str">
        <f>IFERROR(__xludf.DUMMYFUNCTION("""COMPUTED_VALUE"""),"Xbox / PC")</f>
        <v>Xbox / PC</v>
      </c>
      <c r="C4" s="20" t="str">
        <f>IFERROR(__xludf.DUMMYFUNCTION("""COMPUTED_VALUE"""),"Yes")</f>
        <v>Yes</v>
      </c>
      <c r="D4" s="21" t="str">
        <f>IFERROR(__xludf.DUMMYFUNCTION("""COMPUTED_VALUE"""),"Removed")</f>
        <v>Removed</v>
      </c>
      <c r="E4" s="127">
        <f>IFERROR(__xludf.DUMMYFUNCTION("""COMPUTED_VALUE"""),45937.0)</f>
        <v>45937</v>
      </c>
      <c r="F4" s="24">
        <f>IFERROR(__xludf.DUMMYFUNCTION("""COMPUTED_VALUE"""),46295.0)</f>
        <v>46295</v>
      </c>
      <c r="G4" s="27">
        <f>IFERROR(__xludf.DUMMYFUNCTION("""COMPUTED_VALUE"""),11.766666666666666)</f>
        <v>11.76666667</v>
      </c>
      <c r="H4" s="128">
        <f>IFERROR(__xludf.DUMMYFUNCTION("""COMPUTED_VALUE"""),45937.0)</f>
        <v>45937</v>
      </c>
      <c r="I4" s="27">
        <f>IFERROR(__xludf.DUMMYFUNCTION("""COMPUTED_VALUE"""),0.0)</f>
        <v>0</v>
      </c>
      <c r="J4" s="29">
        <f>IFERROR(__xludf.DUMMYFUNCTION("""COMPUTED_VALUE"""),79.0)</f>
        <v>79</v>
      </c>
      <c r="K4" s="29">
        <f>IFERROR(__xludf.DUMMYFUNCTION("""COMPUTED_VALUE"""),3.0)</f>
        <v>3</v>
      </c>
      <c r="L4" s="31" t="str">
        <f>IFERROR(__xludf.DUMMYFUNCTION("""COMPUTED_VALUE"""),"Action-Adventure")</f>
        <v>Action-Adventure</v>
      </c>
    </row>
    <row r="5">
      <c r="A5" s="17" t="str">
        <f>IFERROR(__xludf.DUMMYFUNCTION("""COMPUTED_VALUE"""),"Lara Croft and the Guardian of Light")</f>
        <v>Lara Croft and the Guardian of Light</v>
      </c>
      <c r="B5" s="20" t="str">
        <f>IFERROR(__xludf.DUMMYFUNCTION("""COMPUTED_VALUE"""),"Xbox / PC")</f>
        <v>Xbox / PC</v>
      </c>
      <c r="C5" s="20" t="str">
        <f>IFERROR(__xludf.DUMMYFUNCTION("""COMPUTED_VALUE"""),"Yes")</f>
        <v>Yes</v>
      </c>
      <c r="D5" s="21" t="str">
        <f>IFERROR(__xludf.DUMMYFUNCTION("""COMPUTED_VALUE"""),"Removed")</f>
        <v>Removed</v>
      </c>
      <c r="E5" s="127">
        <f>IFERROR(__xludf.DUMMYFUNCTION("""COMPUTED_VALUE"""),45930.0)</f>
        <v>45930</v>
      </c>
      <c r="F5" s="24">
        <f>IFERROR(__xludf.DUMMYFUNCTION("""COMPUTED_VALUE"""),46295.0)</f>
        <v>46295</v>
      </c>
      <c r="G5" s="27">
        <f>IFERROR(__xludf.DUMMYFUNCTION("""COMPUTED_VALUE"""),12.0)</f>
        <v>12</v>
      </c>
      <c r="H5" s="128">
        <f>IFERROR(__xludf.DUMMYFUNCTION("""COMPUTED_VALUE"""),42062.0)</f>
        <v>42062</v>
      </c>
      <c r="I5" s="27">
        <f>IFERROR(__xludf.DUMMYFUNCTION("""COMPUTED_VALUE"""),10.591666666666667)</f>
        <v>10.59166667</v>
      </c>
      <c r="J5" s="29">
        <f>IFERROR(__xludf.DUMMYFUNCTION("""COMPUTED_VALUE"""),84.0)</f>
        <v>84</v>
      </c>
      <c r="K5" s="29">
        <f>IFERROR(__xludf.DUMMYFUNCTION("""COMPUTED_VALUE"""),7.0)</f>
        <v>7</v>
      </c>
      <c r="L5" s="31" t="str">
        <f>IFERROR(__xludf.DUMMYFUNCTION("""COMPUTED_VALUE"""),"Action-Adventure")</f>
        <v>Action-Adventure</v>
      </c>
    </row>
    <row r="6">
      <c r="A6" s="17" t="str">
        <f>IFERROR(__xludf.DUMMYFUNCTION("""COMPUTED_VALUE"""),"SWORN")</f>
        <v>SWORN</v>
      </c>
      <c r="B6" s="20" t="str">
        <f>IFERROR(__xludf.DUMMYFUNCTION("""COMPUTED_VALUE"""),"Xbox / PC")</f>
        <v>Xbox / PC</v>
      </c>
      <c r="C6" s="20" t="str">
        <f>IFERROR(__xludf.DUMMYFUNCTION("""COMPUTED_VALUE"""),"Yes")</f>
        <v>Yes</v>
      </c>
      <c r="D6" s="21" t="str">
        <f>IFERROR(__xludf.DUMMYFUNCTION("""COMPUTED_VALUE"""),"Removed")</f>
        <v>Removed</v>
      </c>
      <c r="E6" s="127">
        <f>IFERROR(__xludf.DUMMYFUNCTION("""COMPUTED_VALUE"""),45923.0)</f>
        <v>45923</v>
      </c>
      <c r="F6" s="24">
        <f>IFERROR(__xludf.DUMMYFUNCTION("""COMPUTED_VALUE"""),46295.0)</f>
        <v>46295</v>
      </c>
      <c r="G6" s="27">
        <f>IFERROR(__xludf.DUMMYFUNCTION("""COMPUTED_VALUE"""),12.233333333333333)</f>
        <v>12.23333333</v>
      </c>
      <c r="H6" s="128">
        <f>IFERROR(__xludf.DUMMYFUNCTION("""COMPUTED_VALUE"""),45923.0)</f>
        <v>45923</v>
      </c>
      <c r="I6" s="27">
        <f>IFERROR(__xludf.DUMMYFUNCTION("""COMPUTED_VALUE"""),0.0)</f>
        <v>0</v>
      </c>
      <c r="J6" s="29">
        <f>IFERROR(__xludf.DUMMYFUNCTION("""COMPUTED_VALUE"""),77.66666666666667)</f>
        <v>77.66666667</v>
      </c>
      <c r="K6" s="29">
        <f>IFERROR(__xludf.DUMMYFUNCTION("""COMPUTED_VALUE"""),10.0)</f>
        <v>10</v>
      </c>
      <c r="L6" s="31" t="str">
        <f>IFERROR(__xludf.DUMMYFUNCTION("""COMPUTED_VALUE"""),"RPG")</f>
        <v>RPG</v>
      </c>
    </row>
    <row r="7">
      <c r="A7" s="17" t="str">
        <f>IFERROR(__xludf.DUMMYFUNCTION("""COMPUTED_VALUE"""),"Little Nightmares II")</f>
        <v>Little Nightmares II</v>
      </c>
      <c r="B7" s="20" t="str">
        <f>IFERROR(__xludf.DUMMYFUNCTION("""COMPUTED_VALUE"""),"Xbox / PC")</f>
        <v>Xbox / PC</v>
      </c>
      <c r="C7" s="20" t="str">
        <f>IFERROR(__xludf.DUMMYFUNCTION("""COMPUTED_VALUE"""),"Yes")</f>
        <v>Yes</v>
      </c>
      <c r="D7" s="21" t="str">
        <f>IFERROR(__xludf.DUMMYFUNCTION("""COMPUTED_VALUE"""),"Removed")</f>
        <v>Removed</v>
      </c>
      <c r="E7" s="127">
        <f>IFERROR(__xludf.DUMMYFUNCTION("""COMPUTED_VALUE"""),45839.0)</f>
        <v>45839</v>
      </c>
      <c r="F7" s="24">
        <f>IFERROR(__xludf.DUMMYFUNCTION("""COMPUTED_VALUE"""),46295.0)</f>
        <v>46295</v>
      </c>
      <c r="G7" s="27">
        <f>IFERROR(__xludf.DUMMYFUNCTION("""COMPUTED_VALUE"""),14.966666666666667)</f>
        <v>14.96666667</v>
      </c>
      <c r="H7" s="128">
        <f>IFERROR(__xludf.DUMMYFUNCTION("""COMPUTED_VALUE"""),44238.0)</f>
        <v>44238</v>
      </c>
      <c r="I7" s="27">
        <f>IFERROR(__xludf.DUMMYFUNCTION("""COMPUTED_VALUE"""),4.388888888888889)</f>
        <v>4.388888889</v>
      </c>
      <c r="J7" s="29">
        <f>IFERROR(__xludf.DUMMYFUNCTION("""COMPUTED_VALUE"""),82.0)</f>
        <v>82</v>
      </c>
      <c r="K7" s="29">
        <f>IFERROR(__xludf.DUMMYFUNCTION("""COMPUTED_VALUE"""),6.0)</f>
        <v>6</v>
      </c>
      <c r="L7" s="275" t="str">
        <f>IFERROR(__xludf.DUMMYFUNCTION("""COMPUTED_VALUE"""),"Action-Adventure")</f>
        <v>Action-Adventure</v>
      </c>
    </row>
    <row r="8">
      <c r="A8" s="17" t="str">
        <f>IFERROR(__xludf.DUMMYFUNCTION("""COMPUTED_VALUE"""),"Atomfall")</f>
        <v>Atomfall</v>
      </c>
      <c r="B8" s="20" t="str">
        <f>IFERROR(__xludf.DUMMYFUNCTION("""COMPUTED_VALUE"""),"Xbox / PC")</f>
        <v>Xbox / PC</v>
      </c>
      <c r="C8" s="20" t="str">
        <f>IFERROR(__xludf.DUMMYFUNCTION("""COMPUTED_VALUE"""),"Yes")</f>
        <v>Yes</v>
      </c>
      <c r="D8" s="21" t="str">
        <f>IFERROR(__xludf.DUMMYFUNCTION("""COMPUTED_VALUE"""),"Removed")</f>
        <v>Removed</v>
      </c>
      <c r="E8" s="127">
        <f>IFERROR(__xludf.DUMMYFUNCTION("""COMPUTED_VALUE"""),45743.0)</f>
        <v>45743</v>
      </c>
      <c r="F8" s="24">
        <f>IFERROR(__xludf.DUMMYFUNCTION("""COMPUTED_VALUE"""),46295.0)</f>
        <v>46295</v>
      </c>
      <c r="G8" s="27">
        <f>IFERROR(__xludf.DUMMYFUNCTION("""COMPUTED_VALUE"""),18.1)</f>
        <v>18.1</v>
      </c>
      <c r="H8" s="128">
        <f>IFERROR(__xludf.DUMMYFUNCTION("""COMPUTED_VALUE"""),45743.0)</f>
        <v>45743</v>
      </c>
      <c r="I8" s="27">
        <f>IFERROR(__xludf.DUMMYFUNCTION("""COMPUTED_VALUE"""),0.0)</f>
        <v>0</v>
      </c>
      <c r="J8" s="29">
        <f>IFERROR(__xludf.DUMMYFUNCTION("""COMPUTED_VALUE"""),75.0)</f>
        <v>75</v>
      </c>
      <c r="K8" s="29">
        <f>IFERROR(__xludf.DUMMYFUNCTION("""COMPUTED_VALUE"""),9.0)</f>
        <v>9</v>
      </c>
      <c r="L8" s="31" t="str">
        <f>IFERROR(__xludf.DUMMYFUNCTION("""COMPUTED_VALUE"""),"Action-Adventure")</f>
        <v>Action-Adventure</v>
      </c>
    </row>
    <row r="9">
      <c r="A9" s="17" t="str">
        <f>IFERROR(__xludf.DUMMYFUNCTION("""COMPUTED_VALUE"""),"SIFU")</f>
        <v>SIFU</v>
      </c>
      <c r="B9" s="20" t="str">
        <f>IFERROR(__xludf.DUMMYFUNCTION("""COMPUTED_VALUE"""),"Xbox / PC")</f>
        <v>Xbox / PC</v>
      </c>
      <c r="C9" s="20" t="str">
        <f>IFERROR(__xludf.DUMMYFUNCTION("""COMPUTED_VALUE"""),"Yes")</f>
        <v>Yes</v>
      </c>
      <c r="D9" s="21" t="str">
        <f>IFERROR(__xludf.DUMMYFUNCTION("""COMPUTED_VALUE"""),"Removed")</f>
        <v>Removed</v>
      </c>
      <c r="E9" s="127">
        <f>IFERROR(__xludf.DUMMYFUNCTION("""COMPUTED_VALUE"""),45567.0)</f>
        <v>45567</v>
      </c>
      <c r="F9" s="24">
        <f>IFERROR(__xludf.DUMMYFUNCTION("""COMPUTED_VALUE"""),46295.0)</f>
        <v>46295</v>
      </c>
      <c r="G9" s="27">
        <f>IFERROR(__xludf.DUMMYFUNCTION("""COMPUTED_VALUE"""),23.933333333333334)</f>
        <v>23.93333333</v>
      </c>
      <c r="H9" s="128">
        <f>IFERROR(__xludf.DUMMYFUNCTION("""COMPUTED_VALUE"""),44600.0)</f>
        <v>44600</v>
      </c>
      <c r="I9" s="27">
        <f>IFERROR(__xludf.DUMMYFUNCTION("""COMPUTED_VALUE"""),2.65)</f>
        <v>2.65</v>
      </c>
      <c r="J9" s="29">
        <f>IFERROR(__xludf.DUMMYFUNCTION("""COMPUTED_VALUE"""),81.0)</f>
        <v>81</v>
      </c>
      <c r="K9" s="29">
        <f>IFERROR(__xludf.DUMMYFUNCTION("""COMPUTED_VALUE"""),9.0)</f>
        <v>9</v>
      </c>
      <c r="L9" s="31" t="str">
        <f>IFERROR(__xludf.DUMMYFUNCTION("""COMPUTED_VALUE"""),"Beat-'Em-Up")</f>
        <v>Beat-'Em-Up</v>
      </c>
    </row>
    <row r="10">
      <c r="A10" s="17" t="str">
        <f>IFERROR(__xludf.DUMMYFUNCTION("""COMPUTED_VALUE"""),"Cyberpunk 2077")</f>
        <v>Cyberpunk 2077</v>
      </c>
      <c r="B10" s="20" t="str">
        <f>IFERROR(__xludf.DUMMYFUNCTION("""COMPUTED_VALUE"""),"Xbox")</f>
        <v>Xbox</v>
      </c>
      <c r="C10" s="20" t="str">
        <f>IFERROR(__xludf.DUMMYFUNCTION("""COMPUTED_VALUE"""),"Yes")</f>
        <v>Yes</v>
      </c>
      <c r="D10" s="21" t="str">
        <f>IFERROR(__xludf.DUMMYFUNCTION("""COMPUTED_VALUE"""),"Removed")</f>
        <v>Removed</v>
      </c>
      <c r="E10" s="127">
        <f>IFERROR(__xludf.DUMMYFUNCTION("""COMPUTED_VALUE"""),46091.0)</f>
        <v>46091</v>
      </c>
      <c r="F10" s="24">
        <f>IFERROR(__xludf.DUMMYFUNCTION("""COMPUTED_VALUE"""),46280.0)</f>
        <v>46280</v>
      </c>
      <c r="G10" s="27">
        <f>IFERROR(__xludf.DUMMYFUNCTION("""COMPUTED_VALUE"""),6.166666666666666)</f>
        <v>6.166666667</v>
      </c>
      <c r="H10" s="128">
        <f>IFERROR(__xludf.DUMMYFUNCTION("""COMPUTED_VALUE"""),44175.0)</f>
        <v>44175</v>
      </c>
      <c r="I10" s="27">
        <f>IFERROR(__xludf.DUMMYFUNCTION("""COMPUTED_VALUE"""),5.25)</f>
        <v>5.25</v>
      </c>
      <c r="J10" s="29">
        <f>IFERROR(__xludf.DUMMYFUNCTION("""COMPUTED_VALUE"""),86.0)</f>
        <v>86</v>
      </c>
      <c r="K10" s="29">
        <f>IFERROR(__xludf.DUMMYFUNCTION("""COMPUTED_VALUE"""),18.0)</f>
        <v>18</v>
      </c>
      <c r="L10" s="31" t="str">
        <f>IFERROR(__xludf.DUMMYFUNCTION("""COMPUTED_VALUE"""),"RPG")</f>
        <v>RPG</v>
      </c>
    </row>
    <row r="11">
      <c r="A11" s="17" t="str">
        <f>IFERROR(__xludf.DUMMYFUNCTION("""COMPUTED_VALUE"""),"Deep Rock Galactic: Survivor")</f>
        <v>Deep Rock Galactic: Survivor</v>
      </c>
      <c r="B11" s="20" t="str">
        <f>IFERROR(__xludf.DUMMYFUNCTION("""COMPUTED_VALUE"""),"Xbox / PC")</f>
        <v>Xbox / PC</v>
      </c>
      <c r="C11" s="20" t="str">
        <f>IFERROR(__xludf.DUMMYFUNCTION("""COMPUTED_VALUE"""),"Yes")</f>
        <v>Yes</v>
      </c>
      <c r="D11" s="21" t="str">
        <f>IFERROR(__xludf.DUMMYFUNCTION("""COMPUTED_VALUE"""),"Removed")</f>
        <v>Removed</v>
      </c>
      <c r="E11" s="127">
        <f>IFERROR(__xludf.DUMMYFUNCTION("""COMPUTED_VALUE"""),45917.0)</f>
        <v>45917</v>
      </c>
      <c r="F11" s="24">
        <f>IFERROR(__xludf.DUMMYFUNCTION("""COMPUTED_VALUE"""),46280.0)</f>
        <v>46280</v>
      </c>
      <c r="G11" s="27">
        <f>IFERROR(__xludf.DUMMYFUNCTION("""COMPUTED_VALUE"""),11.933333333333334)</f>
        <v>11.93333333</v>
      </c>
      <c r="H11" s="128">
        <f>IFERROR(__xludf.DUMMYFUNCTION("""COMPUTED_VALUE"""),45917.0)</f>
        <v>45917</v>
      </c>
      <c r="I11" s="27">
        <f>IFERROR(__xludf.DUMMYFUNCTION("""COMPUTED_VALUE"""),0.0)</f>
        <v>0</v>
      </c>
      <c r="J11" s="29">
        <f>IFERROR(__xludf.DUMMYFUNCTION("""COMPUTED_VALUE"""),86.0)</f>
        <v>86</v>
      </c>
      <c r="K11" s="29">
        <f>IFERROR(__xludf.DUMMYFUNCTION("""COMPUTED_VALUE"""),15.0)</f>
        <v>15</v>
      </c>
      <c r="L11" s="31" t="str">
        <f>IFERROR(__xludf.DUMMYFUNCTION("""COMPUTED_VALUE"""),"Shooter")</f>
        <v>Shooter</v>
      </c>
    </row>
    <row r="12">
      <c r="A12" s="17" t="str">
        <f>IFERROR(__xludf.DUMMYFUNCTION("""COMPUTED_VALUE"""),"Commandos: Origins")</f>
        <v>Commandos: Origins</v>
      </c>
      <c r="B12" s="20" t="str">
        <f>IFERROR(__xludf.DUMMYFUNCTION("""COMPUTED_VALUE"""),"Xbox / PC")</f>
        <v>Xbox / PC</v>
      </c>
      <c r="C12" s="20" t="str">
        <f>IFERROR(__xludf.DUMMYFUNCTION("""COMPUTED_VALUE"""),"Yes")</f>
        <v>Yes</v>
      </c>
      <c r="D12" s="21" t="str">
        <f>IFERROR(__xludf.DUMMYFUNCTION("""COMPUTED_VALUE"""),"Removed")</f>
        <v>Removed</v>
      </c>
      <c r="E12" s="127">
        <f>IFERROR(__xludf.DUMMYFUNCTION("""COMPUTED_VALUE"""),45756.0)</f>
        <v>45756</v>
      </c>
      <c r="F12" s="24">
        <f>IFERROR(__xludf.DUMMYFUNCTION("""COMPUTED_VALUE"""),46280.0)</f>
        <v>46280</v>
      </c>
      <c r="G12" s="27">
        <f>IFERROR(__xludf.DUMMYFUNCTION("""COMPUTED_VALUE"""),17.2)</f>
        <v>17.2</v>
      </c>
      <c r="H12" s="128">
        <f>IFERROR(__xludf.DUMMYFUNCTION("""COMPUTED_VALUE"""),45756.0)</f>
        <v>45756</v>
      </c>
      <c r="I12" s="27">
        <f>IFERROR(__xludf.DUMMYFUNCTION("""COMPUTED_VALUE"""),0.0)</f>
        <v>0</v>
      </c>
      <c r="J12" s="29">
        <f>IFERROR(__xludf.DUMMYFUNCTION("""COMPUTED_VALUE"""),76.0)</f>
        <v>76</v>
      </c>
      <c r="K12" s="29">
        <f>IFERROR(__xludf.DUMMYFUNCTION("""COMPUTED_VALUE"""),31.0)</f>
        <v>31</v>
      </c>
      <c r="L12" s="31" t="str">
        <f>IFERROR(__xludf.DUMMYFUNCTION("""COMPUTED_VALUE"""),"Strategy")</f>
        <v>Strategy</v>
      </c>
    </row>
    <row r="13">
      <c r="A13" s="17" t="str">
        <f>IFERROR(__xludf.DUMMYFUNCTION("""COMPUTED_VALUE"""),"Mullet Madjack")</f>
        <v>Mullet Madjack</v>
      </c>
      <c r="B13" s="20" t="str">
        <f>IFERROR(__xludf.DUMMYFUNCTION("""COMPUTED_VALUE"""),"Xbox / PC")</f>
        <v>Xbox / PC</v>
      </c>
      <c r="C13" s="20" t="str">
        <f>IFERROR(__xludf.DUMMYFUNCTION("""COMPUTED_VALUE"""),"Yes")</f>
        <v>Yes</v>
      </c>
      <c r="D13" s="21" t="str">
        <f>IFERROR(__xludf.DUMMYFUNCTION("""COMPUTED_VALUE"""),"Removed")</f>
        <v>Removed</v>
      </c>
      <c r="E13" s="127">
        <f>IFERROR(__xludf.DUMMYFUNCTION("""COMPUTED_VALUE"""),45729.0)</f>
        <v>45729</v>
      </c>
      <c r="F13" s="24">
        <f>IFERROR(__xludf.DUMMYFUNCTION("""COMPUTED_VALUE"""),46280.0)</f>
        <v>46280</v>
      </c>
      <c r="G13" s="27">
        <f>IFERROR(__xludf.DUMMYFUNCTION("""COMPUTED_VALUE"""),18.066666666666666)</f>
        <v>18.06666667</v>
      </c>
      <c r="H13" s="128">
        <f>IFERROR(__xludf.DUMMYFUNCTION("""COMPUTED_VALUE"""),45427.0)</f>
        <v>45427</v>
      </c>
      <c r="I13" s="27">
        <f>IFERROR(__xludf.DUMMYFUNCTION("""COMPUTED_VALUE"""),0.8277777777777777)</f>
        <v>0.8277777778</v>
      </c>
      <c r="J13" s="29">
        <f>IFERROR(__xludf.DUMMYFUNCTION("""COMPUTED_VALUE"""),88.0)</f>
        <v>88</v>
      </c>
      <c r="K13" s="29">
        <f>IFERROR(__xludf.DUMMYFUNCTION("""COMPUTED_VALUE"""),4.0)</f>
        <v>4</v>
      </c>
      <c r="L13" s="31" t="str">
        <f>IFERROR(__xludf.DUMMYFUNCTION("""COMPUTED_VALUE"""),"Shooter")</f>
        <v>Shooter</v>
      </c>
    </row>
    <row r="14">
      <c r="A14" s="17" t="str">
        <f>IFERROR(__xludf.DUMMYFUNCTION("""COMPUTED_VALUE"""),"Frostpunk 2")</f>
        <v>Frostpunk 2</v>
      </c>
      <c r="B14" s="20" t="str">
        <f>IFERROR(__xludf.DUMMYFUNCTION("""COMPUTED_VALUE"""),"Xbox / PC")</f>
        <v>Xbox / PC</v>
      </c>
      <c r="C14" s="20" t="str">
        <f>IFERROR(__xludf.DUMMYFUNCTION("""COMPUTED_VALUE"""),"Yes")</f>
        <v>Yes</v>
      </c>
      <c r="D14" s="21" t="str">
        <f>IFERROR(__xludf.DUMMYFUNCTION("""COMPUTED_VALUE"""),"Removed")</f>
        <v>Removed</v>
      </c>
      <c r="E14" s="127">
        <f>IFERROR(__xludf.DUMMYFUNCTION("""COMPUTED_VALUE"""),45555.0)</f>
        <v>45555</v>
      </c>
      <c r="F14" s="24">
        <f>IFERROR(__xludf.DUMMYFUNCTION("""COMPUTED_VALUE"""),46280.0)</f>
        <v>46280</v>
      </c>
      <c r="G14" s="27">
        <f>IFERROR(__xludf.DUMMYFUNCTION("""COMPUTED_VALUE"""),23.833333333333336)</f>
        <v>23.83333333</v>
      </c>
      <c r="H14" s="128">
        <f>IFERROR(__xludf.DUMMYFUNCTION("""COMPUTED_VALUE"""),45555.0)</f>
        <v>45555</v>
      </c>
      <c r="I14" s="27">
        <f>IFERROR(__xludf.DUMMYFUNCTION("""COMPUTED_VALUE"""),0.0)</f>
        <v>0</v>
      </c>
      <c r="J14" s="29">
        <f>IFERROR(__xludf.DUMMYFUNCTION("""COMPUTED_VALUE"""),86.0)</f>
        <v>86</v>
      </c>
      <c r="K14" s="29">
        <f>IFERROR(__xludf.DUMMYFUNCTION("""COMPUTED_VALUE"""),11.0)</f>
        <v>11</v>
      </c>
      <c r="L14" s="31" t="str">
        <f>IFERROR(__xludf.DUMMYFUNCTION("""COMPUTED_VALUE"""),"Simulation")</f>
        <v>Simulation</v>
      </c>
    </row>
    <row r="15">
      <c r="A15" s="17" t="str">
        <f>IFERROR(__xludf.DUMMYFUNCTION("""COMPUTED_VALUE"""),"Train Sim World 5")</f>
        <v>Train Sim World 5</v>
      </c>
      <c r="B15" s="20" t="str">
        <f>IFERROR(__xludf.DUMMYFUNCTION("""COMPUTED_VALUE"""),"Xbox / PC")</f>
        <v>Xbox / PC</v>
      </c>
      <c r="C15" s="20" t="str">
        <f>IFERROR(__xludf.DUMMYFUNCTION("""COMPUTED_VALUE"""),"Yes")</f>
        <v>Yes</v>
      </c>
      <c r="D15" s="21" t="str">
        <f>IFERROR(__xludf.DUMMYFUNCTION("""COMPUTED_VALUE"""),"Removed")</f>
        <v>Removed</v>
      </c>
      <c r="E15" s="127">
        <f>IFERROR(__xludf.DUMMYFUNCTION("""COMPUTED_VALUE"""),45552.0)</f>
        <v>45552</v>
      </c>
      <c r="F15" s="24">
        <f>IFERROR(__xludf.DUMMYFUNCTION("""COMPUTED_VALUE"""),46280.0)</f>
        <v>46280</v>
      </c>
      <c r="G15" s="27">
        <f>IFERROR(__xludf.DUMMYFUNCTION("""COMPUTED_VALUE"""),23.933333333333334)</f>
        <v>23.93333333</v>
      </c>
      <c r="H15" s="128">
        <f>IFERROR(__xludf.DUMMYFUNCTION("""COMPUTED_VALUE"""),45195.0)</f>
        <v>45195</v>
      </c>
      <c r="I15" s="27">
        <f>IFERROR(__xludf.DUMMYFUNCTION("""COMPUTED_VALUE"""),0.975)</f>
        <v>0.975</v>
      </c>
      <c r="J15" s="29">
        <f>IFERROR(__xludf.DUMMYFUNCTION("""COMPUTED_VALUE"""),77.0)</f>
        <v>77</v>
      </c>
      <c r="K15" s="29">
        <f>IFERROR(__xludf.DUMMYFUNCTION("""COMPUTED_VALUE"""),16.0)</f>
        <v>16</v>
      </c>
      <c r="L15" s="31" t="str">
        <f>IFERROR(__xludf.DUMMYFUNCTION("""COMPUTED_VALUE"""),"Simulation")</f>
        <v>Simulation</v>
      </c>
    </row>
    <row r="16">
      <c r="A16" s="17" t="str">
        <f>IFERROR(__xludf.DUMMYFUNCTION("""COMPUTED_VALUE"""),"Cricket 24")</f>
        <v>Cricket 24</v>
      </c>
      <c r="B16" s="20" t="str">
        <f>IFERROR(__xludf.DUMMYFUNCTION("""COMPUTED_VALUE"""),"Xbox / PC")</f>
        <v>Xbox / PC</v>
      </c>
      <c r="C16" s="20" t="str">
        <f>IFERROR(__xludf.DUMMYFUNCTION("""COMPUTED_VALUE"""),"Yes")</f>
        <v>Yes</v>
      </c>
      <c r="D16" s="21" t="str">
        <f>IFERROR(__xludf.DUMMYFUNCTION("""COMPUTED_VALUE"""),"Removed")</f>
        <v>Removed</v>
      </c>
      <c r="E16" s="127">
        <f>IFERROR(__xludf.DUMMYFUNCTION("""COMPUTED_VALUE"""),45482.0)</f>
        <v>45482</v>
      </c>
      <c r="F16" s="24">
        <f>IFERROR(__xludf.DUMMYFUNCTION("""COMPUTED_VALUE"""),46280.0)</f>
        <v>46280</v>
      </c>
      <c r="G16" s="27">
        <f>IFERROR(__xludf.DUMMYFUNCTION("""COMPUTED_VALUE"""),26.199999999999996)</f>
        <v>26.2</v>
      </c>
      <c r="H16" s="128">
        <f>IFERROR(__xludf.DUMMYFUNCTION("""COMPUTED_VALUE"""),45204.0)</f>
        <v>45204</v>
      </c>
      <c r="I16" s="27">
        <f>IFERROR(__xludf.DUMMYFUNCTION("""COMPUTED_VALUE"""),0.7611111111111111)</f>
        <v>0.7611111111</v>
      </c>
      <c r="J16" s="29">
        <f>IFERROR(__xludf.DUMMYFUNCTION("""COMPUTED_VALUE"""),57.0)</f>
        <v>57</v>
      </c>
      <c r="K16" s="29">
        <f>IFERROR(__xludf.DUMMYFUNCTION("""COMPUTED_VALUE"""),15.0)</f>
        <v>15</v>
      </c>
      <c r="L16" s="31" t="str">
        <f>IFERROR(__xludf.DUMMYFUNCTION("""COMPUTED_VALUE"""),"Sports")</f>
        <v>Sports</v>
      </c>
    </row>
    <row r="17">
      <c r="A17" s="17" t="str">
        <f>IFERROR(__xludf.DUMMYFUNCTION("""COMPUTED_VALUE"""),"Spiritfarer")</f>
        <v>Spiritfarer</v>
      </c>
      <c r="B17" s="20" t="str">
        <f>IFERROR(__xludf.DUMMYFUNCTION("""COMPUTED_VALUE"""),"Xbox / PC")</f>
        <v>Xbox / PC</v>
      </c>
      <c r="C17" s="20" t="str">
        <f>IFERROR(__xludf.DUMMYFUNCTION("""COMPUTED_VALUE"""),"Touch Controls")</f>
        <v>Touch Controls</v>
      </c>
      <c r="D17" s="21" t="str">
        <f>IFERROR(__xludf.DUMMYFUNCTION("""COMPUTED_VALUE"""),"Removed")</f>
        <v>Removed</v>
      </c>
      <c r="E17" s="127">
        <f>IFERROR(__xludf.DUMMYFUNCTION("""COMPUTED_VALUE"""),45182.0)</f>
        <v>45182</v>
      </c>
      <c r="F17" s="24">
        <f>IFERROR(__xludf.DUMMYFUNCTION("""COMPUTED_VALUE"""),46280.0)</f>
        <v>46280</v>
      </c>
      <c r="G17" s="27">
        <f>IFERROR(__xludf.DUMMYFUNCTION("""COMPUTED_VALUE"""),36.06666666666666)</f>
        <v>36.06666667</v>
      </c>
      <c r="H17" s="128">
        <f>IFERROR(__xludf.DUMMYFUNCTION("""COMPUTED_VALUE"""),44061.0)</f>
        <v>44061</v>
      </c>
      <c r="I17" s="27">
        <f>IFERROR(__xludf.DUMMYFUNCTION("""COMPUTED_VALUE"""),3.0694444444444446)</f>
        <v>3.069444444</v>
      </c>
      <c r="J17" s="29">
        <f>IFERROR(__xludf.DUMMYFUNCTION("""COMPUTED_VALUE"""),86.0)</f>
        <v>86</v>
      </c>
      <c r="K17" s="29">
        <f>IFERROR(__xludf.DUMMYFUNCTION("""COMPUTED_VALUE"""),21.0)</f>
        <v>21</v>
      </c>
      <c r="L17" s="31" t="str">
        <f>IFERROR(__xludf.DUMMYFUNCTION("""COMPUTED_VALUE"""),"Adventure")</f>
        <v>Adventure</v>
      </c>
    </row>
    <row r="18">
      <c r="A18" s="17" t="str">
        <f>IFERROR(__xludf.DUMMYFUNCTION("""COMPUTED_VALUE"""),"Superliminal")</f>
        <v>Superliminal</v>
      </c>
      <c r="B18" s="20" t="str">
        <f>IFERROR(__xludf.DUMMYFUNCTION("""COMPUTED_VALUE"""),"Xbox / PC")</f>
        <v>Xbox / PC</v>
      </c>
      <c r="C18" s="20" t="str">
        <f>IFERROR(__xludf.DUMMYFUNCTION("""COMPUTED_VALUE"""),"Touch Controls")</f>
        <v>Touch Controls</v>
      </c>
      <c r="D18" s="21" t="str">
        <f>IFERROR(__xludf.DUMMYFUNCTION("""COMPUTED_VALUE"""),"Removed")</f>
        <v>Removed</v>
      </c>
      <c r="E18" s="127">
        <f>IFERROR(__xludf.DUMMYFUNCTION("""COMPUTED_VALUE"""),44455.0)</f>
        <v>44455</v>
      </c>
      <c r="F18" s="24">
        <f>IFERROR(__xludf.DUMMYFUNCTION("""COMPUTED_VALUE"""),46280.0)</f>
        <v>46280</v>
      </c>
      <c r="G18" s="27">
        <f>IFERROR(__xludf.DUMMYFUNCTION("""COMPUTED_VALUE"""),59.96666666666666)</f>
        <v>59.96666667</v>
      </c>
      <c r="H18" s="128">
        <f>IFERROR(__xludf.DUMMYFUNCTION("""COMPUTED_VALUE"""),43781.0)</f>
        <v>43781</v>
      </c>
      <c r="I18" s="27">
        <f>IFERROR(__xludf.DUMMYFUNCTION("""COMPUTED_VALUE"""),1.8444444444444446)</f>
        <v>1.844444444</v>
      </c>
      <c r="J18" s="29">
        <f>IFERROR(__xludf.DUMMYFUNCTION("""COMPUTED_VALUE"""),77.0)</f>
        <v>77</v>
      </c>
      <c r="K18" s="29">
        <f>IFERROR(__xludf.DUMMYFUNCTION("""COMPUTED_VALUE"""),2.5)</f>
        <v>2.5</v>
      </c>
      <c r="L18" s="31" t="str">
        <f>IFERROR(__xludf.DUMMYFUNCTION("""COMPUTED_VALUE"""),"Puzzle")</f>
        <v>Puzzle</v>
      </c>
    </row>
    <row r="19">
      <c r="A19" s="17" t="str">
        <f>IFERROR(__xludf.DUMMYFUNCTION("""COMPUTED_VALUE"""),"Dead Cells")</f>
        <v>Dead Cells</v>
      </c>
      <c r="B19" s="20" t="str">
        <f>IFERROR(__xludf.DUMMYFUNCTION("""COMPUTED_VALUE"""),"Xbox / PC")</f>
        <v>Xbox / PC</v>
      </c>
      <c r="C19" s="20" t="str">
        <f>IFERROR(__xludf.DUMMYFUNCTION("""COMPUTED_VALUE"""),"Touch Controls")</f>
        <v>Touch Controls</v>
      </c>
      <c r="D19" s="21" t="str">
        <f>IFERROR(__xludf.DUMMYFUNCTION("""COMPUTED_VALUE"""),"Removed")</f>
        <v>Removed</v>
      </c>
      <c r="E19" s="127">
        <f>IFERROR(__xludf.DUMMYFUNCTION("""COMPUTED_VALUE"""),43713.0)</f>
        <v>43713</v>
      </c>
      <c r="F19" s="24">
        <f>IFERROR(__xludf.DUMMYFUNCTION("""COMPUTED_VALUE"""),46280.0)</f>
        <v>46280</v>
      </c>
      <c r="G19" s="27">
        <f>IFERROR(__xludf.DUMMYFUNCTION("""COMPUTED_VALUE"""),84.33333333333333)</f>
        <v>84.33333333</v>
      </c>
      <c r="H19" s="128">
        <f>IFERROR(__xludf.DUMMYFUNCTION("""COMPUTED_VALUE"""),42865.0)</f>
        <v>42865</v>
      </c>
      <c r="I19" s="27">
        <f>IFERROR(__xludf.DUMMYFUNCTION("""COMPUTED_VALUE"""),2.3194444444444446)</f>
        <v>2.319444444</v>
      </c>
      <c r="J19" s="29">
        <f>IFERROR(__xludf.DUMMYFUNCTION("""COMPUTED_VALUE"""),91.0)</f>
        <v>91</v>
      </c>
      <c r="K19" s="29">
        <f>IFERROR(__xludf.DUMMYFUNCTION("""COMPUTED_VALUE"""),13.0)</f>
        <v>13</v>
      </c>
      <c r="L19" s="31" t="str">
        <f>IFERROR(__xludf.DUMMYFUNCTION("""COMPUTED_VALUE"""),"Platformer")</f>
        <v>Platformer</v>
      </c>
    </row>
    <row r="20">
      <c r="A20" s="17" t="str">
        <f>IFERROR(__xludf.DUMMYFUNCTION("""COMPUTED_VALUE"""),"NBA 2K26")</f>
        <v>NBA 2K26</v>
      </c>
      <c r="B20" s="20" t="str">
        <f>IFERROR(__xludf.DUMMYFUNCTION("""COMPUTED_VALUE"""),"Xbox / PC")</f>
        <v>Xbox / PC</v>
      </c>
      <c r="C20" s="20" t="str">
        <f>IFERROR(__xludf.DUMMYFUNCTION("""COMPUTED_VALUE"""),"Yes")</f>
        <v>Yes</v>
      </c>
      <c r="D20" s="21" t="str">
        <f>IFERROR(__xludf.DUMMYFUNCTION("""COMPUTED_VALUE"""),"Removed")</f>
        <v>Removed</v>
      </c>
      <c r="E20" s="127">
        <f>IFERROR(__xludf.DUMMYFUNCTION("""COMPUTED_VALUE"""),46115.0)</f>
        <v>46115</v>
      </c>
      <c r="F20" s="24">
        <f>IFERROR(__xludf.DUMMYFUNCTION("""COMPUTED_VALUE"""),46271.0)</f>
        <v>46271</v>
      </c>
      <c r="G20" s="27">
        <f>IFERROR(__xludf.DUMMYFUNCTION("""COMPUTED_VALUE"""),5.1)</f>
        <v>5.1</v>
      </c>
      <c r="H20" s="128">
        <f>IFERROR(__xludf.DUMMYFUNCTION("""COMPUTED_VALUE"""),45905.0)</f>
        <v>45905</v>
      </c>
      <c r="I20" s="27">
        <f>IFERROR(__xludf.DUMMYFUNCTION("""COMPUTED_VALUE"""),0.5777777777777777)</f>
        <v>0.5777777778</v>
      </c>
      <c r="J20" s="29">
        <f>IFERROR(__xludf.DUMMYFUNCTION("""COMPUTED_VALUE"""),82.0)</f>
        <v>82</v>
      </c>
      <c r="K20" s="29">
        <f>IFERROR(__xludf.DUMMYFUNCTION("""COMPUTED_VALUE"""),41.0)</f>
        <v>41</v>
      </c>
      <c r="L20" s="31" t="str">
        <f>IFERROR(__xludf.DUMMYFUNCTION("""COMPUTED_VALUE"""),"Sports")</f>
        <v>Sports</v>
      </c>
    </row>
    <row r="21">
      <c r="A21" s="17" t="str">
        <f>IFERROR(__xludf.DUMMYFUNCTION("""COMPUTED_VALUE"""),"The Witcher 3: Wild Hunt - Complete Edition")</f>
        <v>The Witcher 3: Wild Hunt - Complete Edition</v>
      </c>
      <c r="B21" s="20" t="str">
        <f>IFERROR(__xludf.DUMMYFUNCTION("""COMPUTED_VALUE"""),"Xbox")</f>
        <v>Xbox</v>
      </c>
      <c r="C21" s="20" t="str">
        <f>IFERROR(__xludf.DUMMYFUNCTION("""COMPUTED_VALUE"""),"Yes")</f>
        <v>Yes</v>
      </c>
      <c r="D21" s="21" t="str">
        <f>IFERROR(__xludf.DUMMYFUNCTION("""COMPUTED_VALUE"""),"Removed")</f>
        <v>Removed</v>
      </c>
      <c r="E21" s="127">
        <f>IFERROR(__xludf.DUMMYFUNCTION("""COMPUTED_VALUE"""),46072.0)</f>
        <v>46072</v>
      </c>
      <c r="F21" s="24">
        <f>IFERROR(__xludf.DUMMYFUNCTION("""COMPUTED_VALUE"""),46265.0)</f>
        <v>46265</v>
      </c>
      <c r="G21" s="27">
        <f>IFERROR(__xludf.DUMMYFUNCTION("""COMPUTED_VALUE"""),6.366666666666667)</f>
        <v>6.366666667</v>
      </c>
      <c r="H21" s="128">
        <f>IFERROR(__xludf.DUMMYFUNCTION("""COMPUTED_VALUE"""),42612.0)</f>
        <v>42612</v>
      </c>
      <c r="I21" s="27">
        <f>IFERROR(__xludf.DUMMYFUNCTION("""COMPUTED_VALUE"""),9.469444444444445)</f>
        <v>9.469444444</v>
      </c>
      <c r="J21" s="29">
        <f>IFERROR(__xludf.DUMMYFUNCTION("""COMPUTED_VALUE"""),92.0)</f>
        <v>92</v>
      </c>
      <c r="K21" s="29">
        <f>IFERROR(__xludf.DUMMYFUNCTION("""COMPUTED_VALUE"""),51.0)</f>
        <v>51</v>
      </c>
      <c r="L21" s="31" t="str">
        <f>IFERROR(__xludf.DUMMYFUNCTION("""COMPUTED_VALUE"""),"Action-Adventure")</f>
        <v>Action-Adventure</v>
      </c>
    </row>
    <row r="22">
      <c r="A22" s="17" t="str">
        <f>IFERROR(__xludf.DUMMYFUNCTION("""COMPUTED_VALUE"""),"I Am Your Beast")</f>
        <v>I Am Your Beast</v>
      </c>
      <c r="B22" s="20" t="str">
        <f>IFERROR(__xludf.DUMMYFUNCTION("""COMPUTED_VALUE"""),"Xbox / PC")</f>
        <v>Xbox / PC</v>
      </c>
      <c r="C22" s="20" t="str">
        <f>IFERROR(__xludf.DUMMYFUNCTION("""COMPUTED_VALUE"""),"Yes")</f>
        <v>Yes</v>
      </c>
      <c r="D22" s="21" t="str">
        <f>IFERROR(__xludf.DUMMYFUNCTION("""COMPUTED_VALUE"""),"Removed")</f>
        <v>Removed</v>
      </c>
      <c r="E22" s="127">
        <f>IFERROR(__xludf.DUMMYFUNCTION("""COMPUTED_VALUE"""),45901.0)</f>
        <v>45901</v>
      </c>
      <c r="F22" s="24">
        <f>IFERROR(__xludf.DUMMYFUNCTION("""COMPUTED_VALUE"""),46265.0)</f>
        <v>46265</v>
      </c>
      <c r="G22" s="27">
        <f>IFERROR(__xludf.DUMMYFUNCTION("""COMPUTED_VALUE"""),11.966666666666667)</f>
        <v>11.96666667</v>
      </c>
      <c r="H22" s="128">
        <f>IFERROR(__xludf.DUMMYFUNCTION("""COMPUTED_VALUE"""),45545.0)</f>
        <v>45545</v>
      </c>
      <c r="I22" s="27">
        <f>IFERROR(__xludf.DUMMYFUNCTION("""COMPUTED_VALUE"""),0.975)</f>
        <v>0.975</v>
      </c>
      <c r="J22" s="29">
        <f>IFERROR(__xludf.DUMMYFUNCTION("""COMPUTED_VALUE"""),79.0)</f>
        <v>79</v>
      </c>
      <c r="K22" s="29">
        <f>IFERROR(__xludf.DUMMYFUNCTION("""COMPUTED_VALUE"""),3.0)</f>
        <v>3</v>
      </c>
      <c r="L22" s="31" t="str">
        <f>IFERROR(__xludf.DUMMYFUNCTION("""COMPUTED_VALUE"""),"Shooter")</f>
        <v>Shooter</v>
      </c>
    </row>
    <row r="23">
      <c r="A23" s="17" t="str">
        <f>IFERROR(__xludf.DUMMYFUNCTION("""COMPUTED_VALUE"""),"One Lonely Outpost")</f>
        <v>One Lonely Outpost</v>
      </c>
      <c r="B23" s="20" t="str">
        <f>IFERROR(__xludf.DUMMYFUNCTION("""COMPUTED_VALUE"""),"Xbox / PC")</f>
        <v>Xbox / PC</v>
      </c>
      <c r="C23" s="20" t="str">
        <f>IFERROR(__xludf.DUMMYFUNCTION("""COMPUTED_VALUE"""),"Yes")</f>
        <v>Yes</v>
      </c>
      <c r="D23" s="21" t="str">
        <f>IFERROR(__xludf.DUMMYFUNCTION("""COMPUTED_VALUE"""),"Removed")</f>
        <v>Removed</v>
      </c>
      <c r="E23" s="127">
        <f>IFERROR(__xludf.DUMMYFUNCTION("""COMPUTED_VALUE"""),45722.0)</f>
        <v>45722</v>
      </c>
      <c r="F23" s="24">
        <f>IFERROR(__xludf.DUMMYFUNCTION("""COMPUTED_VALUE"""),46265.0)</f>
        <v>46265</v>
      </c>
      <c r="G23" s="27">
        <f>IFERROR(__xludf.DUMMYFUNCTION("""COMPUTED_VALUE"""),17.8)</f>
        <v>17.8</v>
      </c>
      <c r="H23" s="128">
        <f>IFERROR(__xludf.DUMMYFUNCTION("""COMPUTED_VALUE"""),45103.0)</f>
        <v>45103</v>
      </c>
      <c r="I23" s="27">
        <f>IFERROR(__xludf.DUMMYFUNCTION("""COMPUTED_VALUE"""),1.6944444444444444)</f>
        <v>1.694444444</v>
      </c>
      <c r="J23" s="29">
        <f>IFERROR(__xludf.DUMMYFUNCTION("""COMPUTED_VALUE"""),60.0)</f>
        <v>60</v>
      </c>
      <c r="K23" s="29">
        <f>IFERROR(__xludf.DUMMYFUNCTION("""COMPUTED_VALUE"""),8.0)</f>
        <v>8</v>
      </c>
      <c r="L23" s="31" t="str">
        <f>IFERROR(__xludf.DUMMYFUNCTION("""COMPUTED_VALUE"""),"Virtual Life")</f>
        <v>Virtual Life</v>
      </c>
    </row>
    <row r="24">
      <c r="A24" s="17" t="str">
        <f>IFERROR(__xludf.DUMMYFUNCTION("""COMPUTED_VALUE"""),"Another Crab's Treasure")</f>
        <v>Another Crab's Treasure</v>
      </c>
      <c r="B24" s="20" t="str">
        <f>IFERROR(__xludf.DUMMYFUNCTION("""COMPUTED_VALUE"""),"Xbox / PC")</f>
        <v>Xbox / PC</v>
      </c>
      <c r="C24" s="20" t="str">
        <f>IFERROR(__xludf.DUMMYFUNCTION("""COMPUTED_VALUE"""),"Yes")</f>
        <v>Yes</v>
      </c>
      <c r="D24" s="21" t="str">
        <f>IFERROR(__xludf.DUMMYFUNCTION("""COMPUTED_VALUE"""),"Removed")</f>
        <v>Removed</v>
      </c>
      <c r="E24" s="127">
        <f>IFERROR(__xludf.DUMMYFUNCTION("""COMPUTED_VALUE"""),45407.0)</f>
        <v>45407</v>
      </c>
      <c r="F24" s="24">
        <f>IFERROR(__xludf.DUMMYFUNCTION("""COMPUTED_VALUE"""),46265.0)</f>
        <v>46265</v>
      </c>
      <c r="G24" s="27">
        <f>IFERROR(__xludf.DUMMYFUNCTION("""COMPUTED_VALUE"""),28.166666666666668)</f>
        <v>28.16666667</v>
      </c>
      <c r="H24" s="128">
        <f>IFERROR(__xludf.DUMMYFUNCTION("""COMPUTED_VALUE"""),45407.0)</f>
        <v>45407</v>
      </c>
      <c r="I24" s="27">
        <f>IFERROR(__xludf.DUMMYFUNCTION("""COMPUTED_VALUE"""),0.0)</f>
        <v>0</v>
      </c>
      <c r="J24" s="29">
        <f>IFERROR(__xludf.DUMMYFUNCTION("""COMPUTED_VALUE"""),79.0)</f>
        <v>79</v>
      </c>
      <c r="K24" s="29">
        <f>IFERROR(__xludf.DUMMYFUNCTION("""COMPUTED_VALUE"""),12.0)</f>
        <v>12</v>
      </c>
      <c r="L24" s="31" t="str">
        <f>IFERROR(__xludf.DUMMYFUNCTION("""COMPUTED_VALUE"""),"Action-Adventure")</f>
        <v>Action-Adventure</v>
      </c>
    </row>
    <row r="25">
      <c r="A25" s="17" t="str">
        <f>IFERROR(__xludf.DUMMYFUNCTION("""COMPUTED_VALUE"""),"Neon Abyss")</f>
        <v>Neon Abyss</v>
      </c>
      <c r="B25" s="20" t="str">
        <f>IFERROR(__xludf.DUMMYFUNCTION("""COMPUTED_VALUE"""),"Xbox / PC")</f>
        <v>Xbox / PC</v>
      </c>
      <c r="C25" s="20" t="str">
        <f>IFERROR(__xludf.DUMMYFUNCTION("""COMPUTED_VALUE"""),"Yes")</f>
        <v>Yes</v>
      </c>
      <c r="D25" s="21" t="str">
        <f>IFERROR(__xludf.DUMMYFUNCTION("""COMPUTED_VALUE"""),"Removed")</f>
        <v>Removed</v>
      </c>
      <c r="E25" s="127">
        <f>IFERROR(__xludf.DUMMYFUNCTION("""COMPUTED_VALUE"""),44026.0)</f>
        <v>44026</v>
      </c>
      <c r="F25" s="276">
        <f>IFERROR(__xludf.DUMMYFUNCTION("""COMPUTED_VALUE"""),46265.0)</f>
        <v>46265</v>
      </c>
      <c r="G25" s="27">
        <f>IFERROR(__xludf.DUMMYFUNCTION("""COMPUTED_VALUE"""),73.53333333333333)</f>
        <v>73.53333333</v>
      </c>
      <c r="H25" s="128">
        <f>IFERROR(__xludf.DUMMYFUNCTION("""COMPUTED_VALUE"""),44026.0)</f>
        <v>44026</v>
      </c>
      <c r="I25" s="27">
        <f>IFERROR(__xludf.DUMMYFUNCTION("""COMPUTED_VALUE"""),0.0)</f>
        <v>0</v>
      </c>
      <c r="J25" s="29">
        <f>IFERROR(__xludf.DUMMYFUNCTION("""COMPUTED_VALUE"""),77.0)</f>
        <v>77</v>
      </c>
      <c r="K25" s="29">
        <f>IFERROR(__xludf.DUMMYFUNCTION("""COMPUTED_VALUE"""),12.0)</f>
        <v>12</v>
      </c>
      <c r="L25" s="31" t="str">
        <f>IFERROR(__xludf.DUMMYFUNCTION("""COMPUTED_VALUE"""),"Platformer")</f>
        <v>Platformer</v>
      </c>
    </row>
    <row r="26">
      <c r="A26" s="17" t="str">
        <f>IFERROR(__xludf.DUMMYFUNCTION("""COMPUTED_VALUE"""),"Menace (2026) (Game Preview)")</f>
        <v>Menace (2026) (Game Preview)</v>
      </c>
      <c r="B26" s="20" t="str">
        <f>IFERROR(__xludf.DUMMYFUNCTION("""COMPUTED_VALUE"""),"PC")</f>
        <v>PC</v>
      </c>
      <c r="C26" s="20"/>
      <c r="D26" s="21" t="str">
        <f>IFERROR(__xludf.DUMMYFUNCTION("""COMPUTED_VALUE"""),"Removed")</f>
        <v>Removed</v>
      </c>
      <c r="E26" s="127">
        <f>IFERROR(__xludf.DUMMYFUNCTION("""COMPUTED_VALUE"""),46058.0)</f>
        <v>46058</v>
      </c>
      <c r="F26" s="276">
        <f>IFERROR(__xludf.DUMMYFUNCTION("""COMPUTED_VALUE"""),46249.0)</f>
        <v>46249</v>
      </c>
      <c r="G26" s="27">
        <f>IFERROR(__xludf.DUMMYFUNCTION("""COMPUTED_VALUE"""),6.333333333333334)</f>
        <v>6.333333333</v>
      </c>
      <c r="H26" s="128">
        <f>IFERROR(__xludf.DUMMYFUNCTION("""COMPUTED_VALUE"""),46058.0)</f>
        <v>46058</v>
      </c>
      <c r="I26" s="27">
        <f>IFERROR(__xludf.DUMMYFUNCTION("""COMPUTED_VALUE"""),0.0)</f>
        <v>0</v>
      </c>
      <c r="J26" s="29"/>
      <c r="K26" s="29">
        <f>IFERROR(__xludf.DUMMYFUNCTION("""COMPUTED_VALUE"""),20.0)</f>
        <v>20</v>
      </c>
      <c r="L26" s="31" t="str">
        <f>IFERROR(__xludf.DUMMYFUNCTION("""COMPUTED_VALUE"""),"Strategy")</f>
        <v>Strategy</v>
      </c>
    </row>
    <row r="27">
      <c r="A27" s="17" t="str">
        <f>IFERROR(__xludf.DUMMYFUNCTION("""COMPUTED_VALUE"""),"Aliens: Fireteam Elite")</f>
        <v>Aliens: Fireteam Elite</v>
      </c>
      <c r="B27" s="20" t="str">
        <f>IFERROR(__xludf.DUMMYFUNCTION("""COMPUTED_VALUE"""),"Xbox / PC")</f>
        <v>Xbox / PC</v>
      </c>
      <c r="C27" s="20" t="str">
        <f>IFERROR(__xludf.DUMMYFUNCTION("""COMPUTED_VALUE"""),"Yes")</f>
        <v>Yes</v>
      </c>
      <c r="D27" s="21" t="str">
        <f>IFERROR(__xludf.DUMMYFUNCTION("""COMPUTED_VALUE"""),"Removed")</f>
        <v>Removed</v>
      </c>
      <c r="E27" s="127">
        <f>IFERROR(__xludf.DUMMYFUNCTION("""COMPUTED_VALUE"""),45881.0)</f>
        <v>45881</v>
      </c>
      <c r="F27" s="276">
        <f>IFERROR(__xludf.DUMMYFUNCTION("""COMPUTED_VALUE"""),46249.0)</f>
        <v>46249</v>
      </c>
      <c r="G27" s="27">
        <f>IFERROR(__xludf.DUMMYFUNCTION("""COMPUTED_VALUE"""),12.1)</f>
        <v>12.1</v>
      </c>
      <c r="H27" s="128">
        <f>IFERROR(__xludf.DUMMYFUNCTION("""COMPUTED_VALUE"""),44803.0)</f>
        <v>44803</v>
      </c>
      <c r="I27" s="27">
        <f>IFERROR(__xludf.DUMMYFUNCTION("""COMPUTED_VALUE"""),2.95)</f>
        <v>2.95</v>
      </c>
      <c r="J27" s="29">
        <f>IFERROR(__xludf.DUMMYFUNCTION("""COMPUTED_VALUE"""),69.0)</f>
        <v>69</v>
      </c>
      <c r="K27" s="29">
        <f>IFERROR(__xludf.DUMMYFUNCTION("""COMPUTED_VALUE"""),9.0)</f>
        <v>9</v>
      </c>
      <c r="L27" s="31" t="str">
        <f>IFERROR(__xludf.DUMMYFUNCTION("""COMPUTED_VALUE"""),"Shooter")</f>
        <v>Shooter</v>
      </c>
    </row>
    <row r="28">
      <c r="A28" s="17" t="str">
        <f>IFERROR(__xludf.DUMMYFUNCTION("""COMPUTED_VALUE"""),"Atlas Fallen: Reign of Sand")</f>
        <v>Atlas Fallen: Reign of Sand</v>
      </c>
      <c r="B28" s="20" t="str">
        <f>IFERROR(__xludf.DUMMYFUNCTION("""COMPUTED_VALUE"""),"Xbox / PC")</f>
        <v>Xbox / PC</v>
      </c>
      <c r="C28" s="20" t="str">
        <f>IFERROR(__xludf.DUMMYFUNCTION("""COMPUTED_VALUE"""),"Yes")</f>
        <v>Yes</v>
      </c>
      <c r="D28" s="21" t="str">
        <f>IFERROR(__xludf.DUMMYFUNCTION("""COMPUTED_VALUE"""),"Removed")</f>
        <v>Removed</v>
      </c>
      <c r="E28" s="127">
        <f>IFERROR(__xludf.DUMMYFUNCTION("""COMPUTED_VALUE"""),45526.0)</f>
        <v>45526</v>
      </c>
      <c r="F28" s="276">
        <f>IFERROR(__xludf.DUMMYFUNCTION("""COMPUTED_VALUE"""),46249.0)</f>
        <v>46249</v>
      </c>
      <c r="G28" s="27">
        <f>IFERROR(__xludf.DUMMYFUNCTION("""COMPUTED_VALUE"""),23.766666666666666)</f>
        <v>23.76666667</v>
      </c>
      <c r="H28" s="128">
        <f>IFERROR(__xludf.DUMMYFUNCTION("""COMPUTED_VALUE"""),45148.0)</f>
        <v>45148</v>
      </c>
      <c r="I28" s="27">
        <f>IFERROR(__xludf.DUMMYFUNCTION("""COMPUTED_VALUE"""),1.0333333333333334)</f>
        <v>1.033333333</v>
      </c>
      <c r="J28" s="29">
        <f>IFERROR(__xludf.DUMMYFUNCTION("""COMPUTED_VALUE"""),64.0)</f>
        <v>64</v>
      </c>
      <c r="K28" s="29">
        <f>IFERROR(__xludf.DUMMYFUNCTION("""COMPUTED_VALUE"""),11.0)</f>
        <v>11</v>
      </c>
      <c r="L28" s="31" t="str">
        <f>IFERROR(__xludf.DUMMYFUNCTION("""COMPUTED_VALUE"""),"RPG")</f>
        <v>RPG</v>
      </c>
    </row>
    <row r="29">
      <c r="A29" s="17" t="str">
        <f>IFERROR(__xludf.DUMMYFUNCTION("""COMPUTED_VALUE"""),"Firewatch")</f>
        <v>Firewatch</v>
      </c>
      <c r="B29" s="20" t="str">
        <f>IFERROR(__xludf.DUMMYFUNCTION("""COMPUTED_VALUE"""),"Xbox / PC")</f>
        <v>Xbox / PC</v>
      </c>
      <c r="C29" s="20" t="str">
        <f>IFERROR(__xludf.DUMMYFUNCTION("""COMPUTED_VALUE"""),"Touch Controls")</f>
        <v>Touch Controls</v>
      </c>
      <c r="D29" s="21" t="str">
        <f>IFERROR(__xludf.DUMMYFUNCTION("""COMPUTED_VALUE"""),"Removed")</f>
        <v>Removed</v>
      </c>
      <c r="E29" s="127">
        <f>IFERROR(__xludf.DUMMYFUNCTION("""COMPUTED_VALUE"""),45155.0)</f>
        <v>45155</v>
      </c>
      <c r="F29" s="276">
        <f>IFERROR(__xludf.DUMMYFUNCTION("""COMPUTED_VALUE"""),46249.0)</f>
        <v>46249</v>
      </c>
      <c r="G29" s="27">
        <f>IFERROR(__xludf.DUMMYFUNCTION("""COMPUTED_VALUE"""),35.93333333333334)</f>
        <v>35.93333333</v>
      </c>
      <c r="H29" s="128">
        <f>IFERROR(__xludf.DUMMYFUNCTION("""COMPUTED_VALUE"""),42409.0)</f>
        <v>42409</v>
      </c>
      <c r="I29" s="27">
        <f>IFERROR(__xludf.DUMMYFUNCTION("""COMPUTED_VALUE"""),7.522222222222222)</f>
        <v>7.522222222</v>
      </c>
      <c r="J29" s="29">
        <f>IFERROR(__xludf.DUMMYFUNCTION("""COMPUTED_VALUE"""),83.0)</f>
        <v>83</v>
      </c>
      <c r="K29" s="29">
        <f>IFERROR(__xludf.DUMMYFUNCTION("""COMPUTED_VALUE"""),4.0)</f>
        <v>4</v>
      </c>
      <c r="L29" s="31" t="str">
        <f>IFERROR(__xludf.DUMMYFUNCTION("""COMPUTED_VALUE"""),"Adventure")</f>
        <v>Adventure</v>
      </c>
    </row>
    <row r="30">
      <c r="A30" s="17" t="str">
        <f>IFERROR(__xludf.DUMMYFUNCTION("""COMPUTED_VALUE"""),"Whiskerwood")</f>
        <v>Whiskerwood</v>
      </c>
      <c r="B30" s="20" t="str">
        <f>IFERROR(__xludf.DUMMYFUNCTION("""COMPUTED_VALUE"""),"PC")</f>
        <v>PC</v>
      </c>
      <c r="C30" s="20"/>
      <c r="D30" s="21" t="str">
        <f>IFERROR(__xludf.DUMMYFUNCTION("""COMPUTED_VALUE"""),"Removed")</f>
        <v>Removed</v>
      </c>
      <c r="E30" s="127">
        <f>IFERROR(__xludf.DUMMYFUNCTION("""COMPUTED_VALUE"""),45967.0)</f>
        <v>45967</v>
      </c>
      <c r="F30" s="276">
        <f>IFERROR(__xludf.DUMMYFUNCTION("""COMPUTED_VALUE"""),46234.0)</f>
        <v>46234</v>
      </c>
      <c r="G30" s="27">
        <f>IFERROR(__xludf.DUMMYFUNCTION("""COMPUTED_VALUE"""),8.799999999999999)</f>
        <v>8.8</v>
      </c>
      <c r="H30" s="128">
        <f>IFERROR(__xludf.DUMMYFUNCTION("""COMPUTED_VALUE"""),45967.0)</f>
        <v>45967</v>
      </c>
      <c r="I30" s="27">
        <f>IFERROR(__xludf.DUMMYFUNCTION("""COMPUTED_VALUE"""),0.0)</f>
        <v>0</v>
      </c>
      <c r="J30" s="29"/>
      <c r="K30" s="29">
        <f>IFERROR(__xludf.DUMMYFUNCTION("""COMPUTED_VALUE"""),14.0)</f>
        <v>14</v>
      </c>
      <c r="L30" s="31" t="str">
        <f>IFERROR(__xludf.DUMMYFUNCTION("""COMPUTED_VALUE"""),"Strategy")</f>
        <v>Strategy</v>
      </c>
    </row>
    <row r="31">
      <c r="A31" s="17" t="str">
        <f>IFERROR(__xludf.DUMMYFUNCTION("""COMPUTED_VALUE"""),"Rain World")</f>
        <v>Rain World</v>
      </c>
      <c r="B31" s="20" t="str">
        <f>IFERROR(__xludf.DUMMYFUNCTION("""COMPUTED_VALUE"""),"Xbox / PC")</f>
        <v>Xbox / PC</v>
      </c>
      <c r="C31" s="20" t="str">
        <f>IFERROR(__xludf.DUMMYFUNCTION("""COMPUTED_VALUE"""),"Yes")</f>
        <v>Yes</v>
      </c>
      <c r="D31" s="21" t="str">
        <f>IFERROR(__xludf.DUMMYFUNCTION("""COMPUTED_VALUE"""),"Removed")</f>
        <v>Removed</v>
      </c>
      <c r="E31" s="127">
        <f>IFERROR(__xludf.DUMMYFUNCTION("""COMPUTED_VALUE"""),45874.0)</f>
        <v>45874</v>
      </c>
      <c r="F31" s="276">
        <f>IFERROR(__xludf.DUMMYFUNCTION("""COMPUTED_VALUE"""),46234.0)</f>
        <v>46234</v>
      </c>
      <c r="G31" s="27">
        <f>IFERROR(__xludf.DUMMYFUNCTION("""COMPUTED_VALUE"""),11.833333333333334)</f>
        <v>11.83333333</v>
      </c>
      <c r="H31" s="128">
        <f>IFERROR(__xludf.DUMMYFUNCTION("""COMPUTED_VALUE"""),42822.0)</f>
        <v>42822</v>
      </c>
      <c r="I31" s="27">
        <f>IFERROR(__xludf.DUMMYFUNCTION("""COMPUTED_VALUE"""),8.352777777777778)</f>
        <v>8.352777778</v>
      </c>
      <c r="J31" s="29">
        <f>IFERROR(__xludf.DUMMYFUNCTION("""COMPUTED_VALUE"""),59.0)</f>
        <v>59</v>
      </c>
      <c r="K31" s="29">
        <f>IFERROR(__xludf.DUMMYFUNCTION("""COMPUTED_VALUE"""),21.0)</f>
        <v>21</v>
      </c>
      <c r="L31" s="31" t="str">
        <f>IFERROR(__xludf.DUMMYFUNCTION("""COMPUTED_VALUE"""),"Platformer")</f>
        <v>Platformer</v>
      </c>
    </row>
    <row r="32">
      <c r="A32" s="17" t="str">
        <f>IFERROR(__xludf.DUMMYFUNCTION("""COMPUTED_VALUE"""),"Back to the Dawn")</f>
        <v>Back to the Dawn</v>
      </c>
      <c r="B32" s="20" t="str">
        <f>IFERROR(__xludf.DUMMYFUNCTION("""COMPUTED_VALUE"""),"Xbox / PC")</f>
        <v>Xbox / PC</v>
      </c>
      <c r="C32" s="20" t="str">
        <f>IFERROR(__xludf.DUMMYFUNCTION("""COMPUTED_VALUE"""),"Yes")</f>
        <v>Yes</v>
      </c>
      <c r="D32" s="21" t="str">
        <f>IFERROR(__xludf.DUMMYFUNCTION("""COMPUTED_VALUE"""),"Removed")</f>
        <v>Removed</v>
      </c>
      <c r="E32" s="127">
        <f>IFERROR(__xludf.DUMMYFUNCTION("""COMPUTED_VALUE"""),45856.0)</f>
        <v>45856</v>
      </c>
      <c r="F32" s="276">
        <f>IFERROR(__xludf.DUMMYFUNCTION("""COMPUTED_VALUE"""),46234.0)</f>
        <v>46234</v>
      </c>
      <c r="G32" s="27">
        <f>IFERROR(__xludf.DUMMYFUNCTION("""COMPUTED_VALUE"""),12.400000000000002)</f>
        <v>12.4</v>
      </c>
      <c r="H32" s="128">
        <f>IFERROR(__xludf.DUMMYFUNCTION("""COMPUTED_VALUE"""),45856.0)</f>
        <v>45856</v>
      </c>
      <c r="I32" s="27">
        <f>IFERROR(__xludf.DUMMYFUNCTION("""COMPUTED_VALUE"""),0.0)</f>
        <v>0</v>
      </c>
      <c r="J32" s="29">
        <f>IFERROR(__xludf.DUMMYFUNCTION("""COMPUTED_VALUE"""),81.0)</f>
        <v>81</v>
      </c>
      <c r="K32" s="29">
        <f>IFERROR(__xludf.DUMMYFUNCTION("""COMPUTED_VALUE"""),12.0)</f>
        <v>12</v>
      </c>
      <c r="L32" s="31" t="str">
        <f>IFERROR(__xludf.DUMMYFUNCTION("""COMPUTED_VALUE"""),"Action-Adventure")</f>
        <v>Action-Adventure</v>
      </c>
    </row>
    <row r="33">
      <c r="A33" s="17" t="str">
        <f>IFERROR(__xludf.DUMMYFUNCTION("""COMPUTED_VALUE"""),"My Friendly Neighborhood")</f>
        <v>My Friendly Neighborhood</v>
      </c>
      <c r="B33" s="20" t="str">
        <f>IFERROR(__xludf.DUMMYFUNCTION("""COMPUTED_VALUE"""),"Xbox / PC")</f>
        <v>Xbox / PC</v>
      </c>
      <c r="C33" s="20" t="str">
        <f>IFERROR(__xludf.DUMMYFUNCTION("""COMPUTED_VALUE"""),"Yes")</f>
        <v>Yes</v>
      </c>
      <c r="D33" s="21" t="str">
        <f>IFERROR(__xludf.DUMMYFUNCTION("""COMPUTED_VALUE"""),"Removed")</f>
        <v>Removed</v>
      </c>
      <c r="E33" s="127">
        <f>IFERROR(__xludf.DUMMYFUNCTION("""COMPUTED_VALUE"""),45855.0)</f>
        <v>45855</v>
      </c>
      <c r="F33" s="276">
        <f>IFERROR(__xludf.DUMMYFUNCTION("""COMPUTED_VALUE"""),46234.0)</f>
        <v>46234</v>
      </c>
      <c r="G33" s="27">
        <f>IFERROR(__xludf.DUMMYFUNCTION("""COMPUTED_VALUE"""),12.433333333333334)</f>
        <v>12.43333333</v>
      </c>
      <c r="H33" s="128">
        <f>IFERROR(__xludf.DUMMYFUNCTION("""COMPUTED_VALUE"""),45125.0)</f>
        <v>45125</v>
      </c>
      <c r="I33" s="27">
        <f>IFERROR(__xludf.DUMMYFUNCTION("""COMPUTED_VALUE"""),1.9972222222222222)</f>
        <v>1.997222222</v>
      </c>
      <c r="J33" s="29">
        <f>IFERROR(__xludf.DUMMYFUNCTION("""COMPUTED_VALUE"""),81.0)</f>
        <v>81</v>
      </c>
      <c r="K33" s="29">
        <f>IFERROR(__xludf.DUMMYFUNCTION("""COMPUTED_VALUE"""),5.0)</f>
        <v>5</v>
      </c>
      <c r="L33" s="31" t="str">
        <f>IFERROR(__xludf.DUMMYFUNCTION("""COMPUTED_VALUE"""),"Survival")</f>
        <v>Survival</v>
      </c>
    </row>
    <row r="34">
      <c r="A34" s="17" t="str">
        <f>IFERROR(__xludf.DUMMYFUNCTION("""COMPUTED_VALUE"""),"Sniper Elite: Resistance")</f>
        <v>Sniper Elite: Resistance</v>
      </c>
      <c r="B34" s="20" t="str">
        <f>IFERROR(__xludf.DUMMYFUNCTION("""COMPUTED_VALUE"""),"Xbox / PC")</f>
        <v>Xbox / PC</v>
      </c>
      <c r="C34" s="20" t="str">
        <f>IFERROR(__xludf.DUMMYFUNCTION("""COMPUTED_VALUE"""),"Yes")</f>
        <v>Yes</v>
      </c>
      <c r="D34" s="21" t="str">
        <f>IFERROR(__xludf.DUMMYFUNCTION("""COMPUTED_VALUE"""),"Removed")</f>
        <v>Removed</v>
      </c>
      <c r="E34" s="127">
        <f>IFERROR(__xludf.DUMMYFUNCTION("""COMPUTED_VALUE"""),45687.0)</f>
        <v>45687</v>
      </c>
      <c r="F34" s="276">
        <f>IFERROR(__xludf.DUMMYFUNCTION("""COMPUTED_VALUE"""),46234.0)</f>
        <v>46234</v>
      </c>
      <c r="G34" s="27">
        <f>IFERROR(__xludf.DUMMYFUNCTION("""COMPUTED_VALUE"""),18.0)</f>
        <v>18</v>
      </c>
      <c r="H34" s="128">
        <f>IFERROR(__xludf.DUMMYFUNCTION("""COMPUTED_VALUE"""),45687.0)</f>
        <v>45687</v>
      </c>
      <c r="I34" s="27">
        <f>IFERROR(__xludf.DUMMYFUNCTION("""COMPUTED_VALUE"""),0.0)</f>
        <v>0</v>
      </c>
      <c r="J34" s="29">
        <f>IFERROR(__xludf.DUMMYFUNCTION("""COMPUTED_VALUE"""),75.0)</f>
        <v>75</v>
      </c>
      <c r="K34" s="29">
        <f>IFERROR(__xludf.DUMMYFUNCTION("""COMPUTED_VALUE"""),9.0)</f>
        <v>9</v>
      </c>
      <c r="L34" s="31" t="str">
        <f>IFERROR(__xludf.DUMMYFUNCTION("""COMPUTED_VALUE"""),"Shooter")</f>
        <v>Shooter</v>
      </c>
    </row>
    <row r="35">
      <c r="A35" s="17" t="str">
        <f>IFERROR(__xludf.DUMMYFUNCTION("""COMPUTED_VALUE"""),"Celeste")</f>
        <v>Celeste</v>
      </c>
      <c r="B35" s="20" t="str">
        <f>IFERROR(__xludf.DUMMYFUNCTION("""COMPUTED_VALUE"""),"Xbox / PC")</f>
        <v>Xbox / PC</v>
      </c>
      <c r="C35" s="20" t="str">
        <f>IFERROR(__xludf.DUMMYFUNCTION("""COMPUTED_VALUE"""),"Touch Controls")</f>
        <v>Touch Controls</v>
      </c>
      <c r="D35" s="21" t="str">
        <f>IFERROR(__xludf.DUMMYFUNCTION("""COMPUTED_VALUE"""),"Removed")</f>
        <v>Removed</v>
      </c>
      <c r="E35" s="127">
        <f>IFERROR(__xludf.DUMMYFUNCTION("""COMPUTED_VALUE"""),45139.0)</f>
        <v>45139</v>
      </c>
      <c r="F35" s="276">
        <f>IFERROR(__xludf.DUMMYFUNCTION("""COMPUTED_VALUE"""),46234.0)</f>
        <v>46234</v>
      </c>
      <c r="G35" s="27">
        <f>IFERROR(__xludf.DUMMYFUNCTION("""COMPUTED_VALUE"""),35.96666666666667)</f>
        <v>35.96666667</v>
      </c>
      <c r="H35" s="128">
        <f>IFERROR(__xludf.DUMMYFUNCTION("""COMPUTED_VALUE"""),43125.0)</f>
        <v>43125</v>
      </c>
      <c r="I35" s="27">
        <f>IFERROR(__xludf.DUMMYFUNCTION("""COMPUTED_VALUE"""),5.516666666666667)</f>
        <v>5.516666667</v>
      </c>
      <c r="J35" s="29">
        <f>IFERROR(__xludf.DUMMYFUNCTION("""COMPUTED_VALUE"""),91.0)</f>
        <v>91</v>
      </c>
      <c r="K35" s="29">
        <f>IFERROR(__xludf.DUMMYFUNCTION("""COMPUTED_VALUE"""),8.0)</f>
        <v>8</v>
      </c>
      <c r="L35" s="31" t="str">
        <f>IFERROR(__xludf.DUMMYFUNCTION("""COMPUTED_VALUE"""),"Platformer")</f>
        <v>Platformer</v>
      </c>
    </row>
    <row r="36">
      <c r="A36" s="17" t="str">
        <f>IFERROR(__xludf.DUMMYFUNCTION("""COMPUTED_VALUE"""),"Mount &amp; Blade II: Bannerlord")</f>
        <v>Mount &amp; Blade II: Bannerlord</v>
      </c>
      <c r="B36" s="20" t="str">
        <f>IFERROR(__xludf.DUMMYFUNCTION("""COMPUTED_VALUE"""),"Xbox / PC")</f>
        <v>Xbox / PC</v>
      </c>
      <c r="C36" s="20" t="str">
        <f>IFERROR(__xludf.DUMMYFUNCTION("""COMPUTED_VALUE"""),"M+KB")</f>
        <v>M+KB</v>
      </c>
      <c r="D36" s="21" t="str">
        <f>IFERROR(__xludf.DUMMYFUNCTION("""COMPUTED_VALUE"""),"Removed")</f>
        <v>Removed</v>
      </c>
      <c r="E36" s="127">
        <f>IFERROR(__xludf.DUMMYFUNCTION("""COMPUTED_VALUE"""),44971.0)</f>
        <v>44971</v>
      </c>
      <c r="F36" s="276">
        <f>IFERROR(__xludf.DUMMYFUNCTION("""COMPUTED_VALUE"""),46234.0)</f>
        <v>46234</v>
      </c>
      <c r="G36" s="27">
        <f>IFERROR(__xludf.DUMMYFUNCTION("""COMPUTED_VALUE"""),41.53333333333333)</f>
        <v>41.53333333</v>
      </c>
      <c r="H36" s="128">
        <f>IFERROR(__xludf.DUMMYFUNCTION("""COMPUTED_VALUE"""),43920.0)</f>
        <v>43920</v>
      </c>
      <c r="I36" s="27">
        <f>IFERROR(__xludf.DUMMYFUNCTION("""COMPUTED_VALUE"""),2.8722222222222222)</f>
        <v>2.872222222</v>
      </c>
      <c r="J36" s="277">
        <f>IFERROR(__xludf.DUMMYFUNCTION("""COMPUTED_VALUE"""),75.0)</f>
        <v>75</v>
      </c>
      <c r="K36" s="29">
        <f>IFERROR(__xludf.DUMMYFUNCTION("""COMPUTED_VALUE"""),39.0)</f>
        <v>39</v>
      </c>
      <c r="L36" s="31" t="str">
        <f>IFERROR(__xludf.DUMMYFUNCTION("""COMPUTED_VALUE"""),"RPG")</f>
        <v>RPG</v>
      </c>
    </row>
    <row r="37">
      <c r="A37" s="17" t="str">
        <f>IFERROR(__xludf.DUMMYFUNCTION("""COMPUTED_VALUE"""),"Crusader Kings III")</f>
        <v>Crusader Kings III</v>
      </c>
      <c r="B37" s="20" t="str">
        <f>IFERROR(__xludf.DUMMYFUNCTION("""COMPUTED_VALUE"""),"Xbox / PC")</f>
        <v>Xbox / PC</v>
      </c>
      <c r="C37" s="20" t="str">
        <f>IFERROR(__xludf.DUMMYFUNCTION("""COMPUTED_VALUE"""),"Yes")</f>
        <v>Yes</v>
      </c>
      <c r="D37" s="21" t="str">
        <f>IFERROR(__xludf.DUMMYFUNCTION("""COMPUTED_VALUE"""),"Removed")</f>
        <v>Removed</v>
      </c>
      <c r="E37" s="127">
        <f>IFERROR(__xludf.DUMMYFUNCTION("""COMPUTED_VALUE"""),44075.0)</f>
        <v>44075</v>
      </c>
      <c r="F37" s="276">
        <f>IFERROR(__xludf.DUMMYFUNCTION("""COMPUTED_VALUE"""),46234.0)</f>
        <v>46234</v>
      </c>
      <c r="G37" s="27">
        <f>IFERROR(__xludf.DUMMYFUNCTION("""COMPUTED_VALUE"""),70.96666666666667)</f>
        <v>70.96666667</v>
      </c>
      <c r="H37" s="128">
        <f>IFERROR(__xludf.DUMMYFUNCTION("""COMPUTED_VALUE"""),44075.0)</f>
        <v>44075</v>
      </c>
      <c r="I37" s="27">
        <f>IFERROR(__xludf.DUMMYFUNCTION("""COMPUTED_VALUE"""),0.0)</f>
        <v>0</v>
      </c>
      <c r="J37" s="29">
        <f>IFERROR(__xludf.DUMMYFUNCTION("""COMPUTED_VALUE"""),91.0)</f>
        <v>91</v>
      </c>
      <c r="K37" s="29">
        <f>IFERROR(__xludf.DUMMYFUNCTION("""COMPUTED_VALUE"""),12.5)</f>
        <v>12.5</v>
      </c>
      <c r="L37" s="31" t="str">
        <f>IFERROR(__xludf.DUMMYFUNCTION("""COMPUTED_VALUE"""),"Strategy")</f>
        <v>Strategy</v>
      </c>
    </row>
    <row r="38">
      <c r="A38" s="17" t="str">
        <f>IFERROR(__xludf.DUMMYFUNCTION("""COMPUTED_VALUE"""),"Super Fantasy Kingdom (Game Preview)")</f>
        <v>Super Fantasy Kingdom (Game Preview)</v>
      </c>
      <c r="B38" s="20" t="str">
        <f>IFERROR(__xludf.DUMMYFUNCTION("""COMPUTED_VALUE"""),"PC")</f>
        <v>PC</v>
      </c>
      <c r="C38" s="20"/>
      <c r="D38" s="21" t="str">
        <f>IFERROR(__xludf.DUMMYFUNCTION("""COMPUTED_VALUE"""),"Removed")</f>
        <v>Removed</v>
      </c>
      <c r="E38" s="127">
        <f>IFERROR(__xludf.DUMMYFUNCTION("""COMPUTED_VALUE"""),45954.0)</f>
        <v>45954</v>
      </c>
      <c r="F38" s="276">
        <f>IFERROR(__xludf.DUMMYFUNCTION("""COMPUTED_VALUE"""),46218.0)</f>
        <v>46218</v>
      </c>
      <c r="G38" s="27">
        <f>IFERROR(__xludf.DUMMYFUNCTION("""COMPUTED_VALUE"""),8.7)</f>
        <v>8.7</v>
      </c>
      <c r="H38" s="128">
        <f>IFERROR(__xludf.DUMMYFUNCTION("""COMPUTED_VALUE"""),45954.0)</f>
        <v>45954</v>
      </c>
      <c r="I38" s="27">
        <f>IFERROR(__xludf.DUMMYFUNCTION("""COMPUTED_VALUE"""),0.0)</f>
        <v>0</v>
      </c>
      <c r="J38" s="29">
        <f>IFERROR(__xludf.DUMMYFUNCTION("""COMPUTED_VALUE"""),77.0)</f>
        <v>77</v>
      </c>
      <c r="K38" s="29">
        <f>IFERROR(__xludf.DUMMYFUNCTION("""COMPUTED_VALUE"""),13.0)</f>
        <v>13</v>
      </c>
      <c r="L38" s="31" t="str">
        <f>IFERROR(__xludf.DUMMYFUNCTION("""COMPUTED_VALUE"""),"Defense")</f>
        <v>Defense</v>
      </c>
    </row>
    <row r="39">
      <c r="A39" s="17" t="str">
        <f>IFERROR(__xludf.DUMMYFUNCTION("""COMPUTED_VALUE"""),"Minami Lane")</f>
        <v>Minami Lane</v>
      </c>
      <c r="B39" s="20" t="str">
        <f>IFERROR(__xludf.DUMMYFUNCTION("""COMPUTED_VALUE"""),"Xbox / PC")</f>
        <v>Xbox / PC</v>
      </c>
      <c r="C39" s="20" t="str">
        <f>IFERROR(__xludf.DUMMYFUNCTION("""COMPUTED_VALUE"""),"Yes")</f>
        <v>Yes</v>
      </c>
      <c r="D39" s="21" t="str">
        <f>IFERROR(__xludf.DUMMYFUNCTION("""COMPUTED_VALUE"""),"Removed")</f>
        <v>Removed</v>
      </c>
      <c r="E39" s="127">
        <f>IFERROR(__xludf.DUMMYFUNCTION("""COMPUTED_VALUE"""),45847.0)</f>
        <v>45847</v>
      </c>
      <c r="F39" s="276">
        <f>IFERROR(__xludf.DUMMYFUNCTION("""COMPUTED_VALUE"""),46218.0)</f>
        <v>46218</v>
      </c>
      <c r="G39" s="27">
        <f>IFERROR(__xludf.DUMMYFUNCTION("""COMPUTED_VALUE"""),12.2)</f>
        <v>12.2</v>
      </c>
      <c r="H39" s="128">
        <f>IFERROR(__xludf.DUMMYFUNCTION("""COMPUTED_VALUE"""),45350.0)</f>
        <v>45350</v>
      </c>
      <c r="I39" s="27">
        <f>IFERROR(__xludf.DUMMYFUNCTION("""COMPUTED_VALUE"""),1.363888888888889)</f>
        <v>1.363888889</v>
      </c>
      <c r="J39" s="29">
        <f>IFERROR(__xludf.DUMMYFUNCTION("""COMPUTED_VALUE"""),78.0)</f>
        <v>78</v>
      </c>
      <c r="K39" s="29">
        <f>IFERROR(__xludf.DUMMYFUNCTION("""COMPUTED_VALUE"""),3.0)</f>
        <v>3</v>
      </c>
      <c r="L39" s="31" t="str">
        <f>IFERROR(__xludf.DUMMYFUNCTION("""COMPUTED_VALUE"""),"Tycoon")</f>
        <v>Tycoon</v>
      </c>
    </row>
    <row r="40">
      <c r="A40" s="17" t="str">
        <f>IFERROR(__xludf.DUMMYFUNCTION("""COMPUTED_VALUE"""),"Dungeons Of Hinterberg")</f>
        <v>Dungeons Of Hinterberg</v>
      </c>
      <c r="B40" s="20" t="str">
        <f>IFERROR(__xludf.DUMMYFUNCTION("""COMPUTED_VALUE"""),"Xbox / PC")</f>
        <v>Xbox / PC</v>
      </c>
      <c r="C40" s="20" t="str">
        <f>IFERROR(__xludf.DUMMYFUNCTION("""COMPUTED_VALUE"""),"Yes")</f>
        <v>Yes</v>
      </c>
      <c r="D40" s="21" t="str">
        <f>IFERROR(__xludf.DUMMYFUNCTION("""COMPUTED_VALUE"""),"Removed")</f>
        <v>Removed</v>
      </c>
      <c r="E40" s="127">
        <f>IFERROR(__xludf.DUMMYFUNCTION("""COMPUTED_VALUE"""),45491.0)</f>
        <v>45491</v>
      </c>
      <c r="F40" s="276">
        <f>IFERROR(__xludf.DUMMYFUNCTION("""COMPUTED_VALUE"""),46218.0)</f>
        <v>46218</v>
      </c>
      <c r="G40" s="27">
        <f>IFERROR(__xludf.DUMMYFUNCTION("""COMPUTED_VALUE"""),23.9)</f>
        <v>23.9</v>
      </c>
      <c r="H40" s="128">
        <f>IFERROR(__xludf.DUMMYFUNCTION("""COMPUTED_VALUE"""),45491.0)</f>
        <v>45491</v>
      </c>
      <c r="I40" s="27">
        <f>IFERROR(__xludf.DUMMYFUNCTION("""COMPUTED_VALUE"""),0.0)</f>
        <v>0</v>
      </c>
      <c r="J40" s="277">
        <f>IFERROR(__xludf.DUMMYFUNCTION("""COMPUTED_VALUE"""),82.0)</f>
        <v>82</v>
      </c>
      <c r="K40" s="29">
        <f>IFERROR(__xludf.DUMMYFUNCTION("""COMPUTED_VALUE"""),13.0)</f>
        <v>13</v>
      </c>
      <c r="L40" s="31" t="str">
        <f>IFERROR(__xludf.DUMMYFUNCTION("""COMPUTED_VALUE"""),"Action-Adventure")</f>
        <v>Action-Adventure</v>
      </c>
    </row>
    <row r="41">
      <c r="A41" s="17" t="str">
        <f>IFERROR(__xludf.DUMMYFUNCTION("""COMPUTED_VALUE"""),"EA Sports FC 24")</f>
        <v>EA Sports FC 24</v>
      </c>
      <c r="B41" s="20" t="str">
        <f>IFERROR(__xludf.DUMMYFUNCTION("""COMPUTED_VALUE"""),"Xbox / PC")</f>
        <v>Xbox / PC</v>
      </c>
      <c r="C41" s="20" t="str">
        <f>IFERROR(__xludf.DUMMYFUNCTION("""COMPUTED_VALUE"""),"Yes")</f>
        <v>Yes</v>
      </c>
      <c r="D41" s="21" t="str">
        <f>IFERROR(__xludf.DUMMYFUNCTION("""COMPUTED_VALUE"""),"Removed")</f>
        <v>Removed</v>
      </c>
      <c r="E41" s="127">
        <f>IFERROR(__xludf.DUMMYFUNCTION("""COMPUTED_VALUE"""),45468.0)</f>
        <v>45468</v>
      </c>
      <c r="F41" s="276">
        <f>IFERROR(__xludf.DUMMYFUNCTION("""COMPUTED_VALUE"""),46218.0)</f>
        <v>46218</v>
      </c>
      <c r="G41" s="27">
        <f>IFERROR(__xludf.DUMMYFUNCTION("""COMPUTED_VALUE"""),24.666666666666664)</f>
        <v>24.66666667</v>
      </c>
      <c r="H41" s="128">
        <f>IFERROR(__xludf.DUMMYFUNCTION("""COMPUTED_VALUE"""),45198.0)</f>
        <v>45198</v>
      </c>
      <c r="I41" s="27">
        <f>IFERROR(__xludf.DUMMYFUNCTION("""COMPUTED_VALUE"""),0.7388888888888889)</f>
        <v>0.7388888889</v>
      </c>
      <c r="J41" s="277">
        <f>IFERROR(__xludf.DUMMYFUNCTION("""COMPUTED_VALUE"""),75.0)</f>
        <v>75</v>
      </c>
      <c r="K41" s="29">
        <f>IFERROR(__xludf.DUMMYFUNCTION("""COMPUTED_VALUE"""),34.0)</f>
        <v>34</v>
      </c>
      <c r="L41" s="31" t="str">
        <f>IFERROR(__xludf.DUMMYFUNCTION("""COMPUTED_VALUE"""),"Sports")</f>
        <v>Sports</v>
      </c>
    </row>
    <row r="42">
      <c r="A42" s="17" t="str">
        <f>IFERROR(__xludf.DUMMYFUNCTION("""COMPUTED_VALUE"""),"Shadow of the Tomb Raider: Definitive Edition")</f>
        <v>Shadow of the Tomb Raider: Definitive Edition</v>
      </c>
      <c r="B42" s="20" t="str">
        <f>IFERROR(__xludf.DUMMYFUNCTION("""COMPUTED_VALUE"""),"Xbox / PC")</f>
        <v>Xbox / PC</v>
      </c>
      <c r="C42" s="20" t="str">
        <f>IFERROR(__xludf.DUMMYFUNCTION("""COMPUTED_VALUE"""),"Yes")</f>
        <v>Yes</v>
      </c>
      <c r="D42" s="21" t="str">
        <f>IFERROR(__xludf.DUMMYFUNCTION("""COMPUTED_VALUE"""),"Removed")</f>
        <v>Removed</v>
      </c>
      <c r="E42" s="127">
        <f>IFERROR(__xludf.DUMMYFUNCTION("""COMPUTED_VALUE"""),45393.0)</f>
        <v>45393</v>
      </c>
      <c r="F42" s="276">
        <f>IFERROR(__xludf.DUMMYFUNCTION("""COMPUTED_VALUE"""),46218.0)</f>
        <v>46218</v>
      </c>
      <c r="G42" s="27">
        <f>IFERROR(__xludf.DUMMYFUNCTION("""COMPUTED_VALUE"""),27.133333333333333)</f>
        <v>27.13333333</v>
      </c>
      <c r="H42" s="128">
        <f>IFERROR(__xludf.DUMMYFUNCTION("""COMPUTED_VALUE"""),43357.0)</f>
        <v>43357</v>
      </c>
      <c r="I42" s="27">
        <f>IFERROR(__xludf.DUMMYFUNCTION("""COMPUTED_VALUE"""),5.575)</f>
        <v>5.575</v>
      </c>
      <c r="J42" s="29">
        <f>IFERROR(__xludf.DUMMYFUNCTION("""COMPUTED_VALUE"""),82.0)</f>
        <v>82</v>
      </c>
      <c r="K42" s="29">
        <f>IFERROR(__xludf.DUMMYFUNCTION("""COMPUTED_VALUE"""),13.0)</f>
        <v>13</v>
      </c>
      <c r="L42" s="31" t="str">
        <f>IFERROR(__xludf.DUMMYFUNCTION("""COMPUTED_VALUE"""),"Action-Adventure")</f>
        <v>Action-Adventure</v>
      </c>
    </row>
    <row r="43">
      <c r="A43" s="17" t="str">
        <f>IFERROR(__xludf.DUMMYFUNCTION("""COMPUTED_VALUE"""),"Techtonica (Game Preview)")</f>
        <v>Techtonica (Game Preview)</v>
      </c>
      <c r="B43" s="20" t="str">
        <f>IFERROR(__xludf.DUMMYFUNCTION("""COMPUTED_VALUE"""),"Xbox / PC")</f>
        <v>Xbox / PC</v>
      </c>
      <c r="C43" s="20" t="str">
        <f>IFERROR(__xludf.DUMMYFUNCTION("""COMPUTED_VALUE"""),"Yes")</f>
        <v>Yes</v>
      </c>
      <c r="D43" s="21" t="str">
        <f>IFERROR(__xludf.DUMMYFUNCTION("""COMPUTED_VALUE"""),"Removed")</f>
        <v>Removed</v>
      </c>
      <c r="E43" s="127">
        <f>IFERROR(__xludf.DUMMYFUNCTION("""COMPUTED_VALUE"""),45125.0)</f>
        <v>45125</v>
      </c>
      <c r="F43" s="276">
        <f>IFERROR(__xludf.DUMMYFUNCTION("""COMPUTED_VALUE"""),46218.0)</f>
        <v>46218</v>
      </c>
      <c r="G43" s="27">
        <f>IFERROR(__xludf.DUMMYFUNCTION("""COMPUTED_VALUE"""),35.9)</f>
        <v>35.9</v>
      </c>
      <c r="H43" s="128">
        <f>IFERROR(__xludf.DUMMYFUNCTION("""COMPUTED_VALUE"""),45125.0)</f>
        <v>45125</v>
      </c>
      <c r="I43" s="27">
        <f>IFERROR(__xludf.DUMMYFUNCTION("""COMPUTED_VALUE"""),0.0)</f>
        <v>0</v>
      </c>
      <c r="J43" s="29">
        <f>IFERROR(__xludf.DUMMYFUNCTION("""COMPUTED_VALUE"""),70.0)</f>
        <v>70</v>
      </c>
      <c r="K43" s="29">
        <f>IFERROR(__xludf.DUMMYFUNCTION("""COMPUTED_VALUE"""),39.0)</f>
        <v>39</v>
      </c>
      <c r="L43" s="31" t="str">
        <f>IFERROR(__xludf.DUMMYFUNCTION("""COMPUTED_VALUE"""),"Simulation")</f>
        <v>Simulation</v>
      </c>
    </row>
    <row r="44">
      <c r="A44" s="17" t="str">
        <f>IFERROR(__xludf.DUMMYFUNCTION("""COMPUTED_VALUE"""),"PowerWash Simulator")</f>
        <v>PowerWash Simulator</v>
      </c>
      <c r="B44" s="20" t="str">
        <f>IFERROR(__xludf.DUMMYFUNCTION("""COMPUTED_VALUE"""),"Xbox / PC")</f>
        <v>Xbox / PC</v>
      </c>
      <c r="C44" s="20" t="str">
        <f>IFERROR(__xludf.DUMMYFUNCTION("""COMPUTED_VALUE"""),"Yes")</f>
        <v>Yes</v>
      </c>
      <c r="D44" s="21" t="str">
        <f>IFERROR(__xludf.DUMMYFUNCTION("""COMPUTED_VALUE"""),"Removed")</f>
        <v>Removed</v>
      </c>
      <c r="E44" s="127">
        <f>IFERROR(__xludf.DUMMYFUNCTION("""COMPUTED_VALUE"""),44756.0)</f>
        <v>44756</v>
      </c>
      <c r="F44" s="276">
        <f>IFERROR(__xludf.DUMMYFUNCTION("""COMPUTED_VALUE"""),46218.0)</f>
        <v>46218</v>
      </c>
      <c r="G44" s="27">
        <f>IFERROR(__xludf.DUMMYFUNCTION("""COMPUTED_VALUE"""),48.03333333333334)</f>
        <v>48.03333333</v>
      </c>
      <c r="H44" s="128">
        <f>IFERROR(__xludf.DUMMYFUNCTION("""COMPUTED_VALUE"""),44335.0)</f>
        <v>44335</v>
      </c>
      <c r="I44" s="27">
        <f>IFERROR(__xludf.DUMMYFUNCTION("""COMPUTED_VALUE"""),1.1527777777777777)</f>
        <v>1.152777778</v>
      </c>
      <c r="J44" s="277">
        <f>IFERROR(__xludf.DUMMYFUNCTION("""COMPUTED_VALUE"""),76.0)</f>
        <v>76</v>
      </c>
      <c r="K44" s="29">
        <f>IFERROR(__xludf.DUMMYFUNCTION("""COMPUTED_VALUE"""),21.5)</f>
        <v>21.5</v>
      </c>
      <c r="L44" s="31" t="str">
        <f>IFERROR(__xludf.DUMMYFUNCTION("""COMPUTED_VALUE"""),"Simulation")</f>
        <v>Simulation</v>
      </c>
    </row>
    <row r="45">
      <c r="A45" s="17" t="str">
        <f>IFERROR(__xludf.DUMMYFUNCTION("""COMPUTED_VALUE"""),"Golf With Your Friends")</f>
        <v>Golf With Your Friends</v>
      </c>
      <c r="B45" s="20" t="str">
        <f>IFERROR(__xludf.DUMMYFUNCTION("""COMPUTED_VALUE"""),"Xbox / PC")</f>
        <v>Xbox / PC</v>
      </c>
      <c r="C45" s="20" t="str">
        <f>IFERROR(__xludf.DUMMYFUNCTION("""COMPUTED_VALUE"""),"Touch Controls")</f>
        <v>Touch Controls</v>
      </c>
      <c r="D45" s="21" t="str">
        <f>IFERROR(__xludf.DUMMYFUNCTION("""COMPUTED_VALUE"""),"Removed")</f>
        <v>Removed</v>
      </c>
      <c r="E45" s="127">
        <f>IFERROR(__xludf.DUMMYFUNCTION("""COMPUTED_VALUE"""),43970.0)</f>
        <v>43970</v>
      </c>
      <c r="F45" s="276">
        <f>IFERROR(__xludf.DUMMYFUNCTION("""COMPUTED_VALUE"""),46218.0)</f>
        <v>46218</v>
      </c>
      <c r="G45" s="27">
        <f>IFERROR(__xludf.DUMMYFUNCTION("""COMPUTED_VALUE"""),73.86666666666667)</f>
        <v>73.86666667</v>
      </c>
      <c r="H45" s="128">
        <f>IFERROR(__xludf.DUMMYFUNCTION("""COMPUTED_VALUE"""),43970.0)</f>
        <v>43970</v>
      </c>
      <c r="I45" s="27">
        <f>IFERROR(__xludf.DUMMYFUNCTION("""COMPUTED_VALUE"""),0.0)</f>
        <v>0</v>
      </c>
      <c r="J45" s="29">
        <f>IFERROR(__xludf.DUMMYFUNCTION("""COMPUTED_VALUE"""),68.0)</f>
        <v>68</v>
      </c>
      <c r="K45" s="29">
        <f>IFERROR(__xludf.DUMMYFUNCTION("""COMPUTED_VALUE"""),23.5)</f>
        <v>23.5</v>
      </c>
      <c r="L45" s="31" t="str">
        <f>IFERROR(__xludf.DUMMYFUNCTION("""COMPUTED_VALUE"""),"Sports")</f>
        <v>Sports</v>
      </c>
    </row>
    <row r="46">
      <c r="A46" s="17" t="str">
        <f>IFERROR(__xludf.DUMMYFUNCTION("""COMPUTED_VALUE"""),"Stellaris")</f>
        <v>Stellaris</v>
      </c>
      <c r="B46" s="20" t="str">
        <f>IFERROR(__xludf.DUMMYFUNCTION("""COMPUTED_VALUE"""),"Xbox / PC")</f>
        <v>Xbox / PC</v>
      </c>
      <c r="C46" s="20" t="str">
        <f>IFERROR(__xludf.DUMMYFUNCTION("""COMPUTED_VALUE"""),"Yes")</f>
        <v>Yes</v>
      </c>
      <c r="D46" s="21" t="str">
        <f>IFERROR(__xludf.DUMMYFUNCTION("""COMPUTED_VALUE"""),"Removed")</f>
        <v>Removed</v>
      </c>
      <c r="E46" s="127">
        <f>IFERROR(__xludf.DUMMYFUNCTION("""COMPUTED_VALUE"""),43696.0)</f>
        <v>43696</v>
      </c>
      <c r="F46" s="276">
        <f>IFERROR(__xludf.DUMMYFUNCTION("""COMPUTED_VALUE"""),46218.0)</f>
        <v>46218</v>
      </c>
      <c r="G46" s="27">
        <f>IFERROR(__xludf.DUMMYFUNCTION("""COMPUTED_VALUE"""),82.86666666666667)</f>
        <v>82.86666667</v>
      </c>
      <c r="H46" s="128">
        <f>IFERROR(__xludf.DUMMYFUNCTION("""COMPUTED_VALUE"""),42499.0)</f>
        <v>42499</v>
      </c>
      <c r="I46" s="27">
        <f>IFERROR(__xludf.DUMMYFUNCTION("""COMPUTED_VALUE"""),3.2777777777777777)</f>
        <v>3.277777778</v>
      </c>
      <c r="J46" s="29">
        <f>IFERROR(__xludf.DUMMYFUNCTION("""COMPUTED_VALUE"""),81.0)</f>
        <v>81</v>
      </c>
      <c r="K46" s="29">
        <f>IFERROR(__xludf.DUMMYFUNCTION("""COMPUTED_VALUE"""),21.0)</f>
        <v>21</v>
      </c>
      <c r="L46" s="31" t="str">
        <f>IFERROR(__xludf.DUMMYFUNCTION("""COMPUTED_VALUE"""),"Strategy")</f>
        <v>Strategy</v>
      </c>
    </row>
    <row r="47">
      <c r="A47" s="17" t="str">
        <f>IFERROR(__xludf.DUMMYFUNCTION("""COMPUTED_VALUE"""),"Ultimate Chicken Horse")</f>
        <v>Ultimate Chicken Horse</v>
      </c>
      <c r="B47" s="20" t="str">
        <f>IFERROR(__xludf.DUMMYFUNCTION("""COMPUTED_VALUE"""),"Xbox / PC")</f>
        <v>Xbox / PC</v>
      </c>
      <c r="C47" s="20" t="str">
        <f>IFERROR(__xludf.DUMMYFUNCTION("""COMPUTED_VALUE"""),"Yes")</f>
        <v>Yes</v>
      </c>
      <c r="D47" s="21" t="str">
        <f>IFERROR(__xludf.DUMMYFUNCTION("""COMPUTED_VALUE"""),"Removed")</f>
        <v>Removed</v>
      </c>
      <c r="E47" s="127">
        <f>IFERROR(__xludf.DUMMYFUNCTION("""COMPUTED_VALUE"""),45841.0)</f>
        <v>45841</v>
      </c>
      <c r="F47" s="276">
        <f>IFERROR(__xludf.DUMMYFUNCTION("""COMPUTED_VALUE"""),46203.0)</f>
        <v>46203</v>
      </c>
      <c r="G47" s="27">
        <f>IFERROR(__xludf.DUMMYFUNCTION("""COMPUTED_VALUE"""),11.9)</f>
        <v>11.9</v>
      </c>
      <c r="H47" s="128">
        <f>IFERROR(__xludf.DUMMYFUNCTION("""COMPUTED_VALUE"""),43368.0)</f>
        <v>43368</v>
      </c>
      <c r="I47" s="27">
        <f>IFERROR(__xludf.DUMMYFUNCTION("""COMPUTED_VALUE"""),6.772222222222222)</f>
        <v>6.772222222</v>
      </c>
      <c r="J47" s="29">
        <f>IFERROR(__xludf.DUMMYFUNCTION("""COMPUTED_VALUE"""),80.0)</f>
        <v>80</v>
      </c>
      <c r="K47" s="29">
        <f>IFERROR(__xludf.DUMMYFUNCTION("""COMPUTED_VALUE"""),7.0)</f>
        <v>7</v>
      </c>
      <c r="L47" s="31" t="str">
        <f>IFERROR(__xludf.DUMMYFUNCTION("""COMPUTED_VALUE"""),"Platformer")</f>
        <v>Platformer</v>
      </c>
    </row>
    <row r="48">
      <c r="A48" s="17" t="str">
        <f>IFERROR(__xludf.DUMMYFUNCTION("""COMPUTED_VALUE"""),"Rise of the Tomb Raider")</f>
        <v>Rise of the Tomb Raider</v>
      </c>
      <c r="B48" s="20" t="str">
        <f>IFERROR(__xludf.DUMMYFUNCTION("""COMPUTED_VALUE"""),"Xbox / PC")</f>
        <v>Xbox / PC</v>
      </c>
      <c r="C48" s="20" t="str">
        <f>IFERROR(__xludf.DUMMYFUNCTION("""COMPUTED_VALUE"""),"Yes")</f>
        <v>Yes</v>
      </c>
      <c r="D48" s="21" t="str">
        <f>IFERROR(__xludf.DUMMYFUNCTION("""COMPUTED_VALUE"""),"Removed")</f>
        <v>Removed</v>
      </c>
      <c r="E48" s="127">
        <f>IFERROR(__xludf.DUMMYFUNCTION("""COMPUTED_VALUE"""),45839.0)</f>
        <v>45839</v>
      </c>
      <c r="F48" s="276">
        <f>IFERROR(__xludf.DUMMYFUNCTION("""COMPUTED_VALUE"""),46203.0)</f>
        <v>46203</v>
      </c>
      <c r="G48" s="27">
        <f>IFERROR(__xludf.DUMMYFUNCTION("""COMPUTED_VALUE"""),11.966666666666667)</f>
        <v>11.96666667</v>
      </c>
      <c r="H48" s="128">
        <f>IFERROR(__xludf.DUMMYFUNCTION("""COMPUTED_VALUE"""),42318.0)</f>
        <v>42318</v>
      </c>
      <c r="I48" s="27">
        <f>IFERROR(__xludf.DUMMYFUNCTION("""COMPUTED_VALUE"""),9.641666666666667)</f>
        <v>9.641666667</v>
      </c>
      <c r="J48" s="29">
        <f>IFERROR(__xludf.DUMMYFUNCTION("""COMPUTED_VALUE"""),86.0)</f>
        <v>86</v>
      </c>
      <c r="K48" s="29">
        <f>IFERROR(__xludf.DUMMYFUNCTION("""COMPUTED_VALUE"""),13.5)</f>
        <v>13.5</v>
      </c>
      <c r="L48" s="31" t="str">
        <f>IFERROR(__xludf.DUMMYFUNCTION("""COMPUTED_VALUE"""),"Action-Adventure")</f>
        <v>Action-Adventure</v>
      </c>
    </row>
    <row r="49">
      <c r="A49" s="17" t="str">
        <f>IFERROR(__xludf.DUMMYFUNCTION("""COMPUTED_VALUE"""),"Volcano Princess")</f>
        <v>Volcano Princess</v>
      </c>
      <c r="B49" s="20" t="str">
        <f>IFERROR(__xludf.DUMMYFUNCTION("""COMPUTED_VALUE"""),"Xbox / PC")</f>
        <v>Xbox / PC</v>
      </c>
      <c r="C49" s="20" t="str">
        <f>IFERROR(__xludf.DUMMYFUNCTION("""COMPUTED_VALUE"""),"Yes")</f>
        <v>Yes</v>
      </c>
      <c r="D49" s="21" t="str">
        <f>IFERROR(__xludf.DUMMYFUNCTION("""COMPUTED_VALUE"""),"Removed")</f>
        <v>Removed</v>
      </c>
      <c r="E49" s="127">
        <f>IFERROR(__xludf.DUMMYFUNCTION("""COMPUTED_VALUE"""),45832.0)</f>
        <v>45832</v>
      </c>
      <c r="F49" s="276">
        <f>IFERROR(__xludf.DUMMYFUNCTION("""COMPUTED_VALUE"""),46203.0)</f>
        <v>46203</v>
      </c>
      <c r="G49" s="27">
        <f>IFERROR(__xludf.DUMMYFUNCTION("""COMPUTED_VALUE"""),12.2)</f>
        <v>12.2</v>
      </c>
      <c r="H49" s="128">
        <f>IFERROR(__xludf.DUMMYFUNCTION("""COMPUTED_VALUE"""),45036.0)</f>
        <v>45036</v>
      </c>
      <c r="I49" s="27">
        <f>IFERROR(__xludf.DUMMYFUNCTION("""COMPUTED_VALUE"""),2.1777777777777776)</f>
        <v>2.177777778</v>
      </c>
      <c r="J49" s="29">
        <f>IFERROR(__xludf.DUMMYFUNCTION("""COMPUTED_VALUE"""),80.0)</f>
        <v>80</v>
      </c>
      <c r="K49" s="29">
        <f>IFERROR(__xludf.DUMMYFUNCTION("""COMPUTED_VALUE"""),9.0)</f>
        <v>9</v>
      </c>
      <c r="L49" s="31" t="str">
        <f>IFERROR(__xludf.DUMMYFUNCTION("""COMPUTED_VALUE"""),"RPG")</f>
        <v>RPG</v>
      </c>
    </row>
    <row r="50">
      <c r="A50" s="17" t="str">
        <f>IFERROR(__xludf.DUMMYFUNCTION("""COMPUTED_VALUE"""),"Tomb Raider: Definitive Edition")</f>
        <v>Tomb Raider: Definitive Edition</v>
      </c>
      <c r="B50" s="20" t="str">
        <f>IFERROR(__xludf.DUMMYFUNCTION("""COMPUTED_VALUE"""),"Xbox / PC")</f>
        <v>Xbox / PC</v>
      </c>
      <c r="C50" s="20" t="str">
        <f>IFERROR(__xludf.DUMMYFUNCTION("""COMPUTED_VALUE"""),"Yes")</f>
        <v>Yes</v>
      </c>
      <c r="D50" s="21" t="str">
        <f>IFERROR(__xludf.DUMMYFUNCTION("""COMPUTED_VALUE"""),"Removed")</f>
        <v>Removed</v>
      </c>
      <c r="E50" s="127">
        <f>IFERROR(__xludf.DUMMYFUNCTION("""COMPUTED_VALUE"""),45414.0)</f>
        <v>45414</v>
      </c>
      <c r="F50" s="276">
        <f>IFERROR(__xludf.DUMMYFUNCTION("""COMPUTED_VALUE"""),46203.0)</f>
        <v>46203</v>
      </c>
      <c r="G50" s="27">
        <f>IFERROR(__xludf.DUMMYFUNCTION("""COMPUTED_VALUE"""),25.93333333333333)</f>
        <v>25.93333333</v>
      </c>
      <c r="H50" s="128">
        <f>IFERROR(__xludf.DUMMYFUNCTION("""COMPUTED_VALUE"""),41338.0)</f>
        <v>41338</v>
      </c>
      <c r="I50" s="27">
        <f>IFERROR(__xludf.DUMMYFUNCTION("""COMPUTED_VALUE"""),11.158333333333333)</f>
        <v>11.15833333</v>
      </c>
      <c r="J50" s="29">
        <f>IFERROR(__xludf.DUMMYFUNCTION("""COMPUTED_VALUE"""),86.0)</f>
        <v>86</v>
      </c>
      <c r="K50" s="29">
        <f>IFERROR(__xludf.DUMMYFUNCTION("""COMPUTED_VALUE"""),11.5)</f>
        <v>11.5</v>
      </c>
      <c r="L50" s="31" t="str">
        <f>IFERROR(__xludf.DUMMYFUNCTION("""COMPUTED_VALUE"""),"Shooter")</f>
        <v>Shooter</v>
      </c>
    </row>
    <row r="51">
      <c r="A51" s="17" t="str">
        <f>IFERROR(__xludf.DUMMYFUNCTION("""COMPUTED_VALUE"""),"Unpacking")</f>
        <v>Unpacking</v>
      </c>
      <c r="B51" s="20" t="str">
        <f>IFERROR(__xludf.DUMMYFUNCTION("""COMPUTED_VALUE"""),"Xbox / PC")</f>
        <v>Xbox / PC</v>
      </c>
      <c r="C51" s="20" t="str">
        <f>IFERROR(__xludf.DUMMYFUNCTION("""COMPUTED_VALUE"""),"Touch Controls")</f>
        <v>Touch Controls</v>
      </c>
      <c r="D51" s="21" t="str">
        <f>IFERROR(__xludf.DUMMYFUNCTION("""COMPUTED_VALUE"""),"Removed")</f>
        <v>Removed</v>
      </c>
      <c r="E51" s="127">
        <f>IFERROR(__xludf.DUMMYFUNCTION("""COMPUTED_VALUE"""),44502.0)</f>
        <v>44502</v>
      </c>
      <c r="F51" s="276">
        <f>IFERROR(__xludf.DUMMYFUNCTION("""COMPUTED_VALUE"""),46203.0)</f>
        <v>46203</v>
      </c>
      <c r="G51" s="27">
        <f>IFERROR(__xludf.DUMMYFUNCTION("""COMPUTED_VALUE"""),55.93333333333334)</f>
        <v>55.93333333</v>
      </c>
      <c r="H51" s="128">
        <f>IFERROR(__xludf.DUMMYFUNCTION("""COMPUTED_VALUE"""),44502.0)</f>
        <v>44502</v>
      </c>
      <c r="I51" s="27">
        <f>IFERROR(__xludf.DUMMYFUNCTION("""COMPUTED_VALUE"""),0.0)</f>
        <v>0</v>
      </c>
      <c r="J51" s="29">
        <f>IFERROR(__xludf.DUMMYFUNCTION("""COMPUTED_VALUE"""),82.0)</f>
        <v>82</v>
      </c>
      <c r="K51" s="29">
        <f>IFERROR(__xludf.DUMMYFUNCTION("""COMPUTED_VALUE"""),3.5)</f>
        <v>3.5</v>
      </c>
      <c r="L51" s="31" t="str">
        <f>IFERROR(__xludf.DUMMYFUNCTION("""COMPUTED_VALUE"""),"Puzzle")</f>
        <v>Puzzle</v>
      </c>
    </row>
    <row r="52">
      <c r="A52" s="17" t="str">
        <f>IFERROR(__xludf.DUMMYFUNCTION("""COMPUTED_VALUE"""),"Slay the Spire")</f>
        <v>Slay the Spire</v>
      </c>
      <c r="B52" s="20" t="str">
        <f>IFERROR(__xludf.DUMMYFUNCTION("""COMPUTED_VALUE"""),"Xbox / PC")</f>
        <v>Xbox / PC</v>
      </c>
      <c r="C52" s="20" t="str">
        <f>IFERROR(__xludf.DUMMYFUNCTION("""COMPUTED_VALUE"""),"Touch Controls")</f>
        <v>Touch Controls</v>
      </c>
      <c r="D52" s="21" t="str">
        <f>IFERROR(__xludf.DUMMYFUNCTION("""COMPUTED_VALUE"""),"Removed")</f>
        <v>Removed</v>
      </c>
      <c r="E52" s="127">
        <f>IFERROR(__xludf.DUMMYFUNCTION("""COMPUTED_VALUE"""),43691.0)</f>
        <v>43691</v>
      </c>
      <c r="F52" s="276">
        <f>IFERROR(__xludf.DUMMYFUNCTION("""COMPUTED_VALUE"""),46203.0)</f>
        <v>46203</v>
      </c>
      <c r="G52" s="27">
        <f>IFERROR(__xludf.DUMMYFUNCTION("""COMPUTED_VALUE"""),82.53333333333333)</f>
        <v>82.53333333</v>
      </c>
      <c r="H52" s="128">
        <f>IFERROR(__xludf.DUMMYFUNCTION("""COMPUTED_VALUE"""),43054.0)</f>
        <v>43054</v>
      </c>
      <c r="I52" s="27">
        <f>IFERROR(__xludf.DUMMYFUNCTION("""COMPUTED_VALUE"""),1.7472222222222222)</f>
        <v>1.747222222</v>
      </c>
      <c r="J52" s="277">
        <f>IFERROR(__xludf.DUMMYFUNCTION("""COMPUTED_VALUE"""),88.0)</f>
        <v>88</v>
      </c>
      <c r="K52" s="29">
        <f>IFERROR(__xludf.DUMMYFUNCTION("""COMPUTED_VALUE"""),10.5)</f>
        <v>10.5</v>
      </c>
      <c r="L52" s="31" t="str">
        <f>IFERROR(__xludf.DUMMYFUNCTION("""COMPUTED_VALUE"""),"Strategy")</f>
        <v>Strategy</v>
      </c>
    </row>
    <row r="53">
      <c r="A53" s="17" t="str">
        <f>IFERROR(__xludf.DUMMYFUNCTION("""COMPUTED_VALUE"""),"Payday 2: Crimewave Edition")</f>
        <v>Payday 2: Crimewave Edition</v>
      </c>
      <c r="B53" s="20" t="str">
        <f>IFERROR(__xludf.DUMMYFUNCTION("""COMPUTED_VALUE"""),"Xbox")</f>
        <v>Xbox</v>
      </c>
      <c r="C53" s="20"/>
      <c r="D53" s="21" t="str">
        <f>IFERROR(__xludf.DUMMYFUNCTION("""COMPUTED_VALUE"""),"Removed")</f>
        <v>Removed</v>
      </c>
      <c r="E53" s="127">
        <f>IFERROR(__xludf.DUMMYFUNCTION("""COMPUTED_VALUE"""),42887.0)</f>
        <v>42887</v>
      </c>
      <c r="F53" s="276">
        <f>IFERROR(__xludf.DUMMYFUNCTION("""COMPUTED_VALUE"""),46203.0)</f>
        <v>46203</v>
      </c>
      <c r="G53" s="27">
        <f>IFERROR(__xludf.DUMMYFUNCTION("""COMPUTED_VALUE"""),108.96666666666667)</f>
        <v>108.9666667</v>
      </c>
      <c r="H53" s="128">
        <f>IFERROR(__xludf.DUMMYFUNCTION("""COMPUTED_VALUE"""),41499.0)</f>
        <v>41499</v>
      </c>
      <c r="I53" s="27">
        <f>IFERROR(__xludf.DUMMYFUNCTION("""COMPUTED_VALUE"""),3.8)</f>
        <v>3.8</v>
      </c>
      <c r="J53" s="277">
        <f>IFERROR(__xludf.DUMMYFUNCTION("""COMPUTED_VALUE"""),65.0)</f>
        <v>65</v>
      </c>
      <c r="K53" s="29">
        <f>IFERROR(__xludf.DUMMYFUNCTION("""COMPUTED_VALUE"""),24.5)</f>
        <v>24.5</v>
      </c>
      <c r="L53" s="31" t="str">
        <f>IFERROR(__xludf.DUMMYFUNCTION("""COMPUTED_VALUE"""),"Shooter")</f>
        <v>Shooter</v>
      </c>
    </row>
    <row r="54">
      <c r="A54" s="17" t="str">
        <f>IFERROR(__xludf.DUMMYFUNCTION("""COMPUTED_VALUE"""),"Scott Pilgrim vs. The World: The Game")</f>
        <v>Scott Pilgrim vs. The World: The Game</v>
      </c>
      <c r="B54" s="20" t="str">
        <f>IFERROR(__xludf.DUMMYFUNCTION("""COMPUTED_VALUE"""),"Xbox / PC")</f>
        <v>Xbox / PC</v>
      </c>
      <c r="C54" s="20" t="str">
        <f>IFERROR(__xludf.DUMMYFUNCTION("""COMPUTED_VALUE"""),"Yes")</f>
        <v>Yes</v>
      </c>
      <c r="D54" s="21" t="str">
        <f>IFERROR(__xludf.DUMMYFUNCTION("""COMPUTED_VALUE"""),"Removed")</f>
        <v>Removed</v>
      </c>
      <c r="E54" s="127">
        <f>IFERROR(__xludf.DUMMYFUNCTION("""COMPUTED_VALUE"""),45931.0)</f>
        <v>45931</v>
      </c>
      <c r="F54" s="276">
        <f>IFERROR(__xludf.DUMMYFUNCTION("""COMPUTED_VALUE"""),46188.0)</f>
        <v>46188</v>
      </c>
      <c r="G54" s="27">
        <f>IFERROR(__xludf.DUMMYFUNCTION("""COMPUTED_VALUE"""),8.466666666666667)</f>
        <v>8.466666667</v>
      </c>
      <c r="H54" s="128">
        <f>IFERROR(__xludf.DUMMYFUNCTION("""COMPUTED_VALUE"""),44210.0)</f>
        <v>44210</v>
      </c>
      <c r="I54" s="27">
        <f>IFERROR(__xludf.DUMMYFUNCTION("""COMPUTED_VALUE"""),4.713888888888889)</f>
        <v>4.713888889</v>
      </c>
      <c r="J54" s="29">
        <f>IFERROR(__xludf.DUMMYFUNCTION("""COMPUTED_VALUE"""),79.0)</f>
        <v>79</v>
      </c>
      <c r="K54" s="29">
        <f>IFERROR(__xludf.DUMMYFUNCTION("""COMPUTED_VALUE"""),5.0)</f>
        <v>5</v>
      </c>
      <c r="L54" s="31" t="str">
        <f>IFERROR(__xludf.DUMMYFUNCTION("""COMPUTED_VALUE"""),"Beat-'Em-Up")</f>
        <v>Beat-'Em-Up</v>
      </c>
    </row>
    <row r="55">
      <c r="A55" s="17" t="str">
        <f>IFERROR(__xludf.DUMMYFUNCTION("""COMPUTED_VALUE"""),"Warhammer 40,000: Space Marine - Master Crafted Edition")</f>
        <v>Warhammer 40,000: Space Marine - Master Crafted Edition</v>
      </c>
      <c r="B55" s="20" t="str">
        <f>IFERROR(__xludf.DUMMYFUNCTION("""COMPUTED_VALUE"""),"Xbox / PC")</f>
        <v>Xbox / PC</v>
      </c>
      <c r="C55" s="20" t="str">
        <f>IFERROR(__xludf.DUMMYFUNCTION("""COMPUTED_VALUE"""),"Yes")</f>
        <v>Yes</v>
      </c>
      <c r="D55" s="21" t="str">
        <f>IFERROR(__xludf.DUMMYFUNCTION("""COMPUTED_VALUE"""),"Removed")</f>
        <v>Removed</v>
      </c>
      <c r="E55" s="127">
        <f>IFERROR(__xludf.DUMMYFUNCTION("""COMPUTED_VALUE"""),45818.0)</f>
        <v>45818</v>
      </c>
      <c r="F55" s="276">
        <f>IFERROR(__xludf.DUMMYFUNCTION("""COMPUTED_VALUE"""),46188.0)</f>
        <v>46188</v>
      </c>
      <c r="G55" s="27">
        <f>IFERROR(__xludf.DUMMYFUNCTION("""COMPUTED_VALUE"""),12.166666666666666)</f>
        <v>12.16666667</v>
      </c>
      <c r="H55" s="128">
        <f>IFERROR(__xludf.DUMMYFUNCTION("""COMPUTED_VALUE"""),40792.0)</f>
        <v>40792</v>
      </c>
      <c r="I55" s="27">
        <f>IFERROR(__xludf.DUMMYFUNCTION("""COMPUTED_VALUE"""),13.761111111111111)</f>
        <v>13.76111111</v>
      </c>
      <c r="J55" s="29">
        <f>IFERROR(__xludf.DUMMYFUNCTION("""COMPUTED_VALUE"""),76.0)</f>
        <v>76</v>
      </c>
      <c r="K55" s="29">
        <f>IFERROR(__xludf.DUMMYFUNCTION("""COMPUTED_VALUE"""),8.0)</f>
        <v>8</v>
      </c>
      <c r="L55" s="31" t="str">
        <f>IFERROR(__xludf.DUMMYFUNCTION("""COMPUTED_VALUE"""),"Shooter")</f>
        <v>Shooter</v>
      </c>
    </row>
    <row r="56">
      <c r="A56" s="17" t="str">
        <f>IFERROR(__xludf.DUMMYFUNCTION("""COMPUTED_VALUE"""),"Jurassic World Evolution 2")</f>
        <v>Jurassic World Evolution 2</v>
      </c>
      <c r="B56" s="20" t="str">
        <f>IFERROR(__xludf.DUMMYFUNCTION("""COMPUTED_VALUE"""),"Xbox / PC")</f>
        <v>Xbox / PC</v>
      </c>
      <c r="C56" s="20" t="str">
        <f>IFERROR(__xludf.DUMMYFUNCTION("""COMPUTED_VALUE"""),"Yes")</f>
        <v>Yes</v>
      </c>
      <c r="D56" s="21" t="str">
        <f>IFERROR(__xludf.DUMMYFUNCTION("""COMPUTED_VALUE"""),"Removed")</f>
        <v>Removed</v>
      </c>
      <c r="E56" s="127">
        <f>IFERROR(__xludf.DUMMYFUNCTION("""COMPUTED_VALUE"""),44698.0)</f>
        <v>44698</v>
      </c>
      <c r="F56" s="276">
        <f>IFERROR(__xludf.DUMMYFUNCTION("""COMPUTED_VALUE"""),46188.0)</f>
        <v>46188</v>
      </c>
      <c r="G56" s="27">
        <f>IFERROR(__xludf.DUMMYFUNCTION("""COMPUTED_VALUE"""),48.93333333333333)</f>
        <v>48.93333333</v>
      </c>
      <c r="H56" s="128">
        <f>IFERROR(__xludf.DUMMYFUNCTION("""COMPUTED_VALUE"""),44509.0)</f>
        <v>44509</v>
      </c>
      <c r="I56" s="27">
        <f>IFERROR(__xludf.DUMMYFUNCTION("""COMPUTED_VALUE"""),0.5222222222222223)</f>
        <v>0.5222222222</v>
      </c>
      <c r="J56" s="29">
        <f>IFERROR(__xludf.DUMMYFUNCTION("""COMPUTED_VALUE"""),79.0)</f>
        <v>79</v>
      </c>
      <c r="K56" s="29">
        <f>IFERROR(__xludf.DUMMYFUNCTION("""COMPUTED_VALUE"""),6.0)</f>
        <v>6</v>
      </c>
      <c r="L56" s="31" t="str">
        <f>IFERROR(__xludf.DUMMYFUNCTION("""COMPUTED_VALUE"""),"Simulation")</f>
        <v>Simulation</v>
      </c>
    </row>
    <row r="57">
      <c r="A57" s="17" t="str">
        <f>IFERROR(__xludf.DUMMYFUNCTION("""COMPUTED_VALUE"""),"Teenage Mutant Ninja Turtles: Shredder's Revenge")</f>
        <v>Teenage Mutant Ninja Turtles: Shredder's Revenge</v>
      </c>
      <c r="B57" s="20" t="str">
        <f>IFERROR(__xludf.DUMMYFUNCTION("""COMPUTED_VALUE"""),"Xbox / PC")</f>
        <v>Xbox / PC</v>
      </c>
      <c r="C57" s="20" t="str">
        <f>IFERROR(__xludf.DUMMYFUNCTION("""COMPUTED_VALUE"""),"Touch Controls")</f>
        <v>Touch Controls</v>
      </c>
      <c r="D57" s="21" t="str">
        <f>IFERROR(__xludf.DUMMYFUNCTION("""COMPUTED_VALUE"""),"Removed")</f>
        <v>Removed</v>
      </c>
      <c r="E57" s="127">
        <f>IFERROR(__xludf.DUMMYFUNCTION("""COMPUTED_VALUE"""),44728.0)</f>
        <v>44728</v>
      </c>
      <c r="F57" s="276">
        <f>IFERROR(__xludf.DUMMYFUNCTION("""COMPUTED_VALUE"""),46188.0)</f>
        <v>46188</v>
      </c>
      <c r="G57" s="27">
        <f>IFERROR(__xludf.DUMMYFUNCTION("""COMPUTED_VALUE"""),47.96666666666667)</f>
        <v>47.96666667</v>
      </c>
      <c r="H57" s="128">
        <f>IFERROR(__xludf.DUMMYFUNCTION("""COMPUTED_VALUE"""),44728.0)</f>
        <v>44728</v>
      </c>
      <c r="I57" s="27">
        <f>IFERROR(__xludf.DUMMYFUNCTION("""COMPUTED_VALUE"""),0.0)</f>
        <v>0</v>
      </c>
      <c r="J57" s="29">
        <f>IFERROR(__xludf.DUMMYFUNCTION("""COMPUTED_VALUE"""),86.0)</f>
        <v>86</v>
      </c>
      <c r="K57" s="29">
        <f>IFERROR(__xludf.DUMMYFUNCTION("""COMPUTED_VALUE"""),2.5)</f>
        <v>2.5</v>
      </c>
      <c r="L57" s="31" t="str">
        <f>IFERROR(__xludf.DUMMYFUNCTION("""COMPUTED_VALUE"""),"Brawler")</f>
        <v>Brawler</v>
      </c>
    </row>
    <row r="58">
      <c r="A58" s="17" t="str">
        <f>IFERROR(__xludf.DUMMYFUNCTION("""COMPUTED_VALUE"""),"Lost In Random")</f>
        <v>Lost In Random</v>
      </c>
      <c r="B58" s="20" t="str">
        <f>IFERROR(__xludf.DUMMYFUNCTION("""COMPUTED_VALUE"""),"Xbox / PC")</f>
        <v>Xbox / PC</v>
      </c>
      <c r="C58" s="20" t="str">
        <f>IFERROR(__xludf.DUMMYFUNCTION("""COMPUTED_VALUE"""),"Touch Controls")</f>
        <v>Touch Controls</v>
      </c>
      <c r="D58" s="21" t="str">
        <f>IFERROR(__xludf.DUMMYFUNCTION("""COMPUTED_VALUE"""),"Removed")</f>
        <v>Removed</v>
      </c>
      <c r="E58" s="127">
        <f>IFERROR(__xludf.DUMMYFUNCTION("""COMPUTED_VALUE"""),44663.0)</f>
        <v>44663</v>
      </c>
      <c r="F58" s="276">
        <f>IFERROR(__xludf.DUMMYFUNCTION("""COMPUTED_VALUE"""),46188.0)</f>
        <v>46188</v>
      </c>
      <c r="G58" s="27">
        <f>IFERROR(__xludf.DUMMYFUNCTION("""COMPUTED_VALUE"""),50.099999999999994)</f>
        <v>50.1</v>
      </c>
      <c r="H58" s="128">
        <f>IFERROR(__xludf.DUMMYFUNCTION("""COMPUTED_VALUE"""),44449.0)</f>
        <v>44449</v>
      </c>
      <c r="I58" s="27">
        <f>IFERROR(__xludf.DUMMYFUNCTION("""COMPUTED_VALUE"""),0.5888888888888889)</f>
        <v>0.5888888889</v>
      </c>
      <c r="J58" s="29">
        <f>IFERROR(__xludf.DUMMYFUNCTION("""COMPUTED_VALUE"""),76.0)</f>
        <v>76</v>
      </c>
      <c r="K58" s="29">
        <f>IFERROR(__xludf.DUMMYFUNCTION("""COMPUTED_VALUE"""),11.5)</f>
        <v>11.5</v>
      </c>
      <c r="L58" s="31" t="str">
        <f>IFERROR(__xludf.DUMMYFUNCTION("""COMPUTED_VALUE"""),"RPG")</f>
        <v>RPG</v>
      </c>
    </row>
    <row r="59">
      <c r="A59" s="17" t="str">
        <f>IFERROR(__xludf.DUMMYFUNCTION("""COMPUTED_VALUE"""),"Persona 4: Golden")</f>
        <v>Persona 4: Golden</v>
      </c>
      <c r="B59" s="20" t="str">
        <f>IFERROR(__xludf.DUMMYFUNCTION("""COMPUTED_VALUE"""),"Xbox / PC")</f>
        <v>Xbox / PC</v>
      </c>
      <c r="C59" s="20" t="str">
        <f>IFERROR(__xludf.DUMMYFUNCTION("""COMPUTED_VALUE"""),"Yes")</f>
        <v>Yes</v>
      </c>
      <c r="D59" s="21" t="str">
        <f>IFERROR(__xludf.DUMMYFUNCTION("""COMPUTED_VALUE"""),"Removed")</f>
        <v>Removed</v>
      </c>
      <c r="E59" s="127">
        <f>IFERROR(__xludf.DUMMYFUNCTION("""COMPUTED_VALUE"""),45889.0)</f>
        <v>45889</v>
      </c>
      <c r="F59" s="276">
        <f>IFERROR(__xludf.DUMMYFUNCTION("""COMPUTED_VALUE"""),46173.0)</f>
        <v>46173</v>
      </c>
      <c r="G59" s="27">
        <f>IFERROR(__xludf.DUMMYFUNCTION("""COMPUTED_VALUE"""),9.333333333333334)</f>
        <v>9.333333333</v>
      </c>
      <c r="H59" s="128">
        <f>IFERROR(__xludf.DUMMYFUNCTION("""COMPUTED_VALUE"""),41074.0)</f>
        <v>41074</v>
      </c>
      <c r="I59" s="27">
        <f>IFERROR(__xludf.DUMMYFUNCTION("""COMPUTED_VALUE"""),13.183333333333334)</f>
        <v>13.18333333</v>
      </c>
      <c r="J59" s="277">
        <f>IFERROR(__xludf.DUMMYFUNCTION("""COMPUTED_VALUE"""),90.0)</f>
        <v>90</v>
      </c>
      <c r="K59" s="29">
        <f>IFERROR(__xludf.DUMMYFUNCTION("""COMPUTED_VALUE"""),68.5)</f>
        <v>68.5</v>
      </c>
      <c r="L59" s="31" t="str">
        <f>IFERROR(__xludf.DUMMYFUNCTION("""COMPUTED_VALUE"""),"RPG")</f>
        <v>RPG</v>
      </c>
    </row>
    <row r="60">
      <c r="A60" s="17" t="str">
        <f>IFERROR(__xludf.DUMMYFUNCTION("""COMPUTED_VALUE"""),"Crypt Custodian")</f>
        <v>Crypt Custodian</v>
      </c>
      <c r="B60" s="20" t="str">
        <f>IFERROR(__xludf.DUMMYFUNCTION("""COMPUTED_VALUE"""),"Xbox / PC")</f>
        <v>Xbox / PC</v>
      </c>
      <c r="C60" s="20" t="str">
        <f>IFERROR(__xludf.DUMMYFUNCTION("""COMPUTED_VALUE"""),"Yes")</f>
        <v>Yes</v>
      </c>
      <c r="D60" s="21" t="str">
        <f>IFERROR(__xludf.DUMMYFUNCTION("""COMPUTED_VALUE"""),"Removed")</f>
        <v>Removed</v>
      </c>
      <c r="E60" s="127">
        <f>IFERROR(__xludf.DUMMYFUNCTION("""COMPUTED_VALUE"""),45811.0)</f>
        <v>45811</v>
      </c>
      <c r="F60" s="276">
        <f>IFERROR(__xludf.DUMMYFUNCTION("""COMPUTED_VALUE"""),46173.0)</f>
        <v>46173</v>
      </c>
      <c r="G60" s="27">
        <f>IFERROR(__xludf.DUMMYFUNCTION("""COMPUTED_VALUE"""),11.9)</f>
        <v>11.9</v>
      </c>
      <c r="H60" s="128">
        <f>IFERROR(__xludf.DUMMYFUNCTION("""COMPUTED_VALUE"""),45531.0)</f>
        <v>45531</v>
      </c>
      <c r="I60" s="27">
        <f>IFERROR(__xludf.DUMMYFUNCTION("""COMPUTED_VALUE"""),0.7666666666666667)</f>
        <v>0.7666666667</v>
      </c>
      <c r="J60" s="29">
        <f>IFERROR(__xludf.DUMMYFUNCTION("""COMPUTED_VALUE"""),82.0)</f>
        <v>82</v>
      </c>
      <c r="K60" s="29">
        <f>IFERROR(__xludf.DUMMYFUNCTION("""COMPUTED_VALUE"""),10.0)</f>
        <v>10</v>
      </c>
      <c r="L60" s="31" t="str">
        <f>IFERROR(__xludf.DUMMYFUNCTION("""COMPUTED_VALUE"""),"Action-Adventure")</f>
        <v>Action-Adventure</v>
      </c>
    </row>
    <row r="61">
      <c r="A61" s="17" t="str">
        <f>IFERROR(__xludf.DUMMYFUNCTION("""COMPUTED_VALUE"""),"Spray Paint Simulator")</f>
        <v>Spray Paint Simulator</v>
      </c>
      <c r="B61" s="20" t="str">
        <f>IFERROR(__xludf.DUMMYFUNCTION("""COMPUTED_VALUE"""),"Xbox / PC")</f>
        <v>Xbox / PC</v>
      </c>
      <c r="C61" s="20" t="str">
        <f>IFERROR(__xludf.DUMMYFUNCTION("""COMPUTED_VALUE"""),"Yes")</f>
        <v>Yes</v>
      </c>
      <c r="D61" s="21" t="str">
        <f>IFERROR(__xludf.DUMMYFUNCTION("""COMPUTED_VALUE"""),"Removed")</f>
        <v>Removed</v>
      </c>
      <c r="E61" s="127">
        <f>IFERROR(__xludf.DUMMYFUNCTION("""COMPUTED_VALUE"""),45806.0)</f>
        <v>45806</v>
      </c>
      <c r="F61" s="276">
        <f>IFERROR(__xludf.DUMMYFUNCTION("""COMPUTED_VALUE"""),46173.0)</f>
        <v>46173</v>
      </c>
      <c r="G61" s="27">
        <f>IFERROR(__xludf.DUMMYFUNCTION("""COMPUTED_VALUE"""),12.033333333333333)</f>
        <v>12.03333333</v>
      </c>
      <c r="H61" s="128">
        <f>IFERROR(__xludf.DUMMYFUNCTION("""COMPUTED_VALUE"""),45806.0)</f>
        <v>45806</v>
      </c>
      <c r="I61" s="27">
        <f>IFERROR(__xludf.DUMMYFUNCTION("""COMPUTED_VALUE"""),0.0)</f>
        <v>0</v>
      </c>
      <c r="J61" s="29">
        <f>IFERROR(__xludf.DUMMYFUNCTION("""COMPUTED_VALUE"""),78.0)</f>
        <v>78</v>
      </c>
      <c r="K61" s="29">
        <f>IFERROR(__xludf.DUMMYFUNCTION("""COMPUTED_VALUE"""),9.0)</f>
        <v>9</v>
      </c>
      <c r="L61" s="31" t="str">
        <f>IFERROR(__xludf.DUMMYFUNCTION("""COMPUTED_VALUE"""),"Simulation")</f>
        <v>Simulation</v>
      </c>
    </row>
    <row r="62">
      <c r="A62" s="17" t="str">
        <f>IFERROR(__xludf.DUMMYFUNCTION("""COMPUTED_VALUE"""),"Metaphor: ReFantazio")</f>
        <v>Metaphor: ReFantazio</v>
      </c>
      <c r="B62" s="20" t="str">
        <f>IFERROR(__xludf.DUMMYFUNCTION("""COMPUTED_VALUE"""),"Xbox / PC")</f>
        <v>Xbox / PC</v>
      </c>
      <c r="C62" s="20" t="str">
        <f>IFERROR(__xludf.DUMMYFUNCTION("""COMPUTED_VALUE"""),"Yes")</f>
        <v>Yes</v>
      </c>
      <c r="D62" s="21" t="str">
        <f>IFERROR(__xludf.DUMMYFUNCTION("""COMPUTED_VALUE"""),"Removed")</f>
        <v>Removed</v>
      </c>
      <c r="E62" s="127">
        <f>IFERROR(__xludf.DUMMYFUNCTION("""COMPUTED_VALUE"""),45806.0)</f>
        <v>45806</v>
      </c>
      <c r="F62" s="276">
        <f>IFERROR(__xludf.DUMMYFUNCTION("""COMPUTED_VALUE"""),46173.0)</f>
        <v>46173</v>
      </c>
      <c r="G62" s="27">
        <f>IFERROR(__xludf.DUMMYFUNCTION("""COMPUTED_VALUE"""),12.033333333333333)</f>
        <v>12.03333333</v>
      </c>
      <c r="H62" s="128">
        <f>IFERROR(__xludf.DUMMYFUNCTION("""COMPUTED_VALUE"""),45576.0)</f>
        <v>45576</v>
      </c>
      <c r="I62" s="27">
        <f>IFERROR(__xludf.DUMMYFUNCTION("""COMPUTED_VALUE"""),0.6333333333333333)</f>
        <v>0.6333333333</v>
      </c>
      <c r="J62" s="29">
        <f>IFERROR(__xludf.DUMMYFUNCTION("""COMPUTED_VALUE"""),94.0)</f>
        <v>94</v>
      </c>
      <c r="K62" s="29">
        <f>IFERROR(__xludf.DUMMYFUNCTION("""COMPUTED_VALUE"""),66.0)</f>
        <v>66</v>
      </c>
      <c r="L62" s="31" t="str">
        <f>IFERROR(__xludf.DUMMYFUNCTION("""COMPUTED_VALUE"""),"RPG")</f>
        <v>RPG</v>
      </c>
    </row>
    <row r="63">
      <c r="A63" s="17" t="str">
        <f>IFERROR(__xludf.DUMMYFUNCTION("""COMPUTED_VALUE"""),"Against the Storm")</f>
        <v>Against the Storm</v>
      </c>
      <c r="B63" s="20" t="str">
        <f>IFERROR(__xludf.DUMMYFUNCTION("""COMPUTED_VALUE"""),"Xbox / PC")</f>
        <v>Xbox / PC</v>
      </c>
      <c r="C63" s="20"/>
      <c r="D63" s="21" t="str">
        <f>IFERROR(__xludf.DUMMYFUNCTION("""COMPUTED_VALUE"""),"Removed")</f>
        <v>Removed</v>
      </c>
      <c r="E63" s="127">
        <f>IFERROR(__xludf.DUMMYFUNCTION("""COMPUTED_VALUE"""),45268.0)</f>
        <v>45268</v>
      </c>
      <c r="F63" s="276">
        <f>IFERROR(__xludf.DUMMYFUNCTION("""COMPUTED_VALUE"""),46173.0)</f>
        <v>46173</v>
      </c>
      <c r="G63" s="27">
        <f>IFERROR(__xludf.DUMMYFUNCTION("""COMPUTED_VALUE"""),29.733333333333334)</f>
        <v>29.73333333</v>
      </c>
      <c r="H63" s="128">
        <f>IFERROR(__xludf.DUMMYFUNCTION("""COMPUTED_VALUE"""),44487.0)</f>
        <v>44487</v>
      </c>
      <c r="I63" s="27">
        <f>IFERROR(__xludf.DUMMYFUNCTION("""COMPUTED_VALUE"""),2.138888888888889)</f>
        <v>2.138888889</v>
      </c>
      <c r="J63" s="29">
        <f>IFERROR(__xludf.DUMMYFUNCTION("""COMPUTED_VALUE"""),90.0)</f>
        <v>90</v>
      </c>
      <c r="K63" s="29">
        <f>IFERROR(__xludf.DUMMYFUNCTION("""COMPUTED_VALUE"""),93.0)</f>
        <v>93</v>
      </c>
      <c r="L63" s="31" t="str">
        <f>IFERROR(__xludf.DUMMYFUNCTION("""COMPUTED_VALUE"""),"Strategy")</f>
        <v>Strategy</v>
      </c>
    </row>
    <row r="64">
      <c r="A64" s="17" t="str">
        <f>IFERROR(__xludf.DUMMYFUNCTION("""COMPUTED_VALUE"""),"PAW Patrol Rescue Wheels: Championship")</f>
        <v>PAW Patrol Rescue Wheels: Championship</v>
      </c>
      <c r="B64" s="20" t="str">
        <f>IFERROR(__xludf.DUMMYFUNCTION("""COMPUTED_VALUE"""),"Xbox / PC")</f>
        <v>Xbox / PC</v>
      </c>
      <c r="C64" s="20" t="str">
        <f>IFERROR(__xludf.DUMMYFUNCTION("""COMPUTED_VALUE"""),"Yes")</f>
        <v>Yes</v>
      </c>
      <c r="D64" s="21" t="str">
        <f>IFERROR(__xludf.DUMMYFUNCTION("""COMPUTED_VALUE"""),"Removed")</f>
        <v>Removed</v>
      </c>
      <c r="E64" s="127">
        <f>IFERROR(__xludf.DUMMYFUNCTION("""COMPUTED_VALUE"""),46058.0)</f>
        <v>46058</v>
      </c>
      <c r="F64" s="276">
        <f>IFERROR(__xludf.DUMMYFUNCTION("""COMPUTED_VALUE"""),46157.0)</f>
        <v>46157</v>
      </c>
      <c r="G64" s="27">
        <f>IFERROR(__xludf.DUMMYFUNCTION("""COMPUTED_VALUE"""),3.3333333333333335)</f>
        <v>3.333333333</v>
      </c>
      <c r="H64" s="128">
        <f>IFERROR(__xludf.DUMMYFUNCTION("""COMPUTED_VALUE"""),45961.0)</f>
        <v>45961</v>
      </c>
      <c r="I64" s="27">
        <f>IFERROR(__xludf.DUMMYFUNCTION("""COMPUTED_VALUE"""),0.2638888888888889)</f>
        <v>0.2638888889</v>
      </c>
      <c r="J64" s="29">
        <f>IFERROR(__xludf.DUMMYFUNCTION("""COMPUTED_VALUE"""),63.0)</f>
        <v>63</v>
      </c>
      <c r="K64" s="29">
        <f>IFERROR(__xludf.DUMMYFUNCTION("""COMPUTED_VALUE"""),4.0)</f>
        <v>4</v>
      </c>
      <c r="L64" s="31" t="str">
        <f>IFERROR(__xludf.DUMMYFUNCTION("""COMPUTED_VALUE"""),"Racing")</f>
        <v>Racing</v>
      </c>
    </row>
    <row r="65">
      <c r="A65" s="17" t="str">
        <f>IFERROR(__xludf.DUMMYFUNCTION("""COMPUTED_VALUE"""),"Kulebra and the Souls of Limbo")</f>
        <v>Kulebra and the Souls of Limbo</v>
      </c>
      <c r="B65" s="20" t="str">
        <f>IFERROR(__xludf.DUMMYFUNCTION("""COMPUTED_VALUE"""),"Xbox / PC")</f>
        <v>Xbox / PC</v>
      </c>
      <c r="C65" s="20" t="str">
        <f>IFERROR(__xludf.DUMMYFUNCTION("""COMPUTED_VALUE"""),"Yes")</f>
        <v>Yes</v>
      </c>
      <c r="D65" s="21" t="str">
        <f>IFERROR(__xludf.DUMMYFUNCTION("""COMPUTED_VALUE"""),"Removed")</f>
        <v>Removed</v>
      </c>
      <c r="E65" s="127">
        <f>IFERROR(__xludf.DUMMYFUNCTION("""COMPUTED_VALUE"""),45793.0)</f>
        <v>45793</v>
      </c>
      <c r="F65" s="276">
        <f>IFERROR(__xludf.DUMMYFUNCTION("""COMPUTED_VALUE"""),46157.0)</f>
        <v>46157</v>
      </c>
      <c r="G65" s="27">
        <f>IFERROR(__xludf.DUMMYFUNCTION("""COMPUTED_VALUE"""),11.966666666666667)</f>
        <v>11.96666667</v>
      </c>
      <c r="H65" s="128">
        <f>IFERROR(__xludf.DUMMYFUNCTION("""COMPUTED_VALUE"""),45793.0)</f>
        <v>45793</v>
      </c>
      <c r="I65" s="27">
        <f>IFERROR(__xludf.DUMMYFUNCTION("""COMPUTED_VALUE"""),0.0)</f>
        <v>0</v>
      </c>
      <c r="J65" s="29">
        <f>IFERROR(__xludf.DUMMYFUNCTION("""COMPUTED_VALUE"""),73.0)</f>
        <v>73</v>
      </c>
      <c r="K65" s="29">
        <f>IFERROR(__xludf.DUMMYFUNCTION("""COMPUTED_VALUE"""),10.0)</f>
        <v>10</v>
      </c>
      <c r="L65" s="31" t="str">
        <f>IFERROR(__xludf.DUMMYFUNCTION("""COMPUTED_VALUE"""),"Action-Adventure")</f>
        <v>Action-Adventure</v>
      </c>
    </row>
    <row r="66">
      <c r="A66" s="17" t="str">
        <f>IFERROR(__xludf.DUMMYFUNCTION("""COMPUTED_VALUE"""),"Galacticare")</f>
        <v>Galacticare</v>
      </c>
      <c r="B66" s="20" t="str">
        <f>IFERROR(__xludf.DUMMYFUNCTION("""COMPUTED_VALUE"""),"Xbox / PC")</f>
        <v>Xbox / PC</v>
      </c>
      <c r="C66" s="20" t="str">
        <f>IFERROR(__xludf.DUMMYFUNCTION("""COMPUTED_VALUE"""),"Yes")</f>
        <v>Yes</v>
      </c>
      <c r="D66" s="21" t="str">
        <f>IFERROR(__xludf.DUMMYFUNCTION("""COMPUTED_VALUE"""),"Removed")</f>
        <v>Removed</v>
      </c>
      <c r="E66" s="127">
        <f>IFERROR(__xludf.DUMMYFUNCTION("""COMPUTED_VALUE"""),45435.0)</f>
        <v>45435</v>
      </c>
      <c r="F66" s="276">
        <f>IFERROR(__xludf.DUMMYFUNCTION("""COMPUTED_VALUE"""),46157.0)</f>
        <v>46157</v>
      </c>
      <c r="G66" s="27">
        <f>IFERROR(__xludf.DUMMYFUNCTION("""COMPUTED_VALUE"""),23.733333333333334)</f>
        <v>23.73333333</v>
      </c>
      <c r="H66" s="128">
        <f>IFERROR(__xludf.DUMMYFUNCTION("""COMPUTED_VALUE"""),45435.0)</f>
        <v>45435</v>
      </c>
      <c r="I66" s="27">
        <f>IFERROR(__xludf.DUMMYFUNCTION("""COMPUTED_VALUE"""),0.0)</f>
        <v>0</v>
      </c>
      <c r="J66" s="277">
        <f>IFERROR(__xludf.DUMMYFUNCTION("""COMPUTED_VALUE"""),80.0)</f>
        <v>80</v>
      </c>
      <c r="K66" s="29">
        <f>IFERROR(__xludf.DUMMYFUNCTION("""COMPUTED_VALUE"""),20.0)</f>
        <v>20</v>
      </c>
      <c r="L66" s="31" t="str">
        <f>IFERROR(__xludf.DUMMYFUNCTION("""COMPUTED_VALUE"""),"Tycoon")</f>
        <v>Tycoon</v>
      </c>
    </row>
    <row r="67">
      <c r="A67" s="17" t="str">
        <f>IFERROR(__xludf.DUMMYFUNCTION("""COMPUTED_VALUE"""),"Go Mecha Ball")</f>
        <v>Go Mecha Ball</v>
      </c>
      <c r="B67" s="20" t="str">
        <f>IFERROR(__xludf.DUMMYFUNCTION("""COMPUTED_VALUE"""),"Xbox / PC")</f>
        <v>Xbox / PC</v>
      </c>
      <c r="C67" s="20" t="str">
        <f>IFERROR(__xludf.DUMMYFUNCTION("""COMPUTED_VALUE"""),"Yes")</f>
        <v>Yes</v>
      </c>
      <c r="D67" s="21" t="str">
        <f>IFERROR(__xludf.DUMMYFUNCTION("""COMPUTED_VALUE"""),"Removed")</f>
        <v>Removed</v>
      </c>
      <c r="E67" s="127">
        <f>IFERROR(__xludf.DUMMYFUNCTION("""COMPUTED_VALUE"""),45316.0)</f>
        <v>45316</v>
      </c>
      <c r="F67" s="276">
        <f>IFERROR(__xludf.DUMMYFUNCTION("""COMPUTED_VALUE"""),46157.0)</f>
        <v>46157</v>
      </c>
      <c r="G67" s="27">
        <f>IFERROR(__xludf.DUMMYFUNCTION("""COMPUTED_VALUE"""),27.666666666666664)</f>
        <v>27.66666667</v>
      </c>
      <c r="H67" s="128">
        <f>IFERROR(__xludf.DUMMYFUNCTION("""COMPUTED_VALUE"""),45316.0)</f>
        <v>45316</v>
      </c>
      <c r="I67" s="27">
        <f>IFERROR(__xludf.DUMMYFUNCTION("""COMPUTED_VALUE"""),0.0)</f>
        <v>0</v>
      </c>
      <c r="J67" s="277">
        <f>IFERROR(__xludf.DUMMYFUNCTION("""COMPUTED_VALUE"""),68.0)</f>
        <v>68</v>
      </c>
      <c r="K67" s="29">
        <f>IFERROR(__xludf.DUMMYFUNCTION("""COMPUTED_VALUE"""),3.0)</f>
        <v>3</v>
      </c>
      <c r="L67" s="31" t="str">
        <f>IFERROR(__xludf.DUMMYFUNCTION("""COMPUTED_VALUE"""),"Action")</f>
        <v>Action</v>
      </c>
    </row>
    <row r="68">
      <c r="A68" s="17" t="str">
        <f>IFERROR(__xludf.DUMMYFUNCTION("""COMPUTED_VALUE"""),"Planet of Lana")</f>
        <v>Planet of Lana</v>
      </c>
      <c r="B68" s="20" t="str">
        <f>IFERROR(__xludf.DUMMYFUNCTION("""COMPUTED_VALUE"""),"Xbox / PC")</f>
        <v>Xbox / PC</v>
      </c>
      <c r="C68" s="20" t="str">
        <f>IFERROR(__xludf.DUMMYFUNCTION("""COMPUTED_VALUE"""),"Yes")</f>
        <v>Yes</v>
      </c>
      <c r="D68" s="21" t="str">
        <f>IFERROR(__xludf.DUMMYFUNCTION("""COMPUTED_VALUE"""),"Removed")</f>
        <v>Removed</v>
      </c>
      <c r="E68" s="127">
        <f>IFERROR(__xludf.DUMMYFUNCTION("""COMPUTED_VALUE"""),45069.0)</f>
        <v>45069</v>
      </c>
      <c r="F68" s="276">
        <f>IFERROR(__xludf.DUMMYFUNCTION("""COMPUTED_VALUE"""),46157.0)</f>
        <v>46157</v>
      </c>
      <c r="G68" s="27">
        <f>IFERROR(__xludf.DUMMYFUNCTION("""COMPUTED_VALUE"""),35.733333333333334)</f>
        <v>35.73333333</v>
      </c>
      <c r="H68" s="128">
        <f>IFERROR(__xludf.DUMMYFUNCTION("""COMPUTED_VALUE"""),45069.0)</f>
        <v>45069</v>
      </c>
      <c r="I68" s="27">
        <f>IFERROR(__xludf.DUMMYFUNCTION("""COMPUTED_VALUE"""),0.0)</f>
        <v>0</v>
      </c>
      <c r="J68" s="277">
        <f>IFERROR(__xludf.DUMMYFUNCTION("""COMPUTED_VALUE"""),80.0)</f>
        <v>80</v>
      </c>
      <c r="K68" s="29">
        <f>IFERROR(__xludf.DUMMYFUNCTION("""COMPUTED_VALUE"""),5.0)</f>
        <v>5</v>
      </c>
      <c r="L68" s="31" t="str">
        <f>IFERROR(__xludf.DUMMYFUNCTION("""COMPUTED_VALUE"""),"Action-Adventure")</f>
        <v>Action-Adventure</v>
      </c>
    </row>
    <row r="69">
      <c r="A69" s="17" t="str">
        <f>IFERROR(__xludf.DUMMYFUNCTION("""COMPUTED_VALUE"""),"ENDLESS Legend II (Game Preview)")</f>
        <v>ENDLESS Legend II (Game Preview)</v>
      </c>
      <c r="B69" s="20" t="str">
        <f>IFERROR(__xludf.DUMMYFUNCTION("""COMPUTED_VALUE"""),"PC")</f>
        <v>PC</v>
      </c>
      <c r="C69" s="20"/>
      <c r="D69" s="21" t="str">
        <f>IFERROR(__xludf.DUMMYFUNCTION("""COMPUTED_VALUE"""),"Removed")</f>
        <v>Removed</v>
      </c>
      <c r="E69" s="127">
        <f>IFERROR(__xludf.DUMMYFUNCTION("""COMPUTED_VALUE"""),45922.0)</f>
        <v>45922</v>
      </c>
      <c r="F69" s="276">
        <f>IFERROR(__xludf.DUMMYFUNCTION("""COMPUTED_VALUE"""),46142.0)</f>
        <v>46142</v>
      </c>
      <c r="G69" s="27">
        <f>IFERROR(__xludf.DUMMYFUNCTION("""COMPUTED_VALUE"""),7.266666666666666)</f>
        <v>7.266666667</v>
      </c>
      <c r="H69" s="128">
        <f>IFERROR(__xludf.DUMMYFUNCTION("""COMPUTED_VALUE"""),45922.0)</f>
        <v>45922</v>
      </c>
      <c r="I69" s="27">
        <f>IFERROR(__xludf.DUMMYFUNCTION("""COMPUTED_VALUE"""),0.0)</f>
        <v>0</v>
      </c>
      <c r="J69" s="29"/>
      <c r="K69" s="29">
        <f>IFERROR(__xludf.DUMMYFUNCTION("""COMPUTED_VALUE"""),9.0)</f>
        <v>9</v>
      </c>
      <c r="L69" s="31" t="str">
        <f>IFERROR(__xludf.DUMMYFUNCTION("""COMPUTED_VALUE"""),"Strategy")</f>
        <v>Strategy</v>
      </c>
    </row>
    <row r="70">
      <c r="A70" s="17" t="str">
        <f>IFERROR(__xludf.DUMMYFUNCTION("""COMPUTED_VALUE"""),"Revenge of the Savage Planet")</f>
        <v>Revenge of the Savage Planet</v>
      </c>
      <c r="B70" s="20" t="str">
        <f>IFERROR(__xludf.DUMMYFUNCTION("""COMPUTED_VALUE"""),"Xbox / PC")</f>
        <v>Xbox / PC</v>
      </c>
      <c r="C70" s="20" t="str">
        <f>IFERROR(__xludf.DUMMYFUNCTION("""COMPUTED_VALUE"""),"Yes")</f>
        <v>Yes</v>
      </c>
      <c r="D70" s="21" t="str">
        <f>IFERROR(__xludf.DUMMYFUNCTION("""COMPUTED_VALUE"""),"Removed")</f>
        <v>Removed</v>
      </c>
      <c r="E70" s="127">
        <f>IFERROR(__xludf.DUMMYFUNCTION("""COMPUTED_VALUE"""),45785.0)</f>
        <v>45785</v>
      </c>
      <c r="F70" s="276">
        <f>IFERROR(__xludf.DUMMYFUNCTION("""COMPUTED_VALUE"""),46142.0)</f>
        <v>46142</v>
      </c>
      <c r="G70" s="27">
        <f>IFERROR(__xludf.DUMMYFUNCTION("""COMPUTED_VALUE"""),11.733333333333333)</f>
        <v>11.73333333</v>
      </c>
      <c r="H70" s="128">
        <f>IFERROR(__xludf.DUMMYFUNCTION("""COMPUTED_VALUE"""),45785.0)</f>
        <v>45785</v>
      </c>
      <c r="I70" s="27">
        <f>IFERROR(__xludf.DUMMYFUNCTION("""COMPUTED_VALUE"""),0.0)</f>
        <v>0</v>
      </c>
      <c r="J70" s="277">
        <f>IFERROR(__xludf.DUMMYFUNCTION("""COMPUTED_VALUE"""),77.0)</f>
        <v>77</v>
      </c>
      <c r="K70" s="29">
        <f>IFERROR(__xludf.DUMMYFUNCTION("""COMPUTED_VALUE"""),9.0)</f>
        <v>9</v>
      </c>
      <c r="L70" s="31" t="str">
        <f>IFERROR(__xludf.DUMMYFUNCTION("""COMPUTED_VALUE"""),"Action-Adventure")</f>
        <v>Action-Adventure</v>
      </c>
    </row>
    <row r="71">
      <c r="A71" s="17" t="str">
        <f>IFERROR(__xludf.DUMMYFUNCTION("""COMPUTED_VALUE"""),"Dragon Ball Xenoverse 2")</f>
        <v>Dragon Ball Xenoverse 2</v>
      </c>
      <c r="B71" s="20" t="str">
        <f>IFERROR(__xludf.DUMMYFUNCTION("""COMPUTED_VALUE"""),"Xbox / PC")</f>
        <v>Xbox / PC</v>
      </c>
      <c r="C71" s="20" t="str">
        <f>IFERROR(__xludf.DUMMYFUNCTION("""COMPUTED_VALUE"""),"Yes")</f>
        <v>Yes</v>
      </c>
      <c r="D71" s="21" t="str">
        <f>IFERROR(__xludf.DUMMYFUNCTION("""COMPUTED_VALUE"""),"Removed")</f>
        <v>Removed</v>
      </c>
      <c r="E71" s="127">
        <f>IFERROR(__xludf.DUMMYFUNCTION("""COMPUTED_VALUE"""),45784.0)</f>
        <v>45784</v>
      </c>
      <c r="F71" s="276">
        <f>IFERROR(__xludf.DUMMYFUNCTION("""COMPUTED_VALUE"""),46142.0)</f>
        <v>46142</v>
      </c>
      <c r="G71" s="27">
        <f>IFERROR(__xludf.DUMMYFUNCTION("""COMPUTED_VALUE"""),11.766666666666666)</f>
        <v>11.76666667</v>
      </c>
      <c r="H71" s="128">
        <f>IFERROR(__xludf.DUMMYFUNCTION("""COMPUTED_VALUE"""),42668.0)</f>
        <v>42668</v>
      </c>
      <c r="I71" s="27">
        <f>IFERROR(__xludf.DUMMYFUNCTION("""COMPUTED_VALUE"""),8.533333333333333)</f>
        <v>8.533333333</v>
      </c>
      <c r="J71" s="277">
        <f>IFERROR(__xludf.DUMMYFUNCTION("""COMPUTED_VALUE"""),72.0)</f>
        <v>72</v>
      </c>
      <c r="K71" s="29">
        <f>IFERROR(__xludf.DUMMYFUNCTION("""COMPUTED_VALUE"""),20.0)</f>
        <v>20</v>
      </c>
      <c r="L71" s="31" t="str">
        <f>IFERROR(__xludf.DUMMYFUNCTION("""COMPUTED_VALUE"""),"Fighting")</f>
        <v>Fighting</v>
      </c>
    </row>
    <row r="72">
      <c r="A72" s="17" t="str">
        <f>IFERROR(__xludf.DUMMYFUNCTION("""COMPUTED_VALUE"""),"Hunt: Showdown 1896")</f>
        <v>Hunt: Showdown 1896</v>
      </c>
      <c r="B72" s="20" t="str">
        <f>IFERROR(__xludf.DUMMYFUNCTION("""COMPUTED_VALUE"""),"Xbox / PC")</f>
        <v>Xbox / PC</v>
      </c>
      <c r="C72" s="20" t="str">
        <f>IFERROR(__xludf.DUMMYFUNCTION("""COMPUTED_VALUE"""),"Yes")</f>
        <v>Yes</v>
      </c>
      <c r="D72" s="21" t="str">
        <f>IFERROR(__xludf.DUMMYFUNCTION("""COMPUTED_VALUE"""),"Removed")</f>
        <v>Removed</v>
      </c>
      <c r="E72" s="127">
        <f>IFERROR(__xludf.DUMMYFUNCTION("""COMPUTED_VALUE"""),45638.0)</f>
        <v>45638</v>
      </c>
      <c r="F72" s="24">
        <f>IFERROR(__xludf.DUMMYFUNCTION("""COMPUTED_VALUE"""),46142.0)</f>
        <v>46142</v>
      </c>
      <c r="G72" s="27">
        <f>IFERROR(__xludf.DUMMYFUNCTION("""COMPUTED_VALUE"""),16.6)</f>
        <v>16.6</v>
      </c>
      <c r="H72" s="128">
        <f>IFERROR(__xludf.DUMMYFUNCTION("""COMPUTED_VALUE"""),45519.0)</f>
        <v>45519</v>
      </c>
      <c r="I72" s="27">
        <f>IFERROR(__xludf.DUMMYFUNCTION("""COMPUTED_VALUE"""),0.325)</f>
        <v>0.325</v>
      </c>
      <c r="J72" s="29">
        <f>IFERROR(__xludf.DUMMYFUNCTION("""COMPUTED_VALUE"""),80.0)</f>
        <v>80</v>
      </c>
      <c r="K72" s="29">
        <f>IFERROR(__xludf.DUMMYFUNCTION("""COMPUTED_VALUE"""),41.0)</f>
        <v>41</v>
      </c>
      <c r="L72" s="31" t="str">
        <f>IFERROR(__xludf.DUMMYFUNCTION("""COMPUTED_VALUE"""),"Shooter")</f>
        <v>Shooter</v>
      </c>
    </row>
    <row r="73">
      <c r="A73" s="17" t="str">
        <f>IFERROR(__xludf.DUMMYFUNCTION("""COMPUTED_VALUE"""),"Goat Simulator: Remastered")</f>
        <v>Goat Simulator: Remastered</v>
      </c>
      <c r="B73" s="20" t="str">
        <f>IFERROR(__xludf.DUMMYFUNCTION("""COMPUTED_VALUE"""),"Xbox / PC")</f>
        <v>Xbox / PC</v>
      </c>
      <c r="C73" s="20" t="str">
        <f>IFERROR(__xludf.DUMMYFUNCTION("""COMPUTED_VALUE"""),"Yes")</f>
        <v>Yes</v>
      </c>
      <c r="D73" s="21" t="str">
        <f>IFERROR(__xludf.DUMMYFUNCTION("""COMPUTED_VALUE"""),"Removed")</f>
        <v>Removed</v>
      </c>
      <c r="E73" s="127">
        <f>IFERROR(__xludf.DUMMYFUNCTION("""COMPUTED_VALUE"""),45603.0)</f>
        <v>45603</v>
      </c>
      <c r="F73" s="276">
        <f>IFERROR(__xludf.DUMMYFUNCTION("""COMPUTED_VALUE"""),46142.0)</f>
        <v>46142</v>
      </c>
      <c r="G73" s="27">
        <f>IFERROR(__xludf.DUMMYFUNCTION("""COMPUTED_VALUE"""),17.766666666666666)</f>
        <v>17.76666667</v>
      </c>
      <c r="H73" s="128">
        <f>IFERROR(__xludf.DUMMYFUNCTION("""COMPUTED_VALUE"""),45603.0)</f>
        <v>45603</v>
      </c>
      <c r="I73" s="27">
        <f>IFERROR(__xludf.DUMMYFUNCTION("""COMPUTED_VALUE"""),0.0)</f>
        <v>0</v>
      </c>
      <c r="J73" s="29">
        <f>IFERROR(__xludf.DUMMYFUNCTION("""COMPUTED_VALUE"""),65.0)</f>
        <v>65</v>
      </c>
      <c r="K73" s="29">
        <f>IFERROR(__xludf.DUMMYFUNCTION("""COMPUTED_VALUE"""),3.0)</f>
        <v>3</v>
      </c>
      <c r="L73" s="31" t="str">
        <f>IFERROR(__xludf.DUMMYFUNCTION("""COMPUTED_VALUE"""),"Action-Adventure")</f>
        <v>Action-Adventure</v>
      </c>
    </row>
    <row r="74">
      <c r="A74" s="17" t="str">
        <f>IFERROR(__xludf.DUMMYFUNCTION("""COMPUTED_VALUE"""),"Creatures of Ava")</f>
        <v>Creatures of Ava</v>
      </c>
      <c r="B74" s="20" t="str">
        <f>IFERROR(__xludf.DUMMYFUNCTION("""COMPUTED_VALUE"""),"Xbox / PC")</f>
        <v>Xbox / PC</v>
      </c>
      <c r="C74" s="20" t="str">
        <f>IFERROR(__xludf.DUMMYFUNCTION("""COMPUTED_VALUE"""),"Yes")</f>
        <v>Yes</v>
      </c>
      <c r="D74" s="21" t="str">
        <f>IFERROR(__xludf.DUMMYFUNCTION("""COMPUTED_VALUE"""),"Removed")</f>
        <v>Removed</v>
      </c>
      <c r="E74" s="127">
        <f>IFERROR(__xludf.DUMMYFUNCTION("""COMPUTED_VALUE"""),45511.0)</f>
        <v>45511</v>
      </c>
      <c r="F74" s="276">
        <f>IFERROR(__xludf.DUMMYFUNCTION("""COMPUTED_VALUE"""),46142.0)</f>
        <v>46142</v>
      </c>
      <c r="G74" s="27">
        <f>IFERROR(__xludf.DUMMYFUNCTION("""COMPUTED_VALUE"""),20.766666666666666)</f>
        <v>20.76666667</v>
      </c>
      <c r="H74" s="128">
        <f>IFERROR(__xludf.DUMMYFUNCTION("""COMPUTED_VALUE"""),45511.0)</f>
        <v>45511</v>
      </c>
      <c r="I74" s="27">
        <f>IFERROR(__xludf.DUMMYFUNCTION("""COMPUTED_VALUE"""),0.0)</f>
        <v>0</v>
      </c>
      <c r="J74" s="277">
        <f>IFERROR(__xludf.DUMMYFUNCTION("""COMPUTED_VALUE"""),75.0)</f>
        <v>75</v>
      </c>
      <c r="K74" s="29">
        <f>IFERROR(__xludf.DUMMYFUNCTION("""COMPUTED_VALUE"""),9.0)</f>
        <v>9</v>
      </c>
      <c r="L74" s="31" t="str">
        <f>IFERROR(__xludf.DUMMYFUNCTION("""COMPUTED_VALUE"""),"Action-Adventure")</f>
        <v>Action-Adventure</v>
      </c>
    </row>
    <row r="75">
      <c r="A75" s="17" t="str">
        <f>IFERROR(__xludf.DUMMYFUNCTION("""COMPUTED_VALUE"""),"NHL 24")</f>
        <v>NHL 24</v>
      </c>
      <c r="B75" s="20" t="str">
        <f>IFERROR(__xludf.DUMMYFUNCTION("""COMPUTED_VALUE"""),"Xbox")</f>
        <v>Xbox</v>
      </c>
      <c r="C75" s="20" t="str">
        <f>IFERROR(__xludf.DUMMYFUNCTION("""COMPUTED_VALUE"""),"Yes")</f>
        <v>Yes</v>
      </c>
      <c r="D75" s="21" t="str">
        <f>IFERROR(__xludf.DUMMYFUNCTION("""COMPUTED_VALUE"""),"Removed")</f>
        <v>Removed</v>
      </c>
      <c r="E75" s="127">
        <f>IFERROR(__xludf.DUMMYFUNCTION("""COMPUTED_VALUE"""),45400.0)</f>
        <v>45400</v>
      </c>
      <c r="F75" s="276">
        <f>IFERROR(__xludf.DUMMYFUNCTION("""COMPUTED_VALUE"""),46142.0)</f>
        <v>46142</v>
      </c>
      <c r="G75" s="27">
        <f>IFERROR(__xludf.DUMMYFUNCTION("""COMPUTED_VALUE"""),24.4)</f>
        <v>24.4</v>
      </c>
      <c r="H75" s="128">
        <f>IFERROR(__xludf.DUMMYFUNCTION("""COMPUTED_VALUE"""),45205.0)</f>
        <v>45205</v>
      </c>
      <c r="I75" s="27">
        <f>IFERROR(__xludf.DUMMYFUNCTION("""COMPUTED_VALUE"""),0.5333333333333333)</f>
        <v>0.5333333333</v>
      </c>
      <c r="J75" s="277">
        <f>IFERROR(__xludf.DUMMYFUNCTION("""COMPUTED_VALUE"""),71.0)</f>
        <v>71</v>
      </c>
      <c r="K75" s="29">
        <f>IFERROR(__xludf.DUMMYFUNCTION("""COMPUTED_VALUE"""),5.0)</f>
        <v>5</v>
      </c>
      <c r="L75" s="31" t="str">
        <f>IFERROR(__xludf.DUMMYFUNCTION("""COMPUTED_VALUE"""),"Sports")</f>
        <v>Sports</v>
      </c>
    </row>
    <row r="76">
      <c r="A76" s="17" t="str">
        <f>IFERROR(__xludf.DUMMYFUNCTION("""COMPUTED_VALUE"""),"Citizen Sleeper")</f>
        <v>Citizen Sleeper</v>
      </c>
      <c r="B76" s="20" t="str">
        <f>IFERROR(__xludf.DUMMYFUNCTION("""COMPUTED_VALUE"""),"Xbox / PC")</f>
        <v>Xbox / PC</v>
      </c>
      <c r="C76" s="20" t="str">
        <f>IFERROR(__xludf.DUMMYFUNCTION("""COMPUTED_VALUE"""),"Touch Controls")</f>
        <v>Touch Controls</v>
      </c>
      <c r="D76" s="21" t="str">
        <f>IFERROR(__xludf.DUMMYFUNCTION("""COMPUTED_VALUE"""),"Removed")</f>
        <v>Removed</v>
      </c>
      <c r="E76" s="127">
        <f>IFERROR(__xludf.DUMMYFUNCTION("""COMPUTED_VALUE"""),44686.0)</f>
        <v>44686</v>
      </c>
      <c r="F76" s="276">
        <f>IFERROR(__xludf.DUMMYFUNCTION("""COMPUTED_VALUE"""),46142.0)</f>
        <v>46142</v>
      </c>
      <c r="G76" s="27">
        <f>IFERROR(__xludf.DUMMYFUNCTION("""COMPUTED_VALUE"""),47.833333333333336)</f>
        <v>47.83333333</v>
      </c>
      <c r="H76" s="128">
        <f>IFERROR(__xludf.DUMMYFUNCTION("""COMPUTED_VALUE"""),44686.0)</f>
        <v>44686</v>
      </c>
      <c r="I76" s="27">
        <f>IFERROR(__xludf.DUMMYFUNCTION("""COMPUTED_VALUE"""),0.0)</f>
        <v>0</v>
      </c>
      <c r="J76" s="29">
        <f>IFERROR(__xludf.DUMMYFUNCTION("""COMPUTED_VALUE"""),82.0)</f>
        <v>82</v>
      </c>
      <c r="K76" s="29">
        <f>IFERROR(__xludf.DUMMYFUNCTION("""COMPUTED_VALUE"""),6.0)</f>
        <v>6</v>
      </c>
      <c r="L76" s="31" t="str">
        <f>IFERROR(__xludf.DUMMYFUNCTION("""COMPUTED_VALUE"""),"RPG")</f>
        <v>RPG</v>
      </c>
    </row>
    <row r="77">
      <c r="A77" s="17" t="str">
        <f>IFERROR(__xludf.DUMMYFUNCTION("""COMPUTED_VALUE"""),"My Little Pony: A Zephyr Heights Mystery")</f>
        <v>My Little Pony: A Zephyr Heights Mystery</v>
      </c>
      <c r="B77" s="20" t="str">
        <f>IFERROR(__xludf.DUMMYFUNCTION("""COMPUTED_VALUE"""),"Xbox / PC")</f>
        <v>Xbox / PC</v>
      </c>
      <c r="C77" s="20" t="str">
        <f>IFERROR(__xludf.DUMMYFUNCTION("""COMPUTED_VALUE"""),"Yes")</f>
        <v>Yes</v>
      </c>
      <c r="D77" s="21" t="str">
        <f>IFERROR(__xludf.DUMMYFUNCTION("""COMPUTED_VALUE"""),"Removed")</f>
        <v>Removed</v>
      </c>
      <c r="E77" s="127">
        <f>IFERROR(__xludf.DUMMYFUNCTION("""COMPUTED_VALUE"""),46037.0)</f>
        <v>46037</v>
      </c>
      <c r="F77" s="276">
        <f>IFERROR(__xludf.DUMMYFUNCTION("""COMPUTED_VALUE"""),46127.0)</f>
        <v>46127</v>
      </c>
      <c r="G77" s="27">
        <f>IFERROR(__xludf.DUMMYFUNCTION("""COMPUTED_VALUE"""),3.0)</f>
        <v>3</v>
      </c>
      <c r="H77" s="128">
        <f>IFERROR(__xludf.DUMMYFUNCTION("""COMPUTED_VALUE"""),45429.0)</f>
        <v>45429</v>
      </c>
      <c r="I77" s="27">
        <f>IFERROR(__xludf.DUMMYFUNCTION("""COMPUTED_VALUE"""),1.6611111111111112)</f>
        <v>1.661111111</v>
      </c>
      <c r="J77" s="29">
        <f>IFERROR(__xludf.DUMMYFUNCTION("""COMPUTED_VALUE"""),80.0)</f>
        <v>80</v>
      </c>
      <c r="K77" s="29">
        <f>IFERROR(__xludf.DUMMYFUNCTION("""COMPUTED_VALUE"""),5.0)</f>
        <v>5</v>
      </c>
      <c r="L77" s="31" t="str">
        <f>IFERROR(__xludf.DUMMYFUNCTION("""COMPUTED_VALUE"""),"Action-Adventure")</f>
        <v>Action-Adventure</v>
      </c>
    </row>
    <row r="78">
      <c r="A78" s="17" t="str">
        <f>IFERROR(__xludf.DUMMYFUNCTION("""COMPUTED_VALUE"""),"Grand Theft Auto V")</f>
        <v>Grand Theft Auto V</v>
      </c>
      <c r="B78" s="20" t="str">
        <f>IFERROR(__xludf.DUMMYFUNCTION("""COMPUTED_VALUE"""),"Xbox / PC")</f>
        <v>Xbox / PC</v>
      </c>
      <c r="C78" s="20" t="str">
        <f>IFERROR(__xludf.DUMMYFUNCTION("""COMPUTED_VALUE"""),"Yes")</f>
        <v>Yes</v>
      </c>
      <c r="D78" s="21" t="str">
        <f>IFERROR(__xludf.DUMMYFUNCTION("""COMPUTED_VALUE"""),"Removed")</f>
        <v>Removed</v>
      </c>
      <c r="E78" s="127">
        <f>IFERROR(__xludf.DUMMYFUNCTION("""COMPUTED_VALUE"""),45762.0)</f>
        <v>45762</v>
      </c>
      <c r="F78" s="276">
        <f>IFERROR(__xludf.DUMMYFUNCTION("""COMPUTED_VALUE"""),46127.0)</f>
        <v>46127</v>
      </c>
      <c r="G78" s="27">
        <f>IFERROR(__xludf.DUMMYFUNCTION("""COMPUTED_VALUE"""),12.0)</f>
        <v>12</v>
      </c>
      <c r="H78" s="128">
        <f>IFERROR(__xludf.DUMMYFUNCTION("""COMPUTED_VALUE"""),41534.0)</f>
        <v>41534</v>
      </c>
      <c r="I78" s="27">
        <f>IFERROR(__xludf.DUMMYFUNCTION("""COMPUTED_VALUE"""),11.577777777777778)</f>
        <v>11.57777778</v>
      </c>
      <c r="J78" s="29">
        <f>IFERROR(__xludf.DUMMYFUNCTION("""COMPUTED_VALUE"""),97.0)</f>
        <v>97</v>
      </c>
      <c r="K78" s="29">
        <f>IFERROR(__xludf.DUMMYFUNCTION("""COMPUTED_VALUE"""),31.5)</f>
        <v>31.5</v>
      </c>
      <c r="L78" s="31" t="str">
        <f>IFERROR(__xludf.DUMMYFUNCTION("""COMPUTED_VALUE"""),"Racing")</f>
        <v>Racing</v>
      </c>
    </row>
    <row r="79">
      <c r="A79" s="17" t="str">
        <f>IFERROR(__xludf.DUMMYFUNCTION("""COMPUTED_VALUE"""),"Ashen")</f>
        <v>Ashen</v>
      </c>
      <c r="B79" s="20" t="str">
        <f>IFERROR(__xludf.DUMMYFUNCTION("""COMPUTED_VALUE"""),"Xbox / PC")</f>
        <v>Xbox / PC</v>
      </c>
      <c r="C79" s="20"/>
      <c r="D79" s="21" t="str">
        <f>IFERROR(__xludf.DUMMYFUNCTION("""COMPUTED_VALUE"""),"Removed")</f>
        <v>Removed</v>
      </c>
      <c r="E79" s="127">
        <f>IFERROR(__xludf.DUMMYFUNCTION("""COMPUTED_VALUE"""),45594.0)</f>
        <v>45594</v>
      </c>
      <c r="F79" s="276">
        <f>IFERROR(__xludf.DUMMYFUNCTION("""COMPUTED_VALUE"""),46127.0)</f>
        <v>46127</v>
      </c>
      <c r="G79" s="27">
        <f>IFERROR(__xludf.DUMMYFUNCTION("""COMPUTED_VALUE"""),17.53333333333333)</f>
        <v>17.53333333</v>
      </c>
      <c r="H79" s="128">
        <f>IFERROR(__xludf.DUMMYFUNCTION("""COMPUTED_VALUE"""),43441.0)</f>
        <v>43441</v>
      </c>
      <c r="I79" s="27">
        <f>IFERROR(__xludf.DUMMYFUNCTION("""COMPUTED_VALUE"""),5.894444444444445)</f>
        <v>5.894444444</v>
      </c>
      <c r="J79" s="29">
        <f>IFERROR(__xludf.DUMMYFUNCTION("""COMPUTED_VALUE"""),78.0)</f>
        <v>78</v>
      </c>
      <c r="K79" s="29">
        <f>IFERROR(__xludf.DUMMYFUNCTION("""COMPUTED_VALUE"""),15.5)</f>
        <v>15.5</v>
      </c>
      <c r="L79" s="31" t="str">
        <f>IFERROR(__xludf.DUMMYFUNCTION("""COMPUTED_VALUE"""),"RPG")</f>
        <v>RPG</v>
      </c>
    </row>
    <row r="80">
      <c r="A80" s="17" t="str">
        <f>IFERROR(__xludf.DUMMYFUNCTION("""COMPUTED_VALUE"""),"Eiyuden Chronicle: Hundred Heroes")</f>
        <v>Eiyuden Chronicle: Hundred Heroes</v>
      </c>
      <c r="B80" s="20" t="str">
        <f>IFERROR(__xludf.DUMMYFUNCTION("""COMPUTED_VALUE"""),"Xbox / PC")</f>
        <v>Xbox / PC</v>
      </c>
      <c r="C80" s="20" t="str">
        <f>IFERROR(__xludf.DUMMYFUNCTION("""COMPUTED_VALUE"""),"Yes")</f>
        <v>Yes</v>
      </c>
      <c r="D80" s="21" t="str">
        <f>IFERROR(__xludf.DUMMYFUNCTION("""COMPUTED_VALUE"""),"Removed")</f>
        <v>Removed</v>
      </c>
      <c r="E80" s="127">
        <f>IFERROR(__xludf.DUMMYFUNCTION("""COMPUTED_VALUE"""),45405.0)</f>
        <v>45405</v>
      </c>
      <c r="F80" s="276">
        <f>IFERROR(__xludf.DUMMYFUNCTION("""COMPUTED_VALUE"""),46127.0)</f>
        <v>46127</v>
      </c>
      <c r="G80" s="27">
        <f>IFERROR(__xludf.DUMMYFUNCTION("""COMPUTED_VALUE"""),23.733333333333334)</f>
        <v>23.73333333</v>
      </c>
      <c r="H80" s="128">
        <f>IFERROR(__xludf.DUMMYFUNCTION("""COMPUTED_VALUE"""),45405.0)</f>
        <v>45405</v>
      </c>
      <c r="I80" s="27">
        <f>IFERROR(__xludf.DUMMYFUNCTION("""COMPUTED_VALUE"""),0.0)</f>
        <v>0</v>
      </c>
      <c r="J80" s="29">
        <f>IFERROR(__xludf.DUMMYFUNCTION("""COMPUTED_VALUE"""),79.0)</f>
        <v>79</v>
      </c>
      <c r="K80" s="29">
        <f>IFERROR(__xludf.DUMMYFUNCTION("""COMPUTED_VALUE"""),44.0)</f>
        <v>44</v>
      </c>
      <c r="L80" s="31" t="str">
        <f>IFERROR(__xludf.DUMMYFUNCTION("""COMPUTED_VALUE"""),"RPG")</f>
        <v>RPG</v>
      </c>
    </row>
    <row r="81">
      <c r="A81" s="17" t="str">
        <f>IFERROR(__xludf.DUMMYFUNCTION("""COMPUTED_VALUE"""),"Terra Invicta (Game Preview)")</f>
        <v>Terra Invicta (Game Preview)</v>
      </c>
      <c r="B81" s="20" t="str">
        <f>IFERROR(__xludf.DUMMYFUNCTION("""COMPUTED_VALUE"""),"PC")</f>
        <v>PC</v>
      </c>
      <c r="C81" s="20"/>
      <c r="D81" s="21" t="str">
        <f>IFERROR(__xludf.DUMMYFUNCTION("""COMPUTED_VALUE"""),"Removed")</f>
        <v>Removed</v>
      </c>
      <c r="E81" s="127">
        <f>IFERROR(__xludf.DUMMYFUNCTION("""COMPUTED_VALUE"""),45377.0)</f>
        <v>45377</v>
      </c>
      <c r="F81" s="276">
        <f>IFERROR(__xludf.DUMMYFUNCTION("""COMPUTED_VALUE"""),46127.0)</f>
        <v>46127</v>
      </c>
      <c r="G81" s="27">
        <f>IFERROR(__xludf.DUMMYFUNCTION("""COMPUTED_VALUE"""),24.633333333333333)</f>
        <v>24.63333333</v>
      </c>
      <c r="H81" s="128">
        <f>IFERROR(__xludf.DUMMYFUNCTION("""COMPUTED_VALUE"""),45260.0)</f>
        <v>45260</v>
      </c>
      <c r="I81" s="27">
        <f>IFERROR(__xludf.DUMMYFUNCTION("""COMPUTED_VALUE"""),0.32222222222222224)</f>
        <v>0.3222222222</v>
      </c>
      <c r="J81" s="29">
        <f>IFERROR(__xludf.DUMMYFUNCTION("""COMPUTED_VALUE"""),83.0)</f>
        <v>83</v>
      </c>
      <c r="K81" s="29">
        <f>IFERROR(__xludf.DUMMYFUNCTION("""COMPUTED_VALUE"""),60.0)</f>
        <v>60</v>
      </c>
      <c r="L81" s="31" t="str">
        <f>IFERROR(__xludf.DUMMYFUNCTION("""COMPUTED_VALUE"""),"Strategy")</f>
        <v>Strategy</v>
      </c>
    </row>
    <row r="82">
      <c r="A82" s="17" t="str">
        <f>IFERROR(__xludf.DUMMYFUNCTION("""COMPUTED_VALUE"""),"Peppa Pig: World Adventures")</f>
        <v>Peppa Pig: World Adventures</v>
      </c>
      <c r="B82" s="20" t="str">
        <f>IFERROR(__xludf.DUMMYFUNCTION("""COMPUTED_VALUE"""),"Xbox / PC")</f>
        <v>Xbox / PC</v>
      </c>
      <c r="C82" s="20" t="str">
        <f>IFERROR(__xludf.DUMMYFUNCTION("""COMPUTED_VALUE"""),"Yes")</f>
        <v>Yes</v>
      </c>
      <c r="D82" s="21" t="str">
        <f>IFERROR(__xludf.DUMMYFUNCTION("""COMPUTED_VALUE"""),"Removed")</f>
        <v>Removed</v>
      </c>
      <c r="E82" s="127">
        <f>IFERROR(__xludf.DUMMYFUNCTION("""COMPUTED_VALUE"""),45925.0)</f>
        <v>45925</v>
      </c>
      <c r="F82" s="276">
        <f>IFERROR(__xludf.DUMMYFUNCTION("""COMPUTED_VALUE"""),46112.0)</f>
        <v>46112</v>
      </c>
      <c r="G82" s="27">
        <f>IFERROR(__xludf.DUMMYFUNCTION("""COMPUTED_VALUE"""),6.166666666666666)</f>
        <v>6.166666667</v>
      </c>
      <c r="H82" s="128">
        <f>IFERROR(__xludf.DUMMYFUNCTION("""COMPUTED_VALUE"""),45002.0)</f>
        <v>45002</v>
      </c>
      <c r="I82" s="27">
        <f>IFERROR(__xludf.DUMMYFUNCTION("""COMPUTED_VALUE"""),2.522222222222222)</f>
        <v>2.522222222</v>
      </c>
      <c r="J82" s="29">
        <f>IFERROR(__xludf.DUMMYFUNCTION("""COMPUTED_VALUE"""),72.0)</f>
        <v>72</v>
      </c>
      <c r="K82" s="29">
        <f>IFERROR(__xludf.DUMMYFUNCTION("""COMPUTED_VALUE"""),2.0)</f>
        <v>2</v>
      </c>
      <c r="L82" s="31" t="str">
        <f>IFERROR(__xludf.DUMMYFUNCTION("""COMPUTED_VALUE"""),"Action-Adventure")</f>
        <v>Action-Adventure</v>
      </c>
    </row>
    <row r="83">
      <c r="A83" s="17" t="str">
        <f>IFERROR(__xludf.DUMMYFUNCTION("""COMPUTED_VALUE"""),"Mad Streets")</f>
        <v>Mad Streets</v>
      </c>
      <c r="B83" s="20" t="str">
        <f>IFERROR(__xludf.DUMMYFUNCTION("""COMPUTED_VALUE"""),"Xbox / PC")</f>
        <v>Xbox / PC</v>
      </c>
      <c r="C83" s="20" t="str">
        <f>IFERROR(__xludf.DUMMYFUNCTION("""COMPUTED_VALUE"""),"Yes")</f>
        <v>Yes</v>
      </c>
      <c r="D83" s="21" t="str">
        <f>IFERROR(__xludf.DUMMYFUNCTION("""COMPUTED_VALUE"""),"Removed")</f>
        <v>Removed</v>
      </c>
      <c r="E83" s="127">
        <f>IFERROR(__xludf.DUMMYFUNCTION("""COMPUTED_VALUE"""),45572.0)</f>
        <v>45572</v>
      </c>
      <c r="F83" s="276">
        <f>IFERROR(__xludf.DUMMYFUNCTION("""COMPUTED_VALUE"""),46112.0)</f>
        <v>46112</v>
      </c>
      <c r="G83" s="27">
        <f>IFERROR(__xludf.DUMMYFUNCTION("""COMPUTED_VALUE"""),17.766666666666666)</f>
        <v>17.76666667</v>
      </c>
      <c r="H83" s="128">
        <f>IFERROR(__xludf.DUMMYFUNCTION("""COMPUTED_VALUE"""),44435.0)</f>
        <v>44435</v>
      </c>
      <c r="I83" s="27">
        <f>IFERROR(__xludf.DUMMYFUNCTION("""COMPUTED_VALUE"""),3.111111111111111)</f>
        <v>3.111111111</v>
      </c>
      <c r="J83" s="29">
        <f>IFERROR(__xludf.DUMMYFUNCTION("""COMPUTED_VALUE"""),55.0)</f>
        <v>55</v>
      </c>
      <c r="K83" s="29">
        <f>IFERROR(__xludf.DUMMYFUNCTION("""COMPUTED_VALUE"""),2.0)</f>
        <v>2</v>
      </c>
      <c r="L83" s="31" t="str">
        <f>IFERROR(__xludf.DUMMYFUNCTION("""COMPUTED_VALUE"""),"Beat-'Em-Up ")</f>
        <v>Beat-'Em-Up </v>
      </c>
    </row>
    <row r="84">
      <c r="A84" s="17" t="str">
        <f>IFERROR(__xludf.DUMMYFUNCTION("""COMPUTED_VALUE"""),"Bratz: Rhythm &amp; Style")</f>
        <v>Bratz: Rhythm &amp; Style</v>
      </c>
      <c r="B84" s="20" t="str">
        <f>IFERROR(__xludf.DUMMYFUNCTION("""COMPUTED_VALUE"""),"Xbox / PC")</f>
        <v>Xbox / PC</v>
      </c>
      <c r="C84" s="20" t="str">
        <f>IFERROR(__xludf.DUMMYFUNCTION("""COMPUTED_VALUE"""),"Yes")</f>
        <v>Yes</v>
      </c>
      <c r="D84" s="21" t="str">
        <f>IFERROR(__xludf.DUMMYFUNCTION("""COMPUTED_VALUE"""),"Removed")</f>
        <v>Removed</v>
      </c>
      <c r="E84" s="127">
        <f>IFERROR(__xludf.DUMMYFUNCTION("""COMPUTED_VALUE"""),46002.0)</f>
        <v>46002</v>
      </c>
      <c r="F84" s="276">
        <f>IFERROR(__xludf.DUMMYFUNCTION("""COMPUTED_VALUE"""),46096.0)</f>
        <v>46096</v>
      </c>
      <c r="G84" s="27">
        <f>IFERROR(__xludf.DUMMYFUNCTION("""COMPUTED_VALUE"""),3.1333333333333337)</f>
        <v>3.133333333</v>
      </c>
      <c r="H84" s="128">
        <f>IFERROR(__xludf.DUMMYFUNCTION("""COMPUTED_VALUE"""),45912.0)</f>
        <v>45912</v>
      </c>
      <c r="I84" s="27">
        <f>IFERROR(__xludf.DUMMYFUNCTION("""COMPUTED_VALUE"""),0.24722222222222223)</f>
        <v>0.2472222222</v>
      </c>
      <c r="J84" s="29">
        <f>IFERROR(__xludf.DUMMYFUNCTION("""COMPUTED_VALUE"""),75.0)</f>
        <v>75</v>
      </c>
      <c r="K84" s="29">
        <f>IFERROR(__xludf.DUMMYFUNCTION("""COMPUTED_VALUE"""),6.0)</f>
        <v>6</v>
      </c>
      <c r="L84" s="31" t="str">
        <f>IFERROR(__xludf.DUMMYFUNCTION("""COMPUTED_VALUE"""),"Action-Adventure")</f>
        <v>Action-Adventure</v>
      </c>
    </row>
    <row r="85">
      <c r="A85" s="17" t="str">
        <f>IFERROR(__xludf.DUMMYFUNCTION("""COMPUTED_VALUE"""),"He Is Coming (Game Preview)")</f>
        <v>He Is Coming (Game Preview)</v>
      </c>
      <c r="B85" s="20" t="str">
        <f>IFERROR(__xludf.DUMMYFUNCTION("""COMPUTED_VALUE"""),"PC")</f>
        <v>PC</v>
      </c>
      <c r="C85" s="20"/>
      <c r="D85" s="21" t="str">
        <f>IFERROR(__xludf.DUMMYFUNCTION("""COMPUTED_VALUE"""),"Removed")</f>
        <v>Removed</v>
      </c>
      <c r="E85" s="127">
        <f>IFERROR(__xludf.DUMMYFUNCTION("""COMPUTED_VALUE"""),45855.0)</f>
        <v>45855</v>
      </c>
      <c r="F85" s="24">
        <f>IFERROR(__xludf.DUMMYFUNCTION("""COMPUTED_VALUE"""),46096.0)</f>
        <v>46096</v>
      </c>
      <c r="G85" s="27">
        <f>IFERROR(__xludf.DUMMYFUNCTION("""COMPUTED_VALUE"""),7.933333333333334)</f>
        <v>7.933333333</v>
      </c>
      <c r="H85" s="128">
        <f>IFERROR(__xludf.DUMMYFUNCTION("""COMPUTED_VALUE"""),45855.0)</f>
        <v>45855</v>
      </c>
      <c r="I85" s="27">
        <f>IFERROR(__xludf.DUMMYFUNCTION("""COMPUTED_VALUE"""),0.0)</f>
        <v>0</v>
      </c>
      <c r="J85" s="29"/>
      <c r="K85" s="29">
        <f>IFERROR(__xludf.DUMMYFUNCTION("""COMPUTED_VALUE"""),6.0)</f>
        <v>6</v>
      </c>
      <c r="L85" s="31" t="str">
        <f>IFERROR(__xludf.DUMMYFUNCTION("""COMPUTED_VALUE"""),"RPG")</f>
        <v>RPG</v>
      </c>
    </row>
    <row r="86">
      <c r="A86" s="17" t="str">
        <f>IFERROR(__xludf.DUMMYFUNCTION("""COMPUTED_VALUE"""),"Mythwrecked: Ambrosia Island")</f>
        <v>Mythwrecked: Ambrosia Island</v>
      </c>
      <c r="B86" s="20" t="str">
        <f>IFERROR(__xludf.DUMMYFUNCTION("""COMPUTED_VALUE"""),"Xbox / PC")</f>
        <v>Xbox / PC</v>
      </c>
      <c r="C86" s="20" t="str">
        <f>IFERROR(__xludf.DUMMYFUNCTION("""COMPUTED_VALUE"""),"Yes")</f>
        <v>Yes</v>
      </c>
      <c r="D86" s="21" t="str">
        <f>IFERROR(__xludf.DUMMYFUNCTION("""COMPUTED_VALUE"""),"Removed")</f>
        <v>Removed</v>
      </c>
      <c r="E86" s="127">
        <f>IFERROR(__xludf.DUMMYFUNCTION("""COMPUTED_VALUE"""),45736.0)</f>
        <v>45736</v>
      </c>
      <c r="F86" s="24">
        <f>IFERROR(__xludf.DUMMYFUNCTION("""COMPUTED_VALUE"""),46096.0)</f>
        <v>46096</v>
      </c>
      <c r="G86" s="27">
        <f>IFERROR(__xludf.DUMMYFUNCTION("""COMPUTED_VALUE"""),11.833333333333334)</f>
        <v>11.83333333</v>
      </c>
      <c r="H86" s="128">
        <f>IFERROR(__xludf.DUMMYFUNCTION("""COMPUTED_VALUE"""),45631.0)</f>
        <v>45631</v>
      </c>
      <c r="I86" s="27">
        <f>IFERROR(__xludf.DUMMYFUNCTION("""COMPUTED_VALUE"""),0.2916666666666667)</f>
        <v>0.2916666667</v>
      </c>
      <c r="J86" s="29">
        <f>IFERROR(__xludf.DUMMYFUNCTION("""COMPUTED_VALUE"""),62.0)</f>
        <v>62</v>
      </c>
      <c r="K86" s="29">
        <f>IFERROR(__xludf.DUMMYFUNCTION("""COMPUTED_VALUE"""),9.0)</f>
        <v>9</v>
      </c>
      <c r="L86" s="31" t="str">
        <f>IFERROR(__xludf.DUMMYFUNCTION("""COMPUTED_VALUE"""),"Action-Adventure")</f>
        <v>Action-Adventure</v>
      </c>
    </row>
    <row r="87">
      <c r="A87" s="17" t="str">
        <f>IFERROR(__xludf.DUMMYFUNCTION("""COMPUTED_VALUE"""),"Enter the Gungeon")</f>
        <v>Enter the Gungeon</v>
      </c>
      <c r="B87" s="20" t="str">
        <f>IFERROR(__xludf.DUMMYFUNCTION("""COMPUTED_VALUE"""),"Xbox / PC")</f>
        <v>Xbox / PC</v>
      </c>
      <c r="C87" s="20" t="str">
        <f>IFERROR(__xludf.DUMMYFUNCTION("""COMPUTED_VALUE"""),"Touch Controls")</f>
        <v>Touch Controls</v>
      </c>
      <c r="D87" s="21" t="str">
        <f>IFERROR(__xludf.DUMMYFUNCTION("""COMPUTED_VALUE"""),"Removed")</f>
        <v>Removed</v>
      </c>
      <c r="E87" s="127">
        <f>IFERROR(__xludf.DUMMYFUNCTION("""COMPUTED_VALUE"""),45727.0)</f>
        <v>45727</v>
      </c>
      <c r="F87" s="24">
        <f>IFERROR(__xludf.DUMMYFUNCTION("""COMPUTED_VALUE"""),46096.0)</f>
        <v>46096</v>
      </c>
      <c r="G87" s="27">
        <f>IFERROR(__xludf.DUMMYFUNCTION("""COMPUTED_VALUE"""),12.133333333333333)</f>
        <v>12.13333333</v>
      </c>
      <c r="H87" s="128">
        <f>IFERROR(__xludf.DUMMYFUNCTION("""COMPUTED_VALUE"""),42465.0)</f>
        <v>42465</v>
      </c>
      <c r="I87" s="27">
        <f>IFERROR(__xludf.DUMMYFUNCTION("""COMPUTED_VALUE"""),8.933333333333334)</f>
        <v>8.933333333</v>
      </c>
      <c r="J87" s="29">
        <f>IFERROR(__xludf.DUMMYFUNCTION("""COMPUTED_VALUE"""),85.0)</f>
        <v>85</v>
      </c>
      <c r="K87" s="29">
        <f>IFERROR(__xludf.DUMMYFUNCTION("""COMPUTED_VALUE"""),18.5)</f>
        <v>18.5</v>
      </c>
      <c r="L87" s="31" t="str">
        <f>IFERROR(__xludf.DUMMYFUNCTION("""COMPUTED_VALUE"""),"Action-Adventure")</f>
        <v>Action-Adventure</v>
      </c>
    </row>
    <row r="88">
      <c r="A88" s="17" t="str">
        <f>IFERROR(__xludf.DUMMYFUNCTION("""COMPUTED_VALUE"""),"Lightyear Frontier (Game Preview)")</f>
        <v>Lightyear Frontier (Game Preview)</v>
      </c>
      <c r="B88" s="20" t="str">
        <f>IFERROR(__xludf.DUMMYFUNCTION("""COMPUTED_VALUE"""),"Xbox / PC")</f>
        <v>Xbox / PC</v>
      </c>
      <c r="C88" s="20" t="str">
        <f>IFERROR(__xludf.DUMMYFUNCTION("""COMPUTED_VALUE"""),"Yes")</f>
        <v>Yes</v>
      </c>
      <c r="D88" s="21" t="str">
        <f>IFERROR(__xludf.DUMMYFUNCTION("""COMPUTED_VALUE"""),"Removed")</f>
        <v>Removed</v>
      </c>
      <c r="E88" s="127">
        <f>IFERROR(__xludf.DUMMYFUNCTION("""COMPUTED_VALUE"""),45370.0)</f>
        <v>45370</v>
      </c>
      <c r="F88" s="24">
        <f>IFERROR(__xludf.DUMMYFUNCTION("""COMPUTED_VALUE"""),46096.0)</f>
        <v>46096</v>
      </c>
      <c r="G88" s="27">
        <f>IFERROR(__xludf.DUMMYFUNCTION("""COMPUTED_VALUE"""),23.866666666666667)</f>
        <v>23.86666667</v>
      </c>
      <c r="H88" s="128">
        <f>IFERROR(__xludf.DUMMYFUNCTION("""COMPUTED_VALUE"""),45370.0)</f>
        <v>45370</v>
      </c>
      <c r="I88" s="27">
        <f>IFERROR(__xludf.DUMMYFUNCTION("""COMPUTED_VALUE"""),0.0)</f>
        <v>0</v>
      </c>
      <c r="J88" s="29">
        <f>IFERROR(__xludf.DUMMYFUNCTION("""COMPUTED_VALUE"""),76.0)</f>
        <v>76</v>
      </c>
      <c r="K88" s="29">
        <f>IFERROR(__xludf.DUMMYFUNCTION("""COMPUTED_VALUE"""),12.0)</f>
        <v>12</v>
      </c>
      <c r="L88" s="31" t="str">
        <f>IFERROR(__xludf.DUMMYFUNCTION("""COMPUTED_VALUE"""),"Sandbox")</f>
        <v>Sandbox</v>
      </c>
    </row>
    <row r="89">
      <c r="A89" s="17" t="str">
        <f>IFERROR(__xludf.DUMMYFUNCTION("""COMPUTED_VALUE"""),"F1 23")</f>
        <v>F1 23</v>
      </c>
      <c r="B89" s="20" t="str">
        <f>IFERROR(__xludf.DUMMYFUNCTION("""COMPUTED_VALUE"""),"Xbox / PC")</f>
        <v>Xbox / PC</v>
      </c>
      <c r="C89" s="20" t="str">
        <f>IFERROR(__xludf.DUMMYFUNCTION("""COMPUTED_VALUE"""),"Yes")</f>
        <v>Yes</v>
      </c>
      <c r="D89" s="21" t="str">
        <f>IFERROR(__xludf.DUMMYFUNCTION("""COMPUTED_VALUE"""),"Removed")</f>
        <v>Removed</v>
      </c>
      <c r="E89" s="127">
        <f>IFERROR(__xludf.DUMMYFUNCTION("""COMPUTED_VALUE"""),45309.0)</f>
        <v>45309</v>
      </c>
      <c r="F89" s="24">
        <f>IFERROR(__xludf.DUMMYFUNCTION("""COMPUTED_VALUE"""),46096.0)</f>
        <v>46096</v>
      </c>
      <c r="G89" s="27">
        <f>IFERROR(__xludf.DUMMYFUNCTION("""COMPUTED_VALUE"""),25.9)</f>
        <v>25.9</v>
      </c>
      <c r="H89" s="128">
        <f>IFERROR(__xludf.DUMMYFUNCTION("""COMPUTED_VALUE"""),45093.0)</f>
        <v>45093</v>
      </c>
      <c r="I89" s="27">
        <f>IFERROR(__xludf.DUMMYFUNCTION("""COMPUTED_VALUE"""),0.5888888888888889)</f>
        <v>0.5888888889</v>
      </c>
      <c r="J89" s="29">
        <f>IFERROR(__xludf.DUMMYFUNCTION("""COMPUTED_VALUE"""),82.0)</f>
        <v>82</v>
      </c>
      <c r="K89" s="29">
        <f>IFERROR(__xludf.DUMMYFUNCTION("""COMPUTED_VALUE"""),8.0)</f>
        <v>8</v>
      </c>
      <c r="L89" s="31" t="str">
        <f>IFERROR(__xludf.DUMMYFUNCTION("""COMPUTED_VALUE"""),"Racing")</f>
        <v>Racing</v>
      </c>
    </row>
    <row r="90">
      <c r="A90" s="17" t="str">
        <f>IFERROR(__xludf.DUMMYFUNCTION("""COMPUTED_VALUE"""),"Monster Train")</f>
        <v>Monster Train</v>
      </c>
      <c r="B90" s="20" t="str">
        <f>IFERROR(__xludf.DUMMYFUNCTION("""COMPUTED_VALUE"""),"Xbox / PC")</f>
        <v>Xbox / PC</v>
      </c>
      <c r="C90" s="20" t="str">
        <f>IFERROR(__xludf.DUMMYFUNCTION("""COMPUTED_VALUE"""),"Touch Controls")</f>
        <v>Touch Controls</v>
      </c>
      <c r="D90" s="21" t="str">
        <f>IFERROR(__xludf.DUMMYFUNCTION("""COMPUTED_VALUE"""),"Removed")</f>
        <v>Removed</v>
      </c>
      <c r="E90" s="127">
        <f>IFERROR(__xludf.DUMMYFUNCTION("""COMPUTED_VALUE"""),45720.0)</f>
        <v>45720</v>
      </c>
      <c r="F90" s="24">
        <f>IFERROR(__xludf.DUMMYFUNCTION("""COMPUTED_VALUE"""),46081.0)</f>
        <v>46081</v>
      </c>
      <c r="G90" s="27">
        <f>IFERROR(__xludf.DUMMYFUNCTION("""COMPUTED_VALUE"""),11.799999999999999)</f>
        <v>11.8</v>
      </c>
      <c r="H90" s="128">
        <f>IFERROR(__xludf.DUMMYFUNCTION("""COMPUTED_VALUE"""),43972.0)</f>
        <v>43972</v>
      </c>
      <c r="I90" s="27">
        <f>IFERROR(__xludf.DUMMYFUNCTION("""COMPUTED_VALUE"""),4.786111111111111)</f>
        <v>4.786111111</v>
      </c>
      <c r="J90" s="29">
        <f>IFERROR(__xludf.DUMMYFUNCTION("""COMPUTED_VALUE"""),85.0)</f>
        <v>85</v>
      </c>
      <c r="K90" s="29">
        <f>IFERROR(__xludf.DUMMYFUNCTION("""COMPUTED_VALUE"""),1.5)</f>
        <v>1.5</v>
      </c>
      <c r="L90" s="31" t="str">
        <f>IFERROR(__xludf.DUMMYFUNCTION("""COMPUTED_VALUE"""),"Strategy")</f>
        <v>Strategy</v>
      </c>
    </row>
    <row r="91">
      <c r="A91" s="17" t="str">
        <f>IFERROR(__xludf.DUMMYFUNCTION("""COMPUTED_VALUE"""),"Expeditions: A MudRunner Game")</f>
        <v>Expeditions: A MudRunner Game</v>
      </c>
      <c r="B91" s="20" t="str">
        <f>IFERROR(__xludf.DUMMYFUNCTION("""COMPUTED_VALUE"""),"Xbox / PC")</f>
        <v>Xbox / PC</v>
      </c>
      <c r="C91" s="20" t="str">
        <f>IFERROR(__xludf.DUMMYFUNCTION("""COMPUTED_VALUE"""),"Yes")</f>
        <v>Yes</v>
      </c>
      <c r="D91" s="21" t="str">
        <f>IFERROR(__xludf.DUMMYFUNCTION("""COMPUTED_VALUE"""),"Removed")</f>
        <v>Removed</v>
      </c>
      <c r="E91" s="127">
        <f>IFERROR(__xludf.DUMMYFUNCTION("""COMPUTED_VALUE"""),45540.0)</f>
        <v>45540</v>
      </c>
      <c r="F91" s="24">
        <f>IFERROR(__xludf.DUMMYFUNCTION("""COMPUTED_VALUE"""),46081.0)</f>
        <v>46081</v>
      </c>
      <c r="G91" s="27">
        <f>IFERROR(__xludf.DUMMYFUNCTION("""COMPUTED_VALUE"""),17.766666666666666)</f>
        <v>17.76666667</v>
      </c>
      <c r="H91" s="128">
        <f>IFERROR(__xludf.DUMMYFUNCTION("""COMPUTED_VALUE"""),45356.0)</f>
        <v>45356</v>
      </c>
      <c r="I91" s="27">
        <f>IFERROR(__xludf.DUMMYFUNCTION("""COMPUTED_VALUE"""),0.5)</f>
        <v>0.5</v>
      </c>
      <c r="J91" s="29">
        <f>IFERROR(__xludf.DUMMYFUNCTION("""COMPUTED_VALUE"""),77.0)</f>
        <v>77</v>
      </c>
      <c r="K91" s="29">
        <f>IFERROR(__xludf.DUMMYFUNCTION("""COMPUTED_VALUE"""),50.0)</f>
        <v>50</v>
      </c>
      <c r="L91" s="31" t="str">
        <f>IFERROR(__xludf.DUMMYFUNCTION("""COMPUTED_VALUE"""),"Simulation")</f>
        <v>Simulation</v>
      </c>
    </row>
    <row r="92">
      <c r="A92" s="17" t="str">
        <f>IFERROR(__xludf.DUMMYFUNCTION("""COMPUTED_VALUE"""),"Injustice 2")</f>
        <v>Injustice 2</v>
      </c>
      <c r="B92" s="20" t="str">
        <f>IFERROR(__xludf.DUMMYFUNCTION("""COMPUTED_VALUE"""),"Xbox / PC")</f>
        <v>Xbox / PC</v>
      </c>
      <c r="C92" s="20" t="str">
        <f>IFERROR(__xludf.DUMMYFUNCTION("""COMPUTED_VALUE"""),"Yes")</f>
        <v>Yes</v>
      </c>
      <c r="D92" s="21" t="str">
        <f>IFERROR(__xludf.DUMMYFUNCTION("""COMPUTED_VALUE"""),"Removed")</f>
        <v>Removed</v>
      </c>
      <c r="E92" s="127">
        <f>IFERROR(__xludf.DUMMYFUNCTION("""COMPUTED_VALUE"""),44203.0)</f>
        <v>44203</v>
      </c>
      <c r="F92" s="24">
        <f>IFERROR(__xludf.DUMMYFUNCTION("""COMPUTED_VALUE"""),46081.0)</f>
        <v>46081</v>
      </c>
      <c r="G92" s="27">
        <f>IFERROR(__xludf.DUMMYFUNCTION("""COMPUTED_VALUE"""),61.7)</f>
        <v>61.7</v>
      </c>
      <c r="H92" s="128">
        <f>IFERROR(__xludf.DUMMYFUNCTION("""COMPUTED_VALUE"""),42871.0)</f>
        <v>42871</v>
      </c>
      <c r="I92" s="27">
        <f>IFERROR(__xludf.DUMMYFUNCTION("""COMPUTED_VALUE"""),3.6416666666666666)</f>
        <v>3.641666667</v>
      </c>
      <c r="J92" s="29">
        <f>IFERROR(__xludf.DUMMYFUNCTION("""COMPUTED_VALUE"""),87.5)</f>
        <v>87.5</v>
      </c>
      <c r="K92" s="29">
        <f>IFERROR(__xludf.DUMMYFUNCTION("""COMPUTED_VALUE"""),5.5)</f>
        <v>5.5</v>
      </c>
      <c r="L92" s="31" t="str">
        <f>IFERROR(__xludf.DUMMYFUNCTION("""COMPUTED_VALUE"""),"Fighting")</f>
        <v>Fighting</v>
      </c>
    </row>
    <row r="93">
      <c r="A93" s="17" t="str">
        <f>IFERROR(__xludf.DUMMYFUNCTION("""COMPUTED_VALUE"""),"Middle-earth: Shadow of War")</f>
        <v>Middle-earth: Shadow of War</v>
      </c>
      <c r="B93" s="20" t="str">
        <f>IFERROR(__xludf.DUMMYFUNCTION("""COMPUTED_VALUE"""),"Xbox / PC")</f>
        <v>Xbox / PC</v>
      </c>
      <c r="C93" s="20" t="str">
        <f>IFERROR(__xludf.DUMMYFUNCTION("""COMPUTED_VALUE"""),"Yes")</f>
        <v>Yes</v>
      </c>
      <c r="D93" s="21" t="str">
        <f>IFERROR(__xludf.DUMMYFUNCTION("""COMPUTED_VALUE"""),"Removed")</f>
        <v>Removed</v>
      </c>
      <c r="E93" s="127">
        <f>IFERROR(__xludf.DUMMYFUNCTION("""COMPUTED_VALUE"""),43650.0)</f>
        <v>43650</v>
      </c>
      <c r="F93" s="24">
        <f>IFERROR(__xludf.DUMMYFUNCTION("""COMPUTED_VALUE"""),46081.0)</f>
        <v>46081</v>
      </c>
      <c r="G93" s="27">
        <f>IFERROR(__xludf.DUMMYFUNCTION("""COMPUTED_VALUE"""),79.80000000000001)</f>
        <v>79.8</v>
      </c>
      <c r="H93" s="128">
        <f>IFERROR(__xludf.DUMMYFUNCTION("""COMPUTED_VALUE"""),43018.0)</f>
        <v>43018</v>
      </c>
      <c r="I93" s="27">
        <f>IFERROR(__xludf.DUMMYFUNCTION("""COMPUTED_VALUE"""),1.7333333333333334)</f>
        <v>1.733333333</v>
      </c>
      <c r="J93" s="29">
        <f>IFERROR(__xludf.DUMMYFUNCTION("""COMPUTED_VALUE"""),81.0)</f>
        <v>81</v>
      </c>
      <c r="K93" s="29">
        <f>IFERROR(__xludf.DUMMYFUNCTION("""COMPUTED_VALUE"""),20.5)</f>
        <v>20.5</v>
      </c>
      <c r="L93" s="31" t="str">
        <f>IFERROR(__xludf.DUMMYFUNCTION("""COMPUTED_VALUE"""),"RPG")</f>
        <v>RPG</v>
      </c>
    </row>
    <row r="94">
      <c r="A94" s="17" t="str">
        <f>IFERROR(__xludf.DUMMYFUNCTION("""COMPUTED_VALUE"""),"Madden NFL 24")</f>
        <v>Madden NFL 24</v>
      </c>
      <c r="B94" s="20" t="str">
        <f>IFERROR(__xludf.DUMMYFUNCTION("""COMPUTED_VALUE"""),"Xbox / PC")</f>
        <v>Xbox / PC</v>
      </c>
      <c r="C94" s="20" t="str">
        <f>IFERROR(__xludf.DUMMYFUNCTION("""COMPUTED_VALUE"""),"Yes")</f>
        <v>Yes</v>
      </c>
      <c r="D94" s="21" t="str">
        <f>IFERROR(__xludf.DUMMYFUNCTION("""COMPUTED_VALUE"""),"Removed")</f>
        <v>Removed</v>
      </c>
      <c r="E94" s="127">
        <f>IFERROR(__xludf.DUMMYFUNCTION("""COMPUTED_VALUE"""),45330.0)</f>
        <v>45330</v>
      </c>
      <c r="F94" s="24">
        <f>IFERROR(__xludf.DUMMYFUNCTION("""COMPUTED_VALUE"""),46068.0)</f>
        <v>46068</v>
      </c>
      <c r="G94" s="27">
        <f>IFERROR(__xludf.DUMMYFUNCTION("""COMPUTED_VALUE"""),24.233333333333334)</f>
        <v>24.23333333</v>
      </c>
      <c r="H94" s="128">
        <f>IFERROR(__xludf.DUMMYFUNCTION("""COMPUTED_VALUE"""),45156.0)</f>
        <v>45156</v>
      </c>
      <c r="I94" s="27">
        <f>IFERROR(__xludf.DUMMYFUNCTION("""COMPUTED_VALUE"""),0.4722222222222222)</f>
        <v>0.4722222222</v>
      </c>
      <c r="J94" s="29">
        <f>IFERROR(__xludf.DUMMYFUNCTION("""COMPUTED_VALUE"""),65.0)</f>
        <v>65</v>
      </c>
      <c r="K94" s="29">
        <f>IFERROR(__xludf.DUMMYFUNCTION("""COMPUTED_VALUE"""),14.0)</f>
        <v>14</v>
      </c>
      <c r="L94" s="31" t="str">
        <f>IFERROR(__xludf.DUMMYFUNCTION("""COMPUTED_VALUE"""),"Sports")</f>
        <v>Sports</v>
      </c>
    </row>
    <row r="95">
      <c r="A95" s="17" t="str">
        <f>IFERROR(__xludf.DUMMYFUNCTION("""COMPUTED_VALUE"""),"PAW Patrol World")</f>
        <v>PAW Patrol World</v>
      </c>
      <c r="B95" s="20" t="str">
        <f>IFERROR(__xludf.DUMMYFUNCTION("""COMPUTED_VALUE"""),"Xbox / PC")</f>
        <v>Xbox / PC</v>
      </c>
      <c r="C95" s="20" t="str">
        <f>IFERROR(__xludf.DUMMYFUNCTION("""COMPUTED_VALUE"""),"Yes")</f>
        <v>Yes</v>
      </c>
      <c r="D95" s="21" t="str">
        <f>IFERROR(__xludf.DUMMYFUNCTION("""COMPUTED_VALUE"""),"Removed")</f>
        <v>Removed</v>
      </c>
      <c r="E95" s="127">
        <f>IFERROR(__xludf.DUMMYFUNCTION("""COMPUTED_VALUE"""),45910.0)</f>
        <v>45910</v>
      </c>
      <c r="F95" s="24">
        <f>IFERROR(__xludf.DUMMYFUNCTION("""COMPUTED_VALUE"""),46053.0)</f>
        <v>46053</v>
      </c>
      <c r="G95" s="27">
        <f>IFERROR(__xludf.DUMMYFUNCTION("""COMPUTED_VALUE"""),4.666666666666667)</f>
        <v>4.666666667</v>
      </c>
      <c r="H95" s="128">
        <f>IFERROR(__xludf.DUMMYFUNCTION("""COMPUTED_VALUE"""),45198.0)</f>
        <v>45198</v>
      </c>
      <c r="I95" s="27">
        <f>IFERROR(__xludf.DUMMYFUNCTION("""COMPUTED_VALUE"""),1.9472222222222222)</f>
        <v>1.947222222</v>
      </c>
      <c r="J95" s="29">
        <f>IFERROR(__xludf.DUMMYFUNCTION("""COMPUTED_VALUE"""),79.0)</f>
        <v>79</v>
      </c>
      <c r="K95" s="29">
        <f>IFERROR(__xludf.DUMMYFUNCTION("""COMPUTED_VALUE"""),7.0)</f>
        <v>7</v>
      </c>
      <c r="L95" s="31" t="str">
        <f>IFERROR(__xludf.DUMMYFUNCTION("""COMPUTED_VALUE"""),"Action-Adventure")</f>
        <v>Action-Adventure</v>
      </c>
    </row>
    <row r="96">
      <c r="A96" s="17" t="str">
        <f>IFERROR(__xludf.DUMMYFUNCTION("""COMPUTED_VALUE"""),"Citizen Sleeper 2: Starward Vector")</f>
        <v>Citizen Sleeper 2: Starward Vector</v>
      </c>
      <c r="B96" s="20" t="str">
        <f>IFERROR(__xludf.DUMMYFUNCTION("""COMPUTED_VALUE"""),"Xbox / PC")</f>
        <v>Xbox / PC</v>
      </c>
      <c r="C96" s="20" t="str">
        <f>IFERROR(__xludf.DUMMYFUNCTION("""COMPUTED_VALUE"""),"Yes")</f>
        <v>Yes</v>
      </c>
      <c r="D96" s="21" t="str">
        <f>IFERROR(__xludf.DUMMYFUNCTION("""COMPUTED_VALUE"""),"Removed")</f>
        <v>Removed</v>
      </c>
      <c r="E96" s="127">
        <f>IFERROR(__xludf.DUMMYFUNCTION("""COMPUTED_VALUE"""),45688.0)</f>
        <v>45688</v>
      </c>
      <c r="F96" s="24">
        <f>IFERROR(__xludf.DUMMYFUNCTION("""COMPUTED_VALUE"""),46053.0)</f>
        <v>46053</v>
      </c>
      <c r="G96" s="27">
        <f>IFERROR(__xludf.DUMMYFUNCTION("""COMPUTED_VALUE"""),12.0)</f>
        <v>12</v>
      </c>
      <c r="H96" s="128">
        <f>IFERROR(__xludf.DUMMYFUNCTION("""COMPUTED_VALUE"""),45688.0)</f>
        <v>45688</v>
      </c>
      <c r="I96" s="27">
        <f>IFERROR(__xludf.DUMMYFUNCTION("""COMPUTED_VALUE"""),0.0)</f>
        <v>0</v>
      </c>
      <c r="J96" s="29">
        <f>IFERROR(__xludf.DUMMYFUNCTION("""COMPUTED_VALUE"""),85.0)</f>
        <v>85</v>
      </c>
      <c r="K96" s="29">
        <f>IFERROR(__xludf.DUMMYFUNCTION("""COMPUTED_VALUE"""),10.0)</f>
        <v>10</v>
      </c>
      <c r="L96" s="31" t="str">
        <f>IFERROR(__xludf.DUMMYFUNCTION("""COMPUTED_VALUE"""),"RPG")</f>
        <v>RPG</v>
      </c>
    </row>
    <row r="97">
      <c r="A97" s="17" t="str">
        <f>IFERROR(__xludf.DUMMYFUNCTION("""COMPUTED_VALUE"""),"Shady Part of Me")</f>
        <v>Shady Part of Me</v>
      </c>
      <c r="B97" s="20" t="str">
        <f>IFERROR(__xludf.DUMMYFUNCTION("""COMPUTED_VALUE"""),"Xbox / PC")</f>
        <v>Xbox / PC</v>
      </c>
      <c r="C97" s="20" t="str">
        <f>IFERROR(__xludf.DUMMYFUNCTION("""COMPUTED_VALUE"""),"Yes")</f>
        <v>Yes</v>
      </c>
      <c r="D97" s="21" t="str">
        <f>IFERROR(__xludf.DUMMYFUNCTION("""COMPUTED_VALUE"""),"Removed")</f>
        <v>Removed</v>
      </c>
      <c r="E97" s="127">
        <f>IFERROR(__xludf.DUMMYFUNCTION("""COMPUTED_VALUE"""),45686.0)</f>
        <v>45686</v>
      </c>
      <c r="F97" s="24">
        <f>IFERROR(__xludf.DUMMYFUNCTION("""COMPUTED_VALUE"""),46053.0)</f>
        <v>46053</v>
      </c>
      <c r="G97" s="27">
        <f>IFERROR(__xludf.DUMMYFUNCTION("""COMPUTED_VALUE"""),12.033333333333333)</f>
        <v>12.03333333</v>
      </c>
      <c r="H97" s="128">
        <f>IFERROR(__xludf.DUMMYFUNCTION("""COMPUTED_VALUE"""),44175.0)</f>
        <v>44175</v>
      </c>
      <c r="I97" s="27">
        <f>IFERROR(__xludf.DUMMYFUNCTION("""COMPUTED_VALUE"""),4.136111111111111)</f>
        <v>4.136111111</v>
      </c>
      <c r="J97" s="29">
        <f>IFERROR(__xludf.DUMMYFUNCTION("""COMPUTED_VALUE"""),78.0)</f>
        <v>78</v>
      </c>
      <c r="K97" s="29">
        <f>IFERROR(__xludf.DUMMYFUNCTION("""COMPUTED_VALUE"""),5.0)</f>
        <v>5</v>
      </c>
      <c r="L97" s="31" t="str">
        <f>IFERROR(__xludf.DUMMYFUNCTION("""COMPUTED_VALUE"""),"Action-Adventure")</f>
        <v>Action-Adventure</v>
      </c>
    </row>
    <row r="98">
      <c r="A98" s="17" t="str">
        <f>IFERROR(__xludf.DUMMYFUNCTION("""COMPUTED_VALUE"""),"Orcs Must Die! Deathtrap")</f>
        <v>Orcs Must Die! Deathtrap</v>
      </c>
      <c r="B98" s="20" t="str">
        <f>IFERROR(__xludf.DUMMYFUNCTION("""COMPUTED_VALUE"""),"Xbox / PC")</f>
        <v>Xbox / PC</v>
      </c>
      <c r="C98" s="20" t="str">
        <f>IFERROR(__xludf.DUMMYFUNCTION("""COMPUTED_VALUE"""),"Yes")</f>
        <v>Yes</v>
      </c>
      <c r="D98" s="21" t="str">
        <f>IFERROR(__xludf.DUMMYFUNCTION("""COMPUTED_VALUE"""),"Removed")</f>
        <v>Removed</v>
      </c>
      <c r="E98" s="127">
        <f>IFERROR(__xludf.DUMMYFUNCTION("""COMPUTED_VALUE"""),45685.0)</f>
        <v>45685</v>
      </c>
      <c r="F98" s="24">
        <f>IFERROR(__xludf.DUMMYFUNCTION("""COMPUTED_VALUE"""),46053.0)</f>
        <v>46053</v>
      </c>
      <c r="G98" s="27">
        <f>IFERROR(__xludf.DUMMYFUNCTION("""COMPUTED_VALUE"""),12.066666666666666)</f>
        <v>12.06666667</v>
      </c>
      <c r="H98" s="128">
        <f>IFERROR(__xludf.DUMMYFUNCTION("""COMPUTED_VALUE"""),45685.0)</f>
        <v>45685</v>
      </c>
      <c r="I98" s="27">
        <f>IFERROR(__xludf.DUMMYFUNCTION("""COMPUTED_VALUE"""),0.0)</f>
        <v>0</v>
      </c>
      <c r="J98" s="29">
        <f>IFERROR(__xludf.DUMMYFUNCTION("""COMPUTED_VALUE"""),70.0)</f>
        <v>70</v>
      </c>
      <c r="K98" s="29">
        <f>IFERROR(__xludf.DUMMYFUNCTION("""COMPUTED_VALUE"""),21.0)</f>
        <v>21</v>
      </c>
      <c r="L98" s="31" t="str">
        <f>IFERROR(__xludf.DUMMYFUNCTION("""COMPUTED_VALUE"""),"Roguelike")</f>
        <v>Roguelike</v>
      </c>
    </row>
    <row r="99">
      <c r="A99" s="17" t="str">
        <f>IFERROR(__xludf.DUMMYFUNCTION("""COMPUTED_VALUE"""),"Lonely Mountain: Snow Riders")</f>
        <v>Lonely Mountain: Snow Riders</v>
      </c>
      <c r="B99" s="20" t="str">
        <f>IFERROR(__xludf.DUMMYFUNCTION("""COMPUTED_VALUE"""),"Xbox / PC")</f>
        <v>Xbox / PC</v>
      </c>
      <c r="C99" s="20" t="str">
        <f>IFERROR(__xludf.DUMMYFUNCTION("""COMPUTED_VALUE"""),"Yes")</f>
        <v>Yes</v>
      </c>
      <c r="D99" s="21" t="str">
        <f>IFERROR(__xludf.DUMMYFUNCTION("""COMPUTED_VALUE"""),"Removed")</f>
        <v>Removed</v>
      </c>
      <c r="E99" s="127">
        <f>IFERROR(__xludf.DUMMYFUNCTION("""COMPUTED_VALUE"""),45678.0)</f>
        <v>45678</v>
      </c>
      <c r="F99" s="24">
        <f>IFERROR(__xludf.DUMMYFUNCTION("""COMPUTED_VALUE"""),46053.0)</f>
        <v>46053</v>
      </c>
      <c r="G99" s="27">
        <f>IFERROR(__xludf.DUMMYFUNCTION("""COMPUTED_VALUE"""),12.299999999999999)</f>
        <v>12.3</v>
      </c>
      <c r="H99" s="128">
        <f>IFERROR(__xludf.DUMMYFUNCTION("""COMPUTED_VALUE"""),43958.0)</f>
        <v>43958</v>
      </c>
      <c r="I99" s="27">
        <f>IFERROR(__xludf.DUMMYFUNCTION("""COMPUTED_VALUE"""),4.705555555555556)</f>
        <v>4.705555556</v>
      </c>
      <c r="J99" s="29">
        <f>IFERROR(__xludf.DUMMYFUNCTION("""COMPUTED_VALUE"""),84.0)</f>
        <v>84</v>
      </c>
      <c r="K99" s="29">
        <f>IFERROR(__xludf.DUMMYFUNCTION("""COMPUTED_VALUE"""),3.0)</f>
        <v>3</v>
      </c>
      <c r="L99" s="31" t="str">
        <f>IFERROR(__xludf.DUMMYFUNCTION("""COMPUTED_VALUE"""),"Biking")</f>
        <v>Biking</v>
      </c>
    </row>
    <row r="100">
      <c r="A100" s="17" t="str">
        <f>IFERROR(__xludf.DUMMYFUNCTION("""COMPUTED_VALUE"""),"Starbound")</f>
        <v>Starbound</v>
      </c>
      <c r="B100" s="20" t="str">
        <f>IFERROR(__xludf.DUMMYFUNCTION("""COMPUTED_VALUE"""),"Xbox / PC")</f>
        <v>Xbox / PC</v>
      </c>
      <c r="C100" s="20" t="str">
        <f>IFERROR(__xludf.DUMMYFUNCTION("""COMPUTED_VALUE"""),"Yes")</f>
        <v>Yes</v>
      </c>
      <c r="D100" s="21" t="str">
        <f>IFERROR(__xludf.DUMMYFUNCTION("""COMPUTED_VALUE"""),"Removed")</f>
        <v>Removed</v>
      </c>
      <c r="E100" s="127">
        <f>IFERROR(__xludf.DUMMYFUNCTION("""COMPUTED_VALUE"""),44173.0)</f>
        <v>44173</v>
      </c>
      <c r="F100" s="24">
        <f>IFERROR(__xludf.DUMMYFUNCTION("""COMPUTED_VALUE"""),46053.0)</f>
        <v>46053</v>
      </c>
      <c r="G100" s="27">
        <f>IFERROR(__xludf.DUMMYFUNCTION("""COMPUTED_VALUE"""),61.733333333333334)</f>
        <v>61.73333333</v>
      </c>
      <c r="H100" s="128">
        <f>IFERROR(__xludf.DUMMYFUNCTION("""COMPUTED_VALUE"""),42573.0)</f>
        <v>42573</v>
      </c>
      <c r="I100" s="27">
        <f>IFERROR(__xludf.DUMMYFUNCTION("""COMPUTED_VALUE"""),4.377777777777778)</f>
        <v>4.377777778</v>
      </c>
      <c r="J100" s="29">
        <f>IFERROR(__xludf.DUMMYFUNCTION("""COMPUTED_VALUE"""),81.0)</f>
        <v>81</v>
      </c>
      <c r="K100" s="29">
        <f>IFERROR(__xludf.DUMMYFUNCTION("""COMPUTED_VALUE"""),21.5)</f>
        <v>21.5</v>
      </c>
      <c r="L100" s="31" t="str">
        <f>IFERROR(__xludf.DUMMYFUNCTION("""COMPUTED_VALUE"""),"Platformer")</f>
        <v>Platformer</v>
      </c>
    </row>
    <row r="101">
      <c r="A101" s="17" t="str">
        <f>IFERROR(__xludf.DUMMYFUNCTION("""COMPUTED_VALUE"""),"The Grinch: Christmas Adventures")</f>
        <v>The Grinch: Christmas Adventures</v>
      </c>
      <c r="B101" s="20" t="str">
        <f>IFERROR(__xludf.DUMMYFUNCTION("""COMPUTED_VALUE"""),"Xbox / PC")</f>
        <v>Xbox / PC</v>
      </c>
      <c r="C101" s="20" t="str">
        <f>IFERROR(__xludf.DUMMYFUNCTION("""COMPUTED_VALUE"""),"Yes")</f>
        <v>Yes</v>
      </c>
      <c r="D101" s="21" t="str">
        <f>IFERROR(__xludf.DUMMYFUNCTION("""COMPUTED_VALUE"""),"Removed")</f>
        <v>Removed</v>
      </c>
      <c r="E101" s="127">
        <f>IFERROR(__xludf.DUMMYFUNCTION("""COMPUTED_VALUE"""),45945.0)</f>
        <v>45945</v>
      </c>
      <c r="F101" s="24">
        <f>IFERROR(__xludf.DUMMYFUNCTION("""COMPUTED_VALUE"""),46037.0)</f>
        <v>46037</v>
      </c>
      <c r="G101" s="27">
        <f>IFERROR(__xludf.DUMMYFUNCTION("""COMPUTED_VALUE"""),3.0)</f>
        <v>3</v>
      </c>
      <c r="H101" s="128">
        <f>IFERROR(__xludf.DUMMYFUNCTION("""COMPUTED_VALUE"""),45212.0)</f>
        <v>45212</v>
      </c>
      <c r="I101" s="27">
        <f>IFERROR(__xludf.DUMMYFUNCTION("""COMPUTED_VALUE"""),2.0055555555555555)</f>
        <v>2.005555556</v>
      </c>
      <c r="J101" s="29">
        <f>IFERROR(__xludf.DUMMYFUNCTION("""COMPUTED_VALUE"""),68.33333333333333)</f>
        <v>68.33333333</v>
      </c>
      <c r="K101" s="29">
        <f>IFERROR(__xludf.DUMMYFUNCTION("""COMPUTED_VALUE"""),3.0)</f>
        <v>3</v>
      </c>
      <c r="L101" s="31" t="str">
        <f>IFERROR(__xludf.DUMMYFUNCTION("""COMPUTED_VALUE"""),"Platformer")</f>
        <v>Platformer</v>
      </c>
    </row>
    <row r="102">
      <c r="A102" s="17" t="str">
        <f>IFERROR(__xludf.DUMMYFUNCTION("""COMPUTED_VALUE"""),"The Ascent")</f>
        <v>The Ascent</v>
      </c>
      <c r="B102" s="20" t="str">
        <f>IFERROR(__xludf.DUMMYFUNCTION("""COMPUTED_VALUE"""),"Xbox / PC")</f>
        <v>Xbox / PC</v>
      </c>
      <c r="C102" s="20" t="str">
        <f>IFERROR(__xludf.DUMMYFUNCTION("""COMPUTED_VALUE"""),"Touch Controls")</f>
        <v>Touch Controls</v>
      </c>
      <c r="D102" s="21" t="str">
        <f>IFERROR(__xludf.DUMMYFUNCTION("""COMPUTED_VALUE"""),"Removed")</f>
        <v>Removed</v>
      </c>
      <c r="E102" s="127">
        <f>IFERROR(__xludf.DUMMYFUNCTION("""COMPUTED_VALUE"""),45846.0)</f>
        <v>45846</v>
      </c>
      <c r="F102" s="24">
        <f>IFERROR(__xludf.DUMMYFUNCTION("""COMPUTED_VALUE"""),46037.0)</f>
        <v>46037</v>
      </c>
      <c r="G102" s="27">
        <f>IFERROR(__xludf.DUMMYFUNCTION("""COMPUTED_VALUE"""),6.233333333333334)</f>
        <v>6.233333333</v>
      </c>
      <c r="H102" s="128">
        <f>IFERROR(__xludf.DUMMYFUNCTION("""COMPUTED_VALUE"""),44406.0)</f>
        <v>44406</v>
      </c>
      <c r="I102" s="27">
        <f>IFERROR(__xludf.DUMMYFUNCTION("""COMPUTED_VALUE"""),3.941666666666667)</f>
        <v>3.941666667</v>
      </c>
      <c r="J102" s="29">
        <f>IFERROR(__xludf.DUMMYFUNCTION("""COMPUTED_VALUE"""),69.5)</f>
        <v>69.5</v>
      </c>
      <c r="K102" s="29">
        <f>IFERROR(__xludf.DUMMYFUNCTION("""COMPUTED_VALUE"""),9.0)</f>
        <v>9</v>
      </c>
      <c r="L102" s="31" t="str">
        <f>IFERROR(__xludf.DUMMYFUNCTION("""COMPUTED_VALUE"""),"RPG")</f>
        <v>RPG</v>
      </c>
    </row>
    <row r="103">
      <c r="A103" s="17" t="str">
        <f>IFERROR(__xludf.DUMMYFUNCTION("""COMPUTED_VALUE"""),"Road 96")</f>
        <v>Road 96</v>
      </c>
      <c r="B103" s="20" t="str">
        <f>IFERROR(__xludf.DUMMYFUNCTION("""COMPUTED_VALUE"""),"Xbox / PC")</f>
        <v>Xbox / PC</v>
      </c>
      <c r="C103" s="20" t="str">
        <f>IFERROR(__xludf.DUMMYFUNCTION("""COMPUTED_VALUE"""),"Touch Controls")</f>
        <v>Touch Controls</v>
      </c>
      <c r="D103" s="21" t="str">
        <f>IFERROR(__xludf.DUMMYFUNCTION("""COMPUTED_VALUE"""),"Removed")</f>
        <v>Removed</v>
      </c>
      <c r="E103" s="127">
        <f>IFERROR(__xludf.DUMMYFUNCTION("""COMPUTED_VALUE"""),45664.0)</f>
        <v>45664</v>
      </c>
      <c r="F103" s="24">
        <f>IFERROR(__xludf.DUMMYFUNCTION("""COMPUTED_VALUE"""),46037.0)</f>
        <v>46037</v>
      </c>
      <c r="G103" s="27">
        <f>IFERROR(__xludf.DUMMYFUNCTION("""COMPUTED_VALUE"""),12.266666666666666)</f>
        <v>12.26666667</v>
      </c>
      <c r="H103" s="128">
        <f>IFERROR(__xludf.DUMMYFUNCTION("""COMPUTED_VALUE"""),44424.0)</f>
        <v>44424</v>
      </c>
      <c r="I103" s="27">
        <f>IFERROR(__xludf.DUMMYFUNCTION("""COMPUTED_VALUE"""),3.3916666666666666)</f>
        <v>3.391666667</v>
      </c>
      <c r="J103" s="29">
        <f>IFERROR(__xludf.DUMMYFUNCTION("""COMPUTED_VALUE"""),79.0)</f>
        <v>79</v>
      </c>
      <c r="K103" s="29">
        <f>IFERROR(__xludf.DUMMYFUNCTION("""COMPUTED_VALUE"""),7.5)</f>
        <v>7.5</v>
      </c>
      <c r="L103" s="31" t="str">
        <f>IFERROR(__xludf.DUMMYFUNCTION("""COMPUTED_VALUE"""),"Adventure")</f>
        <v>Adventure</v>
      </c>
    </row>
    <row r="104">
      <c r="A104" s="17" t="str">
        <f>IFERROR(__xludf.DUMMYFUNCTION("""COMPUTED_VALUE"""),"Flintlock: The Siege of Dawn")</f>
        <v>Flintlock: The Siege of Dawn</v>
      </c>
      <c r="B104" s="20" t="str">
        <f>IFERROR(__xludf.DUMMYFUNCTION("""COMPUTED_VALUE"""),"Xbox / PC")</f>
        <v>Xbox / PC</v>
      </c>
      <c r="C104" s="20" t="str">
        <f>IFERROR(__xludf.DUMMYFUNCTION("""COMPUTED_VALUE"""),"Yes")</f>
        <v>Yes</v>
      </c>
      <c r="D104" s="21" t="str">
        <f>IFERROR(__xludf.DUMMYFUNCTION("""COMPUTED_VALUE"""),"Removed")</f>
        <v>Removed</v>
      </c>
      <c r="E104" s="127">
        <f>IFERROR(__xludf.DUMMYFUNCTION("""COMPUTED_VALUE"""),45491.0)</f>
        <v>45491</v>
      </c>
      <c r="F104" s="24">
        <f>IFERROR(__xludf.DUMMYFUNCTION("""COMPUTED_VALUE"""),46037.0)</f>
        <v>46037</v>
      </c>
      <c r="G104" s="27">
        <f>IFERROR(__xludf.DUMMYFUNCTION("""COMPUTED_VALUE"""),17.9)</f>
        <v>17.9</v>
      </c>
      <c r="H104" s="128">
        <f>IFERROR(__xludf.DUMMYFUNCTION("""COMPUTED_VALUE"""),45491.0)</f>
        <v>45491</v>
      </c>
      <c r="I104" s="27">
        <f>IFERROR(__xludf.DUMMYFUNCTION("""COMPUTED_VALUE"""),0.0)</f>
        <v>0</v>
      </c>
      <c r="J104" s="29">
        <f>IFERROR(__xludf.DUMMYFUNCTION("""COMPUTED_VALUE"""),71.0)</f>
        <v>71</v>
      </c>
      <c r="K104" s="29">
        <f>IFERROR(__xludf.DUMMYFUNCTION("""COMPUTED_VALUE"""),9.0)</f>
        <v>9</v>
      </c>
      <c r="L104" s="31" t="str">
        <f>IFERROR(__xludf.DUMMYFUNCTION("""COMPUTED_VALUE"""),"Action-Adventure")</f>
        <v>Action-Adventure</v>
      </c>
    </row>
    <row r="105">
      <c r="A105" s="17" t="str">
        <f>IFERROR(__xludf.DUMMYFUNCTION("""COMPUTED_VALUE"""),"Neon White")</f>
        <v>Neon White</v>
      </c>
      <c r="B105" s="20" t="str">
        <f>IFERROR(__xludf.DUMMYFUNCTION("""COMPUTED_VALUE"""),"Xbox / PC")</f>
        <v>Xbox / PC</v>
      </c>
      <c r="C105" s="20" t="str">
        <f>IFERROR(__xludf.DUMMYFUNCTION("""COMPUTED_VALUE"""),"Yes")</f>
        <v>Yes</v>
      </c>
      <c r="D105" s="21" t="str">
        <f>IFERROR(__xludf.DUMMYFUNCTION("""COMPUTED_VALUE"""),"Removed")</f>
        <v>Removed</v>
      </c>
      <c r="E105" s="127">
        <f>IFERROR(__xludf.DUMMYFUNCTION("""COMPUTED_VALUE"""),45484.0)</f>
        <v>45484</v>
      </c>
      <c r="F105" s="24">
        <f>IFERROR(__xludf.DUMMYFUNCTION("""COMPUTED_VALUE"""),46037.0)</f>
        <v>46037</v>
      </c>
      <c r="G105" s="27">
        <f>IFERROR(__xludf.DUMMYFUNCTION("""COMPUTED_VALUE"""),18.133333333333333)</f>
        <v>18.13333333</v>
      </c>
      <c r="H105" s="127">
        <f>IFERROR(__xludf.DUMMYFUNCTION("""COMPUTED_VALUE"""),44728.0)</f>
        <v>44728</v>
      </c>
      <c r="I105" s="27">
        <f>IFERROR(__xludf.DUMMYFUNCTION("""COMPUTED_VALUE"""),2.0694444444444446)</f>
        <v>2.069444444</v>
      </c>
      <c r="J105" s="29">
        <f>IFERROR(__xludf.DUMMYFUNCTION("""COMPUTED_VALUE"""),89.0)</f>
        <v>89</v>
      </c>
      <c r="K105" s="29">
        <f>IFERROR(__xludf.DUMMYFUNCTION("""COMPUTED_VALUE"""),11.0)</f>
        <v>11</v>
      </c>
      <c r="L105" s="31" t="str">
        <f>IFERROR(__xludf.DUMMYFUNCTION("""COMPUTED_VALUE"""),"Shooter")</f>
        <v>Shooter</v>
      </c>
    </row>
    <row r="106">
      <c r="A106" s="17" t="str">
        <f>IFERROR(__xludf.DUMMYFUNCTION("""COMPUTED_VALUE"""),"Carrion")</f>
        <v>Carrion</v>
      </c>
      <c r="B106" s="20" t="str">
        <f>IFERROR(__xludf.DUMMYFUNCTION("""COMPUTED_VALUE"""),"Xbox / PC")</f>
        <v>Xbox / PC</v>
      </c>
      <c r="C106" s="20" t="str">
        <f>IFERROR(__xludf.DUMMYFUNCTION("""COMPUTED_VALUE"""),"Yes")</f>
        <v>Yes</v>
      </c>
      <c r="D106" s="21" t="str">
        <f>IFERROR(__xludf.DUMMYFUNCTION("""COMPUTED_VALUE"""),"Removed")</f>
        <v>Removed</v>
      </c>
      <c r="E106" s="127">
        <f>IFERROR(__xludf.DUMMYFUNCTION("""COMPUTED_VALUE"""),45659.0)</f>
        <v>45659</v>
      </c>
      <c r="F106" s="24">
        <f>IFERROR(__xludf.DUMMYFUNCTION("""COMPUTED_VALUE"""),46022.0)</f>
        <v>46022</v>
      </c>
      <c r="G106" s="27">
        <f>IFERROR(__xludf.DUMMYFUNCTION("""COMPUTED_VALUE"""),11.933333333333334)</f>
        <v>11.93333333</v>
      </c>
      <c r="H106" s="127">
        <f>IFERROR(__xludf.DUMMYFUNCTION("""COMPUTED_VALUE"""),44035.0)</f>
        <v>44035</v>
      </c>
      <c r="I106" s="27">
        <f>IFERROR(__xludf.DUMMYFUNCTION("""COMPUTED_VALUE"""),4.441666666666666)</f>
        <v>4.441666667</v>
      </c>
      <c r="J106" s="29">
        <f>IFERROR(__xludf.DUMMYFUNCTION("""COMPUTED_VALUE"""),76.0)</f>
        <v>76</v>
      </c>
      <c r="K106" s="29">
        <f>IFERROR(__xludf.DUMMYFUNCTION("""COMPUTED_VALUE"""),4.0)</f>
        <v>4</v>
      </c>
      <c r="L106" s="31" t="str">
        <f>IFERROR(__xludf.DUMMYFUNCTION("""COMPUTED_VALUE"""),"Action")</f>
        <v>Action</v>
      </c>
    </row>
    <row r="107">
      <c r="A107" s="17" t="str">
        <f>IFERROR(__xludf.DUMMYFUNCTION("""COMPUTED_VALUE"""),"Hell Let Loose")</f>
        <v>Hell Let Loose</v>
      </c>
      <c r="B107" s="20" t="str">
        <f>IFERROR(__xludf.DUMMYFUNCTION("""COMPUTED_VALUE"""),"Xbox / PC")</f>
        <v>Xbox / PC</v>
      </c>
      <c r="C107" s="20" t="str">
        <f>IFERROR(__xludf.DUMMYFUNCTION("""COMPUTED_VALUE"""),"Yes")</f>
        <v>Yes</v>
      </c>
      <c r="D107" s="21" t="str">
        <f>IFERROR(__xludf.DUMMYFUNCTION("""COMPUTED_VALUE"""),"Removed")</f>
        <v>Removed</v>
      </c>
      <c r="E107" s="127">
        <f>IFERROR(__xludf.DUMMYFUNCTION("""COMPUTED_VALUE"""),45295.0)</f>
        <v>45295</v>
      </c>
      <c r="F107" s="24">
        <f>IFERROR(__xludf.DUMMYFUNCTION("""COMPUTED_VALUE"""),46022.0)</f>
        <v>46022</v>
      </c>
      <c r="G107" s="27">
        <f>IFERROR(__xludf.DUMMYFUNCTION("""COMPUTED_VALUE"""),23.866666666666667)</f>
        <v>23.86666667</v>
      </c>
      <c r="H107" s="128">
        <f>IFERROR(__xludf.DUMMYFUNCTION("""COMPUTED_VALUE"""),43622.0)</f>
        <v>43622</v>
      </c>
      <c r="I107" s="27">
        <f>IFERROR(__xludf.DUMMYFUNCTION("""COMPUTED_VALUE"""),4.5777777777777775)</f>
        <v>4.577777778</v>
      </c>
      <c r="J107" s="29">
        <f>IFERROR(__xludf.DUMMYFUNCTION("""COMPUTED_VALUE"""),79.0)</f>
        <v>79</v>
      </c>
      <c r="K107" s="29">
        <f>IFERROR(__xludf.DUMMYFUNCTION("""COMPUTED_VALUE"""),30.0)</f>
        <v>30</v>
      </c>
      <c r="L107" s="31" t="str">
        <f>IFERROR(__xludf.DUMMYFUNCTION("""COMPUTED_VALUE"""),"Shooter")</f>
        <v>Shooter</v>
      </c>
    </row>
    <row r="108">
      <c r="A108" s="17" t="str">
        <f>IFERROR(__xludf.DUMMYFUNCTION("""COMPUTED_VALUE"""),"Wildfrost")</f>
        <v>Wildfrost</v>
      </c>
      <c r="B108" s="20" t="str">
        <f>IFERROR(__xludf.DUMMYFUNCTION("""COMPUTED_VALUE"""),"Xbox / PC")</f>
        <v>Xbox / PC</v>
      </c>
      <c r="C108" s="20" t="str">
        <f>IFERROR(__xludf.DUMMYFUNCTION("""COMPUTED_VALUE"""),"Yes")</f>
        <v>Yes</v>
      </c>
      <c r="D108" s="21" t="str">
        <f>IFERROR(__xludf.DUMMYFUNCTION("""COMPUTED_VALUE"""),"Removed")</f>
        <v>Removed</v>
      </c>
      <c r="E108" s="127">
        <f>IFERROR(__xludf.DUMMYFUNCTION("""COMPUTED_VALUE"""),45636.0)</f>
        <v>45636</v>
      </c>
      <c r="F108" s="24">
        <f>IFERROR(__xludf.DUMMYFUNCTION("""COMPUTED_VALUE"""),46006.0)</f>
        <v>46006</v>
      </c>
      <c r="G108" s="27">
        <f>IFERROR(__xludf.DUMMYFUNCTION("""COMPUTED_VALUE"""),12.166666666666666)</f>
        <v>12.16666667</v>
      </c>
      <c r="H108" s="128">
        <f>IFERROR(__xludf.DUMMYFUNCTION("""COMPUTED_VALUE"""),45028.0)</f>
        <v>45028</v>
      </c>
      <c r="I108" s="27">
        <f>IFERROR(__xludf.DUMMYFUNCTION("""COMPUTED_VALUE"""),1.6611111111111112)</f>
        <v>1.661111111</v>
      </c>
      <c r="J108" s="29">
        <f>IFERROR(__xludf.DUMMYFUNCTION("""COMPUTED_VALUE"""),80.0)</f>
        <v>80</v>
      </c>
      <c r="K108" s="29">
        <f>IFERROR(__xludf.DUMMYFUNCTION("""COMPUTED_VALUE"""),13.0)</f>
        <v>13</v>
      </c>
      <c r="L108" s="31" t="str">
        <f>IFERROR(__xludf.DUMMYFUNCTION("""COMPUTED_VALUE"""),"Card Battle")</f>
        <v>Card Battle</v>
      </c>
    </row>
    <row r="109">
      <c r="A109" s="17" t="str">
        <f>IFERROR(__xludf.DUMMYFUNCTION("""COMPUTED_VALUE"""),"Still Wakes the Deep")</f>
        <v>Still Wakes the Deep</v>
      </c>
      <c r="B109" s="20" t="str">
        <f>IFERROR(__xludf.DUMMYFUNCTION("""COMPUTED_VALUE"""),"Xbox / PC")</f>
        <v>Xbox / PC</v>
      </c>
      <c r="C109" s="20" t="str">
        <f>IFERROR(__xludf.DUMMYFUNCTION("""COMPUTED_VALUE"""),"Yes")</f>
        <v>Yes</v>
      </c>
      <c r="D109" s="21" t="str">
        <f>IFERROR(__xludf.DUMMYFUNCTION("""COMPUTED_VALUE"""),"Removed")</f>
        <v>Removed</v>
      </c>
      <c r="E109" s="127">
        <f>IFERROR(__xludf.DUMMYFUNCTION("""COMPUTED_VALUE"""),45461.0)</f>
        <v>45461</v>
      </c>
      <c r="F109" s="24">
        <f>IFERROR(__xludf.DUMMYFUNCTION("""COMPUTED_VALUE"""),46006.0)</f>
        <v>46006</v>
      </c>
      <c r="G109" s="27">
        <f>IFERROR(__xludf.DUMMYFUNCTION("""COMPUTED_VALUE"""),17.9)</f>
        <v>17.9</v>
      </c>
      <c r="H109" s="128">
        <f>IFERROR(__xludf.DUMMYFUNCTION("""COMPUTED_VALUE"""),45461.0)</f>
        <v>45461</v>
      </c>
      <c r="I109" s="27">
        <f>IFERROR(__xludf.DUMMYFUNCTION("""COMPUTED_VALUE"""),0.0)</f>
        <v>0</v>
      </c>
      <c r="J109" s="29">
        <f>IFERROR(__xludf.DUMMYFUNCTION("""COMPUTED_VALUE"""),74.0)</f>
        <v>74</v>
      </c>
      <c r="K109" s="29">
        <f>IFERROR(__xludf.DUMMYFUNCTION("""COMPUTED_VALUE"""),5.0)</f>
        <v>5</v>
      </c>
      <c r="L109" s="31" t="str">
        <f>IFERROR(__xludf.DUMMYFUNCTION("""COMPUTED_VALUE"""),"Survival")</f>
        <v>Survival</v>
      </c>
    </row>
    <row r="110">
      <c r="A110" s="17" t="str">
        <f>IFERROR(__xludf.DUMMYFUNCTION("""COMPUTED_VALUE"""),"Mortal Kombat 11")</f>
        <v>Mortal Kombat 11</v>
      </c>
      <c r="B110" s="20" t="str">
        <f>IFERROR(__xludf.DUMMYFUNCTION("""COMPUTED_VALUE"""),"Xbox / PC")</f>
        <v>Xbox / PC</v>
      </c>
      <c r="C110" s="20" t="str">
        <f>IFERROR(__xludf.DUMMYFUNCTION("""COMPUTED_VALUE"""),"Yes")</f>
        <v>Yes</v>
      </c>
      <c r="D110" s="21" t="str">
        <f>IFERROR(__xludf.DUMMYFUNCTION("""COMPUTED_VALUE"""),"Removed")</f>
        <v>Removed</v>
      </c>
      <c r="E110" s="127">
        <f>IFERROR(__xludf.DUMMYFUNCTION("""COMPUTED_VALUE"""),44546.0)</f>
        <v>44546</v>
      </c>
      <c r="F110" s="24">
        <f>IFERROR(__xludf.DUMMYFUNCTION("""COMPUTED_VALUE"""),46006.0)</f>
        <v>46006</v>
      </c>
      <c r="G110" s="27">
        <f>IFERROR(__xludf.DUMMYFUNCTION("""COMPUTED_VALUE"""),47.96666666666667)</f>
        <v>47.96666667</v>
      </c>
      <c r="H110" s="128">
        <f>IFERROR(__xludf.DUMMYFUNCTION("""COMPUTED_VALUE"""),42117.0)</f>
        <v>42117</v>
      </c>
      <c r="I110" s="27">
        <f>IFERROR(__xludf.DUMMYFUNCTION("""COMPUTED_VALUE"""),6.647222222222222)</f>
        <v>6.647222222</v>
      </c>
      <c r="J110" s="29">
        <f>IFERROR(__xludf.DUMMYFUNCTION("""COMPUTED_VALUE"""),82.0)</f>
        <v>82</v>
      </c>
      <c r="K110" s="29">
        <f>IFERROR(__xludf.DUMMYFUNCTION("""COMPUTED_VALUE"""),6.0)</f>
        <v>6</v>
      </c>
      <c r="L110" s="31" t="str">
        <f>IFERROR(__xludf.DUMMYFUNCTION("""COMPUTED_VALUE"""),"Fighting")</f>
        <v>Fighting</v>
      </c>
    </row>
    <row r="111">
      <c r="A111" s="17" t="str">
        <f>IFERROR(__xludf.DUMMYFUNCTION("""COMPUTED_VALUE"""),"Barbie Project Friendship")</f>
        <v>Barbie Project Friendship</v>
      </c>
      <c r="B111" s="20" t="str">
        <f>IFERROR(__xludf.DUMMYFUNCTION("""COMPUTED_VALUE"""),"Xbox / PC")</f>
        <v>Xbox / PC</v>
      </c>
      <c r="C111" s="20" t="str">
        <f>IFERROR(__xludf.DUMMYFUNCTION("""COMPUTED_VALUE"""),"Yes")</f>
        <v>Yes</v>
      </c>
      <c r="D111" s="21" t="str">
        <f>IFERROR(__xludf.DUMMYFUNCTION("""COMPUTED_VALUE"""),"Removed")</f>
        <v>Removed</v>
      </c>
      <c r="E111" s="127">
        <f>IFERROR(__xludf.DUMMYFUNCTION("""COMPUTED_VALUE"""),45819.0)</f>
        <v>45819</v>
      </c>
      <c r="F111" s="24">
        <f>IFERROR(__xludf.DUMMYFUNCTION("""COMPUTED_VALUE"""),45991.0)</f>
        <v>45991</v>
      </c>
      <c r="G111" s="27">
        <f>IFERROR(__xludf.DUMMYFUNCTION("""COMPUTED_VALUE"""),5.633333333333333)</f>
        <v>5.633333333</v>
      </c>
      <c r="H111" s="128">
        <f>IFERROR(__xludf.DUMMYFUNCTION("""COMPUTED_VALUE"""),45590.0)</f>
        <v>45590</v>
      </c>
      <c r="I111" s="27">
        <f>IFERROR(__xludf.DUMMYFUNCTION("""COMPUTED_VALUE"""),0.6277777777777778)</f>
        <v>0.6277777778</v>
      </c>
      <c r="J111" s="29">
        <f>IFERROR(__xludf.DUMMYFUNCTION("""COMPUTED_VALUE"""),80.0)</f>
        <v>80</v>
      </c>
      <c r="K111" s="29">
        <f>IFERROR(__xludf.DUMMYFUNCTION("""COMPUTED_VALUE"""),8.0)</f>
        <v>8</v>
      </c>
      <c r="L111" s="31" t="str">
        <f>IFERROR(__xludf.DUMMYFUNCTION("""COMPUTED_VALUE"""),"Action-Adventure")</f>
        <v>Action-Adventure</v>
      </c>
    </row>
    <row r="112">
      <c r="A112" s="17" t="str">
        <f>IFERROR(__xludf.DUMMYFUNCTION("""COMPUTED_VALUE"""),"Octopath Traveler")</f>
        <v>Octopath Traveler</v>
      </c>
      <c r="B112" s="20" t="str">
        <f>IFERROR(__xludf.DUMMYFUNCTION("""COMPUTED_VALUE"""),"Xbox / PC")</f>
        <v>Xbox / PC</v>
      </c>
      <c r="C112" s="20" t="str">
        <f>IFERROR(__xludf.DUMMYFUNCTION("""COMPUTED_VALUE"""),"Touch Controls")</f>
        <v>Touch Controls</v>
      </c>
      <c r="D112" s="21" t="str">
        <f>IFERROR(__xludf.DUMMYFUNCTION("""COMPUTED_VALUE"""),"Removed")</f>
        <v>Removed</v>
      </c>
      <c r="E112" s="127">
        <f>IFERROR(__xludf.DUMMYFUNCTION("""COMPUTED_VALUE"""),45449.0)</f>
        <v>45449</v>
      </c>
      <c r="F112" s="24">
        <f>IFERROR(__xludf.DUMMYFUNCTION("""COMPUTED_VALUE"""),45991.0)</f>
        <v>45991</v>
      </c>
      <c r="G112" s="27">
        <f>IFERROR(__xludf.DUMMYFUNCTION("""COMPUTED_VALUE"""),17.8)</f>
        <v>17.8</v>
      </c>
      <c r="H112" s="128">
        <f>IFERROR(__xludf.DUMMYFUNCTION("""COMPUTED_VALUE"""),43293.0)</f>
        <v>43293</v>
      </c>
      <c r="I112" s="27">
        <f>IFERROR(__xludf.DUMMYFUNCTION("""COMPUTED_VALUE"""),5.9)</f>
        <v>5.9</v>
      </c>
      <c r="J112" s="29">
        <f>IFERROR(__xludf.DUMMYFUNCTION("""COMPUTED_VALUE"""),83.0)</f>
        <v>83</v>
      </c>
      <c r="K112" s="29">
        <f>IFERROR(__xludf.DUMMYFUNCTION("""COMPUTED_VALUE"""),61.0)</f>
        <v>61</v>
      </c>
      <c r="L112" s="31" t="str">
        <f>IFERROR(__xludf.DUMMYFUNCTION("""COMPUTED_VALUE"""),"RPG")</f>
        <v>RPG</v>
      </c>
    </row>
    <row r="113">
      <c r="A113" s="17" t="str">
        <f>IFERROR(__xludf.DUMMYFUNCTION("""COMPUTED_VALUE"""),"Octopath Traveler II")</f>
        <v>Octopath Traveler II</v>
      </c>
      <c r="B113" s="20" t="str">
        <f>IFERROR(__xludf.DUMMYFUNCTION("""COMPUTED_VALUE"""),"Xbox / PC")</f>
        <v>Xbox / PC</v>
      </c>
      <c r="C113" s="20" t="str">
        <f>IFERROR(__xludf.DUMMYFUNCTION("""COMPUTED_VALUE"""),"Yes")</f>
        <v>Yes</v>
      </c>
      <c r="D113" s="21" t="str">
        <f>IFERROR(__xludf.DUMMYFUNCTION("""COMPUTED_VALUE"""),"Removed")</f>
        <v>Removed</v>
      </c>
      <c r="E113" s="127">
        <f>IFERROR(__xludf.DUMMYFUNCTION("""COMPUTED_VALUE"""),45449.0)</f>
        <v>45449</v>
      </c>
      <c r="F113" s="24">
        <f>IFERROR(__xludf.DUMMYFUNCTION("""COMPUTED_VALUE"""),45991.0)</f>
        <v>45991</v>
      </c>
      <c r="G113" s="27">
        <f>IFERROR(__xludf.DUMMYFUNCTION("""COMPUTED_VALUE"""),17.8)</f>
        <v>17.8</v>
      </c>
      <c r="H113" s="128">
        <f>IFERROR(__xludf.DUMMYFUNCTION("""COMPUTED_VALUE"""),44981.0)</f>
        <v>44981</v>
      </c>
      <c r="I113" s="27">
        <f>IFERROR(__xludf.DUMMYFUNCTION("""COMPUTED_VALUE"""),1.2833333333333334)</f>
        <v>1.283333333</v>
      </c>
      <c r="J113" s="29">
        <f>IFERROR(__xludf.DUMMYFUNCTION("""COMPUTED_VALUE"""),85.0)</f>
        <v>85</v>
      </c>
      <c r="K113" s="29">
        <f>IFERROR(__xludf.DUMMYFUNCTION("""COMPUTED_VALUE"""),61.0)</f>
        <v>61</v>
      </c>
      <c r="L113" s="31" t="str">
        <f>IFERROR(__xludf.DUMMYFUNCTION("""COMPUTED_VALUE"""),"RPG")</f>
        <v>RPG</v>
      </c>
    </row>
    <row r="114">
      <c r="A114" s="17" t="str">
        <f>IFERROR(__xludf.DUMMYFUNCTION("""COMPUTED_VALUE"""),"Lords of the Fallen")</f>
        <v>Lords of the Fallen</v>
      </c>
      <c r="B114" s="20" t="str">
        <f>IFERROR(__xludf.DUMMYFUNCTION("""COMPUTED_VALUE"""),"Xbox / PC")</f>
        <v>Xbox / PC</v>
      </c>
      <c r="C114" s="20" t="str">
        <f>IFERROR(__xludf.DUMMYFUNCTION("""COMPUTED_VALUE"""),"Yes")</f>
        <v>Yes</v>
      </c>
      <c r="D114" s="21" t="str">
        <f>IFERROR(__xludf.DUMMYFUNCTION("""COMPUTED_VALUE"""),"Removed")</f>
        <v>Removed</v>
      </c>
      <c r="E114" s="127">
        <f>IFERROR(__xludf.DUMMYFUNCTION("""COMPUTED_VALUE"""),45442.0)</f>
        <v>45442</v>
      </c>
      <c r="F114" s="24">
        <f>IFERROR(__xludf.DUMMYFUNCTION("""COMPUTED_VALUE"""),45991.0)</f>
        <v>45991</v>
      </c>
      <c r="G114" s="27">
        <f>IFERROR(__xludf.DUMMYFUNCTION("""COMPUTED_VALUE"""),18.0)</f>
        <v>18</v>
      </c>
      <c r="H114" s="128">
        <f>IFERROR(__xludf.DUMMYFUNCTION("""COMPUTED_VALUE"""),45212.0)</f>
        <v>45212</v>
      </c>
      <c r="I114" s="27">
        <f>IFERROR(__xludf.DUMMYFUNCTION("""COMPUTED_VALUE"""),0.6305555555555555)</f>
        <v>0.6305555556</v>
      </c>
      <c r="J114" s="29">
        <f>IFERROR(__xludf.DUMMYFUNCTION("""COMPUTED_VALUE"""),75.0)</f>
        <v>75</v>
      </c>
      <c r="K114" s="29">
        <f>IFERROR(__xludf.DUMMYFUNCTION("""COMPUTED_VALUE"""),15.0)</f>
        <v>15</v>
      </c>
      <c r="L114" s="31" t="str">
        <f>IFERROR(__xludf.DUMMYFUNCTION("""COMPUTED_VALUE"""),"RPG")</f>
        <v>RPG</v>
      </c>
    </row>
    <row r="115">
      <c r="A115" s="17" t="str">
        <f>IFERROR(__xludf.DUMMYFUNCTION("""COMPUTED_VALUE"""),"SteamWorld Build")</f>
        <v>SteamWorld Build</v>
      </c>
      <c r="B115" s="20" t="str">
        <f>IFERROR(__xludf.DUMMYFUNCTION("""COMPUTED_VALUE"""),"Xbox / PC")</f>
        <v>Xbox / PC</v>
      </c>
      <c r="C115" s="20" t="str">
        <f>IFERROR(__xludf.DUMMYFUNCTION("""COMPUTED_VALUE"""),"Yes")</f>
        <v>Yes</v>
      </c>
      <c r="D115" s="21" t="str">
        <f>IFERROR(__xludf.DUMMYFUNCTION("""COMPUTED_VALUE"""),"Removed")</f>
        <v>Removed</v>
      </c>
      <c r="E115" s="127">
        <f>IFERROR(__xludf.DUMMYFUNCTION("""COMPUTED_VALUE"""),45261.0)</f>
        <v>45261</v>
      </c>
      <c r="F115" s="24">
        <f>IFERROR(__xludf.DUMMYFUNCTION("""COMPUTED_VALUE"""),45991.0)</f>
        <v>45991</v>
      </c>
      <c r="G115" s="27">
        <f>IFERROR(__xludf.DUMMYFUNCTION("""COMPUTED_VALUE"""),23.96666666666667)</f>
        <v>23.96666667</v>
      </c>
      <c r="H115" s="128">
        <f>IFERROR(__xludf.DUMMYFUNCTION("""COMPUTED_VALUE"""),45261.0)</f>
        <v>45261</v>
      </c>
      <c r="I115" s="27">
        <f>IFERROR(__xludf.DUMMYFUNCTION("""COMPUTED_VALUE"""),0.0)</f>
        <v>0</v>
      </c>
      <c r="J115" s="29">
        <f>IFERROR(__xludf.DUMMYFUNCTION("""COMPUTED_VALUE"""),74.0)</f>
        <v>74</v>
      </c>
      <c r="K115" s="29">
        <f>IFERROR(__xludf.DUMMYFUNCTION("""COMPUTED_VALUE"""),9.0)</f>
        <v>9</v>
      </c>
      <c r="L115" s="275" t="str">
        <f>IFERROR(__xludf.DUMMYFUNCTION("""COMPUTED_VALUE"""),"Strategy")</f>
        <v>Strategy</v>
      </c>
    </row>
    <row r="116">
      <c r="A116" s="17" t="str">
        <f>IFERROR(__xludf.DUMMYFUNCTION("""COMPUTED_VALUE"""),"Blacksmith Master")</f>
        <v>Blacksmith Master</v>
      </c>
      <c r="B116" s="20" t="str">
        <f>IFERROR(__xludf.DUMMYFUNCTION("""COMPUTED_VALUE"""),"PC")</f>
        <v>PC</v>
      </c>
      <c r="C116" s="20"/>
      <c r="D116" s="21" t="str">
        <f>IFERROR(__xludf.DUMMYFUNCTION("""COMPUTED_VALUE"""),"Removed")</f>
        <v>Removed</v>
      </c>
      <c r="E116" s="127">
        <f>IFERROR(__xludf.DUMMYFUNCTION("""COMPUTED_VALUE"""),45888.0)</f>
        <v>45888</v>
      </c>
      <c r="F116" s="24">
        <f>IFERROR(__xludf.DUMMYFUNCTION("""COMPUTED_VALUE"""),45976.0)</f>
        <v>45976</v>
      </c>
      <c r="G116" s="27">
        <f>IFERROR(__xludf.DUMMYFUNCTION("""COMPUTED_VALUE"""),2.8666666666666667)</f>
        <v>2.866666667</v>
      </c>
      <c r="H116" s="128">
        <f>IFERROR(__xludf.DUMMYFUNCTION("""COMPUTED_VALUE"""),45792.0)</f>
        <v>45792</v>
      </c>
      <c r="I116" s="27">
        <f>IFERROR(__xludf.DUMMYFUNCTION("""COMPUTED_VALUE"""),0.2611111111111111)</f>
        <v>0.2611111111</v>
      </c>
      <c r="J116" s="29">
        <f>IFERROR(__xludf.DUMMYFUNCTION("""COMPUTED_VALUE"""),72.5)</f>
        <v>72.5</v>
      </c>
      <c r="K116" s="29">
        <f>IFERROR(__xludf.DUMMYFUNCTION("""COMPUTED_VALUE"""),12.0)</f>
        <v>12</v>
      </c>
      <c r="L116" s="31" t="str">
        <f>IFERROR(__xludf.DUMMYFUNCTION("""COMPUTED_VALUE"""),"Tycoon")</f>
        <v>Tycoon</v>
      </c>
    </row>
    <row r="117">
      <c r="A117" s="17" t="str">
        <f>IFERROR(__xludf.DUMMYFUNCTION("""COMPUTED_VALUE"""),"S.T.A.L.K.E.R. 2: Heart of Chornobyl")</f>
        <v>S.T.A.L.K.E.R. 2: Heart of Chornobyl</v>
      </c>
      <c r="B117" s="20" t="str">
        <f>IFERROR(__xludf.DUMMYFUNCTION("""COMPUTED_VALUE"""),"Xbox / PC")</f>
        <v>Xbox / PC</v>
      </c>
      <c r="C117" s="20" t="str">
        <f>IFERROR(__xludf.DUMMYFUNCTION("""COMPUTED_VALUE"""),"Yes")</f>
        <v>Yes</v>
      </c>
      <c r="D117" s="21" t="str">
        <f>IFERROR(__xludf.DUMMYFUNCTION("""COMPUTED_VALUE"""),"Removed")</f>
        <v>Removed</v>
      </c>
      <c r="E117" s="127">
        <f>IFERROR(__xludf.DUMMYFUNCTION("""COMPUTED_VALUE"""),45616.0)</f>
        <v>45616</v>
      </c>
      <c r="F117" s="24">
        <f>IFERROR(__xludf.DUMMYFUNCTION("""COMPUTED_VALUE"""),45976.0)</f>
        <v>45976</v>
      </c>
      <c r="G117" s="27">
        <f>IFERROR(__xludf.DUMMYFUNCTION("""COMPUTED_VALUE"""),11.833333333333334)</f>
        <v>11.83333333</v>
      </c>
      <c r="H117" s="128">
        <f>IFERROR(__xludf.DUMMYFUNCTION("""COMPUTED_VALUE"""),45616.0)</f>
        <v>45616</v>
      </c>
      <c r="I117" s="27">
        <f>IFERROR(__xludf.DUMMYFUNCTION("""COMPUTED_VALUE"""),0.0)</f>
        <v>0</v>
      </c>
      <c r="J117" s="29">
        <f>IFERROR(__xludf.DUMMYFUNCTION("""COMPUTED_VALUE"""),73.0)</f>
        <v>73</v>
      </c>
      <c r="K117" s="29">
        <f>IFERROR(__xludf.DUMMYFUNCTION("""COMPUTED_VALUE"""),31.0)</f>
        <v>31</v>
      </c>
      <c r="L117" s="31" t="str">
        <f>IFERROR(__xludf.DUMMYFUNCTION("""COMPUTED_VALUE"""),"Action-Adventure")</f>
        <v>Action-Adventure</v>
      </c>
    </row>
    <row r="118">
      <c r="A118" s="17" t="str">
        <f>IFERROR(__xludf.DUMMYFUNCTION("""COMPUTED_VALUE"""),"Spirittea")</f>
        <v>Spirittea</v>
      </c>
      <c r="B118" s="20" t="str">
        <f>IFERROR(__xludf.DUMMYFUNCTION("""COMPUTED_VALUE"""),"Xbox / PC")</f>
        <v>Xbox / PC</v>
      </c>
      <c r="C118" s="20" t="str">
        <f>IFERROR(__xludf.DUMMYFUNCTION("""COMPUTED_VALUE"""),"Yes")</f>
        <v>Yes</v>
      </c>
      <c r="D118" s="21" t="str">
        <f>IFERROR(__xludf.DUMMYFUNCTION("""COMPUTED_VALUE"""),"Removed")</f>
        <v>Removed</v>
      </c>
      <c r="E118" s="127">
        <f>IFERROR(__xludf.DUMMYFUNCTION("""COMPUTED_VALUE"""),45243.0)</f>
        <v>45243</v>
      </c>
      <c r="F118" s="24">
        <f>IFERROR(__xludf.DUMMYFUNCTION("""COMPUTED_VALUE"""),45976.0)</f>
        <v>45976</v>
      </c>
      <c r="G118" s="27">
        <f>IFERROR(__xludf.DUMMYFUNCTION("""COMPUTED_VALUE"""),24.066666666666666)</f>
        <v>24.06666667</v>
      </c>
      <c r="H118" s="128">
        <f>IFERROR(__xludf.DUMMYFUNCTION("""COMPUTED_VALUE"""),45243.0)</f>
        <v>45243</v>
      </c>
      <c r="I118" s="27">
        <f>IFERROR(__xludf.DUMMYFUNCTION("""COMPUTED_VALUE"""),0.0)</f>
        <v>0</v>
      </c>
      <c r="J118" s="29">
        <f>IFERROR(__xludf.DUMMYFUNCTION("""COMPUTED_VALUE"""),76.0)</f>
        <v>76</v>
      </c>
      <c r="K118" s="29">
        <f>IFERROR(__xludf.DUMMYFUNCTION("""COMPUTED_VALUE"""),33.0)</f>
        <v>33</v>
      </c>
      <c r="L118" s="31" t="str">
        <f>IFERROR(__xludf.DUMMYFUNCTION("""COMPUTED_VALUE"""),"RPG")</f>
        <v>RPG</v>
      </c>
    </row>
    <row r="119">
      <c r="A119" s="17" t="str">
        <f>IFERROR(__xludf.DUMMYFUNCTION("""COMPUTED_VALUE"""),"Football Manager 2024")</f>
        <v>Football Manager 2024</v>
      </c>
      <c r="B119" s="20" t="str">
        <f>IFERROR(__xludf.DUMMYFUNCTION("""COMPUTED_VALUE"""),"Xbox / PC")</f>
        <v>Xbox / PC</v>
      </c>
      <c r="C119" s="20" t="str">
        <f>IFERROR(__xludf.DUMMYFUNCTION("""COMPUTED_VALUE"""),"Yes")</f>
        <v>Yes</v>
      </c>
      <c r="D119" s="21" t="str">
        <f>IFERROR(__xludf.DUMMYFUNCTION("""COMPUTED_VALUE"""),"Removed")</f>
        <v>Removed</v>
      </c>
      <c r="E119" s="127">
        <f>IFERROR(__xludf.DUMMYFUNCTION("""COMPUTED_VALUE"""),45236.0)</f>
        <v>45236</v>
      </c>
      <c r="F119" s="24">
        <f>IFERROR(__xludf.DUMMYFUNCTION("""COMPUTED_VALUE"""),45976.0)</f>
        <v>45976</v>
      </c>
      <c r="G119" s="27">
        <f>IFERROR(__xludf.DUMMYFUNCTION("""COMPUTED_VALUE"""),24.299999999999997)</f>
        <v>24.3</v>
      </c>
      <c r="H119" s="128">
        <f>IFERROR(__xludf.DUMMYFUNCTION("""COMPUTED_VALUE"""),45236.0)</f>
        <v>45236</v>
      </c>
      <c r="I119" s="27">
        <f>IFERROR(__xludf.DUMMYFUNCTION("""COMPUTED_VALUE"""),0.0)</f>
        <v>0</v>
      </c>
      <c r="J119" s="29">
        <f>IFERROR(__xludf.DUMMYFUNCTION("""COMPUTED_VALUE"""),84.0)</f>
        <v>84</v>
      </c>
      <c r="K119" s="29">
        <f>IFERROR(__xludf.DUMMYFUNCTION("""COMPUTED_VALUE"""),11.0)</f>
        <v>11</v>
      </c>
      <c r="L119" s="31" t="str">
        <f>IFERROR(__xludf.DUMMYFUNCTION("""COMPUTED_VALUE"""),"Simulation")</f>
        <v>Simulation</v>
      </c>
    </row>
    <row r="120">
      <c r="A120" s="17" t="str">
        <f>IFERROR(__xludf.DUMMYFUNCTION("""COMPUTED_VALUE"""),"Frostpunk")</f>
        <v>Frostpunk</v>
      </c>
      <c r="B120" s="20" t="str">
        <f>IFERROR(__xludf.DUMMYFUNCTION("""COMPUTED_VALUE"""),"Xbox / PC")</f>
        <v>Xbox / PC</v>
      </c>
      <c r="C120" s="20" t="str">
        <f>IFERROR(__xludf.DUMMYFUNCTION("""COMPUTED_VALUE"""),"Touch Controls")</f>
        <v>Touch Controls</v>
      </c>
      <c r="D120" s="21" t="str">
        <f>IFERROR(__xludf.DUMMYFUNCTION("""COMPUTED_VALUE"""),"Removed")</f>
        <v>Removed</v>
      </c>
      <c r="E120" s="127">
        <f>IFERROR(__xludf.DUMMYFUNCTION("""COMPUTED_VALUE"""),43839.0)</f>
        <v>43839</v>
      </c>
      <c r="F120" s="24">
        <f>IFERROR(__xludf.DUMMYFUNCTION("""COMPUTED_VALUE"""),45976.0)</f>
        <v>45976</v>
      </c>
      <c r="G120" s="27">
        <f>IFERROR(__xludf.DUMMYFUNCTION("""COMPUTED_VALUE"""),70.19999999999999)</f>
        <v>70.2</v>
      </c>
      <c r="H120" s="128">
        <f>IFERROR(__xludf.DUMMYFUNCTION("""COMPUTED_VALUE"""),43214.0)</f>
        <v>43214</v>
      </c>
      <c r="I120" s="27">
        <f>IFERROR(__xludf.DUMMYFUNCTION("""COMPUTED_VALUE"""),1.7083333333333333)</f>
        <v>1.708333333</v>
      </c>
      <c r="J120" s="29">
        <f>IFERROR(__xludf.DUMMYFUNCTION("""COMPUTED_VALUE"""),84.0)</f>
        <v>84</v>
      </c>
      <c r="K120" s="29">
        <f>IFERROR(__xludf.DUMMYFUNCTION("""COMPUTED_VALUE"""),10.0)</f>
        <v>10</v>
      </c>
      <c r="L120" s="31" t="str">
        <f>IFERROR(__xludf.DUMMYFUNCTION("""COMPUTED_VALUE"""),"Simulation")</f>
        <v>Simulation</v>
      </c>
    </row>
    <row r="121">
      <c r="A121" s="17" t="str">
        <f>IFERROR(__xludf.DUMMYFUNCTION("""COMPUTED_VALUE"""),"Metal Slug: Tactics")</f>
        <v>Metal Slug: Tactics</v>
      </c>
      <c r="B121" s="20" t="str">
        <f>IFERROR(__xludf.DUMMYFUNCTION("""COMPUTED_VALUE"""),"Xbox / PC")</f>
        <v>Xbox / PC</v>
      </c>
      <c r="C121" s="20" t="str">
        <f>IFERROR(__xludf.DUMMYFUNCTION("""COMPUTED_VALUE"""),"Yes")</f>
        <v>Yes</v>
      </c>
      <c r="D121" s="21" t="str">
        <f>IFERROR(__xludf.DUMMYFUNCTION("""COMPUTED_VALUE"""),"Removed")</f>
        <v>Removed</v>
      </c>
      <c r="E121" s="127">
        <f>IFERROR(__xludf.DUMMYFUNCTION("""COMPUTED_VALUE"""),45601.0)</f>
        <v>45601</v>
      </c>
      <c r="F121" s="24">
        <f>IFERROR(__xludf.DUMMYFUNCTION("""COMPUTED_VALUE"""),45961.0)</f>
        <v>45961</v>
      </c>
      <c r="G121" s="27">
        <f>IFERROR(__xludf.DUMMYFUNCTION("""COMPUTED_VALUE"""),11.833333333333334)</f>
        <v>11.83333333</v>
      </c>
      <c r="H121" s="128">
        <f>IFERROR(__xludf.DUMMYFUNCTION("""COMPUTED_VALUE"""),45601.0)</f>
        <v>45601</v>
      </c>
      <c r="I121" s="27">
        <f>IFERROR(__xludf.DUMMYFUNCTION("""COMPUTED_VALUE"""),0.0)</f>
        <v>0</v>
      </c>
      <c r="J121" s="29">
        <f>IFERROR(__xludf.DUMMYFUNCTION("""COMPUTED_VALUE"""),79.0)</f>
        <v>79</v>
      </c>
      <c r="K121" s="29">
        <f>IFERROR(__xludf.DUMMYFUNCTION("""COMPUTED_VALUE"""),8.0)</f>
        <v>8</v>
      </c>
      <c r="L121" s="31" t="str">
        <f>IFERROR(__xludf.DUMMYFUNCTION("""COMPUTED_VALUE"""),"Strategy")</f>
        <v>Strategy</v>
      </c>
    </row>
    <row r="122">
      <c r="A122" s="17" t="str">
        <f>IFERROR(__xludf.DUMMYFUNCTION("""COMPUTED_VALUE"""),"Jusant")</f>
        <v>Jusant</v>
      </c>
      <c r="B122" s="20" t="str">
        <f>IFERROR(__xludf.DUMMYFUNCTION("""COMPUTED_VALUE"""),"Xbox / PC")</f>
        <v>Xbox / PC</v>
      </c>
      <c r="C122" s="20" t="str">
        <f>IFERROR(__xludf.DUMMYFUNCTION("""COMPUTED_VALUE"""),"Yes")</f>
        <v>Yes</v>
      </c>
      <c r="D122" s="21" t="str">
        <f>IFERROR(__xludf.DUMMYFUNCTION("""COMPUTED_VALUE"""),"Removed")</f>
        <v>Removed</v>
      </c>
      <c r="E122" s="127">
        <f>IFERROR(__xludf.DUMMYFUNCTION("""COMPUTED_VALUE"""),45230.0)</f>
        <v>45230</v>
      </c>
      <c r="F122" s="24">
        <f>IFERROR(__xludf.DUMMYFUNCTION("""COMPUTED_VALUE"""),45961.0)</f>
        <v>45961</v>
      </c>
      <c r="G122" s="27">
        <f>IFERROR(__xludf.DUMMYFUNCTION("""COMPUTED_VALUE"""),24.0)</f>
        <v>24</v>
      </c>
      <c r="H122" s="128">
        <f>IFERROR(__xludf.DUMMYFUNCTION("""COMPUTED_VALUE"""),45230.0)</f>
        <v>45230</v>
      </c>
      <c r="I122" s="27">
        <f>IFERROR(__xludf.DUMMYFUNCTION("""COMPUTED_VALUE"""),0.0)</f>
        <v>0</v>
      </c>
      <c r="J122" s="29">
        <f>IFERROR(__xludf.DUMMYFUNCTION("""COMPUTED_VALUE"""),83.0)</f>
        <v>83</v>
      </c>
      <c r="K122" s="29">
        <f>IFERROR(__xludf.DUMMYFUNCTION("""COMPUTED_VALUE"""),4.0)</f>
        <v>4</v>
      </c>
      <c r="L122" s="31" t="str">
        <f>IFERROR(__xludf.DUMMYFUNCTION("""COMPUTED_VALUE"""),"Adventure")</f>
        <v>Adventure</v>
      </c>
    </row>
    <row r="123">
      <c r="A123" s="17" t="str">
        <f>IFERROR(__xludf.DUMMYFUNCTION("""COMPUTED_VALUE"""),"Return to Monkey Island")</f>
        <v>Return to Monkey Island</v>
      </c>
      <c r="B123" s="20" t="str">
        <f>IFERROR(__xludf.DUMMYFUNCTION("""COMPUTED_VALUE"""),"Xbox / PC")</f>
        <v>Xbox / PC</v>
      </c>
      <c r="C123" s="20" t="str">
        <f>IFERROR(__xludf.DUMMYFUNCTION("""COMPUTED_VALUE"""),"Yes")</f>
        <v>Yes</v>
      </c>
      <c r="D123" s="21" t="str">
        <f>IFERROR(__xludf.DUMMYFUNCTION("""COMPUTED_VALUE"""),"Removed")</f>
        <v>Removed</v>
      </c>
      <c r="E123" s="127">
        <f>IFERROR(__xludf.DUMMYFUNCTION("""COMPUTED_VALUE"""),44873.0)</f>
        <v>44873</v>
      </c>
      <c r="F123" s="24">
        <f>IFERROR(__xludf.DUMMYFUNCTION("""COMPUTED_VALUE"""),45961.0)</f>
        <v>45961</v>
      </c>
      <c r="G123" s="27">
        <f>IFERROR(__xludf.DUMMYFUNCTION("""COMPUTED_VALUE"""),35.733333333333334)</f>
        <v>35.73333333</v>
      </c>
      <c r="H123" s="128">
        <f>IFERROR(__xludf.DUMMYFUNCTION("""COMPUTED_VALUE"""),44823.0)</f>
        <v>44823</v>
      </c>
      <c r="I123" s="27">
        <f>IFERROR(__xludf.DUMMYFUNCTION("""COMPUTED_VALUE"""),0.1361111111111111)</f>
        <v>0.1361111111</v>
      </c>
      <c r="J123" s="29">
        <f>IFERROR(__xludf.DUMMYFUNCTION("""COMPUTED_VALUE"""),87.0)</f>
        <v>87</v>
      </c>
      <c r="K123" s="29">
        <f>IFERROR(__xludf.DUMMYFUNCTION("""COMPUTED_VALUE"""),10.5)</f>
        <v>10.5</v>
      </c>
      <c r="L123" s="31" t="str">
        <f>IFERROR(__xludf.DUMMYFUNCTION("""COMPUTED_VALUE"""),"Adventure")</f>
        <v>Adventure</v>
      </c>
    </row>
    <row r="124">
      <c r="A124" s="17" t="str">
        <f>IFERROR(__xludf.DUMMYFUNCTION("""COMPUTED_VALUE"""),"NBA LIVE 19")</f>
        <v>NBA LIVE 19</v>
      </c>
      <c r="B124" s="20" t="str">
        <f>IFERROR(__xludf.DUMMYFUNCTION("""COMPUTED_VALUE"""),"Xbox")</f>
        <v>Xbox</v>
      </c>
      <c r="C124" s="20"/>
      <c r="D124" s="21" t="str">
        <f>IFERROR(__xludf.DUMMYFUNCTION("""COMPUTED_VALUE"""),"Removed")</f>
        <v>Removed</v>
      </c>
      <c r="E124" s="127">
        <f>IFERROR(__xludf.DUMMYFUNCTION("""COMPUTED_VALUE"""),44145.0)</f>
        <v>44145</v>
      </c>
      <c r="F124" s="24">
        <f>IFERROR(__xludf.DUMMYFUNCTION("""COMPUTED_VALUE"""),45953.0)</f>
        <v>45953</v>
      </c>
      <c r="G124" s="27">
        <f>IFERROR(__xludf.DUMMYFUNCTION("""COMPUTED_VALUE"""),59.43333333333333)</f>
        <v>59.43333333</v>
      </c>
      <c r="H124" s="128">
        <f>IFERROR(__xludf.DUMMYFUNCTION("""COMPUTED_VALUE"""),43350.0)</f>
        <v>43350</v>
      </c>
      <c r="I124" s="27">
        <f>IFERROR(__xludf.DUMMYFUNCTION("""COMPUTED_VALUE"""),2.175)</f>
        <v>2.175</v>
      </c>
      <c r="J124" s="29">
        <f>IFERROR(__xludf.DUMMYFUNCTION("""COMPUTED_VALUE"""),75.0)</f>
        <v>75</v>
      </c>
      <c r="K124" s="29">
        <f>IFERROR(__xludf.DUMMYFUNCTION("""COMPUTED_VALUE"""),27.5)</f>
        <v>27.5</v>
      </c>
      <c r="L124" s="31" t="str">
        <f>IFERROR(__xludf.DUMMYFUNCTION("""COMPUTED_VALUE"""),"Sports")</f>
        <v>Sports</v>
      </c>
    </row>
    <row r="125">
      <c r="A125" s="17" t="str">
        <f>IFERROR(__xludf.DUMMYFUNCTION("""COMPUTED_VALUE"""),"Teenage Mutant Ninja Turtles: Mutants Unleashed")</f>
        <v>Teenage Mutant Ninja Turtles: Mutants Unleashed</v>
      </c>
      <c r="B125" s="20" t="str">
        <f>IFERROR(__xludf.DUMMYFUNCTION("""COMPUTED_VALUE"""),"Xbox / PC")</f>
        <v>Xbox / PC</v>
      </c>
      <c r="C125" s="20" t="str">
        <f>IFERROR(__xludf.DUMMYFUNCTION("""COMPUTED_VALUE"""),"Yes")</f>
        <v>Yes</v>
      </c>
      <c r="D125" s="21" t="str">
        <f>IFERROR(__xludf.DUMMYFUNCTION("""COMPUTED_VALUE"""),"Removed")</f>
        <v>Removed</v>
      </c>
      <c r="E125" s="127">
        <f>IFERROR(__xludf.DUMMYFUNCTION("""COMPUTED_VALUE"""),45785.0)</f>
        <v>45785</v>
      </c>
      <c r="F125" s="24">
        <f>IFERROR(__xludf.DUMMYFUNCTION("""COMPUTED_VALUE"""),45945.0)</f>
        <v>45945</v>
      </c>
      <c r="G125" s="27">
        <f>IFERROR(__xludf.DUMMYFUNCTION("""COMPUTED_VALUE"""),5.233333333333333)</f>
        <v>5.233333333</v>
      </c>
      <c r="H125" s="128">
        <f>IFERROR(__xludf.DUMMYFUNCTION("""COMPUTED_VALUE"""),45583.0)</f>
        <v>45583</v>
      </c>
      <c r="I125" s="27">
        <f>IFERROR(__xludf.DUMMYFUNCTION("""COMPUTED_VALUE"""),0.5555555555555556)</f>
        <v>0.5555555556</v>
      </c>
      <c r="J125" s="29">
        <f>IFERROR(__xludf.DUMMYFUNCTION("""COMPUTED_VALUE"""),66.0)</f>
        <v>66</v>
      </c>
      <c r="K125" s="29">
        <f>IFERROR(__xludf.DUMMYFUNCTION("""COMPUTED_VALUE"""),12.0)</f>
        <v>12</v>
      </c>
      <c r="L125" s="31" t="str">
        <f>IFERROR(__xludf.DUMMYFUNCTION("""COMPUTED_VALUE"""),"Action-Adventure")</f>
        <v>Action-Adventure</v>
      </c>
    </row>
    <row r="126">
      <c r="A126" s="17" t="str">
        <f>IFERROR(__xludf.DUMMYFUNCTION("""COMPUTED_VALUE"""),"Core Keeper")</f>
        <v>Core Keeper</v>
      </c>
      <c r="B126" s="20" t="str">
        <f>IFERROR(__xludf.DUMMYFUNCTION("""COMPUTED_VALUE"""),"Xbox / PC")</f>
        <v>Xbox / PC</v>
      </c>
      <c r="C126" s="20" t="str">
        <f>IFERROR(__xludf.DUMMYFUNCTION("""COMPUTED_VALUE"""),"Yes")</f>
        <v>Yes</v>
      </c>
      <c r="D126" s="21" t="str">
        <f>IFERROR(__xludf.DUMMYFUNCTION("""COMPUTED_VALUE"""),"Removed")</f>
        <v>Removed</v>
      </c>
      <c r="E126" s="127">
        <f>IFERROR(__xludf.DUMMYFUNCTION("""COMPUTED_VALUE"""),45531.0)</f>
        <v>45531</v>
      </c>
      <c r="F126" s="24">
        <f>IFERROR(__xludf.DUMMYFUNCTION("""COMPUTED_VALUE"""),45945.0)</f>
        <v>45945</v>
      </c>
      <c r="G126" s="27">
        <f>IFERROR(__xludf.DUMMYFUNCTION("""COMPUTED_VALUE"""),13.6)</f>
        <v>13.6</v>
      </c>
      <c r="H126" s="128">
        <f>IFERROR(__xludf.DUMMYFUNCTION("""COMPUTED_VALUE"""),45531.0)</f>
        <v>45531</v>
      </c>
      <c r="I126" s="27">
        <f>IFERROR(__xludf.DUMMYFUNCTION("""COMPUTED_VALUE"""),0.0)</f>
        <v>0</v>
      </c>
      <c r="J126" s="29">
        <f>IFERROR(__xludf.DUMMYFUNCTION("""COMPUTED_VALUE"""),85.0)</f>
        <v>85</v>
      </c>
      <c r="K126" s="29">
        <f>IFERROR(__xludf.DUMMYFUNCTION("""COMPUTED_VALUE"""),27.0)</f>
        <v>27</v>
      </c>
      <c r="L126" s="31" t="str">
        <f>IFERROR(__xludf.DUMMYFUNCTION("""COMPUTED_VALUE"""),"Sandbox")</f>
        <v>Sandbox</v>
      </c>
    </row>
    <row r="127">
      <c r="A127" s="17" t="str">
        <f>IFERROR(__xludf.DUMMYFUNCTION("""COMPUTED_VALUE"""),"Cocoon")</f>
        <v>Cocoon</v>
      </c>
      <c r="B127" s="20" t="str">
        <f>IFERROR(__xludf.DUMMYFUNCTION("""COMPUTED_VALUE"""),"Xbox / PC")</f>
        <v>Xbox / PC</v>
      </c>
      <c r="C127" s="20"/>
      <c r="D127" s="21" t="str">
        <f>IFERROR(__xludf.DUMMYFUNCTION("""COMPUTED_VALUE"""),"Removed")</f>
        <v>Removed</v>
      </c>
      <c r="E127" s="127">
        <f>IFERROR(__xludf.DUMMYFUNCTION("""COMPUTED_VALUE"""),45198.0)</f>
        <v>45198</v>
      </c>
      <c r="F127" s="24">
        <f>IFERROR(__xludf.DUMMYFUNCTION("""COMPUTED_VALUE"""),45945.0)</f>
        <v>45945</v>
      </c>
      <c r="G127" s="27">
        <f>IFERROR(__xludf.DUMMYFUNCTION("""COMPUTED_VALUE"""),24.53333333333333)</f>
        <v>24.53333333</v>
      </c>
      <c r="H127" s="128">
        <f>IFERROR(__xludf.DUMMYFUNCTION("""COMPUTED_VALUE"""),45198.0)</f>
        <v>45198</v>
      </c>
      <c r="I127" s="27">
        <f>IFERROR(__xludf.DUMMYFUNCTION("""COMPUTED_VALUE"""),0.0)</f>
        <v>0</v>
      </c>
      <c r="J127" s="29">
        <f>IFERROR(__xludf.DUMMYFUNCTION("""COMPUTED_VALUE"""),89.0)</f>
        <v>89</v>
      </c>
      <c r="K127" s="29">
        <f>IFERROR(__xludf.DUMMYFUNCTION("""COMPUTED_VALUE"""),5.0)</f>
        <v>5</v>
      </c>
      <c r="L127" s="31" t="str">
        <f>IFERROR(__xludf.DUMMYFUNCTION("""COMPUTED_VALUE"""),"Puzzle")</f>
        <v>Puzzle</v>
      </c>
    </row>
    <row r="128">
      <c r="A128" s="17" t="str">
        <f>IFERROR(__xludf.DUMMYFUNCTION("""COMPUTED_VALUE"""),"NINJA GAIDEN: Master Collection")</f>
        <v>NINJA GAIDEN: Master Collection</v>
      </c>
      <c r="B128" s="20" t="str">
        <f>IFERROR(__xludf.DUMMYFUNCTION("""COMPUTED_VALUE"""),"Xbox / PC")</f>
        <v>Xbox / PC</v>
      </c>
      <c r="C128" s="20" t="str">
        <f>IFERROR(__xludf.DUMMYFUNCTION("""COMPUTED_VALUE"""),"Touch Controls")</f>
        <v>Touch Controls</v>
      </c>
      <c r="D128" s="21" t="str">
        <f>IFERROR(__xludf.DUMMYFUNCTION("""COMPUTED_VALUE"""),"Removed")</f>
        <v>Removed</v>
      </c>
      <c r="E128" s="127">
        <f>IFERROR(__xludf.DUMMYFUNCTION("""COMPUTED_VALUE"""),44714.0)</f>
        <v>44714</v>
      </c>
      <c r="F128" s="24">
        <f>IFERROR(__xludf.DUMMYFUNCTION("""COMPUTED_VALUE"""),45930.0)</f>
        <v>45930</v>
      </c>
      <c r="G128" s="27">
        <f>IFERROR(__xludf.DUMMYFUNCTION("""COMPUTED_VALUE"""),39.93333333333334)</f>
        <v>39.93333333</v>
      </c>
      <c r="H128" s="128">
        <f>IFERROR(__xludf.DUMMYFUNCTION("""COMPUTED_VALUE"""),44357.0)</f>
        <v>44357</v>
      </c>
      <c r="I128" s="27">
        <f>IFERROR(__xludf.DUMMYFUNCTION("""COMPUTED_VALUE"""),0.9777777777777777)</f>
        <v>0.9777777778</v>
      </c>
      <c r="J128" s="29">
        <f>IFERROR(__xludf.DUMMYFUNCTION("""COMPUTED_VALUE"""),71.5)</f>
        <v>71.5</v>
      </c>
      <c r="K128" s="29">
        <f>IFERROR(__xludf.DUMMYFUNCTION("""COMPUTED_VALUE"""),29.5)</f>
        <v>29.5</v>
      </c>
      <c r="L128" s="31" t="str">
        <f>IFERROR(__xludf.DUMMYFUNCTION("""COMPUTED_VALUE"""),"Action")</f>
        <v>Action</v>
      </c>
    </row>
    <row r="129">
      <c r="A129" s="17" t="str">
        <f>IFERROR(__xludf.DUMMYFUNCTION("""COMPUTED_VALUE"""),"All You Need Is Help")</f>
        <v>All You Need Is Help</v>
      </c>
      <c r="B129" s="20" t="str">
        <f>IFERROR(__xludf.DUMMYFUNCTION("""COMPUTED_VALUE"""),"Xbox / PC")</f>
        <v>Xbox / PC</v>
      </c>
      <c r="C129" s="20" t="str">
        <f>IFERROR(__xludf.DUMMYFUNCTION("""COMPUTED_VALUE"""),"Yes")</f>
        <v>Yes</v>
      </c>
      <c r="D129" s="21" t="str">
        <f>IFERROR(__xludf.DUMMYFUNCTION("""COMPUTED_VALUE"""),"Removed")</f>
        <v>Removed</v>
      </c>
      <c r="E129" s="127">
        <f>IFERROR(__xludf.DUMMYFUNCTION("""COMPUTED_VALUE"""),45561.0)</f>
        <v>45561</v>
      </c>
      <c r="F129" s="24">
        <f>IFERROR(__xludf.DUMMYFUNCTION("""COMPUTED_VALUE"""),45915.0)</f>
        <v>45915</v>
      </c>
      <c r="G129" s="27">
        <f>IFERROR(__xludf.DUMMYFUNCTION("""COMPUTED_VALUE"""),11.633333333333333)</f>
        <v>11.63333333</v>
      </c>
      <c r="H129" s="128">
        <f>IFERROR(__xludf.DUMMYFUNCTION("""COMPUTED_VALUE"""),45561.0)</f>
        <v>45561</v>
      </c>
      <c r="I129" s="27">
        <f>IFERROR(__xludf.DUMMYFUNCTION("""COMPUTED_VALUE"""),0.0)</f>
        <v>0</v>
      </c>
      <c r="J129" s="29">
        <f>IFERROR(__xludf.DUMMYFUNCTION("""COMPUTED_VALUE"""),62.0)</f>
        <v>62</v>
      </c>
      <c r="K129" s="29">
        <f>IFERROR(__xludf.DUMMYFUNCTION("""COMPUTED_VALUE"""),4.0)</f>
        <v>4</v>
      </c>
      <c r="L129" s="31" t="str">
        <f>IFERROR(__xludf.DUMMYFUNCTION("""COMPUTED_VALUE"""),"Puzzle")</f>
        <v>Puzzle</v>
      </c>
    </row>
    <row r="130">
      <c r="A130" s="17" t="str">
        <f>IFERROR(__xludf.DUMMYFUNCTION("""COMPUTED_VALUE"""),"We Love Katamari Reroll + Royal Reverie")</f>
        <v>We Love Katamari Reroll + Royal Reverie</v>
      </c>
      <c r="B130" s="20" t="str">
        <f>IFERROR(__xludf.DUMMYFUNCTION("""COMPUTED_VALUE"""),"Xbox / PC")</f>
        <v>Xbox / PC</v>
      </c>
      <c r="C130" s="20" t="str">
        <f>IFERROR(__xludf.DUMMYFUNCTION("""COMPUTED_VALUE"""),"Yes")</f>
        <v>Yes</v>
      </c>
      <c r="D130" s="21" t="str">
        <f>IFERROR(__xludf.DUMMYFUNCTION("""COMPUTED_VALUE"""),"Removed")</f>
        <v>Removed</v>
      </c>
      <c r="E130" s="127">
        <f>IFERROR(__xludf.DUMMYFUNCTION("""COMPUTED_VALUE"""),45561.0)</f>
        <v>45561</v>
      </c>
      <c r="F130" s="24">
        <f>IFERROR(__xludf.DUMMYFUNCTION("""COMPUTED_VALUE"""),45915.0)</f>
        <v>45915</v>
      </c>
      <c r="G130" s="27">
        <f>IFERROR(__xludf.DUMMYFUNCTION("""COMPUTED_VALUE"""),11.633333333333333)</f>
        <v>11.63333333</v>
      </c>
      <c r="H130" s="128">
        <f>IFERROR(__xludf.DUMMYFUNCTION("""COMPUTED_VALUE"""),45079.0)</f>
        <v>45079</v>
      </c>
      <c r="I130" s="27">
        <f>IFERROR(__xludf.DUMMYFUNCTION("""COMPUTED_VALUE"""),1.3166666666666667)</f>
        <v>1.316666667</v>
      </c>
      <c r="J130" s="29">
        <f>IFERROR(__xludf.DUMMYFUNCTION("""COMPUTED_VALUE"""),81.0)</f>
        <v>81</v>
      </c>
      <c r="K130" s="29">
        <f>IFERROR(__xludf.DUMMYFUNCTION("""COMPUTED_VALUE"""),5.0)</f>
        <v>5</v>
      </c>
      <c r="L130" s="31" t="str">
        <f>IFERROR(__xludf.DUMMYFUNCTION("""COMPUTED_VALUE"""),"Action-Adventure")</f>
        <v>Action-Adventure</v>
      </c>
    </row>
    <row r="131">
      <c r="A131" s="17" t="str">
        <f>IFERROR(__xludf.DUMMYFUNCTION("""COMPUTED_VALUE"""),"Wargroove 2")</f>
        <v>Wargroove 2</v>
      </c>
      <c r="B131" s="20" t="str">
        <f>IFERROR(__xludf.DUMMYFUNCTION("""COMPUTED_VALUE"""),"Xbox / PC")</f>
        <v>Xbox / PC</v>
      </c>
      <c r="C131" s="20" t="str">
        <f>IFERROR(__xludf.DUMMYFUNCTION("""COMPUTED_VALUE"""),"Yes")</f>
        <v>Yes</v>
      </c>
      <c r="D131" s="21" t="str">
        <f>IFERROR(__xludf.DUMMYFUNCTION("""COMPUTED_VALUE"""),"Removed")</f>
        <v>Removed</v>
      </c>
      <c r="E131" s="127">
        <f>IFERROR(__xludf.DUMMYFUNCTION("""COMPUTED_VALUE"""),45554.0)</f>
        <v>45554</v>
      </c>
      <c r="F131" s="24">
        <f>IFERROR(__xludf.DUMMYFUNCTION("""COMPUTED_VALUE"""),45915.0)</f>
        <v>45915</v>
      </c>
      <c r="G131" s="27">
        <f>IFERROR(__xludf.DUMMYFUNCTION("""COMPUTED_VALUE"""),11.866666666666667)</f>
        <v>11.86666667</v>
      </c>
      <c r="H131" s="128">
        <f>IFERROR(__xludf.DUMMYFUNCTION("""COMPUTED_VALUE"""),45204.0)</f>
        <v>45204</v>
      </c>
      <c r="I131" s="27">
        <f>IFERROR(__xludf.DUMMYFUNCTION("""COMPUTED_VALUE"""),0.9555555555555556)</f>
        <v>0.9555555556</v>
      </c>
      <c r="J131" s="29">
        <f>IFERROR(__xludf.DUMMYFUNCTION("""COMPUTED_VALUE"""),85.0)</f>
        <v>85</v>
      </c>
      <c r="K131" s="29">
        <f>IFERROR(__xludf.DUMMYFUNCTION("""COMPUTED_VALUE"""),21.0)</f>
        <v>21</v>
      </c>
      <c r="L131" s="31" t="str">
        <f>IFERROR(__xludf.DUMMYFUNCTION("""COMPUTED_VALUE"""),"Strategy")</f>
        <v>Strategy</v>
      </c>
    </row>
    <row r="132">
      <c r="A132" s="17" t="str">
        <f>IFERROR(__xludf.DUMMYFUNCTION("""COMPUTED_VALUE"""),"Borderlands 3: Ultimate Edition")</f>
        <v>Borderlands 3: Ultimate Edition</v>
      </c>
      <c r="B132" s="20" t="str">
        <f>IFERROR(__xludf.DUMMYFUNCTION("""COMPUTED_VALUE"""),"Xbox / PC")</f>
        <v>Xbox / PC</v>
      </c>
      <c r="C132" s="20" t="str">
        <f>IFERROR(__xludf.DUMMYFUNCTION("""COMPUTED_VALUE"""),"Yes")</f>
        <v>Yes</v>
      </c>
      <c r="D132" s="21" t="str">
        <f>IFERROR(__xludf.DUMMYFUNCTION("""COMPUTED_VALUE"""),"Removed")</f>
        <v>Removed</v>
      </c>
      <c r="E132" s="127">
        <f>IFERROR(__xludf.DUMMYFUNCTION("""COMPUTED_VALUE"""),45750.0)</f>
        <v>45750</v>
      </c>
      <c r="F132" s="24">
        <f>IFERROR(__xludf.DUMMYFUNCTION("""COMPUTED_VALUE"""),45900.0)</f>
        <v>45900</v>
      </c>
      <c r="G132" s="27">
        <f>IFERROR(__xludf.DUMMYFUNCTION("""COMPUTED_VALUE"""),4.9)</f>
        <v>4.9</v>
      </c>
      <c r="H132" s="128">
        <f>IFERROR(__xludf.DUMMYFUNCTION("""COMPUTED_VALUE"""),45205.0)</f>
        <v>45205</v>
      </c>
      <c r="I132" s="27">
        <f>IFERROR(__xludf.DUMMYFUNCTION("""COMPUTED_VALUE"""),1.4916666666666667)</f>
        <v>1.491666667</v>
      </c>
      <c r="J132" s="29">
        <f>IFERROR(__xludf.DUMMYFUNCTION("""COMPUTED_VALUE"""),77.0)</f>
        <v>77</v>
      </c>
      <c r="K132" s="29">
        <f>IFERROR(__xludf.DUMMYFUNCTION("""COMPUTED_VALUE"""),33.0)</f>
        <v>33</v>
      </c>
      <c r="L132" s="31" t="str">
        <f>IFERROR(__xludf.DUMMYFUNCTION("""COMPUTED_VALUE"""),"Shooter")</f>
        <v>Shooter</v>
      </c>
    </row>
    <row r="133">
      <c r="A133" s="17" t="str">
        <f>IFERROR(__xludf.DUMMYFUNCTION("""COMPUTED_VALUE"""),"Sea of Stars")</f>
        <v>Sea of Stars</v>
      </c>
      <c r="B133" s="20" t="str">
        <f>IFERROR(__xludf.DUMMYFUNCTION("""COMPUTED_VALUE"""),"Xbox / PC")</f>
        <v>Xbox / PC</v>
      </c>
      <c r="C133" s="20" t="str">
        <f>IFERROR(__xludf.DUMMYFUNCTION("""COMPUTED_VALUE"""),"Yes")</f>
        <v>Yes</v>
      </c>
      <c r="D133" s="21" t="str">
        <f>IFERROR(__xludf.DUMMYFUNCTION("""COMPUTED_VALUE"""),"Removed")</f>
        <v>Removed</v>
      </c>
      <c r="E133" s="127">
        <f>IFERROR(__xludf.DUMMYFUNCTION("""COMPUTED_VALUE"""),45167.0)</f>
        <v>45167</v>
      </c>
      <c r="F133" s="24">
        <f>IFERROR(__xludf.DUMMYFUNCTION("""COMPUTED_VALUE"""),45900.0)</f>
        <v>45900</v>
      </c>
      <c r="G133" s="27">
        <f>IFERROR(__xludf.DUMMYFUNCTION("""COMPUTED_VALUE"""),24.03333333333333)</f>
        <v>24.03333333</v>
      </c>
      <c r="H133" s="128">
        <f>IFERROR(__xludf.DUMMYFUNCTION("""COMPUTED_VALUE"""),45167.0)</f>
        <v>45167</v>
      </c>
      <c r="I133" s="27">
        <f>IFERROR(__xludf.DUMMYFUNCTION("""COMPUTED_VALUE"""),0.0)</f>
        <v>0</v>
      </c>
      <c r="J133" s="29">
        <f>IFERROR(__xludf.DUMMYFUNCTION("""COMPUTED_VALUE"""),90.0)</f>
        <v>90</v>
      </c>
      <c r="K133" s="29">
        <f>IFERROR(__xludf.DUMMYFUNCTION("""COMPUTED_VALUE"""),20.0)</f>
        <v>20</v>
      </c>
      <c r="L133" s="31" t="str">
        <f>IFERROR(__xludf.DUMMYFUNCTION("""COMPUTED_VALUE"""),"RPG")</f>
        <v>RPG</v>
      </c>
    </row>
    <row r="134">
      <c r="A134" s="17" t="str">
        <f>IFERROR(__xludf.DUMMYFUNCTION("""COMPUTED_VALUE"""),"This War of Mine: Final Cut")</f>
        <v>This War of Mine: Final Cut</v>
      </c>
      <c r="B134" s="20" t="str">
        <f>IFERROR(__xludf.DUMMYFUNCTION("""COMPUTED_VALUE"""),"Xbox / PC")</f>
        <v>Xbox / PC</v>
      </c>
      <c r="C134" s="20" t="str">
        <f>IFERROR(__xludf.DUMMYFUNCTION("""COMPUTED_VALUE"""),"Touch Controls")</f>
        <v>Touch Controls</v>
      </c>
      <c r="D134" s="21" t="str">
        <f>IFERROR(__xludf.DUMMYFUNCTION("""COMPUTED_VALUE"""),"Removed")</f>
        <v>Removed</v>
      </c>
      <c r="E134" s="127">
        <f>IFERROR(__xludf.DUMMYFUNCTION("""COMPUTED_VALUE"""),44691.0)</f>
        <v>44691</v>
      </c>
      <c r="F134" s="24">
        <f>IFERROR(__xludf.DUMMYFUNCTION("""COMPUTED_VALUE"""),45900.0)</f>
        <v>45900</v>
      </c>
      <c r="G134" s="27">
        <f>IFERROR(__xludf.DUMMYFUNCTION("""COMPUTED_VALUE"""),39.666666666666664)</f>
        <v>39.66666667</v>
      </c>
      <c r="H134" s="128">
        <f>IFERROR(__xludf.DUMMYFUNCTION("""COMPUTED_VALUE"""),41957.0)</f>
        <v>41957</v>
      </c>
      <c r="I134" s="27">
        <f>IFERROR(__xludf.DUMMYFUNCTION("""COMPUTED_VALUE"""),7.488888888888889)</f>
        <v>7.488888889</v>
      </c>
      <c r="J134" s="29">
        <f>IFERROR(__xludf.DUMMYFUNCTION("""COMPUTED_VALUE"""),80.5)</f>
        <v>80.5</v>
      </c>
      <c r="K134" s="29">
        <f>IFERROR(__xludf.DUMMYFUNCTION("""COMPUTED_VALUE"""),10.5)</f>
        <v>10.5</v>
      </c>
      <c r="L134" s="31" t="str">
        <f>IFERROR(__xludf.DUMMYFUNCTION("""COMPUTED_VALUE"""),"Simulation")</f>
        <v>Simulation</v>
      </c>
    </row>
    <row r="135">
      <c r="A135" s="17" t="str">
        <f>IFERROR(__xludf.DUMMYFUNCTION("""COMPUTED_VALUE"""),"PAW Patrol Mighty Pups: Save Adventure Bay")</f>
        <v>PAW Patrol Mighty Pups: Save Adventure Bay</v>
      </c>
      <c r="B135" s="20" t="str">
        <f>IFERROR(__xludf.DUMMYFUNCTION("""COMPUTED_VALUE"""),"Xbox / PC")</f>
        <v>Xbox / PC</v>
      </c>
      <c r="C135" s="20" t="str">
        <f>IFERROR(__xludf.DUMMYFUNCTION("""COMPUTED_VALUE"""),"Touch Controls")</f>
        <v>Touch Controls</v>
      </c>
      <c r="D135" s="21" t="str">
        <f>IFERROR(__xludf.DUMMYFUNCTION("""COMPUTED_VALUE"""),"Removed")</f>
        <v>Removed</v>
      </c>
      <c r="E135" s="23">
        <f>IFERROR(__xludf.DUMMYFUNCTION("""COMPUTED_VALUE"""),44546.0)</f>
        <v>44546</v>
      </c>
      <c r="F135" s="24">
        <f>IFERROR(__xludf.DUMMYFUNCTION("""COMPUTED_VALUE"""),45900.0)</f>
        <v>45900</v>
      </c>
      <c r="G135" s="27">
        <f>IFERROR(__xludf.DUMMYFUNCTION("""COMPUTED_VALUE"""),44.46666666666667)</f>
        <v>44.46666667</v>
      </c>
      <c r="H135" s="23">
        <f>IFERROR(__xludf.DUMMYFUNCTION("""COMPUTED_VALUE"""),44141.0)</f>
        <v>44141</v>
      </c>
      <c r="I135" s="27">
        <f>IFERROR(__xludf.DUMMYFUNCTION("""COMPUTED_VALUE"""),1.1111111111111112)</f>
        <v>1.111111111</v>
      </c>
      <c r="J135" s="29">
        <f>IFERROR(__xludf.DUMMYFUNCTION("""COMPUTED_VALUE"""),65.0)</f>
        <v>65</v>
      </c>
      <c r="K135" s="29">
        <f>IFERROR(__xludf.DUMMYFUNCTION("""COMPUTED_VALUE"""),5.0)</f>
        <v>5</v>
      </c>
      <c r="L135" s="31" t="str">
        <f>IFERROR(__xludf.DUMMYFUNCTION("""COMPUTED_VALUE"""),"Action")</f>
        <v>Action</v>
      </c>
    </row>
    <row r="136">
      <c r="A136" s="17" t="str">
        <f>IFERROR(__xludf.DUMMYFUNCTION("""COMPUTED_VALUE"""),"Persona 3: Reload")</f>
        <v>Persona 3: Reload</v>
      </c>
      <c r="B136" s="20" t="str">
        <f>IFERROR(__xludf.DUMMYFUNCTION("""COMPUTED_VALUE"""),"Xbox / PC")</f>
        <v>Xbox / PC</v>
      </c>
      <c r="C136" s="20" t="str">
        <f>IFERROR(__xludf.DUMMYFUNCTION("""COMPUTED_VALUE"""),"Yes")</f>
        <v>Yes</v>
      </c>
      <c r="D136" s="21" t="str">
        <f>IFERROR(__xludf.DUMMYFUNCTION("""COMPUTED_VALUE"""),"Removed")</f>
        <v>Removed</v>
      </c>
      <c r="E136" s="127">
        <f>IFERROR(__xludf.DUMMYFUNCTION("""COMPUTED_VALUE"""),45324.0)</f>
        <v>45324</v>
      </c>
      <c r="F136" s="24">
        <f>IFERROR(__xludf.DUMMYFUNCTION("""COMPUTED_VALUE"""),45884.0)</f>
        <v>45884</v>
      </c>
      <c r="G136" s="27">
        <f>IFERROR(__xludf.DUMMYFUNCTION("""COMPUTED_VALUE"""),18.433333333333334)</f>
        <v>18.43333333</v>
      </c>
      <c r="H136" s="128">
        <f>IFERROR(__xludf.DUMMYFUNCTION("""COMPUTED_VALUE"""),45324.0)</f>
        <v>45324</v>
      </c>
      <c r="I136" s="27">
        <f>IFERROR(__xludf.DUMMYFUNCTION("""COMPUTED_VALUE"""),0.0)</f>
        <v>0</v>
      </c>
      <c r="J136" s="29">
        <f>IFERROR(__xludf.DUMMYFUNCTION("""COMPUTED_VALUE"""),87.0)</f>
        <v>87</v>
      </c>
      <c r="K136" s="29">
        <f>IFERROR(__xludf.DUMMYFUNCTION("""COMPUTED_VALUE"""),49.0)</f>
        <v>49</v>
      </c>
      <c r="L136" s="31" t="str">
        <f>IFERROR(__xludf.DUMMYFUNCTION("""COMPUTED_VALUE"""),"RPG")</f>
        <v>RPG</v>
      </c>
    </row>
    <row r="137">
      <c r="A137" s="17" t="str">
        <f>IFERROR(__xludf.DUMMYFUNCTION("""COMPUTED_VALUE"""),"Farming Simulator 22")</f>
        <v>Farming Simulator 22</v>
      </c>
      <c r="B137" s="20" t="str">
        <f>IFERROR(__xludf.DUMMYFUNCTION("""COMPUTED_VALUE"""),"Xbox / PC")</f>
        <v>Xbox / PC</v>
      </c>
      <c r="C137" s="20" t="str">
        <f>IFERROR(__xludf.DUMMYFUNCTION("""COMPUTED_VALUE"""),"Yes")</f>
        <v>Yes</v>
      </c>
      <c r="D137" s="21" t="str">
        <f>IFERROR(__xludf.DUMMYFUNCTION("""COMPUTED_VALUE"""),"Removed")</f>
        <v>Removed</v>
      </c>
      <c r="E137" s="127">
        <f>IFERROR(__xludf.DUMMYFUNCTION("""COMPUTED_VALUE"""),44700.0)</f>
        <v>44700</v>
      </c>
      <c r="F137" s="24">
        <f>IFERROR(__xludf.DUMMYFUNCTION("""COMPUTED_VALUE"""),45884.0)</f>
        <v>45884</v>
      </c>
      <c r="G137" s="27">
        <f>IFERROR(__xludf.DUMMYFUNCTION("""COMPUTED_VALUE"""),38.86666666666667)</f>
        <v>38.86666667</v>
      </c>
      <c r="H137" s="128">
        <f>IFERROR(__xludf.DUMMYFUNCTION("""COMPUTED_VALUE"""),44522.0)</f>
        <v>44522</v>
      </c>
      <c r="I137" s="27">
        <f>IFERROR(__xludf.DUMMYFUNCTION("""COMPUTED_VALUE"""),0.49166666666666664)</f>
        <v>0.4916666667</v>
      </c>
      <c r="J137" s="29">
        <f>IFERROR(__xludf.DUMMYFUNCTION("""COMPUTED_VALUE"""),75.5)</f>
        <v>75.5</v>
      </c>
      <c r="K137" s="29">
        <f>IFERROR(__xludf.DUMMYFUNCTION("""COMPUTED_VALUE"""),466.0)</f>
        <v>466</v>
      </c>
      <c r="L137" s="31" t="str">
        <f>IFERROR(__xludf.DUMMYFUNCTION("""COMPUTED_VALUE"""),"Simulation")</f>
        <v>Simulation</v>
      </c>
    </row>
    <row r="138">
      <c r="A138" s="17" t="str">
        <f>IFERROR(__xludf.DUMMYFUNCTION("""COMPUTED_VALUE"""),"Anthem")</f>
        <v>Anthem</v>
      </c>
      <c r="B138" s="20" t="str">
        <f>IFERROR(__xludf.DUMMYFUNCTION("""COMPUTED_VALUE"""),"Xbox / PC")</f>
        <v>Xbox / PC</v>
      </c>
      <c r="C138" s="20"/>
      <c r="D138" s="21" t="str">
        <f>IFERROR(__xludf.DUMMYFUNCTION("""COMPUTED_VALUE"""),"Removed")</f>
        <v>Removed</v>
      </c>
      <c r="E138" s="127">
        <f>IFERROR(__xludf.DUMMYFUNCTION("""COMPUTED_VALUE"""),44145.0)</f>
        <v>44145</v>
      </c>
      <c r="F138" s="24">
        <f>IFERROR(__xludf.DUMMYFUNCTION("""COMPUTED_VALUE"""),45884.0)</f>
        <v>45884</v>
      </c>
      <c r="G138" s="27">
        <f>IFERROR(__xludf.DUMMYFUNCTION("""COMPUTED_VALUE"""),57.16666666666667)</f>
        <v>57.16666667</v>
      </c>
      <c r="H138" s="128">
        <f>IFERROR(__xludf.DUMMYFUNCTION("""COMPUTED_VALUE"""),43511.0)</f>
        <v>43511</v>
      </c>
      <c r="I138" s="27">
        <f>IFERROR(__xludf.DUMMYFUNCTION("""COMPUTED_VALUE"""),1.7361111111111112)</f>
        <v>1.736111111</v>
      </c>
      <c r="J138" s="29">
        <f>IFERROR(__xludf.DUMMYFUNCTION("""COMPUTED_VALUE"""),62.0)</f>
        <v>62</v>
      </c>
      <c r="K138" s="29">
        <f>IFERROR(__xludf.DUMMYFUNCTION("""COMPUTED_VALUE"""),12.5)</f>
        <v>12.5</v>
      </c>
      <c r="L138" s="31" t="str">
        <f>IFERROR(__xludf.DUMMYFUNCTION("""COMPUTED_VALUE"""),"RPG")</f>
        <v>RPG</v>
      </c>
    </row>
    <row r="139">
      <c r="A139" s="17" t="str">
        <f>IFERROR(__xludf.DUMMYFUNCTION("""COMPUTED_VALUE"""),"Gigantic: Rampage Edition")</f>
        <v>Gigantic: Rampage Edition</v>
      </c>
      <c r="B139" s="20" t="str">
        <f>IFERROR(__xludf.DUMMYFUNCTION("""COMPUTED_VALUE"""),"Xbox / PC")</f>
        <v>Xbox / PC</v>
      </c>
      <c r="C139" s="20" t="str">
        <f>IFERROR(__xludf.DUMMYFUNCTION("""COMPUTED_VALUE"""),"Yes")</f>
        <v>Yes</v>
      </c>
      <c r="D139" s="21" t="str">
        <f>IFERROR(__xludf.DUMMYFUNCTION("""COMPUTED_VALUE"""),"Removed")</f>
        <v>Removed</v>
      </c>
      <c r="E139" s="23">
        <f>IFERROR(__xludf.DUMMYFUNCTION("""COMPUTED_VALUE"""),45679.0)</f>
        <v>45679</v>
      </c>
      <c r="F139" s="24">
        <f>IFERROR(__xludf.DUMMYFUNCTION("""COMPUTED_VALUE"""),45869.0)</f>
        <v>45869</v>
      </c>
      <c r="G139" s="27">
        <f>IFERROR(__xludf.DUMMYFUNCTION("""COMPUTED_VALUE"""),6.2666666666666675)</f>
        <v>6.266666667</v>
      </c>
      <c r="H139" s="128">
        <f>IFERROR(__xludf.DUMMYFUNCTION("""COMPUTED_VALUE"""),45391.0)</f>
        <v>45391</v>
      </c>
      <c r="I139" s="27">
        <f>IFERROR(__xludf.DUMMYFUNCTION("""COMPUTED_VALUE"""),0.7861111111111111)</f>
        <v>0.7861111111</v>
      </c>
      <c r="J139" s="29">
        <f>IFERROR(__xludf.DUMMYFUNCTION("""COMPUTED_VALUE"""),65.0)</f>
        <v>65</v>
      </c>
      <c r="K139" s="29">
        <f>IFERROR(__xludf.DUMMYFUNCTION("""COMPUTED_VALUE"""),16.0)</f>
        <v>16</v>
      </c>
      <c r="L139" s="31" t="str">
        <f>IFERROR(__xludf.DUMMYFUNCTION("""COMPUTED_VALUE"""),"MOBA")</f>
        <v>MOBA</v>
      </c>
    </row>
    <row r="140">
      <c r="A140" s="17" t="str">
        <f>IFERROR(__xludf.DUMMYFUNCTION("""COMPUTED_VALUE"""),"Kunitsu-Gami: Path of the Goddess")</f>
        <v>Kunitsu-Gami: Path of the Goddess</v>
      </c>
      <c r="B140" s="20" t="str">
        <f>IFERROR(__xludf.DUMMYFUNCTION("""COMPUTED_VALUE"""),"Xbox / PC")</f>
        <v>Xbox / PC</v>
      </c>
      <c r="C140" s="20" t="str">
        <f>IFERROR(__xludf.DUMMYFUNCTION("""COMPUTED_VALUE"""),"Yes")</f>
        <v>Yes</v>
      </c>
      <c r="D140" s="21" t="str">
        <f>IFERROR(__xludf.DUMMYFUNCTION("""COMPUTED_VALUE"""),"Removed")</f>
        <v>Removed</v>
      </c>
      <c r="E140" s="23">
        <f>IFERROR(__xludf.DUMMYFUNCTION("""COMPUTED_VALUE"""),45492.0)</f>
        <v>45492</v>
      </c>
      <c r="F140" s="24">
        <f>IFERROR(__xludf.DUMMYFUNCTION("""COMPUTED_VALUE"""),45869.0)</f>
        <v>45869</v>
      </c>
      <c r="G140" s="27">
        <f>IFERROR(__xludf.DUMMYFUNCTION("""COMPUTED_VALUE"""),12.366666666666665)</f>
        <v>12.36666667</v>
      </c>
      <c r="H140" s="128">
        <f>IFERROR(__xludf.DUMMYFUNCTION("""COMPUTED_VALUE"""),45492.0)</f>
        <v>45492</v>
      </c>
      <c r="I140" s="27">
        <f>IFERROR(__xludf.DUMMYFUNCTION("""COMPUTED_VALUE"""),0.0)</f>
        <v>0</v>
      </c>
      <c r="J140" s="29">
        <f>IFERROR(__xludf.DUMMYFUNCTION("""COMPUTED_VALUE"""),80.0)</f>
        <v>80</v>
      </c>
      <c r="K140" s="29">
        <f>IFERROR(__xludf.DUMMYFUNCTION("""COMPUTED_VALUE"""),16.0)</f>
        <v>16</v>
      </c>
      <c r="L140" s="31" t="str">
        <f>IFERROR(__xludf.DUMMYFUNCTION("""COMPUTED_VALUE"""),"Action-Adventure")</f>
        <v>Action-Adventure</v>
      </c>
    </row>
    <row r="141">
      <c r="A141" s="17" t="str">
        <f>IFERROR(__xludf.DUMMYFUNCTION("""COMPUTED_VALUE"""),"Turnip Boy Robs a Bank")</f>
        <v>Turnip Boy Robs a Bank</v>
      </c>
      <c r="B141" s="20" t="str">
        <f>IFERROR(__xludf.DUMMYFUNCTION("""COMPUTED_VALUE"""),"Xbox / PC")</f>
        <v>Xbox / PC</v>
      </c>
      <c r="C141" s="20" t="str">
        <f>IFERROR(__xludf.DUMMYFUNCTION("""COMPUTED_VALUE"""),"Yes")</f>
        <v>Yes</v>
      </c>
      <c r="D141" s="21" t="str">
        <f>IFERROR(__xludf.DUMMYFUNCTION("""COMPUTED_VALUE"""),"Removed")</f>
        <v>Removed</v>
      </c>
      <c r="E141" s="23">
        <f>IFERROR(__xludf.DUMMYFUNCTION("""COMPUTED_VALUE"""),45309.0)</f>
        <v>45309</v>
      </c>
      <c r="F141" s="24">
        <f>IFERROR(__xludf.DUMMYFUNCTION("""COMPUTED_VALUE"""),45869.0)</f>
        <v>45869</v>
      </c>
      <c r="G141" s="27">
        <f>IFERROR(__xludf.DUMMYFUNCTION("""COMPUTED_VALUE"""),18.400000000000002)</f>
        <v>18.4</v>
      </c>
      <c r="H141" s="128">
        <f>IFERROR(__xludf.DUMMYFUNCTION("""COMPUTED_VALUE"""),45309.0)</f>
        <v>45309</v>
      </c>
      <c r="I141" s="27">
        <f>IFERROR(__xludf.DUMMYFUNCTION("""COMPUTED_VALUE"""),0.0)</f>
        <v>0</v>
      </c>
      <c r="J141" s="29">
        <f>IFERROR(__xludf.DUMMYFUNCTION("""COMPUTED_VALUE"""),82.0)</f>
        <v>82</v>
      </c>
      <c r="K141" s="29">
        <f>IFERROR(__xludf.DUMMYFUNCTION("""COMPUTED_VALUE"""),4.0)</f>
        <v>4</v>
      </c>
      <c r="L141" s="31" t="str">
        <f>IFERROR(__xludf.DUMMYFUNCTION("""COMPUTED_VALUE"""),"Action-Adventure")</f>
        <v>Action-Adventure</v>
      </c>
    </row>
    <row r="142">
      <c r="A142" s="17" t="str">
        <f>IFERROR(__xludf.DUMMYFUNCTION("""COMPUTED_VALUE"""),"Mafia: Definitive Edition")</f>
        <v>Mafia: Definitive Edition</v>
      </c>
      <c r="B142" s="20" t="str">
        <f>IFERROR(__xludf.DUMMYFUNCTION("""COMPUTED_VALUE"""),"Xbox / PC")</f>
        <v>Xbox / PC</v>
      </c>
      <c r="C142" s="20" t="str">
        <f>IFERROR(__xludf.DUMMYFUNCTION("""COMPUTED_VALUE"""),"Yes")</f>
        <v>Yes</v>
      </c>
      <c r="D142" s="21" t="str">
        <f>IFERROR(__xludf.DUMMYFUNCTION("""COMPUTED_VALUE"""),"Removed")</f>
        <v>Removed</v>
      </c>
      <c r="E142" s="23">
        <f>IFERROR(__xludf.DUMMYFUNCTION("""COMPUTED_VALUE"""),45517.0)</f>
        <v>45517</v>
      </c>
      <c r="F142" s="24">
        <f>IFERROR(__xludf.DUMMYFUNCTION("""COMPUTED_VALUE"""),45853.0)</f>
        <v>45853</v>
      </c>
      <c r="G142" s="27">
        <f>IFERROR(__xludf.DUMMYFUNCTION("""COMPUTED_VALUE"""),11.066666666666666)</f>
        <v>11.06666667</v>
      </c>
      <c r="H142" s="128">
        <f>IFERROR(__xludf.DUMMYFUNCTION("""COMPUTED_VALUE"""),44099.0)</f>
        <v>44099</v>
      </c>
      <c r="I142" s="27">
        <f>IFERROR(__xludf.DUMMYFUNCTION("""COMPUTED_VALUE"""),3.8833333333333333)</f>
        <v>3.883333333</v>
      </c>
      <c r="J142" s="29">
        <f>IFERROR(__xludf.DUMMYFUNCTION("""COMPUTED_VALUE"""),76.0)</f>
        <v>76</v>
      </c>
      <c r="K142" s="29">
        <f>IFERROR(__xludf.DUMMYFUNCTION("""COMPUTED_VALUE"""),11.0)</f>
        <v>11</v>
      </c>
      <c r="L142" s="31" t="str">
        <f>IFERROR(__xludf.DUMMYFUNCTION("""COMPUTED_VALUE"""),"Shooter")</f>
        <v>Shooter</v>
      </c>
    </row>
    <row r="143">
      <c r="A143" s="17" t="str">
        <f>IFERROR(__xludf.DUMMYFUNCTION("""COMPUTED_VALUE"""),"Flock (2024)")</f>
        <v>Flock (2024)</v>
      </c>
      <c r="B143" s="20" t="str">
        <f>IFERROR(__xludf.DUMMYFUNCTION("""COMPUTED_VALUE"""),"Xbox / PC")</f>
        <v>Xbox / PC</v>
      </c>
      <c r="C143" s="20" t="str">
        <f>IFERROR(__xludf.DUMMYFUNCTION("""COMPUTED_VALUE"""),"Yes")</f>
        <v>Yes</v>
      </c>
      <c r="D143" s="21" t="str">
        <f>IFERROR(__xludf.DUMMYFUNCTION("""COMPUTED_VALUE"""),"Removed")</f>
        <v>Removed</v>
      </c>
      <c r="E143" s="23">
        <f>IFERROR(__xludf.DUMMYFUNCTION("""COMPUTED_VALUE"""),45489.0)</f>
        <v>45489</v>
      </c>
      <c r="F143" s="24">
        <f>IFERROR(__xludf.DUMMYFUNCTION("""COMPUTED_VALUE"""),45853.0)</f>
        <v>45853</v>
      </c>
      <c r="G143" s="27">
        <f>IFERROR(__xludf.DUMMYFUNCTION("""COMPUTED_VALUE"""),11.966666666666667)</f>
        <v>11.96666667</v>
      </c>
      <c r="H143" s="128">
        <f>IFERROR(__xludf.DUMMYFUNCTION("""COMPUTED_VALUE"""),45489.0)</f>
        <v>45489</v>
      </c>
      <c r="I143" s="27">
        <f>IFERROR(__xludf.DUMMYFUNCTION("""COMPUTED_VALUE"""),0.0)</f>
        <v>0</v>
      </c>
      <c r="J143" s="29">
        <f>IFERROR(__xludf.DUMMYFUNCTION("""COMPUTED_VALUE"""),74.0)</f>
        <v>74</v>
      </c>
      <c r="K143" s="29">
        <f>IFERROR(__xludf.DUMMYFUNCTION("""COMPUTED_VALUE"""),4.0)</f>
        <v>4</v>
      </c>
      <c r="L143" s="31" t="str">
        <f>IFERROR(__xludf.DUMMYFUNCTION("""COMPUTED_VALUE"""),"Action-Adventure")</f>
        <v>Action-Adventure</v>
      </c>
    </row>
    <row r="144">
      <c r="A144" s="17" t="str">
        <f>IFERROR(__xludf.DUMMYFUNCTION("""COMPUTED_VALUE"""),"Magical Delicacy")</f>
        <v>Magical Delicacy</v>
      </c>
      <c r="B144" s="20" t="str">
        <f>IFERROR(__xludf.DUMMYFUNCTION("""COMPUTED_VALUE"""),"Xbox / PC")</f>
        <v>Xbox / PC</v>
      </c>
      <c r="C144" s="20" t="str">
        <f>IFERROR(__xludf.DUMMYFUNCTION("""COMPUTED_VALUE"""),"Yes")</f>
        <v>Yes</v>
      </c>
      <c r="D144" s="21" t="str">
        <f>IFERROR(__xludf.DUMMYFUNCTION("""COMPUTED_VALUE"""),"Removed")</f>
        <v>Removed</v>
      </c>
      <c r="E144" s="128">
        <f>IFERROR(__xludf.DUMMYFUNCTION("""COMPUTED_VALUE"""),45489.0)</f>
        <v>45489</v>
      </c>
      <c r="F144" s="24">
        <f>IFERROR(__xludf.DUMMYFUNCTION("""COMPUTED_VALUE"""),45853.0)</f>
        <v>45853</v>
      </c>
      <c r="G144" s="27">
        <f>IFERROR(__xludf.DUMMYFUNCTION("""COMPUTED_VALUE"""),11.966666666666667)</f>
        <v>11.96666667</v>
      </c>
      <c r="H144" s="128">
        <f>IFERROR(__xludf.DUMMYFUNCTION("""COMPUTED_VALUE"""),45489.0)</f>
        <v>45489</v>
      </c>
      <c r="I144" s="27">
        <f>IFERROR(__xludf.DUMMYFUNCTION("""COMPUTED_VALUE"""),0.0)</f>
        <v>0</v>
      </c>
      <c r="J144" s="29">
        <f>IFERROR(__xludf.DUMMYFUNCTION("""COMPUTED_VALUE"""),84.0)</f>
        <v>84</v>
      </c>
      <c r="K144" s="29">
        <f>IFERROR(__xludf.DUMMYFUNCTION("""COMPUTED_VALUE"""),27.0)</f>
        <v>27</v>
      </c>
      <c r="L144" s="31" t="str">
        <f>IFERROR(__xludf.DUMMYFUNCTION("""COMPUTED_VALUE"""),"Strategy")</f>
        <v>Strategy</v>
      </c>
    </row>
    <row r="145">
      <c r="A145" s="17" t="str">
        <f>IFERROR(__xludf.DUMMYFUNCTION("""COMPUTED_VALUE"""),"Tchia")</f>
        <v>Tchia</v>
      </c>
      <c r="B145" s="20" t="str">
        <f>IFERROR(__xludf.DUMMYFUNCTION("""COMPUTED_VALUE"""),"Xbox / PC")</f>
        <v>Xbox / PC</v>
      </c>
      <c r="C145" s="20" t="str">
        <f>IFERROR(__xludf.DUMMYFUNCTION("""COMPUTED_VALUE"""),"Yes")</f>
        <v>Yes</v>
      </c>
      <c r="D145" s="21" t="str">
        <f>IFERROR(__xludf.DUMMYFUNCTION("""COMPUTED_VALUE"""),"Removed")</f>
        <v>Removed</v>
      </c>
      <c r="E145" s="128">
        <f>IFERROR(__xludf.DUMMYFUNCTION("""COMPUTED_VALUE"""),45484.0)</f>
        <v>45484</v>
      </c>
      <c r="F145" s="24">
        <f>IFERROR(__xludf.DUMMYFUNCTION("""COMPUTED_VALUE"""),45853.0)</f>
        <v>45853</v>
      </c>
      <c r="G145" s="27">
        <f>IFERROR(__xludf.DUMMYFUNCTION("""COMPUTED_VALUE"""),12.133333333333333)</f>
        <v>12.13333333</v>
      </c>
      <c r="H145" s="128">
        <f>IFERROR(__xludf.DUMMYFUNCTION("""COMPUTED_VALUE"""),45006.0)</f>
        <v>45006</v>
      </c>
      <c r="I145" s="27">
        <f>IFERROR(__xludf.DUMMYFUNCTION("""COMPUTED_VALUE"""),1.3055555555555556)</f>
        <v>1.305555556</v>
      </c>
      <c r="J145" s="29">
        <f>IFERROR(__xludf.DUMMYFUNCTION("""COMPUTED_VALUE"""),77.0)</f>
        <v>77</v>
      </c>
      <c r="K145" s="29">
        <f>IFERROR(__xludf.DUMMYFUNCTION("""COMPUTED_VALUE"""),7.0)</f>
        <v>7</v>
      </c>
      <c r="L145" s="31" t="str">
        <f>IFERROR(__xludf.DUMMYFUNCTION("""COMPUTED_VALUE"""),"Action-Adventure")</f>
        <v>Action-Adventure</v>
      </c>
    </row>
    <row r="146">
      <c r="A146" s="17" t="str">
        <f>IFERROR(__xludf.DUMMYFUNCTION("""COMPUTED_VALUE"""),"The Case of the Golden Idol")</f>
        <v>The Case of the Golden Idol</v>
      </c>
      <c r="B146" s="20" t="str">
        <f>IFERROR(__xludf.DUMMYFUNCTION("""COMPUTED_VALUE"""),"Xbox / PC")</f>
        <v>Xbox / PC</v>
      </c>
      <c r="C146" s="20" t="str">
        <f>IFERROR(__xludf.DUMMYFUNCTION("""COMPUTED_VALUE"""),"Yes")</f>
        <v>Yes</v>
      </c>
      <c r="D146" s="21" t="str">
        <f>IFERROR(__xludf.DUMMYFUNCTION("""COMPUTED_VALUE"""),"Removed")</f>
        <v>Removed</v>
      </c>
      <c r="E146" s="128">
        <f>IFERROR(__xludf.DUMMYFUNCTION("""COMPUTED_VALUE"""),45482.0)</f>
        <v>45482</v>
      </c>
      <c r="F146" s="24">
        <f>IFERROR(__xludf.DUMMYFUNCTION("""COMPUTED_VALUE"""),45853.0)</f>
        <v>45853</v>
      </c>
      <c r="G146" s="27">
        <f>IFERROR(__xludf.DUMMYFUNCTION("""COMPUTED_VALUE"""),12.2)</f>
        <v>12.2</v>
      </c>
      <c r="H146" s="128">
        <f>IFERROR(__xludf.DUMMYFUNCTION("""COMPUTED_VALUE"""),44847.0)</f>
        <v>44847</v>
      </c>
      <c r="I146" s="27">
        <f>IFERROR(__xludf.DUMMYFUNCTION("""COMPUTED_VALUE"""),1.738888888888889)</f>
        <v>1.738888889</v>
      </c>
      <c r="J146" s="29">
        <f>IFERROR(__xludf.DUMMYFUNCTION("""COMPUTED_VALUE"""),84.0)</f>
        <v>84</v>
      </c>
      <c r="K146" s="29">
        <f>IFERROR(__xludf.DUMMYFUNCTION("""COMPUTED_VALUE"""),6.0)</f>
        <v>6</v>
      </c>
      <c r="L146" s="31" t="str">
        <f>IFERROR(__xludf.DUMMYFUNCTION("""COMPUTED_VALUE"""),"Point and Click")</f>
        <v>Point and Click</v>
      </c>
    </row>
    <row r="147">
      <c r="A147" s="17" t="str">
        <f>IFERROR(__xludf.DUMMYFUNCTION("""COMPUTED_VALUE"""),"The Callisto Protocol")</f>
        <v>The Callisto Protocol</v>
      </c>
      <c r="B147" s="20" t="str">
        <f>IFERROR(__xludf.DUMMYFUNCTION("""COMPUTED_VALUE"""),"Xbox / PC")</f>
        <v>Xbox / PC</v>
      </c>
      <c r="C147" s="20" t="str">
        <f>IFERROR(__xludf.DUMMYFUNCTION("""COMPUTED_VALUE"""),"Yes")</f>
        <v>Yes</v>
      </c>
      <c r="D147" s="21" t="str">
        <f>IFERROR(__xludf.DUMMYFUNCTION("""COMPUTED_VALUE"""),"Removed")</f>
        <v>Removed</v>
      </c>
      <c r="E147" s="128">
        <f>IFERROR(__xludf.DUMMYFUNCTION("""COMPUTED_VALUE"""),45456.0)</f>
        <v>45456</v>
      </c>
      <c r="F147" s="24">
        <f>IFERROR(__xludf.DUMMYFUNCTION("""COMPUTED_VALUE"""),45853.0)</f>
        <v>45853</v>
      </c>
      <c r="G147" s="27">
        <f>IFERROR(__xludf.DUMMYFUNCTION("""COMPUTED_VALUE"""),13.066666666666666)</f>
        <v>13.06666667</v>
      </c>
      <c r="H147" s="128">
        <f>IFERROR(__xludf.DUMMYFUNCTION("""COMPUTED_VALUE"""),44897.0)</f>
        <v>44897</v>
      </c>
      <c r="I147" s="27">
        <f>IFERROR(__xludf.DUMMYFUNCTION("""COMPUTED_VALUE"""),1.5305555555555554)</f>
        <v>1.530555556</v>
      </c>
      <c r="J147" s="29">
        <f>IFERROR(__xludf.DUMMYFUNCTION("""COMPUTED_VALUE"""),69.0)</f>
        <v>69</v>
      </c>
      <c r="K147" s="29">
        <f>IFERROR(__xludf.DUMMYFUNCTION("""COMPUTED_VALUE"""),10.0)</f>
        <v>10</v>
      </c>
      <c r="L147" s="31" t="str">
        <f>IFERROR(__xludf.DUMMYFUNCTION("""COMPUTED_VALUE"""),"Survival")</f>
        <v>Survival</v>
      </c>
    </row>
    <row r="148">
      <c r="A148" s="17" t="str">
        <f>IFERROR(__xludf.DUMMYFUNCTION("""COMPUTED_VALUE"""),"Journey to the Savage Planet")</f>
        <v>Journey to the Savage Planet</v>
      </c>
      <c r="B148" s="20" t="str">
        <f>IFERROR(__xludf.DUMMYFUNCTION("""COMPUTED_VALUE"""),"Xbox / PC")</f>
        <v>Xbox / PC</v>
      </c>
      <c r="C148" s="20" t="str">
        <f>IFERROR(__xludf.DUMMYFUNCTION("""COMPUTED_VALUE"""),"Yes")</f>
        <v>Yes</v>
      </c>
      <c r="D148" s="21" t="str">
        <f>IFERROR(__xludf.DUMMYFUNCTION("""COMPUTED_VALUE"""),"Removed")</f>
        <v>Removed</v>
      </c>
      <c r="E148" s="128">
        <f>IFERROR(__xludf.DUMMYFUNCTION("""COMPUTED_VALUE"""),45476.0)</f>
        <v>45476</v>
      </c>
      <c r="F148" s="24">
        <f>IFERROR(__xludf.DUMMYFUNCTION("""COMPUTED_VALUE"""),45838.0)</f>
        <v>45838</v>
      </c>
      <c r="G148" s="27">
        <f>IFERROR(__xludf.DUMMYFUNCTION("""COMPUTED_VALUE"""),11.9)</f>
        <v>11.9</v>
      </c>
      <c r="H148" s="128">
        <f>IFERROR(__xludf.DUMMYFUNCTION("""COMPUTED_VALUE"""),43858.0)</f>
        <v>43858</v>
      </c>
      <c r="I148" s="27">
        <f>IFERROR(__xludf.DUMMYFUNCTION("""COMPUTED_VALUE"""),4.430555555555555)</f>
        <v>4.430555556</v>
      </c>
      <c r="J148" s="29">
        <f>IFERROR(__xludf.DUMMYFUNCTION("""COMPUTED_VALUE"""),76.0)</f>
        <v>76</v>
      </c>
      <c r="K148" s="29">
        <f>IFERROR(__xludf.DUMMYFUNCTION("""COMPUTED_VALUE"""),7.0)</f>
        <v>7</v>
      </c>
      <c r="L148" s="31" t="str">
        <f>IFERROR(__xludf.DUMMYFUNCTION("""COMPUTED_VALUE"""),"Shooter")</f>
        <v>Shooter</v>
      </c>
    </row>
    <row r="149">
      <c r="A149" s="17" t="str">
        <f>IFERROR(__xludf.DUMMYFUNCTION("""COMPUTED_VALUE"""),"Robin Hood: Sherwood Builders")</f>
        <v>Robin Hood: Sherwood Builders</v>
      </c>
      <c r="B149" s="20" t="str">
        <f>IFERROR(__xludf.DUMMYFUNCTION("""COMPUTED_VALUE"""),"Xbox / PC")</f>
        <v>Xbox / PC</v>
      </c>
      <c r="C149" s="20" t="str">
        <f>IFERROR(__xludf.DUMMYFUNCTION("""COMPUTED_VALUE"""),"Yes")</f>
        <v>Yes</v>
      </c>
      <c r="D149" s="21" t="str">
        <f>IFERROR(__xludf.DUMMYFUNCTION("""COMPUTED_VALUE"""),"Removed")</f>
        <v>Removed</v>
      </c>
      <c r="E149" s="128">
        <f>IFERROR(__xludf.DUMMYFUNCTION("""COMPUTED_VALUE"""),45470.0)</f>
        <v>45470</v>
      </c>
      <c r="F149" s="24">
        <f>IFERROR(__xludf.DUMMYFUNCTION("""COMPUTED_VALUE"""),45838.0)</f>
        <v>45838</v>
      </c>
      <c r="G149" s="27">
        <f>IFERROR(__xludf.DUMMYFUNCTION("""COMPUTED_VALUE"""),12.1)</f>
        <v>12.1</v>
      </c>
      <c r="H149" s="128">
        <f>IFERROR(__xludf.DUMMYFUNCTION("""COMPUTED_VALUE"""),45351.0)</f>
        <v>45351</v>
      </c>
      <c r="I149" s="27">
        <f>IFERROR(__xludf.DUMMYFUNCTION("""COMPUTED_VALUE"""),0.3277777777777778)</f>
        <v>0.3277777778</v>
      </c>
      <c r="J149" s="29">
        <f>IFERROR(__xludf.DUMMYFUNCTION("""COMPUTED_VALUE"""),80.33333333333333)</f>
        <v>80.33333333</v>
      </c>
      <c r="K149" s="29">
        <f>IFERROR(__xludf.DUMMYFUNCTION("""COMPUTED_VALUE"""),16.0)</f>
        <v>16</v>
      </c>
      <c r="L149" s="31" t="str">
        <f>IFERROR(__xludf.DUMMYFUNCTION("""COMPUTED_VALUE"""),"Action-Adventure")</f>
        <v>Action-Adventure</v>
      </c>
    </row>
    <row r="150">
      <c r="A150" s="17" t="str">
        <f>IFERROR(__xludf.DUMMYFUNCTION("""COMPUTED_VALUE"""),"SteamWorld Dig")</f>
        <v>SteamWorld Dig</v>
      </c>
      <c r="B150" s="20" t="str">
        <f>IFERROR(__xludf.DUMMYFUNCTION("""COMPUTED_VALUE"""),"Xbox")</f>
        <v>Xbox</v>
      </c>
      <c r="C150" s="20" t="str">
        <f>IFERROR(__xludf.DUMMYFUNCTION("""COMPUTED_VALUE"""),"Yes")</f>
        <v>Yes</v>
      </c>
      <c r="D150" s="21" t="str">
        <f>IFERROR(__xludf.DUMMYFUNCTION("""COMPUTED_VALUE"""),"Removed")</f>
        <v>Removed</v>
      </c>
      <c r="E150" s="128">
        <f>IFERROR(__xludf.DUMMYFUNCTION("""COMPUTED_VALUE"""),45469.0)</f>
        <v>45469</v>
      </c>
      <c r="F150" s="24">
        <f>IFERROR(__xludf.DUMMYFUNCTION("""COMPUTED_VALUE"""),45838.0)</f>
        <v>45838</v>
      </c>
      <c r="G150" s="27">
        <f>IFERROR(__xludf.DUMMYFUNCTION("""COMPUTED_VALUE"""),12.133333333333333)</f>
        <v>12.13333333</v>
      </c>
      <c r="H150" s="128">
        <f>IFERROR(__xludf.DUMMYFUNCTION("""COMPUTED_VALUE"""),41494.0)</f>
        <v>41494</v>
      </c>
      <c r="I150" s="27">
        <f>IFERROR(__xludf.DUMMYFUNCTION("""COMPUTED_VALUE"""),10.883333333333333)</f>
        <v>10.88333333</v>
      </c>
      <c r="J150" s="29">
        <f>IFERROR(__xludf.DUMMYFUNCTION("""COMPUTED_VALUE"""),82.0)</f>
        <v>82</v>
      </c>
      <c r="K150" s="29">
        <f>IFERROR(__xludf.DUMMYFUNCTION("""COMPUTED_VALUE"""),5.0)</f>
        <v>5</v>
      </c>
      <c r="L150" s="31" t="str">
        <f>IFERROR(__xludf.DUMMYFUNCTION("""COMPUTED_VALUE"""),"Metroidvania")</f>
        <v>Metroidvania</v>
      </c>
    </row>
    <row r="151">
      <c r="A151" s="17" t="str">
        <f>IFERROR(__xludf.DUMMYFUNCTION("""COMPUTED_VALUE"""),"SteamWorld Dig 2")</f>
        <v>SteamWorld Dig 2</v>
      </c>
      <c r="B151" s="20" t="str">
        <f>IFERROR(__xludf.DUMMYFUNCTION("""COMPUTED_VALUE"""),"Xbox / PC")</f>
        <v>Xbox / PC</v>
      </c>
      <c r="C151" s="20"/>
      <c r="D151" s="21" t="str">
        <f>IFERROR(__xludf.DUMMYFUNCTION("""COMPUTED_VALUE"""),"Removed")</f>
        <v>Removed</v>
      </c>
      <c r="E151" s="128">
        <f>IFERROR(__xludf.DUMMYFUNCTION("""COMPUTED_VALUE"""),45469.0)</f>
        <v>45469</v>
      </c>
      <c r="F151" s="24">
        <f>IFERROR(__xludf.DUMMYFUNCTION("""COMPUTED_VALUE"""),45838.0)</f>
        <v>45838</v>
      </c>
      <c r="G151" s="27">
        <f>IFERROR(__xludf.DUMMYFUNCTION("""COMPUTED_VALUE"""),12.133333333333333)</f>
        <v>12.13333333</v>
      </c>
      <c r="H151" s="128">
        <f>IFERROR(__xludf.DUMMYFUNCTION("""COMPUTED_VALUE"""),42999.0)</f>
        <v>42999</v>
      </c>
      <c r="I151" s="27">
        <f>IFERROR(__xludf.DUMMYFUNCTION("""COMPUTED_VALUE"""),6.763888888888889)</f>
        <v>6.763888889</v>
      </c>
      <c r="J151" s="29">
        <f>IFERROR(__xludf.DUMMYFUNCTION("""COMPUTED_VALUE"""),88.0)</f>
        <v>88</v>
      </c>
      <c r="K151" s="29">
        <f>IFERROR(__xludf.DUMMYFUNCTION("""COMPUTED_VALUE"""),8.0)</f>
        <v>8</v>
      </c>
      <c r="L151" s="31" t="str">
        <f>IFERROR(__xludf.DUMMYFUNCTION("""COMPUTED_VALUE"""),"Metroidvania")</f>
        <v>Metroidvania</v>
      </c>
    </row>
    <row r="152">
      <c r="A152" s="17" t="str">
        <f>IFERROR(__xludf.DUMMYFUNCTION("""COMPUTED_VALUE"""),"Arcade Paradise")</f>
        <v>Arcade Paradise</v>
      </c>
      <c r="B152" s="20" t="str">
        <f>IFERROR(__xludf.DUMMYFUNCTION("""COMPUTED_VALUE"""),"Xbox / PC")</f>
        <v>Xbox / PC</v>
      </c>
      <c r="C152" s="20"/>
      <c r="D152" s="21" t="str">
        <f>IFERROR(__xludf.DUMMYFUNCTION("""COMPUTED_VALUE"""),"Removed")</f>
        <v>Removed</v>
      </c>
      <c r="E152" s="128">
        <f>IFERROR(__xludf.DUMMYFUNCTION("""COMPUTED_VALUE"""),45110.0)</f>
        <v>45110</v>
      </c>
      <c r="F152" s="24">
        <f>IFERROR(__xludf.DUMMYFUNCTION("""COMPUTED_VALUE"""),45838.0)</f>
        <v>45838</v>
      </c>
      <c r="G152" s="27">
        <f>IFERROR(__xludf.DUMMYFUNCTION("""COMPUTED_VALUE"""),23.9)</f>
        <v>23.9</v>
      </c>
      <c r="H152" s="128">
        <f>IFERROR(__xludf.DUMMYFUNCTION("""COMPUTED_VALUE"""),44784.0)</f>
        <v>44784</v>
      </c>
      <c r="I152" s="27">
        <f>IFERROR(__xludf.DUMMYFUNCTION("""COMPUTED_VALUE"""),0.8944444444444445)</f>
        <v>0.8944444444</v>
      </c>
      <c r="J152" s="29">
        <f>IFERROR(__xludf.DUMMYFUNCTION("""COMPUTED_VALUE"""),81.0)</f>
        <v>81</v>
      </c>
      <c r="K152" s="29">
        <f>IFERROR(__xludf.DUMMYFUNCTION("""COMPUTED_VALUE"""),26.0)</f>
        <v>26</v>
      </c>
      <c r="L152" s="31" t="str">
        <f>IFERROR(__xludf.DUMMYFUNCTION("""COMPUTED_VALUE"""),"Simulation")</f>
        <v>Simulation</v>
      </c>
    </row>
    <row r="153">
      <c r="A153" s="17" t="str">
        <f>IFERROR(__xludf.DUMMYFUNCTION("""COMPUTED_VALUE"""),"Keplerth")</f>
        <v>Keplerth</v>
      </c>
      <c r="B153" s="20" t="str">
        <f>IFERROR(__xludf.DUMMYFUNCTION("""COMPUTED_VALUE"""),"PC")</f>
        <v>PC</v>
      </c>
      <c r="C153" s="20"/>
      <c r="D153" s="21" t="str">
        <f>IFERROR(__xludf.DUMMYFUNCTION("""COMPUTED_VALUE"""),"Removed")</f>
        <v>Removed</v>
      </c>
      <c r="E153" s="128">
        <f>IFERROR(__xludf.DUMMYFUNCTION("""COMPUTED_VALUE"""),45463.0)</f>
        <v>45463</v>
      </c>
      <c r="F153" s="24">
        <f>IFERROR(__xludf.DUMMYFUNCTION("""COMPUTED_VALUE"""),45823.0)</f>
        <v>45823</v>
      </c>
      <c r="G153" s="27">
        <f>IFERROR(__xludf.DUMMYFUNCTION("""COMPUTED_VALUE"""),11.833333333333334)</f>
        <v>11.83333333</v>
      </c>
      <c r="H153" s="128">
        <f>IFERROR(__xludf.DUMMYFUNCTION("""COMPUTED_VALUE"""),44704.0)</f>
        <v>44704</v>
      </c>
      <c r="I153" s="27">
        <f>IFERROR(__xludf.DUMMYFUNCTION("""COMPUTED_VALUE"""),2.075)</f>
        <v>2.075</v>
      </c>
      <c r="J153" s="29">
        <f>IFERROR(__xludf.DUMMYFUNCTION("""COMPUTED_VALUE"""),81.0)</f>
        <v>81</v>
      </c>
      <c r="K153" s="29">
        <f>IFERROR(__xludf.DUMMYFUNCTION("""COMPUTED_VALUE"""),20.0)</f>
        <v>20</v>
      </c>
      <c r="L153" s="31" t="str">
        <f>IFERROR(__xludf.DUMMYFUNCTION("""COMPUTED_VALUE"""),"Sandbox")</f>
        <v>Sandbox</v>
      </c>
    </row>
    <row r="154">
      <c r="A154" s="17" t="str">
        <f>IFERROR(__xludf.DUMMYFUNCTION("""COMPUTED_VALUE"""),"My Time at Sandrock")</f>
        <v>My Time at Sandrock</v>
      </c>
      <c r="B154" s="20" t="str">
        <f>IFERROR(__xludf.DUMMYFUNCTION("""COMPUTED_VALUE"""),"Xbox / PC")</f>
        <v>Xbox / PC</v>
      </c>
      <c r="C154" s="20" t="str">
        <f>IFERROR(__xludf.DUMMYFUNCTION("""COMPUTED_VALUE"""),"Yes")</f>
        <v>Yes</v>
      </c>
      <c r="D154" s="21" t="str">
        <f>IFERROR(__xludf.DUMMYFUNCTION("""COMPUTED_VALUE"""),"Removed")</f>
        <v>Removed</v>
      </c>
      <c r="E154" s="128">
        <f>IFERROR(__xludf.DUMMYFUNCTION("""COMPUTED_VALUE"""),45462.0)</f>
        <v>45462</v>
      </c>
      <c r="F154" s="24">
        <f>IFERROR(__xludf.DUMMYFUNCTION("""COMPUTED_VALUE"""),45823.0)</f>
        <v>45823</v>
      </c>
      <c r="G154" s="27">
        <f>IFERROR(__xludf.DUMMYFUNCTION("""COMPUTED_VALUE"""),11.866666666666667)</f>
        <v>11.86666667</v>
      </c>
      <c r="H154" s="128">
        <f>IFERROR(__xludf.DUMMYFUNCTION("""COMPUTED_VALUE"""),45232.0)</f>
        <v>45232</v>
      </c>
      <c r="I154" s="27">
        <f>IFERROR(__xludf.DUMMYFUNCTION("""COMPUTED_VALUE"""),0.6305555555555555)</f>
        <v>0.6305555556</v>
      </c>
      <c r="J154" s="29">
        <f>IFERROR(__xludf.DUMMYFUNCTION("""COMPUTED_VALUE"""),80.0)</f>
        <v>80</v>
      </c>
      <c r="K154" s="29">
        <f>IFERROR(__xludf.DUMMYFUNCTION("""COMPUTED_VALUE"""),79.0)</f>
        <v>79</v>
      </c>
      <c r="L154" s="31" t="str">
        <f>IFERROR(__xludf.DUMMYFUNCTION("""COMPUTED_VALUE"""),"RPG")</f>
        <v>RPG</v>
      </c>
    </row>
    <row r="155">
      <c r="A155" s="17" t="str">
        <f>IFERROR(__xludf.DUMMYFUNCTION("""COMPUTED_VALUE"""),"Isonzo")</f>
        <v>Isonzo</v>
      </c>
      <c r="B155" s="20" t="str">
        <f>IFERROR(__xludf.DUMMYFUNCTION("""COMPUTED_VALUE"""),"Xbox / PC")</f>
        <v>Xbox / PC</v>
      </c>
      <c r="C155" s="20" t="str">
        <f>IFERROR(__xludf.DUMMYFUNCTION("""COMPUTED_VALUE"""),"Yes")</f>
        <v>Yes</v>
      </c>
      <c r="D155" s="21" t="str">
        <f>IFERROR(__xludf.DUMMYFUNCTION("""COMPUTED_VALUE"""),"Removed")</f>
        <v>Removed</v>
      </c>
      <c r="E155" s="128">
        <f>IFERROR(__xludf.DUMMYFUNCTION("""COMPUTED_VALUE"""),45456.0)</f>
        <v>45456</v>
      </c>
      <c r="F155" s="24">
        <f>IFERROR(__xludf.DUMMYFUNCTION("""COMPUTED_VALUE"""),45823.0)</f>
        <v>45823</v>
      </c>
      <c r="G155" s="27">
        <f>IFERROR(__xludf.DUMMYFUNCTION("""COMPUTED_VALUE"""),12.066666666666666)</f>
        <v>12.06666667</v>
      </c>
      <c r="H155" s="128">
        <f>IFERROR(__xludf.DUMMYFUNCTION("""COMPUTED_VALUE"""),44817.0)</f>
        <v>44817</v>
      </c>
      <c r="I155" s="27">
        <f>IFERROR(__xludf.DUMMYFUNCTION("""COMPUTED_VALUE"""),1.75)</f>
        <v>1.75</v>
      </c>
      <c r="J155" s="29">
        <f>IFERROR(__xludf.DUMMYFUNCTION("""COMPUTED_VALUE"""),67.0)</f>
        <v>67</v>
      </c>
      <c r="K155" s="29">
        <f>IFERROR(__xludf.DUMMYFUNCTION("""COMPUTED_VALUE"""),15.0)</f>
        <v>15</v>
      </c>
      <c r="L155" s="31" t="str">
        <f>IFERROR(__xludf.DUMMYFUNCTION("""COMPUTED_VALUE"""),"Shooter")</f>
        <v>Shooter</v>
      </c>
    </row>
    <row r="156">
      <c r="A156" s="17" t="str">
        <f>IFERROR(__xludf.DUMMYFUNCTION("""COMPUTED_VALUE"""),"Depersonalization")</f>
        <v>Depersonalization</v>
      </c>
      <c r="B156" s="20" t="str">
        <f>IFERROR(__xludf.DUMMYFUNCTION("""COMPUTED_VALUE"""),"PC")</f>
        <v>PC</v>
      </c>
      <c r="C156" s="20"/>
      <c r="D156" s="21" t="str">
        <f>IFERROR(__xludf.DUMMYFUNCTION("""COMPUTED_VALUE"""),"Removed")</f>
        <v>Removed</v>
      </c>
      <c r="E156" s="128">
        <f>IFERROR(__xludf.DUMMYFUNCTION("""COMPUTED_VALUE"""),45455.0)</f>
        <v>45455</v>
      </c>
      <c r="F156" s="24">
        <f>IFERROR(__xludf.DUMMYFUNCTION("""COMPUTED_VALUE"""),45823.0)</f>
        <v>45823</v>
      </c>
      <c r="G156" s="27">
        <f>IFERROR(__xludf.DUMMYFUNCTION("""COMPUTED_VALUE"""),12.1)</f>
        <v>12.1</v>
      </c>
      <c r="H156" s="128">
        <f>IFERROR(__xludf.DUMMYFUNCTION("""COMPUTED_VALUE"""),44914.0)</f>
        <v>44914</v>
      </c>
      <c r="I156" s="27">
        <f>IFERROR(__xludf.DUMMYFUNCTION("""COMPUTED_VALUE"""),1.4805555555555556)</f>
        <v>1.480555556</v>
      </c>
      <c r="J156" s="29">
        <f>IFERROR(__xludf.DUMMYFUNCTION("""COMPUTED_VALUE"""),80.0)</f>
        <v>80</v>
      </c>
      <c r="K156" s="29">
        <f>IFERROR(__xludf.DUMMYFUNCTION("""COMPUTED_VALUE"""),6.0)</f>
        <v>6</v>
      </c>
      <c r="L156" s="31" t="str">
        <f>IFERROR(__xludf.DUMMYFUNCTION("""COMPUTED_VALUE"""),"RPG")</f>
        <v>RPG</v>
      </c>
    </row>
    <row r="157">
      <c r="A157" s="17" t="str">
        <f>IFERROR(__xludf.DUMMYFUNCTION("""COMPUTED_VALUE"""),"Rolling Hills: Make Sushi, Make Friends")</f>
        <v>Rolling Hills: Make Sushi, Make Friends</v>
      </c>
      <c r="B157" s="20" t="str">
        <f>IFERROR(__xludf.DUMMYFUNCTION("""COMPUTED_VALUE"""),"Xbox / PC")</f>
        <v>Xbox / PC</v>
      </c>
      <c r="C157" s="20" t="str">
        <f>IFERROR(__xludf.DUMMYFUNCTION("""COMPUTED_VALUE"""),"Yes")</f>
        <v>Yes</v>
      </c>
      <c r="D157" s="21" t="str">
        <f>IFERROR(__xludf.DUMMYFUNCTION("""COMPUTED_VALUE"""),"Removed")</f>
        <v>Removed</v>
      </c>
      <c r="E157" s="128">
        <f>IFERROR(__xludf.DUMMYFUNCTION("""COMPUTED_VALUE"""),45447.0)</f>
        <v>45447</v>
      </c>
      <c r="F157" s="24">
        <f>IFERROR(__xludf.DUMMYFUNCTION("""COMPUTED_VALUE"""),45823.0)</f>
        <v>45823</v>
      </c>
      <c r="G157" s="27">
        <f>IFERROR(__xludf.DUMMYFUNCTION("""COMPUTED_VALUE"""),12.366666666666665)</f>
        <v>12.36666667</v>
      </c>
      <c r="H157" s="128">
        <f>IFERROR(__xludf.DUMMYFUNCTION("""COMPUTED_VALUE"""),45447.0)</f>
        <v>45447</v>
      </c>
      <c r="I157" s="27">
        <f>IFERROR(__xludf.DUMMYFUNCTION("""COMPUTED_VALUE"""),0.0)</f>
        <v>0</v>
      </c>
      <c r="J157" s="29">
        <f>IFERROR(__xludf.DUMMYFUNCTION("""COMPUTED_VALUE"""),73.0)</f>
        <v>73</v>
      </c>
      <c r="K157" s="29">
        <f>IFERROR(__xludf.DUMMYFUNCTION("""COMPUTED_VALUE"""),9.0)</f>
        <v>9</v>
      </c>
      <c r="L157" s="31" t="str">
        <f>IFERROR(__xludf.DUMMYFUNCTION("""COMPUTED_VALUE"""),"Simulation")</f>
        <v>Simulation</v>
      </c>
    </row>
    <row r="158">
      <c r="A158" s="17" t="str">
        <f>IFERROR(__xludf.DUMMYFUNCTION("""COMPUTED_VALUE"""),"Dordogne")</f>
        <v>Dordogne</v>
      </c>
      <c r="B158" s="20" t="str">
        <f>IFERROR(__xludf.DUMMYFUNCTION("""COMPUTED_VALUE"""),"Xbox / PC")</f>
        <v>Xbox / PC</v>
      </c>
      <c r="C158" s="20" t="str">
        <f>IFERROR(__xludf.DUMMYFUNCTION("""COMPUTED_VALUE"""),"Yes")</f>
        <v>Yes</v>
      </c>
      <c r="D158" s="21" t="str">
        <f>IFERROR(__xludf.DUMMYFUNCTION("""COMPUTED_VALUE"""),"Removed")</f>
        <v>Removed</v>
      </c>
      <c r="E158" s="128">
        <f>IFERROR(__xludf.DUMMYFUNCTION("""COMPUTED_VALUE"""),45090.0)</f>
        <v>45090</v>
      </c>
      <c r="F158" s="24">
        <f>IFERROR(__xludf.DUMMYFUNCTION("""COMPUTED_VALUE"""),45823.0)</f>
        <v>45823</v>
      </c>
      <c r="G158" s="27">
        <f>IFERROR(__xludf.DUMMYFUNCTION("""COMPUTED_VALUE"""),24.066666666666666)</f>
        <v>24.06666667</v>
      </c>
      <c r="H158" s="128">
        <f>IFERROR(__xludf.DUMMYFUNCTION("""COMPUTED_VALUE"""),45090.0)</f>
        <v>45090</v>
      </c>
      <c r="I158" s="27">
        <f>IFERROR(__xludf.DUMMYFUNCTION("""COMPUTED_VALUE"""),0.0)</f>
        <v>0</v>
      </c>
      <c r="J158" s="29">
        <f>IFERROR(__xludf.DUMMYFUNCTION("""COMPUTED_VALUE"""),74.0)</f>
        <v>74</v>
      </c>
      <c r="K158" s="29">
        <f>IFERROR(__xludf.DUMMYFUNCTION("""COMPUTED_VALUE"""),4.0)</f>
        <v>4</v>
      </c>
      <c r="L158" s="31" t="str">
        <f>IFERROR(__xludf.DUMMYFUNCTION("""COMPUTED_VALUE"""),"Adventure")</f>
        <v>Adventure</v>
      </c>
    </row>
    <row r="159">
      <c r="A159" s="17" t="str">
        <f>IFERROR(__xludf.DUMMYFUNCTION("""COMPUTED_VALUE"""),"Hypnospace Outlaw")</f>
        <v>Hypnospace Outlaw</v>
      </c>
      <c r="B159" s="20" t="str">
        <f>IFERROR(__xludf.DUMMYFUNCTION("""COMPUTED_VALUE"""),"Xbox / PC")</f>
        <v>Xbox / PC</v>
      </c>
      <c r="C159" s="20" t="str">
        <f>IFERROR(__xludf.DUMMYFUNCTION("""COMPUTED_VALUE"""),"Yes")</f>
        <v>Yes</v>
      </c>
      <c r="D159" s="21" t="str">
        <f>IFERROR(__xludf.DUMMYFUNCTION("""COMPUTED_VALUE"""),"Removed")</f>
        <v>Removed</v>
      </c>
      <c r="E159" s="128">
        <f>IFERROR(__xludf.DUMMYFUNCTION("""COMPUTED_VALUE"""),45083.0)</f>
        <v>45083</v>
      </c>
      <c r="F159" s="24">
        <f>IFERROR(__xludf.DUMMYFUNCTION("""COMPUTED_VALUE"""),45823.0)</f>
        <v>45823</v>
      </c>
      <c r="G159" s="27">
        <f>IFERROR(__xludf.DUMMYFUNCTION("""COMPUTED_VALUE"""),24.299999999999997)</f>
        <v>24.3</v>
      </c>
      <c r="H159" s="128">
        <f>IFERROR(__xludf.DUMMYFUNCTION("""COMPUTED_VALUE"""),43536.0)</f>
        <v>43536</v>
      </c>
      <c r="I159" s="27">
        <f>IFERROR(__xludf.DUMMYFUNCTION("""COMPUTED_VALUE"""),4.233333333333333)</f>
        <v>4.233333333</v>
      </c>
      <c r="J159" s="29">
        <f>IFERROR(__xludf.DUMMYFUNCTION("""COMPUTED_VALUE"""),82.0)</f>
        <v>82</v>
      </c>
      <c r="K159" s="29">
        <f>IFERROR(__xludf.DUMMYFUNCTION("""COMPUTED_VALUE"""),5.5)</f>
        <v>5.5</v>
      </c>
      <c r="L159" s="31" t="str">
        <f>IFERROR(__xludf.DUMMYFUNCTION("""COMPUTED_VALUE"""),"Adventure")</f>
        <v>Adventure</v>
      </c>
    </row>
    <row r="160">
      <c r="A160" s="17" t="str">
        <f>IFERROR(__xludf.DUMMYFUNCTION("""COMPUTED_VALUE"""),"Firework")</f>
        <v>Firework</v>
      </c>
      <c r="B160" s="20" t="str">
        <f>IFERROR(__xludf.DUMMYFUNCTION("""COMPUTED_VALUE"""),"PC")</f>
        <v>PC</v>
      </c>
      <c r="C160" s="20"/>
      <c r="D160" s="21" t="str">
        <f>IFERROR(__xludf.DUMMYFUNCTION("""COMPUTED_VALUE"""),"Removed")</f>
        <v>Removed</v>
      </c>
      <c r="E160" s="128">
        <f>IFERROR(__xludf.DUMMYFUNCTION("""COMPUTED_VALUE"""),45447.0)</f>
        <v>45447</v>
      </c>
      <c r="F160" s="24">
        <f>IFERROR(__xludf.DUMMYFUNCTION("""COMPUTED_VALUE"""),45808.0)</f>
        <v>45808</v>
      </c>
      <c r="G160" s="27">
        <f>IFERROR(__xludf.DUMMYFUNCTION("""COMPUTED_VALUE"""),11.866666666666667)</f>
        <v>11.86666667</v>
      </c>
      <c r="H160" s="128">
        <f>IFERROR(__xludf.DUMMYFUNCTION("""COMPUTED_VALUE"""),44230.0)</f>
        <v>44230</v>
      </c>
      <c r="I160" s="27">
        <f>IFERROR(__xludf.DUMMYFUNCTION("""COMPUTED_VALUE"""),3.3361111111111112)</f>
        <v>3.336111111</v>
      </c>
      <c r="J160" s="29">
        <f>IFERROR(__xludf.DUMMYFUNCTION("""COMPUTED_VALUE"""),80.0)</f>
        <v>80</v>
      </c>
      <c r="K160" s="29">
        <f>IFERROR(__xludf.DUMMYFUNCTION("""COMPUTED_VALUE"""),4.0)</f>
        <v>4</v>
      </c>
      <c r="L160" s="31" t="str">
        <f>IFERROR(__xludf.DUMMYFUNCTION("""COMPUTED_VALUE"""),"Action-Adventure")</f>
        <v>Action-Adventure</v>
      </c>
    </row>
    <row r="161">
      <c r="A161" s="17" t="str">
        <f>IFERROR(__xludf.DUMMYFUNCTION("""COMPUTED_VALUE"""),"Humanity")</f>
        <v>Humanity</v>
      </c>
      <c r="B161" s="20" t="str">
        <f>IFERROR(__xludf.DUMMYFUNCTION("""COMPUTED_VALUE"""),"Xbox / PC")</f>
        <v>Xbox / PC</v>
      </c>
      <c r="C161" s="20" t="str">
        <f>IFERROR(__xludf.DUMMYFUNCTION("""COMPUTED_VALUE"""),"Yes")</f>
        <v>Yes</v>
      </c>
      <c r="D161" s="21" t="str">
        <f>IFERROR(__xludf.DUMMYFUNCTION("""COMPUTED_VALUE"""),"Removed")</f>
        <v>Removed</v>
      </c>
      <c r="E161" s="128">
        <f>IFERROR(__xludf.DUMMYFUNCTION("""COMPUTED_VALUE"""),45442.0)</f>
        <v>45442</v>
      </c>
      <c r="F161" s="24">
        <f>IFERROR(__xludf.DUMMYFUNCTION("""COMPUTED_VALUE"""),45808.0)</f>
        <v>45808</v>
      </c>
      <c r="G161" s="27">
        <f>IFERROR(__xludf.DUMMYFUNCTION("""COMPUTED_VALUE"""),12.0)</f>
        <v>12</v>
      </c>
      <c r="H161" s="128">
        <f>IFERROR(__xludf.DUMMYFUNCTION("""COMPUTED_VALUE"""),45062.0)</f>
        <v>45062</v>
      </c>
      <c r="I161" s="27">
        <f>IFERROR(__xludf.DUMMYFUNCTION("""COMPUTED_VALUE"""),1.038888888888889)</f>
        <v>1.038888889</v>
      </c>
      <c r="J161" s="29">
        <f>IFERROR(__xludf.DUMMYFUNCTION("""COMPUTED_VALUE"""),86.0)</f>
        <v>86</v>
      </c>
      <c r="K161" s="29">
        <f>IFERROR(__xludf.DUMMYFUNCTION("""COMPUTED_VALUE"""),12.0)</f>
        <v>12</v>
      </c>
      <c r="L161" s="31" t="str">
        <f>IFERROR(__xludf.DUMMYFUNCTION("""COMPUTED_VALUE"""),"Puzzle")</f>
        <v>Puzzle</v>
      </c>
    </row>
    <row r="162">
      <c r="A162" s="17" t="str">
        <f>IFERROR(__xludf.DUMMYFUNCTION("""COMPUTED_VALUE"""),"Slayers X: Terminal Aftermath - Vengance of the Slayer")</f>
        <v>Slayers X: Terminal Aftermath - Vengance of the Slayer</v>
      </c>
      <c r="B162" s="20" t="str">
        <f>IFERROR(__xludf.DUMMYFUNCTION("""COMPUTED_VALUE"""),"Xbox / PC")</f>
        <v>Xbox / PC</v>
      </c>
      <c r="C162" s="20" t="str">
        <f>IFERROR(__xludf.DUMMYFUNCTION("""COMPUTED_VALUE"""),"Yes")</f>
        <v>Yes</v>
      </c>
      <c r="D162" s="21" t="str">
        <f>IFERROR(__xludf.DUMMYFUNCTION("""COMPUTED_VALUE"""),"Removed")</f>
        <v>Removed</v>
      </c>
      <c r="E162" s="128">
        <f>IFERROR(__xludf.DUMMYFUNCTION("""COMPUTED_VALUE"""),45078.0)</f>
        <v>45078</v>
      </c>
      <c r="F162" s="24">
        <f>IFERROR(__xludf.DUMMYFUNCTION("""COMPUTED_VALUE"""),45808.0)</f>
        <v>45808</v>
      </c>
      <c r="G162" s="27">
        <f>IFERROR(__xludf.DUMMYFUNCTION("""COMPUTED_VALUE"""),23.96666666666667)</f>
        <v>23.96666667</v>
      </c>
      <c r="H162" s="128">
        <f>IFERROR(__xludf.DUMMYFUNCTION("""COMPUTED_VALUE"""),45078.0)</f>
        <v>45078</v>
      </c>
      <c r="I162" s="27">
        <f>IFERROR(__xludf.DUMMYFUNCTION("""COMPUTED_VALUE"""),0.0)</f>
        <v>0</v>
      </c>
      <c r="J162" s="29">
        <f>IFERROR(__xludf.DUMMYFUNCTION("""COMPUTED_VALUE"""),80.0)</f>
        <v>80</v>
      </c>
      <c r="K162" s="29">
        <f>IFERROR(__xludf.DUMMYFUNCTION("""COMPUTED_VALUE"""),4.0)</f>
        <v>4</v>
      </c>
      <c r="L162" s="31" t="str">
        <f>IFERROR(__xludf.DUMMYFUNCTION("""COMPUTED_VALUE"""),"Shooter")</f>
        <v>Shooter</v>
      </c>
    </row>
    <row r="163">
      <c r="A163" s="17" t="str">
        <f>IFERROR(__xludf.DUMMYFUNCTION("""COMPUTED_VALUE"""),"Cassette Beasts")</f>
        <v>Cassette Beasts</v>
      </c>
      <c r="B163" s="20" t="str">
        <f>IFERROR(__xludf.DUMMYFUNCTION("""COMPUTED_VALUE"""),"Xbox / PC")</f>
        <v>Xbox / PC</v>
      </c>
      <c r="C163" s="20"/>
      <c r="D163" s="21" t="str">
        <f>IFERROR(__xludf.DUMMYFUNCTION("""COMPUTED_VALUE"""),"Removed")</f>
        <v>Removed</v>
      </c>
      <c r="E163" s="128">
        <f>IFERROR(__xludf.DUMMYFUNCTION("""COMPUTED_VALUE"""),45042.0)</f>
        <v>45042</v>
      </c>
      <c r="F163" s="24">
        <f>IFERROR(__xludf.DUMMYFUNCTION("""COMPUTED_VALUE"""),45808.0)</f>
        <v>45808</v>
      </c>
      <c r="G163" s="27">
        <f>IFERROR(__xludf.DUMMYFUNCTION("""COMPUTED_VALUE"""),25.133333333333333)</f>
        <v>25.13333333</v>
      </c>
      <c r="H163" s="128">
        <f>IFERROR(__xludf.DUMMYFUNCTION("""COMPUTED_VALUE"""),45042.0)</f>
        <v>45042</v>
      </c>
      <c r="I163" s="27">
        <f>IFERROR(__xludf.DUMMYFUNCTION("""COMPUTED_VALUE"""),0.0)</f>
        <v>0</v>
      </c>
      <c r="J163" s="29">
        <f>IFERROR(__xludf.DUMMYFUNCTION("""COMPUTED_VALUE"""),83.0)</f>
        <v>83</v>
      </c>
      <c r="K163" s="29">
        <f>IFERROR(__xludf.DUMMYFUNCTION("""COMPUTED_VALUE"""),17.0)</f>
        <v>17</v>
      </c>
      <c r="L163" s="31" t="str">
        <f>IFERROR(__xludf.DUMMYFUNCTION("""COMPUTED_VALUE"""),"RPG")</f>
        <v>RPG</v>
      </c>
    </row>
    <row r="164">
      <c r="A164" s="17" t="str">
        <f>IFERROR(__xludf.DUMMYFUNCTION("""COMPUTED_VALUE"""),"Hauntii")</f>
        <v>Hauntii</v>
      </c>
      <c r="B164" s="20" t="str">
        <f>IFERROR(__xludf.DUMMYFUNCTION("""COMPUTED_VALUE"""),"Xbox / PC")</f>
        <v>Xbox / PC</v>
      </c>
      <c r="C164" s="20" t="str">
        <f>IFERROR(__xludf.DUMMYFUNCTION("""COMPUTED_VALUE"""),"Yes")</f>
        <v>Yes</v>
      </c>
      <c r="D164" s="21" t="str">
        <f>IFERROR(__xludf.DUMMYFUNCTION("""COMPUTED_VALUE"""),"Removed")</f>
        <v>Removed</v>
      </c>
      <c r="E164" s="128">
        <f>IFERROR(__xludf.DUMMYFUNCTION("""COMPUTED_VALUE"""),45435.0)</f>
        <v>45435</v>
      </c>
      <c r="F164" s="24">
        <f>IFERROR(__xludf.DUMMYFUNCTION("""COMPUTED_VALUE"""),45792.0)</f>
        <v>45792</v>
      </c>
      <c r="G164" s="27">
        <f>IFERROR(__xludf.DUMMYFUNCTION("""COMPUTED_VALUE"""),11.733333333333333)</f>
        <v>11.73333333</v>
      </c>
      <c r="H164" s="128">
        <f>IFERROR(__xludf.DUMMYFUNCTION("""COMPUTED_VALUE"""),45435.0)</f>
        <v>45435</v>
      </c>
      <c r="I164" s="27">
        <f>IFERROR(__xludf.DUMMYFUNCTION("""COMPUTED_VALUE"""),0.0)</f>
        <v>0</v>
      </c>
      <c r="J164" s="29">
        <f>IFERROR(__xludf.DUMMYFUNCTION("""COMPUTED_VALUE"""),69.0)</f>
        <v>69</v>
      </c>
      <c r="K164" s="29">
        <f>IFERROR(__xludf.DUMMYFUNCTION("""COMPUTED_VALUE"""),8.0)</f>
        <v>8</v>
      </c>
      <c r="L164" s="31" t="str">
        <f>IFERROR(__xludf.DUMMYFUNCTION("""COMPUTED_VALUE"""),"Action-Adventure")</f>
        <v>Action-Adventure</v>
      </c>
    </row>
    <row r="165">
      <c r="A165" s="17" t="str">
        <f>IFERROR(__xludf.DUMMYFUNCTION("""COMPUTED_VALUE"""),"Chants of Sennaar")</f>
        <v>Chants of Sennaar</v>
      </c>
      <c r="B165" s="20" t="str">
        <f>IFERROR(__xludf.DUMMYFUNCTION("""COMPUTED_VALUE"""),"Xbox / PC")</f>
        <v>Xbox / PC</v>
      </c>
      <c r="C165" s="20" t="str">
        <f>IFERROR(__xludf.DUMMYFUNCTION("""COMPUTED_VALUE"""),"Yes")</f>
        <v>Yes</v>
      </c>
      <c r="D165" s="21" t="str">
        <f>IFERROR(__xludf.DUMMYFUNCTION("""COMPUTED_VALUE"""),"Removed")</f>
        <v>Removed</v>
      </c>
      <c r="E165" s="128">
        <f>IFERROR(__xludf.DUMMYFUNCTION("""COMPUTED_VALUE"""),45427.0)</f>
        <v>45427</v>
      </c>
      <c r="F165" s="24">
        <f>IFERROR(__xludf.DUMMYFUNCTION("""COMPUTED_VALUE"""),45792.0)</f>
        <v>45792</v>
      </c>
      <c r="G165" s="27">
        <f>IFERROR(__xludf.DUMMYFUNCTION("""COMPUTED_VALUE"""),12.0)</f>
        <v>12</v>
      </c>
      <c r="H165" s="128">
        <f>IFERROR(__xludf.DUMMYFUNCTION("""COMPUTED_VALUE"""),45174.0)</f>
        <v>45174</v>
      </c>
      <c r="I165" s="27">
        <f>IFERROR(__xludf.DUMMYFUNCTION("""COMPUTED_VALUE"""),0.6944444444444444)</f>
        <v>0.6944444444</v>
      </c>
      <c r="J165" s="29">
        <f>IFERROR(__xludf.DUMMYFUNCTION("""COMPUTED_VALUE"""),85.0)</f>
        <v>85</v>
      </c>
      <c r="K165" s="29">
        <f>IFERROR(__xludf.DUMMYFUNCTION("""COMPUTED_VALUE"""),9.0)</f>
        <v>9</v>
      </c>
      <c r="L165" s="31" t="str">
        <f>IFERROR(__xludf.DUMMYFUNCTION("""COMPUTED_VALUE"""),"Adventure")</f>
        <v>Adventure</v>
      </c>
    </row>
    <row r="166">
      <c r="A166" s="17" t="str">
        <f>IFERROR(__xludf.DUMMYFUNCTION("""COMPUTED_VALUE"""),"Brothers: A Tale of Two Sons")</f>
        <v>Brothers: A Tale of Two Sons</v>
      </c>
      <c r="B166" s="20" t="str">
        <f>IFERROR(__xludf.DUMMYFUNCTION("""COMPUTED_VALUE"""),"Xbox / PC")</f>
        <v>Xbox / PC</v>
      </c>
      <c r="C166" s="20" t="str">
        <f>IFERROR(__xludf.DUMMYFUNCTION("""COMPUTED_VALUE"""),"Yes")</f>
        <v>Yes</v>
      </c>
      <c r="D166" s="21" t="str">
        <f>IFERROR(__xludf.DUMMYFUNCTION("""COMPUTED_VALUE"""),"Removed")</f>
        <v>Removed</v>
      </c>
      <c r="E166" s="128">
        <f>IFERROR(__xludf.DUMMYFUNCTION("""COMPUTED_VALUE"""),45426.0)</f>
        <v>45426</v>
      </c>
      <c r="F166" s="24">
        <f>IFERROR(__xludf.DUMMYFUNCTION("""COMPUTED_VALUE"""),45792.0)</f>
        <v>45792</v>
      </c>
      <c r="G166" s="27">
        <f>IFERROR(__xludf.DUMMYFUNCTION("""COMPUTED_VALUE"""),12.033333333333333)</f>
        <v>12.03333333</v>
      </c>
      <c r="H166" s="128">
        <f>IFERROR(__xludf.DUMMYFUNCTION("""COMPUTED_VALUE"""),41493.0)</f>
        <v>41493</v>
      </c>
      <c r="I166" s="27">
        <f>IFERROR(__xludf.DUMMYFUNCTION("""COMPUTED_VALUE"""),10.769444444444444)</f>
        <v>10.76944444</v>
      </c>
      <c r="J166" s="29">
        <f>IFERROR(__xludf.DUMMYFUNCTION("""COMPUTED_VALUE"""),81.0)</f>
        <v>81</v>
      </c>
      <c r="K166" s="29">
        <f>IFERROR(__xludf.DUMMYFUNCTION("""COMPUTED_VALUE"""),3.0)</f>
        <v>3</v>
      </c>
      <c r="L166" s="31" t="str">
        <f>IFERROR(__xludf.DUMMYFUNCTION("""COMPUTED_VALUE"""),"Action-Adventure")</f>
        <v>Action-Adventure</v>
      </c>
    </row>
    <row r="167">
      <c r="A167" s="17" t="str">
        <f>IFERROR(__xludf.DUMMYFUNCTION("""COMPUTED_VALUE"""),"The Big Con")</f>
        <v>The Big Con</v>
      </c>
      <c r="B167" s="20" t="str">
        <f>IFERROR(__xludf.DUMMYFUNCTION("""COMPUTED_VALUE"""),"Xbox / PC")</f>
        <v>Xbox / PC</v>
      </c>
      <c r="C167" s="20" t="str">
        <f>IFERROR(__xludf.DUMMYFUNCTION("""COMPUTED_VALUE"""),"Yes")</f>
        <v>Yes</v>
      </c>
      <c r="D167" s="21" t="str">
        <f>IFERROR(__xludf.DUMMYFUNCTION("""COMPUTED_VALUE"""),"Removed")</f>
        <v>Removed</v>
      </c>
      <c r="E167" s="128">
        <f>IFERROR(__xludf.DUMMYFUNCTION("""COMPUTED_VALUE"""),45078.0)</f>
        <v>45078</v>
      </c>
      <c r="F167" s="24">
        <f>IFERROR(__xludf.DUMMYFUNCTION("""COMPUTED_VALUE"""),45792.0)</f>
        <v>45792</v>
      </c>
      <c r="G167" s="27">
        <f>IFERROR(__xludf.DUMMYFUNCTION("""COMPUTED_VALUE"""),23.466666666666665)</f>
        <v>23.46666667</v>
      </c>
      <c r="H167" s="128">
        <f>IFERROR(__xludf.DUMMYFUNCTION("""COMPUTED_VALUE"""),44439.0)</f>
        <v>44439</v>
      </c>
      <c r="I167" s="27">
        <f>IFERROR(__xludf.DUMMYFUNCTION("""COMPUTED_VALUE"""),1.7527777777777778)</f>
        <v>1.752777778</v>
      </c>
      <c r="J167" s="29">
        <f>IFERROR(__xludf.DUMMYFUNCTION("""COMPUTED_VALUE"""),77.0)</f>
        <v>77</v>
      </c>
      <c r="K167" s="29">
        <f>IFERROR(__xludf.DUMMYFUNCTION("""COMPUTED_VALUE"""),4.0)</f>
        <v>4</v>
      </c>
      <c r="L167" s="31" t="str">
        <f>IFERROR(__xludf.DUMMYFUNCTION("""COMPUTED_VALUE"""),"Adventure")</f>
        <v>Adventure</v>
      </c>
    </row>
    <row r="168">
      <c r="A168" s="17" t="str">
        <f>IFERROR(__xludf.DUMMYFUNCTION("""COMPUTED_VALUE"""),"Dune: Spice Wars")</f>
        <v>Dune: Spice Wars</v>
      </c>
      <c r="B168" s="20" t="str">
        <f>IFERROR(__xludf.DUMMYFUNCTION("""COMPUTED_VALUE"""),"Xbox / PC")</f>
        <v>Xbox / PC</v>
      </c>
      <c r="C168" s="20" t="str">
        <f>IFERROR(__xludf.DUMMYFUNCTION("""COMPUTED_VALUE"""),"Yes")</f>
        <v>Yes</v>
      </c>
      <c r="D168" s="21" t="str">
        <f>IFERROR(__xludf.DUMMYFUNCTION("""COMPUTED_VALUE"""),"Removed")</f>
        <v>Removed</v>
      </c>
      <c r="E168" s="128">
        <f>IFERROR(__xludf.DUMMYFUNCTION("""COMPUTED_VALUE"""),44882.0)</f>
        <v>44882</v>
      </c>
      <c r="F168" s="24">
        <f>IFERROR(__xludf.DUMMYFUNCTION("""COMPUTED_VALUE"""),45792.0)</f>
        <v>45792</v>
      </c>
      <c r="G168" s="27">
        <f>IFERROR(__xludf.DUMMYFUNCTION("""COMPUTED_VALUE"""),29.933333333333334)</f>
        <v>29.93333333</v>
      </c>
      <c r="H168" s="128">
        <f>IFERROR(__xludf.DUMMYFUNCTION("""COMPUTED_VALUE"""),44677.0)</f>
        <v>44677</v>
      </c>
      <c r="I168" s="27">
        <f>IFERROR(__xludf.DUMMYFUNCTION("""COMPUTED_VALUE"""),0.5583333333333333)</f>
        <v>0.5583333333</v>
      </c>
      <c r="J168" s="29">
        <f>IFERROR(__xludf.DUMMYFUNCTION("""COMPUTED_VALUE"""),72.0)</f>
        <v>72</v>
      </c>
      <c r="K168" s="29">
        <f>IFERROR(__xludf.DUMMYFUNCTION("""COMPUTED_VALUE"""),7.0)</f>
        <v>7</v>
      </c>
      <c r="L168" s="31" t="str">
        <f>IFERROR(__xludf.DUMMYFUNCTION("""COMPUTED_VALUE"""),"Strategy")</f>
        <v>Strategy</v>
      </c>
    </row>
    <row r="169">
      <c r="A169" s="17" t="str">
        <f>IFERROR(__xludf.DUMMYFUNCTION("""COMPUTED_VALUE"""),"Kona II: Brume")</f>
        <v>Kona II: Brume</v>
      </c>
      <c r="B169" s="20" t="str">
        <f>IFERROR(__xludf.DUMMYFUNCTION("""COMPUTED_VALUE"""),"Xbox / PC")</f>
        <v>Xbox / PC</v>
      </c>
      <c r="C169" s="20" t="str">
        <f>IFERROR(__xludf.DUMMYFUNCTION("""COMPUTED_VALUE"""),"Yes")</f>
        <v>Yes</v>
      </c>
      <c r="D169" s="21" t="str">
        <f>IFERROR(__xludf.DUMMYFUNCTION("""COMPUTED_VALUE"""),"Removed")</f>
        <v>Removed</v>
      </c>
      <c r="E169" s="128">
        <f>IFERROR(__xludf.DUMMYFUNCTION("""COMPUTED_VALUE"""),45419.0)</f>
        <v>45419</v>
      </c>
      <c r="F169" s="24">
        <f>IFERROR(__xludf.DUMMYFUNCTION("""COMPUTED_VALUE"""),45777.0)</f>
        <v>45777</v>
      </c>
      <c r="G169" s="27">
        <f>IFERROR(__xludf.DUMMYFUNCTION("""COMPUTED_VALUE"""),11.766666666666666)</f>
        <v>11.76666667</v>
      </c>
      <c r="H169" s="128">
        <f>IFERROR(__xludf.DUMMYFUNCTION("""COMPUTED_VALUE"""),45217.0)</f>
        <v>45217</v>
      </c>
      <c r="I169" s="27">
        <f>IFERROR(__xludf.DUMMYFUNCTION("""COMPUTED_VALUE"""),0.5527777777777778)</f>
        <v>0.5527777778</v>
      </c>
      <c r="J169" s="29">
        <f>IFERROR(__xludf.DUMMYFUNCTION("""COMPUTED_VALUE"""),79.0)</f>
        <v>79</v>
      </c>
      <c r="K169" s="29">
        <f>IFERROR(__xludf.DUMMYFUNCTION("""COMPUTED_VALUE"""),8.0)</f>
        <v>8</v>
      </c>
      <c r="L169" s="31" t="str">
        <f>IFERROR(__xludf.DUMMYFUNCTION("""COMPUTED_VALUE"""),"Action-Adventure")</f>
        <v>Action-Adventure</v>
      </c>
    </row>
    <row r="170">
      <c r="A170" s="17" t="str">
        <f>IFERROR(__xludf.DUMMYFUNCTION("""COMPUTED_VALUE"""),"Have A Nice Death")</f>
        <v>Have A Nice Death</v>
      </c>
      <c r="B170" s="20" t="str">
        <f>IFERROR(__xludf.DUMMYFUNCTION("""COMPUTED_VALUE"""),"Xbox / PC")</f>
        <v>Xbox / PC</v>
      </c>
      <c r="C170" s="20" t="str">
        <f>IFERROR(__xludf.DUMMYFUNCTION("""COMPUTED_VALUE"""),"Yes")</f>
        <v>Yes</v>
      </c>
      <c r="D170" s="21" t="str">
        <f>IFERROR(__xludf.DUMMYFUNCTION("""COMPUTED_VALUE"""),"Removed")</f>
        <v>Removed</v>
      </c>
      <c r="E170" s="128">
        <f>IFERROR(__xludf.DUMMYFUNCTION("""COMPUTED_VALUE"""),45412.0)</f>
        <v>45412</v>
      </c>
      <c r="F170" s="24">
        <f>IFERROR(__xludf.DUMMYFUNCTION("""COMPUTED_VALUE"""),45777.0)</f>
        <v>45777</v>
      </c>
      <c r="G170" s="27">
        <f>IFERROR(__xludf.DUMMYFUNCTION("""COMPUTED_VALUE"""),12.0)</f>
        <v>12</v>
      </c>
      <c r="H170" s="128">
        <f>IFERROR(__xludf.DUMMYFUNCTION("""COMPUTED_VALUE"""),45007.0)</f>
        <v>45007</v>
      </c>
      <c r="I170" s="27">
        <f>IFERROR(__xludf.DUMMYFUNCTION("""COMPUTED_VALUE"""),1.1055555555555556)</f>
        <v>1.105555556</v>
      </c>
      <c r="J170" s="29">
        <f>IFERROR(__xludf.DUMMYFUNCTION("""COMPUTED_VALUE"""),81.0)</f>
        <v>81</v>
      </c>
      <c r="K170" s="29">
        <f>IFERROR(__xludf.DUMMYFUNCTION("""COMPUTED_VALUE"""),9.0)</f>
        <v>9</v>
      </c>
      <c r="L170" s="31" t="str">
        <f>IFERROR(__xludf.DUMMYFUNCTION("""COMPUTED_VALUE"""),"Platformer")</f>
        <v>Platformer</v>
      </c>
    </row>
    <row r="171">
      <c r="A171" s="17" t="str">
        <f>IFERROR(__xludf.DUMMYFUNCTION("""COMPUTED_VALUE"""),"The Rewinder")</f>
        <v>The Rewinder</v>
      </c>
      <c r="B171" s="20" t="str">
        <f>IFERROR(__xludf.DUMMYFUNCTION("""COMPUTED_VALUE"""),"Xbox / PC")</f>
        <v>Xbox / PC</v>
      </c>
      <c r="C171" s="20" t="str">
        <f>IFERROR(__xludf.DUMMYFUNCTION("""COMPUTED_VALUE"""),"Yes")</f>
        <v>Yes</v>
      </c>
      <c r="D171" s="21" t="str">
        <f>IFERROR(__xludf.DUMMYFUNCTION("""COMPUTED_VALUE"""),"Removed")</f>
        <v>Removed</v>
      </c>
      <c r="E171" s="128">
        <f>IFERROR(__xludf.DUMMYFUNCTION("""COMPUTED_VALUE"""),45411.0)</f>
        <v>45411</v>
      </c>
      <c r="F171" s="24">
        <f>IFERROR(__xludf.DUMMYFUNCTION("""COMPUTED_VALUE"""),45777.0)</f>
        <v>45777</v>
      </c>
      <c r="G171" s="27">
        <f>IFERROR(__xludf.DUMMYFUNCTION("""COMPUTED_VALUE"""),12.033333333333333)</f>
        <v>12.03333333</v>
      </c>
      <c r="H171" s="128">
        <f>IFERROR(__xludf.DUMMYFUNCTION("""COMPUTED_VALUE"""),44449.0)</f>
        <v>44449</v>
      </c>
      <c r="I171" s="27">
        <f>IFERROR(__xludf.DUMMYFUNCTION("""COMPUTED_VALUE"""),2.636111111111111)</f>
        <v>2.636111111</v>
      </c>
      <c r="J171" s="29">
        <f>IFERROR(__xludf.DUMMYFUNCTION("""COMPUTED_VALUE"""),78.0)</f>
        <v>78</v>
      </c>
      <c r="K171" s="29">
        <f>IFERROR(__xludf.DUMMYFUNCTION("""COMPUTED_VALUE"""),5.0)</f>
        <v>5</v>
      </c>
      <c r="L171" s="31" t="str">
        <f>IFERROR(__xludf.DUMMYFUNCTION("""COMPUTED_VALUE"""),"Action-Adventure")</f>
        <v>Action-Adventure</v>
      </c>
    </row>
    <row r="172">
      <c r="A172" s="17" t="str">
        <f>IFERROR(__xludf.DUMMYFUNCTION("""COMPUTED_VALUE"""),"Thirsty Suitors")</f>
        <v>Thirsty Suitors</v>
      </c>
      <c r="B172" s="20" t="str">
        <f>IFERROR(__xludf.DUMMYFUNCTION("""COMPUTED_VALUE"""),"Xbox / PC")</f>
        <v>Xbox / PC</v>
      </c>
      <c r="C172" s="20" t="str">
        <f>IFERROR(__xludf.DUMMYFUNCTION("""COMPUTED_VALUE"""),"Yes")</f>
        <v>Yes</v>
      </c>
      <c r="D172" s="21" t="str">
        <f>IFERROR(__xludf.DUMMYFUNCTION("""COMPUTED_VALUE"""),"Removed")</f>
        <v>Removed</v>
      </c>
      <c r="E172" s="128">
        <f>IFERROR(__xludf.DUMMYFUNCTION("""COMPUTED_VALUE"""),45232.0)</f>
        <v>45232</v>
      </c>
      <c r="F172" s="24">
        <f>IFERROR(__xludf.DUMMYFUNCTION("""COMPUTED_VALUE"""),45777.0)</f>
        <v>45777</v>
      </c>
      <c r="G172" s="27">
        <f>IFERROR(__xludf.DUMMYFUNCTION("""COMPUTED_VALUE"""),17.933333333333334)</f>
        <v>17.93333333</v>
      </c>
      <c r="H172" s="128">
        <f>IFERROR(__xludf.DUMMYFUNCTION("""COMPUTED_VALUE"""),45232.0)</f>
        <v>45232</v>
      </c>
      <c r="I172" s="27">
        <f>IFERROR(__xludf.DUMMYFUNCTION("""COMPUTED_VALUE"""),0.0)</f>
        <v>0</v>
      </c>
      <c r="J172" s="29">
        <f>IFERROR(__xludf.DUMMYFUNCTION("""COMPUTED_VALUE"""),80.0)</f>
        <v>80</v>
      </c>
      <c r="K172" s="29">
        <f>IFERROR(__xludf.DUMMYFUNCTION("""COMPUTED_VALUE"""),8.0)</f>
        <v>8</v>
      </c>
      <c r="L172" s="31" t="str">
        <f>IFERROR(__xludf.DUMMYFUNCTION("""COMPUTED_VALUE"""),"RPG")</f>
        <v>RPG</v>
      </c>
    </row>
    <row r="173">
      <c r="A173" s="17" t="str">
        <f>IFERROR(__xludf.DUMMYFUNCTION("""COMPUTED_VALUE"""),"The Last Case of Benedict Fox")</f>
        <v>The Last Case of Benedict Fox</v>
      </c>
      <c r="B173" s="20" t="str">
        <f>IFERROR(__xludf.DUMMYFUNCTION("""COMPUTED_VALUE"""),"Xbox / PC")</f>
        <v>Xbox / PC</v>
      </c>
      <c r="C173" s="20"/>
      <c r="D173" s="21" t="str">
        <f>IFERROR(__xludf.DUMMYFUNCTION("""COMPUTED_VALUE"""),"Removed")</f>
        <v>Removed</v>
      </c>
      <c r="E173" s="128">
        <f>IFERROR(__xludf.DUMMYFUNCTION("""COMPUTED_VALUE"""),45043.0)</f>
        <v>45043</v>
      </c>
      <c r="F173" s="24">
        <f>IFERROR(__xludf.DUMMYFUNCTION("""COMPUTED_VALUE"""),45777.0)</f>
        <v>45777</v>
      </c>
      <c r="G173" s="27">
        <f>IFERROR(__xludf.DUMMYFUNCTION("""COMPUTED_VALUE"""),24.1)</f>
        <v>24.1</v>
      </c>
      <c r="H173" s="128">
        <f>IFERROR(__xludf.DUMMYFUNCTION("""COMPUTED_VALUE"""),45043.0)</f>
        <v>45043</v>
      </c>
      <c r="I173" s="27">
        <f>IFERROR(__xludf.DUMMYFUNCTION("""COMPUTED_VALUE"""),0.0)</f>
        <v>0</v>
      </c>
      <c r="J173" s="29">
        <f>IFERROR(__xludf.DUMMYFUNCTION("""COMPUTED_VALUE"""),66.0)</f>
        <v>66</v>
      </c>
      <c r="K173" s="29">
        <f>IFERROR(__xludf.DUMMYFUNCTION("""COMPUTED_VALUE"""),11.0)</f>
        <v>11</v>
      </c>
      <c r="L173" s="31" t="str">
        <f>IFERROR(__xludf.DUMMYFUNCTION("""COMPUTED_VALUE"""),"Horror")</f>
        <v>Horror</v>
      </c>
    </row>
    <row r="174">
      <c r="A174" s="17" t="str">
        <f>IFERROR(__xludf.DUMMYFUNCTION("""COMPUTED_VALUE"""),"NHL 23")</f>
        <v>NHL 23</v>
      </c>
      <c r="B174" s="20" t="str">
        <f>IFERROR(__xludf.DUMMYFUNCTION("""COMPUTED_VALUE"""),"Xbox")</f>
        <v>Xbox</v>
      </c>
      <c r="C174" s="20"/>
      <c r="D174" s="21" t="str">
        <f>IFERROR(__xludf.DUMMYFUNCTION("""COMPUTED_VALUE"""),"Removed")</f>
        <v>Removed</v>
      </c>
      <c r="E174" s="128">
        <f>IFERROR(__xludf.DUMMYFUNCTION("""COMPUTED_VALUE"""),45029.0)</f>
        <v>45029</v>
      </c>
      <c r="F174" s="24">
        <f>IFERROR(__xludf.DUMMYFUNCTION("""COMPUTED_VALUE"""),45777.0)</f>
        <v>45777</v>
      </c>
      <c r="G174" s="27">
        <f>IFERROR(__xludf.DUMMYFUNCTION("""COMPUTED_VALUE"""),24.566666666666663)</f>
        <v>24.56666667</v>
      </c>
      <c r="H174" s="128">
        <f>IFERROR(__xludf.DUMMYFUNCTION("""COMPUTED_VALUE"""),44845.0)</f>
        <v>44845</v>
      </c>
      <c r="I174" s="27">
        <f>IFERROR(__xludf.DUMMYFUNCTION("""COMPUTED_VALUE"""),0.5055555555555555)</f>
        <v>0.5055555556</v>
      </c>
      <c r="J174" s="29">
        <f>IFERROR(__xludf.DUMMYFUNCTION("""COMPUTED_VALUE"""),71.0)</f>
        <v>71</v>
      </c>
      <c r="K174" s="29">
        <f>IFERROR(__xludf.DUMMYFUNCTION("""COMPUTED_VALUE"""),12.0)</f>
        <v>12</v>
      </c>
      <c r="L174" s="31" t="str">
        <f>IFERROR(__xludf.DUMMYFUNCTION("""COMPUTED_VALUE"""),"Sports")</f>
        <v>Sports</v>
      </c>
    </row>
    <row r="175">
      <c r="A175" s="17" t="str">
        <f>IFERROR(__xludf.DUMMYFUNCTION("""COMPUTED_VALUE"""),"Sniper Elite 5")</f>
        <v>Sniper Elite 5</v>
      </c>
      <c r="B175" s="20" t="str">
        <f>IFERROR(__xludf.DUMMYFUNCTION("""COMPUTED_VALUE"""),"Xbox / PC")</f>
        <v>Xbox / PC</v>
      </c>
      <c r="C175" s="20" t="str">
        <f>IFERROR(__xludf.DUMMYFUNCTION("""COMPUTED_VALUE"""),"M+KB")</f>
        <v>M+KB</v>
      </c>
      <c r="D175" s="21" t="str">
        <f>IFERROR(__xludf.DUMMYFUNCTION("""COMPUTED_VALUE"""),"Removed")</f>
        <v>Removed</v>
      </c>
      <c r="E175" s="128">
        <f>IFERROR(__xludf.DUMMYFUNCTION("""COMPUTED_VALUE"""),44707.0)</f>
        <v>44707</v>
      </c>
      <c r="F175" s="24">
        <f>IFERROR(__xludf.DUMMYFUNCTION("""COMPUTED_VALUE"""),45777.0)</f>
        <v>45777</v>
      </c>
      <c r="G175" s="27">
        <f>IFERROR(__xludf.DUMMYFUNCTION("""COMPUTED_VALUE"""),35.13333333333333)</f>
        <v>35.13333333</v>
      </c>
      <c r="H175" s="128">
        <f>IFERROR(__xludf.DUMMYFUNCTION("""COMPUTED_VALUE"""),44707.0)</f>
        <v>44707</v>
      </c>
      <c r="I175" s="27">
        <f>IFERROR(__xludf.DUMMYFUNCTION("""COMPUTED_VALUE"""),0.0)</f>
        <v>0</v>
      </c>
      <c r="J175" s="29">
        <f>IFERROR(__xludf.DUMMYFUNCTION("""COMPUTED_VALUE"""),77.0)</f>
        <v>77</v>
      </c>
      <c r="K175" s="29">
        <f>IFERROR(__xludf.DUMMYFUNCTION("""COMPUTED_VALUE"""),9.0)</f>
        <v>9</v>
      </c>
      <c r="L175" s="31" t="str">
        <f>IFERROR(__xludf.DUMMYFUNCTION("""COMPUTED_VALUE"""),"Shooter")</f>
        <v>Shooter</v>
      </c>
    </row>
    <row r="176">
      <c r="A176" s="17" t="str">
        <f>IFERROR(__xludf.DUMMYFUNCTION("""COMPUTED_VALUE"""),"Orcs Must Die! 3")</f>
        <v>Orcs Must Die! 3</v>
      </c>
      <c r="B176" s="20" t="str">
        <f>IFERROR(__xludf.DUMMYFUNCTION("""COMPUTED_VALUE"""),"Xbox / PC")</f>
        <v>Xbox / PC</v>
      </c>
      <c r="C176" s="20" t="str">
        <f>IFERROR(__xludf.DUMMYFUNCTION("""COMPUTED_VALUE"""),"Yes")</f>
        <v>Yes</v>
      </c>
      <c r="D176" s="21" t="str">
        <f>IFERROR(__xludf.DUMMYFUNCTION("""COMPUTED_VALUE"""),"Removed")</f>
        <v>Removed</v>
      </c>
      <c r="E176" s="128">
        <f>IFERROR(__xludf.DUMMYFUNCTION("""COMPUTED_VALUE"""),45399.0)</f>
        <v>45399</v>
      </c>
      <c r="F176" s="24">
        <f>IFERROR(__xludf.DUMMYFUNCTION("""COMPUTED_VALUE"""),45762.0)</f>
        <v>45762</v>
      </c>
      <c r="G176" s="27">
        <f>IFERROR(__xludf.DUMMYFUNCTION("""COMPUTED_VALUE"""),11.933333333333334)</f>
        <v>11.93333333</v>
      </c>
      <c r="H176" s="128">
        <f>IFERROR(__xludf.DUMMYFUNCTION("""COMPUTED_VALUE"""),44400.0)</f>
        <v>44400</v>
      </c>
      <c r="I176" s="27">
        <f>IFERROR(__xludf.DUMMYFUNCTION("""COMPUTED_VALUE"""),2.7333333333333334)</f>
        <v>2.733333333</v>
      </c>
      <c r="J176" s="29">
        <f>IFERROR(__xludf.DUMMYFUNCTION("""COMPUTED_VALUE"""),77.0)</f>
        <v>77</v>
      </c>
      <c r="K176" s="29">
        <f>IFERROR(__xludf.DUMMYFUNCTION("""COMPUTED_VALUE"""),10.0)</f>
        <v>10</v>
      </c>
      <c r="L176" s="31" t="str">
        <f>IFERROR(__xludf.DUMMYFUNCTION("""COMPUTED_VALUE"""),"Strategy")</f>
        <v>Strategy</v>
      </c>
    </row>
    <row r="177">
      <c r="A177" s="17" t="str">
        <f>IFERROR(__xludf.DUMMYFUNCTION("""COMPUTED_VALUE"""),"Harold Halibut")</f>
        <v>Harold Halibut</v>
      </c>
      <c r="B177" s="20" t="str">
        <f>IFERROR(__xludf.DUMMYFUNCTION("""COMPUTED_VALUE"""),"Xbox / PC")</f>
        <v>Xbox / PC</v>
      </c>
      <c r="C177" s="20" t="str">
        <f>IFERROR(__xludf.DUMMYFUNCTION("""COMPUTED_VALUE"""),"Yes")</f>
        <v>Yes</v>
      </c>
      <c r="D177" s="21" t="str">
        <f>IFERROR(__xludf.DUMMYFUNCTION("""COMPUTED_VALUE"""),"Removed")</f>
        <v>Removed</v>
      </c>
      <c r="E177" s="128">
        <f>IFERROR(__xludf.DUMMYFUNCTION("""COMPUTED_VALUE"""),45398.0)</f>
        <v>45398</v>
      </c>
      <c r="F177" s="24">
        <f>IFERROR(__xludf.DUMMYFUNCTION("""COMPUTED_VALUE"""),45762.0)</f>
        <v>45762</v>
      </c>
      <c r="G177" s="27">
        <f>IFERROR(__xludf.DUMMYFUNCTION("""COMPUTED_VALUE"""),11.966666666666667)</f>
        <v>11.96666667</v>
      </c>
      <c r="H177" s="128">
        <f>IFERROR(__xludf.DUMMYFUNCTION("""COMPUTED_VALUE"""),45398.0)</f>
        <v>45398</v>
      </c>
      <c r="I177" s="27">
        <f>IFERROR(__xludf.DUMMYFUNCTION("""COMPUTED_VALUE"""),0.0)</f>
        <v>0</v>
      </c>
      <c r="J177" s="29">
        <f>IFERROR(__xludf.DUMMYFUNCTION("""COMPUTED_VALUE"""),70.0)</f>
        <v>70</v>
      </c>
      <c r="K177" s="29">
        <f>IFERROR(__xludf.DUMMYFUNCTION("""COMPUTED_VALUE"""),10.0)</f>
        <v>10</v>
      </c>
      <c r="L177" s="31" t="str">
        <f>IFERROR(__xludf.DUMMYFUNCTION("""COMPUTED_VALUE"""),"Adventure")</f>
        <v>Adventure</v>
      </c>
    </row>
    <row r="178">
      <c r="A178" s="17" t="str">
        <f>IFERROR(__xludf.DUMMYFUNCTION("""COMPUTED_VALUE"""),"Botany Manor")</f>
        <v>Botany Manor</v>
      </c>
      <c r="B178" s="20" t="str">
        <f>IFERROR(__xludf.DUMMYFUNCTION("""COMPUTED_VALUE"""),"Xbox / PC")</f>
        <v>Xbox / PC</v>
      </c>
      <c r="C178" s="20" t="str">
        <f>IFERROR(__xludf.DUMMYFUNCTION("""COMPUTED_VALUE"""),"Yes")</f>
        <v>Yes</v>
      </c>
      <c r="D178" s="21" t="str">
        <f>IFERROR(__xludf.DUMMYFUNCTION("""COMPUTED_VALUE"""),"Removed")</f>
        <v>Removed</v>
      </c>
      <c r="E178" s="128">
        <f>IFERROR(__xludf.DUMMYFUNCTION("""COMPUTED_VALUE"""),45391.0)</f>
        <v>45391</v>
      </c>
      <c r="F178" s="24">
        <f>IFERROR(__xludf.DUMMYFUNCTION("""COMPUTED_VALUE"""),45762.0)</f>
        <v>45762</v>
      </c>
      <c r="G178" s="27">
        <f>IFERROR(__xludf.DUMMYFUNCTION("""COMPUTED_VALUE"""),12.2)</f>
        <v>12.2</v>
      </c>
      <c r="H178" s="128">
        <f>IFERROR(__xludf.DUMMYFUNCTION("""COMPUTED_VALUE"""),45391.0)</f>
        <v>45391</v>
      </c>
      <c r="I178" s="27">
        <f>IFERROR(__xludf.DUMMYFUNCTION("""COMPUTED_VALUE"""),0.0)</f>
        <v>0</v>
      </c>
      <c r="J178" s="29">
        <f>IFERROR(__xludf.DUMMYFUNCTION("""COMPUTED_VALUE"""),84.0)</f>
        <v>84</v>
      </c>
      <c r="K178" s="29">
        <f>IFERROR(__xludf.DUMMYFUNCTION("""COMPUTED_VALUE"""),3.0)</f>
        <v>3</v>
      </c>
      <c r="L178" s="31" t="str">
        <f>IFERROR(__xludf.DUMMYFUNCTION("""COMPUTED_VALUE"""),"Adventure")</f>
        <v>Adventure</v>
      </c>
    </row>
    <row r="179">
      <c r="A179" s="17" t="str">
        <f>IFERROR(__xludf.DUMMYFUNCTION("""COMPUTED_VALUE"""),"Kona")</f>
        <v>Kona</v>
      </c>
      <c r="B179" s="20" t="str">
        <f>IFERROR(__xludf.DUMMYFUNCTION("""COMPUTED_VALUE"""),"Xbox")</f>
        <v>Xbox</v>
      </c>
      <c r="C179" s="20" t="str">
        <f>IFERROR(__xludf.DUMMYFUNCTION("""COMPUTED_VALUE"""),"Yes")</f>
        <v>Yes</v>
      </c>
      <c r="D179" s="21" t="str">
        <f>IFERROR(__xludf.DUMMYFUNCTION("""COMPUTED_VALUE"""),"Removed")</f>
        <v>Removed</v>
      </c>
      <c r="E179" s="128">
        <f>IFERROR(__xludf.DUMMYFUNCTION("""COMPUTED_VALUE"""),45391.0)</f>
        <v>45391</v>
      </c>
      <c r="F179" s="24">
        <f>IFERROR(__xludf.DUMMYFUNCTION("""COMPUTED_VALUE"""),45762.0)</f>
        <v>45762</v>
      </c>
      <c r="G179" s="27">
        <f>IFERROR(__xludf.DUMMYFUNCTION("""COMPUTED_VALUE"""),12.2)</f>
        <v>12.2</v>
      </c>
      <c r="H179" s="128">
        <f>IFERROR(__xludf.DUMMYFUNCTION("""COMPUTED_VALUE"""),42439.0)</f>
        <v>42439</v>
      </c>
      <c r="I179" s="27">
        <f>IFERROR(__xludf.DUMMYFUNCTION("""COMPUTED_VALUE"""),8.080555555555556)</f>
        <v>8.080555556</v>
      </c>
      <c r="J179" s="29">
        <f>IFERROR(__xludf.DUMMYFUNCTION("""COMPUTED_VALUE"""),71.0)</f>
        <v>71</v>
      </c>
      <c r="K179" s="29">
        <f>IFERROR(__xludf.DUMMYFUNCTION("""COMPUTED_VALUE"""),5.5)</f>
        <v>5.5</v>
      </c>
      <c r="L179" s="31" t="str">
        <f>IFERROR(__xludf.DUMMYFUNCTION("""COMPUTED_VALUE"""),"Adventure")</f>
        <v>Adventure</v>
      </c>
    </row>
    <row r="180">
      <c r="A180" s="17" t="str">
        <f>IFERROR(__xludf.DUMMYFUNCTION("""COMPUTED_VALUE"""),"Homestead Arcana")</f>
        <v>Homestead Arcana</v>
      </c>
      <c r="B180" s="20" t="str">
        <f>IFERROR(__xludf.DUMMYFUNCTION("""COMPUTED_VALUE"""),"Xbox / PC")</f>
        <v>Xbox / PC</v>
      </c>
      <c r="C180" s="20" t="str">
        <f>IFERROR(__xludf.DUMMYFUNCTION("""COMPUTED_VALUE"""),"Yes")</f>
        <v>Yes</v>
      </c>
      <c r="D180" s="21" t="str">
        <f>IFERROR(__xludf.DUMMYFUNCTION("""COMPUTED_VALUE"""),"Removed")</f>
        <v>Removed</v>
      </c>
      <c r="E180" s="128">
        <f>IFERROR(__xludf.DUMMYFUNCTION("""COMPUTED_VALUE"""),45037.0)</f>
        <v>45037</v>
      </c>
      <c r="F180" s="24">
        <f>IFERROR(__xludf.DUMMYFUNCTION("""COMPUTED_VALUE"""),45762.0)</f>
        <v>45762</v>
      </c>
      <c r="G180" s="27">
        <f>IFERROR(__xludf.DUMMYFUNCTION("""COMPUTED_VALUE"""),23.8)</f>
        <v>23.8</v>
      </c>
      <c r="H180" s="128">
        <f>IFERROR(__xludf.DUMMYFUNCTION("""COMPUTED_VALUE"""),45037.0)</f>
        <v>45037</v>
      </c>
      <c r="I180" s="27">
        <f>IFERROR(__xludf.DUMMYFUNCTION("""COMPUTED_VALUE"""),0.0)</f>
        <v>0</v>
      </c>
      <c r="J180" s="29">
        <f>IFERROR(__xludf.DUMMYFUNCTION("""COMPUTED_VALUE"""),59.0)</f>
        <v>59</v>
      </c>
      <c r="K180" s="29">
        <f>IFERROR(__xludf.DUMMYFUNCTION("""COMPUTED_VALUE"""),13.0)</f>
        <v>13</v>
      </c>
      <c r="L180" s="31" t="str">
        <f>IFERROR(__xludf.DUMMYFUNCTION("""COMPUTED_VALUE"""),"Sandbox")</f>
        <v>Sandbox</v>
      </c>
    </row>
    <row r="181">
      <c r="A181" s="17" t="str">
        <f>IFERROR(__xludf.DUMMYFUNCTION("""COMPUTED_VALUE"""),"Coral Island")</f>
        <v>Coral Island</v>
      </c>
      <c r="B181" s="20" t="str">
        <f>IFERROR(__xludf.DUMMYFUNCTION("""COMPUTED_VALUE"""),"Xbox / PC")</f>
        <v>Xbox / PC</v>
      </c>
      <c r="C181" s="20" t="str">
        <f>IFERROR(__xludf.DUMMYFUNCTION("""COMPUTED_VALUE"""),"Yes")</f>
        <v>Yes</v>
      </c>
      <c r="D181" s="21" t="str">
        <f>IFERROR(__xludf.DUMMYFUNCTION("""COMPUTED_VALUE"""),"Removed")</f>
        <v>Removed</v>
      </c>
      <c r="E181" s="128">
        <f>IFERROR(__xludf.DUMMYFUNCTION("""COMPUTED_VALUE"""),44845.0)</f>
        <v>44845</v>
      </c>
      <c r="F181" s="24">
        <f>IFERROR(__xludf.DUMMYFUNCTION("""COMPUTED_VALUE"""),45762.0)</f>
        <v>45762</v>
      </c>
      <c r="G181" s="27">
        <f>IFERROR(__xludf.DUMMYFUNCTION("""COMPUTED_VALUE"""),30.133333333333333)</f>
        <v>30.13333333</v>
      </c>
      <c r="H181" s="128">
        <f>IFERROR(__xludf.DUMMYFUNCTION("""COMPUTED_VALUE"""),44845.0)</f>
        <v>44845</v>
      </c>
      <c r="I181" s="27">
        <f>IFERROR(__xludf.DUMMYFUNCTION("""COMPUTED_VALUE"""),0.0)</f>
        <v>0</v>
      </c>
      <c r="J181" s="29">
        <f>IFERROR(__xludf.DUMMYFUNCTION("""COMPUTED_VALUE"""),82.0)</f>
        <v>82</v>
      </c>
      <c r="K181" s="29">
        <f>IFERROR(__xludf.DUMMYFUNCTION("""COMPUTED_VALUE"""),23.0)</f>
        <v>23</v>
      </c>
      <c r="L181" s="31" t="str">
        <f>IFERROR(__xludf.DUMMYFUNCTION("""COMPUTED_VALUE"""),"RPG")</f>
        <v>RPG</v>
      </c>
    </row>
    <row r="182">
      <c r="A182" s="17" t="str">
        <f>IFERROR(__xludf.DUMMYFUNCTION("""COMPUTED_VALUE"""),"Turbo Golf Racing (Game Preview)")</f>
        <v>Turbo Golf Racing (Game Preview)</v>
      </c>
      <c r="B182" s="20" t="str">
        <f>IFERROR(__xludf.DUMMYFUNCTION("""COMPUTED_VALUE"""),"Xbox / PC")</f>
        <v>Xbox / PC</v>
      </c>
      <c r="C182" s="20" t="str">
        <f>IFERROR(__xludf.DUMMYFUNCTION("""COMPUTED_VALUE"""),"Touch Controls")</f>
        <v>Touch Controls</v>
      </c>
      <c r="D182" s="21" t="str">
        <f>IFERROR(__xludf.DUMMYFUNCTION("""COMPUTED_VALUE"""),"Removed")</f>
        <v>Removed</v>
      </c>
      <c r="E182" s="128">
        <f>IFERROR(__xludf.DUMMYFUNCTION("""COMPUTED_VALUE"""),44777.0)</f>
        <v>44777</v>
      </c>
      <c r="F182" s="24">
        <f>IFERROR(__xludf.DUMMYFUNCTION("""COMPUTED_VALUE"""),45762.0)</f>
        <v>45762</v>
      </c>
      <c r="G182" s="27">
        <f>IFERROR(__xludf.DUMMYFUNCTION("""COMPUTED_VALUE"""),32.36666666666667)</f>
        <v>32.36666667</v>
      </c>
      <c r="H182" s="128">
        <f>IFERROR(__xludf.DUMMYFUNCTION("""COMPUTED_VALUE"""),44777.0)</f>
        <v>44777</v>
      </c>
      <c r="I182" s="27">
        <f>IFERROR(__xludf.DUMMYFUNCTION("""COMPUTED_VALUE"""),0.0)</f>
        <v>0</v>
      </c>
      <c r="J182" s="29">
        <f>IFERROR(__xludf.DUMMYFUNCTION("""COMPUTED_VALUE"""),73.0)</f>
        <v>73</v>
      </c>
      <c r="K182" s="29">
        <f>IFERROR(__xludf.DUMMYFUNCTION("""COMPUTED_VALUE"""),2.0)</f>
        <v>2</v>
      </c>
      <c r="L182" s="31" t="str">
        <f>IFERROR(__xludf.DUMMYFUNCTION("""COMPUTED_VALUE"""),"Racing")</f>
        <v>Racing</v>
      </c>
    </row>
    <row r="183">
      <c r="A183" s="17" t="str">
        <f>IFERROR(__xludf.DUMMYFUNCTION("""COMPUTED_VALUE"""),"Lil Gator Game")</f>
        <v>Lil Gator Game</v>
      </c>
      <c r="B183" s="20" t="str">
        <f>IFERROR(__xludf.DUMMYFUNCTION("""COMPUTED_VALUE"""),"Xbox / PC")</f>
        <v>Xbox / PC</v>
      </c>
      <c r="C183" s="20" t="str">
        <f>IFERROR(__xludf.DUMMYFUNCTION("""COMPUTED_VALUE"""),"Yes")</f>
        <v>Yes</v>
      </c>
      <c r="D183" s="21" t="str">
        <f>IFERROR(__xludf.DUMMYFUNCTION("""COMPUTED_VALUE"""),"Removed")</f>
        <v>Removed</v>
      </c>
      <c r="E183" s="128">
        <f>IFERROR(__xludf.DUMMYFUNCTION("""COMPUTED_VALUE"""),45386.0)</f>
        <v>45386</v>
      </c>
      <c r="F183" s="24">
        <f>IFERROR(__xludf.DUMMYFUNCTION("""COMPUTED_VALUE"""),45747.0)</f>
        <v>45747</v>
      </c>
      <c r="G183" s="27">
        <f>IFERROR(__xludf.DUMMYFUNCTION("""COMPUTED_VALUE"""),11.866666666666667)</f>
        <v>11.86666667</v>
      </c>
      <c r="H183" s="128">
        <f>IFERROR(__xludf.DUMMYFUNCTION("""COMPUTED_VALUE"""),44665.0)</f>
        <v>44665</v>
      </c>
      <c r="I183" s="27">
        <f>IFERROR(__xludf.DUMMYFUNCTION("""COMPUTED_VALUE"""),1.9722222222222223)</f>
        <v>1.972222222</v>
      </c>
      <c r="J183" s="29">
        <f>IFERROR(__xludf.DUMMYFUNCTION("""COMPUTED_VALUE"""),84.0)</f>
        <v>84</v>
      </c>
      <c r="K183" s="29">
        <f>IFERROR(__xludf.DUMMYFUNCTION("""COMPUTED_VALUE"""),3.0)</f>
        <v>3</v>
      </c>
      <c r="L183" s="31" t="str">
        <f>IFERROR(__xludf.DUMMYFUNCTION("""COMPUTED_VALUE"""),"Action")</f>
        <v>Action</v>
      </c>
    </row>
    <row r="184">
      <c r="A184" s="17" t="str">
        <f>IFERROR(__xludf.DUMMYFUNCTION("""COMPUTED_VALUE"""),"Hot Wheels Unleashed 2: Turbocharged")</f>
        <v>Hot Wheels Unleashed 2: Turbocharged</v>
      </c>
      <c r="B184" s="20" t="str">
        <f>IFERROR(__xludf.DUMMYFUNCTION("""COMPUTED_VALUE"""),"Xbox / PC")</f>
        <v>Xbox / PC</v>
      </c>
      <c r="C184" s="20" t="str">
        <f>IFERROR(__xludf.DUMMYFUNCTION("""COMPUTED_VALUE"""),"Yes")</f>
        <v>Yes</v>
      </c>
      <c r="D184" s="21" t="str">
        <f>IFERROR(__xludf.DUMMYFUNCTION("""COMPUTED_VALUE"""),"Removed")</f>
        <v>Removed</v>
      </c>
      <c r="E184" s="128">
        <f>IFERROR(__xludf.DUMMYFUNCTION("""COMPUTED_VALUE"""),45379.0)</f>
        <v>45379</v>
      </c>
      <c r="F184" s="24">
        <f>IFERROR(__xludf.DUMMYFUNCTION("""COMPUTED_VALUE"""),45747.0)</f>
        <v>45747</v>
      </c>
      <c r="G184" s="27">
        <f>IFERROR(__xludf.DUMMYFUNCTION("""COMPUTED_VALUE"""),12.066666666666666)</f>
        <v>12.06666667</v>
      </c>
      <c r="H184" s="128">
        <f>IFERROR(__xludf.DUMMYFUNCTION("""COMPUTED_VALUE"""),45218.0)</f>
        <v>45218</v>
      </c>
      <c r="I184" s="27">
        <f>IFERROR(__xludf.DUMMYFUNCTION("""COMPUTED_VALUE"""),0.44166666666666665)</f>
        <v>0.4416666667</v>
      </c>
      <c r="J184" s="29">
        <f>IFERROR(__xludf.DUMMYFUNCTION("""COMPUTED_VALUE"""),77.0)</f>
        <v>77</v>
      </c>
      <c r="K184" s="29">
        <f>IFERROR(__xludf.DUMMYFUNCTION("""COMPUTED_VALUE"""),8.0)</f>
        <v>8</v>
      </c>
      <c r="L184" s="31" t="str">
        <f>IFERROR(__xludf.DUMMYFUNCTION("""COMPUTED_VALUE"""),"Racing")</f>
        <v>Racing</v>
      </c>
    </row>
    <row r="185">
      <c r="A185" s="17" t="str">
        <f>IFERROR(__xludf.DUMMYFUNCTION("""COMPUTED_VALUE"""),"Open Roads")</f>
        <v>Open Roads</v>
      </c>
      <c r="B185" s="20" t="str">
        <f>IFERROR(__xludf.DUMMYFUNCTION("""COMPUTED_VALUE"""),"Xbox / PC")</f>
        <v>Xbox / PC</v>
      </c>
      <c r="C185" s="20" t="str">
        <f>IFERROR(__xludf.DUMMYFUNCTION("""COMPUTED_VALUE"""),"Yes")</f>
        <v>Yes</v>
      </c>
      <c r="D185" s="21" t="str">
        <f>IFERROR(__xludf.DUMMYFUNCTION("""COMPUTED_VALUE"""),"Removed")</f>
        <v>Removed</v>
      </c>
      <c r="E185" s="128">
        <f>IFERROR(__xludf.DUMMYFUNCTION("""COMPUTED_VALUE"""),45379.0)</f>
        <v>45379</v>
      </c>
      <c r="F185" s="24">
        <f>IFERROR(__xludf.DUMMYFUNCTION("""COMPUTED_VALUE"""),45747.0)</f>
        <v>45747</v>
      </c>
      <c r="G185" s="27">
        <f>IFERROR(__xludf.DUMMYFUNCTION("""COMPUTED_VALUE"""),12.066666666666666)</f>
        <v>12.06666667</v>
      </c>
      <c r="H185" s="128">
        <f>IFERROR(__xludf.DUMMYFUNCTION("""COMPUTED_VALUE"""),45379.0)</f>
        <v>45379</v>
      </c>
      <c r="I185" s="27">
        <f>IFERROR(__xludf.DUMMYFUNCTION("""COMPUTED_VALUE"""),0.0)</f>
        <v>0</v>
      </c>
      <c r="J185" s="29">
        <f>IFERROR(__xludf.DUMMYFUNCTION("""COMPUTED_VALUE"""),67.0)</f>
        <v>67</v>
      </c>
      <c r="K185" s="29">
        <f>IFERROR(__xludf.DUMMYFUNCTION("""COMPUTED_VALUE"""),3.0)</f>
        <v>3</v>
      </c>
      <c r="L185" s="31" t="str">
        <f>IFERROR(__xludf.DUMMYFUNCTION("""COMPUTED_VALUE"""),"Adventure")</f>
        <v>Adventure</v>
      </c>
    </row>
    <row r="186">
      <c r="A186" s="17" t="str">
        <f>IFERROR(__xludf.DUMMYFUNCTION("""COMPUTED_VALUE"""),"MLB The Show 24")</f>
        <v>MLB The Show 24</v>
      </c>
      <c r="B186" s="20" t="str">
        <f>IFERROR(__xludf.DUMMYFUNCTION("""COMPUTED_VALUE"""),"Xbox")</f>
        <v>Xbox</v>
      </c>
      <c r="C186" s="20" t="str">
        <f>IFERROR(__xludf.DUMMYFUNCTION("""COMPUTED_VALUE"""),"Yes")</f>
        <v>Yes</v>
      </c>
      <c r="D186" s="21" t="str">
        <f>IFERROR(__xludf.DUMMYFUNCTION("""COMPUTED_VALUE"""),"Removed")</f>
        <v>Removed</v>
      </c>
      <c r="E186" s="128">
        <f>IFERROR(__xludf.DUMMYFUNCTION("""COMPUTED_VALUE"""),45370.0)</f>
        <v>45370</v>
      </c>
      <c r="F186" s="24">
        <f>IFERROR(__xludf.DUMMYFUNCTION("""COMPUTED_VALUE"""),45747.0)</f>
        <v>45747</v>
      </c>
      <c r="G186" s="27">
        <f>IFERROR(__xludf.DUMMYFUNCTION("""COMPUTED_VALUE"""),12.366666666666665)</f>
        <v>12.36666667</v>
      </c>
      <c r="H186" s="128">
        <f>IFERROR(__xludf.DUMMYFUNCTION("""COMPUTED_VALUE"""),45370.0)</f>
        <v>45370</v>
      </c>
      <c r="I186" s="27">
        <f>IFERROR(__xludf.DUMMYFUNCTION("""COMPUTED_VALUE"""),0.0)</f>
        <v>0</v>
      </c>
      <c r="J186" s="29">
        <f>IFERROR(__xludf.DUMMYFUNCTION("""COMPUTED_VALUE"""),78.0)</f>
        <v>78</v>
      </c>
      <c r="K186" s="29">
        <f>IFERROR(__xludf.DUMMYFUNCTION("""COMPUTED_VALUE"""),14.0)</f>
        <v>14</v>
      </c>
      <c r="L186" s="31" t="str">
        <f>IFERROR(__xludf.DUMMYFUNCTION("""COMPUTED_VALUE"""),"Sports")</f>
        <v>Sports</v>
      </c>
    </row>
    <row r="187">
      <c r="A187" s="17" t="str">
        <f>IFERROR(__xludf.DUMMYFUNCTION("""COMPUTED_VALUE"""),"The Lamplighters League")</f>
        <v>The Lamplighters League</v>
      </c>
      <c r="B187" s="20" t="str">
        <f>IFERROR(__xludf.DUMMYFUNCTION("""COMPUTED_VALUE"""),"Xbox / PC")</f>
        <v>Xbox / PC</v>
      </c>
      <c r="C187" s="20" t="str">
        <f>IFERROR(__xludf.DUMMYFUNCTION("""COMPUTED_VALUE"""),"Yes")</f>
        <v>Yes</v>
      </c>
      <c r="D187" s="21" t="str">
        <f>IFERROR(__xludf.DUMMYFUNCTION("""COMPUTED_VALUE"""),"Removed")</f>
        <v>Removed</v>
      </c>
      <c r="E187" s="128">
        <f>IFERROR(__xludf.DUMMYFUNCTION("""COMPUTED_VALUE"""),45202.0)</f>
        <v>45202</v>
      </c>
      <c r="F187" s="24">
        <f>IFERROR(__xludf.DUMMYFUNCTION("""COMPUTED_VALUE"""),45747.0)</f>
        <v>45747</v>
      </c>
      <c r="G187" s="27">
        <f>IFERROR(__xludf.DUMMYFUNCTION("""COMPUTED_VALUE"""),17.9)</f>
        <v>17.9</v>
      </c>
      <c r="H187" s="128">
        <f>IFERROR(__xludf.DUMMYFUNCTION("""COMPUTED_VALUE"""),45202.0)</f>
        <v>45202</v>
      </c>
      <c r="I187" s="27">
        <f>IFERROR(__xludf.DUMMYFUNCTION("""COMPUTED_VALUE"""),0.0)</f>
        <v>0</v>
      </c>
      <c r="J187" s="29">
        <f>IFERROR(__xludf.DUMMYFUNCTION("""COMPUTED_VALUE"""),76.0)</f>
        <v>76</v>
      </c>
      <c r="K187" s="29">
        <f>IFERROR(__xludf.DUMMYFUNCTION("""COMPUTED_VALUE"""),26.0)</f>
        <v>26</v>
      </c>
      <c r="L187" s="31" t="str">
        <f>IFERROR(__xludf.DUMMYFUNCTION("""COMPUTED_VALUE"""),"RPG")</f>
        <v>RPG</v>
      </c>
    </row>
    <row r="188">
      <c r="A188" s="17" t="str">
        <f>IFERROR(__xludf.DUMMYFUNCTION("""COMPUTED_VALUE"""),"Monster Hunter: Rise")</f>
        <v>Monster Hunter: Rise</v>
      </c>
      <c r="B188" s="20" t="str">
        <f>IFERROR(__xludf.DUMMYFUNCTION("""COMPUTED_VALUE"""),"Xbox / PC")</f>
        <v>Xbox / PC</v>
      </c>
      <c r="C188" s="20" t="str">
        <f>IFERROR(__xludf.DUMMYFUNCTION("""COMPUTED_VALUE"""),"Yes")</f>
        <v>Yes</v>
      </c>
      <c r="D188" s="21" t="str">
        <f>IFERROR(__xludf.DUMMYFUNCTION("""COMPUTED_VALUE"""),"Removed")</f>
        <v>Removed</v>
      </c>
      <c r="E188" s="128">
        <f>IFERROR(__xludf.DUMMYFUNCTION("""COMPUTED_VALUE"""),44946.0)</f>
        <v>44946</v>
      </c>
      <c r="F188" s="24">
        <f>IFERROR(__xludf.DUMMYFUNCTION("""COMPUTED_VALUE"""),45747.0)</f>
        <v>45747</v>
      </c>
      <c r="G188" s="27">
        <f>IFERROR(__xludf.DUMMYFUNCTION("""COMPUTED_VALUE"""),26.333333333333336)</f>
        <v>26.33333333</v>
      </c>
      <c r="H188" s="128">
        <f>IFERROR(__xludf.DUMMYFUNCTION("""COMPUTED_VALUE"""),44281.0)</f>
        <v>44281</v>
      </c>
      <c r="I188" s="27">
        <f>IFERROR(__xludf.DUMMYFUNCTION("""COMPUTED_VALUE"""),1.8166666666666667)</f>
        <v>1.816666667</v>
      </c>
      <c r="J188" s="29">
        <f>IFERROR(__xludf.DUMMYFUNCTION("""COMPUTED_VALUE"""),86.0)</f>
        <v>86</v>
      </c>
      <c r="K188" s="29">
        <f>IFERROR(__xludf.DUMMYFUNCTION("""COMPUTED_VALUE"""),21.0)</f>
        <v>21</v>
      </c>
      <c r="L188" s="31" t="str">
        <f>IFERROR(__xludf.DUMMYFUNCTION("""COMPUTED_VALUE"""),"RPG")</f>
        <v>RPG</v>
      </c>
    </row>
    <row r="189">
      <c r="A189" s="17" t="str">
        <f>IFERROR(__xludf.DUMMYFUNCTION("""COMPUTED_VALUE"""),"Yakuza 0")</f>
        <v>Yakuza 0</v>
      </c>
      <c r="B189" s="20" t="str">
        <f>IFERROR(__xludf.DUMMYFUNCTION("""COMPUTED_VALUE"""),"Xbox / PC")</f>
        <v>Xbox / PC</v>
      </c>
      <c r="C189" s="20" t="str">
        <f>IFERROR(__xludf.DUMMYFUNCTION("""COMPUTED_VALUE"""),"Touch Controls")</f>
        <v>Touch Controls</v>
      </c>
      <c r="D189" s="21" t="str">
        <f>IFERROR(__xludf.DUMMYFUNCTION("""COMPUTED_VALUE"""),"Removed")</f>
        <v>Removed</v>
      </c>
      <c r="E189" s="128">
        <f>IFERROR(__xludf.DUMMYFUNCTION("""COMPUTED_VALUE"""),44747.0)</f>
        <v>44747</v>
      </c>
      <c r="F189" s="24">
        <f>IFERROR(__xludf.DUMMYFUNCTION("""COMPUTED_VALUE"""),45747.0)</f>
        <v>45747</v>
      </c>
      <c r="G189" s="27">
        <f>IFERROR(__xludf.DUMMYFUNCTION("""COMPUTED_VALUE"""),32.833333333333336)</f>
        <v>32.83333333</v>
      </c>
      <c r="H189" s="128">
        <f>IFERROR(__xludf.DUMMYFUNCTION("""COMPUTED_VALUE"""),42075.0)</f>
        <v>42075</v>
      </c>
      <c r="I189" s="27">
        <f>IFERROR(__xludf.DUMMYFUNCTION("""COMPUTED_VALUE"""),7.313888888888889)</f>
        <v>7.313888889</v>
      </c>
      <c r="J189" s="29">
        <f>IFERROR(__xludf.DUMMYFUNCTION("""COMPUTED_VALUE"""),85.0)</f>
        <v>85</v>
      </c>
      <c r="K189" s="29">
        <f>IFERROR(__xludf.DUMMYFUNCTION("""COMPUTED_VALUE"""),31.0)</f>
        <v>31</v>
      </c>
      <c r="L189" s="31" t="str">
        <f>IFERROR(__xludf.DUMMYFUNCTION("""COMPUTED_VALUE"""),"RPG")</f>
        <v>RPG</v>
      </c>
    </row>
    <row r="190">
      <c r="A190" s="17" t="str">
        <f>IFERROR(__xludf.DUMMYFUNCTION("""COMPUTED_VALUE"""),"Yakuza Kiwami")</f>
        <v>Yakuza Kiwami</v>
      </c>
      <c r="B190" s="20" t="str">
        <f>IFERROR(__xludf.DUMMYFUNCTION("""COMPUTED_VALUE"""),"Xbox / PC")</f>
        <v>Xbox / PC</v>
      </c>
      <c r="C190" s="20" t="str">
        <f>IFERROR(__xludf.DUMMYFUNCTION("""COMPUTED_VALUE"""),"Touch Controls")</f>
        <v>Touch Controls</v>
      </c>
      <c r="D190" s="21" t="str">
        <f>IFERROR(__xludf.DUMMYFUNCTION("""COMPUTED_VALUE"""),"Removed")</f>
        <v>Removed</v>
      </c>
      <c r="E190" s="128">
        <f>IFERROR(__xludf.DUMMYFUNCTION("""COMPUTED_VALUE"""),44747.0)</f>
        <v>44747</v>
      </c>
      <c r="F190" s="24">
        <f>IFERROR(__xludf.DUMMYFUNCTION("""COMPUTED_VALUE"""),45747.0)</f>
        <v>45747</v>
      </c>
      <c r="G190" s="27">
        <f>IFERROR(__xludf.DUMMYFUNCTION("""COMPUTED_VALUE"""),32.833333333333336)</f>
        <v>32.83333333</v>
      </c>
      <c r="H190" s="128">
        <f>IFERROR(__xludf.DUMMYFUNCTION("""COMPUTED_VALUE"""),42390.0)</f>
        <v>42390</v>
      </c>
      <c r="I190" s="27">
        <f>IFERROR(__xludf.DUMMYFUNCTION("""COMPUTED_VALUE"""),6.455555555555556)</f>
        <v>6.455555556</v>
      </c>
      <c r="J190" s="29">
        <f>IFERROR(__xludf.DUMMYFUNCTION("""COMPUTED_VALUE"""),80.0)</f>
        <v>80</v>
      </c>
      <c r="K190" s="29">
        <f>IFERROR(__xludf.DUMMYFUNCTION("""COMPUTED_VALUE"""),18.0)</f>
        <v>18</v>
      </c>
      <c r="L190" s="31" t="str">
        <f>IFERROR(__xludf.DUMMYFUNCTION("""COMPUTED_VALUE"""),"Action-Adventure")</f>
        <v>Action-Adventure</v>
      </c>
    </row>
    <row r="191">
      <c r="A191" s="17" t="str">
        <f>IFERROR(__xludf.DUMMYFUNCTION("""COMPUTED_VALUE"""),"Yakuza Kiwami 2")</f>
        <v>Yakuza Kiwami 2</v>
      </c>
      <c r="B191" s="20" t="str">
        <f>IFERROR(__xludf.DUMMYFUNCTION("""COMPUTED_VALUE"""),"Xbox / PC")</f>
        <v>Xbox / PC</v>
      </c>
      <c r="C191" s="20" t="str">
        <f>IFERROR(__xludf.DUMMYFUNCTION("""COMPUTED_VALUE"""),"Touch Controls")</f>
        <v>Touch Controls</v>
      </c>
      <c r="D191" s="21" t="str">
        <f>IFERROR(__xludf.DUMMYFUNCTION("""COMPUTED_VALUE"""),"Removed")</f>
        <v>Removed</v>
      </c>
      <c r="E191" s="128">
        <f>IFERROR(__xludf.DUMMYFUNCTION("""COMPUTED_VALUE"""),44747.0)</f>
        <v>44747</v>
      </c>
      <c r="F191" s="24">
        <f>IFERROR(__xludf.DUMMYFUNCTION("""COMPUTED_VALUE"""),45747.0)</f>
        <v>45747</v>
      </c>
      <c r="G191" s="27">
        <f>IFERROR(__xludf.DUMMYFUNCTION("""COMPUTED_VALUE"""),32.833333333333336)</f>
        <v>32.83333333</v>
      </c>
      <c r="H191" s="128">
        <f>IFERROR(__xludf.DUMMYFUNCTION("""COMPUTED_VALUE"""),43076.0)</f>
        <v>43076</v>
      </c>
      <c r="I191" s="27">
        <f>IFERROR(__xludf.DUMMYFUNCTION("""COMPUTED_VALUE"""),4.5777777777777775)</f>
        <v>4.577777778</v>
      </c>
      <c r="J191" s="29">
        <f>IFERROR(__xludf.DUMMYFUNCTION("""COMPUTED_VALUE"""),82.0)</f>
        <v>82</v>
      </c>
      <c r="K191" s="29">
        <f>IFERROR(__xludf.DUMMYFUNCTION("""COMPUTED_VALUE"""),18.5)</f>
        <v>18.5</v>
      </c>
      <c r="L191" s="31" t="str">
        <f>IFERROR(__xludf.DUMMYFUNCTION("""COMPUTED_VALUE"""),"Action-Adventure")</f>
        <v>Action-Adventure</v>
      </c>
    </row>
    <row r="192">
      <c r="A192" s="17" t="str">
        <f>IFERROR(__xludf.DUMMYFUNCTION("""COMPUTED_VALUE"""),"Yakuza: Like a Dragon")</f>
        <v>Yakuza: Like a Dragon</v>
      </c>
      <c r="B192" s="20" t="str">
        <f>IFERROR(__xludf.DUMMYFUNCTION("""COMPUTED_VALUE"""),"Xbox / PC")</f>
        <v>Xbox / PC</v>
      </c>
      <c r="C192" s="20" t="str">
        <f>IFERROR(__xludf.DUMMYFUNCTION("""COMPUTED_VALUE"""),"Touch Controls")</f>
        <v>Touch Controls</v>
      </c>
      <c r="D192" s="21" t="str">
        <f>IFERROR(__xludf.DUMMYFUNCTION("""COMPUTED_VALUE"""),"Removed")</f>
        <v>Removed</v>
      </c>
      <c r="E192" s="128">
        <f>IFERROR(__xludf.DUMMYFUNCTION("""COMPUTED_VALUE"""),44360.0)</f>
        <v>44360</v>
      </c>
      <c r="F192" s="24">
        <f>IFERROR(__xludf.DUMMYFUNCTION("""COMPUTED_VALUE"""),45747.0)</f>
        <v>45747</v>
      </c>
      <c r="G192" s="27">
        <f>IFERROR(__xludf.DUMMYFUNCTION("""COMPUTED_VALUE"""),45.56666666666666)</f>
        <v>45.56666667</v>
      </c>
      <c r="H192" s="128">
        <f>IFERROR(__xludf.DUMMYFUNCTION("""COMPUTED_VALUE"""),43846.0)</f>
        <v>43846</v>
      </c>
      <c r="I192" s="27">
        <f>IFERROR(__xludf.DUMMYFUNCTION("""COMPUTED_VALUE"""),1.4083333333333334)</f>
        <v>1.408333333</v>
      </c>
      <c r="J192" s="29">
        <f>IFERROR(__xludf.DUMMYFUNCTION("""COMPUTED_VALUE"""),86.0)</f>
        <v>86</v>
      </c>
      <c r="K192" s="29">
        <f>IFERROR(__xludf.DUMMYFUNCTION("""COMPUTED_VALUE"""),45.5)</f>
        <v>45.5</v>
      </c>
      <c r="L192" s="31" t="str">
        <f>IFERROR(__xludf.DUMMYFUNCTION("""COMPUTED_VALUE"""),"RPG")</f>
        <v>RPG</v>
      </c>
    </row>
    <row r="193">
      <c r="A193" s="17" t="str">
        <f>IFERROR(__xludf.DUMMYFUNCTION("""COMPUTED_VALUE"""),"No More Heroes III")</f>
        <v>No More Heroes III</v>
      </c>
      <c r="B193" s="20" t="str">
        <f>IFERROR(__xludf.DUMMYFUNCTION("""COMPUTED_VALUE"""),"Xbox / PC")</f>
        <v>Xbox / PC</v>
      </c>
      <c r="C193" s="20" t="str">
        <f>IFERROR(__xludf.DUMMYFUNCTION("""COMPUTED_VALUE"""),"Yes")</f>
        <v>Yes</v>
      </c>
      <c r="D193" s="21" t="str">
        <f>IFERROR(__xludf.DUMMYFUNCTION("""COMPUTED_VALUE"""),"Removed")</f>
        <v>Removed</v>
      </c>
      <c r="E193" s="128">
        <f>IFERROR(__xludf.DUMMYFUNCTION("""COMPUTED_VALUE"""),45365.0)</f>
        <v>45365</v>
      </c>
      <c r="F193" s="24">
        <f>IFERROR(__xludf.DUMMYFUNCTION("""COMPUTED_VALUE"""),45731.0)</f>
        <v>45731</v>
      </c>
      <c r="G193" s="27">
        <f>IFERROR(__xludf.DUMMYFUNCTION("""COMPUTED_VALUE"""),12.033333333333333)</f>
        <v>12.03333333</v>
      </c>
      <c r="H193" s="128">
        <f>IFERROR(__xludf.DUMMYFUNCTION("""COMPUTED_VALUE"""),44435.0)</f>
        <v>44435</v>
      </c>
      <c r="I193" s="27">
        <f>IFERROR(__xludf.DUMMYFUNCTION("""COMPUTED_VALUE"""),2.547222222222222)</f>
        <v>2.547222222</v>
      </c>
      <c r="J193" s="29">
        <f>IFERROR(__xludf.DUMMYFUNCTION("""COMPUTED_VALUE"""),75.0)</f>
        <v>75</v>
      </c>
      <c r="K193" s="29">
        <f>IFERROR(__xludf.DUMMYFUNCTION("""COMPUTED_VALUE"""),12.0)</f>
        <v>12</v>
      </c>
      <c r="L193" s="31" t="str">
        <f>IFERROR(__xludf.DUMMYFUNCTION("""COMPUTED_VALUE"""),"Action")</f>
        <v>Action</v>
      </c>
    </row>
    <row r="194">
      <c r="A194" s="17" t="str">
        <f>IFERROR(__xludf.DUMMYFUNCTION("""COMPUTED_VALUE"""),"SpongeBob SquarePants: Battle for Bikini Bottom - Rehydrated")</f>
        <v>SpongeBob SquarePants: Battle for Bikini Bottom - Rehydrated</v>
      </c>
      <c r="B194" s="20" t="str">
        <f>IFERROR(__xludf.DUMMYFUNCTION("""COMPUTED_VALUE"""),"Xbox / PC")</f>
        <v>Xbox / PC</v>
      </c>
      <c r="C194" s="20" t="str">
        <f>IFERROR(__xludf.DUMMYFUNCTION("""COMPUTED_VALUE"""),"Yes")</f>
        <v>Yes</v>
      </c>
      <c r="D194" s="21" t="str">
        <f>IFERROR(__xludf.DUMMYFUNCTION("""COMPUTED_VALUE"""),"Removed")</f>
        <v>Removed</v>
      </c>
      <c r="E194" s="128">
        <f>IFERROR(__xludf.DUMMYFUNCTION("""COMPUTED_VALUE"""),45363.0)</f>
        <v>45363</v>
      </c>
      <c r="F194" s="24">
        <f>IFERROR(__xludf.DUMMYFUNCTION("""COMPUTED_VALUE"""),45731.0)</f>
        <v>45731</v>
      </c>
      <c r="G194" s="27">
        <f>IFERROR(__xludf.DUMMYFUNCTION("""COMPUTED_VALUE"""),12.1)</f>
        <v>12.1</v>
      </c>
      <c r="H194" s="128">
        <f>IFERROR(__xludf.DUMMYFUNCTION("""COMPUTED_VALUE"""),44005.0)</f>
        <v>44005</v>
      </c>
      <c r="I194" s="27">
        <f>IFERROR(__xludf.DUMMYFUNCTION("""COMPUTED_VALUE"""),3.7194444444444446)</f>
        <v>3.719444444</v>
      </c>
      <c r="J194" s="29">
        <f>IFERROR(__xludf.DUMMYFUNCTION("""COMPUTED_VALUE"""),68.0)</f>
        <v>68</v>
      </c>
      <c r="K194" s="29">
        <f>IFERROR(__xludf.DUMMYFUNCTION("""COMPUTED_VALUE"""),9.0)</f>
        <v>9</v>
      </c>
      <c r="L194" s="31" t="str">
        <f>IFERROR(__xludf.DUMMYFUNCTION("""COMPUTED_VALUE"""),"Platformer")</f>
        <v>Platformer</v>
      </c>
    </row>
    <row r="195">
      <c r="A195" s="17" t="str">
        <f>IFERROR(__xludf.DUMMYFUNCTION("""COMPUTED_VALUE"""),"Lies of P")</f>
        <v>Lies of P</v>
      </c>
      <c r="B195" s="20" t="str">
        <f>IFERROR(__xludf.DUMMYFUNCTION("""COMPUTED_VALUE"""),"Xbox / PC")</f>
        <v>Xbox / PC</v>
      </c>
      <c r="C195" s="20" t="str">
        <f>IFERROR(__xludf.DUMMYFUNCTION("""COMPUTED_VALUE"""),"Yes")</f>
        <v>Yes</v>
      </c>
      <c r="D195" s="21" t="str">
        <f>IFERROR(__xludf.DUMMYFUNCTION("""COMPUTED_VALUE"""),"Removed")</f>
        <v>Removed</v>
      </c>
      <c r="E195" s="128">
        <f>IFERROR(__xludf.DUMMYFUNCTION("""COMPUTED_VALUE"""),45188.0)</f>
        <v>45188</v>
      </c>
      <c r="F195" s="24">
        <f>IFERROR(__xludf.DUMMYFUNCTION("""COMPUTED_VALUE"""),45731.0)</f>
        <v>45731</v>
      </c>
      <c r="G195" s="27">
        <f>IFERROR(__xludf.DUMMYFUNCTION("""COMPUTED_VALUE"""),17.866666666666667)</f>
        <v>17.86666667</v>
      </c>
      <c r="H195" s="128">
        <f>IFERROR(__xludf.DUMMYFUNCTION("""COMPUTED_VALUE"""),45188.0)</f>
        <v>45188</v>
      </c>
      <c r="I195" s="27">
        <f>IFERROR(__xludf.DUMMYFUNCTION("""COMPUTED_VALUE"""),0.0)</f>
        <v>0</v>
      </c>
      <c r="J195" s="29">
        <f>IFERROR(__xludf.DUMMYFUNCTION("""COMPUTED_VALUE"""),81.0)</f>
        <v>81</v>
      </c>
      <c r="K195" s="29">
        <f>IFERROR(__xludf.DUMMYFUNCTION("""COMPUTED_VALUE"""),18.0)</f>
        <v>18</v>
      </c>
      <c r="L195" s="31" t="str">
        <f>IFERROR(__xludf.DUMMYFUNCTION("""COMPUTED_VALUE"""),"RPG")</f>
        <v>RPG</v>
      </c>
    </row>
    <row r="196">
      <c r="A196" s="17" t="str">
        <f>IFERROR(__xludf.DUMMYFUNCTION("""COMPUTED_VALUE"""),"Solar Ash")</f>
        <v>Solar Ash</v>
      </c>
      <c r="B196" s="20" t="str">
        <f>IFERROR(__xludf.DUMMYFUNCTION("""COMPUTED_VALUE"""),"Xbox / PC")</f>
        <v>Xbox / PC</v>
      </c>
      <c r="C196" s="20" t="str">
        <f>IFERROR(__xludf.DUMMYFUNCTION("""COMPUTED_VALUE"""),"Yes")</f>
        <v>Yes</v>
      </c>
      <c r="D196" s="21" t="str">
        <f>IFERROR(__xludf.DUMMYFUNCTION("""COMPUTED_VALUE"""),"Removed")</f>
        <v>Removed</v>
      </c>
      <c r="E196" s="128">
        <f>IFERROR(__xludf.DUMMYFUNCTION("""COMPUTED_VALUE"""),45183.0)</f>
        <v>45183</v>
      </c>
      <c r="F196" s="24">
        <f>IFERROR(__xludf.DUMMYFUNCTION("""COMPUTED_VALUE"""),45731.0)</f>
        <v>45731</v>
      </c>
      <c r="G196" s="27">
        <f>IFERROR(__xludf.DUMMYFUNCTION("""COMPUTED_VALUE"""),18.03333333333333)</f>
        <v>18.03333333</v>
      </c>
      <c r="H196" s="128">
        <f>IFERROR(__xludf.DUMMYFUNCTION("""COMPUTED_VALUE"""),44532.0)</f>
        <v>44532</v>
      </c>
      <c r="I196" s="27">
        <f>IFERROR(__xludf.DUMMYFUNCTION("""COMPUTED_VALUE"""),1.7833333333333334)</f>
        <v>1.783333333</v>
      </c>
      <c r="J196" s="29">
        <f>IFERROR(__xludf.DUMMYFUNCTION("""COMPUTED_VALUE"""),78.0)</f>
        <v>78</v>
      </c>
      <c r="K196" s="29">
        <f>IFERROR(__xludf.DUMMYFUNCTION("""COMPUTED_VALUE"""),6.0)</f>
        <v>6</v>
      </c>
      <c r="L196" s="31" t="str">
        <f>IFERROR(__xludf.DUMMYFUNCTION("""COMPUTED_VALUE"""),"Action")</f>
        <v>Action</v>
      </c>
    </row>
    <row r="197">
      <c r="A197" s="17" t="str">
        <f>IFERROR(__xludf.DUMMYFUNCTION("""COMPUTED_VALUE"""),"Yakuza 6: The Song of Life")</f>
        <v>Yakuza 6: The Song of Life</v>
      </c>
      <c r="B197" s="20" t="str">
        <f>IFERROR(__xludf.DUMMYFUNCTION("""COMPUTED_VALUE"""),"Xbox / PC")</f>
        <v>Xbox / PC</v>
      </c>
      <c r="C197" s="20" t="str">
        <f>IFERROR(__xludf.DUMMYFUNCTION("""COMPUTED_VALUE"""),"Touch Controls")</f>
        <v>Touch Controls</v>
      </c>
      <c r="D197" s="21" t="str">
        <f>IFERROR(__xludf.DUMMYFUNCTION("""COMPUTED_VALUE"""),"Removed")</f>
        <v>Removed</v>
      </c>
      <c r="E197" s="128">
        <f>IFERROR(__xludf.DUMMYFUNCTION("""COMPUTED_VALUE"""),44280.0)</f>
        <v>44280</v>
      </c>
      <c r="F197" s="24">
        <f>IFERROR(__xludf.DUMMYFUNCTION("""COMPUTED_VALUE"""),45731.0)</f>
        <v>45731</v>
      </c>
      <c r="G197" s="27">
        <f>IFERROR(__xludf.DUMMYFUNCTION("""COMPUTED_VALUE"""),47.66666666666667)</f>
        <v>47.66666667</v>
      </c>
      <c r="H197" s="128">
        <f>IFERROR(__xludf.DUMMYFUNCTION("""COMPUTED_VALUE"""),42712.0)</f>
        <v>42712</v>
      </c>
      <c r="I197" s="27">
        <f>IFERROR(__xludf.DUMMYFUNCTION("""COMPUTED_VALUE"""),4.2972222222222225)</f>
        <v>4.297222222</v>
      </c>
      <c r="J197" s="29">
        <f>IFERROR(__xludf.DUMMYFUNCTION("""COMPUTED_VALUE"""),83.0)</f>
        <v>83</v>
      </c>
      <c r="K197" s="29">
        <f>IFERROR(__xludf.DUMMYFUNCTION("""COMPUTED_VALUE"""),19.0)</f>
        <v>19</v>
      </c>
      <c r="L197" s="31" t="str">
        <f>IFERROR(__xludf.DUMMYFUNCTION("""COMPUTED_VALUE"""),"RPG")</f>
        <v>RPG</v>
      </c>
    </row>
    <row r="198">
      <c r="A198" s="17" t="str">
        <f>IFERROR(__xludf.DUMMYFUNCTION("""COMPUTED_VALUE"""),"Yakuza 5: Remastered")</f>
        <v>Yakuza 5: Remastered</v>
      </c>
      <c r="B198" s="20" t="str">
        <f>IFERROR(__xludf.DUMMYFUNCTION("""COMPUTED_VALUE"""),"Xbox / PC")</f>
        <v>Xbox / PC</v>
      </c>
      <c r="C198" s="20" t="str">
        <f>IFERROR(__xludf.DUMMYFUNCTION("""COMPUTED_VALUE"""),"Touch Controls")</f>
        <v>Touch Controls</v>
      </c>
      <c r="D198" s="21" t="str">
        <f>IFERROR(__xludf.DUMMYFUNCTION("""COMPUTED_VALUE"""),"Removed")</f>
        <v>Removed</v>
      </c>
      <c r="E198" s="128">
        <f>IFERROR(__xludf.DUMMYFUNCTION("""COMPUTED_VALUE"""),44224.0)</f>
        <v>44224</v>
      </c>
      <c r="F198" s="24">
        <f>IFERROR(__xludf.DUMMYFUNCTION("""COMPUTED_VALUE"""),45731.0)</f>
        <v>45731</v>
      </c>
      <c r="G198" s="27">
        <f>IFERROR(__xludf.DUMMYFUNCTION("""COMPUTED_VALUE"""),49.56666666666666)</f>
        <v>49.56666667</v>
      </c>
      <c r="H198" s="128">
        <f>IFERROR(__xludf.DUMMYFUNCTION("""COMPUTED_VALUE"""),43872.0)</f>
        <v>43872</v>
      </c>
      <c r="I198" s="27">
        <f>IFERROR(__xludf.DUMMYFUNCTION("""COMPUTED_VALUE"""),0.9638888888888889)</f>
        <v>0.9638888889</v>
      </c>
      <c r="J198" s="29">
        <f>IFERROR(__xludf.DUMMYFUNCTION("""COMPUTED_VALUE"""),82.0)</f>
        <v>82</v>
      </c>
      <c r="K198" s="29">
        <f>IFERROR(__xludf.DUMMYFUNCTION("""COMPUTED_VALUE"""),38.5)</f>
        <v>38.5</v>
      </c>
      <c r="L198" s="31" t="str">
        <f>IFERROR(__xludf.DUMMYFUNCTION("""COMPUTED_VALUE"""),"RPG")</f>
        <v>RPG</v>
      </c>
    </row>
    <row r="199">
      <c r="A199" s="17" t="str">
        <f>IFERROR(__xludf.DUMMYFUNCTION("""COMPUTED_VALUE"""),"Warhammer 40,000: Boltgun")</f>
        <v>Warhammer 40,000: Boltgun</v>
      </c>
      <c r="B199" s="20" t="str">
        <f>IFERROR(__xludf.DUMMYFUNCTION("""COMPUTED_VALUE"""),"Xbox / PC")</f>
        <v>Xbox / PC</v>
      </c>
      <c r="C199" s="20" t="str">
        <f>IFERROR(__xludf.DUMMYFUNCTION("""COMPUTED_VALUE"""),"Yes")</f>
        <v>Yes</v>
      </c>
      <c r="D199" s="21" t="str">
        <f>IFERROR(__xludf.DUMMYFUNCTION("""COMPUTED_VALUE"""),"Removed")</f>
        <v>Removed</v>
      </c>
      <c r="E199" s="128">
        <f>IFERROR(__xludf.DUMMYFUNCTION("""COMPUTED_VALUE"""),45356.0)</f>
        <v>45356</v>
      </c>
      <c r="F199" s="24">
        <f>IFERROR(__xludf.DUMMYFUNCTION("""COMPUTED_VALUE"""),45716.0)</f>
        <v>45716</v>
      </c>
      <c r="G199" s="27">
        <f>IFERROR(__xludf.DUMMYFUNCTION("""COMPUTED_VALUE"""),11.766666666666666)</f>
        <v>11.76666667</v>
      </c>
      <c r="H199" s="128">
        <f>IFERROR(__xludf.DUMMYFUNCTION("""COMPUTED_VALUE"""),45069.0)</f>
        <v>45069</v>
      </c>
      <c r="I199" s="27">
        <f>IFERROR(__xludf.DUMMYFUNCTION("""COMPUTED_VALUE"""),0.7833333333333333)</f>
        <v>0.7833333333</v>
      </c>
      <c r="J199" s="29">
        <f>IFERROR(__xludf.DUMMYFUNCTION("""COMPUTED_VALUE"""),75.0)</f>
        <v>75</v>
      </c>
      <c r="K199" s="29">
        <f>IFERROR(__xludf.DUMMYFUNCTION("""COMPUTED_VALUE"""),10.0)</f>
        <v>10</v>
      </c>
      <c r="L199" s="31" t="str">
        <f>IFERROR(__xludf.DUMMYFUNCTION("""COMPUTED_VALUE"""),"Shooter")</f>
        <v>Shooter</v>
      </c>
    </row>
    <row r="200">
      <c r="A200" s="17" t="str">
        <f>IFERROR(__xludf.DUMMYFUNCTION("""COMPUTED_VALUE"""),"Space Engineers")</f>
        <v>Space Engineers</v>
      </c>
      <c r="B200" s="20" t="str">
        <f>IFERROR(__xludf.DUMMYFUNCTION("""COMPUTED_VALUE"""),"Xbox / PC")</f>
        <v>Xbox / PC</v>
      </c>
      <c r="C200" s="20" t="str">
        <f>IFERROR(__xludf.DUMMYFUNCTION("""COMPUTED_VALUE"""),"Yes")</f>
        <v>Yes</v>
      </c>
      <c r="D200" s="21" t="str">
        <f>IFERROR(__xludf.DUMMYFUNCTION("""COMPUTED_VALUE"""),"Removed")</f>
        <v>Removed</v>
      </c>
      <c r="E200" s="128">
        <f>IFERROR(__xludf.DUMMYFUNCTION("""COMPUTED_VALUE"""),45351.0)</f>
        <v>45351</v>
      </c>
      <c r="F200" s="24">
        <f>IFERROR(__xludf.DUMMYFUNCTION("""COMPUTED_VALUE"""),45716.0)</f>
        <v>45716</v>
      </c>
      <c r="G200" s="27">
        <f>IFERROR(__xludf.DUMMYFUNCTION("""COMPUTED_VALUE"""),11.966666666666667)</f>
        <v>11.96666667</v>
      </c>
      <c r="H200" s="128">
        <f>IFERROR(__xludf.DUMMYFUNCTION("""COMPUTED_VALUE"""),43936.0)</f>
        <v>43936</v>
      </c>
      <c r="I200" s="27">
        <f>IFERROR(__xludf.DUMMYFUNCTION("""COMPUTED_VALUE"""),3.8722222222222222)</f>
        <v>3.872222222</v>
      </c>
      <c r="J200" s="29">
        <f>IFERROR(__xludf.DUMMYFUNCTION("""COMPUTED_VALUE"""),68.0)</f>
        <v>68</v>
      </c>
      <c r="K200" s="29">
        <f>IFERROR(__xludf.DUMMYFUNCTION("""COMPUTED_VALUE"""),20.0)</f>
        <v>20</v>
      </c>
      <c r="L200" s="31" t="str">
        <f>IFERROR(__xludf.DUMMYFUNCTION("""COMPUTED_VALUE"""),"Sandbox")</f>
        <v>Sandbox</v>
      </c>
    </row>
    <row r="201">
      <c r="A201" s="17" t="str">
        <f>IFERROR(__xludf.DUMMYFUNCTION("""COMPUTED_VALUE"""),"Maneater")</f>
        <v>Maneater</v>
      </c>
      <c r="B201" s="20" t="str">
        <f>IFERROR(__xludf.DUMMYFUNCTION("""COMPUTED_VALUE"""),"Xbox / PC")</f>
        <v>Xbox / PC</v>
      </c>
      <c r="C201" s="20" t="str">
        <f>IFERROR(__xludf.DUMMYFUNCTION("""COMPUTED_VALUE"""),"Yes")</f>
        <v>Yes</v>
      </c>
      <c r="D201" s="21" t="str">
        <f>IFERROR(__xludf.DUMMYFUNCTION("""COMPUTED_VALUE"""),"Removed")</f>
        <v>Removed</v>
      </c>
      <c r="E201" s="128">
        <f>IFERROR(__xludf.DUMMYFUNCTION("""COMPUTED_VALUE"""),45349.0)</f>
        <v>45349</v>
      </c>
      <c r="F201" s="24">
        <f>IFERROR(__xludf.DUMMYFUNCTION("""COMPUTED_VALUE"""),45716.0)</f>
        <v>45716</v>
      </c>
      <c r="G201" s="27">
        <f>IFERROR(__xludf.DUMMYFUNCTION("""COMPUTED_VALUE"""),12.033333333333333)</f>
        <v>12.03333333</v>
      </c>
      <c r="H201" s="128">
        <f>IFERROR(__xludf.DUMMYFUNCTION("""COMPUTED_VALUE"""),43973.0)</f>
        <v>43973</v>
      </c>
      <c r="I201" s="27">
        <f>IFERROR(__xludf.DUMMYFUNCTION("""COMPUTED_VALUE"""),3.763888888888889)</f>
        <v>3.763888889</v>
      </c>
      <c r="J201" s="29">
        <f>IFERROR(__xludf.DUMMYFUNCTION("""COMPUTED_VALUE"""),70.5)</f>
        <v>70.5</v>
      </c>
      <c r="K201" s="29">
        <f>IFERROR(__xludf.DUMMYFUNCTION("""COMPUTED_VALUE"""),8.0)</f>
        <v>8</v>
      </c>
      <c r="L201" s="31" t="str">
        <f>IFERROR(__xludf.DUMMYFUNCTION("""COMPUTED_VALUE"""),"RPG")</f>
        <v>RPG</v>
      </c>
    </row>
    <row r="202">
      <c r="A202" s="17" t="str">
        <f>IFERROR(__xludf.DUMMYFUNCTION("""COMPUTED_VALUE"""),"GRIS")</f>
        <v>GRIS</v>
      </c>
      <c r="B202" s="20" t="str">
        <f>IFERROR(__xludf.DUMMYFUNCTION("""COMPUTED_VALUE"""),"Xbox / PC")</f>
        <v>Xbox / PC</v>
      </c>
      <c r="C202" s="20" t="str">
        <f>IFERROR(__xludf.DUMMYFUNCTION("""COMPUTED_VALUE"""),"Yes")</f>
        <v>Yes</v>
      </c>
      <c r="D202" s="21" t="str">
        <f>IFERROR(__xludf.DUMMYFUNCTION("""COMPUTED_VALUE"""),"Removed")</f>
        <v>Removed</v>
      </c>
      <c r="E202" s="128">
        <f>IFERROR(__xludf.DUMMYFUNCTION("""COMPUTED_VALUE"""),45174.0)</f>
        <v>45174</v>
      </c>
      <c r="F202" s="24">
        <f>IFERROR(__xludf.DUMMYFUNCTION("""COMPUTED_VALUE"""),45716.0)</f>
        <v>45716</v>
      </c>
      <c r="G202" s="27">
        <f>IFERROR(__xludf.DUMMYFUNCTION("""COMPUTED_VALUE"""),17.766666666666666)</f>
        <v>17.76666667</v>
      </c>
      <c r="H202" s="128">
        <f>IFERROR(__xludf.DUMMYFUNCTION("""COMPUTED_VALUE"""),43465.0)</f>
        <v>43465</v>
      </c>
      <c r="I202" s="27">
        <f>IFERROR(__xludf.DUMMYFUNCTION("""COMPUTED_VALUE"""),4.680555555555555)</f>
        <v>4.680555556</v>
      </c>
      <c r="J202" s="29">
        <f>IFERROR(__xludf.DUMMYFUNCTION("""COMPUTED_VALUE"""),84.0)</f>
        <v>84</v>
      </c>
      <c r="K202" s="29">
        <f>IFERROR(__xludf.DUMMYFUNCTION("""COMPUTED_VALUE"""),3.5)</f>
        <v>3.5</v>
      </c>
      <c r="L202" s="31" t="str">
        <f>IFERROR(__xludf.DUMMYFUNCTION("""COMPUTED_VALUE"""),"Platformer")</f>
        <v>Platformer</v>
      </c>
    </row>
    <row r="203">
      <c r="A203" s="17" t="str">
        <f>IFERROR(__xludf.DUMMYFUNCTION("""COMPUTED_VALUE"""),"Yakuza 3: Remastered")</f>
        <v>Yakuza 3: Remastered</v>
      </c>
      <c r="B203" s="20" t="str">
        <f>IFERROR(__xludf.DUMMYFUNCTION("""COMPUTED_VALUE"""),"Xbox / PC")</f>
        <v>Xbox / PC</v>
      </c>
      <c r="C203" s="20" t="str">
        <f>IFERROR(__xludf.DUMMYFUNCTION("""COMPUTED_VALUE"""),"Touch Controls")</f>
        <v>Touch Controls</v>
      </c>
      <c r="D203" s="21" t="str">
        <f>IFERROR(__xludf.DUMMYFUNCTION("""COMPUTED_VALUE"""),"Removed")</f>
        <v>Removed</v>
      </c>
      <c r="E203" s="128">
        <f>IFERROR(__xludf.DUMMYFUNCTION("""COMPUTED_VALUE"""),44224.0)</f>
        <v>44224</v>
      </c>
      <c r="F203" s="24">
        <f>IFERROR(__xludf.DUMMYFUNCTION("""COMPUTED_VALUE"""),45716.0)</f>
        <v>45716</v>
      </c>
      <c r="G203" s="27">
        <f>IFERROR(__xludf.DUMMYFUNCTION("""COMPUTED_VALUE"""),49.0)</f>
        <v>49</v>
      </c>
      <c r="H203" s="128">
        <f>IFERROR(__xludf.DUMMYFUNCTION("""COMPUTED_VALUE"""),43697.0)</f>
        <v>43697</v>
      </c>
      <c r="I203" s="27">
        <f>IFERROR(__xludf.DUMMYFUNCTION("""COMPUTED_VALUE"""),1.4388888888888889)</f>
        <v>1.438888889</v>
      </c>
      <c r="J203" s="29">
        <f>IFERROR(__xludf.DUMMYFUNCTION("""COMPUTED_VALUE"""),77.0)</f>
        <v>77</v>
      </c>
      <c r="K203" s="29">
        <f>IFERROR(__xludf.DUMMYFUNCTION("""COMPUTED_VALUE"""),17.5)</f>
        <v>17.5</v>
      </c>
      <c r="L203" s="31" t="str">
        <f>IFERROR(__xludf.DUMMYFUNCTION("""COMPUTED_VALUE"""),"RPG")</f>
        <v>RPG</v>
      </c>
    </row>
    <row r="204">
      <c r="A204" s="17" t="str">
        <f>IFERROR(__xludf.DUMMYFUNCTION("""COMPUTED_VALUE"""),"Yakuza 4: Remastered")</f>
        <v>Yakuza 4: Remastered</v>
      </c>
      <c r="B204" s="20" t="str">
        <f>IFERROR(__xludf.DUMMYFUNCTION("""COMPUTED_VALUE"""),"Xbox / PC")</f>
        <v>Xbox / PC</v>
      </c>
      <c r="C204" s="20" t="str">
        <f>IFERROR(__xludf.DUMMYFUNCTION("""COMPUTED_VALUE"""),"Touch Controls")</f>
        <v>Touch Controls</v>
      </c>
      <c r="D204" s="21" t="str">
        <f>IFERROR(__xludf.DUMMYFUNCTION("""COMPUTED_VALUE"""),"Removed")</f>
        <v>Removed</v>
      </c>
      <c r="E204" s="128">
        <f>IFERROR(__xludf.DUMMYFUNCTION("""COMPUTED_VALUE"""),44224.0)</f>
        <v>44224</v>
      </c>
      <c r="F204" s="24">
        <f>IFERROR(__xludf.DUMMYFUNCTION("""COMPUTED_VALUE"""),45716.0)</f>
        <v>45716</v>
      </c>
      <c r="G204" s="27">
        <f>IFERROR(__xludf.DUMMYFUNCTION("""COMPUTED_VALUE"""),49.0)</f>
        <v>49</v>
      </c>
      <c r="H204" s="128">
        <f>IFERROR(__xludf.DUMMYFUNCTION("""COMPUTED_VALUE"""),43767.0)</f>
        <v>43767</v>
      </c>
      <c r="I204" s="27">
        <f>IFERROR(__xludf.DUMMYFUNCTION("""COMPUTED_VALUE"""),1.2472222222222222)</f>
        <v>1.247222222</v>
      </c>
      <c r="J204" s="29">
        <f>IFERROR(__xludf.DUMMYFUNCTION("""COMPUTED_VALUE"""),78.0)</f>
        <v>78</v>
      </c>
      <c r="K204" s="29">
        <f>IFERROR(__xludf.DUMMYFUNCTION("""COMPUTED_VALUE"""),22.5)</f>
        <v>22.5</v>
      </c>
      <c r="L204" s="31" t="str">
        <f>IFERROR(__xludf.DUMMYFUNCTION("""COMPUTED_VALUE"""),"RPG")</f>
        <v>RPG</v>
      </c>
    </row>
    <row r="205">
      <c r="A205" s="17" t="str">
        <f>IFERROR(__xludf.DUMMYFUNCTION("""COMPUTED_VALUE"""),"F1 22")</f>
        <v>F1 22</v>
      </c>
      <c r="B205" s="20" t="str">
        <f>IFERROR(__xludf.DUMMYFUNCTION("""COMPUTED_VALUE"""),"Xbox / PC")</f>
        <v>Xbox / PC</v>
      </c>
      <c r="C205" s="20"/>
      <c r="D205" s="21" t="str">
        <f>IFERROR(__xludf.DUMMYFUNCTION("""COMPUTED_VALUE"""),"Removed")</f>
        <v>Removed</v>
      </c>
      <c r="E205" s="128">
        <f>IFERROR(__xludf.DUMMYFUNCTION("""COMPUTED_VALUE"""),44987.0)</f>
        <v>44987</v>
      </c>
      <c r="F205" s="24">
        <f>IFERROR(__xludf.DUMMYFUNCTION("""COMPUTED_VALUE"""),45716.0)</f>
        <v>45716</v>
      </c>
      <c r="G205" s="27">
        <f>IFERROR(__xludf.DUMMYFUNCTION("""COMPUTED_VALUE"""),23.866666666666667)</f>
        <v>23.86666667</v>
      </c>
      <c r="H205" s="128">
        <f>IFERROR(__xludf.DUMMYFUNCTION("""COMPUTED_VALUE"""),44740.0)</f>
        <v>44740</v>
      </c>
      <c r="I205" s="27">
        <f>IFERROR(__xludf.DUMMYFUNCTION("""COMPUTED_VALUE"""),0.6777777777777778)</f>
        <v>0.6777777778</v>
      </c>
      <c r="J205" s="29">
        <f>IFERROR(__xludf.DUMMYFUNCTION("""COMPUTED_VALUE"""),81.0)</f>
        <v>81</v>
      </c>
      <c r="K205" s="29">
        <f>IFERROR(__xludf.DUMMYFUNCTION("""COMPUTED_VALUE"""),23.0)</f>
        <v>23</v>
      </c>
      <c r="L205" s="31" t="str">
        <f>IFERROR(__xludf.DUMMYFUNCTION("""COMPUTED_VALUE"""),"Racing")</f>
        <v>Racing</v>
      </c>
    </row>
    <row r="206">
      <c r="A206" s="17" t="str">
        <f>IFERROR(__xludf.DUMMYFUNCTION("""COMPUTED_VALUE"""),"Indivisible")</f>
        <v>Indivisible</v>
      </c>
      <c r="B206" s="20" t="str">
        <f>IFERROR(__xludf.DUMMYFUNCTION("""COMPUTED_VALUE"""),"Xbox / PC")</f>
        <v>Xbox / PC</v>
      </c>
      <c r="C206" s="20" t="str">
        <f>IFERROR(__xludf.DUMMYFUNCTION("""COMPUTED_VALUE"""),"Yes")</f>
        <v>Yes</v>
      </c>
      <c r="D206" s="21" t="str">
        <f>IFERROR(__xludf.DUMMYFUNCTION("""COMPUTED_VALUE"""),"Removed")</f>
        <v>Removed</v>
      </c>
      <c r="E206" s="128">
        <f>IFERROR(__xludf.DUMMYFUNCTION("""COMPUTED_VALUE"""),45350.0)</f>
        <v>45350</v>
      </c>
      <c r="F206" s="24">
        <f>IFERROR(__xludf.DUMMYFUNCTION("""COMPUTED_VALUE"""),45703.0)</f>
        <v>45703</v>
      </c>
      <c r="G206" s="27">
        <f>IFERROR(__xludf.DUMMYFUNCTION("""COMPUTED_VALUE"""),11.566666666666666)</f>
        <v>11.56666667</v>
      </c>
      <c r="H206" s="128">
        <f>IFERROR(__xludf.DUMMYFUNCTION("""COMPUTED_VALUE"""),43746.0)</f>
        <v>43746</v>
      </c>
      <c r="I206" s="27">
        <f>IFERROR(__xludf.DUMMYFUNCTION("""COMPUTED_VALUE"""),4.388888888888889)</f>
        <v>4.388888889</v>
      </c>
      <c r="J206" s="29">
        <f>IFERROR(__xludf.DUMMYFUNCTION("""COMPUTED_VALUE"""),82.0)</f>
        <v>82</v>
      </c>
      <c r="K206" s="29">
        <f>IFERROR(__xludf.DUMMYFUNCTION("""COMPUTED_VALUE"""),18.5)</f>
        <v>18.5</v>
      </c>
      <c r="L206" s="31" t="str">
        <f>IFERROR(__xludf.DUMMYFUNCTION("""COMPUTED_VALUE"""),"RPG")</f>
        <v>RPG</v>
      </c>
    </row>
    <row r="207">
      <c r="A207" s="17" t="str">
        <f>IFERROR(__xludf.DUMMYFUNCTION("""COMPUTED_VALUE"""),"Return to Grace")</f>
        <v>Return to Grace</v>
      </c>
      <c r="B207" s="20" t="str">
        <f>IFERROR(__xludf.DUMMYFUNCTION("""COMPUTED_VALUE"""),"Xbox / PC")</f>
        <v>Xbox / PC</v>
      </c>
      <c r="C207" s="20" t="str">
        <f>IFERROR(__xludf.DUMMYFUNCTION("""COMPUTED_VALUE"""),"Yes")</f>
        <v>Yes</v>
      </c>
      <c r="D207" s="21" t="str">
        <f>IFERROR(__xludf.DUMMYFUNCTION("""COMPUTED_VALUE"""),"Removed")</f>
        <v>Removed</v>
      </c>
      <c r="E207" s="128">
        <f>IFERROR(__xludf.DUMMYFUNCTION("""COMPUTED_VALUE"""),45342.0)</f>
        <v>45342</v>
      </c>
      <c r="F207" s="24">
        <f>IFERROR(__xludf.DUMMYFUNCTION("""COMPUTED_VALUE"""),45703.0)</f>
        <v>45703</v>
      </c>
      <c r="G207" s="27">
        <f>IFERROR(__xludf.DUMMYFUNCTION("""COMPUTED_VALUE"""),11.833333333333334)</f>
        <v>11.83333333</v>
      </c>
      <c r="H207" s="128">
        <f>IFERROR(__xludf.DUMMYFUNCTION("""COMPUTED_VALUE"""),45076.0)</f>
        <v>45076</v>
      </c>
      <c r="I207" s="27">
        <f>IFERROR(__xludf.DUMMYFUNCTION("""COMPUTED_VALUE"""),0.7222222222222222)</f>
        <v>0.7222222222</v>
      </c>
      <c r="J207" s="29">
        <f>IFERROR(__xludf.DUMMYFUNCTION("""COMPUTED_VALUE"""),79.0)</f>
        <v>79</v>
      </c>
      <c r="K207" s="29">
        <f>IFERROR(__xludf.DUMMYFUNCTION("""COMPUTED_VALUE"""),3.0)</f>
        <v>3</v>
      </c>
      <c r="L207" s="31" t="str">
        <f>IFERROR(__xludf.DUMMYFUNCTION("""COMPUTED_VALUE"""),"Adventure")</f>
        <v>Adventure</v>
      </c>
    </row>
    <row r="208">
      <c r="A208" s="17" t="str">
        <f>IFERROR(__xludf.DUMMYFUNCTION("""COMPUTED_VALUE"""),"Tales of Arise")</f>
        <v>Tales of Arise</v>
      </c>
      <c r="B208" s="20" t="str">
        <f>IFERROR(__xludf.DUMMYFUNCTION("""COMPUTED_VALUE"""),"Xbox / PC")</f>
        <v>Xbox / PC</v>
      </c>
      <c r="C208" s="20" t="str">
        <f>IFERROR(__xludf.DUMMYFUNCTION("""COMPUTED_VALUE"""),"Yes")</f>
        <v>Yes</v>
      </c>
      <c r="D208" s="21" t="str">
        <f>IFERROR(__xludf.DUMMYFUNCTION("""COMPUTED_VALUE"""),"Removed")</f>
        <v>Removed</v>
      </c>
      <c r="E208" s="128">
        <f>IFERROR(__xludf.DUMMYFUNCTION("""COMPUTED_VALUE"""),45342.0)</f>
        <v>45342</v>
      </c>
      <c r="F208" s="24">
        <f>IFERROR(__xludf.DUMMYFUNCTION("""COMPUTED_VALUE"""),45703.0)</f>
        <v>45703</v>
      </c>
      <c r="G208" s="27">
        <f>IFERROR(__xludf.DUMMYFUNCTION("""COMPUTED_VALUE"""),11.833333333333334)</f>
        <v>11.83333333</v>
      </c>
      <c r="H208" s="128">
        <f>IFERROR(__xludf.DUMMYFUNCTION("""COMPUTED_VALUE"""),44449.0)</f>
        <v>44449</v>
      </c>
      <c r="I208" s="27">
        <f>IFERROR(__xludf.DUMMYFUNCTION("""COMPUTED_VALUE"""),2.4444444444444446)</f>
        <v>2.444444444</v>
      </c>
      <c r="J208" s="29">
        <f>IFERROR(__xludf.DUMMYFUNCTION("""COMPUTED_VALUE"""),87.0)</f>
        <v>87</v>
      </c>
      <c r="K208" s="29">
        <f>IFERROR(__xludf.DUMMYFUNCTION("""COMPUTED_VALUE"""),41.0)</f>
        <v>41</v>
      </c>
      <c r="L208" s="31" t="str">
        <f>IFERROR(__xludf.DUMMYFUNCTION("""COMPUTED_VALUE"""),"RPG")</f>
        <v>RPG</v>
      </c>
    </row>
    <row r="209">
      <c r="A209" s="17" t="str">
        <f>IFERROR(__xludf.DUMMYFUNCTION("""COMPUTED_VALUE"""),"A Little to the Left")</f>
        <v>A Little to the Left</v>
      </c>
      <c r="B209" s="20" t="str">
        <f>IFERROR(__xludf.DUMMYFUNCTION("""COMPUTED_VALUE"""),"Xbox / PC")</f>
        <v>Xbox / PC</v>
      </c>
      <c r="C209" s="20" t="str">
        <f>IFERROR(__xludf.DUMMYFUNCTION("""COMPUTED_VALUE"""),"Yes")</f>
        <v>Yes</v>
      </c>
      <c r="D209" s="21" t="str">
        <f>IFERROR(__xludf.DUMMYFUNCTION("""COMPUTED_VALUE"""),"Removed")</f>
        <v>Removed</v>
      </c>
      <c r="E209" s="128">
        <f>IFERROR(__xludf.DUMMYFUNCTION("""COMPUTED_VALUE"""),45336.0)</f>
        <v>45336</v>
      </c>
      <c r="F209" s="24">
        <f>IFERROR(__xludf.DUMMYFUNCTION("""COMPUTED_VALUE"""),45703.0)</f>
        <v>45703</v>
      </c>
      <c r="G209" s="27">
        <f>IFERROR(__xludf.DUMMYFUNCTION("""COMPUTED_VALUE"""),12.033333333333333)</f>
        <v>12.03333333</v>
      </c>
      <c r="H209" s="128">
        <f>IFERROR(__xludf.DUMMYFUNCTION("""COMPUTED_VALUE"""),44873.0)</f>
        <v>44873</v>
      </c>
      <c r="I209" s="27">
        <f>IFERROR(__xludf.DUMMYFUNCTION("""COMPUTED_VALUE"""),1.2666666666666666)</f>
        <v>1.266666667</v>
      </c>
      <c r="J209" s="29">
        <f>IFERROR(__xludf.DUMMYFUNCTION("""COMPUTED_VALUE"""),75.0)</f>
        <v>75</v>
      </c>
      <c r="K209" s="29">
        <f>IFERROR(__xludf.DUMMYFUNCTION("""COMPUTED_VALUE"""),4.0)</f>
        <v>4</v>
      </c>
      <c r="L209" s="31" t="str">
        <f>IFERROR(__xludf.DUMMYFUNCTION("""COMPUTED_VALUE"""),"Puzzle")</f>
        <v>Puzzle</v>
      </c>
    </row>
    <row r="210">
      <c r="A210" s="17" t="str">
        <f>IFERROR(__xludf.DUMMYFUNCTION("""COMPUTED_VALUE"""),"Bloodstained: Ritual of the Night")</f>
        <v>Bloodstained: Ritual of the Night</v>
      </c>
      <c r="B210" s="20" t="str">
        <f>IFERROR(__xludf.DUMMYFUNCTION("""COMPUTED_VALUE"""),"Xbox / PC")</f>
        <v>Xbox / PC</v>
      </c>
      <c r="C210" s="20" t="str">
        <f>IFERROR(__xludf.DUMMYFUNCTION("""COMPUTED_VALUE"""),"Yes")</f>
        <v>Yes</v>
      </c>
      <c r="D210" s="21" t="str">
        <f>IFERROR(__xludf.DUMMYFUNCTION("""COMPUTED_VALUE"""),"Removed")</f>
        <v>Removed</v>
      </c>
      <c r="E210" s="128">
        <f>IFERROR(__xludf.DUMMYFUNCTION("""COMPUTED_VALUE"""),45336.0)</f>
        <v>45336</v>
      </c>
      <c r="F210" s="24">
        <f>IFERROR(__xludf.DUMMYFUNCTION("""COMPUTED_VALUE"""),45703.0)</f>
        <v>45703</v>
      </c>
      <c r="G210" s="27">
        <f>IFERROR(__xludf.DUMMYFUNCTION("""COMPUTED_VALUE"""),12.033333333333333)</f>
        <v>12.03333333</v>
      </c>
      <c r="H210" s="128">
        <f>IFERROR(__xludf.DUMMYFUNCTION("""COMPUTED_VALUE"""),43634.0)</f>
        <v>43634</v>
      </c>
      <c r="I210" s="27">
        <f>IFERROR(__xludf.DUMMYFUNCTION("""COMPUTED_VALUE"""),4.655555555555556)</f>
        <v>4.655555556</v>
      </c>
      <c r="J210" s="29">
        <f>IFERROR(__xludf.DUMMYFUNCTION("""COMPUTED_VALUE"""),84.0)</f>
        <v>84</v>
      </c>
      <c r="K210" s="29">
        <f>IFERROR(__xludf.DUMMYFUNCTION("""COMPUTED_VALUE"""),13.5)</f>
        <v>13.5</v>
      </c>
      <c r="L210" s="31" t="str">
        <f>IFERROR(__xludf.DUMMYFUNCTION("""COMPUTED_VALUE"""),"Platformer")</f>
        <v>Platformer</v>
      </c>
    </row>
    <row r="211">
      <c r="A211" s="17" t="str">
        <f>IFERROR(__xludf.DUMMYFUNCTION("""COMPUTED_VALUE"""),"Merge &amp; Blade")</f>
        <v>Merge &amp; Blade</v>
      </c>
      <c r="B211" s="20" t="str">
        <f>IFERROR(__xludf.DUMMYFUNCTION("""COMPUTED_VALUE"""),"Xbox / PC")</f>
        <v>Xbox / PC</v>
      </c>
      <c r="C211" s="20" t="str">
        <f>IFERROR(__xludf.DUMMYFUNCTION("""COMPUTED_VALUE"""),"Yes")</f>
        <v>Yes</v>
      </c>
      <c r="D211" s="21" t="str">
        <f>IFERROR(__xludf.DUMMYFUNCTION("""COMPUTED_VALUE"""),"Removed")</f>
        <v>Removed</v>
      </c>
      <c r="E211" s="128">
        <f>IFERROR(__xludf.DUMMYFUNCTION("""COMPUTED_VALUE"""),44985.0)</f>
        <v>44985</v>
      </c>
      <c r="F211" s="24">
        <f>IFERROR(__xludf.DUMMYFUNCTION("""COMPUTED_VALUE"""),45703.0)</f>
        <v>45703</v>
      </c>
      <c r="G211" s="27">
        <f>IFERROR(__xludf.DUMMYFUNCTION("""COMPUTED_VALUE"""),23.566666666666666)</f>
        <v>23.56666667</v>
      </c>
      <c r="H211" s="128">
        <f>IFERROR(__xludf.DUMMYFUNCTION("""COMPUTED_VALUE"""),44985.0)</f>
        <v>44985</v>
      </c>
      <c r="I211" s="27">
        <f>IFERROR(__xludf.DUMMYFUNCTION("""COMPUTED_VALUE"""),0.0)</f>
        <v>0</v>
      </c>
      <c r="J211" s="29">
        <f>IFERROR(__xludf.DUMMYFUNCTION("""COMPUTED_VALUE"""),70.0)</f>
        <v>70</v>
      </c>
      <c r="K211" s="29">
        <f>IFERROR(__xludf.DUMMYFUNCTION("""COMPUTED_VALUE"""),8.0)</f>
        <v>8</v>
      </c>
      <c r="L211" s="31" t="str">
        <f>IFERROR(__xludf.DUMMYFUNCTION("""COMPUTED_VALUE"""),"Puzzle")</f>
        <v>Puzzle</v>
      </c>
    </row>
    <row r="212">
      <c r="A212" s="17" t="str">
        <f>IFERROR(__xludf.DUMMYFUNCTION("""COMPUTED_VALUE"""),"Madden NFL 23")</f>
        <v>Madden NFL 23</v>
      </c>
      <c r="B212" s="20" t="str">
        <f>IFERROR(__xludf.DUMMYFUNCTION("""COMPUTED_VALUE"""),"Xbox / PC")</f>
        <v>Xbox / PC</v>
      </c>
      <c r="C212" s="20"/>
      <c r="D212" s="21" t="str">
        <f>IFERROR(__xludf.DUMMYFUNCTION("""COMPUTED_VALUE"""),"Removed")</f>
        <v>Removed</v>
      </c>
      <c r="E212" s="128">
        <f>IFERROR(__xludf.DUMMYFUNCTION("""COMPUTED_VALUE"""),44966.0)</f>
        <v>44966</v>
      </c>
      <c r="F212" s="24">
        <f>IFERROR(__xludf.DUMMYFUNCTION("""COMPUTED_VALUE"""),45703.0)</f>
        <v>45703</v>
      </c>
      <c r="G212" s="27">
        <f>IFERROR(__xludf.DUMMYFUNCTION("""COMPUTED_VALUE"""),24.2)</f>
        <v>24.2</v>
      </c>
      <c r="H212" s="128">
        <f>IFERROR(__xludf.DUMMYFUNCTION("""COMPUTED_VALUE"""),44791.0)</f>
        <v>44791</v>
      </c>
      <c r="I212" s="27">
        <f>IFERROR(__xludf.DUMMYFUNCTION("""COMPUTED_VALUE"""),0.475)</f>
        <v>0.475</v>
      </c>
      <c r="J212" s="29">
        <f>IFERROR(__xludf.DUMMYFUNCTION("""COMPUTED_VALUE"""),69.0)</f>
        <v>69</v>
      </c>
      <c r="K212" s="29">
        <f>IFERROR(__xludf.DUMMYFUNCTION("""COMPUTED_VALUE"""),28.0)</f>
        <v>28</v>
      </c>
      <c r="L212" s="31" t="str">
        <f>IFERROR(__xludf.DUMMYFUNCTION("""COMPUTED_VALUE"""),"Sports")</f>
        <v>Sports</v>
      </c>
    </row>
    <row r="213">
      <c r="A213" s="17" t="str">
        <f>IFERROR(__xludf.DUMMYFUNCTION("""COMPUTED_VALUE"""),"EA Sports UFC 3")</f>
        <v>EA Sports UFC 3</v>
      </c>
      <c r="B213" s="20" t="str">
        <f>IFERROR(__xludf.DUMMYFUNCTION("""COMPUTED_VALUE"""),"Xbox")</f>
        <v>Xbox</v>
      </c>
      <c r="C213" s="20"/>
      <c r="D213" s="21" t="str">
        <f>IFERROR(__xludf.DUMMYFUNCTION("""COMPUTED_VALUE"""),"Removed")</f>
        <v>Removed</v>
      </c>
      <c r="E213" s="128">
        <f>IFERROR(__xludf.DUMMYFUNCTION("""COMPUTED_VALUE"""),44145.0)</f>
        <v>44145</v>
      </c>
      <c r="F213" s="24">
        <f>IFERROR(__xludf.DUMMYFUNCTION("""COMPUTED_VALUE"""),45703.0)</f>
        <v>45703</v>
      </c>
      <c r="G213" s="27">
        <f>IFERROR(__xludf.DUMMYFUNCTION("""COMPUTED_VALUE"""),51.16666666666667)</f>
        <v>51.16666667</v>
      </c>
      <c r="H213" s="128">
        <f>IFERROR(__xludf.DUMMYFUNCTION("""COMPUTED_VALUE"""),43133.0)</f>
        <v>43133</v>
      </c>
      <c r="I213" s="27">
        <f>IFERROR(__xludf.DUMMYFUNCTION("""COMPUTED_VALUE"""),2.772222222222222)</f>
        <v>2.772222222</v>
      </c>
      <c r="J213" s="29">
        <f>IFERROR(__xludf.DUMMYFUNCTION("""COMPUTED_VALUE"""),77.0)</f>
        <v>77</v>
      </c>
      <c r="K213" s="29">
        <f>IFERROR(__xludf.DUMMYFUNCTION("""COMPUTED_VALUE"""),9.0)</f>
        <v>9</v>
      </c>
      <c r="L213" s="31" t="str">
        <f>IFERROR(__xludf.DUMMYFUNCTION("""COMPUTED_VALUE"""),"Sports")</f>
        <v>Sports</v>
      </c>
    </row>
    <row r="214">
      <c r="A214" s="17" t="str">
        <f>IFERROR(__xludf.DUMMYFUNCTION("""COMPUTED_VALUE"""),"Anuchard")</f>
        <v>Anuchard</v>
      </c>
      <c r="B214" s="20" t="str">
        <f>IFERROR(__xludf.DUMMYFUNCTION("""COMPUTED_VALUE"""),"Xbox / PC")</f>
        <v>Xbox / PC</v>
      </c>
      <c r="C214" s="20" t="str">
        <f>IFERROR(__xludf.DUMMYFUNCTION("""COMPUTED_VALUE"""),"Yes")</f>
        <v>Yes</v>
      </c>
      <c r="D214" s="21" t="str">
        <f>IFERROR(__xludf.DUMMYFUNCTION("""COMPUTED_VALUE"""),"Removed")</f>
        <v>Removed</v>
      </c>
      <c r="E214" s="128">
        <f>IFERROR(__xludf.DUMMYFUNCTION("""COMPUTED_VALUE"""),45328.0)</f>
        <v>45328</v>
      </c>
      <c r="F214" s="24">
        <f>IFERROR(__xludf.DUMMYFUNCTION("""COMPUTED_VALUE"""),45688.0)</f>
        <v>45688</v>
      </c>
      <c r="G214" s="27">
        <f>IFERROR(__xludf.DUMMYFUNCTION("""COMPUTED_VALUE"""),11.799999999999999)</f>
        <v>11.8</v>
      </c>
      <c r="H214" s="128">
        <f>IFERROR(__xludf.DUMMYFUNCTION("""COMPUTED_VALUE"""),44672.0)</f>
        <v>44672</v>
      </c>
      <c r="I214" s="27">
        <f>IFERROR(__xludf.DUMMYFUNCTION("""COMPUTED_VALUE"""),1.7916666666666667)</f>
        <v>1.791666667</v>
      </c>
      <c r="J214" s="29">
        <f>IFERROR(__xludf.DUMMYFUNCTION("""COMPUTED_VALUE"""),70.0)</f>
        <v>70</v>
      </c>
      <c r="K214" s="29">
        <f>IFERROR(__xludf.DUMMYFUNCTION("""COMPUTED_VALUE"""),9.0)</f>
        <v>9</v>
      </c>
      <c r="L214" s="31" t="str">
        <f>IFERROR(__xludf.DUMMYFUNCTION("""COMPUTED_VALUE"""),"RPG")</f>
        <v>RPG</v>
      </c>
    </row>
    <row r="215">
      <c r="A215" s="17" t="str">
        <f>IFERROR(__xludf.DUMMYFUNCTION("""COMPUTED_VALUE"""),"Broforce Forever")</f>
        <v>Broforce Forever</v>
      </c>
      <c r="B215" s="20" t="str">
        <f>IFERROR(__xludf.DUMMYFUNCTION("""COMPUTED_VALUE"""),"Xbox / PC")</f>
        <v>Xbox / PC</v>
      </c>
      <c r="C215" s="20" t="str">
        <f>IFERROR(__xludf.DUMMYFUNCTION("""COMPUTED_VALUE"""),"Yes")</f>
        <v>Yes</v>
      </c>
      <c r="D215" s="21" t="str">
        <f>IFERROR(__xludf.DUMMYFUNCTION("""COMPUTED_VALUE"""),"Removed")</f>
        <v>Removed</v>
      </c>
      <c r="E215" s="128">
        <f>IFERROR(__xludf.DUMMYFUNCTION("""COMPUTED_VALUE"""),45146.0)</f>
        <v>45146</v>
      </c>
      <c r="F215" s="24">
        <f>IFERROR(__xludf.DUMMYFUNCTION("""COMPUTED_VALUE"""),45688.0)</f>
        <v>45688</v>
      </c>
      <c r="G215" s="27">
        <f>IFERROR(__xludf.DUMMYFUNCTION("""COMPUTED_VALUE"""),17.733333333333334)</f>
        <v>17.73333333</v>
      </c>
      <c r="H215" s="128">
        <f>IFERROR(__xludf.DUMMYFUNCTION("""COMPUTED_VALUE"""),45146.0)</f>
        <v>45146</v>
      </c>
      <c r="I215" s="27">
        <f>IFERROR(__xludf.DUMMYFUNCTION("""COMPUTED_VALUE"""),0.0)</f>
        <v>0</v>
      </c>
      <c r="J215" s="29">
        <f>IFERROR(__xludf.DUMMYFUNCTION("""COMPUTED_VALUE"""),80.0)</f>
        <v>80</v>
      </c>
      <c r="K215" s="29">
        <f>IFERROR(__xludf.DUMMYFUNCTION("""COMPUTED_VALUE"""),7.0)</f>
        <v>7</v>
      </c>
      <c r="L215" s="31" t="str">
        <f>IFERROR(__xludf.DUMMYFUNCTION("""COMPUTED_VALUE"""),"Shooter")</f>
        <v>Shooter</v>
      </c>
    </row>
    <row r="216">
      <c r="A216" s="17" t="str">
        <f>IFERROR(__xludf.DUMMYFUNCTION("""COMPUTED_VALUE"""),"Serious Sam: Siberian Mayhem")</f>
        <v>Serious Sam: Siberian Mayhem</v>
      </c>
      <c r="B216" s="20" t="str">
        <f>IFERROR(__xludf.DUMMYFUNCTION("""COMPUTED_VALUE"""),"Xbox / PC")</f>
        <v>Xbox / PC</v>
      </c>
      <c r="C216" s="20" t="str">
        <f>IFERROR(__xludf.DUMMYFUNCTION("""COMPUTED_VALUE"""),"Yes")</f>
        <v>Yes</v>
      </c>
      <c r="D216" s="21" t="str">
        <f>IFERROR(__xludf.DUMMYFUNCTION("""COMPUTED_VALUE"""),"Removed")</f>
        <v>Removed</v>
      </c>
      <c r="E216" s="128">
        <f>IFERROR(__xludf.DUMMYFUNCTION("""COMPUTED_VALUE"""),45132.0)</f>
        <v>45132</v>
      </c>
      <c r="F216" s="24">
        <f>IFERROR(__xludf.DUMMYFUNCTION("""COMPUTED_VALUE"""),45688.0)</f>
        <v>45688</v>
      </c>
      <c r="G216" s="27">
        <f>IFERROR(__xludf.DUMMYFUNCTION("""COMPUTED_VALUE"""),18.166666666666664)</f>
        <v>18.16666667</v>
      </c>
      <c r="H216" s="128">
        <f>IFERROR(__xludf.DUMMYFUNCTION("""COMPUTED_VALUE"""),44586.0)</f>
        <v>44586</v>
      </c>
      <c r="I216" s="27">
        <f>IFERROR(__xludf.DUMMYFUNCTION("""COMPUTED_VALUE"""),1.5)</f>
        <v>1.5</v>
      </c>
      <c r="J216" s="29">
        <f>IFERROR(__xludf.DUMMYFUNCTION("""COMPUTED_VALUE"""),70.0)</f>
        <v>70</v>
      </c>
      <c r="K216" s="29">
        <f>IFERROR(__xludf.DUMMYFUNCTION("""COMPUTED_VALUE"""),5.0)</f>
        <v>5</v>
      </c>
      <c r="L216" s="31" t="str">
        <f>IFERROR(__xludf.DUMMYFUNCTION("""COMPUTED_VALUE"""),"Shooter")</f>
        <v>Shooter</v>
      </c>
    </row>
    <row r="217">
      <c r="A217" s="17" t="str">
        <f>IFERROR(__xludf.DUMMYFUNCTION("""COMPUTED_VALUE"""),"Maquette")</f>
        <v>Maquette</v>
      </c>
      <c r="B217" s="20" t="str">
        <f>IFERROR(__xludf.DUMMYFUNCTION("""COMPUTED_VALUE"""),"Xbox / PC")</f>
        <v>Xbox / PC</v>
      </c>
      <c r="C217" s="20" t="str">
        <f>IFERROR(__xludf.DUMMYFUNCTION("""COMPUTED_VALUE"""),"Yes")</f>
        <v>Yes</v>
      </c>
      <c r="D217" s="21" t="str">
        <f>IFERROR(__xludf.DUMMYFUNCTION("""COMPUTED_VALUE"""),"Removed")</f>
        <v>Removed</v>
      </c>
      <c r="E217" s="128">
        <f>IFERROR(__xludf.DUMMYFUNCTION("""COMPUTED_VALUE"""),45126.0)</f>
        <v>45126</v>
      </c>
      <c r="F217" s="24">
        <f>IFERROR(__xludf.DUMMYFUNCTION("""COMPUTED_VALUE"""),45688.0)</f>
        <v>45688</v>
      </c>
      <c r="G217" s="27">
        <f>IFERROR(__xludf.DUMMYFUNCTION("""COMPUTED_VALUE"""),18.366666666666667)</f>
        <v>18.36666667</v>
      </c>
      <c r="H217" s="128">
        <f>IFERROR(__xludf.DUMMYFUNCTION("""COMPUTED_VALUE"""),44257.0)</f>
        <v>44257</v>
      </c>
      <c r="I217" s="27">
        <f>IFERROR(__xludf.DUMMYFUNCTION("""COMPUTED_VALUE"""),2.3805555555555555)</f>
        <v>2.380555556</v>
      </c>
      <c r="J217" s="29">
        <f>IFERROR(__xludf.DUMMYFUNCTION("""COMPUTED_VALUE"""),70.0)</f>
        <v>70</v>
      </c>
      <c r="K217" s="29">
        <f>IFERROR(__xludf.DUMMYFUNCTION("""COMPUTED_VALUE"""),4.0)</f>
        <v>4</v>
      </c>
      <c r="L217" s="31" t="str">
        <f>IFERROR(__xludf.DUMMYFUNCTION("""COMPUTED_VALUE"""),"Puzzle")</f>
        <v>Puzzle</v>
      </c>
    </row>
    <row r="218">
      <c r="A218" s="17" t="str">
        <f>IFERROR(__xludf.DUMMYFUNCTION("""COMPUTED_VALUE"""),"Darkest Dungeon")</f>
        <v>Darkest Dungeon</v>
      </c>
      <c r="B218" s="20" t="str">
        <f>IFERROR(__xludf.DUMMYFUNCTION("""COMPUTED_VALUE"""),"Xbox / PC")</f>
        <v>Xbox / PC</v>
      </c>
      <c r="C218" s="20" t="str">
        <f>IFERROR(__xludf.DUMMYFUNCTION("""COMPUTED_VALUE"""),"Yes")</f>
        <v>Yes</v>
      </c>
      <c r="D218" s="21" t="str">
        <f>IFERROR(__xludf.DUMMYFUNCTION("""COMPUTED_VALUE"""),"Removed")</f>
        <v>Removed</v>
      </c>
      <c r="E218" s="128">
        <f>IFERROR(__xludf.DUMMYFUNCTION("""COMPUTED_VALUE"""),44959.0)</f>
        <v>44959</v>
      </c>
      <c r="F218" s="24">
        <f>IFERROR(__xludf.DUMMYFUNCTION("""COMPUTED_VALUE"""),45688.0)</f>
        <v>45688</v>
      </c>
      <c r="G218" s="27">
        <f>IFERROR(__xludf.DUMMYFUNCTION("""COMPUTED_VALUE"""),23.933333333333334)</f>
        <v>23.93333333</v>
      </c>
      <c r="H218" s="128">
        <f>IFERROR(__xludf.DUMMYFUNCTION("""COMPUTED_VALUE"""),42388.0)</f>
        <v>42388</v>
      </c>
      <c r="I218" s="27">
        <f>IFERROR(__xludf.DUMMYFUNCTION("""COMPUTED_VALUE"""),7.036111111111111)</f>
        <v>7.036111111</v>
      </c>
      <c r="J218" s="29">
        <f>IFERROR(__xludf.DUMMYFUNCTION("""COMPUTED_VALUE"""),84.0)</f>
        <v>84</v>
      </c>
      <c r="K218" s="29">
        <f>IFERROR(__xludf.DUMMYFUNCTION("""COMPUTED_VALUE"""),56.0)</f>
        <v>56</v>
      </c>
      <c r="L218" s="31" t="str">
        <f>IFERROR(__xludf.DUMMYFUNCTION("""COMPUTED_VALUE"""),"RPG")</f>
        <v>RPG</v>
      </c>
    </row>
    <row r="219">
      <c r="A219" s="17" t="str">
        <f>IFERROR(__xludf.DUMMYFUNCTION("""COMPUTED_VALUE"""),"Death's Door")</f>
        <v>Death's Door</v>
      </c>
      <c r="B219" s="20" t="str">
        <f>IFERROR(__xludf.DUMMYFUNCTION("""COMPUTED_VALUE"""),"Xbox / PC")</f>
        <v>Xbox / PC</v>
      </c>
      <c r="C219" s="20" t="str">
        <f>IFERROR(__xludf.DUMMYFUNCTION("""COMPUTED_VALUE"""),"Touch Controls")</f>
        <v>Touch Controls</v>
      </c>
      <c r="D219" s="21" t="str">
        <f>IFERROR(__xludf.DUMMYFUNCTION("""COMPUTED_VALUE"""),"Removed")</f>
        <v>Removed</v>
      </c>
      <c r="E219" s="128">
        <f>IFERROR(__xludf.DUMMYFUNCTION("""COMPUTED_VALUE"""),44581.0)</f>
        <v>44581</v>
      </c>
      <c r="F219" s="24">
        <f>IFERROR(__xludf.DUMMYFUNCTION("""COMPUTED_VALUE"""),45688.0)</f>
        <v>45688</v>
      </c>
      <c r="G219" s="27">
        <f>IFERROR(__xludf.DUMMYFUNCTION("""COMPUTED_VALUE"""),36.33333333333333)</f>
        <v>36.33333333</v>
      </c>
      <c r="H219" s="128">
        <f>IFERROR(__xludf.DUMMYFUNCTION("""COMPUTED_VALUE"""),44397.0)</f>
        <v>44397</v>
      </c>
      <c r="I219" s="27">
        <f>IFERROR(__xludf.DUMMYFUNCTION("""COMPUTED_VALUE"""),0.5)</f>
        <v>0.5</v>
      </c>
      <c r="J219" s="29">
        <f>IFERROR(__xludf.DUMMYFUNCTION("""COMPUTED_VALUE"""),86.0)</f>
        <v>86</v>
      </c>
      <c r="K219" s="29">
        <f>IFERROR(__xludf.DUMMYFUNCTION("""COMPUTED_VALUE"""),8.5)</f>
        <v>8.5</v>
      </c>
      <c r="L219" s="31" t="str">
        <f>IFERROR(__xludf.DUMMYFUNCTION("""COMPUTED_VALUE"""),"Action-Adventure")</f>
        <v>Action-Adventure</v>
      </c>
    </row>
    <row r="220">
      <c r="A220" s="17" t="str">
        <f>IFERROR(__xludf.DUMMYFUNCTION("""COMPUTED_VALUE"""),"Those Who Remain")</f>
        <v>Those Who Remain</v>
      </c>
      <c r="B220" s="20" t="str">
        <f>IFERROR(__xludf.DUMMYFUNCTION("""COMPUTED_VALUE"""),"Xbox / PC")</f>
        <v>Xbox / PC</v>
      </c>
      <c r="C220" s="20" t="str">
        <f>IFERROR(__xludf.DUMMYFUNCTION("""COMPUTED_VALUE"""),"Yes")</f>
        <v>Yes</v>
      </c>
      <c r="D220" s="21" t="str">
        <f>IFERROR(__xludf.DUMMYFUNCTION("""COMPUTED_VALUE"""),"Removed")</f>
        <v>Removed</v>
      </c>
      <c r="E220" s="128">
        <f>IFERROR(__xludf.DUMMYFUNCTION("""COMPUTED_VALUE"""),45307.0)</f>
        <v>45307</v>
      </c>
      <c r="F220" s="24">
        <f>IFERROR(__xludf.DUMMYFUNCTION("""COMPUTED_VALUE"""),45672.0)</f>
        <v>45672</v>
      </c>
      <c r="G220" s="27">
        <f>IFERROR(__xludf.DUMMYFUNCTION("""COMPUTED_VALUE"""),11.966666666666667)</f>
        <v>11.96666667</v>
      </c>
      <c r="H220" s="128">
        <f>IFERROR(__xludf.DUMMYFUNCTION("""COMPUTED_VALUE"""),43979.0)</f>
        <v>43979</v>
      </c>
      <c r="I220" s="27">
        <f>IFERROR(__xludf.DUMMYFUNCTION("""COMPUTED_VALUE"""),3.6333333333333333)</f>
        <v>3.633333333</v>
      </c>
      <c r="J220" s="29">
        <f>IFERROR(__xludf.DUMMYFUNCTION("""COMPUTED_VALUE"""),49.0)</f>
        <v>49</v>
      </c>
      <c r="K220" s="29">
        <f>IFERROR(__xludf.DUMMYFUNCTION("""COMPUTED_VALUE"""),6.0)</f>
        <v>6</v>
      </c>
      <c r="L220" s="31" t="str">
        <f>IFERROR(__xludf.DUMMYFUNCTION("""COMPUTED_VALUE"""),"Adventure")</f>
        <v>Adventure</v>
      </c>
    </row>
    <row r="221">
      <c r="A221" s="17" t="str">
        <f>IFERROR(__xludf.DUMMYFUNCTION("""COMPUTED_VALUE"""),"Figment")</f>
        <v>Figment</v>
      </c>
      <c r="B221" s="20" t="str">
        <f>IFERROR(__xludf.DUMMYFUNCTION("""COMPUTED_VALUE"""),"Xbox / PC")</f>
        <v>Xbox / PC</v>
      </c>
      <c r="C221" s="20" t="str">
        <f>IFERROR(__xludf.DUMMYFUNCTION("""COMPUTED_VALUE"""),"Yes")</f>
        <v>Yes</v>
      </c>
      <c r="D221" s="21" t="str">
        <f>IFERROR(__xludf.DUMMYFUNCTION("""COMPUTED_VALUE"""),"Removed")</f>
        <v>Removed</v>
      </c>
      <c r="E221" s="127">
        <f>IFERROR(__xludf.DUMMYFUNCTION("""COMPUTED_VALUE"""),45300.0)</f>
        <v>45300</v>
      </c>
      <c r="F221" s="24">
        <f>IFERROR(__xludf.DUMMYFUNCTION("""COMPUTED_VALUE"""),45672.0)</f>
        <v>45672</v>
      </c>
      <c r="G221" s="27">
        <f>IFERROR(__xludf.DUMMYFUNCTION("""COMPUTED_VALUE"""),12.2)</f>
        <v>12.2</v>
      </c>
      <c r="H221" s="128">
        <f>IFERROR(__xludf.DUMMYFUNCTION("""COMPUTED_VALUE"""),43000.0)</f>
        <v>43000</v>
      </c>
      <c r="I221" s="27">
        <f>IFERROR(__xludf.DUMMYFUNCTION("""COMPUTED_VALUE"""),6.2972222222222225)</f>
        <v>6.297222222</v>
      </c>
      <c r="J221" s="29">
        <f>IFERROR(__xludf.DUMMYFUNCTION("""COMPUTED_VALUE"""),75.0)</f>
        <v>75</v>
      </c>
      <c r="K221" s="29">
        <f>IFERROR(__xludf.DUMMYFUNCTION("""COMPUTED_VALUE"""),5.0)</f>
        <v>5</v>
      </c>
      <c r="L221" s="31" t="str">
        <f>IFERROR(__xludf.DUMMYFUNCTION("""COMPUTED_VALUE"""),"Action-Adventure")</f>
        <v>Action-Adventure</v>
      </c>
    </row>
    <row r="222">
      <c r="A222" s="17" t="str">
        <f>IFERROR(__xludf.DUMMYFUNCTION("""COMPUTED_VALUE"""),"Exoprimal")</f>
        <v>Exoprimal</v>
      </c>
      <c r="B222" s="20" t="str">
        <f>IFERROR(__xludf.DUMMYFUNCTION("""COMPUTED_VALUE"""),"Xbox / PC")</f>
        <v>Xbox / PC</v>
      </c>
      <c r="C222" s="20" t="str">
        <f>IFERROR(__xludf.DUMMYFUNCTION("""COMPUTED_VALUE"""),"Yes")</f>
        <v>Yes</v>
      </c>
      <c r="D222" s="21" t="str">
        <f>IFERROR(__xludf.DUMMYFUNCTION("""COMPUTED_VALUE"""),"Removed")</f>
        <v>Removed</v>
      </c>
      <c r="E222" s="127">
        <f>IFERROR(__xludf.DUMMYFUNCTION("""COMPUTED_VALUE"""),45121.0)</f>
        <v>45121</v>
      </c>
      <c r="F222" s="24">
        <f>IFERROR(__xludf.DUMMYFUNCTION("""COMPUTED_VALUE"""),45672.0)</f>
        <v>45672</v>
      </c>
      <c r="G222" s="27">
        <f>IFERROR(__xludf.DUMMYFUNCTION("""COMPUTED_VALUE"""),18.03333333333333)</f>
        <v>18.03333333</v>
      </c>
      <c r="H222" s="128">
        <f>IFERROR(__xludf.DUMMYFUNCTION("""COMPUTED_VALUE"""),45121.0)</f>
        <v>45121</v>
      </c>
      <c r="I222" s="27">
        <f>IFERROR(__xludf.DUMMYFUNCTION("""COMPUTED_VALUE"""),0.0)</f>
        <v>0</v>
      </c>
      <c r="J222" s="29">
        <f>IFERROR(__xludf.DUMMYFUNCTION("""COMPUTED_VALUE"""),73.0)</f>
        <v>73</v>
      </c>
      <c r="K222" s="29">
        <f>IFERROR(__xludf.DUMMYFUNCTION("""COMPUTED_VALUE"""),6.0)</f>
        <v>6</v>
      </c>
      <c r="L222" s="31" t="str">
        <f>IFERROR(__xludf.DUMMYFUNCTION("""COMPUTED_VALUE"""),"Action")</f>
        <v>Action</v>
      </c>
    </row>
    <row r="223">
      <c r="A223" s="17" t="str">
        <f>IFERROR(__xludf.DUMMYFUNCTION("""COMPUTED_VALUE"""),"Common'hood")</f>
        <v>Common'hood</v>
      </c>
      <c r="B223" s="20" t="str">
        <f>IFERROR(__xludf.DUMMYFUNCTION("""COMPUTED_VALUE"""),"Xbox / PC")</f>
        <v>Xbox / PC</v>
      </c>
      <c r="C223" s="20" t="str">
        <f>IFERROR(__xludf.DUMMYFUNCTION("""COMPUTED_VALUE"""),"Yes")</f>
        <v>Yes</v>
      </c>
      <c r="D223" s="21" t="str">
        <f>IFERROR(__xludf.DUMMYFUNCTION("""COMPUTED_VALUE"""),"Removed")</f>
        <v>Removed</v>
      </c>
      <c r="E223" s="127">
        <f>IFERROR(__xludf.DUMMYFUNCTION("""COMPUTED_VALUE"""),45118.0)</f>
        <v>45118</v>
      </c>
      <c r="F223" s="24">
        <f>IFERROR(__xludf.DUMMYFUNCTION("""COMPUTED_VALUE"""),45672.0)</f>
        <v>45672</v>
      </c>
      <c r="G223" s="27">
        <f>IFERROR(__xludf.DUMMYFUNCTION("""COMPUTED_VALUE"""),18.133333333333333)</f>
        <v>18.13333333</v>
      </c>
      <c r="H223" s="128">
        <f>IFERROR(__xludf.DUMMYFUNCTION("""COMPUTED_VALUE"""),44875.0)</f>
        <v>44875</v>
      </c>
      <c r="I223" s="27">
        <f>IFERROR(__xludf.DUMMYFUNCTION("""COMPUTED_VALUE"""),0.6694444444444444)</f>
        <v>0.6694444444</v>
      </c>
      <c r="J223" s="29">
        <f>IFERROR(__xludf.DUMMYFUNCTION("""COMPUTED_VALUE"""),50.0)</f>
        <v>50</v>
      </c>
      <c r="K223" s="29">
        <f>IFERROR(__xludf.DUMMYFUNCTION("""COMPUTED_VALUE"""),23.0)</f>
        <v>23</v>
      </c>
      <c r="L223" s="31" t="str">
        <f>IFERROR(__xludf.DUMMYFUNCTION("""COMPUTED_VALUE"""),"Simulation")</f>
        <v>Simulation</v>
      </c>
    </row>
    <row r="224">
      <c r="A224" s="17" t="str">
        <f>IFERROR(__xludf.DUMMYFUNCTION("""COMPUTED_VALUE"""),"Insurgency: Sandstorm")</f>
        <v>Insurgency: Sandstorm</v>
      </c>
      <c r="B224" s="20" t="str">
        <f>IFERROR(__xludf.DUMMYFUNCTION("""COMPUTED_VALUE"""),"Xbox / PC")</f>
        <v>Xbox / PC</v>
      </c>
      <c r="C224" s="20" t="str">
        <f>IFERROR(__xludf.DUMMYFUNCTION("""COMPUTED_VALUE"""),"Yes")</f>
        <v>Yes</v>
      </c>
      <c r="D224" s="21" t="str">
        <f>IFERROR(__xludf.DUMMYFUNCTION("""COMPUTED_VALUE"""),"Removed")</f>
        <v>Removed</v>
      </c>
      <c r="E224" s="127">
        <f>IFERROR(__xludf.DUMMYFUNCTION("""COMPUTED_VALUE"""),44894.0)</f>
        <v>44894</v>
      </c>
      <c r="F224" s="24">
        <f>IFERROR(__xludf.DUMMYFUNCTION("""COMPUTED_VALUE"""),45672.0)</f>
        <v>45672</v>
      </c>
      <c r="G224" s="27">
        <f>IFERROR(__xludf.DUMMYFUNCTION("""COMPUTED_VALUE"""),25.53333333333333)</f>
        <v>25.53333333</v>
      </c>
      <c r="H224" s="128">
        <f>IFERROR(__xludf.DUMMYFUNCTION("""COMPUTED_VALUE"""),43361.0)</f>
        <v>43361</v>
      </c>
      <c r="I224" s="27">
        <f>IFERROR(__xludf.DUMMYFUNCTION("""COMPUTED_VALUE"""),4.197222222222222)</f>
        <v>4.197222222</v>
      </c>
      <c r="J224" s="29">
        <f>IFERROR(__xludf.DUMMYFUNCTION("""COMPUTED_VALUE"""),80.0)</f>
        <v>80</v>
      </c>
      <c r="K224" s="29">
        <f>IFERROR(__xludf.DUMMYFUNCTION("""COMPUTED_VALUE"""),33.0)</f>
        <v>33</v>
      </c>
      <c r="L224" s="31" t="str">
        <f>IFERROR(__xludf.DUMMYFUNCTION("""COMPUTED_VALUE"""),"Shooter")</f>
        <v>Shooter</v>
      </c>
    </row>
    <row r="225">
      <c r="A225" s="17" t="str">
        <f>IFERROR(__xludf.DUMMYFUNCTION("""COMPUTED_VALUE"""),"Escape Academy")</f>
        <v>Escape Academy</v>
      </c>
      <c r="B225" s="20" t="str">
        <f>IFERROR(__xludf.DUMMYFUNCTION("""COMPUTED_VALUE"""),"Xbox / PC")</f>
        <v>Xbox / PC</v>
      </c>
      <c r="C225" s="20" t="str">
        <f>IFERROR(__xludf.DUMMYFUNCTION("""COMPUTED_VALUE"""),"Touch Controls")</f>
        <v>Touch Controls</v>
      </c>
      <c r="D225" s="21" t="str">
        <f>IFERROR(__xludf.DUMMYFUNCTION("""COMPUTED_VALUE"""),"Removed")</f>
        <v>Removed</v>
      </c>
      <c r="E225" s="127">
        <f>IFERROR(__xludf.DUMMYFUNCTION("""COMPUTED_VALUE"""),44756.0)</f>
        <v>44756</v>
      </c>
      <c r="F225" s="24">
        <f>IFERROR(__xludf.DUMMYFUNCTION("""COMPUTED_VALUE"""),45672.0)</f>
        <v>45672</v>
      </c>
      <c r="G225" s="27">
        <f>IFERROR(__xludf.DUMMYFUNCTION("""COMPUTED_VALUE"""),30.03333333333333)</f>
        <v>30.03333333</v>
      </c>
      <c r="H225" s="128">
        <f>IFERROR(__xludf.DUMMYFUNCTION("""COMPUTED_VALUE"""),44756.0)</f>
        <v>44756</v>
      </c>
      <c r="I225" s="27">
        <f>IFERROR(__xludf.DUMMYFUNCTION("""COMPUTED_VALUE"""),0.0)</f>
        <v>0</v>
      </c>
      <c r="J225" s="29">
        <f>IFERROR(__xludf.DUMMYFUNCTION("""COMPUTED_VALUE"""),81.0)</f>
        <v>81</v>
      </c>
      <c r="K225" s="29">
        <f>IFERROR(__xludf.DUMMYFUNCTION("""COMPUTED_VALUE"""),4.5)</f>
        <v>4.5</v>
      </c>
      <c r="L225" s="31" t="str">
        <f>IFERROR(__xludf.DUMMYFUNCTION("""COMPUTED_VALUE"""),"Adventure")</f>
        <v>Adventure</v>
      </c>
    </row>
    <row r="226">
      <c r="A226" s="17" t="str">
        <f>IFERROR(__xludf.DUMMYFUNCTION("""COMPUTED_VALUE"""),"LEGO 2K Drive")</f>
        <v>LEGO 2K Drive</v>
      </c>
      <c r="B226" s="20" t="str">
        <f>IFERROR(__xludf.DUMMYFUNCTION("""COMPUTED_VALUE"""),"Xbox")</f>
        <v>Xbox</v>
      </c>
      <c r="C226" s="20" t="str">
        <f>IFERROR(__xludf.DUMMYFUNCTION("""COMPUTED_VALUE"""),"Yes")</f>
        <v>Yes</v>
      </c>
      <c r="D226" s="21" t="str">
        <f>IFERROR(__xludf.DUMMYFUNCTION("""COMPUTED_VALUE"""),"Removed")</f>
        <v>Removed</v>
      </c>
      <c r="E226" s="127">
        <f>IFERROR(__xludf.DUMMYFUNCTION("""COMPUTED_VALUE"""),45385.0)</f>
        <v>45385</v>
      </c>
      <c r="F226" s="24">
        <f>IFERROR(__xludf.DUMMYFUNCTION("""COMPUTED_VALUE"""),45657.0)</f>
        <v>45657</v>
      </c>
      <c r="G226" s="27">
        <f>IFERROR(__xludf.DUMMYFUNCTION("""COMPUTED_VALUE"""),8.9)</f>
        <v>8.9</v>
      </c>
      <c r="H226" s="128">
        <f>IFERROR(__xludf.DUMMYFUNCTION("""COMPUTED_VALUE"""),45062.0)</f>
        <v>45062</v>
      </c>
      <c r="I226" s="27">
        <f>IFERROR(__xludf.DUMMYFUNCTION("""COMPUTED_VALUE"""),0.8805555555555555)</f>
        <v>0.8805555556</v>
      </c>
      <c r="J226" s="29">
        <f>IFERROR(__xludf.DUMMYFUNCTION("""COMPUTED_VALUE"""),73.0)</f>
        <v>73</v>
      </c>
      <c r="K226" s="29">
        <f>IFERROR(__xludf.DUMMYFUNCTION("""COMPUTED_VALUE"""),7.0)</f>
        <v>7</v>
      </c>
      <c r="L226" s="31" t="str">
        <f>IFERROR(__xludf.DUMMYFUNCTION("""COMPUTED_VALUE"""),"Racing")</f>
        <v>Racing</v>
      </c>
    </row>
    <row r="227">
      <c r="A227" s="17" t="str">
        <f>IFERROR(__xludf.DUMMYFUNCTION("""COMPUTED_VALUE"""),"Close to the Sun")</f>
        <v>Close to the Sun</v>
      </c>
      <c r="B227" s="20" t="str">
        <f>IFERROR(__xludf.DUMMYFUNCTION("""COMPUTED_VALUE"""),"Xbox / PC")</f>
        <v>Xbox / PC</v>
      </c>
      <c r="C227" s="20" t="str">
        <f>IFERROR(__xludf.DUMMYFUNCTION("""COMPUTED_VALUE"""),"Yes")</f>
        <v>Yes</v>
      </c>
      <c r="D227" s="21" t="str">
        <f>IFERROR(__xludf.DUMMYFUNCTION("""COMPUTED_VALUE"""),"Removed")</f>
        <v>Removed</v>
      </c>
      <c r="E227" s="127">
        <f>IFERROR(__xludf.DUMMYFUNCTION("""COMPUTED_VALUE"""),45293.0)</f>
        <v>45293</v>
      </c>
      <c r="F227" s="24">
        <f>IFERROR(__xludf.DUMMYFUNCTION("""COMPUTED_VALUE"""),45657.0)</f>
        <v>45657</v>
      </c>
      <c r="G227" s="27">
        <f>IFERROR(__xludf.DUMMYFUNCTION("""COMPUTED_VALUE"""),11.933333333333334)</f>
        <v>11.93333333</v>
      </c>
      <c r="H227" s="128">
        <f>IFERROR(__xludf.DUMMYFUNCTION("""COMPUTED_VALUE"""),43767.0)</f>
        <v>43767</v>
      </c>
      <c r="I227" s="27">
        <f>IFERROR(__xludf.DUMMYFUNCTION("""COMPUTED_VALUE"""),4.175)</f>
        <v>4.175</v>
      </c>
      <c r="J227" s="29">
        <f>IFERROR(__xludf.DUMMYFUNCTION("""COMPUTED_VALUE"""),66.0)</f>
        <v>66</v>
      </c>
      <c r="K227" s="29">
        <f>IFERROR(__xludf.DUMMYFUNCTION("""COMPUTED_VALUE"""),4.0)</f>
        <v>4</v>
      </c>
      <c r="L227" s="31" t="str">
        <f>IFERROR(__xludf.DUMMYFUNCTION("""COMPUTED_VALUE"""),"Adventure")</f>
        <v>Adventure</v>
      </c>
    </row>
    <row r="228">
      <c r="A228" s="17" t="str">
        <f>IFERROR(__xludf.DUMMYFUNCTION("""COMPUTED_VALUE"""),"Party Animals")</f>
        <v>Party Animals</v>
      </c>
      <c r="B228" s="20" t="str">
        <f>IFERROR(__xludf.DUMMYFUNCTION("""COMPUTED_VALUE"""),"Xbox")</f>
        <v>Xbox</v>
      </c>
      <c r="C228" s="20" t="str">
        <f>IFERROR(__xludf.DUMMYFUNCTION("""COMPUTED_VALUE"""),"Yes")</f>
        <v>Yes</v>
      </c>
      <c r="D228" s="21" t="str">
        <f>IFERROR(__xludf.DUMMYFUNCTION("""COMPUTED_VALUE"""),"Removed")</f>
        <v>Removed</v>
      </c>
      <c r="E228" s="127">
        <f>IFERROR(__xludf.DUMMYFUNCTION("""COMPUTED_VALUE"""),45189.0)</f>
        <v>45189</v>
      </c>
      <c r="F228" s="24">
        <f>IFERROR(__xludf.DUMMYFUNCTION("""COMPUTED_VALUE"""),45657.0)</f>
        <v>45657</v>
      </c>
      <c r="G228" s="27">
        <f>IFERROR(__xludf.DUMMYFUNCTION("""COMPUTED_VALUE"""),15.333333333333332)</f>
        <v>15.33333333</v>
      </c>
      <c r="H228" s="128">
        <f>IFERROR(__xludf.DUMMYFUNCTION("""COMPUTED_VALUE"""),45189.0)</f>
        <v>45189</v>
      </c>
      <c r="I228" s="27">
        <f>IFERROR(__xludf.DUMMYFUNCTION("""COMPUTED_VALUE"""),0.0)</f>
        <v>0</v>
      </c>
      <c r="J228" s="29">
        <f>IFERROR(__xludf.DUMMYFUNCTION("""COMPUTED_VALUE"""),77.0)</f>
        <v>77</v>
      </c>
      <c r="K228" s="29">
        <f>IFERROR(__xludf.DUMMYFUNCTION("""COMPUTED_VALUE"""),1.0)</f>
        <v>1</v>
      </c>
      <c r="L228" s="31" t="str">
        <f>IFERROR(__xludf.DUMMYFUNCTION("""COMPUTED_VALUE"""),"Action")</f>
        <v>Action</v>
      </c>
    </row>
    <row r="229">
      <c r="A229" s="17" t="str">
        <f>IFERROR(__xludf.DUMMYFUNCTION("""COMPUTED_VALUE"""),"McPixel 3")</f>
        <v>McPixel 3</v>
      </c>
      <c r="B229" s="20" t="str">
        <f>IFERROR(__xludf.DUMMYFUNCTION("""COMPUTED_VALUE"""),"Xbox / PC")</f>
        <v>Xbox / PC</v>
      </c>
      <c r="C229" s="20" t="str">
        <f>IFERROR(__xludf.DUMMYFUNCTION("""COMPUTED_VALUE"""),"Yes")</f>
        <v>Yes</v>
      </c>
      <c r="D229" s="21" t="str">
        <f>IFERROR(__xludf.DUMMYFUNCTION("""COMPUTED_VALUE"""),"Removed")</f>
        <v>Removed</v>
      </c>
      <c r="E229" s="127">
        <f>IFERROR(__xludf.DUMMYFUNCTION("""COMPUTED_VALUE"""),45113.0)</f>
        <v>45113</v>
      </c>
      <c r="F229" s="24">
        <f>IFERROR(__xludf.DUMMYFUNCTION("""COMPUTED_VALUE"""),45657.0)</f>
        <v>45657</v>
      </c>
      <c r="G229" s="27">
        <f>IFERROR(__xludf.DUMMYFUNCTION("""COMPUTED_VALUE"""),17.8)</f>
        <v>17.8</v>
      </c>
      <c r="H229" s="128">
        <f>IFERROR(__xludf.DUMMYFUNCTION("""COMPUTED_VALUE"""),44879.0)</f>
        <v>44879</v>
      </c>
      <c r="I229" s="27">
        <f>IFERROR(__xludf.DUMMYFUNCTION("""COMPUTED_VALUE"""),0.6444444444444445)</f>
        <v>0.6444444444</v>
      </c>
      <c r="J229" s="29">
        <f>IFERROR(__xludf.DUMMYFUNCTION("""COMPUTED_VALUE"""),75.0)</f>
        <v>75</v>
      </c>
      <c r="K229" s="29">
        <f>IFERROR(__xludf.DUMMYFUNCTION("""COMPUTED_VALUE"""),5.0)</f>
        <v>5</v>
      </c>
      <c r="L229" s="31" t="str">
        <f>IFERROR(__xludf.DUMMYFUNCTION("""COMPUTED_VALUE"""),"Minigame Collection")</f>
        <v>Minigame Collection</v>
      </c>
    </row>
    <row r="230">
      <c r="A230" s="17" t="str">
        <f>IFERROR(__xludf.DUMMYFUNCTION("""COMPUTED_VALUE"""),"BlazBlue: Cross Tag Battle - Special Edition")</f>
        <v>BlazBlue: Cross Tag Battle - Special Edition</v>
      </c>
      <c r="B230" s="20" t="str">
        <f>IFERROR(__xludf.DUMMYFUNCTION("""COMPUTED_VALUE"""),"Xbox / PC")</f>
        <v>Xbox / PC</v>
      </c>
      <c r="C230" s="20" t="str">
        <f>IFERROR(__xludf.DUMMYFUNCTION("""COMPUTED_VALUE"""),"Yes")</f>
        <v>Yes</v>
      </c>
      <c r="D230" s="21" t="str">
        <f>IFERROR(__xludf.DUMMYFUNCTION("""COMPUTED_VALUE"""),"Removed")</f>
        <v>Removed</v>
      </c>
      <c r="E230" s="127">
        <f>IFERROR(__xludf.DUMMYFUNCTION("""COMPUTED_VALUE"""),45043.0)</f>
        <v>45043</v>
      </c>
      <c r="F230" s="24">
        <f>IFERROR(__xludf.DUMMYFUNCTION("""COMPUTED_VALUE"""),45657.0)</f>
        <v>45657</v>
      </c>
      <c r="G230" s="27">
        <f>IFERROR(__xludf.DUMMYFUNCTION("""COMPUTED_VALUE"""),20.1)</f>
        <v>20.1</v>
      </c>
      <c r="H230" s="128">
        <f>IFERROR(__xludf.DUMMYFUNCTION("""COMPUTED_VALUE"""),43251.0)</f>
        <v>43251</v>
      </c>
      <c r="I230" s="27">
        <f>IFERROR(__xludf.DUMMYFUNCTION("""COMPUTED_VALUE"""),4.908333333333333)</f>
        <v>4.908333333</v>
      </c>
      <c r="J230" s="29">
        <f>IFERROR(__xludf.DUMMYFUNCTION("""COMPUTED_VALUE"""),72.0)</f>
        <v>72</v>
      </c>
      <c r="K230" s="29">
        <f>IFERROR(__xludf.DUMMYFUNCTION("""COMPUTED_VALUE"""),4.0)</f>
        <v>4</v>
      </c>
      <c r="L230" s="31" t="str">
        <f>IFERROR(__xludf.DUMMYFUNCTION("""COMPUTED_VALUE"""),"Fighting")</f>
        <v>Fighting</v>
      </c>
    </row>
    <row r="231">
      <c r="A231" s="17" t="str">
        <f>IFERROR(__xludf.DUMMYFUNCTION("""COMPUTED_VALUE"""),"Humankind")</f>
        <v>Humankind</v>
      </c>
      <c r="B231" s="20" t="str">
        <f>IFERROR(__xludf.DUMMYFUNCTION("""COMPUTED_VALUE"""),"Xbox / PC")</f>
        <v>Xbox / PC</v>
      </c>
      <c r="C231" s="20" t="str">
        <f>IFERROR(__xludf.DUMMYFUNCTION("""COMPUTED_VALUE"""),"Yes")</f>
        <v>Yes</v>
      </c>
      <c r="D231" s="21" t="str">
        <f>IFERROR(__xludf.DUMMYFUNCTION("""COMPUTED_VALUE"""),"Removed")</f>
        <v>Removed</v>
      </c>
      <c r="E231" s="127">
        <f>IFERROR(__xludf.DUMMYFUNCTION("""COMPUTED_VALUE"""),44425.0)</f>
        <v>44425</v>
      </c>
      <c r="F231" s="24">
        <f>IFERROR(__xludf.DUMMYFUNCTION("""COMPUTED_VALUE"""),45657.0)</f>
        <v>45657</v>
      </c>
      <c r="G231" s="27">
        <f>IFERROR(__xludf.DUMMYFUNCTION("""COMPUTED_VALUE"""),40.43333333333334)</f>
        <v>40.43333333</v>
      </c>
      <c r="H231" s="128">
        <f>IFERROR(__xludf.DUMMYFUNCTION("""COMPUTED_VALUE"""),44425.0)</f>
        <v>44425</v>
      </c>
      <c r="I231" s="27">
        <f>IFERROR(__xludf.DUMMYFUNCTION("""COMPUTED_VALUE"""),0.0)</f>
        <v>0</v>
      </c>
      <c r="J231" s="29">
        <f>IFERROR(__xludf.DUMMYFUNCTION("""COMPUTED_VALUE"""),78.0)</f>
        <v>78</v>
      </c>
      <c r="K231" s="29">
        <f>IFERROR(__xludf.DUMMYFUNCTION("""COMPUTED_VALUE"""),14.5)</f>
        <v>14.5</v>
      </c>
      <c r="L231" s="31" t="str">
        <f>IFERROR(__xludf.DUMMYFUNCTION("""COMPUTED_VALUE"""),"Strategy")</f>
        <v>Strategy</v>
      </c>
    </row>
    <row r="232">
      <c r="A232" s="17" t="str">
        <f>IFERROR(__xludf.DUMMYFUNCTION("""COMPUTED_VALUE"""),"The Quarry")</f>
        <v>The Quarry</v>
      </c>
      <c r="B232" s="20" t="str">
        <f>IFERROR(__xludf.DUMMYFUNCTION("""COMPUTED_VALUE"""),"Xbox")</f>
        <v>Xbox</v>
      </c>
      <c r="C232" s="20"/>
      <c r="D232" s="21" t="str">
        <f>IFERROR(__xludf.DUMMYFUNCTION("""COMPUTED_VALUE"""),"Removed")</f>
        <v>Removed</v>
      </c>
      <c r="E232" s="127">
        <f>IFERROR(__xludf.DUMMYFUNCTION("""COMPUTED_VALUE"""),45371.0)</f>
        <v>45371</v>
      </c>
      <c r="F232" s="24">
        <f>IFERROR(__xludf.DUMMYFUNCTION("""COMPUTED_VALUE"""),45641.0)</f>
        <v>45641</v>
      </c>
      <c r="G232" s="27">
        <f>IFERROR(__xludf.DUMMYFUNCTION("""COMPUTED_VALUE"""),8.833333333333334)</f>
        <v>8.833333333</v>
      </c>
      <c r="H232" s="128">
        <f>IFERROR(__xludf.DUMMYFUNCTION("""COMPUTED_VALUE"""),44722.0)</f>
        <v>44722</v>
      </c>
      <c r="I232" s="27">
        <f>IFERROR(__xludf.DUMMYFUNCTION("""COMPUTED_VALUE"""),1.7777777777777777)</f>
        <v>1.777777778</v>
      </c>
      <c r="J232" s="29">
        <f>IFERROR(__xludf.DUMMYFUNCTION("""COMPUTED_VALUE"""),79.0)</f>
        <v>79</v>
      </c>
      <c r="K232" s="29">
        <f>IFERROR(__xludf.DUMMYFUNCTION("""COMPUTED_VALUE"""),9.0)</f>
        <v>9</v>
      </c>
      <c r="L232" s="31" t="str">
        <f>IFERROR(__xludf.DUMMYFUNCTION("""COMPUTED_VALUE"""),"Adventure")</f>
        <v>Adventure</v>
      </c>
    </row>
    <row r="233">
      <c r="A233" s="111" t="str">
        <f>IFERROR(__xludf.DUMMYFUNCTION("""COMPUTED_VALUE"""),"Tin Hearts")</f>
        <v>Tin Hearts</v>
      </c>
      <c r="B233" s="20" t="str">
        <f>IFERROR(__xludf.DUMMYFUNCTION("""COMPUTED_VALUE"""),"Xbox / PC")</f>
        <v>Xbox / PC</v>
      </c>
      <c r="C233" s="20" t="str">
        <f>IFERROR(__xludf.DUMMYFUNCTION("""COMPUTED_VALUE"""),"Yes")</f>
        <v>Yes</v>
      </c>
      <c r="D233" s="21" t="str">
        <f>IFERROR(__xludf.DUMMYFUNCTION("""COMPUTED_VALUE"""),"Removed")</f>
        <v>Removed</v>
      </c>
      <c r="E233" s="127">
        <f>IFERROR(__xludf.DUMMYFUNCTION("""COMPUTED_VALUE"""),45272.0)</f>
        <v>45272</v>
      </c>
      <c r="F233" s="24">
        <f>IFERROR(__xludf.DUMMYFUNCTION("""COMPUTED_VALUE"""),45641.0)</f>
        <v>45641</v>
      </c>
      <c r="G233" s="27">
        <f>IFERROR(__xludf.DUMMYFUNCTION("""COMPUTED_VALUE"""),12.1)</f>
        <v>12.1</v>
      </c>
      <c r="H233" s="128">
        <f>IFERROR(__xludf.DUMMYFUNCTION("""COMPUTED_VALUE"""),43412.0)</f>
        <v>43412</v>
      </c>
      <c r="I233" s="27">
        <f>IFERROR(__xludf.DUMMYFUNCTION("""COMPUTED_VALUE"""),5.094444444444444)</f>
        <v>5.094444444</v>
      </c>
      <c r="J233" s="29">
        <f>IFERROR(__xludf.DUMMYFUNCTION("""COMPUTED_VALUE"""),66.0)</f>
        <v>66</v>
      </c>
      <c r="K233" s="29">
        <f>IFERROR(__xludf.DUMMYFUNCTION("""COMPUTED_VALUE"""),31.0)</f>
        <v>31</v>
      </c>
      <c r="L233" s="31" t="str">
        <f>IFERROR(__xludf.DUMMYFUNCTION("""COMPUTED_VALUE"""),"Puzzle")</f>
        <v>Puzzle</v>
      </c>
    </row>
    <row r="234">
      <c r="A234" s="17" t="str">
        <f>IFERROR(__xludf.DUMMYFUNCTION("""COMPUTED_VALUE"""),"Amnesia: The Bunker")</f>
        <v>Amnesia: The Bunker</v>
      </c>
      <c r="B234" s="20" t="str">
        <f>IFERROR(__xludf.DUMMYFUNCTION("""COMPUTED_VALUE"""),"Xbox / PC")</f>
        <v>Xbox / PC</v>
      </c>
      <c r="C234" s="20" t="str">
        <f>IFERROR(__xludf.DUMMYFUNCTION("""COMPUTED_VALUE"""),"Yes")</f>
        <v>Yes</v>
      </c>
      <c r="D234" s="21" t="str">
        <f>IFERROR(__xludf.DUMMYFUNCTION("""COMPUTED_VALUE"""),"Removed")</f>
        <v>Removed</v>
      </c>
      <c r="E234" s="127">
        <f>IFERROR(__xludf.DUMMYFUNCTION("""COMPUTED_VALUE"""),45083.0)</f>
        <v>45083</v>
      </c>
      <c r="F234" s="24">
        <f>IFERROR(__xludf.DUMMYFUNCTION("""COMPUTED_VALUE"""),45641.0)</f>
        <v>45641</v>
      </c>
      <c r="G234" s="27">
        <f>IFERROR(__xludf.DUMMYFUNCTION("""COMPUTED_VALUE"""),18.299999999999997)</f>
        <v>18.3</v>
      </c>
      <c r="H234" s="128">
        <f>IFERROR(__xludf.DUMMYFUNCTION("""COMPUTED_VALUE"""),45083.0)</f>
        <v>45083</v>
      </c>
      <c r="I234" s="27">
        <f>IFERROR(__xludf.DUMMYFUNCTION("""COMPUTED_VALUE"""),0.0)</f>
        <v>0</v>
      </c>
      <c r="J234" s="29">
        <f>IFERROR(__xludf.DUMMYFUNCTION("""COMPUTED_VALUE"""),77.0)</f>
        <v>77</v>
      </c>
      <c r="K234" s="29">
        <f>IFERROR(__xludf.DUMMYFUNCTION("""COMPUTED_VALUE"""),5.0)</f>
        <v>5</v>
      </c>
      <c r="L234" s="31" t="str">
        <f>IFERROR(__xludf.DUMMYFUNCTION("""COMPUTED_VALUE"""),"Adventure")</f>
        <v>Adventure</v>
      </c>
    </row>
    <row r="235">
      <c r="A235" s="17" t="str">
        <f>IFERROR(__xludf.DUMMYFUNCTION("""COMPUTED_VALUE"""),"Rainbow Billy: The Curse of the Leviathan")</f>
        <v>Rainbow Billy: The Curse of the Leviathan</v>
      </c>
      <c r="B235" s="20" t="str">
        <f>IFERROR(__xludf.DUMMYFUNCTION("""COMPUTED_VALUE"""),"Xbox / PC")</f>
        <v>Xbox / PC</v>
      </c>
      <c r="C235" s="20" t="str">
        <f>IFERROR(__xludf.DUMMYFUNCTION("""COMPUTED_VALUE"""),"Yes")</f>
        <v>Yes</v>
      </c>
      <c r="D235" s="21" t="str">
        <f>IFERROR(__xludf.DUMMYFUNCTION("""COMPUTED_VALUE"""),"Removed")</f>
        <v>Removed</v>
      </c>
      <c r="E235" s="127">
        <f>IFERROR(__xludf.DUMMYFUNCTION("""COMPUTED_VALUE"""),44910.0)</f>
        <v>44910</v>
      </c>
      <c r="F235" s="24">
        <f>IFERROR(__xludf.DUMMYFUNCTION("""COMPUTED_VALUE"""),45641.0)</f>
        <v>45641</v>
      </c>
      <c r="G235" s="27">
        <f>IFERROR(__xludf.DUMMYFUNCTION("""COMPUTED_VALUE"""),24.0)</f>
        <v>24</v>
      </c>
      <c r="H235" s="128">
        <f>IFERROR(__xludf.DUMMYFUNCTION("""COMPUTED_VALUE"""),44474.0)</f>
        <v>44474</v>
      </c>
      <c r="I235" s="27">
        <f>IFERROR(__xludf.DUMMYFUNCTION("""COMPUTED_VALUE"""),1.1944444444444444)</f>
        <v>1.194444444</v>
      </c>
      <c r="J235" s="29">
        <f>IFERROR(__xludf.DUMMYFUNCTION("""COMPUTED_VALUE"""),86.0)</f>
        <v>86</v>
      </c>
      <c r="K235" s="29">
        <f>IFERROR(__xludf.DUMMYFUNCTION("""COMPUTED_VALUE"""),12.0)</f>
        <v>12</v>
      </c>
      <c r="L235" s="31" t="str">
        <f>IFERROR(__xludf.DUMMYFUNCTION("""COMPUTED_VALUE"""),"RPG")</f>
        <v>RPG</v>
      </c>
    </row>
    <row r="236">
      <c r="A236" s="17" t="str">
        <f>IFERROR(__xludf.DUMMYFUNCTION("""COMPUTED_VALUE"""),"Forager")</f>
        <v>Forager</v>
      </c>
      <c r="B236" s="20" t="str">
        <f>IFERROR(__xludf.DUMMYFUNCTION("""COMPUTED_VALUE"""),"Xbox / PC")</f>
        <v>Xbox / PC</v>
      </c>
      <c r="C236" s="20" t="str">
        <f>IFERROR(__xludf.DUMMYFUNCTION("""COMPUTED_VALUE"""),"Yes")</f>
        <v>Yes</v>
      </c>
      <c r="D236" s="21" t="str">
        <f>IFERROR(__xludf.DUMMYFUNCTION("""COMPUTED_VALUE"""),"Removed")</f>
        <v>Removed</v>
      </c>
      <c r="E236" s="127">
        <f>IFERROR(__xludf.DUMMYFUNCTION("""COMPUTED_VALUE"""),44028.0)</f>
        <v>44028</v>
      </c>
      <c r="F236" s="24">
        <f>IFERROR(__xludf.DUMMYFUNCTION("""COMPUTED_VALUE"""),45641.0)</f>
        <v>45641</v>
      </c>
      <c r="G236" s="27">
        <f>IFERROR(__xludf.DUMMYFUNCTION("""COMPUTED_VALUE"""),52.96666666666667)</f>
        <v>52.96666667</v>
      </c>
      <c r="H236" s="128">
        <f>IFERROR(__xludf.DUMMYFUNCTION("""COMPUTED_VALUE"""),43573.0)</f>
        <v>43573</v>
      </c>
      <c r="I236" s="27">
        <f>IFERROR(__xludf.DUMMYFUNCTION("""COMPUTED_VALUE"""),1.2444444444444445)</f>
        <v>1.244444444</v>
      </c>
      <c r="J236" s="29">
        <f>IFERROR(__xludf.DUMMYFUNCTION("""COMPUTED_VALUE"""),78.0)</f>
        <v>78</v>
      </c>
      <c r="K236" s="29">
        <f>IFERROR(__xludf.DUMMYFUNCTION("""COMPUTED_VALUE"""),13.5)</f>
        <v>13.5</v>
      </c>
      <c r="L236" s="31" t="str">
        <f>IFERROR(__xludf.DUMMYFUNCTION("""COMPUTED_VALUE"""),"Adventure")</f>
        <v>Adventure</v>
      </c>
    </row>
    <row r="237">
      <c r="A237" s="17" t="str">
        <f>IFERROR(__xludf.DUMMYFUNCTION("""COMPUTED_VALUE"""),"Forza Horizon 4")</f>
        <v>Forza Horizon 4</v>
      </c>
      <c r="B237" s="20" t="str">
        <f>IFERROR(__xludf.DUMMYFUNCTION("""COMPUTED_VALUE"""),"Xbox / PC")</f>
        <v>Xbox / PC</v>
      </c>
      <c r="C237" s="20" t="str">
        <f>IFERROR(__xludf.DUMMYFUNCTION("""COMPUTED_VALUE"""),"Yes")</f>
        <v>Yes</v>
      </c>
      <c r="D237" s="21" t="str">
        <f>IFERROR(__xludf.DUMMYFUNCTION("""COMPUTED_VALUE"""),"Removed")</f>
        <v>Removed</v>
      </c>
      <c r="E237" s="127">
        <f>IFERROR(__xludf.DUMMYFUNCTION("""COMPUTED_VALUE"""),43375.0)</f>
        <v>43375</v>
      </c>
      <c r="F237" s="24">
        <f>IFERROR(__xludf.DUMMYFUNCTION("""COMPUTED_VALUE"""),45641.0)</f>
        <v>45641</v>
      </c>
      <c r="G237" s="27">
        <f>IFERROR(__xludf.DUMMYFUNCTION("""COMPUTED_VALUE"""),74.43333333333334)</f>
        <v>74.43333333</v>
      </c>
      <c r="H237" s="128">
        <f>IFERROR(__xludf.DUMMYFUNCTION("""COMPUTED_VALUE"""),43371.0)</f>
        <v>43371</v>
      </c>
      <c r="I237" s="27">
        <f>IFERROR(__xludf.DUMMYFUNCTION("""COMPUTED_VALUE"""),0.011111111111111112)</f>
        <v>0.01111111111</v>
      </c>
      <c r="J237" s="29">
        <f>IFERROR(__xludf.DUMMYFUNCTION("""COMPUTED_VALUE"""),92.0)</f>
        <v>92</v>
      </c>
      <c r="K237" s="29">
        <f>IFERROR(__xludf.DUMMYFUNCTION("""COMPUTED_VALUE"""),11.0)</f>
        <v>11</v>
      </c>
      <c r="L237" s="31" t="str">
        <f>IFERROR(__xludf.DUMMYFUNCTION("""COMPUTED_VALUE"""),"Racing")</f>
        <v>Racing</v>
      </c>
    </row>
    <row r="238">
      <c r="A238" s="17" t="str">
        <f>IFERROR(__xludf.DUMMYFUNCTION("""COMPUTED_VALUE"""),"While the Iron's Hot")</f>
        <v>While the Iron's Hot</v>
      </c>
      <c r="B238" s="20" t="str">
        <f>IFERROR(__xludf.DUMMYFUNCTION("""COMPUTED_VALUE"""),"Xbox / PC")</f>
        <v>Xbox / PC</v>
      </c>
      <c r="C238" s="20" t="str">
        <f>IFERROR(__xludf.DUMMYFUNCTION("""COMPUTED_VALUE"""),"Yes")</f>
        <v>Yes</v>
      </c>
      <c r="D238" s="21" t="str">
        <f>IFERROR(__xludf.DUMMYFUNCTION("""COMPUTED_VALUE"""),"Removed")</f>
        <v>Removed</v>
      </c>
      <c r="E238" s="127">
        <f>IFERROR(__xludf.DUMMYFUNCTION("""COMPUTED_VALUE"""),45265.0)</f>
        <v>45265</v>
      </c>
      <c r="F238" s="24">
        <f>IFERROR(__xludf.DUMMYFUNCTION("""COMPUTED_VALUE"""),45626.0)</f>
        <v>45626</v>
      </c>
      <c r="G238" s="27">
        <f>IFERROR(__xludf.DUMMYFUNCTION("""COMPUTED_VALUE"""),11.833333333333334)</f>
        <v>11.83333333</v>
      </c>
      <c r="H238" s="128">
        <f>IFERROR(__xludf.DUMMYFUNCTION("""COMPUTED_VALUE"""),45265.0)</f>
        <v>45265</v>
      </c>
      <c r="I238" s="27">
        <f>IFERROR(__xludf.DUMMYFUNCTION("""COMPUTED_VALUE"""),0.0)</f>
        <v>0</v>
      </c>
      <c r="J238" s="29">
        <f>IFERROR(__xludf.DUMMYFUNCTION("""COMPUTED_VALUE"""),63.0)</f>
        <v>63</v>
      </c>
      <c r="K238" s="29">
        <f>IFERROR(__xludf.DUMMYFUNCTION("""COMPUTED_VALUE"""),17.0)</f>
        <v>17</v>
      </c>
      <c r="L238" s="31" t="str">
        <f>IFERROR(__xludf.DUMMYFUNCTION("""COMPUTED_VALUE"""),"Adventure")</f>
        <v>Adventure</v>
      </c>
    </row>
    <row r="239">
      <c r="A239" s="17" t="str">
        <f>IFERROR(__xludf.DUMMYFUNCTION("""COMPUTED_VALUE"""),"Spirit of the North: Enhanced Edition")</f>
        <v>Spirit of the North: Enhanced Edition</v>
      </c>
      <c r="B239" s="20" t="str">
        <f>IFERROR(__xludf.DUMMYFUNCTION("""COMPUTED_VALUE"""),"Xbox / PC")</f>
        <v>Xbox / PC</v>
      </c>
      <c r="C239" s="20" t="str">
        <f>IFERROR(__xludf.DUMMYFUNCTION("""COMPUTED_VALUE"""),"Yes")</f>
        <v>Yes</v>
      </c>
      <c r="D239" s="21" t="str">
        <f>IFERROR(__xludf.DUMMYFUNCTION("""COMPUTED_VALUE"""),"Removed")</f>
        <v>Removed</v>
      </c>
      <c r="E239" s="127">
        <f>IFERROR(__xludf.DUMMYFUNCTION("""COMPUTED_VALUE"""),45261.0)</f>
        <v>45261</v>
      </c>
      <c r="F239" s="24">
        <f>IFERROR(__xludf.DUMMYFUNCTION("""COMPUTED_VALUE"""),45626.0)</f>
        <v>45626</v>
      </c>
      <c r="G239" s="27">
        <f>IFERROR(__xludf.DUMMYFUNCTION("""COMPUTED_VALUE"""),11.966666666666667)</f>
        <v>11.96666667</v>
      </c>
      <c r="H239" s="128">
        <f>IFERROR(__xludf.DUMMYFUNCTION("""COMPUTED_VALUE"""),43770.0)</f>
        <v>43770</v>
      </c>
      <c r="I239" s="27">
        <f>IFERROR(__xludf.DUMMYFUNCTION("""COMPUTED_VALUE"""),4.083333333333333)</f>
        <v>4.083333333</v>
      </c>
      <c r="J239" s="29">
        <f>IFERROR(__xludf.DUMMYFUNCTION("""COMPUTED_VALUE"""),64.0)</f>
        <v>64</v>
      </c>
      <c r="K239" s="29">
        <f>IFERROR(__xludf.DUMMYFUNCTION("""COMPUTED_VALUE"""),5.0)</f>
        <v>5</v>
      </c>
      <c r="L239" s="31" t="str">
        <f>IFERROR(__xludf.DUMMYFUNCTION("""COMPUTED_VALUE"""),"Platformer")</f>
        <v>Platformer</v>
      </c>
    </row>
    <row r="240">
      <c r="A240" s="17" t="str">
        <f>IFERROR(__xludf.DUMMYFUNCTION("""COMPUTED_VALUE"""),"Remnant: From the Ashes")</f>
        <v>Remnant: From the Ashes</v>
      </c>
      <c r="B240" s="20" t="str">
        <f>IFERROR(__xludf.DUMMYFUNCTION("""COMPUTED_VALUE"""),"Xbox / PC")</f>
        <v>Xbox / PC</v>
      </c>
      <c r="C240" s="20" t="str">
        <f>IFERROR(__xludf.DUMMYFUNCTION("""COMPUTED_VALUE"""),"Yes")</f>
        <v>Yes</v>
      </c>
      <c r="D240" s="21" t="str">
        <f>IFERROR(__xludf.DUMMYFUNCTION("""COMPUTED_VALUE"""),"Removed")</f>
        <v>Removed</v>
      </c>
      <c r="E240" s="127">
        <f>IFERROR(__xludf.DUMMYFUNCTION("""COMPUTED_VALUE"""),45259.0)</f>
        <v>45259</v>
      </c>
      <c r="F240" s="24">
        <f>IFERROR(__xludf.DUMMYFUNCTION("""COMPUTED_VALUE"""),45626.0)</f>
        <v>45626</v>
      </c>
      <c r="G240" s="27">
        <f>IFERROR(__xludf.DUMMYFUNCTION("""COMPUTED_VALUE"""),12.033333333333333)</f>
        <v>12.03333333</v>
      </c>
      <c r="H240" s="128">
        <f>IFERROR(__xludf.DUMMYFUNCTION("""COMPUTED_VALUE"""),43697.0)</f>
        <v>43697</v>
      </c>
      <c r="I240" s="27">
        <f>IFERROR(__xludf.DUMMYFUNCTION("""COMPUTED_VALUE"""),4.275)</f>
        <v>4.275</v>
      </c>
      <c r="J240" s="29">
        <f>IFERROR(__xludf.DUMMYFUNCTION("""COMPUTED_VALUE"""),81.0)</f>
        <v>81</v>
      </c>
      <c r="K240" s="29">
        <f>IFERROR(__xludf.DUMMYFUNCTION("""COMPUTED_VALUE"""),13.5)</f>
        <v>13.5</v>
      </c>
      <c r="L240" s="31" t="str">
        <f>IFERROR(__xludf.DUMMYFUNCTION("""COMPUTED_VALUE"""),"Shooter")</f>
        <v>Shooter</v>
      </c>
    </row>
    <row r="241">
      <c r="A241" s="17" t="str">
        <f>IFERROR(__xludf.DUMMYFUNCTION("""COMPUTED_VALUE"""),"Rollerdrome")</f>
        <v>Rollerdrome</v>
      </c>
      <c r="B241" s="20" t="str">
        <f>IFERROR(__xludf.DUMMYFUNCTION("""COMPUTED_VALUE"""),"Xbox / PC")</f>
        <v>Xbox / PC</v>
      </c>
      <c r="C241" s="20" t="str">
        <f>IFERROR(__xludf.DUMMYFUNCTION("""COMPUTED_VALUE"""),"Yes")</f>
        <v>Yes</v>
      </c>
      <c r="D241" s="21" t="str">
        <f>IFERROR(__xludf.DUMMYFUNCTION("""COMPUTED_VALUE"""),"Removed")</f>
        <v>Removed</v>
      </c>
      <c r="E241" s="128">
        <f>IFERROR(__xludf.DUMMYFUNCTION("""COMPUTED_VALUE"""),45258.0)</f>
        <v>45258</v>
      </c>
      <c r="F241" s="24">
        <f>IFERROR(__xludf.DUMMYFUNCTION("""COMPUTED_VALUE"""),45626.0)</f>
        <v>45626</v>
      </c>
      <c r="G241" s="27">
        <f>IFERROR(__xludf.DUMMYFUNCTION("""COMPUTED_VALUE"""),12.066666666666666)</f>
        <v>12.06666667</v>
      </c>
      <c r="H241" s="128">
        <f>IFERROR(__xludf.DUMMYFUNCTION("""COMPUTED_VALUE"""),44789.0)</f>
        <v>44789</v>
      </c>
      <c r="I241" s="27">
        <f>IFERROR(__xludf.DUMMYFUNCTION("""COMPUTED_VALUE"""),1.2833333333333334)</f>
        <v>1.283333333</v>
      </c>
      <c r="J241" s="29">
        <f>IFERROR(__xludf.DUMMYFUNCTION("""COMPUTED_VALUE"""),79.0)</f>
        <v>79</v>
      </c>
      <c r="K241" s="29">
        <f>IFERROR(__xludf.DUMMYFUNCTION("""COMPUTED_VALUE"""),5.0)</f>
        <v>5</v>
      </c>
      <c r="L241" s="31" t="str">
        <f>IFERROR(__xludf.DUMMYFUNCTION("""COMPUTED_VALUE"""),"Action")</f>
        <v>Action</v>
      </c>
    </row>
    <row r="242">
      <c r="A242" s="17" t="str">
        <f>IFERROR(__xludf.DUMMYFUNCTION("""COMPUTED_VALUE"""),"Hello Neighbor 2")</f>
        <v>Hello Neighbor 2</v>
      </c>
      <c r="B242" s="20" t="str">
        <f>IFERROR(__xludf.DUMMYFUNCTION("""COMPUTED_VALUE"""),"Xbox / PC")</f>
        <v>Xbox / PC</v>
      </c>
      <c r="C242" s="20" t="str">
        <f>IFERROR(__xludf.DUMMYFUNCTION("""COMPUTED_VALUE"""),"Yes")</f>
        <v>Yes</v>
      </c>
      <c r="D242" s="21" t="str">
        <f>IFERROR(__xludf.DUMMYFUNCTION("""COMPUTED_VALUE"""),"Removed")</f>
        <v>Removed</v>
      </c>
      <c r="E242" s="128">
        <f>IFERROR(__xludf.DUMMYFUNCTION("""COMPUTED_VALUE"""),44901.0)</f>
        <v>44901</v>
      </c>
      <c r="F242" s="24">
        <f>IFERROR(__xludf.DUMMYFUNCTION("""COMPUTED_VALUE"""),45626.0)</f>
        <v>45626</v>
      </c>
      <c r="G242" s="27">
        <f>IFERROR(__xludf.DUMMYFUNCTION("""COMPUTED_VALUE"""),23.8)</f>
        <v>23.8</v>
      </c>
      <c r="H242" s="128">
        <f>IFERROR(__xludf.DUMMYFUNCTION("""COMPUTED_VALUE"""),44901.0)</f>
        <v>44901</v>
      </c>
      <c r="I242" s="27">
        <f>IFERROR(__xludf.DUMMYFUNCTION("""COMPUTED_VALUE"""),0.0)</f>
        <v>0</v>
      </c>
      <c r="J242" s="29">
        <f>IFERROR(__xludf.DUMMYFUNCTION("""COMPUTED_VALUE"""),56.0)</f>
        <v>56</v>
      </c>
      <c r="K242" s="29">
        <f>IFERROR(__xludf.DUMMYFUNCTION("""COMPUTED_VALUE"""),5.0)</f>
        <v>5</v>
      </c>
      <c r="L242" s="31" t="str">
        <f>IFERROR(__xludf.DUMMYFUNCTION("""COMPUTED_VALUE"""),"Action-Adventure")</f>
        <v>Action-Adventure</v>
      </c>
    </row>
    <row r="243">
      <c r="A243" s="17" t="str">
        <f>IFERROR(__xludf.DUMMYFUNCTION("""COMPUTED_VALUE"""),"Soccer Story")</f>
        <v>Soccer Story</v>
      </c>
      <c r="B243" s="20" t="str">
        <f>IFERROR(__xludf.DUMMYFUNCTION("""COMPUTED_VALUE"""),"Xbox / PC")</f>
        <v>Xbox / PC</v>
      </c>
      <c r="C243" s="20" t="str">
        <f>IFERROR(__xludf.DUMMYFUNCTION("""COMPUTED_VALUE"""),"Yes")</f>
        <v>Yes</v>
      </c>
      <c r="D243" s="21" t="str">
        <f>IFERROR(__xludf.DUMMYFUNCTION("""COMPUTED_VALUE"""),"Removed")</f>
        <v>Removed</v>
      </c>
      <c r="E243" s="128">
        <f>IFERROR(__xludf.DUMMYFUNCTION("""COMPUTED_VALUE"""),44894.0)</f>
        <v>44894</v>
      </c>
      <c r="F243" s="24">
        <f>IFERROR(__xludf.DUMMYFUNCTION("""COMPUTED_VALUE"""),45626.0)</f>
        <v>45626</v>
      </c>
      <c r="G243" s="27">
        <f>IFERROR(__xludf.DUMMYFUNCTION("""COMPUTED_VALUE"""),24.03333333333333)</f>
        <v>24.03333333</v>
      </c>
      <c r="H243" s="128">
        <f>IFERROR(__xludf.DUMMYFUNCTION("""COMPUTED_VALUE"""),44894.0)</f>
        <v>44894</v>
      </c>
      <c r="I243" s="27">
        <f>IFERROR(__xludf.DUMMYFUNCTION("""COMPUTED_VALUE"""),0.0)</f>
        <v>0</v>
      </c>
      <c r="J243" s="29">
        <f>IFERROR(__xludf.DUMMYFUNCTION("""COMPUTED_VALUE"""),71.0)</f>
        <v>71</v>
      </c>
      <c r="K243" s="29">
        <f>IFERROR(__xludf.DUMMYFUNCTION("""COMPUTED_VALUE"""),10.0)</f>
        <v>10</v>
      </c>
      <c r="L243" s="31" t="str">
        <f>IFERROR(__xludf.DUMMYFUNCTION("""COMPUTED_VALUE"""),"RPG")</f>
        <v>RPG</v>
      </c>
    </row>
    <row r="244">
      <c r="A244" s="17" t="str">
        <f>IFERROR(__xludf.DUMMYFUNCTION("""COMPUTED_VALUE"""),"Conan Exiles")</f>
        <v>Conan Exiles</v>
      </c>
      <c r="B244" s="20" t="str">
        <f>IFERROR(__xludf.DUMMYFUNCTION("""COMPUTED_VALUE"""),"Xbox / PC")</f>
        <v>Xbox / PC</v>
      </c>
      <c r="C244" s="20" t="str">
        <f>IFERROR(__xludf.DUMMYFUNCTION("""COMPUTED_VALUE"""),"Yes")</f>
        <v>Yes</v>
      </c>
      <c r="D244" s="21" t="str">
        <f>IFERROR(__xludf.DUMMYFUNCTION("""COMPUTED_VALUE"""),"Removed")</f>
        <v>Removed</v>
      </c>
      <c r="E244" s="128">
        <f>IFERROR(__xludf.DUMMYFUNCTION("""COMPUTED_VALUE"""),44341.0)</f>
        <v>44341</v>
      </c>
      <c r="F244" s="24">
        <f>IFERROR(__xludf.DUMMYFUNCTION("""COMPUTED_VALUE"""),45626.0)</f>
        <v>45626</v>
      </c>
      <c r="G244" s="27">
        <f>IFERROR(__xludf.DUMMYFUNCTION("""COMPUTED_VALUE"""),42.166666666666664)</f>
        <v>42.16666667</v>
      </c>
      <c r="H244" s="128">
        <f>IFERROR(__xludf.DUMMYFUNCTION("""COMPUTED_VALUE"""),43238.0)</f>
        <v>43238</v>
      </c>
      <c r="I244" s="27">
        <f>IFERROR(__xludf.DUMMYFUNCTION("""COMPUTED_VALUE"""),3.0194444444444444)</f>
        <v>3.019444444</v>
      </c>
      <c r="J244" s="29">
        <f>IFERROR(__xludf.DUMMYFUNCTION("""COMPUTED_VALUE"""),64.0)</f>
        <v>64</v>
      </c>
      <c r="K244" s="29">
        <f>IFERROR(__xludf.DUMMYFUNCTION("""COMPUTED_VALUE"""),33.0)</f>
        <v>33</v>
      </c>
      <c r="L244" s="31" t="str">
        <f>IFERROR(__xludf.DUMMYFUNCTION("""COMPUTED_VALUE"""),"RPG")</f>
        <v>RPG</v>
      </c>
    </row>
    <row r="245">
      <c r="A245" s="17" t="str">
        <f>IFERROR(__xludf.DUMMYFUNCTION("""COMPUTED_VALUE"""),"Persona 5: Tactica")</f>
        <v>Persona 5: Tactica</v>
      </c>
      <c r="B245" s="20" t="str">
        <f>IFERROR(__xludf.DUMMYFUNCTION("""COMPUTED_VALUE"""),"Xbox / PC")</f>
        <v>Xbox / PC</v>
      </c>
      <c r="C245" s="20" t="str">
        <f>IFERROR(__xludf.DUMMYFUNCTION("""COMPUTED_VALUE"""),"Yes")</f>
        <v>Yes</v>
      </c>
      <c r="D245" s="21" t="str">
        <f>IFERROR(__xludf.DUMMYFUNCTION("""COMPUTED_VALUE"""),"Removed")</f>
        <v>Removed</v>
      </c>
      <c r="E245" s="128">
        <f>IFERROR(__xludf.DUMMYFUNCTION("""COMPUTED_VALUE"""),45247.0)</f>
        <v>45247</v>
      </c>
      <c r="F245" s="24">
        <f>IFERROR(__xludf.DUMMYFUNCTION("""COMPUTED_VALUE"""),45611.0)</f>
        <v>45611</v>
      </c>
      <c r="G245" s="27">
        <f>IFERROR(__xludf.DUMMYFUNCTION("""COMPUTED_VALUE"""),11.933333333333334)</f>
        <v>11.93333333</v>
      </c>
      <c r="H245" s="128">
        <f>IFERROR(__xludf.DUMMYFUNCTION("""COMPUTED_VALUE"""),45247.0)</f>
        <v>45247</v>
      </c>
      <c r="I245" s="27">
        <f>IFERROR(__xludf.DUMMYFUNCTION("""COMPUTED_VALUE"""),0.0)</f>
        <v>0</v>
      </c>
      <c r="J245" s="29">
        <f>IFERROR(__xludf.DUMMYFUNCTION("""COMPUTED_VALUE"""),75.0)</f>
        <v>75</v>
      </c>
      <c r="K245" s="29">
        <f>IFERROR(__xludf.DUMMYFUNCTION("""COMPUTED_VALUE"""),23.0)</f>
        <v>23</v>
      </c>
      <c r="L245" s="31" t="str">
        <f>IFERROR(__xludf.DUMMYFUNCTION("""COMPUTED_VALUE"""),"RPG")</f>
        <v>RPG</v>
      </c>
    </row>
    <row r="246">
      <c r="A246" s="17" t="str">
        <f>IFERROR(__xludf.DUMMYFUNCTION("""COMPUTED_VALUE"""),"Dungeons 4")</f>
        <v>Dungeons 4</v>
      </c>
      <c r="B246" s="20" t="str">
        <f>IFERROR(__xludf.DUMMYFUNCTION("""COMPUTED_VALUE"""),"Xbox / PC")</f>
        <v>Xbox / PC</v>
      </c>
      <c r="C246" s="20" t="str">
        <f>IFERROR(__xludf.DUMMYFUNCTION("""COMPUTED_VALUE"""),"Yes")</f>
        <v>Yes</v>
      </c>
      <c r="D246" s="21" t="str">
        <f>IFERROR(__xludf.DUMMYFUNCTION("""COMPUTED_VALUE"""),"Removed")</f>
        <v>Removed</v>
      </c>
      <c r="E246" s="128">
        <f>IFERROR(__xludf.DUMMYFUNCTION("""COMPUTED_VALUE"""),45239.0)</f>
        <v>45239</v>
      </c>
      <c r="F246" s="24">
        <f>IFERROR(__xludf.DUMMYFUNCTION("""COMPUTED_VALUE"""),45611.0)</f>
        <v>45611</v>
      </c>
      <c r="G246" s="27">
        <f>IFERROR(__xludf.DUMMYFUNCTION("""COMPUTED_VALUE"""),12.2)</f>
        <v>12.2</v>
      </c>
      <c r="H246" s="128">
        <f>IFERROR(__xludf.DUMMYFUNCTION("""COMPUTED_VALUE"""),45239.0)</f>
        <v>45239</v>
      </c>
      <c r="I246" s="27">
        <f>IFERROR(__xludf.DUMMYFUNCTION("""COMPUTED_VALUE"""),0.0)</f>
        <v>0</v>
      </c>
      <c r="J246" s="29">
        <f>IFERROR(__xludf.DUMMYFUNCTION("""COMPUTED_VALUE"""),76.0)</f>
        <v>76</v>
      </c>
      <c r="K246" s="29">
        <f>IFERROR(__xludf.DUMMYFUNCTION("""COMPUTED_VALUE"""),27.0)</f>
        <v>27</v>
      </c>
      <c r="L246" s="31" t="str">
        <f>IFERROR(__xludf.DUMMYFUNCTION("""COMPUTED_VALUE"""),"Strategy")</f>
        <v>Strategy</v>
      </c>
    </row>
    <row r="247">
      <c r="A247" s="17" t="str">
        <f>IFERROR(__xludf.DUMMYFUNCTION("""COMPUTED_VALUE"""),"Like a Dragon Gaiden: The Man Who Erased His Name")</f>
        <v>Like a Dragon Gaiden: The Man Who Erased His Name</v>
      </c>
      <c r="B247" s="20" t="str">
        <f>IFERROR(__xludf.DUMMYFUNCTION("""COMPUTED_VALUE"""),"Xbox / PC")</f>
        <v>Xbox / PC</v>
      </c>
      <c r="C247" s="20" t="str">
        <f>IFERROR(__xludf.DUMMYFUNCTION("""COMPUTED_VALUE"""),"Yes")</f>
        <v>Yes</v>
      </c>
      <c r="D247" s="21" t="str">
        <f>IFERROR(__xludf.DUMMYFUNCTION("""COMPUTED_VALUE"""),"Removed")</f>
        <v>Removed</v>
      </c>
      <c r="E247" s="128">
        <f>IFERROR(__xludf.DUMMYFUNCTION("""COMPUTED_VALUE"""),45239.0)</f>
        <v>45239</v>
      </c>
      <c r="F247" s="24">
        <f>IFERROR(__xludf.DUMMYFUNCTION("""COMPUTED_VALUE"""),45611.0)</f>
        <v>45611</v>
      </c>
      <c r="G247" s="27">
        <f>IFERROR(__xludf.DUMMYFUNCTION("""COMPUTED_VALUE"""),12.2)</f>
        <v>12.2</v>
      </c>
      <c r="H247" s="128">
        <f>IFERROR(__xludf.DUMMYFUNCTION("""COMPUTED_VALUE"""),45239.0)</f>
        <v>45239</v>
      </c>
      <c r="I247" s="27">
        <f>IFERROR(__xludf.DUMMYFUNCTION("""COMPUTED_VALUE"""),0.0)</f>
        <v>0</v>
      </c>
      <c r="J247" s="29">
        <f>IFERROR(__xludf.DUMMYFUNCTION("""COMPUTED_VALUE"""),79.0)</f>
        <v>79</v>
      </c>
      <c r="K247" s="29">
        <f>IFERROR(__xludf.DUMMYFUNCTION("""COMPUTED_VALUE"""),11.0)</f>
        <v>11</v>
      </c>
      <c r="L247" s="31" t="str">
        <f>IFERROR(__xludf.DUMMYFUNCTION("""COMPUTED_VALUE"""),"Action-Adventure")</f>
        <v>Action-Adventure</v>
      </c>
    </row>
    <row r="248">
      <c r="A248" s="17" t="str">
        <f>IFERROR(__xludf.DUMMYFUNCTION("""COMPUTED_VALUE"""),"Like a Dragon: Ishin!")</f>
        <v>Like a Dragon: Ishin!</v>
      </c>
      <c r="B248" s="20" t="str">
        <f>IFERROR(__xludf.DUMMYFUNCTION("""COMPUTED_VALUE"""),"Xbox / PC")</f>
        <v>Xbox / PC</v>
      </c>
      <c r="C248" s="20" t="str">
        <f>IFERROR(__xludf.DUMMYFUNCTION("""COMPUTED_VALUE"""),"Yes")</f>
        <v>Yes</v>
      </c>
      <c r="D248" s="21" t="str">
        <f>IFERROR(__xludf.DUMMYFUNCTION("""COMPUTED_VALUE"""),"Removed")</f>
        <v>Removed</v>
      </c>
      <c r="E248" s="128">
        <f>IFERROR(__xludf.DUMMYFUNCTION("""COMPUTED_VALUE"""),45216.0)</f>
        <v>45216</v>
      </c>
      <c r="F248" s="24">
        <f>IFERROR(__xludf.DUMMYFUNCTION("""COMPUTED_VALUE"""),45611.0)</f>
        <v>45611</v>
      </c>
      <c r="G248" s="27">
        <f>IFERROR(__xludf.DUMMYFUNCTION("""COMPUTED_VALUE"""),12.933333333333334)</f>
        <v>12.93333333</v>
      </c>
      <c r="H248" s="128">
        <f>IFERROR(__xludf.DUMMYFUNCTION("""COMPUTED_VALUE"""),44978.0)</f>
        <v>44978</v>
      </c>
      <c r="I248" s="27">
        <f>IFERROR(__xludf.DUMMYFUNCTION("""COMPUTED_VALUE"""),0.6555555555555556)</f>
        <v>0.6555555556</v>
      </c>
      <c r="J248" s="29">
        <f>IFERROR(__xludf.DUMMYFUNCTION("""COMPUTED_VALUE"""),81.0)</f>
        <v>81</v>
      </c>
      <c r="K248" s="29">
        <f>IFERROR(__xludf.DUMMYFUNCTION("""COMPUTED_VALUE"""),24.0)</f>
        <v>24</v>
      </c>
      <c r="L248" s="31" t="str">
        <f>IFERROR(__xludf.DUMMYFUNCTION("""COMPUTED_VALUE"""),"RPG")</f>
        <v>RPG</v>
      </c>
    </row>
    <row r="249">
      <c r="A249" s="17" t="str">
        <f>IFERROR(__xludf.DUMMYFUNCTION("""COMPUTED_VALUE"""),"Goat Simulator")</f>
        <v>Goat Simulator</v>
      </c>
      <c r="B249" s="20" t="str">
        <f>IFERROR(__xludf.DUMMYFUNCTION("""COMPUTED_VALUE"""),"Xbox / PC")</f>
        <v>Xbox / PC</v>
      </c>
      <c r="C249" s="20" t="str">
        <f>IFERROR(__xludf.DUMMYFUNCTION("""COMPUTED_VALUE"""),"Yes")</f>
        <v>Yes</v>
      </c>
      <c r="D249" s="21" t="str">
        <f>IFERROR(__xludf.DUMMYFUNCTION("""COMPUTED_VALUE"""),"Removed")</f>
        <v>Removed</v>
      </c>
      <c r="E249" s="128">
        <f>IFERROR(__xludf.DUMMYFUNCTION("""COMPUTED_VALUE"""),45020.0)</f>
        <v>45020</v>
      </c>
      <c r="F249" s="24">
        <f>IFERROR(__xludf.DUMMYFUNCTION("""COMPUTED_VALUE"""),45611.0)</f>
        <v>45611</v>
      </c>
      <c r="G249" s="27">
        <f>IFERROR(__xludf.DUMMYFUNCTION("""COMPUTED_VALUE"""),19.366666666666667)</f>
        <v>19.36666667</v>
      </c>
      <c r="H249" s="128">
        <f>IFERROR(__xludf.DUMMYFUNCTION("""COMPUTED_VALUE"""),41730.0)</f>
        <v>41730</v>
      </c>
      <c r="I249" s="27">
        <f>IFERROR(__xludf.DUMMYFUNCTION("""COMPUTED_VALUE"""),9.008333333333333)</f>
        <v>9.008333333</v>
      </c>
      <c r="J249" s="29">
        <f>IFERROR(__xludf.DUMMYFUNCTION("""COMPUTED_VALUE"""),58.0)</f>
        <v>58</v>
      </c>
      <c r="K249" s="29">
        <f>IFERROR(__xludf.DUMMYFUNCTION("""COMPUTED_VALUE"""),2.0)</f>
        <v>2</v>
      </c>
      <c r="L249" s="31" t="str">
        <f>IFERROR(__xludf.DUMMYFUNCTION("""COMPUTED_VALUE"""),"Simulation")</f>
        <v>Simulation</v>
      </c>
    </row>
    <row r="250">
      <c r="A250" s="17" t="str">
        <f>IFERROR(__xludf.DUMMYFUNCTION("""COMPUTED_VALUE"""),"Somerville")</f>
        <v>Somerville</v>
      </c>
      <c r="B250" s="20" t="str">
        <f>IFERROR(__xludf.DUMMYFUNCTION("""COMPUTED_VALUE"""),"Xbox / PC")</f>
        <v>Xbox / PC</v>
      </c>
      <c r="C250" s="20"/>
      <c r="D250" s="21" t="str">
        <f>IFERROR(__xludf.DUMMYFUNCTION("""COMPUTED_VALUE"""),"Removed")</f>
        <v>Removed</v>
      </c>
      <c r="E250" s="128">
        <f>IFERROR(__xludf.DUMMYFUNCTION("""COMPUTED_VALUE"""),44880.0)</f>
        <v>44880</v>
      </c>
      <c r="F250" s="24">
        <f>IFERROR(__xludf.DUMMYFUNCTION("""COMPUTED_VALUE"""),45611.0)</f>
        <v>45611</v>
      </c>
      <c r="G250" s="27">
        <f>IFERROR(__xludf.DUMMYFUNCTION("""COMPUTED_VALUE"""),24.0)</f>
        <v>24</v>
      </c>
      <c r="H250" s="128">
        <f>IFERROR(__xludf.DUMMYFUNCTION("""COMPUTED_VALUE"""),44880.0)</f>
        <v>44880</v>
      </c>
      <c r="I250" s="27">
        <f>IFERROR(__xludf.DUMMYFUNCTION("""COMPUTED_VALUE"""),0.0)</f>
        <v>0</v>
      </c>
      <c r="J250" s="29">
        <f>IFERROR(__xludf.DUMMYFUNCTION("""COMPUTED_VALUE"""),82.0)</f>
        <v>82</v>
      </c>
      <c r="K250" s="29">
        <f>IFERROR(__xludf.DUMMYFUNCTION("""COMPUTED_VALUE"""),3.0)</f>
        <v>3</v>
      </c>
      <c r="L250" s="31" t="str">
        <f>IFERROR(__xludf.DUMMYFUNCTION("""COMPUTED_VALUE"""),"Adventure")</f>
        <v>Adventure</v>
      </c>
    </row>
    <row r="251">
      <c r="A251" s="17" t="str">
        <f>IFERROR(__xludf.DUMMYFUNCTION("""COMPUTED_VALUE"""),"Dicey Dungeons")</f>
        <v>Dicey Dungeons</v>
      </c>
      <c r="B251" s="20" t="str">
        <f>IFERROR(__xludf.DUMMYFUNCTION("""COMPUTED_VALUE"""),"Xbox / PC")</f>
        <v>Xbox / PC</v>
      </c>
      <c r="C251" s="20" t="str">
        <f>IFERROR(__xludf.DUMMYFUNCTION("""COMPUTED_VALUE"""),"Touch Controls")</f>
        <v>Touch Controls</v>
      </c>
      <c r="D251" s="21" t="str">
        <f>IFERROR(__xludf.DUMMYFUNCTION("""COMPUTED_VALUE"""),"Removed")</f>
        <v>Removed</v>
      </c>
      <c r="E251" s="128">
        <f>IFERROR(__xludf.DUMMYFUNCTION("""COMPUTED_VALUE"""),44511.0)</f>
        <v>44511</v>
      </c>
      <c r="F251" s="24">
        <f>IFERROR(__xludf.DUMMYFUNCTION("""COMPUTED_VALUE"""),45611.0)</f>
        <v>45611</v>
      </c>
      <c r="G251" s="27">
        <f>IFERROR(__xludf.DUMMYFUNCTION("""COMPUTED_VALUE"""),36.13333333333333)</f>
        <v>36.13333333</v>
      </c>
      <c r="H251" s="128">
        <f>IFERROR(__xludf.DUMMYFUNCTION("""COMPUTED_VALUE"""),43690.0)</f>
        <v>43690</v>
      </c>
      <c r="I251" s="27">
        <f>IFERROR(__xludf.DUMMYFUNCTION("""COMPUTED_VALUE"""),2.2444444444444445)</f>
        <v>2.244444444</v>
      </c>
      <c r="J251" s="29">
        <f>IFERROR(__xludf.DUMMYFUNCTION("""COMPUTED_VALUE"""),80.0)</f>
        <v>80</v>
      </c>
      <c r="K251" s="29">
        <f>IFERROR(__xludf.DUMMYFUNCTION("""COMPUTED_VALUE"""),25.5)</f>
        <v>25.5</v>
      </c>
      <c r="L251" s="31" t="str">
        <f>IFERROR(__xludf.DUMMYFUNCTION("""COMPUTED_VALUE"""),"RPG")</f>
        <v>RPG</v>
      </c>
    </row>
    <row r="252">
      <c r="A252" s="17" t="str">
        <f>IFERROR(__xludf.DUMMYFUNCTION("""COMPUTED_VALUE"""),"Headbangers: Rhythm Royale")</f>
        <v>Headbangers: Rhythm Royale</v>
      </c>
      <c r="B252" s="20" t="str">
        <f>IFERROR(__xludf.DUMMYFUNCTION("""COMPUTED_VALUE"""),"Xbox / PC")</f>
        <v>Xbox / PC</v>
      </c>
      <c r="C252" s="20" t="str">
        <f>IFERROR(__xludf.DUMMYFUNCTION("""COMPUTED_VALUE"""),"Yes")</f>
        <v>Yes</v>
      </c>
      <c r="D252" s="21" t="str">
        <f>IFERROR(__xludf.DUMMYFUNCTION("""COMPUTED_VALUE"""),"Removed")</f>
        <v>Removed</v>
      </c>
      <c r="E252" s="128">
        <f>IFERROR(__xludf.DUMMYFUNCTION("""COMPUTED_VALUE"""),45230.0)</f>
        <v>45230</v>
      </c>
      <c r="F252" s="24">
        <f>IFERROR(__xludf.DUMMYFUNCTION("""COMPUTED_VALUE"""),45596.0)</f>
        <v>45596</v>
      </c>
      <c r="G252" s="27">
        <f>IFERROR(__xludf.DUMMYFUNCTION("""COMPUTED_VALUE"""),12.0)</f>
        <v>12</v>
      </c>
      <c r="H252" s="128">
        <f>IFERROR(__xludf.DUMMYFUNCTION("""COMPUTED_VALUE"""),45230.0)</f>
        <v>45230</v>
      </c>
      <c r="I252" s="27">
        <f>IFERROR(__xludf.DUMMYFUNCTION("""COMPUTED_VALUE"""),0.0)</f>
        <v>0</v>
      </c>
      <c r="J252" s="29">
        <f>IFERROR(__xludf.DUMMYFUNCTION("""COMPUTED_VALUE"""),74.0)</f>
        <v>74</v>
      </c>
      <c r="K252" s="29">
        <f>IFERROR(__xludf.DUMMYFUNCTION("""COMPUTED_VALUE"""),4.0)</f>
        <v>4</v>
      </c>
      <c r="L252" s="31" t="str">
        <f>IFERROR(__xludf.DUMMYFUNCTION("""COMPUTED_VALUE"""),"Music")</f>
        <v>Music</v>
      </c>
    </row>
    <row r="253">
      <c r="A253" s="17" t="str">
        <f>IFERROR(__xludf.DUMMYFUNCTION("""COMPUTED_VALUE"""),"Mineko's Night Market")</f>
        <v>Mineko's Night Market</v>
      </c>
      <c r="B253" s="20" t="str">
        <f>IFERROR(__xludf.DUMMYFUNCTION("""COMPUTED_VALUE"""),"Xbox / PC")</f>
        <v>Xbox / PC</v>
      </c>
      <c r="C253" s="20" t="str">
        <f>IFERROR(__xludf.DUMMYFUNCTION("""COMPUTED_VALUE"""),"Yes")</f>
        <v>Yes</v>
      </c>
      <c r="D253" s="21" t="str">
        <f>IFERROR(__xludf.DUMMYFUNCTION("""COMPUTED_VALUE"""),"Removed")</f>
        <v>Removed</v>
      </c>
      <c r="E253" s="128">
        <f>IFERROR(__xludf.DUMMYFUNCTION("""COMPUTED_VALUE"""),45225.0)</f>
        <v>45225</v>
      </c>
      <c r="F253" s="24">
        <f>IFERROR(__xludf.DUMMYFUNCTION("""COMPUTED_VALUE"""),45596.0)</f>
        <v>45596</v>
      </c>
      <c r="G253" s="27">
        <f>IFERROR(__xludf.DUMMYFUNCTION("""COMPUTED_VALUE"""),12.133333333333333)</f>
        <v>12.13333333</v>
      </c>
      <c r="H253" s="128">
        <f>IFERROR(__xludf.DUMMYFUNCTION("""COMPUTED_VALUE"""),45195.0)</f>
        <v>45195</v>
      </c>
      <c r="I253" s="27">
        <f>IFERROR(__xludf.DUMMYFUNCTION("""COMPUTED_VALUE"""),0.08333333333333333)</f>
        <v>0.08333333333</v>
      </c>
      <c r="J253" s="29">
        <f>IFERROR(__xludf.DUMMYFUNCTION("""COMPUTED_VALUE"""),66.0)</f>
        <v>66</v>
      </c>
      <c r="K253" s="29">
        <f>IFERROR(__xludf.DUMMYFUNCTION("""COMPUTED_VALUE"""),18.0)</f>
        <v>18</v>
      </c>
      <c r="L253" s="31" t="str">
        <f>IFERROR(__xludf.DUMMYFUNCTION("""COMPUTED_VALUE"""),"Adventure")</f>
        <v>Adventure</v>
      </c>
    </row>
    <row r="254">
      <c r="A254" s="17" t="str">
        <f>IFERROR(__xludf.DUMMYFUNCTION("""COMPUTED_VALUE"""),"Inkulinati (Game Preview)")</f>
        <v>Inkulinati (Game Preview)</v>
      </c>
      <c r="B254" s="20" t="str">
        <f>IFERROR(__xludf.DUMMYFUNCTION("""COMPUTED_VALUE"""),"Xbox / PC")</f>
        <v>Xbox / PC</v>
      </c>
      <c r="C254" s="20" t="str">
        <f>IFERROR(__xludf.DUMMYFUNCTION("""COMPUTED_VALUE"""),"M+KB")</f>
        <v>M+KB</v>
      </c>
      <c r="D254" s="21" t="str">
        <f>IFERROR(__xludf.DUMMYFUNCTION("""COMPUTED_VALUE"""),"Removed")</f>
        <v>Removed</v>
      </c>
      <c r="E254" s="128">
        <f>IFERROR(__xludf.DUMMYFUNCTION("""COMPUTED_VALUE"""),44957.0)</f>
        <v>44957</v>
      </c>
      <c r="F254" s="24">
        <f>IFERROR(__xludf.DUMMYFUNCTION("""COMPUTED_VALUE"""),45596.0)</f>
        <v>45596</v>
      </c>
      <c r="G254" s="27">
        <f>IFERROR(__xludf.DUMMYFUNCTION("""COMPUTED_VALUE"""),21.0)</f>
        <v>21</v>
      </c>
      <c r="H254" s="128">
        <f>IFERROR(__xludf.DUMMYFUNCTION("""COMPUTED_VALUE"""),44957.0)</f>
        <v>44957</v>
      </c>
      <c r="I254" s="27">
        <f>IFERROR(__xludf.DUMMYFUNCTION("""COMPUTED_VALUE"""),0.0)</f>
        <v>0</v>
      </c>
      <c r="J254" s="29">
        <f>IFERROR(__xludf.DUMMYFUNCTION("""COMPUTED_VALUE"""),78.0)</f>
        <v>78</v>
      </c>
      <c r="K254" s="29">
        <f>IFERROR(__xludf.DUMMYFUNCTION("""COMPUTED_VALUE"""),6.0)</f>
        <v>6</v>
      </c>
      <c r="L254" s="31" t="str">
        <f>IFERROR(__xludf.DUMMYFUNCTION("""COMPUTED_VALUE"""),"Strategy")</f>
        <v>Strategy</v>
      </c>
    </row>
    <row r="255">
      <c r="A255" s="17" t="str">
        <f>IFERROR(__xludf.DUMMYFUNCTION("""COMPUTED_VALUE"""),"Frog Detective: The Entire Mystery")</f>
        <v>Frog Detective: The Entire Mystery</v>
      </c>
      <c r="B255" s="20" t="str">
        <f>IFERROR(__xludf.DUMMYFUNCTION("""COMPUTED_VALUE"""),"Xbox / PC")</f>
        <v>Xbox / PC</v>
      </c>
      <c r="C255" s="21" t="str">
        <f>IFERROR(__xludf.DUMMYFUNCTION("""COMPUTED_VALUE"""),"Yes")</f>
        <v>Yes</v>
      </c>
      <c r="D255" s="21" t="str">
        <f>IFERROR(__xludf.DUMMYFUNCTION("""COMPUTED_VALUE"""),"Removed")</f>
        <v>Removed</v>
      </c>
      <c r="E255" s="128">
        <f>IFERROR(__xludf.DUMMYFUNCTION("""COMPUTED_VALUE"""),44861.0)</f>
        <v>44861</v>
      </c>
      <c r="F255" s="24">
        <f>IFERROR(__xludf.DUMMYFUNCTION("""COMPUTED_VALUE"""),45596.0)</f>
        <v>45596</v>
      </c>
      <c r="G255" s="27">
        <f>IFERROR(__xludf.DUMMYFUNCTION("""COMPUTED_VALUE"""),24.1)</f>
        <v>24.1</v>
      </c>
      <c r="H255" s="128">
        <f>IFERROR(__xludf.DUMMYFUNCTION("""COMPUTED_VALUE"""),44861.0)</f>
        <v>44861</v>
      </c>
      <c r="I255" s="27">
        <f>IFERROR(__xludf.DUMMYFUNCTION("""COMPUTED_VALUE"""),0.0)</f>
        <v>0</v>
      </c>
      <c r="J255" s="29">
        <f>IFERROR(__xludf.DUMMYFUNCTION("""COMPUTED_VALUE"""),77.0)</f>
        <v>77</v>
      </c>
      <c r="K255" s="29">
        <f>IFERROR(__xludf.DUMMYFUNCTION("""COMPUTED_VALUE"""),4.0)</f>
        <v>4</v>
      </c>
      <c r="L255" s="31" t="str">
        <f>IFERROR(__xludf.DUMMYFUNCTION("""COMPUTED_VALUE"""),"Adventure")</f>
        <v>Adventure</v>
      </c>
    </row>
    <row r="256">
      <c r="A256" s="17" t="str">
        <f>IFERROR(__xludf.DUMMYFUNCTION("""COMPUTED_VALUE"""),"Lonely Mountains: Downhill")</f>
        <v>Lonely Mountains: Downhill</v>
      </c>
      <c r="B256" s="20" t="str">
        <f>IFERROR(__xludf.DUMMYFUNCTION("""COMPUTED_VALUE"""),"Xbox / PC")</f>
        <v>Xbox / PC</v>
      </c>
      <c r="C256" s="20" t="str">
        <f>IFERROR(__xludf.DUMMYFUNCTION("""COMPUTED_VALUE"""),"Yes")</f>
        <v>Yes</v>
      </c>
      <c r="D256" s="21" t="str">
        <f>IFERROR(__xludf.DUMMYFUNCTION("""COMPUTED_VALUE"""),"Removed")</f>
        <v>Removed</v>
      </c>
      <c r="E256" s="23">
        <f>IFERROR(__xludf.DUMMYFUNCTION("""COMPUTED_VALUE"""),43761.0)</f>
        <v>43761</v>
      </c>
      <c r="F256" s="24">
        <f>IFERROR(__xludf.DUMMYFUNCTION("""COMPUTED_VALUE"""),45596.0)</f>
        <v>45596</v>
      </c>
      <c r="G256" s="27">
        <f>IFERROR(__xludf.DUMMYFUNCTION("""COMPUTED_VALUE"""),60.233333333333334)</f>
        <v>60.23333333</v>
      </c>
      <c r="H256" s="23">
        <f>IFERROR(__xludf.DUMMYFUNCTION("""COMPUTED_VALUE"""),43761.0)</f>
        <v>43761</v>
      </c>
      <c r="I256" s="27">
        <f>IFERROR(__xludf.DUMMYFUNCTION("""COMPUTED_VALUE"""),0.0)</f>
        <v>0</v>
      </c>
      <c r="J256" s="29">
        <f>IFERROR(__xludf.DUMMYFUNCTION("""COMPUTED_VALUE"""),79.0)</f>
        <v>79</v>
      </c>
      <c r="K256" s="29">
        <f>IFERROR(__xludf.DUMMYFUNCTION("""COMPUTED_VALUE"""),5.5)</f>
        <v>5.5</v>
      </c>
      <c r="L256" s="31" t="str">
        <f>IFERROR(__xludf.DUMMYFUNCTION("""COMPUTED_VALUE"""),"Racing")</f>
        <v>Racing</v>
      </c>
    </row>
    <row r="257">
      <c r="A257" s="17" t="str">
        <f>IFERROR(__xludf.DUMMYFUNCTION("""COMPUTED_VALUE"""),"F1 Manager 2023")</f>
        <v>F1 Manager 2023</v>
      </c>
      <c r="B257" s="20" t="str">
        <f>IFERROR(__xludf.DUMMYFUNCTION("""COMPUTED_VALUE"""),"Xbox / PC")</f>
        <v>Xbox / PC</v>
      </c>
      <c r="C257" s="20" t="str">
        <f>IFERROR(__xludf.DUMMYFUNCTION("""COMPUTED_VALUE"""),"Yes")</f>
        <v>Yes</v>
      </c>
      <c r="D257" s="21" t="str">
        <f>IFERROR(__xludf.DUMMYFUNCTION("""COMPUTED_VALUE"""),"Removed")</f>
        <v>Removed</v>
      </c>
      <c r="E257" s="23">
        <f>IFERROR(__xludf.DUMMYFUNCTION("""COMPUTED_VALUE"""),45218.0)</f>
        <v>45218</v>
      </c>
      <c r="F257" s="24">
        <f>IFERROR(__xludf.DUMMYFUNCTION("""COMPUTED_VALUE"""),45580.0)</f>
        <v>45580</v>
      </c>
      <c r="G257" s="27">
        <f>IFERROR(__xludf.DUMMYFUNCTION("""COMPUTED_VALUE"""),11.866666666666667)</f>
        <v>11.86666667</v>
      </c>
      <c r="H257" s="128">
        <f>IFERROR(__xludf.DUMMYFUNCTION("""COMPUTED_VALUE"""),45138.0)</f>
        <v>45138</v>
      </c>
      <c r="I257" s="27">
        <f>IFERROR(__xludf.DUMMYFUNCTION("""COMPUTED_VALUE"""),0.21944444444444444)</f>
        <v>0.2194444444</v>
      </c>
      <c r="J257" s="29">
        <f>IFERROR(__xludf.DUMMYFUNCTION("""COMPUTED_VALUE"""),79.0)</f>
        <v>79</v>
      </c>
      <c r="K257" s="29">
        <f>IFERROR(__xludf.DUMMYFUNCTION("""COMPUTED_VALUE"""),16.0)</f>
        <v>16</v>
      </c>
      <c r="L257" s="31" t="str">
        <f>IFERROR(__xludf.DUMMYFUNCTION("""COMPUTED_VALUE"""),"Racing")</f>
        <v>Racing</v>
      </c>
    </row>
    <row r="258">
      <c r="A258" s="17" t="str">
        <f>IFERROR(__xludf.DUMMYFUNCTION("""COMPUTED_VALUE"""),"From Space")</f>
        <v>From Space</v>
      </c>
      <c r="B258" s="20" t="str">
        <f>IFERROR(__xludf.DUMMYFUNCTION("""COMPUTED_VALUE"""),"Xbox / PC")</f>
        <v>Xbox / PC</v>
      </c>
      <c r="C258" s="20" t="str">
        <f>IFERROR(__xludf.DUMMYFUNCTION("""COMPUTED_VALUE"""),"Yes")</f>
        <v>Yes</v>
      </c>
      <c r="D258" s="21" t="str">
        <f>IFERROR(__xludf.DUMMYFUNCTION("""COMPUTED_VALUE"""),"Removed")</f>
        <v>Removed</v>
      </c>
      <c r="E258" s="23">
        <f>IFERROR(__xludf.DUMMYFUNCTION("""COMPUTED_VALUE"""),45211.0)</f>
        <v>45211</v>
      </c>
      <c r="F258" s="24">
        <f>IFERROR(__xludf.DUMMYFUNCTION("""COMPUTED_VALUE"""),45580.0)</f>
        <v>45580</v>
      </c>
      <c r="G258" s="27">
        <f>IFERROR(__xludf.DUMMYFUNCTION("""COMPUTED_VALUE"""),12.1)</f>
        <v>12.1</v>
      </c>
      <c r="H258" s="128">
        <f>IFERROR(__xludf.DUMMYFUNCTION("""COMPUTED_VALUE"""),45211.0)</f>
        <v>45211</v>
      </c>
      <c r="I258" s="27">
        <f>IFERROR(__xludf.DUMMYFUNCTION("""COMPUTED_VALUE"""),0.0)</f>
        <v>0</v>
      </c>
      <c r="J258" s="29">
        <f>IFERROR(__xludf.DUMMYFUNCTION("""COMPUTED_VALUE"""),60.0)</f>
        <v>60</v>
      </c>
      <c r="K258" s="29">
        <f>IFERROR(__xludf.DUMMYFUNCTION("""COMPUTED_VALUE"""),13.0)</f>
        <v>13</v>
      </c>
      <c r="L258" s="31" t="str">
        <f>IFERROR(__xludf.DUMMYFUNCTION("""COMPUTED_VALUE"""),"Shooter")</f>
        <v>Shooter</v>
      </c>
    </row>
    <row r="259">
      <c r="A259" s="17" t="str">
        <f>IFERROR(__xludf.DUMMYFUNCTION("""COMPUTED_VALUE"""),"Scorn")</f>
        <v>Scorn</v>
      </c>
      <c r="B259" s="20" t="str">
        <f>IFERROR(__xludf.DUMMYFUNCTION("""COMPUTED_VALUE"""),"Xbox / PC")</f>
        <v>Xbox / PC</v>
      </c>
      <c r="C259" s="20" t="str">
        <f>IFERROR(__xludf.DUMMYFUNCTION("""COMPUTED_VALUE"""),"Touch Controls")</f>
        <v>Touch Controls</v>
      </c>
      <c r="D259" s="21" t="str">
        <f>IFERROR(__xludf.DUMMYFUNCTION("""COMPUTED_VALUE"""),"Removed")</f>
        <v>Removed</v>
      </c>
      <c r="E259" s="23">
        <f>IFERROR(__xludf.DUMMYFUNCTION("""COMPUTED_VALUE"""),44848.0)</f>
        <v>44848</v>
      </c>
      <c r="F259" s="24">
        <f>IFERROR(__xludf.DUMMYFUNCTION("""COMPUTED_VALUE"""),45580.0)</f>
        <v>45580</v>
      </c>
      <c r="G259" s="27">
        <f>IFERROR(__xludf.DUMMYFUNCTION("""COMPUTED_VALUE"""),24.03333333333333)</f>
        <v>24.03333333</v>
      </c>
      <c r="H259" s="128">
        <f>IFERROR(__xludf.DUMMYFUNCTION("""COMPUTED_VALUE"""),44848.0)</f>
        <v>44848</v>
      </c>
      <c r="I259" s="27">
        <f>IFERROR(__xludf.DUMMYFUNCTION("""COMPUTED_VALUE"""),0.0)</f>
        <v>0</v>
      </c>
      <c r="J259" s="29">
        <f>IFERROR(__xludf.DUMMYFUNCTION("""COMPUTED_VALUE"""),71.0)</f>
        <v>71</v>
      </c>
      <c r="K259" s="29">
        <f>IFERROR(__xludf.DUMMYFUNCTION("""COMPUTED_VALUE"""),6.0)</f>
        <v>6</v>
      </c>
      <c r="L259" s="31" t="str">
        <f>IFERROR(__xludf.DUMMYFUNCTION("""COMPUTED_VALUE"""),"Adventure")</f>
        <v>Adventure</v>
      </c>
    </row>
    <row r="260">
      <c r="A260" s="17" t="str">
        <f>IFERROR(__xludf.DUMMYFUNCTION("""COMPUTED_VALUE"""),"Dyson Sphere Program (Game Preview)")</f>
        <v>Dyson Sphere Program (Game Preview)</v>
      </c>
      <c r="B260" s="20" t="str">
        <f>IFERROR(__xludf.DUMMYFUNCTION("""COMPUTED_VALUE"""),"PC")</f>
        <v>PC</v>
      </c>
      <c r="C260" s="20"/>
      <c r="D260" s="21" t="str">
        <f>IFERROR(__xludf.DUMMYFUNCTION("""COMPUTED_VALUE"""),"Removed")</f>
        <v>Removed</v>
      </c>
      <c r="E260" s="23">
        <f>IFERROR(__xludf.DUMMYFUNCTION("""COMPUTED_VALUE"""),44847.0)</f>
        <v>44847</v>
      </c>
      <c r="F260" s="24">
        <f>IFERROR(__xludf.DUMMYFUNCTION("""COMPUTED_VALUE"""),45580.0)</f>
        <v>45580</v>
      </c>
      <c r="G260" s="27">
        <f>IFERROR(__xludf.DUMMYFUNCTION("""COMPUTED_VALUE"""),24.066666666666666)</f>
        <v>24.06666667</v>
      </c>
      <c r="H260" s="23">
        <f>IFERROR(__xludf.DUMMYFUNCTION("""COMPUTED_VALUE"""),44217.0)</f>
        <v>44217</v>
      </c>
      <c r="I260" s="27">
        <f>IFERROR(__xludf.DUMMYFUNCTION("""COMPUTED_VALUE"""),1.7277777777777779)</f>
        <v>1.727777778</v>
      </c>
      <c r="J260" s="29"/>
      <c r="K260" s="29">
        <f>IFERROR(__xludf.DUMMYFUNCTION("""COMPUTED_VALUE"""),65.0)</f>
        <v>65</v>
      </c>
      <c r="L260" s="31" t="str">
        <f>IFERROR(__xludf.DUMMYFUNCTION("""COMPUTED_VALUE"""),"Strategy")</f>
        <v>Strategy</v>
      </c>
    </row>
    <row r="261">
      <c r="A261" s="17" t="str">
        <f>IFERROR(__xludf.DUMMYFUNCTION("""COMPUTED_VALUE"""),"Everspace 2")</f>
        <v>Everspace 2</v>
      </c>
      <c r="B261" s="20" t="str">
        <f>IFERROR(__xludf.DUMMYFUNCTION("""COMPUTED_VALUE"""),"Xbox / PC")</f>
        <v>Xbox / PC</v>
      </c>
      <c r="C261" s="21" t="str">
        <f>IFERROR(__xludf.DUMMYFUNCTION("""COMPUTED_VALUE"""),"Yes")</f>
        <v>Yes</v>
      </c>
      <c r="D261" s="21" t="str">
        <f>IFERROR(__xludf.DUMMYFUNCTION("""COMPUTED_VALUE"""),"Removed")</f>
        <v>Removed</v>
      </c>
      <c r="E261" s="23">
        <f>IFERROR(__xludf.DUMMYFUNCTION("""COMPUTED_VALUE"""),44490.0)</f>
        <v>44490</v>
      </c>
      <c r="F261" s="24">
        <f>IFERROR(__xludf.DUMMYFUNCTION("""COMPUTED_VALUE"""),45580.0)</f>
        <v>45580</v>
      </c>
      <c r="G261" s="27">
        <f>IFERROR(__xludf.DUMMYFUNCTION("""COMPUTED_VALUE"""),35.8)</f>
        <v>35.8</v>
      </c>
      <c r="H261" s="23">
        <f>IFERROR(__xludf.DUMMYFUNCTION("""COMPUTED_VALUE"""),44214.0)</f>
        <v>44214</v>
      </c>
      <c r="I261" s="27">
        <f>IFERROR(__xludf.DUMMYFUNCTION("""COMPUTED_VALUE"""),0.7583333333333333)</f>
        <v>0.7583333333</v>
      </c>
      <c r="J261" s="29">
        <f>IFERROR(__xludf.DUMMYFUNCTION("""COMPUTED_VALUE"""),75.5)</f>
        <v>75.5</v>
      </c>
      <c r="K261" s="29">
        <f>IFERROR(__xludf.DUMMYFUNCTION("""COMPUTED_VALUE"""),7.5)</f>
        <v>7.5</v>
      </c>
      <c r="L261" s="31" t="str">
        <f>IFERROR(__xludf.DUMMYFUNCTION("""COMPUTED_VALUE"""),"Shooter")</f>
        <v>Shooter</v>
      </c>
    </row>
    <row r="262">
      <c r="A262" s="17" t="str">
        <f>IFERROR(__xludf.DUMMYFUNCTION("""COMPUTED_VALUE"""),"Gotham Knights")</f>
        <v>Gotham Knights</v>
      </c>
      <c r="B262" s="20" t="str">
        <f>IFERROR(__xludf.DUMMYFUNCTION("""COMPUTED_VALUE"""),"Xbox / PC")</f>
        <v>Xbox / PC</v>
      </c>
      <c r="C262" s="20" t="str">
        <f>IFERROR(__xludf.DUMMYFUNCTION("""COMPUTED_VALUE"""),"Yes")</f>
        <v>Yes</v>
      </c>
      <c r="D262" s="21" t="str">
        <f>IFERROR(__xludf.DUMMYFUNCTION("""COMPUTED_VALUE"""),"Removed")</f>
        <v>Removed</v>
      </c>
      <c r="E262" s="23">
        <f>IFERROR(__xludf.DUMMYFUNCTION("""COMPUTED_VALUE"""),45202.0)</f>
        <v>45202</v>
      </c>
      <c r="F262" s="24">
        <f>IFERROR(__xludf.DUMMYFUNCTION("""COMPUTED_VALUE"""),45565.0)</f>
        <v>45565</v>
      </c>
      <c r="G262" s="27">
        <f>IFERROR(__xludf.DUMMYFUNCTION("""COMPUTED_VALUE"""),11.9)</f>
        <v>11.9</v>
      </c>
      <c r="H262" s="23">
        <f>IFERROR(__xludf.DUMMYFUNCTION("""COMPUTED_VALUE"""),44855.0)</f>
        <v>44855</v>
      </c>
      <c r="I262" s="27">
        <f>IFERROR(__xludf.DUMMYFUNCTION("""COMPUTED_VALUE"""),0.95)</f>
        <v>0.95</v>
      </c>
      <c r="J262" s="29">
        <f>IFERROR(__xludf.DUMMYFUNCTION("""COMPUTED_VALUE"""),66.0)</f>
        <v>66</v>
      </c>
      <c r="K262" s="29">
        <f>IFERROR(__xludf.DUMMYFUNCTION("""COMPUTED_VALUE"""),17.0)</f>
        <v>17</v>
      </c>
      <c r="L262" s="31" t="str">
        <f>IFERROR(__xludf.DUMMYFUNCTION("""COMPUTED_VALUE"""),"RPG")</f>
        <v>RPG</v>
      </c>
    </row>
    <row r="263">
      <c r="A263" s="278" t="str">
        <f>IFERROR(__xludf.DUMMYFUNCTION("""COMPUTED_VALUE"""),"Phoenix Wright: Ace Attorney Trilogy")</f>
        <v>Phoenix Wright: Ace Attorney Trilogy</v>
      </c>
      <c r="B263" s="20" t="str">
        <f>IFERROR(__xludf.DUMMYFUNCTION("""COMPUTED_VALUE"""),"Xbox / PC")</f>
        <v>Xbox / PC</v>
      </c>
      <c r="C263" s="20" t="str">
        <f>IFERROR(__xludf.DUMMYFUNCTION("""COMPUTED_VALUE"""),"Yes")</f>
        <v>Yes</v>
      </c>
      <c r="D263" s="21" t="str">
        <f>IFERROR(__xludf.DUMMYFUNCTION("""COMPUTED_VALUE"""),"Removed")</f>
        <v>Removed</v>
      </c>
      <c r="E263" s="23">
        <f>IFERROR(__xludf.DUMMYFUNCTION("""COMPUTED_VALUE"""),45195.0)</f>
        <v>45195</v>
      </c>
      <c r="F263" s="24">
        <f>IFERROR(__xludf.DUMMYFUNCTION("""COMPUTED_VALUE"""),45565.0)</f>
        <v>45565</v>
      </c>
      <c r="G263" s="27">
        <f>IFERROR(__xludf.DUMMYFUNCTION("""COMPUTED_VALUE"""),12.133333333333333)</f>
        <v>12.13333333</v>
      </c>
      <c r="H263" s="128">
        <f>IFERROR(__xludf.DUMMYFUNCTION("""COMPUTED_VALUE"""),41006.0)</f>
        <v>41006</v>
      </c>
      <c r="I263" s="27">
        <f>IFERROR(__xludf.DUMMYFUNCTION("""COMPUTED_VALUE"""),11.469444444444445)</f>
        <v>11.46944444</v>
      </c>
      <c r="J263" s="29">
        <f>IFERROR(__xludf.DUMMYFUNCTION("""COMPUTED_VALUE"""),80.0)</f>
        <v>80</v>
      </c>
      <c r="K263" s="29">
        <f>IFERROR(__xludf.DUMMYFUNCTION("""COMPUTED_VALUE"""),66.0)</f>
        <v>66</v>
      </c>
      <c r="L263" s="275" t="str">
        <f>IFERROR(__xludf.DUMMYFUNCTION("""COMPUTED_VALUE"""),"Adventure")</f>
        <v>Adventure</v>
      </c>
    </row>
    <row r="264">
      <c r="A264" s="17" t="str">
        <f>IFERROR(__xludf.DUMMYFUNCTION("""COMPUTED_VALUE"""),"Loop Hero")</f>
        <v>Loop Hero</v>
      </c>
      <c r="B264" s="20" t="str">
        <f>IFERROR(__xludf.DUMMYFUNCTION("""COMPUTED_VALUE"""),"Xbox / PC")</f>
        <v>Xbox / PC</v>
      </c>
      <c r="C264" s="20"/>
      <c r="D264" s="21" t="str">
        <f>IFERROR(__xludf.DUMMYFUNCTION("""COMPUTED_VALUE"""),"Removed")</f>
        <v>Removed</v>
      </c>
      <c r="E264" s="23">
        <f>IFERROR(__xludf.DUMMYFUNCTION("""COMPUTED_VALUE"""),45020.0)</f>
        <v>45020</v>
      </c>
      <c r="F264" s="24">
        <f>IFERROR(__xludf.DUMMYFUNCTION("""COMPUTED_VALUE"""),45565.0)</f>
        <v>45565</v>
      </c>
      <c r="G264" s="27">
        <f>IFERROR(__xludf.DUMMYFUNCTION("""COMPUTED_VALUE"""),17.866666666666667)</f>
        <v>17.86666667</v>
      </c>
      <c r="H264" s="128">
        <f>IFERROR(__xludf.DUMMYFUNCTION("""COMPUTED_VALUE"""),44259.0)</f>
        <v>44259</v>
      </c>
      <c r="I264" s="27">
        <f>IFERROR(__xludf.DUMMYFUNCTION("""COMPUTED_VALUE"""),2.0833333333333335)</f>
        <v>2.083333333</v>
      </c>
      <c r="J264" s="29">
        <f>IFERROR(__xludf.DUMMYFUNCTION("""COMPUTED_VALUE"""),82.0)</f>
        <v>82</v>
      </c>
      <c r="K264" s="29">
        <f>IFERROR(__xludf.DUMMYFUNCTION("""COMPUTED_VALUE"""),29.0)</f>
        <v>29</v>
      </c>
      <c r="L264" s="31" t="str">
        <f>IFERROR(__xludf.DUMMYFUNCTION("""COMPUTED_VALUE"""),"Strategy")</f>
        <v>Strategy</v>
      </c>
    </row>
    <row r="265">
      <c r="A265" s="17" t="str">
        <f>IFERROR(__xludf.DUMMYFUNCTION("""COMPUTED_VALUE"""),"PAW Patrol Grand Prix")</f>
        <v>PAW Patrol Grand Prix</v>
      </c>
      <c r="B265" s="20" t="str">
        <f>IFERROR(__xludf.DUMMYFUNCTION("""COMPUTED_VALUE"""),"Xbox / PC")</f>
        <v>Xbox / PC</v>
      </c>
      <c r="C265" s="20" t="str">
        <f>IFERROR(__xludf.DUMMYFUNCTION("""COMPUTED_VALUE"""),"Yes")</f>
        <v>Yes</v>
      </c>
      <c r="D265" s="21" t="str">
        <f>IFERROR(__xludf.DUMMYFUNCTION("""COMPUTED_VALUE"""),"Removed")</f>
        <v>Removed</v>
      </c>
      <c r="E265" s="23">
        <f>IFERROR(__xludf.DUMMYFUNCTION("""COMPUTED_VALUE"""),44834.0)</f>
        <v>44834</v>
      </c>
      <c r="F265" s="24">
        <f>IFERROR(__xludf.DUMMYFUNCTION("""COMPUTED_VALUE"""),45565.0)</f>
        <v>45565</v>
      </c>
      <c r="G265" s="27">
        <f>IFERROR(__xludf.DUMMYFUNCTION("""COMPUTED_VALUE"""),24.0)</f>
        <v>24</v>
      </c>
      <c r="H265" s="128">
        <f>IFERROR(__xludf.DUMMYFUNCTION("""COMPUTED_VALUE"""),44834.0)</f>
        <v>44834</v>
      </c>
      <c r="I265" s="27">
        <f>IFERROR(__xludf.DUMMYFUNCTION("""COMPUTED_VALUE"""),0.0)</f>
        <v>0</v>
      </c>
      <c r="J265" s="29">
        <f>IFERROR(__xludf.DUMMYFUNCTION("""COMPUTED_VALUE"""),70.0)</f>
        <v>70</v>
      </c>
      <c r="K265" s="29">
        <f>IFERROR(__xludf.DUMMYFUNCTION("""COMPUTED_VALUE"""),1.0)</f>
        <v>1</v>
      </c>
      <c r="L265" s="31" t="str">
        <f>IFERROR(__xludf.DUMMYFUNCTION("""COMPUTED_VALUE"""),"Action")</f>
        <v>Action</v>
      </c>
    </row>
    <row r="266">
      <c r="A266" s="17" t="str">
        <f>IFERROR(__xludf.DUMMYFUNCTION("""COMPUTED_VALUE"""),"Let's Build A Zoo")</f>
        <v>Let's Build A Zoo</v>
      </c>
      <c r="B266" s="20" t="str">
        <f>IFERROR(__xludf.DUMMYFUNCTION("""COMPUTED_VALUE"""),"Xbox / PC")</f>
        <v>Xbox / PC</v>
      </c>
      <c r="C266" s="21" t="str">
        <f>IFERROR(__xludf.DUMMYFUNCTION("""COMPUTED_VALUE"""),"Yes")</f>
        <v>Yes</v>
      </c>
      <c r="D266" s="21" t="str">
        <f>IFERROR(__xludf.DUMMYFUNCTION("""COMPUTED_VALUE"""),"Removed")</f>
        <v>Removed</v>
      </c>
      <c r="E266" s="23">
        <f>IFERROR(__xludf.DUMMYFUNCTION("""COMPUTED_VALUE"""),44833.0)</f>
        <v>44833</v>
      </c>
      <c r="F266" s="24">
        <f>IFERROR(__xludf.DUMMYFUNCTION("""COMPUTED_VALUE"""),45565.0)</f>
        <v>45565</v>
      </c>
      <c r="G266" s="27">
        <f>IFERROR(__xludf.DUMMYFUNCTION("""COMPUTED_VALUE"""),24.03333333333333)</f>
        <v>24.03333333</v>
      </c>
      <c r="H266" s="23">
        <f>IFERROR(__xludf.DUMMYFUNCTION("""COMPUTED_VALUE"""),44505.0)</f>
        <v>44505</v>
      </c>
      <c r="I266" s="27">
        <f>IFERROR(__xludf.DUMMYFUNCTION("""COMPUTED_VALUE"""),0.9)</f>
        <v>0.9</v>
      </c>
      <c r="J266" s="29">
        <f>IFERROR(__xludf.DUMMYFUNCTION("""COMPUTED_VALUE"""),78.0)</f>
        <v>78</v>
      </c>
      <c r="K266" s="29">
        <f>IFERROR(__xludf.DUMMYFUNCTION("""COMPUTED_VALUE"""),35.5)</f>
        <v>35.5</v>
      </c>
      <c r="L266" s="31" t="str">
        <f>IFERROR(__xludf.DUMMYFUNCTION("""COMPUTED_VALUE"""),"Simulation")</f>
        <v>Simulation</v>
      </c>
    </row>
    <row r="267">
      <c r="A267" s="17" t="str">
        <f>IFERROR(__xludf.DUMMYFUNCTION("""COMPUTED_VALUE"""),"Valheim (Game Preview)")</f>
        <v>Valheim (Game Preview)</v>
      </c>
      <c r="B267" s="20" t="str">
        <f>IFERROR(__xludf.DUMMYFUNCTION("""COMPUTED_VALUE"""),"Xbox / PC")</f>
        <v>Xbox / PC</v>
      </c>
      <c r="C267" s="20" t="str">
        <f>IFERROR(__xludf.DUMMYFUNCTION("""COMPUTED_VALUE"""),"M+KB")</f>
        <v>M+KB</v>
      </c>
      <c r="D267" s="21" t="str">
        <f>IFERROR(__xludf.DUMMYFUNCTION("""COMPUTED_VALUE"""),"Removed")</f>
        <v>Removed</v>
      </c>
      <c r="E267" s="23">
        <f>IFERROR(__xludf.DUMMYFUNCTION("""COMPUTED_VALUE"""),44833.0)</f>
        <v>44833</v>
      </c>
      <c r="F267" s="24">
        <f>IFERROR(__xludf.DUMMYFUNCTION("""COMPUTED_VALUE"""),45565.0)</f>
        <v>45565</v>
      </c>
      <c r="G267" s="27">
        <f>IFERROR(__xludf.DUMMYFUNCTION("""COMPUTED_VALUE"""),24.03333333333333)</f>
        <v>24.03333333</v>
      </c>
      <c r="H267" s="128">
        <f>IFERROR(__xludf.DUMMYFUNCTION("""COMPUTED_VALUE"""),44229.0)</f>
        <v>44229</v>
      </c>
      <c r="I267" s="27">
        <f>IFERROR(__xludf.DUMMYFUNCTION("""COMPUTED_VALUE"""),1.6583333333333334)</f>
        <v>1.658333333</v>
      </c>
      <c r="J267" s="29">
        <f>IFERROR(__xludf.DUMMYFUNCTION("""COMPUTED_VALUE"""),85.0)</f>
        <v>85</v>
      </c>
      <c r="K267" s="29">
        <f>IFERROR(__xludf.DUMMYFUNCTION("""COMPUTED_VALUE"""),71.0)</f>
        <v>71</v>
      </c>
      <c r="L267" s="31" t="str">
        <f>IFERROR(__xludf.DUMMYFUNCTION("""COMPUTED_VALUE"""),"Action-Adventure")</f>
        <v>Action-Adventure</v>
      </c>
    </row>
    <row r="268">
      <c r="A268" s="17" t="str">
        <f>IFERROR(__xludf.DUMMYFUNCTION("""COMPUTED_VALUE"""),"My Time at Portia")</f>
        <v>My Time at Portia</v>
      </c>
      <c r="B268" s="20" t="str">
        <f>IFERROR(__xludf.DUMMYFUNCTION("""COMPUTED_VALUE"""),"Xbox / PC")</f>
        <v>Xbox / PC</v>
      </c>
      <c r="C268" s="21" t="str">
        <f>IFERROR(__xludf.DUMMYFUNCTION("""COMPUTED_VALUE"""),"Yes")</f>
        <v>Yes</v>
      </c>
      <c r="D268" s="21" t="str">
        <f>IFERROR(__xludf.DUMMYFUNCTION("""COMPUTED_VALUE"""),"Removed")</f>
        <v>Removed</v>
      </c>
      <c r="E268" s="23">
        <f>IFERROR(__xludf.DUMMYFUNCTION("""COMPUTED_VALUE"""),43650.0)</f>
        <v>43650</v>
      </c>
      <c r="F268" s="24">
        <f>IFERROR(__xludf.DUMMYFUNCTION("""COMPUTED_VALUE"""),45565.0)</f>
        <v>45565</v>
      </c>
      <c r="G268" s="27">
        <f>IFERROR(__xludf.DUMMYFUNCTION("""COMPUTED_VALUE"""),62.86666666666667)</f>
        <v>62.86666667</v>
      </c>
      <c r="H268" s="128">
        <f>IFERROR(__xludf.DUMMYFUNCTION("""COMPUTED_VALUE"""),43571.0)</f>
        <v>43571</v>
      </c>
      <c r="I268" s="27">
        <f>IFERROR(__xludf.DUMMYFUNCTION("""COMPUTED_VALUE"""),0.21666666666666667)</f>
        <v>0.2166666667</v>
      </c>
      <c r="J268" s="29">
        <f>IFERROR(__xludf.DUMMYFUNCTION("""COMPUTED_VALUE"""),73.0)</f>
        <v>73</v>
      </c>
      <c r="K268" s="29">
        <f>IFERROR(__xludf.DUMMYFUNCTION("""COMPUTED_VALUE"""),64.0)</f>
        <v>64</v>
      </c>
      <c r="L268" s="31" t="str">
        <f>IFERROR(__xludf.DUMMYFUNCTION("""COMPUTED_VALUE"""),"RPG")</f>
        <v>RPG</v>
      </c>
    </row>
    <row r="269">
      <c r="A269" s="17" t="str">
        <f>IFERROR(__xludf.DUMMYFUNCTION("""COMPUTED_VALUE"""),"PAYDAY 3")</f>
        <v>PAYDAY 3</v>
      </c>
      <c r="B269" s="20" t="str">
        <f>IFERROR(__xludf.DUMMYFUNCTION("""COMPUTED_VALUE"""),"Xbox / PC")</f>
        <v>Xbox / PC</v>
      </c>
      <c r="C269" s="20" t="str">
        <f>IFERROR(__xludf.DUMMYFUNCTION("""COMPUTED_VALUE"""),"Yes")</f>
        <v>Yes</v>
      </c>
      <c r="D269" s="21" t="str">
        <f>IFERROR(__xludf.DUMMYFUNCTION("""COMPUTED_VALUE"""),"Removed")</f>
        <v>Removed</v>
      </c>
      <c r="E269" s="23">
        <f>IFERROR(__xludf.DUMMYFUNCTION("""COMPUTED_VALUE"""),45190.0)</f>
        <v>45190</v>
      </c>
      <c r="F269" s="24">
        <f>IFERROR(__xludf.DUMMYFUNCTION("""COMPUTED_VALUE"""),45550.0)</f>
        <v>45550</v>
      </c>
      <c r="G269" s="27">
        <f>IFERROR(__xludf.DUMMYFUNCTION("""COMPUTED_VALUE"""),11.799999999999999)</f>
        <v>11.8</v>
      </c>
      <c r="H269" s="128">
        <f>IFERROR(__xludf.DUMMYFUNCTION("""COMPUTED_VALUE"""),45190.0)</f>
        <v>45190</v>
      </c>
      <c r="I269" s="27">
        <f>IFERROR(__xludf.DUMMYFUNCTION("""COMPUTED_VALUE"""),0.0)</f>
        <v>0</v>
      </c>
      <c r="J269" s="29">
        <f>IFERROR(__xludf.DUMMYFUNCTION("""COMPUTED_VALUE"""),68.0)</f>
        <v>68</v>
      </c>
      <c r="K269" s="29">
        <f>IFERROR(__xludf.DUMMYFUNCTION("""COMPUTED_VALUE"""),10.0)</f>
        <v>10</v>
      </c>
      <c r="L269" s="31" t="str">
        <f>IFERROR(__xludf.DUMMYFUNCTION("""COMPUTED_VALUE"""),"Shooter")</f>
        <v>Shooter</v>
      </c>
    </row>
    <row r="270">
      <c r="A270" s="17" t="str">
        <f>IFERROR(__xludf.DUMMYFUNCTION("""COMPUTED_VALUE"""),"FIFA 23")</f>
        <v>FIFA 23</v>
      </c>
      <c r="B270" s="20" t="str">
        <f>IFERROR(__xludf.DUMMYFUNCTION("""COMPUTED_VALUE"""),"Xbox / PC")</f>
        <v>Xbox / PC</v>
      </c>
      <c r="C270" s="20" t="str">
        <f>IFERROR(__xludf.DUMMYFUNCTION("""COMPUTED_VALUE"""),"Yes")</f>
        <v>Yes</v>
      </c>
      <c r="D270" s="21" t="str">
        <f>IFERROR(__xludf.DUMMYFUNCTION("""COMPUTED_VALUE"""),"Removed")</f>
        <v>Removed</v>
      </c>
      <c r="E270" s="23">
        <f>IFERROR(__xludf.DUMMYFUNCTION("""COMPUTED_VALUE"""),45062.0)</f>
        <v>45062</v>
      </c>
      <c r="F270" s="24">
        <f>IFERROR(__xludf.DUMMYFUNCTION("""COMPUTED_VALUE"""),45550.0)</f>
        <v>45550</v>
      </c>
      <c r="G270" s="27">
        <f>IFERROR(__xludf.DUMMYFUNCTION("""COMPUTED_VALUE"""),15.966666666666665)</f>
        <v>15.96666667</v>
      </c>
      <c r="H270" s="128">
        <f>IFERROR(__xludf.DUMMYFUNCTION("""COMPUTED_VALUE"""),44470.0)</f>
        <v>44470</v>
      </c>
      <c r="I270" s="27">
        <f>IFERROR(__xludf.DUMMYFUNCTION("""COMPUTED_VALUE"""),1.625)</f>
        <v>1.625</v>
      </c>
      <c r="J270" s="29">
        <f>IFERROR(__xludf.DUMMYFUNCTION("""COMPUTED_VALUE"""),78.0)</f>
        <v>78</v>
      </c>
      <c r="K270" s="29">
        <f>IFERROR(__xludf.DUMMYFUNCTION("""COMPUTED_VALUE"""),94.0)</f>
        <v>94</v>
      </c>
      <c r="L270" s="31" t="str">
        <f>IFERROR(__xludf.DUMMYFUNCTION("""COMPUTED_VALUE"""),"Sports")</f>
        <v>Sports</v>
      </c>
    </row>
    <row r="271">
      <c r="A271" s="17" t="str">
        <f>IFERROR(__xludf.DUMMYFUNCTION("""COMPUTED_VALUE"""),"Slime Rancher 2 (Game Preview)")</f>
        <v>Slime Rancher 2 (Game Preview)</v>
      </c>
      <c r="B271" s="20" t="str">
        <f>IFERROR(__xludf.DUMMYFUNCTION("""COMPUTED_VALUE"""),"Xbox / PC")</f>
        <v>Xbox / PC</v>
      </c>
      <c r="C271" s="21" t="str">
        <f>IFERROR(__xludf.DUMMYFUNCTION("""COMPUTED_VALUE"""),"Touch Controls, M+KB")</f>
        <v>Touch Controls, M+KB</v>
      </c>
      <c r="D271" s="21" t="str">
        <f>IFERROR(__xludf.DUMMYFUNCTION("""COMPUTED_VALUE"""),"Removed")</f>
        <v>Removed</v>
      </c>
      <c r="E271" s="23">
        <f>IFERROR(__xludf.DUMMYFUNCTION("""COMPUTED_VALUE"""),44826.0)</f>
        <v>44826</v>
      </c>
      <c r="F271" s="24">
        <f>IFERROR(__xludf.DUMMYFUNCTION("""COMPUTED_VALUE"""),45550.0)</f>
        <v>45550</v>
      </c>
      <c r="G271" s="27">
        <f>IFERROR(__xludf.DUMMYFUNCTION("""COMPUTED_VALUE"""),23.766666666666666)</f>
        <v>23.76666667</v>
      </c>
      <c r="H271" s="128">
        <f>IFERROR(__xludf.DUMMYFUNCTION("""COMPUTED_VALUE"""),44826.0)</f>
        <v>44826</v>
      </c>
      <c r="I271" s="27">
        <f>IFERROR(__xludf.DUMMYFUNCTION("""COMPUTED_VALUE"""),0.0)</f>
        <v>0</v>
      </c>
      <c r="J271" s="29">
        <f>IFERROR(__xludf.DUMMYFUNCTION("""COMPUTED_VALUE"""),76.0)</f>
        <v>76</v>
      </c>
      <c r="K271" s="29">
        <f>IFERROR(__xludf.DUMMYFUNCTION("""COMPUTED_VALUE"""),8.5)</f>
        <v>8.5</v>
      </c>
      <c r="L271" s="31" t="str">
        <f>IFERROR(__xludf.DUMMYFUNCTION("""COMPUTED_VALUE"""),"Shooter")</f>
        <v>Shooter</v>
      </c>
    </row>
    <row r="272">
      <c r="A272" s="17" t="str">
        <f>IFERROR(__xludf.DUMMYFUNCTION("""COMPUTED_VALUE"""),"SpiderHeck")</f>
        <v>SpiderHeck</v>
      </c>
      <c r="B272" s="20" t="str">
        <f>IFERROR(__xludf.DUMMYFUNCTION("""COMPUTED_VALUE"""),"Xbox / PC")</f>
        <v>Xbox / PC</v>
      </c>
      <c r="C272" s="20" t="str">
        <f>IFERROR(__xludf.DUMMYFUNCTION("""COMPUTED_VALUE"""),"Touch Controls")</f>
        <v>Touch Controls</v>
      </c>
      <c r="D272" s="21" t="str">
        <f>IFERROR(__xludf.DUMMYFUNCTION("""COMPUTED_VALUE"""),"Removed")</f>
        <v>Removed</v>
      </c>
      <c r="E272" s="283">
        <f>IFERROR(__xludf.DUMMYFUNCTION("""COMPUTED_VALUE"""),44826.0)</f>
        <v>44826</v>
      </c>
      <c r="F272" s="24">
        <f>IFERROR(__xludf.DUMMYFUNCTION("""COMPUTED_VALUE"""),45550.0)</f>
        <v>45550</v>
      </c>
      <c r="G272" s="27">
        <f>IFERROR(__xludf.DUMMYFUNCTION("""COMPUTED_VALUE"""),23.766666666666666)</f>
        <v>23.76666667</v>
      </c>
      <c r="H272" s="128">
        <f>IFERROR(__xludf.DUMMYFUNCTION("""COMPUTED_VALUE"""),44826.0)</f>
        <v>44826</v>
      </c>
      <c r="I272" s="27">
        <f>IFERROR(__xludf.DUMMYFUNCTION("""COMPUTED_VALUE"""),0.0)</f>
        <v>0</v>
      </c>
      <c r="J272" s="29">
        <f>IFERROR(__xludf.DUMMYFUNCTION("""COMPUTED_VALUE"""),83.0)</f>
        <v>83</v>
      </c>
      <c r="K272" s="29">
        <f>IFERROR(__xludf.DUMMYFUNCTION("""COMPUTED_VALUE"""),9.0)</f>
        <v>9</v>
      </c>
      <c r="L272" s="31" t="str">
        <f>IFERROR(__xludf.DUMMYFUNCTION("""COMPUTED_VALUE"""),"Party")</f>
        <v>Party</v>
      </c>
    </row>
    <row r="273">
      <c r="A273" s="17" t="str">
        <f>IFERROR(__xludf.DUMMYFUNCTION("""COMPUTED_VALUE"""),"You Suck at Parking")</f>
        <v>You Suck at Parking</v>
      </c>
      <c r="B273" s="20" t="str">
        <f>IFERROR(__xludf.DUMMYFUNCTION("""COMPUTED_VALUE"""),"Xbox / PC")</f>
        <v>Xbox / PC</v>
      </c>
      <c r="C273" s="21" t="str">
        <f>IFERROR(__xludf.DUMMYFUNCTION("""COMPUTED_VALUE"""),"Touch Controls")</f>
        <v>Touch Controls</v>
      </c>
      <c r="D273" s="21" t="str">
        <f>IFERROR(__xludf.DUMMYFUNCTION("""COMPUTED_VALUE"""),"Removed")</f>
        <v>Removed</v>
      </c>
      <c r="E273" s="23">
        <f>IFERROR(__xludf.DUMMYFUNCTION("""COMPUTED_VALUE"""),44818.0)</f>
        <v>44818</v>
      </c>
      <c r="F273" s="24">
        <f>IFERROR(__xludf.DUMMYFUNCTION("""COMPUTED_VALUE"""),45550.0)</f>
        <v>45550</v>
      </c>
      <c r="G273" s="27">
        <f>IFERROR(__xludf.DUMMYFUNCTION("""COMPUTED_VALUE"""),24.03333333333333)</f>
        <v>24.03333333</v>
      </c>
      <c r="H273" s="128">
        <f>IFERROR(__xludf.DUMMYFUNCTION("""COMPUTED_VALUE"""),44818.0)</f>
        <v>44818</v>
      </c>
      <c r="I273" s="27">
        <f>IFERROR(__xludf.DUMMYFUNCTION("""COMPUTED_VALUE"""),0.0)</f>
        <v>0</v>
      </c>
      <c r="J273" s="29">
        <f>IFERROR(__xludf.DUMMYFUNCTION("""COMPUTED_VALUE"""),77.0)</f>
        <v>77</v>
      </c>
      <c r="K273" s="29">
        <f>IFERROR(__xludf.DUMMYFUNCTION("""COMPUTED_VALUE"""),8.5)</f>
        <v>8.5</v>
      </c>
      <c r="L273" s="31" t="str">
        <f>IFERROR(__xludf.DUMMYFUNCTION("""COMPUTED_VALUE"""),"Racing")</f>
        <v>Racing</v>
      </c>
    </row>
    <row r="274">
      <c r="A274" s="17" t="str">
        <f>IFERROR(__xludf.DUMMYFUNCTION("""COMPUTED_VALUE"""),"Ashes of the Singularity: Escalation")</f>
        <v>Ashes of the Singularity: Escalation</v>
      </c>
      <c r="B274" s="20" t="str">
        <f>IFERROR(__xludf.DUMMYFUNCTION("""COMPUTED_VALUE"""),"PC")</f>
        <v>PC</v>
      </c>
      <c r="C274" s="20"/>
      <c r="D274" s="21" t="str">
        <f>IFERROR(__xludf.DUMMYFUNCTION("""COMPUTED_VALUE"""),"Removed")</f>
        <v>Removed</v>
      </c>
      <c r="E274" s="23">
        <f>IFERROR(__xludf.DUMMYFUNCTION("""COMPUTED_VALUE"""),44817.0)</f>
        <v>44817</v>
      </c>
      <c r="F274" s="24">
        <f>IFERROR(__xludf.DUMMYFUNCTION("""COMPUTED_VALUE"""),45550.0)</f>
        <v>45550</v>
      </c>
      <c r="G274" s="27">
        <f>IFERROR(__xludf.DUMMYFUNCTION("""COMPUTED_VALUE"""),24.066666666666666)</f>
        <v>24.06666667</v>
      </c>
      <c r="H274" s="128">
        <f>IFERROR(__xludf.DUMMYFUNCTION("""COMPUTED_VALUE"""),42684.0)</f>
        <v>42684</v>
      </c>
      <c r="I274" s="27">
        <f>IFERROR(__xludf.DUMMYFUNCTION("""COMPUTED_VALUE"""),5.841666666666667)</f>
        <v>5.841666667</v>
      </c>
      <c r="J274" s="29">
        <f>IFERROR(__xludf.DUMMYFUNCTION("""COMPUTED_VALUE"""),81.0)</f>
        <v>81</v>
      </c>
      <c r="K274" s="29">
        <f>IFERROR(__xludf.DUMMYFUNCTION("""COMPUTED_VALUE"""),16.0)</f>
        <v>16</v>
      </c>
      <c r="L274" s="31" t="str">
        <f>IFERROR(__xludf.DUMMYFUNCTION("""COMPUTED_VALUE"""),"Real-Time Strategy")</f>
        <v>Real-Time Strategy</v>
      </c>
    </row>
    <row r="275">
      <c r="A275" s="17" t="str">
        <f>IFERROR(__xludf.DUMMYFUNCTION("""COMPUTED_VALUE"""),"NBA 2K24")</f>
        <v>NBA 2K24</v>
      </c>
      <c r="B275" s="20" t="str">
        <f>IFERROR(__xludf.DUMMYFUNCTION("""COMPUTED_VALUE"""),"Xbox")</f>
        <v>Xbox</v>
      </c>
      <c r="C275" s="21" t="str">
        <f>IFERROR(__xludf.DUMMYFUNCTION("""COMPUTED_VALUE"""),"Yes")</f>
        <v>Yes</v>
      </c>
      <c r="D275" s="21" t="str">
        <f>IFERROR(__xludf.DUMMYFUNCTION("""COMPUTED_VALUE"""),"Removed")</f>
        <v>Removed</v>
      </c>
      <c r="E275" s="23">
        <f>IFERROR(__xludf.DUMMYFUNCTION("""COMPUTED_VALUE"""),45362.0)</f>
        <v>45362</v>
      </c>
      <c r="F275" s="24">
        <f>IFERROR(__xludf.DUMMYFUNCTION("""COMPUTED_VALUE"""),45535.0)</f>
        <v>45535</v>
      </c>
      <c r="G275" s="27">
        <f>IFERROR(__xludf.DUMMYFUNCTION("""COMPUTED_VALUE"""),5.633333333333333)</f>
        <v>5.633333333</v>
      </c>
      <c r="H275" s="128">
        <f>IFERROR(__xludf.DUMMYFUNCTION("""COMPUTED_VALUE"""),45177.0)</f>
        <v>45177</v>
      </c>
      <c r="I275" s="27">
        <f>IFERROR(__xludf.DUMMYFUNCTION("""COMPUTED_VALUE"""),0.5083333333333333)</f>
        <v>0.5083333333</v>
      </c>
      <c r="J275" s="29">
        <f>IFERROR(__xludf.DUMMYFUNCTION("""COMPUTED_VALUE"""),68.0)</f>
        <v>68</v>
      </c>
      <c r="K275" s="29">
        <f>IFERROR(__xludf.DUMMYFUNCTION("""COMPUTED_VALUE"""),24.0)</f>
        <v>24</v>
      </c>
      <c r="L275" s="31" t="str">
        <f>IFERROR(__xludf.DUMMYFUNCTION("""COMPUTED_VALUE"""),"Sports")</f>
        <v>Sports</v>
      </c>
    </row>
    <row r="276">
      <c r="A276" s="17" t="str">
        <f>IFERROR(__xludf.DUMMYFUNCTION("""COMPUTED_VALUE"""),"Guilty Gear -Strive-")</f>
        <v>Guilty Gear -Strive-</v>
      </c>
      <c r="B276" s="20" t="str">
        <f>IFERROR(__xludf.DUMMYFUNCTION("""COMPUTED_VALUE"""),"Xbox / PC")</f>
        <v>Xbox / PC</v>
      </c>
      <c r="C276" s="21" t="str">
        <f>IFERROR(__xludf.DUMMYFUNCTION("""COMPUTED_VALUE"""),"Yes")</f>
        <v>Yes</v>
      </c>
      <c r="D276" s="21" t="str">
        <f>IFERROR(__xludf.DUMMYFUNCTION("""COMPUTED_VALUE"""),"Removed")</f>
        <v>Removed</v>
      </c>
      <c r="E276" s="23">
        <f>IFERROR(__xludf.DUMMYFUNCTION("""COMPUTED_VALUE"""),44992.0)</f>
        <v>44992</v>
      </c>
      <c r="F276" s="24">
        <f>IFERROR(__xludf.DUMMYFUNCTION("""COMPUTED_VALUE"""),45535.0)</f>
        <v>45535</v>
      </c>
      <c r="G276" s="27">
        <f>IFERROR(__xludf.DUMMYFUNCTION("""COMPUTED_VALUE"""),17.766666666666666)</f>
        <v>17.76666667</v>
      </c>
      <c r="H276" s="128">
        <f>IFERROR(__xludf.DUMMYFUNCTION("""COMPUTED_VALUE"""),44358.0)</f>
        <v>44358</v>
      </c>
      <c r="I276" s="27">
        <f>IFERROR(__xludf.DUMMYFUNCTION("""COMPUTED_VALUE"""),1.738888888888889)</f>
        <v>1.738888889</v>
      </c>
      <c r="J276" s="29">
        <f>IFERROR(__xludf.DUMMYFUNCTION("""COMPUTED_VALUE"""),85.0)</f>
        <v>85</v>
      </c>
      <c r="K276" s="29">
        <f>IFERROR(__xludf.DUMMYFUNCTION("""COMPUTED_VALUE"""),5.0)</f>
        <v>5</v>
      </c>
      <c r="L276" s="31" t="str">
        <f>IFERROR(__xludf.DUMMYFUNCTION("""COMPUTED_VALUE"""),"Fighting")</f>
        <v>Fighting</v>
      </c>
    </row>
    <row r="277">
      <c r="A277" s="17" t="str">
        <f>IFERROR(__xludf.DUMMYFUNCTION("""COMPUTED_VALUE"""),"Atomic Heart")</f>
        <v>Atomic Heart</v>
      </c>
      <c r="B277" s="20" t="str">
        <f>IFERROR(__xludf.DUMMYFUNCTION("""COMPUTED_VALUE"""),"Xbox / PC")</f>
        <v>Xbox / PC</v>
      </c>
      <c r="C277" s="20" t="str">
        <f>IFERROR(__xludf.DUMMYFUNCTION("""COMPUTED_VALUE"""),"M+KB")</f>
        <v>M+KB</v>
      </c>
      <c r="D277" s="21" t="str">
        <f>IFERROR(__xludf.DUMMYFUNCTION("""COMPUTED_VALUE"""),"Removed")</f>
        <v>Removed</v>
      </c>
      <c r="E277" s="23">
        <f>IFERROR(__xludf.DUMMYFUNCTION("""COMPUTED_VALUE"""),44978.0)</f>
        <v>44978</v>
      </c>
      <c r="F277" s="24">
        <f>IFERROR(__xludf.DUMMYFUNCTION("""COMPUTED_VALUE"""),45535.0)</f>
        <v>45535</v>
      </c>
      <c r="G277" s="27">
        <f>IFERROR(__xludf.DUMMYFUNCTION("""COMPUTED_VALUE"""),18.299999999999997)</f>
        <v>18.3</v>
      </c>
      <c r="H277" s="128">
        <f>IFERROR(__xludf.DUMMYFUNCTION("""COMPUTED_VALUE"""),44978.0)</f>
        <v>44978</v>
      </c>
      <c r="I277" s="27">
        <f>IFERROR(__xludf.DUMMYFUNCTION("""COMPUTED_VALUE"""),0.0)</f>
        <v>0</v>
      </c>
      <c r="J277" s="29">
        <f>IFERROR(__xludf.DUMMYFUNCTION("""COMPUTED_VALUE"""),72.0)</f>
        <v>72</v>
      </c>
      <c r="K277" s="29">
        <f>IFERROR(__xludf.DUMMYFUNCTION("""COMPUTED_VALUE"""),16.0)</f>
        <v>16</v>
      </c>
      <c r="L277" s="31" t="str">
        <f>IFERROR(__xludf.DUMMYFUNCTION("""COMPUTED_VALUE"""),"Shooter")</f>
        <v>Shooter</v>
      </c>
    </row>
    <row r="278">
      <c r="A278" s="17" t="str">
        <f>IFERROR(__xludf.DUMMYFUNCTION("""COMPUTED_VALUE"""),"DOOM")</f>
        <v>DOOM</v>
      </c>
      <c r="B278" s="20" t="str">
        <f>IFERROR(__xludf.DUMMYFUNCTION("""COMPUTED_VALUE"""),"Xbox / PC")</f>
        <v>Xbox / PC</v>
      </c>
      <c r="C278" s="20" t="str">
        <f>IFERROR(__xludf.DUMMYFUNCTION("""COMPUTED_VALUE"""),"Yes")</f>
        <v>Yes</v>
      </c>
      <c r="D278" s="21" t="str">
        <f>IFERROR(__xludf.DUMMYFUNCTION("""COMPUTED_VALUE"""),"Removed")</f>
        <v>Removed</v>
      </c>
      <c r="E278" s="23">
        <f>IFERROR(__xludf.DUMMYFUNCTION("""COMPUTED_VALUE"""),44267.0)</f>
        <v>44267</v>
      </c>
      <c r="F278" s="24">
        <f>IFERROR(__xludf.DUMMYFUNCTION("""COMPUTED_VALUE"""),45524.0)</f>
        <v>45524</v>
      </c>
      <c r="G278" s="27">
        <f>IFERROR(__xludf.DUMMYFUNCTION("""COMPUTED_VALUE"""),41.266666666666666)</f>
        <v>41.26666667</v>
      </c>
      <c r="H278" s="128">
        <f>IFERROR(__xludf.DUMMYFUNCTION("""COMPUTED_VALUE"""),34313.0)</f>
        <v>34313</v>
      </c>
      <c r="I278" s="27">
        <f>IFERROR(__xludf.DUMMYFUNCTION("""COMPUTED_VALUE"""),27.255555555555556)</f>
        <v>27.25555556</v>
      </c>
      <c r="J278" s="29">
        <f>IFERROR(__xludf.DUMMYFUNCTION("""COMPUTED_VALUE"""),83.0)</f>
        <v>83</v>
      </c>
      <c r="K278" s="29">
        <f>IFERROR(__xludf.DUMMYFUNCTION("""COMPUTED_VALUE"""),4.5)</f>
        <v>4.5</v>
      </c>
      <c r="L278" s="31" t="str">
        <f>IFERROR(__xludf.DUMMYFUNCTION("""COMPUTED_VALUE"""),"Shooter")</f>
        <v>Shooter</v>
      </c>
    </row>
    <row r="279">
      <c r="A279" s="17" t="str">
        <f>IFERROR(__xludf.DUMMYFUNCTION("""COMPUTED_VALUE"""),"DOOM II: Hell on Earth")</f>
        <v>DOOM II: Hell on Earth</v>
      </c>
      <c r="B279" s="20" t="str">
        <f>IFERROR(__xludf.DUMMYFUNCTION("""COMPUTED_VALUE"""),"Xbox / PC")</f>
        <v>Xbox / PC</v>
      </c>
      <c r="C279" s="20" t="str">
        <f>IFERROR(__xludf.DUMMYFUNCTION("""COMPUTED_VALUE"""),"Yes")</f>
        <v>Yes</v>
      </c>
      <c r="D279" s="21" t="str">
        <f>IFERROR(__xludf.DUMMYFUNCTION("""COMPUTED_VALUE"""),"Removed")</f>
        <v>Removed</v>
      </c>
      <c r="E279" s="23">
        <f>IFERROR(__xludf.DUMMYFUNCTION("""COMPUTED_VALUE"""),44267.0)</f>
        <v>44267</v>
      </c>
      <c r="F279" s="24">
        <f>IFERROR(__xludf.DUMMYFUNCTION("""COMPUTED_VALUE"""),45524.0)</f>
        <v>45524</v>
      </c>
      <c r="G279" s="27">
        <f>IFERROR(__xludf.DUMMYFUNCTION("""COMPUTED_VALUE"""),41.266666666666666)</f>
        <v>41.26666667</v>
      </c>
      <c r="H279" s="128">
        <f>IFERROR(__xludf.DUMMYFUNCTION("""COMPUTED_VALUE"""),34607.0)</f>
        <v>34607</v>
      </c>
      <c r="I279" s="27">
        <f>IFERROR(__xludf.DUMMYFUNCTION("""COMPUTED_VALUE"""),26.45)</f>
        <v>26.45</v>
      </c>
      <c r="J279" s="29">
        <f>IFERROR(__xludf.DUMMYFUNCTION("""COMPUTED_VALUE"""),80.0)</f>
        <v>80</v>
      </c>
      <c r="K279" s="29">
        <f>IFERROR(__xludf.DUMMYFUNCTION("""COMPUTED_VALUE"""),7.0)</f>
        <v>7</v>
      </c>
      <c r="L279" s="31" t="str">
        <f>IFERROR(__xludf.DUMMYFUNCTION("""COMPUTED_VALUE"""),"Shooter")</f>
        <v>Shooter</v>
      </c>
    </row>
    <row r="280">
      <c r="A280" s="17" t="str">
        <f>IFERROR(__xludf.DUMMYFUNCTION("""COMPUTED_VALUE"""),"The Texas Chainsaw Massacre")</f>
        <v>The Texas Chainsaw Massacre</v>
      </c>
      <c r="B280" s="20" t="str">
        <f>IFERROR(__xludf.DUMMYFUNCTION("""COMPUTED_VALUE"""),"Xbox / PC")</f>
        <v>Xbox / PC</v>
      </c>
      <c r="C280" s="20" t="str">
        <f>IFERROR(__xludf.DUMMYFUNCTION("""COMPUTED_VALUE"""),"Yes")</f>
        <v>Yes</v>
      </c>
      <c r="D280" s="21" t="str">
        <f>IFERROR(__xludf.DUMMYFUNCTION("""COMPUTED_VALUE"""),"Removed")</f>
        <v>Removed</v>
      </c>
      <c r="E280" s="23">
        <f>IFERROR(__xludf.DUMMYFUNCTION("""COMPUTED_VALUE"""),45156.0)</f>
        <v>45156</v>
      </c>
      <c r="F280" s="24">
        <f>IFERROR(__xludf.DUMMYFUNCTION("""COMPUTED_VALUE"""),45519.0)</f>
        <v>45519</v>
      </c>
      <c r="G280" s="27">
        <f>IFERROR(__xludf.DUMMYFUNCTION("""COMPUTED_VALUE"""),11.9)</f>
        <v>11.9</v>
      </c>
      <c r="H280" s="128">
        <f>IFERROR(__xludf.DUMMYFUNCTION("""COMPUTED_VALUE"""),45156.0)</f>
        <v>45156</v>
      </c>
      <c r="I280" s="27">
        <f>IFERROR(__xludf.DUMMYFUNCTION("""COMPUTED_VALUE"""),0.0)</f>
        <v>0</v>
      </c>
      <c r="J280" s="29">
        <f>IFERROR(__xludf.DUMMYFUNCTION("""COMPUTED_VALUE"""),72.0)</f>
        <v>72</v>
      </c>
      <c r="K280" s="29">
        <f>IFERROR(__xludf.DUMMYFUNCTION("""COMPUTED_VALUE"""),2.0)</f>
        <v>2</v>
      </c>
      <c r="L280" s="31" t="str">
        <f>IFERROR(__xludf.DUMMYFUNCTION("""COMPUTED_VALUE"""),"Action")</f>
        <v>Action</v>
      </c>
    </row>
    <row r="281">
      <c r="A281" s="17" t="str">
        <f>IFERROR(__xludf.DUMMYFUNCTION("""COMPUTED_VALUE"""),"Airborne Kingdom")</f>
        <v>Airborne Kingdom</v>
      </c>
      <c r="B281" s="20" t="str">
        <f>IFERROR(__xludf.DUMMYFUNCTION("""COMPUTED_VALUE"""),"Xbox / PC")</f>
        <v>Xbox / PC</v>
      </c>
      <c r="C281" s="20" t="str">
        <f>IFERROR(__xludf.DUMMYFUNCTION("""COMPUTED_VALUE"""),"Yes")</f>
        <v>Yes</v>
      </c>
      <c r="D281" s="21" t="str">
        <f>IFERROR(__xludf.DUMMYFUNCTION("""COMPUTED_VALUE"""),"Removed")</f>
        <v>Removed</v>
      </c>
      <c r="E281" s="23">
        <f>IFERROR(__xludf.DUMMYFUNCTION("""COMPUTED_VALUE"""),45148.0)</f>
        <v>45148</v>
      </c>
      <c r="F281" s="24">
        <f>IFERROR(__xludf.DUMMYFUNCTION("""COMPUTED_VALUE"""),45519.0)</f>
        <v>45519</v>
      </c>
      <c r="G281" s="27">
        <f>IFERROR(__xludf.DUMMYFUNCTION("""COMPUTED_VALUE"""),12.166666666666666)</f>
        <v>12.16666667</v>
      </c>
      <c r="H281" s="128">
        <f>IFERROR(__xludf.DUMMYFUNCTION("""COMPUTED_VALUE"""),44182.0)</f>
        <v>44182</v>
      </c>
      <c r="I281" s="27">
        <f>IFERROR(__xludf.DUMMYFUNCTION("""COMPUTED_VALUE"""),2.647222222222222)</f>
        <v>2.647222222</v>
      </c>
      <c r="J281" s="29">
        <f>IFERROR(__xludf.DUMMYFUNCTION("""COMPUTED_VALUE"""),76.0)</f>
        <v>76</v>
      </c>
      <c r="K281" s="29">
        <f>IFERROR(__xludf.DUMMYFUNCTION("""COMPUTED_VALUE"""),8.0)</f>
        <v>8</v>
      </c>
      <c r="L281" s="31" t="str">
        <f>IFERROR(__xludf.DUMMYFUNCTION("""COMPUTED_VALUE"""),"Strategy")</f>
        <v>Strategy</v>
      </c>
    </row>
    <row r="282">
      <c r="A282" s="17" t="str">
        <f>IFERROR(__xludf.DUMMYFUNCTION("""COMPUTED_VALUE"""),"Shadow Warrior 3: Definitive Edition")</f>
        <v>Shadow Warrior 3: Definitive Edition</v>
      </c>
      <c r="B282" s="20" t="str">
        <f>IFERROR(__xludf.DUMMYFUNCTION("""COMPUTED_VALUE"""),"Xbox / PC")</f>
        <v>Xbox / PC</v>
      </c>
      <c r="C282" s="20" t="str">
        <f>IFERROR(__xludf.DUMMYFUNCTION("""COMPUTED_VALUE"""),"Yes")</f>
        <v>Yes</v>
      </c>
      <c r="D282" s="21" t="str">
        <f>IFERROR(__xludf.DUMMYFUNCTION("""COMPUTED_VALUE"""),"Removed")</f>
        <v>Removed</v>
      </c>
      <c r="E282" s="23">
        <f>IFERROR(__xludf.DUMMYFUNCTION("""COMPUTED_VALUE"""),44973.0)</f>
        <v>44973</v>
      </c>
      <c r="F282" s="24">
        <f>IFERROR(__xludf.DUMMYFUNCTION("""COMPUTED_VALUE"""),45519.0)</f>
        <v>45519</v>
      </c>
      <c r="G282" s="27">
        <f>IFERROR(__xludf.DUMMYFUNCTION("""COMPUTED_VALUE"""),17.96666666666667)</f>
        <v>17.96666667</v>
      </c>
      <c r="H282" s="128">
        <f>IFERROR(__xludf.DUMMYFUNCTION("""COMPUTED_VALUE"""),44621.0)</f>
        <v>44621</v>
      </c>
      <c r="I282" s="27">
        <f>IFERROR(__xludf.DUMMYFUNCTION("""COMPUTED_VALUE"""),0.9583333333333334)</f>
        <v>0.9583333333</v>
      </c>
      <c r="J282" s="29">
        <f>IFERROR(__xludf.DUMMYFUNCTION("""COMPUTED_VALUE"""),71.0)</f>
        <v>71</v>
      </c>
      <c r="K282" s="29">
        <f>IFERROR(__xludf.DUMMYFUNCTION("""COMPUTED_VALUE"""),6.0)</f>
        <v>6</v>
      </c>
      <c r="L282" s="31" t="str">
        <f>IFERROR(__xludf.DUMMYFUNCTION("""COMPUTED_VALUE"""),"Shooter")</f>
        <v>Shooter</v>
      </c>
    </row>
    <row r="283">
      <c r="A283" s="17" t="str">
        <f>IFERROR(__xludf.DUMMYFUNCTION("""COMPUTED_VALUE"""),"Offworld Trading Company")</f>
        <v>Offworld Trading Company</v>
      </c>
      <c r="B283" s="20" t="str">
        <f>IFERROR(__xludf.DUMMYFUNCTION("""COMPUTED_VALUE"""),"PC")</f>
        <v>PC</v>
      </c>
      <c r="C283" s="20"/>
      <c r="D283" s="21" t="str">
        <f>IFERROR(__xludf.DUMMYFUNCTION("""COMPUTED_VALUE"""),"Removed")</f>
        <v>Removed</v>
      </c>
      <c r="E283" s="23">
        <f>IFERROR(__xludf.DUMMYFUNCTION("""COMPUTED_VALUE"""),44784.0)</f>
        <v>44784</v>
      </c>
      <c r="F283" s="24">
        <f>IFERROR(__xludf.DUMMYFUNCTION("""COMPUTED_VALUE"""),45519.0)</f>
        <v>45519</v>
      </c>
      <c r="G283" s="27">
        <f>IFERROR(__xludf.DUMMYFUNCTION("""COMPUTED_VALUE"""),24.133333333333333)</f>
        <v>24.13333333</v>
      </c>
      <c r="H283" s="128">
        <f>IFERROR(__xludf.DUMMYFUNCTION("""COMPUTED_VALUE"""),42488.0)</f>
        <v>42488</v>
      </c>
      <c r="I283" s="27">
        <f>IFERROR(__xludf.DUMMYFUNCTION("""COMPUTED_VALUE"""),6.286111111111111)</f>
        <v>6.286111111</v>
      </c>
      <c r="J283" s="29">
        <f>IFERROR(__xludf.DUMMYFUNCTION("""COMPUTED_VALUE"""),78.0)</f>
        <v>78</v>
      </c>
      <c r="K283" s="29">
        <f>IFERROR(__xludf.DUMMYFUNCTION("""COMPUTED_VALUE"""),8.0)</f>
        <v>8</v>
      </c>
      <c r="L283" s="31" t="str">
        <f>IFERROR(__xludf.DUMMYFUNCTION("""COMPUTED_VALUE"""),"Real-Time Strategy")</f>
        <v>Real-Time Strategy</v>
      </c>
    </row>
    <row r="284">
      <c r="A284" s="17" t="str">
        <f>IFERROR(__xludf.DUMMYFUNCTION("""COMPUTED_VALUE"""),"Train Sim World 4")</f>
        <v>Train Sim World 4</v>
      </c>
      <c r="B284" s="20" t="str">
        <f>IFERROR(__xludf.DUMMYFUNCTION("""COMPUTED_VALUE"""),"Xbox / PC")</f>
        <v>Xbox / PC</v>
      </c>
      <c r="C284" s="20" t="str">
        <f>IFERROR(__xludf.DUMMYFUNCTION("""COMPUTED_VALUE"""),"Yes")</f>
        <v>Yes</v>
      </c>
      <c r="D284" s="21" t="str">
        <f>IFERROR(__xludf.DUMMYFUNCTION("""COMPUTED_VALUE"""),"Removed")</f>
        <v>Removed</v>
      </c>
      <c r="E284" s="23">
        <f>IFERROR(__xludf.DUMMYFUNCTION("""COMPUTED_VALUE"""),45329.0)</f>
        <v>45329</v>
      </c>
      <c r="F284" s="24">
        <f>IFERROR(__xludf.DUMMYFUNCTION("""COMPUTED_VALUE"""),45504.0)</f>
        <v>45504</v>
      </c>
      <c r="G284" s="27">
        <f>IFERROR(__xludf.DUMMYFUNCTION("""COMPUTED_VALUE"""),5.766666666666667)</f>
        <v>5.766666667</v>
      </c>
      <c r="H284" s="128">
        <f>IFERROR(__xludf.DUMMYFUNCTION("""COMPUTED_VALUE"""),45195.0)</f>
        <v>45195</v>
      </c>
      <c r="I284" s="27">
        <f>IFERROR(__xludf.DUMMYFUNCTION("""COMPUTED_VALUE"""),0.3638888888888889)</f>
        <v>0.3638888889</v>
      </c>
      <c r="J284" s="29">
        <f>IFERROR(__xludf.DUMMYFUNCTION("""COMPUTED_VALUE"""),80.0)</f>
        <v>80</v>
      </c>
      <c r="K284" s="29">
        <f>IFERROR(__xludf.DUMMYFUNCTION("""COMPUTED_VALUE"""),18.0)</f>
        <v>18</v>
      </c>
      <c r="L284" s="31" t="str">
        <f>IFERROR(__xludf.DUMMYFUNCTION("""COMPUTED_VALUE"""),"Simulation")</f>
        <v>Simulation</v>
      </c>
    </row>
    <row r="285">
      <c r="A285" s="17" t="str">
        <f>IFERROR(__xludf.DUMMYFUNCTION("""COMPUTED_VALUE"""),"A Short Hike")</f>
        <v>A Short Hike</v>
      </c>
      <c r="B285" s="20" t="str">
        <f>IFERROR(__xludf.DUMMYFUNCTION("""COMPUTED_VALUE"""),"Xbox / PC")</f>
        <v>Xbox / PC</v>
      </c>
      <c r="C285" s="20" t="str">
        <f>IFERROR(__xludf.DUMMYFUNCTION("""COMPUTED_VALUE"""),"Yes")</f>
        <v>Yes</v>
      </c>
      <c r="D285" s="21" t="str">
        <f>IFERROR(__xludf.DUMMYFUNCTION("""COMPUTED_VALUE"""),"Removed")</f>
        <v>Removed</v>
      </c>
      <c r="E285" s="23">
        <f>IFERROR(__xludf.DUMMYFUNCTION("""COMPUTED_VALUE"""),45141.0)</f>
        <v>45141</v>
      </c>
      <c r="F285" s="24">
        <f>IFERROR(__xludf.DUMMYFUNCTION("""COMPUTED_VALUE"""),45504.0)</f>
        <v>45504</v>
      </c>
      <c r="G285" s="27">
        <f>IFERROR(__xludf.DUMMYFUNCTION("""COMPUTED_VALUE"""),11.9)</f>
        <v>11.9</v>
      </c>
      <c r="H285" s="128">
        <f>IFERROR(__xludf.DUMMYFUNCTION("""COMPUTED_VALUE"""),43676.0)</f>
        <v>43676</v>
      </c>
      <c r="I285" s="27">
        <f>IFERROR(__xludf.DUMMYFUNCTION("""COMPUTED_VALUE"""),4.008333333333334)</f>
        <v>4.008333333</v>
      </c>
      <c r="J285" s="29">
        <f>IFERROR(__xludf.DUMMYFUNCTION("""COMPUTED_VALUE"""),82.0)</f>
        <v>82</v>
      </c>
      <c r="K285" s="29">
        <f>IFERROR(__xludf.DUMMYFUNCTION("""COMPUTED_VALUE"""),2.0)</f>
        <v>2</v>
      </c>
      <c r="L285" s="31" t="str">
        <f>IFERROR(__xludf.DUMMYFUNCTION("""COMPUTED_VALUE"""),"Action-Adventure")</f>
        <v>Action-Adventure</v>
      </c>
    </row>
    <row r="286">
      <c r="A286" s="17" t="str">
        <f>IFERROR(__xludf.DUMMYFUNCTION("""COMPUTED_VALUE"""),"Venba")</f>
        <v>Venba</v>
      </c>
      <c r="B286" s="20" t="str">
        <f>IFERROR(__xludf.DUMMYFUNCTION("""COMPUTED_VALUE"""),"Xbox / PC")</f>
        <v>Xbox / PC</v>
      </c>
      <c r="C286" s="20"/>
      <c r="D286" s="21" t="str">
        <f>IFERROR(__xludf.DUMMYFUNCTION("""COMPUTED_VALUE"""),"Removed")</f>
        <v>Removed</v>
      </c>
      <c r="E286" s="23">
        <f>IFERROR(__xludf.DUMMYFUNCTION("""COMPUTED_VALUE"""),45138.0)</f>
        <v>45138</v>
      </c>
      <c r="F286" s="24">
        <f>IFERROR(__xludf.DUMMYFUNCTION("""COMPUTED_VALUE"""),45504.0)</f>
        <v>45504</v>
      </c>
      <c r="G286" s="27">
        <f>IFERROR(__xludf.DUMMYFUNCTION("""COMPUTED_VALUE"""),12.0)</f>
        <v>12</v>
      </c>
      <c r="H286" s="128">
        <f>IFERROR(__xludf.DUMMYFUNCTION("""COMPUTED_VALUE"""),45138.0)</f>
        <v>45138</v>
      </c>
      <c r="I286" s="27">
        <f>IFERROR(__xludf.DUMMYFUNCTION("""COMPUTED_VALUE"""),0.0)</f>
        <v>0</v>
      </c>
      <c r="J286" s="29">
        <f>IFERROR(__xludf.DUMMYFUNCTION("""COMPUTED_VALUE"""),79.0)</f>
        <v>79</v>
      </c>
      <c r="K286" s="29">
        <f>IFERROR(__xludf.DUMMYFUNCTION("""COMPUTED_VALUE"""),2.0)</f>
        <v>2</v>
      </c>
      <c r="L286" s="31" t="str">
        <f>IFERROR(__xludf.DUMMYFUNCTION("""COMPUTED_VALUE"""),"Adventure")</f>
        <v>Adventure</v>
      </c>
    </row>
    <row r="287">
      <c r="A287" s="17" t="str">
        <f>IFERROR(__xludf.DUMMYFUNCTION("""COMPUTED_VALUE"""),"Figment 2: Creed Valley")</f>
        <v>Figment 2: Creed Valley</v>
      </c>
      <c r="B287" s="20" t="str">
        <f>IFERROR(__xludf.DUMMYFUNCTION("""COMPUTED_VALUE"""),"Xbox / PC")</f>
        <v>Xbox / PC</v>
      </c>
      <c r="C287" s="20" t="str">
        <f>IFERROR(__xludf.DUMMYFUNCTION("""COMPUTED_VALUE"""),"Yes")</f>
        <v>Yes</v>
      </c>
      <c r="D287" s="21" t="str">
        <f>IFERROR(__xludf.DUMMYFUNCTION("""COMPUTED_VALUE"""),"Removed")</f>
        <v>Removed</v>
      </c>
      <c r="E287" s="23">
        <f>IFERROR(__xludf.DUMMYFUNCTION("""COMPUTED_VALUE"""),45127.0)</f>
        <v>45127</v>
      </c>
      <c r="F287" s="24">
        <f>IFERROR(__xludf.DUMMYFUNCTION("""COMPUTED_VALUE"""),45488.0)</f>
        <v>45488</v>
      </c>
      <c r="G287" s="27">
        <f>IFERROR(__xludf.DUMMYFUNCTION("""COMPUTED_VALUE"""),11.833333333333334)</f>
        <v>11.83333333</v>
      </c>
      <c r="H287" s="128">
        <f>IFERROR(__xludf.DUMMYFUNCTION("""COMPUTED_VALUE"""),44994.0)</f>
        <v>44994</v>
      </c>
      <c r="I287" s="27">
        <f>IFERROR(__xludf.DUMMYFUNCTION("""COMPUTED_VALUE"""),0.3638888888888889)</f>
        <v>0.3638888889</v>
      </c>
      <c r="J287" s="29">
        <f>IFERROR(__xludf.DUMMYFUNCTION("""COMPUTED_VALUE"""),74.0)</f>
        <v>74</v>
      </c>
      <c r="K287" s="29">
        <f>IFERROR(__xludf.DUMMYFUNCTION("""COMPUTED_VALUE"""),4.0)</f>
        <v>4</v>
      </c>
      <c r="L287" s="31" t="str">
        <f>IFERROR(__xludf.DUMMYFUNCTION("""COMPUTED_VALUE"""),"Action-Adventure")</f>
        <v>Action-Adventure</v>
      </c>
    </row>
    <row r="288">
      <c r="A288" s="17" t="str">
        <f>IFERROR(__xludf.DUMMYFUNCTION("""COMPUTED_VALUE"""),"The Wandering Village")</f>
        <v>The Wandering Village</v>
      </c>
      <c r="B288" s="20" t="str">
        <f>IFERROR(__xludf.DUMMYFUNCTION("""COMPUTED_VALUE"""),"Xbox / PC")</f>
        <v>Xbox / PC</v>
      </c>
      <c r="C288" s="21" t="str">
        <f>IFERROR(__xludf.DUMMYFUNCTION("""COMPUTED_VALUE"""),"Yes")</f>
        <v>Yes</v>
      </c>
      <c r="D288" s="21" t="str">
        <f>IFERROR(__xludf.DUMMYFUNCTION("""COMPUTED_VALUE"""),"Removed")</f>
        <v>Removed</v>
      </c>
      <c r="E288" s="23">
        <f>IFERROR(__xludf.DUMMYFUNCTION("""COMPUTED_VALUE"""),45127.0)</f>
        <v>45127</v>
      </c>
      <c r="F288" s="24">
        <f>IFERROR(__xludf.DUMMYFUNCTION("""COMPUTED_VALUE"""),45488.0)</f>
        <v>45488</v>
      </c>
      <c r="G288" s="27">
        <f>IFERROR(__xludf.DUMMYFUNCTION("""COMPUTED_VALUE"""),11.833333333333334)</f>
        <v>11.83333333</v>
      </c>
      <c r="H288" s="128">
        <f>IFERROR(__xludf.DUMMYFUNCTION("""COMPUTED_VALUE"""),44818.0)</f>
        <v>44818</v>
      </c>
      <c r="I288" s="27">
        <f>IFERROR(__xludf.DUMMYFUNCTION("""COMPUTED_VALUE"""),0.85)</f>
        <v>0.85</v>
      </c>
      <c r="J288" s="29">
        <f>IFERROR(__xludf.DUMMYFUNCTION("""COMPUTED_VALUE"""),75.0)</f>
        <v>75</v>
      </c>
      <c r="K288" s="29">
        <f>IFERROR(__xludf.DUMMYFUNCTION("""COMPUTED_VALUE"""),14.0)</f>
        <v>14</v>
      </c>
      <c r="L288" s="275" t="str">
        <f>IFERROR(__xludf.DUMMYFUNCTION("""COMPUTED_VALUE"""),"Simulation")</f>
        <v>Simulation</v>
      </c>
    </row>
    <row r="289">
      <c r="A289" s="17" t="str">
        <f>IFERROR(__xludf.DUMMYFUNCTION("""COMPUTED_VALUE"""),"TOEM")</f>
        <v>TOEM</v>
      </c>
      <c r="B289" s="20" t="str">
        <f>IFERROR(__xludf.DUMMYFUNCTION("""COMPUTED_VALUE"""),"Xbox / PC")</f>
        <v>Xbox / PC</v>
      </c>
      <c r="C289" s="20" t="str">
        <f>IFERROR(__xludf.DUMMYFUNCTION("""COMPUTED_VALUE"""),"Yes")</f>
        <v>Yes</v>
      </c>
      <c r="D289" s="21" t="str">
        <f>IFERROR(__xludf.DUMMYFUNCTION("""COMPUTED_VALUE"""),"Removed")</f>
        <v>Removed</v>
      </c>
      <c r="E289" s="23">
        <f>IFERROR(__xludf.DUMMYFUNCTION("""COMPUTED_VALUE"""),45125.0)</f>
        <v>45125</v>
      </c>
      <c r="F289" s="24">
        <f>IFERROR(__xludf.DUMMYFUNCTION("""COMPUTED_VALUE"""),45488.0)</f>
        <v>45488</v>
      </c>
      <c r="G289" s="27">
        <f>IFERROR(__xludf.DUMMYFUNCTION("""COMPUTED_VALUE"""),11.9)</f>
        <v>11.9</v>
      </c>
      <c r="H289" s="23">
        <f>IFERROR(__xludf.DUMMYFUNCTION("""COMPUTED_VALUE"""),44456.0)</f>
        <v>44456</v>
      </c>
      <c r="I289" s="27">
        <f>IFERROR(__xludf.DUMMYFUNCTION("""COMPUTED_VALUE"""),1.836111111111111)</f>
        <v>1.836111111</v>
      </c>
      <c r="J289" s="29">
        <f>IFERROR(__xludf.DUMMYFUNCTION("""COMPUTED_VALUE"""),79.0)</f>
        <v>79</v>
      </c>
      <c r="K289" s="29">
        <f>IFERROR(__xludf.DUMMYFUNCTION("""COMPUTED_VALUE"""),4.0)</f>
        <v>4</v>
      </c>
      <c r="L289" s="31" t="str">
        <f>IFERROR(__xludf.DUMMYFUNCTION("""COMPUTED_VALUE"""),"Adventure")</f>
        <v>Adventure</v>
      </c>
    </row>
    <row r="290">
      <c r="A290" s="17" t="str">
        <f>IFERROR(__xludf.DUMMYFUNCTION("""COMPUTED_VALUE"""),"Coffee Talk Episode 2: Hibiscus &amp; Butterfly")</f>
        <v>Coffee Talk Episode 2: Hibiscus &amp; Butterfly</v>
      </c>
      <c r="B290" s="20" t="str">
        <f>IFERROR(__xludf.DUMMYFUNCTION("""COMPUTED_VALUE"""),"Xbox / PC")</f>
        <v>Xbox / PC</v>
      </c>
      <c r="C290" s="21" t="str">
        <f>IFERROR(__xludf.DUMMYFUNCTION("""COMPUTED_VALUE"""),"Yes")</f>
        <v>Yes</v>
      </c>
      <c r="D290" s="21" t="str">
        <f>IFERROR(__xludf.DUMMYFUNCTION("""COMPUTED_VALUE"""),"Removed")</f>
        <v>Removed</v>
      </c>
      <c r="E290" s="23">
        <f>IFERROR(__xludf.DUMMYFUNCTION("""COMPUTED_VALUE"""),45036.0)</f>
        <v>45036</v>
      </c>
      <c r="F290" s="24">
        <f>IFERROR(__xludf.DUMMYFUNCTION("""COMPUTED_VALUE"""),45488.0)</f>
        <v>45488</v>
      </c>
      <c r="G290" s="27">
        <f>IFERROR(__xludf.DUMMYFUNCTION("""COMPUTED_VALUE"""),14.833333333333334)</f>
        <v>14.83333333</v>
      </c>
      <c r="H290" s="128">
        <f>IFERROR(__xludf.DUMMYFUNCTION("""COMPUTED_VALUE"""),45036.0)</f>
        <v>45036</v>
      </c>
      <c r="I290" s="27">
        <f>IFERROR(__xludf.DUMMYFUNCTION("""COMPUTED_VALUE"""),0.0)</f>
        <v>0</v>
      </c>
      <c r="J290" s="29">
        <f>IFERROR(__xludf.DUMMYFUNCTION("""COMPUTED_VALUE"""),78.0)</f>
        <v>78</v>
      </c>
      <c r="K290" s="29">
        <f>IFERROR(__xludf.DUMMYFUNCTION("""COMPUTED_VALUE"""),7.0)</f>
        <v>7</v>
      </c>
      <c r="L290" s="31" t="str">
        <f>IFERROR(__xludf.DUMMYFUNCTION("""COMPUTED_VALUE"""),"Adventure")</f>
        <v>Adventure</v>
      </c>
    </row>
    <row r="291">
      <c r="A291" s="17" t="str">
        <f>IFERROR(__xludf.DUMMYFUNCTION("""COMPUTED_VALUE"""),"Sins of a Solar Empire: Rebellion")</f>
        <v>Sins of a Solar Empire: Rebellion</v>
      </c>
      <c r="B291" s="20" t="str">
        <f>IFERROR(__xludf.DUMMYFUNCTION("""COMPUTED_VALUE"""),"PC")</f>
        <v>PC</v>
      </c>
      <c r="C291" s="20"/>
      <c r="D291" s="21" t="str">
        <f>IFERROR(__xludf.DUMMYFUNCTION("""COMPUTED_VALUE"""),"Removed")</f>
        <v>Removed</v>
      </c>
      <c r="E291" s="23">
        <f>IFERROR(__xludf.DUMMYFUNCTION("""COMPUTED_VALUE"""),44763.0)</f>
        <v>44763</v>
      </c>
      <c r="F291" s="24">
        <f>IFERROR(__xludf.DUMMYFUNCTION("""COMPUTED_VALUE"""),45488.0)</f>
        <v>45488</v>
      </c>
      <c r="G291" s="27">
        <f>IFERROR(__xludf.DUMMYFUNCTION("""COMPUTED_VALUE"""),23.8)</f>
        <v>23.8</v>
      </c>
      <c r="H291" s="128">
        <f>IFERROR(__xludf.DUMMYFUNCTION("""COMPUTED_VALUE"""),41430.0)</f>
        <v>41430</v>
      </c>
      <c r="I291" s="27">
        <f>IFERROR(__xludf.DUMMYFUNCTION("""COMPUTED_VALUE"""),9.127777777777778)</f>
        <v>9.127777778</v>
      </c>
      <c r="J291" s="29">
        <f>IFERROR(__xludf.DUMMYFUNCTION("""COMPUTED_VALUE"""),82.0)</f>
        <v>82</v>
      </c>
      <c r="K291" s="29">
        <f>IFERROR(__xludf.DUMMYFUNCTION("""COMPUTED_VALUE"""),10.0)</f>
        <v>10</v>
      </c>
      <c r="L291" s="31" t="str">
        <f>IFERROR(__xludf.DUMMYFUNCTION("""COMPUTED_VALUE"""),"Real-Time Strategy")</f>
        <v>Real-Time Strategy</v>
      </c>
    </row>
    <row r="292">
      <c r="A292" s="17" t="str">
        <f>IFERROR(__xludf.DUMMYFUNCTION("""COMPUTED_VALUE"""),"Cricket 22")</f>
        <v>Cricket 22</v>
      </c>
      <c r="B292" s="20" t="str">
        <f>IFERROR(__xludf.DUMMYFUNCTION("""COMPUTED_VALUE"""),"Xbox / PC")</f>
        <v>Xbox / PC</v>
      </c>
      <c r="C292" s="21" t="str">
        <f>IFERROR(__xludf.DUMMYFUNCTION("""COMPUTED_VALUE"""),"Yes")</f>
        <v>Yes</v>
      </c>
      <c r="D292" s="21" t="str">
        <f>IFERROR(__xludf.DUMMYFUNCTION("""COMPUTED_VALUE"""),"Removed")</f>
        <v>Removed</v>
      </c>
      <c r="E292" s="23">
        <f>IFERROR(__xludf.DUMMYFUNCTION("""COMPUTED_VALUE"""),44656.0)</f>
        <v>44656</v>
      </c>
      <c r="F292" s="24">
        <f>IFERROR(__xludf.DUMMYFUNCTION("""COMPUTED_VALUE"""),45478.0)</f>
        <v>45478</v>
      </c>
      <c r="G292" s="27">
        <f>IFERROR(__xludf.DUMMYFUNCTION("""COMPUTED_VALUE"""),27.0)</f>
        <v>27</v>
      </c>
      <c r="H292" s="128">
        <f>IFERROR(__xludf.DUMMYFUNCTION("""COMPUTED_VALUE"""),44532.0)</f>
        <v>44532</v>
      </c>
      <c r="I292" s="27">
        <f>IFERROR(__xludf.DUMMYFUNCTION("""COMPUTED_VALUE"""),0.3416666666666667)</f>
        <v>0.3416666667</v>
      </c>
      <c r="J292" s="29">
        <f>IFERROR(__xludf.DUMMYFUNCTION("""COMPUTED_VALUE"""),61.0)</f>
        <v>61</v>
      </c>
      <c r="K292" s="29">
        <f>IFERROR(__xludf.DUMMYFUNCTION("""COMPUTED_VALUE"""),22.0)</f>
        <v>22</v>
      </c>
      <c r="L292" s="31" t="str">
        <f>IFERROR(__xludf.DUMMYFUNCTION("""COMPUTED_VALUE"""),"Sports")</f>
        <v>Sports</v>
      </c>
    </row>
    <row r="293">
      <c r="A293" s="17" t="str">
        <f>IFERROR(__xludf.DUMMYFUNCTION("""COMPUTED_VALUE"""),"Sword and Fairy: Together Forever")</f>
        <v>Sword and Fairy: Together Forever</v>
      </c>
      <c r="B293" s="20" t="str">
        <f>IFERROR(__xludf.DUMMYFUNCTION("""COMPUTED_VALUE"""),"Xbox / PC")</f>
        <v>Xbox / PC</v>
      </c>
      <c r="C293" s="21" t="str">
        <f>IFERROR(__xludf.DUMMYFUNCTION("""COMPUTED_VALUE"""),"Yes")</f>
        <v>Yes</v>
      </c>
      <c r="D293" s="21" t="str">
        <f>IFERROR(__xludf.DUMMYFUNCTION("""COMPUTED_VALUE"""),"Removed")</f>
        <v>Removed</v>
      </c>
      <c r="E293" s="23">
        <f>IFERROR(__xludf.DUMMYFUNCTION("""COMPUTED_VALUE"""),45113.0)</f>
        <v>45113</v>
      </c>
      <c r="F293" s="24">
        <f>IFERROR(__xludf.DUMMYFUNCTION("""COMPUTED_VALUE"""),45473.0)</f>
        <v>45473</v>
      </c>
      <c r="G293" s="27">
        <f>IFERROR(__xludf.DUMMYFUNCTION("""COMPUTED_VALUE"""),11.799999999999999)</f>
        <v>11.8</v>
      </c>
      <c r="H293" s="128">
        <f>IFERROR(__xludf.DUMMYFUNCTION("""COMPUTED_VALUE"""),44490.0)</f>
        <v>44490</v>
      </c>
      <c r="I293" s="27">
        <f>IFERROR(__xludf.DUMMYFUNCTION("""COMPUTED_VALUE"""),1.7083333333333333)</f>
        <v>1.708333333</v>
      </c>
      <c r="J293" s="29">
        <f>IFERROR(__xludf.DUMMYFUNCTION("""COMPUTED_VALUE"""),73.0)</f>
        <v>73</v>
      </c>
      <c r="K293" s="29">
        <f>IFERROR(__xludf.DUMMYFUNCTION("""COMPUTED_VALUE"""),24.0)</f>
        <v>24</v>
      </c>
      <c r="L293" s="31" t="str">
        <f>IFERROR(__xludf.DUMMYFUNCTION("""COMPUTED_VALUE"""),"RPG")</f>
        <v>RPG</v>
      </c>
    </row>
    <row r="294">
      <c r="A294" s="17" t="str">
        <f>IFERROR(__xludf.DUMMYFUNCTION("""COMPUTED_VALUE"""),"Story of Seasons: Friends of Mineral Town")</f>
        <v>Story of Seasons: Friends of Mineral Town</v>
      </c>
      <c r="B294" s="20" t="str">
        <f>IFERROR(__xludf.DUMMYFUNCTION("""COMPUTED_VALUE"""),"Xbox / PC")</f>
        <v>Xbox / PC</v>
      </c>
      <c r="C294" s="20"/>
      <c r="D294" s="21" t="str">
        <f>IFERROR(__xludf.DUMMYFUNCTION("""COMPUTED_VALUE"""),"Removed")</f>
        <v>Removed</v>
      </c>
      <c r="E294" s="23">
        <f>IFERROR(__xludf.DUMMYFUNCTION("""COMPUTED_VALUE"""),45106.0)</f>
        <v>45106</v>
      </c>
      <c r="F294" s="24">
        <f>IFERROR(__xludf.DUMMYFUNCTION("""COMPUTED_VALUE"""),45473.0)</f>
        <v>45473</v>
      </c>
      <c r="G294" s="27">
        <f>IFERROR(__xludf.DUMMYFUNCTION("""COMPUTED_VALUE"""),12.033333333333333)</f>
        <v>12.03333333</v>
      </c>
      <c r="H294" s="128">
        <f>IFERROR(__xludf.DUMMYFUNCTION("""COMPUTED_VALUE"""),43755.0)</f>
        <v>43755</v>
      </c>
      <c r="I294" s="27">
        <f>IFERROR(__xludf.DUMMYFUNCTION("""COMPUTED_VALUE"""),3.7)</f>
        <v>3.7</v>
      </c>
      <c r="J294" s="29">
        <f>IFERROR(__xludf.DUMMYFUNCTION("""COMPUTED_VALUE"""),72.0)</f>
        <v>72</v>
      </c>
      <c r="K294" s="29">
        <f>IFERROR(__xludf.DUMMYFUNCTION("""COMPUTED_VALUE"""),30.0)</f>
        <v>30</v>
      </c>
      <c r="L294" s="31" t="str">
        <f>IFERROR(__xludf.DUMMYFUNCTION("""COMPUTED_VALUE"""),"Simulation")</f>
        <v>Simulation</v>
      </c>
    </row>
    <row r="295">
      <c r="A295" s="17" t="str">
        <f>IFERROR(__xludf.DUMMYFUNCTION("""COMPUTED_VALUE"""),"F.I.S.T.: Forged In Shadow Torch")</f>
        <v>F.I.S.T.: Forged In Shadow Torch</v>
      </c>
      <c r="B295" s="20" t="str">
        <f>IFERROR(__xludf.DUMMYFUNCTION("""COMPUTED_VALUE"""),"Xbox / PC")</f>
        <v>Xbox / PC</v>
      </c>
      <c r="C295" s="20" t="str">
        <f>IFERROR(__xludf.DUMMYFUNCTION("""COMPUTED_VALUE"""),"Yes")</f>
        <v>Yes</v>
      </c>
      <c r="D295" s="21" t="str">
        <f>IFERROR(__xludf.DUMMYFUNCTION("""COMPUTED_VALUE"""),"Removed")</f>
        <v>Removed</v>
      </c>
      <c r="E295" s="23">
        <f>IFERROR(__xludf.DUMMYFUNCTION("""COMPUTED_VALUE"""),45104.0)</f>
        <v>45104</v>
      </c>
      <c r="F295" s="24">
        <f>IFERROR(__xludf.DUMMYFUNCTION("""COMPUTED_VALUE"""),45473.0)</f>
        <v>45473</v>
      </c>
      <c r="G295" s="27">
        <f>IFERROR(__xludf.DUMMYFUNCTION("""COMPUTED_VALUE"""),12.1)</f>
        <v>12.1</v>
      </c>
      <c r="H295" s="128">
        <f>IFERROR(__xludf.DUMMYFUNCTION("""COMPUTED_VALUE"""),44446.0)</f>
        <v>44446</v>
      </c>
      <c r="I295" s="27">
        <f>IFERROR(__xludf.DUMMYFUNCTION("""COMPUTED_VALUE"""),1.8055555555555556)</f>
        <v>1.805555556</v>
      </c>
      <c r="J295" s="29">
        <f>IFERROR(__xludf.DUMMYFUNCTION("""COMPUTED_VALUE"""),81.0)</f>
        <v>81</v>
      </c>
      <c r="K295" s="29">
        <f>IFERROR(__xludf.DUMMYFUNCTION("""COMPUTED_VALUE"""),12.0)</f>
        <v>12</v>
      </c>
      <c r="L295" s="31" t="str">
        <f>IFERROR(__xludf.DUMMYFUNCTION("""COMPUTED_VALUE"""),"Platformer")</f>
        <v>Platformer</v>
      </c>
    </row>
    <row r="296">
      <c r="A296" s="17" t="str">
        <f>IFERROR(__xludf.DUMMYFUNCTION("""COMPUTED_VALUE"""),"Stranded Deep")</f>
        <v>Stranded Deep</v>
      </c>
      <c r="B296" s="20" t="str">
        <f>IFERROR(__xludf.DUMMYFUNCTION("""COMPUTED_VALUE"""),"Xbox / PC")</f>
        <v>Xbox / PC</v>
      </c>
      <c r="C296" s="20" t="str">
        <f>IFERROR(__xludf.DUMMYFUNCTION("""COMPUTED_VALUE"""),"Yes")</f>
        <v>Yes</v>
      </c>
      <c r="D296" s="21" t="str">
        <f>IFERROR(__xludf.DUMMYFUNCTION("""COMPUTED_VALUE"""),"Removed")</f>
        <v>Removed</v>
      </c>
      <c r="E296" s="23">
        <f>IFERROR(__xludf.DUMMYFUNCTION("""COMPUTED_VALUE"""),44929.0)</f>
        <v>44929</v>
      </c>
      <c r="F296" s="24">
        <f>IFERROR(__xludf.DUMMYFUNCTION("""COMPUTED_VALUE"""),45473.0)</f>
        <v>45473</v>
      </c>
      <c r="G296" s="27">
        <f>IFERROR(__xludf.DUMMYFUNCTION("""COMPUTED_VALUE"""),17.9)</f>
        <v>17.9</v>
      </c>
      <c r="H296" s="128">
        <f>IFERROR(__xludf.DUMMYFUNCTION("""COMPUTED_VALUE"""),42027.0)</f>
        <v>42027</v>
      </c>
      <c r="I296" s="27">
        <f>IFERROR(__xludf.DUMMYFUNCTION("""COMPUTED_VALUE"""),7.944444444444445)</f>
        <v>7.944444444</v>
      </c>
      <c r="J296" s="29">
        <f>IFERROR(__xludf.DUMMYFUNCTION("""COMPUTED_VALUE"""),75.0)</f>
        <v>75</v>
      </c>
      <c r="K296" s="29">
        <f>IFERROR(__xludf.DUMMYFUNCTION("""COMPUTED_VALUE"""),18.0)</f>
        <v>18</v>
      </c>
      <c r="L296" s="275" t="str">
        <f>IFERROR(__xludf.DUMMYFUNCTION("""COMPUTED_VALUE"""),"Adventure")</f>
        <v>Adventure</v>
      </c>
    </row>
    <row r="297">
      <c r="A297" s="17" t="str">
        <f>IFERROR(__xludf.DUMMYFUNCTION("""COMPUTED_VALUE"""),"FIFA 22")</f>
        <v>FIFA 22</v>
      </c>
      <c r="B297" s="20" t="str">
        <f>IFERROR(__xludf.DUMMYFUNCTION("""COMPUTED_VALUE"""),"Xbox / PC")</f>
        <v>Xbox / PC</v>
      </c>
      <c r="C297" s="20"/>
      <c r="D297" s="21" t="str">
        <f>IFERROR(__xludf.DUMMYFUNCTION("""COMPUTED_VALUE"""),"Removed")</f>
        <v>Removed</v>
      </c>
      <c r="E297" s="23">
        <f>IFERROR(__xludf.DUMMYFUNCTION("""COMPUTED_VALUE"""),44735.0)</f>
        <v>44735</v>
      </c>
      <c r="F297" s="24">
        <f>IFERROR(__xludf.DUMMYFUNCTION("""COMPUTED_VALUE"""),45473.0)</f>
        <v>45473</v>
      </c>
      <c r="G297" s="27">
        <f>IFERROR(__xludf.DUMMYFUNCTION("""COMPUTED_VALUE"""),24.233333333333334)</f>
        <v>24.23333333</v>
      </c>
      <c r="H297" s="128">
        <f>IFERROR(__xludf.DUMMYFUNCTION("""COMPUTED_VALUE"""),44470.0)</f>
        <v>44470</v>
      </c>
      <c r="I297" s="27">
        <f>IFERROR(__xludf.DUMMYFUNCTION("""COMPUTED_VALUE"""),0.7277777777777777)</f>
        <v>0.7277777778</v>
      </c>
      <c r="J297" s="29">
        <f>IFERROR(__xludf.DUMMYFUNCTION("""COMPUTED_VALUE"""),75.5)</f>
        <v>75.5</v>
      </c>
      <c r="K297" s="29">
        <f>IFERROR(__xludf.DUMMYFUNCTION("""COMPUTED_VALUE"""),94.5)</f>
        <v>94.5</v>
      </c>
      <c r="L297" s="31" t="str">
        <f>IFERROR(__xludf.DUMMYFUNCTION("""COMPUTED_VALUE"""),"Sports")</f>
        <v>Sports</v>
      </c>
    </row>
    <row r="298">
      <c r="A298" s="17" t="str">
        <f>IFERROR(__xludf.DUMMYFUNCTION("""COMPUTED_VALUE"""),"Bramble: The Mountain King")</f>
        <v>Bramble: The Mountain King</v>
      </c>
      <c r="B298" s="20" t="str">
        <f>IFERROR(__xludf.DUMMYFUNCTION("""COMPUTED_VALUE"""),"Xbox / PC")</f>
        <v>Xbox / PC</v>
      </c>
      <c r="C298" s="20" t="str">
        <f>IFERROR(__xludf.DUMMYFUNCTION("""COMPUTED_VALUE"""),"Yes")</f>
        <v>Yes</v>
      </c>
      <c r="D298" s="21" t="str">
        <f>IFERROR(__xludf.DUMMYFUNCTION("""COMPUTED_VALUE"""),"Removed")</f>
        <v>Removed</v>
      </c>
      <c r="E298" s="23">
        <f>IFERROR(__xludf.DUMMYFUNCTION("""COMPUTED_VALUE"""),45104.0)</f>
        <v>45104</v>
      </c>
      <c r="F298" s="24">
        <f>IFERROR(__xludf.DUMMYFUNCTION("""COMPUTED_VALUE"""),45458.0)</f>
        <v>45458</v>
      </c>
      <c r="G298" s="27">
        <f>IFERROR(__xludf.DUMMYFUNCTION("""COMPUTED_VALUE"""),11.6)</f>
        <v>11.6</v>
      </c>
      <c r="H298" s="128">
        <f>IFERROR(__xludf.DUMMYFUNCTION("""COMPUTED_VALUE"""),45043.0)</f>
        <v>45043</v>
      </c>
      <c r="I298" s="27">
        <f>IFERROR(__xludf.DUMMYFUNCTION("""COMPUTED_VALUE"""),0.16666666666666666)</f>
        <v>0.1666666667</v>
      </c>
      <c r="J298" s="29">
        <f>IFERROR(__xludf.DUMMYFUNCTION("""COMPUTED_VALUE"""),80.0)</f>
        <v>80</v>
      </c>
      <c r="K298" s="29">
        <f>IFERROR(__xludf.DUMMYFUNCTION("""COMPUTED_VALUE"""),5.0)</f>
        <v>5</v>
      </c>
      <c r="L298" s="31" t="str">
        <f>IFERROR(__xludf.DUMMYFUNCTION("""COMPUTED_VALUE"""),"Platformer")</f>
        <v>Platformer</v>
      </c>
    </row>
    <row r="299">
      <c r="A299" s="17" t="str">
        <f>IFERROR(__xludf.DUMMYFUNCTION("""COMPUTED_VALUE"""),"The Bookwalker: Thief of Tales")</f>
        <v>The Bookwalker: Thief of Tales</v>
      </c>
      <c r="B299" s="20" t="str">
        <f>IFERROR(__xludf.DUMMYFUNCTION("""COMPUTED_VALUE"""),"Xbox / PC")</f>
        <v>Xbox / PC</v>
      </c>
      <c r="C299" s="21"/>
      <c r="D299" s="21" t="str">
        <f>IFERROR(__xludf.DUMMYFUNCTION("""COMPUTED_VALUE"""),"Removed")</f>
        <v>Removed</v>
      </c>
      <c r="E299" s="23">
        <f>IFERROR(__xludf.DUMMYFUNCTION("""COMPUTED_VALUE"""),45099.0)</f>
        <v>45099</v>
      </c>
      <c r="F299" s="24">
        <f>IFERROR(__xludf.DUMMYFUNCTION("""COMPUTED_VALUE"""),45458.0)</f>
        <v>45458</v>
      </c>
      <c r="G299" s="27">
        <f>IFERROR(__xludf.DUMMYFUNCTION("""COMPUTED_VALUE"""),11.766666666666666)</f>
        <v>11.76666667</v>
      </c>
      <c r="H299" s="128">
        <f>IFERROR(__xludf.DUMMYFUNCTION("""COMPUTED_VALUE"""),45099.0)</f>
        <v>45099</v>
      </c>
      <c r="I299" s="27">
        <f>IFERROR(__xludf.DUMMYFUNCTION("""COMPUTED_VALUE"""),0.0)</f>
        <v>0</v>
      </c>
      <c r="J299" s="29">
        <f>IFERROR(__xludf.DUMMYFUNCTION("""COMPUTED_VALUE"""),75.0)</f>
        <v>75</v>
      </c>
      <c r="K299" s="29">
        <f>IFERROR(__xludf.DUMMYFUNCTION("""COMPUTED_VALUE"""),6.0)</f>
        <v>6</v>
      </c>
      <c r="L299" s="31" t="str">
        <f>IFERROR(__xludf.DUMMYFUNCTION("""COMPUTED_VALUE"""),"Adventure")</f>
        <v>Adventure</v>
      </c>
    </row>
    <row r="300">
      <c r="A300" s="17" t="str">
        <f>IFERROR(__xludf.DUMMYFUNCTION("""COMPUTED_VALUE"""),"Rune Factory 4: Special")</f>
        <v>Rune Factory 4: Special</v>
      </c>
      <c r="B300" s="20" t="str">
        <f>IFERROR(__xludf.DUMMYFUNCTION("""COMPUTED_VALUE"""),"Xbox / PC")</f>
        <v>Xbox / PC</v>
      </c>
      <c r="C300" s="21" t="str">
        <f>IFERROR(__xludf.DUMMYFUNCTION("""COMPUTED_VALUE"""),"Yes")</f>
        <v>Yes</v>
      </c>
      <c r="D300" s="21" t="str">
        <f>IFERROR(__xludf.DUMMYFUNCTION("""COMPUTED_VALUE"""),"Removed")</f>
        <v>Removed</v>
      </c>
      <c r="E300" s="23">
        <f>IFERROR(__xludf.DUMMYFUNCTION("""COMPUTED_VALUE"""),45085.0)</f>
        <v>45085</v>
      </c>
      <c r="F300" s="24">
        <f>IFERROR(__xludf.DUMMYFUNCTION("""COMPUTED_VALUE"""),45458.0)</f>
        <v>45458</v>
      </c>
      <c r="G300" s="27">
        <f>IFERROR(__xludf.DUMMYFUNCTION("""COMPUTED_VALUE"""),12.233333333333333)</f>
        <v>12.23333333</v>
      </c>
      <c r="H300" s="128">
        <f>IFERROR(__xludf.DUMMYFUNCTION("""COMPUTED_VALUE"""),41109.0)</f>
        <v>41109</v>
      </c>
      <c r="I300" s="27">
        <f>IFERROR(__xludf.DUMMYFUNCTION("""COMPUTED_VALUE"""),10.886111111111111)</f>
        <v>10.88611111</v>
      </c>
      <c r="J300" s="29">
        <f>IFERROR(__xludf.DUMMYFUNCTION("""COMPUTED_VALUE"""),82.0)</f>
        <v>82</v>
      </c>
      <c r="K300" s="29">
        <f>IFERROR(__xludf.DUMMYFUNCTION("""COMPUTED_VALUE"""),39.0)</f>
        <v>39</v>
      </c>
      <c r="L300" s="31" t="str">
        <f>IFERROR(__xludf.DUMMYFUNCTION("""COMPUTED_VALUE"""),"RPG")</f>
        <v>RPG</v>
      </c>
    </row>
    <row r="301">
      <c r="A301" s="17" t="str">
        <f>IFERROR(__xludf.DUMMYFUNCTION("""COMPUTED_VALUE"""),"Spacelines from the Far Out")</f>
        <v>Spacelines from the Far Out</v>
      </c>
      <c r="B301" s="20" t="str">
        <f>IFERROR(__xludf.DUMMYFUNCTION("""COMPUTED_VALUE"""),"Xbox / PC")</f>
        <v>Xbox / PC</v>
      </c>
      <c r="C301" s="21" t="str">
        <f>IFERROR(__xludf.DUMMYFUNCTION("""COMPUTED_VALUE"""),"Touch Controls")</f>
        <v>Touch Controls</v>
      </c>
      <c r="D301" s="21" t="str">
        <f>IFERROR(__xludf.DUMMYFUNCTION("""COMPUTED_VALUE"""),"Removed")</f>
        <v>Removed</v>
      </c>
      <c r="E301" s="23">
        <f>IFERROR(__xludf.DUMMYFUNCTION("""COMPUTED_VALUE"""),44719.0)</f>
        <v>44719</v>
      </c>
      <c r="F301" s="24">
        <f>IFERROR(__xludf.DUMMYFUNCTION("""COMPUTED_VALUE"""),45458.0)</f>
        <v>45458</v>
      </c>
      <c r="G301" s="27">
        <f>IFERROR(__xludf.DUMMYFUNCTION("""COMPUTED_VALUE"""),24.266666666666666)</f>
        <v>24.26666667</v>
      </c>
      <c r="H301" s="128">
        <f>IFERROR(__xludf.DUMMYFUNCTION("""COMPUTED_VALUE"""),44719.0)</f>
        <v>44719</v>
      </c>
      <c r="I301" s="27">
        <f>IFERROR(__xludf.DUMMYFUNCTION("""COMPUTED_VALUE"""),0.0)</f>
        <v>0</v>
      </c>
      <c r="J301" s="29">
        <f>IFERROR(__xludf.DUMMYFUNCTION("""COMPUTED_VALUE"""),83.0)</f>
        <v>83</v>
      </c>
      <c r="K301" s="29">
        <f>IFERROR(__xludf.DUMMYFUNCTION("""COMPUTED_VALUE"""),1.5)</f>
        <v>1.5</v>
      </c>
      <c r="L301" s="31" t="str">
        <f>IFERROR(__xludf.DUMMYFUNCTION("""COMPUTED_VALUE"""),"Strategy")</f>
        <v>Strategy</v>
      </c>
    </row>
    <row r="302">
      <c r="A302" s="17" t="str">
        <f>IFERROR(__xludf.DUMMYFUNCTION("""COMPUTED_VALUE"""),"Chicory: A Colorful Tale")</f>
        <v>Chicory: A Colorful Tale</v>
      </c>
      <c r="B302" s="20" t="str">
        <f>IFERROR(__xludf.DUMMYFUNCTION("""COMPUTED_VALUE"""),"Xbox / PC")</f>
        <v>Xbox / PC</v>
      </c>
      <c r="C302" s="20"/>
      <c r="D302" s="21" t="str">
        <f>IFERROR(__xludf.DUMMYFUNCTION("""COMPUTED_VALUE"""),"Removed")</f>
        <v>Removed</v>
      </c>
      <c r="E302" s="23">
        <f>IFERROR(__xludf.DUMMYFUNCTION("""COMPUTED_VALUE"""),45076.0)</f>
        <v>45076</v>
      </c>
      <c r="F302" s="24">
        <f>IFERROR(__xludf.DUMMYFUNCTION("""COMPUTED_VALUE"""),45443.0)</f>
        <v>45443</v>
      </c>
      <c r="G302" s="27">
        <f>IFERROR(__xludf.DUMMYFUNCTION("""COMPUTED_VALUE"""),12.0)</f>
        <v>12</v>
      </c>
      <c r="H302" s="128">
        <f>IFERROR(__xludf.DUMMYFUNCTION("""COMPUTED_VALUE"""),44357.0)</f>
        <v>44357</v>
      </c>
      <c r="I302" s="27">
        <f>IFERROR(__xludf.DUMMYFUNCTION("""COMPUTED_VALUE"""),1.9722222222222223)</f>
        <v>1.972222222</v>
      </c>
      <c r="J302" s="29">
        <f>IFERROR(__xludf.DUMMYFUNCTION("""COMPUTED_VALUE"""),90.0)</f>
        <v>90</v>
      </c>
      <c r="K302" s="29">
        <f>IFERROR(__xludf.DUMMYFUNCTION("""COMPUTED_VALUE"""),10.0)</f>
        <v>10</v>
      </c>
      <c r="L302" s="31" t="str">
        <f>IFERROR(__xludf.DUMMYFUNCTION("""COMPUTED_VALUE"""),"Action-Adventure")</f>
        <v>Action-Adventure</v>
      </c>
    </row>
    <row r="303">
      <c r="A303" s="278" t="str">
        <f>IFERROR(__xludf.DUMMYFUNCTION("""COMPUTED_VALUE"""),"Farworld Pioneers")</f>
        <v>Farworld Pioneers</v>
      </c>
      <c r="B303" s="20" t="str">
        <f>IFERROR(__xludf.DUMMYFUNCTION("""COMPUTED_VALUE"""),"Xbox / PC")</f>
        <v>Xbox / PC</v>
      </c>
      <c r="C303" s="20"/>
      <c r="D303" s="21" t="str">
        <f>IFERROR(__xludf.DUMMYFUNCTION("""COMPUTED_VALUE"""),"Removed")</f>
        <v>Removed</v>
      </c>
      <c r="E303" s="279">
        <f>IFERROR(__xludf.DUMMYFUNCTION("""COMPUTED_VALUE"""),45076.0)</f>
        <v>45076</v>
      </c>
      <c r="F303" s="24">
        <f>IFERROR(__xludf.DUMMYFUNCTION("""COMPUTED_VALUE"""),45443.0)</f>
        <v>45443</v>
      </c>
      <c r="G303" s="27">
        <f>IFERROR(__xludf.DUMMYFUNCTION("""COMPUTED_VALUE"""),12.0)</f>
        <v>12</v>
      </c>
      <c r="H303" s="128">
        <f>IFERROR(__xludf.DUMMYFUNCTION("""COMPUTED_VALUE"""),45076.0)</f>
        <v>45076</v>
      </c>
      <c r="I303" s="27">
        <f>IFERROR(__xludf.DUMMYFUNCTION("""COMPUTED_VALUE"""),0.0)</f>
        <v>0</v>
      </c>
      <c r="J303" s="29">
        <f>IFERROR(__xludf.DUMMYFUNCTION("""COMPUTED_VALUE"""),58.0)</f>
        <v>58</v>
      </c>
      <c r="K303" s="29">
        <f>IFERROR(__xludf.DUMMYFUNCTION("""COMPUTED_VALUE"""),28.0)</f>
        <v>28</v>
      </c>
      <c r="L303" s="275" t="str">
        <f>IFERROR(__xludf.DUMMYFUNCTION("""COMPUTED_VALUE"""),"Sandbox")</f>
        <v>Sandbox</v>
      </c>
    </row>
    <row r="304">
      <c r="A304" s="17" t="str">
        <f>IFERROR(__xludf.DUMMYFUNCTION("""COMPUTED_VALUE"""),"Railway Empire 2")</f>
        <v>Railway Empire 2</v>
      </c>
      <c r="B304" s="20" t="str">
        <f>IFERROR(__xludf.DUMMYFUNCTION("""COMPUTED_VALUE"""),"Xbox / PC")</f>
        <v>Xbox / PC</v>
      </c>
      <c r="C304" s="20" t="str">
        <f>IFERROR(__xludf.DUMMYFUNCTION("""COMPUTED_VALUE"""),"Yes")</f>
        <v>Yes</v>
      </c>
      <c r="D304" s="21" t="str">
        <f>IFERROR(__xludf.DUMMYFUNCTION("""COMPUTED_VALUE"""),"Removed")</f>
        <v>Removed</v>
      </c>
      <c r="E304" s="23">
        <f>IFERROR(__xludf.DUMMYFUNCTION("""COMPUTED_VALUE"""),45070.0)</f>
        <v>45070</v>
      </c>
      <c r="F304" s="24">
        <f>IFERROR(__xludf.DUMMYFUNCTION("""COMPUTED_VALUE"""),45443.0)</f>
        <v>45443</v>
      </c>
      <c r="G304" s="27">
        <f>IFERROR(__xludf.DUMMYFUNCTION("""COMPUTED_VALUE"""),12.2)</f>
        <v>12.2</v>
      </c>
      <c r="H304" s="128">
        <f>IFERROR(__xludf.DUMMYFUNCTION("""COMPUTED_VALUE"""),45070.0)</f>
        <v>45070</v>
      </c>
      <c r="I304" s="27">
        <f>IFERROR(__xludf.DUMMYFUNCTION("""COMPUTED_VALUE"""),0.0)</f>
        <v>0</v>
      </c>
      <c r="J304" s="29">
        <f>IFERROR(__xludf.DUMMYFUNCTION("""COMPUTED_VALUE"""),79.0)</f>
        <v>79</v>
      </c>
      <c r="K304" s="29">
        <f>IFERROR(__xludf.DUMMYFUNCTION("""COMPUTED_VALUE"""),28.0)</f>
        <v>28</v>
      </c>
      <c r="L304" s="31" t="str">
        <f>IFERROR(__xludf.DUMMYFUNCTION("""COMPUTED_VALUE"""),"Racing")</f>
        <v>Racing</v>
      </c>
    </row>
    <row r="305">
      <c r="A305" s="17" t="str">
        <f>IFERROR(__xludf.DUMMYFUNCTION("""COMPUTED_VALUE"""),"JoJo's Bizarre Adventure: All-Star Battle R")</f>
        <v>JoJo's Bizarre Adventure: All-Star Battle R</v>
      </c>
      <c r="B305" s="20" t="str">
        <f>IFERROR(__xludf.DUMMYFUNCTION("""COMPUTED_VALUE"""),"Xbox / PC")</f>
        <v>Xbox / PC</v>
      </c>
      <c r="C305" s="21" t="str">
        <f>IFERROR(__xludf.DUMMYFUNCTION("""COMPUTED_VALUE"""),"Yes")</f>
        <v>Yes</v>
      </c>
      <c r="D305" s="21" t="str">
        <f>IFERROR(__xludf.DUMMYFUNCTION("""COMPUTED_VALUE"""),"Removed")</f>
        <v>Removed</v>
      </c>
      <c r="E305" s="23">
        <f>IFERROR(__xludf.DUMMYFUNCTION("""COMPUTED_VALUE"""),44957.0)</f>
        <v>44957</v>
      </c>
      <c r="F305" s="24">
        <f>IFERROR(__xludf.DUMMYFUNCTION("""COMPUTED_VALUE"""),45443.0)</f>
        <v>45443</v>
      </c>
      <c r="G305" s="27">
        <f>IFERROR(__xludf.DUMMYFUNCTION("""COMPUTED_VALUE"""),16.0)</f>
        <v>16</v>
      </c>
      <c r="H305" s="128">
        <f>IFERROR(__xludf.DUMMYFUNCTION("""COMPUTED_VALUE"""),44805.0)</f>
        <v>44805</v>
      </c>
      <c r="I305" s="27">
        <f>IFERROR(__xludf.DUMMYFUNCTION("""COMPUTED_VALUE"""),0.41388888888888886)</f>
        <v>0.4138888889</v>
      </c>
      <c r="J305" s="29">
        <f>IFERROR(__xludf.DUMMYFUNCTION("""COMPUTED_VALUE"""),73.0)</f>
        <v>73</v>
      </c>
      <c r="K305" s="29">
        <f>IFERROR(__xludf.DUMMYFUNCTION("""COMPUTED_VALUE"""),10.0)</f>
        <v>10</v>
      </c>
      <c r="L305" s="275" t="str">
        <f>IFERROR(__xludf.DUMMYFUNCTION("""COMPUTED_VALUE"""),"Fighting")</f>
        <v>Fighting</v>
      </c>
    </row>
    <row r="306">
      <c r="A306" s="17" t="str">
        <f>IFERROR(__xludf.DUMMYFUNCTION("""COMPUTED_VALUE"""),"Pac-Man Museum+")</f>
        <v>Pac-Man Museum+</v>
      </c>
      <c r="B306" s="20" t="str">
        <f>IFERROR(__xludf.DUMMYFUNCTION("""COMPUTED_VALUE"""),"Xbox / PC")</f>
        <v>Xbox / PC</v>
      </c>
      <c r="C306" s="20" t="str">
        <f>IFERROR(__xludf.DUMMYFUNCTION("""COMPUTED_VALUE"""),"Yes")</f>
        <v>Yes</v>
      </c>
      <c r="D306" s="21" t="str">
        <f>IFERROR(__xludf.DUMMYFUNCTION("""COMPUTED_VALUE"""),"Removed")</f>
        <v>Removed</v>
      </c>
      <c r="E306" s="23">
        <f>IFERROR(__xludf.DUMMYFUNCTION("""COMPUTED_VALUE"""),44708.0)</f>
        <v>44708</v>
      </c>
      <c r="F306" s="24">
        <f>IFERROR(__xludf.DUMMYFUNCTION("""COMPUTED_VALUE"""),45443.0)</f>
        <v>45443</v>
      </c>
      <c r="G306" s="27">
        <f>IFERROR(__xludf.DUMMYFUNCTION("""COMPUTED_VALUE"""),24.1)</f>
        <v>24.1</v>
      </c>
      <c r="H306" s="128">
        <f>IFERROR(__xludf.DUMMYFUNCTION("""COMPUTED_VALUE"""),44708.0)</f>
        <v>44708</v>
      </c>
      <c r="I306" s="27">
        <f>IFERROR(__xludf.DUMMYFUNCTION("""COMPUTED_VALUE"""),0.0)</f>
        <v>0</v>
      </c>
      <c r="J306" s="277">
        <f>IFERROR(__xludf.DUMMYFUNCTION("""COMPUTED_VALUE"""),64.0)</f>
        <v>64</v>
      </c>
      <c r="K306" s="29">
        <f>IFERROR(__xludf.DUMMYFUNCTION("""COMPUTED_VALUE"""),2.5)</f>
        <v>2.5</v>
      </c>
      <c r="L306" s="275" t="str">
        <f>IFERROR(__xludf.DUMMYFUNCTION("""COMPUTED_VALUE"""),"Platformer")</f>
        <v>Platformer</v>
      </c>
    </row>
    <row r="307">
      <c r="A307" s="17" t="str">
        <f>IFERROR(__xludf.DUMMYFUNCTION("""COMPUTED_VALUE"""),"Little Witch in the Woods (Game Preview)")</f>
        <v>Little Witch in the Woods (Game Preview)</v>
      </c>
      <c r="B307" s="20" t="str">
        <f>IFERROR(__xludf.DUMMYFUNCTION("""COMPUTED_VALUE"""),"Xbox / PC")</f>
        <v>Xbox / PC</v>
      </c>
      <c r="C307" s="21" t="str">
        <f>IFERROR(__xludf.DUMMYFUNCTION("""COMPUTED_VALUE"""),"Touch Controls")</f>
        <v>Touch Controls</v>
      </c>
      <c r="D307" s="21" t="str">
        <f>IFERROR(__xludf.DUMMYFUNCTION("""COMPUTED_VALUE"""),"Removed")</f>
        <v>Removed</v>
      </c>
      <c r="E307" s="23">
        <f>IFERROR(__xludf.DUMMYFUNCTION("""COMPUTED_VALUE"""),44698.0)</f>
        <v>44698</v>
      </c>
      <c r="F307" s="24">
        <f>IFERROR(__xludf.DUMMYFUNCTION("""COMPUTED_VALUE"""),45443.0)</f>
        <v>45443</v>
      </c>
      <c r="G307" s="27">
        <f>IFERROR(__xludf.DUMMYFUNCTION("""COMPUTED_VALUE"""),24.43333333333333)</f>
        <v>24.43333333</v>
      </c>
      <c r="H307" s="128">
        <f>IFERROR(__xludf.DUMMYFUNCTION("""COMPUTED_VALUE"""),44697.0)</f>
        <v>44697</v>
      </c>
      <c r="I307" s="27">
        <f>IFERROR(__xludf.DUMMYFUNCTION("""COMPUTED_VALUE"""),0.002777777777777778)</f>
        <v>0.002777777778</v>
      </c>
      <c r="J307" s="277"/>
      <c r="K307" s="29">
        <f>IFERROR(__xludf.DUMMYFUNCTION("""COMPUTED_VALUE"""),8.0)</f>
        <v>8</v>
      </c>
      <c r="L307" s="31" t="str">
        <f>IFERROR(__xludf.DUMMYFUNCTION("""COMPUTED_VALUE"""),"RPG")</f>
        <v>RPG</v>
      </c>
    </row>
    <row r="308">
      <c r="A308" s="278" t="str">
        <f>IFERROR(__xludf.DUMMYFUNCTION("""COMPUTED_VALUE"""),"Eastern Exorcist")</f>
        <v>Eastern Exorcist</v>
      </c>
      <c r="B308" s="20" t="str">
        <f>IFERROR(__xludf.DUMMYFUNCTION("""COMPUTED_VALUE"""),"Xbox / PC")</f>
        <v>Xbox / PC</v>
      </c>
      <c r="C308" s="20"/>
      <c r="D308" s="21" t="str">
        <f>IFERROR(__xludf.DUMMYFUNCTION("""COMPUTED_VALUE"""),"Removed")</f>
        <v>Removed</v>
      </c>
      <c r="E308" s="279">
        <f>IFERROR(__xludf.DUMMYFUNCTION("""COMPUTED_VALUE"""),45064.0)</f>
        <v>45064</v>
      </c>
      <c r="F308" s="24">
        <f>IFERROR(__xludf.DUMMYFUNCTION("""COMPUTED_VALUE"""),45427.0)</f>
        <v>45427</v>
      </c>
      <c r="G308" s="27">
        <f>IFERROR(__xludf.DUMMYFUNCTION("""COMPUTED_VALUE"""),11.9)</f>
        <v>11.9</v>
      </c>
      <c r="H308" s="128">
        <f>IFERROR(__xludf.DUMMYFUNCTION("""COMPUTED_VALUE"""),44385.0)</f>
        <v>44385</v>
      </c>
      <c r="I308" s="27">
        <f>IFERROR(__xludf.DUMMYFUNCTION("""COMPUTED_VALUE"""),1.8611111111111112)</f>
        <v>1.861111111</v>
      </c>
      <c r="J308" s="277">
        <f>IFERROR(__xludf.DUMMYFUNCTION("""COMPUTED_VALUE"""),73.0)</f>
        <v>73</v>
      </c>
      <c r="K308" s="29">
        <f>IFERROR(__xludf.DUMMYFUNCTION("""COMPUTED_VALUE"""),7.0)</f>
        <v>7</v>
      </c>
      <c r="L308" s="275" t="str">
        <f>IFERROR(__xludf.DUMMYFUNCTION("""COMPUTED_VALUE"""),"RPG")</f>
        <v>RPG</v>
      </c>
    </row>
    <row r="309">
      <c r="A309" s="278" t="str">
        <f>IFERROR(__xludf.DUMMYFUNCTION("""COMPUTED_VALUE"""),"Supraland: Six Inches Under")</f>
        <v>Supraland: Six Inches Under</v>
      </c>
      <c r="B309" s="20" t="str">
        <f>IFERROR(__xludf.DUMMYFUNCTION("""COMPUTED_VALUE"""),"Xbox / PC")</f>
        <v>Xbox / PC</v>
      </c>
      <c r="C309" s="20" t="str">
        <f>IFERROR(__xludf.DUMMYFUNCTION("""COMPUTED_VALUE"""),"Yes")</f>
        <v>Yes</v>
      </c>
      <c r="D309" s="21" t="str">
        <f>IFERROR(__xludf.DUMMYFUNCTION("""COMPUTED_VALUE"""),"Removed")</f>
        <v>Removed</v>
      </c>
      <c r="E309" s="279">
        <f>IFERROR(__xludf.DUMMYFUNCTION("""COMPUTED_VALUE"""),45064.0)</f>
        <v>45064</v>
      </c>
      <c r="F309" s="24">
        <f>IFERROR(__xludf.DUMMYFUNCTION("""COMPUTED_VALUE"""),45427.0)</f>
        <v>45427</v>
      </c>
      <c r="G309" s="27">
        <f>IFERROR(__xludf.DUMMYFUNCTION("""COMPUTED_VALUE"""),11.9)</f>
        <v>11.9</v>
      </c>
      <c r="H309" s="128">
        <f>IFERROR(__xludf.DUMMYFUNCTION("""COMPUTED_VALUE"""),44575.0)</f>
        <v>44575</v>
      </c>
      <c r="I309" s="27">
        <f>IFERROR(__xludf.DUMMYFUNCTION("""COMPUTED_VALUE"""),1.3444444444444446)</f>
        <v>1.344444444</v>
      </c>
      <c r="J309" s="277">
        <f>IFERROR(__xludf.DUMMYFUNCTION("""COMPUTED_VALUE"""),86.0)</f>
        <v>86</v>
      </c>
      <c r="K309" s="29">
        <f>IFERROR(__xludf.DUMMYFUNCTION("""COMPUTED_VALUE"""),8.0)</f>
        <v>8</v>
      </c>
      <c r="L309" s="275" t="str">
        <f>IFERROR(__xludf.DUMMYFUNCTION("""COMPUTED_VALUE"""),"Action-Adventure")</f>
        <v>Action-Adventure</v>
      </c>
    </row>
    <row r="310">
      <c r="A310" s="278" t="str">
        <f>IFERROR(__xludf.DUMMYFUNCTION("""COMPUTED_VALUE"""),"Fuga: Melodies of Steel 2")</f>
        <v>Fuga: Melodies of Steel 2</v>
      </c>
      <c r="B310" s="20" t="str">
        <f>IFERROR(__xludf.DUMMYFUNCTION("""COMPUTED_VALUE"""),"Xbox / PC")</f>
        <v>Xbox / PC</v>
      </c>
      <c r="C310" s="20" t="str">
        <f>IFERROR(__xludf.DUMMYFUNCTION("""COMPUTED_VALUE"""),"Yes")</f>
        <v>Yes</v>
      </c>
      <c r="D310" s="21" t="str">
        <f>IFERROR(__xludf.DUMMYFUNCTION("""COMPUTED_VALUE"""),"Removed")</f>
        <v>Removed</v>
      </c>
      <c r="E310" s="279">
        <f>IFERROR(__xludf.DUMMYFUNCTION("""COMPUTED_VALUE"""),45057.0)</f>
        <v>45057</v>
      </c>
      <c r="F310" s="24">
        <f>IFERROR(__xludf.DUMMYFUNCTION("""COMPUTED_VALUE"""),45427.0)</f>
        <v>45427</v>
      </c>
      <c r="G310" s="27">
        <f>IFERROR(__xludf.DUMMYFUNCTION("""COMPUTED_VALUE"""),12.133333333333333)</f>
        <v>12.13333333</v>
      </c>
      <c r="H310" s="128">
        <f>IFERROR(__xludf.DUMMYFUNCTION("""COMPUTED_VALUE"""),45057.0)</f>
        <v>45057</v>
      </c>
      <c r="I310" s="27">
        <f>IFERROR(__xludf.DUMMYFUNCTION("""COMPUTED_VALUE"""),0.0)</f>
        <v>0</v>
      </c>
      <c r="J310" s="277">
        <f>IFERROR(__xludf.DUMMYFUNCTION("""COMPUTED_VALUE"""),85.0)</f>
        <v>85</v>
      </c>
      <c r="K310" s="29">
        <f>IFERROR(__xludf.DUMMYFUNCTION("""COMPUTED_VALUE"""),22.0)</f>
        <v>22</v>
      </c>
      <c r="L310" s="275" t="str">
        <f>IFERROR(__xludf.DUMMYFUNCTION("""COMPUTED_VALUE"""),"RPG")</f>
        <v>RPG</v>
      </c>
    </row>
    <row r="311">
      <c r="A311" s="278" t="str">
        <f>IFERROR(__xludf.DUMMYFUNCTION("""COMPUTED_VALUE"""),"SD Gundam Battle Alliance")</f>
        <v>SD Gundam Battle Alliance</v>
      </c>
      <c r="B311" s="20" t="str">
        <f>IFERROR(__xludf.DUMMYFUNCTION("""COMPUTED_VALUE"""),"Xbox / PC")</f>
        <v>Xbox / PC</v>
      </c>
      <c r="C311" s="20" t="str">
        <f>IFERROR(__xludf.DUMMYFUNCTION("""COMPUTED_VALUE"""),"Yes")</f>
        <v>Yes</v>
      </c>
      <c r="D311" s="21" t="str">
        <f>IFERROR(__xludf.DUMMYFUNCTION("""COMPUTED_VALUE"""),"Removed")</f>
        <v>Removed</v>
      </c>
      <c r="E311" s="279">
        <f>IFERROR(__xludf.DUMMYFUNCTION("""COMPUTED_VALUE"""),44966.0)</f>
        <v>44966</v>
      </c>
      <c r="F311" s="24">
        <f>IFERROR(__xludf.DUMMYFUNCTION("""COMPUTED_VALUE"""),45427.0)</f>
        <v>45427</v>
      </c>
      <c r="G311" s="27">
        <f>IFERROR(__xludf.DUMMYFUNCTION("""COMPUTED_VALUE"""),15.2)</f>
        <v>15.2</v>
      </c>
      <c r="H311" s="128">
        <f>IFERROR(__xludf.DUMMYFUNCTION("""COMPUTED_VALUE"""),44798.0)</f>
        <v>44798</v>
      </c>
      <c r="I311" s="27">
        <f>IFERROR(__xludf.DUMMYFUNCTION("""COMPUTED_VALUE"""),0.45555555555555555)</f>
        <v>0.4555555556</v>
      </c>
      <c r="J311" s="277">
        <f>IFERROR(__xludf.DUMMYFUNCTION("""COMPUTED_VALUE"""),71.0)</f>
        <v>71</v>
      </c>
      <c r="K311" s="29">
        <f>IFERROR(__xludf.DUMMYFUNCTION("""COMPUTED_VALUE"""),11.0)</f>
        <v>11</v>
      </c>
      <c r="L311" s="275" t="str">
        <f>IFERROR(__xludf.DUMMYFUNCTION("""COMPUTED_VALUE"""),"RPG")</f>
        <v>RPG</v>
      </c>
    </row>
    <row r="312">
      <c r="A312" s="278" t="str">
        <f>IFERROR(__xludf.DUMMYFUNCTION("""COMPUTED_VALUE"""),"Ghostlore")</f>
        <v>Ghostlore</v>
      </c>
      <c r="B312" s="21" t="str">
        <f>IFERROR(__xludf.DUMMYFUNCTION("""COMPUTED_VALUE"""),"Xbox / PC")</f>
        <v>Xbox / PC</v>
      </c>
      <c r="C312" s="21"/>
      <c r="D312" s="21" t="str">
        <f>IFERROR(__xludf.DUMMYFUNCTION("""COMPUTED_VALUE"""),"Removed")</f>
        <v>Removed</v>
      </c>
      <c r="E312" s="279">
        <f>IFERROR(__xludf.DUMMYFUNCTION("""COMPUTED_VALUE"""),44882.0)</f>
        <v>44882</v>
      </c>
      <c r="F312" s="24">
        <f>IFERROR(__xludf.DUMMYFUNCTION("""COMPUTED_VALUE"""),45427.0)</f>
        <v>45427</v>
      </c>
      <c r="G312" s="27">
        <f>IFERROR(__xludf.DUMMYFUNCTION("""COMPUTED_VALUE"""),17.933333333333334)</f>
        <v>17.93333333</v>
      </c>
      <c r="H312" s="128">
        <f>IFERROR(__xludf.DUMMYFUNCTION("""COMPUTED_VALUE"""),44665.0)</f>
        <v>44665</v>
      </c>
      <c r="I312" s="27">
        <f>IFERROR(__xludf.DUMMYFUNCTION("""COMPUTED_VALUE"""),0.5916666666666667)</f>
        <v>0.5916666667</v>
      </c>
      <c r="J312" s="277">
        <f>IFERROR(__xludf.DUMMYFUNCTION("""COMPUTED_VALUE"""),81.0)</f>
        <v>81</v>
      </c>
      <c r="K312" s="29">
        <f>IFERROR(__xludf.DUMMYFUNCTION("""COMPUTED_VALUE"""),6.0)</f>
        <v>6</v>
      </c>
      <c r="L312" s="31" t="str">
        <f>IFERROR(__xludf.DUMMYFUNCTION("""COMPUTED_VALUE"""),"RPG")</f>
        <v>RPG</v>
      </c>
    </row>
    <row r="313">
      <c r="A313" s="278" t="str">
        <f>IFERROR(__xludf.DUMMYFUNCTION("""COMPUTED_VALUE"""),"Eiyuden Chronicle: Rising")</f>
        <v>Eiyuden Chronicle: Rising</v>
      </c>
      <c r="B313" s="20" t="str">
        <f>IFERROR(__xludf.DUMMYFUNCTION("""COMPUTED_VALUE"""),"Xbox / PC")</f>
        <v>Xbox / PC</v>
      </c>
      <c r="C313" s="20" t="str">
        <f>IFERROR(__xludf.DUMMYFUNCTION("""COMPUTED_VALUE"""),"Touch Controls")</f>
        <v>Touch Controls</v>
      </c>
      <c r="D313" s="21" t="str">
        <f>IFERROR(__xludf.DUMMYFUNCTION("""COMPUTED_VALUE"""),"Removed")</f>
        <v>Removed</v>
      </c>
      <c r="E313" s="279">
        <f>IFERROR(__xludf.DUMMYFUNCTION("""COMPUTED_VALUE"""),44691.0)</f>
        <v>44691</v>
      </c>
      <c r="F313" s="24">
        <f>IFERROR(__xludf.DUMMYFUNCTION("""COMPUTED_VALUE"""),45427.0)</f>
        <v>45427</v>
      </c>
      <c r="G313" s="27">
        <f>IFERROR(__xludf.DUMMYFUNCTION("""COMPUTED_VALUE"""),24.166666666666664)</f>
        <v>24.16666667</v>
      </c>
      <c r="H313" s="128">
        <f>IFERROR(__xludf.DUMMYFUNCTION("""COMPUTED_VALUE"""),44691.0)</f>
        <v>44691</v>
      </c>
      <c r="I313" s="27">
        <f>IFERROR(__xludf.DUMMYFUNCTION("""COMPUTED_VALUE"""),0.0)</f>
        <v>0</v>
      </c>
      <c r="J313" s="277">
        <f>IFERROR(__xludf.DUMMYFUNCTION("""COMPUTED_VALUE"""),71.0)</f>
        <v>71</v>
      </c>
      <c r="K313" s="29">
        <f>IFERROR(__xludf.DUMMYFUNCTION("""COMPUTED_VALUE"""),11.0)</f>
        <v>11</v>
      </c>
      <c r="L313" s="275" t="str">
        <f>IFERROR(__xludf.DUMMYFUNCTION("""COMPUTED_VALUE"""),"RPG")</f>
        <v>RPG</v>
      </c>
    </row>
    <row r="314">
      <c r="A314" s="17" t="str">
        <f>IFERROR(__xludf.DUMMYFUNCTION("""COMPUTED_VALUE"""),"Norco")</f>
        <v>Norco</v>
      </c>
      <c r="B314" s="20" t="str">
        <f>IFERROR(__xludf.DUMMYFUNCTION("""COMPUTED_VALUE"""),"Xbox / PC")</f>
        <v>Xbox / PC</v>
      </c>
      <c r="C314" s="20" t="str">
        <f>IFERROR(__xludf.DUMMYFUNCTION("""COMPUTED_VALUE"""),"M+KB")</f>
        <v>M+KB</v>
      </c>
      <c r="D314" s="21" t="str">
        <f>IFERROR(__xludf.DUMMYFUNCTION("""COMPUTED_VALUE"""),"Removed")</f>
        <v>Removed</v>
      </c>
      <c r="E314" s="279">
        <f>IFERROR(__xludf.DUMMYFUNCTION("""COMPUTED_VALUE"""),44644.0)</f>
        <v>44644</v>
      </c>
      <c r="F314" s="24">
        <f>IFERROR(__xludf.DUMMYFUNCTION("""COMPUTED_VALUE"""),45427.0)</f>
        <v>45427</v>
      </c>
      <c r="G314" s="27">
        <f>IFERROR(__xludf.DUMMYFUNCTION("""COMPUTED_VALUE"""),25.7)</f>
        <v>25.7</v>
      </c>
      <c r="H314" s="128">
        <f>IFERROR(__xludf.DUMMYFUNCTION("""COMPUTED_VALUE"""),44644.0)</f>
        <v>44644</v>
      </c>
      <c r="I314" s="27">
        <f>IFERROR(__xludf.DUMMYFUNCTION("""COMPUTED_VALUE"""),0.0)</f>
        <v>0</v>
      </c>
      <c r="J314" s="277">
        <f>IFERROR(__xludf.DUMMYFUNCTION("""COMPUTED_VALUE"""),87.0)</f>
        <v>87</v>
      </c>
      <c r="K314" s="277">
        <f>IFERROR(__xludf.DUMMYFUNCTION("""COMPUTED_VALUE"""),5.5)</f>
        <v>5.5</v>
      </c>
      <c r="L314" s="275" t="str">
        <f>IFERROR(__xludf.DUMMYFUNCTION("""COMPUTED_VALUE"""),"Adventure")</f>
        <v>Adventure</v>
      </c>
    </row>
    <row r="315">
      <c r="A315" s="278" t="str">
        <f>IFERROR(__xludf.DUMMYFUNCTION("""COMPUTED_VALUE"""),"Just Cause 4: Reloaded")</f>
        <v>Just Cause 4: Reloaded</v>
      </c>
      <c r="B315" s="20" t="str">
        <f>IFERROR(__xludf.DUMMYFUNCTION("""COMPUTED_VALUE"""),"Xbox / PC")</f>
        <v>Xbox / PC</v>
      </c>
      <c r="C315" s="20" t="str">
        <f>IFERROR(__xludf.DUMMYFUNCTION("""COMPUTED_VALUE"""),"Yes")</f>
        <v>Yes</v>
      </c>
      <c r="D315" s="21" t="str">
        <f>IFERROR(__xludf.DUMMYFUNCTION("""COMPUTED_VALUE"""),"Removed")</f>
        <v>Removed</v>
      </c>
      <c r="E315" s="279">
        <f>IFERROR(__xludf.DUMMYFUNCTION("""COMPUTED_VALUE"""),44329.0)</f>
        <v>44329</v>
      </c>
      <c r="F315" s="24">
        <f>IFERROR(__xludf.DUMMYFUNCTION("""COMPUTED_VALUE"""),45427.0)</f>
        <v>45427</v>
      </c>
      <c r="G315" s="27">
        <f>IFERROR(__xludf.DUMMYFUNCTION("""COMPUTED_VALUE"""),36.06666666666666)</f>
        <v>36.06666667</v>
      </c>
      <c r="H315" s="128">
        <f>IFERROR(__xludf.DUMMYFUNCTION("""COMPUTED_VALUE"""),43438.0)</f>
        <v>43438</v>
      </c>
      <c r="I315" s="27">
        <f>IFERROR(__xludf.DUMMYFUNCTION("""COMPUTED_VALUE"""),2.441666666666667)</f>
        <v>2.441666667</v>
      </c>
      <c r="J315" s="277">
        <f>IFERROR(__xludf.DUMMYFUNCTION("""COMPUTED_VALUE"""),69.0)</f>
        <v>69</v>
      </c>
      <c r="K315" s="29">
        <f>IFERROR(__xludf.DUMMYFUNCTION("""COMPUTED_VALUE"""),16.0)</f>
        <v>16</v>
      </c>
      <c r="L315" s="275" t="str">
        <f>IFERROR(__xludf.DUMMYFUNCTION("""COMPUTED_VALUE"""),"Action-Adventure")</f>
        <v>Action-Adventure</v>
      </c>
    </row>
    <row r="316">
      <c r="A316" s="278" t="str">
        <f>IFERROR(__xludf.DUMMYFUNCTION("""COMPUTED_VALUE"""),"Ravenlok")</f>
        <v>Ravenlok</v>
      </c>
      <c r="B316" s="20" t="str">
        <f>IFERROR(__xludf.DUMMYFUNCTION("""COMPUTED_VALUE"""),"Xbox / PC")</f>
        <v>Xbox / PC</v>
      </c>
      <c r="C316" s="20" t="str">
        <f>IFERROR(__xludf.DUMMYFUNCTION("""COMPUTED_VALUE"""),"Yes")</f>
        <v>Yes</v>
      </c>
      <c r="D316" s="21" t="str">
        <f>IFERROR(__xludf.DUMMYFUNCTION("""COMPUTED_VALUE"""),"Removed")</f>
        <v>Removed</v>
      </c>
      <c r="E316" s="279">
        <f>IFERROR(__xludf.DUMMYFUNCTION("""COMPUTED_VALUE"""),45050.0)</f>
        <v>45050</v>
      </c>
      <c r="F316" s="24">
        <f>IFERROR(__xludf.DUMMYFUNCTION("""COMPUTED_VALUE"""),45412.0)</f>
        <v>45412</v>
      </c>
      <c r="G316" s="27">
        <f>IFERROR(__xludf.DUMMYFUNCTION("""COMPUTED_VALUE"""),11.866666666666667)</f>
        <v>11.86666667</v>
      </c>
      <c r="H316" s="128">
        <f>IFERROR(__xludf.DUMMYFUNCTION("""COMPUTED_VALUE"""),45050.0)</f>
        <v>45050</v>
      </c>
      <c r="I316" s="27">
        <f>IFERROR(__xludf.DUMMYFUNCTION("""COMPUTED_VALUE"""),0.0)</f>
        <v>0</v>
      </c>
      <c r="J316" s="277">
        <f>IFERROR(__xludf.DUMMYFUNCTION("""COMPUTED_VALUE"""),66.0)</f>
        <v>66</v>
      </c>
      <c r="K316" s="29">
        <f>IFERROR(__xludf.DUMMYFUNCTION("""COMPUTED_VALUE"""),4.0)</f>
        <v>4</v>
      </c>
      <c r="L316" s="275" t="str">
        <f>IFERROR(__xludf.DUMMYFUNCTION("""COMPUTED_VALUE"""),"RPG")</f>
        <v>RPG</v>
      </c>
    </row>
    <row r="317">
      <c r="A317" s="278" t="str">
        <f>IFERROR(__xludf.DUMMYFUNCTION("""COMPUTED_VALUE"""),"Besiege")</f>
        <v>Besiege</v>
      </c>
      <c r="B317" s="20" t="str">
        <f>IFERROR(__xludf.DUMMYFUNCTION("""COMPUTED_VALUE"""),"Xbox / PC")</f>
        <v>Xbox / PC</v>
      </c>
      <c r="C317" s="20" t="str">
        <f>IFERROR(__xludf.DUMMYFUNCTION("""COMPUTED_VALUE"""),"Touch Controls")</f>
        <v>Touch Controls</v>
      </c>
      <c r="D317" s="21" t="str">
        <f>IFERROR(__xludf.DUMMYFUNCTION("""COMPUTED_VALUE"""),"Removed")</f>
        <v>Removed</v>
      </c>
      <c r="E317" s="279">
        <f>IFERROR(__xludf.DUMMYFUNCTION("""COMPUTED_VALUE"""),45047.0)</f>
        <v>45047</v>
      </c>
      <c r="F317" s="24">
        <f>IFERROR(__xludf.DUMMYFUNCTION("""COMPUTED_VALUE"""),45412.0)</f>
        <v>45412</v>
      </c>
      <c r="G317" s="27">
        <f>IFERROR(__xludf.DUMMYFUNCTION("""COMPUTED_VALUE"""),11.966666666666667)</f>
        <v>11.96666667</v>
      </c>
      <c r="H317" s="128">
        <f>IFERROR(__xludf.DUMMYFUNCTION("""COMPUTED_VALUE"""),44602.0)</f>
        <v>44602</v>
      </c>
      <c r="I317" s="27">
        <f>IFERROR(__xludf.DUMMYFUNCTION("""COMPUTED_VALUE"""),1.225)</f>
        <v>1.225</v>
      </c>
      <c r="J317" s="277">
        <f>IFERROR(__xludf.DUMMYFUNCTION("""COMPUTED_VALUE"""),88.33333333333333)</f>
        <v>88.33333333</v>
      </c>
      <c r="K317" s="29">
        <f>IFERROR(__xludf.DUMMYFUNCTION("""COMPUTED_VALUE"""),5.0)</f>
        <v>5</v>
      </c>
      <c r="L317" s="275" t="str">
        <f>IFERROR(__xludf.DUMMYFUNCTION("""COMPUTED_VALUE"""),"Simulation")</f>
        <v>Simulation</v>
      </c>
    </row>
    <row r="318">
      <c r="A318" s="278" t="str">
        <f>IFERROR(__xludf.DUMMYFUNCTION("""COMPUTED_VALUE"""),"NHL 22")</f>
        <v>NHL 22</v>
      </c>
      <c r="B318" s="20" t="str">
        <f>IFERROR(__xludf.DUMMYFUNCTION("""COMPUTED_VALUE"""),"Xbox")</f>
        <v>Xbox</v>
      </c>
      <c r="C318" s="21"/>
      <c r="D318" s="21" t="str">
        <f>IFERROR(__xludf.DUMMYFUNCTION("""COMPUTED_VALUE"""),"Removed")</f>
        <v>Removed</v>
      </c>
      <c r="E318" s="279">
        <f>IFERROR(__xludf.DUMMYFUNCTION("""COMPUTED_VALUE"""),44693.0)</f>
        <v>44693</v>
      </c>
      <c r="F318" s="24">
        <f>IFERROR(__xludf.DUMMYFUNCTION("""COMPUTED_VALUE"""),45412.0)</f>
        <v>45412</v>
      </c>
      <c r="G318" s="27">
        <f>IFERROR(__xludf.DUMMYFUNCTION("""COMPUTED_VALUE"""),23.599999999999998)</f>
        <v>23.6</v>
      </c>
      <c r="H318" s="128">
        <f>IFERROR(__xludf.DUMMYFUNCTION("""COMPUTED_VALUE"""),44484.0)</f>
        <v>44484</v>
      </c>
      <c r="I318" s="27">
        <f>IFERROR(__xludf.DUMMYFUNCTION("""COMPUTED_VALUE"""),0.575)</f>
        <v>0.575</v>
      </c>
      <c r="J318" s="277">
        <f>IFERROR(__xludf.DUMMYFUNCTION("""COMPUTED_VALUE"""),74.0)</f>
        <v>74</v>
      </c>
      <c r="K318" s="29">
        <f>IFERROR(__xludf.DUMMYFUNCTION("""COMPUTED_VALUE"""),85.0)</f>
        <v>85</v>
      </c>
      <c r="L318" s="275" t="str">
        <f>IFERROR(__xludf.DUMMYFUNCTION("""COMPUTED_VALUE"""),"Sports")</f>
        <v>Sports</v>
      </c>
    </row>
    <row r="319">
      <c r="A319" s="278" t="str">
        <f>IFERROR(__xludf.DUMMYFUNCTION("""COMPUTED_VALUE"""),"Loot River")</f>
        <v>Loot River</v>
      </c>
      <c r="B319" s="20" t="str">
        <f>IFERROR(__xludf.DUMMYFUNCTION("""COMPUTED_VALUE"""),"Xbox / PC")</f>
        <v>Xbox / PC</v>
      </c>
      <c r="C319" s="20" t="str">
        <f>IFERROR(__xludf.DUMMYFUNCTION("""COMPUTED_VALUE"""),"Touch Controls")</f>
        <v>Touch Controls</v>
      </c>
      <c r="D319" s="21" t="str">
        <f>IFERROR(__xludf.DUMMYFUNCTION("""COMPUTED_VALUE"""),"Removed")</f>
        <v>Removed</v>
      </c>
      <c r="E319" s="279">
        <f>IFERROR(__xludf.DUMMYFUNCTION("""COMPUTED_VALUE"""),44684.0)</f>
        <v>44684</v>
      </c>
      <c r="F319" s="24">
        <f>IFERROR(__xludf.DUMMYFUNCTION("""COMPUTED_VALUE"""),45412.0)</f>
        <v>45412</v>
      </c>
      <c r="G319" s="27">
        <f>IFERROR(__xludf.DUMMYFUNCTION("""COMPUTED_VALUE"""),23.9)</f>
        <v>23.9</v>
      </c>
      <c r="H319" s="128">
        <f>IFERROR(__xludf.DUMMYFUNCTION("""COMPUTED_VALUE"""),44684.0)</f>
        <v>44684</v>
      </c>
      <c r="I319" s="27">
        <f>IFERROR(__xludf.DUMMYFUNCTION("""COMPUTED_VALUE"""),0.0)</f>
        <v>0</v>
      </c>
      <c r="J319" s="277">
        <f>IFERROR(__xludf.DUMMYFUNCTION("""COMPUTED_VALUE"""),66.0)</f>
        <v>66</v>
      </c>
      <c r="K319" s="29">
        <f>IFERROR(__xludf.DUMMYFUNCTION("""COMPUTED_VALUE"""),4.0)</f>
        <v>4</v>
      </c>
      <c r="L319" s="275" t="str">
        <f>IFERROR(__xludf.DUMMYFUNCTION("""COMPUTED_VALUE"""),"Action")</f>
        <v>Action</v>
      </c>
    </row>
    <row r="320">
      <c r="A320" s="278" t="str">
        <f>IFERROR(__xludf.DUMMYFUNCTION("""COMPUTED_VALUE"""),"7 Days to Die (Game Preview)")</f>
        <v>7 Days to Die (Game Preview)</v>
      </c>
      <c r="B320" s="20" t="str">
        <f>IFERROR(__xludf.DUMMYFUNCTION("""COMPUTED_VALUE"""),"Xbox / PC")</f>
        <v>Xbox / PC</v>
      </c>
      <c r="C320" s="20" t="str">
        <f>IFERROR(__xludf.DUMMYFUNCTION("""COMPUTED_VALUE"""),"Yes")</f>
        <v>Yes</v>
      </c>
      <c r="D320" s="21" t="str">
        <f>IFERROR(__xludf.DUMMYFUNCTION("""COMPUTED_VALUE"""),"Removed")</f>
        <v>Removed</v>
      </c>
      <c r="E320" s="279">
        <f>IFERROR(__xludf.DUMMYFUNCTION("""COMPUTED_VALUE"""),44677.0)</f>
        <v>44677</v>
      </c>
      <c r="F320" s="24">
        <f>IFERROR(__xludf.DUMMYFUNCTION("""COMPUTED_VALUE"""),45412.0)</f>
        <v>45412</v>
      </c>
      <c r="G320" s="27">
        <f>IFERROR(__xludf.DUMMYFUNCTION("""COMPUTED_VALUE"""),24.133333333333333)</f>
        <v>24.13333333</v>
      </c>
      <c r="H320" s="128">
        <f>IFERROR(__xludf.DUMMYFUNCTION("""COMPUTED_VALUE"""),41621.0)</f>
        <v>41621</v>
      </c>
      <c r="I320" s="27">
        <f>IFERROR(__xludf.DUMMYFUNCTION("""COMPUTED_VALUE"""),8.369444444444444)</f>
        <v>8.369444444</v>
      </c>
      <c r="J320" s="277">
        <f>IFERROR(__xludf.DUMMYFUNCTION("""COMPUTED_VALUE"""),35.0)</f>
        <v>35</v>
      </c>
      <c r="K320" s="29">
        <f>IFERROR(__xludf.DUMMYFUNCTION("""COMPUTED_VALUE"""),54.0)</f>
        <v>54</v>
      </c>
      <c r="L320" s="31" t="str">
        <f>IFERROR(__xludf.DUMMYFUNCTION("""COMPUTED_VALUE"""),"Shooter")</f>
        <v>Shooter</v>
      </c>
    </row>
    <row r="321">
      <c r="A321" s="278" t="str">
        <f>IFERROR(__xludf.DUMMYFUNCTION("""COMPUTED_VALUE"""),"Pikuniku")</f>
        <v>Pikuniku</v>
      </c>
      <c r="B321" s="20" t="str">
        <f>IFERROR(__xludf.DUMMYFUNCTION("""COMPUTED_VALUE"""),"Xbox / PC")</f>
        <v>Xbox / PC</v>
      </c>
      <c r="C321" s="20" t="str">
        <f>IFERROR(__xludf.DUMMYFUNCTION("""COMPUTED_VALUE"""),"Yes")</f>
        <v>Yes</v>
      </c>
      <c r="D321" s="21" t="str">
        <f>IFERROR(__xludf.DUMMYFUNCTION("""COMPUTED_VALUE"""),"Removed")</f>
        <v>Removed</v>
      </c>
      <c r="E321" s="279">
        <f>IFERROR(__xludf.DUMMYFUNCTION("""COMPUTED_VALUE"""),43902.0)</f>
        <v>43902</v>
      </c>
      <c r="F321" s="24">
        <f>IFERROR(__xludf.DUMMYFUNCTION("""COMPUTED_VALUE"""),45412.0)</f>
        <v>45412</v>
      </c>
      <c r="G321" s="27">
        <f>IFERROR(__xludf.DUMMYFUNCTION("""COMPUTED_VALUE"""),49.60000000000001)</f>
        <v>49.6</v>
      </c>
      <c r="H321" s="128">
        <f>IFERROR(__xludf.DUMMYFUNCTION("""COMPUTED_VALUE"""),43489.0)</f>
        <v>43489</v>
      </c>
      <c r="I321" s="27">
        <f>IFERROR(__xludf.DUMMYFUNCTION("""COMPUTED_VALUE"""),1.1333333333333333)</f>
        <v>1.133333333</v>
      </c>
      <c r="J321" s="277">
        <f>IFERROR(__xludf.DUMMYFUNCTION("""COMPUTED_VALUE"""),76.0)</f>
        <v>76</v>
      </c>
      <c r="K321" s="29">
        <f>IFERROR(__xludf.DUMMYFUNCTION("""COMPUTED_VALUE"""),3.0)</f>
        <v>3</v>
      </c>
      <c r="L321" s="275" t="str">
        <f>IFERROR(__xludf.DUMMYFUNCTION("""COMPUTED_VALUE"""),"Platformer")</f>
        <v>Platformer</v>
      </c>
    </row>
    <row r="322">
      <c r="A322" s="278" t="str">
        <f>IFERROR(__xludf.DUMMYFUNCTION("""COMPUTED_VALUE"""),"Amnesia: Collection")</f>
        <v>Amnesia: Collection</v>
      </c>
      <c r="B322" s="20" t="str">
        <f>IFERROR(__xludf.DUMMYFUNCTION("""COMPUTED_VALUE"""),"Xbox / PC")</f>
        <v>Xbox / PC</v>
      </c>
      <c r="C322" s="20" t="str">
        <f>IFERROR(__xludf.DUMMYFUNCTION("""COMPUTED_VALUE"""),"Touch Controls")</f>
        <v>Touch Controls</v>
      </c>
      <c r="D322" s="21" t="str">
        <f>IFERROR(__xludf.DUMMYFUNCTION("""COMPUTED_VALUE"""),"Removed")</f>
        <v>Removed</v>
      </c>
      <c r="E322" s="279">
        <f>IFERROR(__xludf.DUMMYFUNCTION("""COMPUTED_VALUE"""),44854.0)</f>
        <v>44854</v>
      </c>
      <c r="F322" s="24">
        <f>IFERROR(__xludf.DUMMYFUNCTION("""COMPUTED_VALUE"""),45397.0)</f>
        <v>45397</v>
      </c>
      <c r="G322" s="27">
        <f>IFERROR(__xludf.DUMMYFUNCTION("""COMPUTED_VALUE"""),17.833333333333336)</f>
        <v>17.83333333</v>
      </c>
      <c r="H322" s="128">
        <f>IFERROR(__xludf.DUMMYFUNCTION("""COMPUTED_VALUE"""),42696.0)</f>
        <v>42696</v>
      </c>
      <c r="I322" s="27">
        <f>IFERROR(__xludf.DUMMYFUNCTION("""COMPUTED_VALUE"""),5.911111111111111)</f>
        <v>5.911111111</v>
      </c>
      <c r="J322" s="29">
        <f>IFERROR(__xludf.DUMMYFUNCTION("""COMPUTED_VALUE"""),79.0)</f>
        <v>79</v>
      </c>
      <c r="K322" s="29">
        <f>IFERROR(__xludf.DUMMYFUNCTION("""COMPUTED_VALUE"""),15.5)</f>
        <v>15.5</v>
      </c>
      <c r="L322" s="275" t="str">
        <f>IFERROR(__xludf.DUMMYFUNCTION("""COMPUTED_VALUE"""),"Adventure")</f>
        <v>Adventure</v>
      </c>
    </row>
    <row r="323">
      <c r="A323" s="17" t="str">
        <f>IFERROR(__xludf.DUMMYFUNCTION("""COMPUTED_VALUE"""),"Amnesia: Rebirth")</f>
        <v>Amnesia: Rebirth</v>
      </c>
      <c r="B323" s="21" t="str">
        <f>IFERROR(__xludf.DUMMYFUNCTION("""COMPUTED_VALUE"""),"Xbox / PC")</f>
        <v>Xbox / PC</v>
      </c>
      <c r="C323" s="21" t="str">
        <f>IFERROR(__xludf.DUMMYFUNCTION("""COMPUTED_VALUE"""),"Touch Controls")</f>
        <v>Touch Controls</v>
      </c>
      <c r="D323" s="21" t="str">
        <f>IFERROR(__xludf.DUMMYFUNCTION("""COMPUTED_VALUE"""),"Removed")</f>
        <v>Removed</v>
      </c>
      <c r="E323" s="279">
        <f>IFERROR(__xludf.DUMMYFUNCTION("""COMPUTED_VALUE"""),44854.0)</f>
        <v>44854</v>
      </c>
      <c r="F323" s="24">
        <f>IFERROR(__xludf.DUMMYFUNCTION("""COMPUTED_VALUE"""),45397.0)</f>
        <v>45397</v>
      </c>
      <c r="G323" s="27">
        <f>IFERROR(__xludf.DUMMYFUNCTION("""COMPUTED_VALUE"""),17.833333333333336)</f>
        <v>17.83333333</v>
      </c>
      <c r="H323" s="128">
        <f>IFERROR(__xludf.DUMMYFUNCTION("""COMPUTED_VALUE"""),44124.0)</f>
        <v>44124</v>
      </c>
      <c r="I323" s="27">
        <f>IFERROR(__xludf.DUMMYFUNCTION("""COMPUTED_VALUE"""),2.0)</f>
        <v>2</v>
      </c>
      <c r="J323" s="29">
        <f>IFERROR(__xludf.DUMMYFUNCTION("""COMPUTED_VALUE"""),80.0)</f>
        <v>80</v>
      </c>
      <c r="K323" s="29">
        <f>IFERROR(__xludf.DUMMYFUNCTION("""COMPUTED_VALUE"""),8.5)</f>
        <v>8.5</v>
      </c>
      <c r="L323" s="275" t="str">
        <f>IFERROR(__xludf.DUMMYFUNCTION("""COMPUTED_VALUE"""),"Adventure")</f>
        <v>Adventure</v>
      </c>
    </row>
    <row r="324">
      <c r="A324" s="278" t="str">
        <f>IFERROR(__xludf.DUMMYFUNCTION("""COMPUTED_VALUE"""),"Phantom Abyss (Game Preview)")</f>
        <v>Phantom Abyss (Game Preview)</v>
      </c>
      <c r="B324" s="20" t="str">
        <f>IFERROR(__xludf.DUMMYFUNCTION("""COMPUTED_VALUE"""),"Xbox / PC")</f>
        <v>Xbox / PC</v>
      </c>
      <c r="C324" s="20" t="str">
        <f>IFERROR(__xludf.DUMMYFUNCTION("""COMPUTED_VALUE"""),"Yes")</f>
        <v>Yes</v>
      </c>
      <c r="D324" s="21" t="str">
        <f>IFERROR(__xludf.DUMMYFUNCTION("""COMPUTED_VALUE"""),"Removed")</f>
        <v>Removed</v>
      </c>
      <c r="E324" s="279">
        <f>IFERROR(__xludf.DUMMYFUNCTION("""COMPUTED_VALUE"""),44854.0)</f>
        <v>44854</v>
      </c>
      <c r="F324" s="24">
        <f>IFERROR(__xludf.DUMMYFUNCTION("""COMPUTED_VALUE"""),45397.0)</f>
        <v>45397</v>
      </c>
      <c r="G324" s="27">
        <f>IFERROR(__xludf.DUMMYFUNCTION("""COMPUTED_VALUE"""),17.833333333333336)</f>
        <v>17.83333333</v>
      </c>
      <c r="H324" s="128">
        <f>IFERROR(__xludf.DUMMYFUNCTION("""COMPUTED_VALUE"""),44369.0)</f>
        <v>44369</v>
      </c>
      <c r="I324" s="27">
        <f>IFERROR(__xludf.DUMMYFUNCTION("""COMPUTED_VALUE"""),1.3277777777777777)</f>
        <v>1.327777778</v>
      </c>
      <c r="J324" s="277">
        <f>IFERROR(__xludf.DUMMYFUNCTION("""COMPUTED_VALUE"""),72.0)</f>
        <v>72</v>
      </c>
      <c r="K324" s="277">
        <f>IFERROR(__xludf.DUMMYFUNCTION("""COMPUTED_VALUE"""),20.0)</f>
        <v>20</v>
      </c>
      <c r="L324" s="275" t="str">
        <f>IFERROR(__xludf.DUMMYFUNCTION("""COMPUTED_VALUE"""),"Platformer")</f>
        <v>Platformer</v>
      </c>
    </row>
    <row r="325">
      <c r="A325" s="278" t="str">
        <f>IFERROR(__xludf.DUMMYFUNCTION("""COMPUTED_VALUE"""),"SOMA")</f>
        <v>SOMA</v>
      </c>
      <c r="B325" s="20" t="str">
        <f>IFERROR(__xludf.DUMMYFUNCTION("""COMPUTED_VALUE"""),"Xbox / PC")</f>
        <v>Xbox / PC</v>
      </c>
      <c r="C325" s="20" t="str">
        <f>IFERROR(__xludf.DUMMYFUNCTION("""COMPUTED_VALUE"""),"Touch Controls")</f>
        <v>Touch Controls</v>
      </c>
      <c r="D325" s="21" t="str">
        <f>IFERROR(__xludf.DUMMYFUNCTION("""COMPUTED_VALUE"""),"Removed")</f>
        <v>Removed</v>
      </c>
      <c r="E325" s="279">
        <f>IFERROR(__xludf.DUMMYFUNCTION("""COMPUTED_VALUE"""),44854.0)</f>
        <v>44854</v>
      </c>
      <c r="F325" s="24">
        <f>IFERROR(__xludf.DUMMYFUNCTION("""COMPUTED_VALUE"""),45397.0)</f>
        <v>45397</v>
      </c>
      <c r="G325" s="27">
        <f>IFERROR(__xludf.DUMMYFUNCTION("""COMPUTED_VALUE"""),17.833333333333336)</f>
        <v>17.83333333</v>
      </c>
      <c r="H325" s="128">
        <f>IFERROR(__xludf.DUMMYFUNCTION("""COMPUTED_VALUE"""),42269.0)</f>
        <v>42269</v>
      </c>
      <c r="I325" s="27">
        <f>IFERROR(__xludf.DUMMYFUNCTION("""COMPUTED_VALUE"""),7.0777777777777775)</f>
        <v>7.077777778</v>
      </c>
      <c r="J325" s="277">
        <f>IFERROR(__xludf.DUMMYFUNCTION("""COMPUTED_VALUE"""),83.0)</f>
        <v>83</v>
      </c>
      <c r="K325" s="277">
        <f>IFERROR(__xludf.DUMMYFUNCTION("""COMPUTED_VALUE"""),9.0)</f>
        <v>9</v>
      </c>
      <c r="L325" s="275" t="str">
        <f>IFERROR(__xludf.DUMMYFUNCTION("""COMPUTED_VALUE"""),"Adventure")</f>
        <v>Adventure</v>
      </c>
    </row>
    <row r="326">
      <c r="A326" s="278" t="str">
        <f>IFERROR(__xludf.DUMMYFUNCTION("""COMPUTED_VALUE"""),"Research and Destroy")</f>
        <v>Research and Destroy</v>
      </c>
      <c r="B326" s="20" t="str">
        <f>IFERROR(__xludf.DUMMYFUNCTION("""COMPUTED_VALUE"""),"Xbox / PC")</f>
        <v>Xbox / PC</v>
      </c>
      <c r="C326" s="21" t="str">
        <f>IFERROR(__xludf.DUMMYFUNCTION("""COMPUTED_VALUE"""),"Touch Controls")</f>
        <v>Touch Controls</v>
      </c>
      <c r="D326" s="21" t="str">
        <f>IFERROR(__xludf.DUMMYFUNCTION("""COMPUTED_VALUE"""),"Removed")</f>
        <v>Removed</v>
      </c>
      <c r="E326" s="279">
        <f>IFERROR(__xludf.DUMMYFUNCTION("""COMPUTED_VALUE"""),44677.0)</f>
        <v>44677</v>
      </c>
      <c r="F326" s="24">
        <f>IFERROR(__xludf.DUMMYFUNCTION("""COMPUTED_VALUE"""),45397.0)</f>
        <v>45397</v>
      </c>
      <c r="G326" s="27">
        <f>IFERROR(__xludf.DUMMYFUNCTION("""COMPUTED_VALUE"""),23.633333333333333)</f>
        <v>23.63333333</v>
      </c>
      <c r="H326" s="128">
        <f>IFERROR(__xludf.DUMMYFUNCTION("""COMPUTED_VALUE"""),44677.0)</f>
        <v>44677</v>
      </c>
      <c r="I326" s="27">
        <f>IFERROR(__xludf.DUMMYFUNCTION("""COMPUTED_VALUE"""),0.0)</f>
        <v>0</v>
      </c>
      <c r="J326" s="277">
        <f>IFERROR(__xludf.DUMMYFUNCTION("""COMPUTED_VALUE"""),73.0)</f>
        <v>73</v>
      </c>
      <c r="K326" s="29">
        <f>IFERROR(__xludf.DUMMYFUNCTION("""COMPUTED_VALUE"""),6.5)</f>
        <v>6.5</v>
      </c>
      <c r="L326" s="275" t="str">
        <f>IFERROR(__xludf.DUMMYFUNCTION("""COMPUTED_VALUE"""),"Shooter")</f>
        <v>Shooter</v>
      </c>
    </row>
    <row r="327">
      <c r="A327" s="278" t="str">
        <f>IFERROR(__xludf.DUMMYFUNCTION("""COMPUTED_VALUE"""),"Back 4 Blood")</f>
        <v>Back 4 Blood</v>
      </c>
      <c r="B327" s="20" t="str">
        <f>IFERROR(__xludf.DUMMYFUNCTION("""COMPUTED_VALUE"""),"Xbox / PC")</f>
        <v>Xbox / PC</v>
      </c>
      <c r="C327" s="20" t="str">
        <f>IFERROR(__xludf.DUMMYFUNCTION("""COMPUTED_VALUE"""),"Yes")</f>
        <v>Yes</v>
      </c>
      <c r="D327" s="21" t="str">
        <f>IFERROR(__xludf.DUMMYFUNCTION("""COMPUTED_VALUE"""),"Removed")</f>
        <v>Removed</v>
      </c>
      <c r="E327" s="279">
        <f>IFERROR(__xludf.DUMMYFUNCTION("""COMPUTED_VALUE"""),44481.0)</f>
        <v>44481</v>
      </c>
      <c r="F327" s="24">
        <f>IFERROR(__xludf.DUMMYFUNCTION("""COMPUTED_VALUE"""),45397.0)</f>
        <v>45397</v>
      </c>
      <c r="G327" s="27">
        <f>IFERROR(__xludf.DUMMYFUNCTION("""COMPUTED_VALUE"""),30.1)</f>
        <v>30.1</v>
      </c>
      <c r="H327" s="128">
        <f>IFERROR(__xludf.DUMMYFUNCTION("""COMPUTED_VALUE"""),44481.0)</f>
        <v>44481</v>
      </c>
      <c r="I327" s="27">
        <f>IFERROR(__xludf.DUMMYFUNCTION("""COMPUTED_VALUE"""),0.0)</f>
        <v>0</v>
      </c>
      <c r="J327" s="277">
        <f>IFERROR(__xludf.DUMMYFUNCTION("""COMPUTED_VALUE"""),76.5)</f>
        <v>76.5</v>
      </c>
      <c r="K327" s="29">
        <f>IFERROR(__xludf.DUMMYFUNCTION("""COMPUTED_VALUE"""),8.5)</f>
        <v>8.5</v>
      </c>
      <c r="L327" s="275" t="str">
        <f>IFERROR(__xludf.DUMMYFUNCTION("""COMPUTED_VALUE"""),"Shooter")</f>
        <v>Shooter</v>
      </c>
    </row>
    <row r="328">
      <c r="A328" s="278" t="str">
        <f>IFERROR(__xludf.DUMMYFUNCTION("""COMPUTED_VALUE"""),"INFINITE GUITARS")</f>
        <v>INFINITE GUITARS</v>
      </c>
      <c r="B328" s="20" t="str">
        <f>IFERROR(__xludf.DUMMYFUNCTION("""COMPUTED_VALUE"""),"Xbox / PC")</f>
        <v>Xbox / PC</v>
      </c>
      <c r="C328" s="20" t="str">
        <f>IFERROR(__xludf.DUMMYFUNCTION("""COMPUTED_VALUE"""),"Yes")</f>
        <v>Yes</v>
      </c>
      <c r="D328" s="21" t="str">
        <f>IFERROR(__xludf.DUMMYFUNCTION("""COMPUTED_VALUE"""),"Removed")</f>
        <v>Removed</v>
      </c>
      <c r="E328" s="279">
        <f>IFERROR(__xludf.DUMMYFUNCTION("""COMPUTED_VALUE"""),45015.0)</f>
        <v>45015</v>
      </c>
      <c r="F328" s="24">
        <f>IFERROR(__xludf.DUMMYFUNCTION("""COMPUTED_VALUE"""),45382.0)</f>
        <v>45382</v>
      </c>
      <c r="G328" s="27">
        <f>IFERROR(__xludf.DUMMYFUNCTION("""COMPUTED_VALUE"""),12.0)</f>
        <v>12</v>
      </c>
      <c r="H328" s="128">
        <f>IFERROR(__xludf.DUMMYFUNCTION("""COMPUTED_VALUE"""),44908.0)</f>
        <v>44908</v>
      </c>
      <c r="I328" s="27">
        <f>IFERROR(__xludf.DUMMYFUNCTION("""COMPUTED_VALUE"""),0.2972222222222222)</f>
        <v>0.2972222222</v>
      </c>
      <c r="J328" s="277">
        <f>IFERROR(__xludf.DUMMYFUNCTION("""COMPUTED_VALUE"""),62.0)</f>
        <v>62</v>
      </c>
      <c r="K328" s="29">
        <f>IFERROR(__xludf.DUMMYFUNCTION("""COMPUTED_VALUE"""),12.0)</f>
        <v>12</v>
      </c>
      <c r="L328" s="275" t="str">
        <f>IFERROR(__xludf.DUMMYFUNCTION("""COMPUTED_VALUE"""),"RPG")</f>
        <v>RPG</v>
      </c>
    </row>
    <row r="329">
      <c r="A329" s="17" t="str">
        <f>IFERROR(__xludf.DUMMYFUNCTION("""COMPUTED_VALUE"""),"MLB The Show 23")</f>
        <v>MLB The Show 23</v>
      </c>
      <c r="B329" s="20" t="str">
        <f>IFERROR(__xludf.DUMMYFUNCTION("""COMPUTED_VALUE"""),"Xbox")</f>
        <v>Xbox</v>
      </c>
      <c r="C329" s="20" t="str">
        <f>IFERROR(__xludf.DUMMYFUNCTION("""COMPUTED_VALUE"""),"Yes")</f>
        <v>Yes</v>
      </c>
      <c r="D329" s="21" t="str">
        <f>IFERROR(__xludf.DUMMYFUNCTION("""COMPUTED_VALUE"""),"Removed")</f>
        <v>Removed</v>
      </c>
      <c r="E329" s="279">
        <f>IFERROR(__xludf.DUMMYFUNCTION("""COMPUTED_VALUE"""),45013.0)</f>
        <v>45013</v>
      </c>
      <c r="F329" s="24">
        <f>IFERROR(__xludf.DUMMYFUNCTION("""COMPUTED_VALUE"""),45382.0)</f>
        <v>45382</v>
      </c>
      <c r="G329" s="27">
        <f>IFERROR(__xludf.DUMMYFUNCTION("""COMPUTED_VALUE"""),12.066666666666666)</f>
        <v>12.06666667</v>
      </c>
      <c r="H329" s="128">
        <f>IFERROR(__xludf.DUMMYFUNCTION("""COMPUTED_VALUE"""),45013.0)</f>
        <v>45013</v>
      </c>
      <c r="I329" s="27">
        <f>IFERROR(__xludf.DUMMYFUNCTION("""COMPUTED_VALUE"""),0.0)</f>
        <v>0</v>
      </c>
      <c r="J329" s="29">
        <f>IFERROR(__xludf.DUMMYFUNCTION("""COMPUTED_VALUE"""),80.0)</f>
        <v>80</v>
      </c>
      <c r="K329" s="29">
        <f>IFERROR(__xludf.DUMMYFUNCTION("""COMPUTED_VALUE"""),57.0)</f>
        <v>57</v>
      </c>
      <c r="L329" s="275" t="str">
        <f>IFERROR(__xludf.DUMMYFUNCTION("""COMPUTED_VALUE"""),"Sports")</f>
        <v>Sports</v>
      </c>
    </row>
    <row r="330">
      <c r="A330" s="278" t="str">
        <f>IFERROR(__xludf.DUMMYFUNCTION("""COMPUTED_VALUE"""),"Hot Wheels Unleashed: Game of the Year Edition")</f>
        <v>Hot Wheels Unleashed: Game of the Year Edition</v>
      </c>
      <c r="B330" s="20" t="str">
        <f>IFERROR(__xludf.DUMMYFUNCTION("""COMPUTED_VALUE"""),"Xbox / PC")</f>
        <v>Xbox / PC</v>
      </c>
      <c r="C330" s="20" t="str">
        <f>IFERROR(__xludf.DUMMYFUNCTION("""COMPUTED_VALUE"""),"Yes")</f>
        <v>Yes</v>
      </c>
      <c r="D330" s="21" t="str">
        <f>IFERROR(__xludf.DUMMYFUNCTION("""COMPUTED_VALUE"""),"Removed")</f>
        <v>Removed</v>
      </c>
      <c r="E330" s="279">
        <f>IFERROR(__xludf.DUMMYFUNCTION("""COMPUTED_VALUE"""),44964.0)</f>
        <v>44964</v>
      </c>
      <c r="F330" s="24">
        <f>IFERROR(__xludf.DUMMYFUNCTION("""COMPUTED_VALUE"""),45382.0)</f>
        <v>45382</v>
      </c>
      <c r="G330" s="27">
        <f>IFERROR(__xludf.DUMMYFUNCTION("""COMPUTED_VALUE"""),13.766666666666666)</f>
        <v>13.76666667</v>
      </c>
      <c r="H330" s="128">
        <f>IFERROR(__xludf.DUMMYFUNCTION("""COMPUTED_VALUE"""),44469.0)</f>
        <v>44469</v>
      </c>
      <c r="I330" s="27">
        <f>IFERROR(__xludf.DUMMYFUNCTION("""COMPUTED_VALUE"""),1.3527777777777779)</f>
        <v>1.352777778</v>
      </c>
      <c r="J330" s="277">
        <f>IFERROR(__xludf.DUMMYFUNCTION("""COMPUTED_VALUE"""),72.0)</f>
        <v>72</v>
      </c>
      <c r="K330" s="277">
        <f>IFERROR(__xludf.DUMMYFUNCTION("""COMPUTED_VALUE"""),9.0)</f>
        <v>9</v>
      </c>
      <c r="L330" s="275" t="str">
        <f>IFERROR(__xludf.DUMMYFUNCTION("""COMPUTED_VALUE"""),"Racing")</f>
        <v>Racing</v>
      </c>
    </row>
    <row r="331">
      <c r="A331" s="278" t="str">
        <f>IFERROR(__xludf.DUMMYFUNCTION("""COMPUTED_VALUE"""),"Hardspace: Shipbreaker")</f>
        <v>Hardspace: Shipbreaker</v>
      </c>
      <c r="B331" s="20" t="str">
        <f>IFERROR(__xludf.DUMMYFUNCTION("""COMPUTED_VALUE"""),"Xbox / PC")</f>
        <v>Xbox / PC</v>
      </c>
      <c r="C331" s="20" t="str">
        <f>IFERROR(__xludf.DUMMYFUNCTION("""COMPUTED_VALUE"""),"Yes")</f>
        <v>Yes</v>
      </c>
      <c r="D331" s="21" t="str">
        <f>IFERROR(__xludf.DUMMYFUNCTION("""COMPUTED_VALUE"""),"Removed")</f>
        <v>Removed</v>
      </c>
      <c r="E331" s="279">
        <f>IFERROR(__xludf.DUMMYFUNCTION("""COMPUTED_VALUE"""),44705.0)</f>
        <v>44705</v>
      </c>
      <c r="F331" s="24">
        <f>IFERROR(__xludf.DUMMYFUNCTION("""COMPUTED_VALUE"""),45366.0)</f>
        <v>45366</v>
      </c>
      <c r="G331" s="27">
        <f>IFERROR(__xludf.DUMMYFUNCTION("""COMPUTED_VALUE"""),21.7)</f>
        <v>21.7</v>
      </c>
      <c r="H331" s="128">
        <f>IFERROR(__xludf.DUMMYFUNCTION("""COMPUTED_VALUE"""),43998.0)</f>
        <v>43998</v>
      </c>
      <c r="I331" s="27">
        <f>IFERROR(__xludf.DUMMYFUNCTION("""COMPUTED_VALUE"""),1.9388888888888889)</f>
        <v>1.938888889</v>
      </c>
      <c r="J331" s="277">
        <f>IFERROR(__xludf.DUMMYFUNCTION("""COMPUTED_VALUE"""),82.0)</f>
        <v>82</v>
      </c>
      <c r="K331" s="29">
        <f>IFERROR(__xludf.DUMMYFUNCTION("""COMPUTED_VALUE"""),26.5)</f>
        <v>26.5</v>
      </c>
      <c r="L331" s="275" t="str">
        <f>IFERROR(__xludf.DUMMYFUNCTION("""COMPUTED_VALUE"""),"Simulation")</f>
        <v>Simulation</v>
      </c>
    </row>
    <row r="332">
      <c r="A332" s="278" t="str">
        <f>IFERROR(__xludf.DUMMYFUNCTION("""COMPUTED_VALUE"""),"Shredders")</f>
        <v>Shredders</v>
      </c>
      <c r="B332" s="20" t="str">
        <f>IFERROR(__xludf.DUMMYFUNCTION("""COMPUTED_VALUE"""),"Xbox / PC")</f>
        <v>Xbox / PC</v>
      </c>
      <c r="C332" s="20" t="str">
        <f>IFERROR(__xludf.DUMMYFUNCTION("""COMPUTED_VALUE"""),"Yes")</f>
        <v>Yes</v>
      </c>
      <c r="D332" s="21" t="str">
        <f>IFERROR(__xludf.DUMMYFUNCTION("""COMPUTED_VALUE"""),"Removed")</f>
        <v>Removed</v>
      </c>
      <c r="E332" s="279">
        <f>IFERROR(__xludf.DUMMYFUNCTION("""COMPUTED_VALUE"""),44637.0)</f>
        <v>44637</v>
      </c>
      <c r="F332" s="24">
        <f>IFERROR(__xludf.DUMMYFUNCTION("""COMPUTED_VALUE"""),45366.0)</f>
        <v>45366</v>
      </c>
      <c r="G332" s="27">
        <f>IFERROR(__xludf.DUMMYFUNCTION("""COMPUTED_VALUE"""),23.933333333333334)</f>
        <v>23.93333333</v>
      </c>
      <c r="H332" s="128">
        <f>IFERROR(__xludf.DUMMYFUNCTION("""COMPUTED_VALUE"""),44637.0)</f>
        <v>44637</v>
      </c>
      <c r="I332" s="27">
        <f>IFERROR(__xludf.DUMMYFUNCTION("""COMPUTED_VALUE"""),0.0)</f>
        <v>0</v>
      </c>
      <c r="J332" s="277">
        <f>IFERROR(__xludf.DUMMYFUNCTION("""COMPUTED_VALUE"""),69.0)</f>
        <v>69</v>
      </c>
      <c r="K332" s="29">
        <f>IFERROR(__xludf.DUMMYFUNCTION("""COMPUTED_VALUE"""),3.5)</f>
        <v>3.5</v>
      </c>
      <c r="L332" s="275" t="str">
        <f>IFERROR(__xludf.DUMMYFUNCTION("""COMPUTED_VALUE"""),"Sports")</f>
        <v>Sports</v>
      </c>
    </row>
    <row r="333">
      <c r="A333" s="278" t="str">
        <f>IFERROR(__xludf.DUMMYFUNCTION("""COMPUTED_VALUE"""),"Soul Hackers 2")</f>
        <v>Soul Hackers 2</v>
      </c>
      <c r="B333" s="20" t="str">
        <f>IFERROR(__xludf.DUMMYFUNCTION("""COMPUTED_VALUE"""),"Xbox / PC")</f>
        <v>Xbox / PC</v>
      </c>
      <c r="C333" s="20" t="str">
        <f>IFERROR(__xludf.DUMMYFUNCTION("""COMPUTED_VALUE"""),"Yes")</f>
        <v>Yes</v>
      </c>
      <c r="D333" s="21" t="str">
        <f>IFERROR(__xludf.DUMMYFUNCTION("""COMPUTED_VALUE"""),"Removed")</f>
        <v>Removed</v>
      </c>
      <c r="E333" s="23">
        <f>IFERROR(__xludf.DUMMYFUNCTION("""COMPUTED_VALUE"""),44985.0)</f>
        <v>44985</v>
      </c>
      <c r="F333" s="24">
        <f>IFERROR(__xludf.DUMMYFUNCTION("""COMPUTED_VALUE"""),45351.0)</f>
        <v>45351</v>
      </c>
      <c r="G333" s="27">
        <f>IFERROR(__xludf.DUMMYFUNCTION("""COMPUTED_VALUE"""),12.033333333333333)</f>
        <v>12.03333333</v>
      </c>
      <c r="H333" s="128">
        <f>IFERROR(__xludf.DUMMYFUNCTION("""COMPUTED_VALUE"""),44798.0)</f>
        <v>44798</v>
      </c>
      <c r="I333" s="27">
        <f>IFERROR(__xludf.DUMMYFUNCTION("""COMPUTED_VALUE"""),0.5083333333333333)</f>
        <v>0.5083333333</v>
      </c>
      <c r="J333" s="277">
        <f>IFERROR(__xludf.DUMMYFUNCTION("""COMPUTED_VALUE"""),74.0)</f>
        <v>74</v>
      </c>
      <c r="K333" s="29">
        <f>IFERROR(__xludf.DUMMYFUNCTION("""COMPUTED_VALUE"""),32.0)</f>
        <v>32</v>
      </c>
      <c r="L333" s="31" t="str">
        <f>IFERROR(__xludf.DUMMYFUNCTION("""COMPUTED_VALUE"""),"RPG")</f>
        <v>RPG</v>
      </c>
    </row>
    <row r="334">
      <c r="A334" s="278" t="str">
        <f>IFERROR(__xludf.DUMMYFUNCTION("""COMPUTED_VALUE"""),"Madden NFL 22")</f>
        <v>Madden NFL 22</v>
      </c>
      <c r="B334" s="21" t="str">
        <f>IFERROR(__xludf.DUMMYFUNCTION("""COMPUTED_VALUE"""),"Xbox / PC")</f>
        <v>Xbox / PC</v>
      </c>
      <c r="C334" s="21"/>
      <c r="D334" s="21" t="str">
        <f>IFERROR(__xludf.DUMMYFUNCTION("""COMPUTED_VALUE"""),"Removed")</f>
        <v>Removed</v>
      </c>
      <c r="E334" s="279">
        <f>IFERROR(__xludf.DUMMYFUNCTION("""COMPUTED_VALUE"""),44609.0)</f>
        <v>44609</v>
      </c>
      <c r="F334" s="276">
        <f>IFERROR(__xludf.DUMMYFUNCTION("""COMPUTED_VALUE"""),45351.0)</f>
        <v>45351</v>
      </c>
      <c r="G334" s="27">
        <f>IFERROR(__xludf.DUMMYFUNCTION("""COMPUTED_VALUE"""),24.4)</f>
        <v>24.4</v>
      </c>
      <c r="H334" s="128">
        <f>IFERROR(__xludf.DUMMYFUNCTION("""COMPUTED_VALUE"""),44428.0)</f>
        <v>44428</v>
      </c>
      <c r="I334" s="27">
        <f>IFERROR(__xludf.DUMMYFUNCTION("""COMPUTED_VALUE"""),0.49166666666666664)</f>
        <v>0.4916666667</v>
      </c>
      <c r="J334" s="277">
        <f>IFERROR(__xludf.DUMMYFUNCTION("""COMPUTED_VALUE"""),70.0)</f>
        <v>70</v>
      </c>
      <c r="K334" s="29">
        <f>IFERROR(__xludf.DUMMYFUNCTION("""COMPUTED_VALUE"""),19.0)</f>
        <v>19</v>
      </c>
      <c r="L334" s="275" t="str">
        <f>IFERROR(__xludf.DUMMYFUNCTION("""COMPUTED_VALUE"""),"Sports")</f>
        <v>Sports</v>
      </c>
    </row>
    <row r="335">
      <c r="A335" s="278" t="str">
        <f>IFERROR(__xludf.DUMMYFUNCTION("""COMPUTED_VALUE"""),"Opus: Echo of Starsong - Full Bloom Edition")</f>
        <v>Opus: Echo of Starsong - Full Bloom Edition</v>
      </c>
      <c r="B335" s="20" t="str">
        <f>IFERROR(__xludf.DUMMYFUNCTION("""COMPUTED_VALUE"""),"Xbox / PC")</f>
        <v>Xbox / PC</v>
      </c>
      <c r="C335" s="20" t="str">
        <f>IFERROR(__xludf.DUMMYFUNCTION("""COMPUTED_VALUE"""),"Touch Controls")</f>
        <v>Touch Controls</v>
      </c>
      <c r="D335" s="21" t="str">
        <f>IFERROR(__xludf.DUMMYFUNCTION("""COMPUTED_VALUE"""),"Removed")</f>
        <v>Removed</v>
      </c>
      <c r="E335" s="23">
        <f>IFERROR(__xludf.DUMMYFUNCTION("""COMPUTED_VALUE"""),44798.0)</f>
        <v>44798</v>
      </c>
      <c r="F335" s="279">
        <f>IFERROR(__xludf.DUMMYFUNCTION("""COMPUTED_VALUE"""),45337.0)</f>
        <v>45337</v>
      </c>
      <c r="G335" s="27">
        <f>IFERROR(__xludf.DUMMYFUNCTION("""COMPUTED_VALUE"""),17.666666666666668)</f>
        <v>17.66666667</v>
      </c>
      <c r="H335" s="128">
        <f>IFERROR(__xludf.DUMMYFUNCTION("""COMPUTED_VALUE"""),44439.0)</f>
        <v>44439</v>
      </c>
      <c r="I335" s="27">
        <f>IFERROR(__xludf.DUMMYFUNCTION("""COMPUTED_VALUE"""),0.9861111111111112)</f>
        <v>0.9861111111</v>
      </c>
      <c r="J335" s="29">
        <f>IFERROR(__xludf.DUMMYFUNCTION("""COMPUTED_VALUE"""),90.0)</f>
        <v>90</v>
      </c>
      <c r="K335" s="29">
        <f>IFERROR(__xludf.DUMMYFUNCTION("""COMPUTED_VALUE"""),9.5)</f>
        <v>9.5</v>
      </c>
      <c r="L335" s="275" t="str">
        <f>IFERROR(__xludf.DUMMYFUNCTION("""COMPUTED_VALUE"""),"Adventure")</f>
        <v>Adventure</v>
      </c>
    </row>
    <row r="336">
      <c r="A336" s="278" t="str">
        <f>IFERROR(__xludf.DUMMYFUNCTION("""COMPUTED_VALUE"""),"Galactic Civilizations III")</f>
        <v>Galactic Civilizations III</v>
      </c>
      <c r="B336" s="21" t="str">
        <f>IFERROR(__xludf.DUMMYFUNCTION("""COMPUTED_VALUE"""),"PC")</f>
        <v>PC</v>
      </c>
      <c r="C336" s="21"/>
      <c r="D336" s="21" t="str">
        <f>IFERROR(__xludf.DUMMYFUNCTION("""COMPUTED_VALUE"""),"Removed")</f>
        <v>Removed</v>
      </c>
      <c r="E336" s="279">
        <f>IFERROR(__xludf.DUMMYFUNCTION("""COMPUTED_VALUE"""),44616.0)</f>
        <v>44616</v>
      </c>
      <c r="F336" s="24">
        <f>IFERROR(__xludf.DUMMYFUNCTION("""COMPUTED_VALUE"""),45337.0)</f>
        <v>45337</v>
      </c>
      <c r="G336" s="27">
        <f>IFERROR(__xludf.DUMMYFUNCTION("""COMPUTED_VALUE"""),23.700000000000003)</f>
        <v>23.7</v>
      </c>
      <c r="H336" s="128">
        <f>IFERROR(__xludf.DUMMYFUNCTION("""COMPUTED_VALUE"""),41725.0)</f>
        <v>41725</v>
      </c>
      <c r="I336" s="27">
        <f>IFERROR(__xludf.DUMMYFUNCTION("""COMPUTED_VALUE"""),7.908333333333333)</f>
        <v>7.908333333</v>
      </c>
      <c r="J336" s="277">
        <f>IFERROR(__xludf.DUMMYFUNCTION("""COMPUTED_VALUE"""),81.0)</f>
        <v>81</v>
      </c>
      <c r="K336" s="29">
        <f>IFERROR(__xludf.DUMMYFUNCTION("""COMPUTED_VALUE"""),23.0)</f>
        <v>23</v>
      </c>
      <c r="L336" s="275" t="str">
        <f>IFERROR(__xludf.DUMMYFUNCTION("""COMPUTED_VALUE"""),"Strategy")</f>
        <v>Strategy</v>
      </c>
    </row>
    <row r="337">
      <c r="A337" s="17" t="str">
        <f>IFERROR(__xludf.DUMMYFUNCTION("""COMPUTED_VALUE"""),"F1 2021")</f>
        <v>F1 2021</v>
      </c>
      <c r="B337" s="20" t="str">
        <f>IFERROR(__xludf.DUMMYFUNCTION("""COMPUTED_VALUE"""),"Xbox")</f>
        <v>Xbox</v>
      </c>
      <c r="C337" s="20" t="str">
        <f>IFERROR(__xludf.DUMMYFUNCTION("""COMPUTED_VALUE"""),"Yes")</f>
        <v>Yes</v>
      </c>
      <c r="D337" s="21" t="str">
        <f>IFERROR(__xludf.DUMMYFUNCTION("""COMPUTED_VALUE"""),"Removed")</f>
        <v>Removed</v>
      </c>
      <c r="E337" s="279">
        <f>IFERROR(__xludf.DUMMYFUNCTION("""COMPUTED_VALUE"""),44644.0)</f>
        <v>44644</v>
      </c>
      <c r="F337" s="24">
        <f>IFERROR(__xludf.DUMMYFUNCTION("""COMPUTED_VALUE"""),45322.0)</f>
        <v>45322</v>
      </c>
      <c r="G337" s="27">
        <f>IFERROR(__xludf.DUMMYFUNCTION("""COMPUTED_VALUE"""),22.200000000000003)</f>
        <v>22.2</v>
      </c>
      <c r="H337" s="128">
        <f>IFERROR(__xludf.DUMMYFUNCTION("""COMPUTED_VALUE"""),44392.0)</f>
        <v>44392</v>
      </c>
      <c r="I337" s="27">
        <f>IFERROR(__xludf.DUMMYFUNCTION("""COMPUTED_VALUE"""),0.6916666666666667)</f>
        <v>0.6916666667</v>
      </c>
      <c r="J337" s="29">
        <f>IFERROR(__xludf.DUMMYFUNCTION("""COMPUTED_VALUE"""),84.0)</f>
        <v>84</v>
      </c>
      <c r="K337" s="29">
        <f>IFERROR(__xludf.DUMMYFUNCTION("""COMPUTED_VALUE"""),7.5)</f>
        <v>7.5</v>
      </c>
      <c r="L337" s="275" t="str">
        <f>IFERROR(__xludf.DUMMYFUNCTION("""COMPUTED_VALUE"""),"Racing")</f>
        <v>Racing</v>
      </c>
    </row>
    <row r="338">
      <c r="A338" s="278" t="str">
        <f>IFERROR(__xludf.DUMMYFUNCTION("""COMPUTED_VALUE"""),"HITMAN: World of Assassination")</f>
        <v>HITMAN: World of Assassination</v>
      </c>
      <c r="B338" s="20" t="str">
        <f>IFERROR(__xludf.DUMMYFUNCTION("""COMPUTED_VALUE"""),"Xbox / PC")</f>
        <v>Xbox / PC</v>
      </c>
      <c r="C338" s="20" t="str">
        <f>IFERROR(__xludf.DUMMYFUNCTION("""COMPUTED_VALUE"""),"Touch Controls")</f>
        <v>Touch Controls</v>
      </c>
      <c r="D338" s="21" t="str">
        <f>IFERROR(__xludf.DUMMYFUNCTION("""COMPUTED_VALUE"""),"Removed")</f>
        <v>Removed</v>
      </c>
      <c r="E338" s="279">
        <f>IFERROR(__xludf.DUMMYFUNCTION("""COMPUTED_VALUE"""),44581.0)</f>
        <v>44581</v>
      </c>
      <c r="F338" s="24">
        <f>IFERROR(__xludf.DUMMYFUNCTION("""COMPUTED_VALUE"""),45322.0)</f>
        <v>45322</v>
      </c>
      <c r="G338" s="27">
        <f>IFERROR(__xludf.DUMMYFUNCTION("""COMPUTED_VALUE"""),24.333333333333332)</f>
        <v>24.33333333</v>
      </c>
      <c r="H338" s="128">
        <f>IFERROR(__xludf.DUMMYFUNCTION("""COMPUTED_VALUE"""),44581.0)</f>
        <v>44581</v>
      </c>
      <c r="I338" s="27">
        <f>IFERROR(__xludf.DUMMYFUNCTION("""COMPUTED_VALUE"""),0.0)</f>
        <v>0</v>
      </c>
      <c r="J338" s="277">
        <f>IFERROR(__xludf.DUMMYFUNCTION("""COMPUTED_VALUE"""),85.33333333333333)</f>
        <v>85.33333333</v>
      </c>
      <c r="K338" s="29">
        <f>IFERROR(__xludf.DUMMYFUNCTION("""COMPUTED_VALUE"""),25.0)</f>
        <v>25</v>
      </c>
      <c r="L338" s="275" t="str">
        <f>IFERROR(__xludf.DUMMYFUNCTION("""COMPUTED_VALUE"""),"Action-Adventure")</f>
        <v>Action-Adventure</v>
      </c>
    </row>
    <row r="339">
      <c r="A339" s="278" t="str">
        <f>IFERROR(__xludf.DUMMYFUNCTION("""COMPUTED_VALUE"""),"Persona 3: Portable")</f>
        <v>Persona 3: Portable</v>
      </c>
      <c r="B339" s="20" t="str">
        <f>IFERROR(__xludf.DUMMYFUNCTION("""COMPUTED_VALUE"""),"Xbox / PC")</f>
        <v>Xbox / PC</v>
      </c>
      <c r="C339" s="20" t="str">
        <f>IFERROR(__xludf.DUMMYFUNCTION("""COMPUTED_VALUE"""),"Yes")</f>
        <v>Yes</v>
      </c>
      <c r="D339" s="21" t="str">
        <f>IFERROR(__xludf.DUMMYFUNCTION("""COMPUTED_VALUE"""),"Removed")</f>
        <v>Removed</v>
      </c>
      <c r="E339" s="279">
        <f>IFERROR(__xludf.DUMMYFUNCTION("""COMPUTED_VALUE"""),44945.0)</f>
        <v>44945</v>
      </c>
      <c r="F339" s="24">
        <f>IFERROR(__xludf.DUMMYFUNCTION("""COMPUTED_VALUE"""),45306.0)</f>
        <v>45306</v>
      </c>
      <c r="G339" s="27">
        <f>IFERROR(__xludf.DUMMYFUNCTION("""COMPUTED_VALUE"""),11.866666666666667)</f>
        <v>11.86666667</v>
      </c>
      <c r="H339" s="128">
        <f>IFERROR(__xludf.DUMMYFUNCTION("""COMPUTED_VALUE"""),40118.0)</f>
        <v>40118</v>
      </c>
      <c r="I339" s="27">
        <f>IFERROR(__xludf.DUMMYFUNCTION("""COMPUTED_VALUE"""),13.216666666666667)</f>
        <v>13.21666667</v>
      </c>
      <c r="J339" s="277">
        <f>IFERROR(__xludf.DUMMYFUNCTION("""COMPUTED_VALUE"""),89.0)</f>
        <v>89</v>
      </c>
      <c r="K339" s="29">
        <f>IFERROR(__xludf.DUMMYFUNCTION("""COMPUTED_VALUE"""),65.5)</f>
        <v>65.5</v>
      </c>
      <c r="L339" s="31" t="str">
        <f>IFERROR(__xludf.DUMMYFUNCTION("""COMPUTED_VALUE"""),"RPG")</f>
        <v>RPG</v>
      </c>
    </row>
    <row r="340">
      <c r="A340" s="278" t="str">
        <f>IFERROR(__xludf.DUMMYFUNCTION("""COMPUTED_VALUE"""),"MotoGP 22")</f>
        <v>MotoGP 22</v>
      </c>
      <c r="B340" s="21" t="str">
        <f>IFERROR(__xludf.DUMMYFUNCTION("""COMPUTED_VALUE"""),"Xbox / PC")</f>
        <v>Xbox / PC</v>
      </c>
      <c r="C340" s="21" t="str">
        <f>IFERROR(__xludf.DUMMYFUNCTION("""COMPUTED_VALUE"""),"Yes")</f>
        <v>Yes</v>
      </c>
      <c r="D340" s="21" t="str">
        <f>IFERROR(__xludf.DUMMYFUNCTION("""COMPUTED_VALUE"""),"Removed")</f>
        <v>Removed</v>
      </c>
      <c r="E340" s="279">
        <f>IFERROR(__xludf.DUMMYFUNCTION("""COMPUTED_VALUE"""),44763.0)</f>
        <v>44763</v>
      </c>
      <c r="F340" s="24">
        <f>IFERROR(__xludf.DUMMYFUNCTION("""COMPUTED_VALUE"""),45306.0)</f>
        <v>45306</v>
      </c>
      <c r="G340" s="27">
        <f>IFERROR(__xludf.DUMMYFUNCTION("""COMPUTED_VALUE"""),17.8)</f>
        <v>17.8</v>
      </c>
      <c r="H340" s="128">
        <f>IFERROR(__xludf.DUMMYFUNCTION("""COMPUTED_VALUE"""),44672.0)</f>
        <v>44672</v>
      </c>
      <c r="I340" s="27">
        <f>IFERROR(__xludf.DUMMYFUNCTION("""COMPUTED_VALUE"""),0.25)</f>
        <v>0.25</v>
      </c>
      <c r="J340" s="277">
        <f>IFERROR(__xludf.DUMMYFUNCTION("""COMPUTED_VALUE"""),81.0)</f>
        <v>81</v>
      </c>
      <c r="K340" s="29">
        <f>IFERROR(__xludf.DUMMYFUNCTION("""COMPUTED_VALUE"""),10.5)</f>
        <v>10.5</v>
      </c>
      <c r="L340" s="275" t="str">
        <f>IFERROR(__xludf.DUMMYFUNCTION("""COMPUTED_VALUE"""),"Racing")</f>
        <v>Racing</v>
      </c>
    </row>
    <row r="341">
      <c r="A341" s="278" t="str">
        <f>IFERROR(__xludf.DUMMYFUNCTION("""COMPUTED_VALUE"""),"Garden Story")</f>
        <v>Garden Story</v>
      </c>
      <c r="B341" s="21" t="str">
        <f>IFERROR(__xludf.DUMMYFUNCTION("""COMPUTED_VALUE"""),"Xbox / PC")</f>
        <v>Xbox / PC</v>
      </c>
      <c r="C341" s="20" t="str">
        <f>IFERROR(__xludf.DUMMYFUNCTION("""COMPUTED_VALUE"""),"Touch Controls")</f>
        <v>Touch Controls</v>
      </c>
      <c r="D341" s="21" t="str">
        <f>IFERROR(__xludf.DUMMYFUNCTION("""COMPUTED_VALUE"""),"Removed")</f>
        <v>Removed</v>
      </c>
      <c r="E341" s="279">
        <f>IFERROR(__xludf.DUMMYFUNCTION("""COMPUTED_VALUE"""),44760.0)</f>
        <v>44760</v>
      </c>
      <c r="F341" s="276">
        <f>IFERROR(__xludf.DUMMYFUNCTION("""COMPUTED_VALUE"""),45306.0)</f>
        <v>45306</v>
      </c>
      <c r="G341" s="27">
        <f>IFERROR(__xludf.DUMMYFUNCTION("""COMPUTED_VALUE"""),17.9)</f>
        <v>17.9</v>
      </c>
      <c r="H341" s="128">
        <f>IFERROR(__xludf.DUMMYFUNCTION("""COMPUTED_VALUE"""),44419.0)</f>
        <v>44419</v>
      </c>
      <c r="I341" s="27">
        <f>IFERROR(__xludf.DUMMYFUNCTION("""COMPUTED_VALUE"""),0.9361111111111111)</f>
        <v>0.9361111111</v>
      </c>
      <c r="J341" s="29">
        <f>IFERROR(__xludf.DUMMYFUNCTION("""COMPUTED_VALUE"""),70.0)</f>
        <v>70</v>
      </c>
      <c r="K341" s="29">
        <f>IFERROR(__xludf.DUMMYFUNCTION("""COMPUTED_VALUE"""),10.0)</f>
        <v>10</v>
      </c>
      <c r="L341" s="275" t="str">
        <f>IFERROR(__xludf.DUMMYFUNCTION("""COMPUTED_VALUE"""),"RPG")</f>
        <v>RPG</v>
      </c>
    </row>
    <row r="342">
      <c r="A342" s="278" t="str">
        <f>IFERROR(__xludf.DUMMYFUNCTION("""COMPUTED_VALUE"""),"NARAKA: BLADEPOINT")</f>
        <v>NARAKA: BLADEPOINT</v>
      </c>
      <c r="B342" s="20" t="str">
        <f>IFERROR(__xludf.DUMMYFUNCTION("""COMPUTED_VALUE"""),"Xbox / PC")</f>
        <v>Xbox / PC</v>
      </c>
      <c r="C342" s="20" t="str">
        <f>IFERROR(__xludf.DUMMYFUNCTION("""COMPUTED_VALUE"""),"Yes")</f>
        <v>Yes</v>
      </c>
      <c r="D342" s="21" t="str">
        <f>IFERROR(__xludf.DUMMYFUNCTION("""COMPUTED_VALUE"""),"Removed")</f>
        <v>Removed</v>
      </c>
      <c r="E342" s="279">
        <f>IFERROR(__xludf.DUMMYFUNCTION("""COMPUTED_VALUE"""),44735.0)</f>
        <v>44735</v>
      </c>
      <c r="F342" s="276">
        <f>IFERROR(__xludf.DUMMYFUNCTION("""COMPUTED_VALUE"""),45291.0)</f>
        <v>45291</v>
      </c>
      <c r="G342" s="27">
        <f>IFERROR(__xludf.DUMMYFUNCTION("""COMPUTED_VALUE"""),18.233333333333334)</f>
        <v>18.23333333</v>
      </c>
      <c r="H342" s="128">
        <f>IFERROR(__xludf.DUMMYFUNCTION("""COMPUTED_VALUE"""),44420.0)</f>
        <v>44420</v>
      </c>
      <c r="I342" s="27">
        <f>IFERROR(__xludf.DUMMYFUNCTION("""COMPUTED_VALUE"""),0.8638888888888889)</f>
        <v>0.8638888889</v>
      </c>
      <c r="J342" s="277">
        <f>IFERROR(__xludf.DUMMYFUNCTION("""COMPUTED_VALUE"""),71.0)</f>
        <v>71</v>
      </c>
      <c r="K342" s="29">
        <f>IFERROR(__xludf.DUMMYFUNCTION("""COMPUTED_VALUE"""),48.0)</f>
        <v>48</v>
      </c>
      <c r="L342" s="275" t="str">
        <f>IFERROR(__xludf.DUMMYFUNCTION("""COMPUTED_VALUE"""),"Action")</f>
        <v>Action</v>
      </c>
    </row>
    <row r="343">
      <c r="A343" s="278" t="str">
        <f>IFERROR(__xludf.DUMMYFUNCTION("""COMPUTED_VALUE"""),"Potion Craft")</f>
        <v>Potion Craft</v>
      </c>
      <c r="B343" s="21" t="str">
        <f>IFERROR(__xludf.DUMMYFUNCTION("""COMPUTED_VALUE"""),"Xbox / PC")</f>
        <v>Xbox / PC</v>
      </c>
      <c r="C343" s="21"/>
      <c r="D343" s="21" t="str">
        <f>IFERROR(__xludf.DUMMYFUNCTION("""COMPUTED_VALUE"""),"Removed")</f>
        <v>Removed</v>
      </c>
      <c r="E343" s="279">
        <f>IFERROR(__xludf.DUMMYFUNCTION("""COMPUTED_VALUE"""),44908.0)</f>
        <v>44908</v>
      </c>
      <c r="F343" s="24">
        <f>IFERROR(__xludf.DUMMYFUNCTION("""COMPUTED_VALUE"""),45275.0)</f>
        <v>45275</v>
      </c>
      <c r="G343" s="27">
        <f>IFERROR(__xludf.DUMMYFUNCTION("""COMPUTED_VALUE"""),12.066666666666666)</f>
        <v>12.06666667</v>
      </c>
      <c r="H343" s="128">
        <f>IFERROR(__xludf.DUMMYFUNCTION("""COMPUTED_VALUE"""),44908.0)</f>
        <v>44908</v>
      </c>
      <c r="I343" s="27">
        <f>IFERROR(__xludf.DUMMYFUNCTION("""COMPUTED_VALUE"""),0.0)</f>
        <v>0</v>
      </c>
      <c r="J343" s="277">
        <f>IFERROR(__xludf.DUMMYFUNCTION("""COMPUTED_VALUE"""),76.0)</f>
        <v>76</v>
      </c>
      <c r="K343" s="29">
        <f>IFERROR(__xludf.DUMMYFUNCTION("""COMPUTED_VALUE"""),10.0)</f>
        <v>10</v>
      </c>
      <c r="L343" s="275" t="str">
        <f>IFERROR(__xludf.DUMMYFUNCTION("""COMPUTED_VALUE"""),"Simulation")</f>
        <v>Simulation</v>
      </c>
    </row>
    <row r="344">
      <c r="A344" s="285" t="str">
        <f>IFERROR(__xludf.DUMMYFUNCTION("""COMPUTED_VALUE"""),"Chained Echoes")</f>
        <v>Chained Echoes</v>
      </c>
      <c r="B344" s="21" t="str">
        <f>IFERROR(__xludf.DUMMYFUNCTION("""COMPUTED_VALUE"""),"Xbox / PC")</f>
        <v>Xbox / PC</v>
      </c>
      <c r="C344" s="21" t="str">
        <f>IFERROR(__xludf.DUMMYFUNCTION("""COMPUTED_VALUE"""),"Yes")</f>
        <v>Yes</v>
      </c>
      <c r="D344" s="21" t="str">
        <f>IFERROR(__xludf.DUMMYFUNCTION("""COMPUTED_VALUE"""),"Removed")</f>
        <v>Removed</v>
      </c>
      <c r="E344" s="279">
        <f>IFERROR(__xludf.DUMMYFUNCTION("""COMPUTED_VALUE"""),44903.0)</f>
        <v>44903</v>
      </c>
      <c r="F344" s="24">
        <f>IFERROR(__xludf.DUMMYFUNCTION("""COMPUTED_VALUE"""),45275.0)</f>
        <v>45275</v>
      </c>
      <c r="G344" s="27">
        <f>IFERROR(__xludf.DUMMYFUNCTION("""COMPUTED_VALUE"""),12.233333333333333)</f>
        <v>12.23333333</v>
      </c>
      <c r="H344" s="128">
        <f>IFERROR(__xludf.DUMMYFUNCTION("""COMPUTED_VALUE"""),44903.0)</f>
        <v>44903</v>
      </c>
      <c r="I344" s="27">
        <f>IFERROR(__xludf.DUMMYFUNCTION("""COMPUTED_VALUE"""),0.0)</f>
        <v>0</v>
      </c>
      <c r="J344" s="29">
        <f>IFERROR(__xludf.DUMMYFUNCTION("""COMPUTED_VALUE"""),92.0)</f>
        <v>92</v>
      </c>
      <c r="K344" s="29">
        <f>IFERROR(__xludf.DUMMYFUNCTION("""COMPUTED_VALUE"""),31.0)</f>
        <v>31</v>
      </c>
      <c r="L344" s="275" t="str">
        <f>IFERROR(__xludf.DUMMYFUNCTION("""COMPUTED_VALUE"""),"RPG")</f>
        <v>RPG</v>
      </c>
    </row>
    <row r="345">
      <c r="A345" s="17" t="str">
        <f>IFERROR(__xludf.DUMMYFUNCTION("""COMPUTED_VALUE"""),"Opus Magnum")</f>
        <v>Opus Magnum</v>
      </c>
      <c r="B345" s="20" t="str">
        <f>IFERROR(__xludf.DUMMYFUNCTION("""COMPUTED_VALUE"""),"PC")</f>
        <v>PC</v>
      </c>
      <c r="C345" s="20"/>
      <c r="D345" s="21" t="str">
        <f>IFERROR(__xludf.DUMMYFUNCTION("""COMPUTED_VALUE"""),"Removed")</f>
        <v>Removed</v>
      </c>
      <c r="E345" s="279">
        <f>IFERROR(__xludf.DUMMYFUNCTION("""COMPUTED_VALUE"""),44810.0)</f>
        <v>44810</v>
      </c>
      <c r="F345" s="24">
        <f>IFERROR(__xludf.DUMMYFUNCTION("""COMPUTED_VALUE"""),45275.0)</f>
        <v>45275</v>
      </c>
      <c r="G345" s="27">
        <f>IFERROR(__xludf.DUMMYFUNCTION("""COMPUTED_VALUE"""),15.299999999999999)</f>
        <v>15.3</v>
      </c>
      <c r="H345" s="128">
        <f>IFERROR(__xludf.DUMMYFUNCTION("""COMPUTED_VALUE"""),43076.0)</f>
        <v>43076</v>
      </c>
      <c r="I345" s="27">
        <f>IFERROR(__xludf.DUMMYFUNCTION("""COMPUTED_VALUE"""),4.747222222222222)</f>
        <v>4.747222222</v>
      </c>
      <c r="J345" s="277">
        <f>IFERROR(__xludf.DUMMYFUNCTION("""COMPUTED_VALUE"""),90.0)</f>
        <v>90</v>
      </c>
      <c r="K345" s="29">
        <f>IFERROR(__xludf.DUMMYFUNCTION("""COMPUTED_VALUE"""),15.0)</f>
        <v>15</v>
      </c>
      <c r="L345" s="275" t="str">
        <f>IFERROR(__xludf.DUMMYFUNCTION("""COMPUTED_VALUE"""),"Puzzle")</f>
        <v>Puzzle</v>
      </c>
    </row>
    <row r="346">
      <c r="A346" s="17" t="str">
        <f>IFERROR(__xludf.DUMMYFUNCTION("""COMPUTED_VALUE"""),"Rubber Bandits")</f>
        <v>Rubber Bandits</v>
      </c>
      <c r="B346" s="20" t="str">
        <f>IFERROR(__xludf.DUMMYFUNCTION("""COMPUTED_VALUE"""),"Xbox / PC")</f>
        <v>Xbox / PC</v>
      </c>
      <c r="C346" s="20" t="str">
        <f>IFERROR(__xludf.DUMMYFUNCTION("""COMPUTED_VALUE"""),"Touch Controls")</f>
        <v>Touch Controls</v>
      </c>
      <c r="D346" s="21" t="str">
        <f>IFERROR(__xludf.DUMMYFUNCTION("""COMPUTED_VALUE"""),"Removed")</f>
        <v>Removed</v>
      </c>
      <c r="E346" s="279">
        <f>IFERROR(__xludf.DUMMYFUNCTION("""COMPUTED_VALUE"""),44532.0)</f>
        <v>44532</v>
      </c>
      <c r="F346" s="24">
        <f>IFERROR(__xludf.DUMMYFUNCTION("""COMPUTED_VALUE"""),45275.0)</f>
        <v>45275</v>
      </c>
      <c r="G346" s="27">
        <f>IFERROR(__xludf.DUMMYFUNCTION("""COMPUTED_VALUE"""),24.43333333333333)</f>
        <v>24.43333333</v>
      </c>
      <c r="H346" s="128">
        <f>IFERROR(__xludf.DUMMYFUNCTION("""COMPUTED_VALUE"""),44532.0)</f>
        <v>44532</v>
      </c>
      <c r="I346" s="27">
        <f>IFERROR(__xludf.DUMMYFUNCTION("""COMPUTED_VALUE"""),0.0)</f>
        <v>0</v>
      </c>
      <c r="J346" s="29">
        <f>IFERROR(__xludf.DUMMYFUNCTION("""COMPUTED_VALUE"""),74.0)</f>
        <v>74</v>
      </c>
      <c r="K346" s="29">
        <f>IFERROR(__xludf.DUMMYFUNCTION("""COMPUTED_VALUE"""),2.5)</f>
        <v>2.5</v>
      </c>
      <c r="L346" s="275" t="str">
        <f>IFERROR(__xludf.DUMMYFUNCTION("""COMPUTED_VALUE"""),"Brawler")</f>
        <v>Brawler</v>
      </c>
    </row>
    <row r="347">
      <c r="A347" s="278" t="str">
        <f>IFERROR(__xludf.DUMMYFUNCTION("""COMPUTED_VALUE"""),"Eastward")</f>
        <v>Eastward</v>
      </c>
      <c r="B347" s="20" t="str">
        <f>IFERROR(__xludf.DUMMYFUNCTION("""COMPUTED_VALUE"""),"Xbox / PC")</f>
        <v>Xbox / PC</v>
      </c>
      <c r="C347" s="20" t="str">
        <f>IFERROR(__xludf.DUMMYFUNCTION("""COMPUTED_VALUE"""),"Yes")</f>
        <v>Yes</v>
      </c>
      <c r="D347" s="21" t="str">
        <f>IFERROR(__xludf.DUMMYFUNCTION("""COMPUTED_VALUE"""),"Removed")</f>
        <v>Removed</v>
      </c>
      <c r="E347" s="279">
        <f>IFERROR(__xludf.DUMMYFUNCTION("""COMPUTED_VALUE"""),44896.0)</f>
        <v>44896</v>
      </c>
      <c r="F347" s="24">
        <f>IFERROR(__xludf.DUMMYFUNCTION("""COMPUTED_VALUE"""),45260.0)</f>
        <v>45260</v>
      </c>
      <c r="G347" s="27">
        <f>IFERROR(__xludf.DUMMYFUNCTION("""COMPUTED_VALUE"""),11.966666666666667)</f>
        <v>11.96666667</v>
      </c>
      <c r="H347" s="128">
        <f>IFERROR(__xludf.DUMMYFUNCTION("""COMPUTED_VALUE"""),44546.0)</f>
        <v>44546</v>
      </c>
      <c r="I347" s="27">
        <f>IFERROR(__xludf.DUMMYFUNCTION("""COMPUTED_VALUE"""),0.9583333333333334)</f>
        <v>0.9583333333</v>
      </c>
      <c r="J347" s="277">
        <f>IFERROR(__xludf.DUMMYFUNCTION("""COMPUTED_VALUE"""),82.0)</f>
        <v>82</v>
      </c>
      <c r="K347" s="29">
        <f>IFERROR(__xludf.DUMMYFUNCTION("""COMPUTED_VALUE"""),20.0)</f>
        <v>20</v>
      </c>
      <c r="L347" s="275" t="str">
        <f>IFERROR(__xludf.DUMMYFUNCTION("""COMPUTED_VALUE"""),"RPG")</f>
        <v>RPG</v>
      </c>
    </row>
    <row r="348">
      <c r="A348" s="278" t="str">
        <f>IFERROR(__xludf.DUMMYFUNCTION("""COMPUTED_VALUE"""),"Disc Room (2020)")</f>
        <v>Disc Room (2020)</v>
      </c>
      <c r="B348" s="20" t="str">
        <f>IFERROR(__xludf.DUMMYFUNCTION("""COMPUTED_VALUE"""),"Xbox / PC")</f>
        <v>Xbox / PC</v>
      </c>
      <c r="C348" s="20" t="str">
        <f>IFERROR(__xludf.DUMMYFUNCTION("""COMPUTED_VALUE"""),"Touch Controls")</f>
        <v>Touch Controls</v>
      </c>
      <c r="D348" s="21" t="str">
        <f>IFERROR(__xludf.DUMMYFUNCTION("""COMPUTED_VALUE"""),"Removed")</f>
        <v>Removed</v>
      </c>
      <c r="E348" s="279">
        <f>IFERROR(__xludf.DUMMYFUNCTION("""COMPUTED_VALUE"""),44719.0)</f>
        <v>44719</v>
      </c>
      <c r="F348" s="24">
        <f>IFERROR(__xludf.DUMMYFUNCTION("""COMPUTED_VALUE"""),45260.0)</f>
        <v>45260</v>
      </c>
      <c r="G348" s="27">
        <f>IFERROR(__xludf.DUMMYFUNCTION("""COMPUTED_VALUE"""),17.766666666666666)</f>
        <v>17.76666667</v>
      </c>
      <c r="H348" s="128">
        <f>IFERROR(__xludf.DUMMYFUNCTION("""COMPUTED_VALUE"""),44126.0)</f>
        <v>44126</v>
      </c>
      <c r="I348" s="27">
        <f>IFERROR(__xludf.DUMMYFUNCTION("""COMPUTED_VALUE"""),1.625)</f>
        <v>1.625</v>
      </c>
      <c r="J348" s="277">
        <f>IFERROR(__xludf.DUMMYFUNCTION("""COMPUTED_VALUE"""),83.0)</f>
        <v>83</v>
      </c>
      <c r="K348" s="29">
        <f>IFERROR(__xludf.DUMMYFUNCTION("""COMPUTED_VALUE"""),3.0)</f>
        <v>3</v>
      </c>
      <c r="L348" s="275" t="str">
        <f>IFERROR(__xludf.DUMMYFUNCTION("""COMPUTED_VALUE"""),"Action-Adventure")</f>
        <v>Action-Adventure</v>
      </c>
    </row>
    <row r="349">
      <c r="A349" s="17" t="str">
        <f>IFERROR(__xludf.DUMMYFUNCTION("""COMPUTED_VALUE"""),"ANVIL: Vault Breaker (Game Preview)")</f>
        <v>ANVIL: Vault Breaker (Game Preview)</v>
      </c>
      <c r="B349" s="20" t="str">
        <f>IFERROR(__xludf.DUMMYFUNCTION("""COMPUTED_VALUE"""),"Xbox / PC")</f>
        <v>Xbox / PC</v>
      </c>
      <c r="C349" s="20" t="str">
        <f>IFERROR(__xludf.DUMMYFUNCTION("""COMPUTED_VALUE"""),"Touch Controls")</f>
        <v>Touch Controls</v>
      </c>
      <c r="D349" s="21" t="str">
        <f>IFERROR(__xludf.DUMMYFUNCTION("""COMPUTED_VALUE"""),"Removed")</f>
        <v>Removed</v>
      </c>
      <c r="E349" s="279">
        <f>IFERROR(__xludf.DUMMYFUNCTION("""COMPUTED_VALUE"""),44532.0)</f>
        <v>44532</v>
      </c>
      <c r="F349" s="24">
        <f>IFERROR(__xludf.DUMMYFUNCTION("""COMPUTED_VALUE"""),45260.0)</f>
        <v>45260</v>
      </c>
      <c r="G349" s="27">
        <f>IFERROR(__xludf.DUMMYFUNCTION("""COMPUTED_VALUE"""),23.933333333333334)</f>
        <v>23.93333333</v>
      </c>
      <c r="H349" s="128">
        <f>IFERROR(__xludf.DUMMYFUNCTION("""COMPUTED_VALUE"""),44440.0)</f>
        <v>44440</v>
      </c>
      <c r="I349" s="27">
        <f>IFERROR(__xludf.DUMMYFUNCTION("""COMPUTED_VALUE"""),0.25277777777777777)</f>
        <v>0.2527777778</v>
      </c>
      <c r="J349" s="29">
        <f>IFERROR(__xludf.DUMMYFUNCTION("""COMPUTED_VALUE"""),75.0)</f>
        <v>75</v>
      </c>
      <c r="K349" s="29">
        <f>IFERROR(__xludf.DUMMYFUNCTION("""COMPUTED_VALUE"""),3.0)</f>
        <v>3</v>
      </c>
      <c r="L349" s="275" t="str">
        <f>IFERROR(__xludf.DUMMYFUNCTION("""COMPUTED_VALUE"""),"Shooter")</f>
        <v>Shooter</v>
      </c>
    </row>
    <row r="350">
      <c r="A350" s="278" t="str">
        <f>IFERROR(__xludf.DUMMYFUNCTION("""COMPUTED_VALUE"""),"GRID (2019)")</f>
        <v>GRID (2019)</v>
      </c>
      <c r="B350" s="20" t="str">
        <f>IFERROR(__xludf.DUMMYFUNCTION("""COMPUTED_VALUE"""),"Xbox")</f>
        <v>Xbox</v>
      </c>
      <c r="C350" s="20"/>
      <c r="D350" s="21" t="str">
        <f>IFERROR(__xludf.DUMMYFUNCTION("""COMPUTED_VALUE"""),"Removed")</f>
        <v>Removed</v>
      </c>
      <c r="E350" s="279">
        <f>IFERROR(__xludf.DUMMYFUNCTION("""COMPUTED_VALUE"""),44418.0)</f>
        <v>44418</v>
      </c>
      <c r="F350" s="24">
        <f>IFERROR(__xludf.DUMMYFUNCTION("""COMPUTED_VALUE"""),45260.0)</f>
        <v>45260</v>
      </c>
      <c r="G350" s="27">
        <f>IFERROR(__xludf.DUMMYFUNCTION("""COMPUTED_VALUE"""),27.666666666666664)</f>
        <v>27.66666667</v>
      </c>
      <c r="H350" s="128">
        <f>IFERROR(__xludf.DUMMYFUNCTION("""COMPUTED_VALUE"""),43719.0)</f>
        <v>43719</v>
      </c>
      <c r="I350" s="27">
        <f>IFERROR(__xludf.DUMMYFUNCTION("""COMPUTED_VALUE"""),1.913888888888889)</f>
        <v>1.913888889</v>
      </c>
      <c r="J350" s="277">
        <f>IFERROR(__xludf.DUMMYFUNCTION("""COMPUTED_VALUE"""),79.0)</f>
        <v>79</v>
      </c>
      <c r="K350" s="29">
        <f>IFERROR(__xludf.DUMMYFUNCTION("""COMPUTED_VALUE"""),21.0)</f>
        <v>21</v>
      </c>
      <c r="L350" s="275" t="str">
        <f>IFERROR(__xludf.DUMMYFUNCTION("""COMPUTED_VALUE"""),"Racing")</f>
        <v>Racing</v>
      </c>
    </row>
    <row r="351">
      <c r="A351" s="278" t="str">
        <f>IFERROR(__xludf.DUMMYFUNCTION("""COMPUTED_VALUE"""),"Battlefield 1943")</f>
        <v>Battlefield 1943</v>
      </c>
      <c r="B351" s="20" t="str">
        <f>IFERROR(__xludf.DUMMYFUNCTION("""COMPUTED_VALUE"""),"Xbox")</f>
        <v>Xbox</v>
      </c>
      <c r="C351" s="20"/>
      <c r="D351" s="21" t="str">
        <f>IFERROR(__xludf.DUMMYFUNCTION("""COMPUTED_VALUE"""),"Removed")</f>
        <v>Removed</v>
      </c>
      <c r="E351" s="279">
        <f>IFERROR(__xludf.DUMMYFUNCTION("""COMPUTED_VALUE"""),44145.0)</f>
        <v>44145</v>
      </c>
      <c r="F351" s="24">
        <f>IFERROR(__xludf.DUMMYFUNCTION("""COMPUTED_VALUE"""),45260.0)</f>
        <v>45260</v>
      </c>
      <c r="G351" s="27">
        <f>IFERROR(__xludf.DUMMYFUNCTION("""COMPUTED_VALUE"""),36.666666666666664)</f>
        <v>36.66666667</v>
      </c>
      <c r="H351" s="128">
        <f>IFERROR(__xludf.DUMMYFUNCTION("""COMPUTED_VALUE"""),40002.0)</f>
        <v>40002</v>
      </c>
      <c r="I351" s="27">
        <f>IFERROR(__xludf.DUMMYFUNCTION("""COMPUTED_VALUE"""),11.338888888888889)</f>
        <v>11.33888889</v>
      </c>
      <c r="J351" s="277">
        <f>IFERROR(__xludf.DUMMYFUNCTION("""COMPUTED_VALUE"""),83.0)</f>
        <v>83</v>
      </c>
      <c r="K351" s="277">
        <f>IFERROR(__xludf.DUMMYFUNCTION("""COMPUTED_VALUE"""),24.0)</f>
        <v>24</v>
      </c>
      <c r="L351" s="275" t="str">
        <f>IFERROR(__xludf.DUMMYFUNCTION("""COMPUTED_VALUE"""),"Shooter")</f>
        <v>Shooter</v>
      </c>
    </row>
    <row r="352">
      <c r="A352" s="278" t="str">
        <f>IFERROR(__xludf.DUMMYFUNCTION("""COMPUTED_VALUE"""),"Battlefield: Bad Company")</f>
        <v>Battlefield: Bad Company</v>
      </c>
      <c r="B352" s="20" t="str">
        <f>IFERROR(__xludf.DUMMYFUNCTION("""COMPUTED_VALUE"""),"Xbox")</f>
        <v>Xbox</v>
      </c>
      <c r="C352" s="20"/>
      <c r="D352" s="21" t="str">
        <f>IFERROR(__xludf.DUMMYFUNCTION("""COMPUTED_VALUE"""),"Removed")</f>
        <v>Removed</v>
      </c>
      <c r="E352" s="279">
        <f>IFERROR(__xludf.DUMMYFUNCTION("""COMPUTED_VALUE"""),44145.0)</f>
        <v>44145</v>
      </c>
      <c r="F352" s="24">
        <f>IFERROR(__xludf.DUMMYFUNCTION("""COMPUTED_VALUE"""),45260.0)</f>
        <v>45260</v>
      </c>
      <c r="G352" s="27">
        <f>IFERROR(__xludf.DUMMYFUNCTION("""COMPUTED_VALUE"""),36.666666666666664)</f>
        <v>36.66666667</v>
      </c>
      <c r="H352" s="128">
        <f>IFERROR(__xludf.DUMMYFUNCTION("""COMPUTED_VALUE"""),39622.0)</f>
        <v>39622</v>
      </c>
      <c r="I352" s="27">
        <f>IFERROR(__xludf.DUMMYFUNCTION("""COMPUTED_VALUE"""),12.380555555555556)</f>
        <v>12.38055556</v>
      </c>
      <c r="J352" s="277">
        <f>IFERROR(__xludf.DUMMYFUNCTION("""COMPUTED_VALUE"""),83.0)</f>
        <v>83</v>
      </c>
      <c r="K352" s="29">
        <f>IFERROR(__xludf.DUMMYFUNCTION("""COMPUTED_VALUE"""),7.5)</f>
        <v>7.5</v>
      </c>
      <c r="L352" s="275" t="str">
        <f>IFERROR(__xludf.DUMMYFUNCTION("""COMPUTED_VALUE"""),"Shooter")</f>
        <v>Shooter</v>
      </c>
    </row>
    <row r="353">
      <c r="A353" s="17" t="str">
        <f>IFERROR(__xludf.DUMMYFUNCTION("""COMPUTED_VALUE"""),"Battlefield: Bad Company 2")</f>
        <v>Battlefield: Bad Company 2</v>
      </c>
      <c r="B353" s="20" t="str">
        <f>IFERROR(__xludf.DUMMYFUNCTION("""COMPUTED_VALUE"""),"Xbox / PC")</f>
        <v>Xbox / PC</v>
      </c>
      <c r="C353" s="21"/>
      <c r="D353" s="21" t="str">
        <f>IFERROR(__xludf.DUMMYFUNCTION("""COMPUTED_VALUE"""),"Removed")</f>
        <v>Removed</v>
      </c>
      <c r="E353" s="279">
        <f>IFERROR(__xludf.DUMMYFUNCTION("""COMPUTED_VALUE"""),44145.0)</f>
        <v>44145</v>
      </c>
      <c r="F353" s="276">
        <f>IFERROR(__xludf.DUMMYFUNCTION("""COMPUTED_VALUE"""),45260.0)</f>
        <v>45260</v>
      </c>
      <c r="G353" s="27">
        <f>IFERROR(__xludf.DUMMYFUNCTION("""COMPUTED_VALUE"""),36.666666666666664)</f>
        <v>36.66666667</v>
      </c>
      <c r="H353" s="128">
        <f>IFERROR(__xludf.DUMMYFUNCTION("""COMPUTED_VALUE"""),40239.0)</f>
        <v>40239</v>
      </c>
      <c r="I353" s="27">
        <f>IFERROR(__xludf.DUMMYFUNCTION("""COMPUTED_VALUE"""),10.688888888888888)</f>
        <v>10.68888889</v>
      </c>
      <c r="J353" s="29">
        <f>IFERROR(__xludf.DUMMYFUNCTION("""COMPUTED_VALUE"""),88.0)</f>
        <v>88</v>
      </c>
      <c r="K353" s="29">
        <f>IFERROR(__xludf.DUMMYFUNCTION("""COMPUTED_VALUE"""),7.0)</f>
        <v>7</v>
      </c>
      <c r="L353" s="275" t="str">
        <f>IFERROR(__xludf.DUMMYFUNCTION("""COMPUTED_VALUE"""),"Shooter")</f>
        <v>Shooter</v>
      </c>
    </row>
    <row r="354">
      <c r="A354" s="278" t="str">
        <f>IFERROR(__xludf.DUMMYFUNCTION("""COMPUTED_VALUE"""),"Gungrave G.O.R.E")</f>
        <v>Gungrave G.O.R.E</v>
      </c>
      <c r="B354" s="20" t="str">
        <f>IFERROR(__xludf.DUMMYFUNCTION("""COMPUTED_VALUE"""),"Xbox / PC")</f>
        <v>Xbox / PC</v>
      </c>
      <c r="C354" s="20" t="str">
        <f>IFERROR(__xludf.DUMMYFUNCTION("""COMPUTED_VALUE"""),"Yes")</f>
        <v>Yes</v>
      </c>
      <c r="D354" s="21" t="str">
        <f>IFERROR(__xludf.DUMMYFUNCTION("""COMPUTED_VALUE"""),"Removed")</f>
        <v>Removed</v>
      </c>
      <c r="E354" s="279">
        <f>IFERROR(__xludf.DUMMYFUNCTION("""COMPUTED_VALUE"""),44887.0)</f>
        <v>44887</v>
      </c>
      <c r="F354" s="276">
        <f>IFERROR(__xludf.DUMMYFUNCTION("""COMPUTED_VALUE"""),45245.0)</f>
        <v>45245</v>
      </c>
      <c r="G354" s="27">
        <f>IFERROR(__xludf.DUMMYFUNCTION("""COMPUTED_VALUE"""),11.766666666666666)</f>
        <v>11.76666667</v>
      </c>
      <c r="H354" s="128">
        <f>IFERROR(__xludf.DUMMYFUNCTION("""COMPUTED_VALUE"""),44887.0)</f>
        <v>44887</v>
      </c>
      <c r="I354" s="27">
        <f>IFERROR(__xludf.DUMMYFUNCTION("""COMPUTED_VALUE"""),0.0)</f>
        <v>0</v>
      </c>
      <c r="J354" s="277">
        <f>IFERROR(__xludf.DUMMYFUNCTION("""COMPUTED_VALUE"""),56.0)</f>
        <v>56</v>
      </c>
      <c r="K354" s="29">
        <f>IFERROR(__xludf.DUMMYFUNCTION("""COMPUTED_VALUE"""),13.0)</f>
        <v>13</v>
      </c>
      <c r="L354" s="275" t="str">
        <f>IFERROR(__xludf.DUMMYFUNCTION("""COMPUTED_VALUE"""),"Action")</f>
        <v>Action</v>
      </c>
    </row>
    <row r="355">
      <c r="A355" s="278" t="str">
        <f>IFERROR(__xludf.DUMMYFUNCTION("""COMPUTED_VALUE"""),"Lapin (Game Preview)")</f>
        <v>Lapin (Game Preview)</v>
      </c>
      <c r="B355" s="20" t="str">
        <f>IFERROR(__xludf.DUMMYFUNCTION("""COMPUTED_VALUE"""),"Xbox / PC")</f>
        <v>Xbox / PC</v>
      </c>
      <c r="C355" s="20" t="str">
        <f>IFERROR(__xludf.DUMMYFUNCTION("""COMPUTED_VALUE"""),"Yes")</f>
        <v>Yes</v>
      </c>
      <c r="D355" s="21" t="str">
        <f>IFERROR(__xludf.DUMMYFUNCTION("""COMPUTED_VALUE"""),"Removed")</f>
        <v>Removed</v>
      </c>
      <c r="E355" s="279">
        <f>IFERROR(__xludf.DUMMYFUNCTION("""COMPUTED_VALUE"""),44882.0)</f>
        <v>44882</v>
      </c>
      <c r="F355" s="24">
        <f>IFERROR(__xludf.DUMMYFUNCTION("""COMPUTED_VALUE"""),45245.0)</f>
        <v>45245</v>
      </c>
      <c r="G355" s="27">
        <f>IFERROR(__xludf.DUMMYFUNCTION("""COMPUTED_VALUE"""),11.933333333333334)</f>
        <v>11.93333333</v>
      </c>
      <c r="H355" s="128">
        <f>IFERROR(__xludf.DUMMYFUNCTION("""COMPUTED_VALUE"""),44882.0)</f>
        <v>44882</v>
      </c>
      <c r="I355" s="27">
        <f>IFERROR(__xludf.DUMMYFUNCTION("""COMPUTED_VALUE"""),0.0)</f>
        <v>0</v>
      </c>
      <c r="J355" s="277">
        <f>IFERROR(__xludf.DUMMYFUNCTION("""COMPUTED_VALUE"""),80.0)</f>
        <v>80</v>
      </c>
      <c r="K355" s="29">
        <f>IFERROR(__xludf.DUMMYFUNCTION("""COMPUTED_VALUE"""),6.0)</f>
        <v>6</v>
      </c>
      <c r="L355" s="275" t="str">
        <f>IFERROR(__xludf.DUMMYFUNCTION("""COMPUTED_VALUE"""),"Platformer")</f>
        <v>Platformer</v>
      </c>
    </row>
    <row r="356">
      <c r="A356" s="17" t="str">
        <f>IFERROR(__xludf.DUMMYFUNCTION("""COMPUTED_VALUE"""),"Football Manager 2023")</f>
        <v>Football Manager 2023</v>
      </c>
      <c r="B356" s="20" t="str">
        <f>IFERROR(__xludf.DUMMYFUNCTION("""COMPUTED_VALUE"""),"Xbox / PC")</f>
        <v>Xbox / PC</v>
      </c>
      <c r="C356" s="20" t="str">
        <f>IFERROR(__xludf.DUMMYFUNCTION("""COMPUTED_VALUE"""),"Touch Controls")</f>
        <v>Touch Controls</v>
      </c>
      <c r="D356" s="21" t="str">
        <f>IFERROR(__xludf.DUMMYFUNCTION("""COMPUTED_VALUE"""),"Removed")</f>
        <v>Removed</v>
      </c>
      <c r="E356" s="23">
        <f>IFERROR(__xludf.DUMMYFUNCTION("""COMPUTED_VALUE"""),44873.0)</f>
        <v>44873</v>
      </c>
      <c r="F356" s="24">
        <f>IFERROR(__xludf.DUMMYFUNCTION("""COMPUTED_VALUE"""),45245.0)</f>
        <v>45245</v>
      </c>
      <c r="G356" s="27">
        <f>IFERROR(__xludf.DUMMYFUNCTION("""COMPUTED_VALUE"""),12.233333333333333)</f>
        <v>12.23333333</v>
      </c>
      <c r="H356" s="128">
        <f>IFERROR(__xludf.DUMMYFUNCTION("""COMPUTED_VALUE"""),44873.0)</f>
        <v>44873</v>
      </c>
      <c r="I356" s="27">
        <f>IFERROR(__xludf.DUMMYFUNCTION("""COMPUTED_VALUE"""),0.0)</f>
        <v>0</v>
      </c>
      <c r="J356" s="29">
        <f>IFERROR(__xludf.DUMMYFUNCTION("""COMPUTED_VALUE"""),81.0)</f>
        <v>81</v>
      </c>
      <c r="K356" s="29">
        <f>IFERROR(__xludf.DUMMYFUNCTION("""COMPUTED_VALUE"""),42.5)</f>
        <v>42.5</v>
      </c>
      <c r="L356" s="275" t="str">
        <f>IFERROR(__xludf.DUMMYFUNCTION("""COMPUTED_VALUE"""),"Sports")</f>
        <v>Sports</v>
      </c>
    </row>
    <row r="357">
      <c r="A357" s="278" t="str">
        <f>IFERROR(__xludf.DUMMYFUNCTION("""COMPUTED_VALUE"""),"Ghost Song")</f>
        <v>Ghost Song</v>
      </c>
      <c r="B357" s="20" t="str">
        <f>IFERROR(__xludf.DUMMYFUNCTION("""COMPUTED_VALUE"""),"Xbox / PC")</f>
        <v>Xbox / PC</v>
      </c>
      <c r="C357" s="20" t="str">
        <f>IFERROR(__xludf.DUMMYFUNCTION("""COMPUTED_VALUE"""),"Touch Controls")</f>
        <v>Touch Controls</v>
      </c>
      <c r="D357" s="21" t="str">
        <f>IFERROR(__xludf.DUMMYFUNCTION("""COMPUTED_VALUE"""),"Removed")</f>
        <v>Removed</v>
      </c>
      <c r="E357" s="279">
        <f>IFERROR(__xludf.DUMMYFUNCTION("""COMPUTED_VALUE"""),44868.0)</f>
        <v>44868</v>
      </c>
      <c r="F357" s="24">
        <f>IFERROR(__xludf.DUMMYFUNCTION("""COMPUTED_VALUE"""),45245.0)</f>
        <v>45245</v>
      </c>
      <c r="G357" s="27">
        <f>IFERROR(__xludf.DUMMYFUNCTION("""COMPUTED_VALUE"""),12.400000000000002)</f>
        <v>12.4</v>
      </c>
      <c r="H357" s="128">
        <f>IFERROR(__xludf.DUMMYFUNCTION("""COMPUTED_VALUE"""),44868.0)</f>
        <v>44868</v>
      </c>
      <c r="I357" s="27">
        <f>IFERROR(__xludf.DUMMYFUNCTION("""COMPUTED_VALUE"""),0.0)</f>
        <v>0</v>
      </c>
      <c r="J357" s="277">
        <f>IFERROR(__xludf.DUMMYFUNCTION("""COMPUTED_VALUE"""),86.0)</f>
        <v>86</v>
      </c>
      <c r="K357" s="29">
        <f>IFERROR(__xludf.DUMMYFUNCTION("""COMPUTED_VALUE"""),7.5)</f>
        <v>7.5</v>
      </c>
      <c r="L357" s="275" t="str">
        <f>IFERROR(__xludf.DUMMYFUNCTION("""COMPUTED_VALUE"""),"Platformer")</f>
        <v>Platformer</v>
      </c>
    </row>
    <row r="358">
      <c r="A358" s="278" t="str">
        <f>IFERROR(__xludf.DUMMYFUNCTION("""COMPUTED_VALUE"""),"Exapunks")</f>
        <v>Exapunks</v>
      </c>
      <c r="B358" s="20" t="str">
        <f>IFERROR(__xludf.DUMMYFUNCTION("""COMPUTED_VALUE"""),"PC")</f>
        <v>PC</v>
      </c>
      <c r="C358" s="20"/>
      <c r="D358" s="21" t="str">
        <f>IFERROR(__xludf.DUMMYFUNCTION("""COMPUTED_VALUE"""),"Removed")</f>
        <v>Removed</v>
      </c>
      <c r="E358" s="279">
        <f>IFERROR(__xludf.DUMMYFUNCTION("""COMPUTED_VALUE"""),44798.0)</f>
        <v>44798</v>
      </c>
      <c r="F358" s="24">
        <f>IFERROR(__xludf.DUMMYFUNCTION("""COMPUTED_VALUE"""),45245.0)</f>
        <v>45245</v>
      </c>
      <c r="G358" s="27">
        <f>IFERROR(__xludf.DUMMYFUNCTION("""COMPUTED_VALUE"""),14.666666666666668)</f>
        <v>14.66666667</v>
      </c>
      <c r="H358" s="128">
        <f>IFERROR(__xludf.DUMMYFUNCTION("""COMPUTED_VALUE"""),43395.0)</f>
        <v>43395</v>
      </c>
      <c r="I358" s="27">
        <f>IFERROR(__xludf.DUMMYFUNCTION("""COMPUTED_VALUE"""),3.841666666666667)</f>
        <v>3.841666667</v>
      </c>
      <c r="J358" s="277">
        <f>IFERROR(__xludf.DUMMYFUNCTION("""COMPUTED_VALUE"""),80.0)</f>
        <v>80</v>
      </c>
      <c r="K358" s="29">
        <f>IFERROR(__xludf.DUMMYFUNCTION("""COMPUTED_VALUE"""),26.5)</f>
        <v>26.5</v>
      </c>
      <c r="L358" s="275" t="str">
        <f>IFERROR(__xludf.DUMMYFUNCTION("""COMPUTED_VALUE"""),"Simulation")</f>
        <v>Simulation</v>
      </c>
    </row>
    <row r="359">
      <c r="A359" s="278" t="str">
        <f>IFERROR(__xludf.DUMMYFUNCTION("""COMPUTED_VALUE"""),"Coffee Talk")</f>
        <v>Coffee Talk</v>
      </c>
      <c r="B359" s="20" t="str">
        <f>IFERROR(__xludf.DUMMYFUNCTION("""COMPUTED_VALUE"""),"Xbox / PC")</f>
        <v>Xbox / PC</v>
      </c>
      <c r="C359" s="20" t="str">
        <f>IFERROR(__xludf.DUMMYFUNCTION("""COMPUTED_VALUE"""),"Touch Controls")</f>
        <v>Touch Controls</v>
      </c>
      <c r="D359" s="21" t="str">
        <f>IFERROR(__xludf.DUMMYFUNCTION("""COMPUTED_VALUE"""),"Removed")</f>
        <v>Removed</v>
      </c>
      <c r="E359" s="279">
        <f>IFERROR(__xludf.DUMMYFUNCTION("""COMPUTED_VALUE"""),44789.0)</f>
        <v>44789</v>
      </c>
      <c r="F359" s="24">
        <f>IFERROR(__xludf.DUMMYFUNCTION("""COMPUTED_VALUE"""),45245.0)</f>
        <v>45245</v>
      </c>
      <c r="G359" s="27">
        <f>IFERROR(__xludf.DUMMYFUNCTION("""COMPUTED_VALUE"""),14.966666666666667)</f>
        <v>14.96666667</v>
      </c>
      <c r="H359" s="128">
        <f>IFERROR(__xludf.DUMMYFUNCTION("""COMPUTED_VALUE"""),43859.0)</f>
        <v>43859</v>
      </c>
      <c r="I359" s="27">
        <f>IFERROR(__xludf.DUMMYFUNCTION("""COMPUTED_VALUE"""),2.547222222222222)</f>
        <v>2.547222222</v>
      </c>
      <c r="J359" s="277">
        <f>IFERROR(__xludf.DUMMYFUNCTION("""COMPUTED_VALUE"""),75.0)</f>
        <v>75</v>
      </c>
      <c r="K359" s="29">
        <f>IFERROR(__xludf.DUMMYFUNCTION("""COMPUTED_VALUE"""),4.0)</f>
        <v>4</v>
      </c>
      <c r="L359" s="275" t="str">
        <f>IFERROR(__xludf.DUMMYFUNCTION("""COMPUTED_VALUE"""),"Adventure")</f>
        <v>Adventure</v>
      </c>
    </row>
    <row r="360">
      <c r="A360" s="278" t="str">
        <f>IFERROR(__xludf.DUMMYFUNCTION("""COMPUTED_VALUE"""),"Townscaper")</f>
        <v>Townscaper</v>
      </c>
      <c r="B360" s="21" t="str">
        <f>IFERROR(__xludf.DUMMYFUNCTION("""COMPUTED_VALUE"""),"Xbox / PC")</f>
        <v>Xbox / PC</v>
      </c>
      <c r="C360" s="21" t="str">
        <f>IFERROR(__xludf.DUMMYFUNCTION("""COMPUTED_VALUE"""),"Touch Controls")</f>
        <v>Touch Controls</v>
      </c>
      <c r="D360" s="21" t="str">
        <f>IFERROR(__xludf.DUMMYFUNCTION("""COMPUTED_VALUE"""),"Removed")</f>
        <v>Removed</v>
      </c>
      <c r="E360" s="279">
        <f>IFERROR(__xludf.DUMMYFUNCTION("""COMPUTED_VALUE"""),44532.0)</f>
        <v>44532</v>
      </c>
      <c r="F360" s="24">
        <f>IFERROR(__xludf.DUMMYFUNCTION("""COMPUTED_VALUE"""),45245.0)</f>
        <v>45245</v>
      </c>
      <c r="G360" s="27">
        <f>IFERROR(__xludf.DUMMYFUNCTION("""COMPUTED_VALUE"""),23.433333333333334)</f>
        <v>23.43333333</v>
      </c>
      <c r="H360" s="128">
        <f>IFERROR(__xludf.DUMMYFUNCTION("""COMPUTED_VALUE"""),44012.0)</f>
        <v>44012</v>
      </c>
      <c r="I360" s="27">
        <f>IFERROR(__xludf.DUMMYFUNCTION("""COMPUTED_VALUE"""),1.4222222222222223)</f>
        <v>1.422222222</v>
      </c>
      <c r="J360" s="277">
        <f>IFERROR(__xludf.DUMMYFUNCTION("""COMPUTED_VALUE"""),86.0)</f>
        <v>86</v>
      </c>
      <c r="K360" s="277">
        <f>IFERROR(__xludf.DUMMYFUNCTION("""COMPUTED_VALUE"""),3.0)</f>
        <v>3</v>
      </c>
      <c r="L360" s="275" t="str">
        <f>IFERROR(__xludf.DUMMYFUNCTION("""COMPUTED_VALUE"""),"Simulation")</f>
        <v>Simulation</v>
      </c>
    </row>
    <row r="361">
      <c r="A361" s="17" t="str">
        <f>IFERROR(__xludf.DUMMYFUNCTION("""COMPUTED_VALUE"""),"Rocket Arena")</f>
        <v>Rocket Arena</v>
      </c>
      <c r="B361" s="21" t="str">
        <f>IFERROR(__xludf.DUMMYFUNCTION("""COMPUTED_VALUE"""),"Xbox / PC")</f>
        <v>Xbox / PC</v>
      </c>
      <c r="C361" s="21"/>
      <c r="D361" s="21" t="str">
        <f>IFERROR(__xludf.DUMMYFUNCTION("""COMPUTED_VALUE"""),"Removed")</f>
        <v>Removed</v>
      </c>
      <c r="E361" s="279">
        <f>IFERROR(__xludf.DUMMYFUNCTION("""COMPUTED_VALUE"""),44145.0)</f>
        <v>44145</v>
      </c>
      <c r="F361" s="24">
        <f>IFERROR(__xludf.DUMMYFUNCTION("""COMPUTED_VALUE"""),45244.0)</f>
        <v>45244</v>
      </c>
      <c r="G361" s="27">
        <f>IFERROR(__xludf.DUMMYFUNCTION("""COMPUTED_VALUE"""),36.13333333333333)</f>
        <v>36.13333333</v>
      </c>
      <c r="H361" s="128">
        <f>IFERROR(__xludf.DUMMYFUNCTION("""COMPUTED_VALUE"""),44026.0)</f>
        <v>44026</v>
      </c>
      <c r="I361" s="27">
        <f>IFERROR(__xludf.DUMMYFUNCTION("""COMPUTED_VALUE"""),0.32222222222222224)</f>
        <v>0.3222222222</v>
      </c>
      <c r="J361" s="277">
        <f>IFERROR(__xludf.DUMMYFUNCTION("""COMPUTED_VALUE"""),71.0)</f>
        <v>71</v>
      </c>
      <c r="K361" s="29">
        <f>IFERROR(__xludf.DUMMYFUNCTION("""COMPUTED_VALUE"""),3.0)</f>
        <v>3</v>
      </c>
      <c r="L361" s="275" t="str">
        <f>IFERROR(__xludf.DUMMYFUNCTION("""COMPUTED_VALUE"""),"Shooter")</f>
        <v>Shooter</v>
      </c>
    </row>
    <row r="362">
      <c r="A362" s="278" t="str">
        <f>IFERROR(__xludf.DUMMYFUNCTION("""COMPUTED_VALUE"""),"Gunfire Reborn")</f>
        <v>Gunfire Reborn</v>
      </c>
      <c r="B362" s="20" t="str">
        <f>IFERROR(__xludf.DUMMYFUNCTION("""COMPUTED_VALUE"""),"Xbox / PC")</f>
        <v>Xbox / PC</v>
      </c>
      <c r="C362" s="20" t="str">
        <f>IFERROR(__xludf.DUMMYFUNCTION("""COMPUTED_VALUE"""),"Yes")</f>
        <v>Yes</v>
      </c>
      <c r="D362" s="21" t="str">
        <f>IFERROR(__xludf.DUMMYFUNCTION("""COMPUTED_VALUE"""),"Removed")</f>
        <v>Removed</v>
      </c>
      <c r="E362" s="279">
        <f>IFERROR(__xludf.DUMMYFUNCTION("""COMPUTED_VALUE"""),44861.0)</f>
        <v>44861</v>
      </c>
      <c r="F362" s="24">
        <f>IFERROR(__xludf.DUMMYFUNCTION("""COMPUTED_VALUE"""),45230.0)</f>
        <v>45230</v>
      </c>
      <c r="G362" s="27">
        <f>IFERROR(__xludf.DUMMYFUNCTION("""COMPUTED_VALUE"""),12.1)</f>
        <v>12.1</v>
      </c>
      <c r="H362" s="128">
        <f>IFERROR(__xludf.DUMMYFUNCTION("""COMPUTED_VALUE"""),44517.0)</f>
        <v>44517</v>
      </c>
      <c r="I362" s="27">
        <f>IFERROR(__xludf.DUMMYFUNCTION("""COMPUTED_VALUE"""),0.9444444444444444)</f>
        <v>0.9444444444</v>
      </c>
      <c r="J362" s="277">
        <f>IFERROR(__xludf.DUMMYFUNCTION("""COMPUTED_VALUE"""),77.0)</f>
        <v>77</v>
      </c>
      <c r="K362" s="29">
        <f>IFERROR(__xludf.DUMMYFUNCTION("""COMPUTED_VALUE"""),3.0)</f>
        <v>3</v>
      </c>
      <c r="L362" s="31" t="str">
        <f>IFERROR(__xludf.DUMMYFUNCTION("""COMPUTED_VALUE"""),"Shooter")</f>
        <v>Shooter</v>
      </c>
    </row>
    <row r="363">
      <c r="A363" s="278" t="str">
        <f>IFERROR(__xludf.DUMMYFUNCTION("""COMPUTED_VALUE"""),"Signalis")</f>
        <v>Signalis</v>
      </c>
      <c r="B363" s="20" t="str">
        <f>IFERROR(__xludf.DUMMYFUNCTION("""COMPUTED_VALUE"""),"Xbox / PC")</f>
        <v>Xbox / PC</v>
      </c>
      <c r="C363" s="21" t="str">
        <f>IFERROR(__xludf.DUMMYFUNCTION("""COMPUTED_VALUE"""),"Yes")</f>
        <v>Yes</v>
      </c>
      <c r="D363" s="21" t="str">
        <f>IFERROR(__xludf.DUMMYFUNCTION("""COMPUTED_VALUE"""),"Removed")</f>
        <v>Removed</v>
      </c>
      <c r="E363" s="279">
        <f>IFERROR(__xludf.DUMMYFUNCTION("""COMPUTED_VALUE"""),44861.0)</f>
        <v>44861</v>
      </c>
      <c r="F363" s="276">
        <f>IFERROR(__xludf.DUMMYFUNCTION("""COMPUTED_VALUE"""),45230.0)</f>
        <v>45230</v>
      </c>
      <c r="G363" s="27">
        <f>IFERROR(__xludf.DUMMYFUNCTION("""COMPUTED_VALUE"""),12.1)</f>
        <v>12.1</v>
      </c>
      <c r="H363" s="128">
        <f>IFERROR(__xludf.DUMMYFUNCTION("""COMPUTED_VALUE"""),44861.0)</f>
        <v>44861</v>
      </c>
      <c r="I363" s="27">
        <f>IFERROR(__xludf.DUMMYFUNCTION("""COMPUTED_VALUE"""),0.0)</f>
        <v>0</v>
      </c>
      <c r="J363" s="277">
        <f>IFERROR(__xludf.DUMMYFUNCTION("""COMPUTED_VALUE"""),81.0)</f>
        <v>81</v>
      </c>
      <c r="K363" s="29">
        <f>IFERROR(__xludf.DUMMYFUNCTION("""COMPUTED_VALUE"""),9.0)</f>
        <v>9</v>
      </c>
      <c r="L363" s="275" t="str">
        <f>IFERROR(__xludf.DUMMYFUNCTION("""COMPUTED_VALUE"""),"Action-Adventure")</f>
        <v>Action-Adventure</v>
      </c>
    </row>
    <row r="364">
      <c r="A364" s="278" t="str">
        <f>IFERROR(__xludf.DUMMYFUNCTION("""COMPUTED_VALUE"""),"Kill It With Fire")</f>
        <v>Kill It With Fire</v>
      </c>
      <c r="B364" s="20" t="str">
        <f>IFERROR(__xludf.DUMMYFUNCTION("""COMPUTED_VALUE"""),"Xbox / PC")</f>
        <v>Xbox / PC</v>
      </c>
      <c r="C364" s="20" t="str">
        <f>IFERROR(__xludf.DUMMYFUNCTION("""COMPUTED_VALUE"""),"Yes")</f>
        <v>Yes</v>
      </c>
      <c r="D364" s="21" t="str">
        <f>IFERROR(__xludf.DUMMYFUNCTION("""COMPUTED_VALUE"""),"Removed")</f>
        <v>Removed</v>
      </c>
      <c r="E364" s="279">
        <f>IFERROR(__xludf.DUMMYFUNCTION("""COMPUTED_VALUE"""),44504.0)</f>
        <v>44504</v>
      </c>
      <c r="F364" s="24">
        <f>IFERROR(__xludf.DUMMYFUNCTION("""COMPUTED_VALUE"""),45230.0)</f>
        <v>45230</v>
      </c>
      <c r="G364" s="27">
        <f>IFERROR(__xludf.DUMMYFUNCTION("""COMPUTED_VALUE"""),23.866666666666667)</f>
        <v>23.86666667</v>
      </c>
      <c r="H364" s="128">
        <f>IFERROR(__xludf.DUMMYFUNCTION("""COMPUTED_VALUE"""),44056.0)</f>
        <v>44056</v>
      </c>
      <c r="I364" s="27">
        <f>IFERROR(__xludf.DUMMYFUNCTION("""COMPUTED_VALUE"""),1.225)</f>
        <v>1.225</v>
      </c>
      <c r="J364" s="277">
        <f>IFERROR(__xludf.DUMMYFUNCTION("""COMPUTED_VALUE"""),73.0)</f>
        <v>73</v>
      </c>
      <c r="K364" s="29">
        <f>IFERROR(__xludf.DUMMYFUNCTION("""COMPUTED_VALUE"""),3.0)</f>
        <v>3</v>
      </c>
      <c r="L364" s="275" t="str">
        <f>IFERROR(__xludf.DUMMYFUNCTION("""COMPUTED_VALUE"""),"Action")</f>
        <v>Action</v>
      </c>
    </row>
    <row r="365">
      <c r="A365" s="278" t="str">
        <f>IFERROR(__xludf.DUMMYFUNCTION("""COMPUTED_VALUE"""),"Solasta: Crown of the Magister")</f>
        <v>Solasta: Crown of the Magister</v>
      </c>
      <c r="B365" s="20" t="str">
        <f>IFERROR(__xludf.DUMMYFUNCTION("""COMPUTED_VALUE"""),"Xbox / PC")</f>
        <v>Xbox / PC</v>
      </c>
      <c r="C365" s="20" t="str">
        <f>IFERROR(__xludf.DUMMYFUNCTION("""COMPUTED_VALUE"""),"Yes")</f>
        <v>Yes</v>
      </c>
      <c r="D365" s="21" t="str">
        <f>IFERROR(__xludf.DUMMYFUNCTION("""COMPUTED_VALUE"""),"Removed")</f>
        <v>Removed</v>
      </c>
      <c r="E365" s="279">
        <f>IFERROR(__xludf.DUMMYFUNCTION("""COMPUTED_VALUE"""),44343.0)</f>
        <v>44343</v>
      </c>
      <c r="F365" s="24">
        <f>IFERROR(__xludf.DUMMYFUNCTION("""COMPUTED_VALUE"""),45230.0)</f>
        <v>45230</v>
      </c>
      <c r="G365" s="27">
        <f>IFERROR(__xludf.DUMMYFUNCTION("""COMPUTED_VALUE"""),29.099999999999998)</f>
        <v>29.1</v>
      </c>
      <c r="H365" s="128">
        <f>IFERROR(__xludf.DUMMYFUNCTION("""COMPUTED_VALUE"""),44124.0)</f>
        <v>44124</v>
      </c>
      <c r="I365" s="27">
        <f>IFERROR(__xludf.DUMMYFUNCTION("""COMPUTED_VALUE"""),0.6027777777777777)</f>
        <v>0.6027777778</v>
      </c>
      <c r="J365" s="277">
        <f>IFERROR(__xludf.DUMMYFUNCTION("""COMPUTED_VALUE"""),78.0)</f>
        <v>78</v>
      </c>
      <c r="K365" s="29">
        <f>IFERROR(__xludf.DUMMYFUNCTION("""COMPUTED_VALUE"""),39.5)</f>
        <v>39.5</v>
      </c>
      <c r="L365" s="275" t="str">
        <f>IFERROR(__xludf.DUMMYFUNCTION("""COMPUTED_VALUE"""),"RPG")</f>
        <v>RPG</v>
      </c>
    </row>
    <row r="366">
      <c r="A366" s="278" t="str">
        <f>IFERROR(__xludf.DUMMYFUNCTION("""COMPUTED_VALUE"""),"The Legend of Tianding")</f>
        <v>The Legend of Tianding</v>
      </c>
      <c r="B366" s="21" t="str">
        <f>IFERROR(__xludf.DUMMYFUNCTION("""COMPUTED_VALUE"""),"Xbox / PC")</f>
        <v>Xbox / PC</v>
      </c>
      <c r="C366" s="21" t="str">
        <f>IFERROR(__xludf.DUMMYFUNCTION("""COMPUTED_VALUE"""),"Yes")</f>
        <v>Yes</v>
      </c>
      <c r="D366" s="21" t="str">
        <f>IFERROR(__xludf.DUMMYFUNCTION("""COMPUTED_VALUE"""),"Removed")</f>
        <v>Removed</v>
      </c>
      <c r="E366" s="279">
        <f>IFERROR(__xludf.DUMMYFUNCTION("""COMPUTED_VALUE"""),44865.0)</f>
        <v>44865</v>
      </c>
      <c r="F366" s="24">
        <f>IFERROR(__xludf.DUMMYFUNCTION("""COMPUTED_VALUE"""),45214.0)</f>
        <v>45214</v>
      </c>
      <c r="G366" s="27">
        <f>IFERROR(__xludf.DUMMYFUNCTION("""COMPUTED_VALUE"""),11.5)</f>
        <v>11.5</v>
      </c>
      <c r="H366" s="128">
        <f>IFERROR(__xludf.DUMMYFUNCTION("""COMPUTED_VALUE"""),44865.0)</f>
        <v>44865</v>
      </c>
      <c r="I366" s="27">
        <f>IFERROR(__xludf.DUMMYFUNCTION("""COMPUTED_VALUE"""),0.0)</f>
        <v>0</v>
      </c>
      <c r="J366" s="29">
        <f>IFERROR(__xludf.DUMMYFUNCTION("""COMPUTED_VALUE"""),80.0)</f>
        <v>80</v>
      </c>
      <c r="K366" s="29">
        <f>IFERROR(__xludf.DUMMYFUNCTION("""COMPUTED_VALUE"""),5.0)</f>
        <v>5</v>
      </c>
      <c r="L366" s="31" t="str">
        <f>IFERROR(__xludf.DUMMYFUNCTION("""COMPUTED_VALUE"""),"Platformer")</f>
        <v>Platformer</v>
      </c>
    </row>
    <row r="367">
      <c r="A367" s="278" t="str">
        <f>IFERROR(__xludf.DUMMYFUNCTION("""COMPUTED_VALUE"""),"Eville")</f>
        <v>Eville</v>
      </c>
      <c r="B367" s="20" t="str">
        <f>IFERROR(__xludf.DUMMYFUNCTION("""COMPUTED_VALUE"""),"Xbox / PC")</f>
        <v>Xbox / PC</v>
      </c>
      <c r="C367" s="21" t="str">
        <f>IFERROR(__xludf.DUMMYFUNCTION("""COMPUTED_VALUE"""),"Yes")</f>
        <v>Yes</v>
      </c>
      <c r="D367" s="21" t="str">
        <f>IFERROR(__xludf.DUMMYFUNCTION("""COMPUTED_VALUE"""),"Removed")</f>
        <v>Removed</v>
      </c>
      <c r="E367" s="279">
        <f>IFERROR(__xludf.DUMMYFUNCTION("""COMPUTED_VALUE"""),44845.0)</f>
        <v>44845</v>
      </c>
      <c r="F367" s="24">
        <f>IFERROR(__xludf.DUMMYFUNCTION("""COMPUTED_VALUE"""),45214.0)</f>
        <v>45214</v>
      </c>
      <c r="G367" s="27">
        <f>IFERROR(__xludf.DUMMYFUNCTION("""COMPUTED_VALUE"""),12.133333333333333)</f>
        <v>12.13333333</v>
      </c>
      <c r="H367" s="128">
        <f>IFERROR(__xludf.DUMMYFUNCTION("""COMPUTED_VALUE"""),44845.0)</f>
        <v>44845</v>
      </c>
      <c r="I367" s="27">
        <f>IFERROR(__xludf.DUMMYFUNCTION("""COMPUTED_VALUE"""),0.0)</f>
        <v>0</v>
      </c>
      <c r="J367" s="277">
        <f>IFERROR(__xludf.DUMMYFUNCTION("""COMPUTED_VALUE"""),71.0)</f>
        <v>71</v>
      </c>
      <c r="K367" s="29">
        <f>IFERROR(__xludf.DUMMYFUNCTION("""COMPUTED_VALUE"""),8.0)</f>
        <v>8</v>
      </c>
      <c r="L367" s="275" t="str">
        <f>IFERROR(__xludf.DUMMYFUNCTION("""COMPUTED_VALUE"""),"Action-Adventure")</f>
        <v>Action-Adventure</v>
      </c>
    </row>
    <row r="368">
      <c r="A368" s="278" t="str">
        <f>IFERROR(__xludf.DUMMYFUNCTION("""COMPUTED_VALUE"""),"Shenzhen I/O")</f>
        <v>Shenzhen I/O</v>
      </c>
      <c r="B368" s="20" t="str">
        <f>IFERROR(__xludf.DUMMYFUNCTION("""COMPUTED_VALUE"""),"PC")</f>
        <v>PC</v>
      </c>
      <c r="C368" s="21"/>
      <c r="D368" s="21" t="str">
        <f>IFERROR(__xludf.DUMMYFUNCTION("""COMPUTED_VALUE"""),"Removed")</f>
        <v>Removed</v>
      </c>
      <c r="E368" s="279">
        <f>IFERROR(__xludf.DUMMYFUNCTION("""COMPUTED_VALUE"""),44777.0)</f>
        <v>44777</v>
      </c>
      <c r="F368" s="24">
        <f>IFERROR(__xludf.DUMMYFUNCTION("""COMPUTED_VALUE"""),45214.0)</f>
        <v>45214</v>
      </c>
      <c r="G368" s="27">
        <f>IFERROR(__xludf.DUMMYFUNCTION("""COMPUTED_VALUE"""),14.366666666666667)</f>
        <v>14.36666667</v>
      </c>
      <c r="H368" s="128">
        <f>IFERROR(__xludf.DUMMYFUNCTION("""COMPUTED_VALUE"""),42649.0)</f>
        <v>42649</v>
      </c>
      <c r="I368" s="27">
        <f>IFERROR(__xludf.DUMMYFUNCTION("""COMPUTED_VALUE"""),5.8277777777777775)</f>
        <v>5.827777778</v>
      </c>
      <c r="J368" s="29">
        <f>IFERROR(__xludf.DUMMYFUNCTION("""COMPUTED_VALUE"""),88.0)</f>
        <v>88</v>
      </c>
      <c r="K368" s="29">
        <f>IFERROR(__xludf.DUMMYFUNCTION("""COMPUTED_VALUE"""),25.0)</f>
        <v>25</v>
      </c>
      <c r="L368" s="275" t="str">
        <f>IFERROR(__xludf.DUMMYFUNCTION("""COMPUTED_VALUE"""),"Puzzle")</f>
        <v>Puzzle</v>
      </c>
    </row>
    <row r="369">
      <c r="A369" s="278" t="str">
        <f>IFERROR(__xludf.DUMMYFUNCTION("""COMPUTED_VALUE"""),"Overwhelm")</f>
        <v>Overwhelm</v>
      </c>
      <c r="B369" s="20" t="str">
        <f>IFERROR(__xludf.DUMMYFUNCTION("""COMPUTED_VALUE"""),"PC")</f>
        <v>PC</v>
      </c>
      <c r="C369" s="21"/>
      <c r="D369" s="21" t="str">
        <f>IFERROR(__xludf.DUMMYFUNCTION("""COMPUTED_VALUE"""),"Removed")</f>
        <v>Removed</v>
      </c>
      <c r="E369" s="279">
        <f>IFERROR(__xludf.DUMMYFUNCTION("""COMPUTED_VALUE"""),44756.0)</f>
        <v>44756</v>
      </c>
      <c r="F369" s="24">
        <f>IFERROR(__xludf.DUMMYFUNCTION("""COMPUTED_VALUE"""),45214.0)</f>
        <v>45214</v>
      </c>
      <c r="G369" s="27">
        <f>IFERROR(__xludf.DUMMYFUNCTION("""COMPUTED_VALUE"""),15.033333333333333)</f>
        <v>15.03333333</v>
      </c>
      <c r="H369" s="128">
        <f>IFERROR(__xludf.DUMMYFUNCTION("""COMPUTED_VALUE"""),43292.0)</f>
        <v>43292</v>
      </c>
      <c r="I369" s="27">
        <f>IFERROR(__xludf.DUMMYFUNCTION("""COMPUTED_VALUE"""),4.008333333333334)</f>
        <v>4.008333333</v>
      </c>
      <c r="J369" s="29">
        <f>IFERROR(__xludf.DUMMYFUNCTION("""COMPUTED_VALUE"""),74.0)</f>
        <v>74</v>
      </c>
      <c r="K369" s="29">
        <f>IFERROR(__xludf.DUMMYFUNCTION("""COMPUTED_VALUE"""),6.0)</f>
        <v>6</v>
      </c>
      <c r="L369" s="275" t="str">
        <f>IFERROR(__xludf.DUMMYFUNCTION("""COMPUTED_VALUE"""),"Platformer")</f>
        <v>Platformer</v>
      </c>
    </row>
    <row r="370">
      <c r="A370" s="278" t="str">
        <f>IFERROR(__xludf.DUMMYFUNCTION("""COMPUTED_VALUE"""),"Trek to Yomi")</f>
        <v>Trek to Yomi</v>
      </c>
      <c r="B370" s="20" t="str">
        <f>IFERROR(__xludf.DUMMYFUNCTION("""COMPUTED_VALUE"""),"Xbox / PC")</f>
        <v>Xbox / PC</v>
      </c>
      <c r="C370" s="21" t="str">
        <f>IFERROR(__xludf.DUMMYFUNCTION("""COMPUTED_VALUE"""),"Yes")</f>
        <v>Yes</v>
      </c>
      <c r="D370" s="21" t="str">
        <f>IFERROR(__xludf.DUMMYFUNCTION("""COMPUTED_VALUE"""),"Removed")</f>
        <v>Removed</v>
      </c>
      <c r="E370" s="279">
        <f>IFERROR(__xludf.DUMMYFUNCTION("""COMPUTED_VALUE"""),44686.0)</f>
        <v>44686</v>
      </c>
      <c r="F370" s="24">
        <f>IFERROR(__xludf.DUMMYFUNCTION("""COMPUTED_VALUE"""),45214.0)</f>
        <v>45214</v>
      </c>
      <c r="G370" s="27">
        <f>IFERROR(__xludf.DUMMYFUNCTION("""COMPUTED_VALUE"""),17.333333333333332)</f>
        <v>17.33333333</v>
      </c>
      <c r="H370" s="128">
        <f>IFERROR(__xludf.DUMMYFUNCTION("""COMPUTED_VALUE"""),44686.0)</f>
        <v>44686</v>
      </c>
      <c r="I370" s="27">
        <f>IFERROR(__xludf.DUMMYFUNCTION("""COMPUTED_VALUE"""),0.0)</f>
        <v>0</v>
      </c>
      <c r="J370" s="29">
        <f>IFERROR(__xludf.DUMMYFUNCTION("""COMPUTED_VALUE"""),72.0)</f>
        <v>72</v>
      </c>
      <c r="K370" s="29">
        <f>IFERROR(__xludf.DUMMYFUNCTION("""COMPUTED_VALUE"""),5.0)</f>
        <v>5</v>
      </c>
      <c r="L370" s="275" t="str">
        <f>IFERROR(__xludf.DUMMYFUNCTION("""COMPUTED_VALUE"""),"Action")</f>
        <v>Action</v>
      </c>
    </row>
    <row r="371">
      <c r="A371" s="278" t="str">
        <f>IFERROR(__xludf.DUMMYFUNCTION("""COMPUTED_VALUE"""),"Turnip Boy Commits Tax Evasion")</f>
        <v>Turnip Boy Commits Tax Evasion</v>
      </c>
      <c r="B371" s="20" t="str">
        <f>IFERROR(__xludf.DUMMYFUNCTION("""COMPUTED_VALUE"""),"Xbox / PC")</f>
        <v>Xbox / PC</v>
      </c>
      <c r="C371" s="20" t="str">
        <f>IFERROR(__xludf.DUMMYFUNCTION("""COMPUTED_VALUE"""),"Touch Controls")</f>
        <v>Touch Controls</v>
      </c>
      <c r="D371" s="21" t="str">
        <f>IFERROR(__xludf.DUMMYFUNCTION("""COMPUTED_VALUE"""),"Removed")</f>
        <v>Removed</v>
      </c>
      <c r="E371" s="279">
        <f>IFERROR(__xludf.DUMMYFUNCTION("""COMPUTED_VALUE"""),44670.0)</f>
        <v>44670</v>
      </c>
      <c r="F371" s="24">
        <f>IFERROR(__xludf.DUMMYFUNCTION("""COMPUTED_VALUE"""),45214.0)</f>
        <v>45214</v>
      </c>
      <c r="G371" s="27">
        <f>IFERROR(__xludf.DUMMYFUNCTION("""COMPUTED_VALUE"""),17.866666666666667)</f>
        <v>17.86666667</v>
      </c>
      <c r="H371" s="128">
        <f>IFERROR(__xludf.DUMMYFUNCTION("""COMPUTED_VALUE"""),44308.0)</f>
        <v>44308</v>
      </c>
      <c r="I371" s="27">
        <f>IFERROR(__xludf.DUMMYFUNCTION("""COMPUTED_VALUE"""),0.9916666666666667)</f>
        <v>0.9916666667</v>
      </c>
      <c r="J371" s="277">
        <f>IFERROR(__xludf.DUMMYFUNCTION("""COMPUTED_VALUE"""),72.0)</f>
        <v>72</v>
      </c>
      <c r="K371" s="277">
        <f>IFERROR(__xludf.DUMMYFUNCTION("""COMPUTED_VALUE"""),2.0)</f>
        <v>2</v>
      </c>
      <c r="L371" s="275" t="str">
        <f>IFERROR(__xludf.DUMMYFUNCTION("""COMPUTED_VALUE"""),"Action-Adventure")</f>
        <v>Action-Adventure</v>
      </c>
    </row>
    <row r="372">
      <c r="A372" s="17" t="str">
        <f>IFERROR(__xludf.DUMMYFUNCTION("""COMPUTED_VALUE"""),"Despot's Game")</f>
        <v>Despot's Game</v>
      </c>
      <c r="B372" s="20" t="str">
        <f>IFERROR(__xludf.DUMMYFUNCTION("""COMPUTED_VALUE"""),"Xbox / PC")</f>
        <v>Xbox / PC</v>
      </c>
      <c r="C372" s="20" t="str">
        <f>IFERROR(__xludf.DUMMYFUNCTION("""COMPUTED_VALUE"""),"Yes")</f>
        <v>Yes</v>
      </c>
      <c r="D372" s="21" t="str">
        <f>IFERROR(__xludf.DUMMYFUNCTION("""COMPUTED_VALUE"""),"Removed")</f>
        <v>Removed</v>
      </c>
      <c r="E372" s="279">
        <f>IFERROR(__xludf.DUMMYFUNCTION("""COMPUTED_VALUE"""),44833.0)</f>
        <v>44833</v>
      </c>
      <c r="F372" s="24">
        <f>IFERROR(__xludf.DUMMYFUNCTION("""COMPUTED_VALUE"""),45199.0)</f>
        <v>45199</v>
      </c>
      <c r="G372" s="27">
        <f>IFERROR(__xludf.DUMMYFUNCTION("""COMPUTED_VALUE"""),12.033333333333333)</f>
        <v>12.03333333</v>
      </c>
      <c r="H372" s="128">
        <f>IFERROR(__xludf.DUMMYFUNCTION("""COMPUTED_VALUE"""),44833.0)</f>
        <v>44833</v>
      </c>
      <c r="I372" s="27">
        <f>IFERROR(__xludf.DUMMYFUNCTION("""COMPUTED_VALUE"""),0.0)</f>
        <v>0</v>
      </c>
      <c r="J372" s="277">
        <f>IFERROR(__xludf.DUMMYFUNCTION("""COMPUTED_VALUE"""),80.0)</f>
        <v>80</v>
      </c>
      <c r="K372" s="29">
        <f>IFERROR(__xludf.DUMMYFUNCTION("""COMPUTED_VALUE"""),9.5)</f>
        <v>9.5</v>
      </c>
      <c r="L372" s="286" t="str">
        <f>IFERROR(__xludf.DUMMYFUNCTION("""COMPUTED_VALUE"""),"Strategy")</f>
        <v>Strategy</v>
      </c>
    </row>
    <row r="373">
      <c r="A373" s="278" t="str">
        <f>IFERROR(__xludf.DUMMYFUNCTION("""COMPUTED_VALUE"""),"Moonscars")</f>
        <v>Moonscars</v>
      </c>
      <c r="B373" s="20" t="str">
        <f>IFERROR(__xludf.DUMMYFUNCTION("""COMPUTED_VALUE"""),"Xbox / PC")</f>
        <v>Xbox / PC</v>
      </c>
      <c r="C373" s="20" t="str">
        <f>IFERROR(__xludf.DUMMYFUNCTION("""COMPUTED_VALUE"""),"Yes")</f>
        <v>Yes</v>
      </c>
      <c r="D373" s="21" t="str">
        <f>IFERROR(__xludf.DUMMYFUNCTION("""COMPUTED_VALUE"""),"Removed")</f>
        <v>Removed</v>
      </c>
      <c r="E373" s="279">
        <f>IFERROR(__xludf.DUMMYFUNCTION("""COMPUTED_VALUE"""),44831.0)</f>
        <v>44831</v>
      </c>
      <c r="F373" s="24">
        <f>IFERROR(__xludf.DUMMYFUNCTION("""COMPUTED_VALUE"""),45199.0)</f>
        <v>45199</v>
      </c>
      <c r="G373" s="27">
        <f>IFERROR(__xludf.DUMMYFUNCTION("""COMPUTED_VALUE"""),12.1)</f>
        <v>12.1</v>
      </c>
      <c r="H373" s="128">
        <f>IFERROR(__xludf.DUMMYFUNCTION("""COMPUTED_VALUE"""),44831.0)</f>
        <v>44831</v>
      </c>
      <c r="I373" s="27">
        <f>IFERROR(__xludf.DUMMYFUNCTION("""COMPUTED_VALUE"""),0.0)</f>
        <v>0</v>
      </c>
      <c r="J373" s="277">
        <f>IFERROR(__xludf.DUMMYFUNCTION("""COMPUTED_VALUE"""),76.0)</f>
        <v>76</v>
      </c>
      <c r="K373" s="29">
        <f>IFERROR(__xludf.DUMMYFUNCTION("""COMPUTED_VALUE"""),8.5)</f>
        <v>8.5</v>
      </c>
      <c r="L373" s="275" t="str">
        <f>IFERROR(__xludf.DUMMYFUNCTION("""COMPUTED_VALUE"""),"Action-Adventure")</f>
        <v>Action-Adventure</v>
      </c>
    </row>
    <row r="374">
      <c r="A374" s="278" t="str">
        <f>IFERROR(__xludf.DUMMYFUNCTION("""COMPUTED_VALUE"""),"Beacon Pines")</f>
        <v>Beacon Pines</v>
      </c>
      <c r="B374" s="20" t="str">
        <f>IFERROR(__xludf.DUMMYFUNCTION("""COMPUTED_VALUE"""),"Xbox / PC")</f>
        <v>Xbox / PC</v>
      </c>
      <c r="C374" s="20" t="str">
        <f>IFERROR(__xludf.DUMMYFUNCTION("""COMPUTED_VALUE"""),"Yes")</f>
        <v>Yes</v>
      </c>
      <c r="D374" s="21" t="str">
        <f>IFERROR(__xludf.DUMMYFUNCTION("""COMPUTED_VALUE"""),"Removed")</f>
        <v>Removed</v>
      </c>
      <c r="E374" s="279">
        <f>IFERROR(__xludf.DUMMYFUNCTION("""COMPUTED_VALUE"""),44826.0)</f>
        <v>44826</v>
      </c>
      <c r="F374" s="24">
        <f>IFERROR(__xludf.DUMMYFUNCTION("""COMPUTED_VALUE"""),45199.0)</f>
        <v>45199</v>
      </c>
      <c r="G374" s="27">
        <f>IFERROR(__xludf.DUMMYFUNCTION("""COMPUTED_VALUE"""),12.266666666666666)</f>
        <v>12.26666667</v>
      </c>
      <c r="H374" s="128">
        <f>IFERROR(__xludf.DUMMYFUNCTION("""COMPUTED_VALUE"""),44826.0)</f>
        <v>44826</v>
      </c>
      <c r="I374" s="27">
        <f>IFERROR(__xludf.DUMMYFUNCTION("""COMPUTED_VALUE"""),0.0)</f>
        <v>0</v>
      </c>
      <c r="J374" s="277">
        <f>IFERROR(__xludf.DUMMYFUNCTION("""COMPUTED_VALUE"""),83.0)</f>
        <v>83</v>
      </c>
      <c r="K374" s="277">
        <f>IFERROR(__xludf.DUMMYFUNCTION("""COMPUTED_VALUE"""),5.0)</f>
        <v>5</v>
      </c>
      <c r="L374" s="275" t="str">
        <f>IFERROR(__xludf.DUMMYFUNCTION("""COMPUTED_VALUE"""),"Adventure")</f>
        <v>Adventure</v>
      </c>
    </row>
    <row r="375">
      <c r="A375" s="278" t="str">
        <f>IFERROR(__xludf.DUMMYFUNCTION("""COMPUTED_VALUE"""),"Last Call BBS")</f>
        <v>Last Call BBS</v>
      </c>
      <c r="B375" s="20" t="str">
        <f>IFERROR(__xludf.DUMMYFUNCTION("""COMPUTED_VALUE"""),"PC")</f>
        <v>PC</v>
      </c>
      <c r="C375" s="20"/>
      <c r="D375" s="21" t="str">
        <f>IFERROR(__xludf.DUMMYFUNCTION("""COMPUTED_VALUE"""),"Removed")</f>
        <v>Removed</v>
      </c>
      <c r="E375" s="279">
        <f>IFERROR(__xludf.DUMMYFUNCTION("""COMPUTED_VALUE"""),44747.0)</f>
        <v>44747</v>
      </c>
      <c r="F375" s="24">
        <f>IFERROR(__xludf.DUMMYFUNCTION("""COMPUTED_VALUE"""),45199.0)</f>
        <v>45199</v>
      </c>
      <c r="G375" s="27">
        <f>IFERROR(__xludf.DUMMYFUNCTION("""COMPUTED_VALUE"""),14.833333333333334)</f>
        <v>14.83333333</v>
      </c>
      <c r="H375" s="128">
        <f>IFERROR(__xludf.DUMMYFUNCTION("""COMPUTED_VALUE"""),44747.0)</f>
        <v>44747</v>
      </c>
      <c r="I375" s="27">
        <f>IFERROR(__xludf.DUMMYFUNCTION("""COMPUTED_VALUE"""),0.0)</f>
        <v>0</v>
      </c>
      <c r="J375" s="277">
        <f>IFERROR(__xludf.DUMMYFUNCTION("""COMPUTED_VALUE"""),80.0)</f>
        <v>80</v>
      </c>
      <c r="K375" s="29">
        <f>IFERROR(__xludf.DUMMYFUNCTION("""COMPUTED_VALUE"""),64.5)</f>
        <v>64.5</v>
      </c>
      <c r="L375" s="275" t="str">
        <f>IFERROR(__xludf.DUMMYFUNCTION("""COMPUTED_VALUE"""),"Strategy")</f>
        <v>Strategy</v>
      </c>
    </row>
    <row r="376">
      <c r="A376" s="278" t="str">
        <f>IFERROR(__xludf.DUMMYFUNCTION("""COMPUTED_VALUE"""),"Weird West: Definitive Edition")</f>
        <v>Weird West: Definitive Edition</v>
      </c>
      <c r="B376" s="20" t="str">
        <f>IFERROR(__xludf.DUMMYFUNCTION("""COMPUTED_VALUE"""),"Xbox / PC")</f>
        <v>Xbox / PC</v>
      </c>
      <c r="C376" s="20" t="str">
        <f>IFERROR(__xludf.DUMMYFUNCTION("""COMPUTED_VALUE"""),"Yes")</f>
        <v>Yes</v>
      </c>
      <c r="D376" s="21" t="str">
        <f>IFERROR(__xludf.DUMMYFUNCTION("""COMPUTED_VALUE"""),"Removed")</f>
        <v>Removed</v>
      </c>
      <c r="E376" s="279">
        <f>IFERROR(__xludf.DUMMYFUNCTION("""COMPUTED_VALUE"""),44651.0)</f>
        <v>44651</v>
      </c>
      <c r="F376" s="276">
        <f>IFERROR(__xludf.DUMMYFUNCTION("""COMPUTED_VALUE"""),45199.0)</f>
        <v>45199</v>
      </c>
      <c r="G376" s="27">
        <f>IFERROR(__xludf.DUMMYFUNCTION("""COMPUTED_VALUE"""),18.0)</f>
        <v>18</v>
      </c>
      <c r="H376" s="128">
        <f>IFERROR(__xludf.DUMMYFUNCTION("""COMPUTED_VALUE"""),44651.0)</f>
        <v>44651</v>
      </c>
      <c r="I376" s="27">
        <f>IFERROR(__xludf.DUMMYFUNCTION("""COMPUTED_VALUE"""),0.0)</f>
        <v>0</v>
      </c>
      <c r="J376" s="277">
        <f>IFERROR(__xludf.DUMMYFUNCTION("""COMPUTED_VALUE"""),79.5)</f>
        <v>79.5</v>
      </c>
      <c r="K376" s="277">
        <f>IFERROR(__xludf.DUMMYFUNCTION("""COMPUTED_VALUE"""),21.0)</f>
        <v>21</v>
      </c>
      <c r="L376" s="31" t="str">
        <f>IFERROR(__xludf.DUMMYFUNCTION("""COMPUTED_VALUE"""),"RPG")</f>
        <v>RPG</v>
      </c>
    </row>
    <row r="377">
      <c r="A377" s="17" t="str">
        <f>IFERROR(__xludf.DUMMYFUNCTION("""COMPUTED_VALUE"""),"Prodeus")</f>
        <v>Prodeus</v>
      </c>
      <c r="B377" s="20" t="str">
        <f>IFERROR(__xludf.DUMMYFUNCTION("""COMPUTED_VALUE"""),"Xbox / PC")</f>
        <v>Xbox / PC</v>
      </c>
      <c r="C377" s="20" t="str">
        <f>IFERROR(__xludf.DUMMYFUNCTION("""COMPUTED_VALUE"""),"Yes")</f>
        <v>Yes</v>
      </c>
      <c r="D377" s="21" t="str">
        <f>IFERROR(__xludf.DUMMYFUNCTION("""COMPUTED_VALUE"""),"Removed")</f>
        <v>Removed</v>
      </c>
      <c r="E377" s="279">
        <f>IFERROR(__xludf.DUMMYFUNCTION("""COMPUTED_VALUE"""),44371.0)</f>
        <v>44371</v>
      </c>
      <c r="F377" s="24">
        <f>IFERROR(__xludf.DUMMYFUNCTION("""COMPUTED_VALUE"""),45199.0)</f>
        <v>45199</v>
      </c>
      <c r="G377" s="27">
        <f>IFERROR(__xludf.DUMMYFUNCTION("""COMPUTED_VALUE"""),27.2)</f>
        <v>27.2</v>
      </c>
      <c r="H377" s="128">
        <f>IFERROR(__xludf.DUMMYFUNCTION("""COMPUTED_VALUE"""),44144.0)</f>
        <v>44144</v>
      </c>
      <c r="I377" s="27">
        <f>IFERROR(__xludf.DUMMYFUNCTION("""COMPUTED_VALUE"""),0.625)</f>
        <v>0.625</v>
      </c>
      <c r="J377" s="29">
        <f>IFERROR(__xludf.DUMMYFUNCTION("""COMPUTED_VALUE"""),85.5)</f>
        <v>85.5</v>
      </c>
      <c r="K377" s="29">
        <f>IFERROR(__xludf.DUMMYFUNCTION("""COMPUTED_VALUE"""),5.5)</f>
        <v>5.5</v>
      </c>
      <c r="L377" s="31" t="str">
        <f>IFERROR(__xludf.DUMMYFUNCTION("""COMPUTED_VALUE"""),"Shooter")</f>
        <v>Shooter</v>
      </c>
    </row>
    <row r="378">
      <c r="A378" s="278" t="str">
        <f>IFERROR(__xludf.DUMMYFUNCTION("""COMPUTED_VALUE"""),"Outriders")</f>
        <v>Outriders</v>
      </c>
      <c r="B378" s="21" t="str">
        <f>IFERROR(__xludf.DUMMYFUNCTION("""COMPUTED_VALUE"""),"Xbox / PC")</f>
        <v>Xbox / PC</v>
      </c>
      <c r="C378" s="21" t="str">
        <f>IFERROR(__xludf.DUMMYFUNCTION("""COMPUTED_VALUE"""),"Yes")</f>
        <v>Yes</v>
      </c>
      <c r="D378" s="21" t="str">
        <f>IFERROR(__xludf.DUMMYFUNCTION("""COMPUTED_VALUE"""),"Removed")</f>
        <v>Removed</v>
      </c>
      <c r="E378" s="279">
        <f>IFERROR(__xludf.DUMMYFUNCTION("""COMPUTED_VALUE"""),44287.0)</f>
        <v>44287</v>
      </c>
      <c r="F378" s="24">
        <f>IFERROR(__xludf.DUMMYFUNCTION("""COMPUTED_VALUE"""),45199.0)</f>
        <v>45199</v>
      </c>
      <c r="G378" s="27">
        <f>IFERROR(__xludf.DUMMYFUNCTION("""COMPUTED_VALUE"""),29.96666666666667)</f>
        <v>29.96666667</v>
      </c>
      <c r="H378" s="128">
        <f>IFERROR(__xludf.DUMMYFUNCTION("""COMPUTED_VALUE"""),44287.0)</f>
        <v>44287</v>
      </c>
      <c r="I378" s="27">
        <f>IFERROR(__xludf.DUMMYFUNCTION("""COMPUTED_VALUE"""),0.0)</f>
        <v>0</v>
      </c>
      <c r="J378" s="277">
        <f>IFERROR(__xludf.DUMMYFUNCTION("""COMPUTED_VALUE"""),78.0)</f>
        <v>78</v>
      </c>
      <c r="K378" s="29">
        <f>IFERROR(__xludf.DUMMYFUNCTION("""COMPUTED_VALUE"""),15.0)</f>
        <v>15</v>
      </c>
      <c r="L378" s="275" t="str">
        <f>IFERROR(__xludf.DUMMYFUNCTION("""COMPUTED_VALUE"""),"RPG")</f>
        <v>RPG</v>
      </c>
    </row>
    <row r="379">
      <c r="A379" s="278" t="str">
        <f>IFERROR(__xludf.DUMMYFUNCTION("""COMPUTED_VALUE"""),"Sid Meier's Civilization VI")</f>
        <v>Sid Meier's Civilization VI</v>
      </c>
      <c r="B379" s="20" t="str">
        <f>IFERROR(__xludf.DUMMYFUNCTION("""COMPUTED_VALUE"""),"Xbox / PC")</f>
        <v>Xbox / PC</v>
      </c>
      <c r="C379" s="20" t="str">
        <f>IFERROR(__xludf.DUMMYFUNCTION("""COMPUTED_VALUE"""),"Yes")</f>
        <v>Yes</v>
      </c>
      <c r="D379" s="21" t="str">
        <f>IFERROR(__xludf.DUMMYFUNCTION("""COMPUTED_VALUE"""),"Removed")</f>
        <v>Removed</v>
      </c>
      <c r="E379" s="279">
        <f>IFERROR(__xludf.DUMMYFUNCTION("""COMPUTED_VALUE"""),45001.0)</f>
        <v>45001</v>
      </c>
      <c r="F379" s="24">
        <f>IFERROR(__xludf.DUMMYFUNCTION("""COMPUTED_VALUE"""),45184.0)</f>
        <v>45184</v>
      </c>
      <c r="G379" s="27">
        <f>IFERROR(__xludf.DUMMYFUNCTION("""COMPUTED_VALUE"""),5.966666666666667)</f>
        <v>5.966666667</v>
      </c>
      <c r="H379" s="128">
        <f>IFERROR(__xludf.DUMMYFUNCTION("""COMPUTED_VALUE"""),42664.0)</f>
        <v>42664</v>
      </c>
      <c r="I379" s="27">
        <f>IFERROR(__xludf.DUMMYFUNCTION("""COMPUTED_VALUE"""),6.402777777777778)</f>
        <v>6.402777778</v>
      </c>
      <c r="J379" s="29">
        <f>IFERROR(__xludf.DUMMYFUNCTION("""COMPUTED_VALUE"""),87.0)</f>
        <v>87</v>
      </c>
      <c r="K379" s="29">
        <f>IFERROR(__xludf.DUMMYFUNCTION("""COMPUTED_VALUE"""),23.0)</f>
        <v>23</v>
      </c>
      <c r="L379" s="275" t="str">
        <f>IFERROR(__xludf.DUMMYFUNCTION("""COMPUTED_VALUE"""),"Strategy")</f>
        <v>Strategy</v>
      </c>
    </row>
    <row r="380">
      <c r="A380" s="278" t="str">
        <f>IFERROR(__xludf.DUMMYFUNCTION("""COMPUTED_VALUE"""),"Danganronpa V3: Killing Harmony")</f>
        <v>Danganronpa V3: Killing Harmony</v>
      </c>
      <c r="B380" s="20" t="str">
        <f>IFERROR(__xludf.DUMMYFUNCTION("""COMPUTED_VALUE"""),"Xbox / PC")</f>
        <v>Xbox / PC</v>
      </c>
      <c r="C380" s="21" t="str">
        <f>IFERROR(__xludf.DUMMYFUNCTION("""COMPUTED_VALUE"""),"Touch Controls")</f>
        <v>Touch Controls</v>
      </c>
      <c r="D380" s="21" t="str">
        <f>IFERROR(__xludf.DUMMYFUNCTION("""COMPUTED_VALUE"""),"Removed")</f>
        <v>Removed</v>
      </c>
      <c r="E380" s="279">
        <f>IFERROR(__xludf.DUMMYFUNCTION("""COMPUTED_VALUE"""),44819.0)</f>
        <v>44819</v>
      </c>
      <c r="F380" s="24">
        <f>IFERROR(__xludf.DUMMYFUNCTION("""COMPUTED_VALUE"""),45184.0)</f>
        <v>45184</v>
      </c>
      <c r="G380" s="27">
        <f>IFERROR(__xludf.DUMMYFUNCTION("""COMPUTED_VALUE"""),12.0)</f>
        <v>12</v>
      </c>
      <c r="H380" s="128">
        <f>IFERROR(__xludf.DUMMYFUNCTION("""COMPUTED_VALUE"""),42747.0)</f>
        <v>42747</v>
      </c>
      <c r="I380" s="27">
        <f>IFERROR(__xludf.DUMMYFUNCTION("""COMPUTED_VALUE"""),5.675)</f>
        <v>5.675</v>
      </c>
      <c r="J380" s="277">
        <f>IFERROR(__xludf.DUMMYFUNCTION("""COMPUTED_VALUE"""),80.0)</f>
        <v>80</v>
      </c>
      <c r="K380" s="29">
        <f>IFERROR(__xludf.DUMMYFUNCTION("""COMPUTED_VALUE"""),39.0)</f>
        <v>39</v>
      </c>
      <c r="L380" s="275" t="str">
        <f>IFERROR(__xludf.DUMMYFUNCTION("""COMPUTED_VALUE"""),"Shooter")</f>
        <v>Shooter</v>
      </c>
    </row>
    <row r="381">
      <c r="A381" s="278" t="str">
        <f>IFERROR(__xludf.DUMMYFUNCTION("""COMPUTED_VALUE"""),"Fuga: Melodies of Steel")</f>
        <v>Fuga: Melodies of Steel</v>
      </c>
      <c r="B381" s="20" t="str">
        <f>IFERROR(__xludf.DUMMYFUNCTION("""COMPUTED_VALUE"""),"Xbox / PC")</f>
        <v>Xbox / PC</v>
      </c>
      <c r="C381" s="21" t="str">
        <f>IFERROR(__xludf.DUMMYFUNCTION("""COMPUTED_VALUE"""),"Touch Controls")</f>
        <v>Touch Controls</v>
      </c>
      <c r="D381" s="21" t="str">
        <f>IFERROR(__xludf.DUMMYFUNCTION("""COMPUTED_VALUE"""),"Removed")</f>
        <v>Removed</v>
      </c>
      <c r="E381" s="279">
        <f>IFERROR(__xludf.DUMMYFUNCTION("""COMPUTED_VALUE"""),44819.0)</f>
        <v>44819</v>
      </c>
      <c r="F381" s="24">
        <f>IFERROR(__xludf.DUMMYFUNCTION("""COMPUTED_VALUE"""),45184.0)</f>
        <v>45184</v>
      </c>
      <c r="G381" s="27">
        <f>IFERROR(__xludf.DUMMYFUNCTION("""COMPUTED_VALUE"""),12.0)</f>
        <v>12</v>
      </c>
      <c r="H381" s="128">
        <f>IFERROR(__xludf.DUMMYFUNCTION("""COMPUTED_VALUE"""),44405.0)</f>
        <v>44405</v>
      </c>
      <c r="I381" s="27">
        <f>IFERROR(__xludf.DUMMYFUNCTION("""COMPUTED_VALUE"""),1.1305555555555555)</f>
        <v>1.130555556</v>
      </c>
      <c r="J381" s="277">
        <f>IFERROR(__xludf.DUMMYFUNCTION("""COMPUTED_VALUE"""),87.0)</f>
        <v>87</v>
      </c>
      <c r="K381" s="277">
        <f>IFERROR(__xludf.DUMMYFUNCTION("""COMPUTED_VALUE"""),19.5)</f>
        <v>19.5</v>
      </c>
      <c r="L381" s="275" t="str">
        <f>IFERROR(__xludf.DUMMYFUNCTION("""COMPUTED_VALUE"""),"RPG")</f>
        <v>RPG</v>
      </c>
    </row>
    <row r="382">
      <c r="A382" s="17" t="str">
        <f>IFERROR(__xludf.DUMMYFUNCTION("""COMPUTED_VALUE"""),"Metal: Hellsinger")</f>
        <v>Metal: Hellsinger</v>
      </c>
      <c r="B382" s="20" t="str">
        <f>IFERROR(__xludf.DUMMYFUNCTION("""COMPUTED_VALUE"""),"Xbox / PC")</f>
        <v>Xbox / PC</v>
      </c>
      <c r="C382" s="20" t="str">
        <f>IFERROR(__xludf.DUMMYFUNCTION("""COMPUTED_VALUE"""),"Yes")</f>
        <v>Yes</v>
      </c>
      <c r="D382" s="21" t="str">
        <f>IFERROR(__xludf.DUMMYFUNCTION("""COMPUTED_VALUE"""),"Removed")</f>
        <v>Removed</v>
      </c>
      <c r="E382" s="279">
        <f>IFERROR(__xludf.DUMMYFUNCTION("""COMPUTED_VALUE"""),44819.0)</f>
        <v>44819</v>
      </c>
      <c r="F382" s="24">
        <f>IFERROR(__xludf.DUMMYFUNCTION("""COMPUTED_VALUE"""),45184.0)</f>
        <v>45184</v>
      </c>
      <c r="G382" s="27">
        <f>IFERROR(__xludf.DUMMYFUNCTION("""COMPUTED_VALUE"""),12.0)</f>
        <v>12</v>
      </c>
      <c r="H382" s="128">
        <f>IFERROR(__xludf.DUMMYFUNCTION("""COMPUTED_VALUE"""),44819.0)</f>
        <v>44819</v>
      </c>
      <c r="I382" s="27">
        <f>IFERROR(__xludf.DUMMYFUNCTION("""COMPUTED_VALUE"""),0.0)</f>
        <v>0</v>
      </c>
      <c r="J382" s="29">
        <f>IFERROR(__xludf.DUMMYFUNCTION("""COMPUTED_VALUE"""),79.0)</f>
        <v>79</v>
      </c>
      <c r="K382" s="29">
        <f>IFERROR(__xludf.DUMMYFUNCTION("""COMPUTED_VALUE"""),6.0)</f>
        <v>6</v>
      </c>
      <c r="L382" s="31" t="str">
        <f>IFERROR(__xludf.DUMMYFUNCTION("""COMPUTED_VALUE"""),"Shooter")</f>
        <v>Shooter</v>
      </c>
    </row>
    <row r="383">
      <c r="A383" s="278" t="str">
        <f>IFERROR(__xludf.DUMMYFUNCTION("""COMPUTED_VALUE"""),"Amazing Cultivation Simulator")</f>
        <v>Amazing Cultivation Simulator</v>
      </c>
      <c r="B383" s="20" t="str">
        <f>IFERROR(__xludf.DUMMYFUNCTION("""COMPUTED_VALUE"""),"PC")</f>
        <v>PC</v>
      </c>
      <c r="C383" s="20"/>
      <c r="D383" s="21" t="str">
        <f>IFERROR(__xludf.DUMMYFUNCTION("""COMPUTED_VALUE"""),"Removed")</f>
        <v>Removed</v>
      </c>
      <c r="E383" s="279">
        <f>IFERROR(__xludf.DUMMYFUNCTION("""COMPUTED_VALUE"""),44818.0)</f>
        <v>44818</v>
      </c>
      <c r="F383" s="276">
        <f>IFERROR(__xludf.DUMMYFUNCTION("""COMPUTED_VALUE"""),45184.0)</f>
        <v>45184</v>
      </c>
      <c r="G383" s="27">
        <f>IFERROR(__xludf.DUMMYFUNCTION("""COMPUTED_VALUE"""),12.033333333333333)</f>
        <v>12.03333333</v>
      </c>
      <c r="H383" s="128">
        <f>IFERROR(__xludf.DUMMYFUNCTION("""COMPUTED_VALUE"""),43476.0)</f>
        <v>43476</v>
      </c>
      <c r="I383" s="27">
        <f>IFERROR(__xludf.DUMMYFUNCTION("""COMPUTED_VALUE"""),3.675)</f>
        <v>3.675</v>
      </c>
      <c r="J383" s="29">
        <f>IFERROR(__xludf.DUMMYFUNCTION("""COMPUTED_VALUE"""),73.0)</f>
        <v>73</v>
      </c>
      <c r="K383" s="29">
        <f>IFERROR(__xludf.DUMMYFUNCTION("""COMPUTED_VALUE"""),100.0)</f>
        <v>100</v>
      </c>
      <c r="L383" s="275" t="str">
        <f>IFERROR(__xludf.DUMMYFUNCTION("""COMPUTED_VALUE"""),"Simulation")</f>
        <v>Simulation</v>
      </c>
    </row>
    <row r="384">
      <c r="A384" s="278" t="str">
        <f>IFERROR(__xludf.DUMMYFUNCTION("""COMPUTED_VALUE"""),"DC League of Super-Pets: The Adventures of Krypto and Ace")</f>
        <v>DC League of Super-Pets: The Adventures of Krypto and Ace</v>
      </c>
      <c r="B384" s="20" t="str">
        <f>IFERROR(__xludf.DUMMYFUNCTION("""COMPUTED_VALUE"""),"Xbox / PC")</f>
        <v>Xbox / PC</v>
      </c>
      <c r="C384" s="20" t="str">
        <f>IFERROR(__xludf.DUMMYFUNCTION("""COMPUTED_VALUE"""),"Touch Controls")</f>
        <v>Touch Controls</v>
      </c>
      <c r="D384" s="21" t="str">
        <f>IFERROR(__xludf.DUMMYFUNCTION("""COMPUTED_VALUE"""),"Removed")</f>
        <v>Removed</v>
      </c>
      <c r="E384" s="279">
        <f>IFERROR(__xludf.DUMMYFUNCTION("""COMPUTED_VALUE"""),44817.0)</f>
        <v>44817</v>
      </c>
      <c r="F384" s="24">
        <f>IFERROR(__xludf.DUMMYFUNCTION("""COMPUTED_VALUE"""),45184.0)</f>
        <v>45184</v>
      </c>
      <c r="G384" s="27">
        <f>IFERROR(__xludf.DUMMYFUNCTION("""COMPUTED_VALUE"""),12.066666666666666)</f>
        <v>12.06666667</v>
      </c>
      <c r="H384" s="128">
        <f>IFERROR(__xludf.DUMMYFUNCTION("""COMPUTED_VALUE"""),44757.0)</f>
        <v>44757</v>
      </c>
      <c r="I384" s="27">
        <f>IFERROR(__xludf.DUMMYFUNCTION("""COMPUTED_VALUE"""),0.16111111111111112)</f>
        <v>0.1611111111</v>
      </c>
      <c r="J384" s="277">
        <f>IFERROR(__xludf.DUMMYFUNCTION("""COMPUTED_VALUE"""),60.0)</f>
        <v>60</v>
      </c>
      <c r="K384" s="29">
        <f>IFERROR(__xludf.DUMMYFUNCTION("""COMPUTED_VALUE"""),3.0)</f>
        <v>3</v>
      </c>
      <c r="L384" s="275" t="str">
        <f>IFERROR(__xludf.DUMMYFUNCTION("""COMPUTED_VALUE"""),"Action-Adventure")</f>
        <v>Action-Adventure</v>
      </c>
    </row>
    <row r="385">
      <c r="A385" s="278" t="str">
        <f>IFERROR(__xludf.DUMMYFUNCTION("""COMPUTED_VALUE"""),"Train Sim World 3")</f>
        <v>Train Sim World 3</v>
      </c>
      <c r="B385" s="20" t="str">
        <f>IFERROR(__xludf.DUMMYFUNCTION("""COMPUTED_VALUE"""),"Xbox / PC")</f>
        <v>Xbox / PC</v>
      </c>
      <c r="C385" s="20"/>
      <c r="D385" s="21" t="str">
        <f>IFERROR(__xludf.DUMMYFUNCTION("""COMPUTED_VALUE"""),"Removed")</f>
        <v>Removed</v>
      </c>
      <c r="E385" s="279">
        <f>IFERROR(__xludf.DUMMYFUNCTION("""COMPUTED_VALUE"""),44810.0)</f>
        <v>44810</v>
      </c>
      <c r="F385" s="24">
        <f>IFERROR(__xludf.DUMMYFUNCTION("""COMPUTED_VALUE"""),45184.0)</f>
        <v>45184</v>
      </c>
      <c r="G385" s="27">
        <f>IFERROR(__xludf.DUMMYFUNCTION("""COMPUTED_VALUE"""),12.299999999999999)</f>
        <v>12.3</v>
      </c>
      <c r="H385" s="128">
        <f>IFERROR(__xludf.DUMMYFUNCTION("""COMPUTED_VALUE"""),44810.0)</f>
        <v>44810</v>
      </c>
      <c r="I385" s="27">
        <f>IFERROR(__xludf.DUMMYFUNCTION("""COMPUTED_VALUE"""),0.0)</f>
        <v>0</v>
      </c>
      <c r="J385" s="277">
        <f>IFERROR(__xludf.DUMMYFUNCTION("""COMPUTED_VALUE"""),78.0)</f>
        <v>78</v>
      </c>
      <c r="K385" s="29">
        <f>IFERROR(__xludf.DUMMYFUNCTION("""COMPUTED_VALUE"""),466.0)</f>
        <v>466</v>
      </c>
      <c r="L385" s="275" t="str">
        <f>IFERROR(__xludf.DUMMYFUNCTION("""COMPUTED_VALUE"""),"Simulation")</f>
        <v>Simulation</v>
      </c>
    </row>
    <row r="386">
      <c r="A386" s="278" t="str">
        <f>IFERROR(__xludf.DUMMYFUNCTION("""COMPUTED_VALUE"""),"Tainted Grail: Conquest")</f>
        <v>Tainted Grail: Conquest</v>
      </c>
      <c r="B386" s="21" t="str">
        <f>IFERROR(__xludf.DUMMYFUNCTION("""COMPUTED_VALUE"""),"Xbox / PC")</f>
        <v>Xbox / PC</v>
      </c>
      <c r="C386" s="21" t="str">
        <f>IFERROR(__xludf.DUMMYFUNCTION("""COMPUTED_VALUE"""),"Touch Controls")</f>
        <v>Touch Controls</v>
      </c>
      <c r="D386" s="21" t="str">
        <f>IFERROR(__xludf.DUMMYFUNCTION("""COMPUTED_VALUE"""),"Removed")</f>
        <v>Removed</v>
      </c>
      <c r="E386" s="279">
        <f>IFERROR(__xludf.DUMMYFUNCTION("""COMPUTED_VALUE"""),44642.0)</f>
        <v>44642</v>
      </c>
      <c r="F386" s="24">
        <f>IFERROR(__xludf.DUMMYFUNCTION("""COMPUTED_VALUE"""),45184.0)</f>
        <v>45184</v>
      </c>
      <c r="G386" s="27">
        <f>IFERROR(__xludf.DUMMYFUNCTION("""COMPUTED_VALUE"""),17.766666666666666)</f>
        <v>17.76666667</v>
      </c>
      <c r="H386" s="128">
        <f>IFERROR(__xludf.DUMMYFUNCTION("""COMPUTED_VALUE"""),44000.0)</f>
        <v>44000</v>
      </c>
      <c r="I386" s="27">
        <f>IFERROR(__xludf.DUMMYFUNCTION("""COMPUTED_VALUE"""),1.761111111111111)</f>
        <v>1.761111111</v>
      </c>
      <c r="J386" s="277">
        <f>IFERROR(__xludf.DUMMYFUNCTION("""COMPUTED_VALUE"""),82.0)</f>
        <v>82</v>
      </c>
      <c r="K386" s="277">
        <f>IFERROR(__xludf.DUMMYFUNCTION("""COMPUTED_VALUE"""),13.5)</f>
        <v>13.5</v>
      </c>
      <c r="L386" s="31" t="str">
        <f>IFERROR(__xludf.DUMMYFUNCTION("""COMPUTED_VALUE"""),"RPG")</f>
        <v>RPG</v>
      </c>
    </row>
    <row r="387">
      <c r="A387" s="278" t="str">
        <f>IFERROR(__xludf.DUMMYFUNCTION("""COMPUTED_VALUE"""),"Aragami 2")</f>
        <v>Aragami 2</v>
      </c>
      <c r="B387" s="20" t="str">
        <f>IFERROR(__xludf.DUMMYFUNCTION("""COMPUTED_VALUE"""),"Xbox / PC")</f>
        <v>Xbox / PC</v>
      </c>
      <c r="C387" s="20" t="str">
        <f>IFERROR(__xludf.DUMMYFUNCTION("""COMPUTED_VALUE"""),"Touch Controls")</f>
        <v>Touch Controls</v>
      </c>
      <c r="D387" s="21" t="str">
        <f>IFERROR(__xludf.DUMMYFUNCTION("""COMPUTED_VALUE"""),"Removed")</f>
        <v>Removed</v>
      </c>
      <c r="E387" s="279">
        <f>IFERROR(__xludf.DUMMYFUNCTION("""COMPUTED_VALUE"""),44456.0)</f>
        <v>44456</v>
      </c>
      <c r="F387" s="24">
        <f>IFERROR(__xludf.DUMMYFUNCTION("""COMPUTED_VALUE"""),45184.0)</f>
        <v>45184</v>
      </c>
      <c r="G387" s="27">
        <f>IFERROR(__xludf.DUMMYFUNCTION("""COMPUTED_VALUE"""),23.933333333333334)</f>
        <v>23.93333333</v>
      </c>
      <c r="H387" s="128">
        <f>IFERROR(__xludf.DUMMYFUNCTION("""COMPUTED_VALUE"""),44456.0)</f>
        <v>44456</v>
      </c>
      <c r="I387" s="27">
        <f>IFERROR(__xludf.DUMMYFUNCTION("""COMPUTED_VALUE"""),0.0)</f>
        <v>0</v>
      </c>
      <c r="J387" s="277">
        <f>IFERROR(__xludf.DUMMYFUNCTION("""COMPUTED_VALUE"""),69.0)</f>
        <v>69</v>
      </c>
      <c r="K387" s="277">
        <f>IFERROR(__xludf.DUMMYFUNCTION("""COMPUTED_VALUE"""),13.5)</f>
        <v>13.5</v>
      </c>
      <c r="L387" s="275" t="str">
        <f>IFERROR(__xludf.DUMMYFUNCTION("""COMPUTED_VALUE"""),"Action")</f>
        <v>Action</v>
      </c>
    </row>
    <row r="388">
      <c r="A388" s="278" t="str">
        <f>IFERROR(__xludf.DUMMYFUNCTION("""COMPUTED_VALUE"""),"Commandos 3: HD Remaster")</f>
        <v>Commandos 3: HD Remaster</v>
      </c>
      <c r="B388" s="21" t="str">
        <f>IFERROR(__xludf.DUMMYFUNCTION("""COMPUTED_VALUE"""),"Xbox / PC")</f>
        <v>Xbox / PC</v>
      </c>
      <c r="C388" s="21" t="str">
        <f>IFERROR(__xludf.DUMMYFUNCTION("""COMPUTED_VALUE"""),"Yes")</f>
        <v>Yes</v>
      </c>
      <c r="D388" s="21" t="str">
        <f>IFERROR(__xludf.DUMMYFUNCTION("""COMPUTED_VALUE"""),"Removed")</f>
        <v>Removed</v>
      </c>
      <c r="E388" s="279">
        <f>IFERROR(__xludf.DUMMYFUNCTION("""COMPUTED_VALUE"""),44803.0)</f>
        <v>44803</v>
      </c>
      <c r="F388" s="24">
        <f>IFERROR(__xludf.DUMMYFUNCTION("""COMPUTED_VALUE"""),45169.0)</f>
        <v>45169</v>
      </c>
      <c r="G388" s="27">
        <f>IFERROR(__xludf.DUMMYFUNCTION("""COMPUTED_VALUE"""),12.0)</f>
        <v>12</v>
      </c>
      <c r="H388" s="128">
        <f>IFERROR(__xludf.DUMMYFUNCTION("""COMPUTED_VALUE"""),44803.0)</f>
        <v>44803</v>
      </c>
      <c r="I388" s="27">
        <f>IFERROR(__xludf.DUMMYFUNCTION("""COMPUTED_VALUE"""),0.0)</f>
        <v>0</v>
      </c>
      <c r="J388" s="277">
        <f>IFERROR(__xludf.DUMMYFUNCTION("""COMPUTED_VALUE"""),60.0)</f>
        <v>60</v>
      </c>
      <c r="K388" s="29">
        <f>IFERROR(__xludf.DUMMYFUNCTION("""COMPUTED_VALUE"""),10.0)</f>
        <v>10</v>
      </c>
      <c r="L388" s="275" t="str">
        <f>IFERROR(__xludf.DUMMYFUNCTION("""COMPUTED_VALUE"""),"Real-Time Strategy")</f>
        <v>Real-Time Strategy</v>
      </c>
    </row>
    <row r="389">
      <c r="A389" s="278" t="str">
        <f>IFERROR(__xludf.DUMMYFUNCTION("""COMPUTED_VALUE"""),"Immortality")</f>
        <v>Immortality</v>
      </c>
      <c r="B389" s="20" t="str">
        <f>IFERROR(__xludf.DUMMYFUNCTION("""COMPUTED_VALUE"""),"Xbox / PC")</f>
        <v>Xbox / PC</v>
      </c>
      <c r="C389" s="20" t="str">
        <f>IFERROR(__xludf.DUMMYFUNCTION("""COMPUTED_VALUE"""),"Yes")</f>
        <v>Yes</v>
      </c>
      <c r="D389" s="21" t="str">
        <f>IFERROR(__xludf.DUMMYFUNCTION("""COMPUTED_VALUE"""),"Removed")</f>
        <v>Removed</v>
      </c>
      <c r="E389" s="279">
        <f>IFERROR(__xludf.DUMMYFUNCTION("""COMPUTED_VALUE"""),44803.0)</f>
        <v>44803</v>
      </c>
      <c r="F389" s="24">
        <f>IFERROR(__xludf.DUMMYFUNCTION("""COMPUTED_VALUE"""),45169.0)</f>
        <v>45169</v>
      </c>
      <c r="G389" s="27">
        <f>IFERROR(__xludf.DUMMYFUNCTION("""COMPUTED_VALUE"""),12.0)</f>
        <v>12</v>
      </c>
      <c r="H389" s="128">
        <f>IFERROR(__xludf.DUMMYFUNCTION("""COMPUTED_VALUE"""),44803.0)</f>
        <v>44803</v>
      </c>
      <c r="I389" s="27">
        <f>IFERROR(__xludf.DUMMYFUNCTION("""COMPUTED_VALUE"""),0.0)</f>
        <v>0</v>
      </c>
      <c r="J389" s="277">
        <f>IFERROR(__xludf.DUMMYFUNCTION("""COMPUTED_VALUE"""),91.0)</f>
        <v>91</v>
      </c>
      <c r="K389" s="29">
        <f>IFERROR(__xludf.DUMMYFUNCTION("""COMPUTED_VALUE"""),5.0)</f>
        <v>5</v>
      </c>
      <c r="L389" s="275" t="str">
        <f>IFERROR(__xludf.DUMMYFUNCTION("""COMPUTED_VALUE"""),"Adventure")</f>
        <v>Adventure</v>
      </c>
    </row>
    <row r="390">
      <c r="A390" s="278" t="str">
        <f>IFERROR(__xludf.DUMMYFUNCTION("""COMPUTED_VALUE"""),"Tinykin")</f>
        <v>Tinykin</v>
      </c>
      <c r="B390" s="21" t="str">
        <f>IFERROR(__xludf.DUMMYFUNCTION("""COMPUTED_VALUE"""),"Xbox / PC")</f>
        <v>Xbox / PC</v>
      </c>
      <c r="C390" s="21"/>
      <c r="D390" s="21" t="str">
        <f>IFERROR(__xludf.DUMMYFUNCTION("""COMPUTED_VALUE"""),"Removed")</f>
        <v>Removed</v>
      </c>
      <c r="E390" s="279">
        <f>IFERROR(__xludf.DUMMYFUNCTION("""COMPUTED_VALUE"""),44803.0)</f>
        <v>44803</v>
      </c>
      <c r="F390" s="279">
        <f>IFERROR(__xludf.DUMMYFUNCTION("""COMPUTED_VALUE"""),45169.0)</f>
        <v>45169</v>
      </c>
      <c r="G390" s="27">
        <f>IFERROR(__xludf.DUMMYFUNCTION("""COMPUTED_VALUE"""),12.0)</f>
        <v>12</v>
      </c>
      <c r="H390" s="128">
        <f>IFERROR(__xludf.DUMMYFUNCTION("""COMPUTED_VALUE"""),44803.0)</f>
        <v>44803</v>
      </c>
      <c r="I390" s="27">
        <f>IFERROR(__xludf.DUMMYFUNCTION("""COMPUTED_VALUE"""),0.0)</f>
        <v>0</v>
      </c>
      <c r="J390" s="29">
        <f>IFERROR(__xludf.DUMMYFUNCTION("""COMPUTED_VALUE"""),81.0)</f>
        <v>81</v>
      </c>
      <c r="K390" s="29">
        <f>IFERROR(__xludf.DUMMYFUNCTION("""COMPUTED_VALUE"""),6.0)</f>
        <v>6</v>
      </c>
      <c r="L390" s="275" t="str">
        <f>IFERROR(__xludf.DUMMYFUNCTION("""COMPUTED_VALUE"""),"Platformer")</f>
        <v>Platformer</v>
      </c>
    </row>
    <row r="391">
      <c r="A391" s="278" t="str">
        <f>IFERROR(__xludf.DUMMYFUNCTION("""COMPUTED_VALUE"""),"Nuclear Throne")</f>
        <v>Nuclear Throne</v>
      </c>
      <c r="B391" s="20" t="str">
        <f>IFERROR(__xludf.DUMMYFUNCTION("""COMPUTED_VALUE"""),"Xbox / PC")</f>
        <v>Xbox / PC</v>
      </c>
      <c r="C391" s="20" t="str">
        <f>IFERROR(__xludf.DUMMYFUNCTION("""COMPUTED_VALUE"""),"Yes")</f>
        <v>Yes</v>
      </c>
      <c r="D391" s="21" t="str">
        <f>IFERROR(__xludf.DUMMYFUNCTION("""COMPUTED_VALUE"""),"Removed")</f>
        <v>Removed</v>
      </c>
      <c r="E391" s="279">
        <f>IFERROR(__xludf.DUMMYFUNCTION("""COMPUTED_VALUE"""),44448.0)</f>
        <v>44448</v>
      </c>
      <c r="F391" s="24">
        <f>IFERROR(__xludf.DUMMYFUNCTION("""COMPUTED_VALUE"""),45169.0)</f>
        <v>45169</v>
      </c>
      <c r="G391" s="27">
        <f>IFERROR(__xludf.DUMMYFUNCTION("""COMPUTED_VALUE"""),23.700000000000003)</f>
        <v>23.7</v>
      </c>
      <c r="H391" s="128">
        <f>IFERROR(__xludf.DUMMYFUNCTION("""COMPUTED_VALUE"""),42343.0)</f>
        <v>42343</v>
      </c>
      <c r="I391" s="27">
        <f>IFERROR(__xludf.DUMMYFUNCTION("""COMPUTED_VALUE"""),5.761111111111111)</f>
        <v>5.761111111</v>
      </c>
      <c r="J391" s="277">
        <f>IFERROR(__xludf.DUMMYFUNCTION("""COMPUTED_VALUE"""),89.0)</f>
        <v>89</v>
      </c>
      <c r="K391" s="29">
        <f>IFERROR(__xludf.DUMMYFUNCTION("""COMPUTED_VALUE"""),15.5)</f>
        <v>15.5</v>
      </c>
      <c r="L391" s="31" t="str">
        <f>IFERROR(__xludf.DUMMYFUNCTION("""COMPUTED_VALUE"""),"Shooter")</f>
        <v>Shooter</v>
      </c>
    </row>
    <row r="392">
      <c r="A392" s="17" t="str">
        <f>IFERROR(__xludf.DUMMYFUNCTION("""COMPUTED_VALUE"""),"Surgeon Simulator 2: Access All Areas")</f>
        <v>Surgeon Simulator 2: Access All Areas</v>
      </c>
      <c r="B392" s="20" t="str">
        <f>IFERROR(__xludf.DUMMYFUNCTION("""COMPUTED_VALUE"""),"Xbox / PC")</f>
        <v>Xbox / PC</v>
      </c>
      <c r="C392" s="21" t="str">
        <f>IFERROR(__xludf.DUMMYFUNCTION("""COMPUTED_VALUE"""),"Yes")</f>
        <v>Yes</v>
      </c>
      <c r="D392" s="21" t="str">
        <f>IFERROR(__xludf.DUMMYFUNCTION("""COMPUTED_VALUE"""),"Removed")</f>
        <v>Removed</v>
      </c>
      <c r="E392" s="279">
        <f>IFERROR(__xludf.DUMMYFUNCTION("""COMPUTED_VALUE"""),44441.0)</f>
        <v>44441</v>
      </c>
      <c r="F392" s="23">
        <f>IFERROR(__xludf.DUMMYFUNCTION("""COMPUTED_VALUE"""),45169.0)</f>
        <v>45169</v>
      </c>
      <c r="G392" s="27">
        <f>IFERROR(__xludf.DUMMYFUNCTION("""COMPUTED_VALUE"""),23.933333333333334)</f>
        <v>23.93333333</v>
      </c>
      <c r="H392" s="128">
        <f>IFERROR(__xludf.DUMMYFUNCTION("""COMPUTED_VALUE"""),44070.0)</f>
        <v>44070</v>
      </c>
      <c r="I392" s="27">
        <f>IFERROR(__xludf.DUMMYFUNCTION("""COMPUTED_VALUE"""),1.0138888888888888)</f>
        <v>1.013888889</v>
      </c>
      <c r="J392" s="29">
        <f>IFERROR(__xludf.DUMMYFUNCTION("""COMPUTED_VALUE"""),69.0)</f>
        <v>69</v>
      </c>
      <c r="K392" s="29">
        <f>IFERROR(__xludf.DUMMYFUNCTION("""COMPUTED_VALUE"""),4.0)</f>
        <v>4</v>
      </c>
      <c r="L392" s="31" t="str">
        <f>IFERROR(__xludf.DUMMYFUNCTION("""COMPUTED_VALUE"""),"Simulation")</f>
        <v>Simulation</v>
      </c>
    </row>
    <row r="393">
      <c r="A393" s="278" t="str">
        <f>IFERROR(__xludf.DUMMYFUNCTION("""COMPUTED_VALUE"""),"Black Desert")</f>
        <v>Black Desert</v>
      </c>
      <c r="B393" s="21" t="str">
        <f>IFERROR(__xludf.DUMMYFUNCTION("""COMPUTED_VALUE"""),"Xbox")</f>
        <v>Xbox</v>
      </c>
      <c r="C393" s="21" t="str">
        <f>IFERROR(__xludf.DUMMYFUNCTION("""COMPUTED_VALUE"""),"Yes")</f>
        <v>Yes</v>
      </c>
      <c r="D393" s="21" t="str">
        <f>IFERROR(__xludf.DUMMYFUNCTION("""COMPUTED_VALUE"""),"Removed")</f>
        <v>Removed</v>
      </c>
      <c r="E393" s="279">
        <f>IFERROR(__xludf.DUMMYFUNCTION("""COMPUTED_VALUE"""),43594.0)</f>
        <v>43594</v>
      </c>
      <c r="F393" s="24">
        <f>IFERROR(__xludf.DUMMYFUNCTION("""COMPUTED_VALUE"""),45169.0)</f>
        <v>45169</v>
      </c>
      <c r="G393" s="27">
        <f>IFERROR(__xludf.DUMMYFUNCTION("""COMPUTED_VALUE"""),51.7)</f>
        <v>51.7</v>
      </c>
      <c r="H393" s="128">
        <f>IFERROR(__xludf.DUMMYFUNCTION("""COMPUTED_VALUE"""),42432.0)</f>
        <v>42432</v>
      </c>
      <c r="I393" s="27">
        <f>IFERROR(__xludf.DUMMYFUNCTION("""COMPUTED_VALUE"""),3.183333333333333)</f>
        <v>3.183333333</v>
      </c>
      <c r="J393" s="277">
        <f>IFERROR(__xludf.DUMMYFUNCTION("""COMPUTED_VALUE"""),75.0)</f>
        <v>75</v>
      </c>
      <c r="K393" s="29">
        <f>IFERROR(__xludf.DUMMYFUNCTION("""COMPUTED_VALUE"""),72.0)</f>
        <v>72</v>
      </c>
      <c r="L393" s="275" t="str">
        <f>IFERROR(__xludf.DUMMYFUNCTION("""COMPUTED_VALUE"""),"MMORPG")</f>
        <v>MMORPG</v>
      </c>
    </row>
    <row r="394">
      <c r="A394" s="278" t="str">
        <f>IFERROR(__xludf.DUMMYFUNCTION("""COMPUTED_VALUE"""),"DEATH STRANDING")</f>
        <v>DEATH STRANDING</v>
      </c>
      <c r="B394" s="20" t="str">
        <f>IFERROR(__xludf.DUMMYFUNCTION("""COMPUTED_VALUE"""),"PC")</f>
        <v>PC</v>
      </c>
      <c r="C394" s="20"/>
      <c r="D394" s="21" t="str">
        <f>IFERROR(__xludf.DUMMYFUNCTION("""COMPUTED_VALUE"""),"Removed")</f>
        <v>Removed</v>
      </c>
      <c r="E394" s="279">
        <f>IFERROR(__xludf.DUMMYFUNCTION("""COMPUTED_VALUE"""),44796.0)</f>
        <v>44796</v>
      </c>
      <c r="F394" s="276">
        <f>IFERROR(__xludf.DUMMYFUNCTION("""COMPUTED_VALUE"""),45153.0)</f>
        <v>45153</v>
      </c>
      <c r="G394" s="27">
        <f>IFERROR(__xludf.DUMMYFUNCTION("""COMPUTED_VALUE"""),11.733333333333333)</f>
        <v>11.73333333</v>
      </c>
      <c r="H394" s="128">
        <f>IFERROR(__xludf.DUMMYFUNCTION("""COMPUTED_VALUE"""),43777.0)</f>
        <v>43777</v>
      </c>
      <c r="I394" s="27">
        <f>IFERROR(__xludf.DUMMYFUNCTION("""COMPUTED_VALUE"""),2.7916666666666665)</f>
        <v>2.791666667</v>
      </c>
      <c r="J394" s="277">
        <f>IFERROR(__xludf.DUMMYFUNCTION("""COMPUTED_VALUE"""),86.0)</f>
        <v>86</v>
      </c>
      <c r="K394" s="277">
        <f>IFERROR(__xludf.DUMMYFUNCTION("""COMPUTED_VALUE"""),40.5)</f>
        <v>40.5</v>
      </c>
      <c r="L394" s="275" t="str">
        <f>IFERROR(__xludf.DUMMYFUNCTION("""COMPUTED_VALUE"""),"Action-Adventure")</f>
        <v>Action-Adventure</v>
      </c>
    </row>
    <row r="395">
      <c r="A395" s="278" t="str">
        <f>IFERROR(__xludf.DUMMYFUNCTION("""COMPUTED_VALUE"""),"Midnight Fight Express")</f>
        <v>Midnight Fight Express</v>
      </c>
      <c r="B395" s="20" t="str">
        <f>IFERROR(__xludf.DUMMYFUNCTION("""COMPUTED_VALUE"""),"Xbox / PC")</f>
        <v>Xbox / PC</v>
      </c>
      <c r="C395" s="20" t="str">
        <f>IFERROR(__xludf.DUMMYFUNCTION("""COMPUTED_VALUE"""),"Yes")</f>
        <v>Yes</v>
      </c>
      <c r="D395" s="21" t="str">
        <f>IFERROR(__xludf.DUMMYFUNCTION("""COMPUTED_VALUE"""),"Removed")</f>
        <v>Removed</v>
      </c>
      <c r="E395" s="279">
        <f>IFERROR(__xludf.DUMMYFUNCTION("""COMPUTED_VALUE"""),44796.0)</f>
        <v>44796</v>
      </c>
      <c r="F395" s="24">
        <f>IFERROR(__xludf.DUMMYFUNCTION("""COMPUTED_VALUE"""),45153.0)</f>
        <v>45153</v>
      </c>
      <c r="G395" s="27">
        <f>IFERROR(__xludf.DUMMYFUNCTION("""COMPUTED_VALUE"""),11.733333333333333)</f>
        <v>11.73333333</v>
      </c>
      <c r="H395" s="128">
        <f>IFERROR(__xludf.DUMMYFUNCTION("""COMPUTED_VALUE"""),44796.0)</f>
        <v>44796</v>
      </c>
      <c r="I395" s="27">
        <f>IFERROR(__xludf.DUMMYFUNCTION("""COMPUTED_VALUE"""),0.0)</f>
        <v>0</v>
      </c>
      <c r="J395" s="277">
        <f>IFERROR(__xludf.DUMMYFUNCTION("""COMPUTED_VALUE"""),75.0)</f>
        <v>75</v>
      </c>
      <c r="K395" s="29">
        <f>IFERROR(__xludf.DUMMYFUNCTION("""COMPUTED_VALUE"""),5.0)</f>
        <v>5</v>
      </c>
      <c r="L395" s="275" t="str">
        <f>IFERROR(__xludf.DUMMYFUNCTION("""COMPUTED_VALUE"""),"Action")</f>
        <v>Action</v>
      </c>
    </row>
    <row r="396">
      <c r="A396" s="278" t="str">
        <f>IFERROR(__xludf.DUMMYFUNCTION("""COMPUTED_VALUE"""),"Total War: Warhammer III")</f>
        <v>Total War: Warhammer III</v>
      </c>
      <c r="B396" s="20" t="str">
        <f>IFERROR(__xludf.DUMMYFUNCTION("""COMPUTED_VALUE"""),"PC")</f>
        <v>PC</v>
      </c>
      <c r="C396" s="20"/>
      <c r="D396" s="21" t="str">
        <f>IFERROR(__xludf.DUMMYFUNCTION("""COMPUTED_VALUE"""),"Removed")</f>
        <v>Removed</v>
      </c>
      <c r="E396" s="279">
        <f>IFERROR(__xludf.DUMMYFUNCTION("""COMPUTED_VALUE"""),44609.0)</f>
        <v>44609</v>
      </c>
      <c r="F396" s="24">
        <f>IFERROR(__xludf.DUMMYFUNCTION("""COMPUTED_VALUE"""),45153.0)</f>
        <v>45153</v>
      </c>
      <c r="G396" s="27">
        <f>IFERROR(__xludf.DUMMYFUNCTION("""COMPUTED_VALUE"""),17.933333333333334)</f>
        <v>17.93333333</v>
      </c>
      <c r="H396" s="128">
        <f>IFERROR(__xludf.DUMMYFUNCTION("""COMPUTED_VALUE"""),44609.0)</f>
        <v>44609</v>
      </c>
      <c r="I396" s="27">
        <f>IFERROR(__xludf.DUMMYFUNCTION("""COMPUTED_VALUE"""),0.0)</f>
        <v>0</v>
      </c>
      <c r="J396" s="277">
        <f>IFERROR(__xludf.DUMMYFUNCTION("""COMPUTED_VALUE"""),88.0)</f>
        <v>88</v>
      </c>
      <c r="K396" s="277">
        <f>IFERROR(__xludf.DUMMYFUNCTION("""COMPUTED_VALUE"""),28.5)</f>
        <v>28.5</v>
      </c>
      <c r="L396" s="275" t="str">
        <f>IFERROR(__xludf.DUMMYFUNCTION("""COMPUTED_VALUE"""),"Strategy")</f>
        <v>Strategy</v>
      </c>
    </row>
    <row r="397">
      <c r="A397" s="278" t="str">
        <f>IFERROR(__xludf.DUMMYFUNCTION("""COMPUTED_VALUE"""),"Edge of Eternity")</f>
        <v>Edge of Eternity</v>
      </c>
      <c r="B397" s="20" t="str">
        <f>IFERROR(__xludf.DUMMYFUNCTION("""COMPUTED_VALUE"""),"Xbox / PC")</f>
        <v>Xbox / PC</v>
      </c>
      <c r="C397" s="21" t="str">
        <f>IFERROR(__xludf.DUMMYFUNCTION("""COMPUTED_VALUE"""),"Touch Controls")</f>
        <v>Touch Controls</v>
      </c>
      <c r="D397" s="21" t="str">
        <f>IFERROR(__xludf.DUMMYFUNCTION("""COMPUTED_VALUE"""),"Removed")</f>
        <v>Removed</v>
      </c>
      <c r="E397" s="279">
        <f>IFERROR(__xludf.DUMMYFUNCTION("""COMPUTED_VALUE"""),44602.0)</f>
        <v>44602</v>
      </c>
      <c r="F397" s="276">
        <f>IFERROR(__xludf.DUMMYFUNCTION("""COMPUTED_VALUE"""),45153.0)</f>
        <v>45153</v>
      </c>
      <c r="G397" s="27">
        <f>IFERROR(__xludf.DUMMYFUNCTION("""COMPUTED_VALUE"""),18.166666666666664)</f>
        <v>18.16666667</v>
      </c>
      <c r="H397" s="128">
        <f>IFERROR(__xludf.DUMMYFUNCTION("""COMPUTED_VALUE"""),43439.0)</f>
        <v>43439</v>
      </c>
      <c r="I397" s="27">
        <f>IFERROR(__xludf.DUMMYFUNCTION("""COMPUTED_VALUE"""),3.1805555555555554)</f>
        <v>3.180555556</v>
      </c>
      <c r="J397" s="277">
        <f>IFERROR(__xludf.DUMMYFUNCTION("""COMPUTED_VALUE"""),67.0)</f>
        <v>67</v>
      </c>
      <c r="K397" s="277">
        <f>IFERROR(__xludf.DUMMYFUNCTION("""COMPUTED_VALUE"""),30.5)</f>
        <v>30.5</v>
      </c>
      <c r="L397" s="275" t="str">
        <f>IFERROR(__xludf.DUMMYFUNCTION("""COMPUTED_VALUE"""),"RPG")</f>
        <v>RPG</v>
      </c>
    </row>
    <row r="398">
      <c r="A398" s="278" t="str">
        <f>IFERROR(__xludf.DUMMYFUNCTION("""COMPUTED_VALUE"""),"Expeditions: Rome")</f>
        <v>Expeditions: Rome</v>
      </c>
      <c r="B398" s="20" t="str">
        <f>IFERROR(__xludf.DUMMYFUNCTION("""COMPUTED_VALUE"""),"PC")</f>
        <v>PC</v>
      </c>
      <c r="C398" s="20"/>
      <c r="D398" s="21" t="str">
        <f>IFERROR(__xludf.DUMMYFUNCTION("""COMPUTED_VALUE"""),"Removed")</f>
        <v>Removed</v>
      </c>
      <c r="E398" s="279">
        <f>IFERROR(__xludf.DUMMYFUNCTION("""COMPUTED_VALUE"""),44784.0)</f>
        <v>44784</v>
      </c>
      <c r="F398" s="24">
        <f>IFERROR(__xludf.DUMMYFUNCTION("""COMPUTED_VALUE"""),45138.0)</f>
        <v>45138</v>
      </c>
      <c r="G398" s="27">
        <f>IFERROR(__xludf.DUMMYFUNCTION("""COMPUTED_VALUE"""),11.633333333333333)</f>
        <v>11.63333333</v>
      </c>
      <c r="H398" s="128">
        <f>IFERROR(__xludf.DUMMYFUNCTION("""COMPUTED_VALUE"""),44581.0)</f>
        <v>44581</v>
      </c>
      <c r="I398" s="27">
        <f>IFERROR(__xludf.DUMMYFUNCTION("""COMPUTED_VALUE"""),0.5583333333333333)</f>
        <v>0.5583333333</v>
      </c>
      <c r="J398" s="277">
        <f>IFERROR(__xludf.DUMMYFUNCTION("""COMPUTED_VALUE"""),80.0)</f>
        <v>80</v>
      </c>
      <c r="K398" s="29">
        <f>IFERROR(__xludf.DUMMYFUNCTION("""COMPUTED_VALUE"""),39.0)</f>
        <v>39</v>
      </c>
      <c r="L398" s="275" t="str">
        <f>IFERROR(__xludf.DUMMYFUNCTION("""COMPUTED_VALUE"""),"RPG")</f>
        <v>RPG</v>
      </c>
    </row>
    <row r="399">
      <c r="A399" s="278" t="str">
        <f>IFERROR(__xludf.DUMMYFUNCTION("""COMPUTED_VALUE"""),"Two Point Campus")</f>
        <v>Two Point Campus</v>
      </c>
      <c r="B399" s="20" t="str">
        <f>IFERROR(__xludf.DUMMYFUNCTION("""COMPUTED_VALUE"""),"Xbox / PC")</f>
        <v>Xbox / PC</v>
      </c>
      <c r="C399" s="20" t="str">
        <f>IFERROR(__xludf.DUMMYFUNCTION("""COMPUTED_VALUE"""),"Touch Controls")</f>
        <v>Touch Controls</v>
      </c>
      <c r="D399" s="21" t="str">
        <f>IFERROR(__xludf.DUMMYFUNCTION("""COMPUTED_VALUE"""),"Removed")</f>
        <v>Removed</v>
      </c>
      <c r="E399" s="279">
        <f>IFERROR(__xludf.DUMMYFUNCTION("""COMPUTED_VALUE"""),44782.0)</f>
        <v>44782</v>
      </c>
      <c r="F399" s="24">
        <f>IFERROR(__xludf.DUMMYFUNCTION("""COMPUTED_VALUE"""),45138.0)</f>
        <v>45138</v>
      </c>
      <c r="G399" s="27">
        <f>IFERROR(__xludf.DUMMYFUNCTION("""COMPUTED_VALUE"""),11.7)</f>
        <v>11.7</v>
      </c>
      <c r="H399" s="128">
        <f>IFERROR(__xludf.DUMMYFUNCTION("""COMPUTED_VALUE"""),44782.0)</f>
        <v>44782</v>
      </c>
      <c r="I399" s="27">
        <f>IFERROR(__xludf.DUMMYFUNCTION("""COMPUTED_VALUE"""),0.0)</f>
        <v>0</v>
      </c>
      <c r="J399" s="277">
        <f>IFERROR(__xludf.DUMMYFUNCTION("""COMPUTED_VALUE"""),84.0)</f>
        <v>84</v>
      </c>
      <c r="K399" s="29">
        <f>IFERROR(__xludf.DUMMYFUNCTION("""COMPUTED_VALUE"""),27.0)</f>
        <v>27</v>
      </c>
      <c r="L399" s="286" t="str">
        <f>IFERROR(__xludf.DUMMYFUNCTION("""COMPUTED_VALUE"""),"Simulation")</f>
        <v>Simulation</v>
      </c>
    </row>
    <row r="400">
      <c r="A400" s="278" t="str">
        <f>IFERROR(__xludf.DUMMYFUNCTION("""COMPUTED_VALUE"""),"Dreamscaper")</f>
        <v>Dreamscaper</v>
      </c>
      <c r="B400" s="20" t="str">
        <f>IFERROR(__xludf.DUMMYFUNCTION("""COMPUTED_VALUE"""),"Xbox / PC")</f>
        <v>Xbox / PC</v>
      </c>
      <c r="C400" s="20" t="str">
        <f>IFERROR(__xludf.DUMMYFUNCTION("""COMPUTED_VALUE"""),"Touch Controls")</f>
        <v>Touch Controls</v>
      </c>
      <c r="D400" s="21" t="str">
        <f>IFERROR(__xludf.DUMMYFUNCTION("""COMPUTED_VALUE"""),"Removed")</f>
        <v>Removed</v>
      </c>
      <c r="E400" s="279">
        <f>IFERROR(__xludf.DUMMYFUNCTION("""COMPUTED_VALUE"""),44595.0)</f>
        <v>44595</v>
      </c>
      <c r="F400" s="24">
        <f>IFERROR(__xludf.DUMMYFUNCTION("""COMPUTED_VALUE"""),45138.0)</f>
        <v>45138</v>
      </c>
      <c r="G400" s="27">
        <f>IFERROR(__xludf.DUMMYFUNCTION("""COMPUTED_VALUE"""),17.9)</f>
        <v>17.9</v>
      </c>
      <c r="H400" s="128">
        <f>IFERROR(__xludf.DUMMYFUNCTION("""COMPUTED_VALUE"""),44057.0)</f>
        <v>44057</v>
      </c>
      <c r="I400" s="27">
        <f>IFERROR(__xludf.DUMMYFUNCTION("""COMPUTED_VALUE"""),1.4694444444444446)</f>
        <v>1.469444444</v>
      </c>
      <c r="J400" s="277">
        <f>IFERROR(__xludf.DUMMYFUNCTION("""COMPUTED_VALUE"""),80.0)</f>
        <v>80</v>
      </c>
      <c r="K400" s="277">
        <f>IFERROR(__xludf.DUMMYFUNCTION("""COMPUTED_VALUE"""),12.0)</f>
        <v>12</v>
      </c>
      <c r="L400" s="275" t="str">
        <f>IFERROR(__xludf.DUMMYFUNCTION("""COMPUTED_VALUE"""),"RPG")</f>
        <v>RPG</v>
      </c>
    </row>
    <row r="401">
      <c r="A401" s="278" t="str">
        <f>IFERROR(__xludf.DUMMYFUNCTION("""COMPUTED_VALUE"""),"Marvel's Avengers")</f>
        <v>Marvel's Avengers</v>
      </c>
      <c r="B401" s="20" t="str">
        <f>IFERROR(__xludf.DUMMYFUNCTION("""COMPUTED_VALUE"""),"Xbox / PC")</f>
        <v>Xbox / PC</v>
      </c>
      <c r="C401" s="20" t="str">
        <f>IFERROR(__xludf.DUMMYFUNCTION("""COMPUTED_VALUE"""),"Yes")</f>
        <v>Yes</v>
      </c>
      <c r="D401" s="21" t="str">
        <f>IFERROR(__xludf.DUMMYFUNCTION("""COMPUTED_VALUE"""),"Removed")</f>
        <v>Removed</v>
      </c>
      <c r="E401" s="279">
        <f>IFERROR(__xludf.DUMMYFUNCTION("""COMPUTED_VALUE"""),44469.0)</f>
        <v>44469</v>
      </c>
      <c r="F401" s="276">
        <f>IFERROR(__xludf.DUMMYFUNCTION("""COMPUTED_VALUE"""),45138.0)</f>
        <v>45138</v>
      </c>
      <c r="G401" s="27">
        <f>IFERROR(__xludf.DUMMYFUNCTION("""COMPUTED_VALUE"""),22.0)</f>
        <v>22</v>
      </c>
      <c r="H401" s="128">
        <f>IFERROR(__xludf.DUMMYFUNCTION("""COMPUTED_VALUE"""),44078.0)</f>
        <v>44078</v>
      </c>
      <c r="I401" s="27">
        <f>IFERROR(__xludf.DUMMYFUNCTION("""COMPUTED_VALUE"""),1.0722222222222222)</f>
        <v>1.072222222</v>
      </c>
      <c r="J401" s="277">
        <f>IFERROR(__xludf.DUMMYFUNCTION("""COMPUTED_VALUE"""),67.0)</f>
        <v>67</v>
      </c>
      <c r="K401" s="29">
        <f>IFERROR(__xludf.DUMMYFUNCTION("""COMPUTED_VALUE"""),11.5)</f>
        <v>11.5</v>
      </c>
      <c r="L401" s="275" t="str">
        <f>IFERROR(__xludf.DUMMYFUNCTION("""COMPUTED_VALUE"""),"RPG")</f>
        <v>RPG</v>
      </c>
    </row>
    <row r="402">
      <c r="A402" s="278" t="str">
        <f>IFERROR(__xludf.DUMMYFUNCTION("""COMPUTED_VALUE"""),"PAW Patrol The Movie: Adventure City Calls")</f>
        <v>PAW Patrol The Movie: Adventure City Calls</v>
      </c>
      <c r="B402" s="20" t="str">
        <f>IFERROR(__xludf.DUMMYFUNCTION("""COMPUTED_VALUE"""),"Xbox / PC")</f>
        <v>Xbox / PC</v>
      </c>
      <c r="C402" s="20" t="str">
        <f>IFERROR(__xludf.DUMMYFUNCTION("""COMPUTED_VALUE"""),"Touch Controls")</f>
        <v>Touch Controls</v>
      </c>
      <c r="D402" s="21" t="str">
        <f>IFERROR(__xludf.DUMMYFUNCTION("""COMPUTED_VALUE"""),"Removed")</f>
        <v>Removed</v>
      </c>
      <c r="E402" s="279">
        <f>IFERROR(__xludf.DUMMYFUNCTION("""COMPUTED_VALUE"""),44756.0)</f>
        <v>44756</v>
      </c>
      <c r="F402" s="24">
        <f>IFERROR(__xludf.DUMMYFUNCTION("""COMPUTED_VALUE"""),45122.0)</f>
        <v>45122</v>
      </c>
      <c r="G402" s="27">
        <f>IFERROR(__xludf.DUMMYFUNCTION("""COMPUTED_VALUE"""),12.033333333333333)</f>
        <v>12.03333333</v>
      </c>
      <c r="H402" s="128">
        <f>IFERROR(__xludf.DUMMYFUNCTION("""COMPUTED_VALUE"""),44421.0)</f>
        <v>44421</v>
      </c>
      <c r="I402" s="27">
        <f>IFERROR(__xludf.DUMMYFUNCTION("""COMPUTED_VALUE"""),0.9194444444444444)</f>
        <v>0.9194444444</v>
      </c>
      <c r="J402" s="277">
        <f>IFERROR(__xludf.DUMMYFUNCTION("""COMPUTED_VALUE"""),40.0)</f>
        <v>40</v>
      </c>
      <c r="K402" s="277">
        <f>IFERROR(__xludf.DUMMYFUNCTION("""COMPUTED_VALUE"""),2.0)</f>
        <v>2</v>
      </c>
      <c r="L402" s="275" t="str">
        <f>IFERROR(__xludf.DUMMYFUNCTION("""COMPUTED_VALUE"""),"Action")</f>
        <v>Action</v>
      </c>
    </row>
    <row r="403">
      <c r="A403" s="278" t="str">
        <f>IFERROR(__xludf.DUMMYFUNCTION("""COMPUTED_VALUE"""),"Spelunky 2")</f>
        <v>Spelunky 2</v>
      </c>
      <c r="B403" s="20" t="str">
        <f>IFERROR(__xludf.DUMMYFUNCTION("""COMPUTED_VALUE"""),"Xbox / PC")</f>
        <v>Xbox / PC</v>
      </c>
      <c r="C403" s="20" t="str">
        <f>IFERROR(__xludf.DUMMYFUNCTION("""COMPUTED_VALUE"""),"Touch Controls")</f>
        <v>Touch Controls</v>
      </c>
      <c r="D403" s="21" t="str">
        <f>IFERROR(__xludf.DUMMYFUNCTION("""COMPUTED_VALUE"""),"Removed")</f>
        <v>Removed</v>
      </c>
      <c r="E403" s="279">
        <f>IFERROR(__xludf.DUMMYFUNCTION("""COMPUTED_VALUE"""),44574.0)</f>
        <v>44574</v>
      </c>
      <c r="F403" s="276">
        <f>IFERROR(__xludf.DUMMYFUNCTION("""COMPUTED_VALUE"""),45122.0)</f>
        <v>45122</v>
      </c>
      <c r="G403" s="27">
        <f>IFERROR(__xludf.DUMMYFUNCTION("""COMPUTED_VALUE"""),18.066666666666666)</f>
        <v>18.06666667</v>
      </c>
      <c r="H403" s="128">
        <f>IFERROR(__xludf.DUMMYFUNCTION("""COMPUTED_VALUE"""),44089.0)</f>
        <v>44089</v>
      </c>
      <c r="I403" s="27">
        <f>IFERROR(__xludf.DUMMYFUNCTION("""COMPUTED_VALUE"""),1.3277777777777777)</f>
        <v>1.327777778</v>
      </c>
      <c r="J403" s="277">
        <f>IFERROR(__xludf.DUMMYFUNCTION("""COMPUTED_VALUE"""),89.0)</f>
        <v>89</v>
      </c>
      <c r="K403" s="277">
        <f>IFERROR(__xludf.DUMMYFUNCTION("""COMPUTED_VALUE"""),28.0)</f>
        <v>28</v>
      </c>
      <c r="L403" s="31" t="str">
        <f>IFERROR(__xludf.DUMMYFUNCTION("""COMPUTED_VALUE"""),"Platformer")</f>
        <v>Platformer</v>
      </c>
    </row>
    <row r="404">
      <c r="A404" s="278" t="str">
        <f>IFERROR(__xludf.DUMMYFUNCTION("""COMPUTED_VALUE"""),"Exo One")</f>
        <v>Exo One</v>
      </c>
      <c r="B404" s="20" t="str">
        <f>IFERROR(__xludf.DUMMYFUNCTION("""COMPUTED_VALUE"""),"Xbox / PC")</f>
        <v>Xbox / PC</v>
      </c>
      <c r="C404" s="20" t="str">
        <f>IFERROR(__xludf.DUMMYFUNCTION("""COMPUTED_VALUE"""),"Touch Controls")</f>
        <v>Touch Controls</v>
      </c>
      <c r="D404" s="21" t="str">
        <f>IFERROR(__xludf.DUMMYFUNCTION("""COMPUTED_VALUE"""),"Removed")</f>
        <v>Removed</v>
      </c>
      <c r="E404" s="279">
        <f>IFERROR(__xludf.DUMMYFUNCTION("""COMPUTED_VALUE"""),44518.0)</f>
        <v>44518</v>
      </c>
      <c r="F404" s="24">
        <f>IFERROR(__xludf.DUMMYFUNCTION("""COMPUTED_VALUE"""),45122.0)</f>
        <v>45122</v>
      </c>
      <c r="G404" s="27">
        <f>IFERROR(__xludf.DUMMYFUNCTION("""COMPUTED_VALUE"""),19.900000000000002)</f>
        <v>19.9</v>
      </c>
      <c r="H404" s="128">
        <f>IFERROR(__xludf.DUMMYFUNCTION("""COMPUTED_VALUE"""),44518.0)</f>
        <v>44518</v>
      </c>
      <c r="I404" s="27">
        <f>IFERROR(__xludf.DUMMYFUNCTION("""COMPUTED_VALUE"""),0.0)</f>
        <v>0</v>
      </c>
      <c r="J404" s="277">
        <f>IFERROR(__xludf.DUMMYFUNCTION("""COMPUTED_VALUE"""),79.5)</f>
        <v>79.5</v>
      </c>
      <c r="K404" s="277">
        <f>IFERROR(__xludf.DUMMYFUNCTION("""COMPUTED_VALUE"""),2.0)</f>
        <v>2</v>
      </c>
      <c r="L404" s="31" t="str">
        <f>IFERROR(__xludf.DUMMYFUNCTION("""COMPUTED_VALUE"""),"Adventure")</f>
        <v>Adventure</v>
      </c>
    </row>
    <row r="405">
      <c r="A405" s="278" t="str">
        <f>IFERROR(__xludf.DUMMYFUNCTION("""COMPUTED_VALUE"""),"DJMax Respect V")</f>
        <v>DJMax Respect V</v>
      </c>
      <c r="B405" s="20" t="str">
        <f>IFERROR(__xludf.DUMMYFUNCTION("""COMPUTED_VALUE"""),"Xbox / PC")</f>
        <v>Xbox / PC</v>
      </c>
      <c r="C405" s="21" t="str">
        <f>IFERROR(__xludf.DUMMYFUNCTION("""COMPUTED_VALUE"""),"Yes")</f>
        <v>Yes</v>
      </c>
      <c r="D405" s="21" t="str">
        <f>IFERROR(__xludf.DUMMYFUNCTION("""COMPUTED_VALUE"""),"Removed")</f>
        <v>Removed</v>
      </c>
      <c r="E405" s="279">
        <f>IFERROR(__xludf.DUMMYFUNCTION("""COMPUTED_VALUE"""),44749.0)</f>
        <v>44749</v>
      </c>
      <c r="F405" s="24">
        <f>IFERROR(__xludf.DUMMYFUNCTION("""COMPUTED_VALUE"""),45107.0)</f>
        <v>45107</v>
      </c>
      <c r="G405" s="27">
        <f>IFERROR(__xludf.DUMMYFUNCTION("""COMPUTED_VALUE"""),11.766666666666666)</f>
        <v>11.76666667</v>
      </c>
      <c r="H405" s="128">
        <f>IFERROR(__xludf.DUMMYFUNCTION("""COMPUTED_VALUE"""),43817.0)</f>
        <v>43817</v>
      </c>
      <c r="I405" s="27">
        <f>IFERROR(__xludf.DUMMYFUNCTION("""COMPUTED_VALUE"""),2.5527777777777776)</f>
        <v>2.552777778</v>
      </c>
      <c r="J405" s="277">
        <f>IFERROR(__xludf.DUMMYFUNCTION("""COMPUTED_VALUE"""),75.0)</f>
        <v>75</v>
      </c>
      <c r="K405" s="29">
        <f>IFERROR(__xludf.DUMMYFUNCTION("""COMPUTED_VALUE"""),44.0)</f>
        <v>44</v>
      </c>
      <c r="L405" s="275" t="str">
        <f>IFERROR(__xludf.DUMMYFUNCTION("""COMPUTED_VALUE"""),"Music/Rhythm")</f>
        <v>Music/Rhythm</v>
      </c>
    </row>
    <row r="406">
      <c r="A406" s="278" t="str">
        <f>IFERROR(__xludf.DUMMYFUNCTION("""COMPUTED_VALUE"""),"Matchpoint: Tennis Championships")</f>
        <v>Matchpoint: Tennis Championships</v>
      </c>
      <c r="B406" s="20" t="str">
        <f>IFERROR(__xludf.DUMMYFUNCTION("""COMPUTED_VALUE"""),"Xbox / PC")</f>
        <v>Xbox / PC</v>
      </c>
      <c r="C406" s="20" t="str">
        <f>IFERROR(__xludf.DUMMYFUNCTION("""COMPUTED_VALUE"""),"Touch Controls")</f>
        <v>Touch Controls</v>
      </c>
      <c r="D406" s="21" t="str">
        <f>IFERROR(__xludf.DUMMYFUNCTION("""COMPUTED_VALUE"""),"Removed")</f>
        <v>Removed</v>
      </c>
      <c r="E406" s="279">
        <f>IFERROR(__xludf.DUMMYFUNCTION("""COMPUTED_VALUE"""),44749.0)</f>
        <v>44749</v>
      </c>
      <c r="F406" s="24">
        <f>IFERROR(__xludf.DUMMYFUNCTION("""COMPUTED_VALUE"""),45107.0)</f>
        <v>45107</v>
      </c>
      <c r="G406" s="27">
        <f>IFERROR(__xludf.DUMMYFUNCTION("""COMPUTED_VALUE"""),11.766666666666666)</f>
        <v>11.76666667</v>
      </c>
      <c r="H406" s="128">
        <f>IFERROR(__xludf.DUMMYFUNCTION("""COMPUTED_VALUE"""),44749.0)</f>
        <v>44749</v>
      </c>
      <c r="I406" s="27">
        <f>IFERROR(__xludf.DUMMYFUNCTION("""COMPUTED_VALUE"""),0.0)</f>
        <v>0</v>
      </c>
      <c r="J406" s="277">
        <f>IFERROR(__xludf.DUMMYFUNCTION("""COMPUTED_VALUE"""),60.0)</f>
        <v>60</v>
      </c>
      <c r="K406" s="29">
        <f>IFERROR(__xludf.DUMMYFUNCTION("""COMPUTED_VALUE"""),10.5)</f>
        <v>10.5</v>
      </c>
      <c r="L406" s="275" t="str">
        <f>IFERROR(__xludf.DUMMYFUNCTION("""COMPUTED_VALUE"""),"Sports")</f>
        <v>Sports</v>
      </c>
    </row>
    <row r="407">
      <c r="A407" s="278" t="str">
        <f>IFERROR(__xludf.DUMMYFUNCTION("""COMPUTED_VALUE"""),"OMORI")</f>
        <v>OMORI</v>
      </c>
      <c r="B407" s="20" t="str">
        <f>IFERROR(__xludf.DUMMYFUNCTION("""COMPUTED_VALUE"""),"Xbox / PC")</f>
        <v>Xbox / PC</v>
      </c>
      <c r="C407" s="20" t="str">
        <f>IFERROR(__xludf.DUMMYFUNCTION("""COMPUTED_VALUE"""),"Yes")</f>
        <v>Yes</v>
      </c>
      <c r="D407" s="21" t="str">
        <f>IFERROR(__xludf.DUMMYFUNCTION("""COMPUTED_VALUE"""),"Removed")</f>
        <v>Removed</v>
      </c>
      <c r="E407" s="279">
        <f>IFERROR(__xludf.DUMMYFUNCTION("""COMPUTED_VALUE"""),44728.0)</f>
        <v>44728</v>
      </c>
      <c r="F407" s="279">
        <f>IFERROR(__xludf.DUMMYFUNCTION("""COMPUTED_VALUE"""),45107.0)</f>
        <v>45107</v>
      </c>
      <c r="G407" s="27">
        <f>IFERROR(__xludf.DUMMYFUNCTION("""COMPUTED_VALUE"""),12.466666666666669)</f>
        <v>12.46666667</v>
      </c>
      <c r="H407" s="128">
        <f>IFERROR(__xludf.DUMMYFUNCTION("""COMPUTED_VALUE"""),44190.0)</f>
        <v>44190</v>
      </c>
      <c r="I407" s="27">
        <f>IFERROR(__xludf.DUMMYFUNCTION("""COMPUTED_VALUE"""),1.475)</f>
        <v>1.475</v>
      </c>
      <c r="J407" s="277">
        <f>IFERROR(__xludf.DUMMYFUNCTION("""COMPUTED_VALUE"""),87.0)</f>
        <v>87</v>
      </c>
      <c r="K407" s="29">
        <f>IFERROR(__xludf.DUMMYFUNCTION("""COMPUTED_VALUE"""),20.5)</f>
        <v>20.5</v>
      </c>
      <c r="L407" s="275" t="str">
        <f>IFERROR(__xludf.DUMMYFUNCTION("""COMPUTED_VALUE"""),"RPG")</f>
        <v>RPG</v>
      </c>
    </row>
    <row r="408">
      <c r="A408" s="278" t="str">
        <f>IFERROR(__xludf.DUMMYFUNCTION("""COMPUTED_VALUE"""),"Olija")</f>
        <v>Olija</v>
      </c>
      <c r="B408" s="20" t="str">
        <f>IFERROR(__xludf.DUMMYFUNCTION("""COMPUTED_VALUE"""),"Xbox / PC")</f>
        <v>Xbox / PC</v>
      </c>
      <c r="C408" s="21" t="str">
        <f>IFERROR(__xludf.DUMMYFUNCTION("""COMPUTED_VALUE"""),"Yes")</f>
        <v>Yes</v>
      </c>
      <c r="D408" s="21" t="str">
        <f>IFERROR(__xludf.DUMMYFUNCTION("""COMPUTED_VALUE"""),"Removed")</f>
        <v>Removed</v>
      </c>
      <c r="E408" s="279">
        <f>IFERROR(__xludf.DUMMYFUNCTION("""COMPUTED_VALUE"""),44565.0)</f>
        <v>44565</v>
      </c>
      <c r="F408" s="24">
        <f>IFERROR(__xludf.DUMMYFUNCTION("""COMPUTED_VALUE"""),45107.0)</f>
        <v>45107</v>
      </c>
      <c r="G408" s="27">
        <f>IFERROR(__xludf.DUMMYFUNCTION("""COMPUTED_VALUE"""),17.866666666666667)</f>
        <v>17.86666667</v>
      </c>
      <c r="H408" s="128">
        <f>IFERROR(__xludf.DUMMYFUNCTION("""COMPUTED_VALUE"""),44224.0)</f>
        <v>44224</v>
      </c>
      <c r="I408" s="27">
        <f>IFERROR(__xludf.DUMMYFUNCTION("""COMPUTED_VALUE"""),0.9333333333333333)</f>
        <v>0.9333333333</v>
      </c>
      <c r="J408" s="277">
        <f>IFERROR(__xludf.DUMMYFUNCTION("""COMPUTED_VALUE"""),78.0)</f>
        <v>78</v>
      </c>
      <c r="K408" s="29">
        <f>IFERROR(__xludf.DUMMYFUNCTION("""COMPUTED_VALUE"""),5.0)</f>
        <v>5</v>
      </c>
      <c r="L408" s="275" t="str">
        <f>IFERROR(__xludf.DUMMYFUNCTION("""COMPUTED_VALUE"""),"Action-Adventure")</f>
        <v>Action-Adventure</v>
      </c>
    </row>
    <row r="409">
      <c r="A409" s="278" t="str">
        <f>IFERROR(__xludf.DUMMYFUNCTION("""COMPUTED_VALUE"""),"Empire of Sin")</f>
        <v>Empire of Sin</v>
      </c>
      <c r="B409" s="20" t="str">
        <f>IFERROR(__xludf.DUMMYFUNCTION("""COMPUTED_VALUE"""),"Xbox / PC")</f>
        <v>Xbox / PC</v>
      </c>
      <c r="C409" s="20" t="str">
        <f>IFERROR(__xludf.DUMMYFUNCTION("""COMPUTED_VALUE"""),"Touch Controls")</f>
        <v>Touch Controls</v>
      </c>
      <c r="D409" s="21" t="str">
        <f>IFERROR(__xludf.DUMMYFUNCTION("""COMPUTED_VALUE"""),"Removed")</f>
        <v>Removed</v>
      </c>
      <c r="E409" s="279">
        <f>IFERROR(__xludf.DUMMYFUNCTION("""COMPUTED_VALUE"""),44273.0)</f>
        <v>44273</v>
      </c>
      <c r="F409" s="24">
        <f>IFERROR(__xludf.DUMMYFUNCTION("""COMPUTED_VALUE"""),45107.0)</f>
        <v>45107</v>
      </c>
      <c r="G409" s="27">
        <f>IFERROR(__xludf.DUMMYFUNCTION("""COMPUTED_VALUE"""),27.4)</f>
        <v>27.4</v>
      </c>
      <c r="H409" s="128">
        <f>IFERROR(__xludf.DUMMYFUNCTION("""COMPUTED_VALUE"""),44166.0)</f>
        <v>44166</v>
      </c>
      <c r="I409" s="27">
        <f>IFERROR(__xludf.DUMMYFUNCTION("""COMPUTED_VALUE"""),0.2972222222222222)</f>
        <v>0.2972222222</v>
      </c>
      <c r="J409" s="277">
        <f>IFERROR(__xludf.DUMMYFUNCTION("""COMPUTED_VALUE"""),65.5)</f>
        <v>65.5</v>
      </c>
      <c r="K409" s="277">
        <f>IFERROR(__xludf.DUMMYFUNCTION("""COMPUTED_VALUE"""),8.0)</f>
        <v>8</v>
      </c>
      <c r="L409" s="275" t="str">
        <f>IFERROR(__xludf.DUMMYFUNCTION("""COMPUTED_VALUE"""),"RPG")</f>
        <v>RPG</v>
      </c>
    </row>
    <row r="410">
      <c r="A410" s="278" t="str">
        <f>IFERROR(__xludf.DUMMYFUNCTION("""COMPUTED_VALUE"""),"Mortal Shell: Enhanced Edition")</f>
        <v>Mortal Shell: Enhanced Edition</v>
      </c>
      <c r="B410" s="20" t="str">
        <f>IFERROR(__xludf.DUMMYFUNCTION("""COMPUTED_VALUE"""),"Xbox / PC")</f>
        <v>Xbox / PC</v>
      </c>
      <c r="C410" s="20" t="str">
        <f>IFERROR(__xludf.DUMMYFUNCTION("""COMPUTED_VALUE"""),"Yes")</f>
        <v>Yes</v>
      </c>
      <c r="D410" s="21" t="str">
        <f>IFERROR(__xludf.DUMMYFUNCTION("""COMPUTED_VALUE"""),"Removed")</f>
        <v>Removed</v>
      </c>
      <c r="E410" s="279">
        <f>IFERROR(__xludf.DUMMYFUNCTION("""COMPUTED_VALUE"""),44931.0)</f>
        <v>44931</v>
      </c>
      <c r="F410" s="24">
        <f>IFERROR(__xludf.DUMMYFUNCTION("""COMPUTED_VALUE"""),45092.0)</f>
        <v>45092</v>
      </c>
      <c r="G410" s="27">
        <f>IFERROR(__xludf.DUMMYFUNCTION("""COMPUTED_VALUE"""),5.333333333333333)</f>
        <v>5.333333333</v>
      </c>
      <c r="H410" s="128">
        <f>IFERROR(__xludf.DUMMYFUNCTION("""COMPUTED_VALUE"""),44061.0)</f>
        <v>44061</v>
      </c>
      <c r="I410" s="27">
        <f>IFERROR(__xludf.DUMMYFUNCTION("""COMPUTED_VALUE"""),2.3805555555555555)</f>
        <v>2.380555556</v>
      </c>
      <c r="J410" s="277">
        <f>IFERROR(__xludf.DUMMYFUNCTION("""COMPUTED_VALUE"""),76.0)</f>
        <v>76</v>
      </c>
      <c r="K410" s="29">
        <f>IFERROR(__xludf.DUMMYFUNCTION("""COMPUTED_VALUE"""),10.0)</f>
        <v>10</v>
      </c>
      <c r="L410" s="275" t="str">
        <f>IFERROR(__xludf.DUMMYFUNCTION("""COMPUTED_VALUE"""),"RPG")</f>
        <v>RPG</v>
      </c>
    </row>
    <row r="411">
      <c r="A411" s="278" t="str">
        <f>IFERROR(__xludf.DUMMYFUNCTION("""COMPUTED_VALUE"""),"Total War: Three Kingdoms")</f>
        <v>Total War: Three Kingdoms</v>
      </c>
      <c r="B411" s="20" t="str">
        <f>IFERROR(__xludf.DUMMYFUNCTION("""COMPUTED_VALUE"""),"PC")</f>
        <v>PC</v>
      </c>
      <c r="C411" s="21"/>
      <c r="D411" s="21" t="str">
        <f>IFERROR(__xludf.DUMMYFUNCTION("""COMPUTED_VALUE"""),"Removed")</f>
        <v>Removed</v>
      </c>
      <c r="E411" s="279">
        <f>IFERROR(__xludf.DUMMYFUNCTION("""COMPUTED_VALUE"""),44733.0)</f>
        <v>44733</v>
      </c>
      <c r="F411" s="279">
        <f>IFERROR(__xludf.DUMMYFUNCTION("""COMPUTED_VALUE"""),45092.0)</f>
        <v>45092</v>
      </c>
      <c r="G411" s="27">
        <f>IFERROR(__xludf.DUMMYFUNCTION("""COMPUTED_VALUE"""),11.799999999999999)</f>
        <v>11.8</v>
      </c>
      <c r="H411" s="128">
        <f>IFERROR(__xludf.DUMMYFUNCTION("""COMPUTED_VALUE"""),43608.0)</f>
        <v>43608</v>
      </c>
      <c r="I411" s="27">
        <f>IFERROR(__xludf.DUMMYFUNCTION("""COMPUTED_VALUE"""),3.077777777777778)</f>
        <v>3.077777778</v>
      </c>
      <c r="J411" s="277">
        <f>IFERROR(__xludf.DUMMYFUNCTION("""COMPUTED_VALUE"""),85.0)</f>
        <v>85</v>
      </c>
      <c r="K411" s="29">
        <f>IFERROR(__xludf.DUMMYFUNCTION("""COMPUTED_VALUE"""),48.0)</f>
        <v>48</v>
      </c>
      <c r="L411" s="275" t="str">
        <f>IFERROR(__xludf.DUMMYFUNCTION("""COMPUTED_VALUE"""),"Strategy")</f>
        <v>Strategy</v>
      </c>
    </row>
    <row r="412">
      <c r="A412" s="278" t="str">
        <f>IFERROR(__xludf.DUMMYFUNCTION("""COMPUTED_VALUE"""),"Chorus")</f>
        <v>Chorus</v>
      </c>
      <c r="B412" s="20" t="str">
        <f>IFERROR(__xludf.DUMMYFUNCTION("""COMPUTED_VALUE"""),"Xbox / PC")</f>
        <v>Xbox / PC</v>
      </c>
      <c r="C412" s="20" t="str">
        <f>IFERROR(__xludf.DUMMYFUNCTION("""COMPUTED_VALUE"""),"Touch Controls")</f>
        <v>Touch Controls</v>
      </c>
      <c r="D412" s="21" t="str">
        <f>IFERROR(__xludf.DUMMYFUNCTION("""COMPUTED_VALUE"""),"Removed")</f>
        <v>Removed</v>
      </c>
      <c r="E412" s="279">
        <f>IFERROR(__xludf.DUMMYFUNCTION("""COMPUTED_VALUE"""),44719.0)</f>
        <v>44719</v>
      </c>
      <c r="F412" s="24">
        <f>IFERROR(__xludf.DUMMYFUNCTION("""COMPUTED_VALUE"""),45092.0)</f>
        <v>45092</v>
      </c>
      <c r="G412" s="27">
        <f>IFERROR(__xludf.DUMMYFUNCTION("""COMPUTED_VALUE"""),12.266666666666666)</f>
        <v>12.26666667</v>
      </c>
      <c r="H412" s="128">
        <f>IFERROR(__xludf.DUMMYFUNCTION("""COMPUTED_VALUE"""),44533.0)</f>
        <v>44533</v>
      </c>
      <c r="I412" s="27">
        <f>IFERROR(__xludf.DUMMYFUNCTION("""COMPUTED_VALUE"""),0.5111111111111111)</f>
        <v>0.5111111111</v>
      </c>
      <c r="J412" s="277">
        <f>IFERROR(__xludf.DUMMYFUNCTION("""COMPUTED_VALUE"""),78.0)</f>
        <v>78</v>
      </c>
      <c r="K412" s="277">
        <f>IFERROR(__xludf.DUMMYFUNCTION("""COMPUTED_VALUE"""),14.5)</f>
        <v>14.5</v>
      </c>
      <c r="L412" s="275" t="str">
        <f>IFERROR(__xludf.DUMMYFUNCTION("""COMPUTED_VALUE"""),"Action")</f>
        <v>Action</v>
      </c>
    </row>
    <row r="413">
      <c r="A413" s="278" t="str">
        <f>IFERROR(__xludf.DUMMYFUNCTION("""COMPUTED_VALUE"""),"Serious Sam 4")</f>
        <v>Serious Sam 4</v>
      </c>
      <c r="B413" s="20" t="str">
        <f>IFERROR(__xludf.DUMMYFUNCTION("""COMPUTED_VALUE"""),"Xbox / PC")</f>
        <v>Xbox / PC</v>
      </c>
      <c r="C413" s="20" t="str">
        <f>IFERROR(__xludf.DUMMYFUNCTION("""COMPUTED_VALUE"""),"Yes")</f>
        <v>Yes</v>
      </c>
      <c r="D413" s="21" t="str">
        <f>IFERROR(__xludf.DUMMYFUNCTION("""COMPUTED_VALUE"""),"Removed")</f>
        <v>Removed</v>
      </c>
      <c r="E413" s="279">
        <f>IFERROR(__xludf.DUMMYFUNCTION("""COMPUTED_VALUE"""),44537.0)</f>
        <v>44537</v>
      </c>
      <c r="F413" s="24">
        <f>IFERROR(__xludf.DUMMYFUNCTION("""COMPUTED_VALUE"""),45092.0)</f>
        <v>45092</v>
      </c>
      <c r="G413" s="27">
        <f>IFERROR(__xludf.DUMMYFUNCTION("""COMPUTED_VALUE"""),18.266666666666666)</f>
        <v>18.26666667</v>
      </c>
      <c r="H413" s="128">
        <f>IFERROR(__xludf.DUMMYFUNCTION("""COMPUTED_VALUE"""),44098.0)</f>
        <v>44098</v>
      </c>
      <c r="I413" s="27">
        <f>IFERROR(__xludf.DUMMYFUNCTION("""COMPUTED_VALUE"""),1.2027777777777777)</f>
        <v>1.202777778</v>
      </c>
      <c r="J413" s="277">
        <f>IFERROR(__xludf.DUMMYFUNCTION("""COMPUTED_VALUE"""),68.0)</f>
        <v>68</v>
      </c>
      <c r="K413" s="29">
        <f>IFERROR(__xludf.DUMMYFUNCTION("""COMPUTED_VALUE"""),9.5)</f>
        <v>9.5</v>
      </c>
      <c r="L413" s="275" t="str">
        <f>IFERROR(__xludf.DUMMYFUNCTION("""COMPUTED_VALUE"""),"Shooter")</f>
        <v>Shooter</v>
      </c>
    </row>
    <row r="414">
      <c r="A414" s="278" t="str">
        <f>IFERROR(__xludf.DUMMYFUNCTION("""COMPUTED_VALUE"""),"Bridge Constructor: Portal")</f>
        <v>Bridge Constructor: Portal</v>
      </c>
      <c r="B414" s="20" t="str">
        <f>IFERROR(__xludf.DUMMYFUNCTION("""COMPUTED_VALUE"""),"Xbox / PC")</f>
        <v>Xbox / PC</v>
      </c>
      <c r="C414" s="20" t="str">
        <f>IFERROR(__xludf.DUMMYFUNCTION("""COMPUTED_VALUE"""),"Touch Controls")</f>
        <v>Touch Controls</v>
      </c>
      <c r="D414" s="21" t="str">
        <f>IFERROR(__xludf.DUMMYFUNCTION("""COMPUTED_VALUE"""),"Removed")</f>
        <v>Removed</v>
      </c>
      <c r="E414" s="279">
        <f>IFERROR(__xludf.DUMMYFUNCTION("""COMPUTED_VALUE"""),43625.0)</f>
        <v>43625</v>
      </c>
      <c r="F414" s="279">
        <f>IFERROR(__xludf.DUMMYFUNCTION("""COMPUTED_VALUE"""),45092.0)</f>
        <v>45092</v>
      </c>
      <c r="G414" s="27">
        <f>IFERROR(__xludf.DUMMYFUNCTION("""COMPUTED_VALUE"""),48.2)</f>
        <v>48.2</v>
      </c>
      <c r="H414" s="128">
        <f>IFERROR(__xludf.DUMMYFUNCTION("""COMPUTED_VALUE"""),43089.0)</f>
        <v>43089</v>
      </c>
      <c r="I414" s="27">
        <f>IFERROR(__xludf.DUMMYFUNCTION("""COMPUTED_VALUE"""),1.4694444444444446)</f>
        <v>1.469444444</v>
      </c>
      <c r="J414" s="29">
        <f>IFERROR(__xludf.DUMMYFUNCTION("""COMPUTED_VALUE"""),78.0)</f>
        <v>78</v>
      </c>
      <c r="K414" s="29">
        <f>IFERROR(__xludf.DUMMYFUNCTION("""COMPUTED_VALUE"""),13.5)</f>
        <v>13.5</v>
      </c>
      <c r="L414" s="275" t="str">
        <f>IFERROR(__xludf.DUMMYFUNCTION("""COMPUTED_VALUE"""),"Puzzle")</f>
        <v>Puzzle</v>
      </c>
    </row>
    <row r="415">
      <c r="A415" s="278" t="str">
        <f>IFERROR(__xludf.DUMMYFUNCTION("""COMPUTED_VALUE"""),"Floppy Knights")</f>
        <v>Floppy Knights</v>
      </c>
      <c r="B415" s="20" t="str">
        <f>IFERROR(__xludf.DUMMYFUNCTION("""COMPUTED_VALUE"""),"Xbox / PC")</f>
        <v>Xbox / PC</v>
      </c>
      <c r="C415" s="21" t="str">
        <f>IFERROR(__xludf.DUMMYFUNCTION("""COMPUTED_VALUE"""),"Touch Controls")</f>
        <v>Touch Controls</v>
      </c>
      <c r="D415" s="21" t="str">
        <f>IFERROR(__xludf.DUMMYFUNCTION("""COMPUTED_VALUE"""),"Removed")</f>
        <v>Removed</v>
      </c>
      <c r="E415" s="279">
        <f>IFERROR(__xludf.DUMMYFUNCTION("""COMPUTED_VALUE"""),44705.0)</f>
        <v>44705</v>
      </c>
      <c r="F415" s="24">
        <f>IFERROR(__xludf.DUMMYFUNCTION("""COMPUTED_VALUE"""),45077.0)</f>
        <v>45077</v>
      </c>
      <c r="G415" s="27">
        <f>IFERROR(__xludf.DUMMYFUNCTION("""COMPUTED_VALUE"""),12.2)</f>
        <v>12.2</v>
      </c>
      <c r="H415" s="128">
        <f>IFERROR(__xludf.DUMMYFUNCTION("""COMPUTED_VALUE"""),44705.0)</f>
        <v>44705</v>
      </c>
      <c r="I415" s="27">
        <f>IFERROR(__xludf.DUMMYFUNCTION("""COMPUTED_VALUE"""),0.0)</f>
        <v>0</v>
      </c>
      <c r="J415" s="277">
        <f>IFERROR(__xludf.DUMMYFUNCTION("""COMPUTED_VALUE"""),81.0)</f>
        <v>81</v>
      </c>
      <c r="K415" s="29">
        <f>IFERROR(__xludf.DUMMYFUNCTION("""COMPUTED_VALUE"""),8.0)</f>
        <v>8</v>
      </c>
      <c r="L415" s="275" t="str">
        <f>IFERROR(__xludf.DUMMYFUNCTION("""COMPUTED_VALUE"""),"Strategy")</f>
        <v>Strategy</v>
      </c>
    </row>
    <row r="416">
      <c r="A416" s="278" t="str">
        <f>IFERROR(__xludf.DUMMYFUNCTION("""COMPUTED_VALUE"""),"Lawn Mowing Simulator")</f>
        <v>Lawn Mowing Simulator</v>
      </c>
      <c r="B416" s="20" t="str">
        <f>IFERROR(__xludf.DUMMYFUNCTION("""COMPUTED_VALUE"""),"Xbox / PC")</f>
        <v>Xbox / PC</v>
      </c>
      <c r="C416" s="20" t="str">
        <f>IFERROR(__xludf.DUMMYFUNCTION("""COMPUTED_VALUE"""),"Touch Controls")</f>
        <v>Touch Controls</v>
      </c>
      <c r="D416" s="21" t="str">
        <f>IFERROR(__xludf.DUMMYFUNCTION("""COMPUTED_VALUE"""),"Removed")</f>
        <v>Removed</v>
      </c>
      <c r="E416" s="279">
        <f>IFERROR(__xludf.DUMMYFUNCTION("""COMPUTED_VALUE"""),44532.0)</f>
        <v>44532</v>
      </c>
      <c r="F416" s="24">
        <f>IFERROR(__xludf.DUMMYFUNCTION("""COMPUTED_VALUE"""),45077.0)</f>
        <v>45077</v>
      </c>
      <c r="G416" s="27">
        <f>IFERROR(__xludf.DUMMYFUNCTION("""COMPUTED_VALUE"""),17.933333333333334)</f>
        <v>17.93333333</v>
      </c>
      <c r="H416" s="128">
        <f>IFERROR(__xludf.DUMMYFUNCTION("""COMPUTED_VALUE"""),44418.0)</f>
        <v>44418</v>
      </c>
      <c r="I416" s="27">
        <f>IFERROR(__xludf.DUMMYFUNCTION("""COMPUTED_VALUE"""),0.3111111111111111)</f>
        <v>0.3111111111</v>
      </c>
      <c r="J416" s="277">
        <f>IFERROR(__xludf.DUMMYFUNCTION("""COMPUTED_VALUE"""),70.5)</f>
        <v>70.5</v>
      </c>
      <c r="K416" s="29">
        <f>IFERROR(__xludf.DUMMYFUNCTION("""COMPUTED_VALUE"""),17.0)</f>
        <v>17</v>
      </c>
      <c r="L416" s="275" t="str">
        <f>IFERROR(__xludf.DUMMYFUNCTION("""COMPUTED_VALUE"""),"Simulation")</f>
        <v>Simulation</v>
      </c>
    </row>
    <row r="417">
      <c r="A417" s="17" t="str">
        <f>IFERROR(__xludf.DUMMYFUNCTION("""COMPUTED_VALUE"""),"Evil Genius 2: World Domination")</f>
        <v>Evil Genius 2: World Domination</v>
      </c>
      <c r="B417" s="20" t="str">
        <f>IFERROR(__xludf.DUMMYFUNCTION("""COMPUTED_VALUE"""),"Xbox / PC")</f>
        <v>Xbox / PC</v>
      </c>
      <c r="C417" s="20" t="str">
        <f>IFERROR(__xludf.DUMMYFUNCTION("""COMPUTED_VALUE"""),"Yes")</f>
        <v>Yes</v>
      </c>
      <c r="D417" s="21" t="str">
        <f>IFERROR(__xludf.DUMMYFUNCTION("""COMPUTED_VALUE"""),"Removed")</f>
        <v>Removed</v>
      </c>
      <c r="E417" s="279">
        <f>IFERROR(__xludf.DUMMYFUNCTION("""COMPUTED_VALUE"""),44530.0)</f>
        <v>44530</v>
      </c>
      <c r="F417" s="24">
        <f>IFERROR(__xludf.DUMMYFUNCTION("""COMPUTED_VALUE"""),45077.0)</f>
        <v>45077</v>
      </c>
      <c r="G417" s="27">
        <f>IFERROR(__xludf.DUMMYFUNCTION("""COMPUTED_VALUE"""),18.0)</f>
        <v>18</v>
      </c>
      <c r="H417" s="128">
        <f>IFERROR(__xludf.DUMMYFUNCTION("""COMPUTED_VALUE"""),44275.0)</f>
        <v>44275</v>
      </c>
      <c r="I417" s="27">
        <f>IFERROR(__xludf.DUMMYFUNCTION("""COMPUTED_VALUE"""),0.6944444444444444)</f>
        <v>0.6944444444</v>
      </c>
      <c r="J417" s="29">
        <f>IFERROR(__xludf.DUMMYFUNCTION("""COMPUTED_VALUE"""),76.0)</f>
        <v>76</v>
      </c>
      <c r="K417" s="29">
        <f>IFERROR(__xludf.DUMMYFUNCTION("""COMPUTED_VALUE"""),28.5)</f>
        <v>28.5</v>
      </c>
      <c r="L417" s="275" t="str">
        <f>IFERROR(__xludf.DUMMYFUNCTION("""COMPUTED_VALUE"""),"Strategy")</f>
        <v>Strategy</v>
      </c>
    </row>
    <row r="418">
      <c r="A418" s="278" t="str">
        <f>IFERROR(__xludf.DUMMYFUNCTION("""COMPUTED_VALUE"""),"FIFA 21")</f>
        <v>FIFA 21</v>
      </c>
      <c r="B418" s="20" t="str">
        <f>IFERROR(__xludf.DUMMYFUNCTION("""COMPUTED_VALUE"""),"Xbox / PC")</f>
        <v>Xbox / PC</v>
      </c>
      <c r="C418" s="20"/>
      <c r="D418" s="21" t="str">
        <f>IFERROR(__xludf.DUMMYFUNCTION("""COMPUTED_VALUE"""),"Removed")</f>
        <v>Removed</v>
      </c>
      <c r="E418" s="279">
        <f>IFERROR(__xludf.DUMMYFUNCTION("""COMPUTED_VALUE"""),44322.0)</f>
        <v>44322</v>
      </c>
      <c r="F418" s="24">
        <f>IFERROR(__xludf.DUMMYFUNCTION("""COMPUTED_VALUE"""),45077.0)</f>
        <v>45077</v>
      </c>
      <c r="G418" s="27">
        <f>IFERROR(__xludf.DUMMYFUNCTION("""COMPUTED_VALUE"""),24.800000000000004)</f>
        <v>24.8</v>
      </c>
      <c r="H418" s="128">
        <f>IFERROR(__xludf.DUMMYFUNCTION("""COMPUTED_VALUE"""),44110.0)</f>
        <v>44110</v>
      </c>
      <c r="I418" s="27">
        <f>IFERROR(__xludf.DUMMYFUNCTION("""COMPUTED_VALUE"""),0.5833333333333334)</f>
        <v>0.5833333333</v>
      </c>
      <c r="J418" s="277">
        <f>IFERROR(__xludf.DUMMYFUNCTION("""COMPUTED_VALUE"""),77.0)</f>
        <v>77</v>
      </c>
      <c r="K418" s="29">
        <f>IFERROR(__xludf.DUMMYFUNCTION("""COMPUTED_VALUE"""),81.0)</f>
        <v>81</v>
      </c>
      <c r="L418" s="275" t="str">
        <f>IFERROR(__xludf.DUMMYFUNCTION("""COMPUTED_VALUE"""),"Sports")</f>
        <v>Sports</v>
      </c>
    </row>
    <row r="419">
      <c r="A419" s="17" t="str">
        <f>IFERROR(__xludf.DUMMYFUNCTION("""COMPUTED_VALUE"""),"Europa Universalis IV")</f>
        <v>Europa Universalis IV</v>
      </c>
      <c r="B419" s="20" t="str">
        <f>IFERROR(__xludf.DUMMYFUNCTION("""COMPUTED_VALUE"""),"PC")</f>
        <v>PC</v>
      </c>
      <c r="C419" s="20"/>
      <c r="D419" s="21" t="str">
        <f>IFERROR(__xludf.DUMMYFUNCTION("""COMPUTED_VALUE"""),"Removed")</f>
        <v>Removed</v>
      </c>
      <c r="E419" s="279">
        <f>IFERROR(__xludf.DUMMYFUNCTION("""COMPUTED_VALUE"""),43803.0)</f>
        <v>43803</v>
      </c>
      <c r="F419" s="24">
        <f>IFERROR(__xludf.DUMMYFUNCTION("""COMPUTED_VALUE"""),45077.0)</f>
        <v>45077</v>
      </c>
      <c r="G419" s="27">
        <f>IFERROR(__xludf.DUMMYFUNCTION("""COMPUTED_VALUE"""),41.86666666666667)</f>
        <v>41.86666667</v>
      </c>
      <c r="H419" s="128">
        <f>IFERROR(__xludf.DUMMYFUNCTION("""COMPUTED_VALUE"""),41499.0)</f>
        <v>41499</v>
      </c>
      <c r="I419" s="27">
        <f>IFERROR(__xludf.DUMMYFUNCTION("""COMPUTED_VALUE"""),6.308333333333334)</f>
        <v>6.308333333</v>
      </c>
      <c r="J419" s="277">
        <f>IFERROR(__xludf.DUMMYFUNCTION("""COMPUTED_VALUE"""),87.0)</f>
        <v>87</v>
      </c>
      <c r="K419" s="29">
        <f>IFERROR(__xludf.DUMMYFUNCTION("""COMPUTED_VALUE"""),225.0)</f>
        <v>225</v>
      </c>
      <c r="L419" s="275" t="str">
        <f>IFERROR(__xludf.DUMMYFUNCTION("""COMPUTED_VALUE"""),"Strategy")</f>
        <v>Strategy</v>
      </c>
    </row>
    <row r="420">
      <c r="A420" s="278" t="str">
        <f>IFERROR(__xludf.DUMMYFUNCTION("""COMPUTED_VALUE"""),"Her Story")</f>
        <v>Her Story</v>
      </c>
      <c r="B420" s="20" t="str">
        <f>IFERROR(__xludf.DUMMYFUNCTION("""COMPUTED_VALUE"""),"PC")</f>
        <v>PC</v>
      </c>
      <c r="C420" s="20"/>
      <c r="D420" s="21" t="str">
        <f>IFERROR(__xludf.DUMMYFUNCTION("""COMPUTED_VALUE"""),"Removed")</f>
        <v>Removed</v>
      </c>
      <c r="E420" s="279">
        <f>IFERROR(__xludf.DUMMYFUNCTION("""COMPUTED_VALUE"""),44698.0)</f>
        <v>44698</v>
      </c>
      <c r="F420" s="24">
        <f>IFERROR(__xludf.DUMMYFUNCTION("""COMPUTED_VALUE"""),45061.0)</f>
        <v>45061</v>
      </c>
      <c r="G420" s="27">
        <f>IFERROR(__xludf.DUMMYFUNCTION("""COMPUTED_VALUE"""),11.933333333333334)</f>
        <v>11.93333333</v>
      </c>
      <c r="H420" s="128">
        <f>IFERROR(__xludf.DUMMYFUNCTION("""COMPUTED_VALUE"""),42179.0)</f>
        <v>42179</v>
      </c>
      <c r="I420" s="27">
        <f>IFERROR(__xludf.DUMMYFUNCTION("""COMPUTED_VALUE"""),6.897222222222222)</f>
        <v>6.897222222</v>
      </c>
      <c r="J420" s="277">
        <f>IFERROR(__xludf.DUMMYFUNCTION("""COMPUTED_VALUE"""),86.0)</f>
        <v>86</v>
      </c>
      <c r="K420" s="277">
        <f>IFERROR(__xludf.DUMMYFUNCTION("""COMPUTED_VALUE"""),2.0)</f>
        <v>2</v>
      </c>
      <c r="L420" s="275" t="str">
        <f>IFERROR(__xludf.DUMMYFUNCTION("""COMPUTED_VALUE"""),"Adventure")</f>
        <v>Adventure</v>
      </c>
    </row>
    <row r="421">
      <c r="A421" s="278" t="str">
        <f>IFERROR(__xludf.DUMMYFUNCTION("""COMPUTED_VALUE"""),"Umurangi Generation - Special Edition")</f>
        <v>Umurangi Generation - Special Edition</v>
      </c>
      <c r="B421" s="20" t="str">
        <f>IFERROR(__xludf.DUMMYFUNCTION("""COMPUTED_VALUE"""),"Xbox / PC")</f>
        <v>Xbox / PC</v>
      </c>
      <c r="C421" s="20" t="str">
        <f>IFERROR(__xludf.DUMMYFUNCTION("""COMPUTED_VALUE"""),"Touch Controls")</f>
        <v>Touch Controls</v>
      </c>
      <c r="D421" s="21" t="str">
        <f>IFERROR(__xludf.DUMMYFUNCTION("""COMPUTED_VALUE"""),"Removed")</f>
        <v>Removed</v>
      </c>
      <c r="E421" s="279">
        <f>IFERROR(__xludf.DUMMYFUNCTION("""COMPUTED_VALUE"""),44698.0)</f>
        <v>44698</v>
      </c>
      <c r="F421" s="24">
        <f>IFERROR(__xludf.DUMMYFUNCTION("""COMPUTED_VALUE"""),45061.0)</f>
        <v>45061</v>
      </c>
      <c r="G421" s="27">
        <f>IFERROR(__xludf.DUMMYFUNCTION("""COMPUTED_VALUE"""),11.933333333333334)</f>
        <v>11.93333333</v>
      </c>
      <c r="H421" s="128">
        <f>IFERROR(__xludf.DUMMYFUNCTION("""COMPUTED_VALUE"""),44352.0)</f>
        <v>44352</v>
      </c>
      <c r="I421" s="27">
        <f>IFERROR(__xludf.DUMMYFUNCTION("""COMPUTED_VALUE"""),0.95)</f>
        <v>0.95</v>
      </c>
      <c r="J421" s="277">
        <f>IFERROR(__xludf.DUMMYFUNCTION("""COMPUTED_VALUE"""),84.0)</f>
        <v>84</v>
      </c>
      <c r="K421" s="29">
        <f>IFERROR(__xludf.DUMMYFUNCTION("""COMPUTED_VALUE"""),2.5)</f>
        <v>2.5</v>
      </c>
      <c r="L421" s="275" t="str">
        <f>IFERROR(__xludf.DUMMYFUNCTION("""COMPUTED_VALUE"""),"Adventure")</f>
        <v>Adventure</v>
      </c>
    </row>
    <row r="422">
      <c r="A422" s="278" t="str">
        <f>IFERROR(__xludf.DUMMYFUNCTION("""COMPUTED_VALUE"""),"Danganronpa 2: Goodbye Despair - Anniversary Edition")</f>
        <v>Danganronpa 2: Goodbye Despair - Anniversary Edition</v>
      </c>
      <c r="B422" s="20" t="str">
        <f>IFERROR(__xludf.DUMMYFUNCTION("""COMPUTED_VALUE"""),"Xbox / PC")</f>
        <v>Xbox / PC</v>
      </c>
      <c r="C422" s="20" t="str">
        <f>IFERROR(__xludf.DUMMYFUNCTION("""COMPUTED_VALUE"""),"Touch Controls")</f>
        <v>Touch Controls</v>
      </c>
      <c r="D422" s="21" t="str">
        <f>IFERROR(__xludf.DUMMYFUNCTION("""COMPUTED_VALUE"""),"Removed")</f>
        <v>Removed</v>
      </c>
      <c r="E422" s="279">
        <f>IFERROR(__xludf.DUMMYFUNCTION("""COMPUTED_VALUE"""),44691.0)</f>
        <v>44691</v>
      </c>
      <c r="F422" s="24">
        <f>IFERROR(__xludf.DUMMYFUNCTION("""COMPUTED_VALUE"""),45061.0)</f>
        <v>45061</v>
      </c>
      <c r="G422" s="27">
        <f>IFERROR(__xludf.DUMMYFUNCTION("""COMPUTED_VALUE"""),12.166666666666666)</f>
        <v>12.16666667</v>
      </c>
      <c r="H422" s="128">
        <f>IFERROR(__xludf.DUMMYFUNCTION("""COMPUTED_VALUE"""),41116.0)</f>
        <v>41116</v>
      </c>
      <c r="I422" s="27">
        <f>IFERROR(__xludf.DUMMYFUNCTION("""COMPUTED_VALUE"""),9.78888888888889)</f>
        <v>9.788888889</v>
      </c>
      <c r="J422" s="277">
        <f>IFERROR(__xludf.DUMMYFUNCTION("""COMPUTED_VALUE"""),83.0)</f>
        <v>83</v>
      </c>
      <c r="K422" s="29">
        <f>IFERROR(__xludf.DUMMYFUNCTION("""COMPUTED_VALUE"""),33.5)</f>
        <v>33.5</v>
      </c>
      <c r="L422" s="275" t="str">
        <f>IFERROR(__xludf.DUMMYFUNCTION("""COMPUTED_VALUE"""),"Shooter")</f>
        <v>Shooter</v>
      </c>
    </row>
    <row r="423">
      <c r="A423" s="278" t="str">
        <f>IFERROR(__xludf.DUMMYFUNCTION("""COMPUTED_VALUE"""),"Before We Leave")</f>
        <v>Before We Leave</v>
      </c>
      <c r="B423" s="20" t="str">
        <f>IFERROR(__xludf.DUMMYFUNCTION("""COMPUTED_VALUE"""),"Xbox / PC")</f>
        <v>Xbox / PC</v>
      </c>
      <c r="C423" s="20" t="str">
        <f>IFERROR(__xludf.DUMMYFUNCTION("""COMPUTED_VALUE"""),"Yes")</f>
        <v>Yes</v>
      </c>
      <c r="D423" s="21" t="str">
        <f>IFERROR(__xludf.DUMMYFUNCTION("""COMPUTED_VALUE"""),"Removed")</f>
        <v>Removed</v>
      </c>
      <c r="E423" s="279">
        <f>IFERROR(__xludf.DUMMYFUNCTION("""COMPUTED_VALUE"""),44531.0)</f>
        <v>44531</v>
      </c>
      <c r="F423" s="24">
        <f>IFERROR(__xludf.DUMMYFUNCTION("""COMPUTED_VALUE"""),45061.0)</f>
        <v>45061</v>
      </c>
      <c r="G423" s="27">
        <f>IFERROR(__xludf.DUMMYFUNCTION("""COMPUTED_VALUE"""),17.466666666666665)</f>
        <v>17.46666667</v>
      </c>
      <c r="H423" s="128">
        <f>IFERROR(__xludf.DUMMYFUNCTION("""COMPUTED_VALUE"""),44329.0)</f>
        <v>44329</v>
      </c>
      <c r="I423" s="27">
        <f>IFERROR(__xludf.DUMMYFUNCTION("""COMPUTED_VALUE"""),0.55)</f>
        <v>0.55</v>
      </c>
      <c r="J423" s="277">
        <f>IFERROR(__xludf.DUMMYFUNCTION("""COMPUTED_VALUE"""),72.0)</f>
        <v>72</v>
      </c>
      <c r="K423" s="29">
        <f>IFERROR(__xludf.DUMMYFUNCTION("""COMPUTED_VALUE"""),11.5)</f>
        <v>11.5</v>
      </c>
      <c r="L423" s="275" t="str">
        <f>IFERROR(__xludf.DUMMYFUNCTION("""COMPUTED_VALUE"""),"Simulation")</f>
        <v>Simulation</v>
      </c>
    </row>
    <row r="424">
      <c r="A424" s="278" t="str">
        <f>IFERROR(__xludf.DUMMYFUNCTION("""COMPUTED_VALUE"""),"My Friend Pedro")</f>
        <v>My Friend Pedro</v>
      </c>
      <c r="B424" s="20" t="str">
        <f>IFERROR(__xludf.DUMMYFUNCTION("""COMPUTED_VALUE"""),"Xbox / PC")</f>
        <v>Xbox / PC</v>
      </c>
      <c r="C424" s="20" t="str">
        <f>IFERROR(__xludf.DUMMYFUNCTION("""COMPUTED_VALUE"""),"Yes")</f>
        <v>Yes</v>
      </c>
      <c r="D424" s="21" t="str">
        <f>IFERROR(__xludf.DUMMYFUNCTION("""COMPUTED_VALUE"""),"Removed")</f>
        <v>Removed</v>
      </c>
      <c r="E424" s="279">
        <f>IFERROR(__xludf.DUMMYFUNCTION("""COMPUTED_VALUE"""),44518.0)</f>
        <v>44518</v>
      </c>
      <c r="F424" s="24">
        <f>IFERROR(__xludf.DUMMYFUNCTION("""COMPUTED_VALUE"""),45061.0)</f>
        <v>45061</v>
      </c>
      <c r="G424" s="27">
        <f>IFERROR(__xludf.DUMMYFUNCTION("""COMPUTED_VALUE"""),17.9)</f>
        <v>17.9</v>
      </c>
      <c r="H424" s="128">
        <f>IFERROR(__xludf.DUMMYFUNCTION("""COMPUTED_VALUE"""),43636.0)</f>
        <v>43636</v>
      </c>
      <c r="I424" s="27">
        <f>IFERROR(__xludf.DUMMYFUNCTION("""COMPUTED_VALUE"""),2.411111111111111)</f>
        <v>2.411111111</v>
      </c>
      <c r="J424" s="277">
        <f>IFERROR(__xludf.DUMMYFUNCTION("""COMPUTED_VALUE"""),80.0)</f>
        <v>80</v>
      </c>
      <c r="K424" s="29">
        <f>IFERROR(__xludf.DUMMYFUNCTION("""COMPUTED_VALUE"""),4.0)</f>
        <v>4</v>
      </c>
      <c r="L424" s="275" t="str">
        <f>IFERROR(__xludf.DUMMYFUNCTION("""COMPUTED_VALUE"""),"Action")</f>
        <v>Action</v>
      </c>
    </row>
    <row r="425">
      <c r="A425" s="278" t="str">
        <f>IFERROR(__xludf.DUMMYFUNCTION("""COMPUTED_VALUE"""),"Hearts of Iron IV: Cadet Edition")</f>
        <v>Hearts of Iron IV: Cadet Edition</v>
      </c>
      <c r="B425" s="20" t="str">
        <f>IFERROR(__xludf.DUMMYFUNCTION("""COMPUTED_VALUE"""),"PC")</f>
        <v>PC</v>
      </c>
      <c r="C425" s="20"/>
      <c r="D425" s="21" t="str">
        <f>IFERROR(__xludf.DUMMYFUNCTION("""COMPUTED_VALUE"""),"Removed")</f>
        <v>Removed</v>
      </c>
      <c r="E425" s="279">
        <f>IFERROR(__xludf.DUMMYFUNCTION("""COMPUTED_VALUE"""),43784.0)</f>
        <v>43784</v>
      </c>
      <c r="F425" s="24">
        <f>IFERROR(__xludf.DUMMYFUNCTION("""COMPUTED_VALUE"""),45061.0)</f>
        <v>45061</v>
      </c>
      <c r="G425" s="27">
        <f>IFERROR(__xludf.DUMMYFUNCTION("""COMPUTED_VALUE"""),42.0)</f>
        <v>42</v>
      </c>
      <c r="H425" s="128">
        <f>IFERROR(__xludf.DUMMYFUNCTION("""COMPUTED_VALUE"""),42527.0)</f>
        <v>42527</v>
      </c>
      <c r="I425" s="27">
        <f>IFERROR(__xludf.DUMMYFUNCTION("""COMPUTED_VALUE"""),3.441666666666667)</f>
        <v>3.441666667</v>
      </c>
      <c r="J425" s="277">
        <f>IFERROR(__xludf.DUMMYFUNCTION("""COMPUTED_VALUE"""),83.0)</f>
        <v>83</v>
      </c>
      <c r="K425" s="277">
        <f>IFERROR(__xludf.DUMMYFUNCTION("""COMPUTED_VALUE"""),42.5)</f>
        <v>42.5</v>
      </c>
      <c r="L425" s="275" t="str">
        <f>IFERROR(__xludf.DUMMYFUNCTION("""COMPUTED_VALUE"""),"Strategy")</f>
        <v>Strategy</v>
      </c>
    </row>
    <row r="426">
      <c r="A426" s="278" t="str">
        <f>IFERROR(__xludf.DUMMYFUNCTION("""COMPUTED_VALUE"""),"Bugsnax")</f>
        <v>Bugsnax</v>
      </c>
      <c r="B426" s="20" t="str">
        <f>IFERROR(__xludf.DUMMYFUNCTION("""COMPUTED_VALUE"""),"Xbox / PC")</f>
        <v>Xbox / PC</v>
      </c>
      <c r="C426" s="20" t="str">
        <f>IFERROR(__xludf.DUMMYFUNCTION("""COMPUTED_VALUE"""),"Touch Controls")</f>
        <v>Touch Controls</v>
      </c>
      <c r="D426" s="21" t="str">
        <f>IFERROR(__xludf.DUMMYFUNCTION("""COMPUTED_VALUE"""),"Removed")</f>
        <v>Removed</v>
      </c>
      <c r="E426" s="279">
        <f>IFERROR(__xludf.DUMMYFUNCTION("""COMPUTED_VALUE"""),44679.0)</f>
        <v>44679</v>
      </c>
      <c r="F426" s="24">
        <f>IFERROR(__xludf.DUMMYFUNCTION("""COMPUTED_VALUE"""),45046.0)</f>
        <v>45046</v>
      </c>
      <c r="G426" s="27">
        <f>IFERROR(__xludf.DUMMYFUNCTION("""COMPUTED_VALUE"""),12.066666666666666)</f>
        <v>12.06666667</v>
      </c>
      <c r="H426" s="128">
        <f>IFERROR(__xludf.DUMMYFUNCTION("""COMPUTED_VALUE"""),44147.0)</f>
        <v>44147</v>
      </c>
      <c r="I426" s="27">
        <f>IFERROR(__xludf.DUMMYFUNCTION("""COMPUTED_VALUE"""),1.461111111111111)</f>
        <v>1.461111111</v>
      </c>
      <c r="J426" s="277">
        <f>IFERROR(__xludf.DUMMYFUNCTION("""COMPUTED_VALUE"""),77.0)</f>
        <v>77</v>
      </c>
      <c r="K426" s="29">
        <f>IFERROR(__xludf.DUMMYFUNCTION("""COMPUTED_VALUE"""),7.5)</f>
        <v>7.5</v>
      </c>
      <c r="L426" s="275" t="str">
        <f>IFERROR(__xludf.DUMMYFUNCTION("""COMPUTED_VALUE"""),"Adventure")</f>
        <v>Adventure</v>
      </c>
    </row>
    <row r="427">
      <c r="A427" s="17" t="str">
        <f>IFERROR(__xludf.DUMMYFUNCTION("""COMPUTED_VALUE"""),"Unsouled")</f>
        <v>Unsouled</v>
      </c>
      <c r="B427" s="20" t="str">
        <f>IFERROR(__xludf.DUMMYFUNCTION("""COMPUTED_VALUE"""),"Xbox / PC")</f>
        <v>Xbox / PC</v>
      </c>
      <c r="C427" s="21" t="str">
        <f>IFERROR(__xludf.DUMMYFUNCTION("""COMPUTED_VALUE"""),"Yes")</f>
        <v>Yes</v>
      </c>
      <c r="D427" s="21" t="str">
        <f>IFERROR(__xludf.DUMMYFUNCTION("""COMPUTED_VALUE"""),"Removed")</f>
        <v>Removed</v>
      </c>
      <c r="E427" s="279">
        <f>IFERROR(__xludf.DUMMYFUNCTION("""COMPUTED_VALUE"""),44679.0)</f>
        <v>44679</v>
      </c>
      <c r="F427" s="279">
        <f>IFERROR(__xludf.DUMMYFUNCTION("""COMPUTED_VALUE"""),45046.0)</f>
        <v>45046</v>
      </c>
      <c r="G427" s="27">
        <f>IFERROR(__xludf.DUMMYFUNCTION("""COMPUTED_VALUE"""),12.066666666666666)</f>
        <v>12.06666667</v>
      </c>
      <c r="H427" s="128">
        <f>IFERROR(__xludf.DUMMYFUNCTION("""COMPUTED_VALUE"""),44517.0)</f>
        <v>44517</v>
      </c>
      <c r="I427" s="27">
        <f>IFERROR(__xludf.DUMMYFUNCTION("""COMPUTED_VALUE"""),0.44722222222222224)</f>
        <v>0.4472222222</v>
      </c>
      <c r="J427" s="29">
        <f>IFERROR(__xludf.DUMMYFUNCTION("""COMPUTED_VALUE"""),84.0)</f>
        <v>84</v>
      </c>
      <c r="K427" s="29">
        <f>IFERROR(__xludf.DUMMYFUNCTION("""COMPUTED_VALUE"""),2.0)</f>
        <v>2</v>
      </c>
      <c r="L427" s="275" t="str">
        <f>IFERROR(__xludf.DUMMYFUNCTION("""COMPUTED_VALUE"""),"RPG")</f>
        <v>RPG</v>
      </c>
    </row>
    <row r="428">
      <c r="A428" s="287" t="str">
        <f>IFERROR(__xludf.DUMMYFUNCTION("""COMPUTED_VALUE"""),"Dragon Quest Builders 2")</f>
        <v>Dragon Quest Builders 2</v>
      </c>
      <c r="B428" s="20" t="str">
        <f>IFERROR(__xludf.DUMMYFUNCTION("""COMPUTED_VALUE"""),"Xbox / PC")</f>
        <v>Xbox / PC</v>
      </c>
      <c r="C428" s="20" t="str">
        <f>IFERROR(__xludf.DUMMYFUNCTION("""COMPUTED_VALUE"""),"Yes")</f>
        <v>Yes</v>
      </c>
      <c r="D428" s="21" t="str">
        <f>IFERROR(__xludf.DUMMYFUNCTION("""COMPUTED_VALUE"""),"Removed")</f>
        <v>Removed</v>
      </c>
      <c r="E428" s="279">
        <f>IFERROR(__xludf.DUMMYFUNCTION("""COMPUTED_VALUE"""),44320.0)</f>
        <v>44320</v>
      </c>
      <c r="F428" s="24">
        <f>IFERROR(__xludf.DUMMYFUNCTION("""COMPUTED_VALUE"""),45046.0)</f>
        <v>45046</v>
      </c>
      <c r="G428" s="27">
        <f>IFERROR(__xludf.DUMMYFUNCTION("""COMPUTED_VALUE"""),23.866666666666667)</f>
        <v>23.86666667</v>
      </c>
      <c r="H428" s="128">
        <f>IFERROR(__xludf.DUMMYFUNCTION("""COMPUTED_VALUE"""),43658.0)</f>
        <v>43658</v>
      </c>
      <c r="I428" s="27">
        <f>IFERROR(__xludf.DUMMYFUNCTION("""COMPUTED_VALUE"""),1.8111111111111111)</f>
        <v>1.811111111</v>
      </c>
      <c r="J428" s="277">
        <f>IFERROR(__xludf.DUMMYFUNCTION("""COMPUTED_VALUE"""),85.0)</f>
        <v>85</v>
      </c>
      <c r="K428" s="29">
        <f>IFERROR(__xludf.DUMMYFUNCTION("""COMPUTED_VALUE"""),56.0)</f>
        <v>56</v>
      </c>
      <c r="L428" s="275" t="str">
        <f>IFERROR(__xludf.DUMMYFUNCTION("""COMPUTED_VALUE"""),"RPG")</f>
        <v>RPG</v>
      </c>
    </row>
    <row r="429">
      <c r="A429" s="278" t="str">
        <f>IFERROR(__xludf.DUMMYFUNCTION("""COMPUTED_VALUE"""),"Destroy All Humans! (2020)")</f>
        <v>Destroy All Humans! (2020)</v>
      </c>
      <c r="B429" s="20" t="str">
        <f>IFERROR(__xludf.DUMMYFUNCTION("""COMPUTED_VALUE"""),"Xbox / PC")</f>
        <v>Xbox / PC</v>
      </c>
      <c r="C429" s="21" t="str">
        <f>IFERROR(__xludf.DUMMYFUNCTION("""COMPUTED_VALUE"""),"Yes")</f>
        <v>Yes</v>
      </c>
      <c r="D429" s="21" t="str">
        <f>IFERROR(__xludf.DUMMYFUNCTION("""COMPUTED_VALUE"""),"Removed")</f>
        <v>Removed</v>
      </c>
      <c r="E429" s="279">
        <f>IFERROR(__xludf.DUMMYFUNCTION("""COMPUTED_VALUE"""),44315.0)</f>
        <v>44315</v>
      </c>
      <c r="F429" s="279">
        <f>IFERROR(__xludf.DUMMYFUNCTION("""COMPUTED_VALUE"""),45046.0)</f>
        <v>45046</v>
      </c>
      <c r="G429" s="27">
        <f>IFERROR(__xludf.DUMMYFUNCTION("""COMPUTED_VALUE"""),24.03333333333333)</f>
        <v>24.03333333</v>
      </c>
      <c r="H429" s="128">
        <f>IFERROR(__xludf.DUMMYFUNCTION("""COMPUTED_VALUE"""),44040.0)</f>
        <v>44040</v>
      </c>
      <c r="I429" s="27">
        <f>IFERROR(__xludf.DUMMYFUNCTION("""COMPUTED_VALUE"""),0.7527777777777778)</f>
        <v>0.7527777778</v>
      </c>
      <c r="J429" s="29">
        <f>IFERROR(__xludf.DUMMYFUNCTION("""COMPUTED_VALUE"""),69.5)</f>
        <v>69.5</v>
      </c>
      <c r="K429" s="29">
        <f>IFERROR(__xludf.DUMMYFUNCTION("""COMPUTED_VALUE"""),7.5)</f>
        <v>7.5</v>
      </c>
      <c r="L429" s="275" t="str">
        <f>IFERROR(__xludf.DUMMYFUNCTION("""COMPUTED_VALUE"""),"Action")</f>
        <v>Action</v>
      </c>
    </row>
    <row r="430">
      <c r="A430" s="278" t="str">
        <f>IFERROR(__xludf.DUMMYFUNCTION("""COMPUTED_VALUE"""),"NHL 21")</f>
        <v>NHL 21</v>
      </c>
      <c r="B430" s="20" t="str">
        <f>IFERROR(__xludf.DUMMYFUNCTION("""COMPUTED_VALUE"""),"Xbox")</f>
        <v>Xbox</v>
      </c>
      <c r="C430" s="20"/>
      <c r="D430" s="21" t="str">
        <f>IFERROR(__xludf.DUMMYFUNCTION("""COMPUTED_VALUE"""),"Removed")</f>
        <v>Removed</v>
      </c>
      <c r="E430" s="279">
        <f>IFERROR(__xludf.DUMMYFUNCTION("""COMPUTED_VALUE"""),44298.0)</f>
        <v>44298</v>
      </c>
      <c r="F430" s="279">
        <f>IFERROR(__xludf.DUMMYFUNCTION("""COMPUTED_VALUE"""),45046.0)</f>
        <v>45046</v>
      </c>
      <c r="G430" s="27">
        <f>IFERROR(__xludf.DUMMYFUNCTION("""COMPUTED_VALUE"""),24.599999999999998)</f>
        <v>24.6</v>
      </c>
      <c r="H430" s="128">
        <f>IFERROR(__xludf.DUMMYFUNCTION("""COMPUTED_VALUE"""),44120.0)</f>
        <v>44120</v>
      </c>
      <c r="I430" s="27">
        <f>IFERROR(__xludf.DUMMYFUNCTION("""COMPUTED_VALUE"""),0.4888888888888889)</f>
        <v>0.4888888889</v>
      </c>
      <c r="J430" s="277">
        <f>IFERROR(__xludf.DUMMYFUNCTION("""COMPUTED_VALUE"""),81.0)</f>
        <v>81</v>
      </c>
      <c r="K430" s="29">
        <f>IFERROR(__xludf.DUMMYFUNCTION("""COMPUTED_VALUE"""),9.0)</f>
        <v>9</v>
      </c>
      <c r="L430" s="275" t="str">
        <f>IFERROR(__xludf.DUMMYFUNCTION("""COMPUTED_VALUE"""),"Sports")</f>
        <v>Sports</v>
      </c>
    </row>
    <row r="431">
      <c r="A431" s="278" t="str">
        <f>IFERROR(__xludf.DUMMYFUNCTION("""COMPUTED_VALUE"""),"Tetris Effect: Connected")</f>
        <v>Tetris Effect: Connected</v>
      </c>
      <c r="B431" s="20" t="str">
        <f>IFERROR(__xludf.DUMMYFUNCTION("""COMPUTED_VALUE"""),"Xbox / PC")</f>
        <v>Xbox / PC</v>
      </c>
      <c r="C431" s="20"/>
      <c r="D431" s="21" t="str">
        <f>IFERROR(__xludf.DUMMYFUNCTION("""COMPUTED_VALUE"""),"Removed")</f>
        <v>Removed</v>
      </c>
      <c r="E431" s="279">
        <f>IFERROR(__xludf.DUMMYFUNCTION("""COMPUTED_VALUE"""),44145.0)</f>
        <v>44145</v>
      </c>
      <c r="F431" s="24">
        <f>IFERROR(__xludf.DUMMYFUNCTION("""COMPUTED_VALUE"""),45046.0)</f>
        <v>45046</v>
      </c>
      <c r="G431" s="27">
        <f>IFERROR(__xludf.DUMMYFUNCTION("""COMPUTED_VALUE"""),29.666666666666668)</f>
        <v>29.66666667</v>
      </c>
      <c r="H431" s="128">
        <f>IFERROR(__xludf.DUMMYFUNCTION("""COMPUTED_VALUE"""),44145.0)</f>
        <v>44145</v>
      </c>
      <c r="I431" s="27">
        <f>IFERROR(__xludf.DUMMYFUNCTION("""COMPUTED_VALUE"""),0.0)</f>
        <v>0</v>
      </c>
      <c r="J431" s="277">
        <f>IFERROR(__xludf.DUMMYFUNCTION("""COMPUTED_VALUE"""),84.0)</f>
        <v>84</v>
      </c>
      <c r="K431" s="29">
        <f>IFERROR(__xludf.DUMMYFUNCTION("""COMPUTED_VALUE"""),2.5)</f>
        <v>2.5</v>
      </c>
      <c r="L431" s="275" t="str">
        <f>IFERROR(__xludf.DUMMYFUNCTION("""COMPUTED_VALUE"""),"Puzzle")</f>
        <v>Puzzle</v>
      </c>
    </row>
    <row r="432">
      <c r="A432" s="278" t="str">
        <f>IFERROR(__xludf.DUMMYFUNCTION("""COMPUTED_VALUE"""),"Life Is Strange: True Colors")</f>
        <v>Life Is Strange: True Colors</v>
      </c>
      <c r="B432" s="20" t="str">
        <f>IFERROR(__xludf.DUMMYFUNCTION("""COMPUTED_VALUE"""),"Xbox / PC")</f>
        <v>Xbox / PC</v>
      </c>
      <c r="C432" s="21" t="str">
        <f>IFERROR(__xludf.DUMMYFUNCTION("""COMPUTED_VALUE"""),"Touch Controls")</f>
        <v>Touch Controls</v>
      </c>
      <c r="D432" s="21" t="str">
        <f>IFERROR(__xludf.DUMMYFUNCTION("""COMPUTED_VALUE"""),"Removed")</f>
        <v>Removed</v>
      </c>
      <c r="E432" s="279">
        <f>IFERROR(__xludf.DUMMYFUNCTION("""COMPUTED_VALUE"""),44663.0)</f>
        <v>44663</v>
      </c>
      <c r="F432" s="24">
        <f>IFERROR(__xludf.DUMMYFUNCTION("""COMPUTED_VALUE"""),45031.0)</f>
        <v>45031</v>
      </c>
      <c r="G432" s="27">
        <f>IFERROR(__xludf.DUMMYFUNCTION("""COMPUTED_VALUE"""),12.1)</f>
        <v>12.1</v>
      </c>
      <c r="H432" s="128">
        <f>IFERROR(__xludf.DUMMYFUNCTION("""COMPUTED_VALUE"""),44449.0)</f>
        <v>44449</v>
      </c>
      <c r="I432" s="27">
        <f>IFERROR(__xludf.DUMMYFUNCTION("""COMPUTED_VALUE"""),0.5888888888888889)</f>
        <v>0.5888888889</v>
      </c>
      <c r="J432" s="277">
        <f>IFERROR(__xludf.DUMMYFUNCTION("""COMPUTED_VALUE"""),79.0)</f>
        <v>79</v>
      </c>
      <c r="K432" s="277">
        <f>IFERROR(__xludf.DUMMYFUNCTION("""COMPUTED_VALUE"""),10.0)</f>
        <v>10</v>
      </c>
      <c r="L432" s="275" t="str">
        <f>IFERROR(__xludf.DUMMYFUNCTION("""COMPUTED_VALUE"""),"Adventure")</f>
        <v>Adventure</v>
      </c>
    </row>
    <row r="433">
      <c r="A433" s="278" t="str">
        <f>IFERROR(__xludf.DUMMYFUNCTION("""COMPUTED_VALUE"""),"Panzer Corps 2")</f>
        <v>Panzer Corps 2</v>
      </c>
      <c r="B433" s="20" t="str">
        <f>IFERROR(__xludf.DUMMYFUNCTION("""COMPUTED_VALUE"""),"PC")</f>
        <v>PC</v>
      </c>
      <c r="C433" s="21"/>
      <c r="D433" s="21" t="str">
        <f>IFERROR(__xludf.DUMMYFUNCTION("""COMPUTED_VALUE"""),"Removed")</f>
        <v>Removed</v>
      </c>
      <c r="E433" s="279">
        <f>IFERROR(__xludf.DUMMYFUNCTION("""COMPUTED_VALUE"""),44663.0)</f>
        <v>44663</v>
      </c>
      <c r="F433" s="279">
        <f>IFERROR(__xludf.DUMMYFUNCTION("""COMPUTED_VALUE"""),45031.0)</f>
        <v>45031</v>
      </c>
      <c r="G433" s="27">
        <f>IFERROR(__xludf.DUMMYFUNCTION("""COMPUTED_VALUE"""),12.1)</f>
        <v>12.1</v>
      </c>
      <c r="H433" s="128">
        <f>IFERROR(__xludf.DUMMYFUNCTION("""COMPUTED_VALUE"""),43909.0)</f>
        <v>43909</v>
      </c>
      <c r="I433" s="27">
        <f>IFERROR(__xludf.DUMMYFUNCTION("""COMPUTED_VALUE"""),2.063888888888889)</f>
        <v>2.063888889</v>
      </c>
      <c r="J433" s="277">
        <f>IFERROR(__xludf.DUMMYFUNCTION("""COMPUTED_VALUE"""),86.0)</f>
        <v>86</v>
      </c>
      <c r="K433" s="29">
        <f>IFERROR(__xludf.DUMMYFUNCTION("""COMPUTED_VALUE"""),59.5)</f>
        <v>59.5</v>
      </c>
      <c r="L433" s="275" t="str">
        <f>IFERROR(__xludf.DUMMYFUNCTION("""COMPUTED_VALUE"""),"Strategy")</f>
        <v>Strategy</v>
      </c>
    </row>
    <row r="434">
      <c r="A434" s="17" t="str">
        <f>IFERROR(__xludf.DUMMYFUNCTION("""COMPUTED_VALUE"""),"The Dungeon of Naheulbeuk: The Amulet of Chaos")</f>
        <v>The Dungeon of Naheulbeuk: The Amulet of Chaos</v>
      </c>
      <c r="B434" s="20" t="str">
        <f>IFERROR(__xludf.DUMMYFUNCTION("""COMPUTED_VALUE"""),"Xbox / PC")</f>
        <v>Xbox / PC</v>
      </c>
      <c r="C434" s="20" t="str">
        <f>IFERROR(__xludf.DUMMYFUNCTION("""COMPUTED_VALUE"""),"Touch Controls")</f>
        <v>Touch Controls</v>
      </c>
      <c r="D434" s="21" t="str">
        <f>IFERROR(__xludf.DUMMYFUNCTION("""COMPUTED_VALUE"""),"Removed")</f>
        <v>Removed</v>
      </c>
      <c r="E434" s="279">
        <f>IFERROR(__xludf.DUMMYFUNCTION("""COMPUTED_VALUE"""),44637.0)</f>
        <v>44637</v>
      </c>
      <c r="F434" s="24">
        <f>IFERROR(__xludf.DUMMYFUNCTION("""COMPUTED_VALUE"""),45031.0)</f>
        <v>45031</v>
      </c>
      <c r="G434" s="27">
        <f>IFERROR(__xludf.DUMMYFUNCTION("""COMPUTED_VALUE"""),12.933333333333334)</f>
        <v>12.93333333</v>
      </c>
      <c r="H434" s="128">
        <f>IFERROR(__xludf.DUMMYFUNCTION("""COMPUTED_VALUE"""),44070.0)</f>
        <v>44070</v>
      </c>
      <c r="I434" s="27">
        <f>IFERROR(__xludf.DUMMYFUNCTION("""COMPUTED_VALUE"""),1.5555555555555556)</f>
        <v>1.555555556</v>
      </c>
      <c r="J434" s="277">
        <f>IFERROR(__xludf.DUMMYFUNCTION("""COMPUTED_VALUE"""),74.5)</f>
        <v>74.5</v>
      </c>
      <c r="K434" s="29">
        <f>IFERROR(__xludf.DUMMYFUNCTION("""COMPUTED_VALUE"""),31.0)</f>
        <v>31</v>
      </c>
      <c r="L434" s="275" t="str">
        <f>IFERROR(__xludf.DUMMYFUNCTION("""COMPUTED_VALUE"""),"RPG")</f>
        <v>RPG</v>
      </c>
    </row>
    <row r="435">
      <c r="A435" s="278" t="str">
        <f>IFERROR(__xludf.DUMMYFUNCTION("""COMPUTED_VALUE"""),"Moonglow Bay")</f>
        <v>Moonglow Bay</v>
      </c>
      <c r="B435" s="20" t="str">
        <f>IFERROR(__xludf.DUMMYFUNCTION("""COMPUTED_VALUE"""),"Xbox / PC")</f>
        <v>Xbox / PC</v>
      </c>
      <c r="C435" s="21" t="str">
        <f>IFERROR(__xludf.DUMMYFUNCTION("""COMPUTED_VALUE"""),"Touch Controls")</f>
        <v>Touch Controls</v>
      </c>
      <c r="D435" s="21" t="str">
        <f>IFERROR(__xludf.DUMMYFUNCTION("""COMPUTED_VALUE"""),"Removed")</f>
        <v>Removed</v>
      </c>
      <c r="E435" s="279">
        <f>IFERROR(__xludf.DUMMYFUNCTION("""COMPUTED_VALUE"""),44495.0)</f>
        <v>44495</v>
      </c>
      <c r="F435" s="24">
        <f>IFERROR(__xludf.DUMMYFUNCTION("""COMPUTED_VALUE"""),45031.0)</f>
        <v>45031</v>
      </c>
      <c r="G435" s="27">
        <f>IFERROR(__xludf.DUMMYFUNCTION("""COMPUTED_VALUE"""),17.633333333333333)</f>
        <v>17.63333333</v>
      </c>
      <c r="H435" s="128">
        <f>IFERROR(__xludf.DUMMYFUNCTION("""COMPUTED_VALUE"""),44495.0)</f>
        <v>44495</v>
      </c>
      <c r="I435" s="27">
        <f>IFERROR(__xludf.DUMMYFUNCTION("""COMPUTED_VALUE"""),0.0)</f>
        <v>0</v>
      </c>
      <c r="J435" s="277">
        <f>IFERROR(__xludf.DUMMYFUNCTION("""COMPUTED_VALUE"""),75.5)</f>
        <v>75.5</v>
      </c>
      <c r="K435" s="29">
        <f>IFERROR(__xludf.DUMMYFUNCTION("""COMPUTED_VALUE"""),23.0)</f>
        <v>23</v>
      </c>
      <c r="L435" s="275" t="str">
        <f>IFERROR(__xludf.DUMMYFUNCTION("""COMPUTED_VALUE"""),"RPG")</f>
        <v>RPG</v>
      </c>
    </row>
    <row r="436">
      <c r="A436" s="278" t="str">
        <f>IFERROR(__xludf.DUMMYFUNCTION("""COMPUTED_VALUE"""),"The Riftbreaker")</f>
        <v>The Riftbreaker</v>
      </c>
      <c r="B436" s="20" t="str">
        <f>IFERROR(__xludf.DUMMYFUNCTION("""COMPUTED_VALUE"""),"Xbox / PC")</f>
        <v>Xbox / PC</v>
      </c>
      <c r="C436" s="21" t="str">
        <f>IFERROR(__xludf.DUMMYFUNCTION("""COMPUTED_VALUE"""),"Yes")</f>
        <v>Yes</v>
      </c>
      <c r="D436" s="21" t="str">
        <f>IFERROR(__xludf.DUMMYFUNCTION("""COMPUTED_VALUE"""),"Removed")</f>
        <v>Removed</v>
      </c>
      <c r="E436" s="279">
        <f>IFERROR(__xludf.DUMMYFUNCTION("""COMPUTED_VALUE"""),44483.0)</f>
        <v>44483</v>
      </c>
      <c r="F436" s="279">
        <f>IFERROR(__xludf.DUMMYFUNCTION("""COMPUTED_VALUE"""),45031.0)</f>
        <v>45031</v>
      </c>
      <c r="G436" s="27">
        <f>IFERROR(__xludf.DUMMYFUNCTION("""COMPUTED_VALUE"""),18.03333333333333)</f>
        <v>18.03333333</v>
      </c>
      <c r="H436" s="128">
        <f>IFERROR(__xludf.DUMMYFUNCTION("""COMPUTED_VALUE"""),44483.0)</f>
        <v>44483</v>
      </c>
      <c r="I436" s="27">
        <f>IFERROR(__xludf.DUMMYFUNCTION("""COMPUTED_VALUE"""),0.0)</f>
        <v>0</v>
      </c>
      <c r="J436" s="277">
        <f>IFERROR(__xludf.DUMMYFUNCTION("""COMPUTED_VALUE"""),80.5)</f>
        <v>80.5</v>
      </c>
      <c r="K436" s="29">
        <f>IFERROR(__xludf.DUMMYFUNCTION("""COMPUTED_VALUE"""),21.5)</f>
        <v>21.5</v>
      </c>
      <c r="L436" s="275" t="str">
        <f>IFERROR(__xludf.DUMMYFUNCTION("""COMPUTED_VALUE"""),"Action")</f>
        <v>Action</v>
      </c>
    </row>
    <row r="437">
      <c r="A437" s="278" t="str">
        <f>IFERROR(__xludf.DUMMYFUNCTION("""COMPUTED_VALUE"""),"Chinatown Detective Agency")</f>
        <v>Chinatown Detective Agency</v>
      </c>
      <c r="B437" s="20" t="str">
        <f>IFERROR(__xludf.DUMMYFUNCTION("""COMPUTED_VALUE"""),"Xbox / PC")</f>
        <v>Xbox / PC</v>
      </c>
      <c r="C437" s="20" t="str">
        <f>IFERROR(__xludf.DUMMYFUNCTION("""COMPUTED_VALUE"""),"Touch Controls")</f>
        <v>Touch Controls</v>
      </c>
      <c r="D437" s="21" t="str">
        <f>IFERROR(__xludf.DUMMYFUNCTION("""COMPUTED_VALUE"""),"Removed")</f>
        <v>Removed</v>
      </c>
      <c r="E437" s="279">
        <f>IFERROR(__xludf.DUMMYFUNCTION("""COMPUTED_VALUE"""),44658.0)</f>
        <v>44658</v>
      </c>
      <c r="F437" s="24">
        <f>IFERROR(__xludf.DUMMYFUNCTION("""COMPUTED_VALUE"""),45016.0)</f>
        <v>45016</v>
      </c>
      <c r="G437" s="27">
        <f>IFERROR(__xludf.DUMMYFUNCTION("""COMPUTED_VALUE"""),11.766666666666666)</f>
        <v>11.76666667</v>
      </c>
      <c r="H437" s="128">
        <f>IFERROR(__xludf.DUMMYFUNCTION("""COMPUTED_VALUE"""),44658.0)</f>
        <v>44658</v>
      </c>
      <c r="I437" s="27">
        <f>IFERROR(__xludf.DUMMYFUNCTION("""COMPUTED_VALUE"""),0.0)</f>
        <v>0</v>
      </c>
      <c r="J437" s="277">
        <f>IFERROR(__xludf.DUMMYFUNCTION("""COMPUTED_VALUE"""),67.0)</f>
        <v>67</v>
      </c>
      <c r="K437" s="29">
        <f>IFERROR(__xludf.DUMMYFUNCTION("""COMPUTED_VALUE"""),7.0)</f>
        <v>7</v>
      </c>
      <c r="L437" s="275" t="str">
        <f>IFERROR(__xludf.DUMMYFUNCTION("""COMPUTED_VALUE"""),"Adventure")</f>
        <v>Adventure</v>
      </c>
    </row>
    <row r="438">
      <c r="A438" s="278" t="str">
        <f>IFERROR(__xludf.DUMMYFUNCTION("""COMPUTED_VALUE"""),"MLB The Show 22")</f>
        <v>MLB The Show 22</v>
      </c>
      <c r="B438" s="20" t="str">
        <f>IFERROR(__xludf.DUMMYFUNCTION("""COMPUTED_VALUE"""),"Xbox")</f>
        <v>Xbox</v>
      </c>
      <c r="C438" s="20" t="str">
        <f>IFERROR(__xludf.DUMMYFUNCTION("""COMPUTED_VALUE"""),"Touch Controls")</f>
        <v>Touch Controls</v>
      </c>
      <c r="D438" s="21" t="str">
        <f>IFERROR(__xludf.DUMMYFUNCTION("""COMPUTED_VALUE"""),"Removed")</f>
        <v>Removed</v>
      </c>
      <c r="E438" s="279">
        <f>IFERROR(__xludf.DUMMYFUNCTION("""COMPUTED_VALUE"""),44656.0)</f>
        <v>44656</v>
      </c>
      <c r="F438" s="279">
        <f>IFERROR(__xludf.DUMMYFUNCTION("""COMPUTED_VALUE"""),45016.0)</f>
        <v>45016</v>
      </c>
      <c r="G438" s="27">
        <f>IFERROR(__xludf.DUMMYFUNCTION("""COMPUTED_VALUE"""),11.833333333333334)</f>
        <v>11.83333333</v>
      </c>
      <c r="H438" s="128">
        <f>IFERROR(__xludf.DUMMYFUNCTION("""COMPUTED_VALUE"""),44656.0)</f>
        <v>44656</v>
      </c>
      <c r="I438" s="27">
        <f>IFERROR(__xludf.DUMMYFUNCTION("""COMPUTED_VALUE"""),0.0)</f>
        <v>0</v>
      </c>
      <c r="J438" s="29">
        <f>IFERROR(__xludf.DUMMYFUNCTION("""COMPUTED_VALUE"""),80.0)</f>
        <v>80</v>
      </c>
      <c r="K438" s="29">
        <f>IFERROR(__xludf.DUMMYFUNCTION("""COMPUTED_VALUE"""),214.0)</f>
        <v>214</v>
      </c>
      <c r="L438" s="275" t="str">
        <f>IFERROR(__xludf.DUMMYFUNCTION("""COMPUTED_VALUE"""),"Sports")</f>
        <v>Sports</v>
      </c>
    </row>
    <row r="439">
      <c r="A439" s="278" t="str">
        <f>IFERROR(__xludf.DUMMYFUNCTION("""COMPUTED_VALUE"""),"A Memoir Blue")</f>
        <v>A Memoir Blue</v>
      </c>
      <c r="B439" s="20" t="str">
        <f>IFERROR(__xludf.DUMMYFUNCTION("""COMPUTED_VALUE"""),"Xbox / PC")</f>
        <v>Xbox / PC</v>
      </c>
      <c r="C439" s="20" t="str">
        <f>IFERROR(__xludf.DUMMYFUNCTION("""COMPUTED_VALUE"""),"Touch Controls")</f>
        <v>Touch Controls</v>
      </c>
      <c r="D439" s="21" t="str">
        <f>IFERROR(__xludf.DUMMYFUNCTION("""COMPUTED_VALUE"""),"Removed")</f>
        <v>Removed</v>
      </c>
      <c r="E439" s="279">
        <f>IFERROR(__xludf.DUMMYFUNCTION("""COMPUTED_VALUE"""),44644.0)</f>
        <v>44644</v>
      </c>
      <c r="F439" s="24">
        <f>IFERROR(__xludf.DUMMYFUNCTION("""COMPUTED_VALUE"""),45016.0)</f>
        <v>45016</v>
      </c>
      <c r="G439" s="27">
        <f>IFERROR(__xludf.DUMMYFUNCTION("""COMPUTED_VALUE"""),12.2)</f>
        <v>12.2</v>
      </c>
      <c r="H439" s="128">
        <f>IFERROR(__xludf.DUMMYFUNCTION("""COMPUTED_VALUE"""),44644.0)</f>
        <v>44644</v>
      </c>
      <c r="I439" s="27">
        <f>IFERROR(__xludf.DUMMYFUNCTION("""COMPUTED_VALUE"""),0.0)</f>
        <v>0</v>
      </c>
      <c r="J439" s="277">
        <f>IFERROR(__xludf.DUMMYFUNCTION("""COMPUTED_VALUE"""),74.0)</f>
        <v>74</v>
      </c>
      <c r="K439" s="29">
        <f>IFERROR(__xludf.DUMMYFUNCTION("""COMPUTED_VALUE"""),1.0)</f>
        <v>1</v>
      </c>
      <c r="L439" s="275" t="str">
        <f>IFERROR(__xludf.DUMMYFUNCTION("""COMPUTED_VALUE"""),"Adventure")</f>
        <v>Adventure</v>
      </c>
    </row>
    <row r="440">
      <c r="A440" s="278" t="str">
        <f>IFERROR(__xludf.DUMMYFUNCTION("""COMPUTED_VALUE"""),"Kraken Academy!!")</f>
        <v>Kraken Academy!!</v>
      </c>
      <c r="B440" s="20" t="str">
        <f>IFERROR(__xludf.DUMMYFUNCTION("""COMPUTED_VALUE"""),"Xbox / PC")</f>
        <v>Xbox / PC</v>
      </c>
      <c r="C440" s="20" t="str">
        <f>IFERROR(__xludf.DUMMYFUNCTION("""COMPUTED_VALUE"""),"Touch Controls")</f>
        <v>Touch Controls</v>
      </c>
      <c r="D440" s="21" t="str">
        <f>IFERROR(__xludf.DUMMYFUNCTION("""COMPUTED_VALUE"""),"Removed")</f>
        <v>Removed</v>
      </c>
      <c r="E440" s="279">
        <f>IFERROR(__xludf.DUMMYFUNCTION("""COMPUTED_VALUE"""),44642.0)</f>
        <v>44642</v>
      </c>
      <c r="F440" s="24">
        <f>IFERROR(__xludf.DUMMYFUNCTION("""COMPUTED_VALUE"""),45016.0)</f>
        <v>45016</v>
      </c>
      <c r="G440" s="27">
        <f>IFERROR(__xludf.DUMMYFUNCTION("""COMPUTED_VALUE"""),12.266666666666666)</f>
        <v>12.26666667</v>
      </c>
      <c r="H440" s="128">
        <f>IFERROR(__xludf.DUMMYFUNCTION("""COMPUTED_VALUE"""),44642.0)</f>
        <v>44642</v>
      </c>
      <c r="I440" s="27">
        <f>IFERROR(__xludf.DUMMYFUNCTION("""COMPUTED_VALUE"""),0.0)</f>
        <v>0</v>
      </c>
      <c r="J440" s="277">
        <f>IFERROR(__xludf.DUMMYFUNCTION("""COMPUTED_VALUE"""),60.0)</f>
        <v>60</v>
      </c>
      <c r="K440" s="29">
        <f>IFERROR(__xludf.DUMMYFUNCTION("""COMPUTED_VALUE"""),7.5)</f>
        <v>7.5</v>
      </c>
      <c r="L440" s="275" t="str">
        <f>IFERROR(__xludf.DUMMYFUNCTION("""COMPUTED_VALUE"""),"Adventure")</f>
        <v>Adventure</v>
      </c>
    </row>
    <row r="441">
      <c r="A441" s="278" t="str">
        <f>IFERROR(__xludf.DUMMYFUNCTION("""COMPUTED_VALUE"""),"Power Rangers: Battle for the Grid")</f>
        <v>Power Rangers: Battle for the Grid</v>
      </c>
      <c r="B441" s="20" t="str">
        <f>IFERROR(__xludf.DUMMYFUNCTION("""COMPUTED_VALUE"""),"Xbox / PC")</f>
        <v>Xbox / PC</v>
      </c>
      <c r="C441" s="20" t="str">
        <f>IFERROR(__xludf.DUMMYFUNCTION("""COMPUTED_VALUE"""),"Yes")</f>
        <v>Yes</v>
      </c>
      <c r="D441" s="21" t="str">
        <f>IFERROR(__xludf.DUMMYFUNCTION("""COMPUTED_VALUE"""),"Removed")</f>
        <v>Removed</v>
      </c>
      <c r="E441" s="279">
        <f>IFERROR(__xludf.DUMMYFUNCTION("""COMPUTED_VALUE"""),43916.0)</f>
        <v>43916</v>
      </c>
      <c r="F441" s="24">
        <f>IFERROR(__xludf.DUMMYFUNCTION("""COMPUTED_VALUE"""),45016.0)</f>
        <v>45016</v>
      </c>
      <c r="G441" s="27">
        <f>IFERROR(__xludf.DUMMYFUNCTION("""COMPUTED_VALUE"""),36.13333333333333)</f>
        <v>36.13333333</v>
      </c>
      <c r="H441" s="128">
        <f>IFERROR(__xludf.DUMMYFUNCTION("""COMPUTED_VALUE"""),43550.0)</f>
        <v>43550</v>
      </c>
      <c r="I441" s="27">
        <f>IFERROR(__xludf.DUMMYFUNCTION("""COMPUTED_VALUE"""),1.0)</f>
        <v>1</v>
      </c>
      <c r="J441" s="277">
        <f>IFERROR(__xludf.DUMMYFUNCTION("""COMPUTED_VALUE"""),53.0)</f>
        <v>53</v>
      </c>
      <c r="K441" s="277">
        <f>IFERROR(__xludf.DUMMYFUNCTION("""COMPUTED_VALUE"""),2.0)</f>
        <v>2</v>
      </c>
      <c r="L441" s="275" t="str">
        <f>IFERROR(__xludf.DUMMYFUNCTION("""COMPUTED_VALUE"""),"Fighting")</f>
        <v>Fighting</v>
      </c>
    </row>
    <row r="442">
      <c r="A442" s="278" t="str">
        <f>IFERROR(__xludf.DUMMYFUNCTION("""COMPUTED_VALUE"""),"ClusterTruck")</f>
        <v>ClusterTruck</v>
      </c>
      <c r="B442" s="20" t="str">
        <f>IFERROR(__xludf.DUMMYFUNCTION("""COMPUTED_VALUE"""),"Xbox / PC")</f>
        <v>Xbox / PC</v>
      </c>
      <c r="C442" s="20" t="str">
        <f>IFERROR(__xludf.DUMMYFUNCTION("""COMPUTED_VALUE"""),"Yes")</f>
        <v>Yes</v>
      </c>
      <c r="D442" s="21" t="str">
        <f>IFERROR(__xludf.DUMMYFUNCTION("""COMPUTED_VALUE"""),"Removed")</f>
        <v>Removed</v>
      </c>
      <c r="E442" s="279">
        <f>IFERROR(__xludf.DUMMYFUNCTION("""COMPUTED_VALUE"""),43191.0)</f>
        <v>43191</v>
      </c>
      <c r="F442" s="24">
        <f>IFERROR(__xludf.DUMMYFUNCTION("""COMPUTED_VALUE"""),45016.0)</f>
        <v>45016</v>
      </c>
      <c r="G442" s="27">
        <f>IFERROR(__xludf.DUMMYFUNCTION("""COMPUTED_VALUE"""),59.96666666666666)</f>
        <v>59.96666667</v>
      </c>
      <c r="H442" s="128">
        <f>IFERROR(__xludf.DUMMYFUNCTION("""COMPUTED_VALUE"""),42640.0)</f>
        <v>42640</v>
      </c>
      <c r="I442" s="27">
        <f>IFERROR(__xludf.DUMMYFUNCTION("""COMPUTED_VALUE"""),1.511111111111111)</f>
        <v>1.511111111</v>
      </c>
      <c r="J442" s="277">
        <f>IFERROR(__xludf.DUMMYFUNCTION("""COMPUTED_VALUE"""),69.0)</f>
        <v>69</v>
      </c>
      <c r="K442" s="277">
        <f>IFERROR(__xludf.DUMMYFUNCTION("""COMPUTED_VALUE"""),3.5)</f>
        <v>3.5</v>
      </c>
      <c r="L442" s="275" t="str">
        <f>IFERROR(__xludf.DUMMYFUNCTION("""COMPUTED_VALUE"""),"Platformer")</f>
        <v>Platformer</v>
      </c>
    </row>
    <row r="443">
      <c r="A443" s="17" t="str">
        <f>IFERROR(__xludf.DUMMYFUNCTION("""COMPUTED_VALUE"""),"Double Dragon Neon")</f>
        <v>Double Dragon Neon</v>
      </c>
      <c r="B443" s="20" t="str">
        <f>IFERROR(__xludf.DUMMYFUNCTION("""COMPUTED_VALUE"""),"Xbox")</f>
        <v>Xbox</v>
      </c>
      <c r="C443" s="20" t="str">
        <f>IFERROR(__xludf.DUMMYFUNCTION("""COMPUTED_VALUE"""),"Touch Controls")</f>
        <v>Touch Controls</v>
      </c>
      <c r="D443" s="21" t="str">
        <f>IFERROR(__xludf.DUMMYFUNCTION("""COMPUTED_VALUE"""),"Removed")</f>
        <v>Removed</v>
      </c>
      <c r="E443" s="279">
        <f>IFERROR(__xludf.DUMMYFUNCTION("""COMPUTED_VALUE"""),42887.0)</f>
        <v>42887</v>
      </c>
      <c r="F443" s="279">
        <f>IFERROR(__xludf.DUMMYFUNCTION("""COMPUTED_VALUE"""),45016.0)</f>
        <v>45016</v>
      </c>
      <c r="G443" s="27">
        <f>IFERROR(__xludf.DUMMYFUNCTION("""COMPUTED_VALUE"""),69.96666666666667)</f>
        <v>69.96666667</v>
      </c>
      <c r="H443" s="128">
        <f>IFERROR(__xludf.DUMMYFUNCTION("""COMPUTED_VALUE"""),41163.0)</f>
        <v>41163</v>
      </c>
      <c r="I443" s="27">
        <f>IFERROR(__xludf.DUMMYFUNCTION("""COMPUTED_VALUE"""),4.722222222222222)</f>
        <v>4.722222222</v>
      </c>
      <c r="J443" s="277">
        <f>IFERROR(__xludf.DUMMYFUNCTION("""COMPUTED_VALUE"""),66.0)</f>
        <v>66</v>
      </c>
      <c r="K443" s="29">
        <f>IFERROR(__xludf.DUMMYFUNCTION("""COMPUTED_VALUE"""),3.5)</f>
        <v>3.5</v>
      </c>
      <c r="L443" s="275" t="str">
        <f>IFERROR(__xludf.DUMMYFUNCTION("""COMPUTED_VALUE"""),"Adventure")</f>
        <v>Adventure</v>
      </c>
    </row>
    <row r="444">
      <c r="A444" s="278" t="str">
        <f>IFERROR(__xludf.DUMMYFUNCTION("""COMPUTED_VALUE"""),"Zero Escape: The Nonary Games")</f>
        <v>Zero Escape: The Nonary Games</v>
      </c>
      <c r="B444" s="20" t="str">
        <f>IFERROR(__xludf.DUMMYFUNCTION("""COMPUTED_VALUE"""),"Xbox / PC")</f>
        <v>Xbox / PC</v>
      </c>
      <c r="C444" s="20" t="str">
        <f>IFERROR(__xludf.DUMMYFUNCTION("""COMPUTED_VALUE"""),"Touch Controls")</f>
        <v>Touch Controls</v>
      </c>
      <c r="D444" s="21" t="str">
        <f>IFERROR(__xludf.DUMMYFUNCTION("""COMPUTED_VALUE"""),"Removed")</f>
        <v>Removed</v>
      </c>
      <c r="E444" s="279">
        <f>IFERROR(__xludf.DUMMYFUNCTION("""COMPUTED_VALUE"""),44642.0)</f>
        <v>44642</v>
      </c>
      <c r="F444" s="24">
        <f>IFERROR(__xludf.DUMMYFUNCTION("""COMPUTED_VALUE"""),45000.0)</f>
        <v>45000</v>
      </c>
      <c r="G444" s="27">
        <f>IFERROR(__xludf.DUMMYFUNCTION("""COMPUTED_VALUE"""),11.766666666666666)</f>
        <v>11.76666667</v>
      </c>
      <c r="H444" s="128">
        <f>IFERROR(__xludf.DUMMYFUNCTION("""COMPUTED_VALUE"""),42818.0)</f>
        <v>42818</v>
      </c>
      <c r="I444" s="27">
        <f>IFERROR(__xludf.DUMMYFUNCTION("""COMPUTED_VALUE"""),4.9944444444444445)</f>
        <v>4.994444444</v>
      </c>
      <c r="J444" s="277">
        <f>IFERROR(__xludf.DUMMYFUNCTION("""COMPUTED_VALUE"""),86.0)</f>
        <v>86</v>
      </c>
      <c r="K444" s="29">
        <f>IFERROR(__xludf.DUMMYFUNCTION("""COMPUTED_VALUE"""),33.5)</f>
        <v>33.5</v>
      </c>
      <c r="L444" s="275" t="str">
        <f>IFERROR(__xludf.DUMMYFUNCTION("""COMPUTED_VALUE"""),"Adventure")</f>
        <v>Adventure</v>
      </c>
    </row>
    <row r="445">
      <c r="A445" s="278" t="str">
        <f>IFERROR(__xludf.DUMMYFUNCTION("""COMPUTED_VALUE"""),"Paradise Killer")</f>
        <v>Paradise Killer</v>
      </c>
      <c r="B445" s="20" t="str">
        <f>IFERROR(__xludf.DUMMYFUNCTION("""COMPUTED_VALUE"""),"Xbox / PC")</f>
        <v>Xbox / PC</v>
      </c>
      <c r="C445" s="20" t="str">
        <f>IFERROR(__xludf.DUMMYFUNCTION("""COMPUTED_VALUE"""),"Touch Controls")</f>
        <v>Touch Controls</v>
      </c>
      <c r="D445" s="21" t="str">
        <f>IFERROR(__xludf.DUMMYFUNCTION("""COMPUTED_VALUE"""),"Removed")</f>
        <v>Removed</v>
      </c>
      <c r="E445" s="279">
        <f>IFERROR(__xludf.DUMMYFUNCTION("""COMPUTED_VALUE"""),44636.0)</f>
        <v>44636</v>
      </c>
      <c r="F445" s="24">
        <f>IFERROR(__xludf.DUMMYFUNCTION("""COMPUTED_VALUE"""),45000.0)</f>
        <v>45000</v>
      </c>
      <c r="G445" s="27">
        <f>IFERROR(__xludf.DUMMYFUNCTION("""COMPUTED_VALUE"""),11.966666666666667)</f>
        <v>11.96666667</v>
      </c>
      <c r="H445" s="128">
        <f>IFERROR(__xludf.DUMMYFUNCTION("""COMPUTED_VALUE"""),44098.0)</f>
        <v>44098</v>
      </c>
      <c r="I445" s="27">
        <f>IFERROR(__xludf.DUMMYFUNCTION("""COMPUTED_VALUE"""),1.4777777777777779)</f>
        <v>1.477777778</v>
      </c>
      <c r="J445" s="29">
        <f>IFERROR(__xludf.DUMMYFUNCTION("""COMPUTED_VALUE"""),81.0)</f>
        <v>81</v>
      </c>
      <c r="K445" s="29">
        <f>IFERROR(__xludf.DUMMYFUNCTION("""COMPUTED_VALUE"""),12.0)</f>
        <v>12</v>
      </c>
      <c r="L445" s="275" t="str">
        <f>IFERROR(__xludf.DUMMYFUNCTION("""COMPUTED_VALUE"""),"Adventure")</f>
        <v>Adventure</v>
      </c>
    </row>
    <row r="446">
      <c r="A446" s="278" t="str">
        <f>IFERROR(__xludf.DUMMYFUNCTION("""COMPUTED_VALUE"""),"Kentucky Route Zero")</f>
        <v>Kentucky Route Zero</v>
      </c>
      <c r="B446" s="20" t="str">
        <f>IFERROR(__xludf.DUMMYFUNCTION("""COMPUTED_VALUE"""),"Xbox / PC")</f>
        <v>Xbox / PC</v>
      </c>
      <c r="C446" s="20" t="str">
        <f>IFERROR(__xludf.DUMMYFUNCTION("""COMPUTED_VALUE"""),"Touch Controls")</f>
        <v>Touch Controls</v>
      </c>
      <c r="D446" s="21" t="str">
        <f>IFERROR(__xludf.DUMMYFUNCTION("""COMPUTED_VALUE"""),"Removed")</f>
        <v>Removed</v>
      </c>
      <c r="E446" s="279">
        <f>IFERROR(__xludf.DUMMYFUNCTION("""COMPUTED_VALUE"""),44630.0)</f>
        <v>44630</v>
      </c>
      <c r="F446" s="276">
        <f>IFERROR(__xludf.DUMMYFUNCTION("""COMPUTED_VALUE"""),45000.0)</f>
        <v>45000</v>
      </c>
      <c r="G446" s="27">
        <f>IFERROR(__xludf.DUMMYFUNCTION("""COMPUTED_VALUE"""),12.166666666666666)</f>
        <v>12.16666667</v>
      </c>
      <c r="H446" s="128">
        <f>IFERROR(__xludf.DUMMYFUNCTION("""COMPUTED_VALUE"""),41327.0)</f>
        <v>41327</v>
      </c>
      <c r="I446" s="27">
        <f>IFERROR(__xludf.DUMMYFUNCTION("""COMPUTED_VALUE"""),9.05)</f>
        <v>9.05</v>
      </c>
      <c r="J446" s="277">
        <f>IFERROR(__xludf.DUMMYFUNCTION("""COMPUTED_VALUE"""),86.5)</f>
        <v>86.5</v>
      </c>
      <c r="K446" s="277">
        <f>IFERROR(__xludf.DUMMYFUNCTION("""COMPUTED_VALUE"""),10.0)</f>
        <v>10</v>
      </c>
      <c r="L446" s="31" t="str">
        <f>IFERROR(__xludf.DUMMYFUNCTION("""COMPUTED_VALUE"""),"Adventure")</f>
        <v>Adventure</v>
      </c>
    </row>
    <row r="447">
      <c r="A447" s="278" t="str">
        <f>IFERROR(__xludf.DUMMYFUNCTION("""COMPUTED_VALUE"""),"Marvel's Guardians of the Galaxy")</f>
        <v>Marvel's Guardians of the Galaxy</v>
      </c>
      <c r="B447" s="20" t="str">
        <f>IFERROR(__xludf.DUMMYFUNCTION("""COMPUTED_VALUE"""),"Xbox / PC")</f>
        <v>Xbox / PC</v>
      </c>
      <c r="C447" s="21" t="str">
        <f>IFERROR(__xludf.DUMMYFUNCTION("""COMPUTED_VALUE"""),"Yes")</f>
        <v>Yes</v>
      </c>
      <c r="D447" s="21" t="str">
        <f>IFERROR(__xludf.DUMMYFUNCTION("""COMPUTED_VALUE"""),"Removed")</f>
        <v>Removed</v>
      </c>
      <c r="E447" s="279">
        <f>IFERROR(__xludf.DUMMYFUNCTION("""COMPUTED_VALUE"""),44630.0)</f>
        <v>44630</v>
      </c>
      <c r="F447" s="24">
        <f>IFERROR(__xludf.DUMMYFUNCTION("""COMPUTED_VALUE"""),45000.0)</f>
        <v>45000</v>
      </c>
      <c r="G447" s="27">
        <f>IFERROR(__xludf.DUMMYFUNCTION("""COMPUTED_VALUE"""),12.166666666666666)</f>
        <v>12.16666667</v>
      </c>
      <c r="H447" s="128">
        <f>IFERROR(__xludf.DUMMYFUNCTION("""COMPUTED_VALUE"""),44495.0)</f>
        <v>44495</v>
      </c>
      <c r="I447" s="27">
        <f>IFERROR(__xludf.DUMMYFUNCTION("""COMPUTED_VALUE"""),0.37222222222222223)</f>
        <v>0.3722222222</v>
      </c>
      <c r="J447" s="277">
        <f>IFERROR(__xludf.DUMMYFUNCTION("""COMPUTED_VALUE"""),81.0)</f>
        <v>81</v>
      </c>
      <c r="K447" s="29">
        <f>IFERROR(__xludf.DUMMYFUNCTION("""COMPUTED_VALUE"""),17.0)</f>
        <v>17</v>
      </c>
      <c r="L447" s="275" t="str">
        <f>IFERROR(__xludf.DUMMYFUNCTION("""COMPUTED_VALUE"""),"Action-Adventure")</f>
        <v>Action-Adventure</v>
      </c>
    </row>
    <row r="448">
      <c r="A448" s="278" t="str">
        <f>IFERROR(__xludf.DUMMYFUNCTION("""COMPUTED_VALUE"""),"Young Souls")</f>
        <v>Young Souls</v>
      </c>
      <c r="B448" s="20" t="str">
        <f>IFERROR(__xludf.DUMMYFUNCTION("""COMPUTED_VALUE"""),"Xbox / PC")</f>
        <v>Xbox / PC</v>
      </c>
      <c r="C448" s="20" t="str">
        <f>IFERROR(__xludf.DUMMYFUNCTION("""COMPUTED_VALUE"""),"Touch Controls")</f>
        <v>Touch Controls</v>
      </c>
      <c r="D448" s="21" t="str">
        <f>IFERROR(__xludf.DUMMYFUNCTION("""COMPUTED_VALUE"""),"Removed")</f>
        <v>Removed</v>
      </c>
      <c r="E448" s="279">
        <f>IFERROR(__xludf.DUMMYFUNCTION("""COMPUTED_VALUE"""),44630.0)</f>
        <v>44630</v>
      </c>
      <c r="F448" s="24">
        <f>IFERROR(__xludf.DUMMYFUNCTION("""COMPUTED_VALUE"""),45000.0)</f>
        <v>45000</v>
      </c>
      <c r="G448" s="27">
        <f>IFERROR(__xludf.DUMMYFUNCTION("""COMPUTED_VALUE"""),12.166666666666666)</f>
        <v>12.16666667</v>
      </c>
      <c r="H448" s="128">
        <f>IFERROR(__xludf.DUMMYFUNCTION("""COMPUTED_VALUE"""),44425.0)</f>
        <v>44425</v>
      </c>
      <c r="I448" s="27">
        <f>IFERROR(__xludf.DUMMYFUNCTION("""COMPUTED_VALUE"""),0.5638888888888889)</f>
        <v>0.5638888889</v>
      </c>
      <c r="J448" s="277">
        <f>IFERROR(__xludf.DUMMYFUNCTION("""COMPUTED_VALUE"""),83.0)</f>
        <v>83</v>
      </c>
      <c r="K448" s="29">
        <f>IFERROR(__xludf.DUMMYFUNCTION("""COMPUTED_VALUE"""),21.5)</f>
        <v>21.5</v>
      </c>
      <c r="L448" s="275" t="str">
        <f>IFERROR(__xludf.DUMMYFUNCTION("""COMPUTED_VALUE"""),"Action-Adventure")</f>
        <v>Action-Adventure</v>
      </c>
    </row>
    <row r="449">
      <c r="A449" s="278" t="str">
        <f>IFERROR(__xludf.DUMMYFUNCTION("""COMPUTED_VALUE"""),"F1 2020")</f>
        <v>F1 2020</v>
      </c>
      <c r="B449" s="20" t="str">
        <f>IFERROR(__xludf.DUMMYFUNCTION("""COMPUTED_VALUE"""),"Xbox")</f>
        <v>Xbox</v>
      </c>
      <c r="C449" s="20"/>
      <c r="D449" s="21" t="str">
        <f>IFERROR(__xludf.DUMMYFUNCTION("""COMPUTED_VALUE"""),"Removed")</f>
        <v>Removed</v>
      </c>
      <c r="E449" s="279">
        <f>IFERROR(__xludf.DUMMYFUNCTION("""COMPUTED_VALUE"""),44418.0)</f>
        <v>44418</v>
      </c>
      <c r="F449" s="24">
        <f>IFERROR(__xludf.DUMMYFUNCTION("""COMPUTED_VALUE"""),45000.0)</f>
        <v>45000</v>
      </c>
      <c r="G449" s="27">
        <f>IFERROR(__xludf.DUMMYFUNCTION("""COMPUTED_VALUE"""),19.166666666666668)</f>
        <v>19.16666667</v>
      </c>
      <c r="H449" s="128">
        <f>IFERROR(__xludf.DUMMYFUNCTION("""COMPUTED_VALUE"""),44022.0)</f>
        <v>44022</v>
      </c>
      <c r="I449" s="27">
        <f>IFERROR(__xludf.DUMMYFUNCTION("""COMPUTED_VALUE"""),1.0833333333333333)</f>
        <v>1.083333333</v>
      </c>
      <c r="J449" s="277">
        <f>IFERROR(__xludf.DUMMYFUNCTION("""COMPUTED_VALUE"""),91.0)</f>
        <v>91</v>
      </c>
      <c r="K449" s="277">
        <f>IFERROR(__xludf.DUMMYFUNCTION("""COMPUTED_VALUE"""),31.5)</f>
        <v>31.5</v>
      </c>
      <c r="L449" s="275" t="str">
        <f>IFERROR(__xludf.DUMMYFUNCTION("""COMPUTED_VALUE"""),"Racing")</f>
        <v>Racing</v>
      </c>
    </row>
    <row r="450">
      <c r="A450" s="278" t="str">
        <f>IFERROR(__xludf.DUMMYFUNCTION("""COMPUTED_VALUE"""),"Undertale")</f>
        <v>Undertale</v>
      </c>
      <c r="B450" s="20" t="str">
        <f>IFERROR(__xludf.DUMMYFUNCTION("""COMPUTED_VALUE"""),"Xbox / PC")</f>
        <v>Xbox / PC</v>
      </c>
      <c r="C450" s="21" t="str">
        <f>IFERROR(__xludf.DUMMYFUNCTION("""COMPUTED_VALUE"""),"Yes")</f>
        <v>Yes</v>
      </c>
      <c r="D450" s="21" t="str">
        <f>IFERROR(__xludf.DUMMYFUNCTION("""COMPUTED_VALUE"""),"Removed")</f>
        <v>Removed</v>
      </c>
      <c r="E450" s="279">
        <f>IFERROR(__xludf.DUMMYFUNCTION("""COMPUTED_VALUE"""),43650.0)</f>
        <v>43650</v>
      </c>
      <c r="F450" s="24">
        <f>IFERROR(__xludf.DUMMYFUNCTION("""COMPUTED_VALUE"""),45000.0)</f>
        <v>45000</v>
      </c>
      <c r="G450" s="27">
        <f>IFERROR(__xludf.DUMMYFUNCTION("""COMPUTED_VALUE"""),44.36666666666667)</f>
        <v>44.36666667</v>
      </c>
      <c r="H450" s="128">
        <f>IFERROR(__xludf.DUMMYFUNCTION("""COMPUTED_VALUE"""),42262.0)</f>
        <v>42262</v>
      </c>
      <c r="I450" s="27">
        <f>IFERROR(__xludf.DUMMYFUNCTION("""COMPUTED_VALUE"""),3.8027777777777776)</f>
        <v>3.802777778</v>
      </c>
      <c r="J450" s="277">
        <f>IFERROR(__xludf.DUMMYFUNCTION("""COMPUTED_VALUE"""),92.0)</f>
        <v>92</v>
      </c>
      <c r="K450" s="29">
        <f>IFERROR(__xludf.DUMMYFUNCTION("""COMPUTED_VALUE"""),6.5)</f>
        <v>6.5</v>
      </c>
      <c r="L450" s="275" t="str">
        <f>IFERROR(__xludf.DUMMYFUNCTION("""COMPUTED_VALUE"""),"RPG")</f>
        <v>RPG</v>
      </c>
    </row>
    <row r="451">
      <c r="A451" s="278" t="str">
        <f>IFERROR(__xludf.DUMMYFUNCTION("""COMPUTED_VALUE"""),"Lightning Returns: Final Fantasy XIII")</f>
        <v>Lightning Returns: Final Fantasy XIII</v>
      </c>
      <c r="B451" s="20" t="str">
        <f>IFERROR(__xludf.DUMMYFUNCTION("""COMPUTED_VALUE"""),"Xbox / PC")</f>
        <v>Xbox / PC</v>
      </c>
      <c r="C451" s="20"/>
      <c r="D451" s="21" t="str">
        <f>IFERROR(__xludf.DUMMYFUNCTION("""COMPUTED_VALUE"""),"Removed")</f>
        <v>Removed</v>
      </c>
      <c r="E451" s="279">
        <f>IFERROR(__xludf.DUMMYFUNCTION("""COMPUTED_VALUE"""),44623.0)</f>
        <v>44623</v>
      </c>
      <c r="F451" s="24">
        <f>IFERROR(__xludf.DUMMYFUNCTION("""COMPUTED_VALUE"""),44985.0)</f>
        <v>44985</v>
      </c>
      <c r="G451" s="27">
        <f>IFERROR(__xludf.DUMMYFUNCTION("""COMPUTED_VALUE"""),11.833333333333334)</f>
        <v>11.83333333</v>
      </c>
      <c r="H451" s="128">
        <f>IFERROR(__xludf.DUMMYFUNCTION("""COMPUTED_VALUE"""),41599.0)</f>
        <v>41599</v>
      </c>
      <c r="I451" s="27">
        <f>IFERROR(__xludf.DUMMYFUNCTION("""COMPUTED_VALUE"""),8.283333333333333)</f>
        <v>8.283333333</v>
      </c>
      <c r="J451" s="277">
        <f>IFERROR(__xludf.DUMMYFUNCTION("""COMPUTED_VALUE"""),67.5)</f>
        <v>67.5</v>
      </c>
      <c r="K451" s="277">
        <f>IFERROR(__xludf.DUMMYFUNCTION("""COMPUTED_VALUE"""),33.5)</f>
        <v>33.5</v>
      </c>
      <c r="L451" s="275" t="str">
        <f>IFERROR(__xludf.DUMMYFUNCTION("""COMPUTED_VALUE"""),"RPG")</f>
        <v>RPG</v>
      </c>
    </row>
    <row r="452">
      <c r="A452" s="278" t="str">
        <f>IFERROR(__xludf.DUMMYFUNCTION("""COMPUTED_VALUE"""),"FAR: Changing Tides")</f>
        <v>FAR: Changing Tides</v>
      </c>
      <c r="B452" s="20" t="str">
        <f>IFERROR(__xludf.DUMMYFUNCTION("""COMPUTED_VALUE"""),"Xbox / PC")</f>
        <v>Xbox / PC</v>
      </c>
      <c r="C452" s="21" t="str">
        <f>IFERROR(__xludf.DUMMYFUNCTION("""COMPUTED_VALUE"""),"Touch Controls")</f>
        <v>Touch Controls</v>
      </c>
      <c r="D452" s="21" t="str">
        <f>IFERROR(__xludf.DUMMYFUNCTION("""COMPUTED_VALUE"""),"Removed")</f>
        <v>Removed</v>
      </c>
      <c r="E452" s="279">
        <f>IFERROR(__xludf.DUMMYFUNCTION("""COMPUTED_VALUE"""),44621.0)</f>
        <v>44621</v>
      </c>
      <c r="F452" s="24">
        <f>IFERROR(__xludf.DUMMYFUNCTION("""COMPUTED_VALUE"""),44985.0)</f>
        <v>44985</v>
      </c>
      <c r="G452" s="27">
        <f>IFERROR(__xludf.DUMMYFUNCTION("""COMPUTED_VALUE"""),11.9)</f>
        <v>11.9</v>
      </c>
      <c r="H452" s="128">
        <f>IFERROR(__xludf.DUMMYFUNCTION("""COMPUTED_VALUE"""),44621.0)</f>
        <v>44621</v>
      </c>
      <c r="I452" s="27">
        <f>IFERROR(__xludf.DUMMYFUNCTION("""COMPUTED_VALUE"""),0.0)</f>
        <v>0</v>
      </c>
      <c r="J452" s="277">
        <f>IFERROR(__xludf.DUMMYFUNCTION("""COMPUTED_VALUE"""),76.5)</f>
        <v>76.5</v>
      </c>
      <c r="K452" s="277">
        <f>IFERROR(__xludf.DUMMYFUNCTION("""COMPUTED_VALUE"""),5.0)</f>
        <v>5</v>
      </c>
      <c r="L452" s="275" t="str">
        <f>IFERROR(__xludf.DUMMYFUNCTION("""COMPUTED_VALUE"""),"Adventure")</f>
        <v>Adventure</v>
      </c>
    </row>
    <row r="453">
      <c r="A453" s="278" t="str">
        <f>IFERROR(__xludf.DUMMYFUNCTION("""COMPUTED_VALUE"""),"Dragon Ball FighterZ")</f>
        <v>Dragon Ball FighterZ</v>
      </c>
      <c r="B453" s="20" t="str">
        <f>IFERROR(__xludf.DUMMYFUNCTION("""COMPUTED_VALUE"""),"Xbox / PC")</f>
        <v>Xbox / PC</v>
      </c>
      <c r="C453" s="20" t="str">
        <f>IFERROR(__xludf.DUMMYFUNCTION("""COMPUTED_VALUE"""),"Yes")</f>
        <v>Yes</v>
      </c>
      <c r="D453" s="21" t="str">
        <f>IFERROR(__xludf.DUMMYFUNCTION("""COMPUTED_VALUE"""),"Removed")</f>
        <v>Removed</v>
      </c>
      <c r="E453" s="279">
        <f>IFERROR(__xludf.DUMMYFUNCTION("""COMPUTED_VALUE"""),44490.0)</f>
        <v>44490</v>
      </c>
      <c r="F453" s="24">
        <f>IFERROR(__xludf.DUMMYFUNCTION("""COMPUTED_VALUE"""),44985.0)</f>
        <v>44985</v>
      </c>
      <c r="G453" s="27">
        <f>IFERROR(__xludf.DUMMYFUNCTION("""COMPUTED_VALUE"""),16.233333333333334)</f>
        <v>16.23333333</v>
      </c>
      <c r="H453" s="128">
        <f>IFERROR(__xludf.DUMMYFUNCTION("""COMPUTED_VALUE"""),43126.0)</f>
        <v>43126</v>
      </c>
      <c r="I453" s="27">
        <f>IFERROR(__xludf.DUMMYFUNCTION("""COMPUTED_VALUE"""),3.736111111111111)</f>
        <v>3.736111111</v>
      </c>
      <c r="J453" s="29">
        <f>IFERROR(__xludf.DUMMYFUNCTION("""COMPUTED_VALUE"""),85.5)</f>
        <v>85.5</v>
      </c>
      <c r="K453" s="29">
        <f>IFERROR(__xludf.DUMMYFUNCTION("""COMPUTED_VALUE"""),12.0)</f>
        <v>12</v>
      </c>
      <c r="L453" s="275" t="str">
        <f>IFERROR(__xludf.DUMMYFUNCTION("""COMPUTED_VALUE"""),"Fighting")</f>
        <v>Fighting</v>
      </c>
    </row>
    <row r="454">
      <c r="A454" s="278" t="str">
        <f>IFERROR(__xludf.DUMMYFUNCTION("""COMPUTED_VALUE"""),"Crown Trick")</f>
        <v>Crown Trick</v>
      </c>
      <c r="B454" s="20" t="str">
        <f>IFERROR(__xludf.DUMMYFUNCTION("""COMPUTED_VALUE"""),"Xbox / PC")</f>
        <v>Xbox / PC</v>
      </c>
      <c r="C454" s="21" t="str">
        <f>IFERROR(__xludf.DUMMYFUNCTION("""COMPUTED_VALUE"""),"Touch Controls")</f>
        <v>Touch Controls</v>
      </c>
      <c r="D454" s="21" t="str">
        <f>IFERROR(__xludf.DUMMYFUNCTION("""COMPUTED_VALUE"""),"Removed")</f>
        <v>Removed</v>
      </c>
      <c r="E454" s="279">
        <f>IFERROR(__xludf.DUMMYFUNCTION("""COMPUTED_VALUE"""),44446.0)</f>
        <v>44446</v>
      </c>
      <c r="F454" s="24">
        <f>IFERROR(__xludf.DUMMYFUNCTION("""COMPUTED_VALUE"""),44985.0)</f>
        <v>44985</v>
      </c>
      <c r="G454" s="27">
        <f>IFERROR(__xludf.DUMMYFUNCTION("""COMPUTED_VALUE"""),17.700000000000003)</f>
        <v>17.7</v>
      </c>
      <c r="H454" s="128">
        <f>IFERROR(__xludf.DUMMYFUNCTION("""COMPUTED_VALUE"""),44120.0)</f>
        <v>44120</v>
      </c>
      <c r="I454" s="27">
        <f>IFERROR(__xludf.DUMMYFUNCTION("""COMPUTED_VALUE"""),0.8916666666666667)</f>
        <v>0.8916666667</v>
      </c>
      <c r="J454" s="277">
        <f>IFERROR(__xludf.DUMMYFUNCTION("""COMPUTED_VALUE"""),83.0)</f>
        <v>83</v>
      </c>
      <c r="K454" s="29">
        <f>IFERROR(__xludf.DUMMYFUNCTION("""COMPUTED_VALUE"""),17.0)</f>
        <v>17</v>
      </c>
      <c r="L454" s="275" t="str">
        <f>IFERROR(__xludf.DUMMYFUNCTION("""COMPUTED_VALUE"""),"RPG")</f>
        <v>RPG</v>
      </c>
    </row>
    <row r="455">
      <c r="A455" s="278" t="str">
        <f>IFERROR(__xludf.DUMMYFUNCTION("""COMPUTED_VALUE"""),"Madden NFL 21")</f>
        <v>Madden NFL 21</v>
      </c>
      <c r="B455" s="20" t="str">
        <f>IFERROR(__xludf.DUMMYFUNCTION("""COMPUTED_VALUE"""),"Xbox / PC")</f>
        <v>Xbox / PC</v>
      </c>
      <c r="C455" s="21"/>
      <c r="D455" s="21" t="str">
        <f>IFERROR(__xludf.DUMMYFUNCTION("""COMPUTED_VALUE"""),"Removed")</f>
        <v>Removed</v>
      </c>
      <c r="E455" s="279">
        <f>IFERROR(__xludf.DUMMYFUNCTION("""COMPUTED_VALUE"""),44257.0)</f>
        <v>44257</v>
      </c>
      <c r="F455" s="24">
        <f>IFERROR(__xludf.DUMMYFUNCTION("""COMPUTED_VALUE"""),44985.0)</f>
        <v>44985</v>
      </c>
      <c r="G455" s="27">
        <f>IFERROR(__xludf.DUMMYFUNCTION("""COMPUTED_VALUE"""),23.866666666666667)</f>
        <v>23.86666667</v>
      </c>
      <c r="H455" s="128">
        <f>IFERROR(__xludf.DUMMYFUNCTION("""COMPUTED_VALUE"""),44071.0)</f>
        <v>44071</v>
      </c>
      <c r="I455" s="27">
        <f>IFERROR(__xludf.DUMMYFUNCTION("""COMPUTED_VALUE"""),0.5111111111111111)</f>
        <v>0.5111111111</v>
      </c>
      <c r="J455" s="277">
        <f>IFERROR(__xludf.DUMMYFUNCTION("""COMPUTED_VALUE"""),66.0)</f>
        <v>66</v>
      </c>
      <c r="K455" s="29">
        <f>IFERROR(__xludf.DUMMYFUNCTION("""COMPUTED_VALUE"""),21.5)</f>
        <v>21.5</v>
      </c>
      <c r="L455" s="275" t="str">
        <f>IFERROR(__xludf.DUMMYFUNCTION("""COMPUTED_VALUE"""),"Sports")</f>
        <v>Sports</v>
      </c>
    </row>
    <row r="456">
      <c r="A456" s="278" t="str">
        <f>IFERROR(__xludf.DUMMYFUNCTION("""COMPUTED_VALUE"""),"Alien: Isolation")</f>
        <v>Alien: Isolation</v>
      </c>
      <c r="B456" s="20" t="str">
        <f>IFERROR(__xludf.DUMMYFUNCTION("""COMPUTED_VALUE"""),"Xbox / PC")</f>
        <v>Xbox / PC</v>
      </c>
      <c r="C456" s="20"/>
      <c r="D456" s="21" t="str">
        <f>IFERROR(__xludf.DUMMYFUNCTION("""COMPUTED_VALUE"""),"Removed")</f>
        <v>Removed</v>
      </c>
      <c r="E456" s="279">
        <f>IFERROR(__xludf.DUMMYFUNCTION("""COMPUTED_VALUE"""),43524.0)</f>
        <v>43524</v>
      </c>
      <c r="F456" s="24">
        <f>IFERROR(__xludf.DUMMYFUNCTION("""COMPUTED_VALUE"""),44985.0)</f>
        <v>44985</v>
      </c>
      <c r="G456" s="27">
        <f>IFERROR(__xludf.DUMMYFUNCTION("""COMPUTED_VALUE"""),48.0)</f>
        <v>48</v>
      </c>
      <c r="H456" s="128">
        <f>IFERROR(__xludf.DUMMYFUNCTION("""COMPUTED_VALUE"""),41919.0)</f>
        <v>41919</v>
      </c>
      <c r="I456" s="27">
        <f>IFERROR(__xludf.DUMMYFUNCTION("""COMPUTED_VALUE"""),4.391666666666667)</f>
        <v>4.391666667</v>
      </c>
      <c r="J456" s="29">
        <f>IFERROR(__xludf.DUMMYFUNCTION("""COMPUTED_VALUE"""),78.0)</f>
        <v>78</v>
      </c>
      <c r="K456" s="29">
        <f>IFERROR(__xludf.DUMMYFUNCTION("""COMPUTED_VALUE"""),18.5)</f>
        <v>18.5</v>
      </c>
      <c r="L456" s="275" t="str">
        <f>IFERROR(__xludf.DUMMYFUNCTION("""COMPUTED_VALUE"""),"Action-Adventure")</f>
        <v>Action-Adventure</v>
      </c>
    </row>
    <row r="457">
      <c r="A457" s="278" t="str">
        <f>IFERROR(__xludf.DUMMYFUNCTION("""COMPUTED_VALUE"""),"Infernax")</f>
        <v>Infernax</v>
      </c>
      <c r="B457" s="20" t="str">
        <f>IFERROR(__xludf.DUMMYFUNCTION("""COMPUTED_VALUE"""),"Xbox / PC")</f>
        <v>Xbox / PC</v>
      </c>
      <c r="C457" s="21" t="str">
        <f>IFERROR(__xludf.DUMMYFUNCTION("""COMPUTED_VALUE"""),"Yes")</f>
        <v>Yes</v>
      </c>
      <c r="D457" s="21" t="str">
        <f>IFERROR(__xludf.DUMMYFUNCTION("""COMPUTED_VALUE"""),"Removed")</f>
        <v>Removed</v>
      </c>
      <c r="E457" s="279">
        <f>IFERROR(__xludf.DUMMYFUNCTION("""COMPUTED_VALUE"""),44604.0)</f>
        <v>44604</v>
      </c>
      <c r="F457" s="279">
        <f>IFERROR(__xludf.DUMMYFUNCTION("""COMPUTED_VALUE"""),44972.0)</f>
        <v>44972</v>
      </c>
      <c r="G457" s="27">
        <f>IFERROR(__xludf.DUMMYFUNCTION("""COMPUTED_VALUE"""),12.1)</f>
        <v>12.1</v>
      </c>
      <c r="H457" s="128">
        <f>IFERROR(__xludf.DUMMYFUNCTION("""COMPUTED_VALUE"""),44604.0)</f>
        <v>44604</v>
      </c>
      <c r="I457" s="27">
        <f>IFERROR(__xludf.DUMMYFUNCTION("""COMPUTED_VALUE"""),0.0)</f>
        <v>0</v>
      </c>
      <c r="J457" s="29">
        <f>IFERROR(__xludf.DUMMYFUNCTION("""COMPUTED_VALUE"""),84.5)</f>
        <v>84.5</v>
      </c>
      <c r="K457" s="29">
        <f>IFERROR(__xludf.DUMMYFUNCTION("""COMPUTED_VALUE"""),7.0)</f>
        <v>7</v>
      </c>
      <c r="L457" s="275" t="str">
        <f>IFERROR(__xludf.DUMMYFUNCTION("""COMPUTED_VALUE"""),"Action-Adventure")</f>
        <v>Action-Adventure</v>
      </c>
    </row>
    <row r="458">
      <c r="A458" s="17" t="str">
        <f>IFERROR(__xludf.DUMMYFUNCTION("""COMPUTED_VALUE"""),"CrossfireX")</f>
        <v>CrossfireX</v>
      </c>
      <c r="B458" s="20" t="str">
        <f>IFERROR(__xludf.DUMMYFUNCTION("""COMPUTED_VALUE"""),"Xbox")</f>
        <v>Xbox</v>
      </c>
      <c r="C458" s="20" t="str">
        <f>IFERROR(__xludf.DUMMYFUNCTION("""COMPUTED_VALUE"""),"Yes")</f>
        <v>Yes</v>
      </c>
      <c r="D458" s="21" t="str">
        <f>IFERROR(__xludf.DUMMYFUNCTION("""COMPUTED_VALUE"""),"Removed")</f>
        <v>Removed</v>
      </c>
      <c r="E458" s="279">
        <f>IFERROR(__xludf.DUMMYFUNCTION("""COMPUTED_VALUE"""),44602.0)</f>
        <v>44602</v>
      </c>
      <c r="F458" s="24">
        <f>IFERROR(__xludf.DUMMYFUNCTION("""COMPUTED_VALUE"""),44972.0)</f>
        <v>44972</v>
      </c>
      <c r="G458" s="27">
        <f>IFERROR(__xludf.DUMMYFUNCTION("""COMPUTED_VALUE"""),12.166666666666666)</f>
        <v>12.16666667</v>
      </c>
      <c r="H458" s="128">
        <f>IFERROR(__xludf.DUMMYFUNCTION("""COMPUTED_VALUE"""),44602.0)</f>
        <v>44602</v>
      </c>
      <c r="I458" s="27">
        <f>IFERROR(__xludf.DUMMYFUNCTION("""COMPUTED_VALUE"""),0.0)</f>
        <v>0</v>
      </c>
      <c r="J458" s="277">
        <f>IFERROR(__xludf.DUMMYFUNCTION("""COMPUTED_VALUE"""),43.0)</f>
        <v>43</v>
      </c>
      <c r="K458" s="29">
        <f>IFERROR(__xludf.DUMMYFUNCTION("""COMPUTED_VALUE"""),3.0)</f>
        <v>3</v>
      </c>
      <c r="L458" s="275" t="str">
        <f>IFERROR(__xludf.DUMMYFUNCTION("""COMPUTED_VALUE"""),"Shooter")</f>
        <v>Shooter</v>
      </c>
    </row>
    <row r="459">
      <c r="A459" s="278" t="str">
        <f>IFERROR(__xludf.DUMMYFUNCTION("""COMPUTED_VALUE"""),"Skul: The Hero Slayer")</f>
        <v>Skul: The Hero Slayer</v>
      </c>
      <c r="B459" s="20" t="str">
        <f>IFERROR(__xludf.DUMMYFUNCTION("""COMPUTED_VALUE"""),"Xbox / PC")</f>
        <v>Xbox / PC</v>
      </c>
      <c r="C459" s="20" t="str">
        <f>IFERROR(__xludf.DUMMYFUNCTION("""COMPUTED_VALUE"""),"Yes")</f>
        <v>Yes</v>
      </c>
      <c r="D459" s="21" t="str">
        <f>IFERROR(__xludf.DUMMYFUNCTION("""COMPUTED_VALUE"""),"Removed")</f>
        <v>Removed</v>
      </c>
      <c r="E459" s="279">
        <f>IFERROR(__xludf.DUMMYFUNCTION("""COMPUTED_VALUE"""),44602.0)</f>
        <v>44602</v>
      </c>
      <c r="F459" s="24">
        <f>IFERROR(__xludf.DUMMYFUNCTION("""COMPUTED_VALUE"""),44972.0)</f>
        <v>44972</v>
      </c>
      <c r="G459" s="27">
        <f>IFERROR(__xludf.DUMMYFUNCTION("""COMPUTED_VALUE"""),12.166666666666666)</f>
        <v>12.16666667</v>
      </c>
      <c r="H459" s="128">
        <f>IFERROR(__xludf.DUMMYFUNCTION("""COMPUTED_VALUE"""),43880.0)</f>
        <v>43880</v>
      </c>
      <c r="I459" s="27">
        <f>IFERROR(__xludf.DUMMYFUNCTION("""COMPUTED_VALUE"""),1.975)</f>
        <v>1.975</v>
      </c>
      <c r="J459" s="277">
        <f>IFERROR(__xludf.DUMMYFUNCTION("""COMPUTED_VALUE"""),80.0)</f>
        <v>80</v>
      </c>
      <c r="K459" s="277">
        <f>IFERROR(__xludf.DUMMYFUNCTION("""COMPUTED_VALUE"""),21.5)</f>
        <v>21.5</v>
      </c>
      <c r="L459" s="275" t="str">
        <f>IFERROR(__xludf.DUMMYFUNCTION("""COMPUTED_VALUE"""),"Platformer")</f>
        <v>Platformer</v>
      </c>
    </row>
    <row r="460">
      <c r="A460" s="278" t="str">
        <f>IFERROR(__xludf.DUMMYFUNCTION("""COMPUTED_VALUE"""),"The Last Kids on Earth and the Staff of Doom")</f>
        <v>The Last Kids on Earth and the Staff of Doom</v>
      </c>
      <c r="B460" s="20" t="str">
        <f>IFERROR(__xludf.DUMMYFUNCTION("""COMPUTED_VALUE"""),"Xbox / PC")</f>
        <v>Xbox / PC</v>
      </c>
      <c r="C460" s="21" t="str">
        <f>IFERROR(__xludf.DUMMYFUNCTION("""COMPUTED_VALUE"""),"Touch Controls")</f>
        <v>Touch Controls</v>
      </c>
      <c r="D460" s="21" t="str">
        <f>IFERROR(__xludf.DUMMYFUNCTION("""COMPUTED_VALUE"""),"Removed")</f>
        <v>Removed</v>
      </c>
      <c r="E460" s="279">
        <f>IFERROR(__xludf.DUMMYFUNCTION("""COMPUTED_VALUE"""),44602.0)</f>
        <v>44602</v>
      </c>
      <c r="F460" s="24">
        <f>IFERROR(__xludf.DUMMYFUNCTION("""COMPUTED_VALUE"""),44972.0)</f>
        <v>44972</v>
      </c>
      <c r="G460" s="27">
        <f>IFERROR(__xludf.DUMMYFUNCTION("""COMPUTED_VALUE"""),12.166666666666666)</f>
        <v>12.16666667</v>
      </c>
      <c r="H460" s="128">
        <f>IFERROR(__xludf.DUMMYFUNCTION("""COMPUTED_VALUE"""),44351.0)</f>
        <v>44351</v>
      </c>
      <c r="I460" s="27">
        <f>IFERROR(__xludf.DUMMYFUNCTION("""COMPUTED_VALUE"""),0.6833333333333333)</f>
        <v>0.6833333333</v>
      </c>
      <c r="J460" s="277">
        <f>IFERROR(__xludf.DUMMYFUNCTION("""COMPUTED_VALUE"""),60.0)</f>
        <v>60</v>
      </c>
      <c r="K460" s="277">
        <f>IFERROR(__xludf.DUMMYFUNCTION("""COMPUTED_VALUE"""),6.0)</f>
        <v>6</v>
      </c>
      <c r="L460" s="275" t="str">
        <f>IFERROR(__xludf.DUMMYFUNCTION("""COMPUTED_VALUE"""),"RPG")</f>
        <v>RPG</v>
      </c>
    </row>
    <row r="461">
      <c r="A461" s="278" t="str">
        <f>IFERROR(__xludf.DUMMYFUNCTION("""COMPUTED_VALUE"""),"Recompile")</f>
        <v>Recompile</v>
      </c>
      <c r="B461" s="20" t="str">
        <f>IFERROR(__xludf.DUMMYFUNCTION("""COMPUTED_VALUE"""),"Xbox / PC")</f>
        <v>Xbox / PC</v>
      </c>
      <c r="C461" s="20" t="str">
        <f>IFERROR(__xludf.DUMMYFUNCTION("""COMPUTED_VALUE"""),"Yes")</f>
        <v>Yes</v>
      </c>
      <c r="D461" s="21" t="str">
        <f>IFERROR(__xludf.DUMMYFUNCTION("""COMPUTED_VALUE"""),"Removed")</f>
        <v>Removed</v>
      </c>
      <c r="E461" s="279">
        <f>IFERROR(__xludf.DUMMYFUNCTION("""COMPUTED_VALUE"""),44427.0)</f>
        <v>44427</v>
      </c>
      <c r="F461" s="24">
        <f>IFERROR(__xludf.DUMMYFUNCTION("""COMPUTED_VALUE"""),44972.0)</f>
        <v>44972</v>
      </c>
      <c r="G461" s="27">
        <f>IFERROR(__xludf.DUMMYFUNCTION("""COMPUTED_VALUE"""),17.866666666666667)</f>
        <v>17.86666667</v>
      </c>
      <c r="H461" s="128">
        <f>IFERROR(__xludf.DUMMYFUNCTION("""COMPUTED_VALUE"""),44427.0)</f>
        <v>44427</v>
      </c>
      <c r="I461" s="27">
        <f>IFERROR(__xludf.DUMMYFUNCTION("""COMPUTED_VALUE"""),0.0)</f>
        <v>0</v>
      </c>
      <c r="J461" s="277">
        <f>IFERROR(__xludf.DUMMYFUNCTION("""COMPUTED_VALUE"""),63.5)</f>
        <v>63.5</v>
      </c>
      <c r="K461" s="29">
        <f>IFERROR(__xludf.DUMMYFUNCTION("""COMPUTED_VALUE"""),4.5)</f>
        <v>4.5</v>
      </c>
      <c r="L461" s="275" t="str">
        <f>IFERROR(__xludf.DUMMYFUNCTION("""COMPUTED_VALUE"""),"Action-Adventure")</f>
        <v>Action-Adventure</v>
      </c>
    </row>
    <row r="462">
      <c r="A462" s="278" t="str">
        <f>IFERROR(__xludf.DUMMYFUNCTION("""COMPUTED_VALUE"""),"Telling Lies")</f>
        <v>Telling Lies</v>
      </c>
      <c r="B462" s="20" t="str">
        <f>IFERROR(__xludf.DUMMYFUNCTION("""COMPUTED_VALUE"""),"Xbox / PC")</f>
        <v>Xbox / PC</v>
      </c>
      <c r="C462" s="20" t="str">
        <f>IFERROR(__xludf.DUMMYFUNCTION("""COMPUTED_VALUE"""),"Touch Controls")</f>
        <v>Touch Controls</v>
      </c>
      <c r="D462" s="21" t="str">
        <f>IFERROR(__xludf.DUMMYFUNCTION("""COMPUTED_VALUE"""),"Removed")</f>
        <v>Removed</v>
      </c>
      <c r="E462" s="279">
        <f>IFERROR(__xludf.DUMMYFUNCTION("""COMPUTED_VALUE"""),44595.0)</f>
        <v>44595</v>
      </c>
      <c r="F462" s="24">
        <f>IFERROR(__xludf.DUMMYFUNCTION("""COMPUTED_VALUE"""),44957.0)</f>
        <v>44957</v>
      </c>
      <c r="G462" s="27">
        <f>IFERROR(__xludf.DUMMYFUNCTION("""COMPUTED_VALUE"""),11.9)</f>
        <v>11.9</v>
      </c>
      <c r="H462" s="128">
        <f>IFERROR(__xludf.DUMMYFUNCTION("""COMPUTED_VALUE"""),43700.0)</f>
        <v>43700</v>
      </c>
      <c r="I462" s="27">
        <f>IFERROR(__xludf.DUMMYFUNCTION("""COMPUTED_VALUE"""),2.4444444444444446)</f>
        <v>2.444444444</v>
      </c>
      <c r="J462" s="277">
        <f>IFERROR(__xludf.DUMMYFUNCTION("""COMPUTED_VALUE"""),82.0)</f>
        <v>82</v>
      </c>
      <c r="K462" s="29">
        <f>IFERROR(__xludf.DUMMYFUNCTION("""COMPUTED_VALUE"""),4.0)</f>
        <v>4</v>
      </c>
      <c r="L462" s="275" t="str">
        <f>IFERROR(__xludf.DUMMYFUNCTION("""COMPUTED_VALUE"""),"Adventure")</f>
        <v>Adventure</v>
      </c>
    </row>
    <row r="463">
      <c r="A463" s="278" t="str">
        <f>IFERROR(__xludf.DUMMYFUNCTION("""COMPUTED_VALUE"""),"Taiko no Tatsujin: The Drum Master")</f>
        <v>Taiko no Tatsujin: The Drum Master</v>
      </c>
      <c r="B463" s="20" t="str">
        <f>IFERROR(__xludf.DUMMYFUNCTION("""COMPUTED_VALUE"""),"Xbox / PC")</f>
        <v>Xbox / PC</v>
      </c>
      <c r="C463" s="20"/>
      <c r="D463" s="21" t="str">
        <f>IFERROR(__xludf.DUMMYFUNCTION("""COMPUTED_VALUE"""),"Removed")</f>
        <v>Removed</v>
      </c>
      <c r="E463" s="279">
        <f>IFERROR(__xludf.DUMMYFUNCTION("""COMPUTED_VALUE"""),44588.0)</f>
        <v>44588</v>
      </c>
      <c r="F463" s="24">
        <f>IFERROR(__xludf.DUMMYFUNCTION("""COMPUTED_VALUE"""),44957.0)</f>
        <v>44957</v>
      </c>
      <c r="G463" s="27">
        <f>IFERROR(__xludf.DUMMYFUNCTION("""COMPUTED_VALUE"""),12.1)</f>
        <v>12.1</v>
      </c>
      <c r="H463" s="128">
        <f>IFERROR(__xludf.DUMMYFUNCTION("""COMPUTED_VALUE"""),44581.0)</f>
        <v>44581</v>
      </c>
      <c r="I463" s="27">
        <f>IFERROR(__xludf.DUMMYFUNCTION("""COMPUTED_VALUE"""),0.019444444444444445)</f>
        <v>0.01944444444</v>
      </c>
      <c r="J463" s="29">
        <f>IFERROR(__xludf.DUMMYFUNCTION("""COMPUTED_VALUE"""),80.0)</f>
        <v>80</v>
      </c>
      <c r="K463" s="29">
        <f>IFERROR(__xludf.DUMMYFUNCTION("""COMPUTED_VALUE"""),2.5)</f>
        <v>2.5</v>
      </c>
      <c r="L463" s="275" t="str">
        <f>IFERROR(__xludf.DUMMYFUNCTION("""COMPUTED_VALUE"""),"Music/Rhythm")</f>
        <v>Music/Rhythm</v>
      </c>
    </row>
    <row r="464">
      <c r="A464" s="278" t="str">
        <f>IFERROR(__xludf.DUMMYFUNCTION("""COMPUTED_VALUE"""),"Worms W.M.D")</f>
        <v>Worms W.M.D</v>
      </c>
      <c r="B464" s="20" t="str">
        <f>IFERROR(__xludf.DUMMYFUNCTION("""COMPUTED_VALUE"""),"Xbox / PC")</f>
        <v>Xbox / PC</v>
      </c>
      <c r="C464" s="21" t="str">
        <f>IFERROR(__xludf.DUMMYFUNCTION("""COMPUTED_VALUE"""),"Yes")</f>
        <v>Yes</v>
      </c>
      <c r="D464" s="21" t="str">
        <f>IFERROR(__xludf.DUMMYFUNCTION("""COMPUTED_VALUE"""),"Removed")</f>
        <v>Removed</v>
      </c>
      <c r="E464" s="279">
        <f>IFERROR(__xludf.DUMMYFUNCTION("""COMPUTED_VALUE"""),43669.0)</f>
        <v>43669</v>
      </c>
      <c r="F464" s="24">
        <f>IFERROR(__xludf.DUMMYFUNCTION("""COMPUTED_VALUE"""),44957.0)</f>
        <v>44957</v>
      </c>
      <c r="G464" s="27">
        <f>IFERROR(__xludf.DUMMYFUNCTION("""COMPUTED_VALUE"""),42.233333333333334)</f>
        <v>42.23333333</v>
      </c>
      <c r="H464" s="128">
        <f>IFERROR(__xludf.DUMMYFUNCTION("""COMPUTED_VALUE"""),42605.0)</f>
        <v>42605</v>
      </c>
      <c r="I464" s="27">
        <f>IFERROR(__xludf.DUMMYFUNCTION("""COMPUTED_VALUE"""),2.9166666666666665)</f>
        <v>2.916666667</v>
      </c>
      <c r="J464" s="277">
        <f>IFERROR(__xludf.DUMMYFUNCTION("""COMPUTED_VALUE"""),75.0)</f>
        <v>75</v>
      </c>
      <c r="K464" s="29">
        <f>IFERROR(__xludf.DUMMYFUNCTION("""COMPUTED_VALUE"""),13.0)</f>
        <v>13</v>
      </c>
      <c r="L464" s="275" t="str">
        <f>IFERROR(__xludf.DUMMYFUNCTION("""COMPUTED_VALUE"""),"Action")</f>
        <v>Action</v>
      </c>
    </row>
    <row r="465">
      <c r="A465" s="278" t="str">
        <f>IFERROR(__xludf.DUMMYFUNCTION("""COMPUTED_VALUE"""),"Pupperazzi")</f>
        <v>Pupperazzi</v>
      </c>
      <c r="B465" s="20" t="str">
        <f>IFERROR(__xludf.DUMMYFUNCTION("""COMPUTED_VALUE"""),"Xbox / PC")</f>
        <v>Xbox / PC</v>
      </c>
      <c r="C465" s="21" t="str">
        <f>IFERROR(__xludf.DUMMYFUNCTION("""COMPUTED_VALUE"""),"Touch Controls")</f>
        <v>Touch Controls</v>
      </c>
      <c r="D465" s="21" t="str">
        <f>IFERROR(__xludf.DUMMYFUNCTION("""COMPUTED_VALUE"""),"Removed")</f>
        <v>Removed</v>
      </c>
      <c r="E465" s="279">
        <f>IFERROR(__xludf.DUMMYFUNCTION("""COMPUTED_VALUE"""),44581.0)</f>
        <v>44581</v>
      </c>
      <c r="F465" s="24">
        <f>IFERROR(__xludf.DUMMYFUNCTION("""COMPUTED_VALUE"""),44941.0)</f>
        <v>44941</v>
      </c>
      <c r="G465" s="27">
        <f>IFERROR(__xludf.DUMMYFUNCTION("""COMPUTED_VALUE"""),11.833333333333334)</f>
        <v>11.83333333</v>
      </c>
      <c r="H465" s="128">
        <f>IFERROR(__xludf.DUMMYFUNCTION("""COMPUTED_VALUE"""),44581.0)</f>
        <v>44581</v>
      </c>
      <c r="I465" s="27">
        <f>IFERROR(__xludf.DUMMYFUNCTION("""COMPUTED_VALUE"""),0.0)</f>
        <v>0</v>
      </c>
      <c r="J465" s="277">
        <f>IFERROR(__xludf.DUMMYFUNCTION("""COMPUTED_VALUE"""),68.0)</f>
        <v>68</v>
      </c>
      <c r="K465" s="277">
        <f>IFERROR(__xludf.DUMMYFUNCTION("""COMPUTED_VALUE"""),1.5)</f>
        <v>1.5</v>
      </c>
      <c r="L465" s="275" t="str">
        <f>IFERROR(__xludf.DUMMYFUNCTION("""COMPUTED_VALUE"""),"Adventure")</f>
        <v>Adventure</v>
      </c>
    </row>
    <row r="466">
      <c r="A466" s="278" t="str">
        <f>IFERROR(__xludf.DUMMYFUNCTION("""COMPUTED_VALUE"""),"Windjammers 2")</f>
        <v>Windjammers 2</v>
      </c>
      <c r="B466" s="20" t="str">
        <f>IFERROR(__xludf.DUMMYFUNCTION("""COMPUTED_VALUE"""),"Xbox / PC")</f>
        <v>Xbox / PC</v>
      </c>
      <c r="C466" s="20" t="str">
        <f>IFERROR(__xludf.DUMMYFUNCTION("""COMPUTED_VALUE"""),"Touch Controls")</f>
        <v>Touch Controls</v>
      </c>
      <c r="D466" s="21" t="str">
        <f>IFERROR(__xludf.DUMMYFUNCTION("""COMPUTED_VALUE"""),"Removed")</f>
        <v>Removed</v>
      </c>
      <c r="E466" s="279">
        <f>IFERROR(__xludf.DUMMYFUNCTION("""COMPUTED_VALUE"""),44581.0)</f>
        <v>44581</v>
      </c>
      <c r="F466" s="24">
        <f>IFERROR(__xludf.DUMMYFUNCTION("""COMPUTED_VALUE"""),44941.0)</f>
        <v>44941</v>
      </c>
      <c r="G466" s="27">
        <f>IFERROR(__xludf.DUMMYFUNCTION("""COMPUTED_VALUE"""),11.833333333333334)</f>
        <v>11.83333333</v>
      </c>
      <c r="H466" s="128">
        <f>IFERROR(__xludf.DUMMYFUNCTION("""COMPUTED_VALUE"""),44581.0)</f>
        <v>44581</v>
      </c>
      <c r="I466" s="27">
        <f>IFERROR(__xludf.DUMMYFUNCTION("""COMPUTED_VALUE"""),0.0)</f>
        <v>0</v>
      </c>
      <c r="J466" s="277">
        <f>IFERROR(__xludf.DUMMYFUNCTION("""COMPUTED_VALUE"""),73.5)</f>
        <v>73.5</v>
      </c>
      <c r="K466" s="277">
        <f>IFERROR(__xludf.DUMMYFUNCTION("""COMPUTED_VALUE"""),1.0)</f>
        <v>1</v>
      </c>
      <c r="L466" s="275" t="str">
        <f>IFERROR(__xludf.DUMMYFUNCTION("""COMPUTED_VALUE"""),"Sports")</f>
        <v>Sports</v>
      </c>
    </row>
    <row r="467">
      <c r="A467" s="278" t="str">
        <f>IFERROR(__xludf.DUMMYFUNCTION("""COMPUTED_VALUE"""),"Danganronpa: Trigger Happy Havoc - Anniversary Edition")</f>
        <v>Danganronpa: Trigger Happy Havoc - Anniversary Edition</v>
      </c>
      <c r="B467" s="20" t="str">
        <f>IFERROR(__xludf.DUMMYFUNCTION("""COMPUTED_VALUE"""),"Xbox / PC")</f>
        <v>Xbox / PC</v>
      </c>
      <c r="C467" s="20" t="str">
        <f>IFERROR(__xludf.DUMMYFUNCTION("""COMPUTED_VALUE"""),"Touch Controls")</f>
        <v>Touch Controls</v>
      </c>
      <c r="D467" s="21" t="str">
        <f>IFERROR(__xludf.DUMMYFUNCTION("""COMPUTED_VALUE"""),"Removed")</f>
        <v>Removed</v>
      </c>
      <c r="E467" s="279">
        <f>IFERROR(__xludf.DUMMYFUNCTION("""COMPUTED_VALUE"""),44579.0)</f>
        <v>44579</v>
      </c>
      <c r="F467" s="24">
        <f>IFERROR(__xludf.DUMMYFUNCTION("""COMPUTED_VALUE"""),44941.0)</f>
        <v>44941</v>
      </c>
      <c r="G467" s="27">
        <f>IFERROR(__xludf.DUMMYFUNCTION("""COMPUTED_VALUE"""),11.9)</f>
        <v>11.9</v>
      </c>
      <c r="H467" s="128">
        <f>IFERROR(__xludf.DUMMYFUNCTION("""COMPUTED_VALUE"""),40507.0)</f>
        <v>40507</v>
      </c>
      <c r="I467" s="27">
        <f>IFERROR(__xludf.DUMMYFUNCTION("""COMPUTED_VALUE"""),11.147222222222222)</f>
        <v>11.14722222</v>
      </c>
      <c r="J467" s="277">
        <f>IFERROR(__xludf.DUMMYFUNCTION("""COMPUTED_VALUE"""),82.0)</f>
        <v>82</v>
      </c>
      <c r="K467" s="277">
        <f>IFERROR(__xludf.DUMMYFUNCTION("""COMPUTED_VALUE"""),25.0)</f>
        <v>25</v>
      </c>
      <c r="L467" s="275" t="str">
        <f>IFERROR(__xludf.DUMMYFUNCTION("""COMPUTED_VALUE"""),"Shooter")</f>
        <v>Shooter</v>
      </c>
    </row>
    <row r="468">
      <c r="A468" s="278" t="str">
        <f>IFERROR(__xludf.DUMMYFUNCTION("""COMPUTED_VALUE"""),"Nobody Saves the World")</f>
        <v>Nobody Saves the World</v>
      </c>
      <c r="B468" s="20" t="str">
        <f>IFERROR(__xludf.DUMMYFUNCTION("""COMPUTED_VALUE"""),"Xbox / PC")</f>
        <v>Xbox / PC</v>
      </c>
      <c r="C468" s="20" t="str">
        <f>IFERROR(__xludf.DUMMYFUNCTION("""COMPUTED_VALUE"""),"Yes")</f>
        <v>Yes</v>
      </c>
      <c r="D468" s="21" t="str">
        <f>IFERROR(__xludf.DUMMYFUNCTION("""COMPUTED_VALUE"""),"Removed")</f>
        <v>Removed</v>
      </c>
      <c r="E468" s="279">
        <f>IFERROR(__xludf.DUMMYFUNCTION("""COMPUTED_VALUE"""),44579.0)</f>
        <v>44579</v>
      </c>
      <c r="F468" s="24">
        <f>IFERROR(__xludf.DUMMYFUNCTION("""COMPUTED_VALUE"""),44941.0)</f>
        <v>44941</v>
      </c>
      <c r="G468" s="27">
        <f>IFERROR(__xludf.DUMMYFUNCTION("""COMPUTED_VALUE"""),11.9)</f>
        <v>11.9</v>
      </c>
      <c r="H468" s="128">
        <f>IFERROR(__xludf.DUMMYFUNCTION("""COMPUTED_VALUE"""),44579.0)</f>
        <v>44579</v>
      </c>
      <c r="I468" s="27">
        <f>IFERROR(__xludf.DUMMYFUNCTION("""COMPUTED_VALUE"""),0.0)</f>
        <v>0</v>
      </c>
      <c r="J468" s="277">
        <f>IFERROR(__xludf.DUMMYFUNCTION("""COMPUTED_VALUE"""),78.5)</f>
        <v>78.5</v>
      </c>
      <c r="K468" s="277">
        <f>IFERROR(__xludf.DUMMYFUNCTION("""COMPUTED_VALUE"""),13.5)</f>
        <v>13.5</v>
      </c>
      <c r="L468" s="275" t="str">
        <f>IFERROR(__xludf.DUMMYFUNCTION("""COMPUTED_VALUE"""),"RPG")</f>
        <v>RPG</v>
      </c>
    </row>
    <row r="469">
      <c r="A469" s="278" t="str">
        <f>IFERROR(__xludf.DUMMYFUNCTION("""COMPUTED_VALUE"""),"The Anacrusis (Game Preview)")</f>
        <v>The Anacrusis (Game Preview)</v>
      </c>
      <c r="B469" s="20" t="str">
        <f>IFERROR(__xludf.DUMMYFUNCTION("""COMPUTED_VALUE"""),"Xbox / PC")</f>
        <v>Xbox / PC</v>
      </c>
      <c r="C469" s="20" t="str">
        <f>IFERROR(__xludf.DUMMYFUNCTION("""COMPUTED_VALUE"""),"Yes")</f>
        <v>Yes</v>
      </c>
      <c r="D469" s="21" t="str">
        <f>IFERROR(__xludf.DUMMYFUNCTION("""COMPUTED_VALUE"""),"Removed")</f>
        <v>Removed</v>
      </c>
      <c r="E469" s="279">
        <f>IFERROR(__xludf.DUMMYFUNCTION("""COMPUTED_VALUE"""),44574.0)</f>
        <v>44574</v>
      </c>
      <c r="F469" s="24">
        <f>IFERROR(__xludf.DUMMYFUNCTION("""COMPUTED_VALUE"""),44941.0)</f>
        <v>44941</v>
      </c>
      <c r="G469" s="27">
        <f>IFERROR(__xludf.DUMMYFUNCTION("""COMPUTED_VALUE"""),12.066666666666666)</f>
        <v>12.06666667</v>
      </c>
      <c r="H469" s="128">
        <f>IFERROR(__xludf.DUMMYFUNCTION("""COMPUTED_VALUE"""),44574.0)</f>
        <v>44574</v>
      </c>
      <c r="I469" s="27">
        <f>IFERROR(__xludf.DUMMYFUNCTION("""COMPUTED_VALUE"""),0.0)</f>
        <v>0</v>
      </c>
      <c r="J469" s="277">
        <f>IFERROR(__xludf.DUMMYFUNCTION("""COMPUTED_VALUE"""),55.0)</f>
        <v>55</v>
      </c>
      <c r="K469" s="277">
        <f>IFERROR(__xludf.DUMMYFUNCTION("""COMPUTED_VALUE"""),5.5)</f>
        <v>5.5</v>
      </c>
      <c r="L469" s="275" t="str">
        <f>IFERROR(__xludf.DUMMYFUNCTION("""COMPUTED_VALUE"""),"Shooter")</f>
        <v>Shooter</v>
      </c>
    </row>
    <row r="470">
      <c r="A470" s="278" t="str">
        <f>IFERROR(__xludf.DUMMYFUNCTION("""COMPUTED_VALUE"""),"Embr")</f>
        <v>Embr</v>
      </c>
      <c r="B470" s="20" t="str">
        <f>IFERROR(__xludf.DUMMYFUNCTION("""COMPUTED_VALUE"""),"Xbox / PC")</f>
        <v>Xbox / PC</v>
      </c>
      <c r="C470" s="20" t="str">
        <f>IFERROR(__xludf.DUMMYFUNCTION("""COMPUTED_VALUE"""),"Yes")</f>
        <v>Yes</v>
      </c>
      <c r="D470" s="21" t="str">
        <f>IFERROR(__xludf.DUMMYFUNCTION("""COMPUTED_VALUE"""),"Removed")</f>
        <v>Removed</v>
      </c>
      <c r="E470" s="279">
        <f>IFERROR(__xludf.DUMMYFUNCTION("""COMPUTED_VALUE"""),44567.0)</f>
        <v>44567</v>
      </c>
      <c r="F470" s="24">
        <f>IFERROR(__xludf.DUMMYFUNCTION("""COMPUTED_VALUE"""),44926.0)</f>
        <v>44926</v>
      </c>
      <c r="G470" s="27">
        <f>IFERROR(__xludf.DUMMYFUNCTION("""COMPUTED_VALUE"""),11.799999999999999)</f>
        <v>11.8</v>
      </c>
      <c r="H470" s="128">
        <f>IFERROR(__xludf.DUMMYFUNCTION("""COMPUTED_VALUE"""),43972.0)</f>
        <v>43972</v>
      </c>
      <c r="I470" s="27">
        <f>IFERROR(__xludf.DUMMYFUNCTION("""COMPUTED_VALUE"""),1.625)</f>
        <v>1.625</v>
      </c>
      <c r="J470" s="277">
        <f>IFERROR(__xludf.DUMMYFUNCTION("""COMPUTED_VALUE"""),72.0)</f>
        <v>72</v>
      </c>
      <c r="K470" s="277">
        <f>IFERROR(__xludf.DUMMYFUNCTION("""COMPUTED_VALUE"""),7.5)</f>
        <v>7.5</v>
      </c>
      <c r="L470" s="275" t="str">
        <f>IFERROR(__xludf.DUMMYFUNCTION("""COMPUTED_VALUE"""),"Action")</f>
        <v>Action</v>
      </c>
    </row>
    <row r="471">
      <c r="A471" s="278" t="str">
        <f>IFERROR(__xludf.DUMMYFUNCTION("""COMPUTED_VALUE"""),"Outer Wilds")</f>
        <v>Outer Wilds</v>
      </c>
      <c r="B471" s="20" t="str">
        <f>IFERROR(__xludf.DUMMYFUNCTION("""COMPUTED_VALUE"""),"Xbox / PC")</f>
        <v>Xbox / PC</v>
      </c>
      <c r="C471" s="20" t="str">
        <f>IFERROR(__xludf.DUMMYFUNCTION("""COMPUTED_VALUE"""),"Yes")</f>
        <v>Yes</v>
      </c>
      <c r="D471" s="21" t="str">
        <f>IFERROR(__xludf.DUMMYFUNCTION("""COMPUTED_VALUE"""),"Removed")</f>
        <v>Removed</v>
      </c>
      <c r="E471" s="279">
        <f>IFERROR(__xludf.DUMMYFUNCTION("""COMPUTED_VALUE"""),44567.0)</f>
        <v>44567</v>
      </c>
      <c r="F471" s="24">
        <f>IFERROR(__xludf.DUMMYFUNCTION("""COMPUTED_VALUE"""),44926.0)</f>
        <v>44926</v>
      </c>
      <c r="G471" s="27">
        <f>IFERROR(__xludf.DUMMYFUNCTION("""COMPUTED_VALUE"""),11.799999999999999)</f>
        <v>11.8</v>
      </c>
      <c r="H471" s="128">
        <f>IFERROR(__xludf.DUMMYFUNCTION("""COMPUTED_VALUE"""),43614.0)</f>
        <v>43614</v>
      </c>
      <c r="I471" s="27">
        <f>IFERROR(__xludf.DUMMYFUNCTION("""COMPUTED_VALUE"""),2.602777777777778)</f>
        <v>2.602777778</v>
      </c>
      <c r="J471" s="277">
        <f>IFERROR(__xludf.DUMMYFUNCTION("""COMPUTED_VALUE"""),85.0)</f>
        <v>85</v>
      </c>
      <c r="K471" s="29">
        <f>IFERROR(__xludf.DUMMYFUNCTION("""COMPUTED_VALUE"""),15.0)</f>
        <v>15</v>
      </c>
      <c r="L471" s="275" t="str">
        <f>IFERROR(__xludf.DUMMYFUNCTION("""COMPUTED_VALUE"""),"Adventure")</f>
        <v>Adventure</v>
      </c>
    </row>
    <row r="472">
      <c r="A472" s="17" t="str">
        <f>IFERROR(__xludf.DUMMYFUNCTION("""COMPUTED_VALUE"""),"Gorogoa")</f>
        <v>Gorogoa</v>
      </c>
      <c r="B472" s="20" t="str">
        <f>IFERROR(__xludf.DUMMYFUNCTION("""COMPUTED_VALUE"""),"Xbox / PC")</f>
        <v>Xbox / PC</v>
      </c>
      <c r="C472" s="20" t="str">
        <f>IFERROR(__xludf.DUMMYFUNCTION("""COMPUTED_VALUE"""),"Yes")</f>
        <v>Yes</v>
      </c>
      <c r="D472" s="21" t="str">
        <f>IFERROR(__xludf.DUMMYFUNCTION("""COMPUTED_VALUE"""),"Removed")</f>
        <v>Removed</v>
      </c>
      <c r="E472" s="279">
        <f>IFERROR(__xludf.DUMMYFUNCTION("""COMPUTED_VALUE"""),44565.0)</f>
        <v>44565</v>
      </c>
      <c r="F472" s="24">
        <f>IFERROR(__xludf.DUMMYFUNCTION("""COMPUTED_VALUE"""),44926.0)</f>
        <v>44926</v>
      </c>
      <c r="G472" s="18">
        <f>IFERROR(__xludf.DUMMYFUNCTION("""COMPUTED_VALUE"""),11.866666666666667)</f>
        <v>11.86666667</v>
      </c>
      <c r="H472" s="128">
        <f>IFERROR(__xludf.DUMMYFUNCTION("""COMPUTED_VALUE"""),43083.0)</f>
        <v>43083</v>
      </c>
      <c r="I472" s="27">
        <f>IFERROR(__xludf.DUMMYFUNCTION("""COMPUTED_VALUE"""),4.055555555555555)</f>
        <v>4.055555556</v>
      </c>
      <c r="J472" s="277">
        <f>IFERROR(__xludf.DUMMYFUNCTION("""COMPUTED_VALUE"""),82.0)</f>
        <v>82</v>
      </c>
      <c r="K472" s="29">
        <f>IFERROR(__xludf.DUMMYFUNCTION("""COMPUTED_VALUE"""),2.0)</f>
        <v>2</v>
      </c>
      <c r="L472" s="275" t="str">
        <f>IFERROR(__xludf.DUMMYFUNCTION("""COMPUTED_VALUE"""),"Puzzle")</f>
        <v>Puzzle</v>
      </c>
    </row>
    <row r="473">
      <c r="A473" s="278" t="str">
        <f>IFERROR(__xludf.DUMMYFUNCTION("""COMPUTED_VALUE"""),"The Pedestrian")</f>
        <v>The Pedestrian</v>
      </c>
      <c r="B473" s="20" t="str">
        <f>IFERROR(__xludf.DUMMYFUNCTION("""COMPUTED_VALUE"""),"Xbox / PC")</f>
        <v>Xbox / PC</v>
      </c>
      <c r="C473" s="20" t="str">
        <f>IFERROR(__xludf.DUMMYFUNCTION("""COMPUTED_VALUE"""),"Touch Controls")</f>
        <v>Touch Controls</v>
      </c>
      <c r="D473" s="21" t="str">
        <f>IFERROR(__xludf.DUMMYFUNCTION("""COMPUTED_VALUE"""),"Removed")</f>
        <v>Removed</v>
      </c>
      <c r="E473" s="279">
        <f>IFERROR(__xludf.DUMMYFUNCTION("""COMPUTED_VALUE"""),44565.0)</f>
        <v>44565</v>
      </c>
      <c r="F473" s="24">
        <f>IFERROR(__xludf.DUMMYFUNCTION("""COMPUTED_VALUE"""),44926.0)</f>
        <v>44926</v>
      </c>
      <c r="G473" s="27">
        <f>IFERROR(__xludf.DUMMYFUNCTION("""COMPUTED_VALUE"""),11.866666666666667)</f>
        <v>11.86666667</v>
      </c>
      <c r="H473" s="128">
        <f>IFERROR(__xludf.DUMMYFUNCTION("""COMPUTED_VALUE"""),43859.0)</f>
        <v>43859</v>
      </c>
      <c r="I473" s="27">
        <f>IFERROR(__xludf.DUMMYFUNCTION("""COMPUTED_VALUE"""),1.9305555555555556)</f>
        <v>1.930555556</v>
      </c>
      <c r="J473" s="277">
        <f>IFERROR(__xludf.DUMMYFUNCTION("""COMPUTED_VALUE"""),81.0)</f>
        <v>81</v>
      </c>
      <c r="K473" s="277">
        <f>IFERROR(__xludf.DUMMYFUNCTION("""COMPUTED_VALUE"""),4.0)</f>
        <v>4</v>
      </c>
      <c r="L473" s="275" t="str">
        <f>IFERROR(__xludf.DUMMYFUNCTION("""COMPUTED_VALUE"""),"Platformer")</f>
        <v>Platformer</v>
      </c>
    </row>
    <row r="474">
      <c r="A474" s="278" t="str">
        <f>IFERROR(__xludf.DUMMYFUNCTION("""COMPUTED_VALUE"""),"Scarlet Nexus")</f>
        <v>Scarlet Nexus</v>
      </c>
      <c r="B474" s="20" t="str">
        <f>IFERROR(__xludf.DUMMYFUNCTION("""COMPUTED_VALUE"""),"Xbox / PC")</f>
        <v>Xbox / PC</v>
      </c>
      <c r="C474" s="21" t="str">
        <f>IFERROR(__xludf.DUMMYFUNCTION("""COMPUTED_VALUE"""),"Yes")</f>
        <v>Yes</v>
      </c>
      <c r="D474" s="21" t="str">
        <f>IFERROR(__xludf.DUMMYFUNCTION("""COMPUTED_VALUE"""),"Removed")</f>
        <v>Removed</v>
      </c>
      <c r="E474" s="279">
        <f>IFERROR(__xludf.DUMMYFUNCTION("""COMPUTED_VALUE"""),44469.0)</f>
        <v>44469</v>
      </c>
      <c r="F474" s="24">
        <f>IFERROR(__xludf.DUMMYFUNCTION("""COMPUTED_VALUE"""),44926.0)</f>
        <v>44926</v>
      </c>
      <c r="G474" s="27">
        <f>IFERROR(__xludf.DUMMYFUNCTION("""COMPUTED_VALUE"""),15.0)</f>
        <v>15</v>
      </c>
      <c r="H474" s="128">
        <f>IFERROR(__xludf.DUMMYFUNCTION("""COMPUTED_VALUE"""),44372.0)</f>
        <v>44372</v>
      </c>
      <c r="I474" s="27">
        <f>IFERROR(__xludf.DUMMYFUNCTION("""COMPUTED_VALUE"""),0.2638888888888889)</f>
        <v>0.2638888889</v>
      </c>
      <c r="J474" s="277">
        <f>IFERROR(__xludf.DUMMYFUNCTION("""COMPUTED_VALUE"""),78.0)</f>
        <v>78</v>
      </c>
      <c r="K474" s="29">
        <f>IFERROR(__xludf.DUMMYFUNCTION("""COMPUTED_VALUE"""),25.0)</f>
        <v>25</v>
      </c>
      <c r="L474" s="275" t="str">
        <f>IFERROR(__xludf.DUMMYFUNCTION("""COMPUTED_VALUE"""),"RPG")</f>
        <v>RPG</v>
      </c>
    </row>
    <row r="475">
      <c r="A475" s="278" t="str">
        <f>IFERROR(__xludf.DUMMYFUNCTION("""COMPUTED_VALUE"""),"Immortal Realms: Vampire Wars")</f>
        <v>Immortal Realms: Vampire Wars</v>
      </c>
      <c r="B475" s="20" t="str">
        <f>IFERROR(__xludf.DUMMYFUNCTION("""COMPUTED_VALUE"""),"Xbox / PC")</f>
        <v>Xbox / PC</v>
      </c>
      <c r="C475" s="21" t="str">
        <f>IFERROR(__xludf.DUMMYFUNCTION("""COMPUTED_VALUE"""),"Yes")</f>
        <v>Yes</v>
      </c>
      <c r="D475" s="21" t="str">
        <f>IFERROR(__xludf.DUMMYFUNCTION("""COMPUTED_VALUE"""),"Removed")</f>
        <v>Removed</v>
      </c>
      <c r="E475" s="279">
        <f>IFERROR(__xludf.DUMMYFUNCTION("""COMPUTED_VALUE"""),44378.0)</f>
        <v>44378</v>
      </c>
      <c r="F475" s="24">
        <f>IFERROR(__xludf.DUMMYFUNCTION("""COMPUTED_VALUE"""),44926.0)</f>
        <v>44926</v>
      </c>
      <c r="G475" s="27">
        <f>IFERROR(__xludf.DUMMYFUNCTION("""COMPUTED_VALUE"""),17.96666666666667)</f>
        <v>17.96666667</v>
      </c>
      <c r="H475" s="128">
        <f>IFERROR(__xludf.DUMMYFUNCTION("""COMPUTED_VALUE"""),43749.0)</f>
        <v>43749</v>
      </c>
      <c r="I475" s="27">
        <f>IFERROR(__xludf.DUMMYFUNCTION("""COMPUTED_VALUE"""),1.7222222222222223)</f>
        <v>1.722222222</v>
      </c>
      <c r="J475" s="277">
        <f>IFERROR(__xludf.DUMMYFUNCTION("""COMPUTED_VALUE"""),68.5)</f>
        <v>68.5</v>
      </c>
      <c r="K475" s="29">
        <f>IFERROR(__xludf.DUMMYFUNCTION("""COMPUTED_VALUE"""),20.5)</f>
        <v>20.5</v>
      </c>
      <c r="L475" s="275" t="str">
        <f>IFERROR(__xludf.DUMMYFUNCTION("""COMPUTED_VALUE"""),"Strategy")</f>
        <v>Strategy</v>
      </c>
    </row>
    <row r="476">
      <c r="A476" s="278" t="str">
        <f>IFERROR(__xludf.DUMMYFUNCTION("""COMPUTED_VALUE"""),"Iron Harvest")</f>
        <v>Iron Harvest</v>
      </c>
      <c r="B476" s="20" t="str">
        <f>IFERROR(__xludf.DUMMYFUNCTION("""COMPUTED_VALUE"""),"PC")</f>
        <v>PC</v>
      </c>
      <c r="C476" s="20"/>
      <c r="D476" s="21" t="str">
        <f>IFERROR(__xludf.DUMMYFUNCTION("""COMPUTED_VALUE"""),"Removed")</f>
        <v>Removed</v>
      </c>
      <c r="E476" s="279">
        <f>IFERROR(__xludf.DUMMYFUNCTION("""COMPUTED_VALUE"""),44371.0)</f>
        <v>44371</v>
      </c>
      <c r="F476" s="24">
        <f>IFERROR(__xludf.DUMMYFUNCTION("""COMPUTED_VALUE"""),44926.0)</f>
        <v>44926</v>
      </c>
      <c r="G476" s="27">
        <f>IFERROR(__xludf.DUMMYFUNCTION("""COMPUTED_VALUE"""),18.2)</f>
        <v>18.2</v>
      </c>
      <c r="H476" s="128">
        <f>IFERROR(__xludf.DUMMYFUNCTION("""COMPUTED_VALUE"""),44075.0)</f>
        <v>44075</v>
      </c>
      <c r="I476" s="27">
        <f>IFERROR(__xludf.DUMMYFUNCTION("""COMPUTED_VALUE"""),0.8138888888888889)</f>
        <v>0.8138888889</v>
      </c>
      <c r="J476" s="277">
        <f>IFERROR(__xludf.DUMMYFUNCTION("""COMPUTED_VALUE"""),75.0)</f>
        <v>75</v>
      </c>
      <c r="K476" s="277">
        <f>IFERROR(__xludf.DUMMYFUNCTION("""COMPUTED_VALUE"""),23.0)</f>
        <v>23</v>
      </c>
      <c r="L476" s="275" t="str">
        <f>IFERROR(__xludf.DUMMYFUNCTION("""COMPUTED_VALUE"""),"Real-Time Strategy")</f>
        <v>Real-Time Strategy</v>
      </c>
    </row>
    <row r="477">
      <c r="A477" s="278" t="str">
        <f>IFERROR(__xludf.DUMMYFUNCTION("""COMPUTED_VALUE"""),"Tropico 6")</f>
        <v>Tropico 6</v>
      </c>
      <c r="B477" s="20" t="str">
        <f>IFERROR(__xludf.DUMMYFUNCTION("""COMPUTED_VALUE"""),"Xbox / PC")</f>
        <v>Xbox / PC</v>
      </c>
      <c r="C477" s="21" t="str">
        <f>IFERROR(__xludf.DUMMYFUNCTION("""COMPUTED_VALUE"""),"Touch Controls")</f>
        <v>Touch Controls</v>
      </c>
      <c r="D477" s="21" t="str">
        <f>IFERROR(__xludf.DUMMYFUNCTION("""COMPUTED_VALUE"""),"Removed")</f>
        <v>Removed</v>
      </c>
      <c r="E477" s="279">
        <f>IFERROR(__xludf.DUMMYFUNCTION("""COMPUTED_VALUE"""),44273.0)</f>
        <v>44273</v>
      </c>
      <c r="F477" s="276">
        <f>IFERROR(__xludf.DUMMYFUNCTION("""COMPUTED_VALUE"""),44926.0)</f>
        <v>44926</v>
      </c>
      <c r="G477" s="27">
        <f>IFERROR(__xludf.DUMMYFUNCTION("""COMPUTED_VALUE"""),21.400000000000002)</f>
        <v>21.4</v>
      </c>
      <c r="H477" s="128">
        <f>IFERROR(__xludf.DUMMYFUNCTION("""COMPUTED_VALUE"""),43553.0)</f>
        <v>43553</v>
      </c>
      <c r="I477" s="27">
        <f>IFERROR(__xludf.DUMMYFUNCTION("""COMPUTED_VALUE"""),1.9694444444444446)</f>
        <v>1.969444444</v>
      </c>
      <c r="J477" s="277">
        <f>IFERROR(__xludf.DUMMYFUNCTION("""COMPUTED_VALUE"""),78.0)</f>
        <v>78</v>
      </c>
      <c r="K477" s="29">
        <f>IFERROR(__xludf.DUMMYFUNCTION("""COMPUTED_VALUE"""),27.0)</f>
        <v>27</v>
      </c>
      <c r="L477" s="275" t="str">
        <f>IFERROR(__xludf.DUMMYFUNCTION("""COMPUTED_VALUE"""),"Simulation")</f>
        <v>Simulation</v>
      </c>
    </row>
    <row r="478">
      <c r="A478" s="278" t="str">
        <f>IFERROR(__xludf.DUMMYFUNCTION("""COMPUTED_VALUE"""),"Secret Neighbor")</f>
        <v>Secret Neighbor</v>
      </c>
      <c r="B478" s="20" t="str">
        <f>IFERROR(__xludf.DUMMYFUNCTION("""COMPUTED_VALUE"""),"Xbox / PC")</f>
        <v>Xbox / PC</v>
      </c>
      <c r="C478" s="21" t="str">
        <f>IFERROR(__xludf.DUMMYFUNCTION("""COMPUTED_VALUE"""),"Yes")</f>
        <v>Yes</v>
      </c>
      <c r="D478" s="21" t="str">
        <f>IFERROR(__xludf.DUMMYFUNCTION("""COMPUTED_VALUE"""),"Removed")</f>
        <v>Removed</v>
      </c>
      <c r="E478" s="279">
        <f>IFERROR(__xludf.DUMMYFUNCTION("""COMPUTED_VALUE"""),43761.0)</f>
        <v>43761</v>
      </c>
      <c r="F478" s="24">
        <f>IFERROR(__xludf.DUMMYFUNCTION("""COMPUTED_VALUE"""),44926.0)</f>
        <v>44926</v>
      </c>
      <c r="G478" s="27">
        <f>IFERROR(__xludf.DUMMYFUNCTION("""COMPUTED_VALUE"""),38.233333333333334)</f>
        <v>38.23333333</v>
      </c>
      <c r="H478" s="128">
        <f>IFERROR(__xludf.DUMMYFUNCTION("""COMPUTED_VALUE"""),43761.0)</f>
        <v>43761</v>
      </c>
      <c r="I478" s="27">
        <f>IFERROR(__xludf.DUMMYFUNCTION("""COMPUTED_VALUE"""),0.0)</f>
        <v>0</v>
      </c>
      <c r="J478" s="277">
        <f>IFERROR(__xludf.DUMMYFUNCTION("""COMPUTED_VALUE"""),70.0)</f>
        <v>70</v>
      </c>
      <c r="K478" s="277">
        <f>IFERROR(__xludf.DUMMYFUNCTION("""COMPUTED_VALUE"""),3.0)</f>
        <v>3</v>
      </c>
      <c r="L478" s="275" t="str">
        <f>IFERROR(__xludf.DUMMYFUNCTION("""COMPUTED_VALUE"""),"Action")</f>
        <v>Action</v>
      </c>
    </row>
    <row r="479">
      <c r="A479" s="278" t="str">
        <f>IFERROR(__xludf.DUMMYFUNCTION("""COMPUTED_VALUE"""),"Lake")</f>
        <v>Lake</v>
      </c>
      <c r="B479" s="20" t="str">
        <f>IFERROR(__xludf.DUMMYFUNCTION("""COMPUTED_VALUE"""),"Xbox / PC")</f>
        <v>Xbox / PC</v>
      </c>
      <c r="C479" s="20" t="str">
        <f>IFERROR(__xludf.DUMMYFUNCTION("""COMPUTED_VALUE"""),"Touch Controls")</f>
        <v>Touch Controls</v>
      </c>
      <c r="D479" s="21" t="str">
        <f>IFERROR(__xludf.DUMMYFUNCTION("""COMPUTED_VALUE"""),"Removed")</f>
        <v>Removed</v>
      </c>
      <c r="E479" s="279">
        <f>IFERROR(__xludf.DUMMYFUNCTION("""COMPUTED_VALUE"""),44546.0)</f>
        <v>44546</v>
      </c>
      <c r="F479" s="24">
        <f>IFERROR(__xludf.DUMMYFUNCTION("""COMPUTED_VALUE"""),44910.0)</f>
        <v>44910</v>
      </c>
      <c r="G479" s="27">
        <f>IFERROR(__xludf.DUMMYFUNCTION("""COMPUTED_VALUE"""),11.966666666666667)</f>
        <v>11.96666667</v>
      </c>
      <c r="H479" s="128">
        <f>IFERROR(__xludf.DUMMYFUNCTION("""COMPUTED_VALUE"""),44440.0)</f>
        <v>44440</v>
      </c>
      <c r="I479" s="27">
        <f>IFERROR(__xludf.DUMMYFUNCTION("""COMPUTED_VALUE"""),0.2916666666666667)</f>
        <v>0.2916666667</v>
      </c>
      <c r="J479" s="277">
        <f>IFERROR(__xludf.DUMMYFUNCTION("""COMPUTED_VALUE"""),72.5)</f>
        <v>72.5</v>
      </c>
      <c r="K479" s="29">
        <f>IFERROR(__xludf.DUMMYFUNCTION("""COMPUTED_VALUE"""),6.5)</f>
        <v>6.5</v>
      </c>
      <c r="L479" s="275" t="str">
        <f>IFERROR(__xludf.DUMMYFUNCTION("""COMPUTED_VALUE"""),"Adventure")</f>
        <v>Adventure</v>
      </c>
    </row>
    <row r="480">
      <c r="A480" s="278" t="str">
        <f>IFERROR(__xludf.DUMMYFUNCTION("""COMPUTED_VALUE"""),"Race With Ryan")</f>
        <v>Race With Ryan</v>
      </c>
      <c r="B480" s="20" t="str">
        <f>IFERROR(__xludf.DUMMYFUNCTION("""COMPUTED_VALUE"""),"Xbox / PC")</f>
        <v>Xbox / PC</v>
      </c>
      <c r="C480" s="20" t="str">
        <f>IFERROR(__xludf.DUMMYFUNCTION("""COMPUTED_VALUE"""),"Touch Controls")</f>
        <v>Touch Controls</v>
      </c>
      <c r="D480" s="21" t="str">
        <f>IFERROR(__xludf.DUMMYFUNCTION("""COMPUTED_VALUE"""),"Removed")</f>
        <v>Removed</v>
      </c>
      <c r="E480" s="279">
        <f>IFERROR(__xludf.DUMMYFUNCTION("""COMPUTED_VALUE"""),44546.0)</f>
        <v>44546</v>
      </c>
      <c r="F480" s="24">
        <f>IFERROR(__xludf.DUMMYFUNCTION("""COMPUTED_VALUE"""),44910.0)</f>
        <v>44910</v>
      </c>
      <c r="G480" s="27">
        <f>IFERROR(__xludf.DUMMYFUNCTION("""COMPUTED_VALUE"""),11.966666666666667)</f>
        <v>11.96666667</v>
      </c>
      <c r="H480" s="128">
        <f>IFERROR(__xludf.DUMMYFUNCTION("""COMPUTED_VALUE"""),43770.0)</f>
        <v>43770</v>
      </c>
      <c r="I480" s="27">
        <f>IFERROR(__xludf.DUMMYFUNCTION("""COMPUTED_VALUE"""),2.125)</f>
        <v>2.125</v>
      </c>
      <c r="J480" s="277">
        <f>IFERROR(__xludf.DUMMYFUNCTION("""COMPUTED_VALUE"""),51.0)</f>
        <v>51</v>
      </c>
      <c r="K480" s="277">
        <f>IFERROR(__xludf.DUMMYFUNCTION("""COMPUTED_VALUE"""),1.0)</f>
        <v>1</v>
      </c>
      <c r="L480" s="275" t="str">
        <f>IFERROR(__xludf.DUMMYFUNCTION("""COMPUTED_VALUE"""),"Racing")</f>
        <v>Racing</v>
      </c>
    </row>
    <row r="481">
      <c r="A481" s="278" t="str">
        <f>IFERROR(__xludf.DUMMYFUNCTION("""COMPUTED_VALUE"""),"Record of Lodoss War: Deedlit in Wonder Labyrinth")</f>
        <v>Record of Lodoss War: Deedlit in Wonder Labyrinth</v>
      </c>
      <c r="B481" s="20" t="str">
        <f>IFERROR(__xludf.DUMMYFUNCTION("""COMPUTED_VALUE"""),"Xbox / PC")</f>
        <v>Xbox / PC</v>
      </c>
      <c r="C481" s="20" t="str">
        <f>IFERROR(__xludf.DUMMYFUNCTION("""COMPUTED_VALUE"""),"Yes")</f>
        <v>Yes</v>
      </c>
      <c r="D481" s="21" t="str">
        <f>IFERROR(__xludf.DUMMYFUNCTION("""COMPUTED_VALUE"""),"Removed")</f>
        <v>Removed</v>
      </c>
      <c r="E481" s="279">
        <f>IFERROR(__xludf.DUMMYFUNCTION("""COMPUTED_VALUE"""),44546.0)</f>
        <v>44546</v>
      </c>
      <c r="F481" s="24">
        <f>IFERROR(__xludf.DUMMYFUNCTION("""COMPUTED_VALUE"""),44910.0)</f>
        <v>44910</v>
      </c>
      <c r="G481" s="27">
        <f>IFERROR(__xludf.DUMMYFUNCTION("""COMPUTED_VALUE"""),11.966666666666667)</f>
        <v>11.96666667</v>
      </c>
      <c r="H481" s="128">
        <f>IFERROR(__xludf.DUMMYFUNCTION("""COMPUTED_VALUE"""),43903.0)</f>
        <v>43903</v>
      </c>
      <c r="I481" s="27">
        <f>IFERROR(__xludf.DUMMYFUNCTION("""COMPUTED_VALUE"""),1.7583333333333333)</f>
        <v>1.758333333</v>
      </c>
      <c r="J481" s="277">
        <f>IFERROR(__xludf.DUMMYFUNCTION("""COMPUTED_VALUE"""),73.0)</f>
        <v>73</v>
      </c>
      <c r="K481" s="29">
        <f>IFERROR(__xludf.DUMMYFUNCTION("""COMPUTED_VALUE"""),5.5)</f>
        <v>5.5</v>
      </c>
      <c r="L481" s="275" t="str">
        <f>IFERROR(__xludf.DUMMYFUNCTION("""COMPUTED_VALUE"""),"Platformer")</f>
        <v>Platformer</v>
      </c>
    </row>
    <row r="482">
      <c r="A482" s="17" t="str">
        <f>IFERROR(__xludf.DUMMYFUNCTION("""COMPUTED_VALUE"""),"Transformers: Battlegrounds")</f>
        <v>Transformers: Battlegrounds</v>
      </c>
      <c r="B482" s="20" t="str">
        <f>IFERROR(__xludf.DUMMYFUNCTION("""COMPUTED_VALUE"""),"Xbox / PC")</f>
        <v>Xbox / PC</v>
      </c>
      <c r="C482" s="20" t="str">
        <f>IFERROR(__xludf.DUMMYFUNCTION("""COMPUTED_VALUE"""),"Touch Controls")</f>
        <v>Touch Controls</v>
      </c>
      <c r="D482" s="21" t="str">
        <f>IFERROR(__xludf.DUMMYFUNCTION("""COMPUTED_VALUE"""),"Removed")</f>
        <v>Removed</v>
      </c>
      <c r="E482" s="127">
        <f>IFERROR(__xludf.DUMMYFUNCTION("""COMPUTED_VALUE"""),44546.0)</f>
        <v>44546</v>
      </c>
      <c r="F482" s="276">
        <f>IFERROR(__xludf.DUMMYFUNCTION("""COMPUTED_VALUE"""),44910.0)</f>
        <v>44910</v>
      </c>
      <c r="G482" s="27">
        <f>IFERROR(__xludf.DUMMYFUNCTION("""COMPUTED_VALUE"""),11.966666666666667)</f>
        <v>11.96666667</v>
      </c>
      <c r="H482" s="128">
        <f>IFERROR(__xludf.DUMMYFUNCTION("""COMPUTED_VALUE"""),44127.0)</f>
        <v>44127</v>
      </c>
      <c r="I482" s="27">
        <f>IFERROR(__xludf.DUMMYFUNCTION("""COMPUTED_VALUE"""),1.1472222222222221)</f>
        <v>1.147222222</v>
      </c>
      <c r="J482" s="29">
        <f>IFERROR(__xludf.DUMMYFUNCTION("""COMPUTED_VALUE"""),71.0)</f>
        <v>71</v>
      </c>
      <c r="K482" s="29">
        <f>IFERROR(__xludf.DUMMYFUNCTION("""COMPUTED_VALUE"""),9.0)</f>
        <v>9</v>
      </c>
      <c r="L482" s="31" t="str">
        <f>IFERROR(__xludf.DUMMYFUNCTION("""COMPUTED_VALUE"""),"Strategy")</f>
        <v>Strategy</v>
      </c>
    </row>
    <row r="483">
      <c r="A483" s="17" t="str">
        <f>IFERROR(__xludf.DUMMYFUNCTION("""COMPUTED_VALUE"""),"One Piece: Pirate Warriors 4")</f>
        <v>One Piece: Pirate Warriors 4</v>
      </c>
      <c r="B483" s="20" t="str">
        <f>IFERROR(__xludf.DUMMYFUNCTION("""COMPUTED_VALUE"""),"Xbox / PC")</f>
        <v>Xbox / PC</v>
      </c>
      <c r="C483" s="21" t="str">
        <f>IFERROR(__xludf.DUMMYFUNCTION("""COMPUTED_VALUE"""),"Touch Controls")</f>
        <v>Touch Controls</v>
      </c>
      <c r="D483" s="21" t="str">
        <f>IFERROR(__xludf.DUMMYFUNCTION("""COMPUTED_VALUE"""),"Removed")</f>
        <v>Removed</v>
      </c>
      <c r="E483" s="23">
        <f>IFERROR(__xludf.DUMMYFUNCTION("""COMPUTED_VALUE"""),44539.0)</f>
        <v>44539</v>
      </c>
      <c r="F483" s="276">
        <f>IFERROR(__xludf.DUMMYFUNCTION("""COMPUTED_VALUE"""),44910.0)</f>
        <v>44910</v>
      </c>
      <c r="G483" s="27">
        <f>IFERROR(__xludf.DUMMYFUNCTION("""COMPUTED_VALUE"""),12.2)</f>
        <v>12.2</v>
      </c>
      <c r="H483" s="128">
        <f>IFERROR(__xludf.DUMMYFUNCTION("""COMPUTED_VALUE"""),43916.0)</f>
        <v>43916</v>
      </c>
      <c r="I483" s="27">
        <f>IFERROR(__xludf.DUMMYFUNCTION("""COMPUTED_VALUE"""),1.7027777777777777)</f>
        <v>1.702777778</v>
      </c>
      <c r="J483" s="29">
        <f>IFERROR(__xludf.DUMMYFUNCTION("""COMPUTED_VALUE"""),76.0)</f>
        <v>76</v>
      </c>
      <c r="K483" s="29">
        <f>IFERROR(__xludf.DUMMYFUNCTION("""COMPUTED_VALUE"""),16.0)</f>
        <v>16</v>
      </c>
      <c r="L483" s="31" t="str">
        <f>IFERROR(__xludf.DUMMYFUNCTION("""COMPUTED_VALUE"""),"Brawler")</f>
        <v>Brawler</v>
      </c>
    </row>
    <row r="484">
      <c r="A484" s="17" t="str">
        <f>IFERROR(__xludf.DUMMYFUNCTION("""COMPUTED_VALUE"""),"Breathedge")</f>
        <v>Breathedge</v>
      </c>
      <c r="B484" s="20" t="str">
        <f>IFERROR(__xludf.DUMMYFUNCTION("""COMPUTED_VALUE"""),"Xbox / PC")</f>
        <v>Xbox / PC</v>
      </c>
      <c r="C484" s="20" t="str">
        <f>IFERROR(__xludf.DUMMYFUNCTION("""COMPUTED_VALUE"""),"Yes")</f>
        <v>Yes</v>
      </c>
      <c r="D484" s="21" t="str">
        <f>IFERROR(__xludf.DUMMYFUNCTION("""COMPUTED_VALUE"""),"Removed")</f>
        <v>Removed</v>
      </c>
      <c r="E484" s="23">
        <f>IFERROR(__xludf.DUMMYFUNCTION("""COMPUTED_VALUE"""),44448.0)</f>
        <v>44448</v>
      </c>
      <c r="F484" s="276">
        <f>IFERROR(__xludf.DUMMYFUNCTION("""COMPUTED_VALUE"""),44910.0)</f>
        <v>44910</v>
      </c>
      <c r="G484" s="27">
        <f>IFERROR(__xludf.DUMMYFUNCTION("""COMPUTED_VALUE"""),15.2)</f>
        <v>15.2</v>
      </c>
      <c r="H484" s="128">
        <f>IFERROR(__xludf.DUMMYFUNCTION("""COMPUTED_VALUE"""),43356.0)</f>
        <v>43356</v>
      </c>
      <c r="I484" s="27">
        <f>IFERROR(__xludf.DUMMYFUNCTION("""COMPUTED_VALUE"""),2.988888888888889)</f>
        <v>2.988888889</v>
      </c>
      <c r="J484" s="29">
        <f>IFERROR(__xludf.DUMMYFUNCTION("""COMPUTED_VALUE"""),71.0)</f>
        <v>71</v>
      </c>
      <c r="K484" s="29">
        <f>IFERROR(__xludf.DUMMYFUNCTION("""COMPUTED_VALUE"""),5.5)</f>
        <v>5.5</v>
      </c>
      <c r="L484" s="31" t="str">
        <f>IFERROR(__xludf.DUMMYFUNCTION("""COMPUTED_VALUE"""),"Adventure")</f>
        <v>Adventure</v>
      </c>
    </row>
    <row r="485">
      <c r="A485" s="17" t="str">
        <f>IFERROR(__xludf.DUMMYFUNCTION("""COMPUTED_VALUE"""),"Neoverse")</f>
        <v>Neoverse</v>
      </c>
      <c r="B485" s="20" t="str">
        <f>IFERROR(__xludf.DUMMYFUNCTION("""COMPUTED_VALUE"""),"Xbox / PC")</f>
        <v>Xbox / PC</v>
      </c>
      <c r="C485" s="21" t="str">
        <f>IFERROR(__xludf.DUMMYFUNCTION("""COMPUTED_VALUE"""),"Touch Controls")</f>
        <v>Touch Controls</v>
      </c>
      <c r="D485" s="21" t="str">
        <f>IFERROR(__xludf.DUMMYFUNCTION("""COMPUTED_VALUE"""),"Removed")</f>
        <v>Removed</v>
      </c>
      <c r="E485" s="23">
        <f>IFERROR(__xludf.DUMMYFUNCTION("""COMPUTED_VALUE"""),44182.0)</f>
        <v>44182</v>
      </c>
      <c r="F485" s="276">
        <f>IFERROR(__xludf.DUMMYFUNCTION("""COMPUTED_VALUE"""),44910.0)</f>
        <v>44910</v>
      </c>
      <c r="G485" s="27">
        <f>IFERROR(__xludf.DUMMYFUNCTION("""COMPUTED_VALUE"""),23.933333333333334)</f>
        <v>23.93333333</v>
      </c>
      <c r="H485" s="128">
        <f>IFERROR(__xludf.DUMMYFUNCTION("""COMPUTED_VALUE"""),43474.0)</f>
        <v>43474</v>
      </c>
      <c r="I485" s="27">
        <f>IFERROR(__xludf.DUMMYFUNCTION("""COMPUTED_VALUE"""),1.9388888888888889)</f>
        <v>1.938888889</v>
      </c>
      <c r="J485" s="29">
        <f>IFERROR(__xludf.DUMMYFUNCTION("""COMPUTED_VALUE"""),68.0)</f>
        <v>68</v>
      </c>
      <c r="K485" s="29">
        <f>IFERROR(__xludf.DUMMYFUNCTION("""COMPUTED_VALUE"""),3.0)</f>
        <v>3</v>
      </c>
      <c r="L485" s="31" t="str">
        <f>IFERROR(__xludf.DUMMYFUNCTION("""COMPUTED_VALUE"""),"RPG")</f>
        <v>RPG</v>
      </c>
    </row>
    <row r="486">
      <c r="A486" s="17" t="str">
        <f>IFERROR(__xludf.DUMMYFUNCTION("""COMPUTED_VALUE"""),"Dragon Quest XI S: Echoes of an Elusive Age - Definitive Edition")</f>
        <v>Dragon Quest XI S: Echoes of an Elusive Age - Definitive Edition</v>
      </c>
      <c r="B486" s="20" t="str">
        <f>IFERROR(__xludf.DUMMYFUNCTION("""COMPUTED_VALUE"""),"Xbox / PC")</f>
        <v>Xbox / PC</v>
      </c>
      <c r="C486" s="21" t="str">
        <f>IFERROR(__xludf.DUMMYFUNCTION("""COMPUTED_VALUE"""),"Touch Controls")</f>
        <v>Touch Controls</v>
      </c>
      <c r="D486" s="21" t="str">
        <f>IFERROR(__xludf.DUMMYFUNCTION("""COMPUTED_VALUE"""),"Removed")</f>
        <v>Removed</v>
      </c>
      <c r="E486" s="23">
        <f>IFERROR(__xludf.DUMMYFUNCTION("""COMPUTED_VALUE"""),44169.0)</f>
        <v>44169</v>
      </c>
      <c r="F486" s="276">
        <f>IFERROR(__xludf.DUMMYFUNCTION("""COMPUTED_VALUE"""),44910.0)</f>
        <v>44910</v>
      </c>
      <c r="G486" s="27">
        <f>IFERROR(__xludf.DUMMYFUNCTION("""COMPUTED_VALUE"""),24.366666666666667)</f>
        <v>24.36666667</v>
      </c>
      <c r="H486" s="128">
        <f>IFERROR(__xludf.DUMMYFUNCTION("""COMPUTED_VALUE"""),42945.0)</f>
        <v>42945</v>
      </c>
      <c r="I486" s="27">
        <f>IFERROR(__xludf.DUMMYFUNCTION("""COMPUTED_VALUE"""),3.3472222222222223)</f>
        <v>3.347222222</v>
      </c>
      <c r="J486" s="277">
        <f>IFERROR(__xludf.DUMMYFUNCTION("""COMPUTED_VALUE"""),91.0)</f>
        <v>91</v>
      </c>
      <c r="K486" s="29">
        <f>IFERROR(__xludf.DUMMYFUNCTION("""COMPUTED_VALUE"""),56.0)</f>
        <v>56</v>
      </c>
      <c r="L486" s="275" t="str">
        <f>IFERROR(__xludf.DUMMYFUNCTION("""COMPUTED_VALUE"""),"RPG")</f>
        <v>RPG</v>
      </c>
    </row>
    <row r="487">
      <c r="A487" s="17" t="str">
        <f>IFERROR(__xludf.DUMMYFUNCTION("""COMPUTED_VALUE"""),"Rory McIlroy PGA Tour")</f>
        <v>Rory McIlroy PGA Tour</v>
      </c>
      <c r="B487" s="20" t="str">
        <f>IFERROR(__xludf.DUMMYFUNCTION("""COMPUTED_VALUE"""),"Xbox")</f>
        <v>Xbox</v>
      </c>
      <c r="C487" s="21"/>
      <c r="D487" s="21" t="str">
        <f>IFERROR(__xludf.DUMMYFUNCTION("""COMPUTED_VALUE"""),"Removed")</f>
        <v>Removed</v>
      </c>
      <c r="E487" s="23">
        <f>IFERROR(__xludf.DUMMYFUNCTION("""COMPUTED_VALUE"""),44145.0)</f>
        <v>44145</v>
      </c>
      <c r="F487" s="276">
        <f>IFERROR(__xludf.DUMMYFUNCTION("""COMPUTED_VALUE"""),44910.0)</f>
        <v>44910</v>
      </c>
      <c r="G487" s="27">
        <f>IFERROR(__xludf.DUMMYFUNCTION("""COMPUTED_VALUE"""),25.166666666666668)</f>
        <v>25.16666667</v>
      </c>
      <c r="H487" s="128">
        <f>IFERROR(__xludf.DUMMYFUNCTION("""COMPUTED_VALUE"""),42199.0)</f>
        <v>42199</v>
      </c>
      <c r="I487" s="27">
        <f>IFERROR(__xludf.DUMMYFUNCTION("""COMPUTED_VALUE"""),5.322222222222222)</f>
        <v>5.322222222</v>
      </c>
      <c r="J487" s="277">
        <f>IFERROR(__xludf.DUMMYFUNCTION("""COMPUTED_VALUE"""),60.0)</f>
        <v>60</v>
      </c>
      <c r="K487" s="277">
        <f>IFERROR(__xludf.DUMMYFUNCTION("""COMPUTED_VALUE"""),40.0)</f>
        <v>40</v>
      </c>
      <c r="L487" s="275" t="str">
        <f>IFERROR(__xludf.DUMMYFUNCTION("""COMPUTED_VALUE"""),"Sports")</f>
        <v>Sports</v>
      </c>
    </row>
    <row r="488">
      <c r="A488" s="278" t="str">
        <f>IFERROR(__xludf.DUMMYFUNCTION("""COMPUTED_VALUE"""),"Space Warlord Organ Trading Simulator")</f>
        <v>Space Warlord Organ Trading Simulator</v>
      </c>
      <c r="B488" s="21" t="str">
        <f>IFERROR(__xludf.DUMMYFUNCTION("""COMPUTED_VALUE"""),"Xbox / PC")</f>
        <v>Xbox / PC</v>
      </c>
      <c r="C488" s="21" t="str">
        <f>IFERROR(__xludf.DUMMYFUNCTION("""COMPUTED_VALUE"""),"Touch Controls")</f>
        <v>Touch Controls</v>
      </c>
      <c r="D488" s="21" t="str">
        <f>IFERROR(__xludf.DUMMYFUNCTION("""COMPUTED_VALUE"""),"Removed")</f>
        <v>Removed</v>
      </c>
      <c r="E488" s="279">
        <f>IFERROR(__xludf.DUMMYFUNCTION("""COMPUTED_VALUE"""),44537.0)</f>
        <v>44537</v>
      </c>
      <c r="F488" s="276">
        <f>IFERROR(__xludf.DUMMYFUNCTION("""COMPUTED_VALUE"""),44895.0)</f>
        <v>44895</v>
      </c>
      <c r="G488" s="27">
        <f>IFERROR(__xludf.DUMMYFUNCTION("""COMPUTED_VALUE"""),11.766666666666666)</f>
        <v>11.76666667</v>
      </c>
      <c r="H488" s="128">
        <f>IFERROR(__xludf.DUMMYFUNCTION("""COMPUTED_VALUE"""),44537.0)</f>
        <v>44537</v>
      </c>
      <c r="I488" s="27">
        <f>IFERROR(__xludf.DUMMYFUNCTION("""COMPUTED_VALUE"""),0.0)</f>
        <v>0</v>
      </c>
      <c r="J488" s="277">
        <f>IFERROR(__xludf.DUMMYFUNCTION("""COMPUTED_VALUE"""),70.0)</f>
        <v>70</v>
      </c>
      <c r="K488" s="277">
        <f>IFERROR(__xludf.DUMMYFUNCTION("""COMPUTED_VALUE"""),2.0)</f>
        <v>2</v>
      </c>
      <c r="L488" s="275" t="str">
        <f>IFERROR(__xludf.DUMMYFUNCTION("""COMPUTED_VALUE"""),"Simulation")</f>
        <v>Simulation</v>
      </c>
    </row>
    <row r="489">
      <c r="A489" s="17" t="str">
        <f>IFERROR(__xludf.DUMMYFUNCTION("""COMPUTED_VALUE"""),"Archvale")</f>
        <v>Archvale</v>
      </c>
      <c r="B489" s="20" t="str">
        <f>IFERROR(__xludf.DUMMYFUNCTION("""COMPUTED_VALUE"""),"Xbox / PC")</f>
        <v>Xbox / PC</v>
      </c>
      <c r="C489" s="20" t="str">
        <f>IFERROR(__xludf.DUMMYFUNCTION("""COMPUTED_VALUE"""),"Touch Controls")</f>
        <v>Touch Controls</v>
      </c>
      <c r="D489" s="21" t="str">
        <f>IFERROR(__xludf.DUMMYFUNCTION("""COMPUTED_VALUE"""),"Removed")</f>
        <v>Removed</v>
      </c>
      <c r="E489" s="128">
        <f>IFERROR(__xludf.DUMMYFUNCTION("""COMPUTED_VALUE"""),44532.0)</f>
        <v>44532</v>
      </c>
      <c r="F489" s="276">
        <f>IFERROR(__xludf.DUMMYFUNCTION("""COMPUTED_VALUE"""),44895.0)</f>
        <v>44895</v>
      </c>
      <c r="G489" s="27">
        <f>IFERROR(__xludf.DUMMYFUNCTION("""COMPUTED_VALUE"""),11.933333333333334)</f>
        <v>11.93333333</v>
      </c>
      <c r="H489" s="128">
        <f>IFERROR(__xludf.DUMMYFUNCTION("""COMPUTED_VALUE"""),44532.0)</f>
        <v>44532</v>
      </c>
      <c r="I489" s="27">
        <f>IFERROR(__xludf.DUMMYFUNCTION("""COMPUTED_VALUE"""),0.0)</f>
        <v>0</v>
      </c>
      <c r="J489" s="29">
        <f>IFERROR(__xludf.DUMMYFUNCTION("""COMPUTED_VALUE"""),84.0)</f>
        <v>84</v>
      </c>
      <c r="K489" s="29">
        <f>IFERROR(__xludf.DUMMYFUNCTION("""COMPUTED_VALUE"""),9.0)</f>
        <v>9</v>
      </c>
      <c r="L489" s="31" t="str">
        <f>IFERROR(__xludf.DUMMYFUNCTION("""COMPUTED_VALUE"""),"Shooter")</f>
        <v>Shooter</v>
      </c>
    </row>
    <row r="490">
      <c r="A490" s="17" t="str">
        <f>IFERROR(__xludf.DUMMYFUNCTION("""COMPUTED_VALUE"""),"Final Fantasy XIII-2")</f>
        <v>Final Fantasy XIII-2</v>
      </c>
      <c r="B490" s="20" t="str">
        <f>IFERROR(__xludf.DUMMYFUNCTION("""COMPUTED_VALUE"""),"Xbox / PC")</f>
        <v>Xbox / PC</v>
      </c>
      <c r="C490" s="20"/>
      <c r="D490" s="21" t="str">
        <f>IFERROR(__xludf.DUMMYFUNCTION("""COMPUTED_VALUE"""),"Removed")</f>
        <v>Removed</v>
      </c>
      <c r="E490" s="128">
        <f>IFERROR(__xludf.DUMMYFUNCTION("""COMPUTED_VALUE"""),44532.0)</f>
        <v>44532</v>
      </c>
      <c r="F490" s="276">
        <f>IFERROR(__xludf.DUMMYFUNCTION("""COMPUTED_VALUE"""),44895.0)</f>
        <v>44895</v>
      </c>
      <c r="G490" s="27">
        <f>IFERROR(__xludf.DUMMYFUNCTION("""COMPUTED_VALUE"""),11.933333333333334)</f>
        <v>11.93333333</v>
      </c>
      <c r="H490" s="128">
        <f>IFERROR(__xludf.DUMMYFUNCTION("""COMPUTED_VALUE"""),40892.0)</f>
        <v>40892</v>
      </c>
      <c r="I490" s="27">
        <f>IFERROR(__xludf.DUMMYFUNCTION("""COMPUTED_VALUE"""),9.963888888888889)</f>
        <v>9.963888889</v>
      </c>
      <c r="J490" s="29">
        <f>IFERROR(__xludf.DUMMYFUNCTION("""COMPUTED_VALUE"""),78.5)</f>
        <v>78.5</v>
      </c>
      <c r="K490" s="29">
        <f>IFERROR(__xludf.DUMMYFUNCTION("""COMPUTED_VALUE"""),28.0)</f>
        <v>28</v>
      </c>
      <c r="L490" s="31" t="str">
        <f>IFERROR(__xludf.DUMMYFUNCTION("""COMPUTED_VALUE"""),"RPG")</f>
        <v>RPG</v>
      </c>
    </row>
    <row r="491">
      <c r="A491" s="17" t="str">
        <f>IFERROR(__xludf.DUMMYFUNCTION("""COMPUTED_VALUE"""),"Warhammer 40,000: Battlesector")</f>
        <v>Warhammer 40,000: Battlesector</v>
      </c>
      <c r="B491" s="20" t="str">
        <f>IFERROR(__xludf.DUMMYFUNCTION("""COMPUTED_VALUE"""),"Xbox / PC")</f>
        <v>Xbox / PC</v>
      </c>
      <c r="C491" s="20" t="str">
        <f>IFERROR(__xludf.DUMMYFUNCTION("""COMPUTED_VALUE"""),"Yes")</f>
        <v>Yes</v>
      </c>
      <c r="D491" s="21" t="str">
        <f>IFERROR(__xludf.DUMMYFUNCTION("""COMPUTED_VALUE"""),"Removed")</f>
        <v>Removed</v>
      </c>
      <c r="E491" s="128">
        <f>IFERROR(__xludf.DUMMYFUNCTION("""COMPUTED_VALUE"""),44532.0)</f>
        <v>44532</v>
      </c>
      <c r="F491" s="276">
        <f>IFERROR(__xludf.DUMMYFUNCTION("""COMPUTED_VALUE"""),44895.0)</f>
        <v>44895</v>
      </c>
      <c r="G491" s="27">
        <f>IFERROR(__xludf.DUMMYFUNCTION("""COMPUTED_VALUE"""),11.933333333333334)</f>
        <v>11.93333333</v>
      </c>
      <c r="H491" s="128">
        <f>IFERROR(__xludf.DUMMYFUNCTION("""COMPUTED_VALUE"""),44392.0)</f>
        <v>44392</v>
      </c>
      <c r="I491" s="27">
        <f>IFERROR(__xludf.DUMMYFUNCTION("""COMPUTED_VALUE"""),0.38055555555555554)</f>
        <v>0.3805555556</v>
      </c>
      <c r="J491" s="29">
        <f>IFERROR(__xludf.DUMMYFUNCTION("""COMPUTED_VALUE"""),74.0)</f>
        <v>74</v>
      </c>
      <c r="K491" s="29">
        <f>IFERROR(__xludf.DUMMYFUNCTION("""COMPUTED_VALUE"""),19.5)</f>
        <v>19.5</v>
      </c>
      <c r="L491" s="31" t="str">
        <f>IFERROR(__xludf.DUMMYFUNCTION("""COMPUTED_VALUE"""),"Strategy")</f>
        <v>Strategy</v>
      </c>
    </row>
    <row r="492">
      <c r="A492" s="17" t="str">
        <f>IFERROR(__xludf.DUMMYFUNCTION("""COMPUTED_VALUE"""),"Mind Scanners")</f>
        <v>Mind Scanners</v>
      </c>
      <c r="B492" s="20" t="str">
        <f>IFERROR(__xludf.DUMMYFUNCTION("""COMPUTED_VALUE"""),"Xbox / PC")</f>
        <v>Xbox / PC</v>
      </c>
      <c r="C492" s="20" t="str">
        <f>IFERROR(__xludf.DUMMYFUNCTION("""COMPUTED_VALUE"""),"Yes")</f>
        <v>Yes</v>
      </c>
      <c r="D492" s="21" t="str">
        <f>IFERROR(__xludf.DUMMYFUNCTION("""COMPUTED_VALUE"""),"Removed")</f>
        <v>Removed</v>
      </c>
      <c r="E492" s="128">
        <f>IFERROR(__xludf.DUMMYFUNCTION("""COMPUTED_VALUE"""),44531.0)</f>
        <v>44531</v>
      </c>
      <c r="F492" s="276">
        <f>IFERROR(__xludf.DUMMYFUNCTION("""COMPUTED_VALUE"""),44895.0)</f>
        <v>44895</v>
      </c>
      <c r="G492" s="27">
        <f>IFERROR(__xludf.DUMMYFUNCTION("""COMPUTED_VALUE"""),11.966666666666667)</f>
        <v>11.96666667</v>
      </c>
      <c r="H492" s="128">
        <f>IFERROR(__xludf.DUMMYFUNCTION("""COMPUTED_VALUE"""),44336.0)</f>
        <v>44336</v>
      </c>
      <c r="I492" s="27">
        <f>IFERROR(__xludf.DUMMYFUNCTION("""COMPUTED_VALUE"""),0.5305555555555556)</f>
        <v>0.5305555556</v>
      </c>
      <c r="J492" s="29">
        <f>IFERROR(__xludf.DUMMYFUNCTION("""COMPUTED_VALUE"""),75.0)</f>
        <v>75</v>
      </c>
      <c r="K492" s="29">
        <f>IFERROR(__xludf.DUMMYFUNCTION("""COMPUTED_VALUE"""),2.5)</f>
        <v>2.5</v>
      </c>
      <c r="L492" s="31" t="str">
        <f>IFERROR(__xludf.DUMMYFUNCTION("""COMPUTED_VALUE"""),"RPG")</f>
        <v>RPG</v>
      </c>
    </row>
    <row r="493">
      <c r="A493" s="17" t="str">
        <f>IFERROR(__xludf.DUMMYFUNCTION("""COMPUTED_VALUE"""),"DEEEER Simulator")</f>
        <v>DEEEER Simulator</v>
      </c>
      <c r="B493" s="20" t="str">
        <f>IFERROR(__xludf.DUMMYFUNCTION("""COMPUTED_VALUE"""),"Xbox / PC")</f>
        <v>Xbox / PC</v>
      </c>
      <c r="C493" s="20" t="str">
        <f>IFERROR(__xludf.DUMMYFUNCTION("""COMPUTED_VALUE"""),"Yes")</f>
        <v>Yes</v>
      </c>
      <c r="D493" s="21" t="str">
        <f>IFERROR(__xludf.DUMMYFUNCTION("""COMPUTED_VALUE"""),"Removed")</f>
        <v>Removed</v>
      </c>
      <c r="E493" s="128">
        <f>IFERROR(__xludf.DUMMYFUNCTION("""COMPUTED_VALUE"""),44523.0)</f>
        <v>44523</v>
      </c>
      <c r="F493" s="276">
        <f>IFERROR(__xludf.DUMMYFUNCTION("""COMPUTED_VALUE"""),44895.0)</f>
        <v>44895</v>
      </c>
      <c r="G493" s="27">
        <f>IFERROR(__xludf.DUMMYFUNCTION("""COMPUTED_VALUE"""),12.233333333333333)</f>
        <v>12.23333333</v>
      </c>
      <c r="H493" s="128">
        <f>IFERROR(__xludf.DUMMYFUNCTION("""COMPUTED_VALUE"""),43851.0)</f>
        <v>43851</v>
      </c>
      <c r="I493" s="27">
        <f>IFERROR(__xludf.DUMMYFUNCTION("""COMPUTED_VALUE"""),1.8388888888888888)</f>
        <v>1.838888889</v>
      </c>
      <c r="J493" s="29">
        <f>IFERROR(__xludf.DUMMYFUNCTION("""COMPUTED_VALUE"""),46.666666666666664)</f>
        <v>46.66666667</v>
      </c>
      <c r="K493" s="29">
        <f>IFERROR(__xludf.DUMMYFUNCTION("""COMPUTED_VALUE"""),1.0)</f>
        <v>1</v>
      </c>
      <c r="L493" s="31" t="str">
        <f>IFERROR(__xludf.DUMMYFUNCTION("""COMPUTED_VALUE"""),"Action")</f>
        <v>Action</v>
      </c>
    </row>
    <row r="494">
      <c r="A494" s="17" t="str">
        <f>IFERROR(__xludf.DUMMYFUNCTION("""COMPUTED_VALUE"""),"Undungeon")</f>
        <v>Undungeon</v>
      </c>
      <c r="B494" s="20" t="str">
        <f>IFERROR(__xludf.DUMMYFUNCTION("""COMPUTED_VALUE"""),"Xbox / PC")</f>
        <v>Xbox / PC</v>
      </c>
      <c r="C494" s="20" t="str">
        <f>IFERROR(__xludf.DUMMYFUNCTION("""COMPUTED_VALUE"""),"Touch Controls")</f>
        <v>Touch Controls</v>
      </c>
      <c r="D494" s="21" t="str">
        <f>IFERROR(__xludf.DUMMYFUNCTION("""COMPUTED_VALUE"""),"Removed")</f>
        <v>Removed</v>
      </c>
      <c r="E494" s="128">
        <f>IFERROR(__xludf.DUMMYFUNCTION("""COMPUTED_VALUE"""),44518.0)</f>
        <v>44518</v>
      </c>
      <c r="F494" s="276">
        <f>IFERROR(__xludf.DUMMYFUNCTION("""COMPUTED_VALUE"""),44895.0)</f>
        <v>44895</v>
      </c>
      <c r="G494" s="27">
        <f>IFERROR(__xludf.DUMMYFUNCTION("""COMPUTED_VALUE"""),12.400000000000002)</f>
        <v>12.4</v>
      </c>
      <c r="H494" s="128">
        <f>IFERROR(__xludf.DUMMYFUNCTION("""COMPUTED_VALUE"""),44518.0)</f>
        <v>44518</v>
      </c>
      <c r="I494" s="27">
        <f>IFERROR(__xludf.DUMMYFUNCTION("""COMPUTED_VALUE"""),0.0)</f>
        <v>0</v>
      </c>
      <c r="J494" s="29">
        <f>IFERROR(__xludf.DUMMYFUNCTION("""COMPUTED_VALUE"""),69.83333333333333)</f>
        <v>69.83333333</v>
      </c>
      <c r="K494" s="29">
        <f>IFERROR(__xludf.DUMMYFUNCTION("""COMPUTED_VALUE"""),4.0)</f>
        <v>4</v>
      </c>
      <c r="L494" s="31" t="str">
        <f>IFERROR(__xludf.DUMMYFUNCTION("""COMPUTED_VALUE"""),"RPG")</f>
        <v>RPG</v>
      </c>
    </row>
    <row r="495">
      <c r="A495" s="17" t="str">
        <f>IFERROR(__xludf.DUMMYFUNCTION("""COMPUTED_VALUE"""),"Fae Tactics")</f>
        <v>Fae Tactics</v>
      </c>
      <c r="B495" s="20" t="str">
        <f>IFERROR(__xludf.DUMMYFUNCTION("""COMPUTED_VALUE"""),"Xbox / PC")</f>
        <v>Xbox / PC</v>
      </c>
      <c r="C495" s="20" t="str">
        <f>IFERROR(__xludf.DUMMYFUNCTION("""COMPUTED_VALUE"""),"Touch Controls")</f>
        <v>Touch Controls</v>
      </c>
      <c r="D495" s="21" t="str">
        <f>IFERROR(__xludf.DUMMYFUNCTION("""COMPUTED_VALUE"""),"Removed")</f>
        <v>Removed</v>
      </c>
      <c r="E495" s="23">
        <f>IFERROR(__xludf.DUMMYFUNCTION("""COMPUTED_VALUE"""),44518.0)</f>
        <v>44518</v>
      </c>
      <c r="F495" s="276">
        <f>IFERROR(__xludf.DUMMYFUNCTION("""COMPUTED_VALUE"""),44880.0)</f>
        <v>44880</v>
      </c>
      <c r="G495" s="27">
        <f>IFERROR(__xludf.DUMMYFUNCTION("""COMPUTED_VALUE"""),11.9)</f>
        <v>11.9</v>
      </c>
      <c r="H495" s="128">
        <f>IFERROR(__xludf.DUMMYFUNCTION("""COMPUTED_VALUE"""),44043.0)</f>
        <v>44043</v>
      </c>
      <c r="I495" s="27">
        <f>IFERROR(__xludf.DUMMYFUNCTION("""COMPUTED_VALUE"""),1.3)</f>
        <v>1.3</v>
      </c>
      <c r="J495" s="29">
        <f>IFERROR(__xludf.DUMMYFUNCTION("""COMPUTED_VALUE"""),77.0)</f>
        <v>77</v>
      </c>
      <c r="K495" s="29">
        <f>IFERROR(__xludf.DUMMYFUNCTION("""COMPUTED_VALUE"""),32.5)</f>
        <v>32.5</v>
      </c>
      <c r="L495" s="275" t="str">
        <f>IFERROR(__xludf.DUMMYFUNCTION("""COMPUTED_VALUE"""),"RPG")</f>
        <v>RPG</v>
      </c>
    </row>
    <row r="496">
      <c r="A496" s="17" t="str">
        <f>IFERROR(__xludf.DUMMYFUNCTION("""COMPUTED_VALUE"""),"Next Space Rebels")</f>
        <v>Next Space Rebels</v>
      </c>
      <c r="B496" s="20" t="str">
        <f>IFERROR(__xludf.DUMMYFUNCTION("""COMPUTED_VALUE"""),"Xbox / PC")</f>
        <v>Xbox / PC</v>
      </c>
      <c r="C496" s="21" t="str">
        <f>IFERROR(__xludf.DUMMYFUNCTION("""COMPUTED_VALUE"""),"Yes")</f>
        <v>Yes</v>
      </c>
      <c r="D496" s="21" t="str">
        <f>IFERROR(__xludf.DUMMYFUNCTION("""COMPUTED_VALUE"""),"Removed")</f>
        <v>Removed</v>
      </c>
      <c r="E496" s="23">
        <f>IFERROR(__xludf.DUMMYFUNCTION("""COMPUTED_VALUE"""),44517.0)</f>
        <v>44517</v>
      </c>
      <c r="F496" s="276">
        <f>IFERROR(__xludf.DUMMYFUNCTION("""COMPUTED_VALUE"""),44880.0)</f>
        <v>44880</v>
      </c>
      <c r="G496" s="27">
        <f>IFERROR(__xludf.DUMMYFUNCTION("""COMPUTED_VALUE"""),11.933333333333334)</f>
        <v>11.93333333</v>
      </c>
      <c r="H496" s="128">
        <f>IFERROR(__xludf.DUMMYFUNCTION("""COMPUTED_VALUE"""),44517.0)</f>
        <v>44517</v>
      </c>
      <c r="I496" s="27">
        <f>IFERROR(__xludf.DUMMYFUNCTION("""COMPUTED_VALUE"""),0.0)</f>
        <v>0</v>
      </c>
      <c r="J496" s="277">
        <f>IFERROR(__xludf.DUMMYFUNCTION("""COMPUTED_VALUE"""),71.66666666666667)</f>
        <v>71.66666667</v>
      </c>
      <c r="K496" s="277">
        <f>IFERROR(__xludf.DUMMYFUNCTION("""COMPUTED_VALUE"""),18.0)</f>
        <v>18</v>
      </c>
      <c r="L496" s="275" t="str">
        <f>IFERROR(__xludf.DUMMYFUNCTION("""COMPUTED_VALUE"""),"Simulation")</f>
        <v>Simulation</v>
      </c>
    </row>
    <row r="497">
      <c r="A497" s="278" t="str">
        <f>IFERROR(__xludf.DUMMYFUNCTION("""COMPUTED_VALUE"""),"One Step from Eden")</f>
        <v>One Step from Eden</v>
      </c>
      <c r="B497" s="20" t="str">
        <f>IFERROR(__xludf.DUMMYFUNCTION("""COMPUTED_VALUE"""),"Xbox / PC")</f>
        <v>Xbox / PC</v>
      </c>
      <c r="C497" s="20" t="str">
        <f>IFERROR(__xludf.DUMMYFUNCTION("""COMPUTED_VALUE"""),"Touch Controls")</f>
        <v>Touch Controls</v>
      </c>
      <c r="D497" s="21" t="str">
        <f>IFERROR(__xludf.DUMMYFUNCTION("""COMPUTED_VALUE"""),"Removed")</f>
        <v>Removed</v>
      </c>
      <c r="E497" s="279">
        <f>IFERROR(__xludf.DUMMYFUNCTION("""COMPUTED_VALUE"""),44511.0)</f>
        <v>44511</v>
      </c>
      <c r="F497" s="276">
        <f>IFERROR(__xludf.DUMMYFUNCTION("""COMPUTED_VALUE"""),44880.0)</f>
        <v>44880</v>
      </c>
      <c r="G497" s="27">
        <f>IFERROR(__xludf.DUMMYFUNCTION("""COMPUTED_VALUE"""),12.133333333333333)</f>
        <v>12.13333333</v>
      </c>
      <c r="H497" s="128">
        <f>IFERROR(__xludf.DUMMYFUNCTION("""COMPUTED_VALUE"""),43916.0)</f>
        <v>43916</v>
      </c>
      <c r="I497" s="27">
        <f>IFERROR(__xludf.DUMMYFUNCTION("""COMPUTED_VALUE"""),1.625)</f>
        <v>1.625</v>
      </c>
      <c r="J497" s="29">
        <f>IFERROR(__xludf.DUMMYFUNCTION("""COMPUTED_VALUE"""),82.0)</f>
        <v>82</v>
      </c>
      <c r="K497" s="29">
        <f>IFERROR(__xludf.DUMMYFUNCTION("""COMPUTED_VALUE"""),7.5)</f>
        <v>7.5</v>
      </c>
      <c r="L497" s="31" t="str">
        <f>IFERROR(__xludf.DUMMYFUNCTION("""COMPUTED_VALUE"""),"Action")</f>
        <v>Action</v>
      </c>
    </row>
    <row r="498">
      <c r="A498" s="278" t="str">
        <f>IFERROR(__xludf.DUMMYFUNCTION("""COMPUTED_VALUE"""),"art of rally")</f>
        <v>art of rally</v>
      </c>
      <c r="B498" s="20" t="str">
        <f>IFERROR(__xludf.DUMMYFUNCTION("""COMPUTED_VALUE"""),"Xbox / PC")</f>
        <v>Xbox / PC</v>
      </c>
      <c r="C498" s="20" t="str">
        <f>IFERROR(__xludf.DUMMYFUNCTION("""COMPUTED_VALUE"""),"Touch Controls")</f>
        <v>Touch Controls</v>
      </c>
      <c r="D498" s="21" t="str">
        <f>IFERROR(__xludf.DUMMYFUNCTION("""COMPUTED_VALUE"""),"Removed")</f>
        <v>Removed</v>
      </c>
      <c r="E498" s="279">
        <f>IFERROR(__xludf.DUMMYFUNCTION("""COMPUTED_VALUE"""),44420.0)</f>
        <v>44420</v>
      </c>
      <c r="F498" s="276">
        <f>IFERROR(__xludf.DUMMYFUNCTION("""COMPUTED_VALUE"""),44880.0)</f>
        <v>44880</v>
      </c>
      <c r="G498" s="27">
        <f>IFERROR(__xludf.DUMMYFUNCTION("""COMPUTED_VALUE"""),15.1)</f>
        <v>15.1</v>
      </c>
      <c r="H498" s="128">
        <f>IFERROR(__xludf.DUMMYFUNCTION("""COMPUTED_VALUE"""),44097.0)</f>
        <v>44097</v>
      </c>
      <c r="I498" s="27">
        <f>IFERROR(__xludf.DUMMYFUNCTION("""COMPUTED_VALUE"""),0.8861111111111111)</f>
        <v>0.8861111111</v>
      </c>
      <c r="J498" s="277">
        <f>IFERROR(__xludf.DUMMYFUNCTION("""COMPUTED_VALUE"""),80.0)</f>
        <v>80</v>
      </c>
      <c r="K498" s="29">
        <f>IFERROR(__xludf.DUMMYFUNCTION("""COMPUTED_VALUE"""),16.5)</f>
        <v>16.5</v>
      </c>
      <c r="L498" s="275" t="str">
        <f>IFERROR(__xludf.DUMMYFUNCTION("""COMPUTED_VALUE"""),"Racing")</f>
        <v>Racing</v>
      </c>
    </row>
    <row r="499">
      <c r="A499" s="278" t="str">
        <f>IFERROR(__xludf.DUMMYFUNCTION("""COMPUTED_VALUE"""),"Supraland")</f>
        <v>Supraland</v>
      </c>
      <c r="B499" s="21" t="str">
        <f>IFERROR(__xludf.DUMMYFUNCTION("""COMPUTED_VALUE"""),"Xbox / PC")</f>
        <v>Xbox / PC</v>
      </c>
      <c r="C499" s="21"/>
      <c r="D499" s="21" t="str">
        <f>IFERROR(__xludf.DUMMYFUNCTION("""COMPUTED_VALUE"""),"Removed")</f>
        <v>Removed</v>
      </c>
      <c r="E499" s="279">
        <f>IFERROR(__xludf.DUMMYFUNCTION("""COMPUTED_VALUE"""),44126.0)</f>
        <v>44126</v>
      </c>
      <c r="F499" s="276">
        <f>IFERROR(__xludf.DUMMYFUNCTION("""COMPUTED_VALUE"""),44880.0)</f>
        <v>44880</v>
      </c>
      <c r="G499" s="27">
        <f>IFERROR(__xludf.DUMMYFUNCTION("""COMPUTED_VALUE"""),24.76666666666667)</f>
        <v>24.76666667</v>
      </c>
      <c r="H499" s="128">
        <f>IFERROR(__xludf.DUMMYFUNCTION("""COMPUTED_VALUE"""),43560.0)</f>
        <v>43560</v>
      </c>
      <c r="I499" s="27">
        <f>IFERROR(__xludf.DUMMYFUNCTION("""COMPUTED_VALUE"""),1.5472222222222223)</f>
        <v>1.547222222</v>
      </c>
      <c r="J499" s="29">
        <f>IFERROR(__xludf.DUMMYFUNCTION("""COMPUTED_VALUE"""),82.0)</f>
        <v>82</v>
      </c>
      <c r="K499" s="29">
        <f>IFERROR(__xludf.DUMMYFUNCTION("""COMPUTED_VALUE"""),13.0)</f>
        <v>13</v>
      </c>
      <c r="L499" s="31" t="str">
        <f>IFERROR(__xludf.DUMMYFUNCTION("""COMPUTED_VALUE"""),"Action-Adventure")</f>
        <v>Action-Adventure</v>
      </c>
    </row>
    <row r="500">
      <c r="A500" s="278" t="str">
        <f>IFERROR(__xludf.DUMMYFUNCTION("""COMPUTED_VALUE"""),"Subnautica")</f>
        <v>Subnautica</v>
      </c>
      <c r="B500" s="20" t="str">
        <f>IFERROR(__xludf.DUMMYFUNCTION("""COMPUTED_VALUE"""),"Xbox / PC")</f>
        <v>Xbox / PC</v>
      </c>
      <c r="C500" s="20" t="str">
        <f>IFERROR(__xludf.DUMMYFUNCTION("""COMPUTED_VALUE"""),"Yes")</f>
        <v>Yes</v>
      </c>
      <c r="D500" s="21" t="str">
        <f>IFERROR(__xludf.DUMMYFUNCTION("""COMPUTED_VALUE"""),"Removed")</f>
        <v>Removed</v>
      </c>
      <c r="E500" s="279">
        <f>IFERROR(__xludf.DUMMYFUNCTION("""COMPUTED_VALUE"""),43776.0)</f>
        <v>43776</v>
      </c>
      <c r="F500" s="276">
        <f>IFERROR(__xludf.DUMMYFUNCTION("""COMPUTED_VALUE"""),44880.0)</f>
        <v>44880</v>
      </c>
      <c r="G500" s="27">
        <f>IFERROR(__xludf.DUMMYFUNCTION("""COMPUTED_VALUE"""),36.266666666666666)</f>
        <v>36.26666667</v>
      </c>
      <c r="H500" s="128">
        <f>IFERROR(__xludf.DUMMYFUNCTION("""COMPUTED_VALUE"""),43123.0)</f>
        <v>43123</v>
      </c>
      <c r="I500" s="27">
        <f>IFERROR(__xludf.DUMMYFUNCTION("""COMPUTED_VALUE"""),1.788888888888889)</f>
        <v>1.788888889</v>
      </c>
      <c r="J500" s="277">
        <f>IFERROR(__xludf.DUMMYFUNCTION("""COMPUTED_VALUE"""),81.0)</f>
        <v>81</v>
      </c>
      <c r="K500" s="29">
        <f>IFERROR(__xludf.DUMMYFUNCTION("""COMPUTED_VALUE"""),27.0)</f>
        <v>27</v>
      </c>
      <c r="L500" s="275" t="str">
        <f>IFERROR(__xludf.DUMMYFUNCTION("""COMPUTED_VALUE"""),"Adventure")</f>
        <v>Adventure</v>
      </c>
    </row>
    <row r="501">
      <c r="A501" s="17" t="str">
        <f>IFERROR(__xludf.DUMMYFUNCTION("""COMPUTED_VALUE"""),"Football Manager 2022")</f>
        <v>Football Manager 2022</v>
      </c>
      <c r="B501" s="20" t="str">
        <f>IFERROR(__xludf.DUMMYFUNCTION("""COMPUTED_VALUE"""),"Xbox / PC")</f>
        <v>Xbox / PC</v>
      </c>
      <c r="C501" s="20" t="str">
        <f>IFERROR(__xludf.DUMMYFUNCTION("""COMPUTED_VALUE"""),"Touch Controls")</f>
        <v>Touch Controls</v>
      </c>
      <c r="D501" s="21" t="str">
        <f>IFERROR(__xludf.DUMMYFUNCTION("""COMPUTED_VALUE"""),"Removed")</f>
        <v>Removed</v>
      </c>
      <c r="E501" s="128">
        <f>IFERROR(__xludf.DUMMYFUNCTION("""COMPUTED_VALUE"""),44509.0)</f>
        <v>44509</v>
      </c>
      <c r="F501" s="276">
        <f>IFERROR(__xludf.DUMMYFUNCTION("""COMPUTED_VALUE"""),44873.0)</f>
        <v>44873</v>
      </c>
      <c r="G501" s="27">
        <f>IFERROR(__xludf.DUMMYFUNCTION("""COMPUTED_VALUE"""),11.966666666666667)</f>
        <v>11.96666667</v>
      </c>
      <c r="H501" s="128">
        <f>IFERROR(__xludf.DUMMYFUNCTION("""COMPUTED_VALUE"""),44509.0)</f>
        <v>44509</v>
      </c>
      <c r="I501" s="27">
        <f>IFERROR(__xludf.DUMMYFUNCTION("""COMPUTED_VALUE"""),0.0)</f>
        <v>0</v>
      </c>
      <c r="J501" s="29">
        <f>IFERROR(__xludf.DUMMYFUNCTION("""COMPUTED_VALUE"""),86.0)</f>
        <v>86</v>
      </c>
      <c r="K501" s="29">
        <f>IFERROR(__xludf.DUMMYFUNCTION("""COMPUTED_VALUE"""),85.0)</f>
        <v>85</v>
      </c>
      <c r="L501" s="31" t="str">
        <f>IFERROR(__xludf.DUMMYFUNCTION("""COMPUTED_VALUE"""),"Sports")</f>
        <v>Sports</v>
      </c>
    </row>
    <row r="502">
      <c r="A502" s="17" t="str">
        <f>IFERROR(__xludf.DUMMYFUNCTION("""COMPUTED_VALUE"""),"Alan Wake's American Nightmare")</f>
        <v>Alan Wake's American Nightmare</v>
      </c>
      <c r="B502" s="20" t="str">
        <f>IFERROR(__xludf.DUMMYFUNCTION("""COMPUTED_VALUE"""),"Xbox / PC")</f>
        <v>Xbox / PC</v>
      </c>
      <c r="C502" s="20"/>
      <c r="D502" s="21" t="str">
        <f>IFERROR(__xludf.DUMMYFUNCTION("""COMPUTED_VALUE"""),"Removed")</f>
        <v>Removed</v>
      </c>
      <c r="E502" s="128">
        <f>IFERROR(__xludf.DUMMYFUNCTION("""COMPUTED_VALUE"""),44497.0)</f>
        <v>44497</v>
      </c>
      <c r="F502" s="276">
        <f>IFERROR(__xludf.DUMMYFUNCTION("""COMPUTED_VALUE"""),44865.0)</f>
        <v>44865</v>
      </c>
      <c r="G502" s="27">
        <f>IFERROR(__xludf.DUMMYFUNCTION("""COMPUTED_VALUE"""),12.066666666666666)</f>
        <v>12.06666667</v>
      </c>
      <c r="H502" s="128">
        <f>IFERROR(__xludf.DUMMYFUNCTION("""COMPUTED_VALUE"""),40961.0)</f>
        <v>40961</v>
      </c>
      <c r="I502" s="27">
        <f>IFERROR(__xludf.DUMMYFUNCTION("""COMPUTED_VALUE"""),9.683333333333334)</f>
        <v>9.683333333</v>
      </c>
      <c r="J502" s="29">
        <f>IFERROR(__xludf.DUMMYFUNCTION("""COMPUTED_VALUE"""),75.0)</f>
        <v>75</v>
      </c>
      <c r="K502" s="29">
        <f>IFERROR(__xludf.DUMMYFUNCTION("""COMPUTED_VALUE"""),3.5)</f>
        <v>3.5</v>
      </c>
      <c r="L502" s="31" t="str">
        <f>IFERROR(__xludf.DUMMYFUNCTION("""COMPUTED_VALUE"""),"Shooter")</f>
        <v>Shooter</v>
      </c>
    </row>
    <row r="503">
      <c r="A503" s="17" t="str">
        <f>IFERROR(__xludf.DUMMYFUNCTION("""COMPUTED_VALUE"""),"Bassmaster Fishing 2022")</f>
        <v>Bassmaster Fishing 2022</v>
      </c>
      <c r="B503" s="20" t="str">
        <f>IFERROR(__xludf.DUMMYFUNCTION("""COMPUTED_VALUE"""),"Xbox / PC")</f>
        <v>Xbox / PC</v>
      </c>
      <c r="C503" s="20" t="str">
        <f>IFERROR(__xludf.DUMMYFUNCTION("""COMPUTED_VALUE"""),"Yes")</f>
        <v>Yes</v>
      </c>
      <c r="D503" s="21" t="str">
        <f>IFERROR(__xludf.DUMMYFUNCTION("""COMPUTED_VALUE"""),"Removed")</f>
        <v>Removed</v>
      </c>
      <c r="E503" s="128">
        <f>IFERROR(__xludf.DUMMYFUNCTION("""COMPUTED_VALUE"""),44497.0)</f>
        <v>44497</v>
      </c>
      <c r="F503" s="276">
        <f>IFERROR(__xludf.DUMMYFUNCTION("""COMPUTED_VALUE"""),44865.0)</f>
        <v>44865</v>
      </c>
      <c r="G503" s="27">
        <f>IFERROR(__xludf.DUMMYFUNCTION("""COMPUTED_VALUE"""),12.066666666666666)</f>
        <v>12.06666667</v>
      </c>
      <c r="H503" s="128">
        <f>IFERROR(__xludf.DUMMYFUNCTION("""COMPUTED_VALUE"""),44497.0)</f>
        <v>44497</v>
      </c>
      <c r="I503" s="27">
        <f>IFERROR(__xludf.DUMMYFUNCTION("""COMPUTED_VALUE"""),0.0)</f>
        <v>0</v>
      </c>
      <c r="J503" s="29">
        <f>IFERROR(__xludf.DUMMYFUNCTION("""COMPUTED_VALUE"""),75.0)</f>
        <v>75</v>
      </c>
      <c r="K503" s="29"/>
      <c r="L503" s="31" t="str">
        <f>IFERROR(__xludf.DUMMYFUNCTION("""COMPUTED_VALUE"""),"Sports")</f>
        <v>Sports</v>
      </c>
    </row>
    <row r="504">
      <c r="A504" s="17" t="str">
        <f>IFERROR(__xludf.DUMMYFUNCTION("""COMPUTED_VALUE"""),"Nongunz: Doppelganger Edition")</f>
        <v>Nongunz: Doppelganger Edition</v>
      </c>
      <c r="B504" s="20" t="str">
        <f>IFERROR(__xludf.DUMMYFUNCTION("""COMPUTED_VALUE"""),"Xbox / PC")</f>
        <v>Xbox / PC</v>
      </c>
      <c r="C504" s="20" t="str">
        <f>IFERROR(__xludf.DUMMYFUNCTION("""COMPUTED_VALUE"""),"Yes")</f>
        <v>Yes</v>
      </c>
      <c r="D504" s="21" t="str">
        <f>IFERROR(__xludf.DUMMYFUNCTION("""COMPUTED_VALUE"""),"Removed")</f>
        <v>Removed</v>
      </c>
      <c r="E504" s="128">
        <f>IFERROR(__xludf.DUMMYFUNCTION("""COMPUTED_VALUE"""),44497.0)</f>
        <v>44497</v>
      </c>
      <c r="F504" s="276">
        <f>IFERROR(__xludf.DUMMYFUNCTION("""COMPUTED_VALUE"""),44865.0)</f>
        <v>44865</v>
      </c>
      <c r="G504" s="27">
        <f>IFERROR(__xludf.DUMMYFUNCTION("""COMPUTED_VALUE"""),12.066666666666666)</f>
        <v>12.06666667</v>
      </c>
      <c r="H504" s="128">
        <f>IFERROR(__xludf.DUMMYFUNCTION("""COMPUTED_VALUE"""),44321.0)</f>
        <v>44321</v>
      </c>
      <c r="I504" s="27">
        <f>IFERROR(__xludf.DUMMYFUNCTION("""COMPUTED_VALUE"""),0.48055555555555557)</f>
        <v>0.4805555556</v>
      </c>
      <c r="J504" s="29">
        <f>IFERROR(__xludf.DUMMYFUNCTION("""COMPUTED_VALUE"""),77.5)</f>
        <v>77.5</v>
      </c>
      <c r="K504" s="29">
        <f>IFERROR(__xludf.DUMMYFUNCTION("""COMPUTED_VALUE"""),20.0)</f>
        <v>20</v>
      </c>
      <c r="L504" s="31" t="str">
        <f>IFERROR(__xludf.DUMMYFUNCTION("""COMPUTED_VALUE"""),"Action")</f>
        <v>Action</v>
      </c>
    </row>
    <row r="505">
      <c r="A505" s="17" t="str">
        <f>IFERROR(__xludf.DUMMYFUNCTION("""COMPUTED_VALUE"""),"The Forgotten City")</f>
        <v>The Forgotten City</v>
      </c>
      <c r="B505" s="20" t="str">
        <f>IFERROR(__xludf.DUMMYFUNCTION("""COMPUTED_VALUE"""),"Xbox / PC")</f>
        <v>Xbox / PC</v>
      </c>
      <c r="C505" s="20" t="str">
        <f>IFERROR(__xludf.DUMMYFUNCTION("""COMPUTED_VALUE"""),"Touch Controls")</f>
        <v>Touch Controls</v>
      </c>
      <c r="D505" s="21" t="str">
        <f>IFERROR(__xludf.DUMMYFUNCTION("""COMPUTED_VALUE"""),"Removed")</f>
        <v>Removed</v>
      </c>
      <c r="E505" s="128">
        <f>IFERROR(__xludf.DUMMYFUNCTION("""COMPUTED_VALUE"""),44497.0)</f>
        <v>44497</v>
      </c>
      <c r="F505" s="276">
        <f>IFERROR(__xludf.DUMMYFUNCTION("""COMPUTED_VALUE"""),44865.0)</f>
        <v>44865</v>
      </c>
      <c r="G505" s="27">
        <f>IFERROR(__xludf.DUMMYFUNCTION("""COMPUTED_VALUE"""),12.066666666666666)</f>
        <v>12.06666667</v>
      </c>
      <c r="H505" s="128">
        <f>IFERROR(__xludf.DUMMYFUNCTION("""COMPUTED_VALUE"""),44405.0)</f>
        <v>44405</v>
      </c>
      <c r="I505" s="27">
        <f>IFERROR(__xludf.DUMMYFUNCTION("""COMPUTED_VALUE"""),0.25)</f>
        <v>0.25</v>
      </c>
      <c r="J505" s="29">
        <f>IFERROR(__xludf.DUMMYFUNCTION("""COMPUTED_VALUE"""),85.5)</f>
        <v>85.5</v>
      </c>
      <c r="K505" s="29">
        <f>IFERROR(__xludf.DUMMYFUNCTION("""COMPUTED_VALUE"""),5.0)</f>
        <v>5</v>
      </c>
      <c r="L505" s="31" t="str">
        <f>IFERROR(__xludf.DUMMYFUNCTION("""COMPUTED_VALUE"""),"RPG")</f>
        <v>RPG</v>
      </c>
    </row>
    <row r="506">
      <c r="A506" s="17" t="str">
        <f>IFERROR(__xludf.DUMMYFUNCTION("""COMPUTED_VALUE"""),"Project Wingman")</f>
        <v>Project Wingman</v>
      </c>
      <c r="B506" s="20" t="str">
        <f>IFERROR(__xludf.DUMMYFUNCTION("""COMPUTED_VALUE"""),"Xbox / PC")</f>
        <v>Xbox / PC</v>
      </c>
      <c r="C506" s="20" t="str">
        <f>IFERROR(__xludf.DUMMYFUNCTION("""COMPUTED_VALUE"""),"Yes")</f>
        <v>Yes</v>
      </c>
      <c r="D506" s="21" t="str">
        <f>IFERROR(__xludf.DUMMYFUNCTION("""COMPUTED_VALUE"""),"Removed")</f>
        <v>Removed</v>
      </c>
      <c r="E506" s="128">
        <f>IFERROR(__xludf.DUMMYFUNCTION("""COMPUTED_VALUE"""),44406.0)</f>
        <v>44406</v>
      </c>
      <c r="F506" s="276">
        <f>IFERROR(__xludf.DUMMYFUNCTION("""COMPUTED_VALUE"""),44865.0)</f>
        <v>44865</v>
      </c>
      <c r="G506" s="27">
        <f>IFERROR(__xludf.DUMMYFUNCTION("""COMPUTED_VALUE"""),15.033333333333333)</f>
        <v>15.03333333</v>
      </c>
      <c r="H506" s="128">
        <f>IFERROR(__xludf.DUMMYFUNCTION("""COMPUTED_VALUE"""),44166.0)</f>
        <v>44166</v>
      </c>
      <c r="I506" s="27">
        <f>IFERROR(__xludf.DUMMYFUNCTION("""COMPUTED_VALUE"""),0.6611111111111111)</f>
        <v>0.6611111111</v>
      </c>
      <c r="J506" s="29">
        <f>IFERROR(__xludf.DUMMYFUNCTION("""COMPUTED_VALUE"""),75.0)</f>
        <v>75</v>
      </c>
      <c r="K506" s="29">
        <f>IFERROR(__xludf.DUMMYFUNCTION("""COMPUTED_VALUE"""),11.0)</f>
        <v>11</v>
      </c>
      <c r="L506" s="31" t="str">
        <f>IFERROR(__xludf.DUMMYFUNCTION("""COMPUTED_VALUE"""),"Flight")</f>
        <v>Flight</v>
      </c>
    </row>
    <row r="507">
      <c r="A507" s="17" t="str">
        <f>IFERROR(__xludf.DUMMYFUNCTION("""COMPUTED_VALUE"""),"Backbone")</f>
        <v>Backbone</v>
      </c>
      <c r="B507" s="20" t="str">
        <f>IFERROR(__xludf.DUMMYFUNCTION("""COMPUTED_VALUE"""),"Xbox / PC")</f>
        <v>Xbox / PC</v>
      </c>
      <c r="C507" s="20" t="str">
        <f>IFERROR(__xludf.DUMMYFUNCTION("""COMPUTED_VALUE"""),"Yes")</f>
        <v>Yes</v>
      </c>
      <c r="D507" s="21" t="str">
        <f>IFERROR(__xludf.DUMMYFUNCTION("""COMPUTED_VALUE"""),"Removed")</f>
        <v>Removed</v>
      </c>
      <c r="E507" s="128">
        <f>IFERROR(__xludf.DUMMYFUNCTION("""COMPUTED_VALUE"""),44355.0)</f>
        <v>44355</v>
      </c>
      <c r="F507" s="276">
        <f>IFERROR(__xludf.DUMMYFUNCTION("""COMPUTED_VALUE"""),44865.0)</f>
        <v>44865</v>
      </c>
      <c r="G507" s="27">
        <f>IFERROR(__xludf.DUMMYFUNCTION("""COMPUTED_VALUE"""),16.733333333333334)</f>
        <v>16.73333333</v>
      </c>
      <c r="H507" s="128">
        <f>IFERROR(__xludf.DUMMYFUNCTION("""COMPUTED_VALUE"""),44355.0)</f>
        <v>44355</v>
      </c>
      <c r="I507" s="27">
        <f>IFERROR(__xludf.DUMMYFUNCTION("""COMPUTED_VALUE"""),0.0)</f>
        <v>0</v>
      </c>
      <c r="J507" s="29">
        <f>IFERROR(__xludf.DUMMYFUNCTION("""COMPUTED_VALUE"""),73.0)</f>
        <v>73</v>
      </c>
      <c r="K507" s="29">
        <f>IFERROR(__xludf.DUMMYFUNCTION("""COMPUTED_VALUE"""),4.5)</f>
        <v>4.5</v>
      </c>
      <c r="L507" s="31" t="str">
        <f>IFERROR(__xludf.DUMMYFUNCTION("""COMPUTED_VALUE"""),"RPG")</f>
        <v>RPG</v>
      </c>
    </row>
    <row r="508">
      <c r="A508" s="278" t="str">
        <f>IFERROR(__xludf.DUMMYFUNCTION("""COMPUTED_VALUE"""),"Second Extinction (Game Preview)")</f>
        <v>Second Extinction (Game Preview)</v>
      </c>
      <c r="B508" s="20" t="str">
        <f>IFERROR(__xludf.DUMMYFUNCTION("""COMPUTED_VALUE"""),"Xbox / PC")</f>
        <v>Xbox / PC</v>
      </c>
      <c r="C508" s="20" t="str">
        <f>IFERROR(__xludf.DUMMYFUNCTION("""COMPUTED_VALUE"""),"Yes")</f>
        <v>Yes</v>
      </c>
      <c r="D508" s="21" t="str">
        <f>IFERROR(__xludf.DUMMYFUNCTION("""COMPUTED_VALUE"""),"Removed")</f>
        <v>Removed</v>
      </c>
      <c r="E508" s="279">
        <f>IFERROR(__xludf.DUMMYFUNCTION("""COMPUTED_VALUE"""),44314.0)</f>
        <v>44314</v>
      </c>
      <c r="F508" s="276">
        <f>IFERROR(__xludf.DUMMYFUNCTION("""COMPUTED_VALUE"""),44865.0)</f>
        <v>44865</v>
      </c>
      <c r="G508" s="27">
        <f>IFERROR(__xludf.DUMMYFUNCTION("""COMPUTED_VALUE"""),18.066666666666666)</f>
        <v>18.06666667</v>
      </c>
      <c r="H508" s="128">
        <f>IFERROR(__xludf.DUMMYFUNCTION("""COMPUTED_VALUE"""),44117.0)</f>
        <v>44117</v>
      </c>
      <c r="I508" s="27">
        <f>IFERROR(__xludf.DUMMYFUNCTION("""COMPUTED_VALUE"""),0.5416666666666666)</f>
        <v>0.5416666667</v>
      </c>
      <c r="J508" s="277">
        <f>IFERROR(__xludf.DUMMYFUNCTION("""COMPUTED_VALUE"""),68.75)</f>
        <v>68.75</v>
      </c>
      <c r="K508" s="29">
        <f>IFERROR(__xludf.DUMMYFUNCTION("""COMPUTED_VALUE"""),5.5)</f>
        <v>5.5</v>
      </c>
      <c r="L508" s="275" t="str">
        <f>IFERROR(__xludf.DUMMYFUNCTION("""COMPUTED_VALUE"""),"Shooter")</f>
        <v>Shooter</v>
      </c>
    </row>
    <row r="509">
      <c r="A509" s="278" t="str">
        <f>IFERROR(__xludf.DUMMYFUNCTION("""COMPUTED_VALUE"""),"Sniper Elite 4")</f>
        <v>Sniper Elite 4</v>
      </c>
      <c r="B509" s="20" t="str">
        <f>IFERROR(__xludf.DUMMYFUNCTION("""COMPUTED_VALUE"""),"Xbox")</f>
        <v>Xbox</v>
      </c>
      <c r="C509" s="20" t="str">
        <f>IFERROR(__xludf.DUMMYFUNCTION("""COMPUTED_VALUE"""),"Yes")</f>
        <v>Yes</v>
      </c>
      <c r="D509" s="21" t="str">
        <f>IFERROR(__xludf.DUMMYFUNCTION("""COMPUTED_VALUE"""),"Removed")</f>
        <v>Removed</v>
      </c>
      <c r="E509" s="279">
        <f>IFERROR(__xludf.DUMMYFUNCTION("""COMPUTED_VALUE"""),43405.0)</f>
        <v>43405</v>
      </c>
      <c r="F509" s="276">
        <f>IFERROR(__xludf.DUMMYFUNCTION("""COMPUTED_VALUE"""),44865.0)</f>
        <v>44865</v>
      </c>
      <c r="G509" s="27">
        <f>IFERROR(__xludf.DUMMYFUNCTION("""COMPUTED_VALUE"""),47.96666666666667)</f>
        <v>47.96666667</v>
      </c>
      <c r="H509" s="128">
        <f>IFERROR(__xludf.DUMMYFUNCTION("""COMPUTED_VALUE"""),42780.0)</f>
        <v>42780</v>
      </c>
      <c r="I509" s="27">
        <f>IFERROR(__xludf.DUMMYFUNCTION("""COMPUTED_VALUE"""),1.7138888888888888)</f>
        <v>1.713888889</v>
      </c>
      <c r="J509" s="277">
        <f>IFERROR(__xludf.DUMMYFUNCTION("""COMPUTED_VALUE"""),81.0)</f>
        <v>81</v>
      </c>
      <c r="K509" s="29">
        <f>IFERROR(__xludf.DUMMYFUNCTION("""COMPUTED_VALUE"""),10.0)</f>
        <v>10</v>
      </c>
      <c r="L509" s="275" t="str">
        <f>IFERROR(__xludf.DUMMYFUNCTION("""COMPUTED_VALUE"""),"Shooter")</f>
        <v>Shooter</v>
      </c>
    </row>
    <row r="510">
      <c r="A510" s="278" t="str">
        <f>IFERROR(__xludf.DUMMYFUNCTION("""COMPUTED_VALUE"""),"Echo Generation")</f>
        <v>Echo Generation</v>
      </c>
      <c r="B510" s="20" t="str">
        <f>IFERROR(__xludf.DUMMYFUNCTION("""COMPUTED_VALUE"""),"Xbox / PC")</f>
        <v>Xbox / PC</v>
      </c>
      <c r="C510" s="21" t="str">
        <f>IFERROR(__xludf.DUMMYFUNCTION("""COMPUTED_VALUE"""),"Touch Controls")</f>
        <v>Touch Controls</v>
      </c>
      <c r="D510" s="21" t="str">
        <f>IFERROR(__xludf.DUMMYFUNCTION("""COMPUTED_VALUE"""),"Removed")</f>
        <v>Removed</v>
      </c>
      <c r="E510" s="279">
        <f>IFERROR(__xludf.DUMMYFUNCTION("""COMPUTED_VALUE"""),44490.0)</f>
        <v>44490</v>
      </c>
      <c r="F510" s="276">
        <f>IFERROR(__xludf.DUMMYFUNCTION("""COMPUTED_VALUE"""),44849.0)</f>
        <v>44849</v>
      </c>
      <c r="G510" s="27">
        <f>IFERROR(__xludf.DUMMYFUNCTION("""COMPUTED_VALUE"""),11.799999999999999)</f>
        <v>11.8</v>
      </c>
      <c r="H510" s="128">
        <f>IFERROR(__xludf.DUMMYFUNCTION("""COMPUTED_VALUE"""),44490.0)</f>
        <v>44490</v>
      </c>
      <c r="I510" s="27">
        <f>IFERROR(__xludf.DUMMYFUNCTION("""COMPUTED_VALUE"""),0.0)</f>
        <v>0</v>
      </c>
      <c r="J510" s="277">
        <f>IFERROR(__xludf.DUMMYFUNCTION("""COMPUTED_VALUE"""),75.5)</f>
        <v>75.5</v>
      </c>
      <c r="K510" s="29">
        <f>IFERROR(__xludf.DUMMYFUNCTION("""COMPUTED_VALUE"""),7.0)</f>
        <v>7</v>
      </c>
      <c r="L510" s="31" t="str">
        <f>IFERROR(__xludf.DUMMYFUNCTION("""COMPUTED_VALUE"""),"Adventure")</f>
        <v>Adventure</v>
      </c>
    </row>
    <row r="511">
      <c r="A511" s="17" t="str">
        <f>IFERROR(__xludf.DUMMYFUNCTION("""COMPUTED_VALUE"""),"Into the Pit")</f>
        <v>Into the Pit</v>
      </c>
      <c r="B511" s="20" t="str">
        <f>IFERROR(__xludf.DUMMYFUNCTION("""COMPUTED_VALUE"""),"Xbox / PC")</f>
        <v>Xbox / PC</v>
      </c>
      <c r="C511" s="20" t="str">
        <f>IFERROR(__xludf.DUMMYFUNCTION("""COMPUTED_VALUE"""),"Yes")</f>
        <v>Yes</v>
      </c>
      <c r="D511" s="21" t="str">
        <f>IFERROR(__xludf.DUMMYFUNCTION("""COMPUTED_VALUE"""),"Removed")</f>
        <v>Removed</v>
      </c>
      <c r="E511" s="279">
        <f>IFERROR(__xludf.DUMMYFUNCTION("""COMPUTED_VALUE"""),44488.0)</f>
        <v>44488</v>
      </c>
      <c r="F511" s="276">
        <f>IFERROR(__xludf.DUMMYFUNCTION("""COMPUTED_VALUE"""),44849.0)</f>
        <v>44849</v>
      </c>
      <c r="G511" s="27">
        <f>IFERROR(__xludf.DUMMYFUNCTION("""COMPUTED_VALUE"""),11.866666666666667)</f>
        <v>11.86666667</v>
      </c>
      <c r="H511" s="128">
        <f>IFERROR(__xludf.DUMMYFUNCTION("""COMPUTED_VALUE"""),44488.0)</f>
        <v>44488</v>
      </c>
      <c r="I511" s="27">
        <f>IFERROR(__xludf.DUMMYFUNCTION("""COMPUTED_VALUE"""),0.0)</f>
        <v>0</v>
      </c>
      <c r="J511" s="29">
        <f>IFERROR(__xludf.DUMMYFUNCTION("""COMPUTED_VALUE"""),70.5)</f>
        <v>70.5</v>
      </c>
      <c r="K511" s="29">
        <f>IFERROR(__xludf.DUMMYFUNCTION("""COMPUTED_VALUE"""),4.0)</f>
        <v>4</v>
      </c>
      <c r="L511" s="275" t="str">
        <f>IFERROR(__xludf.DUMMYFUNCTION("""COMPUTED_VALUE"""),"Shooter")</f>
        <v>Shooter</v>
      </c>
    </row>
    <row r="512">
      <c r="A512" s="278" t="str">
        <f>IFERROR(__xludf.DUMMYFUNCTION("""COMPUTED_VALUE"""),"The Good Life")</f>
        <v>The Good Life</v>
      </c>
      <c r="B512" s="21" t="str">
        <f>IFERROR(__xludf.DUMMYFUNCTION("""COMPUTED_VALUE"""),"Xbox / PC")</f>
        <v>Xbox / PC</v>
      </c>
      <c r="C512" s="21" t="str">
        <f>IFERROR(__xludf.DUMMYFUNCTION("""COMPUTED_VALUE"""),"Touch Controls")</f>
        <v>Touch Controls</v>
      </c>
      <c r="D512" s="21" t="str">
        <f>IFERROR(__xludf.DUMMYFUNCTION("""COMPUTED_VALUE"""),"Removed")</f>
        <v>Removed</v>
      </c>
      <c r="E512" s="279">
        <f>IFERROR(__xludf.DUMMYFUNCTION("""COMPUTED_VALUE"""),44484.0)</f>
        <v>44484</v>
      </c>
      <c r="F512" s="276">
        <f>IFERROR(__xludf.DUMMYFUNCTION("""COMPUTED_VALUE"""),44849.0)</f>
        <v>44849</v>
      </c>
      <c r="G512" s="27">
        <f>IFERROR(__xludf.DUMMYFUNCTION("""COMPUTED_VALUE"""),12.0)</f>
        <v>12</v>
      </c>
      <c r="H512" s="128">
        <f>IFERROR(__xludf.DUMMYFUNCTION("""COMPUTED_VALUE"""),44484.0)</f>
        <v>44484</v>
      </c>
      <c r="I512" s="27">
        <f>IFERROR(__xludf.DUMMYFUNCTION("""COMPUTED_VALUE"""),0.0)</f>
        <v>0</v>
      </c>
      <c r="J512" s="29">
        <f>IFERROR(__xludf.DUMMYFUNCTION("""COMPUTED_VALUE"""),61.0)</f>
        <v>61</v>
      </c>
      <c r="K512" s="29">
        <f>IFERROR(__xludf.DUMMYFUNCTION("""COMPUTED_VALUE"""),19.5)</f>
        <v>19.5</v>
      </c>
      <c r="L512" s="31" t="str">
        <f>IFERROR(__xludf.DUMMYFUNCTION("""COMPUTED_VALUE"""),"RPG")</f>
        <v>RPG</v>
      </c>
    </row>
    <row r="513">
      <c r="A513" s="278" t="str">
        <f>IFERROR(__xludf.DUMMYFUNCTION("""COMPUTED_VALUE"""),"Ring of Pain")</f>
        <v>Ring of Pain</v>
      </c>
      <c r="B513" s="20" t="str">
        <f>IFERROR(__xludf.DUMMYFUNCTION("""COMPUTED_VALUE"""),"Xbox / PC")</f>
        <v>Xbox / PC</v>
      </c>
      <c r="C513" s="20" t="str">
        <f>IFERROR(__xludf.DUMMYFUNCTION("""COMPUTED_VALUE"""),"Touch Controls")</f>
        <v>Touch Controls</v>
      </c>
      <c r="D513" s="21" t="str">
        <f>IFERROR(__xludf.DUMMYFUNCTION("""COMPUTED_VALUE"""),"Removed")</f>
        <v>Removed</v>
      </c>
      <c r="E513" s="279">
        <f>IFERROR(__xludf.DUMMYFUNCTION("""COMPUTED_VALUE"""),44483.0)</f>
        <v>44483</v>
      </c>
      <c r="F513" s="276">
        <f>IFERROR(__xludf.DUMMYFUNCTION("""COMPUTED_VALUE"""),44849.0)</f>
        <v>44849</v>
      </c>
      <c r="G513" s="27">
        <f>IFERROR(__xludf.DUMMYFUNCTION("""COMPUTED_VALUE"""),12.033333333333333)</f>
        <v>12.03333333</v>
      </c>
      <c r="H513" s="128">
        <f>IFERROR(__xludf.DUMMYFUNCTION("""COMPUTED_VALUE"""),44119.0)</f>
        <v>44119</v>
      </c>
      <c r="I513" s="27">
        <f>IFERROR(__xludf.DUMMYFUNCTION("""COMPUTED_VALUE"""),0.9972222222222222)</f>
        <v>0.9972222222</v>
      </c>
      <c r="J513" s="277">
        <f>IFERROR(__xludf.DUMMYFUNCTION("""COMPUTED_VALUE"""),74.0)</f>
        <v>74</v>
      </c>
      <c r="K513" s="29">
        <f>IFERROR(__xludf.DUMMYFUNCTION("""COMPUTED_VALUE"""),7.5)</f>
        <v>7.5</v>
      </c>
      <c r="L513" s="275" t="str">
        <f>IFERROR(__xludf.DUMMYFUNCTION("""COMPUTED_VALUE"""),"Strategy")</f>
        <v>Strategy</v>
      </c>
    </row>
    <row r="514">
      <c r="A514" s="278" t="str">
        <f>IFERROR(__xludf.DUMMYFUNCTION("""COMPUTED_VALUE"""),"Sable")</f>
        <v>Sable</v>
      </c>
      <c r="B514" s="20" t="str">
        <f>IFERROR(__xludf.DUMMYFUNCTION("""COMPUTED_VALUE"""),"Xbox / PC")</f>
        <v>Xbox / PC</v>
      </c>
      <c r="C514" s="21" t="str">
        <f>IFERROR(__xludf.DUMMYFUNCTION("""COMPUTED_VALUE"""),"Touch Controls")</f>
        <v>Touch Controls</v>
      </c>
      <c r="D514" s="21" t="str">
        <f>IFERROR(__xludf.DUMMYFUNCTION("""COMPUTED_VALUE"""),"Removed")</f>
        <v>Removed</v>
      </c>
      <c r="E514" s="279">
        <f>IFERROR(__xludf.DUMMYFUNCTION("""COMPUTED_VALUE"""),44462.0)</f>
        <v>44462</v>
      </c>
      <c r="F514" s="276">
        <f>IFERROR(__xludf.DUMMYFUNCTION("""COMPUTED_VALUE"""),44849.0)</f>
        <v>44849</v>
      </c>
      <c r="G514" s="27">
        <f>IFERROR(__xludf.DUMMYFUNCTION("""COMPUTED_VALUE"""),12.733333333333334)</f>
        <v>12.73333333</v>
      </c>
      <c r="H514" s="128">
        <f>IFERROR(__xludf.DUMMYFUNCTION("""COMPUTED_VALUE"""),44462.0)</f>
        <v>44462</v>
      </c>
      <c r="I514" s="27">
        <f>IFERROR(__xludf.DUMMYFUNCTION("""COMPUTED_VALUE"""),0.0)</f>
        <v>0</v>
      </c>
      <c r="J514" s="277">
        <f>IFERROR(__xludf.DUMMYFUNCTION("""COMPUTED_VALUE"""),73.5)</f>
        <v>73.5</v>
      </c>
      <c r="K514" s="29">
        <f>IFERROR(__xludf.DUMMYFUNCTION("""COMPUTED_VALUE"""),7.0)</f>
        <v>7</v>
      </c>
      <c r="L514" s="275" t="str">
        <f>IFERROR(__xludf.DUMMYFUNCTION("""COMPUTED_VALUE"""),"Adventure")</f>
        <v>Adventure</v>
      </c>
    </row>
    <row r="515">
      <c r="A515" s="278" t="str">
        <f>IFERROR(__xludf.DUMMYFUNCTION("""COMPUTED_VALUE"""),"Bloodroots")</f>
        <v>Bloodroots</v>
      </c>
      <c r="B515" s="21" t="str">
        <f>IFERROR(__xludf.DUMMYFUNCTION("""COMPUTED_VALUE"""),"Xbox / PC")</f>
        <v>Xbox / PC</v>
      </c>
      <c r="C515" s="21" t="str">
        <f>IFERROR(__xludf.DUMMYFUNCTION("""COMPUTED_VALUE"""),"Touch Controls")</f>
        <v>Touch Controls</v>
      </c>
      <c r="D515" s="21" t="str">
        <f>IFERROR(__xludf.DUMMYFUNCTION("""COMPUTED_VALUE"""),"Removed")</f>
        <v>Removed</v>
      </c>
      <c r="E515" s="279">
        <f>IFERROR(__xludf.DUMMYFUNCTION("""COMPUTED_VALUE"""),44392.0)</f>
        <v>44392</v>
      </c>
      <c r="F515" s="276">
        <f>IFERROR(__xludf.DUMMYFUNCTION("""COMPUTED_VALUE"""),44849.0)</f>
        <v>44849</v>
      </c>
      <c r="G515" s="27">
        <f>IFERROR(__xludf.DUMMYFUNCTION("""COMPUTED_VALUE"""),15.0)</f>
        <v>15</v>
      </c>
      <c r="H515" s="128">
        <f>IFERROR(__xludf.DUMMYFUNCTION("""COMPUTED_VALUE"""),43889.0)</f>
        <v>43889</v>
      </c>
      <c r="I515" s="27">
        <f>IFERROR(__xludf.DUMMYFUNCTION("""COMPUTED_VALUE"""),1.3805555555555555)</f>
        <v>1.380555556</v>
      </c>
      <c r="J515" s="277">
        <f>IFERROR(__xludf.DUMMYFUNCTION("""COMPUTED_VALUE"""),76.0)</f>
        <v>76</v>
      </c>
      <c r="K515" s="29">
        <f>IFERROR(__xludf.DUMMYFUNCTION("""COMPUTED_VALUE"""),5.5)</f>
        <v>5.5</v>
      </c>
      <c r="L515" s="31" t="str">
        <f>IFERROR(__xludf.DUMMYFUNCTION("""COMPUTED_VALUE"""),"Action")</f>
        <v>Action</v>
      </c>
    </row>
    <row r="516">
      <c r="A516" s="278" t="str">
        <f>IFERROR(__xludf.DUMMYFUNCTION("""COMPUTED_VALUE"""),"DiRT 4")</f>
        <v>DiRT 4</v>
      </c>
      <c r="B516" s="20" t="str">
        <f>IFERROR(__xludf.DUMMYFUNCTION("""COMPUTED_VALUE"""),"Xbox")</f>
        <v>Xbox</v>
      </c>
      <c r="C516" s="20"/>
      <c r="D516" s="21" t="str">
        <f>IFERROR(__xludf.DUMMYFUNCTION("""COMPUTED_VALUE"""),"Removed")</f>
        <v>Removed</v>
      </c>
      <c r="E516" s="279">
        <f>IFERROR(__xludf.DUMMYFUNCTION("""COMPUTED_VALUE"""),44418.0)</f>
        <v>44418</v>
      </c>
      <c r="F516" s="276">
        <f>IFERROR(__xludf.DUMMYFUNCTION("""COMPUTED_VALUE"""),44837.0)</f>
        <v>44837</v>
      </c>
      <c r="G516" s="27">
        <f>IFERROR(__xludf.DUMMYFUNCTION("""COMPUTED_VALUE"""),13.766666666666666)</f>
        <v>13.76666667</v>
      </c>
      <c r="H516" s="128">
        <f>IFERROR(__xludf.DUMMYFUNCTION("""COMPUTED_VALUE"""),42892.0)</f>
        <v>42892</v>
      </c>
      <c r="I516" s="27">
        <f>IFERROR(__xludf.DUMMYFUNCTION("""COMPUTED_VALUE"""),4.177777777777778)</f>
        <v>4.177777778</v>
      </c>
      <c r="J516" s="277">
        <f>IFERROR(__xludf.DUMMYFUNCTION("""COMPUTED_VALUE"""),86.0)</f>
        <v>86</v>
      </c>
      <c r="K516" s="29">
        <f>IFERROR(__xludf.DUMMYFUNCTION("""COMPUTED_VALUE"""),31.0)</f>
        <v>31</v>
      </c>
      <c r="L516" s="31" t="str">
        <f>IFERROR(__xludf.DUMMYFUNCTION("""COMPUTED_VALUE"""),"Racing")</f>
        <v>Racing</v>
      </c>
    </row>
    <row r="517">
      <c r="A517" s="278" t="str">
        <f>IFERROR(__xludf.DUMMYFUNCTION("""COMPUTED_VALUE"""),"DiRT Rally")</f>
        <v>DiRT Rally</v>
      </c>
      <c r="B517" s="20" t="str">
        <f>IFERROR(__xludf.DUMMYFUNCTION("""COMPUTED_VALUE"""),"Xbox")</f>
        <v>Xbox</v>
      </c>
      <c r="C517" s="20"/>
      <c r="D517" s="21" t="str">
        <f>IFERROR(__xludf.DUMMYFUNCTION("""COMPUTED_VALUE"""),"Removed")</f>
        <v>Removed</v>
      </c>
      <c r="E517" s="279">
        <f>IFERROR(__xludf.DUMMYFUNCTION("""COMPUTED_VALUE"""),44418.0)</f>
        <v>44418</v>
      </c>
      <c r="F517" s="276">
        <f>IFERROR(__xludf.DUMMYFUNCTION("""COMPUTED_VALUE"""),44837.0)</f>
        <v>44837</v>
      </c>
      <c r="G517" s="27">
        <f>IFERROR(__xludf.DUMMYFUNCTION("""COMPUTED_VALUE"""),13.766666666666666)</f>
        <v>13.76666667</v>
      </c>
      <c r="H517" s="128">
        <f>IFERROR(__xludf.DUMMYFUNCTION("""COMPUTED_VALUE"""),42345.0)</f>
        <v>42345</v>
      </c>
      <c r="I517" s="27">
        <f>IFERROR(__xludf.DUMMYFUNCTION("""COMPUTED_VALUE"""),5.675)</f>
        <v>5.675</v>
      </c>
      <c r="J517" s="277">
        <f>IFERROR(__xludf.DUMMYFUNCTION("""COMPUTED_VALUE"""),86.0)</f>
        <v>86</v>
      </c>
      <c r="K517" s="277">
        <f>IFERROR(__xludf.DUMMYFUNCTION("""COMPUTED_VALUE"""),27.5)</f>
        <v>27.5</v>
      </c>
      <c r="L517" s="275" t="str">
        <f>IFERROR(__xludf.DUMMYFUNCTION("""COMPUTED_VALUE"""),"Racing")</f>
        <v>Racing</v>
      </c>
    </row>
    <row r="518">
      <c r="A518" s="278" t="str">
        <f>IFERROR(__xludf.DUMMYFUNCTION("""COMPUTED_VALUE"""),"The Procession to Calvary")</f>
        <v>The Procession to Calvary</v>
      </c>
      <c r="B518" s="20" t="str">
        <f>IFERROR(__xludf.DUMMYFUNCTION("""COMPUTED_VALUE"""),"Xbox / PC")</f>
        <v>Xbox / PC</v>
      </c>
      <c r="C518" s="20" t="str">
        <f>IFERROR(__xludf.DUMMYFUNCTION("""COMPUTED_VALUE"""),"Touch Controls")</f>
        <v>Touch Controls</v>
      </c>
      <c r="D518" s="21" t="str">
        <f>IFERROR(__xludf.DUMMYFUNCTION("""COMPUTED_VALUE"""),"Removed")</f>
        <v>Removed</v>
      </c>
      <c r="E518" s="279">
        <f>IFERROR(__xludf.DUMMYFUNCTION("""COMPUTED_VALUE"""),44476.0)</f>
        <v>44476</v>
      </c>
      <c r="F518" s="276">
        <f>IFERROR(__xludf.DUMMYFUNCTION("""COMPUTED_VALUE"""),44834.0)</f>
        <v>44834</v>
      </c>
      <c r="G518" s="27">
        <f>IFERROR(__xludf.DUMMYFUNCTION("""COMPUTED_VALUE"""),11.766666666666666)</f>
        <v>11.76666667</v>
      </c>
      <c r="H518" s="128">
        <f>IFERROR(__xludf.DUMMYFUNCTION("""COMPUTED_VALUE"""),43930.0)</f>
        <v>43930</v>
      </c>
      <c r="I518" s="27">
        <f>IFERROR(__xludf.DUMMYFUNCTION("""COMPUTED_VALUE"""),1.4944444444444445)</f>
        <v>1.494444444</v>
      </c>
      <c r="J518" s="277">
        <f>IFERROR(__xludf.DUMMYFUNCTION("""COMPUTED_VALUE"""),78.0)</f>
        <v>78</v>
      </c>
      <c r="K518" s="29">
        <f>IFERROR(__xludf.DUMMYFUNCTION("""COMPUTED_VALUE"""),3.0)</f>
        <v>3</v>
      </c>
      <c r="L518" s="275" t="str">
        <f>IFERROR(__xludf.DUMMYFUNCTION("""COMPUTED_VALUE"""),"Adventure")</f>
        <v>Adventure</v>
      </c>
    </row>
    <row r="519">
      <c r="A519" s="17" t="str">
        <f>IFERROR(__xludf.DUMMYFUNCTION("""COMPUTED_VALUE"""),"Visage")</f>
        <v>Visage</v>
      </c>
      <c r="B519" s="20" t="str">
        <f>IFERROR(__xludf.DUMMYFUNCTION("""COMPUTED_VALUE"""),"Xbox / PC")</f>
        <v>Xbox / PC</v>
      </c>
      <c r="C519" s="20" t="str">
        <f>IFERROR(__xludf.DUMMYFUNCTION("""COMPUTED_VALUE"""),"Touch Controls")</f>
        <v>Touch Controls</v>
      </c>
      <c r="D519" s="21" t="str">
        <f>IFERROR(__xludf.DUMMYFUNCTION("""COMPUTED_VALUE"""),"Removed")</f>
        <v>Removed</v>
      </c>
      <c r="E519" s="23">
        <f>IFERROR(__xludf.DUMMYFUNCTION("""COMPUTED_VALUE"""),44476.0)</f>
        <v>44476</v>
      </c>
      <c r="F519" s="276">
        <f>IFERROR(__xludf.DUMMYFUNCTION("""COMPUTED_VALUE"""),44834.0)</f>
        <v>44834</v>
      </c>
      <c r="G519" s="27">
        <f>IFERROR(__xludf.DUMMYFUNCTION("""COMPUTED_VALUE"""),11.766666666666666)</f>
        <v>11.76666667</v>
      </c>
      <c r="H519" s="128">
        <f>IFERROR(__xludf.DUMMYFUNCTION("""COMPUTED_VALUE"""),43375.0)</f>
        <v>43375</v>
      </c>
      <c r="I519" s="27">
        <f>IFERROR(__xludf.DUMMYFUNCTION("""COMPUTED_VALUE"""),3.013888888888889)</f>
        <v>3.013888889</v>
      </c>
      <c r="J519" s="29">
        <f>IFERROR(__xludf.DUMMYFUNCTION("""COMPUTED_VALUE"""),79.5)</f>
        <v>79.5</v>
      </c>
      <c r="K519" s="29">
        <f>IFERROR(__xludf.DUMMYFUNCTION("""COMPUTED_VALUE"""),6.0)</f>
        <v>6</v>
      </c>
      <c r="L519" s="31" t="str">
        <f>IFERROR(__xludf.DUMMYFUNCTION("""COMPUTED_VALUE"""),"Adventure")</f>
        <v>Adventure</v>
      </c>
    </row>
    <row r="520">
      <c r="A520" s="278" t="str">
        <f>IFERROR(__xludf.DUMMYFUNCTION("""COMPUTED_VALUE"""),"AI: The Somnium Files")</f>
        <v>AI: The Somnium Files</v>
      </c>
      <c r="B520" s="21" t="str">
        <f>IFERROR(__xludf.DUMMYFUNCTION("""COMPUTED_VALUE"""),"Xbox / PC")</f>
        <v>Xbox / PC</v>
      </c>
      <c r="C520" s="21" t="str">
        <f>IFERROR(__xludf.DUMMYFUNCTION("""COMPUTED_VALUE"""),"Yes")</f>
        <v>Yes</v>
      </c>
      <c r="D520" s="21" t="str">
        <f>IFERROR(__xludf.DUMMYFUNCTION("""COMPUTED_VALUE"""),"Removed")</f>
        <v>Removed</v>
      </c>
      <c r="E520" s="279">
        <f>IFERROR(__xludf.DUMMYFUNCTION("""COMPUTED_VALUE"""),44469.0)</f>
        <v>44469</v>
      </c>
      <c r="F520" s="276">
        <f>IFERROR(__xludf.DUMMYFUNCTION("""COMPUTED_VALUE"""),44834.0)</f>
        <v>44834</v>
      </c>
      <c r="G520" s="27">
        <f>IFERROR(__xludf.DUMMYFUNCTION("""COMPUTED_VALUE"""),12.0)</f>
        <v>12</v>
      </c>
      <c r="H520" s="128">
        <f>IFERROR(__xludf.DUMMYFUNCTION("""COMPUTED_VALUE"""),43725.0)</f>
        <v>43725</v>
      </c>
      <c r="I520" s="27">
        <f>IFERROR(__xludf.DUMMYFUNCTION("""COMPUTED_VALUE"""),2.036111111111111)</f>
        <v>2.036111111</v>
      </c>
      <c r="J520" s="277">
        <f>IFERROR(__xludf.DUMMYFUNCTION("""COMPUTED_VALUE"""),86.0)</f>
        <v>86</v>
      </c>
      <c r="K520" s="29">
        <f>IFERROR(__xludf.DUMMYFUNCTION("""COMPUTED_VALUE"""),23.5)</f>
        <v>23.5</v>
      </c>
      <c r="L520" s="275" t="str">
        <f>IFERROR(__xludf.DUMMYFUNCTION("""COMPUTED_VALUE"""),"Adventure")</f>
        <v>Adventure</v>
      </c>
    </row>
    <row r="521">
      <c r="A521" s="278" t="str">
        <f>IFERROR(__xludf.DUMMYFUNCTION("""COMPUTED_VALUE"""),"Astria Ascending")</f>
        <v>Astria Ascending</v>
      </c>
      <c r="B521" s="20" t="str">
        <f>IFERROR(__xludf.DUMMYFUNCTION("""COMPUTED_VALUE"""),"Xbox / PC")</f>
        <v>Xbox / PC</v>
      </c>
      <c r="C521" s="20" t="str">
        <f>IFERROR(__xludf.DUMMYFUNCTION("""COMPUTED_VALUE"""),"Touch Controls")</f>
        <v>Touch Controls</v>
      </c>
      <c r="D521" s="21" t="str">
        <f>IFERROR(__xludf.DUMMYFUNCTION("""COMPUTED_VALUE"""),"Removed")</f>
        <v>Removed</v>
      </c>
      <c r="E521" s="279">
        <f>IFERROR(__xludf.DUMMYFUNCTION("""COMPUTED_VALUE"""),44469.0)</f>
        <v>44469</v>
      </c>
      <c r="F521" s="276">
        <f>IFERROR(__xludf.DUMMYFUNCTION("""COMPUTED_VALUE"""),44834.0)</f>
        <v>44834</v>
      </c>
      <c r="G521" s="27">
        <f>IFERROR(__xludf.DUMMYFUNCTION("""COMPUTED_VALUE"""),12.0)</f>
        <v>12</v>
      </c>
      <c r="H521" s="128">
        <f>IFERROR(__xludf.DUMMYFUNCTION("""COMPUTED_VALUE"""),44469.0)</f>
        <v>44469</v>
      </c>
      <c r="I521" s="27">
        <f>IFERROR(__xludf.DUMMYFUNCTION("""COMPUTED_VALUE"""),0.0)</f>
        <v>0</v>
      </c>
      <c r="J521" s="277">
        <f>IFERROR(__xludf.DUMMYFUNCTION("""COMPUTED_VALUE"""),68.0)</f>
        <v>68</v>
      </c>
      <c r="K521" s="29">
        <f>IFERROR(__xludf.DUMMYFUNCTION("""COMPUTED_VALUE"""),30.0)</f>
        <v>30</v>
      </c>
      <c r="L521" s="275" t="str">
        <f>IFERROR(__xludf.DUMMYFUNCTION("""COMPUTED_VALUE"""),"RPG")</f>
        <v>RPG</v>
      </c>
    </row>
    <row r="522">
      <c r="A522" s="17" t="str">
        <f>IFERROR(__xludf.DUMMYFUNCTION("""COMPUTED_VALUE"""),"Unsighted")</f>
        <v>Unsighted</v>
      </c>
      <c r="B522" s="20" t="str">
        <f>IFERROR(__xludf.DUMMYFUNCTION("""COMPUTED_VALUE"""),"Xbox / PC")</f>
        <v>Xbox / PC</v>
      </c>
      <c r="C522" s="20"/>
      <c r="D522" s="21" t="str">
        <f>IFERROR(__xludf.DUMMYFUNCTION("""COMPUTED_VALUE"""),"Removed")</f>
        <v>Removed</v>
      </c>
      <c r="E522" s="128">
        <f>IFERROR(__xludf.DUMMYFUNCTION("""COMPUTED_VALUE"""),44469.0)</f>
        <v>44469</v>
      </c>
      <c r="F522" s="276">
        <f>IFERROR(__xludf.DUMMYFUNCTION("""COMPUTED_VALUE"""),44834.0)</f>
        <v>44834</v>
      </c>
      <c r="G522" s="27">
        <f>IFERROR(__xludf.DUMMYFUNCTION("""COMPUTED_VALUE"""),12.0)</f>
        <v>12</v>
      </c>
      <c r="H522" s="128">
        <f>IFERROR(__xludf.DUMMYFUNCTION("""COMPUTED_VALUE"""),44469.0)</f>
        <v>44469</v>
      </c>
      <c r="I522" s="27">
        <f>IFERROR(__xludf.DUMMYFUNCTION("""COMPUTED_VALUE"""),0.0)</f>
        <v>0</v>
      </c>
      <c r="J522" s="29">
        <f>IFERROR(__xludf.DUMMYFUNCTION("""COMPUTED_VALUE"""),80.0)</f>
        <v>80</v>
      </c>
      <c r="K522" s="29">
        <f>IFERROR(__xludf.DUMMYFUNCTION("""COMPUTED_VALUE"""),8.0)</f>
        <v>8</v>
      </c>
      <c r="L522" s="31" t="str">
        <f>IFERROR(__xludf.DUMMYFUNCTION("""COMPUTED_VALUE"""),"Action-Adventure")</f>
        <v>Action-Adventure</v>
      </c>
    </row>
    <row r="523">
      <c r="A523" s="278" t="str">
        <f>IFERROR(__xludf.DUMMYFUNCTION("""COMPUTED_VALUE"""),"Dandy Ace")</f>
        <v>Dandy Ace</v>
      </c>
      <c r="B523" s="20" t="str">
        <f>IFERROR(__xludf.DUMMYFUNCTION("""COMPUTED_VALUE"""),"Xbox / PC")</f>
        <v>Xbox / PC</v>
      </c>
      <c r="C523" s="21" t="str">
        <f>IFERROR(__xludf.DUMMYFUNCTION("""COMPUTED_VALUE"""),"Touch Controls")</f>
        <v>Touch Controls</v>
      </c>
      <c r="D523" s="21" t="str">
        <f>IFERROR(__xludf.DUMMYFUNCTION("""COMPUTED_VALUE"""),"Removed")</f>
        <v>Removed</v>
      </c>
      <c r="E523" s="279">
        <f>IFERROR(__xludf.DUMMYFUNCTION("""COMPUTED_VALUE"""),44467.0)</f>
        <v>44467</v>
      </c>
      <c r="F523" s="276">
        <f>IFERROR(__xludf.DUMMYFUNCTION("""COMPUTED_VALUE"""),44834.0)</f>
        <v>44834</v>
      </c>
      <c r="G523" s="27">
        <f>IFERROR(__xludf.DUMMYFUNCTION("""COMPUTED_VALUE"""),12.066666666666666)</f>
        <v>12.06666667</v>
      </c>
      <c r="H523" s="128">
        <f>IFERROR(__xludf.DUMMYFUNCTION("""COMPUTED_VALUE"""),44280.0)</f>
        <v>44280</v>
      </c>
      <c r="I523" s="27">
        <f>IFERROR(__xludf.DUMMYFUNCTION("""COMPUTED_VALUE"""),0.5083333333333333)</f>
        <v>0.5083333333</v>
      </c>
      <c r="J523" s="277">
        <f>IFERROR(__xludf.DUMMYFUNCTION("""COMPUTED_VALUE"""),80.0)</f>
        <v>80</v>
      </c>
      <c r="K523" s="29">
        <f>IFERROR(__xludf.DUMMYFUNCTION("""COMPUTED_VALUE"""),8.0)</f>
        <v>8</v>
      </c>
      <c r="L523" s="275" t="str">
        <f>IFERROR(__xludf.DUMMYFUNCTION("""COMPUTED_VALUE"""),"Action")</f>
        <v>Action</v>
      </c>
    </row>
    <row r="524">
      <c r="A524" s="17" t="str">
        <f>IFERROR(__xludf.DUMMYFUNCTION("""COMPUTED_VALUE"""),"Lemnis Gate")</f>
        <v>Lemnis Gate</v>
      </c>
      <c r="B524" s="21" t="str">
        <f>IFERROR(__xludf.DUMMYFUNCTION("""COMPUTED_VALUE"""),"Xbox / PC")</f>
        <v>Xbox / PC</v>
      </c>
      <c r="C524" s="21"/>
      <c r="D524" s="21" t="str">
        <f>IFERROR(__xludf.DUMMYFUNCTION("""COMPUTED_VALUE"""),"Removed")</f>
        <v>Removed</v>
      </c>
      <c r="E524" s="279">
        <f>IFERROR(__xludf.DUMMYFUNCTION("""COMPUTED_VALUE"""),44467.0)</f>
        <v>44467</v>
      </c>
      <c r="F524" s="276">
        <f>IFERROR(__xludf.DUMMYFUNCTION("""COMPUTED_VALUE"""),44834.0)</f>
        <v>44834</v>
      </c>
      <c r="G524" s="27">
        <f>IFERROR(__xludf.DUMMYFUNCTION("""COMPUTED_VALUE"""),12.066666666666666)</f>
        <v>12.06666667</v>
      </c>
      <c r="H524" s="128">
        <f>IFERROR(__xludf.DUMMYFUNCTION("""COMPUTED_VALUE"""),44467.0)</f>
        <v>44467</v>
      </c>
      <c r="I524" s="27">
        <f>IFERROR(__xludf.DUMMYFUNCTION("""COMPUTED_VALUE"""),0.0)</f>
        <v>0</v>
      </c>
      <c r="J524" s="29">
        <f>IFERROR(__xludf.DUMMYFUNCTION("""COMPUTED_VALUE"""),78.0)</f>
        <v>78</v>
      </c>
      <c r="K524" s="29">
        <f>IFERROR(__xludf.DUMMYFUNCTION("""COMPUTED_VALUE"""),60.0)</f>
        <v>60</v>
      </c>
      <c r="L524" s="275" t="str">
        <f>IFERROR(__xludf.DUMMYFUNCTION("""COMPUTED_VALUE"""),"Shooter")</f>
        <v>Shooter</v>
      </c>
    </row>
    <row r="525">
      <c r="A525" s="278" t="str">
        <f>IFERROR(__xludf.DUMMYFUNCTION("""COMPUTED_VALUE"""),"Subnautica: Below Zero")</f>
        <v>Subnautica: Below Zero</v>
      </c>
      <c r="B525" s="20" t="str">
        <f>IFERROR(__xludf.DUMMYFUNCTION("""COMPUTED_VALUE"""),"Xbox / PC")</f>
        <v>Xbox / PC</v>
      </c>
      <c r="C525" s="21" t="str">
        <f>IFERROR(__xludf.DUMMYFUNCTION("""COMPUTED_VALUE"""),"Yes")</f>
        <v>Yes</v>
      </c>
      <c r="D525" s="21" t="str">
        <f>IFERROR(__xludf.DUMMYFUNCTION("""COMPUTED_VALUE"""),"Removed")</f>
        <v>Removed</v>
      </c>
      <c r="E525" s="279">
        <f>IFERROR(__xludf.DUMMYFUNCTION("""COMPUTED_VALUE"""),44462.0)</f>
        <v>44462</v>
      </c>
      <c r="F525" s="276">
        <f>IFERROR(__xludf.DUMMYFUNCTION("""COMPUTED_VALUE"""),44834.0)</f>
        <v>44834</v>
      </c>
      <c r="G525" s="27">
        <f>IFERROR(__xludf.DUMMYFUNCTION("""COMPUTED_VALUE"""),12.233333333333333)</f>
        <v>12.23333333</v>
      </c>
      <c r="H525" s="128">
        <f>IFERROR(__xludf.DUMMYFUNCTION("""COMPUTED_VALUE"""),43495.0)</f>
        <v>43495</v>
      </c>
      <c r="I525" s="27">
        <f>IFERROR(__xludf.DUMMYFUNCTION("""COMPUTED_VALUE"""),2.647222222222222)</f>
        <v>2.647222222</v>
      </c>
      <c r="J525" s="277">
        <f>IFERROR(__xludf.DUMMYFUNCTION("""COMPUTED_VALUE"""),82.5)</f>
        <v>82.5</v>
      </c>
      <c r="K525" s="29">
        <f>IFERROR(__xludf.DUMMYFUNCTION("""COMPUTED_VALUE"""),20.0)</f>
        <v>20</v>
      </c>
      <c r="L525" s="275" t="str">
        <f>IFERROR(__xludf.DUMMYFUNCTION("""COMPUTED_VALUE"""),"Adventure")</f>
        <v>Adventure</v>
      </c>
    </row>
    <row r="526">
      <c r="A526" s="278" t="str">
        <f>IFERROR(__xludf.DUMMYFUNCTION("""COMPUTED_VALUE"""),"Going Under")</f>
        <v>Going Under</v>
      </c>
      <c r="B526" s="20" t="str">
        <f>IFERROR(__xludf.DUMMYFUNCTION("""COMPUTED_VALUE"""),"Xbox / PC")</f>
        <v>Xbox / PC</v>
      </c>
      <c r="C526" s="20" t="str">
        <f>IFERROR(__xludf.DUMMYFUNCTION("""COMPUTED_VALUE"""),"Touch Controls")</f>
        <v>Touch Controls</v>
      </c>
      <c r="D526" s="21" t="str">
        <f>IFERROR(__xludf.DUMMYFUNCTION("""COMPUTED_VALUE"""),"Removed")</f>
        <v>Removed</v>
      </c>
      <c r="E526" s="279">
        <f>IFERROR(__xludf.DUMMYFUNCTION("""COMPUTED_VALUE"""),44376.0)</f>
        <v>44376</v>
      </c>
      <c r="F526" s="276">
        <f>IFERROR(__xludf.DUMMYFUNCTION("""COMPUTED_VALUE"""),44834.0)</f>
        <v>44834</v>
      </c>
      <c r="G526" s="27">
        <f>IFERROR(__xludf.DUMMYFUNCTION("""COMPUTED_VALUE"""),15.033333333333333)</f>
        <v>15.03333333</v>
      </c>
      <c r="H526" s="128">
        <f>IFERROR(__xludf.DUMMYFUNCTION("""COMPUTED_VALUE"""),44098.0)</f>
        <v>44098</v>
      </c>
      <c r="I526" s="27">
        <f>IFERROR(__xludf.DUMMYFUNCTION("""COMPUTED_VALUE"""),0.7638888888888888)</f>
        <v>0.7638888889</v>
      </c>
      <c r="J526" s="277">
        <f>IFERROR(__xludf.DUMMYFUNCTION("""COMPUTED_VALUE"""),75.5)</f>
        <v>75.5</v>
      </c>
      <c r="K526" s="29">
        <f>IFERROR(__xludf.DUMMYFUNCTION("""COMPUTED_VALUE"""),8.0)</f>
        <v>8</v>
      </c>
      <c r="L526" s="275" t="str">
        <f>IFERROR(__xludf.DUMMYFUNCTION("""COMPUTED_VALUE"""),"Action")</f>
        <v>Action</v>
      </c>
    </row>
    <row r="527">
      <c r="A527" s="278" t="str">
        <f>IFERROR(__xludf.DUMMYFUNCTION("""COMPUTED_VALUE"""),"Slime Rancher")</f>
        <v>Slime Rancher</v>
      </c>
      <c r="B527" s="21" t="str">
        <f>IFERROR(__xludf.DUMMYFUNCTION("""COMPUTED_VALUE"""),"Xbox / PC")</f>
        <v>Xbox / PC</v>
      </c>
      <c r="C527" s="21" t="str">
        <f>IFERROR(__xludf.DUMMYFUNCTION("""COMPUTED_VALUE"""),"Yes")</f>
        <v>Yes</v>
      </c>
      <c r="D527" s="21" t="str">
        <f>IFERROR(__xludf.DUMMYFUNCTION("""COMPUTED_VALUE"""),"Removed")</f>
        <v>Removed</v>
      </c>
      <c r="E527" s="279">
        <f>IFERROR(__xludf.DUMMYFUNCTION("""COMPUTED_VALUE"""),44168.0)</f>
        <v>44168</v>
      </c>
      <c r="F527" s="276">
        <f>IFERROR(__xludf.DUMMYFUNCTION("""COMPUTED_VALUE"""),44834.0)</f>
        <v>44834</v>
      </c>
      <c r="G527" s="27">
        <f>IFERROR(__xludf.DUMMYFUNCTION("""COMPUTED_VALUE"""),21.9)</f>
        <v>21.9</v>
      </c>
      <c r="H527" s="128">
        <f>IFERROR(__xludf.DUMMYFUNCTION("""COMPUTED_VALUE"""),42948.0)</f>
        <v>42948</v>
      </c>
      <c r="I527" s="27">
        <f>IFERROR(__xludf.DUMMYFUNCTION("""COMPUTED_VALUE"""),3.338888888888889)</f>
        <v>3.338888889</v>
      </c>
      <c r="J527" s="277">
        <f>IFERROR(__xludf.DUMMYFUNCTION("""COMPUTED_VALUE"""),80.0)</f>
        <v>80</v>
      </c>
      <c r="K527" s="29">
        <f>IFERROR(__xludf.DUMMYFUNCTION("""COMPUTED_VALUE"""),15.0)</f>
        <v>15</v>
      </c>
      <c r="L527" s="275" t="str">
        <f>IFERROR(__xludf.DUMMYFUNCTION("""COMPUTED_VALUE"""),"Shooter")</f>
        <v>Shooter</v>
      </c>
    </row>
    <row r="528">
      <c r="A528" s="278" t="str">
        <f>IFERROR(__xludf.DUMMYFUNCTION("""COMPUTED_VALUE"""),"Mighty Goose")</f>
        <v>Mighty Goose</v>
      </c>
      <c r="B528" s="20" t="str">
        <f>IFERROR(__xludf.DUMMYFUNCTION("""COMPUTED_VALUE"""),"Xbox / PC")</f>
        <v>Xbox / PC</v>
      </c>
      <c r="C528" s="20" t="str">
        <f>IFERROR(__xludf.DUMMYFUNCTION("""COMPUTED_VALUE"""),"Touch Controls")</f>
        <v>Touch Controls</v>
      </c>
      <c r="D528" s="21" t="str">
        <f>IFERROR(__xludf.DUMMYFUNCTION("""COMPUTED_VALUE"""),"Removed")</f>
        <v>Removed</v>
      </c>
      <c r="E528" s="279">
        <f>IFERROR(__xludf.DUMMYFUNCTION("""COMPUTED_VALUE"""),44469.0)</f>
        <v>44469</v>
      </c>
      <c r="F528" s="276">
        <f>IFERROR(__xludf.DUMMYFUNCTION("""COMPUTED_VALUE"""),44819.0)</f>
        <v>44819</v>
      </c>
      <c r="G528" s="27">
        <f>IFERROR(__xludf.DUMMYFUNCTION("""COMPUTED_VALUE"""),11.5)</f>
        <v>11.5</v>
      </c>
      <c r="H528" s="128">
        <f>IFERROR(__xludf.DUMMYFUNCTION("""COMPUTED_VALUE"""),44352.0)</f>
        <v>44352</v>
      </c>
      <c r="I528" s="27">
        <f>IFERROR(__xludf.DUMMYFUNCTION("""COMPUTED_VALUE"""),0.3194444444444444)</f>
        <v>0.3194444444</v>
      </c>
      <c r="J528" s="277">
        <f>IFERROR(__xludf.DUMMYFUNCTION("""COMPUTED_VALUE"""),71.0)</f>
        <v>71</v>
      </c>
      <c r="K528" s="277">
        <f>IFERROR(__xludf.DUMMYFUNCTION("""COMPUTED_VALUE"""),2.0)</f>
        <v>2</v>
      </c>
      <c r="L528" s="275" t="str">
        <f>IFERROR(__xludf.DUMMYFUNCTION("""COMPUTED_VALUE"""),"Shooter")</f>
        <v>Shooter</v>
      </c>
    </row>
    <row r="529">
      <c r="A529" s="278" t="str">
        <f>IFERROR(__xludf.DUMMYFUNCTION("""COMPUTED_VALUE"""),"Lost Words: Beyond the Page")</f>
        <v>Lost Words: Beyond the Page</v>
      </c>
      <c r="B529" s="21" t="str">
        <f>IFERROR(__xludf.DUMMYFUNCTION("""COMPUTED_VALUE"""),"Xbox / PC")</f>
        <v>Xbox / PC</v>
      </c>
      <c r="C529" s="21" t="str">
        <f>IFERROR(__xludf.DUMMYFUNCTION("""COMPUTED_VALUE"""),"Touch Controls")</f>
        <v>Touch Controls</v>
      </c>
      <c r="D529" s="21" t="str">
        <f>IFERROR(__xludf.DUMMYFUNCTION("""COMPUTED_VALUE"""),"Removed")</f>
        <v>Removed</v>
      </c>
      <c r="E529" s="279">
        <f>IFERROR(__xludf.DUMMYFUNCTION("""COMPUTED_VALUE"""),44462.0)</f>
        <v>44462</v>
      </c>
      <c r="F529" s="276">
        <f>IFERROR(__xludf.DUMMYFUNCTION("""COMPUTED_VALUE"""),44819.0)</f>
        <v>44819</v>
      </c>
      <c r="G529" s="27">
        <f>IFERROR(__xludf.DUMMYFUNCTION("""COMPUTED_VALUE"""),11.733333333333333)</f>
        <v>11.73333333</v>
      </c>
      <c r="H529" s="128">
        <f>IFERROR(__xludf.DUMMYFUNCTION("""COMPUTED_VALUE"""),43917.0)</f>
        <v>43917</v>
      </c>
      <c r="I529" s="27">
        <f>IFERROR(__xludf.DUMMYFUNCTION("""COMPUTED_VALUE"""),1.488888888888889)</f>
        <v>1.488888889</v>
      </c>
      <c r="J529" s="277">
        <f>IFERROR(__xludf.DUMMYFUNCTION("""COMPUTED_VALUE"""),77.0)</f>
        <v>77</v>
      </c>
      <c r="K529" s="29">
        <f>IFERROR(__xludf.DUMMYFUNCTION("""COMPUTED_VALUE"""),4.5)</f>
        <v>4.5</v>
      </c>
      <c r="L529" s="275" t="str">
        <f>IFERROR(__xludf.DUMMYFUNCTION("""COMPUTED_VALUE"""),"Platformer")</f>
        <v>Platformer</v>
      </c>
    </row>
    <row r="530">
      <c r="A530" s="278" t="str">
        <f>IFERROR(__xludf.DUMMYFUNCTION("""COMPUTED_VALUE"""),"I Am Fish")</f>
        <v>I Am Fish</v>
      </c>
      <c r="B530" s="20" t="str">
        <f>IFERROR(__xludf.DUMMYFUNCTION("""COMPUTED_VALUE"""),"Xbox / PC")</f>
        <v>Xbox / PC</v>
      </c>
      <c r="C530" s="21" t="str">
        <f>IFERROR(__xludf.DUMMYFUNCTION("""COMPUTED_VALUE"""),"Touch Controls")</f>
        <v>Touch Controls</v>
      </c>
      <c r="D530" s="21" t="str">
        <f>IFERROR(__xludf.DUMMYFUNCTION("""COMPUTED_VALUE"""),"Removed")</f>
        <v>Removed</v>
      </c>
      <c r="E530" s="279">
        <f>IFERROR(__xludf.DUMMYFUNCTION("""COMPUTED_VALUE"""),44455.0)</f>
        <v>44455</v>
      </c>
      <c r="F530" s="276">
        <f>IFERROR(__xludf.DUMMYFUNCTION("""COMPUTED_VALUE"""),44819.0)</f>
        <v>44819</v>
      </c>
      <c r="G530" s="27">
        <f>IFERROR(__xludf.DUMMYFUNCTION("""COMPUTED_VALUE"""),11.966666666666667)</f>
        <v>11.96666667</v>
      </c>
      <c r="H530" s="128">
        <f>IFERROR(__xludf.DUMMYFUNCTION("""COMPUTED_VALUE"""),44455.0)</f>
        <v>44455</v>
      </c>
      <c r="I530" s="27">
        <f>IFERROR(__xludf.DUMMYFUNCTION("""COMPUTED_VALUE"""),0.0)</f>
        <v>0</v>
      </c>
      <c r="J530" s="277">
        <f>IFERROR(__xludf.DUMMYFUNCTION("""COMPUTED_VALUE"""),68.5)</f>
        <v>68.5</v>
      </c>
      <c r="K530" s="277">
        <f>IFERROR(__xludf.DUMMYFUNCTION("""COMPUTED_VALUE"""),5.0)</f>
        <v>5</v>
      </c>
      <c r="L530" s="275" t="str">
        <f>IFERROR(__xludf.DUMMYFUNCTION("""COMPUTED_VALUE"""),"Action-Adventure")</f>
        <v>Action-Adventure</v>
      </c>
    </row>
    <row r="531">
      <c r="A531" s="278" t="str">
        <f>IFERROR(__xludf.DUMMYFUNCTION("""COMPUTED_VALUE"""),"SkateBird")</f>
        <v>SkateBird</v>
      </c>
      <c r="B531" s="20" t="str">
        <f>IFERROR(__xludf.DUMMYFUNCTION("""COMPUTED_VALUE"""),"Xbox / PC")</f>
        <v>Xbox / PC</v>
      </c>
      <c r="C531" s="20" t="str">
        <f>IFERROR(__xludf.DUMMYFUNCTION("""COMPUTED_VALUE"""),"Touch Controls")</f>
        <v>Touch Controls</v>
      </c>
      <c r="D531" s="21" t="str">
        <f>IFERROR(__xludf.DUMMYFUNCTION("""COMPUTED_VALUE"""),"Removed")</f>
        <v>Removed</v>
      </c>
      <c r="E531" s="279">
        <f>IFERROR(__xludf.DUMMYFUNCTION("""COMPUTED_VALUE"""),44455.0)</f>
        <v>44455</v>
      </c>
      <c r="F531" s="276">
        <f>IFERROR(__xludf.DUMMYFUNCTION("""COMPUTED_VALUE"""),44819.0)</f>
        <v>44819</v>
      </c>
      <c r="G531" s="27">
        <f>IFERROR(__xludf.DUMMYFUNCTION("""COMPUTED_VALUE"""),11.966666666666667)</f>
        <v>11.96666667</v>
      </c>
      <c r="H531" s="128">
        <f>IFERROR(__xludf.DUMMYFUNCTION("""COMPUTED_VALUE"""),44455.0)</f>
        <v>44455</v>
      </c>
      <c r="I531" s="27">
        <f>IFERROR(__xludf.DUMMYFUNCTION("""COMPUTED_VALUE"""),0.0)</f>
        <v>0</v>
      </c>
      <c r="J531" s="29">
        <f>IFERROR(__xludf.DUMMYFUNCTION("""COMPUTED_VALUE"""),62.0)</f>
        <v>62</v>
      </c>
      <c r="K531" s="29">
        <f>IFERROR(__xludf.DUMMYFUNCTION("""COMPUTED_VALUE"""),5.5)</f>
        <v>5.5</v>
      </c>
      <c r="L531" s="275" t="str">
        <f>IFERROR(__xludf.DUMMYFUNCTION("""COMPUTED_VALUE"""),"Skateboarding")</f>
        <v>Skateboarding</v>
      </c>
    </row>
    <row r="532">
      <c r="A532" s="278" t="str">
        <f>IFERROR(__xludf.DUMMYFUNCTION("""COMPUTED_VALUE"""),"Flynn: Son of Crimson")</f>
        <v>Flynn: Son of Crimson</v>
      </c>
      <c r="B532" s="20" t="str">
        <f>IFERROR(__xludf.DUMMYFUNCTION("""COMPUTED_VALUE"""),"Xbox / PC")</f>
        <v>Xbox / PC</v>
      </c>
      <c r="C532" s="20" t="str">
        <f>IFERROR(__xludf.DUMMYFUNCTION("""COMPUTED_VALUE"""),"Touch Controls")</f>
        <v>Touch Controls</v>
      </c>
      <c r="D532" s="21" t="str">
        <f>IFERROR(__xludf.DUMMYFUNCTION("""COMPUTED_VALUE"""),"Removed")</f>
        <v>Removed</v>
      </c>
      <c r="E532" s="279">
        <f>IFERROR(__xludf.DUMMYFUNCTION("""COMPUTED_VALUE"""),44454.0)</f>
        <v>44454</v>
      </c>
      <c r="F532" s="276">
        <f>IFERROR(__xludf.DUMMYFUNCTION("""COMPUTED_VALUE"""),44819.0)</f>
        <v>44819</v>
      </c>
      <c r="G532" s="27">
        <f>IFERROR(__xludf.DUMMYFUNCTION("""COMPUTED_VALUE"""),12.0)</f>
        <v>12</v>
      </c>
      <c r="H532" s="128">
        <f>IFERROR(__xludf.DUMMYFUNCTION("""COMPUTED_VALUE"""),44454.0)</f>
        <v>44454</v>
      </c>
      <c r="I532" s="27">
        <f>IFERROR(__xludf.DUMMYFUNCTION("""COMPUTED_VALUE"""),0.0)</f>
        <v>0</v>
      </c>
      <c r="J532" s="277">
        <f>IFERROR(__xludf.DUMMYFUNCTION("""COMPUTED_VALUE"""),85.0)</f>
        <v>85</v>
      </c>
      <c r="K532" s="29">
        <f>IFERROR(__xludf.DUMMYFUNCTION("""COMPUTED_VALUE"""),6.0)</f>
        <v>6</v>
      </c>
      <c r="L532" s="275" t="str">
        <f>IFERROR(__xludf.DUMMYFUNCTION("""COMPUTED_VALUE"""),"Platformer")</f>
        <v>Platformer</v>
      </c>
    </row>
    <row r="533">
      <c r="A533" s="278" t="str">
        <f>IFERROR(__xludf.DUMMYFUNCTION("""COMPUTED_VALUE"""),"The Artful Escape")</f>
        <v>The Artful Escape</v>
      </c>
      <c r="B533" s="20" t="str">
        <f>IFERROR(__xludf.DUMMYFUNCTION("""COMPUTED_VALUE"""),"Xbox / PC")</f>
        <v>Xbox / PC</v>
      </c>
      <c r="C533" s="20" t="str">
        <f>IFERROR(__xludf.DUMMYFUNCTION("""COMPUTED_VALUE"""),"Touch Controls")</f>
        <v>Touch Controls</v>
      </c>
      <c r="D533" s="21" t="str">
        <f>IFERROR(__xludf.DUMMYFUNCTION("""COMPUTED_VALUE"""),"Removed")</f>
        <v>Removed</v>
      </c>
      <c r="E533" s="279">
        <f>IFERROR(__xludf.DUMMYFUNCTION("""COMPUTED_VALUE"""),44448.0)</f>
        <v>44448</v>
      </c>
      <c r="F533" s="276">
        <f>IFERROR(__xludf.DUMMYFUNCTION("""COMPUTED_VALUE"""),44819.0)</f>
        <v>44819</v>
      </c>
      <c r="G533" s="27">
        <f>IFERROR(__xludf.DUMMYFUNCTION("""COMPUTED_VALUE"""),12.2)</f>
        <v>12.2</v>
      </c>
      <c r="H533" s="128">
        <f>IFERROR(__xludf.DUMMYFUNCTION("""COMPUTED_VALUE"""),44448.0)</f>
        <v>44448</v>
      </c>
      <c r="I533" s="27">
        <f>IFERROR(__xludf.DUMMYFUNCTION("""COMPUTED_VALUE"""),0.0)</f>
        <v>0</v>
      </c>
      <c r="J533" s="277">
        <f>IFERROR(__xludf.DUMMYFUNCTION("""COMPUTED_VALUE"""),81.0)</f>
        <v>81</v>
      </c>
      <c r="K533" s="29">
        <f>IFERROR(__xludf.DUMMYFUNCTION("""COMPUTED_VALUE"""),4.5)</f>
        <v>4.5</v>
      </c>
      <c r="L533" s="31" t="str">
        <f>IFERROR(__xludf.DUMMYFUNCTION("""COMPUTED_VALUE"""),"Platformer")</f>
        <v>Platformer</v>
      </c>
    </row>
    <row r="534">
      <c r="A534" s="278" t="str">
        <f>IFERROR(__xludf.DUMMYFUNCTION("""COMPUTED_VALUE"""),"Craftopia")</f>
        <v>Craftopia</v>
      </c>
      <c r="B534" s="21" t="str">
        <f>IFERROR(__xludf.DUMMYFUNCTION("""COMPUTED_VALUE"""),"Xbox / PC")</f>
        <v>Xbox / PC</v>
      </c>
      <c r="C534" s="21" t="str">
        <f>IFERROR(__xludf.DUMMYFUNCTION("""COMPUTED_VALUE"""),"Yes")</f>
        <v>Yes</v>
      </c>
      <c r="D534" s="21" t="str">
        <f>IFERROR(__xludf.DUMMYFUNCTION("""COMPUTED_VALUE"""),"Removed")</f>
        <v>Removed</v>
      </c>
      <c r="E534" s="279">
        <f>IFERROR(__xludf.DUMMYFUNCTION("""COMPUTED_VALUE"""),44441.0)</f>
        <v>44441</v>
      </c>
      <c r="F534" s="276">
        <f>IFERROR(__xludf.DUMMYFUNCTION("""COMPUTED_VALUE"""),44819.0)</f>
        <v>44819</v>
      </c>
      <c r="G534" s="27">
        <f>IFERROR(__xludf.DUMMYFUNCTION("""COMPUTED_VALUE"""),12.433333333333334)</f>
        <v>12.43333333</v>
      </c>
      <c r="H534" s="128">
        <f>IFERROR(__xludf.DUMMYFUNCTION("""COMPUTED_VALUE"""),44078.0)</f>
        <v>44078</v>
      </c>
      <c r="I534" s="27">
        <f>IFERROR(__xludf.DUMMYFUNCTION("""COMPUTED_VALUE"""),0.9944444444444445)</f>
        <v>0.9944444444</v>
      </c>
      <c r="J534" s="29">
        <f>IFERROR(__xludf.DUMMYFUNCTION("""COMPUTED_VALUE"""),70.0)</f>
        <v>70</v>
      </c>
      <c r="K534" s="29">
        <f>IFERROR(__xludf.DUMMYFUNCTION("""COMPUTED_VALUE"""),27.0)</f>
        <v>27</v>
      </c>
      <c r="L534" s="31" t="str">
        <f>IFERROR(__xludf.DUMMYFUNCTION("""COMPUTED_VALUE"""),"Action-Adventure")</f>
        <v>Action-Adventure</v>
      </c>
    </row>
    <row r="535">
      <c r="A535" s="278" t="str">
        <f>IFERROR(__xludf.DUMMYFUNCTION("""COMPUTED_VALUE"""),"Final Fantasy XIII")</f>
        <v>Final Fantasy XIII</v>
      </c>
      <c r="B535" s="20" t="str">
        <f>IFERROR(__xludf.DUMMYFUNCTION("""COMPUTED_VALUE"""),"Xbox / PC")</f>
        <v>Xbox / PC</v>
      </c>
      <c r="C535" s="21"/>
      <c r="D535" s="21" t="str">
        <f>IFERROR(__xludf.DUMMYFUNCTION("""COMPUTED_VALUE"""),"Removed")</f>
        <v>Removed</v>
      </c>
      <c r="E535" s="23">
        <f>IFERROR(__xludf.DUMMYFUNCTION("""COMPUTED_VALUE"""),44441.0)</f>
        <v>44441</v>
      </c>
      <c r="F535" s="276">
        <f>IFERROR(__xludf.DUMMYFUNCTION("""COMPUTED_VALUE"""),44819.0)</f>
        <v>44819</v>
      </c>
      <c r="G535" s="27">
        <f>IFERROR(__xludf.DUMMYFUNCTION("""COMPUTED_VALUE"""),12.433333333333334)</f>
        <v>12.43333333</v>
      </c>
      <c r="H535" s="128">
        <f>IFERROR(__xludf.DUMMYFUNCTION("""COMPUTED_VALUE"""),40246.0)</f>
        <v>40246</v>
      </c>
      <c r="I535" s="27">
        <f>IFERROR(__xludf.DUMMYFUNCTION("""COMPUTED_VALUE"""),11.480555555555556)</f>
        <v>11.48055556</v>
      </c>
      <c r="J535" s="277">
        <f>IFERROR(__xludf.DUMMYFUNCTION("""COMPUTED_VALUE"""),73.5)</f>
        <v>73.5</v>
      </c>
      <c r="K535" s="29">
        <f>IFERROR(__xludf.DUMMYFUNCTION("""COMPUTED_VALUE"""),48.5)</f>
        <v>48.5</v>
      </c>
      <c r="L535" s="275" t="str">
        <f>IFERROR(__xludf.DUMMYFUNCTION("""COMPUTED_VALUE"""),"RPG")</f>
        <v>RPG</v>
      </c>
    </row>
    <row r="536">
      <c r="A536" s="278" t="str">
        <f>IFERROR(__xludf.DUMMYFUNCTION("""COMPUTED_VALUE"""),"Bug Fables: The Everlasting Sapling")</f>
        <v>Bug Fables: The Everlasting Sapling</v>
      </c>
      <c r="B536" s="20" t="str">
        <f>IFERROR(__xludf.DUMMYFUNCTION("""COMPUTED_VALUE"""),"Xbox / PC")</f>
        <v>Xbox / PC</v>
      </c>
      <c r="C536" s="21" t="str">
        <f>IFERROR(__xludf.DUMMYFUNCTION("""COMPUTED_VALUE"""),"Touch Controls")</f>
        <v>Touch Controls</v>
      </c>
      <c r="D536" s="21" t="str">
        <f>IFERROR(__xludf.DUMMYFUNCTION("""COMPUTED_VALUE"""),"Removed")</f>
        <v>Removed</v>
      </c>
      <c r="E536" s="23">
        <f>IFERROR(__xludf.DUMMYFUNCTION("""COMPUTED_VALUE"""),44378.0)</f>
        <v>44378</v>
      </c>
      <c r="F536" s="276">
        <f>IFERROR(__xludf.DUMMYFUNCTION("""COMPUTED_VALUE"""),44819.0)</f>
        <v>44819</v>
      </c>
      <c r="G536" s="27">
        <f>IFERROR(__xludf.DUMMYFUNCTION("""COMPUTED_VALUE"""),14.466666666666665)</f>
        <v>14.46666667</v>
      </c>
      <c r="H536" s="128">
        <f>IFERROR(__xludf.DUMMYFUNCTION("""COMPUTED_VALUE"""),43790.0)</f>
        <v>43790</v>
      </c>
      <c r="I536" s="27">
        <f>IFERROR(__xludf.DUMMYFUNCTION("""COMPUTED_VALUE"""),1.6111111111111112)</f>
        <v>1.611111111</v>
      </c>
      <c r="J536" s="277">
        <f>IFERROR(__xludf.DUMMYFUNCTION("""COMPUTED_VALUE"""),86.0)</f>
        <v>86</v>
      </c>
      <c r="K536" s="29">
        <f>IFERROR(__xludf.DUMMYFUNCTION("""COMPUTED_VALUE"""),25.5)</f>
        <v>25.5</v>
      </c>
      <c r="L536" s="275" t="str">
        <f>IFERROR(__xludf.DUMMYFUNCTION("""COMPUTED_VALUE"""),"RPG")</f>
        <v>RPG</v>
      </c>
    </row>
    <row r="537">
      <c r="A537" s="278" t="str">
        <f>IFERROR(__xludf.DUMMYFUNCTION("""COMPUTED_VALUE"""),"A Plague Tale: Innocence")</f>
        <v>A Plague Tale: Innocence</v>
      </c>
      <c r="B537" s="20" t="str">
        <f>IFERROR(__xludf.DUMMYFUNCTION("""COMPUTED_VALUE"""),"Xbox / PC")</f>
        <v>Xbox / PC</v>
      </c>
      <c r="C537" s="20" t="str">
        <f>IFERROR(__xludf.DUMMYFUNCTION("""COMPUTED_VALUE"""),"Yes")</f>
        <v>Yes</v>
      </c>
      <c r="D537" s="21" t="str">
        <f>IFERROR(__xludf.DUMMYFUNCTION("""COMPUTED_VALUE"""),"Removed")</f>
        <v>Removed</v>
      </c>
      <c r="E537" s="279">
        <f>IFERROR(__xludf.DUMMYFUNCTION("""COMPUTED_VALUE"""),43853.0)</f>
        <v>43853</v>
      </c>
      <c r="F537" s="276">
        <f>IFERROR(__xludf.DUMMYFUNCTION("""COMPUTED_VALUE"""),44819.0)</f>
        <v>44819</v>
      </c>
      <c r="G537" s="27">
        <f>IFERROR(__xludf.DUMMYFUNCTION("""COMPUTED_VALUE"""),31.733333333333334)</f>
        <v>31.73333333</v>
      </c>
      <c r="H537" s="128">
        <f>IFERROR(__xludf.DUMMYFUNCTION("""COMPUTED_VALUE"""),43599.0)</f>
        <v>43599</v>
      </c>
      <c r="I537" s="27">
        <f>IFERROR(__xludf.DUMMYFUNCTION("""COMPUTED_VALUE"""),0.6916666666666667)</f>
        <v>0.6916666667</v>
      </c>
      <c r="J537" s="277">
        <f>IFERROR(__xludf.DUMMYFUNCTION("""COMPUTED_VALUE"""),83.0)</f>
        <v>83</v>
      </c>
      <c r="K537" s="29">
        <f>IFERROR(__xludf.DUMMYFUNCTION("""COMPUTED_VALUE"""),10.5)</f>
        <v>10.5</v>
      </c>
      <c r="L537" s="275" t="str">
        <f>IFERROR(__xludf.DUMMYFUNCTION("""COMPUTED_VALUE"""),"Action-Adventure")</f>
        <v>Action-Adventure</v>
      </c>
    </row>
    <row r="538">
      <c r="A538" s="278" t="str">
        <f>IFERROR(__xludf.DUMMYFUNCTION("""COMPUTED_VALUE"""),"NBA 2K22")</f>
        <v>NBA 2K22</v>
      </c>
      <c r="B538" s="21" t="str">
        <f>IFERROR(__xludf.DUMMYFUNCTION("""COMPUTED_VALUE"""),"Xbox")</f>
        <v>Xbox</v>
      </c>
      <c r="C538" s="21" t="str">
        <f>IFERROR(__xludf.DUMMYFUNCTION("""COMPUTED_VALUE"""),"Yes")</f>
        <v>Yes</v>
      </c>
      <c r="D538" s="21" t="str">
        <f>IFERROR(__xludf.DUMMYFUNCTION("""COMPUTED_VALUE"""),"Removed")</f>
        <v>Removed</v>
      </c>
      <c r="E538" s="279">
        <f>IFERROR(__xludf.DUMMYFUNCTION("""COMPUTED_VALUE"""),44679.0)</f>
        <v>44679</v>
      </c>
      <c r="F538" s="276">
        <f>IFERROR(__xludf.DUMMYFUNCTION("""COMPUTED_VALUE"""),44804.0)</f>
        <v>44804</v>
      </c>
      <c r="G538" s="27">
        <f>IFERROR(__xludf.DUMMYFUNCTION("""COMPUTED_VALUE"""),4.066666666666666)</f>
        <v>4.066666667</v>
      </c>
      <c r="H538" s="128">
        <f>IFERROR(__xludf.DUMMYFUNCTION("""COMPUTED_VALUE"""),44449.0)</f>
        <v>44449</v>
      </c>
      <c r="I538" s="27">
        <f>IFERROR(__xludf.DUMMYFUNCTION("""COMPUTED_VALUE"""),0.6333333333333333)</f>
        <v>0.6333333333</v>
      </c>
      <c r="J538" s="277">
        <f>IFERROR(__xludf.DUMMYFUNCTION("""COMPUTED_VALUE"""),76.0)</f>
        <v>76</v>
      </c>
      <c r="K538" s="29">
        <f>IFERROR(__xludf.DUMMYFUNCTION("""COMPUTED_VALUE"""),125.0)</f>
        <v>125</v>
      </c>
      <c r="L538" s="275" t="str">
        <f>IFERROR(__xludf.DUMMYFUNCTION("""COMPUTED_VALUE"""),"Sports")</f>
        <v>Sports</v>
      </c>
    </row>
    <row r="539">
      <c r="A539" s="278" t="str">
        <f>IFERROR(__xludf.DUMMYFUNCTION("""COMPUTED_VALUE"""),"Signs of the Sojourner")</f>
        <v>Signs of the Sojourner</v>
      </c>
      <c r="B539" s="20" t="str">
        <f>IFERROR(__xludf.DUMMYFUNCTION("""COMPUTED_VALUE"""),"Xbox / PC")</f>
        <v>Xbox / PC</v>
      </c>
      <c r="C539" s="20" t="str">
        <f>IFERROR(__xludf.DUMMYFUNCTION("""COMPUTED_VALUE"""),"Touch Controls")</f>
        <v>Touch Controls</v>
      </c>
      <c r="D539" s="21" t="str">
        <f>IFERROR(__xludf.DUMMYFUNCTION("""COMPUTED_VALUE"""),"Removed")</f>
        <v>Removed</v>
      </c>
      <c r="E539" s="279">
        <f>IFERROR(__xludf.DUMMYFUNCTION("""COMPUTED_VALUE"""),44441.0)</f>
        <v>44441</v>
      </c>
      <c r="F539" s="276">
        <f>IFERROR(__xludf.DUMMYFUNCTION("""COMPUTED_VALUE"""),44804.0)</f>
        <v>44804</v>
      </c>
      <c r="G539" s="27">
        <f>IFERROR(__xludf.DUMMYFUNCTION("""COMPUTED_VALUE"""),11.933333333333334)</f>
        <v>11.93333333</v>
      </c>
      <c r="H539" s="128">
        <f>IFERROR(__xludf.DUMMYFUNCTION("""COMPUTED_VALUE"""),43965.0)</f>
        <v>43965</v>
      </c>
      <c r="I539" s="27">
        <f>IFERROR(__xludf.DUMMYFUNCTION("""COMPUTED_VALUE"""),1.3)</f>
        <v>1.3</v>
      </c>
      <c r="J539" s="277">
        <f>IFERROR(__xludf.DUMMYFUNCTION("""COMPUTED_VALUE"""),77.0)</f>
        <v>77</v>
      </c>
      <c r="K539" s="29">
        <f>IFERROR(__xludf.DUMMYFUNCTION("""COMPUTED_VALUE"""),4.0)</f>
        <v>4</v>
      </c>
      <c r="L539" s="275" t="str">
        <f>IFERROR(__xludf.DUMMYFUNCTION("""COMPUTED_VALUE"""),"Card Game")</f>
        <v>Card Game</v>
      </c>
    </row>
    <row r="540">
      <c r="A540" s="278" t="str">
        <f>IFERROR(__xludf.DUMMYFUNCTION("""COMPUTED_VALUE"""),"Myst (2021)")</f>
        <v>Myst (2021)</v>
      </c>
      <c r="B540" s="20" t="str">
        <f>IFERROR(__xludf.DUMMYFUNCTION("""COMPUTED_VALUE"""),"Xbox / PC")</f>
        <v>Xbox / PC</v>
      </c>
      <c r="C540" s="20" t="str">
        <f>IFERROR(__xludf.DUMMYFUNCTION("""COMPUTED_VALUE"""),"Yes")</f>
        <v>Yes</v>
      </c>
      <c r="D540" s="21" t="str">
        <f>IFERROR(__xludf.DUMMYFUNCTION("""COMPUTED_VALUE"""),"Removed")</f>
        <v>Removed</v>
      </c>
      <c r="E540" s="279">
        <f>IFERROR(__xludf.DUMMYFUNCTION("""COMPUTED_VALUE"""),44434.0)</f>
        <v>44434</v>
      </c>
      <c r="F540" s="276">
        <f>IFERROR(__xludf.DUMMYFUNCTION("""COMPUTED_VALUE"""),44804.0)</f>
        <v>44804</v>
      </c>
      <c r="G540" s="27">
        <f>IFERROR(__xludf.DUMMYFUNCTION("""COMPUTED_VALUE"""),12.133333333333333)</f>
        <v>12.13333333</v>
      </c>
      <c r="H540" s="128">
        <f>IFERROR(__xludf.DUMMYFUNCTION("""COMPUTED_VALUE"""),44434.0)</f>
        <v>44434</v>
      </c>
      <c r="I540" s="27">
        <f>IFERROR(__xludf.DUMMYFUNCTION("""COMPUTED_VALUE"""),0.0)</f>
        <v>0</v>
      </c>
      <c r="J540" s="277">
        <f>IFERROR(__xludf.DUMMYFUNCTION("""COMPUTED_VALUE"""),79.0)</f>
        <v>79</v>
      </c>
      <c r="K540" s="29">
        <f>IFERROR(__xludf.DUMMYFUNCTION("""COMPUTED_VALUE"""),5.5)</f>
        <v>5.5</v>
      </c>
      <c r="L540" s="275" t="str">
        <f>IFERROR(__xludf.DUMMYFUNCTION("""COMPUTED_VALUE"""),"Adventure")</f>
        <v>Adventure</v>
      </c>
    </row>
    <row r="541">
      <c r="A541" s="278" t="str">
        <f>IFERROR(__xludf.DUMMYFUNCTION("""COMPUTED_VALUE"""),"Twelve Minutes")</f>
        <v>Twelve Minutes</v>
      </c>
      <c r="B541" s="21" t="str">
        <f>IFERROR(__xludf.DUMMYFUNCTION("""COMPUTED_VALUE"""),"Xbox / PC")</f>
        <v>Xbox / PC</v>
      </c>
      <c r="C541" s="21" t="str">
        <f>IFERROR(__xludf.DUMMYFUNCTION("""COMPUTED_VALUE"""),"Yes")</f>
        <v>Yes</v>
      </c>
      <c r="D541" s="21" t="str">
        <f>IFERROR(__xludf.DUMMYFUNCTION("""COMPUTED_VALUE"""),"Removed")</f>
        <v>Removed</v>
      </c>
      <c r="E541" s="279">
        <f>IFERROR(__xludf.DUMMYFUNCTION("""COMPUTED_VALUE"""),44427.0)</f>
        <v>44427</v>
      </c>
      <c r="F541" s="276">
        <f>IFERROR(__xludf.DUMMYFUNCTION("""COMPUTED_VALUE"""),44804.0)</f>
        <v>44804</v>
      </c>
      <c r="G541" s="27">
        <f>IFERROR(__xludf.DUMMYFUNCTION("""COMPUTED_VALUE"""),12.366666666666665)</f>
        <v>12.36666667</v>
      </c>
      <c r="H541" s="128">
        <f>IFERROR(__xludf.DUMMYFUNCTION("""COMPUTED_VALUE"""),44427.0)</f>
        <v>44427</v>
      </c>
      <c r="I541" s="27">
        <f>IFERROR(__xludf.DUMMYFUNCTION("""COMPUTED_VALUE"""),0.0)</f>
        <v>0</v>
      </c>
      <c r="J541" s="277">
        <f>IFERROR(__xludf.DUMMYFUNCTION("""COMPUTED_VALUE"""),74.0)</f>
        <v>74</v>
      </c>
      <c r="K541" s="29">
        <f>IFERROR(__xludf.DUMMYFUNCTION("""COMPUTED_VALUE"""),4.5)</f>
        <v>4.5</v>
      </c>
      <c r="L541" s="31" t="str">
        <f>IFERROR(__xludf.DUMMYFUNCTION("""COMPUTED_VALUE"""),"Adventure")</f>
        <v>Adventure</v>
      </c>
    </row>
    <row r="542">
      <c r="A542" s="278" t="str">
        <f>IFERROR(__xludf.DUMMYFUNCTION("""COMPUTED_VALUE"""),"Two Point Hospital")</f>
        <v>Two Point Hospital</v>
      </c>
      <c r="B542" s="20" t="str">
        <f>IFERROR(__xludf.DUMMYFUNCTION("""COMPUTED_VALUE"""),"Xbox / PC")</f>
        <v>Xbox / PC</v>
      </c>
      <c r="C542" s="20" t="str">
        <f>IFERROR(__xludf.DUMMYFUNCTION("""COMPUTED_VALUE"""),"Touch Controls")</f>
        <v>Touch Controls</v>
      </c>
      <c r="D542" s="21" t="str">
        <f>IFERROR(__xludf.DUMMYFUNCTION("""COMPUTED_VALUE"""),"Removed")</f>
        <v>Removed</v>
      </c>
      <c r="E542" s="279">
        <f>IFERROR(__xludf.DUMMYFUNCTION("""COMPUTED_VALUE"""),43886.0)</f>
        <v>43886</v>
      </c>
      <c r="F542" s="276">
        <f>IFERROR(__xludf.DUMMYFUNCTION("""COMPUTED_VALUE"""),44804.0)</f>
        <v>44804</v>
      </c>
      <c r="G542" s="27">
        <f>IFERROR(__xludf.DUMMYFUNCTION("""COMPUTED_VALUE"""),30.166666666666664)</f>
        <v>30.16666667</v>
      </c>
      <c r="H542" s="128">
        <f>IFERROR(__xludf.DUMMYFUNCTION("""COMPUTED_VALUE"""),43220.0)</f>
        <v>43220</v>
      </c>
      <c r="I542" s="27">
        <f>IFERROR(__xludf.DUMMYFUNCTION("""COMPUTED_VALUE"""),1.8194444444444444)</f>
        <v>1.819444444</v>
      </c>
      <c r="J542" s="277">
        <f>IFERROR(__xludf.DUMMYFUNCTION("""COMPUTED_VALUE"""),83.0)</f>
        <v>83</v>
      </c>
      <c r="K542" s="29">
        <f>IFERROR(__xludf.DUMMYFUNCTION("""COMPUTED_VALUE"""),30.5)</f>
        <v>30.5</v>
      </c>
      <c r="L542" s="275" t="str">
        <f>IFERROR(__xludf.DUMMYFUNCTION("""COMPUTED_VALUE"""),"Simulation")</f>
        <v>Simulation</v>
      </c>
    </row>
    <row r="543">
      <c r="A543" s="278" t="str">
        <f>IFERROR(__xludf.DUMMYFUNCTION("""COMPUTED_VALUE"""),"What Remains of Edith Finch")</f>
        <v>What Remains of Edith Finch</v>
      </c>
      <c r="B543" s="20" t="str">
        <f>IFERROR(__xludf.DUMMYFUNCTION("""COMPUTED_VALUE"""),"Xbox / PC")</f>
        <v>Xbox / PC</v>
      </c>
      <c r="C543" s="20" t="str">
        <f>IFERROR(__xludf.DUMMYFUNCTION("""COMPUTED_VALUE"""),"Touch Controls")</f>
        <v>Touch Controls</v>
      </c>
      <c r="D543" s="21" t="str">
        <f>IFERROR(__xludf.DUMMYFUNCTION("""COMPUTED_VALUE"""),"Removed")</f>
        <v>Removed</v>
      </c>
      <c r="E543" s="279">
        <f>IFERROR(__xludf.DUMMYFUNCTION("""COMPUTED_VALUE"""),43545.0)</f>
        <v>43545</v>
      </c>
      <c r="F543" s="276">
        <f>IFERROR(__xludf.DUMMYFUNCTION("""COMPUTED_VALUE"""),44804.0)</f>
        <v>44804</v>
      </c>
      <c r="G543" s="27">
        <f>IFERROR(__xludf.DUMMYFUNCTION("""COMPUTED_VALUE"""),41.300000000000004)</f>
        <v>41.3</v>
      </c>
      <c r="H543" s="128">
        <f>IFERROR(__xludf.DUMMYFUNCTION("""COMPUTED_VALUE"""),42850.0)</f>
        <v>42850</v>
      </c>
      <c r="I543" s="27">
        <f>IFERROR(__xludf.DUMMYFUNCTION("""COMPUTED_VALUE"""),1.9055555555555554)</f>
        <v>1.905555556</v>
      </c>
      <c r="J543" s="277">
        <f>IFERROR(__xludf.DUMMYFUNCTION("""COMPUTED_VALUE"""),92.0)</f>
        <v>92</v>
      </c>
      <c r="K543" s="29">
        <f>IFERROR(__xludf.DUMMYFUNCTION("""COMPUTED_VALUE"""),2.0)</f>
        <v>2</v>
      </c>
      <c r="L543" s="275" t="str">
        <f>IFERROR(__xludf.DUMMYFUNCTION("""COMPUTED_VALUE"""),"Adventure")</f>
        <v>Adventure</v>
      </c>
    </row>
    <row r="544">
      <c r="A544" s="278" t="str">
        <f>IFERROR(__xludf.DUMMYFUNCTION("""COMPUTED_VALUE"""),"Train Sim World 2")</f>
        <v>Train Sim World 2</v>
      </c>
      <c r="B544" s="20" t="str">
        <f>IFERROR(__xludf.DUMMYFUNCTION("""COMPUTED_VALUE"""),"Xbox / PC")</f>
        <v>Xbox / PC</v>
      </c>
      <c r="C544" s="21" t="str">
        <f>IFERROR(__xludf.DUMMYFUNCTION("""COMPUTED_VALUE"""),"Touch Controls")</f>
        <v>Touch Controls</v>
      </c>
      <c r="D544" s="21" t="str">
        <f>IFERROR(__xludf.DUMMYFUNCTION("""COMPUTED_VALUE"""),"Removed")</f>
        <v>Removed</v>
      </c>
      <c r="E544" s="279">
        <f>IFERROR(__xludf.DUMMYFUNCTION("""COMPUTED_VALUE"""),44427.0)</f>
        <v>44427</v>
      </c>
      <c r="F544" s="276">
        <f>IFERROR(__xludf.DUMMYFUNCTION("""COMPUTED_VALUE"""),44788.0)</f>
        <v>44788</v>
      </c>
      <c r="G544" s="27">
        <f>IFERROR(__xludf.DUMMYFUNCTION("""COMPUTED_VALUE"""),11.866666666666667)</f>
        <v>11.86666667</v>
      </c>
      <c r="H544" s="128">
        <f>IFERROR(__xludf.DUMMYFUNCTION("""COMPUTED_VALUE"""),44063.0)</f>
        <v>44063</v>
      </c>
      <c r="I544" s="27">
        <f>IFERROR(__xludf.DUMMYFUNCTION("""COMPUTED_VALUE"""),0.9972222222222222)</f>
        <v>0.9972222222</v>
      </c>
      <c r="J544" s="29">
        <f>IFERROR(__xludf.DUMMYFUNCTION("""COMPUTED_VALUE"""),80.0)</f>
        <v>80</v>
      </c>
      <c r="K544" s="29">
        <f>IFERROR(__xludf.DUMMYFUNCTION("""COMPUTED_VALUE"""),18.0)</f>
        <v>18</v>
      </c>
      <c r="L544" s="275" t="str">
        <f>IFERROR(__xludf.DUMMYFUNCTION("""COMPUTED_VALUE"""),"Simulation")</f>
        <v>Simulation</v>
      </c>
    </row>
    <row r="545">
      <c r="A545" s="278" t="str">
        <f>IFERROR(__xludf.DUMMYFUNCTION("""COMPUTED_VALUE"""),"Boyfriend Dungeon")</f>
        <v>Boyfriend Dungeon</v>
      </c>
      <c r="B545" s="20" t="str">
        <f>IFERROR(__xludf.DUMMYFUNCTION("""COMPUTED_VALUE"""),"Xbox / PC")</f>
        <v>Xbox / PC</v>
      </c>
      <c r="C545" s="21" t="str">
        <f>IFERROR(__xludf.DUMMYFUNCTION("""COMPUTED_VALUE"""),"Touch Controls")</f>
        <v>Touch Controls</v>
      </c>
      <c r="D545" s="21" t="str">
        <f>IFERROR(__xludf.DUMMYFUNCTION("""COMPUTED_VALUE"""),"Removed")</f>
        <v>Removed</v>
      </c>
      <c r="E545" s="279">
        <f>IFERROR(__xludf.DUMMYFUNCTION("""COMPUTED_VALUE"""),44419.0)</f>
        <v>44419</v>
      </c>
      <c r="F545" s="276">
        <f>IFERROR(__xludf.DUMMYFUNCTION("""COMPUTED_VALUE"""),44788.0)</f>
        <v>44788</v>
      </c>
      <c r="G545" s="27">
        <f>IFERROR(__xludf.DUMMYFUNCTION("""COMPUTED_VALUE"""),12.133333333333333)</f>
        <v>12.13333333</v>
      </c>
      <c r="H545" s="128">
        <f>IFERROR(__xludf.DUMMYFUNCTION("""COMPUTED_VALUE"""),44419.0)</f>
        <v>44419</v>
      </c>
      <c r="I545" s="27">
        <f>IFERROR(__xludf.DUMMYFUNCTION("""COMPUTED_VALUE"""),0.0)</f>
        <v>0</v>
      </c>
      <c r="J545" s="277">
        <f>IFERROR(__xludf.DUMMYFUNCTION("""COMPUTED_VALUE"""),71.5)</f>
        <v>71.5</v>
      </c>
      <c r="K545" s="29">
        <f>IFERROR(__xludf.DUMMYFUNCTION("""COMPUTED_VALUE"""),5.0)</f>
        <v>5</v>
      </c>
      <c r="L545" s="275" t="str">
        <f>IFERROR(__xludf.DUMMYFUNCTION("""COMPUTED_VALUE"""),"Action")</f>
        <v>Action</v>
      </c>
    </row>
    <row r="546">
      <c r="A546" s="278" t="str">
        <f>IFERROR(__xludf.DUMMYFUNCTION("""COMPUTED_VALUE"""),"Library of Ruina")</f>
        <v>Library of Ruina</v>
      </c>
      <c r="B546" s="20" t="str">
        <f>IFERROR(__xludf.DUMMYFUNCTION("""COMPUTED_VALUE"""),"Xbox / PC")</f>
        <v>Xbox / PC</v>
      </c>
      <c r="C546" s="20" t="str">
        <f>IFERROR(__xludf.DUMMYFUNCTION("""COMPUTED_VALUE"""),"Yes")</f>
        <v>Yes</v>
      </c>
      <c r="D546" s="21" t="str">
        <f>IFERROR(__xludf.DUMMYFUNCTION("""COMPUTED_VALUE"""),"Removed")</f>
        <v>Removed</v>
      </c>
      <c r="E546" s="279">
        <f>IFERROR(__xludf.DUMMYFUNCTION("""COMPUTED_VALUE"""),44419.0)</f>
        <v>44419</v>
      </c>
      <c r="F546" s="276">
        <f>IFERROR(__xludf.DUMMYFUNCTION("""COMPUTED_VALUE"""),44788.0)</f>
        <v>44788</v>
      </c>
      <c r="G546" s="27">
        <f>IFERROR(__xludf.DUMMYFUNCTION("""COMPUTED_VALUE"""),12.133333333333333)</f>
        <v>12.13333333</v>
      </c>
      <c r="H546" s="128">
        <f>IFERROR(__xludf.DUMMYFUNCTION("""COMPUTED_VALUE"""),43966.0)</f>
        <v>43966</v>
      </c>
      <c r="I546" s="27">
        <f>IFERROR(__xludf.DUMMYFUNCTION("""COMPUTED_VALUE"""),1.238888888888889)</f>
        <v>1.238888889</v>
      </c>
      <c r="J546" s="277">
        <f>IFERROR(__xludf.DUMMYFUNCTION("""COMPUTED_VALUE"""),95.0)</f>
        <v>95</v>
      </c>
      <c r="K546" s="277">
        <f>IFERROR(__xludf.DUMMYFUNCTION("""COMPUTED_VALUE"""),96.5)</f>
        <v>96.5</v>
      </c>
      <c r="L546" s="275" t="str">
        <f>IFERROR(__xludf.DUMMYFUNCTION("""COMPUTED_VALUE"""),"RPG")</f>
        <v>RPG</v>
      </c>
    </row>
    <row r="547">
      <c r="A547" s="278" t="str">
        <f>IFERROR(__xludf.DUMMYFUNCTION("""COMPUTED_VALUE"""),"Curse of the Dead Gods")</f>
        <v>Curse of the Dead Gods</v>
      </c>
      <c r="B547" s="20" t="str">
        <f>IFERROR(__xludf.DUMMYFUNCTION("""COMPUTED_VALUE"""),"Xbox / PC")</f>
        <v>Xbox / PC</v>
      </c>
      <c r="C547" s="20" t="str">
        <f>IFERROR(__xludf.DUMMYFUNCTION("""COMPUTED_VALUE"""),"Touch Controls")</f>
        <v>Touch Controls</v>
      </c>
      <c r="D547" s="21" t="str">
        <f>IFERROR(__xludf.DUMMYFUNCTION("""COMPUTED_VALUE"""),"Removed")</f>
        <v>Removed</v>
      </c>
      <c r="E547" s="279">
        <f>IFERROR(__xludf.DUMMYFUNCTION("""COMPUTED_VALUE"""),44413.0)</f>
        <v>44413</v>
      </c>
      <c r="F547" s="276">
        <f>IFERROR(__xludf.DUMMYFUNCTION("""COMPUTED_VALUE"""),44788.0)</f>
        <v>44788</v>
      </c>
      <c r="G547" s="27">
        <f>IFERROR(__xludf.DUMMYFUNCTION("""COMPUTED_VALUE"""),12.333333333333332)</f>
        <v>12.33333333</v>
      </c>
      <c r="H547" s="128">
        <f>IFERROR(__xludf.DUMMYFUNCTION("""COMPUTED_VALUE"""),44249.0)</f>
        <v>44249</v>
      </c>
      <c r="I547" s="27">
        <f>IFERROR(__xludf.DUMMYFUNCTION("""COMPUTED_VALUE"""),0.4527777777777778)</f>
        <v>0.4527777778</v>
      </c>
      <c r="J547" s="277">
        <f>IFERROR(__xludf.DUMMYFUNCTION("""COMPUTED_VALUE"""),84.0)</f>
        <v>84</v>
      </c>
      <c r="K547" s="277">
        <f>IFERROR(__xludf.DUMMYFUNCTION("""COMPUTED_VALUE"""),25.0)</f>
        <v>25</v>
      </c>
      <c r="L547" s="275" t="str">
        <f>IFERROR(__xludf.DUMMYFUNCTION("""COMPUTED_VALUE"""),"Action-Adventure")</f>
        <v>Action-Adventure</v>
      </c>
    </row>
    <row r="548">
      <c r="A548" s="17" t="str">
        <f>IFERROR(__xludf.DUMMYFUNCTION("""COMPUTED_VALUE"""),"Starmancer (Game Preview)")</f>
        <v>Starmancer (Game Preview)</v>
      </c>
      <c r="B548" s="20" t="str">
        <f>IFERROR(__xludf.DUMMYFUNCTION("""COMPUTED_VALUE"""),"Xbox / PC")</f>
        <v>Xbox / PC</v>
      </c>
      <c r="C548" s="20" t="str">
        <f>IFERROR(__xludf.DUMMYFUNCTION("""COMPUTED_VALUE"""),"Yes")</f>
        <v>Yes</v>
      </c>
      <c r="D548" s="21" t="str">
        <f>IFERROR(__xludf.DUMMYFUNCTION("""COMPUTED_VALUE"""),"Removed")</f>
        <v>Removed</v>
      </c>
      <c r="E548" s="279">
        <f>IFERROR(__xludf.DUMMYFUNCTION("""COMPUTED_VALUE"""),44413.0)</f>
        <v>44413</v>
      </c>
      <c r="F548" s="276">
        <f>IFERROR(__xludf.DUMMYFUNCTION("""COMPUTED_VALUE"""),44788.0)</f>
        <v>44788</v>
      </c>
      <c r="G548" s="27">
        <f>IFERROR(__xludf.DUMMYFUNCTION("""COMPUTED_VALUE"""),12.333333333333332)</f>
        <v>12.33333333</v>
      </c>
      <c r="H548" s="128">
        <f>IFERROR(__xludf.DUMMYFUNCTION("""COMPUTED_VALUE"""),44413.0)</f>
        <v>44413</v>
      </c>
      <c r="I548" s="27">
        <f>IFERROR(__xludf.DUMMYFUNCTION("""COMPUTED_VALUE"""),0.0)</f>
        <v>0</v>
      </c>
      <c r="J548" s="277">
        <f>IFERROR(__xludf.DUMMYFUNCTION("""COMPUTED_VALUE"""),62.0)</f>
        <v>62</v>
      </c>
      <c r="K548" s="29"/>
      <c r="L548" s="275" t="str">
        <f>IFERROR(__xludf.DUMMYFUNCTION("""COMPUTED_VALUE"""),"Simulation")</f>
        <v>Simulation</v>
      </c>
    </row>
    <row r="549">
      <c r="A549" s="278" t="str">
        <f>IFERROR(__xludf.DUMMYFUNCTION("""COMPUTED_VALUE"""),"Dodgeball Academia")</f>
        <v>Dodgeball Academia</v>
      </c>
      <c r="B549" s="20" t="str">
        <f>IFERROR(__xludf.DUMMYFUNCTION("""COMPUTED_VALUE"""),"Xbox / PC")</f>
        <v>Xbox / PC</v>
      </c>
      <c r="C549" s="21" t="str">
        <f>IFERROR(__xludf.DUMMYFUNCTION("""COMPUTED_VALUE"""),"Yes")</f>
        <v>Yes</v>
      </c>
      <c r="D549" s="21" t="str">
        <f>IFERROR(__xludf.DUMMYFUNCTION("""COMPUTED_VALUE"""),"Removed")</f>
        <v>Removed</v>
      </c>
      <c r="E549" s="279">
        <f>IFERROR(__xludf.DUMMYFUNCTION("""COMPUTED_VALUE"""),44413.0)</f>
        <v>44413</v>
      </c>
      <c r="F549" s="276">
        <f>IFERROR(__xludf.DUMMYFUNCTION("""COMPUTED_VALUE"""),44773.0)</f>
        <v>44773</v>
      </c>
      <c r="G549" s="27">
        <f>IFERROR(__xludf.DUMMYFUNCTION("""COMPUTED_VALUE"""),11.833333333333334)</f>
        <v>11.83333333</v>
      </c>
      <c r="H549" s="128">
        <f>IFERROR(__xludf.DUMMYFUNCTION("""COMPUTED_VALUE"""),44413.0)</f>
        <v>44413</v>
      </c>
      <c r="I549" s="27">
        <f>IFERROR(__xludf.DUMMYFUNCTION("""COMPUTED_VALUE"""),0.0)</f>
        <v>0</v>
      </c>
      <c r="J549" s="277">
        <f>IFERROR(__xludf.DUMMYFUNCTION("""COMPUTED_VALUE"""),77.0)</f>
        <v>77</v>
      </c>
      <c r="K549" s="277">
        <f>IFERROR(__xludf.DUMMYFUNCTION("""COMPUTED_VALUE"""),8.0)</f>
        <v>8</v>
      </c>
      <c r="L549" s="275" t="str">
        <f>IFERROR(__xludf.DUMMYFUNCTION("""COMPUTED_VALUE"""),"Sports")</f>
        <v>Sports</v>
      </c>
    </row>
    <row r="550">
      <c r="A550" s="278" t="str">
        <f>IFERROR(__xludf.DUMMYFUNCTION("""COMPUTED_VALUE"""),"Katamari Damacy Reroll")</f>
        <v>Katamari Damacy Reroll</v>
      </c>
      <c r="B550" s="20" t="str">
        <f>IFERROR(__xludf.DUMMYFUNCTION("""COMPUTED_VALUE"""),"Xbox / PC")</f>
        <v>Xbox / PC</v>
      </c>
      <c r="C550" s="21" t="str">
        <f>IFERROR(__xludf.DUMMYFUNCTION("""COMPUTED_VALUE"""),"Touch Controls")</f>
        <v>Touch Controls</v>
      </c>
      <c r="D550" s="21" t="str">
        <f>IFERROR(__xludf.DUMMYFUNCTION("""COMPUTED_VALUE"""),"Removed")</f>
        <v>Removed</v>
      </c>
      <c r="E550" s="279">
        <f>IFERROR(__xludf.DUMMYFUNCTION("""COMPUTED_VALUE"""),44413.0)</f>
        <v>44413</v>
      </c>
      <c r="F550" s="276">
        <f>IFERROR(__xludf.DUMMYFUNCTION("""COMPUTED_VALUE"""),44773.0)</f>
        <v>44773</v>
      </c>
      <c r="G550" s="27">
        <f>IFERROR(__xludf.DUMMYFUNCTION("""COMPUTED_VALUE"""),11.833333333333334)</f>
        <v>11.83333333</v>
      </c>
      <c r="H550" s="128">
        <f>IFERROR(__xludf.DUMMYFUNCTION("""COMPUTED_VALUE"""),43441.0)</f>
        <v>43441</v>
      </c>
      <c r="I550" s="27">
        <f>IFERROR(__xludf.DUMMYFUNCTION("""COMPUTED_VALUE"""),2.661111111111111)</f>
        <v>2.661111111</v>
      </c>
      <c r="J550" s="277">
        <f>IFERROR(__xludf.DUMMYFUNCTION("""COMPUTED_VALUE"""),77.0)</f>
        <v>77</v>
      </c>
      <c r="K550" s="29">
        <f>IFERROR(__xludf.DUMMYFUNCTION("""COMPUTED_VALUE"""),4.5)</f>
        <v>4.5</v>
      </c>
      <c r="L550" s="275" t="str">
        <f>IFERROR(__xludf.DUMMYFUNCTION("""COMPUTED_VALUE"""),"Action")</f>
        <v>Action</v>
      </c>
    </row>
    <row r="551">
      <c r="A551" s="278" t="str">
        <f>IFERROR(__xludf.DUMMYFUNCTION("""COMPUTED_VALUE"""),"Lumines: Remastered")</f>
        <v>Lumines: Remastered</v>
      </c>
      <c r="B551" s="20" t="str">
        <f>IFERROR(__xludf.DUMMYFUNCTION("""COMPUTED_VALUE"""),"Xbox / PC")</f>
        <v>Xbox / PC</v>
      </c>
      <c r="C551" s="20" t="str">
        <f>IFERROR(__xludf.DUMMYFUNCTION("""COMPUTED_VALUE"""),"Touch Controls")</f>
        <v>Touch Controls</v>
      </c>
      <c r="D551" s="21" t="str">
        <f>IFERROR(__xludf.DUMMYFUNCTION("""COMPUTED_VALUE"""),"Removed")</f>
        <v>Removed</v>
      </c>
      <c r="E551" s="279">
        <f>IFERROR(__xludf.DUMMYFUNCTION("""COMPUTED_VALUE"""),44413.0)</f>
        <v>44413</v>
      </c>
      <c r="F551" s="276">
        <f>IFERROR(__xludf.DUMMYFUNCTION("""COMPUTED_VALUE"""),44773.0)</f>
        <v>44773</v>
      </c>
      <c r="G551" s="27">
        <f>IFERROR(__xludf.DUMMYFUNCTION("""COMPUTED_VALUE"""),11.833333333333334)</f>
        <v>11.83333333</v>
      </c>
      <c r="H551" s="128">
        <f>IFERROR(__xludf.DUMMYFUNCTION("""COMPUTED_VALUE"""),43277.0)</f>
        <v>43277</v>
      </c>
      <c r="I551" s="27">
        <f>IFERROR(__xludf.DUMMYFUNCTION("""COMPUTED_VALUE"""),3.1083333333333334)</f>
        <v>3.108333333</v>
      </c>
      <c r="J551" s="29">
        <f>IFERROR(__xludf.DUMMYFUNCTION("""COMPUTED_VALUE"""),81.0)</f>
        <v>81</v>
      </c>
      <c r="K551" s="29">
        <f>IFERROR(__xludf.DUMMYFUNCTION("""COMPUTED_VALUE"""),5.0)</f>
        <v>5</v>
      </c>
      <c r="L551" s="275" t="str">
        <f>IFERROR(__xludf.DUMMYFUNCTION("""COMPUTED_VALUE"""),"Puzzle")</f>
        <v>Puzzle</v>
      </c>
    </row>
    <row r="552">
      <c r="A552" s="278" t="str">
        <f>IFERROR(__xludf.DUMMYFUNCTION("""COMPUTED_VALUE"""),"OMNO")</f>
        <v>OMNO</v>
      </c>
      <c r="B552" s="21" t="str">
        <f>IFERROR(__xludf.DUMMYFUNCTION("""COMPUTED_VALUE"""),"Xbox / PC")</f>
        <v>Xbox / PC</v>
      </c>
      <c r="C552" s="21" t="str">
        <f>IFERROR(__xludf.DUMMYFUNCTION("""COMPUTED_VALUE"""),"Touch Controls")</f>
        <v>Touch Controls</v>
      </c>
      <c r="D552" s="21" t="str">
        <f>IFERROR(__xludf.DUMMYFUNCTION("""COMPUTED_VALUE"""),"Removed")</f>
        <v>Removed</v>
      </c>
      <c r="E552" s="279">
        <f>IFERROR(__xludf.DUMMYFUNCTION("""COMPUTED_VALUE"""),44406.0)</f>
        <v>44406</v>
      </c>
      <c r="F552" s="276">
        <f>IFERROR(__xludf.DUMMYFUNCTION("""COMPUTED_VALUE"""),44773.0)</f>
        <v>44773</v>
      </c>
      <c r="G552" s="27">
        <f>IFERROR(__xludf.DUMMYFUNCTION("""COMPUTED_VALUE"""),12.033333333333333)</f>
        <v>12.03333333</v>
      </c>
      <c r="H552" s="128">
        <f>IFERROR(__xludf.DUMMYFUNCTION("""COMPUTED_VALUE"""),43430.0)</f>
        <v>43430</v>
      </c>
      <c r="I552" s="27">
        <f>IFERROR(__xludf.DUMMYFUNCTION("""COMPUTED_VALUE"""),2.675)</f>
        <v>2.675</v>
      </c>
      <c r="J552" s="277">
        <f>IFERROR(__xludf.DUMMYFUNCTION("""COMPUTED_VALUE"""),77.0)</f>
        <v>77</v>
      </c>
      <c r="K552" s="29">
        <f>IFERROR(__xludf.DUMMYFUNCTION("""COMPUTED_VALUE"""),3.0)</f>
        <v>3</v>
      </c>
      <c r="L552" s="31" t="str">
        <f>IFERROR(__xludf.DUMMYFUNCTION("""COMPUTED_VALUE"""),"Platformer")</f>
        <v>Platformer</v>
      </c>
    </row>
    <row r="553">
      <c r="A553" s="278" t="str">
        <f>IFERROR(__xludf.DUMMYFUNCTION("""COMPUTED_VALUE"""),"Raji: An Ancient Epic")</f>
        <v>Raji: An Ancient Epic</v>
      </c>
      <c r="B553" s="20" t="str">
        <f>IFERROR(__xludf.DUMMYFUNCTION("""COMPUTED_VALUE"""),"Xbox / PC")</f>
        <v>Xbox / PC</v>
      </c>
      <c r="C553" s="20" t="str">
        <f>IFERROR(__xludf.DUMMYFUNCTION("""COMPUTED_VALUE"""),"Touch Controls")</f>
        <v>Touch Controls</v>
      </c>
      <c r="D553" s="21" t="str">
        <f>IFERROR(__xludf.DUMMYFUNCTION("""COMPUTED_VALUE"""),"Removed")</f>
        <v>Removed</v>
      </c>
      <c r="E553" s="279">
        <f>IFERROR(__xludf.DUMMYFUNCTION("""COMPUTED_VALUE"""),44399.0)</f>
        <v>44399</v>
      </c>
      <c r="F553" s="276">
        <f>IFERROR(__xludf.DUMMYFUNCTION("""COMPUTED_VALUE"""),44773.0)</f>
        <v>44773</v>
      </c>
      <c r="G553" s="27">
        <f>IFERROR(__xludf.DUMMYFUNCTION("""COMPUTED_VALUE"""),12.266666666666666)</f>
        <v>12.26666667</v>
      </c>
      <c r="H553" s="128">
        <f>IFERROR(__xludf.DUMMYFUNCTION("""COMPUTED_VALUE"""),44119.0)</f>
        <v>44119</v>
      </c>
      <c r="I553" s="27">
        <f>IFERROR(__xludf.DUMMYFUNCTION("""COMPUTED_VALUE"""),0.7694444444444445)</f>
        <v>0.7694444444</v>
      </c>
      <c r="J553" s="277">
        <f>IFERROR(__xludf.DUMMYFUNCTION("""COMPUTED_VALUE"""),70.0)</f>
        <v>70</v>
      </c>
      <c r="K553" s="277">
        <f>IFERROR(__xludf.DUMMYFUNCTION("""COMPUTED_VALUE"""),5.0)</f>
        <v>5</v>
      </c>
      <c r="L553" s="31" t="str">
        <f>IFERROR(__xludf.DUMMYFUNCTION("""COMPUTED_VALUE"""),"Action-Adventure")</f>
        <v>Action-Adventure</v>
      </c>
    </row>
    <row r="554">
      <c r="A554" s="278" t="str">
        <f>IFERROR(__xludf.DUMMYFUNCTION("""COMPUTED_VALUE"""),"Lethal League Blaze")</f>
        <v>Lethal League Blaze</v>
      </c>
      <c r="B554" s="20" t="str">
        <f>IFERROR(__xludf.DUMMYFUNCTION("""COMPUTED_VALUE"""),"Xbox / PC")</f>
        <v>Xbox / PC</v>
      </c>
      <c r="C554" s="20" t="str">
        <f>IFERROR(__xludf.DUMMYFUNCTION("""COMPUTED_VALUE"""),"Touch Controls")</f>
        <v>Touch Controls</v>
      </c>
      <c r="D554" s="21" t="str">
        <f>IFERROR(__xludf.DUMMYFUNCTION("""COMPUTED_VALUE"""),"Removed")</f>
        <v>Removed</v>
      </c>
      <c r="E554" s="279">
        <f>IFERROR(__xludf.DUMMYFUNCTION("""COMPUTED_VALUE"""),44406.0)</f>
        <v>44406</v>
      </c>
      <c r="F554" s="276">
        <f>IFERROR(__xludf.DUMMYFUNCTION("""COMPUTED_VALUE"""),44757.0)</f>
        <v>44757</v>
      </c>
      <c r="G554" s="27">
        <f>IFERROR(__xludf.DUMMYFUNCTION("""COMPUTED_VALUE"""),11.533333333333333)</f>
        <v>11.53333333</v>
      </c>
      <c r="H554" s="128">
        <f>IFERROR(__xludf.DUMMYFUNCTION("""COMPUTED_VALUE"""),43397.0)</f>
        <v>43397</v>
      </c>
      <c r="I554" s="27">
        <f>IFERROR(__xludf.DUMMYFUNCTION("""COMPUTED_VALUE"""),2.763888888888889)</f>
        <v>2.763888889</v>
      </c>
      <c r="J554" s="277">
        <f>IFERROR(__xludf.DUMMYFUNCTION("""COMPUTED_VALUE"""),82.0)</f>
        <v>82</v>
      </c>
      <c r="K554" s="29">
        <f>IFERROR(__xludf.DUMMYFUNCTION("""COMPUTED_VALUE"""),2.0)</f>
        <v>2</v>
      </c>
      <c r="L554" s="31" t="str">
        <f>IFERROR(__xludf.DUMMYFUNCTION("""COMPUTED_VALUE"""),"Fighting")</f>
        <v>Fighting</v>
      </c>
    </row>
    <row r="555">
      <c r="A555" s="278" t="str">
        <f>IFERROR(__xludf.DUMMYFUNCTION("""COMPUTED_VALUE"""),"Atomicrops")</f>
        <v>Atomicrops</v>
      </c>
      <c r="B555" s="21" t="str">
        <f>IFERROR(__xludf.DUMMYFUNCTION("""COMPUTED_VALUE"""),"Xbox / PC")</f>
        <v>Xbox / PC</v>
      </c>
      <c r="C555" s="21" t="str">
        <f>IFERROR(__xludf.DUMMYFUNCTION("""COMPUTED_VALUE"""),"Yes")</f>
        <v>Yes</v>
      </c>
      <c r="D555" s="21" t="str">
        <f>IFERROR(__xludf.DUMMYFUNCTION("""COMPUTED_VALUE"""),"Removed")</f>
        <v>Removed</v>
      </c>
      <c r="E555" s="279">
        <f>IFERROR(__xludf.DUMMYFUNCTION("""COMPUTED_VALUE"""),44399.0)</f>
        <v>44399</v>
      </c>
      <c r="F555" s="276">
        <f>IFERROR(__xludf.DUMMYFUNCTION("""COMPUTED_VALUE"""),44757.0)</f>
        <v>44757</v>
      </c>
      <c r="G555" s="27">
        <f>IFERROR(__xludf.DUMMYFUNCTION("""COMPUTED_VALUE"""),11.766666666666666)</f>
        <v>11.76666667</v>
      </c>
      <c r="H555" s="128">
        <f>IFERROR(__xludf.DUMMYFUNCTION("""COMPUTED_VALUE"""),43713.0)</f>
        <v>43713</v>
      </c>
      <c r="I555" s="27">
        <f>IFERROR(__xludf.DUMMYFUNCTION("""COMPUTED_VALUE"""),1.8805555555555555)</f>
        <v>1.880555556</v>
      </c>
      <c r="J555" s="277">
        <f>IFERROR(__xludf.DUMMYFUNCTION("""COMPUTED_VALUE"""),78.0)</f>
        <v>78</v>
      </c>
      <c r="K555" s="29">
        <f>IFERROR(__xludf.DUMMYFUNCTION("""COMPUTED_VALUE"""),7.0)</f>
        <v>7</v>
      </c>
      <c r="L555" s="275" t="str">
        <f>IFERROR(__xludf.DUMMYFUNCTION("""COMPUTED_VALUE"""),"Action")</f>
        <v>Action</v>
      </c>
    </row>
    <row r="556">
      <c r="A556" s="278" t="str">
        <f>IFERROR(__xludf.DUMMYFUNCTION("""COMPUTED_VALUE"""),"Cris Tales")</f>
        <v>Cris Tales</v>
      </c>
      <c r="B556" s="20" t="str">
        <f>IFERROR(__xludf.DUMMYFUNCTION("""COMPUTED_VALUE"""),"Xbox / PC")</f>
        <v>Xbox / PC</v>
      </c>
      <c r="C556" s="20" t="str">
        <f>IFERROR(__xludf.DUMMYFUNCTION("""COMPUTED_VALUE"""),"Touch Controls")</f>
        <v>Touch Controls</v>
      </c>
      <c r="D556" s="21" t="str">
        <f>IFERROR(__xludf.DUMMYFUNCTION("""COMPUTED_VALUE"""),"Removed")</f>
        <v>Removed</v>
      </c>
      <c r="E556" s="279">
        <f>IFERROR(__xludf.DUMMYFUNCTION("""COMPUTED_VALUE"""),44397.0)</f>
        <v>44397</v>
      </c>
      <c r="F556" s="276">
        <f>IFERROR(__xludf.DUMMYFUNCTION("""COMPUTED_VALUE"""),44757.0)</f>
        <v>44757</v>
      </c>
      <c r="G556" s="27">
        <f>IFERROR(__xludf.DUMMYFUNCTION("""COMPUTED_VALUE"""),11.833333333333334)</f>
        <v>11.83333333</v>
      </c>
      <c r="H556" s="128">
        <f>IFERROR(__xludf.DUMMYFUNCTION("""COMPUTED_VALUE"""),44397.0)</f>
        <v>44397</v>
      </c>
      <c r="I556" s="27">
        <f>IFERROR(__xludf.DUMMYFUNCTION("""COMPUTED_VALUE"""),0.0)</f>
        <v>0</v>
      </c>
      <c r="J556" s="277">
        <f>IFERROR(__xludf.DUMMYFUNCTION("""COMPUTED_VALUE"""),75.0)</f>
        <v>75</v>
      </c>
      <c r="K556" s="277">
        <f>IFERROR(__xludf.DUMMYFUNCTION("""COMPUTED_VALUE"""),21.0)</f>
        <v>21</v>
      </c>
      <c r="L556" s="275" t="str">
        <f>IFERROR(__xludf.DUMMYFUNCTION("""COMPUTED_VALUE"""),"RPG")</f>
        <v>RPG</v>
      </c>
    </row>
    <row r="557">
      <c r="A557" s="17" t="str">
        <f>IFERROR(__xludf.DUMMYFUNCTION("""COMPUTED_VALUE"""),"Children of Morta")</f>
        <v>Children of Morta</v>
      </c>
      <c r="B557" s="20" t="str">
        <f>IFERROR(__xludf.DUMMYFUNCTION("""COMPUTED_VALUE"""),"Xbox / PC")</f>
        <v>Xbox / PC</v>
      </c>
      <c r="C557" s="20" t="str">
        <f>IFERROR(__xludf.DUMMYFUNCTION("""COMPUTED_VALUE"""),"Yes")</f>
        <v>Yes</v>
      </c>
      <c r="D557" s="21" t="str">
        <f>IFERROR(__xludf.DUMMYFUNCTION("""COMPUTED_VALUE"""),"Removed")</f>
        <v>Removed</v>
      </c>
      <c r="E557" s="279">
        <f>IFERROR(__xludf.DUMMYFUNCTION("""COMPUTED_VALUE"""),43846.0)</f>
        <v>43846</v>
      </c>
      <c r="F557" s="276">
        <f>IFERROR(__xludf.DUMMYFUNCTION("""COMPUTED_VALUE"""),44757.0)</f>
        <v>44757</v>
      </c>
      <c r="G557" s="27">
        <f>IFERROR(__xludf.DUMMYFUNCTION("""COMPUTED_VALUE"""),29.96666666666667)</f>
        <v>29.96666667</v>
      </c>
      <c r="H557" s="128">
        <f>IFERROR(__xludf.DUMMYFUNCTION("""COMPUTED_VALUE"""),43711.0)</f>
        <v>43711</v>
      </c>
      <c r="I557" s="27">
        <f>IFERROR(__xludf.DUMMYFUNCTION("""COMPUTED_VALUE"""),0.36944444444444446)</f>
        <v>0.3694444444</v>
      </c>
      <c r="J557" s="277">
        <f>IFERROR(__xludf.DUMMYFUNCTION("""COMPUTED_VALUE"""),77.0)</f>
        <v>77</v>
      </c>
      <c r="K557" s="29">
        <f>IFERROR(__xludf.DUMMYFUNCTION("""COMPUTED_VALUE"""),13.5)</f>
        <v>13.5</v>
      </c>
      <c r="L557" s="275" t="str">
        <f>IFERROR(__xludf.DUMMYFUNCTION("""COMPUTED_VALUE"""),"RPG")</f>
        <v>RPG</v>
      </c>
    </row>
    <row r="558">
      <c r="A558" s="278" t="str">
        <f>IFERROR(__xludf.DUMMYFUNCTION("""COMPUTED_VALUE"""),"FIFA 20")</f>
        <v>FIFA 20</v>
      </c>
      <c r="B558" s="20" t="str">
        <f>IFERROR(__xludf.DUMMYFUNCTION("""COMPUTED_VALUE"""),"Xbox / PC")</f>
        <v>Xbox / PC</v>
      </c>
      <c r="C558" s="20"/>
      <c r="D558" s="21" t="str">
        <f>IFERROR(__xludf.DUMMYFUNCTION("""COMPUTED_VALUE"""),"Removed")</f>
        <v>Removed</v>
      </c>
      <c r="E558" s="279">
        <f>IFERROR(__xludf.DUMMYFUNCTION("""COMPUTED_VALUE"""),44145.0)</f>
        <v>44145</v>
      </c>
      <c r="F558" s="276">
        <f>IFERROR(__xludf.DUMMYFUNCTION("""COMPUTED_VALUE"""),44743.0)</f>
        <v>44743</v>
      </c>
      <c r="G558" s="27">
        <f>IFERROR(__xludf.DUMMYFUNCTION("""COMPUTED_VALUE"""),19.7)</f>
        <v>19.7</v>
      </c>
      <c r="H558" s="128">
        <f>IFERROR(__xludf.DUMMYFUNCTION("""COMPUTED_VALUE"""),43735.0)</f>
        <v>43735</v>
      </c>
      <c r="I558" s="27">
        <f>IFERROR(__xludf.DUMMYFUNCTION("""COMPUTED_VALUE"""),1.1194444444444445)</f>
        <v>1.119444444</v>
      </c>
      <c r="J558" s="277">
        <f>IFERROR(__xludf.DUMMYFUNCTION("""COMPUTED_VALUE"""),79.0)</f>
        <v>79</v>
      </c>
      <c r="K558" s="29">
        <f>IFERROR(__xludf.DUMMYFUNCTION("""COMPUTED_VALUE"""),23.5)</f>
        <v>23.5</v>
      </c>
      <c r="L558" s="275" t="str">
        <f>IFERROR(__xludf.DUMMYFUNCTION("""COMPUTED_VALUE"""),"Sports")</f>
        <v>Sports</v>
      </c>
    </row>
    <row r="559">
      <c r="A559" s="278" t="str">
        <f>IFERROR(__xludf.DUMMYFUNCTION("""COMPUTED_VALUE"""),"Last Stop")</f>
        <v>Last Stop</v>
      </c>
      <c r="B559" s="20" t="str">
        <f>IFERROR(__xludf.DUMMYFUNCTION("""COMPUTED_VALUE"""),"Xbox / PC")</f>
        <v>Xbox / PC</v>
      </c>
      <c r="C559" s="20" t="str">
        <f>IFERROR(__xludf.DUMMYFUNCTION("""COMPUTED_VALUE"""),"Touch Controls")</f>
        <v>Touch Controls</v>
      </c>
      <c r="D559" s="21" t="str">
        <f>IFERROR(__xludf.DUMMYFUNCTION("""COMPUTED_VALUE"""),"Removed")</f>
        <v>Removed</v>
      </c>
      <c r="E559" s="279">
        <f>IFERROR(__xludf.DUMMYFUNCTION("""COMPUTED_VALUE"""),44399.0)</f>
        <v>44399</v>
      </c>
      <c r="F559" s="276">
        <f>IFERROR(__xludf.DUMMYFUNCTION("""COMPUTED_VALUE"""),44742.0)</f>
        <v>44742</v>
      </c>
      <c r="G559" s="27">
        <f>IFERROR(__xludf.DUMMYFUNCTION("""COMPUTED_VALUE"""),11.266666666666666)</f>
        <v>11.26666667</v>
      </c>
      <c r="H559" s="128">
        <f>IFERROR(__xludf.DUMMYFUNCTION("""COMPUTED_VALUE"""),44399.0)</f>
        <v>44399</v>
      </c>
      <c r="I559" s="27">
        <f>IFERROR(__xludf.DUMMYFUNCTION("""COMPUTED_VALUE"""),0.0)</f>
        <v>0</v>
      </c>
      <c r="J559" s="277">
        <f>IFERROR(__xludf.DUMMYFUNCTION("""COMPUTED_VALUE"""),67.0)</f>
        <v>67</v>
      </c>
      <c r="K559" s="29">
        <f>IFERROR(__xludf.DUMMYFUNCTION("""COMPUTED_VALUE"""),6.0)</f>
        <v>6</v>
      </c>
      <c r="L559" s="275" t="str">
        <f>IFERROR(__xludf.DUMMYFUNCTION("""COMPUTED_VALUE"""),"Adventure")</f>
        <v>Adventure</v>
      </c>
    </row>
    <row r="560">
      <c r="A560" s="17" t="str">
        <f>IFERROR(__xludf.DUMMYFUNCTION("""COMPUTED_VALUE"""),"Jurassic World Evolution")</f>
        <v>Jurassic World Evolution</v>
      </c>
      <c r="B560" s="20" t="str">
        <f>IFERROR(__xludf.DUMMYFUNCTION("""COMPUTED_VALUE"""),"Xbox")</f>
        <v>Xbox</v>
      </c>
      <c r="C560" s="20" t="str">
        <f>IFERROR(__xludf.DUMMYFUNCTION("""COMPUTED_VALUE"""),"Yes")</f>
        <v>Yes</v>
      </c>
      <c r="D560" s="21" t="str">
        <f>IFERROR(__xludf.DUMMYFUNCTION("""COMPUTED_VALUE"""),"Removed")</f>
        <v>Removed</v>
      </c>
      <c r="E560" s="279">
        <f>IFERROR(__xludf.DUMMYFUNCTION("""COMPUTED_VALUE"""),44238.0)</f>
        <v>44238</v>
      </c>
      <c r="F560" s="276">
        <f>IFERROR(__xludf.DUMMYFUNCTION("""COMPUTED_VALUE"""),44742.0)</f>
        <v>44742</v>
      </c>
      <c r="G560" s="27">
        <f>IFERROR(__xludf.DUMMYFUNCTION("""COMPUTED_VALUE"""),16.633333333333333)</f>
        <v>16.63333333</v>
      </c>
      <c r="H560" s="128">
        <f>IFERROR(__xludf.DUMMYFUNCTION("""COMPUTED_VALUE"""),43263.0)</f>
        <v>43263</v>
      </c>
      <c r="I560" s="27">
        <f>IFERROR(__xludf.DUMMYFUNCTION("""COMPUTED_VALUE"""),2.6638888888888888)</f>
        <v>2.663888889</v>
      </c>
      <c r="J560" s="29">
        <f>IFERROR(__xludf.DUMMYFUNCTION("""COMPUTED_VALUE"""),76.0)</f>
        <v>76</v>
      </c>
      <c r="K560" s="29">
        <f>IFERROR(__xludf.DUMMYFUNCTION("""COMPUTED_VALUE"""),24.5)</f>
        <v>24.5</v>
      </c>
      <c r="L560" s="275" t="str">
        <f>IFERROR(__xludf.DUMMYFUNCTION("""COMPUTED_VALUE"""),"Simulation")</f>
        <v>Simulation</v>
      </c>
    </row>
    <row r="561">
      <c r="A561" s="278" t="str">
        <f>IFERROR(__xludf.DUMMYFUNCTION("""COMPUTED_VALUE"""),"MotoGP 20")</f>
        <v>MotoGP 20</v>
      </c>
      <c r="B561" s="20" t="str">
        <f>IFERROR(__xludf.DUMMYFUNCTION("""COMPUTED_VALUE"""),"Xbox / PC")</f>
        <v>Xbox / PC</v>
      </c>
      <c r="C561" s="20" t="str">
        <f>IFERROR(__xludf.DUMMYFUNCTION("""COMPUTED_VALUE"""),"Yes")</f>
        <v>Yes</v>
      </c>
      <c r="D561" s="21" t="str">
        <f>IFERROR(__xludf.DUMMYFUNCTION("""COMPUTED_VALUE"""),"Removed")</f>
        <v>Removed</v>
      </c>
      <c r="E561" s="23">
        <f>IFERROR(__xludf.DUMMYFUNCTION("""COMPUTED_VALUE"""),44182.0)</f>
        <v>44182</v>
      </c>
      <c r="F561" s="276">
        <f>IFERROR(__xludf.DUMMYFUNCTION("""COMPUTED_VALUE"""),44742.0)</f>
        <v>44742</v>
      </c>
      <c r="G561" s="27">
        <f>IFERROR(__xludf.DUMMYFUNCTION("""COMPUTED_VALUE"""),18.433333333333334)</f>
        <v>18.43333333</v>
      </c>
      <c r="H561" s="128">
        <f>IFERROR(__xludf.DUMMYFUNCTION("""COMPUTED_VALUE"""),43944.0)</f>
        <v>43944</v>
      </c>
      <c r="I561" s="27">
        <f>IFERROR(__xludf.DUMMYFUNCTION("""COMPUTED_VALUE"""),0.65)</f>
        <v>0.65</v>
      </c>
      <c r="J561" s="277">
        <f>IFERROR(__xludf.DUMMYFUNCTION("""COMPUTED_VALUE"""),81.5)</f>
        <v>81.5</v>
      </c>
      <c r="K561" s="29">
        <f>IFERROR(__xludf.DUMMYFUNCTION("""COMPUTED_VALUE"""),61.5)</f>
        <v>61.5</v>
      </c>
      <c r="L561" s="275" t="str">
        <f>IFERROR(__xludf.DUMMYFUNCTION("""COMPUTED_VALUE"""),"Racing")</f>
        <v>Racing</v>
      </c>
    </row>
    <row r="562">
      <c r="A562" s="278" t="str">
        <f>IFERROR(__xludf.DUMMYFUNCTION("""COMPUTED_VALUE"""),"Worms Rumble")</f>
        <v>Worms Rumble</v>
      </c>
      <c r="B562" s="20" t="str">
        <f>IFERROR(__xludf.DUMMYFUNCTION("""COMPUTED_VALUE"""),"Xbox / PC")</f>
        <v>Xbox / PC</v>
      </c>
      <c r="C562" s="20" t="str">
        <f>IFERROR(__xludf.DUMMYFUNCTION("""COMPUTED_VALUE"""),"Yes")</f>
        <v>Yes</v>
      </c>
      <c r="D562" s="21" t="str">
        <f>IFERROR(__xludf.DUMMYFUNCTION("""COMPUTED_VALUE"""),"Removed")</f>
        <v>Removed</v>
      </c>
      <c r="E562" s="279">
        <f>IFERROR(__xludf.DUMMYFUNCTION("""COMPUTED_VALUE"""),44370.0)</f>
        <v>44370</v>
      </c>
      <c r="F562" s="276">
        <f>IFERROR(__xludf.DUMMYFUNCTION("""COMPUTED_VALUE"""),44727.0)</f>
        <v>44727</v>
      </c>
      <c r="G562" s="27">
        <f>IFERROR(__xludf.DUMMYFUNCTION("""COMPUTED_VALUE"""),11.733333333333333)</f>
        <v>11.73333333</v>
      </c>
      <c r="H562" s="128">
        <f>IFERROR(__xludf.DUMMYFUNCTION("""COMPUTED_VALUE"""),44166.0)</f>
        <v>44166</v>
      </c>
      <c r="I562" s="27">
        <f>IFERROR(__xludf.DUMMYFUNCTION("""COMPUTED_VALUE"""),0.5611111111111111)</f>
        <v>0.5611111111</v>
      </c>
      <c r="J562" s="277">
        <f>IFERROR(__xludf.DUMMYFUNCTION("""COMPUTED_VALUE"""),68.0)</f>
        <v>68</v>
      </c>
      <c r="K562" s="29">
        <f>IFERROR(__xludf.DUMMYFUNCTION("""COMPUTED_VALUE"""),10.5)</f>
        <v>10.5</v>
      </c>
      <c r="L562" s="275" t="str">
        <f>IFERROR(__xludf.DUMMYFUNCTION("""COMPUTED_VALUE"""),"Action")</f>
        <v>Action</v>
      </c>
    </row>
    <row r="563">
      <c r="A563" s="278" t="str">
        <f>IFERROR(__xludf.DUMMYFUNCTION("""COMPUTED_VALUE"""),"Dungeons &amp; Dragons: Dark Alliance")</f>
        <v>Dungeons &amp; Dragons: Dark Alliance</v>
      </c>
      <c r="B563" s="20" t="str">
        <f>IFERROR(__xludf.DUMMYFUNCTION("""COMPUTED_VALUE"""),"Xbox / PC")</f>
        <v>Xbox / PC</v>
      </c>
      <c r="C563" s="21" t="str">
        <f>IFERROR(__xludf.DUMMYFUNCTION("""COMPUTED_VALUE"""),"Yes")</f>
        <v>Yes</v>
      </c>
      <c r="D563" s="21" t="str">
        <f>IFERROR(__xludf.DUMMYFUNCTION("""COMPUTED_VALUE"""),"Removed")</f>
        <v>Removed</v>
      </c>
      <c r="E563" s="279">
        <f>IFERROR(__xludf.DUMMYFUNCTION("""COMPUTED_VALUE"""),44369.0)</f>
        <v>44369</v>
      </c>
      <c r="F563" s="276">
        <f>IFERROR(__xludf.DUMMYFUNCTION("""COMPUTED_VALUE"""),44727.0)</f>
        <v>44727</v>
      </c>
      <c r="G563" s="27">
        <f>IFERROR(__xludf.DUMMYFUNCTION("""COMPUTED_VALUE"""),11.766666666666666)</f>
        <v>11.76666667</v>
      </c>
      <c r="H563" s="128">
        <f>IFERROR(__xludf.DUMMYFUNCTION("""COMPUTED_VALUE"""),44369.0)</f>
        <v>44369</v>
      </c>
      <c r="I563" s="27">
        <f>IFERROR(__xludf.DUMMYFUNCTION("""COMPUTED_VALUE"""),0.0)</f>
        <v>0</v>
      </c>
      <c r="J563" s="277">
        <f>IFERROR(__xludf.DUMMYFUNCTION("""COMPUTED_VALUE"""),55.5)</f>
        <v>55.5</v>
      </c>
      <c r="K563" s="29">
        <f>IFERROR(__xludf.DUMMYFUNCTION("""COMPUTED_VALUE"""),10.5)</f>
        <v>10.5</v>
      </c>
      <c r="L563" s="275" t="str">
        <f>IFERROR(__xludf.DUMMYFUNCTION("""COMPUTED_VALUE"""),"RPG")</f>
        <v>RPG</v>
      </c>
    </row>
    <row r="564">
      <c r="A564" s="278" t="str">
        <f>IFERROR(__xludf.DUMMYFUNCTION("""COMPUTED_VALUE"""),"GreedFall")</f>
        <v>GreedFall</v>
      </c>
      <c r="B564" s="20" t="str">
        <f>IFERROR(__xludf.DUMMYFUNCTION("""COMPUTED_VALUE"""),"Xbox / PC")</f>
        <v>Xbox / PC</v>
      </c>
      <c r="C564" s="20" t="str">
        <f>IFERROR(__xludf.DUMMYFUNCTION("""COMPUTED_VALUE"""),"Yes")</f>
        <v>Yes</v>
      </c>
      <c r="D564" s="21" t="str">
        <f>IFERROR(__xludf.DUMMYFUNCTION("""COMPUTED_VALUE"""),"Removed")</f>
        <v>Removed</v>
      </c>
      <c r="E564" s="279">
        <f>IFERROR(__xludf.DUMMYFUNCTION("""COMPUTED_VALUE"""),44175.0)</f>
        <v>44175</v>
      </c>
      <c r="F564" s="276">
        <f>IFERROR(__xludf.DUMMYFUNCTION("""COMPUTED_VALUE"""),44727.0)</f>
        <v>44727</v>
      </c>
      <c r="G564" s="27">
        <f>IFERROR(__xludf.DUMMYFUNCTION("""COMPUTED_VALUE"""),18.166666666666664)</f>
        <v>18.16666667</v>
      </c>
      <c r="H564" s="128">
        <f>IFERROR(__xludf.DUMMYFUNCTION("""COMPUTED_VALUE"""),43718.0)</f>
        <v>43718</v>
      </c>
      <c r="I564" s="27">
        <f>IFERROR(__xludf.DUMMYFUNCTION("""COMPUTED_VALUE"""),1.25)</f>
        <v>1.25</v>
      </c>
      <c r="J564" s="277">
        <f>IFERROR(__xludf.DUMMYFUNCTION("""COMPUTED_VALUE"""),78.0)</f>
        <v>78</v>
      </c>
      <c r="K564" s="29">
        <f>IFERROR(__xludf.DUMMYFUNCTION("""COMPUTED_VALUE"""),22.0)</f>
        <v>22</v>
      </c>
      <c r="L564" s="31" t="str">
        <f>IFERROR(__xludf.DUMMYFUNCTION("""COMPUTED_VALUE"""),"RPG")</f>
        <v>RPG</v>
      </c>
    </row>
    <row r="565">
      <c r="A565" s="278" t="str">
        <f>IFERROR(__xludf.DUMMYFUNCTION("""COMPUTED_VALUE"""),"Capsized")</f>
        <v>Capsized</v>
      </c>
      <c r="B565" s="21" t="str">
        <f>IFERROR(__xludf.DUMMYFUNCTION("""COMPUTED_VALUE"""),"PC")</f>
        <v>PC</v>
      </c>
      <c r="C565" s="21"/>
      <c r="D565" s="21" t="str">
        <f>IFERROR(__xludf.DUMMYFUNCTION("""COMPUTED_VALUE"""),"Removed")</f>
        <v>Removed</v>
      </c>
      <c r="E565" s="279">
        <f>IFERROR(__xludf.DUMMYFUNCTION("""COMPUTED_VALUE"""),44273.0)</f>
        <v>44273</v>
      </c>
      <c r="F565" s="276">
        <f>IFERROR(__xludf.DUMMYFUNCTION("""COMPUTED_VALUE"""),44725.0)</f>
        <v>44725</v>
      </c>
      <c r="G565" s="27">
        <f>IFERROR(__xludf.DUMMYFUNCTION("""COMPUTED_VALUE"""),14.833333333333334)</f>
        <v>14.83333333</v>
      </c>
      <c r="H565" s="128">
        <f>IFERROR(__xludf.DUMMYFUNCTION("""COMPUTED_VALUE"""),40662.0)</f>
        <v>40662</v>
      </c>
      <c r="I565" s="27">
        <f>IFERROR(__xludf.DUMMYFUNCTION("""COMPUTED_VALUE"""),9.886111111111111)</f>
        <v>9.886111111</v>
      </c>
      <c r="J565" s="277">
        <f>IFERROR(__xludf.DUMMYFUNCTION("""COMPUTED_VALUE"""),80.0)</f>
        <v>80</v>
      </c>
      <c r="K565" s="29">
        <f>IFERROR(__xludf.DUMMYFUNCTION("""COMPUTED_VALUE"""),4.0)</f>
        <v>4</v>
      </c>
      <c r="L565" s="275" t="str">
        <f>IFERROR(__xludf.DUMMYFUNCTION("""COMPUTED_VALUE"""),"Platformer")</f>
        <v>Platformer</v>
      </c>
    </row>
    <row r="566">
      <c r="A566" s="278" t="str">
        <f>IFERROR(__xludf.DUMMYFUNCTION("""COMPUTED_VALUE"""),"Cryptark")</f>
        <v>Cryptark</v>
      </c>
      <c r="B566" s="20" t="str">
        <f>IFERROR(__xludf.DUMMYFUNCTION("""COMPUTED_VALUE"""),"PC")</f>
        <v>PC</v>
      </c>
      <c r="C566" s="20"/>
      <c r="D566" s="21" t="str">
        <f>IFERROR(__xludf.DUMMYFUNCTION("""COMPUTED_VALUE"""),"Removed")</f>
        <v>Removed</v>
      </c>
      <c r="E566" s="279">
        <f>IFERROR(__xludf.DUMMYFUNCTION("""COMPUTED_VALUE"""),44273.0)</f>
        <v>44273</v>
      </c>
      <c r="F566" s="276">
        <f>IFERROR(__xludf.DUMMYFUNCTION("""COMPUTED_VALUE"""),44725.0)</f>
        <v>44725</v>
      </c>
      <c r="G566" s="27">
        <f>IFERROR(__xludf.DUMMYFUNCTION("""COMPUTED_VALUE"""),14.833333333333334)</f>
        <v>14.83333333</v>
      </c>
      <c r="H566" s="128">
        <f>IFERROR(__xludf.DUMMYFUNCTION("""COMPUTED_VALUE"""),42906.0)</f>
        <v>42906</v>
      </c>
      <c r="I566" s="27">
        <f>IFERROR(__xludf.DUMMYFUNCTION("""COMPUTED_VALUE"""),3.7444444444444445)</f>
        <v>3.744444444</v>
      </c>
      <c r="J566" s="277">
        <f>IFERROR(__xludf.DUMMYFUNCTION("""COMPUTED_VALUE"""),80.0)</f>
        <v>80</v>
      </c>
      <c r="K566" s="29">
        <f>IFERROR(__xludf.DUMMYFUNCTION("""COMPUTED_VALUE"""),4.5)</f>
        <v>4.5</v>
      </c>
      <c r="L566" s="275" t="str">
        <f>IFERROR(__xludf.DUMMYFUNCTION("""COMPUTED_VALUE"""),"Shooter")</f>
        <v>Shooter</v>
      </c>
    </row>
    <row r="567">
      <c r="A567" s="278" t="str">
        <f>IFERROR(__xludf.DUMMYFUNCTION("""COMPUTED_VALUE"""),"Diluvion: Resubmerged")</f>
        <v>Diluvion: Resubmerged</v>
      </c>
      <c r="B567" s="21" t="str">
        <f>IFERROR(__xludf.DUMMYFUNCTION("""COMPUTED_VALUE"""),"PC")</f>
        <v>PC</v>
      </c>
      <c r="C567" s="21"/>
      <c r="D567" s="21" t="str">
        <f>IFERROR(__xludf.DUMMYFUNCTION("""COMPUTED_VALUE"""),"Removed")</f>
        <v>Removed</v>
      </c>
      <c r="E567" s="279">
        <f>IFERROR(__xludf.DUMMYFUNCTION("""COMPUTED_VALUE"""),44273.0)</f>
        <v>44273</v>
      </c>
      <c r="F567" s="276">
        <f>IFERROR(__xludf.DUMMYFUNCTION("""COMPUTED_VALUE"""),44725.0)</f>
        <v>44725</v>
      </c>
      <c r="G567" s="27">
        <f>IFERROR(__xludf.DUMMYFUNCTION("""COMPUTED_VALUE"""),14.833333333333334)</f>
        <v>14.83333333</v>
      </c>
      <c r="H567" s="128">
        <f>IFERROR(__xludf.DUMMYFUNCTION("""COMPUTED_VALUE"""),42747.0)</f>
        <v>42747</v>
      </c>
      <c r="I567" s="27">
        <f>IFERROR(__xludf.DUMMYFUNCTION("""COMPUTED_VALUE"""),4.183333333333334)</f>
        <v>4.183333333</v>
      </c>
      <c r="J567" s="277">
        <f>IFERROR(__xludf.DUMMYFUNCTION("""COMPUTED_VALUE"""),66.0)</f>
        <v>66</v>
      </c>
      <c r="K567" s="29">
        <f>IFERROR(__xludf.DUMMYFUNCTION("""COMPUTED_VALUE"""),13.0)</f>
        <v>13</v>
      </c>
      <c r="L567" s="275" t="str">
        <f>IFERROR(__xludf.DUMMYFUNCTION("""COMPUTED_VALUE"""),"Action-Adventure")</f>
        <v>Action-Adventure</v>
      </c>
    </row>
    <row r="568">
      <c r="A568" s="278" t="str">
        <f>IFERROR(__xludf.DUMMYFUNCTION("""COMPUTED_VALUE"""),"Dungeons of Dredmor: Complete")</f>
        <v>Dungeons of Dredmor: Complete</v>
      </c>
      <c r="B568" s="20" t="str">
        <f>IFERROR(__xludf.DUMMYFUNCTION("""COMPUTED_VALUE"""),"PC")</f>
        <v>PC</v>
      </c>
      <c r="C568" s="20"/>
      <c r="D568" s="21" t="str">
        <f>IFERROR(__xludf.DUMMYFUNCTION("""COMPUTED_VALUE"""),"Removed")</f>
        <v>Removed</v>
      </c>
      <c r="E568" s="279">
        <f>IFERROR(__xludf.DUMMYFUNCTION("""COMPUTED_VALUE"""),44273.0)</f>
        <v>44273</v>
      </c>
      <c r="F568" s="276">
        <f>IFERROR(__xludf.DUMMYFUNCTION("""COMPUTED_VALUE"""),44725.0)</f>
        <v>44725</v>
      </c>
      <c r="G568" s="27">
        <f>IFERROR(__xludf.DUMMYFUNCTION("""COMPUTED_VALUE"""),14.833333333333334)</f>
        <v>14.83333333</v>
      </c>
      <c r="H568" s="128">
        <f>IFERROR(__xludf.DUMMYFUNCTION("""COMPUTED_VALUE"""),40737.0)</f>
        <v>40737</v>
      </c>
      <c r="I568" s="27">
        <f>IFERROR(__xludf.DUMMYFUNCTION("""COMPUTED_VALUE"""),9.680555555555555)</f>
        <v>9.680555556</v>
      </c>
      <c r="J568" s="277">
        <f>IFERROR(__xludf.DUMMYFUNCTION("""COMPUTED_VALUE"""),79.0)</f>
        <v>79</v>
      </c>
      <c r="K568" s="29">
        <f>IFERROR(__xludf.DUMMYFUNCTION("""COMPUTED_VALUE"""),17.0)</f>
        <v>17</v>
      </c>
      <c r="L568" s="31" t="str">
        <f>IFERROR(__xludf.DUMMYFUNCTION("""COMPUTED_VALUE"""),"RPG")</f>
        <v>RPG</v>
      </c>
    </row>
    <row r="569">
      <c r="A569" s="278" t="str">
        <f>IFERROR(__xludf.DUMMYFUNCTION("""COMPUTED_VALUE"""),"Epistory: Typing Chronicles")</f>
        <v>Epistory: Typing Chronicles</v>
      </c>
      <c r="B569" s="20" t="str">
        <f>IFERROR(__xludf.DUMMYFUNCTION("""COMPUTED_VALUE"""),"PC")</f>
        <v>PC</v>
      </c>
      <c r="C569" s="20"/>
      <c r="D569" s="21" t="str">
        <f>IFERROR(__xludf.DUMMYFUNCTION("""COMPUTED_VALUE"""),"Removed")</f>
        <v>Removed</v>
      </c>
      <c r="E569" s="279">
        <f>IFERROR(__xludf.DUMMYFUNCTION("""COMPUTED_VALUE"""),44273.0)</f>
        <v>44273</v>
      </c>
      <c r="F569" s="276">
        <f>IFERROR(__xludf.DUMMYFUNCTION("""COMPUTED_VALUE"""),44725.0)</f>
        <v>44725</v>
      </c>
      <c r="G569" s="27">
        <f>IFERROR(__xludf.DUMMYFUNCTION("""COMPUTED_VALUE"""),14.833333333333334)</f>
        <v>14.83333333</v>
      </c>
      <c r="H569" s="128">
        <f>IFERROR(__xludf.DUMMYFUNCTION("""COMPUTED_VALUE"""),42459.0)</f>
        <v>42459</v>
      </c>
      <c r="I569" s="27">
        <f>IFERROR(__xludf.DUMMYFUNCTION("""COMPUTED_VALUE"""),4.966666666666667)</f>
        <v>4.966666667</v>
      </c>
      <c r="J569" s="277">
        <f>IFERROR(__xludf.DUMMYFUNCTION("""COMPUTED_VALUE"""),74.0)</f>
        <v>74</v>
      </c>
      <c r="K569" s="29">
        <f>IFERROR(__xludf.DUMMYFUNCTION("""COMPUTED_VALUE"""),5.5)</f>
        <v>5.5</v>
      </c>
      <c r="L569" s="275" t="str">
        <f>IFERROR(__xludf.DUMMYFUNCTION("""COMPUTED_VALUE"""),"Adventure")</f>
        <v>Adventure</v>
      </c>
    </row>
    <row r="570">
      <c r="A570" s="278" t="str">
        <f>IFERROR(__xludf.DUMMYFUNCTION("""COMPUTED_VALUE"""),"HIVESWAP: Act 1")</f>
        <v>HIVESWAP: Act 1</v>
      </c>
      <c r="B570" s="20" t="str">
        <f>IFERROR(__xludf.DUMMYFUNCTION("""COMPUTED_VALUE"""),"PC")</f>
        <v>PC</v>
      </c>
      <c r="C570" s="20"/>
      <c r="D570" s="21" t="str">
        <f>IFERROR(__xludf.DUMMYFUNCTION("""COMPUTED_VALUE"""),"Removed")</f>
        <v>Removed</v>
      </c>
      <c r="E570" s="279">
        <f>IFERROR(__xludf.DUMMYFUNCTION("""COMPUTED_VALUE"""),44273.0)</f>
        <v>44273</v>
      </c>
      <c r="F570" s="276">
        <f>IFERROR(__xludf.DUMMYFUNCTION("""COMPUTED_VALUE"""),44725.0)</f>
        <v>44725</v>
      </c>
      <c r="G570" s="27">
        <f>IFERROR(__xludf.DUMMYFUNCTION("""COMPUTED_VALUE"""),14.833333333333334)</f>
        <v>14.83333333</v>
      </c>
      <c r="H570" s="128">
        <f>IFERROR(__xludf.DUMMYFUNCTION("""COMPUTED_VALUE"""),42992.0)</f>
        <v>42992</v>
      </c>
      <c r="I570" s="27">
        <f>IFERROR(__xludf.DUMMYFUNCTION("""COMPUTED_VALUE"""),3.511111111111111)</f>
        <v>3.511111111</v>
      </c>
      <c r="J570" s="277">
        <f>IFERROR(__xludf.DUMMYFUNCTION("""COMPUTED_VALUE"""),77.5)</f>
        <v>77.5</v>
      </c>
      <c r="K570" s="277">
        <f>IFERROR(__xludf.DUMMYFUNCTION("""COMPUTED_VALUE"""),2.5)</f>
        <v>2.5</v>
      </c>
      <c r="L570" s="275" t="str">
        <f>IFERROR(__xludf.DUMMYFUNCTION("""COMPUTED_VALUE"""),"Adventure")</f>
        <v>Adventure</v>
      </c>
    </row>
    <row r="571">
      <c r="A571" s="278" t="str">
        <f>IFERROR(__xludf.DUMMYFUNCTION("""COMPUTED_VALUE"""),"Stealth Bastard Deluxe")</f>
        <v>Stealth Bastard Deluxe</v>
      </c>
      <c r="B571" s="21" t="str">
        <f>IFERROR(__xludf.DUMMYFUNCTION("""COMPUTED_VALUE"""),"PC")</f>
        <v>PC</v>
      </c>
      <c r="C571" s="21"/>
      <c r="D571" s="21" t="str">
        <f>IFERROR(__xludf.DUMMYFUNCTION("""COMPUTED_VALUE"""),"Removed")</f>
        <v>Removed</v>
      </c>
      <c r="E571" s="23">
        <f>IFERROR(__xludf.DUMMYFUNCTION("""COMPUTED_VALUE"""),44273.0)</f>
        <v>44273</v>
      </c>
      <c r="F571" s="276">
        <f>IFERROR(__xludf.DUMMYFUNCTION("""COMPUTED_VALUE"""),44725.0)</f>
        <v>44725</v>
      </c>
      <c r="G571" s="27">
        <f>IFERROR(__xludf.DUMMYFUNCTION("""COMPUTED_VALUE"""),14.833333333333334)</f>
        <v>14.83333333</v>
      </c>
      <c r="H571" s="128">
        <f>IFERROR(__xludf.DUMMYFUNCTION("""COMPUTED_VALUE"""),41241.0)</f>
        <v>41241</v>
      </c>
      <c r="I571" s="27">
        <f>IFERROR(__xludf.DUMMYFUNCTION("""COMPUTED_VALUE"""),8.305555555555555)</f>
        <v>8.305555556</v>
      </c>
      <c r="J571" s="277">
        <f>IFERROR(__xludf.DUMMYFUNCTION("""COMPUTED_VALUE"""),80.0)</f>
        <v>80</v>
      </c>
      <c r="K571" s="29">
        <f>IFERROR(__xludf.DUMMYFUNCTION("""COMPUTED_VALUE"""),6.0)</f>
        <v>6</v>
      </c>
      <c r="L571" s="275" t="str">
        <f>IFERROR(__xludf.DUMMYFUNCTION("""COMPUTED_VALUE"""),"Platformer")</f>
        <v>Platformer</v>
      </c>
    </row>
    <row r="572">
      <c r="A572" s="278" t="str">
        <f>IFERROR(__xludf.DUMMYFUNCTION("""COMPUTED_VALUE"""),"Farming Simulator 19")</f>
        <v>Farming Simulator 19</v>
      </c>
      <c r="B572" s="20" t="str">
        <f>IFERROR(__xludf.DUMMYFUNCTION("""COMPUTED_VALUE"""),"Xbox / PC")</f>
        <v>Xbox / PC</v>
      </c>
      <c r="C572" s="21" t="str">
        <f>IFERROR(__xludf.DUMMYFUNCTION("""COMPUTED_VALUE"""),"Touch Controls")</f>
        <v>Touch Controls</v>
      </c>
      <c r="D572" s="21" t="str">
        <f>IFERROR(__xludf.DUMMYFUNCTION("""COMPUTED_VALUE"""),"Removed")</f>
        <v>Removed</v>
      </c>
      <c r="E572" s="279">
        <f>IFERROR(__xludf.DUMMYFUNCTION("""COMPUTED_VALUE"""),44392.0)</f>
        <v>44392</v>
      </c>
      <c r="F572" s="276">
        <f>IFERROR(__xludf.DUMMYFUNCTION("""COMPUTED_VALUE"""),44712.0)</f>
        <v>44712</v>
      </c>
      <c r="G572" s="27">
        <f>IFERROR(__xludf.DUMMYFUNCTION("""COMPUTED_VALUE"""),10.5)</f>
        <v>10.5</v>
      </c>
      <c r="H572" s="128">
        <f>IFERROR(__xludf.DUMMYFUNCTION("""COMPUTED_VALUE"""),43424.0)</f>
        <v>43424</v>
      </c>
      <c r="I572" s="27">
        <f>IFERROR(__xludf.DUMMYFUNCTION("""COMPUTED_VALUE"""),2.6527777777777777)</f>
        <v>2.652777778</v>
      </c>
      <c r="J572" s="277">
        <f>IFERROR(__xludf.DUMMYFUNCTION("""COMPUTED_VALUE"""),75.0)</f>
        <v>75</v>
      </c>
      <c r="K572" s="29">
        <f>IFERROR(__xludf.DUMMYFUNCTION("""COMPUTED_VALUE"""),159.0)</f>
        <v>159</v>
      </c>
      <c r="L572" s="275" t="str">
        <f>IFERROR(__xludf.DUMMYFUNCTION("""COMPUTED_VALUE"""),"Simulation")</f>
        <v>Simulation</v>
      </c>
    </row>
    <row r="573">
      <c r="A573" s="278" t="str">
        <f>IFERROR(__xludf.DUMMYFUNCTION("""COMPUTED_VALUE"""),"SpellForce 3: Soul Harvest")</f>
        <v>SpellForce 3: Soul Harvest</v>
      </c>
      <c r="B573" s="20" t="str">
        <f>IFERROR(__xludf.DUMMYFUNCTION("""COMPUTED_VALUE"""),"PC")</f>
        <v>PC</v>
      </c>
      <c r="C573" s="21"/>
      <c r="D573" s="21" t="str">
        <f>IFERROR(__xludf.DUMMYFUNCTION("""COMPUTED_VALUE"""),"Removed")</f>
        <v>Removed</v>
      </c>
      <c r="E573" s="279">
        <f>IFERROR(__xludf.DUMMYFUNCTION("""COMPUTED_VALUE"""),44343.0)</f>
        <v>44343</v>
      </c>
      <c r="F573" s="276">
        <f>IFERROR(__xludf.DUMMYFUNCTION("""COMPUTED_VALUE"""),44712.0)</f>
        <v>44712</v>
      </c>
      <c r="G573" s="27">
        <f>IFERROR(__xludf.DUMMYFUNCTION("""COMPUTED_VALUE"""),12.1)</f>
        <v>12.1</v>
      </c>
      <c r="H573" s="128">
        <f>IFERROR(__xludf.DUMMYFUNCTION("""COMPUTED_VALUE"""),43613.0)</f>
        <v>43613</v>
      </c>
      <c r="I573" s="27">
        <f>IFERROR(__xludf.DUMMYFUNCTION("""COMPUTED_VALUE"""),1.9972222222222222)</f>
        <v>1.997222222</v>
      </c>
      <c r="J573" s="277">
        <f>IFERROR(__xludf.DUMMYFUNCTION("""COMPUTED_VALUE"""),75.0)</f>
        <v>75</v>
      </c>
      <c r="K573" s="29">
        <f>IFERROR(__xludf.DUMMYFUNCTION("""COMPUTED_VALUE"""),21.5)</f>
        <v>21.5</v>
      </c>
      <c r="L573" s="275" t="str">
        <f>IFERROR(__xludf.DUMMYFUNCTION("""COMPUTED_VALUE"""),"RPG")</f>
        <v>RPG</v>
      </c>
    </row>
    <row r="574">
      <c r="A574" s="278" t="str">
        <f>IFERROR(__xludf.DUMMYFUNCTION("""COMPUTED_VALUE"""),"Knockout City")</f>
        <v>Knockout City</v>
      </c>
      <c r="B574" s="20" t="str">
        <f>IFERROR(__xludf.DUMMYFUNCTION("""COMPUTED_VALUE"""),"Xbox / PC")</f>
        <v>Xbox / PC</v>
      </c>
      <c r="C574" s="21"/>
      <c r="D574" s="21" t="str">
        <f>IFERROR(__xludf.DUMMYFUNCTION("""COMPUTED_VALUE"""),"Removed")</f>
        <v>Removed</v>
      </c>
      <c r="E574" s="279">
        <f>IFERROR(__xludf.DUMMYFUNCTION("""COMPUTED_VALUE"""),44337.0)</f>
        <v>44337</v>
      </c>
      <c r="F574" s="276">
        <f>IFERROR(__xludf.DUMMYFUNCTION("""COMPUTED_VALUE"""),44712.0)</f>
        <v>44712</v>
      </c>
      <c r="G574" s="27">
        <f>IFERROR(__xludf.DUMMYFUNCTION("""COMPUTED_VALUE"""),12.299999999999999)</f>
        <v>12.3</v>
      </c>
      <c r="H574" s="128">
        <f>IFERROR(__xludf.DUMMYFUNCTION("""COMPUTED_VALUE"""),44337.0)</f>
        <v>44337</v>
      </c>
      <c r="I574" s="27">
        <f>IFERROR(__xludf.DUMMYFUNCTION("""COMPUTED_VALUE"""),0.0)</f>
        <v>0</v>
      </c>
      <c r="J574" s="277">
        <f>IFERROR(__xludf.DUMMYFUNCTION("""COMPUTED_VALUE"""),81.66666666666667)</f>
        <v>81.66666667</v>
      </c>
      <c r="K574" s="29">
        <f>IFERROR(__xludf.DUMMYFUNCTION("""COMPUTED_VALUE"""),33.5)</f>
        <v>33.5</v>
      </c>
      <c r="L574" s="275" t="str">
        <f>IFERROR(__xludf.DUMMYFUNCTION("""COMPUTED_VALUE"""),"Sports")</f>
        <v>Sports</v>
      </c>
    </row>
    <row r="575">
      <c r="A575" s="278" t="str">
        <f>IFERROR(__xludf.DUMMYFUNCTION("""COMPUTED_VALUE"""),"Yes, Your Grace")</f>
        <v>Yes, Your Grace</v>
      </c>
      <c r="B575" s="20" t="str">
        <f>IFERROR(__xludf.DUMMYFUNCTION("""COMPUTED_VALUE"""),"Xbox / PC")</f>
        <v>Xbox / PC</v>
      </c>
      <c r="C575" s="21" t="str">
        <f>IFERROR(__xludf.DUMMYFUNCTION("""COMPUTED_VALUE"""),"Touch Controls")</f>
        <v>Touch Controls</v>
      </c>
      <c r="D575" s="21" t="str">
        <f>IFERROR(__xludf.DUMMYFUNCTION("""COMPUTED_VALUE"""),"Removed")</f>
        <v>Removed</v>
      </c>
      <c r="E575" s="279">
        <f>IFERROR(__xludf.DUMMYFUNCTION("""COMPUTED_VALUE"""),44168.0)</f>
        <v>44168</v>
      </c>
      <c r="F575" s="276">
        <f>IFERROR(__xludf.DUMMYFUNCTION("""COMPUTED_VALUE"""),44712.0)</f>
        <v>44712</v>
      </c>
      <c r="G575" s="27">
        <f>IFERROR(__xludf.DUMMYFUNCTION("""COMPUTED_VALUE"""),17.9)</f>
        <v>17.9</v>
      </c>
      <c r="H575" s="128">
        <f>IFERROR(__xludf.DUMMYFUNCTION("""COMPUTED_VALUE"""),43896.0)</f>
        <v>43896</v>
      </c>
      <c r="I575" s="27">
        <f>IFERROR(__xludf.DUMMYFUNCTION("""COMPUTED_VALUE"""),0.7416666666666667)</f>
        <v>0.7416666667</v>
      </c>
      <c r="J575" s="277">
        <f>IFERROR(__xludf.DUMMYFUNCTION("""COMPUTED_VALUE"""),75.0)</f>
        <v>75</v>
      </c>
      <c r="K575" s="29">
        <f>IFERROR(__xludf.DUMMYFUNCTION("""COMPUTED_VALUE"""),5.5)</f>
        <v>5.5</v>
      </c>
      <c r="L575" s="275" t="str">
        <f>IFERROR(__xludf.DUMMYFUNCTION("""COMPUTED_VALUE"""),"RPG")</f>
        <v>RPG</v>
      </c>
    </row>
    <row r="576">
      <c r="A576" s="278" t="str">
        <f>IFERROR(__xludf.DUMMYFUNCTION("""COMPUTED_VALUE"""),"NHL 20")</f>
        <v>NHL 20</v>
      </c>
      <c r="B576" s="20" t="str">
        <f>IFERROR(__xludf.DUMMYFUNCTION("""COMPUTED_VALUE"""),"Xbox")</f>
        <v>Xbox</v>
      </c>
      <c r="C576" s="21"/>
      <c r="D576" s="21" t="str">
        <f>IFERROR(__xludf.DUMMYFUNCTION("""COMPUTED_VALUE"""),"Removed")</f>
        <v>Removed</v>
      </c>
      <c r="E576" s="279">
        <f>IFERROR(__xludf.DUMMYFUNCTION("""COMPUTED_VALUE"""),44145.0)</f>
        <v>44145</v>
      </c>
      <c r="F576" s="276">
        <f>IFERROR(__xludf.DUMMYFUNCTION("""COMPUTED_VALUE"""),44712.0)</f>
        <v>44712</v>
      </c>
      <c r="G576" s="27">
        <f>IFERROR(__xludf.DUMMYFUNCTION("""COMPUTED_VALUE"""),18.666666666666668)</f>
        <v>18.66666667</v>
      </c>
      <c r="H576" s="128">
        <f>IFERROR(__xludf.DUMMYFUNCTION("""COMPUTED_VALUE"""),43721.0)</f>
        <v>43721</v>
      </c>
      <c r="I576" s="27">
        <f>IFERROR(__xludf.DUMMYFUNCTION("""COMPUTED_VALUE"""),1.1583333333333334)</f>
        <v>1.158333333</v>
      </c>
      <c r="J576" s="277">
        <f>IFERROR(__xludf.DUMMYFUNCTION("""COMPUTED_VALUE"""),85.0)</f>
        <v>85</v>
      </c>
      <c r="K576" s="277">
        <f>IFERROR(__xludf.DUMMYFUNCTION("""COMPUTED_VALUE"""),44.5)</f>
        <v>44.5</v>
      </c>
      <c r="L576" s="275" t="str">
        <f>IFERROR(__xludf.DUMMYFUNCTION("""COMPUTED_VALUE"""),"Sports")</f>
        <v>Sports</v>
      </c>
    </row>
    <row r="577">
      <c r="A577" s="278" t="str">
        <f>IFERROR(__xludf.DUMMYFUNCTION("""COMPUTED_VALUE"""),"The Catch: Carp &amp; Coarse Fishing")</f>
        <v>The Catch: Carp &amp; Coarse Fishing</v>
      </c>
      <c r="B577" s="20" t="str">
        <f>IFERROR(__xludf.DUMMYFUNCTION("""COMPUTED_VALUE"""),"Xbox / PC")</f>
        <v>Xbox / PC</v>
      </c>
      <c r="C577" s="21" t="str">
        <f>IFERROR(__xludf.DUMMYFUNCTION("""COMPUTED_VALUE"""),"Yes")</f>
        <v>Yes</v>
      </c>
      <c r="D577" s="21" t="str">
        <f>IFERROR(__xludf.DUMMYFUNCTION("""COMPUTED_VALUE"""),"Removed")</f>
        <v>Removed</v>
      </c>
      <c r="E577" s="279">
        <f>IFERROR(__xludf.DUMMYFUNCTION("""COMPUTED_VALUE"""),44336.0)</f>
        <v>44336</v>
      </c>
      <c r="F577" s="276">
        <f>IFERROR(__xludf.DUMMYFUNCTION("""COMPUTED_VALUE"""),44696.0)</f>
        <v>44696</v>
      </c>
      <c r="G577" s="27">
        <f>IFERROR(__xludf.DUMMYFUNCTION("""COMPUTED_VALUE"""),11.833333333333334)</f>
        <v>11.83333333</v>
      </c>
      <c r="H577" s="128">
        <f>IFERROR(__xludf.DUMMYFUNCTION("""COMPUTED_VALUE"""),44012.0)</f>
        <v>44012</v>
      </c>
      <c r="I577" s="27">
        <f>IFERROR(__xludf.DUMMYFUNCTION("""COMPUTED_VALUE"""),0.8888888888888888)</f>
        <v>0.8888888889</v>
      </c>
      <c r="J577" s="277">
        <f>IFERROR(__xludf.DUMMYFUNCTION("""COMPUTED_VALUE"""),90.0)</f>
        <v>90</v>
      </c>
      <c r="K577" s="29"/>
      <c r="L577" s="31" t="str">
        <f>IFERROR(__xludf.DUMMYFUNCTION("""COMPUTED_VALUE"""),"Sports")</f>
        <v>Sports</v>
      </c>
    </row>
    <row r="578">
      <c r="A578" s="278" t="str">
        <f>IFERROR(__xludf.DUMMYFUNCTION("""COMPUTED_VALUE"""),"The Wild at Heart")</f>
        <v>The Wild at Heart</v>
      </c>
      <c r="B578" s="20" t="str">
        <f>IFERROR(__xludf.DUMMYFUNCTION("""COMPUTED_VALUE"""),"Xbox / PC")</f>
        <v>Xbox / PC</v>
      </c>
      <c r="C578" s="21" t="str">
        <f>IFERROR(__xludf.DUMMYFUNCTION("""COMPUTED_VALUE"""),"Touch Controls")</f>
        <v>Touch Controls</v>
      </c>
      <c r="D578" s="21" t="str">
        <f>IFERROR(__xludf.DUMMYFUNCTION("""COMPUTED_VALUE"""),"Removed")</f>
        <v>Removed</v>
      </c>
      <c r="E578" s="279">
        <f>IFERROR(__xludf.DUMMYFUNCTION("""COMPUTED_VALUE"""),44336.0)</f>
        <v>44336</v>
      </c>
      <c r="F578" s="276">
        <f>IFERROR(__xludf.DUMMYFUNCTION("""COMPUTED_VALUE"""),44696.0)</f>
        <v>44696</v>
      </c>
      <c r="G578" s="27">
        <f>IFERROR(__xludf.DUMMYFUNCTION("""COMPUTED_VALUE"""),11.833333333333334)</f>
        <v>11.83333333</v>
      </c>
      <c r="H578" s="128">
        <f>IFERROR(__xludf.DUMMYFUNCTION("""COMPUTED_VALUE"""),44336.0)</f>
        <v>44336</v>
      </c>
      <c r="I578" s="27">
        <f>IFERROR(__xludf.DUMMYFUNCTION("""COMPUTED_VALUE"""),0.0)</f>
        <v>0</v>
      </c>
      <c r="J578" s="277">
        <f>IFERROR(__xludf.DUMMYFUNCTION("""COMPUTED_VALUE"""),76.0)</f>
        <v>76</v>
      </c>
      <c r="K578" s="29">
        <f>IFERROR(__xludf.DUMMYFUNCTION("""COMPUTED_VALUE"""),11.5)</f>
        <v>11.5</v>
      </c>
      <c r="L578" s="275" t="str">
        <f>IFERROR(__xludf.DUMMYFUNCTION("""COMPUTED_VALUE"""),"Action-Adventure")</f>
        <v>Action-Adventure</v>
      </c>
    </row>
    <row r="579">
      <c r="A579" s="17" t="str">
        <f>IFERROR(__xludf.DUMMYFUNCTION("""COMPUTED_VALUE"""),"Final Fantasy X/X-2 HD Remaster")</f>
        <v>Final Fantasy X/X-2 HD Remaster</v>
      </c>
      <c r="B579" s="20" t="str">
        <f>IFERROR(__xludf.DUMMYFUNCTION("""COMPUTED_VALUE"""),"Xbox / PC")</f>
        <v>Xbox / PC</v>
      </c>
      <c r="C579" s="21"/>
      <c r="D579" s="21" t="str">
        <f>IFERROR(__xludf.DUMMYFUNCTION("""COMPUTED_VALUE"""),"Removed")</f>
        <v>Removed</v>
      </c>
      <c r="E579" s="279">
        <f>IFERROR(__xludf.DUMMYFUNCTION("""COMPUTED_VALUE"""),44329.0)</f>
        <v>44329</v>
      </c>
      <c r="F579" s="276">
        <f>IFERROR(__xludf.DUMMYFUNCTION("""COMPUTED_VALUE"""),44696.0)</f>
        <v>44696</v>
      </c>
      <c r="G579" s="27">
        <f>IFERROR(__xludf.DUMMYFUNCTION("""COMPUTED_VALUE"""),12.066666666666666)</f>
        <v>12.06666667</v>
      </c>
      <c r="H579" s="128">
        <f>IFERROR(__xludf.DUMMYFUNCTION("""COMPUTED_VALUE"""),41634.0)</f>
        <v>41634</v>
      </c>
      <c r="I579" s="27">
        <f>IFERROR(__xludf.DUMMYFUNCTION("""COMPUTED_VALUE"""),7.3805555555555555)</f>
        <v>7.380555556</v>
      </c>
      <c r="J579" s="277">
        <f>IFERROR(__xludf.DUMMYFUNCTION("""COMPUTED_VALUE"""),84.0)</f>
        <v>84</v>
      </c>
      <c r="K579" s="29">
        <f>IFERROR(__xludf.DUMMYFUNCTION("""COMPUTED_VALUE"""),78.5)</f>
        <v>78.5</v>
      </c>
      <c r="L579" s="275" t="str">
        <f>IFERROR(__xludf.DUMMYFUNCTION("""COMPUTED_VALUE"""),"RPG")</f>
        <v>RPG</v>
      </c>
    </row>
    <row r="580">
      <c r="A580" s="278" t="str">
        <f>IFERROR(__xludf.DUMMYFUNCTION("""COMPUTED_VALUE"""),"Grand Theft Auto: San Andreas - The Definitive Edition")</f>
        <v>Grand Theft Auto: San Andreas - The Definitive Edition</v>
      </c>
      <c r="B580" s="20" t="str">
        <f>IFERROR(__xludf.DUMMYFUNCTION("""COMPUTED_VALUE"""),"Xbox")</f>
        <v>Xbox</v>
      </c>
      <c r="C580" s="21" t="str">
        <f>IFERROR(__xludf.DUMMYFUNCTION("""COMPUTED_VALUE"""),"Yes")</f>
        <v>Yes</v>
      </c>
      <c r="D580" s="21" t="str">
        <f>IFERROR(__xludf.DUMMYFUNCTION("""COMPUTED_VALUE"""),"Removed")</f>
        <v>Removed</v>
      </c>
      <c r="E580" s="279">
        <f>IFERROR(__xludf.DUMMYFUNCTION("""COMPUTED_VALUE"""),44511.0)</f>
        <v>44511</v>
      </c>
      <c r="F580" s="276">
        <f>IFERROR(__xludf.DUMMYFUNCTION("""COMPUTED_VALUE"""),44691.0)</f>
        <v>44691</v>
      </c>
      <c r="G580" s="27">
        <f>IFERROR(__xludf.DUMMYFUNCTION("""COMPUTED_VALUE"""),5.966666666666667)</f>
        <v>5.966666667</v>
      </c>
      <c r="H580" s="128">
        <f>IFERROR(__xludf.DUMMYFUNCTION("""COMPUTED_VALUE"""),44511.0)</f>
        <v>44511</v>
      </c>
      <c r="I580" s="27">
        <f>IFERROR(__xludf.DUMMYFUNCTION("""COMPUTED_VALUE"""),0.0)</f>
        <v>0</v>
      </c>
      <c r="J580" s="277">
        <f>IFERROR(__xludf.DUMMYFUNCTION("""COMPUTED_VALUE"""),52.5)</f>
        <v>52.5</v>
      </c>
      <c r="K580" s="277">
        <f>IFERROR(__xludf.DUMMYFUNCTION("""COMPUTED_VALUE"""),31.0)</f>
        <v>31</v>
      </c>
      <c r="L580" s="275" t="str">
        <f>IFERROR(__xludf.DUMMYFUNCTION("""COMPUTED_VALUE"""),"Racing")</f>
        <v>Racing</v>
      </c>
    </row>
    <row r="581">
      <c r="A581" s="17" t="str">
        <f>IFERROR(__xludf.DUMMYFUNCTION("""COMPUTED_VALUE"""),"Outlast 2")</f>
        <v>Outlast 2</v>
      </c>
      <c r="B581" s="20" t="str">
        <f>IFERROR(__xludf.DUMMYFUNCTION("""COMPUTED_VALUE"""),"Xbox / PC")</f>
        <v>Xbox / PC</v>
      </c>
      <c r="C581" s="21" t="str">
        <f>IFERROR(__xludf.DUMMYFUNCTION("""COMPUTED_VALUE"""),"Touch Controls")</f>
        <v>Touch Controls</v>
      </c>
      <c r="D581" s="21" t="str">
        <f>IFERROR(__xludf.DUMMYFUNCTION("""COMPUTED_VALUE"""),"Removed")</f>
        <v>Removed</v>
      </c>
      <c r="E581" s="279">
        <f>IFERROR(__xludf.DUMMYFUNCTION("""COMPUTED_VALUE"""),44322.0)</f>
        <v>44322</v>
      </c>
      <c r="F581" s="276">
        <f>IFERROR(__xludf.DUMMYFUNCTION("""COMPUTED_VALUE"""),44681.0)</f>
        <v>44681</v>
      </c>
      <c r="G581" s="27">
        <f>IFERROR(__xludf.DUMMYFUNCTION("""COMPUTED_VALUE"""),11.799999999999999)</f>
        <v>11.8</v>
      </c>
      <c r="H581" s="128">
        <f>IFERROR(__xludf.DUMMYFUNCTION("""COMPUTED_VALUE"""),42850.0)</f>
        <v>42850</v>
      </c>
      <c r="I581" s="27">
        <f>IFERROR(__xludf.DUMMYFUNCTION("""COMPUTED_VALUE"""),4.030555555555556)</f>
        <v>4.030555556</v>
      </c>
      <c r="J581" s="29">
        <f>IFERROR(__xludf.DUMMYFUNCTION("""COMPUTED_VALUE"""),76.0)</f>
        <v>76</v>
      </c>
      <c r="K581" s="29">
        <f>IFERROR(__xludf.DUMMYFUNCTION("""COMPUTED_VALUE"""),7.5)</f>
        <v>7.5</v>
      </c>
      <c r="L581" s="275" t="str">
        <f>IFERROR(__xludf.DUMMYFUNCTION("""COMPUTED_VALUE"""),"Adventure")</f>
        <v>Adventure</v>
      </c>
    </row>
    <row r="582">
      <c r="A582" s="278" t="str">
        <f>IFERROR(__xludf.DUMMYFUNCTION("""COMPUTED_VALUE"""),"Cricket 19")</f>
        <v>Cricket 19</v>
      </c>
      <c r="B582" s="20" t="str">
        <f>IFERROR(__xludf.DUMMYFUNCTION("""COMPUTED_VALUE"""),"Xbox / PC")</f>
        <v>Xbox / PC</v>
      </c>
      <c r="C582" s="21" t="str">
        <f>IFERROR(__xludf.DUMMYFUNCTION("""COMPUTED_VALUE"""),"Yes")</f>
        <v>Yes</v>
      </c>
      <c r="D582" s="21" t="str">
        <f>IFERROR(__xludf.DUMMYFUNCTION("""COMPUTED_VALUE"""),"Removed")</f>
        <v>Removed</v>
      </c>
      <c r="E582" s="279">
        <f>IFERROR(__xludf.DUMMYFUNCTION("""COMPUTED_VALUE"""),44126.0)</f>
        <v>44126</v>
      </c>
      <c r="F582" s="276">
        <f>IFERROR(__xludf.DUMMYFUNCTION("""COMPUTED_VALUE"""),44681.0)</f>
        <v>44681</v>
      </c>
      <c r="G582" s="27">
        <f>IFERROR(__xludf.DUMMYFUNCTION("""COMPUTED_VALUE"""),18.266666666666666)</f>
        <v>18.26666667</v>
      </c>
      <c r="H582" s="128">
        <f>IFERROR(__xludf.DUMMYFUNCTION("""COMPUTED_VALUE"""),43613.0)</f>
        <v>43613</v>
      </c>
      <c r="I582" s="27">
        <f>IFERROR(__xludf.DUMMYFUNCTION("""COMPUTED_VALUE"""),1.4)</f>
        <v>1.4</v>
      </c>
      <c r="J582" s="277">
        <f>IFERROR(__xludf.DUMMYFUNCTION("""COMPUTED_VALUE"""),73.0)</f>
        <v>73</v>
      </c>
      <c r="K582" s="29">
        <f>IFERROR(__xludf.DUMMYFUNCTION("""COMPUTED_VALUE"""),20.0)</f>
        <v>20</v>
      </c>
      <c r="L582" s="275" t="str">
        <f>IFERROR(__xludf.DUMMYFUNCTION("""COMPUTED_VALUE"""),"Sports")</f>
        <v>Sports</v>
      </c>
    </row>
    <row r="583">
      <c r="A583" s="278" t="str">
        <f>IFERROR(__xludf.DUMMYFUNCTION("""COMPUTED_VALUE"""),"Streets of Rage 4")</f>
        <v>Streets of Rage 4</v>
      </c>
      <c r="B583" s="20" t="str">
        <f>IFERROR(__xludf.DUMMYFUNCTION("""COMPUTED_VALUE"""),"Xbox / PC")</f>
        <v>Xbox / PC</v>
      </c>
      <c r="C583" s="21" t="str">
        <f>IFERROR(__xludf.DUMMYFUNCTION("""COMPUTED_VALUE"""),"Touch Controls")</f>
        <v>Touch Controls</v>
      </c>
      <c r="D583" s="21" t="str">
        <f>IFERROR(__xludf.DUMMYFUNCTION("""COMPUTED_VALUE"""),"Removed")</f>
        <v>Removed</v>
      </c>
      <c r="E583" s="279">
        <f>IFERROR(__xludf.DUMMYFUNCTION("""COMPUTED_VALUE"""),43951.0)</f>
        <v>43951</v>
      </c>
      <c r="F583" s="276">
        <f>IFERROR(__xludf.DUMMYFUNCTION("""COMPUTED_VALUE"""),44681.0)</f>
        <v>44681</v>
      </c>
      <c r="G583" s="27">
        <f>IFERROR(__xludf.DUMMYFUNCTION("""COMPUTED_VALUE"""),24.0)</f>
        <v>24</v>
      </c>
      <c r="H583" s="128">
        <f>IFERROR(__xludf.DUMMYFUNCTION("""COMPUTED_VALUE"""),43951.0)</f>
        <v>43951</v>
      </c>
      <c r="I583" s="27">
        <f>IFERROR(__xludf.DUMMYFUNCTION("""COMPUTED_VALUE"""),0.0)</f>
        <v>0</v>
      </c>
      <c r="J583" s="277">
        <f>IFERROR(__xludf.DUMMYFUNCTION("""COMPUTED_VALUE"""),81.0)</f>
        <v>81</v>
      </c>
      <c r="K583" s="29">
        <f>IFERROR(__xludf.DUMMYFUNCTION("""COMPUTED_VALUE"""),3.0)</f>
        <v>3</v>
      </c>
      <c r="L583" s="275" t="str">
        <f>IFERROR(__xludf.DUMMYFUNCTION("""COMPUTED_VALUE"""),"Brawler")</f>
        <v>Brawler</v>
      </c>
    </row>
    <row r="584">
      <c r="A584" s="278" t="str">
        <f>IFERROR(__xludf.DUMMYFUNCTION("""COMPUTED_VALUE"""),"F1 2019")</f>
        <v>F1 2019</v>
      </c>
      <c r="B584" s="20" t="str">
        <f>IFERROR(__xludf.DUMMYFUNCTION("""COMPUTED_VALUE"""),"Xbox / PC")</f>
        <v>Xbox / PC</v>
      </c>
      <c r="C584" s="21" t="str">
        <f>IFERROR(__xludf.DUMMYFUNCTION("""COMPUTED_VALUE"""),"Yes")</f>
        <v>Yes</v>
      </c>
      <c r="D584" s="21" t="str">
        <f>IFERROR(__xludf.DUMMYFUNCTION("""COMPUTED_VALUE"""),"Removed")</f>
        <v>Removed</v>
      </c>
      <c r="E584" s="279">
        <f>IFERROR(__xludf.DUMMYFUNCTION("""COMPUTED_VALUE"""),44042.0)</f>
        <v>44042</v>
      </c>
      <c r="F584" s="276">
        <f>IFERROR(__xludf.DUMMYFUNCTION("""COMPUTED_VALUE"""),44669.0)</f>
        <v>44669</v>
      </c>
      <c r="G584" s="27">
        <f>IFERROR(__xludf.DUMMYFUNCTION("""COMPUTED_VALUE"""),20.599999999999998)</f>
        <v>20.6</v>
      </c>
      <c r="H584" s="128">
        <f>IFERROR(__xludf.DUMMYFUNCTION("""COMPUTED_VALUE"""),43644.0)</f>
        <v>43644</v>
      </c>
      <c r="I584" s="27">
        <f>IFERROR(__xludf.DUMMYFUNCTION("""COMPUTED_VALUE"""),1.0888888888888888)</f>
        <v>1.088888889</v>
      </c>
      <c r="J584" s="277">
        <f>IFERROR(__xludf.DUMMYFUNCTION("""COMPUTED_VALUE"""),88.0)</f>
        <v>88</v>
      </c>
      <c r="K584" s="29">
        <f>IFERROR(__xludf.DUMMYFUNCTION("""COMPUTED_VALUE"""),15.0)</f>
        <v>15</v>
      </c>
      <c r="L584" s="275" t="str">
        <f>IFERROR(__xludf.DUMMYFUNCTION("""COMPUTED_VALUE"""),"Racing")</f>
        <v>Racing</v>
      </c>
    </row>
    <row r="585">
      <c r="A585" s="278" t="str">
        <f>IFERROR(__xludf.DUMMYFUNCTION("""COMPUTED_VALUE"""),"MLB The Show 21")</f>
        <v>MLB The Show 21</v>
      </c>
      <c r="B585" s="20" t="str">
        <f>IFERROR(__xludf.DUMMYFUNCTION("""COMPUTED_VALUE"""),"Xbox")</f>
        <v>Xbox</v>
      </c>
      <c r="C585" s="21" t="str">
        <f>IFERROR(__xludf.DUMMYFUNCTION("""COMPUTED_VALUE"""),"Yes")</f>
        <v>Yes</v>
      </c>
      <c r="D585" s="21" t="str">
        <f>IFERROR(__xludf.DUMMYFUNCTION("""COMPUTED_VALUE"""),"Removed")</f>
        <v>Removed</v>
      </c>
      <c r="E585" s="279">
        <f>IFERROR(__xludf.DUMMYFUNCTION("""COMPUTED_VALUE"""),44306.0)</f>
        <v>44306</v>
      </c>
      <c r="F585" s="276">
        <f>IFERROR(__xludf.DUMMYFUNCTION("""COMPUTED_VALUE"""),44666.0)</f>
        <v>44666</v>
      </c>
      <c r="G585" s="27">
        <f>IFERROR(__xludf.DUMMYFUNCTION("""COMPUTED_VALUE"""),11.833333333333334)</f>
        <v>11.83333333</v>
      </c>
      <c r="H585" s="128">
        <f>IFERROR(__xludf.DUMMYFUNCTION("""COMPUTED_VALUE"""),44306.0)</f>
        <v>44306</v>
      </c>
      <c r="I585" s="27">
        <f>IFERROR(__xludf.DUMMYFUNCTION("""COMPUTED_VALUE"""),0.0)</f>
        <v>0</v>
      </c>
      <c r="J585" s="277">
        <f>IFERROR(__xludf.DUMMYFUNCTION("""COMPUTED_VALUE"""),80.0)</f>
        <v>80</v>
      </c>
      <c r="K585" s="29">
        <f>IFERROR(__xludf.DUMMYFUNCTION("""COMPUTED_VALUE"""),80.0)</f>
        <v>80</v>
      </c>
      <c r="L585" s="275" t="str">
        <f>IFERROR(__xludf.DUMMYFUNCTION("""COMPUTED_VALUE"""),"Sports")</f>
        <v>Sports</v>
      </c>
    </row>
    <row r="586">
      <c r="A586" s="278" t="str">
        <f>IFERROR(__xludf.DUMMYFUNCTION("""COMPUTED_VALUE"""),"Pathway")</f>
        <v>Pathway</v>
      </c>
      <c r="B586" s="20" t="str">
        <f>IFERROR(__xludf.DUMMYFUNCTION("""COMPUTED_VALUE"""),"PC")</f>
        <v>PC</v>
      </c>
      <c r="C586" s="21"/>
      <c r="D586" s="21" t="str">
        <f>IFERROR(__xludf.DUMMYFUNCTION("""COMPUTED_VALUE"""),"Removed")</f>
        <v>Removed</v>
      </c>
      <c r="E586" s="279">
        <f>IFERROR(__xludf.DUMMYFUNCTION("""COMPUTED_VALUE"""),44301.0)</f>
        <v>44301</v>
      </c>
      <c r="F586" s="276">
        <f>IFERROR(__xludf.DUMMYFUNCTION("""COMPUTED_VALUE"""),44666.0)</f>
        <v>44666</v>
      </c>
      <c r="G586" s="284">
        <f>IFERROR(__xludf.DUMMYFUNCTION("""COMPUTED_VALUE"""),12.0)</f>
        <v>12</v>
      </c>
      <c r="H586" s="128">
        <f>IFERROR(__xludf.DUMMYFUNCTION("""COMPUTED_VALUE"""),43566.0)</f>
        <v>43566</v>
      </c>
      <c r="I586" s="27">
        <f>IFERROR(__xludf.DUMMYFUNCTION("""COMPUTED_VALUE"""),2.011111111111111)</f>
        <v>2.011111111</v>
      </c>
      <c r="J586" s="277">
        <f>IFERROR(__xludf.DUMMYFUNCTION("""COMPUTED_VALUE"""),68.0)</f>
        <v>68</v>
      </c>
      <c r="K586" s="277">
        <f>IFERROR(__xludf.DUMMYFUNCTION("""COMPUTED_VALUE"""),10.0)</f>
        <v>10</v>
      </c>
      <c r="L586" s="275" t="str">
        <f>IFERROR(__xludf.DUMMYFUNCTION("""COMPUTED_VALUE"""),"RPG")</f>
        <v>RPG</v>
      </c>
    </row>
    <row r="587">
      <c r="A587" s="278" t="str">
        <f>IFERROR(__xludf.DUMMYFUNCTION("""COMPUTED_VALUE"""),"Rain on Your Parade")</f>
        <v>Rain on Your Parade</v>
      </c>
      <c r="B587" s="21" t="str">
        <f>IFERROR(__xludf.DUMMYFUNCTION("""COMPUTED_VALUE"""),"Xbox / PC")</f>
        <v>Xbox / PC</v>
      </c>
      <c r="C587" s="21" t="str">
        <f>IFERROR(__xludf.DUMMYFUNCTION("""COMPUTED_VALUE"""),"Touch Controls")</f>
        <v>Touch Controls</v>
      </c>
      <c r="D587" s="21" t="str">
        <f>IFERROR(__xludf.DUMMYFUNCTION("""COMPUTED_VALUE"""),"Removed")</f>
        <v>Removed</v>
      </c>
      <c r="E587" s="279">
        <f>IFERROR(__xludf.DUMMYFUNCTION("""COMPUTED_VALUE"""),44301.0)</f>
        <v>44301</v>
      </c>
      <c r="F587" s="276">
        <f>IFERROR(__xludf.DUMMYFUNCTION("""COMPUTED_VALUE"""),44666.0)</f>
        <v>44666</v>
      </c>
      <c r="G587" s="27">
        <f>IFERROR(__xludf.DUMMYFUNCTION("""COMPUTED_VALUE"""),12.0)</f>
        <v>12</v>
      </c>
      <c r="H587" s="128">
        <f>IFERROR(__xludf.DUMMYFUNCTION("""COMPUTED_VALUE"""),44301.0)</f>
        <v>44301</v>
      </c>
      <c r="I587" s="27">
        <f>IFERROR(__xludf.DUMMYFUNCTION("""COMPUTED_VALUE"""),0.0)</f>
        <v>0</v>
      </c>
      <c r="J587" s="277">
        <f>IFERROR(__xludf.DUMMYFUNCTION("""COMPUTED_VALUE"""),78.0)</f>
        <v>78</v>
      </c>
      <c r="K587" s="29">
        <f>IFERROR(__xludf.DUMMYFUNCTION("""COMPUTED_VALUE"""),2.5)</f>
        <v>2.5</v>
      </c>
      <c r="L587" s="275" t="str">
        <f>IFERROR(__xludf.DUMMYFUNCTION("""COMPUTED_VALUE"""),"Adventure")</f>
        <v>Adventure</v>
      </c>
    </row>
    <row r="588">
      <c r="A588" s="278" t="str">
        <f>IFERROR(__xludf.DUMMYFUNCTION("""COMPUTED_VALUE"""),"Destiny 2: Forsaken, Shadowkeep, Beyond Light")</f>
        <v>Destiny 2: Forsaken, Shadowkeep, Beyond Light</v>
      </c>
      <c r="B588" s="21" t="str">
        <f>IFERROR(__xludf.DUMMYFUNCTION("""COMPUTED_VALUE"""),"PC")</f>
        <v>PC</v>
      </c>
      <c r="C588" s="21"/>
      <c r="D588" s="21" t="str">
        <f>IFERROR(__xludf.DUMMYFUNCTION("""COMPUTED_VALUE"""),"Removed")</f>
        <v>Removed</v>
      </c>
      <c r="E588" s="279">
        <f>IFERROR(__xludf.DUMMYFUNCTION("""COMPUTED_VALUE"""),44096.0)</f>
        <v>44096</v>
      </c>
      <c r="F588" s="276">
        <f>IFERROR(__xludf.DUMMYFUNCTION("""COMPUTED_VALUE"""),44662.0)</f>
        <v>44662</v>
      </c>
      <c r="G588" s="27">
        <f>IFERROR(__xludf.DUMMYFUNCTION("""COMPUTED_VALUE"""),18.633333333333333)</f>
        <v>18.63333333</v>
      </c>
      <c r="H588" s="128">
        <f>IFERROR(__xludf.DUMMYFUNCTION("""COMPUTED_VALUE"""),42984.0)</f>
        <v>42984</v>
      </c>
      <c r="I588" s="27">
        <f>IFERROR(__xludf.DUMMYFUNCTION("""COMPUTED_VALUE"""),3.0444444444444443)</f>
        <v>3.044444444</v>
      </c>
      <c r="J588" s="277">
        <f>IFERROR(__xludf.DUMMYFUNCTION("""COMPUTED_VALUE"""),87.0)</f>
        <v>87</v>
      </c>
      <c r="K588" s="29">
        <f>IFERROR(__xludf.DUMMYFUNCTION("""COMPUTED_VALUE"""),12.0)</f>
        <v>12</v>
      </c>
      <c r="L588" s="275" t="str">
        <f>IFERROR(__xludf.DUMMYFUNCTION("""COMPUTED_VALUE"""),"Shooter")</f>
        <v>Shooter</v>
      </c>
    </row>
    <row r="589">
      <c r="A589" s="278" t="str">
        <f>IFERROR(__xludf.DUMMYFUNCTION("""COMPUTED_VALUE"""),"Narita Boy")</f>
        <v>Narita Boy</v>
      </c>
      <c r="B589" s="20" t="str">
        <f>IFERROR(__xludf.DUMMYFUNCTION("""COMPUTED_VALUE"""),"Xbox / PC")</f>
        <v>Xbox / PC</v>
      </c>
      <c r="C589" s="21" t="str">
        <f>IFERROR(__xludf.DUMMYFUNCTION("""COMPUTED_VALUE"""),"Touch Controls")</f>
        <v>Touch Controls</v>
      </c>
      <c r="D589" s="21" t="str">
        <f>IFERROR(__xludf.DUMMYFUNCTION("""COMPUTED_VALUE"""),"Removed")</f>
        <v>Removed</v>
      </c>
      <c r="E589" s="279">
        <f>IFERROR(__xludf.DUMMYFUNCTION("""COMPUTED_VALUE"""),44285.0)</f>
        <v>44285</v>
      </c>
      <c r="F589" s="276">
        <f>IFERROR(__xludf.DUMMYFUNCTION("""COMPUTED_VALUE"""),44651.0)</f>
        <v>44651</v>
      </c>
      <c r="G589" s="27">
        <f>IFERROR(__xludf.DUMMYFUNCTION("""COMPUTED_VALUE"""),12.0)</f>
        <v>12</v>
      </c>
      <c r="H589" s="128">
        <f>IFERROR(__xludf.DUMMYFUNCTION("""COMPUTED_VALUE"""),44285.0)</f>
        <v>44285</v>
      </c>
      <c r="I589" s="27">
        <f>IFERROR(__xludf.DUMMYFUNCTION("""COMPUTED_VALUE"""),0.0)</f>
        <v>0</v>
      </c>
      <c r="J589" s="277">
        <f>IFERROR(__xludf.DUMMYFUNCTION("""COMPUTED_VALUE"""),73.0)</f>
        <v>73</v>
      </c>
      <c r="K589" s="29">
        <f>IFERROR(__xludf.DUMMYFUNCTION("""COMPUTED_VALUE"""),7.0)</f>
        <v>7</v>
      </c>
      <c r="L589" s="275" t="str">
        <f>IFERROR(__xludf.DUMMYFUNCTION("""COMPUTED_VALUE"""),"Platformer")</f>
        <v>Platformer</v>
      </c>
    </row>
    <row r="590">
      <c r="A590" s="278" t="str">
        <f>IFERROR(__xludf.DUMMYFUNCTION("""COMPUTED_VALUE"""),"Madden NFL 20")</f>
        <v>Madden NFL 20</v>
      </c>
      <c r="B590" s="20" t="str">
        <f>IFERROR(__xludf.DUMMYFUNCTION("""COMPUTED_VALUE"""),"Xbox / PC")</f>
        <v>Xbox / PC</v>
      </c>
      <c r="C590" s="21" t="str">
        <f>IFERROR(__xludf.DUMMYFUNCTION("""COMPUTED_VALUE"""),"Yes")</f>
        <v>Yes</v>
      </c>
      <c r="D590" s="21" t="str">
        <f>IFERROR(__xludf.DUMMYFUNCTION("""COMPUTED_VALUE"""),"Removed")</f>
        <v>Removed</v>
      </c>
      <c r="E590" s="279">
        <f>IFERROR(__xludf.DUMMYFUNCTION("""COMPUTED_VALUE"""),44145.0)</f>
        <v>44145</v>
      </c>
      <c r="F590" s="276">
        <f>IFERROR(__xludf.DUMMYFUNCTION("""COMPUTED_VALUE"""),44651.0)</f>
        <v>44651</v>
      </c>
      <c r="G590" s="27">
        <f>IFERROR(__xludf.DUMMYFUNCTION("""COMPUTED_VALUE"""),16.666666666666664)</f>
        <v>16.66666667</v>
      </c>
      <c r="H590" s="128">
        <f>IFERROR(__xludf.DUMMYFUNCTION("""COMPUTED_VALUE"""),43676.0)</f>
        <v>43676</v>
      </c>
      <c r="I590" s="27">
        <f>IFERROR(__xludf.DUMMYFUNCTION("""COMPUTED_VALUE"""),1.2777777777777777)</f>
        <v>1.277777778</v>
      </c>
      <c r="J590" s="277">
        <f>IFERROR(__xludf.DUMMYFUNCTION("""COMPUTED_VALUE"""),79.0)</f>
        <v>79</v>
      </c>
      <c r="K590" s="29">
        <f>IFERROR(__xludf.DUMMYFUNCTION("""COMPUTED_VALUE"""),53.5)</f>
        <v>53.5</v>
      </c>
      <c r="L590" s="275" t="str">
        <f>IFERROR(__xludf.DUMMYFUNCTION("""COMPUTED_VALUE"""),"Sports")</f>
        <v>Sports</v>
      </c>
    </row>
    <row r="591">
      <c r="A591" s="278" t="str">
        <f>IFERROR(__xludf.DUMMYFUNCTION("""COMPUTED_VALUE"""),"Shadow Warrior 2")</f>
        <v>Shadow Warrior 2</v>
      </c>
      <c r="B591" s="20" t="str">
        <f>IFERROR(__xludf.DUMMYFUNCTION("""COMPUTED_VALUE"""),"Xbox / PC")</f>
        <v>Xbox / PC</v>
      </c>
      <c r="C591" s="21" t="str">
        <f>IFERROR(__xludf.DUMMYFUNCTION("""COMPUTED_VALUE"""),"Yes")</f>
        <v>Yes</v>
      </c>
      <c r="D591" s="21" t="str">
        <f>IFERROR(__xludf.DUMMYFUNCTION("""COMPUTED_VALUE"""),"Removed")</f>
        <v>Removed</v>
      </c>
      <c r="E591" s="279">
        <f>IFERROR(__xludf.DUMMYFUNCTION("""COMPUTED_VALUE"""),43454.0)</f>
        <v>43454</v>
      </c>
      <c r="F591" s="276">
        <f>IFERROR(__xludf.DUMMYFUNCTION("""COMPUTED_VALUE"""),44651.0)</f>
        <v>44651</v>
      </c>
      <c r="G591" s="27">
        <f>IFERROR(__xludf.DUMMYFUNCTION("""COMPUTED_VALUE"""),39.33333333333333)</f>
        <v>39.33333333</v>
      </c>
      <c r="H591" s="128">
        <f>IFERROR(__xludf.DUMMYFUNCTION("""COMPUTED_VALUE"""),42656.0)</f>
        <v>42656</v>
      </c>
      <c r="I591" s="27">
        <f>IFERROR(__xludf.DUMMYFUNCTION("""COMPUTED_VALUE"""),2.186111111111111)</f>
        <v>2.186111111</v>
      </c>
      <c r="J591" s="277">
        <f>IFERROR(__xludf.DUMMYFUNCTION("""COMPUTED_VALUE"""),78.0)</f>
        <v>78</v>
      </c>
      <c r="K591" s="277">
        <f>IFERROR(__xludf.DUMMYFUNCTION("""COMPUTED_VALUE"""),7.5)</f>
        <v>7.5</v>
      </c>
      <c r="L591" s="275" t="str">
        <f>IFERROR(__xludf.DUMMYFUNCTION("""COMPUTED_VALUE"""),"Shooter")</f>
        <v>Shooter</v>
      </c>
    </row>
    <row r="592">
      <c r="A592" s="278" t="str">
        <f>IFERROR(__xludf.DUMMYFUNCTION("""COMPUTED_VALUE"""),"Aragami")</f>
        <v>Aragami</v>
      </c>
      <c r="B592" s="20" t="str">
        <f>IFERROR(__xludf.DUMMYFUNCTION("""COMPUTED_VALUE"""),"PC")</f>
        <v>PC</v>
      </c>
      <c r="C592" s="21"/>
      <c r="D592" s="21" t="str">
        <f>IFERROR(__xludf.DUMMYFUNCTION("""COMPUTED_VALUE"""),"Removed")</f>
        <v>Removed</v>
      </c>
      <c r="E592" s="279">
        <f>IFERROR(__xludf.DUMMYFUNCTION("""COMPUTED_VALUE"""),44273.0)</f>
        <v>44273</v>
      </c>
      <c r="F592" s="276">
        <f>IFERROR(__xludf.DUMMYFUNCTION("""COMPUTED_VALUE"""),44648.0)</f>
        <v>44648</v>
      </c>
      <c r="G592" s="27">
        <f>IFERROR(__xludf.DUMMYFUNCTION("""COMPUTED_VALUE"""),12.333333333333332)</f>
        <v>12.33333333</v>
      </c>
      <c r="H592" s="128">
        <f>IFERROR(__xludf.DUMMYFUNCTION("""COMPUTED_VALUE"""),42647.0)</f>
        <v>42647</v>
      </c>
      <c r="I592" s="27">
        <f>IFERROR(__xludf.DUMMYFUNCTION("""COMPUTED_VALUE"""),4.455555555555556)</f>
        <v>4.455555556</v>
      </c>
      <c r="J592" s="277">
        <f>IFERROR(__xludf.DUMMYFUNCTION("""COMPUTED_VALUE"""),71.0)</f>
        <v>71</v>
      </c>
      <c r="K592" s="277">
        <f>IFERROR(__xludf.DUMMYFUNCTION("""COMPUTED_VALUE"""),6.5)</f>
        <v>6.5</v>
      </c>
      <c r="L592" s="275" t="str">
        <f>IFERROR(__xludf.DUMMYFUNCTION("""COMPUTED_VALUE"""),"Action")</f>
        <v>Action</v>
      </c>
    </row>
    <row r="593">
      <c r="A593" s="278" t="str">
        <f>IFERROR(__xludf.DUMMYFUNCTION("""COMPUTED_VALUE"""),"Lost Castle")</f>
        <v>Lost Castle</v>
      </c>
      <c r="B593" s="20" t="str">
        <f>IFERROR(__xludf.DUMMYFUNCTION("""COMPUTED_VALUE"""),"PC")</f>
        <v>PC</v>
      </c>
      <c r="C593" s="21"/>
      <c r="D593" s="21" t="str">
        <f>IFERROR(__xludf.DUMMYFUNCTION("""COMPUTED_VALUE"""),"Removed")</f>
        <v>Removed</v>
      </c>
      <c r="E593" s="279">
        <f>IFERROR(__xludf.DUMMYFUNCTION("""COMPUTED_VALUE"""),44273.0)</f>
        <v>44273</v>
      </c>
      <c r="F593" s="276">
        <f>IFERROR(__xludf.DUMMYFUNCTION("""COMPUTED_VALUE"""),44648.0)</f>
        <v>44648</v>
      </c>
      <c r="G593" s="27">
        <f>IFERROR(__xludf.DUMMYFUNCTION("""COMPUTED_VALUE"""),12.333333333333332)</f>
        <v>12.33333333</v>
      </c>
      <c r="H593" s="128">
        <f>IFERROR(__xludf.DUMMYFUNCTION("""COMPUTED_VALUE"""),43124.0)</f>
        <v>43124</v>
      </c>
      <c r="I593" s="27">
        <f>IFERROR(__xludf.DUMMYFUNCTION("""COMPUTED_VALUE"""),3.15)</f>
        <v>3.15</v>
      </c>
      <c r="J593" s="277">
        <f>IFERROR(__xludf.DUMMYFUNCTION("""COMPUTED_VALUE"""),65.0)</f>
        <v>65</v>
      </c>
      <c r="K593" s="277">
        <f>IFERROR(__xludf.DUMMYFUNCTION("""COMPUTED_VALUE"""),12.0)</f>
        <v>12</v>
      </c>
      <c r="L593" s="275" t="str">
        <f>IFERROR(__xludf.DUMMYFUNCTION("""COMPUTED_VALUE"""),"RPG")</f>
        <v>RPG</v>
      </c>
    </row>
    <row r="594">
      <c r="A594" s="278" t="str">
        <f>IFERROR(__xludf.DUMMYFUNCTION("""COMPUTED_VALUE"""),"The Sexy Brutale")</f>
        <v>The Sexy Brutale</v>
      </c>
      <c r="B594" s="20" t="str">
        <f>IFERROR(__xludf.DUMMYFUNCTION("""COMPUTED_VALUE"""),"PC")</f>
        <v>PC</v>
      </c>
      <c r="C594" s="21"/>
      <c r="D594" s="21" t="str">
        <f>IFERROR(__xludf.DUMMYFUNCTION("""COMPUTED_VALUE"""),"Removed")</f>
        <v>Removed</v>
      </c>
      <c r="E594" s="279">
        <f>IFERROR(__xludf.DUMMYFUNCTION("""COMPUTED_VALUE"""),44273.0)</f>
        <v>44273</v>
      </c>
      <c r="F594" s="276">
        <f>IFERROR(__xludf.DUMMYFUNCTION("""COMPUTED_VALUE"""),44648.0)</f>
        <v>44648</v>
      </c>
      <c r="G594" s="27">
        <f>IFERROR(__xludf.DUMMYFUNCTION("""COMPUTED_VALUE"""),12.333333333333332)</f>
        <v>12.33333333</v>
      </c>
      <c r="H594" s="128">
        <f>IFERROR(__xludf.DUMMYFUNCTION("""COMPUTED_VALUE"""),42836.0)</f>
        <v>42836</v>
      </c>
      <c r="I594" s="27">
        <f>IFERROR(__xludf.DUMMYFUNCTION("""COMPUTED_VALUE"""),3.936111111111111)</f>
        <v>3.936111111</v>
      </c>
      <c r="J594" s="277">
        <f>IFERROR(__xludf.DUMMYFUNCTION("""COMPUTED_VALUE"""),83.0)</f>
        <v>83</v>
      </c>
      <c r="K594" s="29">
        <f>IFERROR(__xludf.DUMMYFUNCTION("""COMPUTED_VALUE"""),6.0)</f>
        <v>6</v>
      </c>
      <c r="L594" s="275" t="str">
        <f>IFERROR(__xludf.DUMMYFUNCTION("""COMPUTED_VALUE"""),"Adventure")</f>
        <v>Adventure</v>
      </c>
    </row>
    <row r="595">
      <c r="A595" s="278" t="str">
        <f>IFERROR(__xludf.DUMMYFUNCTION("""COMPUTED_VALUE"""),"Torchlight III")</f>
        <v>Torchlight III</v>
      </c>
      <c r="B595" s="20" t="str">
        <f>IFERROR(__xludf.DUMMYFUNCTION("""COMPUTED_VALUE"""),"Xbox / PC")</f>
        <v>Xbox / PC</v>
      </c>
      <c r="C595" s="21" t="str">
        <f>IFERROR(__xludf.DUMMYFUNCTION("""COMPUTED_VALUE"""),"Touch Controls")</f>
        <v>Touch Controls</v>
      </c>
      <c r="D595" s="21" t="str">
        <f>IFERROR(__xludf.DUMMYFUNCTION("""COMPUTED_VALUE"""),"Removed")</f>
        <v>Removed</v>
      </c>
      <c r="E595" s="279">
        <f>IFERROR(__xludf.DUMMYFUNCTION("""COMPUTED_VALUE"""),44210.0)</f>
        <v>44210</v>
      </c>
      <c r="F595" s="276">
        <f>IFERROR(__xludf.DUMMYFUNCTION("""COMPUTED_VALUE"""),44635.0)</f>
        <v>44635</v>
      </c>
      <c r="G595" s="27">
        <f>IFERROR(__xludf.DUMMYFUNCTION("""COMPUTED_VALUE"""),14.033333333333335)</f>
        <v>14.03333333</v>
      </c>
      <c r="H595" s="128">
        <f>IFERROR(__xludf.DUMMYFUNCTION("""COMPUTED_VALUE"""),43995.0)</f>
        <v>43995</v>
      </c>
      <c r="I595" s="27">
        <f>IFERROR(__xludf.DUMMYFUNCTION("""COMPUTED_VALUE"""),0.5861111111111111)</f>
        <v>0.5861111111</v>
      </c>
      <c r="J595" s="277">
        <f>IFERROR(__xludf.DUMMYFUNCTION("""COMPUTED_VALUE"""),66.5)</f>
        <v>66.5</v>
      </c>
      <c r="K595" s="29">
        <f>IFERROR(__xludf.DUMMYFUNCTION("""COMPUTED_VALUE"""),15.5)</f>
        <v>15.5</v>
      </c>
      <c r="L595" s="275" t="str">
        <f>IFERROR(__xludf.DUMMYFUNCTION("""COMPUTED_VALUE"""),"RPG")</f>
        <v>RPG</v>
      </c>
    </row>
    <row r="596">
      <c r="A596" s="278" t="str">
        <f>IFERROR(__xludf.DUMMYFUNCTION("""COMPUTED_VALUE"""),"PHOGS!")</f>
        <v>PHOGS!</v>
      </c>
      <c r="B596" s="20" t="str">
        <f>IFERROR(__xludf.DUMMYFUNCTION("""COMPUTED_VALUE"""),"Xbox / PC")</f>
        <v>Xbox / PC</v>
      </c>
      <c r="C596" s="21" t="str">
        <f>IFERROR(__xludf.DUMMYFUNCTION("""COMPUTED_VALUE"""),"Yes")</f>
        <v>Yes</v>
      </c>
      <c r="D596" s="21" t="str">
        <f>IFERROR(__xludf.DUMMYFUNCTION("""COMPUTED_VALUE"""),"Removed")</f>
        <v>Removed</v>
      </c>
      <c r="E596" s="279">
        <f>IFERROR(__xludf.DUMMYFUNCTION("""COMPUTED_VALUE"""),44168.0)</f>
        <v>44168</v>
      </c>
      <c r="F596" s="276">
        <f>IFERROR(__xludf.DUMMYFUNCTION("""COMPUTED_VALUE"""),44635.0)</f>
        <v>44635</v>
      </c>
      <c r="G596" s="27">
        <f>IFERROR(__xludf.DUMMYFUNCTION("""COMPUTED_VALUE"""),15.400000000000002)</f>
        <v>15.4</v>
      </c>
      <c r="H596" s="128">
        <f>IFERROR(__xludf.DUMMYFUNCTION("""COMPUTED_VALUE"""),44168.0)</f>
        <v>44168</v>
      </c>
      <c r="I596" s="27">
        <f>IFERROR(__xludf.DUMMYFUNCTION("""COMPUTED_VALUE"""),0.0)</f>
        <v>0</v>
      </c>
      <c r="J596" s="29">
        <f>IFERROR(__xludf.DUMMYFUNCTION("""COMPUTED_VALUE"""),81.0)</f>
        <v>81</v>
      </c>
      <c r="K596" s="29">
        <f>IFERROR(__xludf.DUMMYFUNCTION("""COMPUTED_VALUE"""),7.5)</f>
        <v>7.5</v>
      </c>
      <c r="L596" s="31" t="str">
        <f>IFERROR(__xludf.DUMMYFUNCTION("""COMPUTED_VALUE"""),"Puzzle")</f>
        <v>Puzzle</v>
      </c>
    </row>
    <row r="597">
      <c r="A597" s="278" t="str">
        <f>IFERROR(__xludf.DUMMYFUNCTION("""COMPUTED_VALUE"""),"NieR Automata: Become as Gods Edition")</f>
        <v>NieR Automata: Become as Gods Edition</v>
      </c>
      <c r="B597" s="21" t="str">
        <f>IFERROR(__xludf.DUMMYFUNCTION("""COMPUTED_VALUE"""),"Xbox / PC")</f>
        <v>Xbox / PC</v>
      </c>
      <c r="C597" s="21" t="str">
        <f>IFERROR(__xludf.DUMMYFUNCTION("""COMPUTED_VALUE"""),"Touch Controls")</f>
        <v>Touch Controls</v>
      </c>
      <c r="D597" s="21" t="str">
        <f>IFERROR(__xludf.DUMMYFUNCTION("""COMPUTED_VALUE"""),"Removed")</f>
        <v>Removed</v>
      </c>
      <c r="E597" s="279">
        <f>IFERROR(__xludf.DUMMYFUNCTION("""COMPUTED_VALUE"""),43923.0)</f>
        <v>43923</v>
      </c>
      <c r="F597" s="276">
        <f>IFERROR(__xludf.DUMMYFUNCTION("""COMPUTED_VALUE"""),44635.0)</f>
        <v>44635</v>
      </c>
      <c r="G597" s="27">
        <f>IFERROR(__xludf.DUMMYFUNCTION("""COMPUTED_VALUE"""),23.433333333333334)</f>
        <v>23.43333333</v>
      </c>
      <c r="H597" s="128">
        <f>IFERROR(__xludf.DUMMYFUNCTION("""COMPUTED_VALUE"""),42789.0)</f>
        <v>42789</v>
      </c>
      <c r="I597" s="27">
        <f>IFERROR(__xludf.DUMMYFUNCTION("""COMPUTED_VALUE"""),3.1083333333333334)</f>
        <v>3.108333333</v>
      </c>
      <c r="J597" s="277">
        <f>IFERROR(__xludf.DUMMYFUNCTION("""COMPUTED_VALUE"""),90.0)</f>
        <v>90</v>
      </c>
      <c r="K597" s="277">
        <f>IFERROR(__xludf.DUMMYFUNCTION("""COMPUTED_VALUE"""),20.5)</f>
        <v>20.5</v>
      </c>
      <c r="L597" s="31" t="str">
        <f>IFERROR(__xludf.DUMMYFUNCTION("""COMPUTED_VALUE"""),"RPG")</f>
        <v>RPG</v>
      </c>
    </row>
    <row r="598">
      <c r="A598" s="278" t="str">
        <f>IFERROR(__xludf.DUMMYFUNCTION("""COMPUTED_VALUE"""),"The Surge 2")</f>
        <v>The Surge 2</v>
      </c>
      <c r="B598" s="21" t="str">
        <f>IFERROR(__xludf.DUMMYFUNCTION("""COMPUTED_VALUE"""),"Xbox / PC")</f>
        <v>Xbox / PC</v>
      </c>
      <c r="C598" s="21" t="str">
        <f>IFERROR(__xludf.DUMMYFUNCTION("""COMPUTED_VALUE"""),"Yes")</f>
        <v>Yes</v>
      </c>
      <c r="D598" s="21" t="str">
        <f>IFERROR(__xludf.DUMMYFUNCTION("""COMPUTED_VALUE"""),"Removed")</f>
        <v>Removed</v>
      </c>
      <c r="E598" s="279">
        <f>IFERROR(__xludf.DUMMYFUNCTION("""COMPUTED_VALUE"""),43909.0)</f>
        <v>43909</v>
      </c>
      <c r="F598" s="276">
        <f>IFERROR(__xludf.DUMMYFUNCTION("""COMPUTED_VALUE"""),44635.0)</f>
        <v>44635</v>
      </c>
      <c r="G598" s="27">
        <f>IFERROR(__xludf.DUMMYFUNCTION("""COMPUTED_VALUE"""),23.866666666666667)</f>
        <v>23.86666667</v>
      </c>
      <c r="H598" s="128">
        <f>IFERROR(__xludf.DUMMYFUNCTION("""COMPUTED_VALUE"""),43732.0)</f>
        <v>43732</v>
      </c>
      <c r="I598" s="27">
        <f>IFERROR(__xludf.DUMMYFUNCTION("""COMPUTED_VALUE"""),0.4861111111111111)</f>
        <v>0.4861111111</v>
      </c>
      <c r="J598" s="277">
        <f>IFERROR(__xludf.DUMMYFUNCTION("""COMPUTED_VALUE"""),78.0)</f>
        <v>78</v>
      </c>
      <c r="K598" s="29">
        <f>IFERROR(__xludf.DUMMYFUNCTION("""COMPUTED_VALUE"""),21.5)</f>
        <v>21.5</v>
      </c>
      <c r="L598" s="275" t="str">
        <f>IFERROR(__xludf.DUMMYFUNCTION("""COMPUTED_VALUE"""),"RPG")</f>
        <v>RPG</v>
      </c>
    </row>
    <row r="599">
      <c r="A599" s="17" t="str">
        <f>IFERROR(__xludf.DUMMYFUNCTION("""COMPUTED_VALUE"""),"Titanfall: Deluxe Edition")</f>
        <v>Titanfall: Deluxe Edition</v>
      </c>
      <c r="B599" s="20" t="str">
        <f>IFERROR(__xludf.DUMMYFUNCTION("""COMPUTED_VALUE"""),"Xbox / PC")</f>
        <v>Xbox / PC</v>
      </c>
      <c r="C599" s="21"/>
      <c r="D599" s="21" t="str">
        <f>IFERROR(__xludf.DUMMYFUNCTION("""COMPUTED_VALUE"""),"Removed")</f>
        <v>Removed</v>
      </c>
      <c r="E599" s="279">
        <f>IFERROR(__xludf.DUMMYFUNCTION("""COMPUTED_VALUE"""),44145.0)</f>
        <v>44145</v>
      </c>
      <c r="F599" s="276">
        <f>IFERROR(__xludf.DUMMYFUNCTION("""COMPUTED_VALUE"""),44621.0)</f>
        <v>44621</v>
      </c>
      <c r="G599" s="27">
        <f>IFERROR(__xludf.DUMMYFUNCTION("""COMPUTED_VALUE"""),15.7)</f>
        <v>15.7</v>
      </c>
      <c r="H599" s="128">
        <f>IFERROR(__xludf.DUMMYFUNCTION("""COMPUTED_VALUE"""),41709.0)</f>
        <v>41709</v>
      </c>
      <c r="I599" s="27">
        <f>IFERROR(__xludf.DUMMYFUNCTION("""COMPUTED_VALUE"""),6.663888888888889)</f>
        <v>6.663888889</v>
      </c>
      <c r="J599" s="29">
        <f>IFERROR(__xludf.DUMMYFUNCTION("""COMPUTED_VALUE"""),83.0)</f>
        <v>83</v>
      </c>
      <c r="K599" s="29">
        <f>IFERROR(__xludf.DUMMYFUNCTION("""COMPUTED_VALUE"""),12.0)</f>
        <v>12</v>
      </c>
      <c r="L599" s="275" t="str">
        <f>IFERROR(__xludf.DUMMYFUNCTION("""COMPUTED_VALUE"""),"Shooter")</f>
        <v>Shooter</v>
      </c>
    </row>
    <row r="600">
      <c r="A600" s="278" t="str">
        <f>IFERROR(__xludf.DUMMYFUNCTION("""COMPUTED_VALUE"""),"Killer Queen Black")</f>
        <v>Killer Queen Black</v>
      </c>
      <c r="B600" s="20" t="str">
        <f>IFERROR(__xludf.DUMMYFUNCTION("""COMPUTED_VALUE"""),"Xbox")</f>
        <v>Xbox</v>
      </c>
      <c r="C600" s="21" t="str">
        <f>IFERROR(__xludf.DUMMYFUNCTION("""COMPUTED_VALUE"""),"Touch Controls")</f>
        <v>Touch Controls</v>
      </c>
      <c r="D600" s="21" t="str">
        <f>IFERROR(__xludf.DUMMYFUNCTION("""COMPUTED_VALUE"""),"Removed")</f>
        <v>Removed</v>
      </c>
      <c r="E600" s="279">
        <f>IFERROR(__xludf.DUMMYFUNCTION("""COMPUTED_VALUE"""),44250.0)</f>
        <v>44250</v>
      </c>
      <c r="F600" s="276">
        <f>IFERROR(__xludf.DUMMYFUNCTION("""COMPUTED_VALUE"""),44620.0)</f>
        <v>44620</v>
      </c>
      <c r="G600" s="27">
        <f>IFERROR(__xludf.DUMMYFUNCTION("""COMPUTED_VALUE"""),12.166666666666666)</f>
        <v>12.16666667</v>
      </c>
      <c r="H600" s="128">
        <f>IFERROR(__xludf.DUMMYFUNCTION("""COMPUTED_VALUE"""),43749.0)</f>
        <v>43749</v>
      </c>
      <c r="I600" s="27">
        <f>IFERROR(__xludf.DUMMYFUNCTION("""COMPUTED_VALUE"""),1.3666666666666667)</f>
        <v>1.366666667</v>
      </c>
      <c r="J600" s="277">
        <f>IFERROR(__xludf.DUMMYFUNCTION("""COMPUTED_VALUE"""),83.0)</f>
        <v>83</v>
      </c>
      <c r="K600" s="277">
        <f>IFERROR(__xludf.DUMMYFUNCTION("""COMPUTED_VALUE"""),9.0)</f>
        <v>9</v>
      </c>
      <c r="L600" s="275" t="str">
        <f>IFERROR(__xludf.DUMMYFUNCTION("""COMPUTED_VALUE"""),"Platformer")</f>
        <v>Platformer</v>
      </c>
    </row>
    <row r="601">
      <c r="A601" s="278" t="str">
        <f>IFERROR(__xludf.DUMMYFUNCTION("""COMPUTED_VALUE"""),"Touhou Luna Nights")</f>
        <v>Touhou Luna Nights</v>
      </c>
      <c r="B601" s="20" t="str">
        <f>IFERROR(__xludf.DUMMYFUNCTION("""COMPUTED_VALUE"""),"Xbox / PC")</f>
        <v>Xbox / PC</v>
      </c>
      <c r="C601" s="21" t="str">
        <f>IFERROR(__xludf.DUMMYFUNCTION("""COMPUTED_VALUE"""),"Touch Controls")</f>
        <v>Touch Controls</v>
      </c>
      <c r="D601" s="21" t="str">
        <f>IFERROR(__xludf.DUMMYFUNCTION("""COMPUTED_VALUE"""),"Removed")</f>
        <v>Removed</v>
      </c>
      <c r="E601" s="279">
        <f>IFERROR(__xludf.DUMMYFUNCTION("""COMPUTED_VALUE"""),44077.0)</f>
        <v>44077</v>
      </c>
      <c r="F601" s="276">
        <f>IFERROR(__xludf.DUMMYFUNCTION("""COMPUTED_VALUE"""),44620.0)</f>
        <v>44620</v>
      </c>
      <c r="G601" s="27">
        <f>IFERROR(__xludf.DUMMYFUNCTION("""COMPUTED_VALUE"""),17.833333333333336)</f>
        <v>17.83333333</v>
      </c>
      <c r="H601" s="128">
        <f>IFERROR(__xludf.DUMMYFUNCTION("""COMPUTED_VALUE"""),43522.0)</f>
        <v>43522</v>
      </c>
      <c r="I601" s="27">
        <f>IFERROR(__xludf.DUMMYFUNCTION("""COMPUTED_VALUE"""),1.5194444444444444)</f>
        <v>1.519444444</v>
      </c>
      <c r="J601" s="277">
        <f>IFERROR(__xludf.DUMMYFUNCTION("""COMPUTED_VALUE"""),77.0)</f>
        <v>77</v>
      </c>
      <c r="K601" s="29">
        <f>IFERROR(__xludf.DUMMYFUNCTION("""COMPUTED_VALUE"""),5.0)</f>
        <v>5</v>
      </c>
      <c r="L601" s="275" t="str">
        <f>IFERROR(__xludf.DUMMYFUNCTION("""COMPUTED_VALUE"""),"Action")</f>
        <v>Action</v>
      </c>
    </row>
    <row r="602">
      <c r="A602" s="17" t="str">
        <f>IFERROR(__xludf.DUMMYFUNCTION("""COMPUTED_VALUE"""),"Kingdom Hearts III")</f>
        <v>Kingdom Hearts III</v>
      </c>
      <c r="B602" s="20" t="str">
        <f>IFERROR(__xludf.DUMMYFUNCTION("""COMPUTED_VALUE"""),"Xbox")</f>
        <v>Xbox</v>
      </c>
      <c r="C602" s="21"/>
      <c r="D602" s="21" t="str">
        <f>IFERROR(__xludf.DUMMYFUNCTION("""COMPUTED_VALUE"""),"Removed")</f>
        <v>Removed</v>
      </c>
      <c r="E602" s="279">
        <f>IFERROR(__xludf.DUMMYFUNCTION("""COMPUTED_VALUE"""),43886.0)</f>
        <v>43886</v>
      </c>
      <c r="F602" s="276">
        <f>IFERROR(__xludf.DUMMYFUNCTION("""COMPUTED_VALUE"""),44620.0)</f>
        <v>44620</v>
      </c>
      <c r="G602" s="27">
        <f>IFERROR(__xludf.DUMMYFUNCTION("""COMPUTED_VALUE"""),24.1)</f>
        <v>24.1</v>
      </c>
      <c r="H602" s="128">
        <f>IFERROR(__xludf.DUMMYFUNCTION("""COMPUTED_VALUE"""),43490.0)</f>
        <v>43490</v>
      </c>
      <c r="I602" s="27">
        <f>IFERROR(__xludf.DUMMYFUNCTION("""COMPUTED_VALUE"""),1.0833333333333333)</f>
        <v>1.083333333</v>
      </c>
      <c r="J602" s="277">
        <f>IFERROR(__xludf.DUMMYFUNCTION("""COMPUTED_VALUE"""),80.0)</f>
        <v>80</v>
      </c>
      <c r="K602" s="277">
        <f>IFERROR(__xludf.DUMMYFUNCTION("""COMPUTED_VALUE"""),29.0)</f>
        <v>29</v>
      </c>
      <c r="L602" s="275" t="str">
        <f>IFERROR(__xludf.DUMMYFUNCTION("""COMPUTED_VALUE"""),"RPG")</f>
        <v>RPG</v>
      </c>
    </row>
    <row r="603">
      <c r="A603" s="278" t="str">
        <f>IFERROR(__xludf.DUMMYFUNCTION("""COMPUTED_VALUE"""),"Stealth Inc 2: A Game of Clones")</f>
        <v>Stealth Inc 2: A Game of Clones</v>
      </c>
      <c r="B603" s="20" t="str">
        <f>IFERROR(__xludf.DUMMYFUNCTION("""COMPUTED_VALUE"""),"Xbox")</f>
        <v>Xbox</v>
      </c>
      <c r="C603" s="21" t="str">
        <f>IFERROR(__xludf.DUMMYFUNCTION("""COMPUTED_VALUE"""),"Yes")</f>
        <v>Yes</v>
      </c>
      <c r="D603" s="21" t="str">
        <f>IFERROR(__xludf.DUMMYFUNCTION("""COMPUTED_VALUE"""),"Removed")</f>
        <v>Removed</v>
      </c>
      <c r="E603" s="279">
        <f>IFERROR(__xludf.DUMMYFUNCTION("""COMPUTED_VALUE"""),43625.0)</f>
        <v>43625</v>
      </c>
      <c r="F603" s="276">
        <f>IFERROR(__xludf.DUMMYFUNCTION("""COMPUTED_VALUE"""),44620.0)</f>
        <v>44620</v>
      </c>
      <c r="G603" s="27">
        <f>IFERROR(__xludf.DUMMYFUNCTION("""COMPUTED_VALUE"""),32.63333333333333)</f>
        <v>32.63333333</v>
      </c>
      <c r="H603" s="128">
        <f>IFERROR(__xludf.DUMMYFUNCTION("""COMPUTED_VALUE"""),41942.0)</f>
        <v>41942</v>
      </c>
      <c r="I603" s="27">
        <f>IFERROR(__xludf.DUMMYFUNCTION("""COMPUTED_VALUE"""),4.608333333333333)</f>
        <v>4.608333333</v>
      </c>
      <c r="J603" s="277">
        <f>IFERROR(__xludf.DUMMYFUNCTION("""COMPUTED_VALUE"""),77.0)</f>
        <v>77</v>
      </c>
      <c r="K603" s="277">
        <f>IFERROR(__xludf.DUMMYFUNCTION("""COMPUTED_VALUE"""),9.0)</f>
        <v>9</v>
      </c>
      <c r="L603" s="275" t="str">
        <f>IFERROR(__xludf.DUMMYFUNCTION("""COMPUTED_VALUE"""),"Platformer")</f>
        <v>Platformer</v>
      </c>
    </row>
    <row r="604">
      <c r="A604" s="278" t="str">
        <f>IFERROR(__xludf.DUMMYFUNCTION("""COMPUTED_VALUE"""),"Final Fantasy XII: The Zodiac Age")</f>
        <v>Final Fantasy XII: The Zodiac Age</v>
      </c>
      <c r="B604" s="20" t="str">
        <f>IFERROR(__xludf.DUMMYFUNCTION("""COMPUTED_VALUE"""),"Xbox / PC")</f>
        <v>Xbox / PC</v>
      </c>
      <c r="C604" s="21"/>
      <c r="D604" s="21" t="str">
        <f>IFERROR(__xludf.DUMMYFUNCTION("""COMPUTED_VALUE"""),"Removed")</f>
        <v>Removed</v>
      </c>
      <c r="E604" s="279">
        <f>IFERROR(__xludf.DUMMYFUNCTION("""COMPUTED_VALUE"""),44238.0)</f>
        <v>44238</v>
      </c>
      <c r="F604" s="276">
        <f>IFERROR(__xludf.DUMMYFUNCTION("""COMPUTED_VALUE"""),44607.0)</f>
        <v>44607</v>
      </c>
      <c r="G604" s="27">
        <f>IFERROR(__xludf.DUMMYFUNCTION("""COMPUTED_VALUE"""),12.133333333333333)</f>
        <v>12.13333333</v>
      </c>
      <c r="H604" s="128">
        <f>IFERROR(__xludf.DUMMYFUNCTION("""COMPUTED_VALUE"""),42927.0)</f>
        <v>42927</v>
      </c>
      <c r="I604" s="27">
        <f>IFERROR(__xludf.DUMMYFUNCTION("""COMPUTED_VALUE"""),3.5833333333333335)</f>
        <v>3.583333333</v>
      </c>
      <c r="J604" s="277">
        <f>IFERROR(__xludf.DUMMYFUNCTION("""COMPUTED_VALUE"""),81.5)</f>
        <v>81.5</v>
      </c>
      <c r="K604" s="29">
        <f>IFERROR(__xludf.DUMMYFUNCTION("""COMPUTED_VALUE"""),40.5)</f>
        <v>40.5</v>
      </c>
      <c r="L604" s="275" t="str">
        <f>IFERROR(__xludf.DUMMYFUNCTION("""COMPUTED_VALUE"""),"RPG")</f>
        <v>RPG</v>
      </c>
    </row>
    <row r="605">
      <c r="A605" s="278" t="str">
        <f>IFERROR(__xludf.DUMMYFUNCTION("""COMPUTED_VALUE"""),"Project Winter")</f>
        <v>Project Winter</v>
      </c>
      <c r="B605" s="21" t="str">
        <f>IFERROR(__xludf.DUMMYFUNCTION("""COMPUTED_VALUE"""),"Xbox / PC")</f>
        <v>Xbox / PC</v>
      </c>
      <c r="C605" s="21" t="str">
        <f>IFERROR(__xludf.DUMMYFUNCTION("""COMPUTED_VALUE"""),"Touch Controls")</f>
        <v>Touch Controls</v>
      </c>
      <c r="D605" s="21" t="str">
        <f>IFERROR(__xludf.DUMMYFUNCTION("""COMPUTED_VALUE"""),"Removed")</f>
        <v>Removed</v>
      </c>
      <c r="E605" s="279">
        <f>IFERROR(__xludf.DUMMYFUNCTION("""COMPUTED_VALUE"""),44231.0)</f>
        <v>44231</v>
      </c>
      <c r="F605" s="276">
        <f>IFERROR(__xludf.DUMMYFUNCTION("""COMPUTED_VALUE"""),44607.0)</f>
        <v>44607</v>
      </c>
      <c r="G605" s="27">
        <f>IFERROR(__xludf.DUMMYFUNCTION("""COMPUTED_VALUE"""),12.366666666666665)</f>
        <v>12.36666667</v>
      </c>
      <c r="H605" s="128">
        <f>IFERROR(__xludf.DUMMYFUNCTION("""COMPUTED_VALUE"""),43503.0)</f>
        <v>43503</v>
      </c>
      <c r="I605" s="27">
        <f>IFERROR(__xludf.DUMMYFUNCTION("""COMPUTED_VALUE"""),1.9916666666666667)</f>
        <v>1.991666667</v>
      </c>
      <c r="J605" s="277">
        <f>IFERROR(__xludf.DUMMYFUNCTION("""COMPUTED_VALUE"""),75.0)</f>
        <v>75</v>
      </c>
      <c r="K605" s="29">
        <f>IFERROR(__xludf.DUMMYFUNCTION("""COMPUTED_VALUE"""),9.5)</f>
        <v>9.5</v>
      </c>
      <c r="L605" s="275" t="str">
        <f>IFERROR(__xludf.DUMMYFUNCTION("""COMPUTED_VALUE"""),"Strategy")</f>
        <v>Strategy</v>
      </c>
    </row>
    <row r="606">
      <c r="A606" s="278" t="str">
        <f>IFERROR(__xludf.DUMMYFUNCTION("""COMPUTED_VALUE"""),"The Falconeer")</f>
        <v>The Falconeer</v>
      </c>
      <c r="B606" s="20" t="str">
        <f>IFERROR(__xludf.DUMMYFUNCTION("""COMPUTED_VALUE"""),"Xbox / PC")</f>
        <v>Xbox / PC</v>
      </c>
      <c r="C606" s="21" t="str">
        <f>IFERROR(__xludf.DUMMYFUNCTION("""COMPUTED_VALUE"""),"Yes")</f>
        <v>Yes</v>
      </c>
      <c r="D606" s="21" t="str">
        <f>IFERROR(__xludf.DUMMYFUNCTION("""COMPUTED_VALUE"""),"Removed")</f>
        <v>Removed</v>
      </c>
      <c r="E606" s="279">
        <f>IFERROR(__xludf.DUMMYFUNCTION("""COMPUTED_VALUE"""),44231.0)</f>
        <v>44231</v>
      </c>
      <c r="F606" s="276">
        <f>IFERROR(__xludf.DUMMYFUNCTION("""COMPUTED_VALUE"""),44607.0)</f>
        <v>44607</v>
      </c>
      <c r="G606" s="27">
        <f>IFERROR(__xludf.DUMMYFUNCTION("""COMPUTED_VALUE"""),12.366666666666665)</f>
        <v>12.36666667</v>
      </c>
      <c r="H606" s="128">
        <f>IFERROR(__xludf.DUMMYFUNCTION("""COMPUTED_VALUE"""),44145.0)</f>
        <v>44145</v>
      </c>
      <c r="I606" s="27">
        <f>IFERROR(__xludf.DUMMYFUNCTION("""COMPUTED_VALUE"""),0.23333333333333334)</f>
        <v>0.2333333333</v>
      </c>
      <c r="J606" s="277">
        <f>IFERROR(__xludf.DUMMYFUNCTION("""COMPUTED_VALUE"""),64.5)</f>
        <v>64.5</v>
      </c>
      <c r="K606" s="29">
        <f>IFERROR(__xludf.DUMMYFUNCTION("""COMPUTED_VALUE"""),10.0)</f>
        <v>10</v>
      </c>
      <c r="L606" s="275" t="str">
        <f>IFERROR(__xludf.DUMMYFUNCTION("""COMPUTED_VALUE"""),"Action-Adventure")</f>
        <v>Action-Adventure</v>
      </c>
    </row>
    <row r="607">
      <c r="A607" s="278" t="str">
        <f>IFERROR(__xludf.DUMMYFUNCTION("""COMPUTED_VALUE"""),"The Medium")</f>
        <v>The Medium</v>
      </c>
      <c r="B607" s="21" t="str">
        <f>IFERROR(__xludf.DUMMYFUNCTION("""COMPUTED_VALUE"""),"Xbox / PC")</f>
        <v>Xbox / PC</v>
      </c>
      <c r="C607" s="21" t="str">
        <f>IFERROR(__xludf.DUMMYFUNCTION("""COMPUTED_VALUE"""),"Touch Controls")</f>
        <v>Touch Controls</v>
      </c>
      <c r="D607" s="21" t="str">
        <f>IFERROR(__xludf.DUMMYFUNCTION("""COMPUTED_VALUE"""),"Removed")</f>
        <v>Removed</v>
      </c>
      <c r="E607" s="279">
        <f>IFERROR(__xludf.DUMMYFUNCTION("""COMPUTED_VALUE"""),44224.0)</f>
        <v>44224</v>
      </c>
      <c r="F607" s="276">
        <f>IFERROR(__xludf.DUMMYFUNCTION("""COMPUTED_VALUE"""),44607.0)</f>
        <v>44607</v>
      </c>
      <c r="G607" s="27">
        <f>IFERROR(__xludf.DUMMYFUNCTION("""COMPUTED_VALUE"""),12.566666666666666)</f>
        <v>12.56666667</v>
      </c>
      <c r="H607" s="128">
        <f>IFERROR(__xludf.DUMMYFUNCTION("""COMPUTED_VALUE"""),44224.0)</f>
        <v>44224</v>
      </c>
      <c r="I607" s="27">
        <f>IFERROR(__xludf.DUMMYFUNCTION("""COMPUTED_VALUE"""),0.0)</f>
        <v>0</v>
      </c>
      <c r="J607" s="277">
        <f>IFERROR(__xludf.DUMMYFUNCTION("""COMPUTED_VALUE"""),73.5)</f>
        <v>73.5</v>
      </c>
      <c r="K607" s="29">
        <f>IFERROR(__xludf.DUMMYFUNCTION("""COMPUTED_VALUE"""),7.5)</f>
        <v>7.5</v>
      </c>
      <c r="L607" s="275" t="str">
        <f>IFERROR(__xludf.DUMMYFUNCTION("""COMPUTED_VALUE"""),"Adventure")</f>
        <v>Adventure</v>
      </c>
    </row>
    <row r="608">
      <c r="A608" s="278" t="str">
        <f>IFERROR(__xludf.DUMMYFUNCTION("""COMPUTED_VALUE"""),"Code Vein")</f>
        <v>Code Vein</v>
      </c>
      <c r="B608" s="20" t="str">
        <f>IFERROR(__xludf.DUMMYFUNCTION("""COMPUTED_VALUE"""),"Xbox / PC")</f>
        <v>Xbox / PC</v>
      </c>
      <c r="C608" s="21" t="str">
        <f>IFERROR(__xludf.DUMMYFUNCTION("""COMPUTED_VALUE"""),"Yes")</f>
        <v>Yes</v>
      </c>
      <c r="D608" s="21" t="str">
        <f>IFERROR(__xludf.DUMMYFUNCTION("""COMPUTED_VALUE"""),"Removed")</f>
        <v>Removed</v>
      </c>
      <c r="E608" s="279">
        <f>IFERROR(__xludf.DUMMYFUNCTION("""COMPUTED_VALUE"""),44182.0)</f>
        <v>44182</v>
      </c>
      <c r="F608" s="276">
        <f>IFERROR(__xludf.DUMMYFUNCTION("""COMPUTED_VALUE"""),44607.0)</f>
        <v>44607</v>
      </c>
      <c r="G608" s="27">
        <f>IFERROR(__xludf.DUMMYFUNCTION("""COMPUTED_VALUE"""),13.933333333333334)</f>
        <v>13.93333333</v>
      </c>
      <c r="H608" s="128">
        <f>IFERROR(__xludf.DUMMYFUNCTION("""COMPUTED_VALUE"""),43734.0)</f>
        <v>43734</v>
      </c>
      <c r="I608" s="27">
        <f>IFERROR(__xludf.DUMMYFUNCTION("""COMPUTED_VALUE"""),1.225)</f>
        <v>1.225</v>
      </c>
      <c r="J608" s="277">
        <f>IFERROR(__xludf.DUMMYFUNCTION("""COMPUTED_VALUE"""),75.0)</f>
        <v>75</v>
      </c>
      <c r="K608" s="29">
        <f>IFERROR(__xludf.DUMMYFUNCTION("""COMPUTED_VALUE"""),25.0)</f>
        <v>25</v>
      </c>
      <c r="L608" s="275" t="str">
        <f>IFERROR(__xludf.DUMMYFUNCTION("""COMPUTED_VALUE"""),"RPG")</f>
        <v>RPG</v>
      </c>
    </row>
    <row r="609">
      <c r="A609" s="278" t="str">
        <f>IFERROR(__xludf.DUMMYFUNCTION("""COMPUTED_VALUE"""),"Control")</f>
        <v>Control</v>
      </c>
      <c r="B609" s="20" t="str">
        <f>IFERROR(__xludf.DUMMYFUNCTION("""COMPUTED_VALUE"""),"Xbox / PC")</f>
        <v>Xbox / PC</v>
      </c>
      <c r="C609" s="21" t="str">
        <f>IFERROR(__xludf.DUMMYFUNCTION("""COMPUTED_VALUE"""),"Yes")</f>
        <v>Yes</v>
      </c>
      <c r="D609" s="21" t="str">
        <f>IFERROR(__xludf.DUMMYFUNCTION("""COMPUTED_VALUE"""),"Removed")</f>
        <v>Removed</v>
      </c>
      <c r="E609" s="279">
        <f>IFERROR(__xludf.DUMMYFUNCTION("""COMPUTED_VALUE"""),44168.0)</f>
        <v>44168</v>
      </c>
      <c r="F609" s="276">
        <f>IFERROR(__xludf.DUMMYFUNCTION("""COMPUTED_VALUE"""),44607.0)</f>
        <v>44607</v>
      </c>
      <c r="G609" s="27">
        <f>IFERROR(__xludf.DUMMYFUNCTION("""COMPUTED_VALUE"""),14.399999999999999)</f>
        <v>14.4</v>
      </c>
      <c r="H609" s="128">
        <f>IFERROR(__xludf.DUMMYFUNCTION("""COMPUTED_VALUE"""),43704.0)</f>
        <v>43704</v>
      </c>
      <c r="I609" s="27">
        <f>IFERROR(__xludf.DUMMYFUNCTION("""COMPUTED_VALUE"""),1.2666666666666666)</f>
        <v>1.266666667</v>
      </c>
      <c r="J609" s="277">
        <f>IFERROR(__xludf.DUMMYFUNCTION("""COMPUTED_VALUE"""),84.0)</f>
        <v>84</v>
      </c>
      <c r="K609" s="277">
        <f>IFERROR(__xludf.DUMMYFUNCTION("""COMPUTED_VALUE"""),11.5)</f>
        <v>11.5</v>
      </c>
      <c r="L609" s="275" t="str">
        <f>IFERROR(__xludf.DUMMYFUNCTION("""COMPUTED_VALUE"""),"Shooter")</f>
        <v>Shooter</v>
      </c>
    </row>
    <row r="610">
      <c r="A610" s="278" t="str">
        <f>IFERROR(__xludf.DUMMYFUNCTION("""COMPUTED_VALUE"""),"Furi")</f>
        <v>Furi</v>
      </c>
      <c r="B610" s="20" t="str">
        <f>IFERROR(__xludf.DUMMYFUNCTION("""COMPUTED_VALUE"""),"PC")</f>
        <v>PC</v>
      </c>
      <c r="C610" s="21"/>
      <c r="D610" s="21" t="str">
        <f>IFERROR(__xludf.DUMMYFUNCTION("""COMPUTED_VALUE"""),"Removed")</f>
        <v>Removed</v>
      </c>
      <c r="E610" s="279">
        <f>IFERROR(__xludf.DUMMYFUNCTION("""COMPUTED_VALUE"""),44273.0)</f>
        <v>44273</v>
      </c>
      <c r="F610" s="276">
        <f>IFERROR(__xludf.DUMMYFUNCTION("""COMPUTED_VALUE"""),44602.0)</f>
        <v>44602</v>
      </c>
      <c r="G610" s="27">
        <f>IFERROR(__xludf.DUMMYFUNCTION("""COMPUTED_VALUE"""),10.733333333333334)</f>
        <v>10.73333333</v>
      </c>
      <c r="H610" s="128">
        <f>IFERROR(__xludf.DUMMYFUNCTION("""COMPUTED_VALUE"""),42556.0)</f>
        <v>42556</v>
      </c>
      <c r="I610" s="27">
        <f>IFERROR(__xludf.DUMMYFUNCTION("""COMPUTED_VALUE"""),4.7027777777777775)</f>
        <v>4.702777778</v>
      </c>
      <c r="J610" s="277">
        <f>IFERROR(__xludf.DUMMYFUNCTION("""COMPUTED_VALUE"""),76.0)</f>
        <v>76</v>
      </c>
      <c r="K610" s="29">
        <f>IFERROR(__xludf.DUMMYFUNCTION("""COMPUTED_VALUE"""),5.5)</f>
        <v>5.5</v>
      </c>
      <c r="L610" s="31" t="str">
        <f>IFERROR(__xludf.DUMMYFUNCTION("""COMPUTED_VALUE"""),"Shooter")</f>
        <v>Shooter</v>
      </c>
    </row>
    <row r="611">
      <c r="A611" s="278" t="str">
        <f>IFERROR(__xludf.DUMMYFUNCTION("""COMPUTED_VALUE"""),"Prison Architect")</f>
        <v>Prison Architect</v>
      </c>
      <c r="B611" s="21" t="str">
        <f>IFERROR(__xludf.DUMMYFUNCTION("""COMPUTED_VALUE"""),"PC")</f>
        <v>PC</v>
      </c>
      <c r="C611" s="21"/>
      <c r="D611" s="21" t="str">
        <f>IFERROR(__xludf.DUMMYFUNCTION("""COMPUTED_VALUE"""),"Removed")</f>
        <v>Removed</v>
      </c>
      <c r="E611" s="279">
        <f>IFERROR(__xludf.DUMMYFUNCTION("""COMPUTED_VALUE"""),44224.0)</f>
        <v>44224</v>
      </c>
      <c r="F611" s="276">
        <f>IFERROR(__xludf.DUMMYFUNCTION("""COMPUTED_VALUE"""),44592.0)</f>
        <v>44592</v>
      </c>
      <c r="G611" s="27">
        <f>IFERROR(__xludf.DUMMYFUNCTION("""COMPUTED_VALUE"""),12.066666666666666)</f>
        <v>12.06666667</v>
      </c>
      <c r="H611" s="128">
        <f>IFERROR(__xludf.DUMMYFUNCTION("""COMPUTED_VALUE"""),42283.0)</f>
        <v>42283</v>
      </c>
      <c r="I611" s="27">
        <f>IFERROR(__xludf.DUMMYFUNCTION("""COMPUTED_VALUE"""),5.311111111111111)</f>
        <v>5.311111111</v>
      </c>
      <c r="J611" s="277">
        <f>IFERROR(__xludf.DUMMYFUNCTION("""COMPUTED_VALUE"""),83.0)</f>
        <v>83</v>
      </c>
      <c r="K611" s="277">
        <f>IFERROR(__xludf.DUMMYFUNCTION("""COMPUTED_VALUE"""),15.5)</f>
        <v>15.5</v>
      </c>
      <c r="L611" s="275" t="str">
        <f>IFERROR(__xludf.DUMMYFUNCTION("""COMPUTED_VALUE"""),"Simulation")</f>
        <v>Simulation</v>
      </c>
    </row>
    <row r="612">
      <c r="A612" s="278" t="str">
        <f>IFERROR(__xludf.DUMMYFUNCTION("""COMPUTED_VALUE"""),"Cyber Shadow")</f>
        <v>Cyber Shadow</v>
      </c>
      <c r="B612" s="20" t="str">
        <f>IFERROR(__xludf.DUMMYFUNCTION("""COMPUTED_VALUE"""),"Xbox / PC")</f>
        <v>Xbox / PC</v>
      </c>
      <c r="C612" s="21" t="str">
        <f>IFERROR(__xludf.DUMMYFUNCTION("""COMPUTED_VALUE"""),"Yes")</f>
        <v>Yes</v>
      </c>
      <c r="D612" s="21" t="str">
        <f>IFERROR(__xludf.DUMMYFUNCTION("""COMPUTED_VALUE"""),"Removed")</f>
        <v>Removed</v>
      </c>
      <c r="E612" s="279">
        <f>IFERROR(__xludf.DUMMYFUNCTION("""COMPUTED_VALUE"""),44222.0)</f>
        <v>44222</v>
      </c>
      <c r="F612" s="276">
        <f>IFERROR(__xludf.DUMMYFUNCTION("""COMPUTED_VALUE"""),44592.0)</f>
        <v>44592</v>
      </c>
      <c r="G612" s="27">
        <f>IFERROR(__xludf.DUMMYFUNCTION("""COMPUTED_VALUE"""),12.133333333333333)</f>
        <v>12.13333333</v>
      </c>
      <c r="H612" s="128">
        <f>IFERROR(__xludf.DUMMYFUNCTION("""COMPUTED_VALUE"""),44222.0)</f>
        <v>44222</v>
      </c>
      <c r="I612" s="27">
        <f>IFERROR(__xludf.DUMMYFUNCTION("""COMPUTED_VALUE"""),0.0)</f>
        <v>0</v>
      </c>
      <c r="J612" s="277">
        <f>IFERROR(__xludf.DUMMYFUNCTION("""COMPUTED_VALUE"""),82.5)</f>
        <v>82.5</v>
      </c>
      <c r="K612" s="277">
        <f>IFERROR(__xludf.DUMMYFUNCTION("""COMPUTED_VALUE"""),7.5)</f>
        <v>7.5</v>
      </c>
      <c r="L612" s="275" t="str">
        <f>IFERROR(__xludf.DUMMYFUNCTION("""COMPUTED_VALUE"""),"Platformer")</f>
        <v>Platformer</v>
      </c>
    </row>
    <row r="613">
      <c r="A613" s="17" t="str">
        <f>IFERROR(__xludf.DUMMYFUNCTION("""COMPUTED_VALUE"""),"Xeno Crisis")</f>
        <v>Xeno Crisis</v>
      </c>
      <c r="B613" s="21" t="str">
        <f>IFERROR(__xludf.DUMMYFUNCTION("""COMPUTED_VALUE"""),"Xbox / PC")</f>
        <v>Xbox / PC</v>
      </c>
      <c r="C613" s="21" t="str">
        <f>IFERROR(__xludf.DUMMYFUNCTION("""COMPUTED_VALUE"""),"Touch Controls")</f>
        <v>Touch Controls</v>
      </c>
      <c r="D613" s="21" t="str">
        <f>IFERROR(__xludf.DUMMYFUNCTION("""COMPUTED_VALUE"""),"Removed")</f>
        <v>Removed</v>
      </c>
      <c r="E613" s="279">
        <f>IFERROR(__xludf.DUMMYFUNCTION("""COMPUTED_VALUE"""),44049.0)</f>
        <v>44049</v>
      </c>
      <c r="F613" s="276">
        <f>IFERROR(__xludf.DUMMYFUNCTION("""COMPUTED_VALUE"""),44592.0)</f>
        <v>44592</v>
      </c>
      <c r="G613" s="27">
        <f>IFERROR(__xludf.DUMMYFUNCTION("""COMPUTED_VALUE"""),17.8)</f>
        <v>17.8</v>
      </c>
      <c r="H613" s="128">
        <f>IFERROR(__xludf.DUMMYFUNCTION("""COMPUTED_VALUE"""),43766.0)</f>
        <v>43766</v>
      </c>
      <c r="I613" s="27">
        <f>IFERROR(__xludf.DUMMYFUNCTION("""COMPUTED_VALUE"""),0.7722222222222223)</f>
        <v>0.7722222222</v>
      </c>
      <c r="J613" s="277">
        <f>IFERROR(__xludf.DUMMYFUNCTION("""COMPUTED_VALUE"""),74.0)</f>
        <v>74</v>
      </c>
      <c r="K613" s="277">
        <f>IFERROR(__xludf.DUMMYFUNCTION("""COMPUTED_VALUE"""),5.0)</f>
        <v>5</v>
      </c>
      <c r="L613" s="275" t="str">
        <f>IFERROR(__xludf.DUMMYFUNCTION("""COMPUTED_VALUE"""),"Shooter")</f>
        <v>Shooter</v>
      </c>
    </row>
    <row r="614">
      <c r="A614" s="278" t="str">
        <f>IFERROR(__xludf.DUMMYFUNCTION("""COMPUTED_VALUE"""),"Nowhere Prophet")</f>
        <v>Nowhere Prophet</v>
      </c>
      <c r="B614" s="21" t="str">
        <f>IFERROR(__xludf.DUMMYFUNCTION("""COMPUTED_VALUE"""),"Xbox / PC")</f>
        <v>Xbox / PC</v>
      </c>
      <c r="C614" s="21" t="str">
        <f>IFERROR(__xludf.DUMMYFUNCTION("""COMPUTED_VALUE"""),"Touch Controls")</f>
        <v>Touch Controls</v>
      </c>
      <c r="D614" s="21" t="str">
        <f>IFERROR(__xludf.DUMMYFUNCTION("""COMPUTED_VALUE"""),"Removed")</f>
        <v>Removed</v>
      </c>
      <c r="E614" s="279">
        <f>IFERROR(__xludf.DUMMYFUNCTION("""COMPUTED_VALUE"""),44041.0)</f>
        <v>44041</v>
      </c>
      <c r="F614" s="276">
        <f>IFERROR(__xludf.DUMMYFUNCTION("""COMPUTED_VALUE"""),44592.0)</f>
        <v>44592</v>
      </c>
      <c r="G614" s="27">
        <f>IFERROR(__xludf.DUMMYFUNCTION("""COMPUTED_VALUE"""),18.03333333333333)</f>
        <v>18.03333333</v>
      </c>
      <c r="H614" s="128">
        <f>IFERROR(__xludf.DUMMYFUNCTION("""COMPUTED_VALUE"""),43018.0)</f>
        <v>43018</v>
      </c>
      <c r="I614" s="27">
        <f>IFERROR(__xludf.DUMMYFUNCTION("""COMPUTED_VALUE"""),2.8027777777777776)</f>
        <v>2.802777778</v>
      </c>
      <c r="J614" s="277">
        <f>IFERROR(__xludf.DUMMYFUNCTION("""COMPUTED_VALUE"""),73.0)</f>
        <v>73</v>
      </c>
      <c r="K614" s="29">
        <f>IFERROR(__xludf.DUMMYFUNCTION("""COMPUTED_VALUE"""),12.0)</f>
        <v>12</v>
      </c>
      <c r="L614" s="275" t="str">
        <f>IFERROR(__xludf.DUMMYFUNCTION("""COMPUTED_VALUE"""),"Strategy")</f>
        <v>Strategy</v>
      </c>
    </row>
    <row r="615">
      <c r="A615" s="278" t="str">
        <f>IFERROR(__xludf.DUMMYFUNCTION("""COMPUTED_VALUE"""),"LEGRAND LEGACY: Tale of the Fatebounds")</f>
        <v>LEGRAND LEGACY: Tale of the Fatebounds</v>
      </c>
      <c r="B615" s="20" t="str">
        <f>IFERROR(__xludf.DUMMYFUNCTION("""COMPUTED_VALUE"""),"PC")</f>
        <v>PC</v>
      </c>
      <c r="C615" s="21"/>
      <c r="D615" s="21" t="str">
        <f>IFERROR(__xludf.DUMMYFUNCTION("""COMPUTED_VALUE"""),"Removed")</f>
        <v>Removed</v>
      </c>
      <c r="E615" s="279">
        <f>IFERROR(__xludf.DUMMYFUNCTION("""COMPUTED_VALUE"""),44273.0)</f>
        <v>44273</v>
      </c>
      <c r="F615" s="276">
        <f>IFERROR(__xludf.DUMMYFUNCTION("""COMPUTED_VALUE"""),44578.0)</f>
        <v>44578</v>
      </c>
      <c r="G615" s="27">
        <f>IFERROR(__xludf.DUMMYFUNCTION("""COMPUTED_VALUE"""),9.966666666666667)</f>
        <v>9.966666667</v>
      </c>
      <c r="H615" s="128">
        <f>IFERROR(__xludf.DUMMYFUNCTION("""COMPUTED_VALUE"""),43124.0)</f>
        <v>43124</v>
      </c>
      <c r="I615" s="27">
        <f>IFERROR(__xludf.DUMMYFUNCTION("""COMPUTED_VALUE"""),3.15)</f>
        <v>3.15</v>
      </c>
      <c r="J615" s="277">
        <f>IFERROR(__xludf.DUMMYFUNCTION("""COMPUTED_VALUE"""),67.0)</f>
        <v>67</v>
      </c>
      <c r="K615" s="277">
        <f>IFERROR(__xludf.DUMMYFUNCTION("""COMPUTED_VALUE"""),43.5)</f>
        <v>43.5</v>
      </c>
      <c r="L615" s="275" t="str">
        <f>IFERROR(__xludf.DUMMYFUNCTION("""COMPUTED_VALUE"""),"RPG")</f>
        <v>RPG</v>
      </c>
    </row>
    <row r="616">
      <c r="A616" s="278" t="str">
        <f>IFERROR(__xludf.DUMMYFUNCTION("""COMPUTED_VALUE"""),"This War of Mine")</f>
        <v>This War of Mine</v>
      </c>
      <c r="B616" s="20" t="str">
        <f>IFERROR(__xludf.DUMMYFUNCTION("""COMPUTED_VALUE"""),"PC")</f>
        <v>PC</v>
      </c>
      <c r="C616" s="21"/>
      <c r="D616" s="21" t="str">
        <f>IFERROR(__xludf.DUMMYFUNCTION("""COMPUTED_VALUE"""),"Removed")</f>
        <v>Removed</v>
      </c>
      <c r="E616" s="279">
        <f>IFERROR(__xludf.DUMMYFUNCTION("""COMPUTED_VALUE"""),44273.0)</f>
        <v>44273</v>
      </c>
      <c r="F616" s="276">
        <f>IFERROR(__xludf.DUMMYFUNCTION("""COMPUTED_VALUE"""),44578.0)</f>
        <v>44578</v>
      </c>
      <c r="G616" s="27">
        <f>IFERROR(__xludf.DUMMYFUNCTION("""COMPUTED_VALUE"""),9.966666666666667)</f>
        <v>9.966666667</v>
      </c>
      <c r="H616" s="128">
        <f>IFERROR(__xludf.DUMMYFUNCTION("""COMPUTED_VALUE"""),41957.0)</f>
        <v>41957</v>
      </c>
      <c r="I616" s="27">
        <f>IFERROR(__xludf.DUMMYFUNCTION("""COMPUTED_VALUE"""),6.344444444444444)</f>
        <v>6.344444444</v>
      </c>
      <c r="J616" s="277">
        <f>IFERROR(__xludf.DUMMYFUNCTION("""COMPUTED_VALUE"""),83.0)</f>
        <v>83</v>
      </c>
      <c r="K616" s="277">
        <f>IFERROR(__xludf.DUMMYFUNCTION("""COMPUTED_VALUE"""),10.5)</f>
        <v>10.5</v>
      </c>
      <c r="L616" s="275" t="str">
        <f>IFERROR(__xludf.DUMMYFUNCTION("""COMPUTED_VALUE"""),"Simulation")</f>
        <v>Simulation</v>
      </c>
    </row>
    <row r="617">
      <c r="A617" s="278" t="str">
        <f>IFERROR(__xludf.DUMMYFUNCTION("""COMPUTED_VALUE"""),"Torchlight II")</f>
        <v>Torchlight II</v>
      </c>
      <c r="B617" s="21" t="str">
        <f>IFERROR(__xludf.DUMMYFUNCTION("""COMPUTED_VALUE"""),"PC")</f>
        <v>PC</v>
      </c>
      <c r="C617" s="21"/>
      <c r="D617" s="21" t="str">
        <f>IFERROR(__xludf.DUMMYFUNCTION("""COMPUTED_VALUE"""),"Removed")</f>
        <v>Removed</v>
      </c>
      <c r="E617" s="279">
        <f>IFERROR(__xludf.DUMMYFUNCTION("""COMPUTED_VALUE"""),44273.0)</f>
        <v>44273</v>
      </c>
      <c r="F617" s="276">
        <f>IFERROR(__xludf.DUMMYFUNCTION("""COMPUTED_VALUE"""),44578.0)</f>
        <v>44578</v>
      </c>
      <c r="G617" s="27">
        <f>IFERROR(__xludf.DUMMYFUNCTION("""COMPUTED_VALUE"""),9.966666666666667)</f>
        <v>9.966666667</v>
      </c>
      <c r="H617" s="128">
        <f>IFERROR(__xludf.DUMMYFUNCTION("""COMPUTED_VALUE"""),41172.0)</f>
        <v>41172</v>
      </c>
      <c r="I617" s="27">
        <f>IFERROR(__xludf.DUMMYFUNCTION("""COMPUTED_VALUE"""),8.494444444444444)</f>
        <v>8.494444444</v>
      </c>
      <c r="J617" s="277">
        <f>IFERROR(__xludf.DUMMYFUNCTION("""COMPUTED_VALUE"""),88.0)</f>
        <v>88</v>
      </c>
      <c r="K617" s="277">
        <f>IFERROR(__xludf.DUMMYFUNCTION("""COMPUTED_VALUE"""),20.5)</f>
        <v>20.5</v>
      </c>
      <c r="L617" s="275" t="str">
        <f>IFERROR(__xludf.DUMMYFUNCTION("""COMPUTED_VALUE"""),"RPG")</f>
        <v>RPG</v>
      </c>
    </row>
    <row r="618">
      <c r="A618" s="17" t="str">
        <f>IFERROR(__xludf.DUMMYFUNCTION("""COMPUTED_VALUE"""),"Trine 2: Complete Story")</f>
        <v>Trine 2: Complete Story</v>
      </c>
      <c r="B618" s="20" t="str">
        <f>IFERROR(__xludf.DUMMYFUNCTION("""COMPUTED_VALUE"""),"PC")</f>
        <v>PC</v>
      </c>
      <c r="C618" s="21"/>
      <c r="D618" s="21" t="str">
        <f>IFERROR(__xludf.DUMMYFUNCTION("""COMPUTED_VALUE"""),"Removed")</f>
        <v>Removed</v>
      </c>
      <c r="E618" s="279">
        <f>IFERROR(__xludf.DUMMYFUNCTION("""COMPUTED_VALUE"""),44273.0)</f>
        <v>44273</v>
      </c>
      <c r="F618" s="276">
        <f>IFERROR(__xludf.DUMMYFUNCTION("""COMPUTED_VALUE"""),44578.0)</f>
        <v>44578</v>
      </c>
      <c r="G618" s="27">
        <f>IFERROR(__xludf.DUMMYFUNCTION("""COMPUTED_VALUE"""),9.966666666666667)</f>
        <v>9.966666667</v>
      </c>
      <c r="H618" s="128">
        <f>IFERROR(__xludf.DUMMYFUNCTION("""COMPUTED_VALUE"""),40884.0)</f>
        <v>40884</v>
      </c>
      <c r="I618" s="27">
        <f>IFERROR(__xludf.DUMMYFUNCTION("""COMPUTED_VALUE"""),9.280555555555555)</f>
        <v>9.280555556</v>
      </c>
      <c r="J618" s="277">
        <f>IFERROR(__xludf.DUMMYFUNCTION("""COMPUTED_VALUE"""),84.0)</f>
        <v>84</v>
      </c>
      <c r="K618" s="277">
        <f>IFERROR(__xludf.DUMMYFUNCTION("""COMPUTED_VALUE"""),9.0)</f>
        <v>9</v>
      </c>
      <c r="L618" s="275" t="str">
        <f>IFERROR(__xludf.DUMMYFUNCTION("""COMPUTED_VALUE"""),"Platformer")</f>
        <v>Platformer</v>
      </c>
    </row>
    <row r="619">
      <c r="A619" s="278" t="str">
        <f>IFERROR(__xludf.DUMMYFUNCTION("""COMPUTED_VALUE"""),"Trine: Enchanted Edition")</f>
        <v>Trine: Enchanted Edition</v>
      </c>
      <c r="B619" s="20" t="str">
        <f>IFERROR(__xludf.DUMMYFUNCTION("""COMPUTED_VALUE"""),"PC")</f>
        <v>PC</v>
      </c>
      <c r="C619" s="21"/>
      <c r="D619" s="21" t="str">
        <f>IFERROR(__xludf.DUMMYFUNCTION("""COMPUTED_VALUE"""),"Removed")</f>
        <v>Removed</v>
      </c>
      <c r="E619" s="279">
        <f>IFERROR(__xludf.DUMMYFUNCTION("""COMPUTED_VALUE"""),44273.0)</f>
        <v>44273</v>
      </c>
      <c r="F619" s="276">
        <f>IFERROR(__xludf.DUMMYFUNCTION("""COMPUTED_VALUE"""),44578.0)</f>
        <v>44578</v>
      </c>
      <c r="G619" s="27">
        <f>IFERROR(__xludf.DUMMYFUNCTION("""COMPUTED_VALUE"""),9.966666666666667)</f>
        <v>9.966666667</v>
      </c>
      <c r="H619" s="128">
        <f>IFERROR(__xludf.DUMMYFUNCTION("""COMPUTED_VALUE"""),43070.0)</f>
        <v>43070</v>
      </c>
      <c r="I619" s="27">
        <f>IFERROR(__xludf.DUMMYFUNCTION("""COMPUTED_VALUE"""),3.297222222222222)</f>
        <v>3.297222222</v>
      </c>
      <c r="J619" s="277">
        <f>IFERROR(__xludf.DUMMYFUNCTION("""COMPUTED_VALUE"""),80.0)</f>
        <v>80</v>
      </c>
      <c r="K619" s="277">
        <f>IFERROR(__xludf.DUMMYFUNCTION("""COMPUTED_VALUE"""),4.5)</f>
        <v>4.5</v>
      </c>
      <c r="L619" s="275" t="str">
        <f>IFERROR(__xludf.DUMMYFUNCTION("""COMPUTED_VALUE"""),"RPG")</f>
        <v>RPG</v>
      </c>
    </row>
    <row r="620">
      <c r="A620" s="17" t="str">
        <f>IFERROR(__xludf.DUMMYFUNCTION("""COMPUTED_VALUE"""),"Ghost of a Tale")</f>
        <v>Ghost of a Tale</v>
      </c>
      <c r="B620" s="20" t="str">
        <f>IFERROR(__xludf.DUMMYFUNCTION("""COMPUTED_VALUE"""),"PC")</f>
        <v>PC</v>
      </c>
      <c r="C620" s="21"/>
      <c r="D620" s="21" t="str">
        <f>IFERROR(__xludf.DUMMYFUNCTION("""COMPUTED_VALUE"""),"Removed")</f>
        <v>Removed</v>
      </c>
      <c r="E620" s="23">
        <f>IFERROR(__xludf.DUMMYFUNCTION("""COMPUTED_VALUE"""),44231.0)</f>
        <v>44231</v>
      </c>
      <c r="F620" s="276">
        <f>IFERROR(__xludf.DUMMYFUNCTION("""COMPUTED_VALUE"""),44576.0)</f>
        <v>44576</v>
      </c>
      <c r="G620" s="27">
        <f>IFERROR(__xludf.DUMMYFUNCTION("""COMPUTED_VALUE"""),11.366666666666667)</f>
        <v>11.36666667</v>
      </c>
      <c r="H620" s="128">
        <f>IFERROR(__xludf.DUMMYFUNCTION("""COMPUTED_VALUE"""),43172.0)</f>
        <v>43172</v>
      </c>
      <c r="I620" s="27">
        <f>IFERROR(__xludf.DUMMYFUNCTION("""COMPUTED_VALUE"""),2.8916666666666666)</f>
        <v>2.891666667</v>
      </c>
      <c r="J620" s="277">
        <f>IFERROR(__xludf.DUMMYFUNCTION("""COMPUTED_VALUE"""),75.0)</f>
        <v>75</v>
      </c>
      <c r="K620" s="277">
        <f>IFERROR(__xludf.DUMMYFUNCTION("""COMPUTED_VALUE"""),10.5)</f>
        <v>10.5</v>
      </c>
      <c r="L620" s="275" t="str">
        <f>IFERROR(__xludf.DUMMYFUNCTION("""COMPUTED_VALUE"""),"RPG")</f>
        <v>RPG</v>
      </c>
    </row>
    <row r="621">
      <c r="A621" s="278" t="str">
        <f>IFERROR(__xludf.DUMMYFUNCTION("""COMPUTED_VALUE"""),"Desperados III")</f>
        <v>Desperados III</v>
      </c>
      <c r="B621" s="20" t="str">
        <f>IFERROR(__xludf.DUMMYFUNCTION("""COMPUTED_VALUE"""),"Xbox / PC")</f>
        <v>Xbox / PC</v>
      </c>
      <c r="C621" s="21" t="str">
        <f>IFERROR(__xludf.DUMMYFUNCTION("""COMPUTED_VALUE"""),"Touch Controls")</f>
        <v>Touch Controls</v>
      </c>
      <c r="D621" s="21" t="str">
        <f>IFERROR(__xludf.DUMMYFUNCTION("""COMPUTED_VALUE"""),"Removed")</f>
        <v>Removed</v>
      </c>
      <c r="E621" s="279">
        <f>IFERROR(__xludf.DUMMYFUNCTION("""COMPUTED_VALUE"""),44217.0)</f>
        <v>44217</v>
      </c>
      <c r="F621" s="276">
        <f>IFERROR(__xludf.DUMMYFUNCTION("""COMPUTED_VALUE"""),44576.0)</f>
        <v>44576</v>
      </c>
      <c r="G621" s="27">
        <f>IFERROR(__xludf.DUMMYFUNCTION("""COMPUTED_VALUE"""),11.799999999999999)</f>
        <v>11.8</v>
      </c>
      <c r="H621" s="128">
        <f>IFERROR(__xludf.DUMMYFUNCTION("""COMPUTED_VALUE"""),43998.0)</f>
        <v>43998</v>
      </c>
      <c r="I621" s="27">
        <f>IFERROR(__xludf.DUMMYFUNCTION("""COMPUTED_VALUE"""),0.5972222222222222)</f>
        <v>0.5972222222</v>
      </c>
      <c r="J621" s="277">
        <f>IFERROR(__xludf.DUMMYFUNCTION("""COMPUTED_VALUE"""),85.5)</f>
        <v>85.5</v>
      </c>
      <c r="K621" s="29">
        <f>IFERROR(__xludf.DUMMYFUNCTION("""COMPUTED_VALUE"""),26.5)</f>
        <v>26.5</v>
      </c>
      <c r="L621" s="275" t="str">
        <f>IFERROR(__xludf.DUMMYFUNCTION("""COMPUTED_VALUE"""),"Strategy")</f>
        <v>Strategy</v>
      </c>
    </row>
    <row r="622">
      <c r="A622" s="278" t="str">
        <f>IFERROR(__xludf.DUMMYFUNCTION("""COMPUTED_VALUE"""),"YIIK: A Postmodern RPG")</f>
        <v>YIIK: A Postmodern RPG</v>
      </c>
      <c r="B622" s="20" t="str">
        <f>IFERROR(__xludf.DUMMYFUNCTION("""COMPUTED_VALUE"""),"PC")</f>
        <v>PC</v>
      </c>
      <c r="C622" s="21"/>
      <c r="D622" s="21" t="str">
        <f>IFERROR(__xludf.DUMMYFUNCTION("""COMPUTED_VALUE"""),"Removed")</f>
        <v>Removed</v>
      </c>
      <c r="E622" s="279">
        <f>IFERROR(__xludf.DUMMYFUNCTION("""COMPUTED_VALUE"""),44210.0)</f>
        <v>44210</v>
      </c>
      <c r="F622" s="276">
        <f>IFERROR(__xludf.DUMMYFUNCTION("""COMPUTED_VALUE"""),44576.0)</f>
        <v>44576</v>
      </c>
      <c r="G622" s="27">
        <f>IFERROR(__xludf.DUMMYFUNCTION("""COMPUTED_VALUE"""),12.033333333333333)</f>
        <v>12.03333333</v>
      </c>
      <c r="H622" s="128">
        <f>IFERROR(__xludf.DUMMYFUNCTION("""COMPUTED_VALUE"""),43482.0)</f>
        <v>43482</v>
      </c>
      <c r="I622" s="27">
        <f>IFERROR(__xludf.DUMMYFUNCTION("""COMPUTED_VALUE"""),1.9916666666666667)</f>
        <v>1.991666667</v>
      </c>
      <c r="J622" s="277">
        <f>IFERROR(__xludf.DUMMYFUNCTION("""COMPUTED_VALUE"""),64.0)</f>
        <v>64</v>
      </c>
      <c r="K622" s="29">
        <f>IFERROR(__xludf.DUMMYFUNCTION("""COMPUTED_VALUE"""),56.0)</f>
        <v>56</v>
      </c>
      <c r="L622" s="275" t="str">
        <f>IFERROR(__xludf.DUMMYFUNCTION("""COMPUTED_VALUE"""),"RPG")</f>
        <v>RPG</v>
      </c>
    </row>
    <row r="623">
      <c r="A623" s="278" t="str">
        <f>IFERROR(__xludf.DUMMYFUNCTION("""COMPUTED_VALUE"""),"Mount &amp; Blade: Warband")</f>
        <v>Mount &amp; Blade: Warband</v>
      </c>
      <c r="B623" s="21" t="str">
        <f>IFERROR(__xludf.DUMMYFUNCTION("""COMPUTED_VALUE"""),"Xbox / PC")</f>
        <v>Xbox / PC</v>
      </c>
      <c r="C623" s="21" t="str">
        <f>IFERROR(__xludf.DUMMYFUNCTION("""COMPUTED_VALUE"""),"Yes")</f>
        <v>Yes</v>
      </c>
      <c r="D623" s="21" t="str">
        <f>IFERROR(__xludf.DUMMYFUNCTION("""COMPUTED_VALUE"""),"Removed")</f>
        <v>Removed</v>
      </c>
      <c r="E623" s="279">
        <f>IFERROR(__xludf.DUMMYFUNCTION("""COMPUTED_VALUE"""),44028.0)</f>
        <v>44028</v>
      </c>
      <c r="F623" s="276">
        <f>IFERROR(__xludf.DUMMYFUNCTION("""COMPUTED_VALUE"""),44576.0)</f>
        <v>44576</v>
      </c>
      <c r="G623" s="27">
        <f>IFERROR(__xludf.DUMMYFUNCTION("""COMPUTED_VALUE"""),17.96666666666667)</f>
        <v>17.96666667</v>
      </c>
      <c r="H623" s="128">
        <f>IFERROR(__xludf.DUMMYFUNCTION("""COMPUTED_VALUE"""),40267.0)</f>
        <v>40267</v>
      </c>
      <c r="I623" s="27">
        <f>IFERROR(__xludf.DUMMYFUNCTION("""COMPUTED_VALUE"""),10.294444444444444)</f>
        <v>10.29444444</v>
      </c>
      <c r="J623" s="277">
        <f>IFERROR(__xludf.DUMMYFUNCTION("""COMPUTED_VALUE"""),59.0)</f>
        <v>59</v>
      </c>
      <c r="K623" s="29">
        <f>IFERROR(__xludf.DUMMYFUNCTION("""COMPUTED_VALUE"""),120.0)</f>
        <v>120</v>
      </c>
      <c r="L623" s="275" t="str">
        <f>IFERROR(__xludf.DUMMYFUNCTION("""COMPUTED_VALUE"""),"RPG")</f>
        <v>RPG</v>
      </c>
    </row>
    <row r="624">
      <c r="A624" s="278" t="str">
        <f>IFERROR(__xludf.DUMMYFUNCTION("""COMPUTED_VALUE"""),"Pandemic: The Board Game")</f>
        <v>Pandemic: The Board Game</v>
      </c>
      <c r="B624" s="21" t="str">
        <f>IFERROR(__xludf.DUMMYFUNCTION("""COMPUTED_VALUE"""),"Xbox / PC")</f>
        <v>Xbox / PC</v>
      </c>
      <c r="C624" s="21"/>
      <c r="D624" s="21" t="str">
        <f>IFERROR(__xludf.DUMMYFUNCTION("""COMPUTED_VALUE"""),"Removed")</f>
        <v>Removed</v>
      </c>
      <c r="E624" s="279">
        <f>IFERROR(__xludf.DUMMYFUNCTION("""COMPUTED_VALUE"""),43678.0)</f>
        <v>43678</v>
      </c>
      <c r="F624" s="276">
        <f>IFERROR(__xludf.DUMMYFUNCTION("""COMPUTED_VALUE"""),44576.0)</f>
        <v>44576</v>
      </c>
      <c r="G624" s="27">
        <f>IFERROR(__xludf.DUMMYFUNCTION("""COMPUTED_VALUE"""),29.46666666666667)</f>
        <v>29.46666667</v>
      </c>
      <c r="H624" s="128">
        <f>IFERROR(__xludf.DUMMYFUNCTION("""COMPUTED_VALUE"""),43336.0)</f>
        <v>43336</v>
      </c>
      <c r="I624" s="27">
        <f>IFERROR(__xludf.DUMMYFUNCTION("""COMPUTED_VALUE"""),0.9361111111111111)</f>
        <v>0.9361111111</v>
      </c>
      <c r="J624" s="277">
        <f>IFERROR(__xludf.DUMMYFUNCTION("""COMPUTED_VALUE"""),60.0)</f>
        <v>60</v>
      </c>
      <c r="K624" s="29">
        <f>IFERROR(__xludf.DUMMYFUNCTION("""COMPUTED_VALUE"""),1.0)</f>
        <v>1</v>
      </c>
      <c r="L624" s="275" t="str">
        <f>IFERROR(__xludf.DUMMYFUNCTION("""COMPUTED_VALUE"""),"Trivia/Board Game")</f>
        <v>Trivia/Board Game</v>
      </c>
    </row>
    <row r="625">
      <c r="A625" s="278" t="str">
        <f>IFERROR(__xludf.DUMMYFUNCTION("""COMPUTED_VALUE"""),"PlayerUnknown's Battlegrounds")</f>
        <v>PlayerUnknown's Battlegrounds</v>
      </c>
      <c r="B625" s="20" t="str">
        <f>IFERROR(__xludf.DUMMYFUNCTION("""COMPUTED_VALUE"""),"Xbox")</f>
        <v>Xbox</v>
      </c>
      <c r="C625" s="21" t="str">
        <f>IFERROR(__xludf.DUMMYFUNCTION("""COMPUTED_VALUE"""),"Yes")</f>
        <v>Yes</v>
      </c>
      <c r="D625" s="21" t="str">
        <f>IFERROR(__xludf.DUMMYFUNCTION("""COMPUTED_VALUE"""),"Removed")</f>
        <v>Removed</v>
      </c>
      <c r="E625" s="279">
        <f>IFERROR(__xludf.DUMMYFUNCTION("""COMPUTED_VALUE"""),43416.0)</f>
        <v>43416</v>
      </c>
      <c r="F625" s="276">
        <f>IFERROR(__xludf.DUMMYFUNCTION("""COMPUTED_VALUE"""),44571.0)</f>
        <v>44571</v>
      </c>
      <c r="G625" s="27">
        <f>IFERROR(__xludf.DUMMYFUNCTION("""COMPUTED_VALUE"""),37.93333333333333)</f>
        <v>37.93333333</v>
      </c>
      <c r="H625" s="128">
        <f>IFERROR(__xludf.DUMMYFUNCTION("""COMPUTED_VALUE"""),42817.0)</f>
        <v>42817</v>
      </c>
      <c r="I625" s="27">
        <f>IFERROR(__xludf.DUMMYFUNCTION("""COMPUTED_VALUE"""),1.636111111111111)</f>
        <v>1.636111111</v>
      </c>
      <c r="J625" s="277">
        <f>IFERROR(__xludf.DUMMYFUNCTION("""COMPUTED_VALUE"""),85.0)</f>
        <v>85</v>
      </c>
      <c r="K625" s="29">
        <f>IFERROR(__xludf.DUMMYFUNCTION("""COMPUTED_VALUE"""),142.0)</f>
        <v>142</v>
      </c>
      <c r="L625" s="275" t="str">
        <f>IFERROR(__xludf.DUMMYFUNCTION("""COMPUTED_VALUE"""),"Shooter")</f>
        <v>Shooter</v>
      </c>
    </row>
    <row r="626">
      <c r="A626" s="278" t="str">
        <f>IFERROR(__xludf.DUMMYFUNCTION("""COMPUTED_VALUE"""),"eFootball PES 2021")</f>
        <v>eFootball PES 2021</v>
      </c>
      <c r="B626" s="20" t="str">
        <f>IFERROR(__xludf.DUMMYFUNCTION("""COMPUTED_VALUE"""),"Xbox")</f>
        <v>Xbox</v>
      </c>
      <c r="C626" s="21" t="str">
        <f>IFERROR(__xludf.DUMMYFUNCTION("""COMPUTED_VALUE"""),"Yes")</f>
        <v>Yes</v>
      </c>
      <c r="D626" s="21" t="str">
        <f>IFERROR(__xludf.DUMMYFUNCTION("""COMPUTED_VALUE"""),"Removed")</f>
        <v>Removed</v>
      </c>
      <c r="E626" s="279">
        <f>IFERROR(__xludf.DUMMYFUNCTION("""COMPUTED_VALUE"""),44203.0)</f>
        <v>44203</v>
      </c>
      <c r="F626" s="276">
        <f>IFERROR(__xludf.DUMMYFUNCTION("""COMPUTED_VALUE"""),44561.0)</f>
        <v>44561</v>
      </c>
      <c r="G626" s="27">
        <f>IFERROR(__xludf.DUMMYFUNCTION("""COMPUTED_VALUE"""),11.766666666666666)</f>
        <v>11.76666667</v>
      </c>
      <c r="H626" s="128">
        <f>IFERROR(__xludf.DUMMYFUNCTION("""COMPUTED_VALUE"""),44089.0)</f>
        <v>44089</v>
      </c>
      <c r="I626" s="27">
        <f>IFERROR(__xludf.DUMMYFUNCTION("""COMPUTED_VALUE"""),0.3111111111111111)</f>
        <v>0.3111111111</v>
      </c>
      <c r="J626" s="277">
        <f>IFERROR(__xludf.DUMMYFUNCTION("""COMPUTED_VALUE"""),73.0)</f>
        <v>73</v>
      </c>
      <c r="K626" s="277">
        <f>IFERROR(__xludf.DUMMYFUNCTION("""COMPUTED_VALUE"""),15.0)</f>
        <v>15</v>
      </c>
      <c r="L626" s="275" t="str">
        <f>IFERROR(__xludf.DUMMYFUNCTION("""COMPUTED_VALUE"""),"Soccer")</f>
        <v>Soccer</v>
      </c>
    </row>
    <row r="627">
      <c r="A627" s="278" t="str">
        <f>IFERROR(__xludf.DUMMYFUNCTION("""COMPUTED_VALUE"""),"The Little Acre")</f>
        <v>The Little Acre</v>
      </c>
      <c r="B627" s="20" t="str">
        <f>IFERROR(__xludf.DUMMYFUNCTION("""COMPUTED_VALUE"""),"Xbox")</f>
        <v>Xbox</v>
      </c>
      <c r="C627" s="21" t="str">
        <f>IFERROR(__xludf.DUMMYFUNCTION("""COMPUTED_VALUE"""),"Touch Controls")</f>
        <v>Touch Controls</v>
      </c>
      <c r="D627" s="21" t="str">
        <f>IFERROR(__xludf.DUMMYFUNCTION("""COMPUTED_VALUE"""),"Removed")</f>
        <v>Removed</v>
      </c>
      <c r="E627" s="279">
        <f>IFERROR(__xludf.DUMMYFUNCTION("""COMPUTED_VALUE"""),44203.0)</f>
        <v>44203</v>
      </c>
      <c r="F627" s="276">
        <f>IFERROR(__xludf.DUMMYFUNCTION("""COMPUTED_VALUE"""),44561.0)</f>
        <v>44561</v>
      </c>
      <c r="G627" s="27">
        <f>IFERROR(__xludf.DUMMYFUNCTION("""COMPUTED_VALUE"""),11.766666666666666)</f>
        <v>11.76666667</v>
      </c>
      <c r="H627" s="128">
        <f>IFERROR(__xludf.DUMMYFUNCTION("""COMPUTED_VALUE"""),42717.0)</f>
        <v>42717</v>
      </c>
      <c r="I627" s="27">
        <f>IFERROR(__xludf.DUMMYFUNCTION("""COMPUTED_VALUE"""),4.066666666666666)</f>
        <v>4.066666667</v>
      </c>
      <c r="J627" s="277">
        <f>IFERROR(__xludf.DUMMYFUNCTION("""COMPUTED_VALUE"""),75.0)</f>
        <v>75</v>
      </c>
      <c r="K627" s="277">
        <f>IFERROR(__xludf.DUMMYFUNCTION("""COMPUTED_VALUE"""),2.0)</f>
        <v>2</v>
      </c>
      <c r="L627" s="275" t="str">
        <f>IFERROR(__xludf.DUMMYFUNCTION("""COMPUTED_VALUE"""),"Adventure")</f>
        <v>Adventure</v>
      </c>
    </row>
    <row r="628">
      <c r="A628" s="17" t="str">
        <f>IFERROR(__xludf.DUMMYFUNCTION("""COMPUTED_VALUE"""),"Beholder: Complete Edition")</f>
        <v>Beholder: Complete Edition</v>
      </c>
      <c r="B628" s="20" t="str">
        <f>IFERROR(__xludf.DUMMYFUNCTION("""COMPUTED_VALUE"""),"Xbox / PC")</f>
        <v>Xbox / PC</v>
      </c>
      <c r="C628" s="21" t="str">
        <f>IFERROR(__xludf.DUMMYFUNCTION("""COMPUTED_VALUE"""),"Touch Controls")</f>
        <v>Touch Controls</v>
      </c>
      <c r="D628" s="21" t="str">
        <f>IFERROR(__xludf.DUMMYFUNCTION("""COMPUTED_VALUE"""),"Removed")</f>
        <v>Removed</v>
      </c>
      <c r="E628" s="279">
        <f>IFERROR(__xludf.DUMMYFUNCTION("""COMPUTED_VALUE"""),44182.0)</f>
        <v>44182</v>
      </c>
      <c r="F628" s="276">
        <f>IFERROR(__xludf.DUMMYFUNCTION("""COMPUTED_VALUE"""),44545.0)</f>
        <v>44545</v>
      </c>
      <c r="G628" s="27">
        <f>IFERROR(__xludf.DUMMYFUNCTION("""COMPUTED_VALUE"""),11.933333333333334)</f>
        <v>11.93333333</v>
      </c>
      <c r="H628" s="128">
        <f>IFERROR(__xludf.DUMMYFUNCTION("""COMPUTED_VALUE"""),43116.0)</f>
        <v>43116</v>
      </c>
      <c r="I628" s="27">
        <f>IFERROR(__xludf.DUMMYFUNCTION("""COMPUTED_VALUE"""),2.9194444444444443)</f>
        <v>2.919444444</v>
      </c>
      <c r="J628" s="277">
        <f>IFERROR(__xludf.DUMMYFUNCTION("""COMPUTED_VALUE"""),74.0)</f>
        <v>74</v>
      </c>
      <c r="K628" s="277">
        <f>IFERROR(__xludf.DUMMYFUNCTION("""COMPUTED_VALUE"""),5.5)</f>
        <v>5.5</v>
      </c>
      <c r="L628" s="275" t="str">
        <f>IFERROR(__xludf.DUMMYFUNCTION("""COMPUTED_VALUE"""),"Simulation")</f>
        <v>Simulation</v>
      </c>
    </row>
    <row r="629">
      <c r="A629" s="278" t="str">
        <f>IFERROR(__xludf.DUMMYFUNCTION("""COMPUTED_VALUE"""),"Wilmot's Warehouse")</f>
        <v>Wilmot's Warehouse</v>
      </c>
      <c r="B629" s="20" t="str">
        <f>IFERROR(__xludf.DUMMYFUNCTION("""COMPUTED_VALUE"""),"Xbox / PC")</f>
        <v>Xbox / PC</v>
      </c>
      <c r="C629" s="21"/>
      <c r="D629" s="21" t="str">
        <f>IFERROR(__xludf.DUMMYFUNCTION("""COMPUTED_VALUE"""),"Removed")</f>
        <v>Removed</v>
      </c>
      <c r="E629" s="279">
        <f>IFERROR(__xludf.DUMMYFUNCTION("""COMPUTED_VALUE"""),44182.0)</f>
        <v>44182</v>
      </c>
      <c r="F629" s="276">
        <f>IFERROR(__xludf.DUMMYFUNCTION("""COMPUTED_VALUE"""),44545.0)</f>
        <v>44545</v>
      </c>
      <c r="G629" s="27">
        <f>IFERROR(__xludf.DUMMYFUNCTION("""COMPUTED_VALUE"""),11.933333333333334)</f>
        <v>11.93333333</v>
      </c>
      <c r="H629" s="128">
        <f>IFERROR(__xludf.DUMMYFUNCTION("""COMPUTED_VALUE"""),43706.0)</f>
        <v>43706</v>
      </c>
      <c r="I629" s="27">
        <f>IFERROR(__xludf.DUMMYFUNCTION("""COMPUTED_VALUE"""),1.3)</f>
        <v>1.3</v>
      </c>
      <c r="J629" s="277">
        <f>IFERROR(__xludf.DUMMYFUNCTION("""COMPUTED_VALUE"""),85.0)</f>
        <v>85</v>
      </c>
      <c r="K629" s="29">
        <f>IFERROR(__xludf.DUMMYFUNCTION("""COMPUTED_VALUE"""),8.5)</f>
        <v>8.5</v>
      </c>
      <c r="L629" s="275" t="str">
        <f>IFERROR(__xludf.DUMMYFUNCTION("""COMPUTED_VALUE"""),"Puzzle")</f>
        <v>Puzzle</v>
      </c>
    </row>
    <row r="630">
      <c r="A630" s="278" t="str">
        <f>IFERROR(__xludf.DUMMYFUNCTION("""COMPUTED_VALUE"""),"Yooka-Laylee and the Impossible Lair")</f>
        <v>Yooka-Laylee and the Impossible Lair</v>
      </c>
      <c r="B630" s="21" t="str">
        <f>IFERROR(__xludf.DUMMYFUNCTION("""COMPUTED_VALUE"""),"Xbox / PC")</f>
        <v>Xbox / PC</v>
      </c>
      <c r="C630" s="21" t="str">
        <f>IFERROR(__xludf.DUMMYFUNCTION("""COMPUTED_VALUE"""),"Touch Controls")</f>
        <v>Touch Controls</v>
      </c>
      <c r="D630" s="21" t="str">
        <f>IFERROR(__xludf.DUMMYFUNCTION("""COMPUTED_VALUE"""),"Removed")</f>
        <v>Removed</v>
      </c>
      <c r="E630" s="279">
        <f>IFERROR(__xludf.DUMMYFUNCTION("""COMPUTED_VALUE"""),44175.0)</f>
        <v>44175</v>
      </c>
      <c r="F630" s="276">
        <f>IFERROR(__xludf.DUMMYFUNCTION("""COMPUTED_VALUE"""),44545.0)</f>
        <v>44545</v>
      </c>
      <c r="G630" s="27">
        <f>IFERROR(__xludf.DUMMYFUNCTION("""COMPUTED_VALUE"""),12.166666666666666)</f>
        <v>12.16666667</v>
      </c>
      <c r="H630" s="128">
        <f>IFERROR(__xludf.DUMMYFUNCTION("""COMPUTED_VALUE"""),43746.0)</f>
        <v>43746</v>
      </c>
      <c r="I630" s="27">
        <f>IFERROR(__xludf.DUMMYFUNCTION("""COMPUTED_VALUE"""),1.1722222222222223)</f>
        <v>1.172222222</v>
      </c>
      <c r="J630" s="277">
        <f>IFERROR(__xludf.DUMMYFUNCTION("""COMPUTED_VALUE"""),82.5)</f>
        <v>82.5</v>
      </c>
      <c r="K630" s="277">
        <f>IFERROR(__xludf.DUMMYFUNCTION("""COMPUTED_VALUE"""),13.0)</f>
        <v>13</v>
      </c>
      <c r="L630" s="275" t="str">
        <f>IFERROR(__xludf.DUMMYFUNCTION("""COMPUTED_VALUE"""),"Platformer")</f>
        <v>Platformer</v>
      </c>
    </row>
    <row r="631">
      <c r="A631" s="278" t="str">
        <f>IFERROR(__xludf.DUMMYFUNCTION("""COMPUTED_VALUE"""),"Unto the End")</f>
        <v>Unto the End</v>
      </c>
      <c r="B631" s="20" t="str">
        <f>IFERROR(__xludf.DUMMYFUNCTION("""COMPUTED_VALUE"""),"Xbox / PC")</f>
        <v>Xbox / PC</v>
      </c>
      <c r="C631" s="21"/>
      <c r="D631" s="21" t="str">
        <f>IFERROR(__xludf.DUMMYFUNCTION("""COMPUTED_VALUE"""),"Removed")</f>
        <v>Removed</v>
      </c>
      <c r="E631" s="279">
        <f>IFERROR(__xludf.DUMMYFUNCTION("""COMPUTED_VALUE"""),44174.0)</f>
        <v>44174</v>
      </c>
      <c r="F631" s="279">
        <f>IFERROR(__xludf.DUMMYFUNCTION("""COMPUTED_VALUE"""),44545.0)</f>
        <v>44545</v>
      </c>
      <c r="G631" s="27">
        <f>IFERROR(__xludf.DUMMYFUNCTION("""COMPUTED_VALUE"""),12.2)</f>
        <v>12.2</v>
      </c>
      <c r="H631" s="128">
        <f>IFERROR(__xludf.DUMMYFUNCTION("""COMPUTED_VALUE"""),44174.0)</f>
        <v>44174</v>
      </c>
      <c r="I631" s="27">
        <f>IFERROR(__xludf.DUMMYFUNCTION("""COMPUTED_VALUE"""),0.0)</f>
        <v>0</v>
      </c>
      <c r="J631" s="277">
        <f>IFERROR(__xludf.DUMMYFUNCTION("""COMPUTED_VALUE"""),65.5)</f>
        <v>65.5</v>
      </c>
      <c r="K631" s="29">
        <f>IFERROR(__xludf.DUMMYFUNCTION("""COMPUTED_VALUE"""),4.5)</f>
        <v>4.5</v>
      </c>
      <c r="L631" s="275" t="str">
        <f>IFERROR(__xludf.DUMMYFUNCTION("""COMPUTED_VALUE"""),"Action-Adventure")</f>
        <v>Action-Adventure</v>
      </c>
    </row>
    <row r="632">
      <c r="A632" s="278" t="str">
        <f>IFERROR(__xludf.DUMMYFUNCTION("""COMPUTED_VALUE"""),"The Dark Pictures Anthology: Man Of Medan")</f>
        <v>The Dark Pictures Anthology: Man Of Medan</v>
      </c>
      <c r="B632" s="20" t="str">
        <f>IFERROR(__xludf.DUMMYFUNCTION("""COMPUTED_VALUE"""),"Xbox / PC")</f>
        <v>Xbox / PC</v>
      </c>
      <c r="C632" s="21"/>
      <c r="D632" s="21" t="str">
        <f>IFERROR(__xludf.DUMMYFUNCTION("""COMPUTED_VALUE"""),"Removed")</f>
        <v>Removed</v>
      </c>
      <c r="E632" s="279">
        <f>IFERROR(__xludf.DUMMYFUNCTION("""COMPUTED_VALUE"""),44049.0)</f>
        <v>44049</v>
      </c>
      <c r="F632" s="279">
        <f>IFERROR(__xludf.DUMMYFUNCTION("""COMPUTED_VALUE"""),44545.0)</f>
        <v>44545</v>
      </c>
      <c r="G632" s="27">
        <f>IFERROR(__xludf.DUMMYFUNCTION("""COMPUTED_VALUE"""),16.3)</f>
        <v>16.3</v>
      </c>
      <c r="H632" s="128">
        <f>IFERROR(__xludf.DUMMYFUNCTION("""COMPUTED_VALUE"""),43707.0)</f>
        <v>43707</v>
      </c>
      <c r="I632" s="27">
        <f>IFERROR(__xludf.DUMMYFUNCTION("""COMPUTED_VALUE"""),0.9333333333333333)</f>
        <v>0.9333333333</v>
      </c>
      <c r="J632" s="29">
        <f>IFERROR(__xludf.DUMMYFUNCTION("""COMPUTED_VALUE"""),69.0)</f>
        <v>69</v>
      </c>
      <c r="K632" s="29">
        <f>IFERROR(__xludf.DUMMYFUNCTION("""COMPUTED_VALUE"""),4.0)</f>
        <v>4</v>
      </c>
      <c r="L632" s="275" t="str">
        <f>IFERROR(__xludf.DUMMYFUNCTION("""COMPUTED_VALUE"""),"Adventure")</f>
        <v>Adventure</v>
      </c>
    </row>
    <row r="633">
      <c r="A633" s="278" t="str">
        <f>IFERROR(__xludf.DUMMYFUNCTION("""COMPUTED_VALUE"""),"Guacamelee! 2")</f>
        <v>Guacamelee! 2</v>
      </c>
      <c r="B633" s="20" t="str">
        <f>IFERROR(__xludf.DUMMYFUNCTION("""COMPUTED_VALUE"""),"Xbox / PC")</f>
        <v>Xbox / PC</v>
      </c>
      <c r="C633" s="21" t="str">
        <f>IFERROR(__xludf.DUMMYFUNCTION("""COMPUTED_VALUE"""),"Touch Controls")</f>
        <v>Touch Controls</v>
      </c>
      <c r="D633" s="21" t="str">
        <f>IFERROR(__xludf.DUMMYFUNCTION("""COMPUTED_VALUE"""),"Removed")</f>
        <v>Removed</v>
      </c>
      <c r="E633" s="279">
        <f>IFERROR(__xludf.DUMMYFUNCTION("""COMPUTED_VALUE"""),43625.0)</f>
        <v>43625</v>
      </c>
      <c r="F633" s="279">
        <f>IFERROR(__xludf.DUMMYFUNCTION("""COMPUTED_VALUE"""),44545.0)</f>
        <v>44545</v>
      </c>
      <c r="G633" s="27">
        <f>IFERROR(__xludf.DUMMYFUNCTION("""COMPUTED_VALUE"""),30.2)</f>
        <v>30.2</v>
      </c>
      <c r="H633" s="128">
        <f>IFERROR(__xludf.DUMMYFUNCTION("""COMPUTED_VALUE"""),43333.0)</f>
        <v>43333</v>
      </c>
      <c r="I633" s="27">
        <f>IFERROR(__xludf.DUMMYFUNCTION("""COMPUTED_VALUE"""),0.8)</f>
        <v>0.8</v>
      </c>
      <c r="J633" s="277">
        <f>IFERROR(__xludf.DUMMYFUNCTION("""COMPUTED_VALUE"""),85.0)</f>
        <v>85</v>
      </c>
      <c r="K633" s="29">
        <f>IFERROR(__xludf.DUMMYFUNCTION("""COMPUTED_VALUE"""),8.5)</f>
        <v>8.5</v>
      </c>
      <c r="L633" s="275" t="str">
        <f>IFERROR(__xludf.DUMMYFUNCTION("""COMPUTED_VALUE"""),"Platformer")</f>
        <v>Platformer</v>
      </c>
    </row>
    <row r="634">
      <c r="A634" s="278" t="str">
        <f>IFERROR(__xludf.DUMMYFUNCTION("""COMPUTED_VALUE"""),"SUPERHOT")</f>
        <v>SUPERHOT</v>
      </c>
      <c r="B634" s="20" t="str">
        <f>IFERROR(__xludf.DUMMYFUNCTION("""COMPUTED_VALUE"""),"PC")</f>
        <v>PC</v>
      </c>
      <c r="C634" s="21"/>
      <c r="D634" s="21" t="str">
        <f>IFERROR(__xludf.DUMMYFUNCTION("""COMPUTED_VALUE"""),"Removed")</f>
        <v>Removed</v>
      </c>
      <c r="E634" s="279">
        <f>IFERROR(__xludf.DUMMYFUNCTION("""COMPUTED_VALUE"""),43622.0)</f>
        <v>43622</v>
      </c>
      <c r="F634" s="279">
        <f>IFERROR(__xludf.DUMMYFUNCTION("""COMPUTED_VALUE"""),44540.0)</f>
        <v>44540</v>
      </c>
      <c r="G634" s="27">
        <f>IFERROR(__xludf.DUMMYFUNCTION("""COMPUTED_VALUE"""),30.133333333333333)</f>
        <v>30.13333333</v>
      </c>
      <c r="H634" s="128">
        <f>IFERROR(__xludf.DUMMYFUNCTION("""COMPUTED_VALUE"""),42425.0)</f>
        <v>42425</v>
      </c>
      <c r="I634" s="27">
        <f>IFERROR(__xludf.DUMMYFUNCTION("""COMPUTED_VALUE"""),3.2805555555555554)</f>
        <v>3.280555556</v>
      </c>
      <c r="J634" s="277">
        <f>IFERROR(__xludf.DUMMYFUNCTION("""COMPUTED_VALUE"""),83.0)</f>
        <v>83</v>
      </c>
      <c r="K634" s="277">
        <f>IFERROR(__xludf.DUMMYFUNCTION("""COMPUTED_VALUE"""),2.5)</f>
        <v>2.5</v>
      </c>
      <c r="L634" s="275" t="str">
        <f>IFERROR(__xludf.DUMMYFUNCTION("""COMPUTED_VALUE"""),"Shooter")</f>
        <v>Shooter</v>
      </c>
    </row>
    <row r="635">
      <c r="A635" s="17" t="str">
        <f>IFERROR(__xludf.DUMMYFUNCTION("""COMPUTED_VALUE"""),"Football Manager 2021")</f>
        <v>Football Manager 2021</v>
      </c>
      <c r="B635" s="20" t="str">
        <f>IFERROR(__xludf.DUMMYFUNCTION("""COMPUTED_VALUE"""),"Xbox / PC")</f>
        <v>Xbox / PC</v>
      </c>
      <c r="C635" s="21" t="str">
        <f>IFERROR(__xludf.DUMMYFUNCTION("""COMPUTED_VALUE"""),"Yes")</f>
        <v>Yes</v>
      </c>
      <c r="D635" s="21" t="str">
        <f>IFERROR(__xludf.DUMMYFUNCTION("""COMPUTED_VALUE"""),"Removed")</f>
        <v>Removed</v>
      </c>
      <c r="E635" s="279">
        <f>IFERROR(__xludf.DUMMYFUNCTION("""COMPUTED_VALUE"""),44259.0)</f>
        <v>44259</v>
      </c>
      <c r="F635" s="279">
        <f>IFERROR(__xludf.DUMMYFUNCTION("""COMPUTED_VALUE"""),44530.0)</f>
        <v>44530</v>
      </c>
      <c r="G635" s="27">
        <f>IFERROR(__xludf.DUMMYFUNCTION("""COMPUTED_VALUE"""),8.866666666666667)</f>
        <v>8.866666667</v>
      </c>
      <c r="H635" s="128">
        <f>IFERROR(__xludf.DUMMYFUNCTION("""COMPUTED_VALUE"""),44159.0)</f>
        <v>44159</v>
      </c>
      <c r="I635" s="27">
        <f>IFERROR(__xludf.DUMMYFUNCTION("""COMPUTED_VALUE"""),0.2777777777777778)</f>
        <v>0.2777777778</v>
      </c>
      <c r="J635" s="277">
        <f>IFERROR(__xludf.DUMMYFUNCTION("""COMPUTED_VALUE"""),81.5)</f>
        <v>81.5</v>
      </c>
      <c r="K635" s="277">
        <f>IFERROR(__xludf.DUMMYFUNCTION("""COMPUTED_VALUE"""),117.0)</f>
        <v>117</v>
      </c>
      <c r="L635" s="275" t="str">
        <f>IFERROR(__xludf.DUMMYFUNCTION("""COMPUTED_VALUE"""),"Simulation")</f>
        <v>Simulation</v>
      </c>
    </row>
    <row r="636">
      <c r="A636" s="278" t="str">
        <f>IFERROR(__xludf.DUMMYFUNCTION("""COMPUTED_VALUE"""),"Mørkredd")</f>
        <v>Mørkredd</v>
      </c>
      <c r="B636" s="20" t="str">
        <f>IFERROR(__xludf.DUMMYFUNCTION("""COMPUTED_VALUE"""),"Xbox / PC")</f>
        <v>Xbox / PC</v>
      </c>
      <c r="C636" s="21" t="str">
        <f>IFERROR(__xludf.DUMMYFUNCTION("""COMPUTED_VALUE"""),"Touch Controls")</f>
        <v>Touch Controls</v>
      </c>
      <c r="D636" s="21" t="str">
        <f>IFERROR(__xludf.DUMMYFUNCTION("""COMPUTED_VALUE"""),"Removed")</f>
        <v>Removed</v>
      </c>
      <c r="E636" s="279">
        <f>IFERROR(__xludf.DUMMYFUNCTION("""COMPUTED_VALUE"""),44176.0)</f>
        <v>44176</v>
      </c>
      <c r="F636" s="279">
        <f>IFERROR(__xludf.DUMMYFUNCTION("""COMPUTED_VALUE"""),44530.0)</f>
        <v>44530</v>
      </c>
      <c r="G636" s="27">
        <f>IFERROR(__xludf.DUMMYFUNCTION("""COMPUTED_VALUE"""),11.633333333333333)</f>
        <v>11.63333333</v>
      </c>
      <c r="H636" s="128">
        <f>IFERROR(__xludf.DUMMYFUNCTION("""COMPUTED_VALUE"""),44176.0)</f>
        <v>44176</v>
      </c>
      <c r="I636" s="27">
        <f>IFERROR(__xludf.DUMMYFUNCTION("""COMPUTED_VALUE"""),0.0)</f>
        <v>0</v>
      </c>
      <c r="J636" s="29">
        <f>IFERROR(__xludf.DUMMYFUNCTION("""COMPUTED_VALUE"""),66.5)</f>
        <v>66.5</v>
      </c>
      <c r="K636" s="29">
        <f>IFERROR(__xludf.DUMMYFUNCTION("""COMPUTED_VALUE"""),2.5)</f>
        <v>2.5</v>
      </c>
      <c r="L636" s="31" t="str">
        <f>IFERROR(__xludf.DUMMYFUNCTION("""COMPUTED_VALUE"""),"Puzzle")</f>
        <v>Puzzle</v>
      </c>
    </row>
    <row r="637">
      <c r="A637" s="278" t="str">
        <f>IFERROR(__xludf.DUMMYFUNCTION("""COMPUTED_VALUE"""),"Call of the Sea")</f>
        <v>Call of the Sea</v>
      </c>
      <c r="B637" s="20" t="str">
        <f>IFERROR(__xludf.DUMMYFUNCTION("""COMPUTED_VALUE"""),"Xbox / PC")</f>
        <v>Xbox / PC</v>
      </c>
      <c r="C637" s="21" t="str">
        <f>IFERROR(__xludf.DUMMYFUNCTION("""COMPUTED_VALUE"""),"Touch Controls")</f>
        <v>Touch Controls</v>
      </c>
      <c r="D637" s="21" t="str">
        <f>IFERROR(__xludf.DUMMYFUNCTION("""COMPUTED_VALUE"""),"Removed")</f>
        <v>Removed</v>
      </c>
      <c r="E637" s="279">
        <f>IFERROR(__xludf.DUMMYFUNCTION("""COMPUTED_VALUE"""),44173.0)</f>
        <v>44173</v>
      </c>
      <c r="F637" s="279">
        <f>IFERROR(__xludf.DUMMYFUNCTION("""COMPUTED_VALUE"""),44530.0)</f>
        <v>44530</v>
      </c>
      <c r="G637" s="27">
        <f>IFERROR(__xludf.DUMMYFUNCTION("""COMPUTED_VALUE"""),11.733333333333333)</f>
        <v>11.73333333</v>
      </c>
      <c r="H637" s="128">
        <f>IFERROR(__xludf.DUMMYFUNCTION("""COMPUTED_VALUE"""),44173.0)</f>
        <v>44173</v>
      </c>
      <c r="I637" s="27">
        <f>IFERROR(__xludf.DUMMYFUNCTION("""COMPUTED_VALUE"""),0.0)</f>
        <v>0</v>
      </c>
      <c r="J637" s="29">
        <f>IFERROR(__xludf.DUMMYFUNCTION("""COMPUTED_VALUE"""),78.66666666666667)</f>
        <v>78.66666667</v>
      </c>
      <c r="K637" s="29">
        <f>IFERROR(__xludf.DUMMYFUNCTION("""COMPUTED_VALUE"""),6.0)</f>
        <v>6</v>
      </c>
      <c r="L637" s="275" t="str">
        <f>IFERROR(__xludf.DUMMYFUNCTION("""COMPUTED_VALUE"""),"RPG")</f>
        <v>RPG</v>
      </c>
    </row>
    <row r="638">
      <c r="A638" s="278" t="str">
        <f>IFERROR(__xludf.DUMMYFUNCTION("""COMPUTED_VALUE"""),"Haven")</f>
        <v>Haven</v>
      </c>
      <c r="B638" s="20" t="str">
        <f>IFERROR(__xludf.DUMMYFUNCTION("""COMPUTED_VALUE"""),"Xbox / PC")</f>
        <v>Xbox / PC</v>
      </c>
      <c r="C638" s="21" t="str">
        <f>IFERROR(__xludf.DUMMYFUNCTION("""COMPUTED_VALUE"""),"Touch Controls")</f>
        <v>Touch Controls</v>
      </c>
      <c r="D638" s="21" t="str">
        <f>IFERROR(__xludf.DUMMYFUNCTION("""COMPUTED_VALUE"""),"Removed")</f>
        <v>Removed</v>
      </c>
      <c r="E638" s="279">
        <f>IFERROR(__xludf.DUMMYFUNCTION("""COMPUTED_VALUE"""),44168.0)</f>
        <v>44168</v>
      </c>
      <c r="F638" s="279">
        <f>IFERROR(__xludf.DUMMYFUNCTION("""COMPUTED_VALUE"""),44530.0)</f>
        <v>44530</v>
      </c>
      <c r="G638" s="27">
        <f>IFERROR(__xludf.DUMMYFUNCTION("""COMPUTED_VALUE"""),11.9)</f>
        <v>11.9</v>
      </c>
      <c r="H638" s="128">
        <f>IFERROR(__xludf.DUMMYFUNCTION("""COMPUTED_VALUE"""),44168.0)</f>
        <v>44168</v>
      </c>
      <c r="I638" s="27">
        <f>IFERROR(__xludf.DUMMYFUNCTION("""COMPUTED_VALUE"""),0.0)</f>
        <v>0</v>
      </c>
      <c r="J638" s="29">
        <f>IFERROR(__xludf.DUMMYFUNCTION("""COMPUTED_VALUE"""),75.0)</f>
        <v>75</v>
      </c>
      <c r="K638" s="29">
        <f>IFERROR(__xludf.DUMMYFUNCTION("""COMPUTED_VALUE"""),10.0)</f>
        <v>10</v>
      </c>
      <c r="L638" s="275" t="str">
        <f>IFERROR(__xludf.DUMMYFUNCTION("""COMPUTED_VALUE"""),"RPG")</f>
        <v>RPG</v>
      </c>
    </row>
    <row r="639">
      <c r="A639" s="278" t="str">
        <f>IFERROR(__xludf.DUMMYFUNCTION("""COMPUTED_VALUE"""),"Va-11 Hall-A: Cyberpunk Bartender Action")</f>
        <v>Va-11 Hall-A: Cyberpunk Bartender Action</v>
      </c>
      <c r="B639" s="21" t="str">
        <f>IFERROR(__xludf.DUMMYFUNCTION("""COMPUTED_VALUE"""),"PC")</f>
        <v>PC</v>
      </c>
      <c r="C639" s="21"/>
      <c r="D639" s="21" t="str">
        <f>IFERROR(__xludf.DUMMYFUNCTION("""COMPUTED_VALUE"""),"Removed")</f>
        <v>Removed</v>
      </c>
      <c r="E639" s="279">
        <f>IFERROR(__xludf.DUMMYFUNCTION("""COMPUTED_VALUE"""),44168.0)</f>
        <v>44168</v>
      </c>
      <c r="F639" s="279">
        <f>IFERROR(__xludf.DUMMYFUNCTION("""COMPUTED_VALUE"""),44530.0)</f>
        <v>44530</v>
      </c>
      <c r="G639" s="27">
        <f>IFERROR(__xludf.DUMMYFUNCTION("""COMPUTED_VALUE"""),11.9)</f>
        <v>11.9</v>
      </c>
      <c r="H639" s="128">
        <f>IFERROR(__xludf.DUMMYFUNCTION("""COMPUTED_VALUE"""),42542.0)</f>
        <v>42542</v>
      </c>
      <c r="I639" s="27">
        <f>IFERROR(__xludf.DUMMYFUNCTION("""COMPUTED_VALUE"""),4.45)</f>
        <v>4.45</v>
      </c>
      <c r="J639" s="29">
        <f>IFERROR(__xludf.DUMMYFUNCTION("""COMPUTED_VALUE"""),77.0)</f>
        <v>77</v>
      </c>
      <c r="K639" s="29">
        <f>IFERROR(__xludf.DUMMYFUNCTION("""COMPUTED_VALUE"""),11.0)</f>
        <v>11</v>
      </c>
      <c r="L639" s="275" t="str">
        <f>IFERROR(__xludf.DUMMYFUNCTION("""COMPUTED_VALUE"""),"Adventure")</f>
        <v>Adventure</v>
      </c>
    </row>
    <row r="640">
      <c r="A640" s="278" t="str">
        <f>IFERROR(__xludf.DUMMYFUNCTION("""COMPUTED_VALUE"""),"FIFA 19")</f>
        <v>FIFA 19</v>
      </c>
      <c r="B640" s="21" t="str">
        <f>IFERROR(__xludf.DUMMYFUNCTION("""COMPUTED_VALUE"""),"Xbox / PC")</f>
        <v>Xbox / PC</v>
      </c>
      <c r="C640" s="21"/>
      <c r="D640" s="21" t="str">
        <f>IFERROR(__xludf.DUMMYFUNCTION("""COMPUTED_VALUE"""),"Removed")</f>
        <v>Removed</v>
      </c>
      <c r="E640" s="279">
        <f>IFERROR(__xludf.DUMMYFUNCTION("""COMPUTED_VALUE"""),44145.0)</f>
        <v>44145</v>
      </c>
      <c r="F640" s="279">
        <f>IFERROR(__xludf.DUMMYFUNCTION("""COMPUTED_VALUE"""),44530.0)</f>
        <v>44530</v>
      </c>
      <c r="G640" s="27">
        <f>IFERROR(__xludf.DUMMYFUNCTION("""COMPUTED_VALUE"""),12.666666666666668)</f>
        <v>12.66666667</v>
      </c>
      <c r="H640" s="128">
        <f>IFERROR(__xludf.DUMMYFUNCTION("""COMPUTED_VALUE"""),43371.0)</f>
        <v>43371</v>
      </c>
      <c r="I640" s="27">
        <f>IFERROR(__xludf.DUMMYFUNCTION("""COMPUTED_VALUE"""),2.1166666666666667)</f>
        <v>2.116666667</v>
      </c>
      <c r="J640" s="29">
        <f>IFERROR(__xludf.DUMMYFUNCTION("""COMPUTED_VALUE"""),83.0)</f>
        <v>83</v>
      </c>
      <c r="K640" s="29">
        <f>IFERROR(__xludf.DUMMYFUNCTION("""COMPUTED_VALUE"""),48.5)</f>
        <v>48.5</v>
      </c>
      <c r="L640" s="275" t="str">
        <f>IFERROR(__xludf.DUMMYFUNCTION("""COMPUTED_VALUE"""),"Sports")</f>
        <v>Sports</v>
      </c>
    </row>
    <row r="641">
      <c r="A641" s="278" t="str">
        <f>IFERROR(__xludf.DUMMYFUNCTION("""COMPUTED_VALUE"""),"Hello Neighbor")</f>
        <v>Hello Neighbor</v>
      </c>
      <c r="B641" s="20" t="str">
        <f>IFERROR(__xludf.DUMMYFUNCTION("""COMPUTED_VALUE"""),"Xbox / PC")</f>
        <v>Xbox / PC</v>
      </c>
      <c r="C641" s="21" t="str">
        <f>IFERROR(__xludf.DUMMYFUNCTION("""COMPUTED_VALUE"""),"Touch Controls")</f>
        <v>Touch Controls</v>
      </c>
      <c r="D641" s="21" t="str">
        <f>IFERROR(__xludf.DUMMYFUNCTION("""COMPUTED_VALUE"""),"Removed")</f>
        <v>Removed</v>
      </c>
      <c r="E641" s="279">
        <f>IFERROR(__xludf.DUMMYFUNCTION("""COMPUTED_VALUE"""),43394.0)</f>
        <v>43394</v>
      </c>
      <c r="F641" s="279">
        <f>IFERROR(__xludf.DUMMYFUNCTION("""COMPUTED_VALUE"""),44530.0)</f>
        <v>44530</v>
      </c>
      <c r="G641" s="27">
        <f>IFERROR(__xludf.DUMMYFUNCTION("""COMPUTED_VALUE"""),37.3)</f>
        <v>37.3</v>
      </c>
      <c r="H641" s="128">
        <f>IFERROR(__xludf.DUMMYFUNCTION("""COMPUTED_VALUE"""),43077.0)</f>
        <v>43077</v>
      </c>
      <c r="I641" s="27">
        <f>IFERROR(__xludf.DUMMYFUNCTION("""COMPUTED_VALUE"""),0.8694444444444445)</f>
        <v>0.8694444444</v>
      </c>
      <c r="J641" s="29">
        <f>IFERROR(__xludf.DUMMYFUNCTION("""COMPUTED_VALUE"""),42.0)</f>
        <v>42</v>
      </c>
      <c r="K641" s="29">
        <f>IFERROR(__xludf.DUMMYFUNCTION("""COMPUTED_VALUE"""),9.0)</f>
        <v>9</v>
      </c>
      <c r="L641" s="275" t="str">
        <f>IFERROR(__xludf.DUMMYFUNCTION("""COMPUTED_VALUE"""),"Action-Adventure")</f>
        <v>Action-Adventure</v>
      </c>
    </row>
    <row r="642">
      <c r="A642" s="278" t="str">
        <f>IFERROR(__xludf.DUMMYFUNCTION("""COMPUTED_VALUE"""),"SINNER: Sacrifice for Redemption")</f>
        <v>SINNER: Sacrifice for Redemption</v>
      </c>
      <c r="B642" s="20" t="str">
        <f>IFERROR(__xludf.DUMMYFUNCTION("""COMPUTED_VALUE"""),"PC")</f>
        <v>PC</v>
      </c>
      <c r="C642" s="21"/>
      <c r="D642" s="21" t="str">
        <f>IFERROR(__xludf.DUMMYFUNCTION("""COMPUTED_VALUE"""),"Removed")</f>
        <v>Removed</v>
      </c>
      <c r="E642" s="279">
        <f>IFERROR(__xludf.DUMMYFUNCTION("""COMPUTED_VALUE"""),43391.0)</f>
        <v>43391</v>
      </c>
      <c r="F642" s="279">
        <f>IFERROR(__xludf.DUMMYFUNCTION("""COMPUTED_VALUE"""),44522.0)</f>
        <v>44522</v>
      </c>
      <c r="G642" s="27">
        <f>IFERROR(__xludf.DUMMYFUNCTION("""COMPUTED_VALUE"""),37.13333333333333)</f>
        <v>37.13333333</v>
      </c>
      <c r="H642" s="128">
        <f>IFERROR(__xludf.DUMMYFUNCTION("""COMPUTED_VALUE"""),43391.0)</f>
        <v>43391</v>
      </c>
      <c r="I642" s="27">
        <f>IFERROR(__xludf.DUMMYFUNCTION("""COMPUTED_VALUE"""),0.0)</f>
        <v>0</v>
      </c>
      <c r="J642" s="29">
        <f>IFERROR(__xludf.DUMMYFUNCTION("""COMPUTED_VALUE"""),63.0)</f>
        <v>63</v>
      </c>
      <c r="K642" s="29">
        <f>IFERROR(__xludf.DUMMYFUNCTION("""COMPUTED_VALUE"""),4.5)</f>
        <v>4.5</v>
      </c>
      <c r="L642" s="275" t="str">
        <f>IFERROR(__xludf.DUMMYFUNCTION("""COMPUTED_VALUE"""),"RPG")</f>
        <v>RPG</v>
      </c>
    </row>
    <row r="643">
      <c r="A643" s="17" t="str">
        <f>IFERROR(__xludf.DUMMYFUNCTION("""COMPUTED_VALUE"""),"Oxenfree")</f>
        <v>Oxenfree</v>
      </c>
      <c r="B643" s="20" t="str">
        <f>IFERROR(__xludf.DUMMYFUNCTION("""COMPUTED_VALUE"""),"PC")</f>
        <v>PC</v>
      </c>
      <c r="C643" s="21" t="str">
        <f>IFERROR(__xludf.DUMMYFUNCTION("""COMPUTED_VALUE"""),"Yes")</f>
        <v>Yes</v>
      </c>
      <c r="D643" s="21" t="str">
        <f>IFERROR(__xludf.DUMMYFUNCTION("""COMPUTED_VALUE"""),"Removed")</f>
        <v>Removed</v>
      </c>
      <c r="E643" s="279">
        <f>IFERROR(__xludf.DUMMYFUNCTION("""COMPUTED_VALUE"""),43160.0)</f>
        <v>43160</v>
      </c>
      <c r="F643" s="279">
        <f>IFERROR(__xludf.DUMMYFUNCTION("""COMPUTED_VALUE"""),44522.0)</f>
        <v>44522</v>
      </c>
      <c r="G643" s="27">
        <f>IFERROR(__xludf.DUMMYFUNCTION("""COMPUTED_VALUE"""),44.7)</f>
        <v>44.7</v>
      </c>
      <c r="H643" s="128">
        <f>IFERROR(__xludf.DUMMYFUNCTION("""COMPUTED_VALUE"""),42384.0)</f>
        <v>42384</v>
      </c>
      <c r="I643" s="27">
        <f>IFERROR(__xludf.DUMMYFUNCTION("""COMPUTED_VALUE"""),2.1277777777777778)</f>
        <v>2.127777778</v>
      </c>
      <c r="J643" s="29">
        <f>IFERROR(__xludf.DUMMYFUNCTION("""COMPUTED_VALUE"""),78.0)</f>
        <v>78</v>
      </c>
      <c r="K643" s="29">
        <f>IFERROR(__xludf.DUMMYFUNCTION("""COMPUTED_VALUE"""),4.5)</f>
        <v>4.5</v>
      </c>
      <c r="L643" s="275" t="str">
        <f>IFERROR(__xludf.DUMMYFUNCTION("""COMPUTED_VALUE"""),"Adventure")</f>
        <v>Adventure</v>
      </c>
    </row>
    <row r="644">
      <c r="A644" s="278" t="str">
        <f>IFERROR(__xludf.DUMMYFUNCTION("""COMPUTED_VALUE"""),"River City Girls")</f>
        <v>River City Girls</v>
      </c>
      <c r="B644" s="20" t="str">
        <f>IFERROR(__xludf.DUMMYFUNCTION("""COMPUTED_VALUE"""),"Xbox / PC")</f>
        <v>Xbox / PC</v>
      </c>
      <c r="C644" s="21" t="str">
        <f>IFERROR(__xludf.DUMMYFUNCTION("""COMPUTED_VALUE"""),"Touch Controls")</f>
        <v>Touch Controls</v>
      </c>
      <c r="D644" s="21" t="str">
        <f>IFERROR(__xludf.DUMMYFUNCTION("""COMPUTED_VALUE"""),"Removed")</f>
        <v>Removed</v>
      </c>
      <c r="E644" s="279">
        <f>IFERROR(__xludf.DUMMYFUNCTION("""COMPUTED_VALUE"""),44154.0)</f>
        <v>44154</v>
      </c>
      <c r="F644" s="279">
        <f>IFERROR(__xludf.DUMMYFUNCTION("""COMPUTED_VALUE"""),44515.0)</f>
        <v>44515</v>
      </c>
      <c r="G644" s="27">
        <f>IFERROR(__xludf.DUMMYFUNCTION("""COMPUTED_VALUE"""),11.866666666666667)</f>
        <v>11.86666667</v>
      </c>
      <c r="H644" s="128">
        <f>IFERROR(__xludf.DUMMYFUNCTION("""COMPUTED_VALUE"""),43713.0)</f>
        <v>43713</v>
      </c>
      <c r="I644" s="27">
        <f>IFERROR(__xludf.DUMMYFUNCTION("""COMPUTED_VALUE"""),1.2055555555555555)</f>
        <v>1.205555556</v>
      </c>
      <c r="J644" s="29">
        <f>IFERROR(__xludf.DUMMYFUNCTION("""COMPUTED_VALUE"""),80.0)</f>
        <v>80</v>
      </c>
      <c r="K644" s="29">
        <f>IFERROR(__xludf.DUMMYFUNCTION("""COMPUTED_VALUE"""),7.0)</f>
        <v>7</v>
      </c>
      <c r="L644" s="275" t="str">
        <f>IFERROR(__xludf.DUMMYFUNCTION("""COMPUTED_VALUE"""),"Brawler")</f>
        <v>Brawler</v>
      </c>
    </row>
    <row r="645">
      <c r="A645" s="278" t="str">
        <f>IFERROR(__xludf.DUMMYFUNCTION("""COMPUTED_VALUE"""),"Star Renegades")</f>
        <v>Star Renegades</v>
      </c>
      <c r="B645" s="21" t="str">
        <f>IFERROR(__xludf.DUMMYFUNCTION("""COMPUTED_VALUE"""),"Xbox / PC")</f>
        <v>Xbox / PC</v>
      </c>
      <c r="C645" s="21" t="str">
        <f>IFERROR(__xludf.DUMMYFUNCTION("""COMPUTED_VALUE"""),"Touch Controls")</f>
        <v>Touch Controls</v>
      </c>
      <c r="D645" s="21" t="str">
        <f>IFERROR(__xludf.DUMMYFUNCTION("""COMPUTED_VALUE"""),"Removed")</f>
        <v>Removed</v>
      </c>
      <c r="E645" s="279">
        <f>IFERROR(__xludf.DUMMYFUNCTION("""COMPUTED_VALUE"""),44154.0)</f>
        <v>44154</v>
      </c>
      <c r="F645" s="279">
        <f>IFERROR(__xludf.DUMMYFUNCTION("""COMPUTED_VALUE"""),44515.0)</f>
        <v>44515</v>
      </c>
      <c r="G645" s="27">
        <f>IFERROR(__xludf.DUMMYFUNCTION("""COMPUTED_VALUE"""),11.866666666666667)</f>
        <v>11.86666667</v>
      </c>
      <c r="H645" s="128">
        <f>IFERROR(__xludf.DUMMYFUNCTION("""COMPUTED_VALUE"""),44082.0)</f>
        <v>44082</v>
      </c>
      <c r="I645" s="27">
        <f>IFERROR(__xludf.DUMMYFUNCTION("""COMPUTED_VALUE"""),0.19722222222222222)</f>
        <v>0.1972222222</v>
      </c>
      <c r="J645" s="29">
        <f>IFERROR(__xludf.DUMMYFUNCTION("""COMPUTED_VALUE"""),79.0)</f>
        <v>79</v>
      </c>
      <c r="K645" s="29">
        <f>IFERROR(__xludf.DUMMYFUNCTION("""COMPUTED_VALUE"""),8.5)</f>
        <v>8.5</v>
      </c>
      <c r="L645" s="31" t="str">
        <f>IFERROR(__xludf.DUMMYFUNCTION("""COMPUTED_VALUE"""),"RPG")</f>
        <v>RPG</v>
      </c>
    </row>
    <row r="646">
      <c r="A646" s="278" t="str">
        <f>IFERROR(__xludf.DUMMYFUNCTION("""COMPUTED_VALUE"""),"Final Fantasy VIII: Remastered")</f>
        <v>Final Fantasy VIII: Remastered</v>
      </c>
      <c r="B646" s="21" t="str">
        <f>IFERROR(__xludf.DUMMYFUNCTION("""COMPUTED_VALUE"""),"Xbox / PC")</f>
        <v>Xbox / PC</v>
      </c>
      <c r="C646" s="21"/>
      <c r="D646" s="21" t="str">
        <f>IFERROR(__xludf.DUMMYFUNCTION("""COMPUTED_VALUE"""),"Removed")</f>
        <v>Removed</v>
      </c>
      <c r="E646" s="279">
        <f>IFERROR(__xludf.DUMMYFUNCTION("""COMPUTED_VALUE"""),44147.0)</f>
        <v>44147</v>
      </c>
      <c r="F646" s="279">
        <f>IFERROR(__xludf.DUMMYFUNCTION("""COMPUTED_VALUE"""),44515.0)</f>
        <v>44515</v>
      </c>
      <c r="G646" s="27">
        <f>IFERROR(__xludf.DUMMYFUNCTION("""COMPUTED_VALUE"""),12.1)</f>
        <v>12.1</v>
      </c>
      <c r="H646" s="128">
        <f>IFERROR(__xludf.DUMMYFUNCTION("""COMPUTED_VALUE"""),43711.0)</f>
        <v>43711</v>
      </c>
      <c r="I646" s="27">
        <f>IFERROR(__xludf.DUMMYFUNCTION("""COMPUTED_VALUE"""),1.1916666666666667)</f>
        <v>1.191666667</v>
      </c>
      <c r="J646" s="29">
        <f>IFERROR(__xludf.DUMMYFUNCTION("""COMPUTED_VALUE"""),77.5)</f>
        <v>77.5</v>
      </c>
      <c r="K646" s="29">
        <f>IFERROR(__xludf.DUMMYFUNCTION("""COMPUTED_VALUE"""),41.5)</f>
        <v>41.5</v>
      </c>
      <c r="L646" s="275" t="str">
        <f>IFERROR(__xludf.DUMMYFUNCTION("""COMPUTED_VALUE"""),"RPG")</f>
        <v>RPG</v>
      </c>
    </row>
    <row r="647">
      <c r="A647" s="278" t="str">
        <f>IFERROR(__xludf.DUMMYFUNCTION("""COMPUTED_VALUE"""),"Planet Coaster")</f>
        <v>Planet Coaster</v>
      </c>
      <c r="B647" s="20" t="str">
        <f>IFERROR(__xludf.DUMMYFUNCTION("""COMPUTED_VALUE"""),"Xbox")</f>
        <v>Xbox</v>
      </c>
      <c r="C647" s="21" t="str">
        <f>IFERROR(__xludf.DUMMYFUNCTION("""COMPUTED_VALUE"""),"Yes")</f>
        <v>Yes</v>
      </c>
      <c r="D647" s="21" t="str">
        <f>IFERROR(__xludf.DUMMYFUNCTION("""COMPUTED_VALUE"""),"Removed")</f>
        <v>Removed</v>
      </c>
      <c r="E647" s="279">
        <f>IFERROR(__xludf.DUMMYFUNCTION("""COMPUTED_VALUE"""),44145.0)</f>
        <v>44145</v>
      </c>
      <c r="F647" s="279">
        <f>IFERROR(__xludf.DUMMYFUNCTION("""COMPUTED_VALUE"""),44515.0)</f>
        <v>44515</v>
      </c>
      <c r="G647" s="27">
        <f>IFERROR(__xludf.DUMMYFUNCTION("""COMPUTED_VALUE"""),12.166666666666666)</f>
        <v>12.16666667</v>
      </c>
      <c r="H647" s="128">
        <f>IFERROR(__xludf.DUMMYFUNCTION("""COMPUTED_VALUE"""),42691.0)</f>
        <v>42691</v>
      </c>
      <c r="I647" s="27">
        <f>IFERROR(__xludf.DUMMYFUNCTION("""COMPUTED_VALUE"""),3.9805555555555556)</f>
        <v>3.980555556</v>
      </c>
      <c r="J647" s="29">
        <f>IFERROR(__xludf.DUMMYFUNCTION("""COMPUTED_VALUE"""),85.0)</f>
        <v>85</v>
      </c>
      <c r="K647" s="29">
        <f>IFERROR(__xludf.DUMMYFUNCTION("""COMPUTED_VALUE"""),25.0)</f>
        <v>25</v>
      </c>
      <c r="L647" s="275" t="str">
        <f>IFERROR(__xludf.DUMMYFUNCTION("""COMPUTED_VALUE"""),"Simulation")</f>
        <v>Simulation</v>
      </c>
    </row>
    <row r="648">
      <c r="A648" s="17" t="str">
        <f>IFERROR(__xludf.DUMMYFUNCTION("""COMPUTED_VALUE"""),"Streets of Rogue")</f>
        <v>Streets of Rogue</v>
      </c>
      <c r="B648" s="20" t="str">
        <f>IFERROR(__xludf.DUMMYFUNCTION("""COMPUTED_VALUE"""),"Xbox / PC")</f>
        <v>Xbox / PC</v>
      </c>
      <c r="C648" s="21" t="str">
        <f>IFERROR(__xludf.DUMMYFUNCTION("""COMPUTED_VALUE"""),"Yes")</f>
        <v>Yes</v>
      </c>
      <c r="D648" s="21" t="str">
        <f>IFERROR(__xludf.DUMMYFUNCTION("""COMPUTED_VALUE"""),"Removed")</f>
        <v>Removed</v>
      </c>
      <c r="E648" s="279">
        <f>IFERROR(__xludf.DUMMYFUNCTION("""COMPUTED_VALUE"""),44007.0)</f>
        <v>44007</v>
      </c>
      <c r="F648" s="279">
        <f>IFERROR(__xludf.DUMMYFUNCTION("""COMPUTED_VALUE"""),44515.0)</f>
        <v>44515</v>
      </c>
      <c r="G648" s="27">
        <f>IFERROR(__xludf.DUMMYFUNCTION("""COMPUTED_VALUE"""),16.666666666666664)</f>
        <v>16.66666667</v>
      </c>
      <c r="H648" s="128">
        <f>IFERROR(__xludf.DUMMYFUNCTION("""COMPUTED_VALUE"""),43658.0)</f>
        <v>43658</v>
      </c>
      <c r="I648" s="27">
        <f>IFERROR(__xludf.DUMMYFUNCTION("""COMPUTED_VALUE"""),0.9527777777777777)</f>
        <v>0.9527777778</v>
      </c>
      <c r="J648" s="29">
        <f>IFERROR(__xludf.DUMMYFUNCTION("""COMPUTED_VALUE"""),82.0)</f>
        <v>82</v>
      </c>
      <c r="K648" s="29">
        <f>IFERROR(__xludf.DUMMYFUNCTION("""COMPUTED_VALUE"""),12.0)</f>
        <v>12</v>
      </c>
      <c r="L648" s="275" t="str">
        <f>IFERROR(__xludf.DUMMYFUNCTION("""COMPUTED_VALUE"""),"Shooter")</f>
        <v>Shooter</v>
      </c>
    </row>
    <row r="649">
      <c r="A649" s="278" t="str">
        <f>IFERROR(__xludf.DUMMYFUNCTION("""COMPUTED_VALUE"""),"The Gardens Between")</f>
        <v>The Gardens Between</v>
      </c>
      <c r="B649" s="21" t="str">
        <f>IFERROR(__xludf.DUMMYFUNCTION("""COMPUTED_VALUE"""),"Xbox / PC")</f>
        <v>Xbox / PC</v>
      </c>
      <c r="C649" s="21" t="str">
        <f>IFERROR(__xludf.DUMMYFUNCTION("""COMPUTED_VALUE"""),"Yes")</f>
        <v>Yes</v>
      </c>
      <c r="D649" s="21" t="str">
        <f>IFERROR(__xludf.DUMMYFUNCTION("""COMPUTED_VALUE"""),"Removed")</f>
        <v>Removed</v>
      </c>
      <c r="E649" s="279">
        <f>IFERROR(__xludf.DUMMYFUNCTION("""COMPUTED_VALUE"""),43433.0)</f>
        <v>43433</v>
      </c>
      <c r="F649" s="279">
        <f>IFERROR(__xludf.DUMMYFUNCTION("""COMPUTED_VALUE"""),44515.0)</f>
        <v>44515</v>
      </c>
      <c r="G649" s="27">
        <f>IFERROR(__xludf.DUMMYFUNCTION("""COMPUTED_VALUE"""),35.53333333333333)</f>
        <v>35.53333333</v>
      </c>
      <c r="H649" s="128">
        <f>IFERROR(__xludf.DUMMYFUNCTION("""COMPUTED_VALUE"""),43363.0)</f>
        <v>43363</v>
      </c>
      <c r="I649" s="27">
        <f>IFERROR(__xludf.DUMMYFUNCTION("""COMPUTED_VALUE"""),0.19166666666666668)</f>
        <v>0.1916666667</v>
      </c>
      <c r="J649" s="277">
        <f>IFERROR(__xludf.DUMMYFUNCTION("""COMPUTED_VALUE"""),82.0)</f>
        <v>82</v>
      </c>
      <c r="K649" s="277">
        <f>IFERROR(__xludf.DUMMYFUNCTION("""COMPUTED_VALUE"""),2.5)</f>
        <v>2.5</v>
      </c>
      <c r="L649" s="31" t="str">
        <f>IFERROR(__xludf.DUMMYFUNCTION("""COMPUTED_VALUE"""),"Puzzle")</f>
        <v>Puzzle</v>
      </c>
    </row>
    <row r="650">
      <c r="A650" s="278" t="str">
        <f>IFERROR(__xludf.DUMMYFUNCTION("""COMPUTED_VALUE"""),"Comanche")</f>
        <v>Comanche</v>
      </c>
      <c r="B650" s="20" t="str">
        <f>IFERROR(__xludf.DUMMYFUNCTION("""COMPUTED_VALUE"""),"PC")</f>
        <v>PC</v>
      </c>
      <c r="C650" s="21"/>
      <c r="D650" s="21" t="str">
        <f>IFERROR(__xludf.DUMMYFUNCTION("""COMPUTED_VALUE"""),"Removed")</f>
        <v>Removed</v>
      </c>
      <c r="E650" s="279">
        <f>IFERROR(__xludf.DUMMYFUNCTION("""COMPUTED_VALUE"""),44140.0)</f>
        <v>44140</v>
      </c>
      <c r="F650" s="279">
        <f>IFERROR(__xludf.DUMMYFUNCTION("""COMPUTED_VALUE"""),44500.0)</f>
        <v>44500</v>
      </c>
      <c r="G650" s="27">
        <f>IFERROR(__xludf.DUMMYFUNCTION("""COMPUTED_VALUE"""),11.833333333333334)</f>
        <v>11.83333333</v>
      </c>
      <c r="H650" s="128">
        <f>IFERROR(__xludf.DUMMYFUNCTION("""COMPUTED_VALUE"""),43902.0)</f>
        <v>43902</v>
      </c>
      <c r="I650" s="27">
        <f>IFERROR(__xludf.DUMMYFUNCTION("""COMPUTED_VALUE"""),0.6472222222222223)</f>
        <v>0.6472222222</v>
      </c>
      <c r="J650" s="29">
        <f>IFERROR(__xludf.DUMMYFUNCTION("""COMPUTED_VALUE"""),45.0)</f>
        <v>45</v>
      </c>
      <c r="K650" s="29">
        <f>IFERROR(__xludf.DUMMYFUNCTION("""COMPUTED_VALUE"""),5.0)</f>
        <v>5</v>
      </c>
      <c r="L650" s="275" t="str">
        <f>IFERROR(__xludf.DUMMYFUNCTION("""COMPUTED_VALUE"""),"Shooter")</f>
        <v>Shooter</v>
      </c>
    </row>
    <row r="651">
      <c r="A651" s="278" t="str">
        <f>IFERROR(__xludf.DUMMYFUNCTION("""COMPUTED_VALUE"""),"Eastshade")</f>
        <v>Eastshade</v>
      </c>
      <c r="B651" s="21" t="str">
        <f>IFERROR(__xludf.DUMMYFUNCTION("""COMPUTED_VALUE"""),"Xbox / PC")</f>
        <v>Xbox / PC</v>
      </c>
      <c r="C651" s="21" t="str">
        <f>IFERROR(__xludf.DUMMYFUNCTION("""COMPUTED_VALUE"""),"Touch Controls")</f>
        <v>Touch Controls</v>
      </c>
      <c r="D651" s="21" t="str">
        <f>IFERROR(__xludf.DUMMYFUNCTION("""COMPUTED_VALUE"""),"Removed")</f>
        <v>Removed</v>
      </c>
      <c r="E651" s="279">
        <f>IFERROR(__xludf.DUMMYFUNCTION("""COMPUTED_VALUE"""),44140.0)</f>
        <v>44140</v>
      </c>
      <c r="F651" s="279">
        <f>IFERROR(__xludf.DUMMYFUNCTION("""COMPUTED_VALUE"""),44500.0)</f>
        <v>44500</v>
      </c>
      <c r="G651" s="27">
        <f>IFERROR(__xludf.DUMMYFUNCTION("""COMPUTED_VALUE"""),11.833333333333334)</f>
        <v>11.83333333</v>
      </c>
      <c r="H651" s="128">
        <f>IFERROR(__xludf.DUMMYFUNCTION("""COMPUTED_VALUE"""),43509.0)</f>
        <v>43509</v>
      </c>
      <c r="I651" s="27">
        <f>IFERROR(__xludf.DUMMYFUNCTION("""COMPUTED_VALUE"""),1.7277777777777779)</f>
        <v>1.727777778</v>
      </c>
      <c r="J651" s="277">
        <f>IFERROR(__xludf.DUMMYFUNCTION("""COMPUTED_VALUE"""),78.0)</f>
        <v>78</v>
      </c>
      <c r="K651" s="277">
        <f>IFERROR(__xludf.DUMMYFUNCTION("""COMPUTED_VALUE"""),11.5)</f>
        <v>11.5</v>
      </c>
      <c r="L651" s="275" t="str">
        <f>IFERROR(__xludf.DUMMYFUNCTION("""COMPUTED_VALUE"""),"Adventure")</f>
        <v>Adventure</v>
      </c>
    </row>
    <row r="652">
      <c r="A652" s="278" t="str">
        <f>IFERROR(__xludf.DUMMYFUNCTION("""COMPUTED_VALUE"""),"Knights and Bikes")</f>
        <v>Knights and Bikes</v>
      </c>
      <c r="B652" s="20" t="str">
        <f>IFERROR(__xludf.DUMMYFUNCTION("""COMPUTED_VALUE"""),"Xbox / PC")</f>
        <v>Xbox / PC</v>
      </c>
      <c r="C652" s="21"/>
      <c r="D652" s="21" t="str">
        <f>IFERROR(__xludf.DUMMYFUNCTION("""COMPUTED_VALUE"""),"Removed")</f>
        <v>Removed</v>
      </c>
      <c r="E652" s="279">
        <f>IFERROR(__xludf.DUMMYFUNCTION("""COMPUTED_VALUE"""),44140.0)</f>
        <v>44140</v>
      </c>
      <c r="F652" s="279">
        <f>IFERROR(__xludf.DUMMYFUNCTION("""COMPUTED_VALUE"""),44500.0)</f>
        <v>44500</v>
      </c>
      <c r="G652" s="27">
        <f>IFERROR(__xludf.DUMMYFUNCTION("""COMPUTED_VALUE"""),11.833333333333334)</f>
        <v>11.83333333</v>
      </c>
      <c r="H652" s="128">
        <f>IFERROR(__xludf.DUMMYFUNCTION("""COMPUTED_VALUE"""),43704.0)</f>
        <v>43704</v>
      </c>
      <c r="I652" s="27">
        <f>IFERROR(__xludf.DUMMYFUNCTION("""COMPUTED_VALUE"""),1.1888888888888889)</f>
        <v>1.188888889</v>
      </c>
      <c r="J652" s="277">
        <f>IFERROR(__xludf.DUMMYFUNCTION("""COMPUTED_VALUE"""),79.0)</f>
        <v>79</v>
      </c>
      <c r="K652" s="29">
        <f>IFERROR(__xludf.DUMMYFUNCTION("""COMPUTED_VALUE"""),7.5)</f>
        <v>7.5</v>
      </c>
      <c r="L652" s="275" t="str">
        <f>IFERROR(__xludf.DUMMYFUNCTION("""COMPUTED_VALUE"""),"RPG")</f>
        <v>RPG</v>
      </c>
    </row>
    <row r="653">
      <c r="A653" s="278" t="str">
        <f>IFERROR(__xludf.DUMMYFUNCTION("""COMPUTED_VALUE"""),"Five Nights at Freddy's")</f>
        <v>Five Nights at Freddy's</v>
      </c>
      <c r="B653" s="20" t="str">
        <f>IFERROR(__xludf.DUMMYFUNCTION("""COMPUTED_VALUE"""),"Xbox / PC")</f>
        <v>Xbox / PC</v>
      </c>
      <c r="C653" s="21" t="str">
        <f>IFERROR(__xludf.DUMMYFUNCTION("""COMPUTED_VALUE"""),"Yes")</f>
        <v>Yes</v>
      </c>
      <c r="D653" s="21" t="str">
        <f>IFERROR(__xludf.DUMMYFUNCTION("""COMPUTED_VALUE"""),"Removed")</f>
        <v>Removed</v>
      </c>
      <c r="E653" s="279">
        <f>IFERROR(__xludf.DUMMYFUNCTION("""COMPUTED_VALUE"""),44133.0)</f>
        <v>44133</v>
      </c>
      <c r="F653" s="279">
        <f>IFERROR(__xludf.DUMMYFUNCTION("""COMPUTED_VALUE"""),44500.0)</f>
        <v>44500</v>
      </c>
      <c r="G653" s="27">
        <f>IFERROR(__xludf.DUMMYFUNCTION("""COMPUTED_VALUE"""),12.033333333333333)</f>
        <v>12.03333333</v>
      </c>
      <c r="H653" s="128">
        <f>IFERROR(__xludf.DUMMYFUNCTION("""COMPUTED_VALUE"""),41869.0)</f>
        <v>41869</v>
      </c>
      <c r="I653" s="27">
        <f>IFERROR(__xludf.DUMMYFUNCTION("""COMPUTED_VALUE"""),6.197222222222222)</f>
        <v>6.197222222</v>
      </c>
      <c r="J653" s="277">
        <f>IFERROR(__xludf.DUMMYFUNCTION("""COMPUTED_VALUE"""),78.0)</f>
        <v>78</v>
      </c>
      <c r="K653" s="29">
        <f>IFERROR(__xludf.DUMMYFUNCTION("""COMPUTED_VALUE"""),2.0)</f>
        <v>2</v>
      </c>
      <c r="L653" s="275" t="str">
        <f>IFERROR(__xludf.DUMMYFUNCTION("""COMPUTED_VALUE"""),"Strategy")</f>
        <v>Strategy</v>
      </c>
    </row>
    <row r="654">
      <c r="A654" s="278" t="str">
        <f>IFERROR(__xludf.DUMMYFUNCTION("""COMPUTED_VALUE"""),"Five Nights at Freddy's 2")</f>
        <v>Five Nights at Freddy's 2</v>
      </c>
      <c r="B654" s="20" t="str">
        <f>IFERROR(__xludf.DUMMYFUNCTION("""COMPUTED_VALUE"""),"Xbox / PC")</f>
        <v>Xbox / PC</v>
      </c>
      <c r="C654" s="21" t="str">
        <f>IFERROR(__xludf.DUMMYFUNCTION("""COMPUTED_VALUE"""),"Yes")</f>
        <v>Yes</v>
      </c>
      <c r="D654" s="21" t="str">
        <f>IFERROR(__xludf.DUMMYFUNCTION("""COMPUTED_VALUE"""),"Removed")</f>
        <v>Removed</v>
      </c>
      <c r="E654" s="279">
        <f>IFERROR(__xludf.DUMMYFUNCTION("""COMPUTED_VALUE"""),44133.0)</f>
        <v>44133</v>
      </c>
      <c r="F654" s="279">
        <f>IFERROR(__xludf.DUMMYFUNCTION("""COMPUTED_VALUE"""),44500.0)</f>
        <v>44500</v>
      </c>
      <c r="G654" s="27">
        <f>IFERROR(__xludf.DUMMYFUNCTION("""COMPUTED_VALUE"""),12.033333333333333)</f>
        <v>12.03333333</v>
      </c>
      <c r="H654" s="128">
        <f>IFERROR(__xludf.DUMMYFUNCTION("""COMPUTED_VALUE"""),41953.0)</f>
        <v>41953</v>
      </c>
      <c r="I654" s="27">
        <f>IFERROR(__xludf.DUMMYFUNCTION("""COMPUTED_VALUE"""),5.969444444444444)</f>
        <v>5.969444444</v>
      </c>
      <c r="J654" s="29">
        <f>IFERROR(__xludf.DUMMYFUNCTION("""COMPUTED_VALUE"""),62.0)</f>
        <v>62</v>
      </c>
      <c r="K654" s="29">
        <f>IFERROR(__xludf.DUMMYFUNCTION("""COMPUTED_VALUE"""),2.5)</f>
        <v>2.5</v>
      </c>
      <c r="L654" s="275" t="str">
        <f>IFERROR(__xludf.DUMMYFUNCTION("""COMPUTED_VALUE"""),"Strategy")</f>
        <v>Strategy</v>
      </c>
    </row>
    <row r="655">
      <c r="A655" s="278" t="str">
        <f>IFERROR(__xludf.DUMMYFUNCTION("""COMPUTED_VALUE"""),"Five Nights at Freddy's 3")</f>
        <v>Five Nights at Freddy's 3</v>
      </c>
      <c r="B655" s="21" t="str">
        <f>IFERROR(__xludf.DUMMYFUNCTION("""COMPUTED_VALUE"""),"Xbox / PC")</f>
        <v>Xbox / PC</v>
      </c>
      <c r="C655" s="21" t="str">
        <f>IFERROR(__xludf.DUMMYFUNCTION("""COMPUTED_VALUE"""),"Yes")</f>
        <v>Yes</v>
      </c>
      <c r="D655" s="21" t="str">
        <f>IFERROR(__xludf.DUMMYFUNCTION("""COMPUTED_VALUE"""),"Removed")</f>
        <v>Removed</v>
      </c>
      <c r="E655" s="279">
        <f>IFERROR(__xludf.DUMMYFUNCTION("""COMPUTED_VALUE"""),44133.0)</f>
        <v>44133</v>
      </c>
      <c r="F655" s="279">
        <f>IFERROR(__xludf.DUMMYFUNCTION("""COMPUTED_VALUE"""),44500.0)</f>
        <v>44500</v>
      </c>
      <c r="G655" s="27">
        <f>IFERROR(__xludf.DUMMYFUNCTION("""COMPUTED_VALUE"""),12.033333333333333)</f>
        <v>12.03333333</v>
      </c>
      <c r="H655" s="128">
        <f>IFERROR(__xludf.DUMMYFUNCTION("""COMPUTED_VALUE"""),42065.0)</f>
        <v>42065</v>
      </c>
      <c r="I655" s="27">
        <f>IFERROR(__xludf.DUMMYFUNCTION("""COMPUTED_VALUE"""),5.658333333333333)</f>
        <v>5.658333333</v>
      </c>
      <c r="J655" s="277">
        <f>IFERROR(__xludf.DUMMYFUNCTION("""COMPUTED_VALUE"""),68.0)</f>
        <v>68</v>
      </c>
      <c r="K655" s="29">
        <f>IFERROR(__xludf.DUMMYFUNCTION("""COMPUTED_VALUE"""),2.0)</f>
        <v>2</v>
      </c>
      <c r="L655" s="275" t="str">
        <f>IFERROR(__xludf.DUMMYFUNCTION("""COMPUTED_VALUE"""),"Adventure")</f>
        <v>Adventure</v>
      </c>
    </row>
    <row r="656">
      <c r="A656" s="278" t="str">
        <f>IFERROR(__xludf.DUMMYFUNCTION("""COMPUTED_VALUE"""),"Five Nights at Freddy's 4")</f>
        <v>Five Nights at Freddy's 4</v>
      </c>
      <c r="B656" s="20" t="str">
        <f>IFERROR(__xludf.DUMMYFUNCTION("""COMPUTED_VALUE"""),"Xbox / PC")</f>
        <v>Xbox / PC</v>
      </c>
      <c r="C656" s="21" t="str">
        <f>IFERROR(__xludf.DUMMYFUNCTION("""COMPUTED_VALUE"""),"Yes")</f>
        <v>Yes</v>
      </c>
      <c r="D656" s="21" t="str">
        <f>IFERROR(__xludf.DUMMYFUNCTION("""COMPUTED_VALUE"""),"Removed")</f>
        <v>Removed</v>
      </c>
      <c r="E656" s="279">
        <f>IFERROR(__xludf.DUMMYFUNCTION("""COMPUTED_VALUE"""),44133.0)</f>
        <v>44133</v>
      </c>
      <c r="F656" s="279">
        <f>IFERROR(__xludf.DUMMYFUNCTION("""COMPUTED_VALUE"""),44500.0)</f>
        <v>44500</v>
      </c>
      <c r="G656" s="27">
        <f>IFERROR(__xludf.DUMMYFUNCTION("""COMPUTED_VALUE"""),12.033333333333333)</f>
        <v>12.03333333</v>
      </c>
      <c r="H656" s="128">
        <f>IFERROR(__xludf.DUMMYFUNCTION("""COMPUTED_VALUE"""),42208.0)</f>
        <v>42208</v>
      </c>
      <c r="I656" s="27">
        <f>IFERROR(__xludf.DUMMYFUNCTION("""COMPUTED_VALUE"""),5.266666666666667)</f>
        <v>5.266666667</v>
      </c>
      <c r="J656" s="277">
        <f>IFERROR(__xludf.DUMMYFUNCTION("""COMPUTED_VALUE"""),51.0)</f>
        <v>51</v>
      </c>
      <c r="K656" s="29">
        <f>IFERROR(__xludf.DUMMYFUNCTION("""COMPUTED_VALUE"""),2.0)</f>
        <v>2</v>
      </c>
      <c r="L656" s="275" t="str">
        <f>IFERROR(__xludf.DUMMYFUNCTION("""COMPUTED_VALUE"""),"Adventure")</f>
        <v>Adventure</v>
      </c>
    </row>
    <row r="657">
      <c r="A657" s="278" t="str">
        <f>IFERROR(__xludf.DUMMYFUNCTION("""COMPUTED_VALUE"""),"Unruly Heroes")</f>
        <v>Unruly Heroes</v>
      </c>
      <c r="B657" s="20" t="str">
        <f>IFERROR(__xludf.DUMMYFUNCTION("""COMPUTED_VALUE"""),"Xbox / PC")</f>
        <v>Xbox / PC</v>
      </c>
      <c r="C657" s="21" t="str">
        <f>IFERROR(__xludf.DUMMYFUNCTION("""COMPUTED_VALUE"""),"Yes")</f>
        <v>Yes</v>
      </c>
      <c r="D657" s="21" t="str">
        <f>IFERROR(__xludf.DUMMYFUNCTION("""COMPUTED_VALUE"""),"Removed")</f>
        <v>Removed</v>
      </c>
      <c r="E657" s="279">
        <f>IFERROR(__xludf.DUMMYFUNCTION("""COMPUTED_VALUE"""),44133.0)</f>
        <v>44133</v>
      </c>
      <c r="F657" s="279">
        <f>IFERROR(__xludf.DUMMYFUNCTION("""COMPUTED_VALUE"""),44500.0)</f>
        <v>44500</v>
      </c>
      <c r="G657" s="27">
        <f>IFERROR(__xludf.DUMMYFUNCTION("""COMPUTED_VALUE"""),12.033333333333333)</f>
        <v>12.03333333</v>
      </c>
      <c r="H657" s="128">
        <f>IFERROR(__xludf.DUMMYFUNCTION("""COMPUTED_VALUE"""),43488.0)</f>
        <v>43488</v>
      </c>
      <c r="I657" s="27">
        <f>IFERROR(__xludf.DUMMYFUNCTION("""COMPUTED_VALUE"""),1.7666666666666666)</f>
        <v>1.766666667</v>
      </c>
      <c r="J657" s="277">
        <f>IFERROR(__xludf.DUMMYFUNCTION("""COMPUTED_VALUE"""),79.0)</f>
        <v>79</v>
      </c>
      <c r="K657" s="29">
        <f>IFERROR(__xludf.DUMMYFUNCTION("""COMPUTED_VALUE"""),8.0)</f>
        <v>8</v>
      </c>
      <c r="L657" s="275" t="str">
        <f>IFERROR(__xludf.DUMMYFUNCTION("""COMPUTED_VALUE"""),"Platformer")</f>
        <v>Platformer</v>
      </c>
    </row>
    <row r="658">
      <c r="A658" s="278" t="str">
        <f>IFERROR(__xludf.DUMMYFUNCTION("""COMPUTED_VALUE"""),"Carto")</f>
        <v>Carto</v>
      </c>
      <c r="B658" s="20" t="str">
        <f>IFERROR(__xludf.DUMMYFUNCTION("""COMPUTED_VALUE"""),"Xbox / PC")</f>
        <v>Xbox / PC</v>
      </c>
      <c r="C658" s="21"/>
      <c r="D658" s="21" t="str">
        <f>IFERROR(__xludf.DUMMYFUNCTION("""COMPUTED_VALUE"""),"Removed")</f>
        <v>Removed</v>
      </c>
      <c r="E658" s="279">
        <f>IFERROR(__xludf.DUMMYFUNCTION("""COMPUTED_VALUE"""),44131.0)</f>
        <v>44131</v>
      </c>
      <c r="F658" s="279">
        <f>IFERROR(__xludf.DUMMYFUNCTION("""COMPUTED_VALUE"""),44500.0)</f>
        <v>44500</v>
      </c>
      <c r="G658" s="27">
        <f>IFERROR(__xludf.DUMMYFUNCTION("""COMPUTED_VALUE"""),12.1)</f>
        <v>12.1</v>
      </c>
      <c r="H658" s="128">
        <f>IFERROR(__xludf.DUMMYFUNCTION("""COMPUTED_VALUE"""),44131.0)</f>
        <v>44131</v>
      </c>
      <c r="I658" s="27">
        <f>IFERROR(__xludf.DUMMYFUNCTION("""COMPUTED_VALUE"""),0.0)</f>
        <v>0</v>
      </c>
      <c r="J658" s="29">
        <f>IFERROR(__xludf.DUMMYFUNCTION("""COMPUTED_VALUE"""),73.0)</f>
        <v>73</v>
      </c>
      <c r="K658" s="29">
        <f>IFERROR(__xludf.DUMMYFUNCTION("""COMPUTED_VALUE"""),6.0)</f>
        <v>6</v>
      </c>
      <c r="L658" s="275" t="str">
        <f>IFERROR(__xludf.DUMMYFUNCTION("""COMPUTED_VALUE"""),"Puzzle")</f>
        <v>Puzzle</v>
      </c>
    </row>
    <row r="659">
      <c r="A659" s="278" t="str">
        <f>IFERROR(__xludf.DUMMYFUNCTION("""COMPUTED_VALUE"""),"Home Behind")</f>
        <v>Home Behind</v>
      </c>
      <c r="B659" s="20" t="str">
        <f>IFERROR(__xludf.DUMMYFUNCTION("""COMPUTED_VALUE"""),"PC")</f>
        <v>PC</v>
      </c>
      <c r="C659" s="21"/>
      <c r="D659" s="21" t="str">
        <f>IFERROR(__xludf.DUMMYFUNCTION("""COMPUTED_VALUE"""),"Removed")</f>
        <v>Removed</v>
      </c>
      <c r="E659" s="279">
        <f>IFERROR(__xludf.DUMMYFUNCTION("""COMPUTED_VALUE"""),44273.0)</f>
        <v>44273</v>
      </c>
      <c r="F659" s="279">
        <f>IFERROR(__xludf.DUMMYFUNCTION("""COMPUTED_VALUE"""),44492.0)</f>
        <v>44492</v>
      </c>
      <c r="G659" s="27">
        <f>IFERROR(__xludf.DUMMYFUNCTION("""COMPUTED_VALUE"""),7.166666666666666)</f>
        <v>7.166666667</v>
      </c>
      <c r="H659" s="128">
        <f>IFERROR(__xludf.DUMMYFUNCTION("""COMPUTED_VALUE"""),42992.0)</f>
        <v>42992</v>
      </c>
      <c r="I659" s="27">
        <f>IFERROR(__xludf.DUMMYFUNCTION("""COMPUTED_VALUE"""),3.511111111111111)</f>
        <v>3.511111111</v>
      </c>
      <c r="J659" s="29">
        <f>IFERROR(__xludf.DUMMYFUNCTION("""COMPUTED_VALUE"""),83.0)</f>
        <v>83</v>
      </c>
      <c r="K659" s="29">
        <f>IFERROR(__xludf.DUMMYFUNCTION("""COMPUTED_VALUE"""),7.5)</f>
        <v>7.5</v>
      </c>
      <c r="L659" s="275" t="str">
        <f>IFERROR(__xludf.DUMMYFUNCTION("""COMPUTED_VALUE"""),"Adventure")</f>
        <v>Adventure</v>
      </c>
    </row>
    <row r="660">
      <c r="A660" s="278" t="str">
        <f>IFERROR(__xludf.DUMMYFUNCTION("""COMPUTED_VALUE"""),"Shio")</f>
        <v>Shio</v>
      </c>
      <c r="B660" s="20" t="str">
        <f>IFERROR(__xludf.DUMMYFUNCTION("""COMPUTED_VALUE"""),"PC")</f>
        <v>PC</v>
      </c>
      <c r="C660" s="21"/>
      <c r="D660" s="21" t="str">
        <f>IFERROR(__xludf.DUMMYFUNCTION("""COMPUTED_VALUE"""),"Removed")</f>
        <v>Removed</v>
      </c>
      <c r="E660" s="279">
        <f>IFERROR(__xludf.DUMMYFUNCTION("""COMPUTED_VALUE"""),44273.0)</f>
        <v>44273</v>
      </c>
      <c r="F660" s="279">
        <f>IFERROR(__xludf.DUMMYFUNCTION("""COMPUTED_VALUE"""),44492.0)</f>
        <v>44492</v>
      </c>
      <c r="G660" s="27">
        <f>IFERROR(__xludf.DUMMYFUNCTION("""COMPUTED_VALUE"""),7.166666666666666)</f>
        <v>7.166666667</v>
      </c>
      <c r="H660" s="128">
        <f>IFERROR(__xludf.DUMMYFUNCTION("""COMPUTED_VALUE"""),43242.0)</f>
        <v>43242</v>
      </c>
      <c r="I660" s="27">
        <f>IFERROR(__xludf.DUMMYFUNCTION("""COMPUTED_VALUE"""),2.8222222222222224)</f>
        <v>2.822222222</v>
      </c>
      <c r="J660" s="29">
        <f>IFERROR(__xludf.DUMMYFUNCTION("""COMPUTED_VALUE"""),73.0)</f>
        <v>73</v>
      </c>
      <c r="K660" s="29">
        <f>IFERROR(__xludf.DUMMYFUNCTION("""COMPUTED_VALUE"""),4.0)</f>
        <v>4</v>
      </c>
      <c r="L660" s="275" t="str">
        <f>IFERROR(__xludf.DUMMYFUNCTION("""COMPUTED_VALUE"""),"Platformer")</f>
        <v>Platformer</v>
      </c>
    </row>
    <row r="661">
      <c r="A661" s="278" t="str">
        <f>IFERROR(__xludf.DUMMYFUNCTION("""COMPUTED_VALUE"""),"Shantae: Half-Genie Hero")</f>
        <v>Shantae: Half-Genie Hero</v>
      </c>
      <c r="B661" s="20" t="str">
        <f>IFERROR(__xludf.DUMMYFUNCTION("""COMPUTED_VALUE"""),"PC")</f>
        <v>PC</v>
      </c>
      <c r="C661" s="21"/>
      <c r="D661" s="21" t="str">
        <f>IFERROR(__xludf.DUMMYFUNCTION("""COMPUTED_VALUE"""),"Removed")</f>
        <v>Removed</v>
      </c>
      <c r="E661" s="279">
        <f>IFERROR(__xludf.DUMMYFUNCTION("""COMPUTED_VALUE"""),43374.0)</f>
        <v>43374</v>
      </c>
      <c r="F661" s="279">
        <f>IFERROR(__xludf.DUMMYFUNCTION("""COMPUTED_VALUE"""),44492.0)</f>
        <v>44492</v>
      </c>
      <c r="G661" s="27">
        <f>IFERROR(__xludf.DUMMYFUNCTION("""COMPUTED_VALUE"""),36.733333333333334)</f>
        <v>36.73333333</v>
      </c>
      <c r="H661" s="128">
        <f>IFERROR(__xludf.DUMMYFUNCTION("""COMPUTED_VALUE"""),42724.0)</f>
        <v>42724</v>
      </c>
      <c r="I661" s="27">
        <f>IFERROR(__xludf.DUMMYFUNCTION("""COMPUTED_VALUE"""),1.7805555555555554)</f>
        <v>1.780555556</v>
      </c>
      <c r="J661" s="29">
        <f>IFERROR(__xludf.DUMMYFUNCTION("""COMPUTED_VALUE"""),76.0)</f>
        <v>76</v>
      </c>
      <c r="K661" s="29">
        <f>IFERROR(__xludf.DUMMYFUNCTION("""COMPUTED_VALUE"""),6.0)</f>
        <v>6</v>
      </c>
      <c r="L661" s="275" t="str">
        <f>IFERROR(__xludf.DUMMYFUNCTION("""COMPUTED_VALUE"""),"Platformer")</f>
        <v>Platformer</v>
      </c>
    </row>
    <row r="662">
      <c r="A662" s="278" t="str">
        <f>IFERROR(__xludf.DUMMYFUNCTION("""COMPUTED_VALUE"""),"GoNNER2")</f>
        <v>GoNNER2</v>
      </c>
      <c r="B662" s="20" t="str">
        <f>IFERROR(__xludf.DUMMYFUNCTION("""COMPUTED_VALUE"""),"Xbox / PC")</f>
        <v>Xbox / PC</v>
      </c>
      <c r="C662" s="21" t="str">
        <f>IFERROR(__xludf.DUMMYFUNCTION("""COMPUTED_VALUE"""),"Touch Controls")</f>
        <v>Touch Controls</v>
      </c>
      <c r="D662" s="21" t="str">
        <f>IFERROR(__xludf.DUMMYFUNCTION("""COMPUTED_VALUE"""),"Removed")</f>
        <v>Removed</v>
      </c>
      <c r="E662" s="279">
        <f>IFERROR(__xludf.DUMMYFUNCTION("""COMPUTED_VALUE"""),44127.0)</f>
        <v>44127</v>
      </c>
      <c r="F662" s="279">
        <f>IFERROR(__xludf.DUMMYFUNCTION("""COMPUTED_VALUE"""),44484.0)</f>
        <v>44484</v>
      </c>
      <c r="G662" s="27">
        <f>IFERROR(__xludf.DUMMYFUNCTION("""COMPUTED_VALUE"""),11.733333333333333)</f>
        <v>11.73333333</v>
      </c>
      <c r="H662" s="128">
        <f>IFERROR(__xludf.DUMMYFUNCTION("""COMPUTED_VALUE"""),44126.0)</f>
        <v>44126</v>
      </c>
      <c r="I662" s="27">
        <f>IFERROR(__xludf.DUMMYFUNCTION("""COMPUTED_VALUE"""),0.002777777777777778)</f>
        <v>0.002777777778</v>
      </c>
      <c r="J662" s="29">
        <f>IFERROR(__xludf.DUMMYFUNCTION("""COMPUTED_VALUE"""),75.0)</f>
        <v>75</v>
      </c>
      <c r="K662" s="29">
        <f>IFERROR(__xludf.DUMMYFUNCTION("""COMPUTED_VALUE"""),7.0)</f>
        <v>7</v>
      </c>
      <c r="L662" s="275" t="str">
        <f>IFERROR(__xludf.DUMMYFUNCTION("""COMPUTED_VALUE"""),"Platformer")</f>
        <v>Platformer</v>
      </c>
    </row>
    <row r="663">
      <c r="A663" s="278" t="str">
        <f>IFERROR(__xludf.DUMMYFUNCTION("""COMPUTED_VALUE"""),"Heave Ho")</f>
        <v>Heave Ho</v>
      </c>
      <c r="B663" s="20" t="str">
        <f>IFERROR(__xludf.DUMMYFUNCTION("""COMPUTED_VALUE"""),"PC")</f>
        <v>PC</v>
      </c>
      <c r="C663" s="21"/>
      <c r="D663" s="21" t="str">
        <f>IFERROR(__xludf.DUMMYFUNCTION("""COMPUTED_VALUE"""),"Removed")</f>
        <v>Removed</v>
      </c>
      <c r="E663" s="279">
        <f>IFERROR(__xludf.DUMMYFUNCTION("""COMPUTED_VALUE"""),44119.0)</f>
        <v>44119</v>
      </c>
      <c r="F663" s="279">
        <f>IFERROR(__xludf.DUMMYFUNCTION("""COMPUTED_VALUE"""),44484.0)</f>
        <v>44484</v>
      </c>
      <c r="G663" s="27">
        <f>IFERROR(__xludf.DUMMYFUNCTION("""COMPUTED_VALUE"""),12.0)</f>
        <v>12</v>
      </c>
      <c r="H663" s="128">
        <f>IFERROR(__xludf.DUMMYFUNCTION("""COMPUTED_VALUE"""),43706.0)</f>
        <v>43706</v>
      </c>
      <c r="I663" s="27">
        <f>IFERROR(__xludf.DUMMYFUNCTION("""COMPUTED_VALUE"""),1.1277777777777778)</f>
        <v>1.127777778</v>
      </c>
      <c r="J663" s="29">
        <f>IFERROR(__xludf.DUMMYFUNCTION("""COMPUTED_VALUE"""),76.0)</f>
        <v>76</v>
      </c>
      <c r="K663" s="29">
        <f>IFERROR(__xludf.DUMMYFUNCTION("""COMPUTED_VALUE"""),3.5)</f>
        <v>3.5</v>
      </c>
      <c r="L663" s="275" t="str">
        <f>IFERROR(__xludf.DUMMYFUNCTION("""COMPUTED_VALUE"""),"Platformer")</f>
        <v>Platformer</v>
      </c>
    </row>
    <row r="664">
      <c r="A664" s="17" t="str">
        <f>IFERROR(__xludf.DUMMYFUNCTION("""COMPUTED_VALUE"""),"Katana Zero")</f>
        <v>Katana Zero</v>
      </c>
      <c r="B664" s="20" t="str">
        <f>IFERROR(__xludf.DUMMYFUNCTION("""COMPUTED_VALUE"""),"Xbox / PC")</f>
        <v>Xbox / PC</v>
      </c>
      <c r="C664" s="21" t="str">
        <f>IFERROR(__xludf.DUMMYFUNCTION("""COMPUTED_VALUE"""),"Yes")</f>
        <v>Yes</v>
      </c>
      <c r="D664" s="21" t="str">
        <f>IFERROR(__xludf.DUMMYFUNCTION("""COMPUTED_VALUE"""),"Removed")</f>
        <v>Removed</v>
      </c>
      <c r="E664" s="279">
        <f>IFERROR(__xludf.DUMMYFUNCTION("""COMPUTED_VALUE"""),44119.0)</f>
        <v>44119</v>
      </c>
      <c r="F664" s="279">
        <f>IFERROR(__xludf.DUMMYFUNCTION("""COMPUTED_VALUE"""),44484.0)</f>
        <v>44484</v>
      </c>
      <c r="G664" s="27">
        <f>IFERROR(__xludf.DUMMYFUNCTION("""COMPUTED_VALUE"""),12.0)</f>
        <v>12</v>
      </c>
      <c r="H664" s="128">
        <f>IFERROR(__xludf.DUMMYFUNCTION("""COMPUTED_VALUE"""),43572.0)</f>
        <v>43572</v>
      </c>
      <c r="I664" s="27">
        <f>IFERROR(__xludf.DUMMYFUNCTION("""COMPUTED_VALUE"""),1.4944444444444445)</f>
        <v>1.494444444</v>
      </c>
      <c r="J664" s="29">
        <f>IFERROR(__xludf.DUMMYFUNCTION("""COMPUTED_VALUE"""),83.0)</f>
        <v>83</v>
      </c>
      <c r="K664" s="29">
        <f>IFERROR(__xludf.DUMMYFUNCTION("""COMPUTED_VALUE"""),4.5)</f>
        <v>4.5</v>
      </c>
      <c r="L664" s="275" t="str">
        <f>IFERROR(__xludf.DUMMYFUNCTION("""COMPUTED_VALUE"""),"Platformer")</f>
        <v>Platformer</v>
      </c>
    </row>
    <row r="665">
      <c r="A665" s="278" t="str">
        <f>IFERROR(__xludf.DUMMYFUNCTION("""COMPUTED_VALUE"""),"Tales of Vesperia: Definitive Edition")</f>
        <v>Tales of Vesperia: Definitive Edition</v>
      </c>
      <c r="B665" s="20" t="str">
        <f>IFERROR(__xludf.DUMMYFUNCTION("""COMPUTED_VALUE"""),"Xbox / PC")</f>
        <v>Xbox / PC</v>
      </c>
      <c r="C665" s="21"/>
      <c r="D665" s="21" t="str">
        <f>IFERROR(__xludf.DUMMYFUNCTION("""COMPUTED_VALUE"""),"Removed")</f>
        <v>Removed</v>
      </c>
      <c r="E665" s="23">
        <f>IFERROR(__xludf.DUMMYFUNCTION("""COMPUTED_VALUE"""),44119.0)</f>
        <v>44119</v>
      </c>
      <c r="F665" s="279">
        <f>IFERROR(__xludf.DUMMYFUNCTION("""COMPUTED_VALUE"""),44484.0)</f>
        <v>44484</v>
      </c>
      <c r="G665" s="27">
        <f>IFERROR(__xludf.DUMMYFUNCTION("""COMPUTED_VALUE"""),12.0)</f>
        <v>12</v>
      </c>
      <c r="H665" s="128">
        <f>IFERROR(__xludf.DUMMYFUNCTION("""COMPUTED_VALUE"""),43476.0)</f>
        <v>43476</v>
      </c>
      <c r="I665" s="27">
        <f>IFERROR(__xludf.DUMMYFUNCTION("""COMPUTED_VALUE"""),1.761111111111111)</f>
        <v>1.761111111</v>
      </c>
      <c r="J665" s="29">
        <f>IFERROR(__xludf.DUMMYFUNCTION("""COMPUTED_VALUE"""),80.0)</f>
        <v>80</v>
      </c>
      <c r="K665" s="29">
        <f>IFERROR(__xludf.DUMMYFUNCTION("""COMPUTED_VALUE"""),46.0)</f>
        <v>46</v>
      </c>
      <c r="L665" s="275" t="str">
        <f>IFERROR(__xludf.DUMMYFUNCTION("""COMPUTED_VALUE"""),"RPG")</f>
        <v>RPG</v>
      </c>
    </row>
    <row r="666">
      <c r="A666" s="278" t="str">
        <f>IFERROR(__xludf.DUMMYFUNCTION("""COMPUTED_VALUE"""),"The Swords of Ditto: Mormo's Curse")</f>
        <v>The Swords of Ditto: Mormo's Curse</v>
      </c>
      <c r="B666" s="20" t="str">
        <f>IFERROR(__xludf.DUMMYFUNCTION("""COMPUTED_VALUE"""),"PC")</f>
        <v>PC</v>
      </c>
      <c r="C666" s="21"/>
      <c r="D666" s="21" t="str">
        <f>IFERROR(__xludf.DUMMYFUNCTION("""COMPUTED_VALUE"""),"Removed")</f>
        <v>Removed</v>
      </c>
      <c r="E666" s="279">
        <f>IFERROR(__xludf.DUMMYFUNCTION("""COMPUTED_VALUE"""),44119.0)</f>
        <v>44119</v>
      </c>
      <c r="F666" s="279">
        <f>IFERROR(__xludf.DUMMYFUNCTION("""COMPUTED_VALUE"""),44484.0)</f>
        <v>44484</v>
      </c>
      <c r="G666" s="27">
        <f>IFERROR(__xludf.DUMMYFUNCTION("""COMPUTED_VALUE"""),12.0)</f>
        <v>12</v>
      </c>
      <c r="H666" s="128">
        <f>IFERROR(__xludf.DUMMYFUNCTION("""COMPUTED_VALUE"""),43214.0)</f>
        <v>43214</v>
      </c>
      <c r="I666" s="27">
        <f>IFERROR(__xludf.DUMMYFUNCTION("""COMPUTED_VALUE"""),2.475)</f>
        <v>2.475</v>
      </c>
      <c r="J666" s="29">
        <f>IFERROR(__xludf.DUMMYFUNCTION("""COMPUTED_VALUE"""),76.0)</f>
        <v>76</v>
      </c>
      <c r="K666" s="29">
        <f>IFERROR(__xludf.DUMMYFUNCTION("""COMPUTED_VALUE"""),7.0)</f>
        <v>7</v>
      </c>
      <c r="L666" s="275" t="str">
        <f>IFERROR(__xludf.DUMMYFUNCTION("""COMPUTED_VALUE"""),"RPG")</f>
        <v>RPG</v>
      </c>
    </row>
    <row r="667">
      <c r="A667" s="278" t="str">
        <f>IFERROR(__xludf.DUMMYFUNCTION("""COMPUTED_VALUE"""),"ScourgeBringer")</f>
        <v>ScourgeBringer</v>
      </c>
      <c r="B667" s="20" t="str">
        <f>IFERROR(__xludf.DUMMYFUNCTION("""COMPUTED_VALUE"""),"Xbox / PC")</f>
        <v>Xbox / PC</v>
      </c>
      <c r="C667" s="21" t="str">
        <f>IFERROR(__xludf.DUMMYFUNCTION("""COMPUTED_VALUE"""),"Touch Controls")</f>
        <v>Touch Controls</v>
      </c>
      <c r="D667" s="21" t="str">
        <f>IFERROR(__xludf.DUMMYFUNCTION("""COMPUTED_VALUE"""),"Removed")</f>
        <v>Removed</v>
      </c>
      <c r="E667" s="279">
        <f>IFERROR(__xludf.DUMMYFUNCTION("""COMPUTED_VALUE"""),43867.0)</f>
        <v>43867</v>
      </c>
      <c r="F667" s="279">
        <f>IFERROR(__xludf.DUMMYFUNCTION("""COMPUTED_VALUE"""),44484.0)</f>
        <v>44484</v>
      </c>
      <c r="G667" s="27">
        <f>IFERROR(__xludf.DUMMYFUNCTION("""COMPUTED_VALUE"""),20.3)</f>
        <v>20.3</v>
      </c>
      <c r="H667" s="128">
        <f>IFERROR(__xludf.DUMMYFUNCTION("""COMPUTED_VALUE"""),43867.0)</f>
        <v>43867</v>
      </c>
      <c r="I667" s="27">
        <f>IFERROR(__xludf.DUMMYFUNCTION("""COMPUTED_VALUE"""),0.0)</f>
        <v>0</v>
      </c>
      <c r="J667" s="29">
        <f>IFERROR(__xludf.DUMMYFUNCTION("""COMPUTED_VALUE"""),75.5)</f>
        <v>75.5</v>
      </c>
      <c r="K667" s="29">
        <f>IFERROR(__xludf.DUMMYFUNCTION("""COMPUTED_VALUE"""),2.0)</f>
        <v>2</v>
      </c>
      <c r="L667" s="275" t="str">
        <f>IFERROR(__xludf.DUMMYFUNCTION("""COMPUTED_VALUE"""),"Platformer")</f>
        <v>Platformer</v>
      </c>
    </row>
    <row r="668">
      <c r="A668" s="278" t="str">
        <f>IFERROR(__xludf.DUMMYFUNCTION("""COMPUTED_VALUE"""),"Ikenfell")</f>
        <v>Ikenfell</v>
      </c>
      <c r="B668" s="20" t="str">
        <f>IFERROR(__xludf.DUMMYFUNCTION("""COMPUTED_VALUE"""),"Xbox / PC")</f>
        <v>Xbox / PC</v>
      </c>
      <c r="C668" s="21" t="str">
        <f>IFERROR(__xludf.DUMMYFUNCTION("""COMPUTED_VALUE"""),"Touch Controls")</f>
        <v>Touch Controls</v>
      </c>
      <c r="D668" s="21" t="str">
        <f>IFERROR(__xludf.DUMMYFUNCTION("""COMPUTED_VALUE"""),"Removed")</f>
        <v>Removed</v>
      </c>
      <c r="E668" s="279">
        <f>IFERROR(__xludf.DUMMYFUNCTION("""COMPUTED_VALUE"""),44112.0)</f>
        <v>44112</v>
      </c>
      <c r="F668" s="279">
        <f>IFERROR(__xludf.DUMMYFUNCTION("""COMPUTED_VALUE"""),44469.0)</f>
        <v>44469</v>
      </c>
      <c r="G668" s="27">
        <f>IFERROR(__xludf.DUMMYFUNCTION("""COMPUTED_VALUE"""),11.733333333333333)</f>
        <v>11.73333333</v>
      </c>
      <c r="H668" s="128">
        <f>IFERROR(__xludf.DUMMYFUNCTION("""COMPUTED_VALUE"""),44112.0)</f>
        <v>44112</v>
      </c>
      <c r="I668" s="27">
        <f>IFERROR(__xludf.DUMMYFUNCTION("""COMPUTED_VALUE"""),0.0)</f>
        <v>0</v>
      </c>
      <c r="J668" s="29">
        <f>IFERROR(__xludf.DUMMYFUNCTION("""COMPUTED_VALUE"""),74.0)</f>
        <v>74</v>
      </c>
      <c r="K668" s="29">
        <f>IFERROR(__xludf.DUMMYFUNCTION("""COMPUTED_VALUE"""),19.0)</f>
        <v>19</v>
      </c>
      <c r="L668" s="275" t="str">
        <f>IFERROR(__xludf.DUMMYFUNCTION("""COMPUTED_VALUE"""),"RPG")</f>
        <v>RPG</v>
      </c>
    </row>
    <row r="669">
      <c r="A669" s="278" t="str">
        <f>IFERROR(__xludf.DUMMYFUNCTION("""COMPUTED_VALUE"""),"Kathy Rain")</f>
        <v>Kathy Rain</v>
      </c>
      <c r="B669" s="20" t="str">
        <f>IFERROR(__xludf.DUMMYFUNCTION("""COMPUTED_VALUE"""),"PC")</f>
        <v>PC</v>
      </c>
      <c r="C669" s="21"/>
      <c r="D669" s="21" t="str">
        <f>IFERROR(__xludf.DUMMYFUNCTION("""COMPUTED_VALUE"""),"Removed")</f>
        <v>Removed</v>
      </c>
      <c r="E669" s="279">
        <f>IFERROR(__xludf.DUMMYFUNCTION("""COMPUTED_VALUE"""),44098.0)</f>
        <v>44098</v>
      </c>
      <c r="F669" s="279">
        <f>IFERROR(__xludf.DUMMYFUNCTION("""COMPUTED_VALUE"""),44469.0)</f>
        <v>44469</v>
      </c>
      <c r="G669" s="27">
        <f>IFERROR(__xludf.DUMMYFUNCTION("""COMPUTED_VALUE"""),12.2)</f>
        <v>12.2</v>
      </c>
      <c r="H669" s="128">
        <f>IFERROR(__xludf.DUMMYFUNCTION("""COMPUTED_VALUE"""),42495.0)</f>
        <v>42495</v>
      </c>
      <c r="I669" s="27">
        <f>IFERROR(__xludf.DUMMYFUNCTION("""COMPUTED_VALUE"""),4.386111111111111)</f>
        <v>4.386111111</v>
      </c>
      <c r="J669" s="277">
        <f>IFERROR(__xludf.DUMMYFUNCTION("""COMPUTED_VALUE"""),77.0)</f>
        <v>77</v>
      </c>
      <c r="K669" s="277">
        <f>IFERROR(__xludf.DUMMYFUNCTION("""COMPUTED_VALUE"""),5.5)</f>
        <v>5.5</v>
      </c>
      <c r="L669" s="275" t="str">
        <f>IFERROR(__xludf.DUMMYFUNCTION("""COMPUTED_VALUE"""),"Adventure")</f>
        <v>Adventure</v>
      </c>
    </row>
    <row r="670">
      <c r="A670" s="278" t="str">
        <f>IFERROR(__xludf.DUMMYFUNCTION("""COMPUTED_VALUE"""),"Night in the Woods")</f>
        <v>Night in the Woods</v>
      </c>
      <c r="B670" s="20" t="str">
        <f>IFERROR(__xludf.DUMMYFUNCTION("""COMPUTED_VALUE"""),"Xbox / PC")</f>
        <v>Xbox / PC</v>
      </c>
      <c r="C670" s="21" t="str">
        <f>IFERROR(__xludf.DUMMYFUNCTION("""COMPUTED_VALUE"""),"Yes")</f>
        <v>Yes</v>
      </c>
      <c r="D670" s="21" t="str">
        <f>IFERROR(__xludf.DUMMYFUNCTION("""COMPUTED_VALUE"""),"Removed")</f>
        <v>Removed</v>
      </c>
      <c r="E670" s="279">
        <f>IFERROR(__xludf.DUMMYFUNCTION("""COMPUTED_VALUE"""),44098.0)</f>
        <v>44098</v>
      </c>
      <c r="F670" s="279">
        <f>IFERROR(__xludf.DUMMYFUNCTION("""COMPUTED_VALUE"""),44469.0)</f>
        <v>44469</v>
      </c>
      <c r="G670" s="27">
        <f>IFERROR(__xludf.DUMMYFUNCTION("""COMPUTED_VALUE"""),12.2)</f>
        <v>12.2</v>
      </c>
      <c r="H670" s="128">
        <f>IFERROR(__xludf.DUMMYFUNCTION("""COMPUTED_VALUE"""),42787.0)</f>
        <v>42787</v>
      </c>
      <c r="I670" s="27">
        <f>IFERROR(__xludf.DUMMYFUNCTION("""COMPUTED_VALUE"""),3.591666666666667)</f>
        <v>3.591666667</v>
      </c>
      <c r="J670" s="29">
        <f>IFERROR(__xludf.DUMMYFUNCTION("""COMPUTED_VALUE"""),81.5)</f>
        <v>81.5</v>
      </c>
      <c r="K670" s="29">
        <f>IFERROR(__xludf.DUMMYFUNCTION("""COMPUTED_VALUE"""),8.5)</f>
        <v>8.5</v>
      </c>
      <c r="L670" s="275" t="str">
        <f>IFERROR(__xludf.DUMMYFUNCTION("""COMPUTED_VALUE"""),"Platformer")</f>
        <v>Platformer</v>
      </c>
    </row>
    <row r="671">
      <c r="A671" s="278" t="str">
        <f>IFERROR(__xludf.DUMMYFUNCTION("""COMPUTED_VALUE"""),"Drake Hollow")</f>
        <v>Drake Hollow</v>
      </c>
      <c r="B671" s="20" t="str">
        <f>IFERROR(__xludf.DUMMYFUNCTION("""COMPUTED_VALUE"""),"Xbox / PC")</f>
        <v>Xbox / PC</v>
      </c>
      <c r="C671" s="21" t="str">
        <f>IFERROR(__xludf.DUMMYFUNCTION("""COMPUTED_VALUE"""),"Yes")</f>
        <v>Yes</v>
      </c>
      <c r="D671" s="21" t="str">
        <f>IFERROR(__xludf.DUMMYFUNCTION("""COMPUTED_VALUE"""),"Removed")</f>
        <v>Removed</v>
      </c>
      <c r="E671" s="279">
        <f>IFERROR(__xludf.DUMMYFUNCTION("""COMPUTED_VALUE"""),44071.0)</f>
        <v>44071</v>
      </c>
      <c r="F671" s="279">
        <f>IFERROR(__xludf.DUMMYFUNCTION("""COMPUTED_VALUE"""),44469.0)</f>
        <v>44469</v>
      </c>
      <c r="G671" s="27">
        <f>IFERROR(__xludf.DUMMYFUNCTION("""COMPUTED_VALUE"""),13.066666666666666)</f>
        <v>13.06666667</v>
      </c>
      <c r="H671" s="128">
        <f>IFERROR(__xludf.DUMMYFUNCTION("""COMPUTED_VALUE"""),44071.0)</f>
        <v>44071</v>
      </c>
      <c r="I671" s="27">
        <f>IFERROR(__xludf.DUMMYFUNCTION("""COMPUTED_VALUE"""),0.0)</f>
        <v>0</v>
      </c>
      <c r="J671" s="277">
        <f>IFERROR(__xludf.DUMMYFUNCTION("""COMPUTED_VALUE"""),78.0)</f>
        <v>78</v>
      </c>
      <c r="K671" s="29">
        <f>IFERROR(__xludf.DUMMYFUNCTION("""COMPUTED_VALUE"""),10.0)</f>
        <v>10</v>
      </c>
      <c r="L671" s="275" t="str">
        <f>IFERROR(__xludf.DUMMYFUNCTION("""COMPUTED_VALUE"""),"Action-Adventure")</f>
        <v>Action-Adventure</v>
      </c>
    </row>
    <row r="672">
      <c r="A672" s="17" t="str">
        <f>IFERROR(__xludf.DUMMYFUNCTION("""COMPUTED_VALUE"""),"Forza Motorsport 7")</f>
        <v>Forza Motorsport 7</v>
      </c>
      <c r="B672" s="20" t="str">
        <f>IFERROR(__xludf.DUMMYFUNCTION("""COMPUTED_VALUE"""),"Xbox / PC")</f>
        <v>Xbox / PC</v>
      </c>
      <c r="C672" s="21" t="str">
        <f>IFERROR(__xludf.DUMMYFUNCTION("""COMPUTED_VALUE"""),"Yes")</f>
        <v>Yes</v>
      </c>
      <c r="D672" s="21" t="str">
        <f>IFERROR(__xludf.DUMMYFUNCTION("""COMPUTED_VALUE"""),"Removed")</f>
        <v>Removed</v>
      </c>
      <c r="E672" s="279">
        <f>IFERROR(__xludf.DUMMYFUNCTION("""COMPUTED_VALUE"""),44112.0)</f>
        <v>44112</v>
      </c>
      <c r="F672" s="279">
        <f>IFERROR(__xludf.DUMMYFUNCTION("""COMPUTED_VALUE"""),44454.0)</f>
        <v>44454</v>
      </c>
      <c r="G672" s="27">
        <f>IFERROR(__xludf.DUMMYFUNCTION("""COMPUTED_VALUE"""),11.233333333333334)</f>
        <v>11.23333333</v>
      </c>
      <c r="H672" s="128">
        <f>IFERROR(__xludf.DUMMYFUNCTION("""COMPUTED_VALUE"""),43021.0)</f>
        <v>43021</v>
      </c>
      <c r="I672" s="27">
        <f>IFERROR(__xludf.DUMMYFUNCTION("""COMPUTED_VALUE"""),2.986111111111111)</f>
        <v>2.986111111</v>
      </c>
      <c r="J672" s="29">
        <f>IFERROR(__xludf.DUMMYFUNCTION("""COMPUTED_VALUE"""),84.0)</f>
        <v>84</v>
      </c>
      <c r="K672" s="29">
        <f>IFERROR(__xludf.DUMMYFUNCTION("""COMPUTED_VALUE"""),29.5)</f>
        <v>29.5</v>
      </c>
      <c r="L672" s="275" t="str">
        <f>IFERROR(__xludf.DUMMYFUNCTION("""COMPUTED_VALUE"""),"Racing")</f>
        <v>Racing</v>
      </c>
    </row>
    <row r="673">
      <c r="A673" s="278" t="str">
        <f>IFERROR(__xludf.DUMMYFUNCTION("""COMPUTED_VALUE"""),"Company of Heroes 2: Complete Edition")</f>
        <v>Company of Heroes 2: Complete Edition</v>
      </c>
      <c r="B673" s="20" t="str">
        <f>IFERROR(__xludf.DUMMYFUNCTION("""COMPUTED_VALUE"""),"PC")</f>
        <v>PC</v>
      </c>
      <c r="C673" s="21"/>
      <c r="D673" s="21" t="str">
        <f>IFERROR(__xludf.DUMMYFUNCTION("""COMPUTED_VALUE"""),"Removed")</f>
        <v>Removed</v>
      </c>
      <c r="E673" s="279">
        <f>IFERROR(__xludf.DUMMYFUNCTION("""COMPUTED_VALUE"""),44091.0)</f>
        <v>44091</v>
      </c>
      <c r="F673" s="279">
        <f>IFERROR(__xludf.DUMMYFUNCTION("""COMPUTED_VALUE"""),44454.0)</f>
        <v>44454</v>
      </c>
      <c r="G673" s="27">
        <f>IFERROR(__xludf.DUMMYFUNCTION("""COMPUTED_VALUE"""),11.933333333333334)</f>
        <v>11.93333333</v>
      </c>
      <c r="H673" s="128">
        <f>IFERROR(__xludf.DUMMYFUNCTION("""COMPUTED_VALUE"""),41450.0)</f>
        <v>41450</v>
      </c>
      <c r="I673" s="27">
        <f>IFERROR(__xludf.DUMMYFUNCTION("""COMPUTED_VALUE"""),7.227777777777778)</f>
        <v>7.227777778</v>
      </c>
      <c r="J673" s="29">
        <f>IFERROR(__xludf.DUMMYFUNCTION("""COMPUTED_VALUE"""),80.0)</f>
        <v>80</v>
      </c>
      <c r="K673" s="29">
        <f>IFERROR(__xludf.DUMMYFUNCTION("""COMPUTED_VALUE"""),15.0)</f>
        <v>15</v>
      </c>
      <c r="L673" s="275" t="str">
        <f>IFERROR(__xludf.DUMMYFUNCTION("""COMPUTED_VALUE"""),"Real-Time Strategy")</f>
        <v>Real-Time Strategy</v>
      </c>
    </row>
    <row r="674">
      <c r="A674" s="278" t="str">
        <f>IFERROR(__xludf.DUMMYFUNCTION("""COMPUTED_VALUE"""),"Disgaea 4 Complete+")</f>
        <v>Disgaea 4 Complete+</v>
      </c>
      <c r="B674" s="20" t="str">
        <f>IFERROR(__xludf.DUMMYFUNCTION("""COMPUTED_VALUE"""),"PC")</f>
        <v>PC</v>
      </c>
      <c r="C674" s="21"/>
      <c r="D674" s="21" t="str">
        <f>IFERROR(__xludf.DUMMYFUNCTION("""COMPUTED_VALUE"""),"Removed")</f>
        <v>Removed</v>
      </c>
      <c r="E674" s="279">
        <f>IFERROR(__xludf.DUMMYFUNCTION("""COMPUTED_VALUE"""),44084.0)</f>
        <v>44084</v>
      </c>
      <c r="F674" s="279">
        <f>IFERROR(__xludf.DUMMYFUNCTION("""COMPUTED_VALUE"""),44454.0)</f>
        <v>44454</v>
      </c>
      <c r="G674" s="27">
        <f>IFERROR(__xludf.DUMMYFUNCTION("""COMPUTED_VALUE"""),12.166666666666666)</f>
        <v>12.16666667</v>
      </c>
      <c r="H674" s="128">
        <f>IFERROR(__xludf.DUMMYFUNCTION("""COMPUTED_VALUE"""),43767.0)</f>
        <v>43767</v>
      </c>
      <c r="I674" s="27">
        <f>IFERROR(__xludf.DUMMYFUNCTION("""COMPUTED_VALUE"""),0.8638888888888889)</f>
        <v>0.8638888889</v>
      </c>
      <c r="J674" s="29">
        <f>IFERROR(__xludf.DUMMYFUNCTION("""COMPUTED_VALUE"""),84.0)</f>
        <v>84</v>
      </c>
      <c r="K674" s="29">
        <f>IFERROR(__xludf.DUMMYFUNCTION("""COMPUTED_VALUE"""),35.5)</f>
        <v>35.5</v>
      </c>
      <c r="L674" s="275" t="str">
        <f>IFERROR(__xludf.DUMMYFUNCTION("""COMPUTED_VALUE"""),"RPG")</f>
        <v>RPG</v>
      </c>
    </row>
    <row r="675">
      <c r="A675" s="278" t="str">
        <f>IFERROR(__xludf.DUMMYFUNCTION("""COMPUTED_VALUE"""),"Hotshot Racing")</f>
        <v>Hotshot Racing</v>
      </c>
      <c r="B675" s="20" t="str">
        <f>IFERROR(__xludf.DUMMYFUNCTION("""COMPUTED_VALUE"""),"Xbox")</f>
        <v>Xbox</v>
      </c>
      <c r="C675" s="21" t="str">
        <f>IFERROR(__xludf.DUMMYFUNCTION("""COMPUTED_VALUE"""),"Touch Controls")</f>
        <v>Touch Controls</v>
      </c>
      <c r="D675" s="21" t="str">
        <f>IFERROR(__xludf.DUMMYFUNCTION("""COMPUTED_VALUE"""),"Removed")</f>
        <v>Removed</v>
      </c>
      <c r="E675" s="279">
        <f>IFERROR(__xludf.DUMMYFUNCTION("""COMPUTED_VALUE"""),44084.0)</f>
        <v>44084</v>
      </c>
      <c r="F675" s="279">
        <f>IFERROR(__xludf.DUMMYFUNCTION("""COMPUTED_VALUE"""),44454.0)</f>
        <v>44454</v>
      </c>
      <c r="G675" s="27">
        <f>IFERROR(__xludf.DUMMYFUNCTION("""COMPUTED_VALUE"""),12.166666666666666)</f>
        <v>12.16666667</v>
      </c>
      <c r="H675" s="128">
        <f>IFERROR(__xludf.DUMMYFUNCTION("""COMPUTED_VALUE"""),44084.0)</f>
        <v>44084</v>
      </c>
      <c r="I675" s="27">
        <f>IFERROR(__xludf.DUMMYFUNCTION("""COMPUTED_VALUE"""),0.0)</f>
        <v>0</v>
      </c>
      <c r="J675" s="277">
        <f>IFERROR(__xludf.DUMMYFUNCTION("""COMPUTED_VALUE"""),77.0)</f>
        <v>77</v>
      </c>
      <c r="K675" s="277">
        <f>IFERROR(__xludf.DUMMYFUNCTION("""COMPUTED_VALUE"""),1.0)</f>
        <v>1</v>
      </c>
      <c r="L675" s="31" t="str">
        <f>IFERROR(__xludf.DUMMYFUNCTION("""COMPUTED_VALUE"""),"Racing")</f>
        <v>Racing</v>
      </c>
    </row>
    <row r="676">
      <c r="A676" s="278" t="str">
        <f>IFERROR(__xludf.DUMMYFUNCTION("""COMPUTED_VALUE"""),"The Dark Crystal: Age of Resistance Tactics")</f>
        <v>The Dark Crystal: Age of Resistance Tactics</v>
      </c>
      <c r="B676" s="20" t="str">
        <f>IFERROR(__xludf.DUMMYFUNCTION("""COMPUTED_VALUE"""),"Xbox / PC")</f>
        <v>Xbox / PC</v>
      </c>
      <c r="C676" s="21" t="str">
        <f>IFERROR(__xludf.DUMMYFUNCTION("""COMPUTED_VALUE"""),"Touch Controls")</f>
        <v>Touch Controls</v>
      </c>
      <c r="D676" s="21" t="str">
        <f>IFERROR(__xludf.DUMMYFUNCTION("""COMPUTED_VALUE"""),"Removed")</f>
        <v>Removed</v>
      </c>
      <c r="E676" s="279">
        <f>IFERROR(__xludf.DUMMYFUNCTION("""COMPUTED_VALUE"""),44084.0)</f>
        <v>44084</v>
      </c>
      <c r="F676" s="279">
        <f>IFERROR(__xludf.DUMMYFUNCTION("""COMPUTED_VALUE"""),44454.0)</f>
        <v>44454</v>
      </c>
      <c r="G676" s="27">
        <f>IFERROR(__xludf.DUMMYFUNCTION("""COMPUTED_VALUE"""),12.166666666666666)</f>
        <v>12.16666667</v>
      </c>
      <c r="H676" s="128">
        <f>IFERROR(__xludf.DUMMYFUNCTION("""COMPUTED_VALUE"""),43865.0)</f>
        <v>43865</v>
      </c>
      <c r="I676" s="27">
        <f>IFERROR(__xludf.DUMMYFUNCTION("""COMPUTED_VALUE"""),0.6)</f>
        <v>0.6</v>
      </c>
      <c r="J676" s="29">
        <f>IFERROR(__xludf.DUMMYFUNCTION("""COMPUTED_VALUE"""),62.5)</f>
        <v>62.5</v>
      </c>
      <c r="K676" s="29">
        <f>IFERROR(__xludf.DUMMYFUNCTION("""COMPUTED_VALUE"""),19.0)</f>
        <v>19</v>
      </c>
      <c r="L676" s="275" t="str">
        <f>IFERROR(__xludf.DUMMYFUNCTION("""COMPUTED_VALUE"""),"Strategy")</f>
        <v>Strategy</v>
      </c>
    </row>
    <row r="677">
      <c r="A677" s="278" t="str">
        <f>IFERROR(__xludf.DUMMYFUNCTION("""COMPUTED_VALUE"""),"Thronebreaker: The Witcher Tales")</f>
        <v>Thronebreaker: The Witcher Tales</v>
      </c>
      <c r="B677" s="20" t="str">
        <f>IFERROR(__xludf.DUMMYFUNCTION("""COMPUTED_VALUE"""),"Xbox")</f>
        <v>Xbox</v>
      </c>
      <c r="C677" s="21" t="str">
        <f>IFERROR(__xludf.DUMMYFUNCTION("""COMPUTED_VALUE"""),"Yes")</f>
        <v>Yes</v>
      </c>
      <c r="D677" s="21" t="str">
        <f>IFERROR(__xludf.DUMMYFUNCTION("""COMPUTED_VALUE"""),"Removed")</f>
        <v>Removed</v>
      </c>
      <c r="E677" s="279">
        <f>IFERROR(__xludf.DUMMYFUNCTION("""COMPUTED_VALUE"""),44000.0)</f>
        <v>44000</v>
      </c>
      <c r="F677" s="279">
        <f>IFERROR(__xludf.DUMMYFUNCTION("""COMPUTED_VALUE"""),44454.0)</f>
        <v>44454</v>
      </c>
      <c r="G677" s="27">
        <f>IFERROR(__xludf.DUMMYFUNCTION("""COMPUTED_VALUE"""),14.9)</f>
        <v>14.9</v>
      </c>
      <c r="H677" s="128">
        <f>IFERROR(__xludf.DUMMYFUNCTION("""COMPUTED_VALUE"""),43396.0)</f>
        <v>43396</v>
      </c>
      <c r="I677" s="27">
        <f>IFERROR(__xludf.DUMMYFUNCTION("""COMPUTED_VALUE"""),1.6527777777777777)</f>
        <v>1.652777778</v>
      </c>
      <c r="J677" s="29">
        <f>IFERROR(__xludf.DUMMYFUNCTION("""COMPUTED_VALUE"""),85.0)</f>
        <v>85</v>
      </c>
      <c r="K677" s="29">
        <f>IFERROR(__xludf.DUMMYFUNCTION("""COMPUTED_VALUE"""),26.0)</f>
        <v>26</v>
      </c>
      <c r="L677" s="275" t="str">
        <f>IFERROR(__xludf.DUMMYFUNCTION("""COMPUTED_VALUE"""),"Card Game")</f>
        <v>Card Game</v>
      </c>
    </row>
    <row r="678">
      <c r="A678" s="278" t="str">
        <f>IFERROR(__xludf.DUMMYFUNCTION("""COMPUTED_VALUE"""),"Red Dead Online")</f>
        <v>Red Dead Online</v>
      </c>
      <c r="B678" s="20" t="str">
        <f>IFERROR(__xludf.DUMMYFUNCTION("""COMPUTED_VALUE"""),"Xbox")</f>
        <v>Xbox</v>
      </c>
      <c r="C678" s="21" t="str">
        <f>IFERROR(__xludf.DUMMYFUNCTION("""COMPUTED_VALUE"""),"Yes")</f>
        <v>Yes</v>
      </c>
      <c r="D678" s="21" t="str">
        <f>IFERROR(__xludf.DUMMYFUNCTION("""COMPUTED_VALUE"""),"Removed")</f>
        <v>Removed</v>
      </c>
      <c r="E678" s="279">
        <f>IFERROR(__xludf.DUMMYFUNCTION("""COMPUTED_VALUE"""),44329.0)</f>
        <v>44329</v>
      </c>
      <c r="F678" s="279">
        <f>IFERROR(__xludf.DUMMYFUNCTION("""COMPUTED_VALUE"""),44452.0)</f>
        <v>44452</v>
      </c>
      <c r="G678" s="27">
        <f>IFERROR(__xludf.DUMMYFUNCTION("""COMPUTED_VALUE"""),4.0)</f>
        <v>4</v>
      </c>
      <c r="H678" s="128">
        <f>IFERROR(__xludf.DUMMYFUNCTION("""COMPUTED_VALUE"""),43431.0)</f>
        <v>43431</v>
      </c>
      <c r="I678" s="27">
        <f>IFERROR(__xludf.DUMMYFUNCTION("""COMPUTED_VALUE"""),2.4611111111111112)</f>
        <v>2.461111111</v>
      </c>
      <c r="J678" s="29">
        <f>IFERROR(__xludf.DUMMYFUNCTION("""COMPUTED_VALUE"""),85.0)</f>
        <v>85</v>
      </c>
      <c r="K678" s="29">
        <f>IFERROR(__xludf.DUMMYFUNCTION("""COMPUTED_VALUE"""),8.0)</f>
        <v>8</v>
      </c>
      <c r="L678" s="275" t="str">
        <f>IFERROR(__xludf.DUMMYFUNCTION("""COMPUTED_VALUE"""),"Action-Adventure")</f>
        <v>Action-Adventure</v>
      </c>
    </row>
    <row r="679">
      <c r="A679" s="278" t="str">
        <f>IFERROR(__xludf.DUMMYFUNCTION("""COMPUTED_VALUE"""),"Star Wars Battlefront (Classic)")</f>
        <v>Star Wars Battlefront (Classic)</v>
      </c>
      <c r="B679" s="20" t="str">
        <f>IFERROR(__xludf.DUMMYFUNCTION("""COMPUTED_VALUE"""),"PC")</f>
        <v>PC</v>
      </c>
      <c r="C679" s="21"/>
      <c r="D679" s="21" t="str">
        <f>IFERROR(__xludf.DUMMYFUNCTION("""COMPUTED_VALUE"""),"Removed")</f>
        <v>Removed</v>
      </c>
      <c r="E679" s="279">
        <f>IFERROR(__xludf.DUMMYFUNCTION("""COMPUTED_VALUE"""),44273.0)</f>
        <v>44273</v>
      </c>
      <c r="F679" s="279">
        <f>IFERROR(__xludf.DUMMYFUNCTION("""COMPUTED_VALUE"""),44448.0)</f>
        <v>44448</v>
      </c>
      <c r="G679" s="27">
        <f>IFERROR(__xludf.DUMMYFUNCTION("""COMPUTED_VALUE"""),5.699999999999999)</f>
        <v>5.7</v>
      </c>
      <c r="H679" s="128">
        <f>IFERROR(__xludf.DUMMYFUNCTION("""COMPUTED_VALUE"""),43056.0)</f>
        <v>43056</v>
      </c>
      <c r="I679" s="27">
        <f>IFERROR(__xludf.DUMMYFUNCTION("""COMPUTED_VALUE"""),3.3361111111111112)</f>
        <v>3.336111111</v>
      </c>
      <c r="J679" s="29">
        <f>IFERROR(__xludf.DUMMYFUNCTION("""COMPUTED_VALUE"""),76.0)</f>
        <v>76</v>
      </c>
      <c r="K679" s="29">
        <f>IFERROR(__xludf.DUMMYFUNCTION("""COMPUTED_VALUE"""),9.5)</f>
        <v>9.5</v>
      </c>
      <c r="L679" s="275" t="str">
        <f>IFERROR(__xludf.DUMMYFUNCTION("""COMPUTED_VALUE"""),"Shooter")</f>
        <v>Shooter</v>
      </c>
    </row>
    <row r="680">
      <c r="A680" s="17" t="str">
        <f>IFERROR(__xludf.DUMMYFUNCTION("""COMPUTED_VALUE"""),"Star Wars Battlefront II (Classic)")</f>
        <v>Star Wars Battlefront II (Classic)</v>
      </c>
      <c r="B680" s="20" t="str">
        <f>IFERROR(__xludf.DUMMYFUNCTION("""COMPUTED_VALUE"""),"PC")</f>
        <v>PC</v>
      </c>
      <c r="C680" s="21"/>
      <c r="D680" s="21" t="str">
        <f>IFERROR(__xludf.DUMMYFUNCTION("""COMPUTED_VALUE"""),"Removed")</f>
        <v>Removed</v>
      </c>
      <c r="E680" s="279">
        <f>IFERROR(__xludf.DUMMYFUNCTION("""COMPUTED_VALUE"""),44273.0)</f>
        <v>44273</v>
      </c>
      <c r="F680" s="279">
        <f>IFERROR(__xludf.DUMMYFUNCTION("""COMPUTED_VALUE"""),44448.0)</f>
        <v>44448</v>
      </c>
      <c r="G680" s="27">
        <f>IFERROR(__xludf.DUMMYFUNCTION("""COMPUTED_VALUE"""),5.699999999999999)</f>
        <v>5.7</v>
      </c>
      <c r="H680" s="128">
        <f>IFERROR(__xludf.DUMMYFUNCTION("""COMPUTED_VALUE"""),38657.0)</f>
        <v>38657</v>
      </c>
      <c r="I680" s="27">
        <f>IFERROR(__xludf.DUMMYFUNCTION("""COMPUTED_VALUE"""),15.380555555555556)</f>
        <v>15.38055556</v>
      </c>
      <c r="J680" s="277">
        <f>IFERROR(__xludf.DUMMYFUNCTION("""COMPUTED_VALUE"""),78.0)</f>
        <v>78</v>
      </c>
      <c r="K680" s="29">
        <f>IFERROR(__xludf.DUMMYFUNCTION("""COMPUTED_VALUE"""),7.5)</f>
        <v>7.5</v>
      </c>
      <c r="L680" s="275" t="str">
        <f>IFERROR(__xludf.DUMMYFUNCTION("""COMPUTED_VALUE"""),"Shooter")</f>
        <v>Shooter</v>
      </c>
    </row>
    <row r="681">
      <c r="A681" s="278" t="str">
        <f>IFERROR(__xludf.DUMMYFUNCTION("""COMPUTED_VALUE"""),"Star Wars Republic Commando")</f>
        <v>Star Wars Republic Commando</v>
      </c>
      <c r="B681" s="21" t="str">
        <f>IFERROR(__xludf.DUMMYFUNCTION("""COMPUTED_VALUE"""),"PC")</f>
        <v>PC</v>
      </c>
      <c r="C681" s="21"/>
      <c r="D681" s="21" t="str">
        <f>IFERROR(__xludf.DUMMYFUNCTION("""COMPUTED_VALUE"""),"Removed")</f>
        <v>Removed</v>
      </c>
      <c r="E681" s="279">
        <f>IFERROR(__xludf.DUMMYFUNCTION("""COMPUTED_VALUE"""),44273.0)</f>
        <v>44273</v>
      </c>
      <c r="F681" s="279">
        <f>IFERROR(__xludf.DUMMYFUNCTION("""COMPUTED_VALUE"""),44448.0)</f>
        <v>44448</v>
      </c>
      <c r="G681" s="27">
        <f>IFERROR(__xludf.DUMMYFUNCTION("""COMPUTED_VALUE"""),5.699999999999999)</f>
        <v>5.7</v>
      </c>
      <c r="H681" s="128">
        <f>IFERROR(__xludf.DUMMYFUNCTION("""COMPUTED_VALUE"""),38411.0)</f>
        <v>38411</v>
      </c>
      <c r="I681" s="27">
        <f>IFERROR(__xludf.DUMMYFUNCTION("""COMPUTED_VALUE"""),16.055555555555557)</f>
        <v>16.05555556</v>
      </c>
      <c r="J681" s="29">
        <f>IFERROR(__xludf.DUMMYFUNCTION("""COMPUTED_VALUE"""),78.0)</f>
        <v>78</v>
      </c>
      <c r="K681" s="29">
        <f>IFERROR(__xludf.DUMMYFUNCTION("""COMPUTED_VALUE"""),9.0)</f>
        <v>9</v>
      </c>
      <c r="L681" s="275" t="str">
        <f>IFERROR(__xludf.DUMMYFUNCTION("""COMPUTED_VALUE"""),"Shooter")</f>
        <v>Shooter</v>
      </c>
    </row>
    <row r="682">
      <c r="A682" s="278" t="str">
        <f>IFERROR(__xludf.DUMMYFUNCTION("""COMPUTED_VALUE"""),"The Escapists 2")</f>
        <v>The Escapists 2</v>
      </c>
      <c r="B682" s="20" t="str">
        <f>IFERROR(__xludf.DUMMYFUNCTION("""COMPUTED_VALUE"""),"PC")</f>
        <v>PC</v>
      </c>
      <c r="C682" s="21" t="str">
        <f>IFERROR(__xludf.DUMMYFUNCTION("""COMPUTED_VALUE"""),"Yes")</f>
        <v>Yes</v>
      </c>
      <c r="D682" s="21" t="str">
        <f>IFERROR(__xludf.DUMMYFUNCTION("""COMPUTED_VALUE"""),"Removed")</f>
        <v>Removed</v>
      </c>
      <c r="E682" s="279">
        <f>IFERROR(__xludf.DUMMYFUNCTION("""COMPUTED_VALUE"""),43795.0)</f>
        <v>43795</v>
      </c>
      <c r="F682" s="279">
        <f>IFERROR(__xludf.DUMMYFUNCTION("""COMPUTED_VALUE"""),44448.0)</f>
        <v>44448</v>
      </c>
      <c r="G682" s="27">
        <f>IFERROR(__xludf.DUMMYFUNCTION("""COMPUTED_VALUE"""),21.433333333333334)</f>
        <v>21.43333333</v>
      </c>
      <c r="H682" s="128">
        <f>IFERROR(__xludf.DUMMYFUNCTION("""COMPUTED_VALUE"""),42968.0)</f>
        <v>42968</v>
      </c>
      <c r="I682" s="27">
        <f>IFERROR(__xludf.DUMMYFUNCTION("""COMPUTED_VALUE"""),2.263888888888889)</f>
        <v>2.263888889</v>
      </c>
      <c r="J682" s="277">
        <f>IFERROR(__xludf.DUMMYFUNCTION("""COMPUTED_VALUE"""),75.0)</f>
        <v>75</v>
      </c>
      <c r="K682" s="29">
        <f>IFERROR(__xludf.DUMMYFUNCTION("""COMPUTED_VALUE"""),33.0)</f>
        <v>33</v>
      </c>
      <c r="L682" s="275" t="str">
        <f>IFERROR(__xludf.DUMMYFUNCTION("""COMPUTED_VALUE"""),"Strategy")</f>
        <v>Strategy</v>
      </c>
    </row>
    <row r="683">
      <c r="A683" s="278" t="str">
        <f>IFERROR(__xludf.DUMMYFUNCTION("""COMPUTED_VALUE"""),"Vambrace: Cold Soul")</f>
        <v>Vambrace: Cold Soul</v>
      </c>
      <c r="B683" s="20" t="str">
        <f>IFERROR(__xludf.DUMMYFUNCTION("""COMPUTED_VALUE"""),"PC")</f>
        <v>PC</v>
      </c>
      <c r="C683" s="21" t="str">
        <f>IFERROR(__xludf.DUMMYFUNCTION("""COMPUTED_VALUE"""),"Yes")</f>
        <v>Yes</v>
      </c>
      <c r="D683" s="21" t="str">
        <f>IFERROR(__xludf.DUMMYFUNCTION("""COMPUTED_VALUE"""),"Removed")</f>
        <v>Removed</v>
      </c>
      <c r="E683" s="279">
        <f>IFERROR(__xludf.DUMMYFUNCTION("""COMPUTED_VALUE"""),43790.0)</f>
        <v>43790</v>
      </c>
      <c r="F683" s="279">
        <f>IFERROR(__xludf.DUMMYFUNCTION("""COMPUTED_VALUE"""),44448.0)</f>
        <v>44448</v>
      </c>
      <c r="G683" s="27">
        <f>IFERROR(__xludf.DUMMYFUNCTION("""COMPUTED_VALUE"""),21.6)</f>
        <v>21.6</v>
      </c>
      <c r="H683" s="128">
        <f>IFERROR(__xludf.DUMMYFUNCTION("""COMPUTED_VALUE"""),43613.0)</f>
        <v>43613</v>
      </c>
      <c r="I683" s="27">
        <f>IFERROR(__xludf.DUMMYFUNCTION("""COMPUTED_VALUE"""),0.48055555555555557)</f>
        <v>0.4805555556</v>
      </c>
      <c r="J683" s="277">
        <f>IFERROR(__xludf.DUMMYFUNCTION("""COMPUTED_VALUE"""),66.0)</f>
        <v>66</v>
      </c>
      <c r="K683" s="29">
        <f>IFERROR(__xludf.DUMMYFUNCTION("""COMPUTED_VALUE"""),19.0)</f>
        <v>19</v>
      </c>
      <c r="L683" s="275" t="str">
        <f>IFERROR(__xludf.DUMMYFUNCTION("""COMPUTED_VALUE"""),"Action-Adventure")</f>
        <v>Action-Adventure</v>
      </c>
    </row>
    <row r="684">
      <c r="A684" s="17" t="str">
        <f>IFERROR(__xludf.DUMMYFUNCTION("""COMPUTED_VALUE"""),"Yooka-Laylee")</f>
        <v>Yooka-Laylee</v>
      </c>
      <c r="B684" s="20" t="str">
        <f>IFERROR(__xludf.DUMMYFUNCTION("""COMPUTED_VALUE"""),"PC")</f>
        <v>PC</v>
      </c>
      <c r="C684" s="21"/>
      <c r="D684" s="21" t="str">
        <f>IFERROR(__xludf.DUMMYFUNCTION("""COMPUTED_VALUE"""),"Removed")</f>
        <v>Removed</v>
      </c>
      <c r="E684" s="279">
        <f>IFERROR(__xludf.DUMMYFUNCTION("""COMPUTED_VALUE"""),43748.0)</f>
        <v>43748</v>
      </c>
      <c r="F684" s="279">
        <f>IFERROR(__xludf.DUMMYFUNCTION("""COMPUTED_VALUE"""),44448.0)</f>
        <v>44448</v>
      </c>
      <c r="G684" s="27">
        <f>IFERROR(__xludf.DUMMYFUNCTION("""COMPUTED_VALUE"""),22.96666666666667)</f>
        <v>22.96666667</v>
      </c>
      <c r="H684" s="128">
        <f>IFERROR(__xludf.DUMMYFUNCTION("""COMPUTED_VALUE"""),42836.0)</f>
        <v>42836</v>
      </c>
      <c r="I684" s="27">
        <f>IFERROR(__xludf.DUMMYFUNCTION("""COMPUTED_VALUE"""),2.4972222222222222)</f>
        <v>2.497222222</v>
      </c>
      <c r="J684" s="29">
        <f>IFERROR(__xludf.DUMMYFUNCTION("""COMPUTED_VALUE"""),75.0)</f>
        <v>75</v>
      </c>
      <c r="K684" s="29">
        <f>IFERROR(__xludf.DUMMYFUNCTION("""COMPUTED_VALUE"""),15.0)</f>
        <v>15</v>
      </c>
      <c r="L684" s="275" t="str">
        <f>IFERROR(__xludf.DUMMYFUNCTION("""COMPUTED_VALUE"""),"Platformer")</f>
        <v>Platformer</v>
      </c>
    </row>
    <row r="685">
      <c r="A685" s="278" t="str">
        <f>IFERROR(__xludf.DUMMYFUNCTION("""COMPUTED_VALUE"""),"NBA 2K21")</f>
        <v>NBA 2K21</v>
      </c>
      <c r="B685" s="20" t="str">
        <f>IFERROR(__xludf.DUMMYFUNCTION("""COMPUTED_VALUE"""),"Xbox")</f>
        <v>Xbox</v>
      </c>
      <c r="C685" s="21" t="str">
        <f>IFERROR(__xludf.DUMMYFUNCTION("""COMPUTED_VALUE"""),"Yes")</f>
        <v>Yes</v>
      </c>
      <c r="D685" s="21" t="str">
        <f>IFERROR(__xludf.DUMMYFUNCTION("""COMPUTED_VALUE"""),"Removed")</f>
        <v>Removed</v>
      </c>
      <c r="E685" s="23">
        <f>IFERROR(__xludf.DUMMYFUNCTION("""COMPUTED_VALUE"""),44259.0)</f>
        <v>44259</v>
      </c>
      <c r="F685" s="279">
        <f>IFERROR(__xludf.DUMMYFUNCTION("""COMPUTED_VALUE"""),44439.0)</f>
        <v>44439</v>
      </c>
      <c r="G685" s="27">
        <f>IFERROR(__xludf.DUMMYFUNCTION("""COMPUTED_VALUE"""),5.866666666666666)</f>
        <v>5.866666667</v>
      </c>
      <c r="H685" s="128">
        <f>IFERROR(__xludf.DUMMYFUNCTION("""COMPUTED_VALUE"""),44078.0)</f>
        <v>44078</v>
      </c>
      <c r="I685" s="27">
        <f>IFERROR(__xludf.DUMMYFUNCTION("""COMPUTED_VALUE"""),0.5)</f>
        <v>0.5</v>
      </c>
      <c r="J685" s="29">
        <f>IFERROR(__xludf.DUMMYFUNCTION("""COMPUTED_VALUE"""),73.5)</f>
        <v>73.5</v>
      </c>
      <c r="K685" s="29">
        <f>IFERROR(__xludf.DUMMYFUNCTION("""COMPUTED_VALUE"""),50.5)</f>
        <v>50.5</v>
      </c>
      <c r="L685" s="275" t="str">
        <f>IFERROR(__xludf.DUMMYFUNCTION("""COMPUTED_VALUE"""),"Sports")</f>
        <v>Sports</v>
      </c>
    </row>
    <row r="686">
      <c r="A686" s="278" t="str">
        <f>IFERROR(__xludf.DUMMYFUNCTION("""COMPUTED_VALUE"""),"Double Kick Heroes")</f>
        <v>Double Kick Heroes</v>
      </c>
      <c r="B686" s="20" t="str">
        <f>IFERROR(__xludf.DUMMYFUNCTION("""COMPUTED_VALUE"""),"Xbox / PC")</f>
        <v>Xbox / PC</v>
      </c>
      <c r="C686" s="21" t="str">
        <f>IFERROR(__xludf.DUMMYFUNCTION("""COMPUTED_VALUE"""),"Touch Controls")</f>
        <v>Touch Controls</v>
      </c>
      <c r="D686" s="21" t="str">
        <f>IFERROR(__xludf.DUMMYFUNCTION("""COMPUTED_VALUE"""),"Removed")</f>
        <v>Removed</v>
      </c>
      <c r="E686" s="279">
        <f>IFERROR(__xludf.DUMMYFUNCTION("""COMPUTED_VALUE"""),44070.0)</f>
        <v>44070</v>
      </c>
      <c r="F686" s="279">
        <f>IFERROR(__xludf.DUMMYFUNCTION("""COMPUTED_VALUE"""),44439.0)</f>
        <v>44439</v>
      </c>
      <c r="G686" s="27">
        <f>IFERROR(__xludf.DUMMYFUNCTION("""COMPUTED_VALUE"""),12.1)</f>
        <v>12.1</v>
      </c>
      <c r="H686" s="128">
        <f>IFERROR(__xludf.DUMMYFUNCTION("""COMPUTED_VALUE"""),44056.0)</f>
        <v>44056</v>
      </c>
      <c r="I686" s="27">
        <f>IFERROR(__xludf.DUMMYFUNCTION("""COMPUTED_VALUE"""),0.03888888888888889)</f>
        <v>0.03888888889</v>
      </c>
      <c r="J686" s="29">
        <f>IFERROR(__xludf.DUMMYFUNCTION("""COMPUTED_VALUE"""),76.0)</f>
        <v>76</v>
      </c>
      <c r="K686" s="29">
        <f>IFERROR(__xludf.DUMMYFUNCTION("""COMPUTED_VALUE"""),3.0)</f>
        <v>3</v>
      </c>
      <c r="L686" s="275" t="str">
        <f>IFERROR(__xludf.DUMMYFUNCTION("""COMPUTED_VALUE"""),"Shooter")</f>
        <v>Shooter</v>
      </c>
    </row>
    <row r="687">
      <c r="A687" s="278" t="str">
        <f>IFERROR(__xludf.DUMMYFUNCTION("""COMPUTED_VALUE"""),"Stranger Things 3: The Game")</f>
        <v>Stranger Things 3: The Game</v>
      </c>
      <c r="B687" s="20" t="str">
        <f>IFERROR(__xludf.DUMMYFUNCTION("""COMPUTED_VALUE"""),"Xbox / PC")</f>
        <v>Xbox / PC</v>
      </c>
      <c r="C687" s="21" t="str">
        <f>IFERROR(__xludf.DUMMYFUNCTION("""COMPUTED_VALUE"""),"Touch Controls")</f>
        <v>Touch Controls</v>
      </c>
      <c r="D687" s="21" t="str">
        <f>IFERROR(__xludf.DUMMYFUNCTION("""COMPUTED_VALUE"""),"Removed")</f>
        <v>Removed</v>
      </c>
      <c r="E687" s="279">
        <f>IFERROR(__xludf.DUMMYFUNCTION("""COMPUTED_VALUE"""),43928.0)</f>
        <v>43928</v>
      </c>
      <c r="F687" s="279">
        <f>IFERROR(__xludf.DUMMYFUNCTION("""COMPUTED_VALUE"""),44439.0)</f>
        <v>44439</v>
      </c>
      <c r="G687" s="27">
        <f>IFERROR(__xludf.DUMMYFUNCTION("""COMPUTED_VALUE"""),16.766666666666666)</f>
        <v>16.76666667</v>
      </c>
      <c r="H687" s="128">
        <f>IFERROR(__xludf.DUMMYFUNCTION("""COMPUTED_VALUE"""),43650.0)</f>
        <v>43650</v>
      </c>
      <c r="I687" s="27">
        <f>IFERROR(__xludf.DUMMYFUNCTION("""COMPUTED_VALUE"""),0.7583333333333333)</f>
        <v>0.7583333333</v>
      </c>
      <c r="J687" s="277">
        <f>IFERROR(__xludf.DUMMYFUNCTION("""COMPUTED_VALUE"""),62.0)</f>
        <v>62</v>
      </c>
      <c r="K687" s="29">
        <f>IFERROR(__xludf.DUMMYFUNCTION("""COMPUTED_VALUE"""),8.5)</f>
        <v>8.5</v>
      </c>
      <c r="L687" s="275" t="str">
        <f>IFERROR(__xludf.DUMMYFUNCTION("""COMPUTED_VALUE"""),"Action-Adventure")</f>
        <v>Action-Adventure</v>
      </c>
    </row>
    <row r="688">
      <c r="A688" s="278" t="str">
        <f>IFERROR(__xludf.DUMMYFUNCTION("""COMPUTED_VALUE"""),"Blair Witch")</f>
        <v>Blair Witch</v>
      </c>
      <c r="B688" s="20" t="str">
        <f>IFERROR(__xludf.DUMMYFUNCTION("""COMPUTED_VALUE"""),"Xbox / PC")</f>
        <v>Xbox / PC</v>
      </c>
      <c r="C688" s="21" t="str">
        <f>IFERROR(__xludf.DUMMYFUNCTION("""COMPUTED_VALUE"""),"Yes")</f>
        <v>Yes</v>
      </c>
      <c r="D688" s="21" t="str">
        <f>IFERROR(__xludf.DUMMYFUNCTION("""COMPUTED_VALUE"""),"Removed")</f>
        <v>Removed</v>
      </c>
      <c r="E688" s="279">
        <f>IFERROR(__xludf.DUMMYFUNCTION("""COMPUTED_VALUE"""),43707.0)</f>
        <v>43707</v>
      </c>
      <c r="F688" s="279">
        <f>IFERROR(__xludf.DUMMYFUNCTION("""COMPUTED_VALUE"""),44439.0)</f>
        <v>44439</v>
      </c>
      <c r="G688" s="27">
        <f>IFERROR(__xludf.DUMMYFUNCTION("""COMPUTED_VALUE"""),24.0)</f>
        <v>24</v>
      </c>
      <c r="H688" s="128">
        <f>IFERROR(__xludf.DUMMYFUNCTION("""COMPUTED_VALUE"""),43707.0)</f>
        <v>43707</v>
      </c>
      <c r="I688" s="27">
        <f>IFERROR(__xludf.DUMMYFUNCTION("""COMPUTED_VALUE"""),0.0)</f>
        <v>0</v>
      </c>
      <c r="J688" s="277">
        <f>IFERROR(__xludf.DUMMYFUNCTION("""COMPUTED_VALUE"""),66.0)</f>
        <v>66</v>
      </c>
      <c r="K688" s="29">
        <f>IFERROR(__xludf.DUMMYFUNCTION("""COMPUTED_VALUE"""),5.0)</f>
        <v>5</v>
      </c>
      <c r="L688" s="31" t="str">
        <f>IFERROR(__xludf.DUMMYFUNCTION("""COMPUTED_VALUE"""),"Adventure")</f>
        <v>Adventure</v>
      </c>
    </row>
    <row r="689">
      <c r="A689" s="278" t="str">
        <f>IFERROR(__xludf.DUMMYFUNCTION("""COMPUTED_VALUE"""),"Pyre")</f>
        <v>Pyre</v>
      </c>
      <c r="B689" s="20" t="str">
        <f>IFERROR(__xludf.DUMMYFUNCTION("""COMPUTED_VALUE"""),"PC")</f>
        <v>PC</v>
      </c>
      <c r="C689" s="21"/>
      <c r="D689" s="21" t="str">
        <f>IFERROR(__xludf.DUMMYFUNCTION("""COMPUTED_VALUE"""),"Removed")</f>
        <v>Removed</v>
      </c>
      <c r="E689" s="279">
        <f>IFERROR(__xludf.DUMMYFUNCTION("""COMPUTED_VALUE"""),44273.0)</f>
        <v>44273</v>
      </c>
      <c r="F689" s="279">
        <f>IFERROR(__xludf.DUMMYFUNCTION("""COMPUTED_VALUE"""),44428.0)</f>
        <v>44428</v>
      </c>
      <c r="G689" s="27">
        <f>IFERROR(__xludf.DUMMYFUNCTION("""COMPUTED_VALUE"""),5.066666666666666)</f>
        <v>5.066666667</v>
      </c>
      <c r="H689" s="128">
        <f>IFERROR(__xludf.DUMMYFUNCTION("""COMPUTED_VALUE"""),42941.0)</f>
        <v>42941</v>
      </c>
      <c r="I689" s="27">
        <f>IFERROR(__xludf.DUMMYFUNCTION("""COMPUTED_VALUE"""),3.647222222222222)</f>
        <v>3.647222222</v>
      </c>
      <c r="J689" s="277">
        <f>IFERROR(__xludf.DUMMYFUNCTION("""COMPUTED_VALUE"""),82.0)</f>
        <v>82</v>
      </c>
      <c r="K689" s="277">
        <f>IFERROR(__xludf.DUMMYFUNCTION("""COMPUTED_VALUE"""),11.0)</f>
        <v>11</v>
      </c>
      <c r="L689" s="275" t="str">
        <f>IFERROR(__xludf.DUMMYFUNCTION("""COMPUTED_VALUE"""),"RPG")</f>
        <v>RPG</v>
      </c>
    </row>
    <row r="690">
      <c r="A690" s="17" t="str">
        <f>IFERROR(__xludf.DUMMYFUNCTION("""COMPUTED_VALUE"""),"Dear Esther: Landmark Edition")</f>
        <v>Dear Esther: Landmark Edition</v>
      </c>
      <c r="B690" s="20" t="str">
        <f>IFERROR(__xludf.DUMMYFUNCTION("""COMPUTED_VALUE"""),"PC")</f>
        <v>PC</v>
      </c>
      <c r="C690" s="21"/>
      <c r="D690" s="21" t="str">
        <f>IFERROR(__xludf.DUMMYFUNCTION("""COMPUTED_VALUE"""),"Removed")</f>
        <v>Removed</v>
      </c>
      <c r="E690" s="279">
        <f>IFERROR(__xludf.DUMMYFUNCTION("""COMPUTED_VALUE"""),44273.0)</f>
        <v>44273</v>
      </c>
      <c r="F690" s="279">
        <f>IFERROR(__xludf.DUMMYFUNCTION("""COMPUTED_VALUE"""),44428.0)</f>
        <v>44428</v>
      </c>
      <c r="G690" s="27">
        <f>IFERROR(__xludf.DUMMYFUNCTION("""COMPUTED_VALUE"""),5.066666666666666)</f>
        <v>5.066666667</v>
      </c>
      <c r="H690" s="128">
        <f>IFERROR(__xludf.DUMMYFUNCTION("""COMPUTED_VALUE"""),40953.0)</f>
        <v>40953</v>
      </c>
      <c r="I690" s="27">
        <f>IFERROR(__xludf.DUMMYFUNCTION("""COMPUTED_VALUE"""),9.094444444444445)</f>
        <v>9.094444444</v>
      </c>
      <c r="J690" s="29">
        <f>IFERROR(__xludf.DUMMYFUNCTION("""COMPUTED_VALUE"""),68.0)</f>
        <v>68</v>
      </c>
      <c r="K690" s="29">
        <f>IFERROR(__xludf.DUMMYFUNCTION("""COMPUTED_VALUE"""),1.5)</f>
        <v>1.5</v>
      </c>
      <c r="L690" s="31" t="str">
        <f>IFERROR(__xludf.DUMMYFUNCTION("""COMPUTED_VALUE"""),"Adventure")</f>
        <v>Adventure</v>
      </c>
    </row>
    <row r="691">
      <c r="A691" s="17" t="str">
        <f>IFERROR(__xludf.DUMMYFUNCTION("""COMPUTED_VALUE"""),"Mugsters")</f>
        <v>Mugsters</v>
      </c>
      <c r="B691" s="20" t="str">
        <f>IFERROR(__xludf.DUMMYFUNCTION("""COMPUTED_VALUE"""),"PC")</f>
        <v>PC</v>
      </c>
      <c r="C691" s="21"/>
      <c r="D691" s="21" t="str">
        <f>IFERROR(__xludf.DUMMYFUNCTION("""COMPUTED_VALUE"""),"Removed")</f>
        <v>Removed</v>
      </c>
      <c r="E691" s="279">
        <f>IFERROR(__xludf.DUMMYFUNCTION("""COMPUTED_VALUE"""),44273.0)</f>
        <v>44273</v>
      </c>
      <c r="F691" s="279">
        <f>IFERROR(__xludf.DUMMYFUNCTION("""COMPUTED_VALUE"""),44428.0)</f>
        <v>44428</v>
      </c>
      <c r="G691" s="27">
        <f>IFERROR(__xludf.DUMMYFUNCTION("""COMPUTED_VALUE"""),5.066666666666666)</f>
        <v>5.066666667</v>
      </c>
      <c r="H691" s="128">
        <f>IFERROR(__xludf.DUMMYFUNCTION("""COMPUTED_VALUE"""),43298.0)</f>
        <v>43298</v>
      </c>
      <c r="I691" s="27">
        <f>IFERROR(__xludf.DUMMYFUNCTION("""COMPUTED_VALUE"""),2.6694444444444443)</f>
        <v>2.669444444</v>
      </c>
      <c r="J691" s="29">
        <f>IFERROR(__xludf.DUMMYFUNCTION("""COMPUTED_VALUE"""),75.0)</f>
        <v>75</v>
      </c>
      <c r="K691" s="29">
        <f>IFERROR(__xludf.DUMMYFUNCTION("""COMPUTED_VALUE"""),15.0)</f>
        <v>15</v>
      </c>
      <c r="L691" s="275" t="str">
        <f>IFERROR(__xludf.DUMMYFUNCTION("""COMPUTED_VALUE"""),"Platformer")</f>
        <v>Platformer</v>
      </c>
    </row>
    <row r="692">
      <c r="A692" s="17" t="str">
        <f>IFERROR(__xludf.DUMMYFUNCTION("""COMPUTED_VALUE"""),"Nex Machina")</f>
        <v>Nex Machina</v>
      </c>
      <c r="B692" s="20" t="str">
        <f>IFERROR(__xludf.DUMMYFUNCTION("""COMPUTED_VALUE"""),"PC")</f>
        <v>PC</v>
      </c>
      <c r="C692" s="21"/>
      <c r="D692" s="21" t="str">
        <f>IFERROR(__xludf.DUMMYFUNCTION("""COMPUTED_VALUE"""),"Removed")</f>
        <v>Removed</v>
      </c>
      <c r="E692" s="279">
        <f>IFERROR(__xludf.DUMMYFUNCTION("""COMPUTED_VALUE"""),44273.0)</f>
        <v>44273</v>
      </c>
      <c r="F692" s="279">
        <f>IFERROR(__xludf.DUMMYFUNCTION("""COMPUTED_VALUE"""),44428.0)</f>
        <v>44428</v>
      </c>
      <c r="G692" s="27">
        <f>IFERROR(__xludf.DUMMYFUNCTION("""COMPUTED_VALUE"""),5.066666666666666)</f>
        <v>5.066666667</v>
      </c>
      <c r="H692" s="128">
        <f>IFERROR(__xludf.DUMMYFUNCTION("""COMPUTED_VALUE"""),42906.0)</f>
        <v>42906</v>
      </c>
      <c r="I692" s="27">
        <f>IFERROR(__xludf.DUMMYFUNCTION("""COMPUTED_VALUE"""),3.7444444444444445)</f>
        <v>3.744444444</v>
      </c>
      <c r="J692" s="277">
        <f>IFERROR(__xludf.DUMMYFUNCTION("""COMPUTED_VALUE"""),84.0)</f>
        <v>84</v>
      </c>
      <c r="K692" s="277">
        <f>IFERROR(__xludf.DUMMYFUNCTION("""COMPUTED_VALUE"""),1.5)</f>
        <v>1.5</v>
      </c>
      <c r="L692" s="275" t="str">
        <f>IFERROR(__xludf.DUMMYFUNCTION("""COMPUTED_VALUE"""),"Shoot 'Em Up")</f>
        <v>Shoot 'Em Up</v>
      </c>
    </row>
    <row r="693">
      <c r="A693" s="278" t="str">
        <f>IFERROR(__xludf.DUMMYFUNCTION("""COMPUTED_VALUE"""),"Overcooked: Gourmet Edition")</f>
        <v>Overcooked: Gourmet Edition</v>
      </c>
      <c r="B693" s="20" t="str">
        <f>IFERROR(__xludf.DUMMYFUNCTION("""COMPUTED_VALUE"""),"PC")</f>
        <v>PC</v>
      </c>
      <c r="C693" s="21"/>
      <c r="D693" s="21" t="str">
        <f>IFERROR(__xludf.DUMMYFUNCTION("""COMPUTED_VALUE"""),"Removed")</f>
        <v>Removed</v>
      </c>
      <c r="E693" s="279">
        <f>IFERROR(__xludf.DUMMYFUNCTION("""COMPUTED_VALUE"""),44273.0)</f>
        <v>44273</v>
      </c>
      <c r="F693" s="279">
        <f>IFERROR(__xludf.DUMMYFUNCTION("""COMPUTED_VALUE"""),44428.0)</f>
        <v>44428</v>
      </c>
      <c r="G693" s="27">
        <f>IFERROR(__xludf.DUMMYFUNCTION("""COMPUTED_VALUE"""),5.066666666666666)</f>
        <v>5.066666667</v>
      </c>
      <c r="H693" s="128">
        <f>IFERROR(__xludf.DUMMYFUNCTION("""COMPUTED_VALUE"""),42906.0)</f>
        <v>42906</v>
      </c>
      <c r="I693" s="27">
        <f>IFERROR(__xludf.DUMMYFUNCTION("""COMPUTED_VALUE"""),3.7444444444444445)</f>
        <v>3.744444444</v>
      </c>
      <c r="J693" s="29">
        <f>IFERROR(__xludf.DUMMYFUNCTION("""COMPUTED_VALUE"""),81.0)</f>
        <v>81</v>
      </c>
      <c r="K693" s="29">
        <f>IFERROR(__xludf.DUMMYFUNCTION("""COMPUTED_VALUE"""),8.0)</f>
        <v>8</v>
      </c>
      <c r="L693" s="275" t="str">
        <f>IFERROR(__xludf.DUMMYFUNCTION("""COMPUTED_VALUE"""),"Shoot 'Em Up")</f>
        <v>Shoot 'Em Up</v>
      </c>
    </row>
    <row r="694">
      <c r="A694" s="278" t="str">
        <f>IFERROR(__xludf.DUMMYFUNCTION("""COMPUTED_VALUE"""),"Renowned Explorers: International Society")</f>
        <v>Renowned Explorers: International Society</v>
      </c>
      <c r="B694" s="20" t="str">
        <f>IFERROR(__xludf.DUMMYFUNCTION("""COMPUTED_VALUE"""),"PC")</f>
        <v>PC</v>
      </c>
      <c r="C694" s="21"/>
      <c r="D694" s="21" t="str">
        <f>IFERROR(__xludf.DUMMYFUNCTION("""COMPUTED_VALUE"""),"Removed")</f>
        <v>Removed</v>
      </c>
      <c r="E694" s="279">
        <f>IFERROR(__xludf.DUMMYFUNCTION("""COMPUTED_VALUE"""),44273.0)</f>
        <v>44273</v>
      </c>
      <c r="F694" s="279">
        <f>IFERROR(__xludf.DUMMYFUNCTION("""COMPUTED_VALUE"""),44428.0)</f>
        <v>44428</v>
      </c>
      <c r="G694" s="27">
        <f>IFERROR(__xludf.DUMMYFUNCTION("""COMPUTED_VALUE"""),5.066666666666666)</f>
        <v>5.066666667</v>
      </c>
      <c r="H694" s="128">
        <f>IFERROR(__xludf.DUMMYFUNCTION("""COMPUTED_VALUE"""),42249.0)</f>
        <v>42249</v>
      </c>
      <c r="I694" s="27">
        <f>IFERROR(__xludf.DUMMYFUNCTION("""COMPUTED_VALUE"""),5.544444444444444)</f>
        <v>5.544444444</v>
      </c>
      <c r="J694" s="277">
        <f>IFERROR(__xludf.DUMMYFUNCTION("""COMPUTED_VALUE"""),72.0)</f>
        <v>72</v>
      </c>
      <c r="K694" s="277">
        <f>IFERROR(__xludf.DUMMYFUNCTION("""COMPUTED_VALUE"""),5.5)</f>
        <v>5.5</v>
      </c>
      <c r="L694" s="275" t="str">
        <f>IFERROR(__xludf.DUMMYFUNCTION("""COMPUTED_VALUE"""),"Strategy")</f>
        <v>Strategy</v>
      </c>
    </row>
    <row r="695">
      <c r="A695" s="17" t="str">
        <f>IFERROR(__xludf.DUMMYFUNCTION("""COMPUTED_VALUE"""),"The Escapists")</f>
        <v>The Escapists</v>
      </c>
      <c r="B695" s="20" t="str">
        <f>IFERROR(__xludf.DUMMYFUNCTION("""COMPUTED_VALUE"""),"PC")</f>
        <v>PC</v>
      </c>
      <c r="C695" s="21"/>
      <c r="D695" s="21" t="str">
        <f>IFERROR(__xludf.DUMMYFUNCTION("""COMPUTED_VALUE"""),"Removed")</f>
        <v>Removed</v>
      </c>
      <c r="E695" s="279">
        <f>IFERROR(__xludf.DUMMYFUNCTION("""COMPUTED_VALUE"""),44273.0)</f>
        <v>44273</v>
      </c>
      <c r="F695" s="23">
        <f>IFERROR(__xludf.DUMMYFUNCTION("""COMPUTED_VALUE"""),44428.0)</f>
        <v>44428</v>
      </c>
      <c r="G695" s="27">
        <f>IFERROR(__xludf.DUMMYFUNCTION("""COMPUTED_VALUE"""),5.066666666666666)</f>
        <v>5.066666667</v>
      </c>
      <c r="H695" s="128">
        <f>IFERROR(__xludf.DUMMYFUNCTION("""COMPUTED_VALUE"""),42048.0)</f>
        <v>42048</v>
      </c>
      <c r="I695" s="27">
        <f>IFERROR(__xludf.DUMMYFUNCTION("""COMPUTED_VALUE"""),6.097222222222222)</f>
        <v>6.097222222</v>
      </c>
      <c r="J695" s="29">
        <f>IFERROR(__xludf.DUMMYFUNCTION("""COMPUTED_VALUE"""),71.0)</f>
        <v>71</v>
      </c>
      <c r="K695" s="29">
        <f>IFERROR(__xludf.DUMMYFUNCTION("""COMPUTED_VALUE"""),19.0)</f>
        <v>19</v>
      </c>
      <c r="L695" s="31" t="str">
        <f>IFERROR(__xludf.DUMMYFUNCTION("""COMPUTED_VALUE"""),"Strategy")</f>
        <v>Strategy</v>
      </c>
    </row>
    <row r="696">
      <c r="A696" s="17" t="str">
        <f>IFERROR(__xludf.DUMMYFUNCTION("""COMPUTED_VALUE"""),"Madden NFL 19")</f>
        <v>Madden NFL 19</v>
      </c>
      <c r="B696" s="20" t="str">
        <f>IFERROR(__xludf.DUMMYFUNCTION("""COMPUTED_VALUE"""),"Xbox / PC")</f>
        <v>Xbox / PC</v>
      </c>
      <c r="C696" s="21"/>
      <c r="D696" s="21" t="str">
        <f>IFERROR(__xludf.DUMMYFUNCTION("""COMPUTED_VALUE"""),"Removed")</f>
        <v>Removed</v>
      </c>
      <c r="E696" s="279">
        <f>IFERROR(__xludf.DUMMYFUNCTION("""COMPUTED_VALUE"""),44145.0)</f>
        <v>44145</v>
      </c>
      <c r="F696" s="279">
        <f>IFERROR(__xludf.DUMMYFUNCTION("""COMPUTED_VALUE"""),44428.0)</f>
        <v>44428</v>
      </c>
      <c r="G696" s="27">
        <f>IFERROR(__xludf.DUMMYFUNCTION("""COMPUTED_VALUE"""),9.333333333333334)</f>
        <v>9.333333333</v>
      </c>
      <c r="H696" s="128">
        <f>IFERROR(__xludf.DUMMYFUNCTION("""COMPUTED_VALUE"""),43319.0)</f>
        <v>43319</v>
      </c>
      <c r="I696" s="27">
        <f>IFERROR(__xludf.DUMMYFUNCTION("""COMPUTED_VALUE"""),2.2583333333333333)</f>
        <v>2.258333333</v>
      </c>
      <c r="J696" s="29">
        <f>IFERROR(__xludf.DUMMYFUNCTION("""COMPUTED_VALUE"""),81.0)</f>
        <v>81</v>
      </c>
      <c r="K696" s="29">
        <f>IFERROR(__xludf.DUMMYFUNCTION("""COMPUTED_VALUE"""),12.5)</f>
        <v>12.5</v>
      </c>
      <c r="L696" s="275" t="str">
        <f>IFERROR(__xludf.DUMMYFUNCTION("""COMPUTED_VALUE"""),"Sports")</f>
        <v>Sports</v>
      </c>
    </row>
    <row r="697">
      <c r="A697" s="278" t="str">
        <f>IFERROR(__xludf.DUMMYFUNCTION("""COMPUTED_VALUE"""),"Yoku's Island Express")</f>
        <v>Yoku's Island Express</v>
      </c>
      <c r="B697" s="20" t="str">
        <f>IFERROR(__xludf.DUMMYFUNCTION("""COMPUTED_VALUE"""),"PC")</f>
        <v>PC</v>
      </c>
      <c r="C697" s="21"/>
      <c r="D697" s="21" t="str">
        <f>IFERROR(__xludf.DUMMYFUNCTION("""COMPUTED_VALUE"""),"Removed")</f>
        <v>Removed</v>
      </c>
      <c r="E697" s="279">
        <f>IFERROR(__xludf.DUMMYFUNCTION("""COMPUTED_VALUE"""),43692.0)</f>
        <v>43692</v>
      </c>
      <c r="F697" s="279">
        <f>IFERROR(__xludf.DUMMYFUNCTION("""COMPUTED_VALUE"""),44428.0)</f>
        <v>44428</v>
      </c>
      <c r="G697" s="27">
        <f>IFERROR(__xludf.DUMMYFUNCTION("""COMPUTED_VALUE"""),24.166666666666664)</f>
        <v>24.16666667</v>
      </c>
      <c r="H697" s="128">
        <f>IFERROR(__xludf.DUMMYFUNCTION("""COMPUTED_VALUE"""),43249.0)</f>
        <v>43249</v>
      </c>
      <c r="I697" s="27">
        <f>IFERROR(__xludf.DUMMYFUNCTION("""COMPUTED_VALUE"""),1.211111111111111)</f>
        <v>1.211111111</v>
      </c>
      <c r="J697" s="29">
        <f>IFERROR(__xludf.DUMMYFUNCTION("""COMPUTED_VALUE"""),83.0)</f>
        <v>83</v>
      </c>
      <c r="K697" s="29">
        <f>IFERROR(__xludf.DUMMYFUNCTION("""COMPUTED_VALUE"""),5.5)</f>
        <v>5.5</v>
      </c>
      <c r="L697" s="31" t="str">
        <f>IFERROR(__xludf.DUMMYFUNCTION("""COMPUTED_VALUE"""),"Platformer")</f>
        <v>Platformer</v>
      </c>
    </row>
    <row r="698">
      <c r="A698" s="17" t="str">
        <f>IFERROR(__xludf.DUMMYFUNCTION("""COMPUTED_VALUE"""),"Vampyr")</f>
        <v>Vampyr</v>
      </c>
      <c r="B698" s="20" t="str">
        <f>IFERROR(__xludf.DUMMYFUNCTION("""COMPUTED_VALUE"""),"PC")</f>
        <v>PC</v>
      </c>
      <c r="C698" s="21"/>
      <c r="D698" s="21" t="str">
        <f>IFERROR(__xludf.DUMMYFUNCTION("""COMPUTED_VALUE"""),"Removed")</f>
        <v>Removed</v>
      </c>
      <c r="E698" s="279">
        <f>IFERROR(__xludf.DUMMYFUNCTION("""COMPUTED_VALUE"""),43552.0)</f>
        <v>43552</v>
      </c>
      <c r="F698" s="279">
        <f>IFERROR(__xludf.DUMMYFUNCTION("""COMPUTED_VALUE"""),44428.0)</f>
        <v>44428</v>
      </c>
      <c r="G698" s="27">
        <f>IFERROR(__xludf.DUMMYFUNCTION("""COMPUTED_VALUE"""),28.733333333333334)</f>
        <v>28.73333333</v>
      </c>
      <c r="H698" s="128">
        <f>IFERROR(__xludf.DUMMYFUNCTION("""COMPUTED_VALUE"""),43256.0)</f>
        <v>43256</v>
      </c>
      <c r="I698" s="27">
        <f>IFERROR(__xludf.DUMMYFUNCTION("""COMPUTED_VALUE"""),0.8138888888888889)</f>
        <v>0.8138888889</v>
      </c>
      <c r="J698" s="29">
        <f>IFERROR(__xludf.DUMMYFUNCTION("""COMPUTED_VALUE"""),71.0)</f>
        <v>71</v>
      </c>
      <c r="K698" s="29">
        <f>IFERROR(__xludf.DUMMYFUNCTION("""COMPUTED_VALUE"""),16.5)</f>
        <v>16.5</v>
      </c>
      <c r="L698" s="282" t="str">
        <f>IFERROR(__xludf.DUMMYFUNCTION("""COMPUTED_VALUE"""),"RPG")</f>
        <v>RPG</v>
      </c>
    </row>
    <row r="699">
      <c r="A699" s="17" t="str">
        <f>IFERROR(__xludf.DUMMYFUNCTION("""COMPUTED_VALUE"""),"Don't Starve: Giant Edition")</f>
        <v>Don't Starve: Giant Edition</v>
      </c>
      <c r="B699" s="20" t="str">
        <f>IFERROR(__xludf.DUMMYFUNCTION("""COMPUTED_VALUE"""),"Xbox / PC")</f>
        <v>Xbox / PC</v>
      </c>
      <c r="C699" s="21" t="str">
        <f>IFERROR(__xludf.DUMMYFUNCTION("""COMPUTED_VALUE"""),"Touch Controls")</f>
        <v>Touch Controls</v>
      </c>
      <c r="D699" s="21" t="str">
        <f>IFERROR(__xludf.DUMMYFUNCTION("""COMPUTED_VALUE"""),"Removed")</f>
        <v>Removed</v>
      </c>
      <c r="E699" s="279">
        <f>IFERROR(__xludf.DUMMYFUNCTION("""COMPUTED_VALUE"""),44063.0)</f>
        <v>44063</v>
      </c>
      <c r="F699" s="279">
        <f>IFERROR(__xludf.DUMMYFUNCTION("""COMPUTED_VALUE"""),44423.0)</f>
        <v>44423</v>
      </c>
      <c r="G699" s="27">
        <f>IFERROR(__xludf.DUMMYFUNCTION("""COMPUTED_VALUE"""),11.833333333333334)</f>
        <v>11.83333333</v>
      </c>
      <c r="H699" s="128">
        <f>IFERROR(__xludf.DUMMYFUNCTION("""COMPUTED_VALUE"""),41884.0)</f>
        <v>41884</v>
      </c>
      <c r="I699" s="27">
        <f>IFERROR(__xludf.DUMMYFUNCTION("""COMPUTED_VALUE"""),5.966666666666667)</f>
        <v>5.966666667</v>
      </c>
      <c r="J699" s="29">
        <f>IFERROR(__xludf.DUMMYFUNCTION("""COMPUTED_VALUE"""),75.0)</f>
        <v>75</v>
      </c>
      <c r="K699" s="29">
        <f>IFERROR(__xludf.DUMMYFUNCTION("""COMPUTED_VALUE"""),35.5)</f>
        <v>35.5</v>
      </c>
      <c r="L699" s="275" t="str">
        <f>IFERROR(__xludf.DUMMYFUNCTION("""COMPUTED_VALUE"""),"Simulation")</f>
        <v>Simulation</v>
      </c>
    </row>
    <row r="700">
      <c r="A700" s="278" t="str">
        <f>IFERROR(__xludf.DUMMYFUNCTION("""COMPUTED_VALUE"""),"Crossing Souls")</f>
        <v>Crossing Souls</v>
      </c>
      <c r="B700" s="20" t="str">
        <f>IFERROR(__xludf.DUMMYFUNCTION("""COMPUTED_VALUE"""),"PC")</f>
        <v>PC</v>
      </c>
      <c r="C700" s="21"/>
      <c r="D700" s="21" t="str">
        <f>IFERROR(__xludf.DUMMYFUNCTION("""COMPUTED_VALUE"""),"Removed")</f>
        <v>Removed</v>
      </c>
      <c r="E700" s="279">
        <f>IFERROR(__xludf.DUMMYFUNCTION("""COMPUTED_VALUE"""),44063.0)</f>
        <v>44063</v>
      </c>
      <c r="F700" s="279">
        <f>IFERROR(__xludf.DUMMYFUNCTION("""COMPUTED_VALUE"""),44423.0)</f>
        <v>44423</v>
      </c>
      <c r="G700" s="27">
        <f>IFERROR(__xludf.DUMMYFUNCTION("""COMPUTED_VALUE"""),11.833333333333334)</f>
        <v>11.83333333</v>
      </c>
      <c r="H700" s="128">
        <f>IFERROR(__xludf.DUMMYFUNCTION("""COMPUTED_VALUE"""),43144.0)</f>
        <v>43144</v>
      </c>
      <c r="I700" s="27">
        <f>IFERROR(__xludf.DUMMYFUNCTION("""COMPUTED_VALUE"""),2.5194444444444444)</f>
        <v>2.519444444</v>
      </c>
      <c r="J700" s="29">
        <f>IFERROR(__xludf.DUMMYFUNCTION("""COMPUTED_VALUE"""),70.0)</f>
        <v>70</v>
      </c>
      <c r="K700" s="29">
        <f>IFERROR(__xludf.DUMMYFUNCTION("""COMPUTED_VALUE"""),9.0)</f>
        <v>9</v>
      </c>
      <c r="L700" s="275" t="str">
        <f>IFERROR(__xludf.DUMMYFUNCTION("""COMPUTED_VALUE"""),"Action-Adventure")</f>
        <v>Action-Adventure</v>
      </c>
    </row>
    <row r="701">
      <c r="A701" s="278" t="str">
        <f>IFERROR(__xludf.DUMMYFUNCTION("""COMPUTED_VALUE"""),"Final Fantasy VII")</f>
        <v>Final Fantasy VII</v>
      </c>
      <c r="B701" s="20" t="str">
        <f>IFERROR(__xludf.DUMMYFUNCTION("""COMPUTED_VALUE"""),"Xbox / PC")</f>
        <v>Xbox / PC</v>
      </c>
      <c r="C701" s="21"/>
      <c r="D701" s="21" t="str">
        <f>IFERROR(__xludf.DUMMYFUNCTION("""COMPUTED_VALUE"""),"Removed")</f>
        <v>Removed</v>
      </c>
      <c r="E701" s="279">
        <f>IFERROR(__xludf.DUMMYFUNCTION("""COMPUTED_VALUE"""),44056.0)</f>
        <v>44056</v>
      </c>
      <c r="F701" s="279">
        <f>IFERROR(__xludf.DUMMYFUNCTION("""COMPUTED_VALUE"""),44423.0)</f>
        <v>44423</v>
      </c>
      <c r="G701" s="27">
        <f>IFERROR(__xludf.DUMMYFUNCTION("""COMPUTED_VALUE"""),12.066666666666666)</f>
        <v>12.06666667</v>
      </c>
      <c r="H701" s="128">
        <f>IFERROR(__xludf.DUMMYFUNCTION("""COMPUTED_VALUE"""),35461.0)</f>
        <v>35461</v>
      </c>
      <c r="I701" s="27">
        <f>IFERROR(__xludf.DUMMYFUNCTION("""COMPUTED_VALUE"""),23.53611111111111)</f>
        <v>23.53611111</v>
      </c>
      <c r="J701" s="29">
        <f>IFERROR(__xludf.DUMMYFUNCTION("""COMPUTED_VALUE"""),92.0)</f>
        <v>92</v>
      </c>
      <c r="K701" s="29">
        <f>IFERROR(__xludf.DUMMYFUNCTION("""COMPUTED_VALUE"""),37.5)</f>
        <v>37.5</v>
      </c>
      <c r="L701" s="31" t="str">
        <f>IFERROR(__xludf.DUMMYFUNCTION("""COMPUTED_VALUE"""),"RPG")</f>
        <v>RPG</v>
      </c>
    </row>
    <row r="702">
      <c r="A702" s="278" t="str">
        <f>IFERROR(__xludf.DUMMYFUNCTION("""COMPUTED_VALUE"""),"Darksiders Genesis")</f>
        <v>Darksiders Genesis</v>
      </c>
      <c r="B702" s="20" t="str">
        <f>IFERROR(__xludf.DUMMYFUNCTION("""COMPUTED_VALUE"""),"Xbox / PC")</f>
        <v>Xbox / PC</v>
      </c>
      <c r="C702" s="21" t="str">
        <f>IFERROR(__xludf.DUMMYFUNCTION("""COMPUTED_VALUE"""),"Yes")</f>
        <v>Yes</v>
      </c>
      <c r="D702" s="21" t="str">
        <f>IFERROR(__xludf.DUMMYFUNCTION("""COMPUTED_VALUE"""),"Removed")</f>
        <v>Removed</v>
      </c>
      <c r="E702" s="279">
        <f>IFERROR(__xludf.DUMMYFUNCTION("""COMPUTED_VALUE"""),44049.0)</f>
        <v>44049</v>
      </c>
      <c r="F702" s="279">
        <f>IFERROR(__xludf.DUMMYFUNCTION("""COMPUTED_VALUE"""),44423.0)</f>
        <v>44423</v>
      </c>
      <c r="G702" s="27">
        <f>IFERROR(__xludf.DUMMYFUNCTION("""COMPUTED_VALUE"""),12.299999999999999)</f>
        <v>12.3</v>
      </c>
      <c r="H702" s="128">
        <f>IFERROR(__xludf.DUMMYFUNCTION("""COMPUTED_VALUE"""),43804.0)</f>
        <v>43804</v>
      </c>
      <c r="I702" s="27">
        <f>IFERROR(__xludf.DUMMYFUNCTION("""COMPUTED_VALUE"""),0.6694444444444444)</f>
        <v>0.6694444444</v>
      </c>
      <c r="J702" s="29">
        <f>IFERROR(__xludf.DUMMYFUNCTION("""COMPUTED_VALUE"""),77.0)</f>
        <v>77</v>
      </c>
      <c r="K702" s="29">
        <f>IFERROR(__xludf.DUMMYFUNCTION("""COMPUTED_VALUE"""),14.0)</f>
        <v>14</v>
      </c>
      <c r="L702" s="275" t="str">
        <f>IFERROR(__xludf.DUMMYFUNCTION("""COMPUTED_VALUE"""),"RPG")</f>
        <v>RPG</v>
      </c>
    </row>
    <row r="703">
      <c r="A703" s="17" t="str">
        <f>IFERROR(__xludf.DUMMYFUNCTION("""COMPUTED_VALUE"""),"Train Sim World 2020")</f>
        <v>Train Sim World 2020</v>
      </c>
      <c r="B703" s="20" t="str">
        <f>IFERROR(__xludf.DUMMYFUNCTION("""COMPUTED_VALUE"""),"Xbox / PC")</f>
        <v>Xbox / PC</v>
      </c>
      <c r="C703" s="21" t="str">
        <f>IFERROR(__xludf.DUMMYFUNCTION("""COMPUTED_VALUE"""),"Yes")</f>
        <v>Yes</v>
      </c>
      <c r="D703" s="21" t="str">
        <f>IFERROR(__xludf.DUMMYFUNCTION("""COMPUTED_VALUE"""),"Removed")</f>
        <v>Removed</v>
      </c>
      <c r="E703" s="279">
        <f>IFERROR(__xludf.DUMMYFUNCTION("""COMPUTED_VALUE"""),43895.0)</f>
        <v>43895</v>
      </c>
      <c r="F703" s="279">
        <f>IFERROR(__xludf.DUMMYFUNCTION("""COMPUTED_VALUE"""),44423.0)</f>
        <v>44423</v>
      </c>
      <c r="G703" s="27">
        <f>IFERROR(__xludf.DUMMYFUNCTION("""COMPUTED_VALUE"""),17.333333333333332)</f>
        <v>17.33333333</v>
      </c>
      <c r="H703" s="128">
        <f>IFERROR(__xludf.DUMMYFUNCTION("""COMPUTED_VALUE"""),43305.0)</f>
        <v>43305</v>
      </c>
      <c r="I703" s="27">
        <f>IFERROR(__xludf.DUMMYFUNCTION("""COMPUTED_VALUE"""),1.613888888888889)</f>
        <v>1.613888889</v>
      </c>
      <c r="J703" s="29">
        <f>IFERROR(__xludf.DUMMYFUNCTION("""COMPUTED_VALUE"""),76.0)</f>
        <v>76</v>
      </c>
      <c r="K703" s="29">
        <f>IFERROR(__xludf.DUMMYFUNCTION("""COMPUTED_VALUE"""),13.0)</f>
        <v>13</v>
      </c>
      <c r="L703" s="275" t="str">
        <f>IFERROR(__xludf.DUMMYFUNCTION("""COMPUTED_VALUE"""),"Simulation")</f>
        <v>Simulation</v>
      </c>
    </row>
    <row r="704">
      <c r="A704" s="278" t="str">
        <f>IFERROR(__xludf.DUMMYFUNCTION("""COMPUTED_VALUE"""),"Ape Out")</f>
        <v>Ape Out</v>
      </c>
      <c r="B704" s="20" t="str">
        <f>IFERROR(__xludf.DUMMYFUNCTION("""COMPUTED_VALUE"""),"PC")</f>
        <v>PC</v>
      </c>
      <c r="C704" s="21"/>
      <c r="D704" s="21" t="str">
        <f>IFERROR(__xludf.DUMMYFUNCTION("""COMPUTED_VALUE"""),"Removed")</f>
        <v>Removed</v>
      </c>
      <c r="E704" s="279">
        <f>IFERROR(__xludf.DUMMYFUNCTION("""COMPUTED_VALUE"""),43699.0)</f>
        <v>43699</v>
      </c>
      <c r="F704" s="279">
        <f>IFERROR(__xludf.DUMMYFUNCTION("""COMPUTED_VALUE"""),44423.0)</f>
        <v>44423</v>
      </c>
      <c r="G704" s="27">
        <f>IFERROR(__xludf.DUMMYFUNCTION("""COMPUTED_VALUE"""),23.766666666666666)</f>
        <v>23.76666667</v>
      </c>
      <c r="H704" s="128">
        <f>IFERROR(__xludf.DUMMYFUNCTION("""COMPUTED_VALUE"""),43524.0)</f>
        <v>43524</v>
      </c>
      <c r="I704" s="27">
        <f>IFERROR(__xludf.DUMMYFUNCTION("""COMPUTED_VALUE"""),0.48333333333333334)</f>
        <v>0.4833333333</v>
      </c>
      <c r="J704" s="29">
        <f>IFERROR(__xludf.DUMMYFUNCTION("""COMPUTED_VALUE"""),83.0)</f>
        <v>83</v>
      </c>
      <c r="K704" s="29">
        <f>IFERROR(__xludf.DUMMYFUNCTION("""COMPUTED_VALUE"""),2.5)</f>
        <v>2.5</v>
      </c>
      <c r="L704" s="275" t="str">
        <f>IFERROR(__xludf.DUMMYFUNCTION("""COMPUTED_VALUE"""),"Action")</f>
        <v>Action</v>
      </c>
    </row>
    <row r="705">
      <c r="A705" s="17" t="str">
        <f>IFERROR(__xludf.DUMMYFUNCTION("""COMPUTED_VALUE"""),"It Lurks Below")</f>
        <v>It Lurks Below</v>
      </c>
      <c r="B705" s="20" t="str">
        <f>IFERROR(__xludf.DUMMYFUNCTION("""COMPUTED_VALUE"""),"Xbox / PC")</f>
        <v>Xbox / PC</v>
      </c>
      <c r="C705" s="21"/>
      <c r="D705" s="21" t="str">
        <f>IFERROR(__xludf.DUMMYFUNCTION("""COMPUTED_VALUE"""),"Removed")</f>
        <v>Removed</v>
      </c>
      <c r="E705" s="279">
        <f>IFERROR(__xludf.DUMMYFUNCTION("""COMPUTED_VALUE"""),44049.0)</f>
        <v>44049</v>
      </c>
      <c r="F705" s="279">
        <f>IFERROR(__xludf.DUMMYFUNCTION("""COMPUTED_VALUE"""),44408.0)</f>
        <v>44408</v>
      </c>
      <c r="G705" s="27">
        <f>IFERROR(__xludf.DUMMYFUNCTION("""COMPUTED_VALUE"""),11.799999999999999)</f>
        <v>11.8</v>
      </c>
      <c r="H705" s="128">
        <f>IFERROR(__xludf.DUMMYFUNCTION("""COMPUTED_VALUE"""),43614.0)</f>
        <v>43614</v>
      </c>
      <c r="I705" s="27">
        <f>IFERROR(__xludf.DUMMYFUNCTION("""COMPUTED_VALUE"""),1.1861111111111111)</f>
        <v>1.186111111</v>
      </c>
      <c r="J705" s="277">
        <f>IFERROR(__xludf.DUMMYFUNCTION("""COMPUTED_VALUE"""),45.0)</f>
        <v>45</v>
      </c>
      <c r="K705" s="277">
        <f>IFERROR(__xludf.DUMMYFUNCTION("""COMPUTED_VALUE"""),8.0)</f>
        <v>8</v>
      </c>
      <c r="L705" s="275" t="str">
        <f>IFERROR(__xludf.DUMMYFUNCTION("""COMPUTED_VALUE"""),"RPG")</f>
        <v>RPG</v>
      </c>
    </row>
    <row r="706">
      <c r="A706" s="278" t="str">
        <f>IFERROR(__xludf.DUMMYFUNCTION("""COMPUTED_VALUE"""),"UnderMine")</f>
        <v>UnderMine</v>
      </c>
      <c r="B706" s="20" t="str">
        <f>IFERROR(__xludf.DUMMYFUNCTION("""COMPUTED_VALUE"""),"Xbox / PC")</f>
        <v>Xbox / PC</v>
      </c>
      <c r="C706" s="21" t="str">
        <f>IFERROR(__xludf.DUMMYFUNCTION("""COMPUTED_VALUE"""),"Touch Controls")</f>
        <v>Touch Controls</v>
      </c>
      <c r="D706" s="21" t="str">
        <f>IFERROR(__xludf.DUMMYFUNCTION("""COMPUTED_VALUE"""),"Removed")</f>
        <v>Removed</v>
      </c>
      <c r="E706" s="279">
        <f>IFERROR(__xludf.DUMMYFUNCTION("""COMPUTED_VALUE"""),44049.0)</f>
        <v>44049</v>
      </c>
      <c r="F706" s="279">
        <f>IFERROR(__xludf.DUMMYFUNCTION("""COMPUTED_VALUE"""),44408.0)</f>
        <v>44408</v>
      </c>
      <c r="G706" s="27">
        <f>IFERROR(__xludf.DUMMYFUNCTION("""COMPUTED_VALUE"""),11.799999999999999)</f>
        <v>11.8</v>
      </c>
      <c r="H706" s="128">
        <f>IFERROR(__xludf.DUMMYFUNCTION("""COMPUTED_VALUE"""),43697.0)</f>
        <v>43697</v>
      </c>
      <c r="I706" s="27">
        <f>IFERROR(__xludf.DUMMYFUNCTION("""COMPUTED_VALUE"""),0.9611111111111111)</f>
        <v>0.9611111111</v>
      </c>
      <c r="J706" s="29">
        <f>IFERROR(__xludf.DUMMYFUNCTION("""COMPUTED_VALUE"""),80.0)</f>
        <v>80</v>
      </c>
      <c r="K706" s="29">
        <f>IFERROR(__xludf.DUMMYFUNCTION("""COMPUTED_VALUE"""),4.5)</f>
        <v>4.5</v>
      </c>
      <c r="L706" s="31" t="str">
        <f>IFERROR(__xludf.DUMMYFUNCTION("""COMPUTED_VALUE"""),"RPG")</f>
        <v>RPG</v>
      </c>
    </row>
    <row r="707">
      <c r="A707" s="278" t="str">
        <f>IFERROR(__xludf.DUMMYFUNCTION("""COMPUTED_VALUE"""),"The Touryst")</f>
        <v>The Touryst</v>
      </c>
      <c r="B707" s="20" t="str">
        <f>IFERROR(__xludf.DUMMYFUNCTION("""COMPUTED_VALUE"""),"Xbox / PC")</f>
        <v>Xbox / PC</v>
      </c>
      <c r="C707" s="21" t="str">
        <f>IFERROR(__xludf.DUMMYFUNCTION("""COMPUTED_VALUE"""),"Touch Controls")</f>
        <v>Touch Controls</v>
      </c>
      <c r="D707" s="21" t="str">
        <f>IFERROR(__xludf.DUMMYFUNCTION("""COMPUTED_VALUE"""),"Removed")</f>
        <v>Removed</v>
      </c>
      <c r="E707" s="279">
        <f>IFERROR(__xludf.DUMMYFUNCTION("""COMPUTED_VALUE"""),44042.0)</f>
        <v>44042</v>
      </c>
      <c r="F707" s="279">
        <f>IFERROR(__xludf.DUMMYFUNCTION("""COMPUTED_VALUE"""),44408.0)</f>
        <v>44408</v>
      </c>
      <c r="G707" s="27">
        <f>IFERROR(__xludf.DUMMYFUNCTION("""COMPUTED_VALUE"""),12.0)</f>
        <v>12</v>
      </c>
      <c r="H707" s="128">
        <f>IFERROR(__xludf.DUMMYFUNCTION("""COMPUTED_VALUE"""),43790.0)</f>
        <v>43790</v>
      </c>
      <c r="I707" s="27">
        <f>IFERROR(__xludf.DUMMYFUNCTION("""COMPUTED_VALUE"""),0.6916666666666667)</f>
        <v>0.6916666667</v>
      </c>
      <c r="J707" s="29">
        <f>IFERROR(__xludf.DUMMYFUNCTION("""COMPUTED_VALUE"""),79.0)</f>
        <v>79</v>
      </c>
      <c r="K707" s="29">
        <f>IFERROR(__xludf.DUMMYFUNCTION("""COMPUTED_VALUE"""),5.0)</f>
        <v>5</v>
      </c>
      <c r="L707" s="275" t="str">
        <f>IFERROR(__xludf.DUMMYFUNCTION("""COMPUTED_VALUE"""),"Action-Adventure")</f>
        <v>Action-Adventure</v>
      </c>
    </row>
    <row r="708">
      <c r="A708" s="278" t="str">
        <f>IFERROR(__xludf.DUMMYFUNCTION("""COMPUTED_VALUE"""),"Endless Space 2: Deluxe Edition")</f>
        <v>Endless Space 2: Deluxe Edition</v>
      </c>
      <c r="B708" s="20" t="str">
        <f>IFERROR(__xludf.DUMMYFUNCTION("""COMPUTED_VALUE"""),"PC")</f>
        <v>PC</v>
      </c>
      <c r="C708" s="21"/>
      <c r="D708" s="21" t="str">
        <f>IFERROR(__xludf.DUMMYFUNCTION("""COMPUTED_VALUE"""),"Removed")</f>
        <v>Removed</v>
      </c>
      <c r="E708" s="279">
        <f>IFERROR(__xludf.DUMMYFUNCTION("""COMPUTED_VALUE"""),44021.0)</f>
        <v>44021</v>
      </c>
      <c r="F708" s="279">
        <f>IFERROR(__xludf.DUMMYFUNCTION("""COMPUTED_VALUE"""),44392.0)</f>
        <v>44392</v>
      </c>
      <c r="G708" s="27">
        <f>IFERROR(__xludf.DUMMYFUNCTION("""COMPUTED_VALUE"""),12.2)</f>
        <v>12.2</v>
      </c>
      <c r="H708" s="128">
        <f>IFERROR(__xludf.DUMMYFUNCTION("""COMPUTED_VALUE"""),42874.0)</f>
        <v>42874</v>
      </c>
      <c r="I708" s="27">
        <f>IFERROR(__xludf.DUMMYFUNCTION("""COMPUTED_VALUE"""),3.138888888888889)</f>
        <v>3.138888889</v>
      </c>
      <c r="J708" s="29">
        <f>IFERROR(__xludf.DUMMYFUNCTION("""COMPUTED_VALUE"""),80.0)</f>
        <v>80</v>
      </c>
      <c r="K708" s="29">
        <f>IFERROR(__xludf.DUMMYFUNCTION("""COMPUTED_VALUE"""),13.0)</f>
        <v>13</v>
      </c>
      <c r="L708" s="31" t="str">
        <f>IFERROR(__xludf.DUMMYFUNCTION("""COMPUTED_VALUE"""),"Strategy")</f>
        <v>Strategy</v>
      </c>
    </row>
    <row r="709">
      <c r="A709" s="17" t="str">
        <f>IFERROR(__xludf.DUMMYFUNCTION("""COMPUTED_VALUE"""),"Downwell")</f>
        <v>Downwell</v>
      </c>
      <c r="B709" s="20" t="str">
        <f>IFERROR(__xludf.DUMMYFUNCTION("""COMPUTED_VALUE"""),"PC")</f>
        <v>PC</v>
      </c>
      <c r="C709" s="21"/>
      <c r="D709" s="21" t="str">
        <f>IFERROR(__xludf.DUMMYFUNCTION("""COMPUTED_VALUE"""),"Removed")</f>
        <v>Removed</v>
      </c>
      <c r="E709" s="279">
        <f>IFERROR(__xludf.DUMMYFUNCTION("""COMPUTED_VALUE"""),43678.0)</f>
        <v>43678</v>
      </c>
      <c r="F709" s="279">
        <f>IFERROR(__xludf.DUMMYFUNCTION("""COMPUTED_VALUE"""),44392.0)</f>
        <v>44392</v>
      </c>
      <c r="G709" s="27">
        <f>IFERROR(__xludf.DUMMYFUNCTION("""COMPUTED_VALUE"""),23.466666666666665)</f>
        <v>23.46666667</v>
      </c>
      <c r="H709" s="128">
        <f>IFERROR(__xludf.DUMMYFUNCTION("""COMPUTED_VALUE"""),42292.0)</f>
        <v>42292</v>
      </c>
      <c r="I709" s="27">
        <f>IFERROR(__xludf.DUMMYFUNCTION("""COMPUTED_VALUE"""),3.7944444444444443)</f>
        <v>3.794444444</v>
      </c>
      <c r="J709" s="29">
        <f>IFERROR(__xludf.DUMMYFUNCTION("""COMPUTED_VALUE"""),81.0)</f>
        <v>81</v>
      </c>
      <c r="K709" s="29">
        <f>IFERROR(__xludf.DUMMYFUNCTION("""COMPUTED_VALUE"""),7.5)</f>
        <v>7.5</v>
      </c>
      <c r="L709" s="275" t="str">
        <f>IFERROR(__xludf.DUMMYFUNCTION("""COMPUTED_VALUE"""),"Platformer")</f>
        <v>Platformer</v>
      </c>
    </row>
    <row r="710">
      <c r="A710" s="278" t="str">
        <f>IFERROR(__xludf.DUMMYFUNCTION("""COMPUTED_VALUE"""),"CrossCode")</f>
        <v>CrossCode</v>
      </c>
      <c r="B710" s="20" t="str">
        <f>IFERROR(__xludf.DUMMYFUNCTION("""COMPUTED_VALUE"""),"Xbox / PC")</f>
        <v>Xbox / PC</v>
      </c>
      <c r="C710" s="21"/>
      <c r="D710" s="21" t="str">
        <f>IFERROR(__xludf.DUMMYFUNCTION("""COMPUTED_VALUE"""),"Removed")</f>
        <v>Removed</v>
      </c>
      <c r="E710" s="279">
        <f>IFERROR(__xludf.DUMMYFUNCTION("""COMPUTED_VALUE"""),43626.0)</f>
        <v>43626</v>
      </c>
      <c r="F710" s="279">
        <f>IFERROR(__xludf.DUMMYFUNCTION("""COMPUTED_VALUE"""),44392.0)</f>
        <v>44392</v>
      </c>
      <c r="G710" s="27">
        <f>IFERROR(__xludf.DUMMYFUNCTION("""COMPUTED_VALUE"""),25.166666666666668)</f>
        <v>25.16666667</v>
      </c>
      <c r="H710" s="128">
        <f>IFERROR(__xludf.DUMMYFUNCTION("""COMPUTED_VALUE"""),42139.0)</f>
        <v>42139</v>
      </c>
      <c r="I710" s="27">
        <f>IFERROR(__xludf.DUMMYFUNCTION("""COMPUTED_VALUE"""),4.069444444444445)</f>
        <v>4.069444444</v>
      </c>
      <c r="J710" s="29">
        <f>IFERROR(__xludf.DUMMYFUNCTION("""COMPUTED_VALUE"""),86.0)</f>
        <v>86</v>
      </c>
      <c r="K710" s="29">
        <f>IFERROR(__xludf.DUMMYFUNCTION("""COMPUTED_VALUE"""),31.5)</f>
        <v>31.5</v>
      </c>
      <c r="L710" s="275" t="str">
        <f>IFERROR(__xludf.DUMMYFUNCTION("""COMPUTED_VALUE"""),"Shooter")</f>
        <v>Shooter</v>
      </c>
    </row>
    <row r="711">
      <c r="A711" s="278" t="str">
        <f>IFERROR(__xludf.DUMMYFUNCTION("""COMPUTED_VALUE"""),"EA Sports UFC")</f>
        <v>EA Sports UFC</v>
      </c>
      <c r="B711" s="20" t="str">
        <f>IFERROR(__xludf.DUMMYFUNCTION("""COMPUTED_VALUE"""),"Xbox")</f>
        <v>Xbox</v>
      </c>
      <c r="C711" s="21"/>
      <c r="D711" s="21" t="str">
        <f>IFERROR(__xludf.DUMMYFUNCTION("""COMPUTED_VALUE"""),"Removed")</f>
        <v>Removed</v>
      </c>
      <c r="E711" s="279">
        <f>IFERROR(__xludf.DUMMYFUNCTION("""COMPUTED_VALUE"""),44145.0)</f>
        <v>44145</v>
      </c>
      <c r="F711" s="279">
        <f>IFERROR(__xludf.DUMMYFUNCTION("""COMPUTED_VALUE"""),44391.0)</f>
        <v>44391</v>
      </c>
      <c r="G711" s="27">
        <f>IFERROR(__xludf.DUMMYFUNCTION("""COMPUTED_VALUE"""),8.133333333333333)</f>
        <v>8.133333333</v>
      </c>
      <c r="H711" s="128">
        <f>IFERROR(__xludf.DUMMYFUNCTION("""COMPUTED_VALUE"""),41807.0)</f>
        <v>41807</v>
      </c>
      <c r="I711" s="27">
        <f>IFERROR(__xludf.DUMMYFUNCTION("""COMPUTED_VALUE"""),6.397222222222222)</f>
        <v>6.397222222</v>
      </c>
      <c r="J711" s="29">
        <f>IFERROR(__xludf.DUMMYFUNCTION("""COMPUTED_VALUE"""),70.0)</f>
        <v>70</v>
      </c>
      <c r="K711" s="29">
        <f>IFERROR(__xludf.DUMMYFUNCTION("""COMPUTED_VALUE"""),11.0)</f>
        <v>11</v>
      </c>
      <c r="L711" s="275" t="str">
        <f>IFERROR(__xludf.DUMMYFUNCTION("""COMPUTED_VALUE"""),"Sports")</f>
        <v>Sports</v>
      </c>
    </row>
    <row r="712">
      <c r="A712" s="278" t="str">
        <f>IFERROR(__xludf.DUMMYFUNCTION("""COMPUTED_VALUE"""),"EA Sports UFC 2")</f>
        <v>EA Sports UFC 2</v>
      </c>
      <c r="B712" s="20" t="str">
        <f>IFERROR(__xludf.DUMMYFUNCTION("""COMPUTED_VALUE"""),"Xbox")</f>
        <v>Xbox</v>
      </c>
      <c r="C712" s="21"/>
      <c r="D712" s="21" t="str">
        <f>IFERROR(__xludf.DUMMYFUNCTION("""COMPUTED_VALUE"""),"Removed")</f>
        <v>Removed</v>
      </c>
      <c r="E712" s="279">
        <f>IFERROR(__xludf.DUMMYFUNCTION("""COMPUTED_VALUE"""),44145.0)</f>
        <v>44145</v>
      </c>
      <c r="F712" s="279">
        <f>IFERROR(__xludf.DUMMYFUNCTION("""COMPUTED_VALUE"""),44391.0)</f>
        <v>44391</v>
      </c>
      <c r="G712" s="27">
        <f>IFERROR(__xludf.DUMMYFUNCTION("""COMPUTED_VALUE"""),8.133333333333333)</f>
        <v>8.133333333</v>
      </c>
      <c r="H712" s="128">
        <f>IFERROR(__xludf.DUMMYFUNCTION("""COMPUTED_VALUE"""),42444.0)</f>
        <v>42444</v>
      </c>
      <c r="I712" s="27">
        <f>IFERROR(__xludf.DUMMYFUNCTION("""COMPUTED_VALUE"""),4.652777777777778)</f>
        <v>4.652777778</v>
      </c>
      <c r="J712" s="29">
        <f>IFERROR(__xludf.DUMMYFUNCTION("""COMPUTED_VALUE"""),76.0)</f>
        <v>76</v>
      </c>
      <c r="K712" s="29">
        <f>IFERROR(__xludf.DUMMYFUNCTION("""COMPUTED_VALUE"""),6.0)</f>
        <v>6</v>
      </c>
      <c r="L712" s="275" t="str">
        <f>IFERROR(__xludf.DUMMYFUNCTION("""COMPUTED_VALUE"""),"Sports")</f>
        <v>Sports</v>
      </c>
    </row>
    <row r="713">
      <c r="A713" s="278" t="str">
        <f>IFERROR(__xludf.DUMMYFUNCTION("""COMPUTED_VALUE"""),"Out of the Park Baseball 21")</f>
        <v>Out of the Park Baseball 21</v>
      </c>
      <c r="B713" s="20" t="str">
        <f>IFERROR(__xludf.DUMMYFUNCTION("""COMPUTED_VALUE"""),"PC")</f>
        <v>PC</v>
      </c>
      <c r="C713" s="21"/>
      <c r="D713" s="21" t="str">
        <f>IFERROR(__xludf.DUMMYFUNCTION("""COMPUTED_VALUE"""),"Removed")</f>
        <v>Removed</v>
      </c>
      <c r="E713" s="279">
        <f>IFERROR(__xludf.DUMMYFUNCTION("""COMPUTED_VALUE"""),44013.0)</f>
        <v>44013</v>
      </c>
      <c r="F713" s="279">
        <f>IFERROR(__xludf.DUMMYFUNCTION("""COMPUTED_VALUE"""),44377.0)</f>
        <v>44377</v>
      </c>
      <c r="G713" s="27">
        <f>IFERROR(__xludf.DUMMYFUNCTION("""COMPUTED_VALUE"""),11.966666666666667)</f>
        <v>11.96666667</v>
      </c>
      <c r="H713" s="128">
        <f>IFERROR(__xludf.DUMMYFUNCTION("""COMPUTED_VALUE"""),43910.0)</f>
        <v>43910</v>
      </c>
      <c r="I713" s="27">
        <f>IFERROR(__xludf.DUMMYFUNCTION("""COMPUTED_VALUE"""),0.28055555555555556)</f>
        <v>0.2805555556</v>
      </c>
      <c r="J713" s="29">
        <f>IFERROR(__xludf.DUMMYFUNCTION("""COMPUTED_VALUE"""),87.0)</f>
        <v>87</v>
      </c>
      <c r="K713" s="29">
        <f>IFERROR(__xludf.DUMMYFUNCTION("""COMPUTED_VALUE"""),34.0)</f>
        <v>34</v>
      </c>
      <c r="L713" s="275" t="str">
        <f>IFERROR(__xludf.DUMMYFUNCTION("""COMPUTED_VALUE"""),"Sports")</f>
        <v>Sports</v>
      </c>
    </row>
    <row r="714">
      <c r="A714" s="278" t="str">
        <f>IFERROR(__xludf.DUMMYFUNCTION("""COMPUTED_VALUE"""),"SoulCalibur VI")</f>
        <v>SoulCalibur VI</v>
      </c>
      <c r="B714" s="20" t="str">
        <f>IFERROR(__xludf.DUMMYFUNCTION("""COMPUTED_VALUE"""),"Xbox")</f>
        <v>Xbox</v>
      </c>
      <c r="C714" s="21"/>
      <c r="D714" s="21" t="str">
        <f>IFERROR(__xludf.DUMMYFUNCTION("""COMPUTED_VALUE"""),"Removed")</f>
        <v>Removed</v>
      </c>
      <c r="E714" s="279">
        <f>IFERROR(__xludf.DUMMYFUNCTION("""COMPUTED_VALUE"""),44013.0)</f>
        <v>44013</v>
      </c>
      <c r="F714" s="279">
        <f>IFERROR(__xludf.DUMMYFUNCTION("""COMPUTED_VALUE"""),44377.0)</f>
        <v>44377</v>
      </c>
      <c r="G714" s="27">
        <f>IFERROR(__xludf.DUMMYFUNCTION("""COMPUTED_VALUE"""),11.966666666666667)</f>
        <v>11.96666667</v>
      </c>
      <c r="H714" s="128">
        <f>IFERROR(__xludf.DUMMYFUNCTION("""COMPUTED_VALUE"""),43392.0)</f>
        <v>43392</v>
      </c>
      <c r="I714" s="27">
        <f>IFERROR(__xludf.DUMMYFUNCTION("""COMPUTED_VALUE"""),1.7)</f>
        <v>1.7</v>
      </c>
      <c r="J714" s="29">
        <f>IFERROR(__xludf.DUMMYFUNCTION("""COMPUTED_VALUE"""),84.0)</f>
        <v>84</v>
      </c>
      <c r="K714" s="29">
        <f>IFERROR(__xludf.DUMMYFUNCTION("""COMPUTED_VALUE"""),7.0)</f>
        <v>7</v>
      </c>
      <c r="L714" s="275" t="str">
        <f>IFERROR(__xludf.DUMMYFUNCTION("""COMPUTED_VALUE"""),"Fighting")</f>
        <v>Fighting</v>
      </c>
    </row>
    <row r="715">
      <c r="A715" s="278" t="str">
        <f>IFERROR(__xludf.DUMMYFUNCTION("""COMPUTED_VALUE"""),"MISTOVER")</f>
        <v>MISTOVER</v>
      </c>
      <c r="B715" s="20" t="str">
        <f>IFERROR(__xludf.DUMMYFUNCTION("""COMPUTED_VALUE"""),"PC")</f>
        <v>PC</v>
      </c>
      <c r="C715" s="21"/>
      <c r="D715" s="21" t="str">
        <f>IFERROR(__xludf.DUMMYFUNCTION("""COMPUTED_VALUE"""),"Removed")</f>
        <v>Removed</v>
      </c>
      <c r="E715" s="279">
        <f>IFERROR(__xludf.DUMMYFUNCTION("""COMPUTED_VALUE"""),43930.0)</f>
        <v>43930</v>
      </c>
      <c r="F715" s="279">
        <f>IFERROR(__xludf.DUMMYFUNCTION("""COMPUTED_VALUE"""),44377.0)</f>
        <v>44377</v>
      </c>
      <c r="G715" s="27">
        <f>IFERROR(__xludf.DUMMYFUNCTION("""COMPUTED_VALUE"""),14.700000000000001)</f>
        <v>14.7</v>
      </c>
      <c r="H715" s="128">
        <f>IFERROR(__xludf.DUMMYFUNCTION("""COMPUTED_VALUE"""),43748.0)</f>
        <v>43748</v>
      </c>
      <c r="I715" s="27">
        <f>IFERROR(__xludf.DUMMYFUNCTION("""COMPUTED_VALUE"""),0.49722222222222223)</f>
        <v>0.4972222222</v>
      </c>
      <c r="J715" s="29">
        <f>IFERROR(__xludf.DUMMYFUNCTION("""COMPUTED_VALUE"""),60.0)</f>
        <v>60</v>
      </c>
      <c r="K715" s="29">
        <f>IFERROR(__xludf.DUMMYFUNCTION("""COMPUTED_VALUE"""),33.5)</f>
        <v>33.5</v>
      </c>
      <c r="L715" s="275" t="str">
        <f>IFERROR(__xludf.DUMMYFUNCTION("""COMPUTED_VALUE"""),"RPG")</f>
        <v>RPG</v>
      </c>
    </row>
    <row r="716">
      <c r="A716" s="278" t="str">
        <f>IFERROR(__xludf.DUMMYFUNCTION("""COMPUTED_VALUE"""),"Battle Chasers: Nightwar")</f>
        <v>Battle Chasers: Nightwar</v>
      </c>
      <c r="B716" s="20" t="str">
        <f>IFERROR(__xludf.DUMMYFUNCTION("""COMPUTED_VALUE"""),"Xbox / PC")</f>
        <v>Xbox / PC</v>
      </c>
      <c r="C716" s="21" t="str">
        <f>IFERROR(__xludf.DUMMYFUNCTION("""COMPUTED_VALUE"""),"Yes")</f>
        <v>Yes</v>
      </c>
      <c r="D716" s="21" t="str">
        <f>IFERROR(__xludf.DUMMYFUNCTION("""COMPUTED_VALUE"""),"Removed")</f>
        <v>Removed</v>
      </c>
      <c r="E716" s="279">
        <f>IFERROR(__xludf.DUMMYFUNCTION("""COMPUTED_VALUE"""),43625.0)</f>
        <v>43625</v>
      </c>
      <c r="F716" s="279">
        <f>IFERROR(__xludf.DUMMYFUNCTION("""COMPUTED_VALUE"""),44377.0)</f>
        <v>44377</v>
      </c>
      <c r="G716" s="27">
        <f>IFERROR(__xludf.DUMMYFUNCTION("""COMPUTED_VALUE"""),24.699999999999996)</f>
        <v>24.7</v>
      </c>
      <c r="H716" s="128">
        <f>IFERROR(__xludf.DUMMYFUNCTION("""COMPUTED_VALUE"""),43011.0)</f>
        <v>43011</v>
      </c>
      <c r="I716" s="27">
        <f>IFERROR(__xludf.DUMMYFUNCTION("""COMPUTED_VALUE"""),1.6833333333333333)</f>
        <v>1.683333333</v>
      </c>
      <c r="J716" s="29">
        <f>IFERROR(__xludf.DUMMYFUNCTION("""COMPUTED_VALUE"""),84.0)</f>
        <v>84</v>
      </c>
      <c r="K716" s="29">
        <f>IFERROR(__xludf.DUMMYFUNCTION("""COMPUTED_VALUE"""),28.5)</f>
        <v>28.5</v>
      </c>
      <c r="L716" s="275" t="str">
        <f>IFERROR(__xludf.DUMMYFUNCTION("""COMPUTED_VALUE"""),"RPG")</f>
        <v>RPG</v>
      </c>
    </row>
    <row r="717">
      <c r="A717" s="278" t="str">
        <f>IFERROR(__xludf.DUMMYFUNCTION("""COMPUTED_VALUE"""),"The Messenger")</f>
        <v>The Messenger</v>
      </c>
      <c r="B717" s="20" t="str">
        <f>IFERROR(__xludf.DUMMYFUNCTION("""COMPUTED_VALUE"""),"Xbox / PC")</f>
        <v>Xbox / PC</v>
      </c>
      <c r="C717" s="21" t="str">
        <f>IFERROR(__xludf.DUMMYFUNCTION("""COMPUTED_VALUE"""),"Yes")</f>
        <v>Yes</v>
      </c>
      <c r="D717" s="21" t="str">
        <f>IFERROR(__xludf.DUMMYFUNCTION("""COMPUTED_VALUE"""),"Removed")</f>
        <v>Removed</v>
      </c>
      <c r="E717" s="279">
        <f>IFERROR(__xludf.DUMMYFUNCTION("""COMPUTED_VALUE"""),43625.0)</f>
        <v>43625</v>
      </c>
      <c r="F717" s="279">
        <f>IFERROR(__xludf.DUMMYFUNCTION("""COMPUTED_VALUE"""),44377.0)</f>
        <v>44377</v>
      </c>
      <c r="G717" s="27">
        <f>IFERROR(__xludf.DUMMYFUNCTION("""COMPUTED_VALUE"""),24.699999999999996)</f>
        <v>24.7</v>
      </c>
      <c r="H717" s="128">
        <f>IFERROR(__xludf.DUMMYFUNCTION("""COMPUTED_VALUE"""),43342.0)</f>
        <v>43342</v>
      </c>
      <c r="I717" s="27">
        <f>IFERROR(__xludf.DUMMYFUNCTION("""COMPUTED_VALUE"""),0.775)</f>
        <v>0.775</v>
      </c>
      <c r="J717" s="29">
        <f>IFERROR(__xludf.DUMMYFUNCTION("""COMPUTED_VALUE"""),83.0)</f>
        <v>83</v>
      </c>
      <c r="K717" s="29">
        <f>IFERROR(__xludf.DUMMYFUNCTION("""COMPUTED_VALUE"""),11.0)</f>
        <v>11</v>
      </c>
      <c r="L717" s="275" t="str">
        <f>IFERROR(__xludf.DUMMYFUNCTION("""COMPUTED_VALUE"""),"Platformer")</f>
        <v>Platformer</v>
      </c>
    </row>
    <row r="718">
      <c r="A718" s="17" t="str">
        <f>IFERROR(__xludf.DUMMYFUNCTION("""COMPUTED_VALUE"""),"Monster Hunter: World")</f>
        <v>Monster Hunter: World</v>
      </c>
      <c r="B718" s="20" t="str">
        <f>IFERROR(__xludf.DUMMYFUNCTION("""COMPUTED_VALUE"""),"Xbox")</f>
        <v>Xbox</v>
      </c>
      <c r="C718" s="21" t="str">
        <f>IFERROR(__xludf.DUMMYFUNCTION("""COMPUTED_VALUE"""),"Yes")</f>
        <v>Yes</v>
      </c>
      <c r="D718" s="21" t="str">
        <f>IFERROR(__xludf.DUMMYFUNCTION("""COMPUTED_VALUE"""),"Removed")</f>
        <v>Removed</v>
      </c>
      <c r="E718" s="279">
        <f>IFERROR(__xludf.DUMMYFUNCTION("""COMPUTED_VALUE"""),43573.0)</f>
        <v>43573</v>
      </c>
      <c r="F718" s="279">
        <f>IFERROR(__xludf.DUMMYFUNCTION("""COMPUTED_VALUE"""),44377.0)</f>
        <v>44377</v>
      </c>
      <c r="G718" s="27">
        <f>IFERROR(__xludf.DUMMYFUNCTION("""COMPUTED_VALUE"""),26.400000000000002)</f>
        <v>26.4</v>
      </c>
      <c r="H718" s="128">
        <f>IFERROR(__xludf.DUMMYFUNCTION("""COMPUTED_VALUE"""),43126.0)</f>
        <v>43126</v>
      </c>
      <c r="I718" s="27">
        <f>IFERROR(__xludf.DUMMYFUNCTION("""COMPUTED_VALUE"""),1.2277777777777779)</f>
        <v>1.227777778</v>
      </c>
      <c r="J718" s="29">
        <f>IFERROR(__xludf.DUMMYFUNCTION("""COMPUTED_VALUE"""),90.0)</f>
        <v>90</v>
      </c>
      <c r="K718" s="29">
        <f>IFERROR(__xludf.DUMMYFUNCTION("""COMPUTED_VALUE"""),49.0)</f>
        <v>49</v>
      </c>
      <c r="L718" s="31" t="str">
        <f>IFERROR(__xludf.DUMMYFUNCTION("""COMPUTED_VALUE"""),"RPG")</f>
        <v>RPG</v>
      </c>
    </row>
    <row r="719">
      <c r="A719" s="278" t="str">
        <f>IFERROR(__xludf.DUMMYFUNCTION("""COMPUTED_VALUE"""),"Marvel vs. Capcom: Infinite")</f>
        <v>Marvel vs. Capcom: Infinite</v>
      </c>
      <c r="B719" s="20" t="str">
        <f>IFERROR(__xludf.DUMMYFUNCTION("""COMPUTED_VALUE"""),"Xbox / PC")</f>
        <v>Xbox / PC</v>
      </c>
      <c r="C719" s="21" t="str">
        <f>IFERROR(__xludf.DUMMYFUNCTION("""COMPUTED_VALUE"""),"Yes")</f>
        <v>Yes</v>
      </c>
      <c r="D719" s="21" t="str">
        <f>IFERROR(__xludf.DUMMYFUNCTION("""COMPUTED_VALUE"""),"Removed")</f>
        <v>Removed</v>
      </c>
      <c r="E719" s="279">
        <f>IFERROR(__xludf.DUMMYFUNCTION("""COMPUTED_VALUE"""),43556.0)</f>
        <v>43556</v>
      </c>
      <c r="F719" s="279">
        <f>IFERROR(__xludf.DUMMYFUNCTION("""COMPUTED_VALUE"""),44377.0)</f>
        <v>44377</v>
      </c>
      <c r="G719" s="27">
        <f>IFERROR(__xludf.DUMMYFUNCTION("""COMPUTED_VALUE"""),26.96666666666667)</f>
        <v>26.96666667</v>
      </c>
      <c r="H719" s="128">
        <f>IFERROR(__xludf.DUMMYFUNCTION("""COMPUTED_VALUE"""),42997.0)</f>
        <v>42997</v>
      </c>
      <c r="I719" s="27">
        <f>IFERROR(__xludf.DUMMYFUNCTION("""COMPUTED_VALUE"""),1.5333333333333334)</f>
        <v>1.533333333</v>
      </c>
      <c r="J719" s="29">
        <f>IFERROR(__xludf.DUMMYFUNCTION("""COMPUTED_VALUE"""),77.0)</f>
        <v>77</v>
      </c>
      <c r="K719" s="29">
        <f>IFERROR(__xludf.DUMMYFUNCTION("""COMPUTED_VALUE"""),3.5)</f>
        <v>3.5</v>
      </c>
      <c r="L719" s="275" t="str">
        <f>IFERROR(__xludf.DUMMYFUNCTION("""COMPUTED_VALUE"""),"Fighting")</f>
        <v>Fighting</v>
      </c>
    </row>
    <row r="720">
      <c r="A720" s="278" t="str">
        <f>IFERROR(__xludf.DUMMYFUNCTION("""COMPUTED_VALUE"""),"Observation")</f>
        <v>Observation</v>
      </c>
      <c r="B720" s="20" t="str">
        <f>IFERROR(__xludf.DUMMYFUNCTION("""COMPUTED_VALUE"""),"Xbox / PC")</f>
        <v>Xbox / PC</v>
      </c>
      <c r="C720" s="21" t="str">
        <f>IFERROR(__xludf.DUMMYFUNCTION("""COMPUTED_VALUE"""),"Yes")</f>
        <v>Yes</v>
      </c>
      <c r="D720" s="21" t="str">
        <f>IFERROR(__xludf.DUMMYFUNCTION("""COMPUTED_VALUE"""),"Removed")</f>
        <v>Removed</v>
      </c>
      <c r="E720" s="279">
        <f>IFERROR(__xludf.DUMMYFUNCTION("""COMPUTED_VALUE"""),44007.0)</f>
        <v>44007</v>
      </c>
      <c r="F720" s="279">
        <f>IFERROR(__xludf.DUMMYFUNCTION("""COMPUTED_VALUE"""),44362.0)</f>
        <v>44362</v>
      </c>
      <c r="G720" s="27">
        <f>IFERROR(__xludf.DUMMYFUNCTION("""COMPUTED_VALUE"""),11.666666666666666)</f>
        <v>11.66666667</v>
      </c>
      <c r="H720" s="128">
        <f>IFERROR(__xludf.DUMMYFUNCTION("""COMPUTED_VALUE"""),43606.0)</f>
        <v>43606</v>
      </c>
      <c r="I720" s="27">
        <f>IFERROR(__xludf.DUMMYFUNCTION("""COMPUTED_VALUE"""),1.0944444444444446)</f>
        <v>1.094444444</v>
      </c>
      <c r="J720" s="29">
        <f>IFERROR(__xludf.DUMMYFUNCTION("""COMPUTED_VALUE"""),79.0)</f>
        <v>79</v>
      </c>
      <c r="K720" s="29">
        <f>IFERROR(__xludf.DUMMYFUNCTION("""COMPUTED_VALUE"""),6.0)</f>
        <v>6</v>
      </c>
      <c r="L720" s="275" t="str">
        <f>IFERROR(__xludf.DUMMYFUNCTION("""COMPUTED_VALUE"""),"Action-Adventure")</f>
        <v>Action-Adventure</v>
      </c>
    </row>
    <row r="721">
      <c r="A721" s="278" t="str">
        <f>IFERROR(__xludf.DUMMYFUNCTION("""COMPUTED_VALUE"""),"West of Dead")</f>
        <v>West of Dead</v>
      </c>
      <c r="B721" s="20" t="str">
        <f>IFERROR(__xludf.DUMMYFUNCTION("""COMPUTED_VALUE"""),"Xbox / PC")</f>
        <v>Xbox / PC</v>
      </c>
      <c r="C721" s="21" t="str">
        <f>IFERROR(__xludf.DUMMYFUNCTION("""COMPUTED_VALUE"""),"Yes")</f>
        <v>Yes</v>
      </c>
      <c r="D721" s="21" t="str">
        <f>IFERROR(__xludf.DUMMYFUNCTION("""COMPUTED_VALUE"""),"Removed")</f>
        <v>Removed</v>
      </c>
      <c r="E721" s="279">
        <f>IFERROR(__xludf.DUMMYFUNCTION("""COMPUTED_VALUE"""),44000.0)</f>
        <v>44000</v>
      </c>
      <c r="F721" s="279">
        <f>IFERROR(__xludf.DUMMYFUNCTION("""COMPUTED_VALUE"""),44362.0)</f>
        <v>44362</v>
      </c>
      <c r="G721" s="27">
        <f>IFERROR(__xludf.DUMMYFUNCTION("""COMPUTED_VALUE"""),11.9)</f>
        <v>11.9</v>
      </c>
      <c r="H721" s="128">
        <f>IFERROR(__xludf.DUMMYFUNCTION("""COMPUTED_VALUE"""),44000.0)</f>
        <v>44000</v>
      </c>
      <c r="I721" s="27">
        <f>IFERROR(__xludf.DUMMYFUNCTION("""COMPUTED_VALUE"""),0.0)</f>
        <v>0</v>
      </c>
      <c r="J721" s="29">
        <f>IFERROR(__xludf.DUMMYFUNCTION("""COMPUTED_VALUE"""),71.0)</f>
        <v>71</v>
      </c>
      <c r="K721" s="29">
        <f>IFERROR(__xludf.DUMMYFUNCTION("""COMPUTED_VALUE"""),11.5)</f>
        <v>11.5</v>
      </c>
      <c r="L721" s="275" t="str">
        <f>IFERROR(__xludf.DUMMYFUNCTION("""COMPUTED_VALUE"""),"Shooter")</f>
        <v>Shooter</v>
      </c>
    </row>
    <row r="722">
      <c r="A722" s="278" t="str">
        <f>IFERROR(__xludf.DUMMYFUNCTION("""COMPUTED_VALUE"""),"Ace Combat 7: Skies Unknown")</f>
        <v>Ace Combat 7: Skies Unknown</v>
      </c>
      <c r="B722" s="20" t="str">
        <f>IFERROR(__xludf.DUMMYFUNCTION("""COMPUTED_VALUE"""),"Xbox")</f>
        <v>Xbox</v>
      </c>
      <c r="C722" s="21"/>
      <c r="D722" s="21" t="str">
        <f>IFERROR(__xludf.DUMMYFUNCTION("""COMPUTED_VALUE"""),"Removed")</f>
        <v>Removed</v>
      </c>
      <c r="E722" s="279">
        <f>IFERROR(__xludf.DUMMYFUNCTION("""COMPUTED_VALUE"""),43909.0)</f>
        <v>43909</v>
      </c>
      <c r="F722" s="279">
        <f>IFERROR(__xludf.DUMMYFUNCTION("""COMPUTED_VALUE"""),44362.0)</f>
        <v>44362</v>
      </c>
      <c r="G722" s="27">
        <f>IFERROR(__xludf.DUMMYFUNCTION("""COMPUTED_VALUE"""),14.866666666666667)</f>
        <v>14.86666667</v>
      </c>
      <c r="H722" s="128">
        <f>IFERROR(__xludf.DUMMYFUNCTION("""COMPUTED_VALUE"""),43480.0)</f>
        <v>43480</v>
      </c>
      <c r="I722" s="27">
        <f>IFERROR(__xludf.DUMMYFUNCTION("""COMPUTED_VALUE"""),1.1777777777777778)</f>
        <v>1.177777778</v>
      </c>
      <c r="J722" s="29">
        <f>IFERROR(__xludf.DUMMYFUNCTION("""COMPUTED_VALUE"""),79.0)</f>
        <v>79</v>
      </c>
      <c r="K722" s="29">
        <f>IFERROR(__xludf.DUMMYFUNCTION("""COMPUTED_VALUE"""),10.5)</f>
        <v>10.5</v>
      </c>
      <c r="L722" s="275" t="str">
        <f>IFERROR(__xludf.DUMMYFUNCTION("""COMPUTED_VALUE"""),"Flight Simulator")</f>
        <v>Flight Simulator</v>
      </c>
    </row>
    <row r="723">
      <c r="A723" s="278" t="str">
        <f>IFERROR(__xludf.DUMMYFUNCTION("""COMPUTED_VALUE"""),"Night Call")</f>
        <v>Night Call</v>
      </c>
      <c r="B723" s="20" t="str">
        <f>IFERROR(__xludf.DUMMYFUNCTION("""COMPUTED_VALUE"""),"Xbox / PC")</f>
        <v>Xbox / PC</v>
      </c>
      <c r="C723" s="21" t="str">
        <f>IFERROR(__xludf.DUMMYFUNCTION("""COMPUTED_VALUE"""),"Yes")</f>
        <v>Yes</v>
      </c>
      <c r="D723" s="21" t="str">
        <f>IFERROR(__xludf.DUMMYFUNCTION("""COMPUTED_VALUE"""),"Removed")</f>
        <v>Removed</v>
      </c>
      <c r="E723" s="279">
        <f>IFERROR(__xludf.DUMMYFUNCTION("""COMPUTED_VALUE"""),43663.0)</f>
        <v>43663</v>
      </c>
      <c r="F723" s="279">
        <f>IFERROR(__xludf.DUMMYFUNCTION("""COMPUTED_VALUE"""),44362.0)</f>
        <v>44362</v>
      </c>
      <c r="G723" s="27">
        <f>IFERROR(__xludf.DUMMYFUNCTION("""COMPUTED_VALUE"""),22.933333333333334)</f>
        <v>22.93333333</v>
      </c>
      <c r="H723" s="128">
        <f>IFERROR(__xludf.DUMMYFUNCTION("""COMPUTED_VALUE"""),43663.0)</f>
        <v>43663</v>
      </c>
      <c r="I723" s="27">
        <f>IFERROR(__xludf.DUMMYFUNCTION("""COMPUTED_VALUE"""),0.0)</f>
        <v>0</v>
      </c>
      <c r="J723" s="29">
        <f>IFERROR(__xludf.DUMMYFUNCTION("""COMPUTED_VALUE"""),68.0)</f>
        <v>68</v>
      </c>
      <c r="K723" s="29">
        <f>IFERROR(__xludf.DUMMYFUNCTION("""COMPUTED_VALUE"""),4.0)</f>
        <v>4</v>
      </c>
      <c r="L723" s="275" t="str">
        <f>IFERROR(__xludf.DUMMYFUNCTION("""COMPUTED_VALUE"""),"Adventure")</f>
        <v>Adventure</v>
      </c>
    </row>
    <row r="724">
      <c r="A724" s="278" t="str">
        <f>IFERROR(__xludf.DUMMYFUNCTION("""COMPUTED_VALUE"""),"Wizard of Legend")</f>
        <v>Wizard of Legend</v>
      </c>
      <c r="B724" s="20" t="str">
        <f>IFERROR(__xludf.DUMMYFUNCTION("""COMPUTED_VALUE"""),"Xbox / PC")</f>
        <v>Xbox / PC</v>
      </c>
      <c r="C724" s="21" t="str">
        <f>IFERROR(__xludf.DUMMYFUNCTION("""COMPUTED_VALUE"""),"Yes")</f>
        <v>Yes</v>
      </c>
      <c r="D724" s="21" t="str">
        <f>IFERROR(__xludf.DUMMYFUNCTION("""COMPUTED_VALUE"""),"Removed")</f>
        <v>Removed</v>
      </c>
      <c r="E724" s="279">
        <f>IFERROR(__xludf.DUMMYFUNCTION("""COMPUTED_VALUE"""),43625.0)</f>
        <v>43625</v>
      </c>
      <c r="F724" s="279">
        <f>IFERROR(__xludf.DUMMYFUNCTION("""COMPUTED_VALUE"""),44362.0)</f>
        <v>44362</v>
      </c>
      <c r="G724" s="27">
        <f>IFERROR(__xludf.DUMMYFUNCTION("""COMPUTED_VALUE"""),24.2)</f>
        <v>24.2</v>
      </c>
      <c r="H724" s="128">
        <f>IFERROR(__xludf.DUMMYFUNCTION("""COMPUTED_VALUE"""),43235.0)</f>
        <v>43235</v>
      </c>
      <c r="I724" s="27">
        <f>IFERROR(__xludf.DUMMYFUNCTION("""COMPUTED_VALUE"""),1.0666666666666667)</f>
        <v>1.066666667</v>
      </c>
      <c r="J724" s="29">
        <f>IFERROR(__xludf.DUMMYFUNCTION("""COMPUTED_VALUE"""),79.0)</f>
        <v>79</v>
      </c>
      <c r="K724" s="29">
        <f>IFERROR(__xludf.DUMMYFUNCTION("""COMPUTED_VALUE"""),6.0)</f>
        <v>6</v>
      </c>
      <c r="L724" s="31" t="str">
        <f>IFERROR(__xludf.DUMMYFUNCTION("""COMPUTED_VALUE"""),"RPG")</f>
        <v>RPG</v>
      </c>
    </row>
    <row r="725">
      <c r="A725" s="17" t="str">
        <f>IFERROR(__xludf.DUMMYFUNCTION("""COMPUTED_VALUE"""),"Kingdom Hearts HD I.5 + II.5 ReMix")</f>
        <v>Kingdom Hearts HD I.5 + II.5 ReMix</v>
      </c>
      <c r="B725" s="20" t="str">
        <f>IFERROR(__xludf.DUMMYFUNCTION("""COMPUTED_VALUE"""),"Xbox")</f>
        <v>Xbox</v>
      </c>
      <c r="C725" s="21"/>
      <c r="D725" s="21" t="str">
        <f>IFERROR(__xludf.DUMMYFUNCTION("""COMPUTED_VALUE"""),"Removed")</f>
        <v>Removed</v>
      </c>
      <c r="E725" s="279">
        <f>IFERROR(__xludf.DUMMYFUNCTION("""COMPUTED_VALUE"""),43993.0)</f>
        <v>43993</v>
      </c>
      <c r="F725" s="279">
        <f>IFERROR(__xludf.DUMMYFUNCTION("""COMPUTED_VALUE"""),44347.0)</f>
        <v>44347</v>
      </c>
      <c r="G725" s="27">
        <f>IFERROR(__xludf.DUMMYFUNCTION("""COMPUTED_VALUE"""),11.633333333333333)</f>
        <v>11.63333333</v>
      </c>
      <c r="H725" s="128">
        <f>IFERROR(__xludf.DUMMYFUNCTION("""COMPUTED_VALUE"""),42803.0)</f>
        <v>42803</v>
      </c>
      <c r="I725" s="27">
        <f>IFERROR(__xludf.DUMMYFUNCTION("""COMPUTED_VALUE"""),3.2555555555555555)</f>
        <v>3.255555556</v>
      </c>
      <c r="J725" s="29">
        <f>IFERROR(__xludf.DUMMYFUNCTION("""COMPUTED_VALUE"""),88.0)</f>
        <v>88</v>
      </c>
      <c r="K725" s="29">
        <f>IFERROR(__xludf.DUMMYFUNCTION("""COMPUTED_VALUE"""),115.0)</f>
        <v>115</v>
      </c>
      <c r="L725" s="282" t="str">
        <f>IFERROR(__xludf.DUMMYFUNCTION("""COMPUTED_VALUE"""),"RPG")</f>
        <v>RPG</v>
      </c>
    </row>
    <row r="726">
      <c r="A726" s="278" t="str">
        <f>IFERROR(__xludf.DUMMYFUNCTION("""COMPUTED_VALUE"""),"Kingdom Hearts HD II.8 Final Chapter Prologue")</f>
        <v>Kingdom Hearts HD II.8 Final Chapter Prologue</v>
      </c>
      <c r="B726" s="20" t="str">
        <f>IFERROR(__xludf.DUMMYFUNCTION("""COMPUTED_VALUE"""),"Xbox")</f>
        <v>Xbox</v>
      </c>
      <c r="C726" s="21"/>
      <c r="D726" s="21" t="str">
        <f>IFERROR(__xludf.DUMMYFUNCTION("""COMPUTED_VALUE"""),"Removed")</f>
        <v>Removed</v>
      </c>
      <c r="E726" s="279">
        <f>IFERROR(__xludf.DUMMYFUNCTION("""COMPUTED_VALUE"""),43993.0)</f>
        <v>43993</v>
      </c>
      <c r="F726" s="279">
        <f>IFERROR(__xludf.DUMMYFUNCTION("""COMPUTED_VALUE"""),44347.0)</f>
        <v>44347</v>
      </c>
      <c r="G726" s="27">
        <f>IFERROR(__xludf.DUMMYFUNCTION("""COMPUTED_VALUE"""),11.633333333333333)</f>
        <v>11.63333333</v>
      </c>
      <c r="H726" s="128">
        <f>IFERROR(__xludf.DUMMYFUNCTION("""COMPUTED_VALUE"""),42759.0)</f>
        <v>42759</v>
      </c>
      <c r="I726" s="27">
        <f>IFERROR(__xludf.DUMMYFUNCTION("""COMPUTED_VALUE"""),3.3805555555555555)</f>
        <v>3.380555556</v>
      </c>
      <c r="J726" s="29">
        <f>IFERROR(__xludf.DUMMYFUNCTION("""COMPUTED_VALUE"""),82.0)</f>
        <v>82</v>
      </c>
      <c r="K726" s="29">
        <f>IFERROR(__xludf.DUMMYFUNCTION("""COMPUTED_VALUE"""),17.0)</f>
        <v>17</v>
      </c>
      <c r="L726" s="31" t="str">
        <f>IFERROR(__xludf.DUMMYFUNCTION("""COMPUTED_VALUE"""),"RPG")</f>
        <v>RPG</v>
      </c>
    </row>
    <row r="727">
      <c r="A727" s="278" t="str">
        <f>IFERROR(__xludf.DUMMYFUNCTION("""COMPUTED_VALUE"""),"Broforce")</f>
        <v>Broforce</v>
      </c>
      <c r="B727" s="20" t="str">
        <f>IFERROR(__xludf.DUMMYFUNCTION("""COMPUTED_VALUE"""),"PC")</f>
        <v>PC</v>
      </c>
      <c r="C727" s="21"/>
      <c r="D727" s="21" t="str">
        <f>IFERROR(__xludf.DUMMYFUNCTION("""COMPUTED_VALUE"""),"Removed")</f>
        <v>Removed</v>
      </c>
      <c r="E727" s="279">
        <f>IFERROR(__xludf.DUMMYFUNCTION("""COMPUTED_VALUE"""),43625.0)</f>
        <v>43625</v>
      </c>
      <c r="F727" s="279">
        <f>IFERROR(__xludf.DUMMYFUNCTION("""COMPUTED_VALUE"""),44347.0)</f>
        <v>44347</v>
      </c>
      <c r="G727" s="27">
        <f>IFERROR(__xludf.DUMMYFUNCTION("""COMPUTED_VALUE"""),23.700000000000003)</f>
        <v>23.7</v>
      </c>
      <c r="H727" s="128">
        <f>IFERROR(__xludf.DUMMYFUNCTION("""COMPUTED_VALUE"""),42292.0)</f>
        <v>42292</v>
      </c>
      <c r="I727" s="27">
        <f>IFERROR(__xludf.DUMMYFUNCTION("""COMPUTED_VALUE"""),3.65)</f>
        <v>3.65</v>
      </c>
      <c r="J727" s="29">
        <f>IFERROR(__xludf.DUMMYFUNCTION("""COMPUTED_VALUE"""),83.0)</f>
        <v>83</v>
      </c>
      <c r="K727" s="29">
        <f>IFERROR(__xludf.DUMMYFUNCTION("""COMPUTED_VALUE"""),6.5)</f>
        <v>6.5</v>
      </c>
      <c r="L727" s="275" t="str">
        <f>IFERROR(__xludf.DUMMYFUNCTION("""COMPUTED_VALUE"""),"Shooter")</f>
        <v>Shooter</v>
      </c>
    </row>
    <row r="728">
      <c r="A728" s="17" t="str">
        <f>IFERROR(__xludf.DUMMYFUNCTION("""COMPUTED_VALUE"""),"Void Bastards")</f>
        <v>Void Bastards</v>
      </c>
      <c r="B728" s="20" t="str">
        <f>IFERROR(__xludf.DUMMYFUNCTION("""COMPUTED_VALUE"""),"Xbox / PC")</f>
        <v>Xbox / PC</v>
      </c>
      <c r="C728" s="21" t="str">
        <f>IFERROR(__xludf.DUMMYFUNCTION("""COMPUTED_VALUE"""),"Yes")</f>
        <v>Yes</v>
      </c>
      <c r="D728" s="21" t="str">
        <f>IFERROR(__xludf.DUMMYFUNCTION("""COMPUTED_VALUE"""),"Removed")</f>
        <v>Removed</v>
      </c>
      <c r="E728" s="279">
        <f>IFERROR(__xludf.DUMMYFUNCTION("""COMPUTED_VALUE"""),43614.0)</f>
        <v>43614</v>
      </c>
      <c r="F728" s="279">
        <f>IFERROR(__xludf.DUMMYFUNCTION("""COMPUTED_VALUE"""),44347.0)</f>
        <v>44347</v>
      </c>
      <c r="G728" s="27">
        <f>IFERROR(__xludf.DUMMYFUNCTION("""COMPUTED_VALUE"""),24.03333333333333)</f>
        <v>24.03333333</v>
      </c>
      <c r="H728" s="128">
        <f>IFERROR(__xludf.DUMMYFUNCTION("""COMPUTED_VALUE"""),43614.0)</f>
        <v>43614</v>
      </c>
      <c r="I728" s="27">
        <f>IFERROR(__xludf.DUMMYFUNCTION("""COMPUTED_VALUE"""),0.0)</f>
        <v>0</v>
      </c>
      <c r="J728" s="29">
        <f>IFERROR(__xludf.DUMMYFUNCTION("""COMPUTED_VALUE"""),75.0)</f>
        <v>75</v>
      </c>
      <c r="K728" s="29">
        <f>IFERROR(__xludf.DUMMYFUNCTION("""COMPUTED_VALUE"""),8.0)</f>
        <v>8</v>
      </c>
      <c r="L728" s="275" t="str">
        <f>IFERROR(__xludf.DUMMYFUNCTION("""COMPUTED_VALUE"""),"Shooter")</f>
        <v>Shooter</v>
      </c>
    </row>
    <row r="729">
      <c r="A729" s="17" t="str">
        <f>IFERROR(__xludf.DUMMYFUNCTION("""COMPUTED_VALUE"""),"Surviving Mars")</f>
        <v>Surviving Mars</v>
      </c>
      <c r="B729" s="20" t="str">
        <f>IFERROR(__xludf.DUMMYFUNCTION("""COMPUTED_VALUE"""),"Xbox / PC")</f>
        <v>Xbox / PC</v>
      </c>
      <c r="C729" s="21" t="str">
        <f>IFERROR(__xludf.DUMMYFUNCTION("""COMPUTED_VALUE"""),"Yes")</f>
        <v>Yes</v>
      </c>
      <c r="D729" s="21" t="str">
        <f>IFERROR(__xludf.DUMMYFUNCTION("""COMPUTED_VALUE"""),"Removed")</f>
        <v>Removed</v>
      </c>
      <c r="E729" s="279">
        <f>IFERROR(__xludf.DUMMYFUNCTION("""COMPUTED_VALUE"""),43594.0)</f>
        <v>43594</v>
      </c>
      <c r="F729" s="279">
        <f>IFERROR(__xludf.DUMMYFUNCTION("""COMPUTED_VALUE"""),44347.0)</f>
        <v>44347</v>
      </c>
      <c r="G729" s="27">
        <f>IFERROR(__xludf.DUMMYFUNCTION("""COMPUTED_VALUE"""),24.699999999999996)</f>
        <v>24.7</v>
      </c>
      <c r="H729" s="128">
        <f>IFERROR(__xludf.DUMMYFUNCTION("""COMPUTED_VALUE"""),43174.0)</f>
        <v>43174</v>
      </c>
      <c r="I729" s="27">
        <f>IFERROR(__xludf.DUMMYFUNCTION("""COMPUTED_VALUE"""),1.15)</f>
        <v>1.15</v>
      </c>
      <c r="J729" s="29">
        <f>IFERROR(__xludf.DUMMYFUNCTION("""COMPUTED_VALUE"""),76.0)</f>
        <v>76</v>
      </c>
      <c r="K729" s="29">
        <f>IFERROR(__xludf.DUMMYFUNCTION("""COMPUTED_VALUE"""),18.5)</f>
        <v>18.5</v>
      </c>
      <c r="L729" s="275" t="str">
        <f>IFERROR(__xludf.DUMMYFUNCTION("""COMPUTED_VALUE"""),"Simulation")</f>
        <v>Simulation</v>
      </c>
    </row>
    <row r="730">
      <c r="A730" s="278" t="str">
        <f>IFERROR(__xludf.DUMMYFUNCTION("""COMPUTED_VALUE"""),"Assetto Corsa")</f>
        <v>Assetto Corsa</v>
      </c>
      <c r="B730" s="20" t="str">
        <f>IFERROR(__xludf.DUMMYFUNCTION("""COMPUTED_VALUE"""),"Xbox")</f>
        <v>Xbox</v>
      </c>
      <c r="C730" s="21" t="str">
        <f>IFERROR(__xludf.DUMMYFUNCTION("""COMPUTED_VALUE"""),"Yes")</f>
        <v>Yes</v>
      </c>
      <c r="D730" s="21" t="str">
        <f>IFERROR(__xludf.DUMMYFUNCTION("""COMPUTED_VALUE"""),"Removed")</f>
        <v>Removed</v>
      </c>
      <c r="E730" s="279">
        <f>IFERROR(__xludf.DUMMYFUNCTION("""COMPUTED_VALUE"""),44175.0)</f>
        <v>44175</v>
      </c>
      <c r="F730" s="279">
        <f>IFERROR(__xludf.DUMMYFUNCTION("""COMPUTED_VALUE"""),44346.0)</f>
        <v>44346</v>
      </c>
      <c r="G730" s="27">
        <f>IFERROR(__xludf.DUMMYFUNCTION("""COMPUTED_VALUE"""),5.666666666666666)</f>
        <v>5.666666667</v>
      </c>
      <c r="H730" s="128">
        <f>IFERROR(__xludf.DUMMYFUNCTION("""COMPUTED_VALUE"""),41992.0)</f>
        <v>41992</v>
      </c>
      <c r="I730" s="27">
        <f>IFERROR(__xludf.DUMMYFUNCTION("""COMPUTED_VALUE"""),5.975)</f>
        <v>5.975</v>
      </c>
      <c r="J730" s="29">
        <f>IFERROR(__xludf.DUMMYFUNCTION("""COMPUTED_VALUE"""),63.0)</f>
        <v>63</v>
      </c>
      <c r="K730" s="29">
        <f>IFERROR(__xludf.DUMMYFUNCTION("""COMPUTED_VALUE"""),40.5)</f>
        <v>40.5</v>
      </c>
      <c r="L730" s="275" t="str">
        <f>IFERROR(__xludf.DUMMYFUNCTION("""COMPUTED_VALUE"""),"Racing")</f>
        <v>Racing</v>
      </c>
    </row>
    <row r="731">
      <c r="A731" s="278" t="str">
        <f>IFERROR(__xludf.DUMMYFUNCTION("""COMPUTED_VALUE"""),"Detention")</f>
        <v>Detention</v>
      </c>
      <c r="B731" s="20" t="str">
        <f>IFERROR(__xludf.DUMMYFUNCTION("""COMPUTED_VALUE"""),"PC")</f>
        <v>PC</v>
      </c>
      <c r="C731" s="21"/>
      <c r="D731" s="21" t="str">
        <f>IFERROR(__xludf.DUMMYFUNCTION("""COMPUTED_VALUE"""),"Removed")</f>
        <v>Removed</v>
      </c>
      <c r="E731" s="279">
        <f>IFERROR(__xludf.DUMMYFUNCTION("""COMPUTED_VALUE"""),44273.0)</f>
        <v>44273</v>
      </c>
      <c r="F731" s="279">
        <f>IFERROR(__xludf.DUMMYFUNCTION("""COMPUTED_VALUE"""),44336.0)</f>
        <v>44336</v>
      </c>
      <c r="G731" s="27">
        <f>IFERROR(__xludf.DUMMYFUNCTION("""COMPUTED_VALUE"""),2.0666666666666664)</f>
        <v>2.066666667</v>
      </c>
      <c r="H731" s="128">
        <f>IFERROR(__xludf.DUMMYFUNCTION("""COMPUTED_VALUE"""),42747.0)</f>
        <v>42747</v>
      </c>
      <c r="I731" s="27">
        <f>IFERROR(__xludf.DUMMYFUNCTION("""COMPUTED_VALUE"""),4.183333333333334)</f>
        <v>4.183333333</v>
      </c>
      <c r="J731" s="29">
        <f>IFERROR(__xludf.DUMMYFUNCTION("""COMPUTED_VALUE"""),83.0)</f>
        <v>83</v>
      </c>
      <c r="K731" s="29">
        <f>IFERROR(__xludf.DUMMYFUNCTION("""COMPUTED_VALUE"""),3.0)</f>
        <v>3</v>
      </c>
      <c r="L731" s="275" t="str">
        <f>IFERROR(__xludf.DUMMYFUNCTION("""COMPUTED_VALUE"""),"Adventure")</f>
        <v>Adventure</v>
      </c>
    </row>
    <row r="732">
      <c r="A732" s="278" t="str">
        <f>IFERROR(__xludf.DUMMYFUNCTION("""COMPUTED_VALUE"""),"Battlefleet Gothic: Armada II")</f>
        <v>Battlefleet Gothic: Armada II</v>
      </c>
      <c r="B732" s="20" t="str">
        <f>IFERROR(__xludf.DUMMYFUNCTION("""COMPUTED_VALUE"""),"PC")</f>
        <v>PC</v>
      </c>
      <c r="C732" s="21"/>
      <c r="D732" s="21" t="str">
        <f>IFERROR(__xludf.DUMMYFUNCTION("""COMPUTED_VALUE"""),"Removed")</f>
        <v>Removed</v>
      </c>
      <c r="E732" s="279">
        <f>IFERROR(__xludf.DUMMYFUNCTION("""COMPUTED_VALUE"""),43993.0)</f>
        <v>43993</v>
      </c>
      <c r="F732" s="279">
        <f>IFERROR(__xludf.DUMMYFUNCTION("""COMPUTED_VALUE"""),44331.0)</f>
        <v>44331</v>
      </c>
      <c r="G732" s="27">
        <f>IFERROR(__xludf.DUMMYFUNCTION("""COMPUTED_VALUE"""),11.133333333333333)</f>
        <v>11.13333333</v>
      </c>
      <c r="H732" s="128">
        <f>IFERROR(__xludf.DUMMYFUNCTION("""COMPUTED_VALUE"""),43489.0)</f>
        <v>43489</v>
      </c>
      <c r="I732" s="27">
        <f>IFERROR(__xludf.DUMMYFUNCTION("""COMPUTED_VALUE"""),1.3805555555555555)</f>
        <v>1.380555556</v>
      </c>
      <c r="J732" s="29">
        <f>IFERROR(__xludf.DUMMYFUNCTION("""COMPUTED_VALUE"""),77.0)</f>
        <v>77</v>
      </c>
      <c r="K732" s="29">
        <f>IFERROR(__xludf.DUMMYFUNCTION("""COMPUTED_VALUE"""),120.0)</f>
        <v>120</v>
      </c>
      <c r="L732" s="275" t="str">
        <f>IFERROR(__xludf.DUMMYFUNCTION("""COMPUTED_VALUE"""),"Real-Time Strategy")</f>
        <v>Real-Time Strategy</v>
      </c>
    </row>
    <row r="733">
      <c r="A733" s="278" t="str">
        <f>IFERROR(__xludf.DUMMYFUNCTION("""COMPUTED_VALUE"""),"Dungeon of the Endless")</f>
        <v>Dungeon of the Endless</v>
      </c>
      <c r="B733" s="20" t="str">
        <f>IFERROR(__xludf.DUMMYFUNCTION("""COMPUTED_VALUE"""),"Xbox / PC")</f>
        <v>Xbox / PC</v>
      </c>
      <c r="C733" s="21" t="str">
        <f>IFERROR(__xludf.DUMMYFUNCTION("""COMPUTED_VALUE"""),"Yes")</f>
        <v>Yes</v>
      </c>
      <c r="D733" s="21" t="str">
        <f>IFERROR(__xludf.DUMMYFUNCTION("""COMPUTED_VALUE"""),"Removed")</f>
        <v>Removed</v>
      </c>
      <c r="E733" s="279">
        <f>IFERROR(__xludf.DUMMYFUNCTION("""COMPUTED_VALUE"""),43993.0)</f>
        <v>43993</v>
      </c>
      <c r="F733" s="279">
        <f>IFERROR(__xludf.DUMMYFUNCTION("""COMPUTED_VALUE"""),44331.0)</f>
        <v>44331</v>
      </c>
      <c r="G733" s="27">
        <f>IFERROR(__xludf.DUMMYFUNCTION("""COMPUTED_VALUE"""),11.133333333333333)</f>
        <v>11.13333333</v>
      </c>
      <c r="H733" s="128">
        <f>IFERROR(__xludf.DUMMYFUNCTION("""COMPUTED_VALUE"""),41939.0)</f>
        <v>41939</v>
      </c>
      <c r="I733" s="27">
        <f>IFERROR(__xludf.DUMMYFUNCTION("""COMPUTED_VALUE"""),5.622222222222222)</f>
        <v>5.622222222</v>
      </c>
      <c r="J733" s="29">
        <f>IFERROR(__xludf.DUMMYFUNCTION("""COMPUTED_VALUE"""),78.5)</f>
        <v>78.5</v>
      </c>
      <c r="K733" s="29">
        <f>IFERROR(__xludf.DUMMYFUNCTION("""COMPUTED_VALUE"""),7.0)</f>
        <v>7</v>
      </c>
      <c r="L733" s="275" t="str">
        <f>IFERROR(__xludf.DUMMYFUNCTION("""COMPUTED_VALUE"""),"RPG")</f>
        <v>RPG</v>
      </c>
    </row>
    <row r="734">
      <c r="A734" s="278" t="str">
        <f>IFERROR(__xludf.DUMMYFUNCTION("""COMPUTED_VALUE"""),"Plebby Quest: The Crusades")</f>
        <v>Plebby Quest: The Crusades</v>
      </c>
      <c r="B734" s="20" t="str">
        <f>IFERROR(__xludf.DUMMYFUNCTION("""COMPUTED_VALUE"""),"PC")</f>
        <v>PC</v>
      </c>
      <c r="C734" s="21"/>
      <c r="D734" s="21" t="str">
        <f>IFERROR(__xludf.DUMMYFUNCTION("""COMPUTED_VALUE"""),"Removed")</f>
        <v>Removed</v>
      </c>
      <c r="E734" s="279">
        <f>IFERROR(__xludf.DUMMYFUNCTION("""COMPUTED_VALUE"""),43977.0)</f>
        <v>43977</v>
      </c>
      <c r="F734" s="279">
        <f>IFERROR(__xludf.DUMMYFUNCTION("""COMPUTED_VALUE"""),44331.0)</f>
        <v>44331</v>
      </c>
      <c r="G734" s="27">
        <f>IFERROR(__xludf.DUMMYFUNCTION("""COMPUTED_VALUE"""),11.633333333333333)</f>
        <v>11.63333333</v>
      </c>
      <c r="H734" s="128">
        <f>IFERROR(__xludf.DUMMYFUNCTION("""COMPUTED_VALUE"""),43929.0)</f>
        <v>43929</v>
      </c>
      <c r="I734" s="27">
        <f>IFERROR(__xludf.DUMMYFUNCTION("""COMPUTED_VALUE"""),0.13333333333333333)</f>
        <v>0.1333333333</v>
      </c>
      <c r="J734" s="29">
        <f>IFERROR(__xludf.DUMMYFUNCTION("""COMPUTED_VALUE"""),84.0)</f>
        <v>84</v>
      </c>
      <c r="K734" s="29">
        <f>IFERROR(__xludf.DUMMYFUNCTION("""COMPUTED_VALUE"""),5.0)</f>
        <v>5</v>
      </c>
      <c r="L734" s="275" t="str">
        <f>IFERROR(__xludf.DUMMYFUNCTION("""COMPUTED_VALUE"""),"RPG")</f>
        <v>RPG</v>
      </c>
    </row>
    <row r="735">
      <c r="A735" s="17" t="str">
        <f>IFERROR(__xludf.DUMMYFUNCTION("""COMPUTED_VALUE"""),"Alan Wake")</f>
        <v>Alan Wake</v>
      </c>
      <c r="B735" s="20" t="str">
        <f>IFERROR(__xludf.DUMMYFUNCTION("""COMPUTED_VALUE"""),"Xbox / PC")</f>
        <v>Xbox / PC</v>
      </c>
      <c r="C735" s="21"/>
      <c r="D735" s="21" t="str">
        <f>IFERROR(__xludf.DUMMYFUNCTION("""COMPUTED_VALUE"""),"Removed")</f>
        <v>Removed</v>
      </c>
      <c r="E735" s="279">
        <f>IFERROR(__xludf.DUMMYFUNCTION("""COMPUTED_VALUE"""),43972.0)</f>
        <v>43972</v>
      </c>
      <c r="F735" s="279">
        <f>IFERROR(__xludf.DUMMYFUNCTION("""COMPUTED_VALUE"""),44331.0)</f>
        <v>44331</v>
      </c>
      <c r="G735" s="27">
        <f>IFERROR(__xludf.DUMMYFUNCTION("""COMPUTED_VALUE"""),11.799999999999999)</f>
        <v>11.8</v>
      </c>
      <c r="H735" s="128">
        <f>IFERROR(__xludf.DUMMYFUNCTION("""COMPUTED_VALUE"""),40312.0)</f>
        <v>40312</v>
      </c>
      <c r="I735" s="27">
        <f>IFERROR(__xludf.DUMMYFUNCTION("""COMPUTED_VALUE"""),10.019444444444444)</f>
        <v>10.01944444</v>
      </c>
      <c r="J735" s="29">
        <f>IFERROR(__xludf.DUMMYFUNCTION("""COMPUTED_VALUE"""),83.0)</f>
        <v>83</v>
      </c>
      <c r="K735" s="29">
        <f>IFERROR(__xludf.DUMMYFUNCTION("""COMPUTED_VALUE"""),11.0)</f>
        <v>11</v>
      </c>
      <c r="L735" s="275" t="str">
        <f>IFERROR(__xludf.DUMMYFUNCTION("""COMPUTED_VALUE"""),"Shooter")</f>
        <v>Shooter</v>
      </c>
    </row>
    <row r="736">
      <c r="A736" s="278" t="str">
        <f>IFERROR(__xludf.DUMMYFUNCTION("""COMPUTED_VALUE"""),"Final Fantasy IX")</f>
        <v>Final Fantasy IX</v>
      </c>
      <c r="B736" s="20" t="str">
        <f>IFERROR(__xludf.DUMMYFUNCTION("""COMPUTED_VALUE"""),"Xbox / PC")</f>
        <v>Xbox / PC</v>
      </c>
      <c r="C736" s="21"/>
      <c r="D736" s="21" t="str">
        <f>IFERROR(__xludf.DUMMYFUNCTION("""COMPUTED_VALUE"""),"Removed")</f>
        <v>Removed</v>
      </c>
      <c r="E736" s="279">
        <f>IFERROR(__xludf.DUMMYFUNCTION("""COMPUTED_VALUE"""),43965.0)</f>
        <v>43965</v>
      </c>
      <c r="F736" s="279">
        <f>IFERROR(__xludf.DUMMYFUNCTION("""COMPUTED_VALUE"""),44331.0)</f>
        <v>44331</v>
      </c>
      <c r="G736" s="27">
        <f>IFERROR(__xludf.DUMMYFUNCTION("""COMPUTED_VALUE"""),12.033333333333333)</f>
        <v>12.03333333</v>
      </c>
      <c r="H736" s="128">
        <f>IFERROR(__xludf.DUMMYFUNCTION("""COMPUTED_VALUE"""),36714.0)</f>
        <v>36714</v>
      </c>
      <c r="I736" s="27">
        <f>IFERROR(__xludf.DUMMYFUNCTION("""COMPUTED_VALUE"""),19.852777777777778)</f>
        <v>19.85277778</v>
      </c>
      <c r="J736" s="29">
        <f>IFERROR(__xludf.DUMMYFUNCTION("""COMPUTED_VALUE"""),85.0)</f>
        <v>85</v>
      </c>
      <c r="K736" s="29">
        <f>IFERROR(__xludf.DUMMYFUNCTION("""COMPUTED_VALUE"""),40.0)</f>
        <v>40</v>
      </c>
      <c r="L736" s="275" t="str">
        <f>IFERROR(__xludf.DUMMYFUNCTION("""COMPUTED_VALUE"""),"RPG")</f>
        <v>RPG</v>
      </c>
    </row>
    <row r="737">
      <c r="A737" s="278" t="str">
        <f>IFERROR(__xludf.DUMMYFUNCTION("""COMPUTED_VALUE"""),"Hotline Miami")</f>
        <v>Hotline Miami</v>
      </c>
      <c r="B737" s="20" t="str">
        <f>IFERROR(__xludf.DUMMYFUNCTION("""COMPUTED_VALUE"""),"PC")</f>
        <v>PC</v>
      </c>
      <c r="C737" s="21"/>
      <c r="D737" s="21" t="str">
        <f>IFERROR(__xludf.DUMMYFUNCTION("""COMPUTED_VALUE"""),"Removed")</f>
        <v>Removed</v>
      </c>
      <c r="E737" s="279">
        <f>IFERROR(__xludf.DUMMYFUNCTION("""COMPUTED_VALUE"""),43625.0)</f>
        <v>43625</v>
      </c>
      <c r="F737" s="279">
        <f>IFERROR(__xludf.DUMMYFUNCTION("""COMPUTED_VALUE"""),44331.0)</f>
        <v>44331</v>
      </c>
      <c r="G737" s="27">
        <f>IFERROR(__xludf.DUMMYFUNCTION("""COMPUTED_VALUE"""),23.2)</f>
        <v>23.2</v>
      </c>
      <c r="H737" s="128">
        <f>IFERROR(__xludf.DUMMYFUNCTION("""COMPUTED_VALUE"""),41205.0)</f>
        <v>41205</v>
      </c>
      <c r="I737" s="27">
        <f>IFERROR(__xludf.DUMMYFUNCTION("""COMPUTED_VALUE"""),6.627777777777778)</f>
        <v>6.627777778</v>
      </c>
      <c r="J737" s="29">
        <f>IFERROR(__xludf.DUMMYFUNCTION("""COMPUTED_VALUE"""),85.0)</f>
        <v>85</v>
      </c>
      <c r="K737" s="29">
        <f>IFERROR(__xludf.DUMMYFUNCTION("""COMPUTED_VALUE"""),5.0)</f>
        <v>5</v>
      </c>
      <c r="L737" s="275" t="str">
        <f>IFERROR(__xludf.DUMMYFUNCTION("""COMPUTED_VALUE"""),"Action")</f>
        <v>Action</v>
      </c>
    </row>
    <row r="738">
      <c r="A738" s="278" t="str">
        <f>IFERROR(__xludf.DUMMYFUNCTION("""COMPUTED_VALUE"""),"FIFA 15")</f>
        <v>FIFA 15</v>
      </c>
      <c r="B738" s="20" t="str">
        <f>IFERROR(__xludf.DUMMYFUNCTION("""COMPUTED_VALUE"""),"Xbox / PC")</f>
        <v>Xbox / PC</v>
      </c>
      <c r="C738" s="21"/>
      <c r="D738" s="21" t="str">
        <f>IFERROR(__xludf.DUMMYFUNCTION("""COMPUTED_VALUE"""),"Removed")</f>
        <v>Removed</v>
      </c>
      <c r="E738" s="279">
        <f>IFERROR(__xludf.DUMMYFUNCTION("""COMPUTED_VALUE"""),44145.0)</f>
        <v>44145</v>
      </c>
      <c r="F738" s="279">
        <f>IFERROR(__xludf.DUMMYFUNCTION("""COMPUTED_VALUE"""),44322.0)</f>
        <v>44322</v>
      </c>
      <c r="G738" s="27">
        <f>IFERROR(__xludf.DUMMYFUNCTION("""COMPUTED_VALUE"""),5.866666666666666)</f>
        <v>5.866666667</v>
      </c>
      <c r="H738" s="128">
        <f>IFERROR(__xludf.DUMMYFUNCTION("""COMPUTED_VALUE"""),41905.0)</f>
        <v>41905</v>
      </c>
      <c r="I738" s="27">
        <f>IFERROR(__xludf.DUMMYFUNCTION("""COMPUTED_VALUE"""),6.1305555555555555)</f>
        <v>6.130555556</v>
      </c>
      <c r="J738" s="29">
        <f>IFERROR(__xludf.DUMMYFUNCTION("""COMPUTED_VALUE"""),82.0)</f>
        <v>82</v>
      </c>
      <c r="K738" s="29">
        <f>IFERROR(__xludf.DUMMYFUNCTION("""COMPUTED_VALUE"""),128.0)</f>
        <v>128</v>
      </c>
      <c r="L738" s="275" t="str">
        <f>IFERROR(__xludf.DUMMYFUNCTION("""COMPUTED_VALUE"""),"Sports")</f>
        <v>Sports</v>
      </c>
    </row>
    <row r="739">
      <c r="A739" s="278" t="str">
        <f>IFERROR(__xludf.DUMMYFUNCTION("""COMPUTED_VALUE"""),"FIFA 16")</f>
        <v>FIFA 16</v>
      </c>
      <c r="B739" s="20" t="str">
        <f>IFERROR(__xludf.DUMMYFUNCTION("""COMPUTED_VALUE"""),"Xbox / PC")</f>
        <v>Xbox / PC</v>
      </c>
      <c r="C739" s="21"/>
      <c r="D739" s="21" t="str">
        <f>IFERROR(__xludf.DUMMYFUNCTION("""COMPUTED_VALUE"""),"Removed")</f>
        <v>Removed</v>
      </c>
      <c r="E739" s="279">
        <f>IFERROR(__xludf.DUMMYFUNCTION("""COMPUTED_VALUE"""),44145.0)</f>
        <v>44145</v>
      </c>
      <c r="F739" s="279">
        <f>IFERROR(__xludf.DUMMYFUNCTION("""COMPUTED_VALUE"""),44322.0)</f>
        <v>44322</v>
      </c>
      <c r="G739" s="27">
        <f>IFERROR(__xludf.DUMMYFUNCTION("""COMPUTED_VALUE"""),5.866666666666666)</f>
        <v>5.866666667</v>
      </c>
      <c r="H739" s="128">
        <f>IFERROR(__xludf.DUMMYFUNCTION("""COMPUTED_VALUE"""),42269.0)</f>
        <v>42269</v>
      </c>
      <c r="I739" s="27">
        <f>IFERROR(__xludf.DUMMYFUNCTION("""COMPUTED_VALUE"""),5.133333333333334)</f>
        <v>5.133333333</v>
      </c>
      <c r="J739" s="29">
        <f>IFERROR(__xludf.DUMMYFUNCTION("""COMPUTED_VALUE"""),84.0)</f>
        <v>84</v>
      </c>
      <c r="K739" s="29">
        <f>IFERROR(__xludf.DUMMYFUNCTION("""COMPUTED_VALUE"""),108.0)</f>
        <v>108</v>
      </c>
      <c r="L739" s="275" t="str">
        <f>IFERROR(__xludf.DUMMYFUNCTION("""COMPUTED_VALUE"""),"Sports")</f>
        <v>Sports</v>
      </c>
    </row>
    <row r="740">
      <c r="A740" s="17" t="str">
        <f>IFERROR(__xludf.DUMMYFUNCTION("""COMPUTED_VALUE"""),"FIFA 17")</f>
        <v>FIFA 17</v>
      </c>
      <c r="B740" s="20" t="str">
        <f>IFERROR(__xludf.DUMMYFUNCTION("""COMPUTED_VALUE"""),"Xbox / PC")</f>
        <v>Xbox / PC</v>
      </c>
      <c r="C740" s="21"/>
      <c r="D740" s="21" t="str">
        <f>IFERROR(__xludf.DUMMYFUNCTION("""COMPUTED_VALUE"""),"Removed")</f>
        <v>Removed</v>
      </c>
      <c r="E740" s="279">
        <f>IFERROR(__xludf.DUMMYFUNCTION("""COMPUTED_VALUE"""),44145.0)</f>
        <v>44145</v>
      </c>
      <c r="F740" s="279">
        <f>IFERROR(__xludf.DUMMYFUNCTION("""COMPUTED_VALUE"""),44322.0)</f>
        <v>44322</v>
      </c>
      <c r="G740" s="27">
        <f>IFERROR(__xludf.DUMMYFUNCTION("""COMPUTED_VALUE"""),5.866666666666666)</f>
        <v>5.866666667</v>
      </c>
      <c r="H740" s="128">
        <f>IFERROR(__xludf.DUMMYFUNCTION("""COMPUTED_VALUE"""),42640.0)</f>
        <v>42640</v>
      </c>
      <c r="I740" s="27">
        <f>IFERROR(__xludf.DUMMYFUNCTION("""COMPUTED_VALUE"""),4.1194444444444445)</f>
        <v>4.119444444</v>
      </c>
      <c r="J740" s="29">
        <f>IFERROR(__xludf.DUMMYFUNCTION("""COMPUTED_VALUE"""),84.0)</f>
        <v>84</v>
      </c>
      <c r="K740" s="29">
        <f>IFERROR(__xludf.DUMMYFUNCTION("""COMPUTED_VALUE"""),52.0)</f>
        <v>52</v>
      </c>
      <c r="L740" s="31" t="str">
        <f>IFERROR(__xludf.DUMMYFUNCTION("""COMPUTED_VALUE"""),"Sports")</f>
        <v>Sports</v>
      </c>
    </row>
    <row r="741">
      <c r="A741" s="278" t="str">
        <f>IFERROR(__xludf.DUMMYFUNCTION("""COMPUTED_VALUE"""),"FIFA 18")</f>
        <v>FIFA 18</v>
      </c>
      <c r="B741" s="20" t="str">
        <f>IFERROR(__xludf.DUMMYFUNCTION("""COMPUTED_VALUE"""),"Xbox / PC")</f>
        <v>Xbox / PC</v>
      </c>
      <c r="C741" s="21"/>
      <c r="D741" s="21" t="str">
        <f>IFERROR(__xludf.DUMMYFUNCTION("""COMPUTED_VALUE"""),"Removed")</f>
        <v>Removed</v>
      </c>
      <c r="E741" s="279">
        <f>IFERROR(__xludf.DUMMYFUNCTION("""COMPUTED_VALUE"""),44145.0)</f>
        <v>44145</v>
      </c>
      <c r="F741" s="279">
        <f>IFERROR(__xludf.DUMMYFUNCTION("""COMPUTED_VALUE"""),44322.0)</f>
        <v>44322</v>
      </c>
      <c r="G741" s="27">
        <f>IFERROR(__xludf.DUMMYFUNCTION("""COMPUTED_VALUE"""),5.866666666666666)</f>
        <v>5.866666667</v>
      </c>
      <c r="H741" s="128">
        <f>IFERROR(__xludf.DUMMYFUNCTION("""COMPUTED_VALUE"""),43007.0)</f>
        <v>43007</v>
      </c>
      <c r="I741" s="27">
        <f>IFERROR(__xludf.DUMMYFUNCTION("""COMPUTED_VALUE"""),3.113888888888889)</f>
        <v>3.113888889</v>
      </c>
      <c r="J741" s="29">
        <f>IFERROR(__xludf.DUMMYFUNCTION("""COMPUTED_VALUE"""),83.0)</f>
        <v>83</v>
      </c>
      <c r="K741" s="29">
        <f>IFERROR(__xludf.DUMMYFUNCTION("""COMPUTED_VALUE"""),36.5)</f>
        <v>36.5</v>
      </c>
      <c r="L741" s="275" t="str">
        <f>IFERROR(__xludf.DUMMYFUNCTION("""COMPUTED_VALUE"""),"Sports")</f>
        <v>Sports</v>
      </c>
    </row>
    <row r="742">
      <c r="A742" s="278" t="str">
        <f>IFERROR(__xludf.DUMMYFUNCTION("""COMPUTED_VALUE"""),"NBA LIVE 15")</f>
        <v>NBA LIVE 15</v>
      </c>
      <c r="B742" s="20" t="str">
        <f>IFERROR(__xludf.DUMMYFUNCTION("""COMPUTED_VALUE"""),"Xbox")</f>
        <v>Xbox</v>
      </c>
      <c r="C742" s="21"/>
      <c r="D742" s="21" t="str">
        <f>IFERROR(__xludf.DUMMYFUNCTION("""COMPUTED_VALUE"""),"Removed")</f>
        <v>Removed</v>
      </c>
      <c r="E742" s="279">
        <f>IFERROR(__xludf.DUMMYFUNCTION("""COMPUTED_VALUE"""),44145.0)</f>
        <v>44145</v>
      </c>
      <c r="F742" s="279">
        <f>IFERROR(__xludf.DUMMYFUNCTION("""COMPUTED_VALUE"""),44322.0)</f>
        <v>44322</v>
      </c>
      <c r="G742" s="27">
        <f>IFERROR(__xludf.DUMMYFUNCTION("""COMPUTED_VALUE"""),5.866666666666666)</f>
        <v>5.866666667</v>
      </c>
      <c r="H742" s="128">
        <f>IFERROR(__xludf.DUMMYFUNCTION("""COMPUTED_VALUE"""),41940.0)</f>
        <v>41940</v>
      </c>
      <c r="I742" s="27">
        <f>IFERROR(__xludf.DUMMYFUNCTION("""COMPUTED_VALUE"""),6.033333333333333)</f>
        <v>6.033333333</v>
      </c>
      <c r="J742" s="29">
        <f>IFERROR(__xludf.DUMMYFUNCTION("""COMPUTED_VALUE"""),53.0)</f>
        <v>53</v>
      </c>
      <c r="K742" s="29">
        <f>IFERROR(__xludf.DUMMYFUNCTION("""COMPUTED_VALUE"""),39.0)</f>
        <v>39</v>
      </c>
      <c r="L742" s="275" t="str">
        <f>IFERROR(__xludf.DUMMYFUNCTION("""COMPUTED_VALUE"""),"Sports")</f>
        <v>Sports</v>
      </c>
    </row>
    <row r="743">
      <c r="A743" s="278" t="str">
        <f>IFERROR(__xludf.DUMMYFUNCTION("""COMPUTED_VALUE"""),"NBA LIVE 18: The One Edition")</f>
        <v>NBA LIVE 18: The One Edition</v>
      </c>
      <c r="B743" s="20" t="str">
        <f>IFERROR(__xludf.DUMMYFUNCTION("""COMPUTED_VALUE"""),"Xbox")</f>
        <v>Xbox</v>
      </c>
      <c r="C743" s="21"/>
      <c r="D743" s="21" t="str">
        <f>IFERROR(__xludf.DUMMYFUNCTION("""COMPUTED_VALUE"""),"Removed")</f>
        <v>Removed</v>
      </c>
      <c r="E743" s="279">
        <f>IFERROR(__xludf.DUMMYFUNCTION("""COMPUTED_VALUE"""),44145.0)</f>
        <v>44145</v>
      </c>
      <c r="F743" s="279">
        <f>IFERROR(__xludf.DUMMYFUNCTION("""COMPUTED_VALUE"""),44322.0)</f>
        <v>44322</v>
      </c>
      <c r="G743" s="27">
        <f>IFERROR(__xludf.DUMMYFUNCTION("""COMPUTED_VALUE"""),5.866666666666666)</f>
        <v>5.866666667</v>
      </c>
      <c r="H743" s="128">
        <f>IFERROR(__xludf.DUMMYFUNCTION("""COMPUTED_VALUE"""),42993.0)</f>
        <v>42993</v>
      </c>
      <c r="I743" s="27">
        <f>IFERROR(__xludf.DUMMYFUNCTION("""COMPUTED_VALUE"""),3.1527777777777777)</f>
        <v>3.152777778</v>
      </c>
      <c r="J743" s="29">
        <f>IFERROR(__xludf.DUMMYFUNCTION("""COMPUTED_VALUE"""),72.0)</f>
        <v>72</v>
      </c>
      <c r="K743" s="29">
        <f>IFERROR(__xludf.DUMMYFUNCTION("""COMPUTED_VALUE"""),158.0)</f>
        <v>158</v>
      </c>
      <c r="L743" s="275" t="str">
        <f>IFERROR(__xludf.DUMMYFUNCTION("""COMPUTED_VALUE"""),"Sports")</f>
        <v>Sports</v>
      </c>
    </row>
    <row r="744">
      <c r="A744" s="278" t="str">
        <f>IFERROR(__xludf.DUMMYFUNCTION("""COMPUTED_VALUE"""),"Fractured Minds")</f>
        <v>Fractured Minds</v>
      </c>
      <c r="B744" s="20" t="str">
        <f>IFERROR(__xludf.DUMMYFUNCTION("""COMPUTED_VALUE"""),"Xbox")</f>
        <v>Xbox</v>
      </c>
      <c r="C744" s="21" t="str">
        <f>IFERROR(__xludf.DUMMYFUNCTION("""COMPUTED_VALUE"""),"Yes")</f>
        <v>Yes</v>
      </c>
      <c r="D744" s="21" t="str">
        <f>IFERROR(__xludf.DUMMYFUNCTION("""COMPUTED_VALUE"""),"Removed")</f>
        <v>Removed</v>
      </c>
      <c r="E744" s="23">
        <f>IFERROR(__xludf.DUMMYFUNCTION("""COMPUTED_VALUE"""),43970.0)</f>
        <v>43970</v>
      </c>
      <c r="F744" s="279">
        <f>IFERROR(__xludf.DUMMYFUNCTION("""COMPUTED_VALUE"""),44316.0)</f>
        <v>44316</v>
      </c>
      <c r="G744" s="27">
        <f>IFERROR(__xludf.DUMMYFUNCTION("""COMPUTED_VALUE"""),11.366666666666667)</f>
        <v>11.36666667</v>
      </c>
      <c r="H744" s="128">
        <f>IFERROR(__xludf.DUMMYFUNCTION("""COMPUTED_VALUE"""),43783.0)</f>
        <v>43783</v>
      </c>
      <c r="I744" s="27">
        <f>IFERROR(__xludf.DUMMYFUNCTION("""COMPUTED_VALUE"""),0.5138888888888888)</f>
        <v>0.5138888889</v>
      </c>
      <c r="J744" s="29">
        <f>IFERROR(__xludf.DUMMYFUNCTION("""COMPUTED_VALUE"""),86.0)</f>
        <v>86</v>
      </c>
      <c r="K744" s="29">
        <f>IFERROR(__xludf.DUMMYFUNCTION("""COMPUTED_VALUE"""),0.5)</f>
        <v>0.5</v>
      </c>
      <c r="L744" s="275" t="str">
        <f>IFERROR(__xludf.DUMMYFUNCTION("""COMPUTED_VALUE"""),"Adventure")</f>
        <v>Adventure</v>
      </c>
    </row>
    <row r="745">
      <c r="A745" s="278" t="str">
        <f>IFERROR(__xludf.DUMMYFUNCTION("""COMPUTED_VALUE"""),"Endless Legend")</f>
        <v>Endless Legend</v>
      </c>
      <c r="B745" s="20" t="str">
        <f>IFERROR(__xludf.DUMMYFUNCTION("""COMPUTED_VALUE"""),"PC")</f>
        <v>PC</v>
      </c>
      <c r="C745" s="21"/>
      <c r="D745" s="21" t="str">
        <f>IFERROR(__xludf.DUMMYFUNCTION("""COMPUTED_VALUE"""),"Removed")</f>
        <v>Removed</v>
      </c>
      <c r="E745" s="279">
        <f>IFERROR(__xludf.DUMMYFUNCTION("""COMPUTED_VALUE"""),43965.0)</f>
        <v>43965</v>
      </c>
      <c r="F745" s="279">
        <f>IFERROR(__xludf.DUMMYFUNCTION("""COMPUTED_VALUE"""),44316.0)</f>
        <v>44316</v>
      </c>
      <c r="G745" s="27">
        <f>IFERROR(__xludf.DUMMYFUNCTION("""COMPUTED_VALUE"""),11.533333333333333)</f>
        <v>11.53333333</v>
      </c>
      <c r="H745" s="128">
        <f>IFERROR(__xludf.DUMMYFUNCTION("""COMPUTED_VALUE"""),41900.0)</f>
        <v>41900</v>
      </c>
      <c r="I745" s="27">
        <f>IFERROR(__xludf.DUMMYFUNCTION("""COMPUTED_VALUE"""),5.655555555555556)</f>
        <v>5.655555556</v>
      </c>
      <c r="J745" s="29">
        <f>IFERROR(__xludf.DUMMYFUNCTION("""COMPUTED_VALUE"""),82.0)</f>
        <v>82</v>
      </c>
      <c r="K745" s="29">
        <f>IFERROR(__xludf.DUMMYFUNCTION("""COMPUTED_VALUE"""),14.0)</f>
        <v>14</v>
      </c>
      <c r="L745" s="275" t="str">
        <f>IFERROR(__xludf.DUMMYFUNCTION("""COMPUTED_VALUE"""),"Strategy")</f>
        <v>Strategy</v>
      </c>
    </row>
    <row r="746">
      <c r="A746" s="278" t="str">
        <f>IFERROR(__xludf.DUMMYFUNCTION("""COMPUTED_VALUE"""),"Levelhead")</f>
        <v>Levelhead</v>
      </c>
      <c r="B746" s="20" t="str">
        <f>IFERROR(__xludf.DUMMYFUNCTION("""COMPUTED_VALUE"""),"Xbox / PC")</f>
        <v>Xbox / PC</v>
      </c>
      <c r="C746" s="21" t="str">
        <f>IFERROR(__xludf.DUMMYFUNCTION("""COMPUTED_VALUE"""),"Yes")</f>
        <v>Yes</v>
      </c>
      <c r="D746" s="21" t="str">
        <f>IFERROR(__xludf.DUMMYFUNCTION("""COMPUTED_VALUE"""),"Removed")</f>
        <v>Removed</v>
      </c>
      <c r="E746" s="279">
        <f>IFERROR(__xludf.DUMMYFUNCTION("""COMPUTED_VALUE"""),43951.0)</f>
        <v>43951</v>
      </c>
      <c r="F746" s="279">
        <f>IFERROR(__xludf.DUMMYFUNCTION("""COMPUTED_VALUE"""),44316.0)</f>
        <v>44316</v>
      </c>
      <c r="G746" s="27">
        <f>IFERROR(__xludf.DUMMYFUNCTION("""COMPUTED_VALUE"""),12.0)</f>
        <v>12</v>
      </c>
      <c r="H746" s="128">
        <f>IFERROR(__xludf.DUMMYFUNCTION("""COMPUTED_VALUE"""),43573.0)</f>
        <v>43573</v>
      </c>
      <c r="I746" s="27">
        <f>IFERROR(__xludf.DUMMYFUNCTION("""COMPUTED_VALUE"""),1.0333333333333334)</f>
        <v>1.033333333</v>
      </c>
      <c r="J746" s="29">
        <f>IFERROR(__xludf.DUMMYFUNCTION("""COMPUTED_VALUE"""),82.0)</f>
        <v>82</v>
      </c>
      <c r="K746" s="29">
        <f>IFERROR(__xludf.DUMMYFUNCTION("""COMPUTED_VALUE"""),66.0)</f>
        <v>66</v>
      </c>
      <c r="L746" s="275" t="str">
        <f>IFERROR(__xludf.DUMMYFUNCTION("""COMPUTED_VALUE"""),"Platformer")</f>
        <v>Platformer</v>
      </c>
    </row>
    <row r="747">
      <c r="A747" s="17" t="str">
        <f>IFERROR(__xludf.DUMMYFUNCTION("""COMPUTED_VALUE"""),"Moving Out")</f>
        <v>Moving Out</v>
      </c>
      <c r="B747" s="20" t="str">
        <f>IFERROR(__xludf.DUMMYFUNCTION("""COMPUTED_VALUE"""),"Xbox / PC")</f>
        <v>Xbox / PC</v>
      </c>
      <c r="C747" s="21" t="str">
        <f>IFERROR(__xludf.DUMMYFUNCTION("""COMPUTED_VALUE"""),"Yes")</f>
        <v>Yes</v>
      </c>
      <c r="D747" s="21" t="str">
        <f>IFERROR(__xludf.DUMMYFUNCTION("""COMPUTED_VALUE"""),"Removed")</f>
        <v>Removed</v>
      </c>
      <c r="E747" s="279">
        <f>IFERROR(__xludf.DUMMYFUNCTION("""COMPUTED_VALUE"""),43949.0)</f>
        <v>43949</v>
      </c>
      <c r="F747" s="279">
        <f>IFERROR(__xludf.DUMMYFUNCTION("""COMPUTED_VALUE"""),44316.0)</f>
        <v>44316</v>
      </c>
      <c r="G747" s="27">
        <f>IFERROR(__xludf.DUMMYFUNCTION("""COMPUTED_VALUE"""),12.066666666666666)</f>
        <v>12.06666667</v>
      </c>
      <c r="H747" s="128">
        <f>IFERROR(__xludf.DUMMYFUNCTION("""COMPUTED_VALUE"""),43941.0)</f>
        <v>43941</v>
      </c>
      <c r="I747" s="27">
        <f>IFERROR(__xludf.DUMMYFUNCTION("""COMPUTED_VALUE"""),0.022222222222222223)</f>
        <v>0.02222222222</v>
      </c>
      <c r="J747" s="29">
        <f>IFERROR(__xludf.DUMMYFUNCTION("""COMPUTED_VALUE"""),78.0)</f>
        <v>78</v>
      </c>
      <c r="K747" s="29">
        <f>IFERROR(__xludf.DUMMYFUNCTION("""COMPUTED_VALUE"""),4.0)</f>
        <v>4</v>
      </c>
      <c r="L747" s="275" t="str">
        <f>IFERROR(__xludf.DUMMYFUNCTION("""COMPUTED_VALUE"""),"Action")</f>
        <v>Action</v>
      </c>
    </row>
    <row r="748">
      <c r="A748" s="278" t="str">
        <f>IFERROR(__xludf.DUMMYFUNCTION("""COMPUTED_VALUE"""),"Thumper")</f>
        <v>Thumper</v>
      </c>
      <c r="B748" s="20" t="str">
        <f>IFERROR(__xludf.DUMMYFUNCTION("""COMPUTED_VALUE"""),"PC")</f>
        <v>PC</v>
      </c>
      <c r="C748" s="21"/>
      <c r="D748" s="21" t="str">
        <f>IFERROR(__xludf.DUMMYFUNCTION("""COMPUTED_VALUE"""),"Removed")</f>
        <v>Removed</v>
      </c>
      <c r="E748" s="279">
        <f>IFERROR(__xludf.DUMMYFUNCTION("""COMPUTED_VALUE"""),43625.0)</f>
        <v>43625</v>
      </c>
      <c r="F748" s="279">
        <f>IFERROR(__xludf.DUMMYFUNCTION("""COMPUTED_VALUE"""),44316.0)</f>
        <v>44316</v>
      </c>
      <c r="G748" s="27">
        <f>IFERROR(__xludf.DUMMYFUNCTION("""COMPUTED_VALUE"""),22.7)</f>
        <v>22.7</v>
      </c>
      <c r="H748" s="128">
        <f>IFERROR(__xludf.DUMMYFUNCTION("""COMPUTED_VALUE"""),42653.0)</f>
        <v>42653</v>
      </c>
      <c r="I748" s="27">
        <f>IFERROR(__xludf.DUMMYFUNCTION("""COMPUTED_VALUE"""),2.6638888888888888)</f>
        <v>2.663888889</v>
      </c>
      <c r="J748" s="29">
        <f>IFERROR(__xludf.DUMMYFUNCTION("""COMPUTED_VALUE"""),86.0)</f>
        <v>86</v>
      </c>
      <c r="K748" s="29">
        <f>IFERROR(__xludf.DUMMYFUNCTION("""COMPUTED_VALUE"""),7.5)</f>
        <v>7.5</v>
      </c>
      <c r="L748" s="275" t="str">
        <f>IFERROR(__xludf.DUMMYFUNCTION("""COMPUTED_VALUE"""),"Music/Rhythm")</f>
        <v>Music/Rhythm</v>
      </c>
    </row>
    <row r="749">
      <c r="A749" s="278" t="str">
        <f>IFERROR(__xludf.DUMMYFUNCTION("""COMPUTED_VALUE"""),"For The King")</f>
        <v>For The King</v>
      </c>
      <c r="B749" s="20" t="str">
        <f>IFERROR(__xludf.DUMMYFUNCTION("""COMPUTED_VALUE"""),"Xbox / PC")</f>
        <v>Xbox / PC</v>
      </c>
      <c r="C749" s="21" t="str">
        <f>IFERROR(__xludf.DUMMYFUNCTION("""COMPUTED_VALUE"""),"Yes")</f>
        <v>Yes</v>
      </c>
      <c r="D749" s="21" t="str">
        <f>IFERROR(__xludf.DUMMYFUNCTION("""COMPUTED_VALUE"""),"Removed")</f>
        <v>Removed</v>
      </c>
      <c r="E749" s="279">
        <f>IFERROR(__xludf.DUMMYFUNCTION("""COMPUTED_VALUE"""),43595.0)</f>
        <v>43595</v>
      </c>
      <c r="F749" s="279">
        <f>IFERROR(__xludf.DUMMYFUNCTION("""COMPUTED_VALUE"""),44316.0)</f>
        <v>44316</v>
      </c>
      <c r="G749" s="27">
        <f>IFERROR(__xludf.DUMMYFUNCTION("""COMPUTED_VALUE"""),23.666666666666668)</f>
        <v>23.66666667</v>
      </c>
      <c r="H749" s="128">
        <f>IFERROR(__xludf.DUMMYFUNCTION("""COMPUTED_VALUE"""),43158.0)</f>
        <v>43158</v>
      </c>
      <c r="I749" s="27">
        <f>IFERROR(__xludf.DUMMYFUNCTION("""COMPUTED_VALUE"""),1.2027777777777777)</f>
        <v>1.202777778</v>
      </c>
      <c r="J749" s="29">
        <f>IFERROR(__xludf.DUMMYFUNCTION("""COMPUTED_VALUE"""),87.0)</f>
        <v>87</v>
      </c>
      <c r="K749" s="29">
        <f>IFERROR(__xludf.DUMMYFUNCTION("""COMPUTED_VALUE"""),10.0)</f>
        <v>10</v>
      </c>
      <c r="L749" s="275" t="str">
        <f>IFERROR(__xludf.DUMMYFUNCTION("""COMPUTED_VALUE"""),"RPG")</f>
        <v>RPG</v>
      </c>
    </row>
    <row r="750">
      <c r="A750" s="278" t="str">
        <f>IFERROR(__xludf.DUMMYFUNCTION("""COMPUTED_VALUE"""),"Bomber Crew")</f>
        <v>Bomber Crew</v>
      </c>
      <c r="B750" s="20" t="str">
        <f>IFERROR(__xludf.DUMMYFUNCTION("""COMPUTED_VALUE"""),"Xbox / PC")</f>
        <v>Xbox / PC</v>
      </c>
      <c r="C750" s="21"/>
      <c r="D750" s="21" t="str">
        <f>IFERROR(__xludf.DUMMYFUNCTION("""COMPUTED_VALUE"""),"Removed")</f>
        <v>Removed</v>
      </c>
      <c r="E750" s="279">
        <f>IFERROR(__xludf.DUMMYFUNCTION("""COMPUTED_VALUE"""),43291.0)</f>
        <v>43291</v>
      </c>
      <c r="F750" s="279">
        <f>IFERROR(__xludf.DUMMYFUNCTION("""COMPUTED_VALUE"""),44316.0)</f>
        <v>44316</v>
      </c>
      <c r="G750" s="27">
        <f>IFERROR(__xludf.DUMMYFUNCTION("""COMPUTED_VALUE"""),33.666666666666664)</f>
        <v>33.66666667</v>
      </c>
      <c r="H750" s="128">
        <f>IFERROR(__xludf.DUMMYFUNCTION("""COMPUTED_VALUE"""),43027.0)</f>
        <v>43027</v>
      </c>
      <c r="I750" s="27">
        <f>IFERROR(__xludf.DUMMYFUNCTION("""COMPUTED_VALUE"""),0.725)</f>
        <v>0.725</v>
      </c>
      <c r="J750" s="29">
        <f>IFERROR(__xludf.DUMMYFUNCTION("""COMPUTED_VALUE"""),75.0)</f>
        <v>75</v>
      </c>
      <c r="K750" s="29">
        <f>IFERROR(__xludf.DUMMYFUNCTION("""COMPUTED_VALUE"""),17.0)</f>
        <v>17</v>
      </c>
      <c r="L750" s="275" t="str">
        <f>IFERROR(__xludf.DUMMYFUNCTION("""COMPUTED_VALUE"""),"Strategy")</f>
        <v>Strategy</v>
      </c>
    </row>
    <row r="751">
      <c r="A751" s="278" t="str">
        <f>IFERROR(__xludf.DUMMYFUNCTION("""COMPUTED_VALUE"""),"Madden NFL 15")</f>
        <v>Madden NFL 15</v>
      </c>
      <c r="B751" s="20" t="str">
        <f>IFERROR(__xludf.DUMMYFUNCTION("""COMPUTED_VALUE"""),"Xbox")</f>
        <v>Xbox</v>
      </c>
      <c r="C751" s="21"/>
      <c r="D751" s="21" t="str">
        <f>IFERROR(__xludf.DUMMYFUNCTION("""COMPUTED_VALUE"""),"Removed")</f>
        <v>Removed</v>
      </c>
      <c r="E751" s="279">
        <f>IFERROR(__xludf.DUMMYFUNCTION("""COMPUTED_VALUE"""),44145.0)</f>
        <v>44145</v>
      </c>
      <c r="F751" s="279">
        <f>IFERROR(__xludf.DUMMYFUNCTION("""COMPUTED_VALUE"""),44302.0)</f>
        <v>44302</v>
      </c>
      <c r="G751" s="27">
        <f>IFERROR(__xludf.DUMMYFUNCTION("""COMPUTED_VALUE"""),5.2)</f>
        <v>5.2</v>
      </c>
      <c r="H751" s="128">
        <f>IFERROR(__xludf.DUMMYFUNCTION("""COMPUTED_VALUE"""),41877.0)</f>
        <v>41877</v>
      </c>
      <c r="I751" s="27">
        <f>IFERROR(__xludf.DUMMYFUNCTION("""COMPUTED_VALUE"""),6.205555555555556)</f>
        <v>6.205555556</v>
      </c>
      <c r="J751" s="277">
        <f>IFERROR(__xludf.DUMMYFUNCTION("""COMPUTED_VALUE"""),80.0)</f>
        <v>80</v>
      </c>
      <c r="K751" s="29">
        <f>IFERROR(__xludf.DUMMYFUNCTION("""COMPUTED_VALUE"""),41.0)</f>
        <v>41</v>
      </c>
      <c r="L751" s="275" t="str">
        <f>IFERROR(__xludf.DUMMYFUNCTION("""COMPUTED_VALUE"""),"Sports")</f>
        <v>Sports</v>
      </c>
    </row>
    <row r="752">
      <c r="A752" s="278" t="str">
        <f>IFERROR(__xludf.DUMMYFUNCTION("""COMPUTED_VALUE"""),"Madden NFL 16")</f>
        <v>Madden NFL 16</v>
      </c>
      <c r="B752" s="20" t="str">
        <f>IFERROR(__xludf.DUMMYFUNCTION("""COMPUTED_VALUE"""),"Xbox")</f>
        <v>Xbox</v>
      </c>
      <c r="C752" s="21"/>
      <c r="D752" s="21" t="str">
        <f>IFERROR(__xludf.DUMMYFUNCTION("""COMPUTED_VALUE"""),"Removed")</f>
        <v>Removed</v>
      </c>
      <c r="E752" s="279">
        <f>IFERROR(__xludf.DUMMYFUNCTION("""COMPUTED_VALUE"""),44145.0)</f>
        <v>44145</v>
      </c>
      <c r="F752" s="279">
        <f>IFERROR(__xludf.DUMMYFUNCTION("""COMPUTED_VALUE"""),44302.0)</f>
        <v>44302</v>
      </c>
      <c r="G752" s="27">
        <f>IFERROR(__xludf.DUMMYFUNCTION("""COMPUTED_VALUE"""),5.2)</f>
        <v>5.2</v>
      </c>
      <c r="H752" s="128">
        <f>IFERROR(__xludf.DUMMYFUNCTION("""COMPUTED_VALUE"""),42241.0)</f>
        <v>42241</v>
      </c>
      <c r="I752" s="27">
        <f>IFERROR(__xludf.DUMMYFUNCTION("""COMPUTED_VALUE"""),5.208333333333333)</f>
        <v>5.208333333</v>
      </c>
      <c r="J752" s="29">
        <f>IFERROR(__xludf.DUMMYFUNCTION("""COMPUTED_VALUE"""),84.0)</f>
        <v>84</v>
      </c>
      <c r="K752" s="29">
        <f>IFERROR(__xludf.DUMMYFUNCTION("""COMPUTED_VALUE"""),43.0)</f>
        <v>43</v>
      </c>
      <c r="L752" s="275" t="str">
        <f>IFERROR(__xludf.DUMMYFUNCTION("""COMPUTED_VALUE"""),"Sports")</f>
        <v>Sports</v>
      </c>
    </row>
    <row r="753">
      <c r="A753" s="278" t="str">
        <f>IFERROR(__xludf.DUMMYFUNCTION("""COMPUTED_VALUE"""),"Madden NFL 17")</f>
        <v>Madden NFL 17</v>
      </c>
      <c r="B753" s="20" t="str">
        <f>IFERROR(__xludf.DUMMYFUNCTION("""COMPUTED_VALUE"""),"Xbox")</f>
        <v>Xbox</v>
      </c>
      <c r="C753" s="21"/>
      <c r="D753" s="21" t="str">
        <f>IFERROR(__xludf.DUMMYFUNCTION("""COMPUTED_VALUE"""),"Removed")</f>
        <v>Removed</v>
      </c>
      <c r="E753" s="279">
        <f>IFERROR(__xludf.DUMMYFUNCTION("""COMPUTED_VALUE"""),44145.0)</f>
        <v>44145</v>
      </c>
      <c r="F753" s="279">
        <f>IFERROR(__xludf.DUMMYFUNCTION("""COMPUTED_VALUE"""),44302.0)</f>
        <v>44302</v>
      </c>
      <c r="G753" s="27">
        <f>IFERROR(__xludf.DUMMYFUNCTION("""COMPUTED_VALUE"""),5.2)</f>
        <v>5.2</v>
      </c>
      <c r="H753" s="128">
        <f>IFERROR(__xludf.DUMMYFUNCTION("""COMPUTED_VALUE"""),42605.0)</f>
        <v>42605</v>
      </c>
      <c r="I753" s="27">
        <f>IFERROR(__xludf.DUMMYFUNCTION("""COMPUTED_VALUE"""),4.213888888888889)</f>
        <v>4.213888889</v>
      </c>
      <c r="J753" s="29">
        <f>IFERROR(__xludf.DUMMYFUNCTION("""COMPUTED_VALUE"""),83.0)</f>
        <v>83</v>
      </c>
      <c r="K753" s="29">
        <f>IFERROR(__xludf.DUMMYFUNCTION("""COMPUTED_VALUE"""),40.5)</f>
        <v>40.5</v>
      </c>
      <c r="L753" s="275" t="str">
        <f>IFERROR(__xludf.DUMMYFUNCTION("""COMPUTED_VALUE"""),"Sports")</f>
        <v>Sports</v>
      </c>
    </row>
    <row r="754">
      <c r="A754" s="278" t="str">
        <f>IFERROR(__xludf.DUMMYFUNCTION("""COMPUTED_VALUE"""),"Madden NFL 18")</f>
        <v>Madden NFL 18</v>
      </c>
      <c r="B754" s="20" t="str">
        <f>IFERROR(__xludf.DUMMYFUNCTION("""COMPUTED_VALUE"""),"Xbox")</f>
        <v>Xbox</v>
      </c>
      <c r="C754" s="21"/>
      <c r="D754" s="21" t="str">
        <f>IFERROR(__xludf.DUMMYFUNCTION("""COMPUTED_VALUE"""),"Removed")</f>
        <v>Removed</v>
      </c>
      <c r="E754" s="279">
        <f>IFERROR(__xludf.DUMMYFUNCTION("""COMPUTED_VALUE"""),44145.0)</f>
        <v>44145</v>
      </c>
      <c r="F754" s="279">
        <f>IFERROR(__xludf.DUMMYFUNCTION("""COMPUTED_VALUE"""),44302.0)</f>
        <v>44302</v>
      </c>
      <c r="G754" s="27">
        <f>IFERROR(__xludf.DUMMYFUNCTION("""COMPUTED_VALUE"""),5.2)</f>
        <v>5.2</v>
      </c>
      <c r="H754" s="128">
        <f>IFERROR(__xludf.DUMMYFUNCTION("""COMPUTED_VALUE"""),42972.0)</f>
        <v>42972</v>
      </c>
      <c r="I754" s="27">
        <f>IFERROR(__xludf.DUMMYFUNCTION("""COMPUTED_VALUE"""),3.2083333333333335)</f>
        <v>3.208333333</v>
      </c>
      <c r="J754" s="29">
        <f>IFERROR(__xludf.DUMMYFUNCTION("""COMPUTED_VALUE"""),82.0)</f>
        <v>82</v>
      </c>
      <c r="K754" s="29">
        <f>IFERROR(__xludf.DUMMYFUNCTION("""COMPUTED_VALUE"""),15.5)</f>
        <v>15.5</v>
      </c>
      <c r="L754" s="275" t="str">
        <f>IFERROR(__xludf.DUMMYFUNCTION("""COMPUTED_VALUE"""),"Sports")</f>
        <v>Sports</v>
      </c>
    </row>
    <row r="755">
      <c r="A755" s="278" t="str">
        <f>IFERROR(__xludf.DUMMYFUNCTION("""COMPUTED_VALUE"""),"Madden NFL 25")</f>
        <v>Madden NFL 25</v>
      </c>
      <c r="B755" s="20" t="str">
        <f>IFERROR(__xludf.DUMMYFUNCTION("""COMPUTED_VALUE"""),"Xbox")</f>
        <v>Xbox</v>
      </c>
      <c r="C755" s="21"/>
      <c r="D755" s="21" t="str">
        <f>IFERROR(__xludf.DUMMYFUNCTION("""COMPUTED_VALUE"""),"Removed")</f>
        <v>Removed</v>
      </c>
      <c r="E755" s="279">
        <f>IFERROR(__xludf.DUMMYFUNCTION("""COMPUTED_VALUE"""),44145.0)</f>
        <v>44145</v>
      </c>
      <c r="F755" s="279">
        <f>IFERROR(__xludf.DUMMYFUNCTION("""COMPUTED_VALUE"""),44302.0)</f>
        <v>44302</v>
      </c>
      <c r="G755" s="27">
        <f>IFERROR(__xludf.DUMMYFUNCTION("""COMPUTED_VALUE"""),5.2)</f>
        <v>5.2</v>
      </c>
      <c r="H755" s="128">
        <f>IFERROR(__xludf.DUMMYFUNCTION("""COMPUTED_VALUE"""),41513.0)</f>
        <v>41513</v>
      </c>
      <c r="I755" s="27">
        <f>IFERROR(__xludf.DUMMYFUNCTION("""COMPUTED_VALUE"""),7.2027777777777775)</f>
        <v>7.202777778</v>
      </c>
      <c r="J755" s="29">
        <f>IFERROR(__xludf.DUMMYFUNCTION("""COMPUTED_VALUE"""),73.0)</f>
        <v>73</v>
      </c>
      <c r="K755" s="29">
        <f>IFERROR(__xludf.DUMMYFUNCTION("""COMPUTED_VALUE"""),45.0)</f>
        <v>45</v>
      </c>
      <c r="L755" s="275" t="str">
        <f>IFERROR(__xludf.DUMMYFUNCTION("""COMPUTED_VALUE"""),"Sports")</f>
        <v>Sports</v>
      </c>
    </row>
    <row r="756">
      <c r="A756" s="278" t="str">
        <f>IFERROR(__xludf.DUMMYFUNCTION("""COMPUTED_VALUE"""),"NHL 18")</f>
        <v>NHL 18</v>
      </c>
      <c r="B756" s="20" t="str">
        <f>IFERROR(__xludf.DUMMYFUNCTION("""COMPUTED_VALUE"""),"Xbox")</f>
        <v>Xbox</v>
      </c>
      <c r="C756" s="21"/>
      <c r="D756" s="21" t="str">
        <f>IFERROR(__xludf.DUMMYFUNCTION("""COMPUTED_VALUE"""),"Removed")</f>
        <v>Removed</v>
      </c>
      <c r="E756" s="279">
        <f>IFERROR(__xludf.DUMMYFUNCTION("""COMPUTED_VALUE"""),44145.0)</f>
        <v>44145</v>
      </c>
      <c r="F756" s="279">
        <f>IFERROR(__xludf.DUMMYFUNCTION("""COMPUTED_VALUE"""),44302.0)</f>
        <v>44302</v>
      </c>
      <c r="G756" s="27">
        <f>IFERROR(__xludf.DUMMYFUNCTION("""COMPUTED_VALUE"""),5.2)</f>
        <v>5.2</v>
      </c>
      <c r="H756" s="128">
        <f>IFERROR(__xludf.DUMMYFUNCTION("""COMPUTED_VALUE"""),42993.0)</f>
        <v>42993</v>
      </c>
      <c r="I756" s="27">
        <f>IFERROR(__xludf.DUMMYFUNCTION("""COMPUTED_VALUE"""),3.1527777777777777)</f>
        <v>3.152777778</v>
      </c>
      <c r="J756" s="29">
        <f>IFERROR(__xludf.DUMMYFUNCTION("""COMPUTED_VALUE"""),77.0)</f>
        <v>77</v>
      </c>
      <c r="K756" s="29">
        <f>IFERROR(__xludf.DUMMYFUNCTION("""COMPUTED_VALUE"""),40.0)</f>
        <v>40</v>
      </c>
      <c r="L756" s="275" t="str">
        <f>IFERROR(__xludf.DUMMYFUNCTION("""COMPUTED_VALUE"""),"Sports")</f>
        <v>Sports</v>
      </c>
    </row>
    <row r="757">
      <c r="A757" s="278" t="str">
        <f>IFERROR(__xludf.DUMMYFUNCTION("""COMPUTED_VALUE"""),"NHL 19")</f>
        <v>NHL 19</v>
      </c>
      <c r="B757" s="20" t="str">
        <f>IFERROR(__xludf.DUMMYFUNCTION("""COMPUTED_VALUE"""),"Xbox")</f>
        <v>Xbox</v>
      </c>
      <c r="C757" s="21"/>
      <c r="D757" s="21" t="str">
        <f>IFERROR(__xludf.DUMMYFUNCTION("""COMPUTED_VALUE"""),"Removed")</f>
        <v>Removed</v>
      </c>
      <c r="E757" s="279">
        <f>IFERROR(__xludf.DUMMYFUNCTION("""COMPUTED_VALUE"""),44145.0)</f>
        <v>44145</v>
      </c>
      <c r="F757" s="279">
        <f>IFERROR(__xludf.DUMMYFUNCTION("""COMPUTED_VALUE"""),44302.0)</f>
        <v>44302</v>
      </c>
      <c r="G757" s="27">
        <f>IFERROR(__xludf.DUMMYFUNCTION("""COMPUTED_VALUE"""),5.2)</f>
        <v>5.2</v>
      </c>
      <c r="H757" s="128">
        <f>IFERROR(__xludf.DUMMYFUNCTION("""COMPUTED_VALUE"""),43357.0)</f>
        <v>43357</v>
      </c>
      <c r="I757" s="27">
        <f>IFERROR(__xludf.DUMMYFUNCTION("""COMPUTED_VALUE"""),2.1555555555555554)</f>
        <v>2.155555556</v>
      </c>
      <c r="J757" s="29">
        <f>IFERROR(__xludf.DUMMYFUNCTION("""COMPUTED_VALUE"""),82.0)</f>
        <v>82</v>
      </c>
      <c r="K757" s="29">
        <f>IFERROR(__xludf.DUMMYFUNCTION("""COMPUTED_VALUE"""),39.5)</f>
        <v>39.5</v>
      </c>
      <c r="L757" s="275" t="str">
        <f>IFERROR(__xludf.DUMMYFUNCTION("""COMPUTED_VALUE"""),"Sports")</f>
        <v>Sports</v>
      </c>
    </row>
    <row r="758">
      <c r="A758" s="278" t="str">
        <f>IFERROR(__xludf.DUMMYFUNCTION("""COMPUTED_VALUE"""),"Deliver Us the Moon")</f>
        <v>Deliver Us the Moon</v>
      </c>
      <c r="B758" s="20" t="str">
        <f>IFERROR(__xludf.DUMMYFUNCTION("""COMPUTED_VALUE"""),"Xbox / PC")</f>
        <v>Xbox / PC</v>
      </c>
      <c r="C758" s="21" t="str">
        <f>IFERROR(__xludf.DUMMYFUNCTION("""COMPUTED_VALUE"""),"Yes")</f>
        <v>Yes</v>
      </c>
      <c r="D758" s="21" t="str">
        <f>IFERROR(__xludf.DUMMYFUNCTION("""COMPUTED_VALUE"""),"Removed")</f>
        <v>Removed</v>
      </c>
      <c r="E758" s="279">
        <f>IFERROR(__xludf.DUMMYFUNCTION("""COMPUTED_VALUE"""),43944.0)</f>
        <v>43944</v>
      </c>
      <c r="F758" s="279">
        <f>IFERROR(__xludf.DUMMYFUNCTION("""COMPUTED_VALUE"""),44301.0)</f>
        <v>44301</v>
      </c>
      <c r="G758" s="27">
        <f>IFERROR(__xludf.DUMMYFUNCTION("""COMPUTED_VALUE"""),11.733333333333333)</f>
        <v>11.73333333</v>
      </c>
      <c r="H758" s="128">
        <f>IFERROR(__xludf.DUMMYFUNCTION("""COMPUTED_VALUE"""),43748.0)</f>
        <v>43748</v>
      </c>
      <c r="I758" s="27">
        <f>IFERROR(__xludf.DUMMYFUNCTION("""COMPUTED_VALUE"""),0.5361111111111111)</f>
        <v>0.5361111111</v>
      </c>
      <c r="J758" s="29">
        <f>IFERROR(__xludf.DUMMYFUNCTION("""COMPUTED_VALUE"""),75.0)</f>
        <v>75</v>
      </c>
      <c r="K758" s="29">
        <f>IFERROR(__xludf.DUMMYFUNCTION("""COMPUTED_VALUE"""),5.0)</f>
        <v>5</v>
      </c>
      <c r="L758" s="275" t="str">
        <f>IFERROR(__xludf.DUMMYFUNCTION("""COMPUTED_VALUE"""),"Action-Adventure")</f>
        <v>Action-Adventure</v>
      </c>
    </row>
    <row r="759">
      <c r="A759" s="278" t="str">
        <f>IFERROR(__xludf.DUMMYFUNCTION("""COMPUTED_VALUE"""),"Gato Roboto")</f>
        <v>Gato Roboto</v>
      </c>
      <c r="B759" s="20" t="str">
        <f>IFERROR(__xludf.DUMMYFUNCTION("""COMPUTED_VALUE"""),"Xbox / PC")</f>
        <v>Xbox / PC</v>
      </c>
      <c r="C759" s="21" t="str">
        <f>IFERROR(__xludf.DUMMYFUNCTION("""COMPUTED_VALUE"""),"Yes")</f>
        <v>Yes</v>
      </c>
      <c r="D759" s="21" t="str">
        <f>IFERROR(__xludf.DUMMYFUNCTION("""COMPUTED_VALUE"""),"Removed")</f>
        <v>Removed</v>
      </c>
      <c r="E759" s="279">
        <f>IFERROR(__xludf.DUMMYFUNCTION("""COMPUTED_VALUE"""),43942.0)</f>
        <v>43942</v>
      </c>
      <c r="F759" s="279">
        <f>IFERROR(__xludf.DUMMYFUNCTION("""COMPUTED_VALUE"""),44301.0)</f>
        <v>44301</v>
      </c>
      <c r="G759" s="27">
        <f>IFERROR(__xludf.DUMMYFUNCTION("""COMPUTED_VALUE"""),11.799999999999999)</f>
        <v>11.8</v>
      </c>
      <c r="H759" s="128">
        <f>IFERROR(__xludf.DUMMYFUNCTION("""COMPUTED_VALUE"""),43615.0)</f>
        <v>43615</v>
      </c>
      <c r="I759" s="27">
        <f>IFERROR(__xludf.DUMMYFUNCTION("""COMPUTED_VALUE"""),0.8916666666666667)</f>
        <v>0.8916666667</v>
      </c>
      <c r="J759" s="29">
        <f>IFERROR(__xludf.DUMMYFUNCTION("""COMPUTED_VALUE"""),79.0)</f>
        <v>79</v>
      </c>
      <c r="K759" s="29">
        <f>IFERROR(__xludf.DUMMYFUNCTION("""COMPUTED_VALUE"""),3.0)</f>
        <v>3</v>
      </c>
      <c r="L759" s="275" t="str">
        <f>IFERROR(__xludf.DUMMYFUNCTION("""COMPUTED_VALUE"""),"Platformer")</f>
        <v>Platformer</v>
      </c>
    </row>
    <row r="760">
      <c r="A760" s="278" t="str">
        <f>IFERROR(__xludf.DUMMYFUNCTION("""COMPUTED_VALUE"""),"Wargroove")</f>
        <v>Wargroove</v>
      </c>
      <c r="B760" s="20" t="str">
        <f>IFERROR(__xludf.DUMMYFUNCTION("""COMPUTED_VALUE"""),"Xbox / PC")</f>
        <v>Xbox / PC</v>
      </c>
      <c r="C760" s="21"/>
      <c r="D760" s="21" t="str">
        <f>IFERROR(__xludf.DUMMYFUNCTION("""COMPUTED_VALUE"""),"Removed")</f>
        <v>Removed</v>
      </c>
      <c r="E760" s="279">
        <f>IFERROR(__xludf.DUMMYFUNCTION("""COMPUTED_VALUE"""),43587.0)</f>
        <v>43587</v>
      </c>
      <c r="F760" s="279">
        <f>IFERROR(__xludf.DUMMYFUNCTION("""COMPUTED_VALUE"""),44301.0)</f>
        <v>44301</v>
      </c>
      <c r="G760" s="27">
        <f>IFERROR(__xludf.DUMMYFUNCTION("""COMPUTED_VALUE"""),23.433333333333334)</f>
        <v>23.43333333</v>
      </c>
      <c r="H760" s="128">
        <f>IFERROR(__xludf.DUMMYFUNCTION("""COMPUTED_VALUE"""),43497.0)</f>
        <v>43497</v>
      </c>
      <c r="I760" s="27">
        <f>IFERROR(__xludf.DUMMYFUNCTION("""COMPUTED_VALUE"""),0.25277777777777777)</f>
        <v>0.2527777778</v>
      </c>
      <c r="J760" s="29">
        <f>IFERROR(__xludf.DUMMYFUNCTION("""COMPUTED_VALUE"""),81.0)</f>
        <v>81</v>
      </c>
      <c r="K760" s="29">
        <f>IFERROR(__xludf.DUMMYFUNCTION("""COMPUTED_VALUE"""),20.5)</f>
        <v>20.5</v>
      </c>
      <c r="L760" s="275" t="str">
        <f>IFERROR(__xludf.DUMMYFUNCTION("""COMPUTED_VALUE"""),"Strategy")</f>
        <v>Strategy</v>
      </c>
    </row>
    <row r="761">
      <c r="A761" s="17" t="str">
        <f>IFERROR(__xludf.DUMMYFUNCTION("""COMPUTED_VALUE"""),"HyperDot")</f>
        <v>HyperDot</v>
      </c>
      <c r="B761" s="20" t="str">
        <f>IFERROR(__xludf.DUMMYFUNCTION("""COMPUTED_VALUE"""),"Xbox / PC")</f>
        <v>Xbox / PC</v>
      </c>
      <c r="C761" s="21" t="str">
        <f>IFERROR(__xludf.DUMMYFUNCTION("""COMPUTED_VALUE"""),"Yes")</f>
        <v>Yes</v>
      </c>
      <c r="D761" s="21" t="str">
        <f>IFERROR(__xludf.DUMMYFUNCTION("""COMPUTED_VALUE"""),"Removed")</f>
        <v>Removed</v>
      </c>
      <c r="E761" s="279">
        <f>IFERROR(__xludf.DUMMYFUNCTION("""COMPUTED_VALUE"""),43951.0)</f>
        <v>43951</v>
      </c>
      <c r="F761" s="279">
        <f>IFERROR(__xludf.DUMMYFUNCTION("""COMPUTED_VALUE"""),44286.0)</f>
        <v>44286</v>
      </c>
      <c r="G761" s="27">
        <f>IFERROR(__xludf.DUMMYFUNCTION("""COMPUTED_VALUE"""),11.0)</f>
        <v>11</v>
      </c>
      <c r="H761" s="128">
        <f>IFERROR(__xludf.DUMMYFUNCTION("""COMPUTED_VALUE"""),43861.0)</f>
        <v>43861</v>
      </c>
      <c r="I761" s="27">
        <f>IFERROR(__xludf.DUMMYFUNCTION("""COMPUTED_VALUE"""),0.25)</f>
        <v>0.25</v>
      </c>
      <c r="J761" s="29">
        <f>IFERROR(__xludf.DUMMYFUNCTION("""COMPUTED_VALUE"""),73.0)</f>
        <v>73</v>
      </c>
      <c r="K761" s="29">
        <f>IFERROR(__xludf.DUMMYFUNCTION("""COMPUTED_VALUE"""),2.0)</f>
        <v>2</v>
      </c>
      <c r="L761" s="31" t="str">
        <f>IFERROR(__xludf.DUMMYFUNCTION("""COMPUTED_VALUE"""),"Action")</f>
        <v>Action</v>
      </c>
    </row>
    <row r="762">
      <c r="A762" s="278" t="str">
        <f>IFERROR(__xludf.DUMMYFUNCTION("""COMPUTED_VALUE"""),"Machinarium")</f>
        <v>Machinarium</v>
      </c>
      <c r="B762" s="20" t="str">
        <f>IFERROR(__xludf.DUMMYFUNCTION("""COMPUTED_VALUE"""),"PC")</f>
        <v>PC</v>
      </c>
      <c r="C762" s="21"/>
      <c r="D762" s="21" t="str">
        <f>IFERROR(__xludf.DUMMYFUNCTION("""COMPUTED_VALUE"""),"Removed")</f>
        <v>Removed</v>
      </c>
      <c r="E762" s="279">
        <f>IFERROR(__xludf.DUMMYFUNCTION("""COMPUTED_VALUE"""),43938.0)</f>
        <v>43938</v>
      </c>
      <c r="F762" s="279">
        <f>IFERROR(__xludf.DUMMYFUNCTION("""COMPUTED_VALUE"""),44286.0)</f>
        <v>44286</v>
      </c>
      <c r="G762" s="27">
        <f>IFERROR(__xludf.DUMMYFUNCTION("""COMPUTED_VALUE"""),11.433333333333334)</f>
        <v>11.43333333</v>
      </c>
      <c r="H762" s="128">
        <f>IFERROR(__xludf.DUMMYFUNCTION("""COMPUTED_VALUE"""),40102.0)</f>
        <v>40102</v>
      </c>
      <c r="I762" s="27">
        <f>IFERROR(__xludf.DUMMYFUNCTION("""COMPUTED_VALUE"""),10.502777777777778)</f>
        <v>10.50277778</v>
      </c>
      <c r="J762" s="29">
        <f>IFERROR(__xludf.DUMMYFUNCTION("""COMPUTED_VALUE"""),85.0)</f>
        <v>85</v>
      </c>
      <c r="K762" s="29">
        <f>IFERROR(__xludf.DUMMYFUNCTION("""COMPUTED_VALUE"""),5.0)</f>
        <v>5</v>
      </c>
      <c r="L762" s="275" t="str">
        <f>IFERROR(__xludf.DUMMYFUNCTION("""COMPUTED_VALUE"""),"Adventure")</f>
        <v>Adventure</v>
      </c>
    </row>
    <row r="763">
      <c r="A763" s="278" t="str">
        <f>IFERROR(__xludf.DUMMYFUNCTION("""COMPUTED_VALUE"""),"Apotheon")</f>
        <v>Apotheon</v>
      </c>
      <c r="B763" s="20" t="str">
        <f>IFERROR(__xludf.DUMMYFUNCTION("""COMPUTED_VALUE"""),"PC")</f>
        <v>PC</v>
      </c>
      <c r="C763" s="21"/>
      <c r="D763" s="21" t="str">
        <f>IFERROR(__xludf.DUMMYFUNCTION("""COMPUTED_VALUE"""),"Removed")</f>
        <v>Removed</v>
      </c>
      <c r="E763" s="279">
        <f>IFERROR(__xludf.DUMMYFUNCTION("""COMPUTED_VALUE"""),44273.0)</f>
        <v>44273</v>
      </c>
      <c r="F763" s="279">
        <f>IFERROR(__xludf.DUMMYFUNCTION("""COMPUTED_VALUE"""),44284.0)</f>
        <v>44284</v>
      </c>
      <c r="G763" s="27">
        <f>IFERROR(__xludf.DUMMYFUNCTION("""COMPUTED_VALUE"""),0.36666666666666664)</f>
        <v>0.3666666667</v>
      </c>
      <c r="H763" s="128">
        <f>IFERROR(__xludf.DUMMYFUNCTION("""COMPUTED_VALUE"""),42038.0)</f>
        <v>42038</v>
      </c>
      <c r="I763" s="27">
        <f>IFERROR(__xludf.DUMMYFUNCTION("""COMPUTED_VALUE"""),6.125)</f>
        <v>6.125</v>
      </c>
      <c r="J763" s="29">
        <f>IFERROR(__xludf.DUMMYFUNCTION("""COMPUTED_VALUE"""),78.0)</f>
        <v>78</v>
      </c>
      <c r="K763" s="29">
        <f>IFERROR(__xludf.DUMMYFUNCTION("""COMPUTED_VALUE"""),8.0)</f>
        <v>8</v>
      </c>
      <c r="L763" s="275" t="str">
        <f>IFERROR(__xludf.DUMMYFUNCTION("""COMPUTED_VALUE"""),"Platformer")</f>
        <v>Platformer</v>
      </c>
    </row>
    <row r="764">
      <c r="A764" s="278" t="str">
        <f>IFERROR(__xludf.DUMMYFUNCTION("""COMPUTED_VALUE"""),"Mutant Year Zero: Road to Eden")</f>
        <v>Mutant Year Zero: Road to Eden</v>
      </c>
      <c r="B764" s="20" t="str">
        <f>IFERROR(__xludf.DUMMYFUNCTION("""COMPUTED_VALUE"""),"PC")</f>
        <v>PC</v>
      </c>
      <c r="C764" s="21"/>
      <c r="D764" s="21" t="str">
        <f>IFERROR(__xludf.DUMMYFUNCTION("""COMPUTED_VALUE"""),"Removed")</f>
        <v>Removed</v>
      </c>
      <c r="E764" s="279">
        <f>IFERROR(__xludf.DUMMYFUNCTION("""COMPUTED_VALUE"""),44273.0)</f>
        <v>44273</v>
      </c>
      <c r="F764" s="279">
        <f>IFERROR(__xludf.DUMMYFUNCTION("""COMPUTED_VALUE"""),44284.0)</f>
        <v>44284</v>
      </c>
      <c r="G764" s="27">
        <f>IFERROR(__xludf.DUMMYFUNCTION("""COMPUTED_VALUE"""),0.36666666666666664)</f>
        <v>0.3666666667</v>
      </c>
      <c r="H764" s="128">
        <f>IFERROR(__xludf.DUMMYFUNCTION("""COMPUTED_VALUE"""),43438.0)</f>
        <v>43438</v>
      </c>
      <c r="I764" s="27">
        <f>IFERROR(__xludf.DUMMYFUNCTION("""COMPUTED_VALUE"""),2.2888888888888888)</f>
        <v>2.288888889</v>
      </c>
      <c r="J764" s="29">
        <f>IFERROR(__xludf.DUMMYFUNCTION("""COMPUTED_VALUE"""),78.0)</f>
        <v>78</v>
      </c>
      <c r="K764" s="29">
        <f>IFERROR(__xludf.DUMMYFUNCTION("""COMPUTED_VALUE"""),13.0)</f>
        <v>13</v>
      </c>
      <c r="L764" s="275" t="str">
        <f>IFERROR(__xludf.DUMMYFUNCTION("""COMPUTED_VALUE"""),"Strategy")</f>
        <v>Strategy</v>
      </c>
    </row>
    <row r="765">
      <c r="A765" s="278" t="str">
        <f>IFERROR(__xludf.DUMMYFUNCTION("""COMPUTED_VALUE"""),"Shift Quantum")</f>
        <v>Shift Quantum</v>
      </c>
      <c r="B765" s="20" t="str">
        <f>IFERROR(__xludf.DUMMYFUNCTION("""COMPUTED_VALUE"""),"PC")</f>
        <v>PC</v>
      </c>
      <c r="C765" s="21"/>
      <c r="D765" s="21" t="str">
        <f>IFERROR(__xludf.DUMMYFUNCTION("""COMPUTED_VALUE"""),"Removed")</f>
        <v>Removed</v>
      </c>
      <c r="E765" s="279">
        <f>IFERROR(__xludf.DUMMYFUNCTION("""COMPUTED_VALUE"""),44273.0)</f>
        <v>44273</v>
      </c>
      <c r="F765" s="279">
        <f>IFERROR(__xludf.DUMMYFUNCTION("""COMPUTED_VALUE"""),44284.0)</f>
        <v>44284</v>
      </c>
      <c r="G765" s="27">
        <f>IFERROR(__xludf.DUMMYFUNCTION("""COMPUTED_VALUE"""),0.36666666666666664)</f>
        <v>0.3666666667</v>
      </c>
      <c r="H765" s="128">
        <f>IFERROR(__xludf.DUMMYFUNCTION("""COMPUTED_VALUE"""),43249.0)</f>
        <v>43249</v>
      </c>
      <c r="I765" s="27">
        <f>IFERROR(__xludf.DUMMYFUNCTION("""COMPUTED_VALUE"""),2.8027777777777776)</f>
        <v>2.802777778</v>
      </c>
      <c r="J765" s="29">
        <f>IFERROR(__xludf.DUMMYFUNCTION("""COMPUTED_VALUE"""),78.0)</f>
        <v>78</v>
      </c>
      <c r="K765" s="29">
        <f>IFERROR(__xludf.DUMMYFUNCTION("""COMPUTED_VALUE"""),8.0)</f>
        <v>8</v>
      </c>
      <c r="L765" s="275" t="str">
        <f>IFERROR(__xludf.DUMMYFUNCTION("""COMPUTED_VALUE"""),"Platformer")</f>
        <v>Platformer</v>
      </c>
    </row>
    <row r="766">
      <c r="A766" s="278" t="str">
        <f>IFERROR(__xludf.DUMMYFUNCTION("""COMPUTED_VALUE"""),"Star Wars Episode I: Racer")</f>
        <v>Star Wars Episode I: Racer</v>
      </c>
      <c r="B766" s="20" t="str">
        <f>IFERROR(__xludf.DUMMYFUNCTION("""COMPUTED_VALUE"""),"PC")</f>
        <v>PC</v>
      </c>
      <c r="C766" s="21"/>
      <c r="D766" s="21" t="str">
        <f>IFERROR(__xludf.DUMMYFUNCTION("""COMPUTED_VALUE"""),"Removed")</f>
        <v>Removed</v>
      </c>
      <c r="E766" s="279">
        <f>IFERROR(__xludf.DUMMYFUNCTION("""COMPUTED_VALUE"""),44273.0)</f>
        <v>44273</v>
      </c>
      <c r="F766" s="279">
        <f>IFERROR(__xludf.DUMMYFUNCTION("""COMPUTED_VALUE"""),44284.0)</f>
        <v>44284</v>
      </c>
      <c r="G766" s="27">
        <f>IFERROR(__xludf.DUMMYFUNCTION("""COMPUTED_VALUE"""),0.36666666666666664)</f>
        <v>0.3666666667</v>
      </c>
      <c r="H766" s="128">
        <f>IFERROR(__xludf.DUMMYFUNCTION("""COMPUTED_VALUE"""),36280.0)</f>
        <v>36280</v>
      </c>
      <c r="I766" s="27">
        <f>IFERROR(__xludf.DUMMYFUNCTION("""COMPUTED_VALUE"""),21.883333333333333)</f>
        <v>21.88333333</v>
      </c>
      <c r="J766" s="29">
        <f>IFERROR(__xludf.DUMMYFUNCTION("""COMPUTED_VALUE"""),63.0)</f>
        <v>63</v>
      </c>
      <c r="K766" s="29">
        <f>IFERROR(__xludf.DUMMYFUNCTION("""COMPUTED_VALUE"""),6.0)</f>
        <v>6</v>
      </c>
      <c r="L766" s="275" t="str">
        <f>IFERROR(__xludf.DUMMYFUNCTION("""COMPUTED_VALUE"""),"Racing")</f>
        <v>Racing</v>
      </c>
    </row>
    <row r="767">
      <c r="A767" s="278" t="str">
        <f>IFERROR(__xludf.DUMMYFUNCTION("""COMPUTED_VALUE"""),"Star Wars Galactic Battlegrounds: Saga")</f>
        <v>Star Wars Galactic Battlegrounds: Saga</v>
      </c>
      <c r="B767" s="20" t="str">
        <f>IFERROR(__xludf.DUMMYFUNCTION("""COMPUTED_VALUE"""),"PC")</f>
        <v>PC</v>
      </c>
      <c r="C767" s="21"/>
      <c r="D767" s="21" t="str">
        <f>IFERROR(__xludf.DUMMYFUNCTION("""COMPUTED_VALUE"""),"Removed")</f>
        <v>Removed</v>
      </c>
      <c r="E767" s="279">
        <f>IFERROR(__xludf.DUMMYFUNCTION("""COMPUTED_VALUE"""),44273.0)</f>
        <v>44273</v>
      </c>
      <c r="F767" s="279">
        <f>IFERROR(__xludf.DUMMYFUNCTION("""COMPUTED_VALUE"""),44284.0)</f>
        <v>44284</v>
      </c>
      <c r="G767" s="27">
        <f>IFERROR(__xludf.DUMMYFUNCTION("""COMPUTED_VALUE"""),0.36666666666666664)</f>
        <v>0.3666666667</v>
      </c>
      <c r="H767" s="128">
        <f>IFERROR(__xludf.DUMMYFUNCTION("""COMPUTED_VALUE"""),37206.0)</f>
        <v>37206</v>
      </c>
      <c r="I767" s="27">
        <f>IFERROR(__xludf.DUMMYFUNCTION("""COMPUTED_VALUE"""),19.352777777777778)</f>
        <v>19.35277778</v>
      </c>
      <c r="J767" s="29">
        <f>IFERROR(__xludf.DUMMYFUNCTION("""COMPUTED_VALUE"""),82.33333333333333)</f>
        <v>82.33333333</v>
      </c>
      <c r="K767" s="29">
        <f>IFERROR(__xludf.DUMMYFUNCTION("""COMPUTED_VALUE"""),34.0)</f>
        <v>34</v>
      </c>
      <c r="L767" s="275" t="str">
        <f>IFERROR(__xludf.DUMMYFUNCTION("""COMPUTED_VALUE"""),"Strategy")</f>
        <v>Strategy</v>
      </c>
    </row>
    <row r="768">
      <c r="A768" s="278" t="str">
        <f>IFERROR(__xludf.DUMMYFUNCTION("""COMPUTED_VALUE"""),"Star Wars Jedi Knight: Mysteries of the Sith")</f>
        <v>Star Wars Jedi Knight: Mysteries of the Sith</v>
      </c>
      <c r="B768" s="20" t="str">
        <f>IFERROR(__xludf.DUMMYFUNCTION("""COMPUTED_VALUE"""),"PC")</f>
        <v>PC</v>
      </c>
      <c r="C768" s="21"/>
      <c r="D768" s="21" t="str">
        <f>IFERROR(__xludf.DUMMYFUNCTION("""COMPUTED_VALUE"""),"Removed")</f>
        <v>Removed</v>
      </c>
      <c r="E768" s="279">
        <f>IFERROR(__xludf.DUMMYFUNCTION("""COMPUTED_VALUE"""),44273.0)</f>
        <v>44273</v>
      </c>
      <c r="F768" s="279">
        <f>IFERROR(__xludf.DUMMYFUNCTION("""COMPUTED_VALUE"""),44284.0)</f>
        <v>44284</v>
      </c>
      <c r="G768" s="27">
        <f>IFERROR(__xludf.DUMMYFUNCTION("""COMPUTED_VALUE"""),0.36666666666666664)</f>
        <v>0.3666666667</v>
      </c>
      <c r="H768" s="128">
        <f>IFERROR(__xludf.DUMMYFUNCTION("""COMPUTED_VALUE"""),35850.0)</f>
        <v>35850</v>
      </c>
      <c r="I768" s="27">
        <f>IFERROR(__xludf.DUMMYFUNCTION("""COMPUTED_VALUE"""),23.066666666666666)</f>
        <v>23.06666667</v>
      </c>
      <c r="J768" s="29">
        <f>IFERROR(__xludf.DUMMYFUNCTION("""COMPUTED_VALUE"""),83.0)</f>
        <v>83</v>
      </c>
      <c r="K768" s="29">
        <f>IFERROR(__xludf.DUMMYFUNCTION("""COMPUTED_VALUE"""),8.5)</f>
        <v>8.5</v>
      </c>
      <c r="L768" s="275" t="str">
        <f>IFERROR(__xludf.DUMMYFUNCTION("""COMPUTED_VALUE"""),"Shooter")</f>
        <v>Shooter</v>
      </c>
    </row>
    <row r="769">
      <c r="A769" s="278" t="str">
        <f>IFERROR(__xludf.DUMMYFUNCTION("""COMPUTED_VALUE"""),"Star Wars Rebellion")</f>
        <v>Star Wars Rebellion</v>
      </c>
      <c r="B769" s="20" t="str">
        <f>IFERROR(__xludf.DUMMYFUNCTION("""COMPUTED_VALUE"""),"PC")</f>
        <v>PC</v>
      </c>
      <c r="C769" s="21"/>
      <c r="D769" s="21" t="str">
        <f>IFERROR(__xludf.DUMMYFUNCTION("""COMPUTED_VALUE"""),"Removed")</f>
        <v>Removed</v>
      </c>
      <c r="E769" s="279">
        <f>IFERROR(__xludf.DUMMYFUNCTION("""COMPUTED_VALUE"""),44273.0)</f>
        <v>44273</v>
      </c>
      <c r="F769" s="279">
        <f>IFERROR(__xludf.DUMMYFUNCTION("""COMPUTED_VALUE"""),44284.0)</f>
        <v>44284</v>
      </c>
      <c r="G769" s="27">
        <f>IFERROR(__xludf.DUMMYFUNCTION("""COMPUTED_VALUE"""),0.36666666666666664)</f>
        <v>0.3666666667</v>
      </c>
      <c r="H769" s="128">
        <f>IFERROR(__xludf.DUMMYFUNCTION("""COMPUTED_VALUE"""),35854.0)</f>
        <v>35854</v>
      </c>
      <c r="I769" s="27">
        <f>IFERROR(__xludf.DUMMYFUNCTION("""COMPUTED_VALUE"""),23.055555555555557)</f>
        <v>23.05555556</v>
      </c>
      <c r="J769" s="29">
        <f>IFERROR(__xludf.DUMMYFUNCTION("""COMPUTED_VALUE"""),87.0)</f>
        <v>87</v>
      </c>
      <c r="K769" s="29">
        <f>IFERROR(__xludf.DUMMYFUNCTION("""COMPUTED_VALUE"""),17.0)</f>
        <v>17</v>
      </c>
      <c r="L769" s="275" t="str">
        <f>IFERROR(__xludf.DUMMYFUNCTION("""COMPUTED_VALUE"""),"Strategy")</f>
        <v>Strategy</v>
      </c>
    </row>
    <row r="770">
      <c r="A770" s="278" t="str">
        <f>IFERROR(__xludf.DUMMYFUNCTION("""COMPUTED_VALUE"""),"Star Wars Rogue Squadron 3D")</f>
        <v>Star Wars Rogue Squadron 3D</v>
      </c>
      <c r="B770" s="20" t="str">
        <f>IFERROR(__xludf.DUMMYFUNCTION("""COMPUTED_VALUE"""),"PC")</f>
        <v>PC</v>
      </c>
      <c r="C770" s="21"/>
      <c r="D770" s="21" t="str">
        <f>IFERROR(__xludf.DUMMYFUNCTION("""COMPUTED_VALUE"""),"Removed")</f>
        <v>Removed</v>
      </c>
      <c r="E770" s="279">
        <f>IFERROR(__xludf.DUMMYFUNCTION("""COMPUTED_VALUE"""),44273.0)</f>
        <v>44273</v>
      </c>
      <c r="F770" s="279">
        <f>IFERROR(__xludf.DUMMYFUNCTION("""COMPUTED_VALUE"""),44284.0)</f>
        <v>44284</v>
      </c>
      <c r="G770" s="27">
        <f>IFERROR(__xludf.DUMMYFUNCTION("""COMPUTED_VALUE"""),0.36666666666666664)</f>
        <v>0.3666666667</v>
      </c>
      <c r="H770" s="128">
        <f>IFERROR(__xludf.DUMMYFUNCTION("""COMPUTED_VALUE"""),36132.0)</f>
        <v>36132</v>
      </c>
      <c r="I770" s="27">
        <f>IFERROR(__xludf.DUMMYFUNCTION("""COMPUTED_VALUE"""),22.291666666666668)</f>
        <v>22.29166667</v>
      </c>
      <c r="J770" s="29">
        <f>IFERROR(__xludf.DUMMYFUNCTION("""COMPUTED_VALUE"""),76.0)</f>
        <v>76</v>
      </c>
      <c r="K770" s="29">
        <f>IFERROR(__xludf.DUMMYFUNCTION("""COMPUTED_VALUE"""),9.0)</f>
        <v>9</v>
      </c>
      <c r="L770" s="275" t="str">
        <f>IFERROR(__xludf.DUMMYFUNCTION("""COMPUTED_VALUE"""),"Shooter")</f>
        <v>Shooter</v>
      </c>
    </row>
    <row r="771">
      <c r="A771" s="278" t="str">
        <f>IFERROR(__xludf.DUMMYFUNCTION("""COMPUTED_VALUE"""),"Star Wars Shadows of the Empire")</f>
        <v>Star Wars Shadows of the Empire</v>
      </c>
      <c r="B771" s="20" t="str">
        <f>IFERROR(__xludf.DUMMYFUNCTION("""COMPUTED_VALUE"""),"PC")</f>
        <v>PC</v>
      </c>
      <c r="C771" s="21"/>
      <c r="D771" s="21" t="str">
        <f>IFERROR(__xludf.DUMMYFUNCTION("""COMPUTED_VALUE"""),"Removed")</f>
        <v>Removed</v>
      </c>
      <c r="E771" s="279">
        <f>IFERROR(__xludf.DUMMYFUNCTION("""COMPUTED_VALUE"""),44273.0)</f>
        <v>44273</v>
      </c>
      <c r="F771" s="279">
        <f>IFERROR(__xludf.DUMMYFUNCTION("""COMPUTED_VALUE"""),44284.0)</f>
        <v>44284</v>
      </c>
      <c r="G771" s="27">
        <f>IFERROR(__xludf.DUMMYFUNCTION("""COMPUTED_VALUE"""),0.36666666666666664)</f>
        <v>0.3666666667</v>
      </c>
      <c r="H771" s="128">
        <f>IFERROR(__xludf.DUMMYFUNCTION("""COMPUTED_VALUE"""),35402.0)</f>
        <v>35402</v>
      </c>
      <c r="I771" s="27">
        <f>IFERROR(__xludf.DUMMYFUNCTION("""COMPUTED_VALUE"""),24.291666666666668)</f>
        <v>24.29166667</v>
      </c>
      <c r="J771" s="29">
        <f>IFERROR(__xludf.DUMMYFUNCTION("""COMPUTED_VALUE"""),78.0)</f>
        <v>78</v>
      </c>
      <c r="K771" s="29">
        <f>IFERROR(__xludf.DUMMYFUNCTION("""COMPUTED_VALUE"""),5.0)</f>
        <v>5</v>
      </c>
      <c r="L771" s="275" t="str">
        <f>IFERROR(__xludf.DUMMYFUNCTION("""COMPUTED_VALUE"""),"Shooter")</f>
        <v>Shooter</v>
      </c>
    </row>
    <row r="772">
      <c r="A772" s="17" t="str">
        <f>IFERROR(__xludf.DUMMYFUNCTION("""COMPUTED_VALUE"""),"Star Wars Starfighter")</f>
        <v>Star Wars Starfighter</v>
      </c>
      <c r="B772" s="20" t="str">
        <f>IFERROR(__xludf.DUMMYFUNCTION("""COMPUTED_VALUE"""),"PC")</f>
        <v>PC</v>
      </c>
      <c r="C772" s="21"/>
      <c r="D772" s="21" t="str">
        <f>IFERROR(__xludf.DUMMYFUNCTION("""COMPUTED_VALUE"""),"Removed")</f>
        <v>Removed</v>
      </c>
      <c r="E772" s="279">
        <f>IFERROR(__xludf.DUMMYFUNCTION("""COMPUTED_VALUE"""),44273.0)</f>
        <v>44273</v>
      </c>
      <c r="F772" s="279">
        <f>IFERROR(__xludf.DUMMYFUNCTION("""COMPUTED_VALUE"""),44284.0)</f>
        <v>44284</v>
      </c>
      <c r="G772" s="27">
        <f>IFERROR(__xludf.DUMMYFUNCTION("""COMPUTED_VALUE"""),0.36666666666666664)</f>
        <v>0.3666666667</v>
      </c>
      <c r="H772" s="128">
        <f>IFERROR(__xludf.DUMMYFUNCTION("""COMPUTED_VALUE"""),36942.0)</f>
        <v>36942</v>
      </c>
      <c r="I772" s="27">
        <f>IFERROR(__xludf.DUMMYFUNCTION("""COMPUTED_VALUE"""),20.07777777777778)</f>
        <v>20.07777778</v>
      </c>
      <c r="J772" s="29">
        <f>IFERROR(__xludf.DUMMYFUNCTION("""COMPUTED_VALUE"""),71.0)</f>
        <v>71</v>
      </c>
      <c r="K772" s="29">
        <f>IFERROR(__xludf.DUMMYFUNCTION("""COMPUTED_VALUE"""),4.5)</f>
        <v>4.5</v>
      </c>
      <c r="L772" s="275" t="str">
        <f>IFERROR(__xludf.DUMMYFUNCTION("""COMPUTED_VALUE"""),"Flight")</f>
        <v>Flight</v>
      </c>
    </row>
    <row r="773">
      <c r="A773" s="17" t="str">
        <f>IFERROR(__xludf.DUMMYFUNCTION("""COMPUTED_VALUE"""),"Star Wars X-Wing Alliance")</f>
        <v>Star Wars X-Wing Alliance</v>
      </c>
      <c r="B773" s="20" t="str">
        <f>IFERROR(__xludf.DUMMYFUNCTION("""COMPUTED_VALUE"""),"PC")</f>
        <v>PC</v>
      </c>
      <c r="C773" s="21"/>
      <c r="D773" s="21" t="str">
        <f>IFERROR(__xludf.DUMMYFUNCTION("""COMPUTED_VALUE"""),"Removed")</f>
        <v>Removed</v>
      </c>
      <c r="E773" s="279">
        <f>IFERROR(__xludf.DUMMYFUNCTION("""COMPUTED_VALUE"""),44273.0)</f>
        <v>44273</v>
      </c>
      <c r="F773" s="279">
        <f>IFERROR(__xludf.DUMMYFUNCTION("""COMPUTED_VALUE"""),44284.0)</f>
        <v>44284</v>
      </c>
      <c r="G773" s="27">
        <f>IFERROR(__xludf.DUMMYFUNCTION("""COMPUTED_VALUE"""),0.36666666666666664)</f>
        <v>0.3666666667</v>
      </c>
      <c r="H773" s="128">
        <f>IFERROR(__xludf.DUMMYFUNCTION("""COMPUTED_VALUE"""),36219.0)</f>
        <v>36219</v>
      </c>
      <c r="I773" s="27">
        <f>IFERROR(__xludf.DUMMYFUNCTION("""COMPUTED_VALUE"""),22.055555555555557)</f>
        <v>22.05555556</v>
      </c>
      <c r="J773" s="29">
        <f>IFERROR(__xludf.DUMMYFUNCTION("""COMPUTED_VALUE"""),83.0)</f>
        <v>83</v>
      </c>
      <c r="K773" s="29">
        <f>IFERROR(__xludf.DUMMYFUNCTION("""COMPUTED_VALUE"""),20.0)</f>
        <v>20</v>
      </c>
      <c r="L773" s="282" t="str">
        <f>IFERROR(__xludf.DUMMYFUNCTION("""COMPUTED_VALUE"""),"Shooter")</f>
        <v>Shooter</v>
      </c>
    </row>
    <row r="774">
      <c r="A774" s="278" t="str">
        <f>IFERROR(__xludf.DUMMYFUNCTION("""COMPUTED_VALUE"""),"Star Wars Dark Forces")</f>
        <v>Star Wars Dark Forces</v>
      </c>
      <c r="B774" s="20" t="str">
        <f>IFERROR(__xludf.DUMMYFUNCTION("""COMPUTED_VALUE"""),"PC")</f>
        <v>PC</v>
      </c>
      <c r="C774" s="21"/>
      <c r="D774" s="21" t="str">
        <f>IFERROR(__xludf.DUMMYFUNCTION("""COMPUTED_VALUE"""),"Removed")</f>
        <v>Removed</v>
      </c>
      <c r="E774" s="279">
        <f>IFERROR(__xludf.DUMMYFUNCTION("""COMPUTED_VALUE"""),44273.0)</f>
        <v>44273</v>
      </c>
      <c r="F774" s="279">
        <f>IFERROR(__xludf.DUMMYFUNCTION("""COMPUTED_VALUE"""),44284.0)</f>
        <v>44284</v>
      </c>
      <c r="G774" s="27">
        <f>IFERROR(__xludf.DUMMYFUNCTION("""COMPUTED_VALUE"""),0.36666666666666664)</f>
        <v>0.3666666667</v>
      </c>
      <c r="H774" s="128">
        <f>IFERROR(__xludf.DUMMYFUNCTION("""COMPUTED_VALUE"""),34745.0)</f>
        <v>34745</v>
      </c>
      <c r="I774" s="27">
        <f>IFERROR(__xludf.DUMMYFUNCTION("""COMPUTED_VALUE"""),26.091666666666665)</f>
        <v>26.09166667</v>
      </c>
      <c r="J774" s="29">
        <f>IFERROR(__xludf.DUMMYFUNCTION("""COMPUTED_VALUE"""),75.0)</f>
        <v>75</v>
      </c>
      <c r="K774" s="29">
        <f>IFERROR(__xludf.DUMMYFUNCTION("""COMPUTED_VALUE"""),9.0)</f>
        <v>9</v>
      </c>
      <c r="L774" s="275" t="str">
        <f>IFERROR(__xludf.DUMMYFUNCTION("""COMPUTED_VALUE"""),"Shooter")</f>
        <v>Shooter</v>
      </c>
    </row>
    <row r="775">
      <c r="A775" s="278" t="str">
        <f>IFERROR(__xludf.DUMMYFUNCTION("""COMPUTED_VALUE"""),"Into the Breach")</f>
        <v>Into the Breach</v>
      </c>
      <c r="B775" s="20" t="str">
        <f>IFERROR(__xludf.DUMMYFUNCTION("""COMPUTED_VALUE"""),"PC")</f>
        <v>PC</v>
      </c>
      <c r="C775" s="21"/>
      <c r="D775" s="21" t="str">
        <f>IFERROR(__xludf.DUMMYFUNCTION("""COMPUTED_VALUE"""),"Removed")</f>
        <v>Removed</v>
      </c>
      <c r="E775" s="279">
        <f>IFERROR(__xludf.DUMMYFUNCTION("""COMPUTED_VALUE"""),43625.0)</f>
        <v>43625</v>
      </c>
      <c r="F775" s="279">
        <f>IFERROR(__xludf.DUMMYFUNCTION("""COMPUTED_VALUE"""),44284.0)</f>
        <v>44284</v>
      </c>
      <c r="G775" s="27">
        <f>IFERROR(__xludf.DUMMYFUNCTION("""COMPUTED_VALUE"""),21.666666666666668)</f>
        <v>21.66666667</v>
      </c>
      <c r="H775" s="128">
        <f>IFERROR(__xludf.DUMMYFUNCTION("""COMPUTED_VALUE"""),43158.0)</f>
        <v>43158</v>
      </c>
      <c r="I775" s="27">
        <f>IFERROR(__xludf.DUMMYFUNCTION("""COMPUTED_VALUE"""),1.2833333333333334)</f>
        <v>1.283333333</v>
      </c>
      <c r="J775" s="29">
        <f>IFERROR(__xludf.DUMMYFUNCTION("""COMPUTED_VALUE"""),90.0)</f>
        <v>90</v>
      </c>
      <c r="K775" s="29">
        <f>IFERROR(__xludf.DUMMYFUNCTION("""COMPUTED_VALUE"""),5.0)</f>
        <v>5</v>
      </c>
      <c r="L775" s="275" t="str">
        <f>IFERROR(__xludf.DUMMYFUNCTION("""COMPUTED_VALUE"""),"Strategy")</f>
        <v>Strategy</v>
      </c>
    </row>
    <row r="776">
      <c r="A776" s="278" t="str">
        <f>IFERROR(__xludf.DUMMYFUNCTION("""COMPUTED_VALUE"""),"Snake Pass")</f>
        <v>Snake Pass</v>
      </c>
      <c r="B776" s="20" t="str">
        <f>IFERROR(__xludf.DUMMYFUNCTION("""COMPUTED_VALUE"""),"PC")</f>
        <v>PC</v>
      </c>
      <c r="C776" s="21"/>
      <c r="D776" s="21" t="str">
        <f>IFERROR(__xludf.DUMMYFUNCTION("""COMPUTED_VALUE"""),"Removed")</f>
        <v>Removed</v>
      </c>
      <c r="E776" s="279">
        <f>IFERROR(__xludf.DUMMYFUNCTION("""COMPUTED_VALUE"""),43344.0)</f>
        <v>43344</v>
      </c>
      <c r="F776" s="279">
        <f>IFERROR(__xludf.DUMMYFUNCTION("""COMPUTED_VALUE"""),44284.0)</f>
        <v>44284</v>
      </c>
      <c r="G776" s="27">
        <f>IFERROR(__xludf.DUMMYFUNCTION("""COMPUTED_VALUE"""),30.933333333333337)</f>
        <v>30.93333333</v>
      </c>
      <c r="H776" s="128">
        <f>IFERROR(__xludf.DUMMYFUNCTION("""COMPUTED_VALUE"""),42822.0)</f>
        <v>42822</v>
      </c>
      <c r="I776" s="27">
        <f>IFERROR(__xludf.DUMMYFUNCTION("""COMPUTED_VALUE"""),1.425)</f>
        <v>1.425</v>
      </c>
      <c r="J776" s="29">
        <f>IFERROR(__xludf.DUMMYFUNCTION("""COMPUTED_VALUE"""),74.0)</f>
        <v>74</v>
      </c>
      <c r="K776" s="29">
        <f>IFERROR(__xludf.DUMMYFUNCTION("""COMPUTED_VALUE"""),5.0)</f>
        <v>5</v>
      </c>
      <c r="L776" s="31" t="str">
        <f>IFERROR(__xludf.DUMMYFUNCTION("""COMPUTED_VALUE"""),"Platformer")</f>
        <v>Platformer</v>
      </c>
    </row>
    <row r="777">
      <c r="A777" s="17" t="str">
        <f>IFERROR(__xludf.DUMMYFUNCTION("""COMPUTED_VALUE"""),"Hue")</f>
        <v>Hue</v>
      </c>
      <c r="B777" s="20" t="str">
        <f>IFERROR(__xludf.DUMMYFUNCTION("""COMPUTED_VALUE"""),"PC")</f>
        <v>PC</v>
      </c>
      <c r="C777" s="21"/>
      <c r="D777" s="21" t="str">
        <f>IFERROR(__xludf.DUMMYFUNCTION("""COMPUTED_VALUE"""),"Removed")</f>
        <v>Removed</v>
      </c>
      <c r="E777" s="279">
        <f>IFERROR(__xludf.DUMMYFUNCTION("""COMPUTED_VALUE"""),42979.0)</f>
        <v>42979</v>
      </c>
      <c r="F777" s="279">
        <f>IFERROR(__xludf.DUMMYFUNCTION("""COMPUTED_VALUE"""),44284.0)</f>
        <v>44284</v>
      </c>
      <c r="G777" s="27">
        <f>IFERROR(__xludf.DUMMYFUNCTION("""COMPUTED_VALUE"""),42.93333333333334)</f>
        <v>42.93333333</v>
      </c>
      <c r="H777" s="128">
        <f>IFERROR(__xludf.DUMMYFUNCTION("""COMPUTED_VALUE"""),42612.0)</f>
        <v>42612</v>
      </c>
      <c r="I777" s="27">
        <f>IFERROR(__xludf.DUMMYFUNCTION("""COMPUTED_VALUE"""),1.0027777777777778)</f>
        <v>1.002777778</v>
      </c>
      <c r="J777" s="29">
        <f>IFERROR(__xludf.DUMMYFUNCTION("""COMPUTED_VALUE"""),79.0)</f>
        <v>79</v>
      </c>
      <c r="K777" s="29">
        <f>IFERROR(__xludf.DUMMYFUNCTION("""COMPUTED_VALUE"""),4.5)</f>
        <v>4.5</v>
      </c>
      <c r="L777" s="275" t="str">
        <f>IFERROR(__xludf.DUMMYFUNCTION("""COMPUTED_VALUE"""),"Platformer")</f>
        <v>Platformer</v>
      </c>
    </row>
    <row r="778">
      <c r="A778" s="278" t="str">
        <f>IFERROR(__xludf.DUMMYFUNCTION("""COMPUTED_VALUE"""),"Alvastia Chronicles")</f>
        <v>Alvastia Chronicles</v>
      </c>
      <c r="B778" s="20" t="str">
        <f>IFERROR(__xludf.DUMMYFUNCTION("""COMPUTED_VALUE"""),"Xbox / PC")</f>
        <v>Xbox / PC</v>
      </c>
      <c r="C778" s="21"/>
      <c r="D778" s="21" t="str">
        <f>IFERROR(__xludf.DUMMYFUNCTION("""COMPUTED_VALUE"""),"Removed")</f>
        <v>Removed</v>
      </c>
      <c r="E778" s="279">
        <f>IFERROR(__xludf.DUMMYFUNCTION("""COMPUTED_VALUE"""),43930.0)</f>
        <v>43930</v>
      </c>
      <c r="F778" s="279">
        <f>IFERROR(__xludf.DUMMYFUNCTION("""COMPUTED_VALUE"""),44270.0)</f>
        <v>44270</v>
      </c>
      <c r="G778" s="27">
        <f>IFERROR(__xludf.DUMMYFUNCTION("""COMPUTED_VALUE"""),11.2)</f>
        <v>11.2</v>
      </c>
      <c r="H778" s="128">
        <f>IFERROR(__xludf.DUMMYFUNCTION("""COMPUTED_VALUE"""),43508.0)</f>
        <v>43508</v>
      </c>
      <c r="I778" s="27">
        <f>IFERROR(__xludf.DUMMYFUNCTION("""COMPUTED_VALUE"""),1.1583333333333334)</f>
        <v>1.158333333</v>
      </c>
      <c r="J778" s="29">
        <f>IFERROR(__xludf.DUMMYFUNCTION("""COMPUTED_VALUE"""),80.0)</f>
        <v>80</v>
      </c>
      <c r="K778" s="29">
        <f>IFERROR(__xludf.DUMMYFUNCTION("""COMPUTED_VALUE"""),7.0)</f>
        <v>7</v>
      </c>
      <c r="L778" s="275" t="str">
        <f>IFERROR(__xludf.DUMMYFUNCTION("""COMPUTED_VALUE"""),"RPG")</f>
        <v>RPG</v>
      </c>
    </row>
    <row r="779">
      <c r="A779" s="278" t="str">
        <f>IFERROR(__xludf.DUMMYFUNCTION("""COMPUTED_VALUE"""),"Astrologaster")</f>
        <v>Astrologaster</v>
      </c>
      <c r="B779" s="20" t="str">
        <f>IFERROR(__xludf.DUMMYFUNCTION("""COMPUTED_VALUE"""),"PC")</f>
        <v>PC</v>
      </c>
      <c r="C779" s="21"/>
      <c r="D779" s="21" t="str">
        <f>IFERROR(__xludf.DUMMYFUNCTION("""COMPUTED_VALUE"""),"Removed")</f>
        <v>Removed</v>
      </c>
      <c r="E779" s="279">
        <f>IFERROR(__xludf.DUMMYFUNCTION("""COMPUTED_VALUE"""),43916.0)</f>
        <v>43916</v>
      </c>
      <c r="F779" s="279">
        <f>IFERROR(__xludf.DUMMYFUNCTION("""COMPUTED_VALUE"""),44270.0)</f>
        <v>44270</v>
      </c>
      <c r="G779" s="27">
        <f>IFERROR(__xludf.DUMMYFUNCTION("""COMPUTED_VALUE"""),11.633333333333333)</f>
        <v>11.63333333</v>
      </c>
      <c r="H779" s="128">
        <f>IFERROR(__xludf.DUMMYFUNCTION("""COMPUTED_VALUE"""),43587.0)</f>
        <v>43587</v>
      </c>
      <c r="I779" s="27">
        <f>IFERROR(__xludf.DUMMYFUNCTION("""COMPUTED_VALUE"""),0.9)</f>
        <v>0.9</v>
      </c>
      <c r="J779" s="29">
        <f>IFERROR(__xludf.DUMMYFUNCTION("""COMPUTED_VALUE"""),74.0)</f>
        <v>74</v>
      </c>
      <c r="K779" s="29">
        <f>IFERROR(__xludf.DUMMYFUNCTION("""COMPUTED_VALUE"""),7.5)</f>
        <v>7.5</v>
      </c>
      <c r="L779" s="275" t="str">
        <f>IFERROR(__xludf.DUMMYFUNCTION("""COMPUTED_VALUE"""),"Adventure")</f>
        <v>Adventure</v>
      </c>
    </row>
    <row r="780">
      <c r="A780" s="17" t="str">
        <f>IFERROR(__xludf.DUMMYFUNCTION("""COMPUTED_VALUE"""),"The Witcher 3: Wild Hunt")</f>
        <v>The Witcher 3: Wild Hunt</v>
      </c>
      <c r="B780" s="20" t="str">
        <f>IFERROR(__xludf.DUMMYFUNCTION("""COMPUTED_VALUE"""),"Xbox")</f>
        <v>Xbox</v>
      </c>
      <c r="C780" s="21" t="str">
        <f>IFERROR(__xludf.DUMMYFUNCTION("""COMPUTED_VALUE"""),"Yes")</f>
        <v>Yes</v>
      </c>
      <c r="D780" s="21" t="str">
        <f>IFERROR(__xludf.DUMMYFUNCTION("""COMPUTED_VALUE"""),"Removed")</f>
        <v>Removed</v>
      </c>
      <c r="E780" s="279">
        <f>IFERROR(__xludf.DUMMYFUNCTION("""COMPUTED_VALUE"""),43818.0)</f>
        <v>43818</v>
      </c>
      <c r="F780" s="279">
        <f>IFERROR(__xludf.DUMMYFUNCTION("""COMPUTED_VALUE"""),44270.0)</f>
        <v>44270</v>
      </c>
      <c r="G780" s="27">
        <f>IFERROR(__xludf.DUMMYFUNCTION("""COMPUTED_VALUE"""),14.866666666666667)</f>
        <v>14.86666667</v>
      </c>
      <c r="H780" s="128">
        <f>IFERROR(__xludf.DUMMYFUNCTION("""COMPUTED_VALUE"""),42143.0)</f>
        <v>42143</v>
      </c>
      <c r="I780" s="27">
        <f>IFERROR(__xludf.DUMMYFUNCTION("""COMPUTED_VALUE"""),4.583333333333333)</f>
        <v>4.583333333</v>
      </c>
      <c r="J780" s="29">
        <f>IFERROR(__xludf.DUMMYFUNCTION("""COMPUTED_VALUE"""),91.0)</f>
        <v>91</v>
      </c>
      <c r="K780" s="29">
        <f>IFERROR(__xludf.DUMMYFUNCTION("""COMPUTED_VALUE"""),51.0)</f>
        <v>51</v>
      </c>
      <c r="L780" s="31" t="str">
        <f>IFERROR(__xludf.DUMMYFUNCTION("""COMPUTED_VALUE"""),"RPG")</f>
        <v>RPG</v>
      </c>
    </row>
    <row r="781">
      <c r="A781" s="278" t="str">
        <f>IFERROR(__xludf.DUMMYFUNCTION("""COMPUTED_VALUE"""),"The Jackbox Party Pack 4")</f>
        <v>The Jackbox Party Pack 4</v>
      </c>
      <c r="B781" s="20" t="str">
        <f>IFERROR(__xludf.DUMMYFUNCTION("""COMPUTED_VALUE"""),"Xbox")</f>
        <v>Xbox</v>
      </c>
      <c r="C781" s="21" t="str">
        <f>IFERROR(__xludf.DUMMYFUNCTION("""COMPUTED_VALUE"""),"Yes")</f>
        <v>Yes</v>
      </c>
      <c r="D781" s="21" t="str">
        <f>IFERROR(__xludf.DUMMYFUNCTION("""COMPUTED_VALUE"""),"Removed")</f>
        <v>Removed</v>
      </c>
      <c r="E781" s="279">
        <f>IFERROR(__xludf.DUMMYFUNCTION("""COMPUTED_VALUE"""),44077.0)</f>
        <v>44077</v>
      </c>
      <c r="F781" s="279">
        <f>IFERROR(__xludf.DUMMYFUNCTION("""COMPUTED_VALUE"""),44255.0)</f>
        <v>44255</v>
      </c>
      <c r="G781" s="27">
        <f>IFERROR(__xludf.DUMMYFUNCTION("""COMPUTED_VALUE"""),5.833333333333333)</f>
        <v>5.833333333</v>
      </c>
      <c r="H781" s="128">
        <f>IFERROR(__xludf.DUMMYFUNCTION("""COMPUTED_VALUE"""),43025.0)</f>
        <v>43025</v>
      </c>
      <c r="I781" s="27">
        <f>IFERROR(__xludf.DUMMYFUNCTION("""COMPUTED_VALUE"""),2.8777777777777778)</f>
        <v>2.877777778</v>
      </c>
      <c r="J781" s="29">
        <f>IFERROR(__xludf.DUMMYFUNCTION("""COMPUTED_VALUE"""),84.0)</f>
        <v>84</v>
      </c>
      <c r="K781" s="29">
        <f>IFERROR(__xludf.DUMMYFUNCTION("""COMPUTED_VALUE"""),16.0)</f>
        <v>16</v>
      </c>
      <c r="L781" s="275" t="str">
        <f>IFERROR(__xludf.DUMMYFUNCTION("""COMPUTED_VALUE"""),"Party")</f>
        <v>Party</v>
      </c>
    </row>
    <row r="782">
      <c r="A782" s="278" t="str">
        <f>IFERROR(__xludf.DUMMYFUNCTION("""COMPUTED_VALUE"""),"Mother Russia Bleeds")</f>
        <v>Mother Russia Bleeds</v>
      </c>
      <c r="B782" s="20" t="str">
        <f>IFERROR(__xludf.DUMMYFUNCTION("""COMPUTED_VALUE"""),"PC")</f>
        <v>PC</v>
      </c>
      <c r="C782" s="21"/>
      <c r="D782" s="21" t="str">
        <f>IFERROR(__xludf.DUMMYFUNCTION("""COMPUTED_VALUE"""),"Removed")</f>
        <v>Removed</v>
      </c>
      <c r="E782" s="279">
        <f>IFERROR(__xludf.DUMMYFUNCTION("""COMPUTED_VALUE"""),43894.0)</f>
        <v>43894</v>
      </c>
      <c r="F782" s="279">
        <f>IFERROR(__xludf.DUMMYFUNCTION("""COMPUTED_VALUE"""),44255.0)</f>
        <v>44255</v>
      </c>
      <c r="G782" s="27">
        <f>IFERROR(__xludf.DUMMYFUNCTION("""COMPUTED_VALUE"""),11.799999999999999)</f>
        <v>11.8</v>
      </c>
      <c r="H782" s="128">
        <f>IFERROR(__xludf.DUMMYFUNCTION("""COMPUTED_VALUE"""),42618.0)</f>
        <v>42618</v>
      </c>
      <c r="I782" s="27">
        <f>IFERROR(__xludf.DUMMYFUNCTION("""COMPUTED_VALUE"""),3.4972222222222222)</f>
        <v>3.497222222</v>
      </c>
      <c r="J782" s="29">
        <f>IFERROR(__xludf.DUMMYFUNCTION("""COMPUTED_VALUE"""),70.0)</f>
        <v>70</v>
      </c>
      <c r="K782" s="29">
        <f>IFERROR(__xludf.DUMMYFUNCTION("""COMPUTED_VALUE"""),4.0)</f>
        <v>4</v>
      </c>
      <c r="L782" s="275" t="str">
        <f>IFERROR(__xludf.DUMMYFUNCTION("""COMPUTED_VALUE"""),"Brawler")</f>
        <v>Brawler</v>
      </c>
    </row>
    <row r="783">
      <c r="A783" s="278" t="str">
        <f>IFERROR(__xludf.DUMMYFUNCTION("""COMPUTED_VALUE"""),"Momodora: Reverie Under the Moonlight")</f>
        <v>Momodora: Reverie Under the Moonlight</v>
      </c>
      <c r="B783" s="20" t="str">
        <f>IFERROR(__xludf.DUMMYFUNCTION("""COMPUTED_VALUE"""),"Xbox / PC")</f>
        <v>Xbox / PC</v>
      </c>
      <c r="C783" s="21" t="str">
        <f>IFERROR(__xludf.DUMMYFUNCTION("""COMPUTED_VALUE"""),"Yes")</f>
        <v>Yes</v>
      </c>
      <c r="D783" s="21" t="str">
        <f>IFERROR(__xludf.DUMMYFUNCTION("""COMPUTED_VALUE"""),"Removed")</f>
        <v>Removed</v>
      </c>
      <c r="E783" s="279">
        <f>IFERROR(__xludf.DUMMYFUNCTION("""COMPUTED_VALUE"""),43625.0)</f>
        <v>43625</v>
      </c>
      <c r="F783" s="279">
        <f>IFERROR(__xludf.DUMMYFUNCTION("""COMPUTED_VALUE"""),44255.0)</f>
        <v>44255</v>
      </c>
      <c r="G783" s="27">
        <f>IFERROR(__xludf.DUMMYFUNCTION("""COMPUTED_VALUE"""),20.633333333333333)</f>
        <v>20.63333333</v>
      </c>
      <c r="H783" s="128">
        <f>IFERROR(__xludf.DUMMYFUNCTION("""COMPUTED_VALUE"""),42433.0)</f>
        <v>42433</v>
      </c>
      <c r="I783" s="27">
        <f>IFERROR(__xludf.DUMMYFUNCTION("""COMPUTED_VALUE"""),3.263888888888889)</f>
        <v>3.263888889</v>
      </c>
      <c r="J783" s="29">
        <f>IFERROR(__xludf.DUMMYFUNCTION("""COMPUTED_VALUE"""),77.0)</f>
        <v>77</v>
      </c>
      <c r="K783" s="29">
        <f>IFERROR(__xludf.DUMMYFUNCTION("""COMPUTED_VALUE"""),4.0)</f>
        <v>4</v>
      </c>
      <c r="L783" s="31" t="str">
        <f>IFERROR(__xludf.DUMMYFUNCTION("""COMPUTED_VALUE"""),"Platformer")</f>
        <v>Platformer</v>
      </c>
    </row>
    <row r="784">
      <c r="A784" s="278" t="str">
        <f>IFERROR(__xludf.DUMMYFUNCTION("""COMPUTED_VALUE"""),"Shadows of the Damned")</f>
        <v>Shadows of the Damned</v>
      </c>
      <c r="B784" s="20" t="str">
        <f>IFERROR(__xludf.DUMMYFUNCTION("""COMPUTED_VALUE"""),"Xbox")</f>
        <v>Xbox</v>
      </c>
      <c r="C784" s="21"/>
      <c r="D784" s="21" t="str">
        <f>IFERROR(__xludf.DUMMYFUNCTION("""COMPUTED_VALUE"""),"Removed")</f>
        <v>Removed</v>
      </c>
      <c r="E784" s="279">
        <f>IFERROR(__xludf.DUMMYFUNCTION("""COMPUTED_VALUE"""),44145.0)</f>
        <v>44145</v>
      </c>
      <c r="F784" s="279">
        <f>IFERROR(__xludf.DUMMYFUNCTION("""COMPUTED_VALUE"""),44246.0)</f>
        <v>44246</v>
      </c>
      <c r="G784" s="27">
        <f>IFERROR(__xludf.DUMMYFUNCTION("""COMPUTED_VALUE"""),3.3000000000000003)</f>
        <v>3.3</v>
      </c>
      <c r="H784" s="128">
        <f>IFERROR(__xludf.DUMMYFUNCTION("""COMPUTED_VALUE"""),40715.0)</f>
        <v>40715</v>
      </c>
      <c r="I784" s="27">
        <f>IFERROR(__xludf.DUMMYFUNCTION("""COMPUTED_VALUE"""),9.386111111111111)</f>
        <v>9.386111111</v>
      </c>
      <c r="J784" s="29">
        <f>IFERROR(__xludf.DUMMYFUNCTION("""COMPUTED_VALUE"""),76.0)</f>
        <v>76</v>
      </c>
      <c r="K784" s="29">
        <f>IFERROR(__xludf.DUMMYFUNCTION("""COMPUTED_VALUE"""),8.5)</f>
        <v>8.5</v>
      </c>
      <c r="L784" s="31" t="str">
        <f>IFERROR(__xludf.DUMMYFUNCTION("""COMPUTED_VALUE"""),"Shooter")</f>
        <v>Shooter</v>
      </c>
    </row>
    <row r="785">
      <c r="A785" s="278" t="str">
        <f>IFERROR(__xludf.DUMMYFUNCTION("""COMPUTED_VALUE"""),"Ninja Gaiden II")</f>
        <v>Ninja Gaiden II</v>
      </c>
      <c r="B785" s="20" t="str">
        <f>IFERROR(__xludf.DUMMYFUNCTION("""COMPUTED_VALUE"""),"Xbox")</f>
        <v>Xbox</v>
      </c>
      <c r="C785" s="21"/>
      <c r="D785" s="21" t="str">
        <f>IFERROR(__xludf.DUMMYFUNCTION("""COMPUTED_VALUE"""),"Removed")</f>
        <v>Removed</v>
      </c>
      <c r="E785" s="279">
        <f>IFERROR(__xludf.DUMMYFUNCTION("""COMPUTED_VALUE"""),43881.0)</f>
        <v>43881</v>
      </c>
      <c r="F785" s="279">
        <f>IFERROR(__xludf.DUMMYFUNCTION("""COMPUTED_VALUE"""),44242.0)</f>
        <v>44242</v>
      </c>
      <c r="G785" s="27">
        <f>IFERROR(__xludf.DUMMYFUNCTION("""COMPUTED_VALUE"""),11.833333333333334)</f>
        <v>11.83333333</v>
      </c>
      <c r="H785" s="128">
        <f>IFERROR(__xludf.DUMMYFUNCTION("""COMPUTED_VALUE"""),39602.0)</f>
        <v>39602</v>
      </c>
      <c r="I785" s="27">
        <f>IFERROR(__xludf.DUMMYFUNCTION("""COMPUTED_VALUE"""),11.713888888888889)</f>
        <v>11.71388889</v>
      </c>
      <c r="J785" s="29">
        <f>IFERROR(__xludf.DUMMYFUNCTION("""COMPUTED_VALUE"""),81.0)</f>
        <v>81</v>
      </c>
      <c r="K785" s="29">
        <f>IFERROR(__xludf.DUMMYFUNCTION("""COMPUTED_VALUE"""),14.0)</f>
        <v>14</v>
      </c>
      <c r="L785" s="31" t="str">
        <f>IFERROR(__xludf.DUMMYFUNCTION("""COMPUTED_VALUE"""),"Action")</f>
        <v>Action</v>
      </c>
    </row>
    <row r="786">
      <c r="A786" s="278" t="str">
        <f>IFERROR(__xludf.DUMMYFUNCTION("""COMPUTED_VALUE"""),"World of Horror (Game Preview)")</f>
        <v>World of Horror (Game Preview)</v>
      </c>
      <c r="B786" s="20" t="str">
        <f>IFERROR(__xludf.DUMMYFUNCTION("""COMPUTED_VALUE"""),"PC")</f>
        <v>PC</v>
      </c>
      <c r="C786" s="21"/>
      <c r="D786" s="21" t="str">
        <f>IFERROR(__xludf.DUMMYFUNCTION("""COMPUTED_VALUE"""),"Removed")</f>
        <v>Removed</v>
      </c>
      <c r="E786" s="279">
        <f>IFERROR(__xludf.DUMMYFUNCTION("""COMPUTED_VALUE"""),43881.0)</f>
        <v>43881</v>
      </c>
      <c r="F786" s="279">
        <f>IFERROR(__xludf.DUMMYFUNCTION("""COMPUTED_VALUE"""),44242.0)</f>
        <v>44242</v>
      </c>
      <c r="G786" s="27">
        <f>IFERROR(__xludf.DUMMYFUNCTION("""COMPUTED_VALUE"""),11.833333333333334)</f>
        <v>11.83333333</v>
      </c>
      <c r="H786" s="128">
        <f>IFERROR(__xludf.DUMMYFUNCTION("""COMPUTED_VALUE"""),43881.0)</f>
        <v>43881</v>
      </c>
      <c r="I786" s="27">
        <f>IFERROR(__xludf.DUMMYFUNCTION("""COMPUTED_VALUE"""),0.0)</f>
        <v>0</v>
      </c>
      <c r="J786" s="29">
        <f>IFERROR(__xludf.DUMMYFUNCTION("""COMPUTED_VALUE"""),80.0)</f>
        <v>80</v>
      </c>
      <c r="K786" s="29">
        <f>IFERROR(__xludf.DUMMYFUNCTION("""COMPUTED_VALUE"""),2.5)</f>
        <v>2.5</v>
      </c>
      <c r="L786" s="275" t="str">
        <f>IFERROR(__xludf.DUMMYFUNCTION("""COMPUTED_VALUE"""),"RPG")</f>
        <v>RPG</v>
      </c>
    </row>
    <row r="787">
      <c r="A787" s="17" t="str">
        <f>IFERROR(__xludf.DUMMYFUNCTION("""COMPUTED_VALUE"""),"de Blob")</f>
        <v>de Blob</v>
      </c>
      <c r="B787" s="20" t="str">
        <f>IFERROR(__xludf.DUMMYFUNCTION("""COMPUTED_VALUE"""),"Xbox")</f>
        <v>Xbox</v>
      </c>
      <c r="C787" s="21"/>
      <c r="D787" s="21" t="str">
        <f>IFERROR(__xludf.DUMMYFUNCTION("""COMPUTED_VALUE"""),"Removed")</f>
        <v>Removed</v>
      </c>
      <c r="E787" s="279">
        <f>IFERROR(__xludf.DUMMYFUNCTION("""COMPUTED_VALUE"""),43510.0)</f>
        <v>43510</v>
      </c>
      <c r="F787" s="279">
        <f>IFERROR(__xludf.DUMMYFUNCTION("""COMPUTED_VALUE"""),44242.0)</f>
        <v>44242</v>
      </c>
      <c r="G787" s="27">
        <f>IFERROR(__xludf.DUMMYFUNCTION("""COMPUTED_VALUE"""),24.03333333333333)</f>
        <v>24.03333333</v>
      </c>
      <c r="H787" s="128">
        <f>IFERROR(__xludf.DUMMYFUNCTION("""COMPUTED_VALUE"""),39713.0)</f>
        <v>39713</v>
      </c>
      <c r="I787" s="27">
        <f>IFERROR(__xludf.DUMMYFUNCTION("""COMPUTED_VALUE"""),10.394444444444444)</f>
        <v>10.39444444</v>
      </c>
      <c r="J787" s="29">
        <f>IFERROR(__xludf.DUMMYFUNCTION("""COMPUTED_VALUE"""),72.0)</f>
        <v>72</v>
      </c>
      <c r="K787" s="29">
        <f>IFERROR(__xludf.DUMMYFUNCTION("""COMPUTED_VALUE"""),8.0)</f>
        <v>8</v>
      </c>
      <c r="L787" s="275" t="str">
        <f>IFERROR(__xludf.DUMMYFUNCTION("""COMPUTED_VALUE"""),"Platformer")</f>
        <v>Platformer</v>
      </c>
    </row>
    <row r="788">
      <c r="A788" s="278" t="str">
        <f>IFERROR(__xludf.DUMMYFUNCTION("""COMPUTED_VALUE"""),"Reigns: Game of Thrones")</f>
        <v>Reigns: Game of Thrones</v>
      </c>
      <c r="B788" s="20" t="str">
        <f>IFERROR(__xludf.DUMMYFUNCTION("""COMPUTED_VALUE"""),"PC")</f>
        <v>PC</v>
      </c>
      <c r="C788" s="21"/>
      <c r="D788" s="21" t="str">
        <f>IFERROR(__xludf.DUMMYFUNCTION("""COMPUTED_VALUE"""),"Removed")</f>
        <v>Removed</v>
      </c>
      <c r="E788" s="279">
        <f>IFERROR(__xludf.DUMMYFUNCTION("""COMPUTED_VALUE"""),43881.0)</f>
        <v>43881</v>
      </c>
      <c r="F788" s="279">
        <f>IFERROR(__xludf.DUMMYFUNCTION("""COMPUTED_VALUE"""),44225.0)</f>
        <v>44225</v>
      </c>
      <c r="G788" s="27">
        <f>IFERROR(__xludf.DUMMYFUNCTION("""COMPUTED_VALUE"""),11.3)</f>
        <v>11.3</v>
      </c>
      <c r="H788" s="128">
        <f>IFERROR(__xludf.DUMMYFUNCTION("""COMPUTED_VALUE"""),43391.0)</f>
        <v>43391</v>
      </c>
      <c r="I788" s="27">
        <f>IFERROR(__xludf.DUMMYFUNCTION("""COMPUTED_VALUE"""),1.3388888888888888)</f>
        <v>1.338888889</v>
      </c>
      <c r="J788" s="29">
        <f>IFERROR(__xludf.DUMMYFUNCTION("""COMPUTED_VALUE"""),84.0)</f>
        <v>84</v>
      </c>
      <c r="K788" s="29">
        <f>IFERROR(__xludf.DUMMYFUNCTION("""COMPUTED_VALUE"""),2.0)</f>
        <v>2</v>
      </c>
      <c r="L788" s="275" t="str">
        <f>IFERROR(__xludf.DUMMYFUNCTION("""COMPUTED_VALUE"""),"Simulation")</f>
        <v>Simulation</v>
      </c>
    </row>
    <row r="789">
      <c r="A789" s="278" t="str">
        <f>IFERROR(__xludf.DUMMYFUNCTION("""COMPUTED_VALUE"""),"Death Squared")</f>
        <v>Death Squared</v>
      </c>
      <c r="B789" s="20" t="str">
        <f>IFERROR(__xludf.DUMMYFUNCTION("""COMPUTED_VALUE"""),"Xbox")</f>
        <v>Xbox</v>
      </c>
      <c r="C789" s="21" t="str">
        <f>IFERROR(__xludf.DUMMYFUNCTION("""COMPUTED_VALUE"""),"Yes")</f>
        <v>Yes</v>
      </c>
      <c r="D789" s="21" t="str">
        <f>IFERROR(__xludf.DUMMYFUNCTION("""COMPUTED_VALUE"""),"Removed")</f>
        <v>Removed</v>
      </c>
      <c r="E789" s="279">
        <f>IFERROR(__xludf.DUMMYFUNCTION("""COMPUTED_VALUE"""),43874.0)</f>
        <v>43874</v>
      </c>
      <c r="F789" s="279">
        <f>IFERROR(__xludf.DUMMYFUNCTION("""COMPUTED_VALUE"""),44225.0)</f>
        <v>44225</v>
      </c>
      <c r="G789" s="27">
        <f>IFERROR(__xludf.DUMMYFUNCTION("""COMPUTED_VALUE"""),11.533333333333333)</f>
        <v>11.53333333</v>
      </c>
      <c r="H789" s="128">
        <f>IFERROR(__xludf.DUMMYFUNCTION("""COMPUTED_VALUE"""),42808.0)</f>
        <v>42808</v>
      </c>
      <c r="I789" s="27">
        <f>IFERROR(__xludf.DUMMYFUNCTION("""COMPUTED_VALUE"""),2.9138888888888888)</f>
        <v>2.913888889</v>
      </c>
      <c r="J789" s="29">
        <f>IFERROR(__xludf.DUMMYFUNCTION("""COMPUTED_VALUE"""),80.0)</f>
        <v>80</v>
      </c>
      <c r="K789" s="29">
        <f>IFERROR(__xludf.DUMMYFUNCTION("""COMPUTED_VALUE"""),6.0)</f>
        <v>6</v>
      </c>
      <c r="L789" s="275" t="str">
        <f>IFERROR(__xludf.DUMMYFUNCTION("""COMPUTED_VALUE"""),"Platformer")</f>
        <v>Platformer</v>
      </c>
    </row>
    <row r="790">
      <c r="A790" s="278" t="str">
        <f>IFERROR(__xludf.DUMMYFUNCTION("""COMPUTED_VALUE"""),"Death's Gambit")</f>
        <v>Death's Gambit</v>
      </c>
      <c r="B790" s="20" t="str">
        <f>IFERROR(__xludf.DUMMYFUNCTION("""COMPUTED_VALUE"""),"PC")</f>
        <v>PC</v>
      </c>
      <c r="C790" s="21"/>
      <c r="D790" s="21" t="str">
        <f>IFERROR(__xludf.DUMMYFUNCTION("""COMPUTED_VALUE"""),"Removed")</f>
        <v>Removed</v>
      </c>
      <c r="E790" s="279">
        <f>IFERROR(__xludf.DUMMYFUNCTION("""COMPUTED_VALUE"""),43874.0)</f>
        <v>43874</v>
      </c>
      <c r="F790" s="279">
        <f>IFERROR(__xludf.DUMMYFUNCTION("""COMPUTED_VALUE"""),44225.0)</f>
        <v>44225</v>
      </c>
      <c r="G790" s="27">
        <f>IFERROR(__xludf.DUMMYFUNCTION("""COMPUTED_VALUE"""),11.533333333333333)</f>
        <v>11.53333333</v>
      </c>
      <c r="H790" s="128">
        <f>IFERROR(__xludf.DUMMYFUNCTION("""COMPUTED_VALUE"""),43326.0)</f>
        <v>43326</v>
      </c>
      <c r="I790" s="27">
        <f>IFERROR(__xludf.DUMMYFUNCTION("""COMPUTED_VALUE"""),1.4972222222222222)</f>
        <v>1.497222222</v>
      </c>
      <c r="J790" s="29">
        <f>IFERROR(__xludf.DUMMYFUNCTION("""COMPUTED_VALUE"""),71.0)</f>
        <v>71</v>
      </c>
      <c r="K790" s="29">
        <f>IFERROR(__xludf.DUMMYFUNCTION("""COMPUTED_VALUE"""),10.0)</f>
        <v>10</v>
      </c>
      <c r="L790" s="31" t="str">
        <f>IFERROR(__xludf.DUMMYFUNCTION("""COMPUTED_VALUE"""),"RPG")</f>
        <v>RPG</v>
      </c>
    </row>
    <row r="791">
      <c r="A791" s="17" t="str">
        <f>IFERROR(__xludf.DUMMYFUNCTION("""COMPUTED_VALUE"""),"Final Fantasy XV")</f>
        <v>Final Fantasy XV</v>
      </c>
      <c r="B791" s="20" t="str">
        <f>IFERROR(__xludf.DUMMYFUNCTION("""COMPUTED_VALUE"""),"Xbox / PC")</f>
        <v>Xbox / PC</v>
      </c>
      <c r="C791" s="21"/>
      <c r="D791" s="21" t="str">
        <f>IFERROR(__xludf.DUMMYFUNCTION("""COMPUTED_VALUE"""),"Removed")</f>
        <v>Removed</v>
      </c>
      <c r="E791" s="279">
        <f>IFERROR(__xludf.DUMMYFUNCTION("""COMPUTED_VALUE"""),43867.0)</f>
        <v>43867</v>
      </c>
      <c r="F791" s="279">
        <f>IFERROR(__xludf.DUMMYFUNCTION("""COMPUTED_VALUE"""),44225.0)</f>
        <v>44225</v>
      </c>
      <c r="G791" s="27">
        <f>IFERROR(__xludf.DUMMYFUNCTION("""COMPUTED_VALUE"""),11.766666666666666)</f>
        <v>11.76666667</v>
      </c>
      <c r="H791" s="128">
        <f>IFERROR(__xludf.DUMMYFUNCTION("""COMPUTED_VALUE"""),42703.0)</f>
        <v>42703</v>
      </c>
      <c r="I791" s="27">
        <f>IFERROR(__xludf.DUMMYFUNCTION("""COMPUTED_VALUE"""),3.186111111111111)</f>
        <v>3.186111111</v>
      </c>
      <c r="J791" s="29">
        <f>IFERROR(__xludf.DUMMYFUNCTION("""COMPUTED_VALUE"""),83.0)</f>
        <v>83</v>
      </c>
      <c r="K791" s="29">
        <f>IFERROR(__xludf.DUMMYFUNCTION("""COMPUTED_VALUE"""),28.0)</f>
        <v>28</v>
      </c>
      <c r="L791" s="275" t="str">
        <f>IFERROR(__xludf.DUMMYFUNCTION("""COMPUTED_VALUE"""),"RPG")</f>
        <v>RPG</v>
      </c>
    </row>
    <row r="792">
      <c r="A792" s="278" t="str">
        <f>IFERROR(__xludf.DUMMYFUNCTION("""COMPUTED_VALUE"""),"Fishing Sim World: Pro Tour")</f>
        <v>Fishing Sim World: Pro Tour</v>
      </c>
      <c r="B792" s="20" t="str">
        <f>IFERROR(__xludf.DUMMYFUNCTION("""COMPUTED_VALUE"""),"Xbox / PC")</f>
        <v>Xbox / PC</v>
      </c>
      <c r="C792" s="21" t="str">
        <f>IFERROR(__xludf.DUMMYFUNCTION("""COMPUTED_VALUE"""),"Yes")</f>
        <v>Yes</v>
      </c>
      <c r="D792" s="21" t="str">
        <f>IFERROR(__xludf.DUMMYFUNCTION("""COMPUTED_VALUE"""),"Removed")</f>
        <v>Removed</v>
      </c>
      <c r="E792" s="279">
        <f>IFERROR(__xludf.DUMMYFUNCTION("""COMPUTED_VALUE"""),43860.0)</f>
        <v>43860</v>
      </c>
      <c r="F792" s="279">
        <f>IFERROR(__xludf.DUMMYFUNCTION("""COMPUTED_VALUE"""),44225.0)</f>
        <v>44225</v>
      </c>
      <c r="G792" s="27">
        <f>IFERROR(__xludf.DUMMYFUNCTION("""COMPUTED_VALUE"""),11.966666666666667)</f>
        <v>11.96666667</v>
      </c>
      <c r="H792" s="128">
        <f>IFERROR(__xludf.DUMMYFUNCTION("""COMPUTED_VALUE"""),43361.0)</f>
        <v>43361</v>
      </c>
      <c r="I792" s="27">
        <f>IFERROR(__xludf.DUMMYFUNCTION("""COMPUTED_VALUE"""),1.3666666666666667)</f>
        <v>1.366666667</v>
      </c>
      <c r="J792" s="29">
        <f>IFERROR(__xludf.DUMMYFUNCTION("""COMPUTED_VALUE"""),70.0)</f>
        <v>70</v>
      </c>
      <c r="K792" s="29">
        <f>IFERROR(__xludf.DUMMYFUNCTION("""COMPUTED_VALUE"""),19.0)</f>
        <v>19</v>
      </c>
      <c r="L792" s="275" t="str">
        <f>IFERROR(__xludf.DUMMYFUNCTION("""COMPUTED_VALUE"""),"Fishing")</f>
        <v>Fishing</v>
      </c>
    </row>
    <row r="793">
      <c r="A793" s="278" t="str">
        <f>IFERROR(__xludf.DUMMYFUNCTION("""COMPUTED_VALUE"""),"Sea Salt")</f>
        <v>Sea Salt</v>
      </c>
      <c r="B793" s="20" t="str">
        <f>IFERROR(__xludf.DUMMYFUNCTION("""COMPUTED_VALUE"""),"Xbox / PC")</f>
        <v>Xbox / PC</v>
      </c>
      <c r="C793" s="21" t="str">
        <f>IFERROR(__xludf.DUMMYFUNCTION("""COMPUTED_VALUE"""),"Yes")</f>
        <v>Yes</v>
      </c>
      <c r="D793" s="21" t="str">
        <f>IFERROR(__xludf.DUMMYFUNCTION("""COMPUTED_VALUE"""),"Removed")</f>
        <v>Removed</v>
      </c>
      <c r="E793" s="279">
        <f>IFERROR(__xludf.DUMMYFUNCTION("""COMPUTED_VALUE"""),43860.0)</f>
        <v>43860</v>
      </c>
      <c r="F793" s="279">
        <f>IFERROR(__xludf.DUMMYFUNCTION("""COMPUTED_VALUE"""),44225.0)</f>
        <v>44225</v>
      </c>
      <c r="G793" s="27">
        <f>IFERROR(__xludf.DUMMYFUNCTION("""COMPUTED_VALUE"""),11.966666666666667)</f>
        <v>11.96666667</v>
      </c>
      <c r="H793" s="128">
        <f>IFERROR(__xludf.DUMMYFUNCTION("""COMPUTED_VALUE"""),43755.0)</f>
        <v>43755</v>
      </c>
      <c r="I793" s="27">
        <f>IFERROR(__xludf.DUMMYFUNCTION("""COMPUTED_VALUE"""),0.2861111111111111)</f>
        <v>0.2861111111</v>
      </c>
      <c r="J793" s="29">
        <f>IFERROR(__xludf.DUMMYFUNCTION("""COMPUTED_VALUE"""),68.0)</f>
        <v>68</v>
      </c>
      <c r="K793" s="29">
        <f>IFERROR(__xludf.DUMMYFUNCTION("""COMPUTED_VALUE"""),4.0)</f>
        <v>4</v>
      </c>
      <c r="L793" s="31" t="str">
        <f>IFERROR(__xludf.DUMMYFUNCTION("""COMPUTED_VALUE"""),"Action")</f>
        <v>Action</v>
      </c>
    </row>
    <row r="794">
      <c r="A794" s="278" t="str">
        <f>IFERROR(__xludf.DUMMYFUNCTION("""COMPUTED_VALUE"""),"Tekken 7")</f>
        <v>Tekken 7</v>
      </c>
      <c r="B794" s="20" t="str">
        <f>IFERROR(__xludf.DUMMYFUNCTION("""COMPUTED_VALUE"""),"Xbox")</f>
        <v>Xbox</v>
      </c>
      <c r="C794" s="21"/>
      <c r="D794" s="21" t="str">
        <f>IFERROR(__xludf.DUMMYFUNCTION("""COMPUTED_VALUE"""),"Removed")</f>
        <v>Removed</v>
      </c>
      <c r="E794" s="279">
        <f>IFERROR(__xludf.DUMMYFUNCTION("""COMPUTED_VALUE"""),43846.0)</f>
        <v>43846</v>
      </c>
      <c r="F794" s="279">
        <f>IFERROR(__xludf.DUMMYFUNCTION("""COMPUTED_VALUE"""),44211.0)</f>
        <v>44211</v>
      </c>
      <c r="G794" s="27">
        <f>IFERROR(__xludf.DUMMYFUNCTION("""COMPUTED_VALUE"""),11.966666666666667)</f>
        <v>11.96666667</v>
      </c>
      <c r="H794" s="128">
        <f>IFERROR(__xludf.DUMMYFUNCTION("""COMPUTED_VALUE"""),42081.0)</f>
        <v>42081</v>
      </c>
      <c r="I794" s="27">
        <f>IFERROR(__xludf.DUMMYFUNCTION("""COMPUTED_VALUE"""),4.8277777777777775)</f>
        <v>4.827777778</v>
      </c>
      <c r="J794" s="29">
        <f>IFERROR(__xludf.DUMMYFUNCTION("""COMPUTED_VALUE"""),81.0)</f>
        <v>81</v>
      </c>
      <c r="K794" s="29">
        <f>IFERROR(__xludf.DUMMYFUNCTION("""COMPUTED_VALUE"""),3.5)</f>
        <v>3.5</v>
      </c>
      <c r="L794" s="275" t="str">
        <f>IFERROR(__xludf.DUMMYFUNCTION("""COMPUTED_VALUE"""),"Fighting")</f>
        <v>Fighting</v>
      </c>
    </row>
    <row r="795">
      <c r="A795" s="278" t="str">
        <f>IFERROR(__xludf.DUMMYFUNCTION("""COMPUTED_VALUE"""),"Sword Art Online: Fatal Bullet")</f>
        <v>Sword Art Online: Fatal Bullet</v>
      </c>
      <c r="B795" s="20" t="str">
        <f>IFERROR(__xludf.DUMMYFUNCTION("""COMPUTED_VALUE"""),"Xbox")</f>
        <v>Xbox</v>
      </c>
      <c r="C795" s="21"/>
      <c r="D795" s="21" t="str">
        <f>IFERROR(__xludf.DUMMYFUNCTION("""COMPUTED_VALUE"""),"Removed")</f>
        <v>Removed</v>
      </c>
      <c r="E795" s="279">
        <f>IFERROR(__xludf.DUMMYFUNCTION("""COMPUTED_VALUE"""),43839.0)</f>
        <v>43839</v>
      </c>
      <c r="F795" s="279">
        <f>IFERROR(__xludf.DUMMYFUNCTION("""COMPUTED_VALUE"""),44211.0)</f>
        <v>44211</v>
      </c>
      <c r="G795" s="27">
        <f>IFERROR(__xludf.DUMMYFUNCTION("""COMPUTED_VALUE"""),12.2)</f>
        <v>12.2</v>
      </c>
      <c r="H795" s="128">
        <f>IFERROR(__xludf.DUMMYFUNCTION("""COMPUTED_VALUE"""),43139.0)</f>
        <v>43139</v>
      </c>
      <c r="I795" s="27">
        <f>IFERROR(__xludf.DUMMYFUNCTION("""COMPUTED_VALUE"""),1.9194444444444445)</f>
        <v>1.919444444</v>
      </c>
      <c r="J795" s="29">
        <f>IFERROR(__xludf.DUMMYFUNCTION("""COMPUTED_VALUE"""),72.0)</f>
        <v>72</v>
      </c>
      <c r="K795" s="29">
        <f>IFERROR(__xludf.DUMMYFUNCTION("""COMPUTED_VALUE"""),27.0)</f>
        <v>27</v>
      </c>
      <c r="L795" s="275" t="str">
        <f>IFERROR(__xludf.DUMMYFUNCTION("""COMPUTED_VALUE"""),"Shooter")</f>
        <v>Shooter</v>
      </c>
    </row>
    <row r="796">
      <c r="A796" s="17" t="str">
        <f>IFERROR(__xludf.DUMMYFUNCTION("""COMPUTED_VALUE"""),"FTL: Faster Than Light")</f>
        <v>FTL: Faster Than Light</v>
      </c>
      <c r="B796" s="20" t="str">
        <f>IFERROR(__xludf.DUMMYFUNCTION("""COMPUTED_VALUE"""),"PC")</f>
        <v>PC</v>
      </c>
      <c r="C796" s="21"/>
      <c r="D796" s="21" t="str">
        <f>IFERROR(__xludf.DUMMYFUNCTION("""COMPUTED_VALUE"""),"Removed")</f>
        <v>Removed</v>
      </c>
      <c r="E796" s="279">
        <f>IFERROR(__xludf.DUMMYFUNCTION("""COMPUTED_VALUE"""),43837.0)</f>
        <v>43837</v>
      </c>
      <c r="F796" s="279">
        <f>IFERROR(__xludf.DUMMYFUNCTION("""COMPUTED_VALUE"""),44211.0)</f>
        <v>44211</v>
      </c>
      <c r="G796" s="27">
        <f>IFERROR(__xludf.DUMMYFUNCTION("""COMPUTED_VALUE"""),12.266666666666666)</f>
        <v>12.26666667</v>
      </c>
      <c r="H796" s="128">
        <f>IFERROR(__xludf.DUMMYFUNCTION("""COMPUTED_VALUE"""),41166.0)</f>
        <v>41166</v>
      </c>
      <c r="I796" s="27">
        <f>IFERROR(__xludf.DUMMYFUNCTION("""COMPUTED_VALUE"""),7.313888888888889)</f>
        <v>7.313888889</v>
      </c>
      <c r="J796" s="29">
        <f>IFERROR(__xludf.DUMMYFUNCTION("""COMPUTED_VALUE"""),84.0)</f>
        <v>84</v>
      </c>
      <c r="K796" s="29">
        <f>IFERROR(__xludf.DUMMYFUNCTION("""COMPUTED_VALUE"""),11.5)</f>
        <v>11.5</v>
      </c>
      <c r="L796" s="275" t="str">
        <f>IFERROR(__xludf.DUMMYFUNCTION("""COMPUTED_VALUE"""),"RPG")</f>
        <v>RPG</v>
      </c>
    </row>
    <row r="797">
      <c r="A797" s="278" t="str">
        <f>IFERROR(__xludf.DUMMYFUNCTION("""COMPUTED_VALUE"""),"Football Manager 2020")</f>
        <v>Football Manager 2020</v>
      </c>
      <c r="B797" s="20" t="str">
        <f>IFERROR(__xludf.DUMMYFUNCTION("""COMPUTED_VALUE"""),"PC")</f>
        <v>PC</v>
      </c>
      <c r="C797" s="21"/>
      <c r="D797" s="21" t="str">
        <f>IFERROR(__xludf.DUMMYFUNCTION("""COMPUTED_VALUE"""),"Removed")</f>
        <v>Removed</v>
      </c>
      <c r="E797" s="279">
        <f>IFERROR(__xludf.DUMMYFUNCTION("""COMPUTED_VALUE"""),43931.0)</f>
        <v>43931</v>
      </c>
      <c r="F797" s="279">
        <f>IFERROR(__xludf.DUMMYFUNCTION("""COMPUTED_VALUE"""),44195.0)</f>
        <v>44195</v>
      </c>
      <c r="G797" s="27">
        <f>IFERROR(__xludf.DUMMYFUNCTION("""COMPUTED_VALUE"""),8.666666666666666)</f>
        <v>8.666666667</v>
      </c>
      <c r="H797" s="128">
        <f>IFERROR(__xludf.DUMMYFUNCTION("""COMPUTED_VALUE"""),43787.0)</f>
        <v>43787</v>
      </c>
      <c r="I797" s="27">
        <f>IFERROR(__xludf.DUMMYFUNCTION("""COMPUTED_VALUE"""),0.39444444444444443)</f>
        <v>0.3944444444</v>
      </c>
      <c r="J797" s="29">
        <f>IFERROR(__xludf.DUMMYFUNCTION("""COMPUTED_VALUE"""),84.0)</f>
        <v>84</v>
      </c>
      <c r="K797" s="29">
        <f>IFERROR(__xludf.DUMMYFUNCTION("""COMPUTED_VALUE"""),580.0)</f>
        <v>580</v>
      </c>
      <c r="L797" s="275" t="str">
        <f>IFERROR(__xludf.DUMMYFUNCTION("""COMPUTED_VALUE"""),"Sports")</f>
        <v>Sports</v>
      </c>
    </row>
    <row r="798">
      <c r="A798" s="17" t="str">
        <f>IFERROR(__xludf.DUMMYFUNCTION("""COMPUTED_VALUE"""),"Farming Simulator 17")</f>
        <v>Farming Simulator 17</v>
      </c>
      <c r="B798" s="20" t="str">
        <f>IFERROR(__xludf.DUMMYFUNCTION("""COMPUTED_VALUE"""),"Xbox / PC")</f>
        <v>Xbox / PC</v>
      </c>
      <c r="C798" s="21" t="str">
        <f>IFERROR(__xludf.DUMMYFUNCTION("""COMPUTED_VALUE"""),"Yes")</f>
        <v>Yes</v>
      </c>
      <c r="D798" s="21" t="str">
        <f>IFERROR(__xludf.DUMMYFUNCTION("""COMPUTED_VALUE"""),"Removed")</f>
        <v>Removed</v>
      </c>
      <c r="E798" s="279">
        <f>IFERROR(__xludf.DUMMYFUNCTION("""COMPUTED_VALUE"""),43468.0)</f>
        <v>43468</v>
      </c>
      <c r="F798" s="279">
        <f>IFERROR(__xludf.DUMMYFUNCTION("""COMPUTED_VALUE"""),44195.0)</f>
        <v>44195</v>
      </c>
      <c r="G798" s="27">
        <f>IFERROR(__xludf.DUMMYFUNCTION("""COMPUTED_VALUE"""),23.9)</f>
        <v>23.9</v>
      </c>
      <c r="H798" s="128">
        <f>IFERROR(__xludf.DUMMYFUNCTION("""COMPUTED_VALUE"""),42667.0)</f>
        <v>42667</v>
      </c>
      <c r="I798" s="27">
        <f>IFERROR(__xludf.DUMMYFUNCTION("""COMPUTED_VALUE"""),2.191666666666667)</f>
        <v>2.191666667</v>
      </c>
      <c r="J798" s="29">
        <f>IFERROR(__xludf.DUMMYFUNCTION("""COMPUTED_VALUE"""),65.0)</f>
        <v>65</v>
      </c>
      <c r="K798" s="29">
        <f>IFERROR(__xludf.DUMMYFUNCTION("""COMPUTED_VALUE"""),37.0)</f>
        <v>37</v>
      </c>
      <c r="L798" s="275" t="str">
        <f>IFERROR(__xludf.DUMMYFUNCTION("""COMPUTED_VALUE"""),"Simulation")</f>
        <v>Simulation</v>
      </c>
    </row>
    <row r="799">
      <c r="A799" s="17" t="str">
        <f>IFERROR(__xludf.DUMMYFUNCTION("""COMPUTED_VALUE"""),"Mortal Kombat X")</f>
        <v>Mortal Kombat X</v>
      </c>
      <c r="B799" s="20" t="str">
        <f>IFERROR(__xludf.DUMMYFUNCTION("""COMPUTED_VALUE"""),"Xbox")</f>
        <v>Xbox</v>
      </c>
      <c r="C799" s="21" t="str">
        <f>IFERROR(__xludf.DUMMYFUNCTION("""COMPUTED_VALUE"""),"Yes")</f>
        <v>Yes</v>
      </c>
      <c r="D799" s="21" t="str">
        <f>IFERROR(__xludf.DUMMYFUNCTION("""COMPUTED_VALUE"""),"Removed")</f>
        <v>Removed</v>
      </c>
      <c r="E799" s="279">
        <f>IFERROR(__xludf.DUMMYFUNCTION("""COMPUTED_VALUE"""),43441.0)</f>
        <v>43441</v>
      </c>
      <c r="F799" s="279">
        <f>IFERROR(__xludf.DUMMYFUNCTION("""COMPUTED_VALUE"""),44195.0)</f>
        <v>44195</v>
      </c>
      <c r="G799" s="27">
        <f>IFERROR(__xludf.DUMMYFUNCTION("""COMPUTED_VALUE"""),24.76666666666667)</f>
        <v>24.76666667</v>
      </c>
      <c r="H799" s="128">
        <f>IFERROR(__xludf.DUMMYFUNCTION("""COMPUTED_VALUE"""),42108.0)</f>
        <v>42108</v>
      </c>
      <c r="I799" s="27">
        <f>IFERROR(__xludf.DUMMYFUNCTION("""COMPUTED_VALUE"""),3.647222222222222)</f>
        <v>3.647222222</v>
      </c>
      <c r="J799" s="29">
        <f>IFERROR(__xludf.DUMMYFUNCTION("""COMPUTED_VALUE"""),86.0)</f>
        <v>86</v>
      </c>
      <c r="K799" s="29">
        <f>IFERROR(__xludf.DUMMYFUNCTION("""COMPUTED_VALUE"""),5.5)</f>
        <v>5.5</v>
      </c>
      <c r="L799" s="275" t="str">
        <f>IFERROR(__xludf.DUMMYFUNCTION("""COMPUTED_VALUE"""),"Fighting")</f>
        <v>Fighting</v>
      </c>
    </row>
    <row r="800">
      <c r="A800" s="278" t="str">
        <f>IFERROR(__xludf.DUMMYFUNCTION("""COMPUTED_VALUE"""),"Infinifactory")</f>
        <v>Infinifactory</v>
      </c>
      <c r="B800" s="20" t="str">
        <f>IFERROR(__xludf.DUMMYFUNCTION("""COMPUTED_VALUE"""),"PC")</f>
        <v>PC</v>
      </c>
      <c r="C800" s="21"/>
      <c r="D800" s="21" t="str">
        <f>IFERROR(__xludf.DUMMYFUNCTION("""COMPUTED_VALUE"""),"Removed")</f>
        <v>Removed</v>
      </c>
      <c r="E800" s="279">
        <f>IFERROR(__xludf.DUMMYFUNCTION("""COMPUTED_VALUE"""),43818.0)</f>
        <v>43818</v>
      </c>
      <c r="F800" s="279">
        <f>IFERROR(__xludf.DUMMYFUNCTION("""COMPUTED_VALUE"""),44180.0)</f>
        <v>44180</v>
      </c>
      <c r="G800" s="27">
        <f>IFERROR(__xludf.DUMMYFUNCTION("""COMPUTED_VALUE"""),11.866666666666667)</f>
        <v>11.86666667</v>
      </c>
      <c r="H800" s="128">
        <f>IFERROR(__xludf.DUMMYFUNCTION("""COMPUTED_VALUE"""),42185.0)</f>
        <v>42185</v>
      </c>
      <c r="I800" s="27">
        <f>IFERROR(__xludf.DUMMYFUNCTION("""COMPUTED_VALUE"""),4.469444444444444)</f>
        <v>4.469444444</v>
      </c>
      <c r="J800" s="29">
        <f>IFERROR(__xludf.DUMMYFUNCTION("""COMPUTED_VALUE"""),85.0)</f>
        <v>85</v>
      </c>
      <c r="K800" s="29">
        <f>IFERROR(__xludf.DUMMYFUNCTION("""COMPUTED_VALUE"""),38.0)</f>
        <v>38</v>
      </c>
      <c r="L800" s="275" t="str">
        <f>IFERROR(__xludf.DUMMYFUNCTION("""COMPUTED_VALUE"""),"Puzzle")</f>
        <v>Puzzle</v>
      </c>
    </row>
    <row r="801">
      <c r="A801" s="278" t="str">
        <f>IFERROR(__xludf.DUMMYFUNCTION("""COMPUTED_VALUE"""),"Untitled Goose Game")</f>
        <v>Untitled Goose Game</v>
      </c>
      <c r="B801" s="20" t="str">
        <f>IFERROR(__xludf.DUMMYFUNCTION("""COMPUTED_VALUE"""),"Xbox")</f>
        <v>Xbox</v>
      </c>
      <c r="C801" s="21" t="str">
        <f>IFERROR(__xludf.DUMMYFUNCTION("""COMPUTED_VALUE"""),"Yes")</f>
        <v>Yes</v>
      </c>
      <c r="D801" s="21" t="str">
        <f>IFERROR(__xludf.DUMMYFUNCTION("""COMPUTED_VALUE"""),"Removed")</f>
        <v>Removed</v>
      </c>
      <c r="E801" s="279">
        <f>IFERROR(__xludf.DUMMYFUNCTION("""COMPUTED_VALUE"""),43816.0)</f>
        <v>43816</v>
      </c>
      <c r="F801" s="279">
        <f>IFERROR(__xludf.DUMMYFUNCTION("""COMPUTED_VALUE"""),44180.0)</f>
        <v>44180</v>
      </c>
      <c r="G801" s="27">
        <f>IFERROR(__xludf.DUMMYFUNCTION("""COMPUTED_VALUE"""),11.933333333333334)</f>
        <v>11.93333333</v>
      </c>
      <c r="H801" s="128">
        <f>IFERROR(__xludf.DUMMYFUNCTION("""COMPUTED_VALUE"""),43728.0)</f>
        <v>43728</v>
      </c>
      <c r="I801" s="27">
        <f>IFERROR(__xludf.DUMMYFUNCTION("""COMPUTED_VALUE"""),0.24166666666666667)</f>
        <v>0.2416666667</v>
      </c>
      <c r="J801" s="29">
        <f>IFERROR(__xludf.DUMMYFUNCTION("""COMPUTED_VALUE"""),81.0)</f>
        <v>81</v>
      </c>
      <c r="K801" s="29">
        <f>IFERROR(__xludf.DUMMYFUNCTION("""COMPUTED_VALUE"""),3.0)</f>
        <v>3</v>
      </c>
      <c r="L801" s="275" t="str">
        <f>IFERROR(__xludf.DUMMYFUNCTION("""COMPUTED_VALUE"""),"Action")</f>
        <v>Action</v>
      </c>
    </row>
    <row r="802">
      <c r="A802" s="17" t="str">
        <f>IFERROR(__xludf.DUMMYFUNCTION("""COMPUTED_VALUE"""),"Pathologic 2")</f>
        <v>Pathologic 2</v>
      </c>
      <c r="B802" s="20" t="str">
        <f>IFERROR(__xludf.DUMMYFUNCTION("""COMPUTED_VALUE"""),"Xbox / PC")</f>
        <v>Xbox / PC</v>
      </c>
      <c r="C802" s="21" t="str">
        <f>IFERROR(__xludf.DUMMYFUNCTION("""COMPUTED_VALUE"""),"Yes")</f>
        <v>Yes</v>
      </c>
      <c r="D802" s="21" t="str">
        <f>IFERROR(__xludf.DUMMYFUNCTION("""COMPUTED_VALUE"""),"Removed")</f>
        <v>Removed</v>
      </c>
      <c r="E802" s="279">
        <f>IFERROR(__xludf.DUMMYFUNCTION("""COMPUTED_VALUE"""),43811.0)</f>
        <v>43811</v>
      </c>
      <c r="F802" s="279">
        <f>IFERROR(__xludf.DUMMYFUNCTION("""COMPUTED_VALUE"""),44180.0)</f>
        <v>44180</v>
      </c>
      <c r="G802" s="27">
        <f>IFERROR(__xludf.DUMMYFUNCTION("""COMPUTED_VALUE"""),12.1)</f>
        <v>12.1</v>
      </c>
      <c r="H802" s="128">
        <f>IFERROR(__xludf.DUMMYFUNCTION("""COMPUTED_VALUE"""),43608.0)</f>
        <v>43608</v>
      </c>
      <c r="I802" s="27">
        <f>IFERROR(__xludf.DUMMYFUNCTION("""COMPUTED_VALUE"""),0.5527777777777778)</f>
        <v>0.5527777778</v>
      </c>
      <c r="J802" s="29">
        <f>IFERROR(__xludf.DUMMYFUNCTION("""COMPUTED_VALUE"""),67.0)</f>
        <v>67</v>
      </c>
      <c r="K802" s="29">
        <f>IFERROR(__xludf.DUMMYFUNCTION("""COMPUTED_VALUE"""),19.0)</f>
        <v>19</v>
      </c>
      <c r="L802" s="275" t="str">
        <f>IFERROR(__xludf.DUMMYFUNCTION("""COMPUTED_VALUE"""),"RPG")</f>
        <v>RPG</v>
      </c>
    </row>
    <row r="803">
      <c r="A803" s="278" t="str">
        <f>IFERROR(__xludf.DUMMYFUNCTION("""COMPUTED_VALUE"""),"Ticket to Ride")</f>
        <v>Ticket to Ride</v>
      </c>
      <c r="B803" s="20" t="str">
        <f>IFERROR(__xludf.DUMMYFUNCTION("""COMPUTED_VALUE"""),"Xbox / PC")</f>
        <v>Xbox / PC</v>
      </c>
      <c r="C803" s="21"/>
      <c r="D803" s="21" t="str">
        <f>IFERROR(__xludf.DUMMYFUNCTION("""COMPUTED_VALUE"""),"Removed")</f>
        <v>Removed</v>
      </c>
      <c r="E803" s="279">
        <f>IFERROR(__xludf.DUMMYFUNCTION("""COMPUTED_VALUE"""),43809.0)</f>
        <v>43809</v>
      </c>
      <c r="F803" s="279">
        <f>IFERROR(__xludf.DUMMYFUNCTION("""COMPUTED_VALUE"""),44180.0)</f>
        <v>44180</v>
      </c>
      <c r="G803" s="27">
        <f>IFERROR(__xludf.DUMMYFUNCTION("""COMPUTED_VALUE"""),12.166666666666666)</f>
        <v>12.16666667</v>
      </c>
      <c r="H803" s="128">
        <f>IFERROR(__xludf.DUMMYFUNCTION("""COMPUTED_VALUE"""),39624.0)</f>
        <v>39624</v>
      </c>
      <c r="I803" s="27">
        <f>IFERROR(__xludf.DUMMYFUNCTION("""COMPUTED_VALUE"""),11.458333333333334)</f>
        <v>11.45833333</v>
      </c>
      <c r="J803" s="29">
        <f>IFERROR(__xludf.DUMMYFUNCTION("""COMPUTED_VALUE"""),70.0)</f>
        <v>70</v>
      </c>
      <c r="K803" s="29">
        <f>IFERROR(__xludf.DUMMYFUNCTION("""COMPUTED_VALUE"""),0.5)</f>
        <v>0.5</v>
      </c>
      <c r="L803" s="275" t="str">
        <f>IFERROR(__xludf.DUMMYFUNCTION("""COMPUTED_VALUE"""),"Strategy")</f>
        <v>Strategy</v>
      </c>
    </row>
    <row r="804">
      <c r="A804" s="17" t="str">
        <f>IFERROR(__xludf.DUMMYFUNCTION("""COMPUTED_VALUE"""),"Naruto to Boruto: Shinobi Striker")</f>
        <v>Naruto to Boruto: Shinobi Striker</v>
      </c>
      <c r="B804" s="20" t="str">
        <f>IFERROR(__xludf.DUMMYFUNCTION("""COMPUTED_VALUE"""),"Xbox")</f>
        <v>Xbox</v>
      </c>
      <c r="C804" s="21"/>
      <c r="D804" s="21" t="str">
        <f>IFERROR(__xludf.DUMMYFUNCTION("""COMPUTED_VALUE"""),"Removed")</f>
        <v>Removed</v>
      </c>
      <c r="E804" s="279">
        <f>IFERROR(__xludf.DUMMYFUNCTION("""COMPUTED_VALUE"""),43804.0)</f>
        <v>43804</v>
      </c>
      <c r="F804" s="279">
        <f>IFERROR(__xludf.DUMMYFUNCTION("""COMPUTED_VALUE"""),44180.0)</f>
        <v>44180</v>
      </c>
      <c r="G804" s="27">
        <f>IFERROR(__xludf.DUMMYFUNCTION("""COMPUTED_VALUE"""),12.333333333333332)</f>
        <v>12.33333333</v>
      </c>
      <c r="H804" s="128">
        <f>IFERROR(__xludf.DUMMYFUNCTION("""COMPUTED_VALUE"""),43343.0)</f>
        <v>43343</v>
      </c>
      <c r="I804" s="27">
        <f>IFERROR(__xludf.DUMMYFUNCTION("""COMPUTED_VALUE"""),1.2638888888888888)</f>
        <v>1.263888889</v>
      </c>
      <c r="J804" s="29">
        <f>IFERROR(__xludf.DUMMYFUNCTION("""COMPUTED_VALUE"""),60.0)</f>
        <v>60</v>
      </c>
      <c r="K804" s="277">
        <f>IFERROR(__xludf.DUMMYFUNCTION("""COMPUTED_VALUE"""),7.0)</f>
        <v>7</v>
      </c>
      <c r="L804" s="275" t="str">
        <f>IFERROR(__xludf.DUMMYFUNCTION("""COMPUTED_VALUE"""),"Fighting")</f>
        <v>Fighting</v>
      </c>
    </row>
    <row r="805">
      <c r="A805" s="278" t="str">
        <f>IFERROR(__xludf.DUMMYFUNCTION("""COMPUTED_VALUE"""),"Age of Wonders: Planetfall")</f>
        <v>Age of Wonders: Planetfall</v>
      </c>
      <c r="B805" s="20" t="str">
        <f>IFERROR(__xludf.DUMMYFUNCTION("""COMPUTED_VALUE"""),"Xbox / PC")</f>
        <v>Xbox / PC</v>
      </c>
      <c r="C805" s="21" t="str">
        <f>IFERROR(__xludf.DUMMYFUNCTION("""COMPUTED_VALUE"""),"Yes")</f>
        <v>Yes</v>
      </c>
      <c r="D805" s="21" t="str">
        <f>IFERROR(__xludf.DUMMYFUNCTION("""COMPUTED_VALUE"""),"Removed")</f>
        <v>Removed</v>
      </c>
      <c r="E805" s="279">
        <f>IFERROR(__xludf.DUMMYFUNCTION("""COMPUTED_VALUE"""),43783.0)</f>
        <v>43783</v>
      </c>
      <c r="F805" s="279">
        <f>IFERROR(__xludf.DUMMYFUNCTION("""COMPUTED_VALUE"""),44180.0)</f>
        <v>44180</v>
      </c>
      <c r="G805" s="27">
        <f>IFERROR(__xludf.DUMMYFUNCTION("""COMPUTED_VALUE"""),13.033333333333331)</f>
        <v>13.03333333</v>
      </c>
      <c r="H805" s="128">
        <f>IFERROR(__xludf.DUMMYFUNCTION("""COMPUTED_VALUE"""),43683.0)</f>
        <v>43683</v>
      </c>
      <c r="I805" s="27">
        <f>IFERROR(__xludf.DUMMYFUNCTION("""COMPUTED_VALUE"""),0.2722222222222222)</f>
        <v>0.2722222222</v>
      </c>
      <c r="J805" s="29">
        <f>IFERROR(__xludf.DUMMYFUNCTION("""COMPUTED_VALUE"""),85.0)</f>
        <v>85</v>
      </c>
      <c r="K805" s="29">
        <f>IFERROR(__xludf.DUMMYFUNCTION("""COMPUTED_VALUE"""),48.0)</f>
        <v>48</v>
      </c>
      <c r="L805" s="275" t="str">
        <f>IFERROR(__xludf.DUMMYFUNCTION("""COMPUTED_VALUE"""),"Strategy")</f>
        <v>Strategy</v>
      </c>
    </row>
    <row r="806">
      <c r="A806" s="278" t="str">
        <f>IFERROR(__xludf.DUMMYFUNCTION("""COMPUTED_VALUE"""),"The Turing Test")</f>
        <v>The Turing Test</v>
      </c>
      <c r="B806" s="20" t="str">
        <f>IFERROR(__xludf.DUMMYFUNCTION("""COMPUTED_VALUE"""),"Xbox / PC")</f>
        <v>Xbox / PC</v>
      </c>
      <c r="C806" s="21" t="str">
        <f>IFERROR(__xludf.DUMMYFUNCTION("""COMPUTED_VALUE"""),"Yes")</f>
        <v>Yes</v>
      </c>
      <c r="D806" s="21" t="str">
        <f>IFERROR(__xludf.DUMMYFUNCTION("""COMPUTED_VALUE"""),"Removed")</f>
        <v>Removed</v>
      </c>
      <c r="E806" s="279">
        <f>IFERROR(__xludf.DUMMYFUNCTION("""COMPUTED_VALUE"""),43625.0)</f>
        <v>43625</v>
      </c>
      <c r="F806" s="279">
        <f>IFERROR(__xludf.DUMMYFUNCTION("""COMPUTED_VALUE"""),44180.0)</f>
        <v>44180</v>
      </c>
      <c r="G806" s="27">
        <f>IFERROR(__xludf.DUMMYFUNCTION("""COMPUTED_VALUE"""),18.2)</f>
        <v>18.2</v>
      </c>
      <c r="H806" s="128">
        <f>IFERROR(__xludf.DUMMYFUNCTION("""COMPUTED_VALUE"""),42598.0)</f>
        <v>42598</v>
      </c>
      <c r="I806" s="27">
        <f>IFERROR(__xludf.DUMMYFUNCTION("""COMPUTED_VALUE"""),2.813888888888889)</f>
        <v>2.813888889</v>
      </c>
      <c r="J806" s="29">
        <f>IFERROR(__xludf.DUMMYFUNCTION("""COMPUTED_VALUE"""),80.0)</f>
        <v>80</v>
      </c>
      <c r="K806" s="29">
        <f>IFERROR(__xludf.DUMMYFUNCTION("""COMPUTED_VALUE"""),5.0)</f>
        <v>5</v>
      </c>
      <c r="L806" s="275" t="str">
        <f>IFERROR(__xludf.DUMMYFUNCTION("""COMPUTED_VALUE"""),"Puzzle")</f>
        <v>Puzzle</v>
      </c>
    </row>
    <row r="807">
      <c r="A807" s="278" t="str">
        <f>IFERROR(__xludf.DUMMYFUNCTION("""COMPUTED_VALUE"""),"MudRunner")</f>
        <v>MudRunner</v>
      </c>
      <c r="B807" s="20" t="str">
        <f>IFERROR(__xludf.DUMMYFUNCTION("""COMPUTED_VALUE"""),"Xbox / PC")</f>
        <v>Xbox / PC</v>
      </c>
      <c r="C807" s="21" t="str">
        <f>IFERROR(__xludf.DUMMYFUNCTION("""COMPUTED_VALUE"""),"Yes")</f>
        <v>Yes</v>
      </c>
      <c r="D807" s="21" t="str">
        <f>IFERROR(__xludf.DUMMYFUNCTION("""COMPUTED_VALUE"""),"Removed")</f>
        <v>Removed</v>
      </c>
      <c r="E807" s="279">
        <f>IFERROR(__xludf.DUMMYFUNCTION("""COMPUTED_VALUE"""),43447.0)</f>
        <v>43447</v>
      </c>
      <c r="F807" s="279">
        <f>IFERROR(__xludf.DUMMYFUNCTION("""COMPUTED_VALUE"""),44180.0)</f>
        <v>44180</v>
      </c>
      <c r="G807" s="27">
        <f>IFERROR(__xludf.DUMMYFUNCTION("""COMPUTED_VALUE"""),24.066666666666666)</f>
        <v>24.06666667</v>
      </c>
      <c r="H807" s="128">
        <f>IFERROR(__xludf.DUMMYFUNCTION("""COMPUTED_VALUE"""),43039.0)</f>
        <v>43039</v>
      </c>
      <c r="I807" s="27">
        <f>IFERROR(__xludf.DUMMYFUNCTION("""COMPUTED_VALUE"""),1.1194444444444445)</f>
        <v>1.119444444</v>
      </c>
      <c r="J807" s="29">
        <f>IFERROR(__xludf.DUMMYFUNCTION("""COMPUTED_VALUE"""),72.0)</f>
        <v>72</v>
      </c>
      <c r="K807" s="29">
        <f>IFERROR(__xludf.DUMMYFUNCTION("""COMPUTED_VALUE"""),16.5)</f>
        <v>16.5</v>
      </c>
      <c r="L807" s="275" t="str">
        <f>IFERROR(__xludf.DUMMYFUNCTION("""COMPUTED_VALUE"""),"Racing")</f>
        <v>Racing</v>
      </c>
    </row>
    <row r="808">
      <c r="A808" s="278" t="str">
        <f>IFERROR(__xludf.DUMMYFUNCTION("""COMPUTED_VALUE"""),"Metro: Last Light Redux")</f>
        <v>Metro: Last Light Redux</v>
      </c>
      <c r="B808" s="20" t="str">
        <f>IFERROR(__xludf.DUMMYFUNCTION("""COMPUTED_VALUE"""),"PC")</f>
        <v>PC</v>
      </c>
      <c r="C808" s="21"/>
      <c r="D808" s="21" t="str">
        <f>IFERROR(__xludf.DUMMYFUNCTION("""COMPUTED_VALUE"""),"Removed")</f>
        <v>Removed</v>
      </c>
      <c r="E808" s="279">
        <f>IFERROR(__xludf.DUMMYFUNCTION("""COMPUTED_VALUE"""),42979.0)</f>
        <v>42979</v>
      </c>
      <c r="F808" s="279">
        <f>IFERROR(__xludf.DUMMYFUNCTION("""COMPUTED_VALUE"""),44180.0)</f>
        <v>44180</v>
      </c>
      <c r="G808" s="27">
        <f>IFERROR(__xludf.DUMMYFUNCTION("""COMPUTED_VALUE"""),39.46666666666667)</f>
        <v>39.46666667</v>
      </c>
      <c r="H808" s="128">
        <f>IFERROR(__xludf.DUMMYFUNCTION("""COMPUTED_VALUE"""),41877.0)</f>
        <v>41877</v>
      </c>
      <c r="I808" s="27">
        <f>IFERROR(__xludf.DUMMYFUNCTION("""COMPUTED_VALUE"""),3.013888888888889)</f>
        <v>3.013888889</v>
      </c>
      <c r="J808" s="29">
        <f>IFERROR(__xludf.DUMMYFUNCTION("""COMPUTED_VALUE"""),88.0)</f>
        <v>88</v>
      </c>
      <c r="K808" s="29">
        <f>IFERROR(__xludf.DUMMYFUNCTION("""COMPUTED_VALUE"""),10.0)</f>
        <v>10</v>
      </c>
      <c r="L808" s="275" t="str">
        <f>IFERROR(__xludf.DUMMYFUNCTION("""COMPUTED_VALUE"""),"Adventure")</f>
        <v>Adventure</v>
      </c>
    </row>
    <row r="809">
      <c r="A809" s="278" t="str">
        <f>IFERROR(__xludf.DUMMYFUNCTION("""COMPUTED_VALUE"""),"eFootball PES 2020")</f>
        <v>eFootball PES 2020</v>
      </c>
      <c r="B809" s="20" t="str">
        <f>IFERROR(__xludf.DUMMYFUNCTION("""COMPUTED_VALUE"""),"Xbox")</f>
        <v>Xbox</v>
      </c>
      <c r="C809" s="21"/>
      <c r="D809" s="21" t="str">
        <f>IFERROR(__xludf.DUMMYFUNCTION("""COMPUTED_VALUE"""),"Removed")</f>
        <v>Removed</v>
      </c>
      <c r="E809" s="279">
        <f>IFERROR(__xludf.DUMMYFUNCTION("""COMPUTED_VALUE"""),43811.0)</f>
        <v>43811</v>
      </c>
      <c r="F809" s="279">
        <f>IFERROR(__xludf.DUMMYFUNCTION("""COMPUTED_VALUE"""),44176.0)</f>
        <v>44176</v>
      </c>
      <c r="G809" s="27">
        <f>IFERROR(__xludf.DUMMYFUNCTION("""COMPUTED_VALUE"""),11.966666666666667)</f>
        <v>11.96666667</v>
      </c>
      <c r="H809" s="128">
        <f>IFERROR(__xludf.DUMMYFUNCTION("""COMPUTED_VALUE"""),43718.0)</f>
        <v>43718</v>
      </c>
      <c r="I809" s="27">
        <f>IFERROR(__xludf.DUMMYFUNCTION("""COMPUTED_VALUE"""),0.25555555555555554)</f>
        <v>0.2555555556</v>
      </c>
      <c r="J809" s="29">
        <f>IFERROR(__xludf.DUMMYFUNCTION("""COMPUTED_VALUE"""),82.0)</f>
        <v>82</v>
      </c>
      <c r="K809" s="29">
        <f>IFERROR(__xludf.DUMMYFUNCTION("""COMPUTED_VALUE"""),5.5)</f>
        <v>5.5</v>
      </c>
      <c r="L809" s="275" t="str">
        <f>IFERROR(__xludf.DUMMYFUNCTION("""COMPUTED_VALUE"""),"Soccer")</f>
        <v>Soccer</v>
      </c>
    </row>
    <row r="810">
      <c r="A810" s="278" t="str">
        <f>IFERROR(__xludf.DUMMYFUNCTION("""COMPUTED_VALUE"""),"Demon's Tilt")</f>
        <v>Demon's Tilt</v>
      </c>
      <c r="B810" s="20" t="str">
        <f>IFERROR(__xludf.DUMMYFUNCTION("""COMPUTED_VALUE"""),"Xbox / PC")</f>
        <v>Xbox / PC</v>
      </c>
      <c r="C810" s="21" t="str">
        <f>IFERROR(__xludf.DUMMYFUNCTION("""COMPUTED_VALUE"""),"Yes")</f>
        <v>Yes</v>
      </c>
      <c r="D810" s="21" t="str">
        <f>IFERROR(__xludf.DUMMYFUNCTION("""COMPUTED_VALUE"""),"Removed")</f>
        <v>Removed</v>
      </c>
      <c r="E810" s="279">
        <f>IFERROR(__xludf.DUMMYFUNCTION("""COMPUTED_VALUE"""),43805.0)</f>
        <v>43805</v>
      </c>
      <c r="F810" s="279">
        <f>IFERROR(__xludf.DUMMYFUNCTION("""COMPUTED_VALUE"""),44166.0)</f>
        <v>44166</v>
      </c>
      <c r="G810" s="27">
        <f>IFERROR(__xludf.DUMMYFUNCTION("""COMPUTED_VALUE"""),11.833333333333334)</f>
        <v>11.83333333</v>
      </c>
      <c r="H810" s="128">
        <f>IFERROR(__xludf.DUMMYFUNCTION("""COMPUTED_VALUE"""),43487.0)</f>
        <v>43487</v>
      </c>
      <c r="I810" s="27">
        <f>IFERROR(__xludf.DUMMYFUNCTION("""COMPUTED_VALUE"""),0.8722222222222222)</f>
        <v>0.8722222222</v>
      </c>
      <c r="J810" s="29">
        <f>IFERROR(__xludf.DUMMYFUNCTION("""COMPUTED_VALUE"""),69.5)</f>
        <v>69.5</v>
      </c>
      <c r="K810" s="29">
        <f>IFERROR(__xludf.DUMMYFUNCTION("""COMPUTED_VALUE"""),7.0)</f>
        <v>7</v>
      </c>
      <c r="L810" s="275" t="str">
        <f>IFERROR(__xludf.DUMMYFUNCTION("""COMPUTED_VALUE"""),"Pinball")</f>
        <v>Pinball</v>
      </c>
    </row>
    <row r="811">
      <c r="A811" s="278" t="str">
        <f>IFERROR(__xludf.DUMMYFUNCTION("""COMPUTED_VALUE"""),"Wandersong")</f>
        <v>Wandersong</v>
      </c>
      <c r="B811" s="20" t="str">
        <f>IFERROR(__xludf.DUMMYFUNCTION("""COMPUTED_VALUE"""),"Xbox / PC")</f>
        <v>Xbox / PC</v>
      </c>
      <c r="C811" s="21" t="str">
        <f>IFERROR(__xludf.DUMMYFUNCTION("""COMPUTED_VALUE"""),"Yes")</f>
        <v>Yes</v>
      </c>
      <c r="D811" s="21" t="str">
        <f>IFERROR(__xludf.DUMMYFUNCTION("""COMPUTED_VALUE"""),"Removed")</f>
        <v>Removed</v>
      </c>
      <c r="E811" s="279">
        <f>IFERROR(__xludf.DUMMYFUNCTION("""COMPUTED_VALUE"""),43805.0)</f>
        <v>43805</v>
      </c>
      <c r="F811" s="279">
        <f>IFERROR(__xludf.DUMMYFUNCTION("""COMPUTED_VALUE"""),44166.0)</f>
        <v>44166</v>
      </c>
      <c r="G811" s="27">
        <f>IFERROR(__xludf.DUMMYFUNCTION("""COMPUTED_VALUE"""),11.833333333333334)</f>
        <v>11.83333333</v>
      </c>
      <c r="H811" s="128">
        <f>IFERROR(__xludf.DUMMYFUNCTION("""COMPUTED_VALUE"""),43370.0)</f>
        <v>43370</v>
      </c>
      <c r="I811" s="27">
        <f>IFERROR(__xludf.DUMMYFUNCTION("""COMPUTED_VALUE"""),1.1916666666666667)</f>
        <v>1.191666667</v>
      </c>
      <c r="J811" s="29">
        <f>IFERROR(__xludf.DUMMYFUNCTION("""COMPUTED_VALUE"""),82.0)</f>
        <v>82</v>
      </c>
      <c r="K811" s="29">
        <f>IFERROR(__xludf.DUMMYFUNCTION("""COMPUTED_VALUE"""),9.0)</f>
        <v>9</v>
      </c>
      <c r="L811" s="275" t="str">
        <f>IFERROR(__xludf.DUMMYFUNCTION("""COMPUTED_VALUE"""),"Adventure")</f>
        <v>Adventure</v>
      </c>
    </row>
    <row r="812">
      <c r="A812" s="278" t="str">
        <f>IFERROR(__xludf.DUMMYFUNCTION("""COMPUTED_VALUE"""),"Faeria")</f>
        <v>Faeria</v>
      </c>
      <c r="B812" s="20" t="str">
        <f>IFERROR(__xludf.DUMMYFUNCTION("""COMPUTED_VALUE"""),"PC")</f>
        <v>PC</v>
      </c>
      <c r="C812" s="21"/>
      <c r="D812" s="21" t="str">
        <f>IFERROR(__xludf.DUMMYFUNCTION("""COMPUTED_VALUE"""),"Removed")</f>
        <v>Removed</v>
      </c>
      <c r="E812" s="279">
        <f>IFERROR(__xludf.DUMMYFUNCTION("""COMPUTED_VALUE"""),43804.0)</f>
        <v>43804</v>
      </c>
      <c r="F812" s="279">
        <f>IFERROR(__xludf.DUMMYFUNCTION("""COMPUTED_VALUE"""),44166.0)</f>
        <v>44166</v>
      </c>
      <c r="G812" s="27">
        <f>IFERROR(__xludf.DUMMYFUNCTION("""COMPUTED_VALUE"""),11.866666666666667)</f>
        <v>11.86666667</v>
      </c>
      <c r="H812" s="128">
        <f>IFERROR(__xludf.DUMMYFUNCTION("""COMPUTED_VALUE"""),42429.0)</f>
        <v>42429</v>
      </c>
      <c r="I812" s="27">
        <f>IFERROR(__xludf.DUMMYFUNCTION("""COMPUTED_VALUE"""),3.7666666666666666)</f>
        <v>3.766666667</v>
      </c>
      <c r="J812" s="29">
        <f>IFERROR(__xludf.DUMMYFUNCTION("""COMPUTED_VALUE"""),81.0)</f>
        <v>81</v>
      </c>
      <c r="K812" s="29">
        <f>IFERROR(__xludf.DUMMYFUNCTION("""COMPUTED_VALUE"""),115.0)</f>
        <v>115</v>
      </c>
      <c r="L812" s="275" t="str">
        <f>IFERROR(__xludf.DUMMYFUNCTION("""COMPUTED_VALUE"""),"Strategy")</f>
        <v>Strategy</v>
      </c>
    </row>
    <row r="813">
      <c r="A813" s="278" t="str">
        <f>IFERROR(__xludf.DUMMYFUNCTION("""COMPUTED_VALUE"""),"Hatoful Boyfriend")</f>
        <v>Hatoful Boyfriend</v>
      </c>
      <c r="B813" s="20" t="str">
        <f>IFERROR(__xludf.DUMMYFUNCTION("""COMPUTED_VALUE"""),"PC")</f>
        <v>PC</v>
      </c>
      <c r="C813" s="21"/>
      <c r="D813" s="21" t="str">
        <f>IFERROR(__xludf.DUMMYFUNCTION("""COMPUTED_VALUE"""),"Removed")</f>
        <v>Removed</v>
      </c>
      <c r="E813" s="279">
        <f>IFERROR(__xludf.DUMMYFUNCTION("""COMPUTED_VALUE"""),43625.0)</f>
        <v>43625</v>
      </c>
      <c r="F813" s="279">
        <f>IFERROR(__xludf.DUMMYFUNCTION("""COMPUTED_VALUE"""),44166.0)</f>
        <v>44166</v>
      </c>
      <c r="G813" s="27">
        <f>IFERROR(__xludf.DUMMYFUNCTION("""COMPUTED_VALUE"""),17.733333333333334)</f>
        <v>17.73333333</v>
      </c>
      <c r="H813" s="128">
        <f>IFERROR(__xludf.DUMMYFUNCTION("""COMPUTED_VALUE"""),40755.0)</f>
        <v>40755</v>
      </c>
      <c r="I813" s="27">
        <f>IFERROR(__xludf.DUMMYFUNCTION("""COMPUTED_VALUE"""),7.858333333333333)</f>
        <v>7.858333333</v>
      </c>
      <c r="J813" s="29">
        <f>IFERROR(__xludf.DUMMYFUNCTION("""COMPUTED_VALUE"""),68.0)</f>
        <v>68</v>
      </c>
      <c r="K813" s="29">
        <f>IFERROR(__xludf.DUMMYFUNCTION("""COMPUTED_VALUE"""),1.5)</f>
        <v>1.5</v>
      </c>
      <c r="L813" s="275" t="str">
        <f>IFERROR(__xludf.DUMMYFUNCTION("""COMPUTED_VALUE"""),"Adventure")</f>
        <v>Adventure</v>
      </c>
    </row>
    <row r="814">
      <c r="A814" s="278" t="str">
        <f>IFERROR(__xludf.DUMMYFUNCTION("""COMPUTED_VALUE"""),"Absolver")</f>
        <v>Absolver</v>
      </c>
      <c r="B814" s="20" t="str">
        <f>IFERROR(__xludf.DUMMYFUNCTION("""COMPUTED_VALUE"""),"Xbox")</f>
        <v>Xbox</v>
      </c>
      <c r="C814" s="21" t="str">
        <f>IFERROR(__xludf.DUMMYFUNCTION("""COMPUTED_VALUE"""),"Yes")</f>
        <v>Yes</v>
      </c>
      <c r="D814" s="21" t="str">
        <f>IFERROR(__xludf.DUMMYFUNCTION("""COMPUTED_VALUE"""),"Removed")</f>
        <v>Removed</v>
      </c>
      <c r="E814" s="279">
        <f>IFERROR(__xludf.DUMMYFUNCTION("""COMPUTED_VALUE"""),43468.0)</f>
        <v>43468</v>
      </c>
      <c r="F814" s="279">
        <f>IFERROR(__xludf.DUMMYFUNCTION("""COMPUTED_VALUE"""),44166.0)</f>
        <v>44166</v>
      </c>
      <c r="G814" s="27">
        <f>IFERROR(__xludf.DUMMYFUNCTION("""COMPUTED_VALUE"""),22.933333333333334)</f>
        <v>22.93333333</v>
      </c>
      <c r="H814" s="128">
        <f>IFERROR(__xludf.DUMMYFUNCTION("""COMPUTED_VALUE"""),42976.0)</f>
        <v>42976</v>
      </c>
      <c r="I814" s="27">
        <f>IFERROR(__xludf.DUMMYFUNCTION("""COMPUTED_VALUE"""),1.3444444444444446)</f>
        <v>1.344444444</v>
      </c>
      <c r="J814" s="29">
        <f>IFERROR(__xludf.DUMMYFUNCTION("""COMPUTED_VALUE"""),62.0)</f>
        <v>62</v>
      </c>
      <c r="K814" s="29">
        <f>IFERROR(__xludf.DUMMYFUNCTION("""COMPUTED_VALUE"""),5.5)</f>
        <v>5.5</v>
      </c>
      <c r="L814" s="275" t="str">
        <f>IFERROR(__xludf.DUMMYFUNCTION("""COMPUTED_VALUE"""),"RPG")</f>
        <v>RPG</v>
      </c>
    </row>
    <row r="815">
      <c r="A815" s="17" t="str">
        <f>IFERROR(__xludf.DUMMYFUNCTION("""COMPUTED_VALUE"""),"Dead Island: Definitive Edition")</f>
        <v>Dead Island: Definitive Edition</v>
      </c>
      <c r="B815" s="20" t="str">
        <f>IFERROR(__xludf.DUMMYFUNCTION("""COMPUTED_VALUE"""),"Xbox")</f>
        <v>Xbox</v>
      </c>
      <c r="C815" s="21" t="str">
        <f>IFERROR(__xludf.DUMMYFUNCTION("""COMPUTED_VALUE"""),"Yes")</f>
        <v>Yes</v>
      </c>
      <c r="D815" s="21" t="str">
        <f>IFERROR(__xludf.DUMMYFUNCTION("""COMPUTED_VALUE"""),"Removed")</f>
        <v>Removed</v>
      </c>
      <c r="E815" s="279">
        <f>IFERROR(__xludf.DUMMYFUNCTION("""COMPUTED_VALUE"""),42917.0)</f>
        <v>42917</v>
      </c>
      <c r="F815" s="279">
        <f>IFERROR(__xludf.DUMMYFUNCTION("""COMPUTED_VALUE"""),44166.0)</f>
        <v>44166</v>
      </c>
      <c r="G815" s="27">
        <f>IFERROR(__xludf.DUMMYFUNCTION("""COMPUTED_VALUE"""),41.0)</f>
        <v>41</v>
      </c>
      <c r="H815" s="128">
        <f>IFERROR(__xludf.DUMMYFUNCTION("""COMPUTED_VALUE"""),42521.0)</f>
        <v>42521</v>
      </c>
      <c r="I815" s="27">
        <f>IFERROR(__xludf.DUMMYFUNCTION("""COMPUTED_VALUE"""),1.086111111111111)</f>
        <v>1.086111111</v>
      </c>
      <c r="J815" s="29">
        <f>IFERROR(__xludf.DUMMYFUNCTION("""COMPUTED_VALUE"""),67.0)</f>
        <v>67</v>
      </c>
      <c r="K815" s="29">
        <f>IFERROR(__xludf.DUMMYFUNCTION("""COMPUTED_VALUE"""),21.0)</f>
        <v>21</v>
      </c>
      <c r="L815" s="31" t="str">
        <f>IFERROR(__xludf.DUMMYFUNCTION("""COMPUTED_VALUE"""),"Adventure")</f>
        <v>Adventure</v>
      </c>
    </row>
    <row r="816">
      <c r="A816" s="278" t="str">
        <f>IFERROR(__xludf.DUMMYFUNCTION("""COMPUTED_VALUE"""),"Darksiders III")</f>
        <v>Darksiders III</v>
      </c>
      <c r="B816" s="20" t="str">
        <f>IFERROR(__xludf.DUMMYFUNCTION("""COMPUTED_VALUE"""),"Xbox / PC")</f>
        <v>Xbox / PC</v>
      </c>
      <c r="C816" s="21" t="str">
        <f>IFERROR(__xludf.DUMMYFUNCTION("""COMPUTED_VALUE"""),"Yes")</f>
        <v>Yes</v>
      </c>
      <c r="D816" s="21" t="str">
        <f>IFERROR(__xludf.DUMMYFUNCTION("""COMPUTED_VALUE"""),"Removed")</f>
        <v>Removed</v>
      </c>
      <c r="E816" s="279">
        <f>IFERROR(__xludf.DUMMYFUNCTION("""COMPUTED_VALUE"""),43790.0)</f>
        <v>43790</v>
      </c>
      <c r="F816" s="279">
        <f>IFERROR(__xludf.DUMMYFUNCTION("""COMPUTED_VALUE"""),44151.0)</f>
        <v>44151</v>
      </c>
      <c r="G816" s="27">
        <f>IFERROR(__xludf.DUMMYFUNCTION("""COMPUTED_VALUE"""),11.833333333333334)</f>
        <v>11.83333333</v>
      </c>
      <c r="H816" s="128">
        <f>IFERROR(__xludf.DUMMYFUNCTION("""COMPUTED_VALUE"""),43431.0)</f>
        <v>43431</v>
      </c>
      <c r="I816" s="27">
        <f>IFERROR(__xludf.DUMMYFUNCTION("""COMPUTED_VALUE"""),0.9833333333333333)</f>
        <v>0.9833333333</v>
      </c>
      <c r="J816" s="29">
        <f>IFERROR(__xludf.DUMMYFUNCTION("""COMPUTED_VALUE"""),69.0)</f>
        <v>69</v>
      </c>
      <c r="K816" s="29">
        <f>IFERROR(__xludf.DUMMYFUNCTION("""COMPUTED_VALUE"""),14.0)</f>
        <v>14</v>
      </c>
      <c r="L816" s="275" t="str">
        <f>IFERROR(__xludf.DUMMYFUNCTION("""COMPUTED_VALUE"""),"RPG")</f>
        <v>RPG</v>
      </c>
    </row>
    <row r="817">
      <c r="A817" s="278" t="str">
        <f>IFERROR(__xludf.DUMMYFUNCTION("""COMPUTED_VALUE"""),"Munchkin: Quacked Quest")</f>
        <v>Munchkin: Quacked Quest</v>
      </c>
      <c r="B817" s="20" t="str">
        <f>IFERROR(__xludf.DUMMYFUNCTION("""COMPUTED_VALUE"""),"Xbox / PC")</f>
        <v>Xbox / PC</v>
      </c>
      <c r="C817" s="21" t="str">
        <f>IFERROR(__xludf.DUMMYFUNCTION("""COMPUTED_VALUE"""),"Yes")</f>
        <v>Yes</v>
      </c>
      <c r="D817" s="21" t="str">
        <f>IFERROR(__xludf.DUMMYFUNCTION("""COMPUTED_VALUE"""),"Removed")</f>
        <v>Removed</v>
      </c>
      <c r="E817" s="279">
        <f>IFERROR(__xludf.DUMMYFUNCTION("""COMPUTED_VALUE"""),43790.0)</f>
        <v>43790</v>
      </c>
      <c r="F817" s="279">
        <f>IFERROR(__xludf.DUMMYFUNCTION("""COMPUTED_VALUE"""),44151.0)</f>
        <v>44151</v>
      </c>
      <c r="G817" s="27">
        <f>IFERROR(__xludf.DUMMYFUNCTION("""COMPUTED_VALUE"""),11.833333333333334)</f>
        <v>11.83333333</v>
      </c>
      <c r="H817" s="128">
        <f>IFERROR(__xludf.DUMMYFUNCTION("""COMPUTED_VALUE"""),43788.0)</f>
        <v>43788</v>
      </c>
      <c r="I817" s="27">
        <f>IFERROR(__xludf.DUMMYFUNCTION("""COMPUTED_VALUE"""),0.005555555555555556)</f>
        <v>0.005555555556</v>
      </c>
      <c r="J817" s="29">
        <f>IFERROR(__xludf.DUMMYFUNCTION("""COMPUTED_VALUE"""),40.0)</f>
        <v>40</v>
      </c>
      <c r="K817" s="29">
        <f>IFERROR(__xludf.DUMMYFUNCTION("""COMPUTED_VALUE"""),1.0)</f>
        <v>1</v>
      </c>
      <c r="L817" s="275" t="str">
        <f>IFERROR(__xludf.DUMMYFUNCTION("""COMPUTED_VALUE"""),"Action")</f>
        <v>Action</v>
      </c>
    </row>
    <row r="818">
      <c r="A818" s="278" t="str">
        <f>IFERROR(__xludf.DUMMYFUNCTION("""COMPUTED_VALUE"""),"Tracks: The Train Set Game")</f>
        <v>Tracks: The Train Set Game</v>
      </c>
      <c r="B818" s="20" t="str">
        <f>IFERROR(__xludf.DUMMYFUNCTION("""COMPUTED_VALUE"""),"Xbox / PC")</f>
        <v>Xbox / PC</v>
      </c>
      <c r="C818" s="21" t="str">
        <f>IFERROR(__xludf.DUMMYFUNCTION("""COMPUTED_VALUE"""),"Yes")</f>
        <v>Yes</v>
      </c>
      <c r="D818" s="21" t="str">
        <f>IFERROR(__xludf.DUMMYFUNCTION("""COMPUTED_VALUE"""),"Removed")</f>
        <v>Removed</v>
      </c>
      <c r="E818" s="279">
        <f>IFERROR(__xludf.DUMMYFUNCTION("""COMPUTED_VALUE"""),43784.0)</f>
        <v>43784</v>
      </c>
      <c r="F818" s="279">
        <f>IFERROR(__xludf.DUMMYFUNCTION("""COMPUTED_VALUE"""),44151.0)</f>
        <v>44151</v>
      </c>
      <c r="G818" s="27">
        <f>IFERROR(__xludf.DUMMYFUNCTION("""COMPUTED_VALUE"""),12.033333333333333)</f>
        <v>12.03333333</v>
      </c>
      <c r="H818" s="128">
        <f>IFERROR(__xludf.DUMMYFUNCTION("""COMPUTED_VALUE"""),43005.0)</f>
        <v>43005</v>
      </c>
      <c r="I818" s="27">
        <f>IFERROR(__xludf.DUMMYFUNCTION("""COMPUTED_VALUE"""),2.1333333333333333)</f>
        <v>2.133333333</v>
      </c>
      <c r="J818" s="29">
        <f>IFERROR(__xludf.DUMMYFUNCTION("""COMPUTED_VALUE"""),69.0)</f>
        <v>69</v>
      </c>
      <c r="K818" s="29">
        <f>IFERROR(__xludf.DUMMYFUNCTION("""COMPUTED_VALUE"""),0.5)</f>
        <v>0.5</v>
      </c>
      <c r="L818" s="31" t="str">
        <f>IFERROR(__xludf.DUMMYFUNCTION("""COMPUTED_VALUE"""),"Simulation")</f>
        <v>Simulation</v>
      </c>
    </row>
    <row r="819">
      <c r="A819" s="278" t="str">
        <f>IFERROR(__xludf.DUMMYFUNCTION("""COMPUTED_VALUE"""),"The Talos Principle")</f>
        <v>The Talos Principle</v>
      </c>
      <c r="B819" s="20" t="str">
        <f>IFERROR(__xludf.DUMMYFUNCTION("""COMPUTED_VALUE"""),"Xbox / PC")</f>
        <v>Xbox / PC</v>
      </c>
      <c r="C819" s="21" t="str">
        <f>IFERROR(__xludf.DUMMYFUNCTION("""COMPUTED_VALUE"""),"Yes")</f>
        <v>Yes</v>
      </c>
      <c r="D819" s="21" t="str">
        <f>IFERROR(__xludf.DUMMYFUNCTION("""COMPUTED_VALUE"""),"Removed")</f>
        <v>Removed</v>
      </c>
      <c r="E819" s="279">
        <f>IFERROR(__xludf.DUMMYFUNCTION("""COMPUTED_VALUE"""),43783.0)</f>
        <v>43783</v>
      </c>
      <c r="F819" s="279">
        <f>IFERROR(__xludf.DUMMYFUNCTION("""COMPUTED_VALUE"""),44151.0)</f>
        <v>44151</v>
      </c>
      <c r="G819" s="27">
        <f>IFERROR(__xludf.DUMMYFUNCTION("""COMPUTED_VALUE"""),12.066666666666666)</f>
        <v>12.06666667</v>
      </c>
      <c r="H819" s="128">
        <f>IFERROR(__xludf.DUMMYFUNCTION("""COMPUTED_VALUE"""),41984.0)</f>
        <v>41984</v>
      </c>
      <c r="I819" s="27">
        <f>IFERROR(__xludf.DUMMYFUNCTION("""COMPUTED_VALUE"""),4.925)</f>
        <v>4.925</v>
      </c>
      <c r="J819" s="29">
        <f>IFERROR(__xludf.DUMMYFUNCTION("""COMPUTED_VALUE"""),72.0)</f>
        <v>72</v>
      </c>
      <c r="K819" s="29">
        <f>IFERROR(__xludf.DUMMYFUNCTION("""COMPUTED_VALUE"""),16.0)</f>
        <v>16</v>
      </c>
      <c r="L819" s="275" t="str">
        <f>IFERROR(__xludf.DUMMYFUNCTION("""COMPUTED_VALUE"""),"Puzzle")</f>
        <v>Puzzle</v>
      </c>
    </row>
    <row r="820">
      <c r="A820" s="278" t="str">
        <f>IFERROR(__xludf.DUMMYFUNCTION("""COMPUTED_VALUE"""),"The Lord of the Rings: Adventure Card Game")</f>
        <v>The Lord of the Rings: Adventure Card Game</v>
      </c>
      <c r="B820" s="20" t="str">
        <f>IFERROR(__xludf.DUMMYFUNCTION("""COMPUTED_VALUE"""),"Xbox / PC")</f>
        <v>Xbox / PC</v>
      </c>
      <c r="C820" s="21" t="str">
        <f>IFERROR(__xludf.DUMMYFUNCTION("""COMPUTED_VALUE"""),"Yes")</f>
        <v>Yes</v>
      </c>
      <c r="D820" s="21" t="str">
        <f>IFERROR(__xludf.DUMMYFUNCTION("""COMPUTED_VALUE"""),"Removed")</f>
        <v>Removed</v>
      </c>
      <c r="E820" s="279">
        <f>IFERROR(__xludf.DUMMYFUNCTION("""COMPUTED_VALUE"""),43774.0)</f>
        <v>43774</v>
      </c>
      <c r="F820" s="279">
        <f>IFERROR(__xludf.DUMMYFUNCTION("""COMPUTED_VALUE"""),44135.0)</f>
        <v>44135</v>
      </c>
      <c r="G820" s="27">
        <f>IFERROR(__xludf.DUMMYFUNCTION("""COMPUTED_VALUE"""),11.833333333333334)</f>
        <v>11.83333333</v>
      </c>
      <c r="H820" s="128">
        <f>IFERROR(__xludf.DUMMYFUNCTION("""COMPUTED_VALUE"""),43340.0)</f>
        <v>43340</v>
      </c>
      <c r="I820" s="27">
        <f>IFERROR(__xludf.DUMMYFUNCTION("""COMPUTED_VALUE"""),1.1861111111111111)</f>
        <v>1.186111111</v>
      </c>
      <c r="J820" s="29">
        <f>IFERROR(__xludf.DUMMYFUNCTION("""COMPUTED_VALUE"""),60.0)</f>
        <v>60</v>
      </c>
      <c r="K820" s="29">
        <f>IFERROR(__xludf.DUMMYFUNCTION("""COMPUTED_VALUE"""),10.0)</f>
        <v>10</v>
      </c>
      <c r="L820" s="31" t="str">
        <f>IFERROR(__xludf.DUMMYFUNCTION("""COMPUTED_VALUE"""),"Card Game")</f>
        <v>Card Game</v>
      </c>
    </row>
    <row r="821">
      <c r="A821" s="278" t="str">
        <f>IFERROR(__xludf.DUMMYFUNCTION("""COMPUTED_VALUE"""),"Lego Star Wars III: The Clone Wars")</f>
        <v>Lego Star Wars III: The Clone Wars</v>
      </c>
      <c r="B821" s="20" t="str">
        <f>IFERROR(__xludf.DUMMYFUNCTION("""COMPUTED_VALUE"""),"Xbox")</f>
        <v>Xbox</v>
      </c>
      <c r="C821" s="21"/>
      <c r="D821" s="21" t="str">
        <f>IFERROR(__xludf.DUMMYFUNCTION("""COMPUTED_VALUE"""),"Removed")</f>
        <v>Removed</v>
      </c>
      <c r="E821" s="279">
        <f>IFERROR(__xludf.DUMMYFUNCTION("""COMPUTED_VALUE"""),43769.0)</f>
        <v>43769</v>
      </c>
      <c r="F821" s="279">
        <f>IFERROR(__xludf.DUMMYFUNCTION("""COMPUTED_VALUE"""),44135.0)</f>
        <v>44135</v>
      </c>
      <c r="G821" s="27">
        <f>IFERROR(__xludf.DUMMYFUNCTION("""COMPUTED_VALUE"""),12.0)</f>
        <v>12</v>
      </c>
      <c r="H821" s="128">
        <f>IFERROR(__xludf.DUMMYFUNCTION("""COMPUTED_VALUE"""),40624.0)</f>
        <v>40624</v>
      </c>
      <c r="I821" s="27">
        <f>IFERROR(__xludf.DUMMYFUNCTION("""COMPUTED_VALUE"""),8.605555555555556)</f>
        <v>8.605555556</v>
      </c>
      <c r="J821" s="29">
        <f>IFERROR(__xludf.DUMMYFUNCTION("""COMPUTED_VALUE"""),75.0)</f>
        <v>75</v>
      </c>
      <c r="K821" s="29">
        <f>IFERROR(__xludf.DUMMYFUNCTION("""COMPUTED_VALUE"""),9.0)</f>
        <v>9</v>
      </c>
      <c r="L821" s="275" t="str">
        <f>IFERROR(__xludf.DUMMYFUNCTION("""COMPUTED_VALUE"""),"Platformer")</f>
        <v>Platformer</v>
      </c>
    </row>
    <row r="822">
      <c r="A822" s="17" t="str">
        <f>IFERROR(__xludf.DUMMYFUNCTION("""COMPUTED_VALUE"""),"Afterparty")</f>
        <v>Afterparty</v>
      </c>
      <c r="B822" s="20" t="str">
        <f>IFERROR(__xludf.DUMMYFUNCTION("""COMPUTED_VALUE"""),"Xbox")</f>
        <v>Xbox</v>
      </c>
      <c r="C822" s="21" t="str">
        <f>IFERROR(__xludf.DUMMYFUNCTION("""COMPUTED_VALUE"""),"Yes")</f>
        <v>Yes</v>
      </c>
      <c r="D822" s="21" t="str">
        <f>IFERROR(__xludf.DUMMYFUNCTION("""COMPUTED_VALUE"""),"Removed")</f>
        <v>Removed</v>
      </c>
      <c r="E822" s="279">
        <f>IFERROR(__xludf.DUMMYFUNCTION("""COMPUTED_VALUE"""),43767.0)</f>
        <v>43767</v>
      </c>
      <c r="F822" s="279">
        <f>IFERROR(__xludf.DUMMYFUNCTION("""COMPUTED_VALUE"""),44135.0)</f>
        <v>44135</v>
      </c>
      <c r="G822" s="27">
        <f>IFERROR(__xludf.DUMMYFUNCTION("""COMPUTED_VALUE"""),12.033333333333333)</f>
        <v>12.03333333</v>
      </c>
      <c r="H822" s="128">
        <f>IFERROR(__xludf.DUMMYFUNCTION("""COMPUTED_VALUE"""),43767.0)</f>
        <v>43767</v>
      </c>
      <c r="I822" s="27">
        <f>IFERROR(__xludf.DUMMYFUNCTION("""COMPUTED_VALUE"""),0.0)</f>
        <v>0</v>
      </c>
      <c r="J822" s="29">
        <f>IFERROR(__xludf.DUMMYFUNCTION("""COMPUTED_VALUE"""),73.0)</f>
        <v>73</v>
      </c>
      <c r="K822" s="29">
        <f>IFERROR(__xludf.DUMMYFUNCTION("""COMPUTED_VALUE"""),5.5)</f>
        <v>5.5</v>
      </c>
      <c r="L822" s="275" t="str">
        <f>IFERROR(__xludf.DUMMYFUNCTION("""COMPUTED_VALUE"""),"Adventure")</f>
        <v>Adventure</v>
      </c>
    </row>
    <row r="823">
      <c r="A823" s="17" t="str">
        <f>IFERROR(__xludf.DUMMYFUNCTION("""COMPUTED_VALUE"""),"The Red Strings Club")</f>
        <v>The Red Strings Club</v>
      </c>
      <c r="B823" s="20" t="str">
        <f>IFERROR(__xludf.DUMMYFUNCTION("""COMPUTED_VALUE"""),"PC")</f>
        <v>PC</v>
      </c>
      <c r="C823" s="21"/>
      <c r="D823" s="21" t="str">
        <f>IFERROR(__xludf.DUMMYFUNCTION("""COMPUTED_VALUE"""),"Removed")</f>
        <v>Removed</v>
      </c>
      <c r="E823" s="279">
        <f>IFERROR(__xludf.DUMMYFUNCTION("""COMPUTED_VALUE"""),43735.0)</f>
        <v>43735</v>
      </c>
      <c r="F823" s="279">
        <f>IFERROR(__xludf.DUMMYFUNCTION("""COMPUTED_VALUE"""),44135.0)</f>
        <v>44135</v>
      </c>
      <c r="G823" s="27">
        <f>IFERROR(__xludf.DUMMYFUNCTION("""COMPUTED_VALUE"""),13.099999999999998)</f>
        <v>13.1</v>
      </c>
      <c r="H823" s="128">
        <f>IFERROR(__xludf.DUMMYFUNCTION("""COMPUTED_VALUE"""),43122.0)</f>
        <v>43122</v>
      </c>
      <c r="I823" s="27">
        <f>IFERROR(__xludf.DUMMYFUNCTION("""COMPUTED_VALUE"""),1.6805555555555556)</f>
        <v>1.680555556</v>
      </c>
      <c r="J823" s="29">
        <f>IFERROR(__xludf.DUMMYFUNCTION("""COMPUTED_VALUE"""),80.0)</f>
        <v>80</v>
      </c>
      <c r="K823" s="29">
        <f>IFERROR(__xludf.DUMMYFUNCTION("""COMPUTED_VALUE"""),4.0)</f>
        <v>4</v>
      </c>
      <c r="L823" s="275" t="str">
        <f>IFERROR(__xludf.DUMMYFUNCTION("""COMPUTED_VALUE"""),"Adventure")</f>
        <v>Adventure</v>
      </c>
    </row>
    <row r="824">
      <c r="A824" s="278" t="str">
        <f>IFERROR(__xludf.DUMMYFUNCTION("""COMPUTED_VALUE"""),"Tacoma")</f>
        <v>Tacoma</v>
      </c>
      <c r="B824" s="20" t="str">
        <f>IFERROR(__xludf.DUMMYFUNCTION("""COMPUTED_VALUE"""),"PC")</f>
        <v>PC</v>
      </c>
      <c r="C824" s="21" t="str">
        <f>IFERROR(__xludf.DUMMYFUNCTION("""COMPUTED_VALUE"""),"Yes")</f>
        <v>Yes</v>
      </c>
      <c r="D824" s="21" t="str">
        <f>IFERROR(__xludf.DUMMYFUNCTION("""COMPUTED_VALUE"""),"Removed")</f>
        <v>Removed</v>
      </c>
      <c r="E824" s="279">
        <f>IFERROR(__xludf.DUMMYFUNCTION("""COMPUTED_VALUE"""),43594.0)</f>
        <v>43594</v>
      </c>
      <c r="F824" s="279">
        <f>IFERROR(__xludf.DUMMYFUNCTION("""COMPUTED_VALUE"""),44135.0)</f>
        <v>44135</v>
      </c>
      <c r="G824" s="27">
        <f>IFERROR(__xludf.DUMMYFUNCTION("""COMPUTED_VALUE"""),17.700000000000003)</f>
        <v>17.7</v>
      </c>
      <c r="H824" s="128">
        <f>IFERROR(__xludf.DUMMYFUNCTION("""COMPUTED_VALUE"""),42948.0)</f>
        <v>42948</v>
      </c>
      <c r="I824" s="27">
        <f>IFERROR(__xludf.DUMMYFUNCTION("""COMPUTED_VALUE"""),1.7722222222222221)</f>
        <v>1.772222222</v>
      </c>
      <c r="J824" s="29">
        <f>IFERROR(__xludf.DUMMYFUNCTION("""COMPUTED_VALUE"""),79.0)</f>
        <v>79</v>
      </c>
      <c r="K824" s="29">
        <f>IFERROR(__xludf.DUMMYFUNCTION("""COMPUTED_VALUE"""),2.5)</f>
        <v>2.5</v>
      </c>
      <c r="L824" s="275" t="str">
        <f>IFERROR(__xludf.DUMMYFUNCTION("""COMPUTED_VALUE"""),"Adventure")</f>
        <v>Adventure</v>
      </c>
    </row>
    <row r="825">
      <c r="A825" s="278" t="str">
        <f>IFERROR(__xludf.DUMMYFUNCTION("""COMPUTED_VALUE"""),"Rise &amp; Shine")</f>
        <v>Rise &amp; Shine</v>
      </c>
      <c r="B825" s="20" t="str">
        <f>IFERROR(__xludf.DUMMYFUNCTION("""COMPUTED_VALUE"""),"Xbox")</f>
        <v>Xbox</v>
      </c>
      <c r="C825" s="21" t="str">
        <f>IFERROR(__xludf.DUMMYFUNCTION("""COMPUTED_VALUE"""),"Yes")</f>
        <v>Yes</v>
      </c>
      <c r="D825" s="21" t="str">
        <f>IFERROR(__xludf.DUMMYFUNCTION("""COMPUTED_VALUE"""),"Removed")</f>
        <v>Removed</v>
      </c>
      <c r="E825" s="279">
        <f>IFERROR(__xludf.DUMMYFUNCTION("""COMPUTED_VALUE"""),43405.0)</f>
        <v>43405</v>
      </c>
      <c r="F825" s="279">
        <f>IFERROR(__xludf.DUMMYFUNCTION("""COMPUTED_VALUE"""),44135.0)</f>
        <v>44135</v>
      </c>
      <c r="G825" s="27">
        <f>IFERROR(__xludf.DUMMYFUNCTION("""COMPUTED_VALUE"""),23.96666666666667)</f>
        <v>23.96666667</v>
      </c>
      <c r="H825" s="128">
        <f>IFERROR(__xludf.DUMMYFUNCTION("""COMPUTED_VALUE"""),42860.0)</f>
        <v>42860</v>
      </c>
      <c r="I825" s="27">
        <f>IFERROR(__xludf.DUMMYFUNCTION("""COMPUTED_VALUE"""),1.488888888888889)</f>
        <v>1.488888889</v>
      </c>
      <c r="J825" s="29">
        <f>IFERROR(__xludf.DUMMYFUNCTION("""COMPUTED_VALUE"""),66.0)</f>
        <v>66</v>
      </c>
      <c r="K825" s="29">
        <f>IFERROR(__xludf.DUMMYFUNCTION("""COMPUTED_VALUE"""),2.5)</f>
        <v>2.5</v>
      </c>
      <c r="L825" s="275" t="str">
        <f>IFERROR(__xludf.DUMMYFUNCTION("""COMPUTED_VALUE"""),"MMORPG")</f>
        <v>MMORPG</v>
      </c>
    </row>
    <row r="826">
      <c r="A826" s="278" t="str">
        <f>IFERROR(__xludf.DUMMYFUNCTION("""COMPUTED_VALUE"""),"State of Mind")</f>
        <v>State of Mind</v>
      </c>
      <c r="B826" s="20" t="str">
        <f>IFERROR(__xludf.DUMMYFUNCTION("""COMPUTED_VALUE"""),"PC")</f>
        <v>PC</v>
      </c>
      <c r="C826" s="21"/>
      <c r="D826" s="21" t="str">
        <f>IFERROR(__xludf.DUMMYFUNCTION("""COMPUTED_VALUE"""),"Removed")</f>
        <v>Removed</v>
      </c>
      <c r="E826" s="279">
        <f>IFERROR(__xludf.DUMMYFUNCTION("""COMPUTED_VALUE"""),43762.0)</f>
        <v>43762</v>
      </c>
      <c r="F826" s="279">
        <f>IFERROR(__xludf.DUMMYFUNCTION("""COMPUTED_VALUE"""),44119.0)</f>
        <v>44119</v>
      </c>
      <c r="G826" s="27">
        <f>IFERROR(__xludf.DUMMYFUNCTION("""COMPUTED_VALUE"""),11.7)</f>
        <v>11.7</v>
      </c>
      <c r="H826" s="128">
        <f>IFERROR(__xludf.DUMMYFUNCTION("""COMPUTED_VALUE"""),43327.0)</f>
        <v>43327</v>
      </c>
      <c r="I826" s="27">
        <f>IFERROR(__xludf.DUMMYFUNCTION("""COMPUTED_VALUE"""),1.1916666666666667)</f>
        <v>1.191666667</v>
      </c>
      <c r="J826" s="29">
        <f>IFERROR(__xludf.DUMMYFUNCTION("""COMPUTED_VALUE"""),69.0)</f>
        <v>69</v>
      </c>
      <c r="K826" s="29">
        <f>IFERROR(__xludf.DUMMYFUNCTION("""COMPUTED_VALUE"""),9.5)</f>
        <v>9.5</v>
      </c>
      <c r="L826" s="275" t="str">
        <f>IFERROR(__xludf.DUMMYFUNCTION("""COMPUTED_VALUE"""),"Adventure")</f>
        <v>Adventure</v>
      </c>
    </row>
    <row r="827">
      <c r="A827" s="278" t="str">
        <f>IFERROR(__xludf.DUMMYFUNCTION("""COMPUTED_VALUE"""),"Minit")</f>
        <v>Minit</v>
      </c>
      <c r="B827" s="20" t="str">
        <f>IFERROR(__xludf.DUMMYFUNCTION("""COMPUTED_VALUE"""),"Xbox / PC")</f>
        <v>Xbox / PC</v>
      </c>
      <c r="C827" s="21" t="str">
        <f>IFERROR(__xludf.DUMMYFUNCTION("""COMPUTED_VALUE"""),"Yes")</f>
        <v>Yes</v>
      </c>
      <c r="D827" s="21" t="str">
        <f>IFERROR(__xludf.DUMMYFUNCTION("""COMPUTED_VALUE"""),"Removed")</f>
        <v>Removed</v>
      </c>
      <c r="E827" s="279">
        <f>IFERROR(__xludf.DUMMYFUNCTION("""COMPUTED_VALUE"""),43760.0)</f>
        <v>43760</v>
      </c>
      <c r="F827" s="279">
        <f>IFERROR(__xludf.DUMMYFUNCTION("""COMPUTED_VALUE"""),44119.0)</f>
        <v>44119</v>
      </c>
      <c r="G827" s="27">
        <f>IFERROR(__xludf.DUMMYFUNCTION("""COMPUTED_VALUE"""),11.766666666666666)</f>
        <v>11.76666667</v>
      </c>
      <c r="H827" s="128">
        <f>IFERROR(__xludf.DUMMYFUNCTION("""COMPUTED_VALUE"""),43193.0)</f>
        <v>43193</v>
      </c>
      <c r="I827" s="27">
        <f>IFERROR(__xludf.DUMMYFUNCTION("""COMPUTED_VALUE"""),1.5527777777777778)</f>
        <v>1.552777778</v>
      </c>
      <c r="J827" s="29">
        <f>IFERROR(__xludf.DUMMYFUNCTION("""COMPUTED_VALUE"""),74.0)</f>
        <v>74</v>
      </c>
      <c r="K827" s="29">
        <f>IFERROR(__xludf.DUMMYFUNCTION("""COMPUTED_VALUE"""),1.5)</f>
        <v>1.5</v>
      </c>
      <c r="L827" s="275" t="str">
        <f>IFERROR(__xludf.DUMMYFUNCTION("""COMPUTED_VALUE"""),"Action-Adventure")</f>
        <v>Action-Adventure</v>
      </c>
    </row>
    <row r="828">
      <c r="A828" s="278" t="str">
        <f>IFERROR(__xludf.DUMMYFUNCTION("""COMPUTED_VALUE"""),"Felix the Reaper")</f>
        <v>Felix the Reaper</v>
      </c>
      <c r="B828" s="20" t="str">
        <f>IFERROR(__xludf.DUMMYFUNCTION("""COMPUTED_VALUE"""),"Xbox / PC")</f>
        <v>Xbox / PC</v>
      </c>
      <c r="C828" s="21" t="str">
        <f>IFERROR(__xludf.DUMMYFUNCTION("""COMPUTED_VALUE"""),"Yes")</f>
        <v>Yes</v>
      </c>
      <c r="D828" s="21" t="str">
        <f>IFERROR(__xludf.DUMMYFUNCTION("""COMPUTED_VALUE"""),"Removed")</f>
        <v>Removed</v>
      </c>
      <c r="E828" s="279">
        <f>IFERROR(__xludf.DUMMYFUNCTION("""COMPUTED_VALUE"""),43755.0)</f>
        <v>43755</v>
      </c>
      <c r="F828" s="279">
        <f>IFERROR(__xludf.DUMMYFUNCTION("""COMPUTED_VALUE"""),44119.0)</f>
        <v>44119</v>
      </c>
      <c r="G828" s="27">
        <f>IFERROR(__xludf.DUMMYFUNCTION("""COMPUTED_VALUE"""),11.933333333333334)</f>
        <v>11.93333333</v>
      </c>
      <c r="H828" s="128">
        <f>IFERROR(__xludf.DUMMYFUNCTION("""COMPUTED_VALUE"""),43755.0)</f>
        <v>43755</v>
      </c>
      <c r="I828" s="27">
        <f>IFERROR(__xludf.DUMMYFUNCTION("""COMPUTED_VALUE"""),0.0)</f>
        <v>0</v>
      </c>
      <c r="J828" s="29">
        <f>IFERROR(__xludf.DUMMYFUNCTION("""COMPUTED_VALUE"""),69.0)</f>
        <v>69</v>
      </c>
      <c r="K828" s="29">
        <f>IFERROR(__xludf.DUMMYFUNCTION("""COMPUTED_VALUE"""),4.5)</f>
        <v>4.5</v>
      </c>
      <c r="L828" s="275" t="str">
        <f>IFERROR(__xludf.DUMMYFUNCTION("""COMPUTED_VALUE"""),"Puzzle")</f>
        <v>Puzzle</v>
      </c>
    </row>
    <row r="829">
      <c r="A829" s="278" t="str">
        <f>IFERROR(__xludf.DUMMYFUNCTION("""COMPUTED_VALUE"""),"GRIP: Combat Racing")</f>
        <v>GRIP: Combat Racing</v>
      </c>
      <c r="B829" s="20" t="str">
        <f>IFERROR(__xludf.DUMMYFUNCTION("""COMPUTED_VALUE"""),"Xbox / PC")</f>
        <v>Xbox / PC</v>
      </c>
      <c r="C829" s="21" t="str">
        <f>IFERROR(__xludf.DUMMYFUNCTION("""COMPUTED_VALUE"""),"Yes")</f>
        <v>Yes</v>
      </c>
      <c r="D829" s="21" t="str">
        <f>IFERROR(__xludf.DUMMYFUNCTION("""COMPUTED_VALUE"""),"Removed")</f>
        <v>Removed</v>
      </c>
      <c r="E829" s="279">
        <f>IFERROR(__xludf.DUMMYFUNCTION("""COMPUTED_VALUE"""),43410.0)</f>
        <v>43410</v>
      </c>
      <c r="F829" s="279">
        <f>IFERROR(__xludf.DUMMYFUNCTION("""COMPUTED_VALUE"""),44119.0)</f>
        <v>44119</v>
      </c>
      <c r="G829" s="27">
        <f>IFERROR(__xludf.DUMMYFUNCTION("""COMPUTED_VALUE"""),23.3)</f>
        <v>23.3</v>
      </c>
      <c r="H829" s="128">
        <f>IFERROR(__xludf.DUMMYFUNCTION("""COMPUTED_VALUE"""),43410.0)</f>
        <v>43410</v>
      </c>
      <c r="I829" s="27">
        <f>IFERROR(__xludf.DUMMYFUNCTION("""COMPUTED_VALUE"""),0.0)</f>
        <v>0</v>
      </c>
      <c r="J829" s="29">
        <f>IFERROR(__xludf.DUMMYFUNCTION("""COMPUTED_VALUE"""),71.0)</f>
        <v>71</v>
      </c>
      <c r="K829" s="29">
        <f>IFERROR(__xludf.DUMMYFUNCTION("""COMPUTED_VALUE"""),14.0)</f>
        <v>14</v>
      </c>
      <c r="L829" s="275" t="str">
        <f>IFERROR(__xludf.DUMMYFUNCTION("""COMPUTED_VALUE"""),"Racing")</f>
        <v>Racing</v>
      </c>
    </row>
    <row r="830">
      <c r="A830" s="278" t="str">
        <f>IFERROR(__xludf.DUMMYFUNCTION("""COMPUTED_VALUE"""),"Metro 2033 Redux")</f>
        <v>Metro 2033 Redux</v>
      </c>
      <c r="B830" s="20" t="str">
        <f>IFERROR(__xludf.DUMMYFUNCTION("""COMPUTED_VALUE"""),"Xbox / PC")</f>
        <v>Xbox / PC</v>
      </c>
      <c r="C830" s="21" t="str">
        <f>IFERROR(__xludf.DUMMYFUNCTION("""COMPUTED_VALUE"""),"Yes")</f>
        <v>Yes</v>
      </c>
      <c r="D830" s="21" t="str">
        <f>IFERROR(__xludf.DUMMYFUNCTION("""COMPUTED_VALUE"""),"Removed")</f>
        <v>Removed</v>
      </c>
      <c r="E830" s="279">
        <f>IFERROR(__xludf.DUMMYFUNCTION("""COMPUTED_VALUE"""),43374.0)</f>
        <v>43374</v>
      </c>
      <c r="F830" s="279">
        <f>IFERROR(__xludf.DUMMYFUNCTION("""COMPUTED_VALUE"""),44119.0)</f>
        <v>44119</v>
      </c>
      <c r="G830" s="27">
        <f>IFERROR(__xludf.DUMMYFUNCTION("""COMPUTED_VALUE"""),24.466666666666665)</f>
        <v>24.46666667</v>
      </c>
      <c r="H830" s="128">
        <f>IFERROR(__xludf.DUMMYFUNCTION("""COMPUTED_VALUE"""),41877.0)</f>
        <v>41877</v>
      </c>
      <c r="I830" s="27">
        <f>IFERROR(__xludf.DUMMYFUNCTION("""COMPUTED_VALUE"""),4.097222222222222)</f>
        <v>4.097222222</v>
      </c>
      <c r="J830" s="29">
        <f>IFERROR(__xludf.DUMMYFUNCTION("""COMPUTED_VALUE"""),84.0)</f>
        <v>84</v>
      </c>
      <c r="K830" s="29">
        <f>IFERROR(__xludf.DUMMYFUNCTION("""COMPUTED_VALUE"""),9.0)</f>
        <v>9</v>
      </c>
      <c r="L830" s="275" t="str">
        <f>IFERROR(__xludf.DUMMYFUNCTION("""COMPUTED_VALUE"""),"Shooter")</f>
        <v>Shooter</v>
      </c>
    </row>
    <row r="831">
      <c r="A831" s="278" t="str">
        <f>IFERROR(__xludf.DUMMYFUNCTION("""COMPUTED_VALUE"""),"Saints Row IV: Re-Elected")</f>
        <v>Saints Row IV: Re-Elected</v>
      </c>
      <c r="B831" s="20" t="str">
        <f>IFERROR(__xludf.DUMMYFUNCTION("""COMPUTED_VALUE"""),"PC")</f>
        <v>PC</v>
      </c>
      <c r="C831" s="21"/>
      <c r="D831" s="21" t="str">
        <f>IFERROR(__xludf.DUMMYFUNCTION("""COMPUTED_VALUE"""),"Removed")</f>
        <v>Removed</v>
      </c>
      <c r="E831" s="279">
        <f>IFERROR(__xludf.DUMMYFUNCTION("""COMPUTED_VALUE"""),42887.0)</f>
        <v>42887</v>
      </c>
      <c r="F831" s="279">
        <f>IFERROR(__xludf.DUMMYFUNCTION("""COMPUTED_VALUE"""),44119.0)</f>
        <v>44119</v>
      </c>
      <c r="G831" s="27">
        <f>IFERROR(__xludf.DUMMYFUNCTION("""COMPUTED_VALUE"""),40.46666666666667)</f>
        <v>40.46666667</v>
      </c>
      <c r="H831" s="128">
        <f>IFERROR(__xludf.DUMMYFUNCTION("""COMPUTED_VALUE"""),41506.0)</f>
        <v>41506</v>
      </c>
      <c r="I831" s="27">
        <f>IFERROR(__xludf.DUMMYFUNCTION("""COMPUTED_VALUE"""),3.7805555555555554)</f>
        <v>3.780555556</v>
      </c>
      <c r="J831" s="29">
        <f>IFERROR(__xludf.DUMMYFUNCTION("""COMPUTED_VALUE"""),73.0)</f>
        <v>73</v>
      </c>
      <c r="K831" s="29">
        <f>IFERROR(__xludf.DUMMYFUNCTION("""COMPUTED_VALUE"""),14.5)</f>
        <v>14.5</v>
      </c>
      <c r="L831" s="275" t="str">
        <f>IFERROR(__xludf.DUMMYFUNCTION("""COMPUTED_VALUE"""),"Shooter")</f>
        <v>Shooter</v>
      </c>
    </row>
    <row r="832">
      <c r="A832" s="278" t="str">
        <f>IFERROR(__xludf.DUMMYFUNCTION("""COMPUTED_VALUE"""),"NHL 17")</f>
        <v>NHL 17</v>
      </c>
      <c r="B832" s="20" t="str">
        <f>IFERROR(__xludf.DUMMYFUNCTION("""COMPUTED_VALUE"""),"Xbox")</f>
        <v>Xbox</v>
      </c>
      <c r="C832" s="21"/>
      <c r="D832" s="21" t="str">
        <f>IFERROR(__xludf.DUMMYFUNCTION("""COMPUTED_VALUE"""),"Removed")</f>
        <v>Removed</v>
      </c>
      <c r="E832" s="279">
        <f>IFERROR(__xludf.DUMMYFUNCTION("""COMPUTED_VALUE"""),42822.0)</f>
        <v>42822</v>
      </c>
      <c r="F832" s="279">
        <f>IFERROR(__xludf.DUMMYFUNCTION("""COMPUTED_VALUE"""),44117.0)</f>
        <v>44117</v>
      </c>
      <c r="G832" s="27">
        <f>IFERROR(__xludf.DUMMYFUNCTION("""COMPUTED_VALUE"""),42.5)</f>
        <v>42.5</v>
      </c>
      <c r="H832" s="128">
        <f>IFERROR(__xludf.DUMMYFUNCTION("""COMPUTED_VALUE"""),42626.0)</f>
        <v>42626</v>
      </c>
      <c r="I832" s="27">
        <f>IFERROR(__xludf.DUMMYFUNCTION("""COMPUTED_VALUE"""),0.5416666666666666)</f>
        <v>0.5416666667</v>
      </c>
      <c r="J832" s="29">
        <f>IFERROR(__xludf.DUMMYFUNCTION("""COMPUTED_VALUE"""),77.0)</f>
        <v>77</v>
      </c>
      <c r="K832" s="29">
        <f>IFERROR(__xludf.DUMMYFUNCTION("""COMPUTED_VALUE"""),42.0)</f>
        <v>42</v>
      </c>
      <c r="L832" s="275" t="str">
        <f>IFERROR(__xludf.DUMMYFUNCTION("""COMPUTED_VALUE"""),"Sports")</f>
        <v>Sports</v>
      </c>
    </row>
    <row r="833">
      <c r="A833" s="278" t="str">
        <f>IFERROR(__xludf.DUMMYFUNCTION("""COMPUTED_VALUE"""),"NBA LIVE 16")</f>
        <v>NBA LIVE 16</v>
      </c>
      <c r="B833" s="20" t="str">
        <f>IFERROR(__xludf.DUMMYFUNCTION("""COMPUTED_VALUE"""),"Xbox")</f>
        <v>Xbox</v>
      </c>
      <c r="C833" s="20"/>
      <c r="D833" s="21" t="str">
        <f>IFERROR(__xludf.DUMMYFUNCTION("""COMPUTED_VALUE"""),"Removed")</f>
        <v>Removed</v>
      </c>
      <c r="E833" s="279">
        <f>IFERROR(__xludf.DUMMYFUNCTION("""COMPUTED_VALUE"""),42515.0)</f>
        <v>42515</v>
      </c>
      <c r="F833" s="279">
        <f>IFERROR(__xludf.DUMMYFUNCTION("""COMPUTED_VALUE"""),44123.0)</f>
        <v>44123</v>
      </c>
      <c r="G833" s="27">
        <f>IFERROR(__xludf.DUMMYFUNCTION("""COMPUTED_VALUE"""),52.800000000000004)</f>
        <v>52.8</v>
      </c>
      <c r="H833" s="128">
        <f>IFERROR(__xludf.DUMMYFUNCTION("""COMPUTED_VALUE"""),42276.0)</f>
        <v>42276</v>
      </c>
      <c r="I833" s="27">
        <f>IFERROR(__xludf.DUMMYFUNCTION("""COMPUTED_VALUE"""),0.6555555555555556)</f>
        <v>0.6555555556</v>
      </c>
      <c r="J833" s="29">
        <f>IFERROR(__xludf.DUMMYFUNCTION("""COMPUTED_VALUE"""),60.0)</f>
        <v>60</v>
      </c>
      <c r="K833" s="29">
        <f>IFERROR(__xludf.DUMMYFUNCTION("""COMPUTED_VALUE"""),55.0)</f>
        <v>55</v>
      </c>
      <c r="L833" s="275" t="str">
        <f>IFERROR(__xludf.DUMMYFUNCTION("""COMPUTED_VALUE"""),"Sports")</f>
        <v>Sports</v>
      </c>
    </row>
    <row r="834">
      <c r="A834" s="278" t="str">
        <f>IFERROR(__xludf.DUMMYFUNCTION("""COMPUTED_VALUE"""),"Panzer Dragoon Orta")</f>
        <v>Panzer Dragoon Orta</v>
      </c>
      <c r="B834" s="20" t="str">
        <f>IFERROR(__xludf.DUMMYFUNCTION("""COMPUTED_VALUE"""),"Xbox")</f>
        <v>Xbox</v>
      </c>
      <c r="C834" s="21"/>
      <c r="D834" s="21" t="str">
        <f>IFERROR(__xludf.DUMMYFUNCTION("""COMPUTED_VALUE"""),"Removed")</f>
        <v>Removed</v>
      </c>
      <c r="E834" s="279">
        <f>IFERROR(__xludf.DUMMYFUNCTION("""COMPUTED_VALUE"""),43739.0)</f>
        <v>43739</v>
      </c>
      <c r="F834" s="279">
        <f>IFERROR(__xludf.DUMMYFUNCTION("""COMPUTED_VALUE"""),44104.0)</f>
        <v>44104</v>
      </c>
      <c r="G834" s="27">
        <f>IFERROR(__xludf.DUMMYFUNCTION("""COMPUTED_VALUE"""),11.966666666666667)</f>
        <v>11.96666667</v>
      </c>
      <c r="H834" s="128">
        <f>IFERROR(__xludf.DUMMYFUNCTION("""COMPUTED_VALUE"""),37635.0)</f>
        <v>37635</v>
      </c>
      <c r="I834" s="27">
        <f>IFERROR(__xludf.DUMMYFUNCTION("""COMPUTED_VALUE"""),16.71388888888889)</f>
        <v>16.71388889</v>
      </c>
      <c r="J834" s="29">
        <f>IFERROR(__xludf.DUMMYFUNCTION("""COMPUTED_VALUE"""),90.0)</f>
        <v>90</v>
      </c>
      <c r="K834" s="29">
        <f>IFERROR(__xludf.DUMMYFUNCTION("""COMPUTED_VALUE"""),4.0)</f>
        <v>4</v>
      </c>
      <c r="L834" s="275" t="str">
        <f>IFERROR(__xludf.DUMMYFUNCTION("""COMPUTED_VALUE"""),"Shooter")</f>
        <v>Shooter</v>
      </c>
    </row>
    <row r="835">
      <c r="A835" s="278" t="str">
        <f>IFERROR(__xludf.DUMMYFUNCTION("""COMPUTED_VALUE"""),"Bad North: Jotunn Edition")</f>
        <v>Bad North: Jotunn Edition</v>
      </c>
      <c r="B835" s="20" t="str">
        <f>IFERROR(__xludf.DUMMYFUNCTION("""COMPUTED_VALUE"""),"Xbox / PC")</f>
        <v>Xbox / PC</v>
      </c>
      <c r="C835" s="21"/>
      <c r="D835" s="21" t="str">
        <f>IFERROR(__xludf.DUMMYFUNCTION("""COMPUTED_VALUE"""),"Removed")</f>
        <v>Removed</v>
      </c>
      <c r="E835" s="279">
        <f>IFERROR(__xludf.DUMMYFUNCTION("""COMPUTED_VALUE"""),43734.0)</f>
        <v>43734</v>
      </c>
      <c r="F835" s="279">
        <f>IFERROR(__xludf.DUMMYFUNCTION("""COMPUTED_VALUE"""),44104.0)</f>
        <v>44104</v>
      </c>
      <c r="G835" s="27">
        <f>IFERROR(__xludf.DUMMYFUNCTION("""COMPUTED_VALUE"""),12.133333333333333)</f>
        <v>12.13333333</v>
      </c>
      <c r="H835" s="128">
        <f>IFERROR(__xludf.DUMMYFUNCTION("""COMPUTED_VALUE"""),43332.0)</f>
        <v>43332</v>
      </c>
      <c r="I835" s="27">
        <f>IFERROR(__xludf.DUMMYFUNCTION("""COMPUTED_VALUE"""),1.1)</f>
        <v>1.1</v>
      </c>
      <c r="J835" s="29">
        <f>IFERROR(__xludf.DUMMYFUNCTION("""COMPUTED_VALUE"""),65.0)</f>
        <v>65</v>
      </c>
      <c r="K835" s="29">
        <f>IFERROR(__xludf.DUMMYFUNCTION("""COMPUTED_VALUE"""),5.5)</f>
        <v>5.5</v>
      </c>
      <c r="L835" s="275" t="str">
        <f>IFERROR(__xludf.DUMMYFUNCTION("""COMPUTED_VALUE"""),"Real-Time Strategy")</f>
        <v>Real-Time Strategy</v>
      </c>
    </row>
    <row r="836">
      <c r="A836" s="278" t="str">
        <f>IFERROR(__xludf.DUMMYFUNCTION("""COMPUTED_VALUE"""),"Westerado: Double Barreled")</f>
        <v>Westerado: Double Barreled</v>
      </c>
      <c r="B836" s="20" t="str">
        <f>IFERROR(__xludf.DUMMYFUNCTION("""COMPUTED_VALUE"""),"Xbox")</f>
        <v>Xbox</v>
      </c>
      <c r="C836" s="21"/>
      <c r="D836" s="21" t="str">
        <f>IFERROR(__xludf.DUMMYFUNCTION("""COMPUTED_VALUE"""),"Removed")</f>
        <v>Removed</v>
      </c>
      <c r="E836" s="279">
        <f>IFERROR(__xludf.DUMMYFUNCTION("""COMPUTED_VALUE"""),43374.0)</f>
        <v>43374</v>
      </c>
      <c r="F836" s="279">
        <f>IFERROR(__xludf.DUMMYFUNCTION("""COMPUTED_VALUE"""),44104.0)</f>
        <v>44104</v>
      </c>
      <c r="G836" s="27">
        <f>IFERROR(__xludf.DUMMYFUNCTION("""COMPUTED_VALUE"""),23.96666666666667)</f>
        <v>23.96666667</v>
      </c>
      <c r="H836" s="128">
        <f>IFERROR(__xludf.DUMMYFUNCTION("""COMPUTED_VALUE"""),42110.0)</f>
        <v>42110</v>
      </c>
      <c r="I836" s="27">
        <f>IFERROR(__xludf.DUMMYFUNCTION("""COMPUTED_VALUE"""),3.4583333333333335)</f>
        <v>3.458333333</v>
      </c>
      <c r="J836" s="29">
        <f>IFERROR(__xludf.DUMMYFUNCTION("""COMPUTED_VALUE"""),80.0)</f>
        <v>80</v>
      </c>
      <c r="K836" s="29">
        <f>IFERROR(__xludf.DUMMYFUNCTION("""COMPUTED_VALUE"""),2.5)</f>
        <v>2.5</v>
      </c>
      <c r="L836" s="275" t="str">
        <f>IFERROR(__xludf.DUMMYFUNCTION("""COMPUTED_VALUE"""),"Action-Adventure")</f>
        <v>Action-Adventure</v>
      </c>
    </row>
    <row r="837">
      <c r="A837" s="278" t="str">
        <f>IFERROR(__xludf.DUMMYFUNCTION("""COMPUTED_VALUE"""),"Rocket League")</f>
        <v>Rocket League</v>
      </c>
      <c r="B837" s="20" t="str">
        <f>IFERROR(__xludf.DUMMYFUNCTION("""COMPUTED_VALUE"""),"Xbox")</f>
        <v>Xbox</v>
      </c>
      <c r="C837" s="21"/>
      <c r="D837" s="21" t="str">
        <f>IFERROR(__xludf.DUMMYFUNCTION("""COMPUTED_VALUE"""),"Removed")</f>
        <v>Removed</v>
      </c>
      <c r="E837" s="279">
        <f>IFERROR(__xludf.DUMMYFUNCTION("""COMPUTED_VALUE"""),43292.0)</f>
        <v>43292</v>
      </c>
      <c r="F837" s="279">
        <f>IFERROR(__xludf.DUMMYFUNCTION("""COMPUTED_VALUE"""),44096.0)</f>
        <v>44096</v>
      </c>
      <c r="G837" s="27">
        <f>IFERROR(__xludf.DUMMYFUNCTION("""COMPUTED_VALUE"""),26.366666666666667)</f>
        <v>26.36666667</v>
      </c>
      <c r="H837" s="128">
        <f>IFERROR(__xludf.DUMMYFUNCTION("""COMPUTED_VALUE"""),42192.0)</f>
        <v>42192</v>
      </c>
      <c r="I837" s="27">
        <f>IFERROR(__xludf.DUMMYFUNCTION("""COMPUTED_VALUE"""),3.011111111111111)</f>
        <v>3.011111111</v>
      </c>
      <c r="J837" s="29">
        <f>IFERROR(__xludf.DUMMYFUNCTION("""COMPUTED_VALUE"""),87.0)</f>
        <v>87</v>
      </c>
      <c r="K837" s="29">
        <f>IFERROR(__xludf.DUMMYFUNCTION("""COMPUTED_VALUE"""),4.0)</f>
        <v>4</v>
      </c>
      <c r="L837" s="275" t="str">
        <f>IFERROR(__xludf.DUMMYFUNCTION("""COMPUTED_VALUE"""),"Racing")</f>
        <v>Racing</v>
      </c>
    </row>
    <row r="838">
      <c r="A838" s="17" t="str">
        <f>IFERROR(__xludf.DUMMYFUNCTION("""COMPUTED_VALUE"""),"NBA 2K20")</f>
        <v>NBA 2K20</v>
      </c>
      <c r="B838" s="20" t="str">
        <f>IFERROR(__xludf.DUMMYFUNCTION("""COMPUTED_VALUE"""),"Xbox")</f>
        <v>Xbox</v>
      </c>
      <c r="C838" s="21"/>
      <c r="D838" s="21" t="str">
        <f>IFERROR(__xludf.DUMMYFUNCTION("""COMPUTED_VALUE"""),"Removed")</f>
        <v>Removed</v>
      </c>
      <c r="E838" s="279">
        <f>IFERROR(__xludf.DUMMYFUNCTION("""COMPUTED_VALUE"""),43895.0)</f>
        <v>43895</v>
      </c>
      <c r="F838" s="279">
        <f>IFERROR(__xludf.DUMMYFUNCTION("""COMPUTED_VALUE"""),44089.0)</f>
        <v>44089</v>
      </c>
      <c r="G838" s="27">
        <f>IFERROR(__xludf.DUMMYFUNCTION("""COMPUTED_VALUE"""),6.333333333333334)</f>
        <v>6.333333333</v>
      </c>
      <c r="H838" s="128">
        <f>IFERROR(__xludf.DUMMYFUNCTION("""COMPUTED_VALUE"""),43714.0)</f>
        <v>43714</v>
      </c>
      <c r="I838" s="27">
        <f>IFERROR(__xludf.DUMMYFUNCTION("""COMPUTED_VALUE"""),0.49722222222222223)</f>
        <v>0.4972222222</v>
      </c>
      <c r="J838" s="29">
        <f>IFERROR(__xludf.DUMMYFUNCTION("""COMPUTED_VALUE"""),80.0)</f>
        <v>80</v>
      </c>
      <c r="K838" s="29">
        <f>IFERROR(__xludf.DUMMYFUNCTION("""COMPUTED_VALUE"""),53.0)</f>
        <v>53</v>
      </c>
      <c r="L838" s="275" t="str">
        <f>IFERROR(__xludf.DUMMYFUNCTION("""COMPUTED_VALUE"""),"Sports")</f>
        <v>Sports</v>
      </c>
    </row>
    <row r="839">
      <c r="A839" s="278" t="str">
        <f>IFERROR(__xludf.DUMMYFUNCTION("""COMPUTED_VALUE"""),"Jump Force")</f>
        <v>Jump Force</v>
      </c>
      <c r="B839" s="20" t="str">
        <f>IFERROR(__xludf.DUMMYFUNCTION("""COMPUTED_VALUE"""),"Xbox")</f>
        <v>Xbox</v>
      </c>
      <c r="C839" s="21"/>
      <c r="D839" s="21" t="str">
        <f>IFERROR(__xludf.DUMMYFUNCTION("""COMPUTED_VALUE"""),"Removed")</f>
        <v>Removed</v>
      </c>
      <c r="E839" s="279">
        <f>IFERROR(__xludf.DUMMYFUNCTION("""COMPUTED_VALUE"""),43727.0)</f>
        <v>43727</v>
      </c>
      <c r="F839" s="279">
        <f>IFERROR(__xludf.DUMMYFUNCTION("""COMPUTED_VALUE"""),44089.0)</f>
        <v>44089</v>
      </c>
      <c r="G839" s="27">
        <f>IFERROR(__xludf.DUMMYFUNCTION("""COMPUTED_VALUE"""),11.866666666666667)</f>
        <v>11.86666667</v>
      </c>
      <c r="H839" s="128">
        <f>IFERROR(__xludf.DUMMYFUNCTION("""COMPUTED_VALUE"""),43508.0)</f>
        <v>43508</v>
      </c>
      <c r="I839" s="27">
        <f>IFERROR(__xludf.DUMMYFUNCTION("""COMPUTED_VALUE"""),0.6027777777777777)</f>
        <v>0.6027777778</v>
      </c>
      <c r="J839" s="29">
        <f>IFERROR(__xludf.DUMMYFUNCTION("""COMPUTED_VALUE"""),61.0)</f>
        <v>61</v>
      </c>
      <c r="K839" s="29">
        <f>IFERROR(__xludf.DUMMYFUNCTION("""COMPUTED_VALUE"""),12.5)</f>
        <v>12.5</v>
      </c>
      <c r="L839" s="275" t="str">
        <f>IFERROR(__xludf.DUMMYFUNCTION("""COMPUTED_VALUE"""),"Fighting")</f>
        <v>Fighting</v>
      </c>
    </row>
    <row r="840">
      <c r="A840" s="278" t="str">
        <f>IFERROR(__xludf.DUMMYFUNCTION("""COMPUTED_VALUE"""),"GoNNER: Blueberry Edition")</f>
        <v>GoNNER: Blueberry Edition</v>
      </c>
      <c r="B840" s="20" t="str">
        <f>IFERROR(__xludf.DUMMYFUNCTION("""COMPUTED_VALUE"""),"Xbox / PC")</f>
        <v>Xbox / PC</v>
      </c>
      <c r="C840" s="21"/>
      <c r="D840" s="21" t="str">
        <f>IFERROR(__xludf.DUMMYFUNCTION("""COMPUTED_VALUE"""),"Removed")</f>
        <v>Removed</v>
      </c>
      <c r="E840" s="279">
        <f>IFERROR(__xludf.DUMMYFUNCTION("""COMPUTED_VALUE"""),43720.0)</f>
        <v>43720</v>
      </c>
      <c r="F840" s="279">
        <f>IFERROR(__xludf.DUMMYFUNCTION("""COMPUTED_VALUE"""),44089.0)</f>
        <v>44089</v>
      </c>
      <c r="G840" s="27">
        <f>IFERROR(__xludf.DUMMYFUNCTION("""COMPUTED_VALUE"""),12.1)</f>
        <v>12.1</v>
      </c>
      <c r="H840" s="128">
        <f>IFERROR(__xludf.DUMMYFUNCTION("""COMPUTED_VALUE"""),43157.0)</f>
        <v>43157</v>
      </c>
      <c r="I840" s="27">
        <f>IFERROR(__xludf.DUMMYFUNCTION("""COMPUTED_VALUE"""),1.5444444444444445)</f>
        <v>1.544444444</v>
      </c>
      <c r="J840" s="29">
        <f>IFERROR(__xludf.DUMMYFUNCTION("""COMPUTED_VALUE"""),60.0)</f>
        <v>60</v>
      </c>
      <c r="K840" s="29">
        <f>IFERROR(__xludf.DUMMYFUNCTION("""COMPUTED_VALUE"""),8.0)</f>
        <v>8</v>
      </c>
      <c r="L840" s="275" t="str">
        <f>IFERROR(__xludf.DUMMYFUNCTION("""COMPUTED_VALUE"""),"Action")</f>
        <v>Action</v>
      </c>
    </row>
    <row r="841">
      <c r="A841" s="278" t="str">
        <f>IFERROR(__xludf.DUMMYFUNCTION("""COMPUTED_VALUE"""),"Red Dead Redemption 2")</f>
        <v>Red Dead Redemption 2</v>
      </c>
      <c r="B841" s="20" t="str">
        <f>IFERROR(__xludf.DUMMYFUNCTION("""COMPUTED_VALUE"""),"Xbox")</f>
        <v>Xbox</v>
      </c>
      <c r="C841" s="21"/>
      <c r="D841" s="21" t="str">
        <f>IFERROR(__xludf.DUMMYFUNCTION("""COMPUTED_VALUE"""),"Removed")</f>
        <v>Removed</v>
      </c>
      <c r="E841" s="279">
        <f>IFERROR(__xludf.DUMMYFUNCTION("""COMPUTED_VALUE"""),43958.0)</f>
        <v>43958</v>
      </c>
      <c r="F841" s="279">
        <f>IFERROR(__xludf.DUMMYFUNCTION("""COMPUTED_VALUE"""),44081.0)</f>
        <v>44081</v>
      </c>
      <c r="G841" s="27">
        <f>IFERROR(__xludf.DUMMYFUNCTION("""COMPUTED_VALUE"""),4.0)</f>
        <v>4</v>
      </c>
      <c r="H841" s="128">
        <f>IFERROR(__xludf.DUMMYFUNCTION("""COMPUTED_VALUE"""),43399.0)</f>
        <v>43399</v>
      </c>
      <c r="I841" s="27">
        <f>IFERROR(__xludf.DUMMYFUNCTION("""COMPUTED_VALUE"""),1.5305555555555554)</f>
        <v>1.530555556</v>
      </c>
      <c r="J841" s="29">
        <f>IFERROR(__xludf.DUMMYFUNCTION("""COMPUTED_VALUE"""),97.0)</f>
        <v>97</v>
      </c>
      <c r="K841" s="29">
        <f>IFERROR(__xludf.DUMMYFUNCTION("""COMPUTED_VALUE"""),47.5)</f>
        <v>47.5</v>
      </c>
      <c r="L841" s="275" t="str">
        <f>IFERROR(__xludf.DUMMYFUNCTION("""COMPUTED_VALUE"""),"Action-Adventure")</f>
        <v>Action-Adventure</v>
      </c>
    </row>
    <row r="842">
      <c r="A842" s="278" t="str">
        <f>IFERROR(__xludf.DUMMYFUNCTION("""COMPUTED_VALUE"""),"The Jackbox Party Pack 3")</f>
        <v>The Jackbox Party Pack 3</v>
      </c>
      <c r="B842" s="20" t="str">
        <f>IFERROR(__xludf.DUMMYFUNCTION("""COMPUTED_VALUE"""),"Xbox")</f>
        <v>Xbox</v>
      </c>
      <c r="C842" s="21"/>
      <c r="D842" s="21" t="str">
        <f>IFERROR(__xludf.DUMMYFUNCTION("""COMPUTED_VALUE"""),"Removed")</f>
        <v>Removed</v>
      </c>
      <c r="E842" s="279">
        <f>IFERROR(__xludf.DUMMYFUNCTION("""COMPUTED_VALUE"""),43888.0)</f>
        <v>43888</v>
      </c>
      <c r="F842" s="279">
        <f>IFERROR(__xludf.DUMMYFUNCTION("""COMPUTED_VALUE"""),44074.0)</f>
        <v>44074</v>
      </c>
      <c r="G842" s="27">
        <f>IFERROR(__xludf.DUMMYFUNCTION("""COMPUTED_VALUE"""),6.1)</f>
        <v>6.1</v>
      </c>
      <c r="H842" s="128">
        <f>IFERROR(__xludf.DUMMYFUNCTION("""COMPUTED_VALUE"""),42660.0)</f>
        <v>42660</v>
      </c>
      <c r="I842" s="27">
        <f>IFERROR(__xludf.DUMMYFUNCTION("""COMPUTED_VALUE"""),3.361111111111111)</f>
        <v>3.361111111</v>
      </c>
      <c r="J842" s="29">
        <f>IFERROR(__xludf.DUMMYFUNCTION("""COMPUTED_VALUE"""),80.0)</f>
        <v>80</v>
      </c>
      <c r="K842" s="29">
        <f>IFERROR(__xludf.DUMMYFUNCTION("""COMPUTED_VALUE"""),2.5)</f>
        <v>2.5</v>
      </c>
      <c r="L842" s="275" t="str">
        <f>IFERROR(__xludf.DUMMYFUNCTION("""COMPUTED_VALUE"""),"Party")</f>
        <v>Party</v>
      </c>
    </row>
    <row r="843">
      <c r="A843" s="278" t="str">
        <f>IFERROR(__xludf.DUMMYFUNCTION("""COMPUTED_VALUE"""),"Creature in the Well")</f>
        <v>Creature in the Well</v>
      </c>
      <c r="B843" s="20" t="str">
        <f>IFERROR(__xludf.DUMMYFUNCTION("""COMPUTED_VALUE"""),"Xbox / PC")</f>
        <v>Xbox / PC</v>
      </c>
      <c r="C843" s="21"/>
      <c r="D843" s="21" t="str">
        <f>IFERROR(__xludf.DUMMYFUNCTION("""COMPUTED_VALUE"""),"Removed")</f>
        <v>Removed</v>
      </c>
      <c r="E843" s="279">
        <f>IFERROR(__xludf.DUMMYFUNCTION("""COMPUTED_VALUE"""),43714.0)</f>
        <v>43714</v>
      </c>
      <c r="F843" s="279">
        <f>IFERROR(__xludf.DUMMYFUNCTION("""COMPUTED_VALUE"""),44074.0)</f>
        <v>44074</v>
      </c>
      <c r="G843" s="27">
        <f>IFERROR(__xludf.DUMMYFUNCTION("""COMPUTED_VALUE"""),11.799999999999999)</f>
        <v>11.8</v>
      </c>
      <c r="H843" s="128">
        <f>IFERROR(__xludf.DUMMYFUNCTION("""COMPUTED_VALUE"""),43714.0)</f>
        <v>43714</v>
      </c>
      <c r="I843" s="27">
        <f>IFERROR(__xludf.DUMMYFUNCTION("""COMPUTED_VALUE"""),0.0)</f>
        <v>0</v>
      </c>
      <c r="J843" s="29">
        <f>IFERROR(__xludf.DUMMYFUNCTION("""COMPUTED_VALUE"""),78.0)</f>
        <v>78</v>
      </c>
      <c r="K843" s="29">
        <f>IFERROR(__xludf.DUMMYFUNCTION("""COMPUTED_VALUE"""),4.0)</f>
        <v>4</v>
      </c>
      <c r="L843" s="275" t="str">
        <f>IFERROR(__xludf.DUMMYFUNCTION("""COMPUTED_VALUE"""),"Action-Adventure")</f>
        <v>Action-Adventure</v>
      </c>
    </row>
    <row r="844">
      <c r="A844" s="17" t="str">
        <f>IFERROR(__xludf.DUMMYFUNCTION("""COMPUTED_VALUE"""),"Metal Gear Solid HD Edition: 2 &amp; 3")</f>
        <v>Metal Gear Solid HD Edition: 2 &amp; 3</v>
      </c>
      <c r="B844" s="20" t="str">
        <f>IFERROR(__xludf.DUMMYFUNCTION("""COMPUTED_VALUE"""),"Xbox")</f>
        <v>Xbox</v>
      </c>
      <c r="C844" s="21"/>
      <c r="D844" s="21" t="str">
        <f>IFERROR(__xludf.DUMMYFUNCTION("""COMPUTED_VALUE"""),"Removed")</f>
        <v>Removed</v>
      </c>
      <c r="E844" s="279">
        <f>IFERROR(__xludf.DUMMYFUNCTION("""COMPUTED_VALUE"""),43713.0)</f>
        <v>43713</v>
      </c>
      <c r="F844" s="279">
        <f>IFERROR(__xludf.DUMMYFUNCTION("""COMPUTED_VALUE"""),44074.0)</f>
        <v>44074</v>
      </c>
      <c r="G844" s="27">
        <f>IFERROR(__xludf.DUMMYFUNCTION("""COMPUTED_VALUE"""),11.833333333333334)</f>
        <v>11.83333333</v>
      </c>
      <c r="H844" s="128">
        <f>IFERROR(__xludf.DUMMYFUNCTION("""COMPUTED_VALUE"""),40855.0)</f>
        <v>40855</v>
      </c>
      <c r="I844" s="27">
        <f>IFERROR(__xludf.DUMMYFUNCTION("""COMPUTED_VALUE"""),7.825)</f>
        <v>7.825</v>
      </c>
      <c r="J844" s="29">
        <f>IFERROR(__xludf.DUMMYFUNCTION("""COMPUTED_VALUE"""),90.0)</f>
        <v>90</v>
      </c>
      <c r="K844" s="29">
        <f>IFERROR(__xludf.DUMMYFUNCTION("""COMPUTED_VALUE"""),53.5)</f>
        <v>53.5</v>
      </c>
      <c r="L844" s="31" t="str">
        <f>IFERROR(__xludf.DUMMYFUNCTION("""COMPUTED_VALUE"""),"Action-Adventure")</f>
        <v>Action-Adventure</v>
      </c>
    </row>
    <row r="845">
      <c r="A845" s="17" t="str">
        <f>IFERROR(__xludf.DUMMYFUNCTION("""COMPUTED_VALUE"""),"Giana Sisters: Twisted Dreams - Director's Cut")</f>
        <v>Giana Sisters: Twisted Dreams - Director's Cut</v>
      </c>
      <c r="B845" s="20" t="str">
        <f>IFERROR(__xludf.DUMMYFUNCTION("""COMPUTED_VALUE"""),"Xbox")</f>
        <v>Xbox</v>
      </c>
      <c r="C845" s="21"/>
      <c r="D845" s="21" t="str">
        <f>IFERROR(__xludf.DUMMYFUNCTION("""COMPUTED_VALUE"""),"Removed")</f>
        <v>Removed</v>
      </c>
      <c r="E845" s="279">
        <f>IFERROR(__xludf.DUMMYFUNCTION("""COMPUTED_VALUE"""),43344.0)</f>
        <v>43344</v>
      </c>
      <c r="F845" s="279">
        <f>IFERROR(__xludf.DUMMYFUNCTION("""COMPUTED_VALUE"""),44074.0)</f>
        <v>44074</v>
      </c>
      <c r="G845" s="27">
        <f>IFERROR(__xludf.DUMMYFUNCTION("""COMPUTED_VALUE"""),23.96666666666667)</f>
        <v>23.96666667</v>
      </c>
      <c r="H845" s="128">
        <f>IFERROR(__xludf.DUMMYFUNCTION("""COMPUTED_VALUE"""),41205.0)</f>
        <v>41205</v>
      </c>
      <c r="I845" s="27">
        <f>IFERROR(__xludf.DUMMYFUNCTION("""COMPUTED_VALUE"""),5.855555555555555)</f>
        <v>5.855555556</v>
      </c>
      <c r="J845" s="29">
        <f>IFERROR(__xludf.DUMMYFUNCTION("""COMPUTED_VALUE"""),80.0)</f>
        <v>80</v>
      </c>
      <c r="K845" s="29">
        <f>IFERROR(__xludf.DUMMYFUNCTION("""COMPUTED_VALUE"""),7.0)</f>
        <v>7</v>
      </c>
      <c r="L845" s="31" t="str">
        <f>IFERROR(__xludf.DUMMYFUNCTION("""COMPUTED_VALUE"""),"Platformer")</f>
        <v>Platformer</v>
      </c>
    </row>
    <row r="846">
      <c r="A846" s="278" t="str">
        <f>IFERROR(__xludf.DUMMYFUNCTION("""COMPUTED_VALUE"""),"Devil May Cry 5")</f>
        <v>Devil May Cry 5</v>
      </c>
      <c r="B846" s="20" t="str">
        <f>IFERROR(__xludf.DUMMYFUNCTION("""COMPUTED_VALUE"""),"Xbox")</f>
        <v>Xbox</v>
      </c>
      <c r="C846" s="21"/>
      <c r="D846" s="21" t="str">
        <f>IFERROR(__xludf.DUMMYFUNCTION("""COMPUTED_VALUE"""),"Removed")</f>
        <v>Removed</v>
      </c>
      <c r="E846" s="279">
        <f>IFERROR(__xludf.DUMMYFUNCTION("""COMPUTED_VALUE"""),43696.0)</f>
        <v>43696</v>
      </c>
      <c r="F846" s="279">
        <f>IFERROR(__xludf.DUMMYFUNCTION("""COMPUTED_VALUE"""),44057.0)</f>
        <v>44057</v>
      </c>
      <c r="G846" s="27">
        <f>IFERROR(__xludf.DUMMYFUNCTION("""COMPUTED_VALUE"""),11.833333333333334)</f>
        <v>11.83333333</v>
      </c>
      <c r="H846" s="128">
        <f>IFERROR(__xludf.DUMMYFUNCTION("""COMPUTED_VALUE"""),43532.0)</f>
        <v>43532</v>
      </c>
      <c r="I846" s="27">
        <f>IFERROR(__xludf.DUMMYFUNCTION("""COMPUTED_VALUE"""),0.44722222222222224)</f>
        <v>0.4472222222</v>
      </c>
      <c r="J846" s="29">
        <f>IFERROR(__xludf.DUMMYFUNCTION("""COMPUTED_VALUE"""),87.0)</f>
        <v>87</v>
      </c>
      <c r="K846" s="277">
        <f>IFERROR(__xludf.DUMMYFUNCTION("""COMPUTED_VALUE"""),11.0)</f>
        <v>11</v>
      </c>
      <c r="L846" s="275" t="str">
        <f>IFERROR(__xludf.DUMMYFUNCTION("""COMPUTED_VALUE"""),"Action")</f>
        <v>Action</v>
      </c>
    </row>
    <row r="847">
      <c r="A847" s="278" t="str">
        <f>IFERROR(__xludf.DUMMYFUNCTION("""COMPUTED_VALUE"""),"Space Hulk: Tactics")</f>
        <v>Space Hulk: Tactics</v>
      </c>
      <c r="B847" s="20" t="str">
        <f>IFERROR(__xludf.DUMMYFUNCTION("""COMPUTED_VALUE"""),"PC")</f>
        <v>PC</v>
      </c>
      <c r="C847" s="21"/>
      <c r="D847" s="21" t="str">
        <f>IFERROR(__xludf.DUMMYFUNCTION("""COMPUTED_VALUE"""),"Removed")</f>
        <v>Removed</v>
      </c>
      <c r="E847" s="279">
        <f>IFERROR(__xludf.DUMMYFUNCTION("""COMPUTED_VALUE"""),43685.0)</f>
        <v>43685</v>
      </c>
      <c r="F847" s="279">
        <f>IFERROR(__xludf.DUMMYFUNCTION("""COMPUTED_VALUE"""),44057.0)</f>
        <v>44057</v>
      </c>
      <c r="G847" s="27">
        <f>IFERROR(__xludf.DUMMYFUNCTION("""COMPUTED_VALUE"""),12.2)</f>
        <v>12.2</v>
      </c>
      <c r="H847" s="128">
        <f>IFERROR(__xludf.DUMMYFUNCTION("""COMPUTED_VALUE"""),43382.0)</f>
        <v>43382</v>
      </c>
      <c r="I847" s="27">
        <f>IFERROR(__xludf.DUMMYFUNCTION("""COMPUTED_VALUE"""),0.8305555555555556)</f>
        <v>0.8305555556</v>
      </c>
      <c r="J847" s="29">
        <f>IFERROR(__xludf.DUMMYFUNCTION("""COMPUTED_VALUE"""),73.0)</f>
        <v>73</v>
      </c>
      <c r="K847" s="29">
        <f>IFERROR(__xludf.DUMMYFUNCTION("""COMPUTED_VALUE"""),21.0)</f>
        <v>21</v>
      </c>
      <c r="L847" s="275" t="str">
        <f>IFERROR(__xludf.DUMMYFUNCTION("""COMPUTED_VALUE"""),"Strategy")</f>
        <v>Strategy</v>
      </c>
    </row>
    <row r="848">
      <c r="A848" s="278" t="str">
        <f>IFERROR(__xludf.DUMMYFUNCTION("""COMPUTED_VALUE"""),"Where The Water Tastes Like Wine")</f>
        <v>Where The Water Tastes Like Wine</v>
      </c>
      <c r="B848" s="20" t="str">
        <f>IFERROR(__xludf.DUMMYFUNCTION("""COMPUTED_VALUE"""),"PC")</f>
        <v>PC</v>
      </c>
      <c r="C848" s="21"/>
      <c r="D848" s="21" t="str">
        <f>IFERROR(__xludf.DUMMYFUNCTION("""COMPUTED_VALUE"""),"Removed")</f>
        <v>Removed</v>
      </c>
      <c r="E848" s="279">
        <f>IFERROR(__xludf.DUMMYFUNCTION("""COMPUTED_VALUE"""),43685.0)</f>
        <v>43685</v>
      </c>
      <c r="F848" s="279">
        <f>IFERROR(__xludf.DUMMYFUNCTION("""COMPUTED_VALUE"""),44057.0)</f>
        <v>44057</v>
      </c>
      <c r="G848" s="27">
        <f>IFERROR(__xludf.DUMMYFUNCTION("""COMPUTED_VALUE"""),12.2)</f>
        <v>12.2</v>
      </c>
      <c r="H848" s="128">
        <f>IFERROR(__xludf.DUMMYFUNCTION("""COMPUTED_VALUE"""),43159.0)</f>
        <v>43159</v>
      </c>
      <c r="I848" s="27">
        <f>IFERROR(__xludf.DUMMYFUNCTION("""COMPUTED_VALUE"""),1.4444444444444444)</f>
        <v>1.444444444</v>
      </c>
      <c r="J848" s="29">
        <f>IFERROR(__xludf.DUMMYFUNCTION("""COMPUTED_VALUE"""),74.0)</f>
        <v>74</v>
      </c>
      <c r="K848" s="29">
        <f>IFERROR(__xludf.DUMMYFUNCTION("""COMPUTED_VALUE"""),17.5)</f>
        <v>17.5</v>
      </c>
      <c r="L848" s="275" t="str">
        <f>IFERROR(__xludf.DUMMYFUNCTION("""COMPUTED_VALUE"""),"Adventure")</f>
        <v>Adventure</v>
      </c>
    </row>
    <row r="849">
      <c r="A849" s="278" t="str">
        <f>IFERROR(__xludf.DUMMYFUNCTION("""COMPUTED_VALUE"""),"F1 2018")</f>
        <v>F1 2018</v>
      </c>
      <c r="B849" s="20" t="str">
        <f>IFERROR(__xludf.DUMMYFUNCTION("""COMPUTED_VALUE"""),"Xbox / PC")</f>
        <v>Xbox / PC</v>
      </c>
      <c r="C849" s="21"/>
      <c r="D849" s="21" t="str">
        <f>IFERROR(__xludf.DUMMYFUNCTION("""COMPUTED_VALUE"""),"Removed")</f>
        <v>Removed</v>
      </c>
      <c r="E849" s="279">
        <f>IFERROR(__xludf.DUMMYFUNCTION("""COMPUTED_VALUE"""),43538.0)</f>
        <v>43538</v>
      </c>
      <c r="F849" s="279">
        <f>IFERROR(__xludf.DUMMYFUNCTION("""COMPUTED_VALUE"""),44044.0)</f>
        <v>44044</v>
      </c>
      <c r="G849" s="27">
        <f>IFERROR(__xludf.DUMMYFUNCTION("""COMPUTED_VALUE"""),16.566666666666666)</f>
        <v>16.56666667</v>
      </c>
      <c r="H849" s="128">
        <f>IFERROR(__xludf.DUMMYFUNCTION("""COMPUTED_VALUE"""),43336.0)</f>
        <v>43336</v>
      </c>
      <c r="I849" s="27">
        <f>IFERROR(__xludf.DUMMYFUNCTION("""COMPUTED_VALUE"""),0.5555555555555556)</f>
        <v>0.5555555556</v>
      </c>
      <c r="J849" s="29">
        <f>IFERROR(__xludf.DUMMYFUNCTION("""COMPUTED_VALUE"""),84.0)</f>
        <v>84</v>
      </c>
      <c r="K849" s="29">
        <f>IFERROR(__xludf.DUMMYFUNCTION("""COMPUTED_VALUE"""),25.5)</f>
        <v>25.5</v>
      </c>
      <c r="L849" s="275" t="str">
        <f>IFERROR(__xludf.DUMMYFUNCTION("""COMPUTED_VALUE"""),"Racing")</f>
        <v>Racing</v>
      </c>
    </row>
    <row r="850">
      <c r="A850" s="278" t="str">
        <f>IFERROR(__xludf.DUMMYFUNCTION("""COMPUTED_VALUE"""),"Ashes Cricket")</f>
        <v>Ashes Cricket</v>
      </c>
      <c r="B850" s="20" t="str">
        <f>IFERROR(__xludf.DUMMYFUNCTION("""COMPUTED_VALUE"""),"Xbox")</f>
        <v>Xbox</v>
      </c>
      <c r="C850" s="21"/>
      <c r="D850" s="21" t="str">
        <f>IFERROR(__xludf.DUMMYFUNCTION("""COMPUTED_VALUE"""),"Removed")</f>
        <v>Removed</v>
      </c>
      <c r="E850" s="279">
        <f>IFERROR(__xludf.DUMMYFUNCTION("""COMPUTED_VALUE"""),43678.0)</f>
        <v>43678</v>
      </c>
      <c r="F850" s="279">
        <f>IFERROR(__xludf.DUMMYFUNCTION("""COMPUTED_VALUE"""),44043.0)</f>
        <v>44043</v>
      </c>
      <c r="G850" s="27">
        <f>IFERROR(__xludf.DUMMYFUNCTION("""COMPUTED_VALUE"""),11.966666666666667)</f>
        <v>11.96666667</v>
      </c>
      <c r="H850" s="128">
        <f>IFERROR(__xludf.DUMMYFUNCTION("""COMPUTED_VALUE"""),43085.0)</f>
        <v>43085</v>
      </c>
      <c r="I850" s="27">
        <f>IFERROR(__xludf.DUMMYFUNCTION("""COMPUTED_VALUE"""),1.625)</f>
        <v>1.625</v>
      </c>
      <c r="J850" s="29">
        <f>IFERROR(__xludf.DUMMYFUNCTION("""COMPUTED_VALUE"""),79.0)</f>
        <v>79</v>
      </c>
      <c r="K850" s="29">
        <f>IFERROR(__xludf.DUMMYFUNCTION("""COMPUTED_VALUE"""),23.0)</f>
        <v>23</v>
      </c>
      <c r="L850" s="31" t="str">
        <f>IFERROR(__xludf.DUMMYFUNCTION("""COMPUTED_VALUE"""),"Sports")</f>
        <v>Sports</v>
      </c>
    </row>
    <row r="851">
      <c r="A851" s="278" t="str">
        <f>IFERROR(__xludf.DUMMYFUNCTION("""COMPUTED_VALUE"""),"The Banner Saga 3")</f>
        <v>The Banner Saga 3</v>
      </c>
      <c r="B851" s="20" t="str">
        <f>IFERROR(__xludf.DUMMYFUNCTION("""COMPUTED_VALUE"""),"Xbox / PC")</f>
        <v>Xbox / PC</v>
      </c>
      <c r="C851" s="21"/>
      <c r="D851" s="21" t="str">
        <f>IFERROR(__xludf.DUMMYFUNCTION("""COMPUTED_VALUE"""),"Removed")</f>
        <v>Removed</v>
      </c>
      <c r="E851" s="279">
        <f>IFERROR(__xludf.DUMMYFUNCTION("""COMPUTED_VALUE"""),43664.0)</f>
        <v>43664</v>
      </c>
      <c r="F851" s="279">
        <f>IFERROR(__xludf.DUMMYFUNCTION("""COMPUTED_VALUE"""),44043.0)</f>
        <v>44043</v>
      </c>
      <c r="G851" s="27">
        <f>IFERROR(__xludf.DUMMYFUNCTION("""COMPUTED_VALUE"""),12.400000000000002)</f>
        <v>12.4</v>
      </c>
      <c r="H851" s="128">
        <f>IFERROR(__xludf.DUMMYFUNCTION("""COMPUTED_VALUE"""),43305.0)</f>
        <v>43305</v>
      </c>
      <c r="I851" s="27">
        <f>IFERROR(__xludf.DUMMYFUNCTION("""COMPUTED_VALUE"""),0.9833333333333333)</f>
        <v>0.9833333333</v>
      </c>
      <c r="J851" s="29">
        <f>IFERROR(__xludf.DUMMYFUNCTION("""COMPUTED_VALUE"""),88.0)</f>
        <v>88</v>
      </c>
      <c r="K851" s="29">
        <f>IFERROR(__xludf.DUMMYFUNCTION("""COMPUTED_VALUE"""),9.0)</f>
        <v>9</v>
      </c>
      <c r="L851" s="275" t="str">
        <f>IFERROR(__xludf.DUMMYFUNCTION("""COMPUTED_VALUE"""),"Strategy")</f>
        <v>Strategy</v>
      </c>
    </row>
    <row r="852">
      <c r="A852" s="278" t="str">
        <f>IFERROR(__xludf.DUMMYFUNCTION("""COMPUTED_VALUE"""),"RiME")</f>
        <v>RiME</v>
      </c>
      <c r="B852" s="20" t="str">
        <f>IFERROR(__xludf.DUMMYFUNCTION("""COMPUTED_VALUE"""),"Xbox / PC")</f>
        <v>Xbox / PC</v>
      </c>
      <c r="C852" s="21"/>
      <c r="D852" s="21" t="str">
        <f>IFERROR(__xludf.DUMMYFUNCTION("""COMPUTED_VALUE"""),"Removed")</f>
        <v>Removed</v>
      </c>
      <c r="E852" s="279">
        <f>IFERROR(__xludf.DUMMYFUNCTION("""COMPUTED_VALUE"""),43132.0)</f>
        <v>43132</v>
      </c>
      <c r="F852" s="23">
        <f>IFERROR(__xludf.DUMMYFUNCTION("""COMPUTED_VALUE"""),44043.0)</f>
        <v>44043</v>
      </c>
      <c r="G852" s="27">
        <f>IFERROR(__xludf.DUMMYFUNCTION("""COMPUTED_VALUE"""),29.96666666666667)</f>
        <v>29.96666667</v>
      </c>
      <c r="H852" s="128">
        <f>IFERROR(__xludf.DUMMYFUNCTION("""COMPUTED_VALUE"""),42881.0)</f>
        <v>42881</v>
      </c>
      <c r="I852" s="27">
        <f>IFERROR(__xludf.DUMMYFUNCTION("""COMPUTED_VALUE"""),0.6805555555555556)</f>
        <v>0.6805555556</v>
      </c>
      <c r="J852" s="29">
        <f>IFERROR(__xludf.DUMMYFUNCTION("""COMPUTED_VALUE"""),82.0)</f>
        <v>82</v>
      </c>
      <c r="K852" s="29">
        <f>IFERROR(__xludf.DUMMYFUNCTION("""COMPUTED_VALUE"""),5.5)</f>
        <v>5.5</v>
      </c>
      <c r="L852" s="275" t="str">
        <f>IFERROR(__xludf.DUMMYFUNCTION("""COMPUTED_VALUE"""),"Platformer")</f>
        <v>Platformer</v>
      </c>
    </row>
    <row r="853">
      <c r="A853" s="17" t="str">
        <f>IFERROR(__xludf.DUMMYFUNCTION("""COMPUTED_VALUE"""),"Metal Gear Solid V: The Phantom Pain")</f>
        <v>Metal Gear Solid V: The Phantom Pain</v>
      </c>
      <c r="B853" s="20" t="str">
        <f>IFERROR(__xludf.DUMMYFUNCTION("""COMPUTED_VALUE"""),"Xbox")</f>
        <v>Xbox</v>
      </c>
      <c r="C853" s="21"/>
      <c r="D853" s="21" t="str">
        <f>IFERROR(__xludf.DUMMYFUNCTION("""COMPUTED_VALUE"""),"Removed")</f>
        <v>Removed</v>
      </c>
      <c r="E853" s="279">
        <f>IFERROR(__xludf.DUMMYFUNCTION("""COMPUTED_VALUE"""),43664.0)</f>
        <v>43664</v>
      </c>
      <c r="F853" s="23">
        <f>IFERROR(__xludf.DUMMYFUNCTION("""COMPUTED_VALUE"""),44027.0)</f>
        <v>44027</v>
      </c>
      <c r="G853" s="27">
        <f>IFERROR(__xludf.DUMMYFUNCTION("""COMPUTED_VALUE"""),11.9)</f>
        <v>11.9</v>
      </c>
      <c r="H853" s="128">
        <f>IFERROR(__xludf.DUMMYFUNCTION("""COMPUTED_VALUE"""),42248.0)</f>
        <v>42248</v>
      </c>
      <c r="I853" s="27">
        <f>IFERROR(__xludf.DUMMYFUNCTION("""COMPUTED_VALUE"""),3.8805555555555555)</f>
        <v>3.880555556</v>
      </c>
      <c r="J853" s="29">
        <f>IFERROR(__xludf.DUMMYFUNCTION("""COMPUTED_VALUE"""),95.0)</f>
        <v>95</v>
      </c>
      <c r="K853" s="29">
        <f>IFERROR(__xludf.DUMMYFUNCTION("""COMPUTED_VALUE"""),46.0)</f>
        <v>46</v>
      </c>
      <c r="L853" s="31" t="str">
        <f>IFERROR(__xludf.DUMMYFUNCTION("""COMPUTED_VALUE"""),"Shooter")</f>
        <v>Shooter</v>
      </c>
    </row>
    <row r="854">
      <c r="A854" s="278" t="str">
        <f>IFERROR(__xludf.DUMMYFUNCTION("""COMPUTED_VALUE"""),"Blazing Chrome")</f>
        <v>Blazing Chrome</v>
      </c>
      <c r="B854" s="20" t="str">
        <f>IFERROR(__xludf.DUMMYFUNCTION("""COMPUTED_VALUE"""),"Xbox / PC")</f>
        <v>Xbox / PC</v>
      </c>
      <c r="C854" s="21"/>
      <c r="D854" s="21" t="str">
        <f>IFERROR(__xludf.DUMMYFUNCTION("""COMPUTED_VALUE"""),"Removed")</f>
        <v>Removed</v>
      </c>
      <c r="E854" s="279">
        <f>IFERROR(__xludf.DUMMYFUNCTION("""COMPUTED_VALUE"""),43657.0)</f>
        <v>43657</v>
      </c>
      <c r="F854" s="279">
        <f>IFERROR(__xludf.DUMMYFUNCTION("""COMPUTED_VALUE"""),44027.0)</f>
        <v>44027</v>
      </c>
      <c r="G854" s="27">
        <f>IFERROR(__xludf.DUMMYFUNCTION("""COMPUTED_VALUE"""),12.133333333333333)</f>
        <v>12.13333333</v>
      </c>
      <c r="H854" s="128">
        <f>IFERROR(__xludf.DUMMYFUNCTION("""COMPUTED_VALUE"""),43657.0)</f>
        <v>43657</v>
      </c>
      <c r="I854" s="27">
        <f>IFERROR(__xludf.DUMMYFUNCTION("""COMPUTED_VALUE"""),0.0)</f>
        <v>0</v>
      </c>
      <c r="J854" s="29">
        <f>IFERROR(__xludf.DUMMYFUNCTION("""COMPUTED_VALUE"""),82.0)</f>
        <v>82</v>
      </c>
      <c r="K854" s="29">
        <f>IFERROR(__xludf.DUMMYFUNCTION("""COMPUTED_VALUE"""),2.0)</f>
        <v>2</v>
      </c>
      <c r="L854" s="275" t="str">
        <f>IFERROR(__xludf.DUMMYFUNCTION("""COMPUTED_VALUE"""),"Action")</f>
        <v>Action</v>
      </c>
    </row>
    <row r="855">
      <c r="A855" s="278" t="str">
        <f>IFERROR(__xludf.DUMMYFUNCTION("""COMPUTED_VALUE"""),"Dead Rising 4")</f>
        <v>Dead Rising 4</v>
      </c>
      <c r="B855" s="20" t="str">
        <f>IFERROR(__xludf.DUMMYFUNCTION("""COMPUTED_VALUE"""),"Xbox / PC")</f>
        <v>Xbox / PC</v>
      </c>
      <c r="C855" s="21"/>
      <c r="D855" s="21" t="str">
        <f>IFERROR(__xludf.DUMMYFUNCTION("""COMPUTED_VALUE"""),"Removed")</f>
        <v>Removed</v>
      </c>
      <c r="E855" s="279">
        <f>IFERROR(__xludf.DUMMYFUNCTION("""COMPUTED_VALUE"""),43657.0)</f>
        <v>43657</v>
      </c>
      <c r="F855" s="279">
        <f>IFERROR(__xludf.DUMMYFUNCTION("""COMPUTED_VALUE"""),44027.0)</f>
        <v>44027</v>
      </c>
      <c r="G855" s="27">
        <f>IFERROR(__xludf.DUMMYFUNCTION("""COMPUTED_VALUE"""),12.133333333333333)</f>
        <v>12.13333333</v>
      </c>
      <c r="H855" s="128">
        <f>IFERROR(__xludf.DUMMYFUNCTION("""COMPUTED_VALUE"""),42710.0)</f>
        <v>42710</v>
      </c>
      <c r="I855" s="27">
        <f>IFERROR(__xludf.DUMMYFUNCTION("""COMPUTED_VALUE"""),2.5972222222222223)</f>
        <v>2.597222222</v>
      </c>
      <c r="J855" s="29">
        <f>IFERROR(__xludf.DUMMYFUNCTION("""COMPUTED_VALUE"""),72.0)</f>
        <v>72</v>
      </c>
      <c r="K855" s="29">
        <f>IFERROR(__xludf.DUMMYFUNCTION("""COMPUTED_VALUE"""),10.5)</f>
        <v>10.5</v>
      </c>
      <c r="L855" s="275" t="str">
        <f>IFERROR(__xludf.DUMMYFUNCTION("""COMPUTED_VALUE"""),"Action-Adventure")</f>
        <v>Action-Adventure</v>
      </c>
    </row>
    <row r="856">
      <c r="A856" s="278" t="str">
        <f>IFERROR(__xludf.DUMMYFUNCTION("""COMPUTED_VALUE"""),"Timespinner")</f>
        <v>Timespinner</v>
      </c>
      <c r="B856" s="20" t="str">
        <f>IFERROR(__xludf.DUMMYFUNCTION("""COMPUTED_VALUE"""),"Xbox / PC")</f>
        <v>Xbox / PC</v>
      </c>
      <c r="C856" s="21"/>
      <c r="D856" s="21" t="str">
        <f>IFERROR(__xludf.DUMMYFUNCTION("""COMPUTED_VALUE"""),"Removed")</f>
        <v>Removed</v>
      </c>
      <c r="E856" s="279">
        <f>IFERROR(__xludf.DUMMYFUNCTION("""COMPUTED_VALUE"""),43657.0)</f>
        <v>43657</v>
      </c>
      <c r="F856" s="279">
        <f>IFERROR(__xludf.DUMMYFUNCTION("""COMPUTED_VALUE"""),44027.0)</f>
        <v>44027</v>
      </c>
      <c r="G856" s="27">
        <f>IFERROR(__xludf.DUMMYFUNCTION("""COMPUTED_VALUE"""),12.133333333333333)</f>
        <v>12.13333333</v>
      </c>
      <c r="H856" s="128">
        <f>IFERROR(__xludf.DUMMYFUNCTION("""COMPUTED_VALUE"""),43368.0)</f>
        <v>43368</v>
      </c>
      <c r="I856" s="27">
        <f>IFERROR(__xludf.DUMMYFUNCTION("""COMPUTED_VALUE"""),0.7944444444444444)</f>
        <v>0.7944444444</v>
      </c>
      <c r="J856" s="29">
        <f>IFERROR(__xludf.DUMMYFUNCTION("""COMPUTED_VALUE"""),74.0)</f>
        <v>74</v>
      </c>
      <c r="K856" s="29">
        <f>IFERROR(__xludf.DUMMYFUNCTION("""COMPUTED_VALUE"""),6.0)</f>
        <v>6</v>
      </c>
      <c r="L856" s="275" t="str">
        <f>IFERROR(__xludf.DUMMYFUNCTION("""COMPUTED_VALUE"""),"Platformer")</f>
        <v>Platformer</v>
      </c>
    </row>
    <row r="857">
      <c r="A857" s="278" t="str">
        <f>IFERROR(__xludf.DUMMYFUNCTION("""COMPUTED_VALUE"""),"Unavowed")</f>
        <v>Unavowed</v>
      </c>
      <c r="B857" s="20" t="str">
        <f>IFERROR(__xludf.DUMMYFUNCTION("""COMPUTED_VALUE"""),"PC")</f>
        <v>PC</v>
      </c>
      <c r="C857" s="21"/>
      <c r="D857" s="21" t="str">
        <f>IFERROR(__xludf.DUMMYFUNCTION("""COMPUTED_VALUE"""),"Removed")</f>
        <v>Removed</v>
      </c>
      <c r="E857" s="279">
        <f>IFERROR(__xludf.DUMMYFUNCTION("""COMPUTED_VALUE"""),43657.0)</f>
        <v>43657</v>
      </c>
      <c r="F857" s="279">
        <f>IFERROR(__xludf.DUMMYFUNCTION("""COMPUTED_VALUE"""),44027.0)</f>
        <v>44027</v>
      </c>
      <c r="G857" s="27">
        <f>IFERROR(__xludf.DUMMYFUNCTION("""COMPUTED_VALUE"""),12.133333333333333)</f>
        <v>12.13333333</v>
      </c>
      <c r="H857" s="128">
        <f>IFERROR(__xludf.DUMMYFUNCTION("""COMPUTED_VALUE"""),43320.0)</f>
        <v>43320</v>
      </c>
      <c r="I857" s="27">
        <f>IFERROR(__xludf.DUMMYFUNCTION("""COMPUTED_VALUE"""),0.925)</f>
        <v>0.925</v>
      </c>
      <c r="J857" s="29">
        <f>IFERROR(__xludf.DUMMYFUNCTION("""COMPUTED_VALUE"""),87.0)</f>
        <v>87</v>
      </c>
      <c r="K857" s="29">
        <f>IFERROR(__xludf.DUMMYFUNCTION("""COMPUTED_VALUE"""),9.0)</f>
        <v>9</v>
      </c>
      <c r="L857" s="275" t="str">
        <f>IFERROR(__xludf.DUMMYFUNCTION("""COMPUTED_VALUE"""),"RPG")</f>
        <v>RPG</v>
      </c>
    </row>
    <row r="858">
      <c r="A858" s="278" t="str">
        <f>IFERROR(__xludf.DUMMYFUNCTION("""COMPUTED_VALUE"""),"Battlefleet Gothic: Armada")</f>
        <v>Battlefleet Gothic: Armada</v>
      </c>
      <c r="B858" s="20" t="str">
        <f>IFERROR(__xludf.DUMMYFUNCTION("""COMPUTED_VALUE"""),"PC")</f>
        <v>PC</v>
      </c>
      <c r="C858" s="21"/>
      <c r="D858" s="21" t="str">
        <f>IFERROR(__xludf.DUMMYFUNCTION("""COMPUTED_VALUE"""),"Removed")</f>
        <v>Removed</v>
      </c>
      <c r="E858" s="279">
        <f>IFERROR(__xludf.DUMMYFUNCTION("""COMPUTED_VALUE"""),43625.0)</f>
        <v>43625</v>
      </c>
      <c r="F858" s="279">
        <f>IFERROR(__xludf.DUMMYFUNCTION("""COMPUTED_VALUE"""),44012.0)</f>
        <v>44012</v>
      </c>
      <c r="G858" s="27">
        <f>IFERROR(__xludf.DUMMYFUNCTION("""COMPUTED_VALUE"""),12.7)</f>
        <v>12.7</v>
      </c>
      <c r="H858" s="128">
        <f>IFERROR(__xludf.DUMMYFUNCTION("""COMPUTED_VALUE"""),42481.0)</f>
        <v>42481</v>
      </c>
      <c r="I858" s="27">
        <f>IFERROR(__xludf.DUMMYFUNCTION("""COMPUTED_VALUE"""),3.1333333333333333)</f>
        <v>3.133333333</v>
      </c>
      <c r="J858" s="29">
        <f>IFERROR(__xludf.DUMMYFUNCTION("""COMPUTED_VALUE"""),77.0)</f>
        <v>77</v>
      </c>
      <c r="K858" s="29">
        <f>IFERROR(__xludf.DUMMYFUNCTION("""COMPUTED_VALUE"""),19.5)</f>
        <v>19.5</v>
      </c>
      <c r="L858" s="275" t="str">
        <f>IFERROR(__xludf.DUMMYFUNCTION("""COMPUTED_VALUE"""),"Strategy")</f>
        <v>Strategy</v>
      </c>
    </row>
    <row r="859">
      <c r="A859" s="278" t="str">
        <f>IFERROR(__xludf.DUMMYFUNCTION("""COMPUTED_VALUE"""),"ACA NeoGeo Metal Slug X")</f>
        <v>ACA NeoGeo Metal Slug X</v>
      </c>
      <c r="B859" s="20" t="str">
        <f>IFERROR(__xludf.DUMMYFUNCTION("""COMPUTED_VALUE"""),"Xbox / PC")</f>
        <v>Xbox / PC</v>
      </c>
      <c r="C859" s="21"/>
      <c r="D859" s="21" t="str">
        <f>IFERROR(__xludf.DUMMYFUNCTION("""COMPUTED_VALUE"""),"Removed")</f>
        <v>Removed</v>
      </c>
      <c r="E859" s="279">
        <f>IFERROR(__xludf.DUMMYFUNCTION("""COMPUTED_VALUE"""),43625.0)</f>
        <v>43625</v>
      </c>
      <c r="F859" s="279">
        <f>IFERROR(__xludf.DUMMYFUNCTION("""COMPUTED_VALUE"""),44012.0)</f>
        <v>44012</v>
      </c>
      <c r="G859" s="27">
        <f>IFERROR(__xludf.DUMMYFUNCTION("""COMPUTED_VALUE"""),12.7)</f>
        <v>12.7</v>
      </c>
      <c r="H859" s="128">
        <f>IFERROR(__xludf.DUMMYFUNCTION("""COMPUTED_VALUE"""),36237.0)</f>
        <v>36237</v>
      </c>
      <c r="I859" s="27">
        <f>IFERROR(__xludf.DUMMYFUNCTION("""COMPUTED_VALUE"""),20.225)</f>
        <v>20.225</v>
      </c>
      <c r="J859" s="29">
        <f>IFERROR(__xludf.DUMMYFUNCTION("""COMPUTED_VALUE"""),61.0)</f>
        <v>61</v>
      </c>
      <c r="K859" s="29">
        <f>IFERROR(__xludf.DUMMYFUNCTION("""COMPUTED_VALUE"""),1.0)</f>
        <v>1</v>
      </c>
      <c r="L859" s="275" t="str">
        <f>IFERROR(__xludf.DUMMYFUNCTION("""COMPUTED_VALUE"""),"Shooter")</f>
        <v>Shooter</v>
      </c>
    </row>
    <row r="860">
      <c r="A860" s="278" t="str">
        <f>IFERROR(__xludf.DUMMYFUNCTION("""COMPUTED_VALUE"""),"Metro Exodus")</f>
        <v>Metro Exodus</v>
      </c>
      <c r="B860" s="20" t="str">
        <f>IFERROR(__xludf.DUMMYFUNCTION("""COMPUTED_VALUE"""),"Xbox / PC")</f>
        <v>Xbox / PC</v>
      </c>
      <c r="C860" s="21"/>
      <c r="D860" s="21" t="str">
        <f>IFERROR(__xludf.DUMMYFUNCTION("""COMPUTED_VALUE"""),"Removed")</f>
        <v>Removed</v>
      </c>
      <c r="E860" s="279">
        <f>IFERROR(__xludf.DUMMYFUNCTION("""COMPUTED_VALUE"""),43625.0)</f>
        <v>43625</v>
      </c>
      <c r="F860" s="279">
        <f>IFERROR(__xludf.DUMMYFUNCTION("""COMPUTED_VALUE"""),44012.0)</f>
        <v>44012</v>
      </c>
      <c r="G860" s="27">
        <f>IFERROR(__xludf.DUMMYFUNCTION("""COMPUTED_VALUE"""),12.7)</f>
        <v>12.7</v>
      </c>
      <c r="H860" s="128">
        <f>IFERROR(__xludf.DUMMYFUNCTION("""COMPUTED_VALUE"""),43511.0)</f>
        <v>43511</v>
      </c>
      <c r="I860" s="27">
        <f>IFERROR(__xludf.DUMMYFUNCTION("""COMPUTED_VALUE"""),0.31666666666666665)</f>
        <v>0.3166666667</v>
      </c>
      <c r="J860" s="29">
        <f>IFERROR(__xludf.DUMMYFUNCTION("""COMPUTED_VALUE"""),82.0)</f>
        <v>82</v>
      </c>
      <c r="K860" s="29">
        <f>IFERROR(__xludf.DUMMYFUNCTION("""COMPUTED_VALUE"""),14.0)</f>
        <v>14</v>
      </c>
      <c r="L860" s="275" t="str">
        <f>IFERROR(__xludf.DUMMYFUNCTION("""COMPUTED_VALUE"""),"Shooter")</f>
        <v>Shooter</v>
      </c>
    </row>
    <row r="861">
      <c r="A861" s="17" t="str">
        <f>IFERROR(__xludf.DUMMYFUNCTION("""COMPUTED_VALUE"""),"Neon Chrome")</f>
        <v>Neon Chrome</v>
      </c>
      <c r="B861" s="20" t="str">
        <f>IFERROR(__xludf.DUMMYFUNCTION("""COMPUTED_VALUE"""),"Xbox / PC")</f>
        <v>Xbox / PC</v>
      </c>
      <c r="C861" s="21"/>
      <c r="D861" s="21" t="str">
        <f>IFERROR(__xludf.DUMMYFUNCTION("""COMPUTED_VALUE"""),"Removed")</f>
        <v>Removed</v>
      </c>
      <c r="E861" s="279">
        <f>IFERROR(__xludf.DUMMYFUNCTION("""COMPUTED_VALUE"""),43625.0)</f>
        <v>43625</v>
      </c>
      <c r="F861" s="23">
        <f>IFERROR(__xludf.DUMMYFUNCTION("""COMPUTED_VALUE"""),44012.0)</f>
        <v>44012</v>
      </c>
      <c r="G861" s="27">
        <f>IFERROR(__xludf.DUMMYFUNCTION("""COMPUTED_VALUE"""),12.7)</f>
        <v>12.7</v>
      </c>
      <c r="H861" s="128">
        <f>IFERROR(__xludf.DUMMYFUNCTION("""COMPUTED_VALUE"""),42488.0)</f>
        <v>42488</v>
      </c>
      <c r="I861" s="27">
        <f>IFERROR(__xludf.DUMMYFUNCTION("""COMPUTED_VALUE"""),3.113888888888889)</f>
        <v>3.113888889</v>
      </c>
      <c r="J861" s="29">
        <f>IFERROR(__xludf.DUMMYFUNCTION("""COMPUTED_VALUE"""),72.0)</f>
        <v>72</v>
      </c>
      <c r="K861" s="29">
        <f>IFERROR(__xludf.DUMMYFUNCTION("""COMPUTED_VALUE"""),5.0)</f>
        <v>5</v>
      </c>
      <c r="L861" s="31" t="str">
        <f>IFERROR(__xludf.DUMMYFUNCTION("""COMPUTED_VALUE"""),"Shooter")</f>
        <v>Shooter</v>
      </c>
    </row>
    <row r="862">
      <c r="A862" s="17" t="str">
        <f>IFERROR(__xludf.DUMMYFUNCTION("""COMPUTED_VALUE"""),"Shadow Tactics: Blades of the Shogun")</f>
        <v>Shadow Tactics: Blades of the Shogun</v>
      </c>
      <c r="B862" s="20" t="str">
        <f>IFERROR(__xludf.DUMMYFUNCTION("""COMPUTED_VALUE"""),"Xbox")</f>
        <v>Xbox</v>
      </c>
      <c r="C862" s="21"/>
      <c r="D862" s="21" t="str">
        <f>IFERROR(__xludf.DUMMYFUNCTION("""COMPUTED_VALUE"""),"Removed")</f>
        <v>Removed</v>
      </c>
      <c r="E862" s="279">
        <f>IFERROR(__xludf.DUMMYFUNCTION("""COMPUTED_VALUE"""),43625.0)</f>
        <v>43625</v>
      </c>
      <c r="F862" s="23">
        <f>IFERROR(__xludf.DUMMYFUNCTION("""COMPUTED_VALUE"""),44012.0)</f>
        <v>44012</v>
      </c>
      <c r="G862" s="27">
        <f>IFERROR(__xludf.DUMMYFUNCTION("""COMPUTED_VALUE"""),12.7)</f>
        <v>12.7</v>
      </c>
      <c r="H862" s="128">
        <f>IFERROR(__xludf.DUMMYFUNCTION("""COMPUTED_VALUE"""),42710.0)</f>
        <v>42710</v>
      </c>
      <c r="I862" s="27">
        <f>IFERROR(__xludf.DUMMYFUNCTION("""COMPUTED_VALUE"""),2.5083333333333333)</f>
        <v>2.508333333</v>
      </c>
      <c r="J862" s="29">
        <f>IFERROR(__xludf.DUMMYFUNCTION("""COMPUTED_VALUE"""),85.0)</f>
        <v>85</v>
      </c>
      <c r="K862" s="29">
        <f>IFERROR(__xludf.DUMMYFUNCTION("""COMPUTED_VALUE"""),24.5)</f>
        <v>24.5</v>
      </c>
      <c r="L862" s="31" t="str">
        <f>IFERROR(__xludf.DUMMYFUNCTION("""COMPUTED_VALUE"""),"Strategy")</f>
        <v>Strategy</v>
      </c>
    </row>
    <row r="863">
      <c r="A863" s="17" t="str">
        <f>IFERROR(__xludf.DUMMYFUNCTION("""COMPUTED_VALUE"""),"Life is Strange 2")</f>
        <v>Life is Strange 2</v>
      </c>
      <c r="B863" s="20" t="str">
        <f>IFERROR(__xludf.DUMMYFUNCTION("""COMPUTED_VALUE"""),"Xbox")</f>
        <v>Xbox</v>
      </c>
      <c r="C863" s="21"/>
      <c r="D863" s="21" t="str">
        <f>IFERROR(__xludf.DUMMYFUNCTION("""COMPUTED_VALUE"""),"Removed")</f>
        <v>Removed</v>
      </c>
      <c r="E863" s="279">
        <f>IFERROR(__xludf.DUMMYFUNCTION("""COMPUTED_VALUE"""),43468.0)</f>
        <v>43468</v>
      </c>
      <c r="F863" s="23">
        <f>IFERROR(__xludf.DUMMYFUNCTION("""COMPUTED_VALUE"""),44012.0)</f>
        <v>44012</v>
      </c>
      <c r="G863" s="27">
        <f>IFERROR(__xludf.DUMMYFUNCTION("""COMPUTED_VALUE"""),17.9)</f>
        <v>17.9</v>
      </c>
      <c r="H863" s="128">
        <f>IFERROR(__xludf.DUMMYFUNCTION("""COMPUTED_VALUE"""),43370.0)</f>
        <v>43370</v>
      </c>
      <c r="I863" s="27">
        <f>IFERROR(__xludf.DUMMYFUNCTION("""COMPUTED_VALUE"""),0.26666666666666666)</f>
        <v>0.2666666667</v>
      </c>
      <c r="J863" s="29">
        <f>IFERROR(__xludf.DUMMYFUNCTION("""COMPUTED_VALUE"""),75.0)</f>
        <v>75</v>
      </c>
      <c r="K863" s="29">
        <f>IFERROR(__xludf.DUMMYFUNCTION("""COMPUTED_VALUE"""),16.0)</f>
        <v>16</v>
      </c>
      <c r="L863" s="31" t="str">
        <f>IFERROR(__xludf.DUMMYFUNCTION("""COMPUTED_VALUE"""),"Adventure")</f>
        <v>Adventure</v>
      </c>
    </row>
    <row r="864">
      <c r="A864" s="12" t="str">
        <f>IFERROR(__xludf.DUMMYFUNCTION("""COMPUTED_VALUE"""),"Die for Valhalla!")</f>
        <v>Die for Valhalla!</v>
      </c>
      <c r="B864" s="13" t="str">
        <f>IFERROR(__xludf.DUMMYFUNCTION("""COMPUTED_VALUE"""),"PC")</f>
        <v>PC</v>
      </c>
      <c r="C864" s="14"/>
      <c r="D864" s="14" t="str">
        <f>IFERROR(__xludf.DUMMYFUNCTION("""COMPUTED_VALUE"""),"Removed")</f>
        <v>Removed</v>
      </c>
      <c r="E864" s="294">
        <f>IFERROR(__xludf.DUMMYFUNCTION("""COMPUTED_VALUE"""),43249.0)</f>
        <v>43249</v>
      </c>
      <c r="F864" s="15">
        <f>IFERROR(__xludf.DUMMYFUNCTION("""COMPUTED_VALUE"""),44012.0)</f>
        <v>44012</v>
      </c>
      <c r="G864" s="18">
        <f>IFERROR(__xludf.DUMMYFUNCTION("""COMPUTED_VALUE"""),25.033333333333335)</f>
        <v>25.03333333</v>
      </c>
      <c r="H864" s="131">
        <f>IFERROR(__xludf.DUMMYFUNCTION("""COMPUTED_VALUE"""),43249.0)</f>
        <v>43249</v>
      </c>
      <c r="I864" s="18">
        <f>IFERROR(__xludf.DUMMYFUNCTION("""COMPUTED_VALUE"""),0.0)</f>
        <v>0</v>
      </c>
      <c r="J864" s="22">
        <f>IFERROR(__xludf.DUMMYFUNCTION("""COMPUTED_VALUE"""),70.0)</f>
        <v>70</v>
      </c>
      <c r="K864" s="22">
        <f>IFERROR(__xludf.DUMMYFUNCTION("""COMPUTED_VALUE"""),7.0)</f>
        <v>7</v>
      </c>
      <c r="L864" s="26" t="str">
        <f>IFERROR(__xludf.DUMMYFUNCTION("""COMPUTED_VALUE"""),"Action")</f>
        <v>Action</v>
      </c>
    </row>
    <row r="865">
      <c r="A865" s="12" t="str">
        <f>IFERROR(__xludf.DUMMYFUNCTION("""COMPUTED_VALUE"""),"The Flame in the Flood")</f>
        <v>The Flame in the Flood</v>
      </c>
      <c r="B865" s="13" t="str">
        <f>IFERROR(__xludf.DUMMYFUNCTION("""COMPUTED_VALUE"""),"Xbox / PC")</f>
        <v>Xbox / PC</v>
      </c>
      <c r="C865" s="14"/>
      <c r="D865" s="14" t="str">
        <f>IFERROR(__xludf.DUMMYFUNCTION("""COMPUTED_VALUE"""),"Removed")</f>
        <v>Removed</v>
      </c>
      <c r="E865" s="294">
        <f>IFERROR(__xludf.DUMMYFUNCTION("""COMPUTED_VALUE"""),42917.0)</f>
        <v>42917</v>
      </c>
      <c r="F865" s="15">
        <f>IFERROR(__xludf.DUMMYFUNCTION("""COMPUTED_VALUE"""),44012.0)</f>
        <v>44012</v>
      </c>
      <c r="G865" s="18">
        <f>IFERROR(__xludf.DUMMYFUNCTION("""COMPUTED_VALUE"""),35.96666666666667)</f>
        <v>35.96666667</v>
      </c>
      <c r="H865" s="131">
        <f>IFERROR(__xludf.DUMMYFUNCTION("""COMPUTED_VALUE"""),42424.0)</f>
        <v>42424</v>
      </c>
      <c r="I865" s="18">
        <f>IFERROR(__xludf.DUMMYFUNCTION("""COMPUTED_VALUE"""),1.3527777777777779)</f>
        <v>1.352777778</v>
      </c>
      <c r="J865" s="22">
        <f>IFERROR(__xludf.DUMMYFUNCTION("""COMPUTED_VALUE"""),74.0)</f>
        <v>74</v>
      </c>
      <c r="K865" s="22">
        <f>IFERROR(__xludf.DUMMYFUNCTION("""COMPUTED_VALUE"""),9.0)</f>
        <v>9</v>
      </c>
      <c r="L865" s="26" t="str">
        <f>IFERROR(__xludf.DUMMYFUNCTION("""COMPUTED_VALUE"""),"Adventure")</f>
        <v>Adventure</v>
      </c>
    </row>
    <row r="866">
      <c r="A866" s="12" t="str">
        <f>IFERROR(__xludf.DUMMYFUNCTION("""COMPUTED_VALUE"""),"Resident Evil: Revelations")</f>
        <v>Resident Evil: Revelations</v>
      </c>
      <c r="B866" s="13" t="str">
        <f>IFERROR(__xludf.DUMMYFUNCTION("""COMPUTED_VALUE"""),"Xbox")</f>
        <v>Xbox</v>
      </c>
      <c r="C866" s="14"/>
      <c r="D866" s="14" t="str">
        <f>IFERROR(__xludf.DUMMYFUNCTION("""COMPUTED_VALUE"""),"Removed")</f>
        <v>Removed</v>
      </c>
      <c r="E866" s="294">
        <f>IFERROR(__xludf.DUMMYFUNCTION("""COMPUTED_VALUE"""),43636.0)</f>
        <v>43636</v>
      </c>
      <c r="F866" s="15">
        <f>IFERROR(__xludf.DUMMYFUNCTION("""COMPUTED_VALUE"""),43997.0)</f>
        <v>43997</v>
      </c>
      <c r="G866" s="18">
        <f>IFERROR(__xludf.DUMMYFUNCTION("""COMPUTED_VALUE"""),11.833333333333334)</f>
        <v>11.83333333</v>
      </c>
      <c r="H866" s="131">
        <f>IFERROR(__xludf.DUMMYFUNCTION("""COMPUTED_VALUE"""),40934.0)</f>
        <v>40934</v>
      </c>
      <c r="I866" s="18">
        <f>IFERROR(__xludf.DUMMYFUNCTION("""COMPUTED_VALUE"""),7.4)</f>
        <v>7.4</v>
      </c>
      <c r="J866" s="22">
        <f>IFERROR(__xludf.DUMMYFUNCTION("""COMPUTED_VALUE"""),78.0)</f>
        <v>78</v>
      </c>
      <c r="K866" s="22">
        <f>IFERROR(__xludf.DUMMYFUNCTION("""COMPUTED_VALUE"""),9.0)</f>
        <v>9</v>
      </c>
      <c r="L866" s="26" t="str">
        <f>IFERROR(__xludf.DUMMYFUNCTION("""COMPUTED_VALUE"""),"Shooter")</f>
        <v>Shooter</v>
      </c>
    </row>
    <row r="867">
      <c r="A867" s="12" t="str">
        <f>IFERROR(__xludf.DUMMYFUNCTION("""COMPUTED_VALUE"""),"Book of Demons")</f>
        <v>Book of Demons</v>
      </c>
      <c r="B867" s="13" t="str">
        <f>IFERROR(__xludf.DUMMYFUNCTION("""COMPUTED_VALUE"""),"PC")</f>
        <v>PC</v>
      </c>
      <c r="C867" s="14"/>
      <c r="D867" s="14" t="str">
        <f>IFERROR(__xludf.DUMMYFUNCTION("""COMPUTED_VALUE"""),"Removed")</f>
        <v>Removed</v>
      </c>
      <c r="E867" s="294">
        <f>IFERROR(__xludf.DUMMYFUNCTION("""COMPUTED_VALUE"""),43625.0)</f>
        <v>43625</v>
      </c>
      <c r="F867" s="15">
        <f>IFERROR(__xludf.DUMMYFUNCTION("""COMPUTED_VALUE"""),43997.0)</f>
        <v>43997</v>
      </c>
      <c r="G867" s="18">
        <f>IFERROR(__xludf.DUMMYFUNCTION("""COMPUTED_VALUE"""),12.2)</f>
        <v>12.2</v>
      </c>
      <c r="H867" s="131">
        <f>IFERROR(__xludf.DUMMYFUNCTION("""COMPUTED_VALUE"""),43447.0)</f>
        <v>43447</v>
      </c>
      <c r="I867" s="18">
        <f>IFERROR(__xludf.DUMMYFUNCTION("""COMPUTED_VALUE"""),0.4888888888888889)</f>
        <v>0.4888888889</v>
      </c>
      <c r="J867" s="22">
        <f>IFERROR(__xludf.DUMMYFUNCTION("""COMPUTED_VALUE"""),73.0)</f>
        <v>73</v>
      </c>
      <c r="K867" s="22">
        <f>IFERROR(__xludf.DUMMYFUNCTION("""COMPUTED_VALUE"""),9.5)</f>
        <v>9.5</v>
      </c>
      <c r="L867" s="26" t="str">
        <f>IFERROR(__xludf.DUMMYFUNCTION("""COMPUTED_VALUE"""),"RPG")</f>
        <v>RPG</v>
      </c>
    </row>
    <row r="868">
      <c r="A868" s="12" t="str">
        <f>IFERROR(__xludf.DUMMYFUNCTION("""COMPUTED_VALUE"""),"Everspace")</f>
        <v>Everspace</v>
      </c>
      <c r="B868" s="13" t="str">
        <f>IFERROR(__xludf.DUMMYFUNCTION("""COMPUTED_VALUE"""),"Xbox / PC")</f>
        <v>Xbox / PC</v>
      </c>
      <c r="C868" s="14"/>
      <c r="D868" s="14" t="str">
        <f>IFERROR(__xludf.DUMMYFUNCTION("""COMPUTED_VALUE"""),"Removed")</f>
        <v>Removed</v>
      </c>
      <c r="E868" s="294">
        <f>IFERROR(__xludf.DUMMYFUNCTION("""COMPUTED_VALUE"""),43625.0)</f>
        <v>43625</v>
      </c>
      <c r="F868" s="15">
        <f>IFERROR(__xludf.DUMMYFUNCTION("""COMPUTED_VALUE"""),43997.0)</f>
        <v>43997</v>
      </c>
      <c r="G868" s="18">
        <f>IFERROR(__xludf.DUMMYFUNCTION("""COMPUTED_VALUE"""),12.2)</f>
        <v>12.2</v>
      </c>
      <c r="H868" s="131">
        <f>IFERROR(__xludf.DUMMYFUNCTION("""COMPUTED_VALUE"""),42627.0)</f>
        <v>42627</v>
      </c>
      <c r="I868" s="18">
        <f>IFERROR(__xludf.DUMMYFUNCTION("""COMPUTED_VALUE"""),2.736111111111111)</f>
        <v>2.736111111</v>
      </c>
      <c r="J868" s="22">
        <f>IFERROR(__xludf.DUMMYFUNCTION("""COMPUTED_VALUE"""),84.0)</f>
        <v>84</v>
      </c>
      <c r="K868" s="22">
        <f>IFERROR(__xludf.DUMMYFUNCTION("""COMPUTED_VALUE"""),18.0)</f>
        <v>18</v>
      </c>
      <c r="L868" s="26" t="str">
        <f>IFERROR(__xludf.DUMMYFUNCTION("""COMPUTED_VALUE"""),"Shooter")</f>
        <v>Shooter</v>
      </c>
    </row>
    <row r="869">
      <c r="A869" s="12" t="str">
        <f>IFERROR(__xludf.DUMMYFUNCTION("""COMPUTED_VALUE"""),"Riverbond")</f>
        <v>Riverbond</v>
      </c>
      <c r="B869" s="13" t="str">
        <f>IFERROR(__xludf.DUMMYFUNCTION("""COMPUTED_VALUE"""),"Xbox / PC")</f>
        <v>Xbox / PC</v>
      </c>
      <c r="C869" s="14"/>
      <c r="D869" s="14" t="str">
        <f>IFERROR(__xludf.DUMMYFUNCTION("""COMPUTED_VALUE"""),"Removed")</f>
        <v>Removed</v>
      </c>
      <c r="E869" s="294">
        <f>IFERROR(__xludf.DUMMYFUNCTION("""COMPUTED_VALUE"""),43625.0)</f>
        <v>43625</v>
      </c>
      <c r="F869" s="15">
        <f>IFERROR(__xludf.DUMMYFUNCTION("""COMPUTED_VALUE"""),43997.0)</f>
        <v>43997</v>
      </c>
      <c r="G869" s="18">
        <f>IFERROR(__xludf.DUMMYFUNCTION("""COMPUTED_VALUE"""),12.2)</f>
        <v>12.2</v>
      </c>
      <c r="H869" s="131">
        <f>IFERROR(__xludf.DUMMYFUNCTION("""COMPUTED_VALUE"""),43625.0)</f>
        <v>43625</v>
      </c>
      <c r="I869" s="18">
        <f>IFERROR(__xludf.DUMMYFUNCTION("""COMPUTED_VALUE"""),0.0)</f>
        <v>0</v>
      </c>
      <c r="J869" s="22">
        <f>IFERROR(__xludf.DUMMYFUNCTION("""COMPUTED_VALUE"""),67.0)</f>
        <v>67</v>
      </c>
      <c r="K869" s="22">
        <f>IFERROR(__xludf.DUMMYFUNCTION("""COMPUTED_VALUE"""),4.5)</f>
        <v>4.5</v>
      </c>
      <c r="L869" s="26" t="str">
        <f>IFERROR(__xludf.DUMMYFUNCTION("""COMPUTED_VALUE"""),"Action-Adventure")</f>
        <v>Action-Adventure</v>
      </c>
    </row>
    <row r="870">
      <c r="A870" s="12" t="str">
        <f>IFERROR(__xludf.DUMMYFUNCTION("""COMPUTED_VALUE"""),"Samorost 3")</f>
        <v>Samorost 3</v>
      </c>
      <c r="B870" s="13" t="str">
        <f>IFERROR(__xludf.DUMMYFUNCTION("""COMPUTED_VALUE"""),"PC")</f>
        <v>PC</v>
      </c>
      <c r="C870" s="14"/>
      <c r="D870" s="14" t="str">
        <f>IFERROR(__xludf.DUMMYFUNCTION("""COMPUTED_VALUE"""),"Removed")</f>
        <v>Removed</v>
      </c>
      <c r="E870" s="294">
        <f>IFERROR(__xludf.DUMMYFUNCTION("""COMPUTED_VALUE"""),43625.0)</f>
        <v>43625</v>
      </c>
      <c r="F870" s="15">
        <f>IFERROR(__xludf.DUMMYFUNCTION("""COMPUTED_VALUE"""),43997.0)</f>
        <v>43997</v>
      </c>
      <c r="G870" s="18">
        <f>IFERROR(__xludf.DUMMYFUNCTION("""COMPUTED_VALUE"""),12.2)</f>
        <v>12.2</v>
      </c>
      <c r="H870" s="131">
        <f>IFERROR(__xludf.DUMMYFUNCTION("""COMPUTED_VALUE"""),42453.0)</f>
        <v>42453</v>
      </c>
      <c r="I870" s="18">
        <f>IFERROR(__xludf.DUMMYFUNCTION("""COMPUTED_VALUE"""),3.2083333333333335)</f>
        <v>3.208333333</v>
      </c>
      <c r="J870" s="22">
        <f>IFERROR(__xludf.DUMMYFUNCTION("""COMPUTED_VALUE"""),80.0)</f>
        <v>80</v>
      </c>
      <c r="K870" s="22">
        <f>IFERROR(__xludf.DUMMYFUNCTION("""COMPUTED_VALUE"""),5.0)</f>
        <v>5</v>
      </c>
      <c r="L870" s="26" t="str">
        <f>IFERROR(__xludf.DUMMYFUNCTION("""COMPUTED_VALUE"""),"Adventure")</f>
        <v>Adventure</v>
      </c>
    </row>
    <row r="871">
      <c r="A871" s="12" t="str">
        <f>IFERROR(__xludf.DUMMYFUNCTION("""COMPUTED_VALUE"""),"Supermarket Shriek")</f>
        <v>Supermarket Shriek</v>
      </c>
      <c r="B871" s="13" t="str">
        <f>IFERROR(__xludf.DUMMYFUNCTION("""COMPUTED_VALUE"""),"Xbox / PC")</f>
        <v>Xbox / PC</v>
      </c>
      <c r="C871" s="14"/>
      <c r="D871" s="14" t="str">
        <f>IFERROR(__xludf.DUMMYFUNCTION("""COMPUTED_VALUE"""),"Removed")</f>
        <v>Removed</v>
      </c>
      <c r="E871" s="294">
        <f>IFERROR(__xludf.DUMMYFUNCTION("""COMPUTED_VALUE"""),43625.0)</f>
        <v>43625</v>
      </c>
      <c r="F871" s="15">
        <f>IFERROR(__xludf.DUMMYFUNCTION("""COMPUTED_VALUE"""),43997.0)</f>
        <v>43997</v>
      </c>
      <c r="G871" s="18">
        <f>IFERROR(__xludf.DUMMYFUNCTION("""COMPUTED_VALUE"""),12.2)</f>
        <v>12.2</v>
      </c>
      <c r="H871" s="131">
        <f>IFERROR(__xludf.DUMMYFUNCTION("""COMPUTED_VALUE"""),43625.0)</f>
        <v>43625</v>
      </c>
      <c r="I871" s="18">
        <f>IFERROR(__xludf.DUMMYFUNCTION("""COMPUTED_VALUE"""),0.0)</f>
        <v>0</v>
      </c>
      <c r="J871" s="22">
        <f>IFERROR(__xludf.DUMMYFUNCTION("""COMPUTED_VALUE"""),76.0)</f>
        <v>76</v>
      </c>
      <c r="K871" s="22">
        <f>IFERROR(__xludf.DUMMYFUNCTION("""COMPUTED_VALUE"""),6.5)</f>
        <v>6.5</v>
      </c>
      <c r="L871" s="26" t="str">
        <f>IFERROR(__xludf.DUMMYFUNCTION("""COMPUTED_VALUE"""),"Racing")</f>
        <v>Racing</v>
      </c>
    </row>
    <row r="872">
      <c r="A872" s="12" t="str">
        <f>IFERROR(__xludf.DUMMYFUNCTION("""COMPUTED_VALUE"""),"The Last Door: Season 2 - Collector's Edition")</f>
        <v>The Last Door: Season 2 - Collector's Edition</v>
      </c>
      <c r="B872" s="13" t="str">
        <f>IFERROR(__xludf.DUMMYFUNCTION("""COMPUTED_VALUE"""),"PC")</f>
        <v>PC</v>
      </c>
      <c r="C872" s="14"/>
      <c r="D872" s="14" t="str">
        <f>IFERROR(__xludf.DUMMYFUNCTION("""COMPUTED_VALUE"""),"Removed")</f>
        <v>Removed</v>
      </c>
      <c r="E872" s="294">
        <f>IFERROR(__xludf.DUMMYFUNCTION("""COMPUTED_VALUE"""),43625.0)</f>
        <v>43625</v>
      </c>
      <c r="F872" s="15">
        <f>IFERROR(__xludf.DUMMYFUNCTION("""COMPUTED_VALUE"""),43997.0)</f>
        <v>43997</v>
      </c>
      <c r="G872" s="18">
        <f>IFERROR(__xludf.DUMMYFUNCTION("""COMPUTED_VALUE"""),12.2)</f>
        <v>12.2</v>
      </c>
      <c r="H872" s="131">
        <f>IFERROR(__xludf.DUMMYFUNCTION("""COMPUTED_VALUE"""),42458.0)</f>
        <v>42458</v>
      </c>
      <c r="I872" s="18">
        <f>IFERROR(__xludf.DUMMYFUNCTION("""COMPUTED_VALUE"""),3.1944444444444446)</f>
        <v>3.194444444</v>
      </c>
      <c r="J872" s="22">
        <f>IFERROR(__xludf.DUMMYFUNCTION("""COMPUTED_VALUE"""),85.0)</f>
        <v>85</v>
      </c>
      <c r="K872" s="22">
        <f>IFERROR(__xludf.DUMMYFUNCTION("""COMPUTED_VALUE"""),6.0)</f>
        <v>6</v>
      </c>
      <c r="L872" s="26" t="str">
        <f>IFERROR(__xludf.DUMMYFUNCTION("""COMPUTED_VALUE"""),"Adventure")</f>
        <v>Adventure</v>
      </c>
    </row>
    <row r="873">
      <c r="A873" s="12" t="str">
        <f>IFERROR(__xludf.DUMMYFUNCTION("""COMPUTED_VALUE"""),"The Stillness of the Wind")</f>
        <v>The Stillness of the Wind</v>
      </c>
      <c r="B873" s="13" t="str">
        <f>IFERROR(__xludf.DUMMYFUNCTION("""COMPUTED_VALUE"""),"PC")</f>
        <v>PC</v>
      </c>
      <c r="C873" s="14"/>
      <c r="D873" s="14" t="str">
        <f>IFERROR(__xludf.DUMMYFUNCTION("""COMPUTED_VALUE"""),"Removed")</f>
        <v>Removed</v>
      </c>
      <c r="E873" s="294">
        <f>IFERROR(__xludf.DUMMYFUNCTION("""COMPUTED_VALUE"""),43625.0)</f>
        <v>43625</v>
      </c>
      <c r="F873" s="15">
        <f>IFERROR(__xludf.DUMMYFUNCTION("""COMPUTED_VALUE"""),43997.0)</f>
        <v>43997</v>
      </c>
      <c r="G873" s="18">
        <f>IFERROR(__xludf.DUMMYFUNCTION("""COMPUTED_VALUE"""),12.2)</f>
        <v>12.2</v>
      </c>
      <c r="H873" s="131">
        <f>IFERROR(__xludf.DUMMYFUNCTION("""COMPUTED_VALUE"""),43503.0)</f>
        <v>43503</v>
      </c>
      <c r="I873" s="18">
        <f>IFERROR(__xludf.DUMMYFUNCTION("""COMPUTED_VALUE"""),0.3388888888888889)</f>
        <v>0.3388888889</v>
      </c>
      <c r="J873" s="22">
        <f>IFERROR(__xludf.DUMMYFUNCTION("""COMPUTED_VALUE"""),76.0)</f>
        <v>76</v>
      </c>
      <c r="K873" s="22">
        <f>IFERROR(__xludf.DUMMYFUNCTION("""COMPUTED_VALUE"""),3.5)</f>
        <v>3.5</v>
      </c>
      <c r="L873" s="26" t="str">
        <f>IFERROR(__xludf.DUMMYFUNCTION("""COMPUTED_VALUE"""),"Adventure")</f>
        <v>Adventure</v>
      </c>
    </row>
    <row r="874">
      <c r="A874" s="12" t="str">
        <f>IFERROR(__xludf.DUMMYFUNCTION("""COMPUTED_VALUE"""),"Riptide GP: Renegade")</f>
        <v>Riptide GP: Renegade</v>
      </c>
      <c r="B874" s="13" t="str">
        <f>IFERROR(__xludf.DUMMYFUNCTION("""COMPUTED_VALUE"""),"Xbox / PC")</f>
        <v>Xbox / PC</v>
      </c>
      <c r="C874" s="14"/>
      <c r="D874" s="14" t="str">
        <f>IFERROR(__xludf.DUMMYFUNCTION("""COMPUTED_VALUE"""),"Removed")</f>
        <v>Removed</v>
      </c>
      <c r="E874" s="294">
        <f>IFERROR(__xludf.DUMMYFUNCTION("""COMPUTED_VALUE"""),43132.0)</f>
        <v>43132</v>
      </c>
      <c r="F874" s="15">
        <f>IFERROR(__xludf.DUMMYFUNCTION("""COMPUTED_VALUE"""),43997.0)</f>
        <v>43997</v>
      </c>
      <c r="G874" s="18">
        <f>IFERROR(__xludf.DUMMYFUNCTION("""COMPUTED_VALUE"""),28.46666666666667)</f>
        <v>28.46666667</v>
      </c>
      <c r="H874" s="131">
        <f>IFERROR(__xludf.DUMMYFUNCTION("""COMPUTED_VALUE"""),42577.0)</f>
        <v>42577</v>
      </c>
      <c r="I874" s="18">
        <f>IFERROR(__xludf.DUMMYFUNCTION("""COMPUTED_VALUE"""),1.5138888888888888)</f>
        <v>1.513888889</v>
      </c>
      <c r="J874" s="22">
        <f>IFERROR(__xludf.DUMMYFUNCTION("""COMPUTED_VALUE"""),75.0)</f>
        <v>75</v>
      </c>
      <c r="K874" s="22">
        <f>IFERROR(__xludf.DUMMYFUNCTION("""COMPUTED_VALUE"""),6.0)</f>
        <v>6</v>
      </c>
      <c r="L874" s="26" t="str">
        <f>IFERROR(__xludf.DUMMYFUNCTION("""COMPUTED_VALUE"""),"Racing")</f>
        <v>Racing</v>
      </c>
    </row>
    <row r="875">
      <c r="A875" s="12" t="str">
        <f>IFERROR(__xludf.DUMMYFUNCTION("""COMPUTED_VALUE"""),"Old Man's Journey")</f>
        <v>Old Man's Journey</v>
      </c>
      <c r="B875" s="13" t="str">
        <f>IFERROR(__xludf.DUMMYFUNCTION("""COMPUTED_VALUE"""),"Xbox / PC")</f>
        <v>Xbox / PC</v>
      </c>
      <c r="C875" s="14"/>
      <c r="D875" s="14" t="str">
        <f>IFERROR(__xludf.DUMMYFUNCTION("""COMPUTED_VALUE"""),"Removed")</f>
        <v>Removed</v>
      </c>
      <c r="E875" s="294">
        <f>IFERROR(__xludf.DUMMYFUNCTION("""COMPUTED_VALUE"""),43625.0)</f>
        <v>43625</v>
      </c>
      <c r="F875" s="15">
        <f>IFERROR(__xludf.DUMMYFUNCTION("""COMPUTED_VALUE"""),43982.0)</f>
        <v>43982</v>
      </c>
      <c r="G875" s="18">
        <f>IFERROR(__xludf.DUMMYFUNCTION("""COMPUTED_VALUE"""),11.7)</f>
        <v>11.7</v>
      </c>
      <c r="H875" s="131">
        <f>IFERROR(__xludf.DUMMYFUNCTION("""COMPUTED_VALUE"""),42872.0)</f>
        <v>42872</v>
      </c>
      <c r="I875" s="18">
        <f>IFERROR(__xludf.DUMMYFUNCTION("""COMPUTED_VALUE"""),2.061111111111111)</f>
        <v>2.061111111</v>
      </c>
      <c r="J875" s="22">
        <f>IFERROR(__xludf.DUMMYFUNCTION("""COMPUTED_VALUE"""),76.0)</f>
        <v>76</v>
      </c>
      <c r="K875" s="22">
        <f>IFERROR(__xludf.DUMMYFUNCTION("""COMPUTED_VALUE"""),1.5)</f>
        <v>1.5</v>
      </c>
      <c r="L875" s="26" t="str">
        <f>IFERROR(__xludf.DUMMYFUNCTION("""COMPUTED_VALUE"""),"Adventure")</f>
        <v>Adventure</v>
      </c>
    </row>
    <row r="876">
      <c r="A876" s="12" t="str">
        <f>IFERROR(__xludf.DUMMYFUNCTION("""COMPUTED_VALUE"""),"Hydro Thunder: Hurricane")</f>
        <v>Hydro Thunder: Hurricane</v>
      </c>
      <c r="B876" s="13" t="str">
        <f>IFERROR(__xludf.DUMMYFUNCTION("""COMPUTED_VALUE"""),"Xbox / PC")</f>
        <v>Xbox / PC</v>
      </c>
      <c r="C876" s="14"/>
      <c r="D876" s="14" t="str">
        <f>IFERROR(__xludf.DUMMYFUNCTION("""COMPUTED_VALUE"""),"Removed")</f>
        <v>Removed</v>
      </c>
      <c r="E876" s="294">
        <f>IFERROR(__xludf.DUMMYFUNCTION("""COMPUTED_VALUE"""),43252.0)</f>
        <v>43252</v>
      </c>
      <c r="F876" s="15">
        <f>IFERROR(__xludf.DUMMYFUNCTION("""COMPUTED_VALUE"""),43982.0)</f>
        <v>43982</v>
      </c>
      <c r="G876" s="18">
        <f>IFERROR(__xludf.DUMMYFUNCTION("""COMPUTED_VALUE"""),23.96666666666667)</f>
        <v>23.96666667</v>
      </c>
      <c r="H876" s="131">
        <f>IFERROR(__xludf.DUMMYFUNCTION("""COMPUTED_VALUE"""),40387.0)</f>
        <v>40387</v>
      </c>
      <c r="I876" s="18">
        <f>IFERROR(__xludf.DUMMYFUNCTION("""COMPUTED_VALUE"""),7.841666666666667)</f>
        <v>7.841666667</v>
      </c>
      <c r="J876" s="22">
        <f>IFERROR(__xludf.DUMMYFUNCTION("""COMPUTED_VALUE"""),75.0)</f>
        <v>75</v>
      </c>
      <c r="K876" s="22">
        <f>IFERROR(__xludf.DUMMYFUNCTION("""COMPUTED_VALUE"""),5.5)</f>
        <v>5.5</v>
      </c>
      <c r="L876" s="26" t="str">
        <f>IFERROR(__xludf.DUMMYFUNCTION("""COMPUTED_VALUE"""),"Racing")</f>
        <v>Racing</v>
      </c>
    </row>
    <row r="877">
      <c r="A877" s="12" t="str">
        <f>IFERROR(__xludf.DUMMYFUNCTION("""COMPUTED_VALUE"""),"#IDARB")</f>
        <v>#IDARB</v>
      </c>
      <c r="B877" s="13" t="str">
        <f>IFERROR(__xludf.DUMMYFUNCTION("""COMPUTED_VALUE"""),"Xbox")</f>
        <v>Xbox</v>
      </c>
      <c r="C877" s="14"/>
      <c r="D877" s="14" t="str">
        <f>IFERROR(__xludf.DUMMYFUNCTION("""COMPUTED_VALUE"""),"Removed")</f>
        <v>Removed</v>
      </c>
      <c r="E877" s="294">
        <f>IFERROR(__xludf.DUMMYFUNCTION("""COMPUTED_VALUE"""),42887.0)</f>
        <v>42887</v>
      </c>
      <c r="F877" s="15">
        <f>IFERROR(__xludf.DUMMYFUNCTION("""COMPUTED_VALUE"""),43982.0)</f>
        <v>43982</v>
      </c>
      <c r="G877" s="18">
        <f>IFERROR(__xludf.DUMMYFUNCTION("""COMPUTED_VALUE"""),35.96666666666667)</f>
        <v>35.96666667</v>
      </c>
      <c r="H877" s="131">
        <f>IFERROR(__xludf.DUMMYFUNCTION("""COMPUTED_VALUE"""),42005.0)</f>
        <v>42005</v>
      </c>
      <c r="I877" s="18">
        <f>IFERROR(__xludf.DUMMYFUNCTION("""COMPUTED_VALUE"""),2.4166666666666665)</f>
        <v>2.416666667</v>
      </c>
      <c r="J877" s="22">
        <f>IFERROR(__xludf.DUMMYFUNCTION("""COMPUTED_VALUE"""),77.0)</f>
        <v>77</v>
      </c>
      <c r="K877" s="22">
        <f>IFERROR(__xludf.DUMMYFUNCTION("""COMPUTED_VALUE"""),2.5)</f>
        <v>2.5</v>
      </c>
      <c r="L877" s="26" t="str">
        <f>IFERROR(__xludf.DUMMYFUNCTION("""COMPUTED_VALUE"""),"Adventure")</f>
        <v>Adventure</v>
      </c>
    </row>
    <row r="878">
      <c r="A878" s="12" t="str">
        <f>IFERROR(__xludf.DUMMYFUNCTION("""COMPUTED_VALUE"""),"The King of Fighters '98 Ultimate Match (KOF98UM)")</f>
        <v>The King of Fighters '98 Ultimate Match (KOF98UM)</v>
      </c>
      <c r="B878" s="13" t="str">
        <f>IFERROR(__xludf.DUMMYFUNCTION("""COMPUTED_VALUE"""),"Xbox")</f>
        <v>Xbox</v>
      </c>
      <c r="C878" s="14"/>
      <c r="D878" s="14" t="str">
        <f>IFERROR(__xludf.DUMMYFUNCTION("""COMPUTED_VALUE"""),"Removed")</f>
        <v>Removed</v>
      </c>
      <c r="E878" s="294">
        <f>IFERROR(__xludf.DUMMYFUNCTION("""COMPUTED_VALUE"""),42887.0)</f>
        <v>42887</v>
      </c>
      <c r="F878" s="15">
        <f>IFERROR(__xludf.DUMMYFUNCTION("""COMPUTED_VALUE"""),43982.0)</f>
        <v>43982</v>
      </c>
      <c r="G878" s="18">
        <f>IFERROR(__xludf.DUMMYFUNCTION("""COMPUTED_VALUE"""),35.96666666666667)</f>
        <v>35.96666667</v>
      </c>
      <c r="H878" s="131">
        <f>IFERROR(__xludf.DUMMYFUNCTION("""COMPUTED_VALUE"""),39525.0)</f>
        <v>39525</v>
      </c>
      <c r="I878" s="18">
        <f>IFERROR(__xludf.DUMMYFUNCTION("""COMPUTED_VALUE"""),9.202777777777778)</f>
        <v>9.202777778</v>
      </c>
      <c r="J878" s="22">
        <f>IFERROR(__xludf.DUMMYFUNCTION("""COMPUTED_VALUE"""),73.0)</f>
        <v>73</v>
      </c>
      <c r="K878" s="22">
        <f>IFERROR(__xludf.DUMMYFUNCTION("""COMPUTED_VALUE"""),1.0)</f>
        <v>1</v>
      </c>
      <c r="L878" s="26" t="str">
        <f>IFERROR(__xludf.DUMMYFUNCTION("""COMPUTED_VALUE"""),"Fighting")</f>
        <v>Fighting</v>
      </c>
    </row>
    <row r="879">
      <c r="A879" s="12" t="str">
        <f>IFERROR(__xludf.DUMMYFUNCTION("""COMPUTED_VALUE"""),"The Lego Ninjago Movie Video Game")</f>
        <v>The Lego Ninjago Movie Video Game</v>
      </c>
      <c r="B879" s="13" t="str">
        <f>IFERROR(__xludf.DUMMYFUNCTION("""COMPUTED_VALUE"""),"Xbox")</f>
        <v>Xbox</v>
      </c>
      <c r="C879" s="14"/>
      <c r="D879" s="14" t="str">
        <f>IFERROR(__xludf.DUMMYFUNCTION("""COMPUTED_VALUE"""),"Removed")</f>
        <v>Removed</v>
      </c>
      <c r="E879" s="294">
        <f>IFERROR(__xludf.DUMMYFUNCTION("""COMPUTED_VALUE"""),43783.0)</f>
        <v>43783</v>
      </c>
      <c r="F879" s="15">
        <f>IFERROR(__xludf.DUMMYFUNCTION("""COMPUTED_VALUE"""),43966.0)</f>
        <v>43966</v>
      </c>
      <c r="G879" s="18">
        <f>IFERROR(__xludf.DUMMYFUNCTION("""COMPUTED_VALUE"""),6.033333333333333)</f>
        <v>6.033333333</v>
      </c>
      <c r="H879" s="131">
        <f>IFERROR(__xludf.DUMMYFUNCTION("""COMPUTED_VALUE"""),43000.0)</f>
        <v>43000</v>
      </c>
      <c r="I879" s="18">
        <f>IFERROR(__xludf.DUMMYFUNCTION("""COMPUTED_VALUE"""),2.1444444444444444)</f>
        <v>2.144444444</v>
      </c>
      <c r="J879" s="22">
        <f>IFERROR(__xludf.DUMMYFUNCTION("""COMPUTED_VALUE"""),76.0)</f>
        <v>76</v>
      </c>
      <c r="K879" s="22">
        <f>IFERROR(__xludf.DUMMYFUNCTION("""COMPUTED_VALUE"""),6.0)</f>
        <v>6</v>
      </c>
      <c r="L879" s="26" t="str">
        <f>IFERROR(__xludf.DUMMYFUNCTION("""COMPUTED_VALUE"""),"Action-Adventure")</f>
        <v>Action-Adventure</v>
      </c>
    </row>
    <row r="880">
      <c r="A880" s="12" t="str">
        <f>IFERROR(__xludf.DUMMYFUNCTION("""COMPUTED_VALUE"""),"Imperator: Rome")</f>
        <v>Imperator: Rome</v>
      </c>
      <c r="B880" s="13" t="str">
        <f>IFERROR(__xludf.DUMMYFUNCTION("""COMPUTED_VALUE"""),"PC")</f>
        <v>PC</v>
      </c>
      <c r="C880" s="14"/>
      <c r="D880" s="14" t="str">
        <f>IFERROR(__xludf.DUMMYFUNCTION("""COMPUTED_VALUE"""),"Removed")</f>
        <v>Removed</v>
      </c>
      <c r="E880" s="294">
        <f>IFERROR(__xludf.DUMMYFUNCTION("""COMPUTED_VALUE"""),43625.0)</f>
        <v>43625</v>
      </c>
      <c r="F880" s="15">
        <f>IFERROR(__xludf.DUMMYFUNCTION("""COMPUTED_VALUE"""),43966.0)</f>
        <v>43966</v>
      </c>
      <c r="G880" s="18">
        <f>IFERROR(__xludf.DUMMYFUNCTION("""COMPUTED_VALUE"""),11.2)</f>
        <v>11.2</v>
      </c>
      <c r="H880" s="131">
        <f>IFERROR(__xludf.DUMMYFUNCTION("""COMPUTED_VALUE"""),43580.0)</f>
        <v>43580</v>
      </c>
      <c r="I880" s="18">
        <f>IFERROR(__xludf.DUMMYFUNCTION("""COMPUTED_VALUE"""),0.12222222222222222)</f>
        <v>0.1222222222</v>
      </c>
      <c r="J880" s="22">
        <f>IFERROR(__xludf.DUMMYFUNCTION("""COMPUTED_VALUE"""),76.0)</f>
        <v>76</v>
      </c>
      <c r="K880" s="22">
        <f>IFERROR(__xludf.DUMMYFUNCTION("""COMPUTED_VALUE"""),17.0)</f>
        <v>17</v>
      </c>
      <c r="L880" s="26" t="str">
        <f>IFERROR(__xludf.DUMMYFUNCTION("""COMPUTED_VALUE"""),"Strategy")</f>
        <v>Strategy</v>
      </c>
    </row>
    <row r="881">
      <c r="A881" s="12" t="str">
        <f>IFERROR(__xludf.DUMMYFUNCTION("""COMPUTED_VALUE"""),"West of Loathing")</f>
        <v>West of Loathing</v>
      </c>
      <c r="B881" s="13" t="str">
        <f>IFERROR(__xludf.DUMMYFUNCTION("""COMPUTED_VALUE"""),"PC")</f>
        <v>PC</v>
      </c>
      <c r="C881" s="14"/>
      <c r="D881" s="14" t="str">
        <f>IFERROR(__xludf.DUMMYFUNCTION("""COMPUTED_VALUE"""),"Removed")</f>
        <v>Removed</v>
      </c>
      <c r="E881" s="294">
        <f>IFERROR(__xludf.DUMMYFUNCTION("""COMPUTED_VALUE"""),43625.0)</f>
        <v>43625</v>
      </c>
      <c r="F881" s="15">
        <f>IFERROR(__xludf.DUMMYFUNCTION("""COMPUTED_VALUE"""),43966.0)</f>
        <v>43966</v>
      </c>
      <c r="G881" s="18">
        <f>IFERROR(__xludf.DUMMYFUNCTION("""COMPUTED_VALUE"""),11.2)</f>
        <v>11.2</v>
      </c>
      <c r="H881" s="131">
        <f>IFERROR(__xludf.DUMMYFUNCTION("""COMPUTED_VALUE"""),42957.0)</f>
        <v>42957</v>
      </c>
      <c r="I881" s="18">
        <f>IFERROR(__xludf.DUMMYFUNCTION("""COMPUTED_VALUE"""),1.8305555555555555)</f>
        <v>1.830555556</v>
      </c>
      <c r="J881" s="22">
        <f>IFERROR(__xludf.DUMMYFUNCTION("""COMPUTED_VALUE"""),87.0)</f>
        <v>87</v>
      </c>
      <c r="K881" s="22">
        <f>IFERROR(__xludf.DUMMYFUNCTION("""COMPUTED_VALUE"""),7.0)</f>
        <v>7</v>
      </c>
      <c r="L881" s="26" t="str">
        <f>IFERROR(__xludf.DUMMYFUNCTION("""COMPUTED_VALUE"""),"RPG")</f>
        <v>RPG</v>
      </c>
    </row>
    <row r="882">
      <c r="A882" s="12" t="str">
        <f>IFERROR(__xludf.DUMMYFUNCTION("""COMPUTED_VALUE"""),"Metal Gear Survive")</f>
        <v>Metal Gear Survive</v>
      </c>
      <c r="B882" s="13" t="str">
        <f>IFERROR(__xludf.DUMMYFUNCTION("""COMPUTED_VALUE"""),"Xbox")</f>
        <v>Xbox</v>
      </c>
      <c r="C882" s="14"/>
      <c r="D882" s="14" t="str">
        <f>IFERROR(__xludf.DUMMYFUNCTION("""COMPUTED_VALUE"""),"Removed")</f>
        <v>Removed</v>
      </c>
      <c r="E882" s="294">
        <f>IFERROR(__xludf.DUMMYFUNCTION("""COMPUTED_VALUE"""),43608.0)</f>
        <v>43608</v>
      </c>
      <c r="F882" s="15">
        <f>IFERROR(__xludf.DUMMYFUNCTION("""COMPUTED_VALUE"""),43966.0)</f>
        <v>43966</v>
      </c>
      <c r="G882" s="18">
        <f>IFERROR(__xludf.DUMMYFUNCTION("""COMPUTED_VALUE"""),11.733333333333333)</f>
        <v>11.73333333</v>
      </c>
      <c r="H882" s="131">
        <f>IFERROR(__xludf.DUMMYFUNCTION("""COMPUTED_VALUE"""),43151.0)</f>
        <v>43151</v>
      </c>
      <c r="I882" s="18">
        <f>IFERROR(__xludf.DUMMYFUNCTION("""COMPUTED_VALUE"""),1.2583333333333333)</f>
        <v>1.258333333</v>
      </c>
      <c r="J882" s="22">
        <f>IFERROR(__xludf.DUMMYFUNCTION("""COMPUTED_VALUE"""),62.0)</f>
        <v>62</v>
      </c>
      <c r="K882" s="22">
        <f>IFERROR(__xludf.DUMMYFUNCTION("""COMPUTED_VALUE"""),22.0)</f>
        <v>22</v>
      </c>
      <c r="L882" s="26" t="str">
        <f>IFERROR(__xludf.DUMMYFUNCTION("""COMPUTED_VALUE"""),"Shooter")</f>
        <v>Shooter</v>
      </c>
    </row>
    <row r="883">
      <c r="A883" s="12" t="str">
        <f>IFERROR(__xludf.DUMMYFUNCTION("""COMPUTED_VALUE"""),"The Banner Saga")</f>
        <v>The Banner Saga</v>
      </c>
      <c r="B883" s="13" t="str">
        <f>IFERROR(__xludf.DUMMYFUNCTION("""COMPUTED_VALUE"""),"Xbox / PC")</f>
        <v>Xbox / PC</v>
      </c>
      <c r="C883" s="14"/>
      <c r="D883" s="14" t="str">
        <f>IFERROR(__xludf.DUMMYFUNCTION("""COMPUTED_VALUE"""),"Removed")</f>
        <v>Removed</v>
      </c>
      <c r="E883" s="294">
        <f>IFERROR(__xludf.DUMMYFUNCTION("""COMPUTED_VALUE"""),43608.0)</f>
        <v>43608</v>
      </c>
      <c r="F883" s="15">
        <f>IFERROR(__xludf.DUMMYFUNCTION("""COMPUTED_VALUE"""),43966.0)</f>
        <v>43966</v>
      </c>
      <c r="G883" s="18">
        <f>IFERROR(__xludf.DUMMYFUNCTION("""COMPUTED_VALUE"""),11.733333333333333)</f>
        <v>11.73333333</v>
      </c>
      <c r="H883" s="131">
        <f>IFERROR(__xludf.DUMMYFUNCTION("""COMPUTED_VALUE"""),41653.0)</f>
        <v>41653</v>
      </c>
      <c r="I883" s="18">
        <f>IFERROR(__xludf.DUMMYFUNCTION("""COMPUTED_VALUE"""),5.358333333333333)</f>
        <v>5.358333333</v>
      </c>
      <c r="J883" s="22">
        <f>IFERROR(__xludf.DUMMYFUNCTION("""COMPUTED_VALUE"""),76.0)</f>
        <v>76</v>
      </c>
      <c r="K883" s="22">
        <f>IFERROR(__xludf.DUMMYFUNCTION("""COMPUTED_VALUE"""),10.5)</f>
        <v>10.5</v>
      </c>
      <c r="L883" s="26" t="str">
        <f>IFERROR(__xludf.DUMMYFUNCTION("""COMPUTED_VALUE"""),"RPG")</f>
        <v>RPG</v>
      </c>
    </row>
    <row r="884">
      <c r="A884" s="12" t="str">
        <f>IFERROR(__xludf.DUMMYFUNCTION("""COMPUTED_VALUE"""),"Mega Man Legacy Collection 2")</f>
        <v>Mega Man Legacy Collection 2</v>
      </c>
      <c r="B884" s="13" t="str">
        <f>IFERROR(__xludf.DUMMYFUNCTION("""COMPUTED_VALUE"""),"Xbox")</f>
        <v>Xbox</v>
      </c>
      <c r="C884" s="14"/>
      <c r="D884" s="14" t="str">
        <f>IFERROR(__xludf.DUMMYFUNCTION("""COMPUTED_VALUE"""),"Removed")</f>
        <v>Removed</v>
      </c>
      <c r="E884" s="294">
        <f>IFERROR(__xludf.DUMMYFUNCTION("""COMPUTED_VALUE"""),43252.0)</f>
        <v>43252</v>
      </c>
      <c r="F884" s="15">
        <f>IFERROR(__xludf.DUMMYFUNCTION("""COMPUTED_VALUE"""),43966.0)</f>
        <v>43966</v>
      </c>
      <c r="G884" s="18">
        <f>IFERROR(__xludf.DUMMYFUNCTION("""COMPUTED_VALUE"""),23.466666666666665)</f>
        <v>23.46666667</v>
      </c>
      <c r="H884" s="131">
        <f>IFERROR(__xludf.DUMMYFUNCTION("""COMPUTED_VALUE"""),42955.0)</f>
        <v>42955</v>
      </c>
      <c r="I884" s="18">
        <f>IFERROR(__xludf.DUMMYFUNCTION("""COMPUTED_VALUE"""),0.8138888888888889)</f>
        <v>0.8138888889</v>
      </c>
      <c r="J884" s="22">
        <f>IFERROR(__xludf.DUMMYFUNCTION("""COMPUTED_VALUE"""),72.0)</f>
        <v>72</v>
      </c>
      <c r="K884" s="22">
        <f>IFERROR(__xludf.DUMMYFUNCTION("""COMPUTED_VALUE"""),14.5)</f>
        <v>14.5</v>
      </c>
      <c r="L884" s="26" t="str">
        <f>IFERROR(__xludf.DUMMYFUNCTION("""COMPUTED_VALUE"""),"Platformer")</f>
        <v>Platformer</v>
      </c>
    </row>
    <row r="885">
      <c r="A885" s="12" t="str">
        <f>IFERROR(__xludf.DUMMYFUNCTION("""COMPUTED_VALUE"""),"Silence: The Whispered World 2")</f>
        <v>Silence: The Whispered World 2</v>
      </c>
      <c r="B885" s="13" t="str">
        <f>IFERROR(__xludf.DUMMYFUNCTION("""COMPUTED_VALUE"""),"Xbox")</f>
        <v>Xbox</v>
      </c>
      <c r="C885" s="14"/>
      <c r="D885" s="14" t="str">
        <f>IFERROR(__xludf.DUMMYFUNCTION("""COMPUTED_VALUE"""),"Removed")</f>
        <v>Removed</v>
      </c>
      <c r="E885" s="294">
        <f>IFERROR(__xludf.DUMMYFUNCTION("""COMPUTED_VALUE"""),43625.0)</f>
        <v>43625</v>
      </c>
      <c r="F885" s="15">
        <f>IFERROR(__xludf.DUMMYFUNCTION("""COMPUTED_VALUE"""),43951.0)</f>
        <v>43951</v>
      </c>
      <c r="G885" s="18">
        <f>IFERROR(__xludf.DUMMYFUNCTION("""COMPUTED_VALUE"""),10.700000000000001)</f>
        <v>10.7</v>
      </c>
      <c r="H885" s="131">
        <f>IFERROR(__xludf.DUMMYFUNCTION("""COMPUTED_VALUE"""),40291.0)</f>
        <v>40291</v>
      </c>
      <c r="I885" s="18">
        <f>IFERROR(__xludf.DUMMYFUNCTION("""COMPUTED_VALUE"""),9.127777777777778)</f>
        <v>9.127777778</v>
      </c>
      <c r="J885" s="22">
        <f>IFERROR(__xludf.DUMMYFUNCTION("""COMPUTED_VALUE"""),66.0)</f>
        <v>66</v>
      </c>
      <c r="K885" s="22">
        <f>IFERROR(__xludf.DUMMYFUNCTION("""COMPUTED_VALUE"""),5.5)</f>
        <v>5.5</v>
      </c>
      <c r="L885" s="26" t="str">
        <f>IFERROR(__xludf.DUMMYFUNCTION("""COMPUTED_VALUE"""),"Adventure")</f>
        <v>Adventure</v>
      </c>
    </row>
    <row r="886">
      <c r="A886" s="12" t="str">
        <f>IFERROR(__xludf.DUMMYFUNCTION("""COMPUTED_VALUE"""),"Smoke and Sacrifice")</f>
        <v>Smoke and Sacrifice</v>
      </c>
      <c r="B886" s="13" t="str">
        <f>IFERROR(__xludf.DUMMYFUNCTION("""COMPUTED_VALUE"""),"Xbox / PC")</f>
        <v>Xbox / PC</v>
      </c>
      <c r="C886" s="14"/>
      <c r="D886" s="14" t="str">
        <f>IFERROR(__xludf.DUMMYFUNCTION("""COMPUTED_VALUE"""),"Removed")</f>
        <v>Removed</v>
      </c>
      <c r="E886" s="294">
        <f>IFERROR(__xludf.DUMMYFUNCTION("""COMPUTED_VALUE"""),43625.0)</f>
        <v>43625</v>
      </c>
      <c r="F886" s="15">
        <f>IFERROR(__xludf.DUMMYFUNCTION("""COMPUTED_VALUE"""),43951.0)</f>
        <v>43951</v>
      </c>
      <c r="G886" s="18">
        <f>IFERROR(__xludf.DUMMYFUNCTION("""COMPUTED_VALUE"""),10.700000000000001)</f>
        <v>10.7</v>
      </c>
      <c r="H886" s="131">
        <f>IFERROR(__xludf.DUMMYFUNCTION("""COMPUTED_VALUE"""),43251.0)</f>
        <v>43251</v>
      </c>
      <c r="I886" s="18">
        <f>IFERROR(__xludf.DUMMYFUNCTION("""COMPUTED_VALUE"""),1.025)</f>
        <v>1.025</v>
      </c>
      <c r="J886" s="22">
        <f>IFERROR(__xludf.DUMMYFUNCTION("""COMPUTED_VALUE"""),68.0)</f>
        <v>68</v>
      </c>
      <c r="K886" s="22">
        <f>IFERROR(__xludf.DUMMYFUNCTION("""COMPUTED_VALUE"""),10.5)</f>
        <v>10.5</v>
      </c>
      <c r="L886" s="26" t="str">
        <f>IFERROR(__xludf.DUMMYFUNCTION("""COMPUTED_VALUE"""),"RPG")</f>
        <v>RPG</v>
      </c>
    </row>
    <row r="887">
      <c r="A887" s="12" t="str">
        <f>IFERROR(__xludf.DUMMYFUNCTION("""COMPUTED_VALUE"""),"Full Metal Furies")</f>
        <v>Full Metal Furies</v>
      </c>
      <c r="B887" s="13" t="str">
        <f>IFERROR(__xludf.DUMMYFUNCTION("""COMPUTED_VALUE"""),"Xbox / PC")</f>
        <v>Xbox / PC</v>
      </c>
      <c r="C887" s="14"/>
      <c r="D887" s="14" t="str">
        <f>IFERROR(__xludf.DUMMYFUNCTION("""COMPUTED_VALUE"""),"Removed")</f>
        <v>Removed</v>
      </c>
      <c r="E887" s="294">
        <f>IFERROR(__xludf.DUMMYFUNCTION("""COMPUTED_VALUE"""),43622.0)</f>
        <v>43622</v>
      </c>
      <c r="F887" s="15">
        <f>IFERROR(__xludf.DUMMYFUNCTION("""COMPUTED_VALUE"""),43951.0)</f>
        <v>43951</v>
      </c>
      <c r="G887" s="18">
        <f>IFERROR(__xludf.DUMMYFUNCTION("""COMPUTED_VALUE"""),10.8)</f>
        <v>10.8</v>
      </c>
      <c r="H887" s="131">
        <f>IFERROR(__xludf.DUMMYFUNCTION("""COMPUTED_VALUE"""),43117.0)</f>
        <v>43117</v>
      </c>
      <c r="I887" s="18">
        <f>IFERROR(__xludf.DUMMYFUNCTION("""COMPUTED_VALUE"""),1.386111111111111)</f>
        <v>1.386111111</v>
      </c>
      <c r="J887" s="22">
        <f>IFERROR(__xludf.DUMMYFUNCTION("""COMPUTED_VALUE"""),80.0)</f>
        <v>80</v>
      </c>
      <c r="K887" s="22">
        <f>IFERROR(__xludf.DUMMYFUNCTION("""COMPUTED_VALUE"""),10.5)</f>
        <v>10.5</v>
      </c>
      <c r="L887" s="26" t="str">
        <f>IFERROR(__xludf.DUMMYFUNCTION("""COMPUTED_VALUE"""),"RPG")</f>
        <v>RPG</v>
      </c>
    </row>
    <row r="888">
      <c r="A888" s="12" t="str">
        <f>IFERROR(__xludf.DUMMYFUNCTION("""COMPUTED_VALUE"""),"The Banner Saga 2")</f>
        <v>The Banner Saga 2</v>
      </c>
      <c r="B888" s="13" t="str">
        <f>IFERROR(__xludf.DUMMYFUNCTION("""COMPUTED_VALUE"""),"Xbox / PC")</f>
        <v>Xbox / PC</v>
      </c>
      <c r="C888" s="14"/>
      <c r="D888" s="14" t="str">
        <f>IFERROR(__xludf.DUMMYFUNCTION("""COMPUTED_VALUE"""),"Removed")</f>
        <v>Removed</v>
      </c>
      <c r="E888" s="294">
        <f>IFERROR(__xludf.DUMMYFUNCTION("""COMPUTED_VALUE"""),43622.0)</f>
        <v>43622</v>
      </c>
      <c r="F888" s="15">
        <f>IFERROR(__xludf.DUMMYFUNCTION("""COMPUTED_VALUE"""),43951.0)</f>
        <v>43951</v>
      </c>
      <c r="G888" s="18">
        <f>IFERROR(__xludf.DUMMYFUNCTION("""COMPUTED_VALUE"""),10.8)</f>
        <v>10.8</v>
      </c>
      <c r="H888" s="131">
        <f>IFERROR(__xludf.DUMMYFUNCTION("""COMPUTED_VALUE"""),42479.0)</f>
        <v>42479</v>
      </c>
      <c r="I888" s="18">
        <f>IFERROR(__xludf.DUMMYFUNCTION("""COMPUTED_VALUE"""),3.1305555555555555)</f>
        <v>3.130555556</v>
      </c>
      <c r="J888" s="22">
        <f>IFERROR(__xludf.DUMMYFUNCTION("""COMPUTED_VALUE"""),84.0)</f>
        <v>84</v>
      </c>
      <c r="K888" s="22">
        <f>IFERROR(__xludf.DUMMYFUNCTION("""COMPUTED_VALUE"""),11.5)</f>
        <v>11.5</v>
      </c>
      <c r="L888" s="26" t="str">
        <f>IFERROR(__xludf.DUMMYFUNCTION("""COMPUTED_VALUE"""),"Strategy")</f>
        <v>Strategy</v>
      </c>
    </row>
    <row r="889">
      <c r="A889" s="12" t="str">
        <f>IFERROR(__xludf.DUMMYFUNCTION("""COMPUTED_VALUE"""),"RUINER")</f>
        <v>RUINER</v>
      </c>
      <c r="B889" s="13" t="str">
        <f>IFERROR(__xludf.DUMMYFUNCTION("""COMPUTED_VALUE"""),"Xbox / PC")</f>
        <v>Xbox / PC</v>
      </c>
      <c r="C889" s="14"/>
      <c r="D889" s="14" t="str">
        <f>IFERROR(__xludf.DUMMYFUNCTION("""COMPUTED_VALUE"""),"Removed")</f>
        <v>Removed</v>
      </c>
      <c r="E889" s="294">
        <f>IFERROR(__xludf.DUMMYFUNCTION("""COMPUTED_VALUE"""),43313.0)</f>
        <v>43313</v>
      </c>
      <c r="F889" s="15">
        <f>IFERROR(__xludf.DUMMYFUNCTION("""COMPUTED_VALUE"""),43951.0)</f>
        <v>43951</v>
      </c>
      <c r="G889" s="18">
        <f>IFERROR(__xludf.DUMMYFUNCTION("""COMPUTED_VALUE"""),20.96666666666667)</f>
        <v>20.96666667</v>
      </c>
      <c r="H889" s="131">
        <f>IFERROR(__xludf.DUMMYFUNCTION("""COMPUTED_VALUE"""),43003.0)</f>
        <v>43003</v>
      </c>
      <c r="I889" s="18">
        <f>IFERROR(__xludf.DUMMYFUNCTION("""COMPUTED_VALUE"""),0.85)</f>
        <v>0.85</v>
      </c>
      <c r="J889" s="22">
        <f>IFERROR(__xludf.DUMMYFUNCTION("""COMPUTED_VALUE"""),77.0)</f>
        <v>77</v>
      </c>
      <c r="K889" s="22">
        <f>IFERROR(__xludf.DUMMYFUNCTION("""COMPUTED_VALUE"""),5.5)</f>
        <v>5.5</v>
      </c>
      <c r="L889" s="26" t="str">
        <f>IFERROR(__xludf.DUMMYFUNCTION("""COMPUTED_VALUE"""),"Shooter")</f>
        <v>Shooter</v>
      </c>
    </row>
    <row r="890">
      <c r="A890" s="12" t="str">
        <f>IFERROR(__xludf.DUMMYFUNCTION("""COMPUTED_VALUE"""),"Braid")</f>
        <v>Braid</v>
      </c>
      <c r="B890" s="13" t="str">
        <f>IFERROR(__xludf.DUMMYFUNCTION("""COMPUTED_VALUE"""),"Xbox")</f>
        <v>Xbox</v>
      </c>
      <c r="C890" s="14"/>
      <c r="D890" s="14" t="str">
        <f>IFERROR(__xludf.DUMMYFUNCTION("""COMPUTED_VALUE"""),"Removed")</f>
        <v>Removed</v>
      </c>
      <c r="E890" s="294">
        <f>IFERROR(__xludf.DUMMYFUNCTION("""COMPUTED_VALUE"""),42887.0)</f>
        <v>42887</v>
      </c>
      <c r="F890" s="15">
        <f>IFERROR(__xludf.DUMMYFUNCTION("""COMPUTED_VALUE"""),43951.0)</f>
        <v>43951</v>
      </c>
      <c r="G890" s="18">
        <f>IFERROR(__xludf.DUMMYFUNCTION("""COMPUTED_VALUE"""),34.96666666666667)</f>
        <v>34.96666667</v>
      </c>
      <c r="H890" s="131">
        <f>IFERROR(__xludf.DUMMYFUNCTION("""COMPUTED_VALUE"""),39666.0)</f>
        <v>39666</v>
      </c>
      <c r="I890" s="18">
        <f>IFERROR(__xludf.DUMMYFUNCTION("""COMPUTED_VALUE"""),8.819444444444445)</f>
        <v>8.819444444</v>
      </c>
      <c r="J890" s="22">
        <f>IFERROR(__xludf.DUMMYFUNCTION("""COMPUTED_VALUE"""),93.0)</f>
        <v>93</v>
      </c>
      <c r="K890" s="22">
        <f>IFERROR(__xludf.DUMMYFUNCTION("""COMPUTED_VALUE"""),5.0)</f>
        <v>5</v>
      </c>
      <c r="L890" s="26" t="str">
        <f>IFERROR(__xludf.DUMMYFUNCTION("""COMPUTED_VALUE"""),"Platformer")</f>
        <v>Platformer</v>
      </c>
    </row>
    <row r="891">
      <c r="A891" s="12" t="str">
        <f>IFERROR(__xludf.DUMMYFUNCTION("""COMPUTED_VALUE"""),"Metal Slug 3")</f>
        <v>Metal Slug 3</v>
      </c>
      <c r="B891" s="13" t="str">
        <f>IFERROR(__xludf.DUMMYFUNCTION("""COMPUTED_VALUE"""),"Xbox")</f>
        <v>Xbox</v>
      </c>
      <c r="C891" s="14"/>
      <c r="D891" s="14" t="str">
        <f>IFERROR(__xludf.DUMMYFUNCTION("""COMPUTED_VALUE"""),"Removed")</f>
        <v>Removed</v>
      </c>
      <c r="E891" s="294">
        <f>IFERROR(__xludf.DUMMYFUNCTION("""COMPUTED_VALUE"""),42887.0)</f>
        <v>42887</v>
      </c>
      <c r="F891" s="15">
        <f>IFERROR(__xludf.DUMMYFUNCTION("""COMPUTED_VALUE"""),43951.0)</f>
        <v>43951</v>
      </c>
      <c r="G891" s="18">
        <f>IFERROR(__xludf.DUMMYFUNCTION("""COMPUTED_VALUE"""),34.96666666666667)</f>
        <v>34.96666667</v>
      </c>
      <c r="H891" s="131">
        <f>IFERROR(__xludf.DUMMYFUNCTION("""COMPUTED_VALUE"""),36678.0)</f>
        <v>36678</v>
      </c>
      <c r="I891" s="18">
        <f>IFERROR(__xludf.DUMMYFUNCTION("""COMPUTED_VALUE"""),17.0)</f>
        <v>17</v>
      </c>
      <c r="J891" s="22">
        <f>IFERROR(__xludf.DUMMYFUNCTION("""COMPUTED_VALUE"""),76.0)</f>
        <v>76</v>
      </c>
      <c r="K891" s="22">
        <f>IFERROR(__xludf.DUMMYFUNCTION("""COMPUTED_VALUE"""),1.5)</f>
        <v>1.5</v>
      </c>
      <c r="L891" s="26" t="str">
        <f>IFERROR(__xludf.DUMMYFUNCTION("""COMPUTED_VALUE"""),"Shooter")</f>
        <v>Shooter</v>
      </c>
    </row>
    <row r="892">
      <c r="A892" s="12" t="str">
        <f>IFERROR(__xludf.DUMMYFUNCTION("""COMPUTED_VALUE"""),"The Book of Unwritten Tales 2")</f>
        <v>The Book of Unwritten Tales 2</v>
      </c>
      <c r="B892" s="13" t="str">
        <f>IFERROR(__xludf.DUMMYFUNCTION("""COMPUTED_VALUE"""),"Xbox")</f>
        <v>Xbox</v>
      </c>
      <c r="C892" s="14"/>
      <c r="D892" s="14" t="str">
        <f>IFERROR(__xludf.DUMMYFUNCTION("""COMPUTED_VALUE"""),"Removed")</f>
        <v>Removed</v>
      </c>
      <c r="E892" s="294">
        <f>IFERROR(__xludf.DUMMYFUNCTION("""COMPUTED_VALUE"""),42887.0)</f>
        <v>42887</v>
      </c>
      <c r="F892" s="15">
        <f>IFERROR(__xludf.DUMMYFUNCTION("""COMPUTED_VALUE"""),43936.0)</f>
        <v>43936</v>
      </c>
      <c r="G892" s="18">
        <f>IFERROR(__xludf.DUMMYFUNCTION("""COMPUTED_VALUE"""),34.46666666666667)</f>
        <v>34.46666667</v>
      </c>
      <c r="H892" s="131">
        <f>IFERROR(__xludf.DUMMYFUNCTION("""COMPUTED_VALUE"""),42054.0)</f>
        <v>42054</v>
      </c>
      <c r="I892" s="18">
        <f>IFERROR(__xludf.DUMMYFUNCTION("""COMPUTED_VALUE"""),2.283333333333333)</f>
        <v>2.283333333</v>
      </c>
      <c r="J892" s="22">
        <f>IFERROR(__xludf.DUMMYFUNCTION("""COMPUTED_VALUE"""),79.0)</f>
        <v>79</v>
      </c>
      <c r="K892" s="22">
        <f>IFERROR(__xludf.DUMMYFUNCTION("""COMPUTED_VALUE"""),20.0)</f>
        <v>20</v>
      </c>
      <c r="L892" s="26" t="str">
        <f>IFERROR(__xludf.DUMMYFUNCTION("""COMPUTED_VALUE"""),"Adventure")</f>
        <v>Adventure</v>
      </c>
    </row>
    <row r="893">
      <c r="A893" s="12" t="str">
        <f>IFERROR(__xludf.DUMMYFUNCTION("""COMPUTED_VALUE"""),"FEZ")</f>
        <v>FEZ</v>
      </c>
      <c r="B893" s="13" t="str">
        <f>IFERROR(__xludf.DUMMYFUNCTION("""COMPUTED_VALUE"""),"PC")</f>
        <v>PC</v>
      </c>
      <c r="C893" s="14"/>
      <c r="D893" s="14" t="str">
        <f>IFERROR(__xludf.DUMMYFUNCTION("""COMPUTED_VALUE"""),"Removed")</f>
        <v>Removed</v>
      </c>
      <c r="E893" s="294">
        <f>IFERROR(__xludf.DUMMYFUNCTION("""COMPUTED_VALUE"""),43625.0)</f>
        <v>43625</v>
      </c>
      <c r="F893" s="15">
        <f>IFERROR(__xludf.DUMMYFUNCTION("""COMPUTED_VALUE"""),43922.0)</f>
        <v>43922</v>
      </c>
      <c r="G893" s="18">
        <f>IFERROR(__xludf.DUMMYFUNCTION("""COMPUTED_VALUE"""),9.733333333333334)</f>
        <v>9.733333333</v>
      </c>
      <c r="H893" s="131">
        <f>IFERROR(__xludf.DUMMYFUNCTION("""COMPUTED_VALUE"""),41012.0)</f>
        <v>41012</v>
      </c>
      <c r="I893" s="18">
        <f>IFERROR(__xludf.DUMMYFUNCTION("""COMPUTED_VALUE"""),7.155555555555556)</f>
        <v>7.155555556</v>
      </c>
      <c r="J893" s="22">
        <f>IFERROR(__xludf.DUMMYFUNCTION("""COMPUTED_VALUE"""),91.0)</f>
        <v>91</v>
      </c>
      <c r="K893" s="22">
        <f>IFERROR(__xludf.DUMMYFUNCTION("""COMPUTED_VALUE"""),6.0)</f>
        <v>6</v>
      </c>
      <c r="L893" s="26" t="str">
        <f>IFERROR(__xludf.DUMMYFUNCTION("""COMPUTED_VALUE"""),"Platformer")</f>
        <v>Platformer</v>
      </c>
    </row>
    <row r="894">
      <c r="A894" s="12" t="str">
        <f>IFERROR(__xludf.DUMMYFUNCTION("""COMPUTED_VALUE"""),"Valkyria Chronicles")</f>
        <v>Valkyria Chronicles</v>
      </c>
      <c r="B894" s="13" t="str">
        <f>IFERROR(__xludf.DUMMYFUNCTION("""COMPUTED_VALUE"""),"PC")</f>
        <v>PC</v>
      </c>
      <c r="C894" s="14"/>
      <c r="D894" s="14" t="str">
        <f>IFERROR(__xludf.DUMMYFUNCTION("""COMPUTED_VALUE"""),"Removed")</f>
        <v>Removed</v>
      </c>
      <c r="E894" s="294">
        <f>IFERROR(__xludf.DUMMYFUNCTION("""COMPUTED_VALUE"""),43625.0)</f>
        <v>43625</v>
      </c>
      <c r="F894" s="15">
        <f>IFERROR(__xludf.DUMMYFUNCTION("""COMPUTED_VALUE"""),43922.0)</f>
        <v>43922</v>
      </c>
      <c r="G894" s="18">
        <f>IFERROR(__xludf.DUMMYFUNCTION("""COMPUTED_VALUE"""),9.733333333333334)</f>
        <v>9.733333333</v>
      </c>
      <c r="H894" s="131">
        <f>IFERROR(__xludf.DUMMYFUNCTION("""COMPUTED_VALUE"""),39560.0)</f>
        <v>39560</v>
      </c>
      <c r="I894" s="18">
        <f>IFERROR(__xludf.DUMMYFUNCTION("""COMPUTED_VALUE"""),11.130555555555556)</f>
        <v>11.13055556</v>
      </c>
      <c r="J894" s="22">
        <f>IFERROR(__xludf.DUMMYFUNCTION("""COMPUTED_VALUE"""),85.0)</f>
        <v>85</v>
      </c>
      <c r="K894" s="22">
        <f>IFERROR(__xludf.DUMMYFUNCTION("""COMPUTED_VALUE"""),31.0)</f>
        <v>31</v>
      </c>
      <c r="L894" s="26" t="str">
        <f>IFERROR(__xludf.DUMMYFUNCTION("""COMPUTED_VALUE"""),"RPG")</f>
        <v>RPG</v>
      </c>
    </row>
    <row r="895">
      <c r="A895" s="12" t="str">
        <f>IFERROR(__xludf.DUMMYFUNCTION("""COMPUTED_VALUE"""),"Guacamelee! Super Turbo Championship Edition")</f>
        <v>Guacamelee! Super Turbo Championship Edition</v>
      </c>
      <c r="B895" s="13" t="str">
        <f>IFERROR(__xludf.DUMMYFUNCTION("""COMPUTED_VALUE"""),"Xbox")</f>
        <v>Xbox</v>
      </c>
      <c r="C895" s="14"/>
      <c r="D895" s="14" t="str">
        <f>IFERROR(__xludf.DUMMYFUNCTION("""COMPUTED_VALUE"""),"Removed")</f>
        <v>Removed</v>
      </c>
      <c r="E895" s="294">
        <f>IFERROR(__xludf.DUMMYFUNCTION("""COMPUTED_VALUE"""),42917.0)</f>
        <v>42917</v>
      </c>
      <c r="F895" s="15">
        <f>IFERROR(__xludf.DUMMYFUNCTION("""COMPUTED_VALUE"""),43922.0)</f>
        <v>43922</v>
      </c>
      <c r="G895" s="18">
        <f>IFERROR(__xludf.DUMMYFUNCTION("""COMPUTED_VALUE"""),33.0)</f>
        <v>33</v>
      </c>
      <c r="H895" s="131">
        <f>IFERROR(__xludf.DUMMYFUNCTION("""COMPUTED_VALUE"""),41822.0)</f>
        <v>41822</v>
      </c>
      <c r="I895" s="18">
        <f>IFERROR(__xludf.DUMMYFUNCTION("""COMPUTED_VALUE"""),2.9972222222222222)</f>
        <v>2.997222222</v>
      </c>
      <c r="J895" s="22">
        <f>IFERROR(__xludf.DUMMYFUNCTION("""COMPUTED_VALUE"""),88.0)</f>
        <v>88</v>
      </c>
      <c r="K895" s="22">
        <f>IFERROR(__xludf.DUMMYFUNCTION("""COMPUTED_VALUE"""),7.0)</f>
        <v>7</v>
      </c>
      <c r="L895" s="26" t="str">
        <f>IFERROR(__xludf.DUMMYFUNCTION("""COMPUTED_VALUE"""),"Platformer")</f>
        <v>Platformer</v>
      </c>
    </row>
    <row r="896">
      <c r="A896" s="12" t="str">
        <f>IFERROR(__xludf.DUMMYFUNCTION("""COMPUTED_VALUE"""),"MX vs. ATV: Reflex")</f>
        <v>MX vs. ATV: Reflex</v>
      </c>
      <c r="B896" s="13" t="str">
        <f>IFERROR(__xludf.DUMMYFUNCTION("""COMPUTED_VALUE"""),"Xbox")</f>
        <v>Xbox</v>
      </c>
      <c r="C896" s="14"/>
      <c r="D896" s="14" t="str">
        <f>IFERROR(__xludf.DUMMYFUNCTION("""COMPUTED_VALUE"""),"Removed")</f>
        <v>Removed</v>
      </c>
      <c r="E896" s="294">
        <f>IFERROR(__xludf.DUMMYFUNCTION("""COMPUTED_VALUE"""),42887.0)</f>
        <v>42887</v>
      </c>
      <c r="F896" s="15">
        <f>IFERROR(__xludf.DUMMYFUNCTION("""COMPUTED_VALUE"""),43922.0)</f>
        <v>43922</v>
      </c>
      <c r="G896" s="18">
        <f>IFERROR(__xludf.DUMMYFUNCTION("""COMPUTED_VALUE"""),34.0)</f>
        <v>34</v>
      </c>
      <c r="H896" s="131">
        <f>IFERROR(__xludf.DUMMYFUNCTION("""COMPUTED_VALUE"""),40148.0)</f>
        <v>40148</v>
      </c>
      <c r="I896" s="18">
        <f>IFERROR(__xludf.DUMMYFUNCTION("""COMPUTED_VALUE"""),7.5)</f>
        <v>7.5</v>
      </c>
      <c r="J896" s="22">
        <f>IFERROR(__xludf.DUMMYFUNCTION("""COMPUTED_VALUE"""),75.0)</f>
        <v>75</v>
      </c>
      <c r="K896" s="22">
        <f>IFERROR(__xludf.DUMMYFUNCTION("""COMPUTED_VALUE"""),19.0)</f>
        <v>19</v>
      </c>
      <c r="L896" s="26" t="str">
        <f>IFERROR(__xludf.DUMMYFUNCTION("""COMPUTED_VALUE"""),"Racing")</f>
        <v>Racing</v>
      </c>
    </row>
    <row r="897">
      <c r="A897" s="12" t="str">
        <f>IFERROR(__xludf.DUMMYFUNCTION("""COMPUTED_VALUE"""),"Samurai Shodown II")</f>
        <v>Samurai Shodown II</v>
      </c>
      <c r="B897" s="13" t="str">
        <f>IFERROR(__xludf.DUMMYFUNCTION("""COMPUTED_VALUE"""),"Xbox")</f>
        <v>Xbox</v>
      </c>
      <c r="C897" s="14"/>
      <c r="D897" s="14" t="str">
        <f>IFERROR(__xludf.DUMMYFUNCTION("""COMPUTED_VALUE"""),"Removed")</f>
        <v>Removed</v>
      </c>
      <c r="E897" s="294">
        <f>IFERROR(__xludf.DUMMYFUNCTION("""COMPUTED_VALUE"""),42887.0)</f>
        <v>42887</v>
      </c>
      <c r="F897" s="15">
        <f>IFERROR(__xludf.DUMMYFUNCTION("""COMPUTED_VALUE"""),43922.0)</f>
        <v>43922</v>
      </c>
      <c r="G897" s="18">
        <f>IFERROR(__xludf.DUMMYFUNCTION("""COMPUTED_VALUE"""),34.0)</f>
        <v>34</v>
      </c>
      <c r="H897" s="131">
        <f>IFERROR(__xludf.DUMMYFUNCTION("""COMPUTED_VALUE"""),34635.0)</f>
        <v>34635</v>
      </c>
      <c r="I897" s="18">
        <f>IFERROR(__xludf.DUMMYFUNCTION("""COMPUTED_VALUE"""),22.591666666666665)</f>
        <v>22.59166667</v>
      </c>
      <c r="J897" s="22">
        <f>IFERROR(__xludf.DUMMYFUNCTION("""COMPUTED_VALUE"""),73.0)</f>
        <v>73</v>
      </c>
      <c r="K897" s="22">
        <f>IFERROR(__xludf.DUMMYFUNCTION("""COMPUTED_VALUE"""),1.0)</f>
        <v>1</v>
      </c>
      <c r="L897" s="26" t="str">
        <f>IFERROR(__xludf.DUMMYFUNCTION("""COMPUTED_VALUE"""),"Action")</f>
        <v>Action</v>
      </c>
    </row>
    <row r="898">
      <c r="A898" s="12" t="str">
        <f>IFERROR(__xludf.DUMMYFUNCTION("""COMPUTED_VALUE"""),"LEGO Worlds")</f>
        <v>LEGO Worlds</v>
      </c>
      <c r="B898" s="13" t="str">
        <f>IFERROR(__xludf.DUMMYFUNCTION("""COMPUTED_VALUE"""),"Xbox")</f>
        <v>Xbox</v>
      </c>
      <c r="C898" s="14"/>
      <c r="D898" s="14" t="str">
        <f>IFERROR(__xludf.DUMMYFUNCTION("""COMPUTED_VALUE"""),"Removed")</f>
        <v>Removed</v>
      </c>
      <c r="E898" s="294">
        <f>IFERROR(__xludf.DUMMYFUNCTION("""COMPUTED_VALUE"""),43734.0)</f>
        <v>43734</v>
      </c>
      <c r="F898" s="15">
        <f>IFERROR(__xludf.DUMMYFUNCTION("""COMPUTED_VALUE"""),43891.0)</f>
        <v>43891</v>
      </c>
      <c r="G898" s="18">
        <f>IFERROR(__xludf.DUMMYFUNCTION("""COMPUTED_VALUE"""),5.166666666666667)</f>
        <v>5.166666667</v>
      </c>
      <c r="H898" s="131">
        <f>IFERROR(__xludf.DUMMYFUNCTION("""COMPUTED_VALUE"""),42801.0)</f>
        <v>42801</v>
      </c>
      <c r="I898" s="18">
        <f>IFERROR(__xludf.DUMMYFUNCTION("""COMPUTED_VALUE"""),2.5527777777777776)</f>
        <v>2.552777778</v>
      </c>
      <c r="J898" s="22">
        <f>IFERROR(__xludf.DUMMYFUNCTION("""COMPUTED_VALUE"""),69.0)</f>
        <v>69</v>
      </c>
      <c r="K898" s="22">
        <f>IFERROR(__xludf.DUMMYFUNCTION("""COMPUTED_VALUE"""),9.0)</f>
        <v>9</v>
      </c>
      <c r="L898" s="26" t="str">
        <f>IFERROR(__xludf.DUMMYFUNCTION("""COMPUTED_VALUE"""),"Action-Adventure")</f>
        <v>Action-Adventure</v>
      </c>
    </row>
    <row r="899">
      <c r="A899" s="12" t="str">
        <f>IFERROR(__xludf.DUMMYFUNCTION("""COMPUTED_VALUE"""),"Apocalipsis")</f>
        <v>Apocalipsis</v>
      </c>
      <c r="B899" s="13" t="str">
        <f>IFERROR(__xludf.DUMMYFUNCTION("""COMPUTED_VALUE"""),"PC")</f>
        <v>PC</v>
      </c>
      <c r="C899" s="14"/>
      <c r="D899" s="14" t="str">
        <f>IFERROR(__xludf.DUMMYFUNCTION("""COMPUTED_VALUE"""),"Removed")</f>
        <v>Removed</v>
      </c>
      <c r="E899" s="294">
        <f>IFERROR(__xludf.DUMMYFUNCTION("""COMPUTED_VALUE"""),43625.0)</f>
        <v>43625</v>
      </c>
      <c r="F899" s="15">
        <f>IFERROR(__xludf.DUMMYFUNCTION("""COMPUTED_VALUE"""),43891.0)</f>
        <v>43891</v>
      </c>
      <c r="G899" s="18">
        <f>IFERROR(__xludf.DUMMYFUNCTION("""COMPUTED_VALUE"""),8.733333333333333)</f>
        <v>8.733333333</v>
      </c>
      <c r="H899" s="131">
        <f>IFERROR(__xludf.DUMMYFUNCTION("""COMPUTED_VALUE"""),43159.0)</f>
        <v>43159</v>
      </c>
      <c r="I899" s="18">
        <f>IFERROR(__xludf.DUMMYFUNCTION("""COMPUTED_VALUE"""),1.2805555555555554)</f>
        <v>1.280555556</v>
      </c>
      <c r="J899" s="22">
        <f>IFERROR(__xludf.DUMMYFUNCTION("""COMPUTED_VALUE"""),73.0)</f>
        <v>73</v>
      </c>
      <c r="K899" s="22">
        <f>IFERROR(__xludf.DUMMYFUNCTION("""COMPUTED_VALUE"""),2.5)</f>
        <v>2.5</v>
      </c>
      <c r="L899" s="26" t="str">
        <f>IFERROR(__xludf.DUMMYFUNCTION("""COMPUTED_VALUE"""),"Adventure")</f>
        <v>Adventure</v>
      </c>
    </row>
    <row r="900">
      <c r="A900" s="12" t="str">
        <f>IFERROR(__xludf.DUMMYFUNCTION("""COMPUTED_VALUE"""),"Battle Chef Brigade")</f>
        <v>Battle Chef Brigade</v>
      </c>
      <c r="B900" s="13" t="str">
        <f>IFERROR(__xludf.DUMMYFUNCTION("""COMPUTED_VALUE"""),"PC")</f>
        <v>PC</v>
      </c>
      <c r="C900" s="14"/>
      <c r="D900" s="14" t="str">
        <f>IFERROR(__xludf.DUMMYFUNCTION("""COMPUTED_VALUE"""),"Removed")</f>
        <v>Removed</v>
      </c>
      <c r="E900" s="294">
        <f>IFERROR(__xludf.DUMMYFUNCTION("""COMPUTED_VALUE"""),43625.0)</f>
        <v>43625</v>
      </c>
      <c r="F900" s="15">
        <f>IFERROR(__xludf.DUMMYFUNCTION("""COMPUTED_VALUE"""),43891.0)</f>
        <v>43891</v>
      </c>
      <c r="G900" s="18">
        <f>IFERROR(__xludf.DUMMYFUNCTION("""COMPUTED_VALUE"""),8.733333333333333)</f>
        <v>8.733333333</v>
      </c>
      <c r="H900" s="131">
        <f>IFERROR(__xludf.DUMMYFUNCTION("""COMPUTED_VALUE"""),43059.0)</f>
        <v>43059</v>
      </c>
      <c r="I900" s="18">
        <f>IFERROR(__xludf.DUMMYFUNCTION("""COMPUTED_VALUE"""),1.5527777777777778)</f>
        <v>1.552777778</v>
      </c>
      <c r="J900" s="22">
        <f>IFERROR(__xludf.DUMMYFUNCTION("""COMPUTED_VALUE"""),80.0)</f>
        <v>80</v>
      </c>
      <c r="K900" s="22">
        <f>IFERROR(__xludf.DUMMYFUNCTION("""COMPUTED_VALUE"""),8.5)</f>
        <v>8.5</v>
      </c>
      <c r="L900" s="26" t="str">
        <f>IFERROR(__xludf.DUMMYFUNCTION("""COMPUTED_VALUE"""),"Action-Adventure")</f>
        <v>Action-Adventure</v>
      </c>
    </row>
    <row r="901">
      <c r="A901" s="12" t="str">
        <f>IFERROR(__xludf.DUMMYFUNCTION("""COMPUTED_VALUE"""),"Borderlands 2")</f>
        <v>Borderlands 2</v>
      </c>
      <c r="B901" s="13" t="str">
        <f>IFERROR(__xludf.DUMMYFUNCTION("""COMPUTED_VALUE"""),"Xbox")</f>
        <v>Xbox</v>
      </c>
      <c r="C901" s="14"/>
      <c r="D901" s="14" t="str">
        <f>IFERROR(__xludf.DUMMYFUNCTION("""COMPUTED_VALUE"""),"Removed")</f>
        <v>Removed</v>
      </c>
      <c r="E901" s="294">
        <f>IFERROR(__xludf.DUMMYFUNCTION("""COMPUTED_VALUE"""),43625.0)</f>
        <v>43625</v>
      </c>
      <c r="F901" s="15">
        <f>IFERROR(__xludf.DUMMYFUNCTION("""COMPUTED_VALUE"""),43891.0)</f>
        <v>43891</v>
      </c>
      <c r="G901" s="18">
        <f>IFERROR(__xludf.DUMMYFUNCTION("""COMPUTED_VALUE"""),8.733333333333333)</f>
        <v>8.733333333</v>
      </c>
      <c r="H901" s="131">
        <f>IFERROR(__xludf.DUMMYFUNCTION("""COMPUTED_VALUE"""),41170.0)</f>
        <v>41170</v>
      </c>
      <c r="I901" s="18">
        <f>IFERROR(__xludf.DUMMYFUNCTION("""COMPUTED_VALUE"""),6.725)</f>
        <v>6.725</v>
      </c>
      <c r="J901" s="22">
        <f>IFERROR(__xludf.DUMMYFUNCTION("""COMPUTED_VALUE"""),80.0)</f>
        <v>80</v>
      </c>
      <c r="K901" s="22">
        <f>IFERROR(__xludf.DUMMYFUNCTION("""COMPUTED_VALUE"""),30.5)</f>
        <v>30.5</v>
      </c>
      <c r="L901" s="26" t="str">
        <f>IFERROR(__xludf.DUMMYFUNCTION("""COMPUTED_VALUE"""),"Shooter")</f>
        <v>Shooter</v>
      </c>
    </row>
    <row r="902">
      <c r="A902" s="12" t="str">
        <f>IFERROR(__xludf.DUMMYFUNCTION("""COMPUTED_VALUE"""),"Borderlands: The Pre-Sequel!")</f>
        <v>Borderlands: The Pre-Sequel!</v>
      </c>
      <c r="B902" s="13" t="str">
        <f>IFERROR(__xludf.DUMMYFUNCTION("""COMPUTED_VALUE"""),"Xbox")</f>
        <v>Xbox</v>
      </c>
      <c r="C902" s="14"/>
      <c r="D902" s="14" t="str">
        <f>IFERROR(__xludf.DUMMYFUNCTION("""COMPUTED_VALUE"""),"Removed")</f>
        <v>Removed</v>
      </c>
      <c r="E902" s="294">
        <f>IFERROR(__xludf.DUMMYFUNCTION("""COMPUTED_VALUE"""),43625.0)</f>
        <v>43625</v>
      </c>
      <c r="F902" s="15">
        <f>IFERROR(__xludf.DUMMYFUNCTION("""COMPUTED_VALUE"""),43891.0)</f>
        <v>43891</v>
      </c>
      <c r="G902" s="18">
        <f>IFERROR(__xludf.DUMMYFUNCTION("""COMPUTED_VALUE"""),8.733333333333333)</f>
        <v>8.733333333</v>
      </c>
      <c r="H902" s="131">
        <f>IFERROR(__xludf.DUMMYFUNCTION("""COMPUTED_VALUE"""),41926.0)</f>
        <v>41926</v>
      </c>
      <c r="I902" s="18">
        <f>IFERROR(__xludf.DUMMYFUNCTION("""COMPUTED_VALUE"""),4.652777777777778)</f>
        <v>4.652777778</v>
      </c>
      <c r="J902" s="22">
        <f>IFERROR(__xludf.DUMMYFUNCTION("""COMPUTED_VALUE"""),80.0)</f>
        <v>80</v>
      </c>
      <c r="K902" s="22">
        <f>IFERROR(__xludf.DUMMYFUNCTION("""COMPUTED_VALUE"""),18.0)</f>
        <v>18</v>
      </c>
      <c r="L902" s="26" t="str">
        <f>IFERROR(__xludf.DUMMYFUNCTION("""COMPUTED_VALUE"""),"Shooter")</f>
        <v>Shooter</v>
      </c>
    </row>
    <row r="903">
      <c r="A903" s="12" t="str">
        <f>IFERROR(__xludf.DUMMYFUNCTION("""COMPUTED_VALUE"""),"Kingsway")</f>
        <v>Kingsway</v>
      </c>
      <c r="B903" s="13" t="str">
        <f>IFERROR(__xludf.DUMMYFUNCTION("""COMPUTED_VALUE"""),"PC")</f>
        <v>PC</v>
      </c>
      <c r="C903" s="14"/>
      <c r="D903" s="14" t="str">
        <f>IFERROR(__xludf.DUMMYFUNCTION("""COMPUTED_VALUE"""),"Removed")</f>
        <v>Removed</v>
      </c>
      <c r="E903" s="294">
        <f>IFERROR(__xludf.DUMMYFUNCTION("""COMPUTED_VALUE"""),43625.0)</f>
        <v>43625</v>
      </c>
      <c r="F903" s="15">
        <f>IFERROR(__xludf.DUMMYFUNCTION("""COMPUTED_VALUE"""),43891.0)</f>
        <v>43891</v>
      </c>
      <c r="G903" s="18">
        <f>IFERROR(__xludf.DUMMYFUNCTION("""COMPUTED_VALUE"""),8.733333333333333)</f>
        <v>8.733333333</v>
      </c>
      <c r="H903" s="131">
        <f>IFERROR(__xludf.DUMMYFUNCTION("""COMPUTED_VALUE"""),42934.0)</f>
        <v>42934</v>
      </c>
      <c r="I903" s="18">
        <f>IFERROR(__xludf.DUMMYFUNCTION("""COMPUTED_VALUE"""),1.8916666666666666)</f>
        <v>1.891666667</v>
      </c>
      <c r="J903" s="22">
        <f>IFERROR(__xludf.DUMMYFUNCTION("""COMPUTED_VALUE"""),80.0)</f>
        <v>80</v>
      </c>
      <c r="K903" s="22">
        <f>IFERROR(__xludf.DUMMYFUNCTION("""COMPUTED_VALUE"""),5.0)</f>
        <v>5</v>
      </c>
      <c r="L903" s="26" t="str">
        <f>IFERROR(__xludf.DUMMYFUNCTION("""COMPUTED_VALUE"""),"RPG")</f>
        <v>RPG</v>
      </c>
    </row>
    <row r="904">
      <c r="A904" s="12" t="str">
        <f>IFERROR(__xludf.DUMMYFUNCTION("""COMPUTED_VALUE"""),"Lichtspeer: Double Speer Edition")</f>
        <v>Lichtspeer: Double Speer Edition</v>
      </c>
      <c r="B904" s="13" t="str">
        <f>IFERROR(__xludf.DUMMYFUNCTION("""COMPUTED_VALUE"""),"Xbox / PC")</f>
        <v>Xbox / PC</v>
      </c>
      <c r="C904" s="14"/>
      <c r="D904" s="14" t="str">
        <f>IFERROR(__xludf.DUMMYFUNCTION("""COMPUTED_VALUE"""),"Removed")</f>
        <v>Removed</v>
      </c>
      <c r="E904" s="294">
        <f>IFERROR(__xludf.DUMMYFUNCTION("""COMPUTED_VALUE"""),43625.0)</f>
        <v>43625</v>
      </c>
      <c r="F904" s="15">
        <f>IFERROR(__xludf.DUMMYFUNCTION("""COMPUTED_VALUE"""),43891.0)</f>
        <v>43891</v>
      </c>
      <c r="G904" s="18">
        <f>IFERROR(__xludf.DUMMYFUNCTION("""COMPUTED_VALUE"""),8.733333333333333)</f>
        <v>8.733333333</v>
      </c>
      <c r="H904" s="131">
        <f>IFERROR(__xludf.DUMMYFUNCTION("""COMPUTED_VALUE"""),42640.0)</f>
        <v>42640</v>
      </c>
      <c r="I904" s="18">
        <f>IFERROR(__xludf.DUMMYFUNCTION("""COMPUTED_VALUE"""),2.7)</f>
        <v>2.7</v>
      </c>
      <c r="J904" s="22">
        <f>IFERROR(__xludf.DUMMYFUNCTION("""COMPUTED_VALUE"""),69.0)</f>
        <v>69</v>
      </c>
      <c r="K904" s="22">
        <f>IFERROR(__xludf.DUMMYFUNCTION("""COMPUTED_VALUE"""),4.0)</f>
        <v>4</v>
      </c>
      <c r="L904" s="26" t="str">
        <f>IFERROR(__xludf.DUMMYFUNCTION("""COMPUTED_VALUE"""),"Sports")</f>
        <v>Sports</v>
      </c>
    </row>
    <row r="905">
      <c r="A905" s="12" t="str">
        <f>IFERROR(__xludf.DUMMYFUNCTION("""COMPUTED_VALUE"""),"Orwell: Keeping an Eye on You")</f>
        <v>Orwell: Keeping an Eye on You</v>
      </c>
      <c r="B905" s="13" t="str">
        <f>IFERROR(__xludf.DUMMYFUNCTION("""COMPUTED_VALUE"""),"PC")</f>
        <v>PC</v>
      </c>
      <c r="C905" s="14"/>
      <c r="D905" s="14" t="str">
        <f>IFERROR(__xludf.DUMMYFUNCTION("""COMPUTED_VALUE"""),"Removed")</f>
        <v>Removed</v>
      </c>
      <c r="E905" s="294">
        <f>IFERROR(__xludf.DUMMYFUNCTION("""COMPUTED_VALUE"""),43625.0)</f>
        <v>43625</v>
      </c>
      <c r="F905" s="15">
        <f>IFERROR(__xludf.DUMMYFUNCTION("""COMPUTED_VALUE"""),43891.0)</f>
        <v>43891</v>
      </c>
      <c r="G905" s="18">
        <f>IFERROR(__xludf.DUMMYFUNCTION("""COMPUTED_VALUE"""),8.733333333333333)</f>
        <v>8.733333333</v>
      </c>
      <c r="H905" s="131">
        <f>IFERROR(__xludf.DUMMYFUNCTION("""COMPUTED_VALUE"""),42671.0)</f>
        <v>42671</v>
      </c>
      <c r="I905" s="18">
        <f>IFERROR(__xludf.DUMMYFUNCTION("""COMPUTED_VALUE"""),2.613888888888889)</f>
        <v>2.613888889</v>
      </c>
      <c r="J905" s="22">
        <f>IFERROR(__xludf.DUMMYFUNCTION("""COMPUTED_VALUE"""),77.0)</f>
        <v>77</v>
      </c>
      <c r="K905" s="22">
        <f>IFERROR(__xludf.DUMMYFUNCTION("""COMPUTED_VALUE"""),4.5)</f>
        <v>4.5</v>
      </c>
      <c r="L905" s="26" t="str">
        <f>IFERROR(__xludf.DUMMYFUNCTION("""COMPUTED_VALUE"""),"Adventure")</f>
        <v>Adventure</v>
      </c>
    </row>
    <row r="906">
      <c r="A906" s="12" t="str">
        <f>IFERROR(__xludf.DUMMYFUNCTION("""COMPUTED_VALUE"""),"Shenmue")</f>
        <v>Shenmue</v>
      </c>
      <c r="B906" s="13" t="str">
        <f>IFERROR(__xludf.DUMMYFUNCTION("""COMPUTED_VALUE"""),"Xbox / PC")</f>
        <v>Xbox / PC</v>
      </c>
      <c r="C906" s="14"/>
      <c r="D906" s="14" t="str">
        <f>IFERROR(__xludf.DUMMYFUNCTION("""COMPUTED_VALUE"""),"Removed")</f>
        <v>Removed</v>
      </c>
      <c r="E906" s="294">
        <f>IFERROR(__xludf.DUMMYFUNCTION("""COMPUTED_VALUE"""),43625.0)</f>
        <v>43625</v>
      </c>
      <c r="F906" s="15">
        <f>IFERROR(__xludf.DUMMYFUNCTION("""COMPUTED_VALUE"""),43891.0)</f>
        <v>43891</v>
      </c>
      <c r="G906" s="18">
        <f>IFERROR(__xludf.DUMMYFUNCTION("""COMPUTED_VALUE"""),8.733333333333333)</f>
        <v>8.733333333</v>
      </c>
      <c r="H906" s="131">
        <f>IFERROR(__xludf.DUMMYFUNCTION("""COMPUTED_VALUE"""),36523.0)</f>
        <v>36523</v>
      </c>
      <c r="I906" s="18">
        <f>IFERROR(__xludf.DUMMYFUNCTION("""COMPUTED_VALUE"""),19.444444444444443)</f>
        <v>19.44444444</v>
      </c>
      <c r="J906" s="22">
        <f>IFERROR(__xludf.DUMMYFUNCTION("""COMPUTED_VALUE"""),75.0)</f>
        <v>75</v>
      </c>
      <c r="K906" s="22">
        <f>IFERROR(__xludf.DUMMYFUNCTION("""COMPUTED_VALUE"""),19.5)</f>
        <v>19.5</v>
      </c>
      <c r="L906" s="26" t="str">
        <f>IFERROR(__xludf.DUMMYFUNCTION("""COMPUTED_VALUE"""),"RPG")</f>
        <v>RPG</v>
      </c>
    </row>
    <row r="907">
      <c r="A907" s="12" t="str">
        <f>IFERROR(__xludf.DUMMYFUNCTION("""COMPUTED_VALUE"""),"Shenmue II")</f>
        <v>Shenmue II</v>
      </c>
      <c r="B907" s="13" t="str">
        <f>IFERROR(__xludf.DUMMYFUNCTION("""COMPUTED_VALUE"""),"Xbox / PC")</f>
        <v>Xbox / PC</v>
      </c>
      <c r="C907" s="14"/>
      <c r="D907" s="14" t="str">
        <f>IFERROR(__xludf.DUMMYFUNCTION("""COMPUTED_VALUE"""),"Removed")</f>
        <v>Removed</v>
      </c>
      <c r="E907" s="294">
        <f>IFERROR(__xludf.DUMMYFUNCTION("""COMPUTED_VALUE"""),43625.0)</f>
        <v>43625</v>
      </c>
      <c r="F907" s="15">
        <f>IFERROR(__xludf.DUMMYFUNCTION("""COMPUTED_VALUE"""),43891.0)</f>
        <v>43891</v>
      </c>
      <c r="G907" s="18">
        <f>IFERROR(__xludf.DUMMYFUNCTION("""COMPUTED_VALUE"""),8.733333333333333)</f>
        <v>8.733333333</v>
      </c>
      <c r="H907" s="131">
        <f>IFERROR(__xludf.DUMMYFUNCTION("""COMPUTED_VALUE"""),37140.0)</f>
        <v>37140</v>
      </c>
      <c r="I907" s="18">
        <f>IFERROR(__xludf.DUMMYFUNCTION("""COMPUTED_VALUE"""),17.758333333333333)</f>
        <v>17.75833333</v>
      </c>
      <c r="J907" s="22">
        <f>IFERROR(__xludf.DUMMYFUNCTION("""COMPUTED_VALUE"""),75.0)</f>
        <v>75</v>
      </c>
      <c r="K907" s="22">
        <f>IFERROR(__xludf.DUMMYFUNCTION("""COMPUTED_VALUE"""),24.5)</f>
        <v>24.5</v>
      </c>
      <c r="L907" s="26" t="str">
        <f>IFERROR(__xludf.DUMMYFUNCTION("""COMPUTED_VALUE"""),"Action-Adventure")</f>
        <v>Action-Adventure</v>
      </c>
    </row>
    <row r="908">
      <c r="A908" s="12" t="str">
        <f>IFERROR(__xludf.DUMMYFUNCTION("""COMPUTED_VALUE"""),"Thimbleweed Park")</f>
        <v>Thimbleweed Park</v>
      </c>
      <c r="B908" s="13" t="str">
        <f>IFERROR(__xludf.DUMMYFUNCTION("""COMPUTED_VALUE"""),"Xbox / PC")</f>
        <v>Xbox / PC</v>
      </c>
      <c r="C908" s="14"/>
      <c r="D908" s="14" t="str">
        <f>IFERROR(__xludf.DUMMYFUNCTION("""COMPUTED_VALUE"""),"Removed")</f>
        <v>Removed</v>
      </c>
      <c r="E908" s="294">
        <f>IFERROR(__xludf.DUMMYFUNCTION("""COMPUTED_VALUE"""),43625.0)</f>
        <v>43625</v>
      </c>
      <c r="F908" s="15">
        <f>IFERROR(__xludf.DUMMYFUNCTION("""COMPUTED_VALUE"""),43891.0)</f>
        <v>43891</v>
      </c>
      <c r="G908" s="18">
        <f>IFERROR(__xludf.DUMMYFUNCTION("""COMPUTED_VALUE"""),8.733333333333333)</f>
        <v>8.733333333</v>
      </c>
      <c r="H908" s="131">
        <f>IFERROR(__xludf.DUMMYFUNCTION("""COMPUTED_VALUE"""),42824.0)</f>
        <v>42824</v>
      </c>
      <c r="I908" s="18">
        <f>IFERROR(__xludf.DUMMYFUNCTION("""COMPUTED_VALUE"""),2.191666666666667)</f>
        <v>2.191666667</v>
      </c>
      <c r="J908" s="22">
        <f>IFERROR(__xludf.DUMMYFUNCTION("""COMPUTED_VALUE"""),84.0)</f>
        <v>84</v>
      </c>
      <c r="K908" s="22">
        <f>IFERROR(__xludf.DUMMYFUNCTION("""COMPUTED_VALUE"""),10.5)</f>
        <v>10.5</v>
      </c>
      <c r="L908" s="26" t="str">
        <f>IFERROR(__xludf.DUMMYFUNCTION("""COMPUTED_VALUE"""),"Adventure")</f>
        <v>Adventure</v>
      </c>
    </row>
    <row r="909">
      <c r="A909" s="12" t="str">
        <f>IFERROR(__xludf.DUMMYFUNCTION("""COMPUTED_VALUE"""),"Titan-Quest: Anniversary Edition")</f>
        <v>Titan-Quest: Anniversary Edition</v>
      </c>
      <c r="B909" s="13" t="str">
        <f>IFERROR(__xludf.DUMMYFUNCTION("""COMPUTED_VALUE"""),"PC")</f>
        <v>PC</v>
      </c>
      <c r="C909" s="14"/>
      <c r="D909" s="14" t="str">
        <f>IFERROR(__xludf.DUMMYFUNCTION("""COMPUTED_VALUE"""),"Removed")</f>
        <v>Removed</v>
      </c>
      <c r="E909" s="294">
        <f>IFERROR(__xludf.DUMMYFUNCTION("""COMPUTED_VALUE"""),43625.0)</f>
        <v>43625</v>
      </c>
      <c r="F909" s="15">
        <f>IFERROR(__xludf.DUMMYFUNCTION("""COMPUTED_VALUE"""),43891.0)</f>
        <v>43891</v>
      </c>
      <c r="G909" s="18">
        <f>IFERROR(__xludf.DUMMYFUNCTION("""COMPUTED_VALUE"""),8.733333333333333)</f>
        <v>8.733333333</v>
      </c>
      <c r="H909" s="131">
        <f>IFERROR(__xludf.DUMMYFUNCTION("""COMPUTED_VALUE"""),42613.0)</f>
        <v>42613</v>
      </c>
      <c r="I909" s="18">
        <f>IFERROR(__xludf.DUMMYFUNCTION("""COMPUTED_VALUE"""),2.775)</f>
        <v>2.775</v>
      </c>
      <c r="J909" s="22">
        <f>IFERROR(__xludf.DUMMYFUNCTION("""COMPUTED_VALUE"""),77.0)</f>
        <v>77</v>
      </c>
      <c r="K909" s="22">
        <f>IFERROR(__xludf.DUMMYFUNCTION("""COMPUTED_VALUE"""),34.0)</f>
        <v>34</v>
      </c>
      <c r="L909" s="26" t="str">
        <f>IFERROR(__xludf.DUMMYFUNCTION("""COMPUTED_VALUE"""),"RPG")</f>
        <v>RPG</v>
      </c>
    </row>
    <row r="910">
      <c r="A910" s="12" t="str">
        <f>IFERROR(__xludf.DUMMYFUNCTION("""COMPUTED_VALUE"""),"The Golf Club 2")</f>
        <v>The Golf Club 2</v>
      </c>
      <c r="B910" s="13" t="str">
        <f>IFERROR(__xludf.DUMMYFUNCTION("""COMPUTED_VALUE"""),"Xbox")</f>
        <v>Xbox</v>
      </c>
      <c r="C910" s="14"/>
      <c r="D910" s="14" t="str">
        <f>IFERROR(__xludf.DUMMYFUNCTION("""COMPUTED_VALUE"""),"Removed")</f>
        <v>Removed</v>
      </c>
      <c r="E910" s="294">
        <f>IFERROR(__xludf.DUMMYFUNCTION("""COMPUTED_VALUE"""),43566.0)</f>
        <v>43566</v>
      </c>
      <c r="F910" s="15">
        <f>IFERROR(__xludf.DUMMYFUNCTION("""COMPUTED_VALUE"""),43891.0)</f>
        <v>43891</v>
      </c>
      <c r="G910" s="18">
        <f>IFERROR(__xludf.DUMMYFUNCTION("""COMPUTED_VALUE"""),10.666666666666666)</f>
        <v>10.66666667</v>
      </c>
      <c r="H910" s="131">
        <f>IFERROR(__xludf.DUMMYFUNCTION("""COMPUTED_VALUE"""),42913.0)</f>
        <v>42913</v>
      </c>
      <c r="I910" s="18">
        <f>IFERROR(__xludf.DUMMYFUNCTION("""COMPUTED_VALUE"""),1.788888888888889)</f>
        <v>1.788888889</v>
      </c>
      <c r="J910" s="22">
        <f>IFERROR(__xludf.DUMMYFUNCTION("""COMPUTED_VALUE"""),69.0)</f>
        <v>69</v>
      </c>
      <c r="K910" s="22">
        <f>IFERROR(__xludf.DUMMYFUNCTION("""COMPUTED_VALUE"""),125.0)</f>
        <v>125</v>
      </c>
      <c r="L910" s="26" t="str">
        <f>IFERROR(__xludf.DUMMYFUNCTION("""COMPUTED_VALUE"""),"Golf")</f>
        <v>Golf</v>
      </c>
    </row>
    <row r="911">
      <c r="A911" s="12" t="str">
        <f>IFERROR(__xludf.DUMMYFUNCTION("""COMPUTED_VALUE"""),"Operencia: The Stolen Sun")</f>
        <v>Operencia: The Stolen Sun</v>
      </c>
      <c r="B911" s="13" t="str">
        <f>IFERROR(__xludf.DUMMYFUNCTION("""COMPUTED_VALUE"""),"Xbox / PC")</f>
        <v>Xbox / PC</v>
      </c>
      <c r="C911" s="14"/>
      <c r="D911" s="14" t="str">
        <f>IFERROR(__xludf.DUMMYFUNCTION("""COMPUTED_VALUE"""),"Removed")</f>
        <v>Removed</v>
      </c>
      <c r="E911" s="294">
        <f>IFERROR(__xludf.DUMMYFUNCTION("""COMPUTED_VALUE"""),43553.0)</f>
        <v>43553</v>
      </c>
      <c r="F911" s="15">
        <f>IFERROR(__xludf.DUMMYFUNCTION("""COMPUTED_VALUE"""),43891.0)</f>
        <v>43891</v>
      </c>
      <c r="G911" s="18">
        <f>IFERROR(__xludf.DUMMYFUNCTION("""COMPUTED_VALUE"""),11.066666666666666)</f>
        <v>11.06666667</v>
      </c>
      <c r="H911" s="131">
        <f>IFERROR(__xludf.DUMMYFUNCTION("""COMPUTED_VALUE"""),43553.0)</f>
        <v>43553</v>
      </c>
      <c r="I911" s="18">
        <f>IFERROR(__xludf.DUMMYFUNCTION("""COMPUTED_VALUE"""),0.0)</f>
        <v>0</v>
      </c>
      <c r="J911" s="22">
        <f>IFERROR(__xludf.DUMMYFUNCTION("""COMPUTED_VALUE"""),80.0)</f>
        <v>80</v>
      </c>
      <c r="K911" s="22">
        <f>IFERROR(__xludf.DUMMYFUNCTION("""COMPUTED_VALUE"""),19.0)</f>
        <v>19</v>
      </c>
      <c r="L911" s="26" t="str">
        <f>IFERROR(__xludf.DUMMYFUNCTION("""COMPUTED_VALUE"""),"RPG")</f>
        <v>RPG</v>
      </c>
    </row>
    <row r="912">
      <c r="A912" s="12" t="str">
        <f>IFERROR(__xludf.DUMMYFUNCTION("""COMPUTED_VALUE"""),"Deus Ex: Mankind Divided")</f>
        <v>Deus Ex: Mankind Divided</v>
      </c>
      <c r="B912" s="13" t="str">
        <f>IFERROR(__xludf.DUMMYFUNCTION("""COMPUTED_VALUE"""),"Xbox")</f>
        <v>Xbox</v>
      </c>
      <c r="C912" s="14"/>
      <c r="D912" s="14" t="str">
        <f>IFERROR(__xludf.DUMMYFUNCTION("""COMPUTED_VALUE"""),"Removed")</f>
        <v>Removed</v>
      </c>
      <c r="E912" s="294">
        <f>IFERROR(__xludf.DUMMYFUNCTION("""COMPUTED_VALUE"""),43545.0)</f>
        <v>43545</v>
      </c>
      <c r="F912" s="15">
        <f>IFERROR(__xludf.DUMMYFUNCTION("""COMPUTED_VALUE"""),43891.0)</f>
        <v>43891</v>
      </c>
      <c r="G912" s="18">
        <f>IFERROR(__xludf.DUMMYFUNCTION("""COMPUTED_VALUE"""),11.333333333333332)</f>
        <v>11.33333333</v>
      </c>
      <c r="H912" s="131">
        <f>IFERROR(__xludf.DUMMYFUNCTION("""COMPUTED_VALUE"""),42605.0)</f>
        <v>42605</v>
      </c>
      <c r="I912" s="18">
        <f>IFERROR(__xludf.DUMMYFUNCTION("""COMPUTED_VALUE"""),2.577777777777778)</f>
        <v>2.577777778</v>
      </c>
      <c r="J912" s="22">
        <f>IFERROR(__xludf.DUMMYFUNCTION("""COMPUTED_VALUE"""),83.0)</f>
        <v>83</v>
      </c>
      <c r="K912" s="22">
        <f>IFERROR(__xludf.DUMMYFUNCTION("""COMPUTED_VALUE"""),15.5)</f>
        <v>15.5</v>
      </c>
      <c r="L912" s="26" t="str">
        <f>IFERROR(__xludf.DUMMYFUNCTION("""COMPUTED_VALUE"""),"Shooter")</f>
        <v>Shooter</v>
      </c>
    </row>
    <row r="913">
      <c r="A913" s="12" t="str">
        <f>IFERROR(__xludf.DUMMYFUNCTION("""COMPUTED_VALUE"""),"Disney Epic Mickey 2: The Power of Two")</f>
        <v>Disney Epic Mickey 2: The Power of Two</v>
      </c>
      <c r="B913" s="13" t="str">
        <f>IFERROR(__xludf.DUMMYFUNCTION("""COMPUTED_VALUE"""),"Xbox")</f>
        <v>Xbox</v>
      </c>
      <c r="C913" s="14"/>
      <c r="D913" s="14" t="str">
        <f>IFERROR(__xludf.DUMMYFUNCTION("""COMPUTED_VALUE"""),"Removed")</f>
        <v>Removed</v>
      </c>
      <c r="E913" s="294">
        <f>IFERROR(__xludf.DUMMYFUNCTION("""COMPUTED_VALUE"""),43517.0)</f>
        <v>43517</v>
      </c>
      <c r="F913" s="15">
        <f>IFERROR(__xludf.DUMMYFUNCTION("""COMPUTED_VALUE"""),43876.0)</f>
        <v>43876</v>
      </c>
      <c r="G913" s="18">
        <f>IFERROR(__xludf.DUMMYFUNCTION("""COMPUTED_VALUE"""),11.799999999999999)</f>
        <v>11.8</v>
      </c>
      <c r="H913" s="131">
        <f>IFERROR(__xludf.DUMMYFUNCTION("""COMPUTED_VALUE"""),41231.0)</f>
        <v>41231</v>
      </c>
      <c r="I913" s="18">
        <f>IFERROR(__xludf.DUMMYFUNCTION("""COMPUTED_VALUE"""),6.258333333333334)</f>
        <v>6.258333333</v>
      </c>
      <c r="J913" s="22">
        <f>IFERROR(__xludf.DUMMYFUNCTION("""COMPUTED_VALUE"""),59.0)</f>
        <v>59</v>
      </c>
      <c r="K913" s="22">
        <f>IFERROR(__xludf.DUMMYFUNCTION("""COMPUTED_VALUE"""),9.0)</f>
        <v>9</v>
      </c>
      <c r="L913" s="26" t="str">
        <f>IFERROR(__xludf.DUMMYFUNCTION("""COMPUTED_VALUE"""),"Platformer")</f>
        <v>Platformer</v>
      </c>
    </row>
    <row r="914">
      <c r="A914" s="12" t="str">
        <f>IFERROR(__xludf.DUMMYFUNCTION("""COMPUTED_VALUE"""),"Just Cause 4")</f>
        <v>Just Cause 4</v>
      </c>
      <c r="B914" s="13" t="str">
        <f>IFERROR(__xludf.DUMMYFUNCTION("""COMPUTED_VALUE"""),"Xbox")</f>
        <v>Xbox</v>
      </c>
      <c r="C914" s="14"/>
      <c r="D914" s="14" t="str">
        <f>IFERROR(__xludf.DUMMYFUNCTION("""COMPUTED_VALUE"""),"Removed")</f>
        <v>Removed</v>
      </c>
      <c r="E914" s="294">
        <f>IFERROR(__xludf.DUMMYFUNCTION("""COMPUTED_VALUE"""),43530.0)</f>
        <v>43530</v>
      </c>
      <c r="F914" s="15">
        <f>IFERROR(__xludf.DUMMYFUNCTION("""COMPUTED_VALUE"""),43863.0)</f>
        <v>43863</v>
      </c>
      <c r="G914" s="18">
        <f>IFERROR(__xludf.DUMMYFUNCTION("""COMPUTED_VALUE"""),10.866666666666667)</f>
        <v>10.86666667</v>
      </c>
      <c r="H914" s="131">
        <f>IFERROR(__xludf.DUMMYFUNCTION("""COMPUTED_VALUE"""),43438.0)</f>
        <v>43438</v>
      </c>
      <c r="I914" s="18">
        <f>IFERROR(__xludf.DUMMYFUNCTION("""COMPUTED_VALUE"""),0.25555555555555554)</f>
        <v>0.2555555556</v>
      </c>
      <c r="J914" s="22">
        <f>IFERROR(__xludf.DUMMYFUNCTION("""COMPUTED_VALUE"""),70.0)</f>
        <v>70</v>
      </c>
      <c r="K914" s="22">
        <f>IFERROR(__xludf.DUMMYFUNCTION("""COMPUTED_VALUE"""),16.0)</f>
        <v>16</v>
      </c>
      <c r="L914" s="26" t="str">
        <f>IFERROR(__xludf.DUMMYFUNCTION("""COMPUTED_VALUE"""),"Action-Adventure")</f>
        <v>Action-Adventure</v>
      </c>
    </row>
    <row r="915">
      <c r="A915" s="12" t="str">
        <f>IFERROR(__xludf.DUMMYFUNCTION("""COMPUTED_VALUE"""),"Batman: Arkham City")</f>
        <v>Batman: Arkham City</v>
      </c>
      <c r="B915" s="13" t="str">
        <f>IFERROR(__xludf.DUMMYFUNCTION("""COMPUTED_VALUE"""),"Xbox")</f>
        <v>Xbox</v>
      </c>
      <c r="C915" s="14"/>
      <c r="D915" s="14" t="str">
        <f>IFERROR(__xludf.DUMMYFUNCTION("""COMPUTED_VALUE"""),"Removed")</f>
        <v>Removed</v>
      </c>
      <c r="E915" s="294">
        <f>IFERROR(__xludf.DUMMYFUNCTION("""COMPUTED_VALUE"""),43517.0)</f>
        <v>43517</v>
      </c>
      <c r="F915" s="15">
        <f>IFERROR(__xludf.DUMMYFUNCTION("""COMPUTED_VALUE"""),43863.0)</f>
        <v>43863</v>
      </c>
      <c r="G915" s="18">
        <f>IFERROR(__xludf.DUMMYFUNCTION("""COMPUTED_VALUE"""),11.366666666666667)</f>
        <v>11.36666667</v>
      </c>
      <c r="H915" s="131">
        <f>IFERROR(__xludf.DUMMYFUNCTION("""COMPUTED_VALUE"""),40834.0)</f>
        <v>40834</v>
      </c>
      <c r="I915" s="18">
        <f>IFERROR(__xludf.DUMMYFUNCTION("""COMPUTED_VALUE"""),7.341666666666667)</f>
        <v>7.341666667</v>
      </c>
      <c r="J915" s="22">
        <f>IFERROR(__xludf.DUMMYFUNCTION("""COMPUTED_VALUE"""),77.0)</f>
        <v>77</v>
      </c>
      <c r="K915" s="22">
        <f>IFERROR(__xludf.DUMMYFUNCTION("""COMPUTED_VALUE"""),12.5)</f>
        <v>12.5</v>
      </c>
      <c r="L915" s="26" t="str">
        <f>IFERROR(__xludf.DUMMYFUNCTION("""COMPUTED_VALUE"""),"Action-Adventure")</f>
        <v>Action-Adventure</v>
      </c>
    </row>
    <row r="916">
      <c r="A916" s="12" t="str">
        <f>IFERROR(__xludf.DUMMYFUNCTION("""COMPUTED_VALUE"""),"The Jackbox Party Pack 2")</f>
        <v>The Jackbox Party Pack 2</v>
      </c>
      <c r="B916" s="13" t="str">
        <f>IFERROR(__xludf.DUMMYFUNCTION("""COMPUTED_VALUE"""),"Xbox")</f>
        <v>Xbox</v>
      </c>
      <c r="C916" s="14"/>
      <c r="D916" s="14" t="str">
        <f>IFERROR(__xludf.DUMMYFUNCTION("""COMPUTED_VALUE"""),"Removed")</f>
        <v>Removed</v>
      </c>
      <c r="E916" s="294">
        <f>IFERROR(__xludf.DUMMYFUNCTION("""COMPUTED_VALUE"""),43685.0)</f>
        <v>43685</v>
      </c>
      <c r="F916" s="15">
        <f>IFERROR(__xludf.DUMMYFUNCTION("""COMPUTED_VALUE"""),43862.0)</f>
        <v>43862</v>
      </c>
      <c r="G916" s="18">
        <f>IFERROR(__xludf.DUMMYFUNCTION("""COMPUTED_VALUE"""),5.766666666666667)</f>
        <v>5.766666667</v>
      </c>
      <c r="H916" s="131">
        <f>IFERROR(__xludf.DUMMYFUNCTION("""COMPUTED_VALUE"""),42290.0)</f>
        <v>42290</v>
      </c>
      <c r="I916" s="18">
        <f>IFERROR(__xludf.DUMMYFUNCTION("""COMPUTED_VALUE"""),3.8194444444444446)</f>
        <v>3.819444444</v>
      </c>
      <c r="J916" s="22">
        <f>IFERROR(__xludf.DUMMYFUNCTION("""COMPUTED_VALUE"""),80.0)</f>
        <v>80</v>
      </c>
      <c r="K916" s="22">
        <f>IFERROR(__xludf.DUMMYFUNCTION("""COMPUTED_VALUE"""),2.0)</f>
        <v>2</v>
      </c>
      <c r="L916" s="26" t="str">
        <f>IFERROR(__xludf.DUMMYFUNCTION("""COMPUTED_VALUE"""),"Party")</f>
        <v>Party</v>
      </c>
    </row>
    <row r="917">
      <c r="A917" s="12" t="str">
        <f>IFERROR(__xludf.DUMMYFUNCTION("""COMPUTED_VALUE"""),"Batman: Arkham Asylum")</f>
        <v>Batman: Arkham Asylum</v>
      </c>
      <c r="B917" s="13" t="str">
        <f>IFERROR(__xludf.DUMMYFUNCTION("""COMPUTED_VALUE"""),"Xbox")</f>
        <v>Xbox</v>
      </c>
      <c r="C917" s="14"/>
      <c r="D917" s="14" t="str">
        <f>IFERROR(__xludf.DUMMYFUNCTION("""COMPUTED_VALUE"""),"Removed")</f>
        <v>Removed</v>
      </c>
      <c r="E917" s="294">
        <f>IFERROR(__xludf.DUMMYFUNCTION("""COMPUTED_VALUE"""),43517.0)</f>
        <v>43517</v>
      </c>
      <c r="F917" s="15">
        <f>IFERROR(__xludf.DUMMYFUNCTION("""COMPUTED_VALUE"""),43862.0)</f>
        <v>43862</v>
      </c>
      <c r="G917" s="18">
        <f>IFERROR(__xludf.DUMMYFUNCTION("""COMPUTED_VALUE"""),11.333333333333332)</f>
        <v>11.33333333</v>
      </c>
      <c r="H917" s="131">
        <f>IFERROR(__xludf.DUMMYFUNCTION("""COMPUTED_VALUE"""),40050.0)</f>
        <v>40050</v>
      </c>
      <c r="I917" s="18">
        <f>IFERROR(__xludf.DUMMYFUNCTION("""COMPUTED_VALUE"""),9.488888888888889)</f>
        <v>9.488888889</v>
      </c>
      <c r="J917" s="22">
        <f>IFERROR(__xludf.DUMMYFUNCTION("""COMPUTED_VALUE"""),77.0)</f>
        <v>77</v>
      </c>
      <c r="K917" s="22">
        <f>IFERROR(__xludf.DUMMYFUNCTION("""COMPUTED_VALUE"""),12.0)</f>
        <v>12</v>
      </c>
      <c r="L917" s="26" t="str">
        <f>IFERROR(__xludf.DUMMYFUNCTION("""COMPUTED_VALUE"""),"Action-Adventure")</f>
        <v>Action-Adventure</v>
      </c>
    </row>
    <row r="918">
      <c r="A918" s="12" t="str">
        <f>IFERROR(__xludf.DUMMYFUNCTION("""COMPUTED_VALUE"""),"Pumped BMX Pro")</f>
        <v>Pumped BMX Pro</v>
      </c>
      <c r="B918" s="13" t="str">
        <f>IFERROR(__xludf.DUMMYFUNCTION("""COMPUTED_VALUE"""),"Xbox")</f>
        <v>Xbox</v>
      </c>
      <c r="C918" s="14"/>
      <c r="D918" s="14" t="str">
        <f>IFERROR(__xludf.DUMMYFUNCTION("""COMPUTED_VALUE"""),"Removed")</f>
        <v>Removed</v>
      </c>
      <c r="E918" s="294">
        <f>IFERROR(__xludf.DUMMYFUNCTION("""COMPUTED_VALUE"""),43503.0)</f>
        <v>43503</v>
      </c>
      <c r="F918" s="15">
        <f>IFERROR(__xludf.DUMMYFUNCTION("""COMPUTED_VALUE"""),43862.0)</f>
        <v>43862</v>
      </c>
      <c r="G918" s="18">
        <f>IFERROR(__xludf.DUMMYFUNCTION("""COMPUTED_VALUE"""),11.799999999999999)</f>
        <v>11.8</v>
      </c>
      <c r="H918" s="131">
        <f>IFERROR(__xludf.DUMMYFUNCTION("""COMPUTED_VALUE"""),43503.0)</f>
        <v>43503</v>
      </c>
      <c r="I918" s="18">
        <f>IFERROR(__xludf.DUMMYFUNCTION("""COMPUTED_VALUE"""),0.0)</f>
        <v>0</v>
      </c>
      <c r="J918" s="22">
        <f>IFERROR(__xludf.DUMMYFUNCTION("""COMPUTED_VALUE"""),53.0)</f>
        <v>53</v>
      </c>
      <c r="K918" s="22">
        <f>IFERROR(__xludf.DUMMYFUNCTION("""COMPUTED_VALUE"""),15.0)</f>
        <v>15</v>
      </c>
      <c r="L918" s="26" t="str">
        <f>IFERROR(__xludf.DUMMYFUNCTION("""COMPUTED_VALUE"""),"Sports")</f>
        <v>Sports</v>
      </c>
    </row>
    <row r="919">
      <c r="A919" s="12" t="str">
        <f>IFERROR(__xludf.DUMMYFUNCTION("""COMPUTED_VALUE"""),"Tom Clancy's The Division")</f>
        <v>Tom Clancy's The Division</v>
      </c>
      <c r="B919" s="13" t="str">
        <f>IFERROR(__xludf.DUMMYFUNCTION("""COMPUTED_VALUE"""),"Xbox")</f>
        <v>Xbox</v>
      </c>
      <c r="C919" s="14"/>
      <c r="D919" s="14" t="str">
        <f>IFERROR(__xludf.DUMMYFUNCTION("""COMPUTED_VALUE"""),"Removed")</f>
        <v>Removed</v>
      </c>
      <c r="E919" s="294">
        <f>IFERROR(__xludf.DUMMYFUNCTION("""COMPUTED_VALUE"""),43800.0)</f>
        <v>43800</v>
      </c>
      <c r="F919" s="15">
        <f>IFERROR(__xludf.DUMMYFUNCTION("""COMPUTED_VALUE"""),43831.0)</f>
        <v>43831</v>
      </c>
      <c r="G919" s="18">
        <f>IFERROR(__xludf.DUMMYFUNCTION("""COMPUTED_VALUE"""),1.0)</f>
        <v>1</v>
      </c>
      <c r="H919" s="131">
        <f>IFERROR(__xludf.DUMMYFUNCTION("""COMPUTED_VALUE"""),42437.0)</f>
        <v>42437</v>
      </c>
      <c r="I919" s="18">
        <f>IFERROR(__xludf.DUMMYFUNCTION("""COMPUTED_VALUE"""),3.7305555555555556)</f>
        <v>3.730555556</v>
      </c>
      <c r="J919" s="22">
        <f>IFERROR(__xludf.DUMMYFUNCTION("""COMPUTED_VALUE"""),80.0)</f>
        <v>80</v>
      </c>
      <c r="K919" s="22">
        <f>IFERROR(__xludf.DUMMYFUNCTION("""COMPUTED_VALUE"""),22.0)</f>
        <v>22</v>
      </c>
      <c r="L919" s="26" t="str">
        <f>IFERROR(__xludf.DUMMYFUNCTION("""COMPUTED_VALUE"""),"Shooter")</f>
        <v>Shooter</v>
      </c>
    </row>
    <row r="920">
      <c r="A920" s="12" t="str">
        <f>IFERROR(__xludf.DUMMYFUNCTION("""COMPUTED_VALUE"""),"LEGO City Undercover")</f>
        <v>LEGO City Undercover</v>
      </c>
      <c r="B920" s="13" t="str">
        <f>IFERROR(__xludf.DUMMYFUNCTION("""COMPUTED_VALUE"""),"Xbox")</f>
        <v>Xbox</v>
      </c>
      <c r="C920" s="14"/>
      <c r="D920" s="14" t="str">
        <f>IFERROR(__xludf.DUMMYFUNCTION("""COMPUTED_VALUE"""),"Removed")</f>
        <v>Removed</v>
      </c>
      <c r="E920" s="294">
        <f>IFERROR(__xludf.DUMMYFUNCTION("""COMPUTED_VALUE"""),43657.0)</f>
        <v>43657</v>
      </c>
      <c r="F920" s="15">
        <f>IFERROR(__xludf.DUMMYFUNCTION("""COMPUTED_VALUE"""),43831.0)</f>
        <v>43831</v>
      </c>
      <c r="G920" s="18">
        <f>IFERROR(__xludf.DUMMYFUNCTION("""COMPUTED_VALUE"""),5.666666666666666)</f>
        <v>5.666666667</v>
      </c>
      <c r="H920" s="131">
        <f>IFERROR(__xludf.DUMMYFUNCTION("""COMPUTED_VALUE"""),41351.0)</f>
        <v>41351</v>
      </c>
      <c r="I920" s="18">
        <f>IFERROR(__xludf.DUMMYFUNCTION("""COMPUTED_VALUE"""),6.313888888888889)</f>
        <v>6.313888889</v>
      </c>
      <c r="J920" s="22">
        <f>IFERROR(__xludf.DUMMYFUNCTION("""COMPUTED_VALUE"""),77.0)</f>
        <v>77</v>
      </c>
      <c r="K920" s="22">
        <f>IFERROR(__xludf.DUMMYFUNCTION("""COMPUTED_VALUE"""),15.5)</f>
        <v>15.5</v>
      </c>
      <c r="L920" s="26" t="str">
        <f>IFERROR(__xludf.DUMMYFUNCTION("""COMPUTED_VALUE"""),"Platformer")</f>
        <v>Platformer</v>
      </c>
    </row>
    <row r="921">
      <c r="A921" s="12" t="str">
        <f>IFERROR(__xludf.DUMMYFUNCTION("""COMPUTED_VALUE"""),"Resident Evil 4")</f>
        <v>Resident Evil 4</v>
      </c>
      <c r="B921" s="13" t="str">
        <f>IFERROR(__xludf.DUMMYFUNCTION("""COMPUTED_VALUE"""),"Xbox")</f>
        <v>Xbox</v>
      </c>
      <c r="C921" s="14"/>
      <c r="D921" s="14" t="str">
        <f>IFERROR(__xludf.DUMMYFUNCTION("""COMPUTED_VALUE"""),"Removed")</f>
        <v>Removed</v>
      </c>
      <c r="E921" s="294">
        <f>IFERROR(__xludf.DUMMYFUNCTION("""COMPUTED_VALUE"""),43647.0)</f>
        <v>43647</v>
      </c>
      <c r="F921" s="15">
        <f>IFERROR(__xludf.DUMMYFUNCTION("""COMPUTED_VALUE"""),43831.0)</f>
        <v>43831</v>
      </c>
      <c r="G921" s="18">
        <f>IFERROR(__xludf.DUMMYFUNCTION("""COMPUTED_VALUE"""),6.0)</f>
        <v>6</v>
      </c>
      <c r="H921" s="131">
        <f>IFERROR(__xludf.DUMMYFUNCTION("""COMPUTED_VALUE"""),38363.0)</f>
        <v>38363</v>
      </c>
      <c r="I921" s="18">
        <f>IFERROR(__xludf.DUMMYFUNCTION("""COMPUTED_VALUE"""),14.472222222222221)</f>
        <v>14.47222222</v>
      </c>
      <c r="J921" s="22">
        <f>IFERROR(__xludf.DUMMYFUNCTION("""COMPUTED_VALUE"""),76.0)</f>
        <v>76</v>
      </c>
      <c r="K921" s="22">
        <f>IFERROR(__xludf.DUMMYFUNCTION("""COMPUTED_VALUE"""),16.0)</f>
        <v>16</v>
      </c>
      <c r="L921" s="26" t="str">
        <f>IFERROR(__xludf.DUMMYFUNCTION("""COMPUTED_VALUE"""),"Shooter")</f>
        <v>Shooter</v>
      </c>
    </row>
    <row r="922">
      <c r="A922" s="12" t="str">
        <f>IFERROR(__xludf.DUMMYFUNCTION("""COMPUTED_VALUE"""),"Just Cause 3")</f>
        <v>Just Cause 3</v>
      </c>
      <c r="B922" s="13" t="str">
        <f>IFERROR(__xludf.DUMMYFUNCTION("""COMPUTED_VALUE"""),"Xbox")</f>
        <v>Xbox</v>
      </c>
      <c r="C922" s="14"/>
      <c r="D922" s="14" t="str">
        <f>IFERROR(__xludf.DUMMYFUNCTION("""COMPUTED_VALUE"""),"Removed")</f>
        <v>Removed</v>
      </c>
      <c r="E922" s="294">
        <f>IFERROR(__xludf.DUMMYFUNCTION("""COMPUTED_VALUE"""),43466.0)</f>
        <v>43466</v>
      </c>
      <c r="F922" s="15">
        <f>IFERROR(__xludf.DUMMYFUNCTION("""COMPUTED_VALUE"""),43831.0)</f>
        <v>43831</v>
      </c>
      <c r="G922" s="18">
        <f>IFERROR(__xludf.DUMMYFUNCTION("""COMPUTED_VALUE"""),12.0)</f>
        <v>12</v>
      </c>
      <c r="H922" s="131">
        <f>IFERROR(__xludf.DUMMYFUNCTION("""COMPUTED_VALUE"""),42339.0)</f>
        <v>42339</v>
      </c>
      <c r="I922" s="18">
        <f>IFERROR(__xludf.DUMMYFUNCTION("""COMPUTED_VALUE"""),3.0833333333333335)</f>
        <v>3.083333333</v>
      </c>
      <c r="J922" s="22">
        <f>IFERROR(__xludf.DUMMYFUNCTION("""COMPUTED_VALUE"""),71.0)</f>
        <v>71</v>
      </c>
      <c r="K922" s="22">
        <f>IFERROR(__xludf.DUMMYFUNCTION("""COMPUTED_VALUE"""),17.5)</f>
        <v>17.5</v>
      </c>
      <c r="L922" s="26" t="str">
        <f>IFERROR(__xludf.DUMMYFUNCTION("""COMPUTED_VALUE"""),"Action")</f>
        <v>Action</v>
      </c>
    </row>
    <row r="923">
      <c r="A923" s="12" t="str">
        <f>IFERROR(__xludf.DUMMYFUNCTION("""COMPUTED_VALUE"""),"Middle-earth: Shadow of Mordor - Game of the Year Edition")</f>
        <v>Middle-earth: Shadow of Mordor - Game of the Year Edition</v>
      </c>
      <c r="B923" s="13" t="str">
        <f>IFERROR(__xludf.DUMMYFUNCTION("""COMPUTED_VALUE"""),"Xbox")</f>
        <v>Xbox</v>
      </c>
      <c r="C923" s="14"/>
      <c r="D923" s="14" t="str">
        <f>IFERROR(__xludf.DUMMYFUNCTION("""COMPUTED_VALUE"""),"Removed")</f>
        <v>Removed</v>
      </c>
      <c r="E923" s="294">
        <f>IFERROR(__xludf.DUMMYFUNCTION("""COMPUTED_VALUE"""),43466.0)</f>
        <v>43466</v>
      </c>
      <c r="F923" s="15">
        <f>IFERROR(__xludf.DUMMYFUNCTION("""COMPUTED_VALUE"""),43831.0)</f>
        <v>43831</v>
      </c>
      <c r="G923" s="18">
        <f>IFERROR(__xludf.DUMMYFUNCTION("""COMPUTED_VALUE"""),12.0)</f>
        <v>12</v>
      </c>
      <c r="H923" s="131">
        <f>IFERROR(__xludf.DUMMYFUNCTION("""COMPUTED_VALUE"""),41912.0)</f>
        <v>41912</v>
      </c>
      <c r="I923" s="18">
        <f>IFERROR(__xludf.DUMMYFUNCTION("""COMPUTED_VALUE"""),4.252777777777778)</f>
        <v>4.252777778</v>
      </c>
      <c r="J923" s="22">
        <f>IFERROR(__xludf.DUMMYFUNCTION("""COMPUTED_VALUE"""),87.0)</f>
        <v>87</v>
      </c>
      <c r="K923" s="22">
        <f>IFERROR(__xludf.DUMMYFUNCTION("""COMPUTED_VALUE"""),17.5)</f>
        <v>17.5</v>
      </c>
      <c r="L923" s="26" t="str">
        <f>IFERROR(__xludf.DUMMYFUNCTION("""COMPUTED_VALUE"""),"Action-Adventure")</f>
        <v>Action-Adventure</v>
      </c>
    </row>
    <row r="924">
      <c r="A924" s="12" t="str">
        <f>IFERROR(__xludf.DUMMYFUNCTION("""COMPUTED_VALUE"""),"Saints Row: The Third")</f>
        <v>Saints Row: The Third</v>
      </c>
      <c r="B924" s="13" t="str">
        <f>IFERROR(__xludf.DUMMYFUNCTION("""COMPUTED_VALUE"""),"Xbox")</f>
        <v>Xbox</v>
      </c>
      <c r="C924" s="14"/>
      <c r="D924" s="14" t="str">
        <f>IFERROR(__xludf.DUMMYFUNCTION("""COMPUTED_VALUE"""),"Removed")</f>
        <v>Removed</v>
      </c>
      <c r="E924" s="294">
        <f>IFERROR(__xludf.DUMMYFUNCTION("""COMPUTED_VALUE"""),43466.0)</f>
        <v>43466</v>
      </c>
      <c r="F924" s="15">
        <f>IFERROR(__xludf.DUMMYFUNCTION("""COMPUTED_VALUE"""),43831.0)</f>
        <v>43831</v>
      </c>
      <c r="G924" s="18">
        <f>IFERROR(__xludf.DUMMYFUNCTION("""COMPUTED_VALUE"""),12.0)</f>
        <v>12</v>
      </c>
      <c r="H924" s="131">
        <f>IFERROR(__xludf.DUMMYFUNCTION("""COMPUTED_VALUE"""),40862.0)</f>
        <v>40862</v>
      </c>
      <c r="I924" s="18">
        <f>IFERROR(__xludf.DUMMYFUNCTION("""COMPUTED_VALUE"""),7.127777777777778)</f>
        <v>7.127777778</v>
      </c>
      <c r="J924" s="22">
        <f>IFERROR(__xludf.DUMMYFUNCTION("""COMPUTED_VALUE"""),84.0)</f>
        <v>84</v>
      </c>
      <c r="K924" s="22">
        <f>IFERROR(__xludf.DUMMYFUNCTION("""COMPUTED_VALUE"""),15.0)</f>
        <v>15</v>
      </c>
      <c r="L924" s="26" t="str">
        <f>IFERROR(__xludf.DUMMYFUNCTION("""COMPUTED_VALUE"""),"Shooter")</f>
        <v>Shooter</v>
      </c>
    </row>
    <row r="925">
      <c r="A925" s="12" t="str">
        <f>IFERROR(__xludf.DUMMYFUNCTION("""COMPUTED_VALUE"""),"Headlander")</f>
        <v>Headlander</v>
      </c>
      <c r="B925" s="13" t="str">
        <f>IFERROR(__xludf.DUMMYFUNCTION("""COMPUTED_VALUE"""),"Xbox")</f>
        <v>Xbox</v>
      </c>
      <c r="C925" s="14"/>
      <c r="D925" s="14" t="str">
        <f>IFERROR(__xludf.DUMMYFUNCTION("""COMPUTED_VALUE"""),"Removed")</f>
        <v>Removed</v>
      </c>
      <c r="E925" s="294">
        <f>IFERROR(__xludf.DUMMYFUNCTION("""COMPUTED_VALUE"""),43497.0)</f>
        <v>43497</v>
      </c>
      <c r="F925" s="15">
        <f>IFERROR(__xludf.DUMMYFUNCTION("""COMPUTED_VALUE"""),43800.0)</f>
        <v>43800</v>
      </c>
      <c r="G925" s="18">
        <f>IFERROR(__xludf.DUMMYFUNCTION("""COMPUTED_VALUE"""),10.0)</f>
        <v>10</v>
      </c>
      <c r="H925" s="131">
        <f>IFERROR(__xludf.DUMMYFUNCTION("""COMPUTED_VALUE"""),42577.0)</f>
        <v>42577</v>
      </c>
      <c r="I925" s="18">
        <f>IFERROR(__xludf.DUMMYFUNCTION("""COMPUTED_VALUE"""),2.513888888888889)</f>
        <v>2.513888889</v>
      </c>
      <c r="J925" s="22">
        <f>IFERROR(__xludf.DUMMYFUNCTION("""COMPUTED_VALUE"""),78.0)</f>
        <v>78</v>
      </c>
      <c r="K925" s="22">
        <f>IFERROR(__xludf.DUMMYFUNCTION("""COMPUTED_VALUE"""),5.5)</f>
        <v>5.5</v>
      </c>
      <c r="L925" s="26" t="str">
        <f>IFERROR(__xludf.DUMMYFUNCTION("""COMPUTED_VALUE"""),"Action-Adventure")</f>
        <v>Action-Adventure</v>
      </c>
    </row>
    <row r="926">
      <c r="A926" s="12" t="str">
        <f>IFERROR(__xludf.DUMMYFUNCTION("""COMPUTED_VALUE"""),"Life is Strange")</f>
        <v>Life is Strange</v>
      </c>
      <c r="B926" s="13" t="str">
        <f>IFERROR(__xludf.DUMMYFUNCTION("""COMPUTED_VALUE"""),"Xbox")</f>
        <v>Xbox</v>
      </c>
      <c r="C926" s="14"/>
      <c r="D926" s="14" t="str">
        <f>IFERROR(__xludf.DUMMYFUNCTION("""COMPUTED_VALUE"""),"Removed")</f>
        <v>Removed</v>
      </c>
      <c r="E926" s="294">
        <f>IFERROR(__xludf.DUMMYFUNCTION("""COMPUTED_VALUE"""),43466.0)</f>
        <v>43466</v>
      </c>
      <c r="F926" s="15">
        <f>IFERROR(__xludf.DUMMYFUNCTION("""COMPUTED_VALUE"""),43800.0)</f>
        <v>43800</v>
      </c>
      <c r="G926" s="18">
        <f>IFERROR(__xludf.DUMMYFUNCTION("""COMPUTED_VALUE"""),11.0)</f>
        <v>11</v>
      </c>
      <c r="H926" s="131">
        <f>IFERROR(__xludf.DUMMYFUNCTION("""COMPUTED_VALUE"""),42034.0)</f>
        <v>42034</v>
      </c>
      <c r="I926" s="18">
        <f>IFERROR(__xludf.DUMMYFUNCTION("""COMPUTED_VALUE"""),3.9194444444444443)</f>
        <v>3.919444444</v>
      </c>
      <c r="J926" s="22">
        <f>IFERROR(__xludf.DUMMYFUNCTION("""COMPUTED_VALUE"""),85.0)</f>
        <v>85</v>
      </c>
      <c r="K926" s="22">
        <f>IFERROR(__xludf.DUMMYFUNCTION("""COMPUTED_VALUE"""),14.0)</f>
        <v>14</v>
      </c>
      <c r="L926" s="26" t="str">
        <f>IFERROR(__xludf.DUMMYFUNCTION("""COMPUTED_VALUE"""),"Adventure")</f>
        <v>Adventure</v>
      </c>
    </row>
    <row r="927">
      <c r="A927" s="12" t="str">
        <f>IFERROR(__xludf.DUMMYFUNCTION("""COMPUTED_VALUE"""),"Life is Strange: Before the Storm")</f>
        <v>Life is Strange: Before the Storm</v>
      </c>
      <c r="B927" s="13" t="str">
        <f>IFERROR(__xludf.DUMMYFUNCTION("""COMPUTED_VALUE"""),"Xbox")</f>
        <v>Xbox</v>
      </c>
      <c r="C927" s="14"/>
      <c r="D927" s="14" t="str">
        <f>IFERROR(__xludf.DUMMYFUNCTION("""COMPUTED_VALUE"""),"Removed")</f>
        <v>Removed</v>
      </c>
      <c r="E927" s="294">
        <f>IFERROR(__xludf.DUMMYFUNCTION("""COMPUTED_VALUE"""),43466.0)</f>
        <v>43466</v>
      </c>
      <c r="F927" s="15">
        <f>IFERROR(__xludf.DUMMYFUNCTION("""COMPUTED_VALUE"""),43800.0)</f>
        <v>43800</v>
      </c>
      <c r="G927" s="18">
        <f>IFERROR(__xludf.DUMMYFUNCTION("""COMPUTED_VALUE"""),11.0)</f>
        <v>11</v>
      </c>
      <c r="H927" s="131">
        <f>IFERROR(__xludf.DUMMYFUNCTION("""COMPUTED_VALUE"""),42978.0)</f>
        <v>42978</v>
      </c>
      <c r="I927" s="18">
        <f>IFERROR(__xludf.DUMMYFUNCTION("""COMPUTED_VALUE"""),1.336111111111111)</f>
        <v>1.336111111</v>
      </c>
      <c r="J927" s="22">
        <f>IFERROR(__xludf.DUMMYFUNCTION("""COMPUTED_VALUE"""),82.0)</f>
        <v>82</v>
      </c>
      <c r="K927" s="22">
        <f>IFERROR(__xludf.DUMMYFUNCTION("""COMPUTED_VALUE"""),10.0)</f>
        <v>10</v>
      </c>
      <c r="L927" s="26" t="str">
        <f>IFERROR(__xludf.DUMMYFUNCTION("""COMPUTED_VALUE"""),"Adventure")</f>
        <v>Adventure</v>
      </c>
    </row>
    <row r="928">
      <c r="A928" s="12" t="str">
        <f>IFERROR(__xludf.DUMMYFUNCTION("""COMPUTED_VALUE"""),"Pro Evolution Soccer 2019")</f>
        <v>Pro Evolution Soccer 2019</v>
      </c>
      <c r="B928" s="13" t="str">
        <f>IFERROR(__xludf.DUMMYFUNCTION("""COMPUTED_VALUE"""),"Xbox")</f>
        <v>Xbox</v>
      </c>
      <c r="C928" s="14"/>
      <c r="D928" s="14" t="str">
        <f>IFERROR(__xludf.DUMMYFUNCTION("""COMPUTED_VALUE"""),"Removed")</f>
        <v>Removed</v>
      </c>
      <c r="E928" s="294">
        <f>IFERROR(__xludf.DUMMYFUNCTION("""COMPUTED_VALUE"""),43448.0)</f>
        <v>43448</v>
      </c>
      <c r="F928" s="15">
        <f>IFERROR(__xludf.DUMMYFUNCTION("""COMPUTED_VALUE"""),43800.0)</f>
        <v>43800</v>
      </c>
      <c r="G928" s="18">
        <f>IFERROR(__xludf.DUMMYFUNCTION("""COMPUTED_VALUE"""),11.566666666666666)</f>
        <v>11.56666667</v>
      </c>
      <c r="H928" s="131">
        <f>IFERROR(__xludf.DUMMYFUNCTION("""COMPUTED_VALUE"""),43340.0)</f>
        <v>43340</v>
      </c>
      <c r="I928" s="18">
        <f>IFERROR(__xludf.DUMMYFUNCTION("""COMPUTED_VALUE"""),0.29444444444444445)</f>
        <v>0.2944444444</v>
      </c>
      <c r="J928" s="22">
        <f>IFERROR(__xludf.DUMMYFUNCTION("""COMPUTED_VALUE"""),82.0)</f>
        <v>82</v>
      </c>
      <c r="K928" s="22">
        <f>IFERROR(__xludf.DUMMYFUNCTION("""COMPUTED_VALUE"""),27.0)</f>
        <v>27</v>
      </c>
      <c r="L928" s="26" t="str">
        <f>IFERROR(__xludf.DUMMYFUNCTION("""COMPUTED_VALUE"""),"Sports")</f>
        <v>Sports</v>
      </c>
    </row>
    <row r="929">
      <c r="A929" s="12" t="str">
        <f>IFERROR(__xludf.DUMMYFUNCTION("""COMPUTED_VALUE"""),"Tecmo Bowl: Throwback")</f>
        <v>Tecmo Bowl: Throwback</v>
      </c>
      <c r="B929" s="13" t="str">
        <f>IFERROR(__xludf.DUMMYFUNCTION("""COMPUTED_VALUE"""),"Xbox")</f>
        <v>Xbox</v>
      </c>
      <c r="C929" s="14"/>
      <c r="D929" s="14" t="str">
        <f>IFERROR(__xludf.DUMMYFUNCTION("""COMPUTED_VALUE"""),"Removed")</f>
        <v>Removed</v>
      </c>
      <c r="E929" s="294">
        <f>IFERROR(__xludf.DUMMYFUNCTION("""COMPUTED_VALUE"""),43101.0)</f>
        <v>43101</v>
      </c>
      <c r="F929" s="15">
        <f>IFERROR(__xludf.DUMMYFUNCTION("""COMPUTED_VALUE"""),43800.0)</f>
        <v>43800</v>
      </c>
      <c r="G929" s="18">
        <f>IFERROR(__xludf.DUMMYFUNCTION("""COMPUTED_VALUE"""),23.0)</f>
        <v>23</v>
      </c>
      <c r="H929" s="131">
        <f>IFERROR(__xludf.DUMMYFUNCTION("""COMPUTED_VALUE"""),40296.0)</f>
        <v>40296</v>
      </c>
      <c r="I929" s="18">
        <f>IFERROR(__xludf.DUMMYFUNCTION("""COMPUTED_VALUE"""),7.675)</f>
        <v>7.675</v>
      </c>
      <c r="J929" s="22">
        <f>IFERROR(__xludf.DUMMYFUNCTION("""COMPUTED_VALUE"""),67.0)</f>
        <v>67</v>
      </c>
      <c r="K929" s="22">
        <f>IFERROR(__xludf.DUMMYFUNCTION("""COMPUTED_VALUE"""),6.0)</f>
        <v>6</v>
      </c>
      <c r="L929" s="26" t="str">
        <f>IFERROR(__xludf.DUMMYFUNCTION("""COMPUTED_VALUE"""),"Football")</f>
        <v>Football</v>
      </c>
    </row>
    <row r="930">
      <c r="A930" s="12" t="str">
        <f>IFERROR(__xludf.DUMMYFUNCTION("""COMPUTED_VALUE"""),"Robocraft Infinity")</f>
        <v>Robocraft Infinity</v>
      </c>
      <c r="B930" s="13" t="str">
        <f>IFERROR(__xludf.DUMMYFUNCTION("""COMPUTED_VALUE"""),"Xbox")</f>
        <v>Xbox</v>
      </c>
      <c r="C930" s="14"/>
      <c r="D930" s="14" t="str">
        <f>IFERROR(__xludf.DUMMYFUNCTION("""COMPUTED_VALUE"""),"Removed")</f>
        <v>Removed</v>
      </c>
      <c r="E930" s="294">
        <f>IFERROR(__xludf.DUMMYFUNCTION("""COMPUTED_VALUE"""),43201.0)</f>
        <v>43201</v>
      </c>
      <c r="F930" s="15">
        <f>IFERROR(__xludf.DUMMYFUNCTION("""COMPUTED_VALUE"""),43799.0)</f>
        <v>43799</v>
      </c>
      <c r="G930" s="18">
        <f>IFERROR(__xludf.DUMMYFUNCTION("""COMPUTED_VALUE"""),19.633333333333333)</f>
        <v>19.63333333</v>
      </c>
      <c r="H930" s="131">
        <f>IFERROR(__xludf.DUMMYFUNCTION("""COMPUTED_VALUE"""),43201.0)</f>
        <v>43201</v>
      </c>
      <c r="I930" s="18">
        <f>IFERROR(__xludf.DUMMYFUNCTION("""COMPUTED_VALUE"""),0.0)</f>
        <v>0</v>
      </c>
      <c r="J930" s="22">
        <f>IFERROR(__xludf.DUMMYFUNCTION("""COMPUTED_VALUE"""),55.0)</f>
        <v>55</v>
      </c>
      <c r="K930" s="22">
        <f>IFERROR(__xludf.DUMMYFUNCTION("""COMPUTED_VALUE"""),35.0)</f>
        <v>35</v>
      </c>
      <c r="L930" s="26" t="str">
        <f>IFERROR(__xludf.DUMMYFUNCTION("""COMPUTED_VALUE"""),"Shooter")</f>
        <v>Shooter</v>
      </c>
    </row>
    <row r="931">
      <c r="A931" s="12" t="str">
        <f>IFERROR(__xludf.DUMMYFUNCTION("""COMPUTED_VALUE"""),"Pony Island")</f>
        <v>Pony Island</v>
      </c>
      <c r="B931" s="13" t="str">
        <f>IFERROR(__xludf.DUMMYFUNCTION("""COMPUTED_VALUE"""),"PC")</f>
        <v>PC</v>
      </c>
      <c r="C931" s="14"/>
      <c r="D931" s="14" t="str">
        <f>IFERROR(__xludf.DUMMYFUNCTION("""COMPUTED_VALUE"""),"Removed")</f>
        <v>Removed</v>
      </c>
      <c r="E931" s="294">
        <f>IFERROR(__xludf.DUMMYFUNCTION("""COMPUTED_VALUE"""),43625.0)</f>
        <v>43625</v>
      </c>
      <c r="F931" s="15">
        <f>IFERROR(__xludf.DUMMYFUNCTION("""COMPUTED_VALUE"""),43784.0)</f>
        <v>43784</v>
      </c>
      <c r="G931" s="18">
        <f>IFERROR(__xludf.DUMMYFUNCTION("""COMPUTED_VALUE"""),5.2)</f>
        <v>5.2</v>
      </c>
      <c r="H931" s="131">
        <f>IFERROR(__xludf.DUMMYFUNCTION("""COMPUTED_VALUE"""),42373.0)</f>
        <v>42373</v>
      </c>
      <c r="I931" s="18">
        <f>IFERROR(__xludf.DUMMYFUNCTION("""COMPUTED_VALUE"""),3.4305555555555554)</f>
        <v>3.430555556</v>
      </c>
      <c r="J931" s="22">
        <f>IFERROR(__xludf.DUMMYFUNCTION("""COMPUTED_VALUE"""),86.0)</f>
        <v>86</v>
      </c>
      <c r="K931" s="22">
        <f>IFERROR(__xludf.DUMMYFUNCTION("""COMPUTED_VALUE"""),2.5)</f>
        <v>2.5</v>
      </c>
      <c r="L931" s="26" t="str">
        <f>IFERROR(__xludf.DUMMYFUNCTION("""COMPUTED_VALUE"""),"Action")</f>
        <v>Action</v>
      </c>
    </row>
    <row r="932">
      <c r="A932" s="12" t="str">
        <f>IFERROR(__xludf.DUMMYFUNCTION("""COMPUTED_VALUE"""),"Tyranny: Gold Edition")</f>
        <v>Tyranny: Gold Edition</v>
      </c>
      <c r="B932" s="13" t="str">
        <f>IFERROR(__xludf.DUMMYFUNCTION("""COMPUTED_VALUE"""),"PC")</f>
        <v>PC</v>
      </c>
      <c r="C932" s="14"/>
      <c r="D932" s="14" t="str">
        <f>IFERROR(__xludf.DUMMYFUNCTION("""COMPUTED_VALUE"""),"Removed")</f>
        <v>Removed</v>
      </c>
      <c r="E932" s="294">
        <f>IFERROR(__xludf.DUMMYFUNCTION("""COMPUTED_VALUE"""),43625.0)</f>
        <v>43625</v>
      </c>
      <c r="F932" s="15">
        <f>IFERROR(__xludf.DUMMYFUNCTION("""COMPUTED_VALUE"""),43784.0)</f>
        <v>43784</v>
      </c>
      <c r="G932" s="18">
        <f>IFERROR(__xludf.DUMMYFUNCTION("""COMPUTED_VALUE"""),5.2)</f>
        <v>5.2</v>
      </c>
      <c r="H932" s="131">
        <f>IFERROR(__xludf.DUMMYFUNCTION("""COMPUTED_VALUE"""),42684.0)</f>
        <v>42684</v>
      </c>
      <c r="I932" s="18">
        <f>IFERROR(__xludf.DUMMYFUNCTION("""COMPUTED_VALUE"""),2.5805555555555557)</f>
        <v>2.580555556</v>
      </c>
      <c r="J932" s="22">
        <f>IFERROR(__xludf.DUMMYFUNCTION("""COMPUTED_VALUE"""),80.0)</f>
        <v>80</v>
      </c>
      <c r="K932" s="22">
        <f>IFERROR(__xludf.DUMMYFUNCTION("""COMPUTED_VALUE"""),20.0)</f>
        <v>20</v>
      </c>
      <c r="L932" s="26" t="str">
        <f>IFERROR(__xludf.DUMMYFUNCTION("""COMPUTED_VALUE"""),"RPG")</f>
        <v>RPG</v>
      </c>
    </row>
    <row r="933">
      <c r="A933" s="12" t="str">
        <f>IFERROR(__xludf.DUMMYFUNCTION("""COMPUTED_VALUE"""),"Football Manager 2019")</f>
        <v>Football Manager 2019</v>
      </c>
      <c r="B933" s="13" t="str">
        <f>IFERROR(__xludf.DUMMYFUNCTION("""COMPUTED_VALUE"""),"PC")</f>
        <v>PC</v>
      </c>
      <c r="C933" s="14"/>
      <c r="D933" s="14" t="str">
        <f>IFERROR(__xludf.DUMMYFUNCTION("""COMPUTED_VALUE"""),"Removed")</f>
        <v>Removed</v>
      </c>
      <c r="E933" s="294">
        <f>IFERROR(__xludf.DUMMYFUNCTION("""COMPUTED_VALUE"""),43625.0)</f>
        <v>43625</v>
      </c>
      <c r="F933" s="15">
        <f>IFERROR(__xludf.DUMMYFUNCTION("""COMPUTED_VALUE"""),43770.0)</f>
        <v>43770</v>
      </c>
      <c r="G933" s="18">
        <f>IFERROR(__xludf.DUMMYFUNCTION("""COMPUTED_VALUE"""),4.733333333333333)</f>
        <v>4.733333333</v>
      </c>
      <c r="H933" s="131">
        <f>IFERROR(__xludf.DUMMYFUNCTION("""COMPUTED_VALUE"""),43440.0)</f>
        <v>43440</v>
      </c>
      <c r="I933" s="18">
        <f>IFERROR(__xludf.DUMMYFUNCTION("""COMPUTED_VALUE"""),0.5083333333333333)</f>
        <v>0.5083333333</v>
      </c>
      <c r="J933" s="22">
        <f>IFERROR(__xludf.DUMMYFUNCTION("""COMPUTED_VALUE"""),86.0)</f>
        <v>86</v>
      </c>
      <c r="K933" s="22">
        <f>IFERROR(__xludf.DUMMYFUNCTION("""COMPUTED_VALUE"""),142.0)</f>
        <v>142</v>
      </c>
      <c r="L933" s="26" t="str">
        <f>IFERROR(__xludf.DUMMYFUNCTION("""COMPUTED_VALUE"""),"Sports")</f>
        <v>Sports</v>
      </c>
    </row>
    <row r="934">
      <c r="A934" s="12" t="str">
        <f>IFERROR(__xludf.DUMMYFUNCTION("""COMPUTED_VALUE"""),"LEGO Batman 3: Beyond Gotham")</f>
        <v>LEGO Batman 3: Beyond Gotham</v>
      </c>
      <c r="B934" s="13" t="str">
        <f>IFERROR(__xludf.DUMMYFUNCTION("""COMPUTED_VALUE"""),"Xbox")</f>
        <v>Xbox</v>
      </c>
      <c r="C934" s="14"/>
      <c r="D934" s="14" t="str">
        <f>IFERROR(__xludf.DUMMYFUNCTION("""COMPUTED_VALUE"""),"Removed")</f>
        <v>Removed</v>
      </c>
      <c r="E934" s="294">
        <f>IFERROR(__xludf.DUMMYFUNCTION("""COMPUTED_VALUE"""),43586.0)</f>
        <v>43586</v>
      </c>
      <c r="F934" s="15">
        <f>IFERROR(__xludf.DUMMYFUNCTION("""COMPUTED_VALUE"""),43770.0)</f>
        <v>43770</v>
      </c>
      <c r="G934" s="18">
        <f>IFERROR(__xludf.DUMMYFUNCTION("""COMPUTED_VALUE"""),6.0)</f>
        <v>6</v>
      </c>
      <c r="H934" s="131">
        <f>IFERROR(__xludf.DUMMYFUNCTION("""COMPUTED_VALUE"""),41954.0)</f>
        <v>41954</v>
      </c>
      <c r="I934" s="18">
        <f>IFERROR(__xludf.DUMMYFUNCTION("""COMPUTED_VALUE"""),4.472222222222222)</f>
        <v>4.472222222</v>
      </c>
      <c r="J934" s="22">
        <f>IFERROR(__xludf.DUMMYFUNCTION("""COMPUTED_VALUE"""),74.0)</f>
        <v>74</v>
      </c>
      <c r="K934" s="22">
        <f>IFERROR(__xludf.DUMMYFUNCTION("""COMPUTED_VALUE"""),10.5)</f>
        <v>10.5</v>
      </c>
      <c r="L934" s="26" t="str">
        <f>IFERROR(__xludf.DUMMYFUNCTION("""COMPUTED_VALUE"""),"Platformer")</f>
        <v>Platformer</v>
      </c>
    </row>
    <row r="935">
      <c r="A935" s="12" t="str">
        <f>IFERROR(__xludf.DUMMYFUNCTION("""COMPUTED_VALUE"""),"The Surge")</f>
        <v>The Surge</v>
      </c>
      <c r="B935" s="13" t="str">
        <f>IFERROR(__xludf.DUMMYFUNCTION("""COMPUTED_VALUE"""),"Xbox")</f>
        <v>Xbox</v>
      </c>
      <c r="C935" s="14"/>
      <c r="D935" s="14" t="str">
        <f>IFERROR(__xludf.DUMMYFUNCTION("""COMPUTED_VALUE"""),"Removed")</f>
        <v>Removed</v>
      </c>
      <c r="E935" s="294">
        <f>IFERROR(__xludf.DUMMYFUNCTION("""COMPUTED_VALUE"""),43586.0)</f>
        <v>43586</v>
      </c>
      <c r="F935" s="15">
        <f>IFERROR(__xludf.DUMMYFUNCTION("""COMPUTED_VALUE"""),43770.0)</f>
        <v>43770</v>
      </c>
      <c r="G935" s="18">
        <f>IFERROR(__xludf.DUMMYFUNCTION("""COMPUTED_VALUE"""),6.0)</f>
        <v>6</v>
      </c>
      <c r="H935" s="131">
        <f>IFERROR(__xludf.DUMMYFUNCTION("""COMPUTED_VALUE"""),42871.0)</f>
        <v>42871</v>
      </c>
      <c r="I935" s="18">
        <f>IFERROR(__xludf.DUMMYFUNCTION("""COMPUTED_VALUE"""),1.9583333333333333)</f>
        <v>1.958333333</v>
      </c>
      <c r="J935" s="22">
        <f>IFERROR(__xludf.DUMMYFUNCTION("""COMPUTED_VALUE"""),74.0)</f>
        <v>74</v>
      </c>
      <c r="K935" s="22">
        <f>IFERROR(__xludf.DUMMYFUNCTION("""COMPUTED_VALUE"""),20.5)</f>
        <v>20.5</v>
      </c>
      <c r="L935" s="26" t="str">
        <f>IFERROR(__xludf.DUMMYFUNCTION("""COMPUTED_VALUE"""),"RPG")</f>
        <v>RPG</v>
      </c>
    </row>
    <row r="936">
      <c r="A936" s="12" t="str">
        <f>IFERROR(__xludf.DUMMYFUNCTION("""COMPUTED_VALUE"""),"Below")</f>
        <v>Below</v>
      </c>
      <c r="B936" s="13" t="str">
        <f>IFERROR(__xludf.DUMMYFUNCTION("""COMPUTED_VALUE"""),"Xbox")</f>
        <v>Xbox</v>
      </c>
      <c r="C936" s="14"/>
      <c r="D936" s="14" t="str">
        <f>IFERROR(__xludf.DUMMYFUNCTION("""COMPUTED_VALUE"""),"Removed")</f>
        <v>Removed</v>
      </c>
      <c r="E936" s="294">
        <f>IFERROR(__xludf.DUMMYFUNCTION("""COMPUTED_VALUE"""),43448.0)</f>
        <v>43448</v>
      </c>
      <c r="F936" s="15">
        <f>IFERROR(__xludf.DUMMYFUNCTION("""COMPUTED_VALUE"""),43770.0)</f>
        <v>43770</v>
      </c>
      <c r="G936" s="18">
        <f>IFERROR(__xludf.DUMMYFUNCTION("""COMPUTED_VALUE"""),10.566666666666666)</f>
        <v>10.56666667</v>
      </c>
      <c r="H936" s="131">
        <f>IFERROR(__xludf.DUMMYFUNCTION("""COMPUTED_VALUE"""),43448.0)</f>
        <v>43448</v>
      </c>
      <c r="I936" s="18">
        <f>IFERROR(__xludf.DUMMYFUNCTION("""COMPUTED_VALUE"""),0.0)</f>
        <v>0</v>
      </c>
      <c r="J936" s="22">
        <f>IFERROR(__xludf.DUMMYFUNCTION("""COMPUTED_VALUE"""),70.0)</f>
        <v>70</v>
      </c>
      <c r="K936" s="22">
        <f>IFERROR(__xludf.DUMMYFUNCTION("""COMPUTED_VALUE"""),19.0)</f>
        <v>19</v>
      </c>
      <c r="L936" s="26" t="str">
        <f>IFERROR(__xludf.DUMMYFUNCTION("""COMPUTED_VALUE"""),"Action-Adventure")</f>
        <v>Action-Adventure</v>
      </c>
    </row>
    <row r="937">
      <c r="A937" s="12" t="str">
        <f>IFERROR(__xludf.DUMMYFUNCTION("""COMPUTED_VALUE"""),"Strange Brigade")</f>
        <v>Strange Brigade</v>
      </c>
      <c r="B937" s="13" t="str">
        <f>IFERROR(__xludf.DUMMYFUNCTION("""COMPUTED_VALUE"""),"Xbox")</f>
        <v>Xbox</v>
      </c>
      <c r="C937" s="14"/>
      <c r="D937" s="14" t="str">
        <f>IFERROR(__xludf.DUMMYFUNCTION("""COMPUTED_VALUE"""),"Removed")</f>
        <v>Removed</v>
      </c>
      <c r="E937" s="294">
        <f>IFERROR(__xludf.DUMMYFUNCTION("""COMPUTED_VALUE"""),43435.0)</f>
        <v>43435</v>
      </c>
      <c r="F937" s="15">
        <f>IFERROR(__xludf.DUMMYFUNCTION("""COMPUTED_VALUE"""),43770.0)</f>
        <v>43770</v>
      </c>
      <c r="G937" s="18">
        <f>IFERROR(__xludf.DUMMYFUNCTION("""COMPUTED_VALUE"""),11.0)</f>
        <v>11</v>
      </c>
      <c r="H937" s="131">
        <f>IFERROR(__xludf.DUMMYFUNCTION("""COMPUTED_VALUE"""),43340.0)</f>
        <v>43340</v>
      </c>
      <c r="I937" s="18">
        <f>IFERROR(__xludf.DUMMYFUNCTION("""COMPUTED_VALUE"""),0.25833333333333336)</f>
        <v>0.2583333333</v>
      </c>
      <c r="J937" s="22">
        <f>IFERROR(__xludf.DUMMYFUNCTION("""COMPUTED_VALUE"""),75.0)</f>
        <v>75</v>
      </c>
      <c r="K937" s="22">
        <f>IFERROR(__xludf.DUMMYFUNCTION("""COMPUTED_VALUE"""),7.5)</f>
        <v>7.5</v>
      </c>
      <c r="L937" s="26" t="str">
        <f>IFERROR(__xludf.DUMMYFUNCTION("""COMPUTED_VALUE"""),"Shooter")</f>
        <v>Shooter</v>
      </c>
    </row>
    <row r="938">
      <c r="A938" s="12" t="str">
        <f>IFERROR(__xludf.DUMMYFUNCTION("""COMPUTED_VALUE"""),"Agents of Mayhem")</f>
        <v>Agents of Mayhem</v>
      </c>
      <c r="B938" s="13" t="str">
        <f>IFERROR(__xludf.DUMMYFUNCTION("""COMPUTED_VALUE"""),"Xbox")</f>
        <v>Xbox</v>
      </c>
      <c r="C938" s="14"/>
      <c r="D938" s="14" t="str">
        <f>IFERROR(__xludf.DUMMYFUNCTION("""COMPUTED_VALUE"""),"Removed")</f>
        <v>Removed</v>
      </c>
      <c r="E938" s="294">
        <f>IFERROR(__xludf.DUMMYFUNCTION("""COMPUTED_VALUE"""),43426.0)</f>
        <v>43426</v>
      </c>
      <c r="F938" s="15">
        <f>IFERROR(__xludf.DUMMYFUNCTION("""COMPUTED_VALUE"""),43770.0)</f>
        <v>43770</v>
      </c>
      <c r="G938" s="18">
        <f>IFERROR(__xludf.DUMMYFUNCTION("""COMPUTED_VALUE"""),11.3)</f>
        <v>11.3</v>
      </c>
      <c r="H938" s="131">
        <f>IFERROR(__xludf.DUMMYFUNCTION("""COMPUTED_VALUE"""),42962.0)</f>
        <v>42962</v>
      </c>
      <c r="I938" s="18">
        <f>IFERROR(__xludf.DUMMYFUNCTION("""COMPUTED_VALUE"""),1.2694444444444444)</f>
        <v>1.269444444</v>
      </c>
      <c r="J938" s="22">
        <f>IFERROR(__xludf.DUMMYFUNCTION("""COMPUTED_VALUE"""),73.0)</f>
        <v>73</v>
      </c>
      <c r="K938" s="22">
        <f>IFERROR(__xludf.DUMMYFUNCTION("""COMPUTED_VALUE"""),17.0)</f>
        <v>17</v>
      </c>
      <c r="L938" s="26" t="str">
        <f>IFERROR(__xludf.DUMMYFUNCTION("""COMPUTED_VALUE"""),"Action-Adventure")</f>
        <v>Action-Adventure</v>
      </c>
    </row>
    <row r="939">
      <c r="A939" s="12" t="str">
        <f>IFERROR(__xludf.DUMMYFUNCTION("""COMPUTED_VALUE"""),"MXGP3")</f>
        <v>MXGP3</v>
      </c>
      <c r="B939" s="13" t="str">
        <f>IFERROR(__xludf.DUMMYFUNCTION("""COMPUTED_VALUE"""),"Xbox")</f>
        <v>Xbox</v>
      </c>
      <c r="C939" s="14"/>
      <c r="D939" s="14" t="str">
        <f>IFERROR(__xludf.DUMMYFUNCTION("""COMPUTED_VALUE"""),"Removed")</f>
        <v>Removed</v>
      </c>
      <c r="E939" s="294">
        <f>IFERROR(__xludf.DUMMYFUNCTION("""COMPUTED_VALUE"""),43426.0)</f>
        <v>43426</v>
      </c>
      <c r="F939" s="15">
        <f>IFERROR(__xludf.DUMMYFUNCTION("""COMPUTED_VALUE"""),43770.0)</f>
        <v>43770</v>
      </c>
      <c r="G939" s="18">
        <f>IFERROR(__xludf.DUMMYFUNCTION("""COMPUTED_VALUE"""),11.3)</f>
        <v>11.3</v>
      </c>
      <c r="H939" s="131">
        <f>IFERROR(__xludf.DUMMYFUNCTION("""COMPUTED_VALUE"""),42885.0)</f>
        <v>42885</v>
      </c>
      <c r="I939" s="18">
        <f>IFERROR(__xludf.DUMMYFUNCTION("""COMPUTED_VALUE"""),1.4777777777777779)</f>
        <v>1.477777778</v>
      </c>
      <c r="J939" s="22">
        <f>IFERROR(__xludf.DUMMYFUNCTION("""COMPUTED_VALUE"""),78.0)</f>
        <v>78</v>
      </c>
      <c r="K939" s="22">
        <f>IFERROR(__xludf.DUMMYFUNCTION("""COMPUTED_VALUE"""),8.0)</f>
        <v>8</v>
      </c>
      <c r="L939" s="26" t="str">
        <f>IFERROR(__xludf.DUMMYFUNCTION("""COMPUTED_VALUE"""),"Racing")</f>
        <v>Racing</v>
      </c>
    </row>
    <row r="940">
      <c r="A940" s="12" t="str">
        <f>IFERROR(__xludf.DUMMYFUNCTION("""COMPUTED_VALUE"""),"Thomas Was Alone")</f>
        <v>Thomas Was Alone</v>
      </c>
      <c r="B940" s="13" t="str">
        <f>IFERROR(__xludf.DUMMYFUNCTION("""COMPUTED_VALUE"""),"Xbox")</f>
        <v>Xbox</v>
      </c>
      <c r="C940" s="14"/>
      <c r="D940" s="14" t="str">
        <f>IFERROR(__xludf.DUMMYFUNCTION("""COMPUTED_VALUE"""),"Removed")</f>
        <v>Removed</v>
      </c>
      <c r="E940" s="294">
        <f>IFERROR(__xludf.DUMMYFUNCTION("""COMPUTED_VALUE"""),43426.0)</f>
        <v>43426</v>
      </c>
      <c r="F940" s="15">
        <f>IFERROR(__xludf.DUMMYFUNCTION("""COMPUTED_VALUE"""),43770.0)</f>
        <v>43770</v>
      </c>
      <c r="G940" s="18">
        <f>IFERROR(__xludf.DUMMYFUNCTION("""COMPUTED_VALUE"""),11.3)</f>
        <v>11.3</v>
      </c>
      <c r="H940" s="131">
        <f>IFERROR(__xludf.DUMMYFUNCTION("""COMPUTED_VALUE"""),41090.0)</f>
        <v>41090</v>
      </c>
      <c r="I940" s="18">
        <f>IFERROR(__xludf.DUMMYFUNCTION("""COMPUTED_VALUE"""),6.394444444444445)</f>
        <v>6.394444444</v>
      </c>
      <c r="J940" s="22">
        <f>IFERROR(__xludf.DUMMYFUNCTION("""COMPUTED_VALUE"""),80.0)</f>
        <v>80</v>
      </c>
      <c r="K940" s="22">
        <f>IFERROR(__xludf.DUMMYFUNCTION("""COMPUTED_VALUE"""),3.5)</f>
        <v>3.5</v>
      </c>
      <c r="L940" s="26" t="str">
        <f>IFERROR(__xludf.DUMMYFUNCTION("""COMPUTED_VALUE"""),"Platformer")</f>
        <v>Platformer</v>
      </c>
    </row>
    <row r="941">
      <c r="A941" s="12" t="str">
        <f>IFERROR(__xludf.DUMMYFUNCTION("""COMPUTED_VALUE"""),"ABZÛ")</f>
        <v>ABZÛ</v>
      </c>
      <c r="B941" s="13" t="str">
        <f>IFERROR(__xludf.DUMMYFUNCTION("""COMPUTED_VALUE"""),"Xbox / PC")</f>
        <v>Xbox / PC</v>
      </c>
      <c r="C941" s="14"/>
      <c r="D941" s="14" t="str">
        <f>IFERROR(__xludf.DUMMYFUNCTION("""COMPUTED_VALUE"""),"Removed")</f>
        <v>Removed</v>
      </c>
      <c r="E941" s="294">
        <f>IFERROR(__xludf.DUMMYFUNCTION("""COMPUTED_VALUE"""),43282.0)</f>
        <v>43282</v>
      </c>
      <c r="F941" s="15">
        <f>IFERROR(__xludf.DUMMYFUNCTION("""COMPUTED_VALUE"""),43770.0)</f>
        <v>43770</v>
      </c>
      <c r="G941" s="18">
        <f>IFERROR(__xludf.DUMMYFUNCTION("""COMPUTED_VALUE"""),16.0)</f>
        <v>16</v>
      </c>
      <c r="H941" s="131">
        <f>IFERROR(__xludf.DUMMYFUNCTION("""COMPUTED_VALUE"""),42584.0)</f>
        <v>42584</v>
      </c>
      <c r="I941" s="18">
        <f>IFERROR(__xludf.DUMMYFUNCTION("""COMPUTED_VALUE"""),1.913888888888889)</f>
        <v>1.913888889</v>
      </c>
      <c r="J941" s="22">
        <f>IFERROR(__xludf.DUMMYFUNCTION("""COMPUTED_VALUE"""),83.0)</f>
        <v>83</v>
      </c>
      <c r="K941" s="22">
        <f>IFERROR(__xludf.DUMMYFUNCTION("""COMPUTED_VALUE"""),2.0)</f>
        <v>2</v>
      </c>
      <c r="L941" s="26" t="str">
        <f>IFERROR(__xludf.DUMMYFUNCTION("""COMPUTED_VALUE"""),"Adventure")</f>
        <v>Adventure</v>
      </c>
    </row>
    <row r="942">
      <c r="A942" s="12" t="str">
        <f>IFERROR(__xludf.DUMMYFUNCTION("""COMPUTED_VALUE"""),"Darksiders II: Deathinitive Edition")</f>
        <v>Darksiders II: Deathinitive Edition</v>
      </c>
      <c r="B942" s="13" t="str">
        <f>IFERROR(__xludf.DUMMYFUNCTION("""COMPUTED_VALUE"""),"Xbox")</f>
        <v>Xbox</v>
      </c>
      <c r="C942" s="14"/>
      <c r="D942" s="14" t="str">
        <f>IFERROR(__xludf.DUMMYFUNCTION("""COMPUTED_VALUE"""),"Removed")</f>
        <v>Removed</v>
      </c>
      <c r="E942" s="294">
        <f>IFERROR(__xludf.DUMMYFUNCTION("""COMPUTED_VALUE"""),43132.0)</f>
        <v>43132</v>
      </c>
      <c r="F942" s="15">
        <f>IFERROR(__xludf.DUMMYFUNCTION("""COMPUTED_VALUE"""),43770.0)</f>
        <v>43770</v>
      </c>
      <c r="G942" s="18">
        <f>IFERROR(__xludf.DUMMYFUNCTION("""COMPUTED_VALUE"""),21.0)</f>
        <v>21</v>
      </c>
      <c r="H942" s="131">
        <f>IFERROR(__xludf.DUMMYFUNCTION("""COMPUTED_VALUE"""),41135.0)</f>
        <v>41135</v>
      </c>
      <c r="I942" s="18">
        <f>IFERROR(__xludf.DUMMYFUNCTION("""COMPUTED_VALUE"""),5.463888888888889)</f>
        <v>5.463888889</v>
      </c>
      <c r="J942" s="22">
        <f>IFERROR(__xludf.DUMMYFUNCTION("""COMPUTED_VALUE"""),75.0)</f>
        <v>75</v>
      </c>
      <c r="K942" s="22">
        <f>IFERROR(__xludf.DUMMYFUNCTION("""COMPUTED_VALUE"""),20.0)</f>
        <v>20</v>
      </c>
      <c r="L942" s="26" t="str">
        <f>IFERROR(__xludf.DUMMYFUNCTION("""COMPUTED_VALUE"""),"RPG")</f>
        <v>RPG</v>
      </c>
    </row>
    <row r="943">
      <c r="A943" s="12" t="str">
        <f>IFERROR(__xludf.DUMMYFUNCTION("""COMPUTED_VALUE"""),"Darksiders: Warmastered Edition")</f>
        <v>Darksiders: Warmastered Edition</v>
      </c>
      <c r="B943" s="13" t="str">
        <f>IFERROR(__xludf.DUMMYFUNCTION("""COMPUTED_VALUE"""),"Xbox")</f>
        <v>Xbox</v>
      </c>
      <c r="C943" s="14"/>
      <c r="D943" s="14" t="str">
        <f>IFERROR(__xludf.DUMMYFUNCTION("""COMPUTED_VALUE"""),"Removed")</f>
        <v>Removed</v>
      </c>
      <c r="E943" s="294">
        <f>IFERROR(__xludf.DUMMYFUNCTION("""COMPUTED_VALUE"""),43070.0)</f>
        <v>43070</v>
      </c>
      <c r="F943" s="15">
        <f>IFERROR(__xludf.DUMMYFUNCTION("""COMPUTED_VALUE"""),43770.0)</f>
        <v>43770</v>
      </c>
      <c r="G943" s="18">
        <f>IFERROR(__xludf.DUMMYFUNCTION("""COMPUTED_VALUE"""),23.0)</f>
        <v>23</v>
      </c>
      <c r="H943" s="131">
        <f>IFERROR(__xludf.DUMMYFUNCTION("""COMPUTED_VALUE"""),40183.0)</f>
        <v>40183</v>
      </c>
      <c r="I943" s="18">
        <f>IFERROR(__xludf.DUMMYFUNCTION("""COMPUTED_VALUE"""),7.905555555555556)</f>
        <v>7.905555556</v>
      </c>
      <c r="J943" s="22">
        <f>IFERROR(__xludf.DUMMYFUNCTION("""COMPUTED_VALUE"""),80.0)</f>
        <v>80</v>
      </c>
      <c r="K943" s="22">
        <f>IFERROR(__xludf.DUMMYFUNCTION("""COMPUTED_VALUE"""),17.0)</f>
        <v>17</v>
      </c>
      <c r="L943" s="26" t="str">
        <f>IFERROR(__xludf.DUMMYFUNCTION("""COMPUTED_VALUE"""),"Action-Adventure")</f>
        <v>Action-Adventure</v>
      </c>
    </row>
    <row r="944">
      <c r="A944" s="12" t="str">
        <f>IFERROR(__xludf.DUMMYFUNCTION("""COMPUTED_VALUE"""),"GRID 2")</f>
        <v>GRID 2</v>
      </c>
      <c r="B944" s="13" t="str">
        <f>IFERROR(__xludf.DUMMYFUNCTION("""COMPUTED_VALUE"""),"Xbox")</f>
        <v>Xbox</v>
      </c>
      <c r="C944" s="14"/>
      <c r="D944" s="14" t="str">
        <f>IFERROR(__xludf.DUMMYFUNCTION("""COMPUTED_VALUE"""),"Removed")</f>
        <v>Removed</v>
      </c>
      <c r="E944" s="294">
        <f>IFERROR(__xludf.DUMMYFUNCTION("""COMPUTED_VALUE"""),42887.0)</f>
        <v>42887</v>
      </c>
      <c r="F944" s="15">
        <f>IFERROR(__xludf.DUMMYFUNCTION("""COMPUTED_VALUE"""),43770.0)</f>
        <v>43770</v>
      </c>
      <c r="G944" s="18">
        <f>IFERROR(__xludf.DUMMYFUNCTION("""COMPUTED_VALUE"""),29.0)</f>
        <v>29</v>
      </c>
      <c r="H944" s="131">
        <f>IFERROR(__xludf.DUMMYFUNCTION("""COMPUTED_VALUE"""),41421.0)</f>
        <v>41421</v>
      </c>
      <c r="I944" s="18">
        <f>IFERROR(__xludf.DUMMYFUNCTION("""COMPUTED_VALUE"""),4.011111111111111)</f>
        <v>4.011111111</v>
      </c>
      <c r="J944" s="22">
        <f>IFERROR(__xludf.DUMMYFUNCTION("""COMPUTED_VALUE"""),78.0)</f>
        <v>78</v>
      </c>
      <c r="K944" s="22">
        <f>IFERROR(__xludf.DUMMYFUNCTION("""COMPUTED_VALUE"""),17.5)</f>
        <v>17.5</v>
      </c>
      <c r="L944" s="26" t="str">
        <f>IFERROR(__xludf.DUMMYFUNCTION("""COMPUTED_VALUE"""),"Racing")</f>
        <v>Racing</v>
      </c>
    </row>
    <row r="945">
      <c r="A945" s="12" t="str">
        <f>IFERROR(__xludf.DUMMYFUNCTION("""COMPUTED_VALUE"""),"Resident Evil 5")</f>
        <v>Resident Evil 5</v>
      </c>
      <c r="B945" s="13" t="str">
        <f>IFERROR(__xludf.DUMMYFUNCTION("""COMPUTED_VALUE"""),"Xbox")</f>
        <v>Xbox</v>
      </c>
      <c r="C945" s="14"/>
      <c r="D945" s="14" t="str">
        <f>IFERROR(__xludf.DUMMYFUNCTION("""COMPUTED_VALUE"""),"Removed")</f>
        <v>Removed</v>
      </c>
      <c r="E945" s="294">
        <f>IFERROR(__xludf.DUMMYFUNCTION("""COMPUTED_VALUE"""),43580.0)</f>
        <v>43580</v>
      </c>
      <c r="F945" s="15">
        <f>IFERROR(__xludf.DUMMYFUNCTION("""COMPUTED_VALUE"""),43739.0)</f>
        <v>43739</v>
      </c>
      <c r="G945" s="18">
        <f>IFERROR(__xludf.DUMMYFUNCTION("""COMPUTED_VALUE"""),5.2)</f>
        <v>5.2</v>
      </c>
      <c r="H945" s="131">
        <f>IFERROR(__xludf.DUMMYFUNCTION("""COMPUTED_VALUE"""),39877.0)</f>
        <v>39877</v>
      </c>
      <c r="I945" s="18">
        <f>IFERROR(__xludf.DUMMYFUNCTION("""COMPUTED_VALUE"""),10.13888888888889)</f>
        <v>10.13888889</v>
      </c>
      <c r="J945" s="22">
        <f>IFERROR(__xludf.DUMMYFUNCTION("""COMPUTED_VALUE"""),75.0)</f>
        <v>75</v>
      </c>
      <c r="K945" s="22">
        <f>IFERROR(__xludf.DUMMYFUNCTION("""COMPUTED_VALUE"""),12.0)</f>
        <v>12</v>
      </c>
      <c r="L945" s="26" t="str">
        <f>IFERROR(__xludf.DUMMYFUNCTION("""COMPUTED_VALUE"""),"Shooter")</f>
        <v>Shooter</v>
      </c>
    </row>
    <row r="946">
      <c r="A946" s="12" t="str">
        <f>IFERROR(__xludf.DUMMYFUNCTION("""COMPUTED_VALUE"""),"Dead Island: Riptide - Definitive Edition")</f>
        <v>Dead Island: Riptide - Definitive Edition</v>
      </c>
      <c r="B946" s="13" t="str">
        <f>IFERROR(__xludf.DUMMYFUNCTION("""COMPUTED_VALUE"""),"Xbox")</f>
        <v>Xbox</v>
      </c>
      <c r="C946" s="14"/>
      <c r="D946" s="14" t="str">
        <f>IFERROR(__xludf.DUMMYFUNCTION("""COMPUTED_VALUE"""),"Removed")</f>
        <v>Removed</v>
      </c>
      <c r="E946" s="294">
        <f>IFERROR(__xludf.DUMMYFUNCTION("""COMPUTED_VALUE"""),43374.0)</f>
        <v>43374</v>
      </c>
      <c r="F946" s="15">
        <f>IFERROR(__xludf.DUMMYFUNCTION("""COMPUTED_VALUE"""),43739.0)</f>
        <v>43739</v>
      </c>
      <c r="G946" s="18">
        <f>IFERROR(__xludf.DUMMYFUNCTION("""COMPUTED_VALUE"""),12.0)</f>
        <v>12</v>
      </c>
      <c r="H946" s="131">
        <f>IFERROR(__xludf.DUMMYFUNCTION("""COMPUTED_VALUE"""),42521.0)</f>
        <v>42521</v>
      </c>
      <c r="I946" s="18">
        <f>IFERROR(__xludf.DUMMYFUNCTION("""COMPUTED_VALUE"""),2.3361111111111112)</f>
        <v>2.336111111</v>
      </c>
      <c r="J946" s="22">
        <f>IFERROR(__xludf.DUMMYFUNCTION("""COMPUTED_VALUE"""),57.0)</f>
        <v>57</v>
      </c>
      <c r="K946" s="22">
        <f>IFERROR(__xludf.DUMMYFUNCTION("""COMPUTED_VALUE"""),10.5)</f>
        <v>10.5</v>
      </c>
      <c r="L946" s="26" t="str">
        <f>IFERROR(__xludf.DUMMYFUNCTION("""COMPUTED_VALUE"""),"Shooter")</f>
        <v>Shooter</v>
      </c>
    </row>
    <row r="947">
      <c r="A947" s="12" t="str">
        <f>IFERROR(__xludf.DUMMYFUNCTION("""COMPUTED_VALUE"""),"&gt;observer_")</f>
        <v>&gt;observer_</v>
      </c>
      <c r="B947" s="13" t="str">
        <f>IFERROR(__xludf.DUMMYFUNCTION("""COMPUTED_VALUE"""),"Xbox")</f>
        <v>Xbox</v>
      </c>
      <c r="C947" s="14"/>
      <c r="D947" s="14" t="str">
        <f>IFERROR(__xludf.DUMMYFUNCTION("""COMPUTED_VALUE"""),"Removed")</f>
        <v>Removed</v>
      </c>
      <c r="E947" s="294">
        <f>IFERROR(__xludf.DUMMYFUNCTION("""COMPUTED_VALUE"""),43343.0)</f>
        <v>43343</v>
      </c>
      <c r="F947" s="15">
        <f>IFERROR(__xludf.DUMMYFUNCTION("""COMPUTED_VALUE"""),43739.0)</f>
        <v>43739</v>
      </c>
      <c r="G947" s="18">
        <f>IFERROR(__xludf.DUMMYFUNCTION("""COMPUTED_VALUE"""),13.033333333333331)</f>
        <v>13.03333333</v>
      </c>
      <c r="H947" s="131">
        <f>IFERROR(__xludf.DUMMYFUNCTION("""COMPUTED_VALUE"""),42962.0)</f>
        <v>42962</v>
      </c>
      <c r="I947" s="18">
        <f>IFERROR(__xludf.DUMMYFUNCTION("""COMPUTED_VALUE"""),1.0416666666666667)</f>
        <v>1.041666667</v>
      </c>
      <c r="J947" s="22">
        <f>IFERROR(__xludf.DUMMYFUNCTION("""COMPUTED_VALUE"""),86.0)</f>
        <v>86</v>
      </c>
      <c r="K947" s="22">
        <f>IFERROR(__xludf.DUMMYFUNCTION("""COMPUTED_VALUE"""),7.0)</f>
        <v>7</v>
      </c>
      <c r="L947" s="26" t="str">
        <f>IFERROR(__xludf.DUMMYFUNCTION("""COMPUTED_VALUE"""),"Adventure")</f>
        <v>Adventure</v>
      </c>
    </row>
    <row r="948">
      <c r="A948" s="12" t="str">
        <f>IFERROR(__xludf.DUMMYFUNCTION("""COMPUTED_VALUE"""),"LEGO Batman 2: DC Super Heroes")</f>
        <v>LEGO Batman 2: DC Super Heroes</v>
      </c>
      <c r="B948" s="13" t="str">
        <f>IFERROR(__xludf.DUMMYFUNCTION("""COMPUTED_VALUE"""),"Xbox")</f>
        <v>Xbox</v>
      </c>
      <c r="C948" s="14"/>
      <c r="D948" s="14" t="str">
        <f>IFERROR(__xludf.DUMMYFUNCTION("""COMPUTED_VALUE"""),"Removed")</f>
        <v>Removed</v>
      </c>
      <c r="E948" s="294">
        <f>IFERROR(__xludf.DUMMYFUNCTION("""COMPUTED_VALUE"""),43525.0)</f>
        <v>43525</v>
      </c>
      <c r="F948" s="15">
        <f>IFERROR(__xludf.DUMMYFUNCTION("""COMPUTED_VALUE"""),43709.0)</f>
        <v>43709</v>
      </c>
      <c r="G948" s="18">
        <f>IFERROR(__xludf.DUMMYFUNCTION("""COMPUTED_VALUE"""),6.0)</f>
        <v>6</v>
      </c>
      <c r="H948" s="131">
        <f>IFERROR(__xludf.DUMMYFUNCTION("""COMPUTED_VALUE"""),41079.0)</f>
        <v>41079</v>
      </c>
      <c r="I948" s="18">
        <f>IFERROR(__xludf.DUMMYFUNCTION("""COMPUTED_VALUE"""),6.7)</f>
        <v>6.7</v>
      </c>
      <c r="J948" s="22">
        <f>IFERROR(__xludf.DUMMYFUNCTION("""COMPUTED_VALUE"""),79.0)</f>
        <v>79</v>
      </c>
      <c r="K948" s="22">
        <f>IFERROR(__xludf.DUMMYFUNCTION("""COMPUTED_VALUE"""),9.0)</f>
        <v>9</v>
      </c>
      <c r="L948" s="26" t="str">
        <f>IFERROR(__xludf.DUMMYFUNCTION("""COMPUTED_VALUE"""),"Action-Adventure")</f>
        <v>Action-Adventure</v>
      </c>
    </row>
    <row r="949">
      <c r="A949" s="12" t="str">
        <f>IFERROR(__xludf.DUMMYFUNCTION("""COMPUTED_VALUE"""),"LEGO Indiana Jones: The Original Adventures")</f>
        <v>LEGO Indiana Jones: The Original Adventures</v>
      </c>
      <c r="B949" s="13" t="str">
        <f>IFERROR(__xludf.DUMMYFUNCTION("""COMPUTED_VALUE"""),"Xbox")</f>
        <v>Xbox</v>
      </c>
      <c r="C949" s="14"/>
      <c r="D949" s="14" t="str">
        <f>IFERROR(__xludf.DUMMYFUNCTION("""COMPUTED_VALUE"""),"Removed")</f>
        <v>Removed</v>
      </c>
      <c r="E949" s="294">
        <f>IFERROR(__xludf.DUMMYFUNCTION("""COMPUTED_VALUE"""),43374.0)</f>
        <v>43374</v>
      </c>
      <c r="F949" s="15">
        <f>IFERROR(__xludf.DUMMYFUNCTION("""COMPUTED_VALUE"""),43709.0)</f>
        <v>43709</v>
      </c>
      <c r="G949" s="18">
        <f>IFERROR(__xludf.DUMMYFUNCTION("""COMPUTED_VALUE"""),11.0)</f>
        <v>11</v>
      </c>
      <c r="H949" s="131">
        <f>IFERROR(__xludf.DUMMYFUNCTION("""COMPUTED_VALUE"""),39602.0)</f>
        <v>39602</v>
      </c>
      <c r="I949" s="18">
        <f>IFERROR(__xludf.DUMMYFUNCTION("""COMPUTED_VALUE"""),10.327777777777778)</f>
        <v>10.32777778</v>
      </c>
      <c r="J949" s="22">
        <f>IFERROR(__xludf.DUMMYFUNCTION("""COMPUTED_VALUE"""),77.0)</f>
        <v>77</v>
      </c>
      <c r="K949" s="22">
        <f>IFERROR(__xludf.DUMMYFUNCTION("""COMPUTED_VALUE"""),10.0)</f>
        <v>10</v>
      </c>
      <c r="L949" s="26" t="str">
        <f>IFERROR(__xludf.DUMMYFUNCTION("""COMPUTED_VALUE"""),"Action-Adventure")</f>
        <v>Action-Adventure</v>
      </c>
    </row>
    <row r="950">
      <c r="A950" s="12" t="str">
        <f>IFERROR(__xludf.DUMMYFUNCTION("""COMPUTED_VALUE"""),"Split/Second")</f>
        <v>Split/Second</v>
      </c>
      <c r="B950" s="13" t="str">
        <f>IFERROR(__xludf.DUMMYFUNCTION("""COMPUTED_VALUE"""),"Xbox")</f>
        <v>Xbox</v>
      </c>
      <c r="C950" s="14"/>
      <c r="D950" s="14" t="str">
        <f>IFERROR(__xludf.DUMMYFUNCTION("""COMPUTED_VALUE"""),"Removed")</f>
        <v>Removed</v>
      </c>
      <c r="E950" s="294">
        <f>IFERROR(__xludf.DUMMYFUNCTION("""COMPUTED_VALUE"""),43374.0)</f>
        <v>43374</v>
      </c>
      <c r="F950" s="15">
        <f>IFERROR(__xludf.DUMMYFUNCTION("""COMPUTED_VALUE"""),43709.0)</f>
        <v>43709</v>
      </c>
      <c r="G950" s="18">
        <f>IFERROR(__xludf.DUMMYFUNCTION("""COMPUTED_VALUE"""),11.0)</f>
        <v>11</v>
      </c>
      <c r="H950" s="131">
        <f>IFERROR(__xludf.DUMMYFUNCTION("""COMPUTED_VALUE"""),40316.0)</f>
        <v>40316</v>
      </c>
      <c r="I950" s="18">
        <f>IFERROR(__xludf.DUMMYFUNCTION("""COMPUTED_VALUE"""),8.369444444444444)</f>
        <v>8.369444444</v>
      </c>
      <c r="J950" s="22">
        <f>IFERROR(__xludf.DUMMYFUNCTION("""COMPUTED_VALUE"""),82.0)</f>
        <v>82</v>
      </c>
      <c r="K950" s="22">
        <f>IFERROR(__xludf.DUMMYFUNCTION("""COMPUTED_VALUE"""),9.5)</f>
        <v>9.5</v>
      </c>
      <c r="L950" s="26" t="str">
        <f>IFERROR(__xludf.DUMMYFUNCTION("""COMPUTED_VALUE"""),"Racing")</f>
        <v>Racing</v>
      </c>
    </row>
    <row r="951">
      <c r="A951" s="12" t="str">
        <f>IFERROR(__xludf.DUMMYFUNCTION("""COMPUTED_VALUE"""),"Onrush")</f>
        <v>Onrush</v>
      </c>
      <c r="B951" s="13" t="str">
        <f>IFERROR(__xludf.DUMMYFUNCTION("""COMPUTED_VALUE"""),"Xbox")</f>
        <v>Xbox</v>
      </c>
      <c r="C951" s="14"/>
      <c r="D951" s="14" t="str">
        <f>IFERROR(__xludf.DUMMYFUNCTION("""COMPUTED_VALUE"""),"Removed")</f>
        <v>Removed</v>
      </c>
      <c r="E951" s="294">
        <f>IFERROR(__xludf.DUMMYFUNCTION("""COMPUTED_VALUE"""),43344.0)</f>
        <v>43344</v>
      </c>
      <c r="F951" s="15">
        <f>IFERROR(__xludf.DUMMYFUNCTION("""COMPUTED_VALUE"""),43709.0)</f>
        <v>43709</v>
      </c>
      <c r="G951" s="18">
        <f>IFERROR(__xludf.DUMMYFUNCTION("""COMPUTED_VALUE"""),12.0)</f>
        <v>12</v>
      </c>
      <c r="H951" s="131">
        <f>IFERROR(__xludf.DUMMYFUNCTION("""COMPUTED_VALUE"""),43256.0)</f>
        <v>43256</v>
      </c>
      <c r="I951" s="18">
        <f>IFERROR(__xludf.DUMMYFUNCTION("""COMPUTED_VALUE"""),0.2388888888888889)</f>
        <v>0.2388888889</v>
      </c>
      <c r="J951" s="22">
        <f>IFERROR(__xludf.DUMMYFUNCTION("""COMPUTED_VALUE"""),77.0)</f>
        <v>77</v>
      </c>
      <c r="K951" s="22">
        <f>IFERROR(__xludf.DUMMYFUNCTION("""COMPUTED_VALUE"""),12.0)</f>
        <v>12</v>
      </c>
      <c r="L951" s="26" t="str">
        <f>IFERROR(__xludf.DUMMYFUNCTION("""COMPUTED_VALUE"""),"Racing")</f>
        <v>Racing</v>
      </c>
    </row>
    <row r="952">
      <c r="A952" s="12" t="str">
        <f>IFERROR(__xludf.DUMMYFUNCTION("""COMPUTED_VALUE"""),"Ninja Gaiden Black")</f>
        <v>Ninja Gaiden Black</v>
      </c>
      <c r="B952" s="13" t="str">
        <f>IFERROR(__xludf.DUMMYFUNCTION("""COMPUTED_VALUE"""),"Xbox")</f>
        <v>Xbox</v>
      </c>
      <c r="C952" s="14"/>
      <c r="D952" s="14" t="str">
        <f>IFERROR(__xludf.DUMMYFUNCTION("""COMPUTED_VALUE"""),"Removed")</f>
        <v>Removed</v>
      </c>
      <c r="E952" s="294">
        <f>IFERROR(__xludf.DUMMYFUNCTION("""COMPUTED_VALUE"""),43040.0)</f>
        <v>43040</v>
      </c>
      <c r="F952" s="15">
        <f>IFERROR(__xludf.DUMMYFUNCTION("""COMPUTED_VALUE"""),43709.0)</f>
        <v>43709</v>
      </c>
      <c r="G952" s="18">
        <f>IFERROR(__xludf.DUMMYFUNCTION("""COMPUTED_VALUE"""),22.0)</f>
        <v>22</v>
      </c>
      <c r="H952" s="131">
        <f>IFERROR(__xludf.DUMMYFUNCTION("""COMPUTED_VALUE"""),38615.0)</f>
        <v>38615</v>
      </c>
      <c r="I952" s="18">
        <f>IFERROR(__xludf.DUMMYFUNCTION("""COMPUTED_VALUE"""),12.113888888888889)</f>
        <v>12.11388889</v>
      </c>
      <c r="J952" s="22">
        <f>IFERROR(__xludf.DUMMYFUNCTION("""COMPUTED_VALUE"""),94.0)</f>
        <v>94</v>
      </c>
      <c r="K952" s="22">
        <f>IFERROR(__xludf.DUMMYFUNCTION("""COMPUTED_VALUE"""),16.0)</f>
        <v>16</v>
      </c>
      <c r="L952" s="26" t="str">
        <f>IFERROR(__xludf.DUMMYFUNCTION("""COMPUTED_VALUE"""),"Action-Adventure")</f>
        <v>Action-Adventure</v>
      </c>
    </row>
    <row r="953">
      <c r="A953" s="12" t="str">
        <f>IFERROR(__xludf.DUMMYFUNCTION("""COMPUTED_VALUE"""),"Super Street Fighter IV: Arcade Edition")</f>
        <v>Super Street Fighter IV: Arcade Edition</v>
      </c>
      <c r="B953" s="13" t="str">
        <f>IFERROR(__xludf.DUMMYFUNCTION("""COMPUTED_VALUE"""),"Xbox")</f>
        <v>Xbox</v>
      </c>
      <c r="C953" s="14"/>
      <c r="D953" s="14" t="str">
        <f>IFERROR(__xludf.DUMMYFUNCTION("""COMPUTED_VALUE"""),"Removed")</f>
        <v>Removed</v>
      </c>
      <c r="E953" s="294">
        <f>IFERROR(__xludf.DUMMYFUNCTION("""COMPUTED_VALUE"""),43009.0)</f>
        <v>43009</v>
      </c>
      <c r="F953" s="15">
        <f>IFERROR(__xludf.DUMMYFUNCTION("""COMPUTED_VALUE"""),43709.0)</f>
        <v>43709</v>
      </c>
      <c r="G953" s="18">
        <f>IFERROR(__xludf.DUMMYFUNCTION("""COMPUTED_VALUE"""),23.0)</f>
        <v>23</v>
      </c>
      <c r="H953" s="131">
        <f>IFERROR(__xludf.DUMMYFUNCTION("""COMPUTED_VALUE"""),40235.0)</f>
        <v>40235</v>
      </c>
      <c r="I953" s="18">
        <f>IFERROR(__xludf.DUMMYFUNCTION("""COMPUTED_VALUE"""),7.597222222222222)</f>
        <v>7.597222222</v>
      </c>
      <c r="J953" s="22">
        <f>IFERROR(__xludf.DUMMYFUNCTION("""COMPUTED_VALUE"""),78.0)</f>
        <v>78</v>
      </c>
      <c r="K953" s="22">
        <f>IFERROR(__xludf.DUMMYFUNCTION("""COMPUTED_VALUE"""),3.0)</f>
        <v>3</v>
      </c>
      <c r="L953" s="26" t="str">
        <f>IFERROR(__xludf.DUMMYFUNCTION("""COMPUTED_VALUE"""),"Fighting")</f>
        <v>Fighting</v>
      </c>
    </row>
    <row r="954">
      <c r="A954" s="12" t="str">
        <f>IFERROR(__xludf.DUMMYFUNCTION("""COMPUTED_VALUE"""),"'Splosion Man")</f>
        <v>'Splosion Man</v>
      </c>
      <c r="B954" s="13" t="str">
        <f>IFERROR(__xludf.DUMMYFUNCTION("""COMPUTED_VALUE"""),"Xbox")</f>
        <v>Xbox</v>
      </c>
      <c r="C954" s="14"/>
      <c r="D954" s="14" t="str">
        <f>IFERROR(__xludf.DUMMYFUNCTION("""COMPUTED_VALUE"""),"Removed")</f>
        <v>Removed</v>
      </c>
      <c r="E954" s="294">
        <f>IFERROR(__xludf.DUMMYFUNCTION("""COMPUTED_VALUE"""),42887.0)</f>
        <v>42887</v>
      </c>
      <c r="F954" s="15">
        <f>IFERROR(__xludf.DUMMYFUNCTION("""COMPUTED_VALUE"""),43709.0)</f>
        <v>43709</v>
      </c>
      <c r="G954" s="18">
        <f>IFERROR(__xludf.DUMMYFUNCTION("""COMPUTED_VALUE"""),27.0)</f>
        <v>27</v>
      </c>
      <c r="H954" s="131">
        <f>IFERROR(__xludf.DUMMYFUNCTION("""COMPUTED_VALUE"""),40016.0)</f>
        <v>40016</v>
      </c>
      <c r="I954" s="18">
        <f>IFERROR(__xludf.DUMMYFUNCTION("""COMPUTED_VALUE"""),7.858333333333333)</f>
        <v>7.858333333</v>
      </c>
      <c r="J954" s="22">
        <f>IFERROR(__xludf.DUMMYFUNCTION("""COMPUTED_VALUE"""),84.0)</f>
        <v>84</v>
      </c>
      <c r="K954" s="22">
        <f>IFERROR(__xludf.DUMMYFUNCTION("""COMPUTED_VALUE"""),8.0)</f>
        <v>8</v>
      </c>
      <c r="L954" s="26" t="str">
        <f>IFERROR(__xludf.DUMMYFUNCTION("""COMPUTED_VALUE"""),"Platformer")</f>
        <v>Platformer</v>
      </c>
    </row>
    <row r="955">
      <c r="A955" s="12" t="str">
        <f>IFERROR(__xludf.DUMMYFUNCTION("""COMPUTED_VALUE"""),"The Maw")</f>
        <v>The Maw</v>
      </c>
      <c r="B955" s="13" t="str">
        <f>IFERROR(__xludf.DUMMYFUNCTION("""COMPUTED_VALUE"""),"Xbox")</f>
        <v>Xbox</v>
      </c>
      <c r="C955" s="14"/>
      <c r="D955" s="14" t="str">
        <f>IFERROR(__xludf.DUMMYFUNCTION("""COMPUTED_VALUE"""),"Removed")</f>
        <v>Removed</v>
      </c>
      <c r="E955" s="294">
        <f>IFERROR(__xludf.DUMMYFUNCTION("""COMPUTED_VALUE"""),42887.0)</f>
        <v>42887</v>
      </c>
      <c r="F955" s="15">
        <f>IFERROR(__xludf.DUMMYFUNCTION("""COMPUTED_VALUE"""),43709.0)</f>
        <v>43709</v>
      </c>
      <c r="G955" s="18">
        <f>IFERROR(__xludf.DUMMYFUNCTION("""COMPUTED_VALUE"""),27.0)</f>
        <v>27</v>
      </c>
      <c r="H955" s="131">
        <f>IFERROR(__xludf.DUMMYFUNCTION("""COMPUTED_VALUE"""),39834.0)</f>
        <v>39834</v>
      </c>
      <c r="I955" s="18">
        <f>IFERROR(__xludf.DUMMYFUNCTION("""COMPUTED_VALUE"""),8.36111111111111)</f>
        <v>8.361111111</v>
      </c>
      <c r="J955" s="22">
        <f>IFERROR(__xludf.DUMMYFUNCTION("""COMPUTED_VALUE"""),75.0)</f>
        <v>75</v>
      </c>
      <c r="K955" s="22">
        <f>IFERROR(__xludf.DUMMYFUNCTION("""COMPUTED_VALUE"""),3.0)</f>
        <v>3</v>
      </c>
      <c r="L955" s="26" t="str">
        <f>IFERROR(__xludf.DUMMYFUNCTION("""COMPUTED_VALUE"""),"Platformer")</f>
        <v>Platformer</v>
      </c>
    </row>
    <row r="956">
      <c r="A956" s="12" t="str">
        <f>IFERROR(__xludf.DUMMYFUNCTION("""COMPUTED_VALUE"""),"InnerSpace")</f>
        <v>InnerSpace</v>
      </c>
      <c r="B956" s="13" t="str">
        <f>IFERROR(__xludf.DUMMYFUNCTION("""COMPUTED_VALUE"""),"Xbox")</f>
        <v>Xbox</v>
      </c>
      <c r="C956" s="14"/>
      <c r="D956" s="14" t="str">
        <f>IFERROR(__xludf.DUMMYFUNCTION("""COMPUTED_VALUE"""),"Removed")</f>
        <v>Removed</v>
      </c>
      <c r="E956" s="294">
        <f>IFERROR(__xludf.DUMMYFUNCTION("""COMPUTED_VALUE"""),43344.0)</f>
        <v>43344</v>
      </c>
      <c r="F956" s="15">
        <f>IFERROR(__xludf.DUMMYFUNCTION("""COMPUTED_VALUE"""),43678.0)</f>
        <v>43678</v>
      </c>
      <c r="G956" s="18">
        <f>IFERROR(__xludf.DUMMYFUNCTION("""COMPUTED_VALUE"""),11.0)</f>
        <v>11</v>
      </c>
      <c r="H956" s="131">
        <f>IFERROR(__xludf.DUMMYFUNCTION("""COMPUTED_VALUE"""),43116.0)</f>
        <v>43116</v>
      </c>
      <c r="I956" s="18">
        <f>IFERROR(__xludf.DUMMYFUNCTION("""COMPUTED_VALUE"""),0.625)</f>
        <v>0.625</v>
      </c>
      <c r="J956" s="22">
        <f>IFERROR(__xludf.DUMMYFUNCTION("""COMPUTED_VALUE"""),64.0)</f>
        <v>64</v>
      </c>
      <c r="K956" s="22">
        <f>IFERROR(__xludf.DUMMYFUNCTION("""COMPUTED_VALUE"""),4.5)</f>
        <v>4.5</v>
      </c>
      <c r="L956" s="26" t="str">
        <f>IFERROR(__xludf.DUMMYFUNCTION("""COMPUTED_VALUE"""),"Flight")</f>
        <v>Flight</v>
      </c>
    </row>
    <row r="957">
      <c r="A957" s="12" t="str">
        <f>IFERROR(__xludf.DUMMYFUNCTION("""COMPUTED_VALUE"""),"Manual Samuel")</f>
        <v>Manual Samuel</v>
      </c>
      <c r="B957" s="13" t="str">
        <f>IFERROR(__xludf.DUMMYFUNCTION("""COMPUTED_VALUE"""),"Xbox")</f>
        <v>Xbox</v>
      </c>
      <c r="C957" s="14"/>
      <c r="D957" s="14" t="str">
        <f>IFERROR(__xludf.DUMMYFUNCTION("""COMPUTED_VALUE"""),"Removed")</f>
        <v>Removed</v>
      </c>
      <c r="E957" s="294">
        <f>IFERROR(__xludf.DUMMYFUNCTION("""COMPUTED_VALUE"""),43344.0)</f>
        <v>43344</v>
      </c>
      <c r="F957" s="15">
        <f>IFERROR(__xludf.DUMMYFUNCTION("""COMPUTED_VALUE"""),43678.0)</f>
        <v>43678</v>
      </c>
      <c r="G957" s="18">
        <f>IFERROR(__xludf.DUMMYFUNCTION("""COMPUTED_VALUE"""),11.0)</f>
        <v>11</v>
      </c>
      <c r="H957" s="131">
        <f>IFERROR(__xludf.DUMMYFUNCTION("""COMPUTED_VALUE"""),42654.0)</f>
        <v>42654</v>
      </c>
      <c r="I957" s="18">
        <f>IFERROR(__xludf.DUMMYFUNCTION("""COMPUTED_VALUE"""),1.8888888888888888)</f>
        <v>1.888888889</v>
      </c>
      <c r="J957" s="22">
        <f>IFERROR(__xludf.DUMMYFUNCTION("""COMPUTED_VALUE"""),66.0)</f>
        <v>66</v>
      </c>
      <c r="K957" s="22">
        <f>IFERROR(__xludf.DUMMYFUNCTION("""COMPUTED_VALUE"""),2.0)</f>
        <v>2</v>
      </c>
      <c r="L957" s="26" t="str">
        <f>IFERROR(__xludf.DUMMYFUNCTION("""COMPUTED_VALUE"""),"Adventure")</f>
        <v>Adventure</v>
      </c>
    </row>
    <row r="958">
      <c r="A958" s="12" t="str">
        <f>IFERROR(__xludf.DUMMYFUNCTION("""COMPUTED_VALUE"""),"Sky Force: Reloaded")</f>
        <v>Sky Force: Reloaded</v>
      </c>
      <c r="B958" s="13" t="str">
        <f>IFERROR(__xludf.DUMMYFUNCTION("""COMPUTED_VALUE"""),"Xbox")</f>
        <v>Xbox</v>
      </c>
      <c r="C958" s="14"/>
      <c r="D958" s="14" t="str">
        <f>IFERROR(__xludf.DUMMYFUNCTION("""COMPUTED_VALUE"""),"Removed")</f>
        <v>Removed</v>
      </c>
      <c r="E958" s="294">
        <f>IFERROR(__xludf.DUMMYFUNCTION("""COMPUTED_VALUE"""),43344.0)</f>
        <v>43344</v>
      </c>
      <c r="F958" s="15">
        <f>IFERROR(__xludf.DUMMYFUNCTION("""COMPUTED_VALUE"""),43678.0)</f>
        <v>43678</v>
      </c>
      <c r="G958" s="18">
        <f>IFERROR(__xludf.DUMMYFUNCTION("""COMPUTED_VALUE"""),11.0)</f>
        <v>11</v>
      </c>
      <c r="H958" s="131">
        <f>IFERROR(__xludf.DUMMYFUNCTION("""COMPUTED_VALUE"""),43132.0)</f>
        <v>43132</v>
      </c>
      <c r="I958" s="18">
        <f>IFERROR(__xludf.DUMMYFUNCTION("""COMPUTED_VALUE"""),0.5833333333333334)</f>
        <v>0.5833333333</v>
      </c>
      <c r="J958" s="22">
        <f>IFERROR(__xludf.DUMMYFUNCTION("""COMPUTED_VALUE"""),86.0)</f>
        <v>86</v>
      </c>
      <c r="K958" s="22">
        <f>IFERROR(__xludf.DUMMYFUNCTION("""COMPUTED_VALUE"""),16.0)</f>
        <v>16</v>
      </c>
      <c r="L958" s="26" t="str">
        <f>IFERROR(__xludf.DUMMYFUNCTION("""COMPUTED_VALUE"""),"Shoot 'Em Up")</f>
        <v>Shoot 'Em Up</v>
      </c>
    </row>
    <row r="959">
      <c r="A959" s="12" t="str">
        <f>IFERROR(__xludf.DUMMYFUNCTION("""COMPUTED_VALUE"""),"Graveyard Keeper")</f>
        <v>Graveyard Keeper</v>
      </c>
      <c r="B959" s="13" t="str">
        <f>IFERROR(__xludf.DUMMYFUNCTION("""COMPUTED_VALUE"""),"Xbox")</f>
        <v>Xbox</v>
      </c>
      <c r="C959" s="14"/>
      <c r="D959" s="14" t="str">
        <f>IFERROR(__xludf.DUMMYFUNCTION("""COMPUTED_VALUE"""),"Removed")</f>
        <v>Removed</v>
      </c>
      <c r="E959" s="294">
        <f>IFERROR(__xludf.DUMMYFUNCTION("""COMPUTED_VALUE"""),43327.0)</f>
        <v>43327</v>
      </c>
      <c r="F959" s="15">
        <f>IFERROR(__xludf.DUMMYFUNCTION("""COMPUTED_VALUE"""),43678.0)</f>
        <v>43678</v>
      </c>
      <c r="G959" s="18">
        <f>IFERROR(__xludf.DUMMYFUNCTION("""COMPUTED_VALUE"""),11.533333333333333)</f>
        <v>11.53333333</v>
      </c>
      <c r="H959" s="131">
        <f>IFERROR(__xludf.DUMMYFUNCTION("""COMPUTED_VALUE"""),43327.0)</f>
        <v>43327</v>
      </c>
      <c r="I959" s="18">
        <f>IFERROR(__xludf.DUMMYFUNCTION("""COMPUTED_VALUE"""),0.0)</f>
        <v>0</v>
      </c>
      <c r="J959" s="22">
        <f>IFERROR(__xludf.DUMMYFUNCTION("""COMPUTED_VALUE"""),70.0)</f>
        <v>70</v>
      </c>
      <c r="K959" s="22">
        <f>IFERROR(__xludf.DUMMYFUNCTION("""COMPUTED_VALUE"""),45.5)</f>
        <v>45.5</v>
      </c>
      <c r="L959" s="26" t="str">
        <f>IFERROR(__xludf.DUMMYFUNCTION("""COMPUTED_VALUE"""),"RPG")</f>
        <v>RPG</v>
      </c>
    </row>
    <row r="960">
      <c r="A960" s="12" t="str">
        <f>IFERROR(__xludf.DUMMYFUNCTION("""COMPUTED_VALUE"""),"Alien Hominid HD")</f>
        <v>Alien Hominid HD</v>
      </c>
      <c r="B960" s="13" t="str">
        <f>IFERROR(__xludf.DUMMYFUNCTION("""COMPUTED_VALUE"""),"Xbox")</f>
        <v>Xbox</v>
      </c>
      <c r="C960" s="14"/>
      <c r="D960" s="14" t="str">
        <f>IFERROR(__xludf.DUMMYFUNCTION("""COMPUTED_VALUE"""),"Removed")</f>
        <v>Removed</v>
      </c>
      <c r="E960" s="294">
        <f>IFERROR(__xludf.DUMMYFUNCTION("""COMPUTED_VALUE"""),43252.0)</f>
        <v>43252</v>
      </c>
      <c r="F960" s="15">
        <f>IFERROR(__xludf.DUMMYFUNCTION("""COMPUTED_VALUE"""),43678.0)</f>
        <v>43678</v>
      </c>
      <c r="G960" s="18">
        <f>IFERROR(__xludf.DUMMYFUNCTION("""COMPUTED_VALUE"""),14.0)</f>
        <v>14</v>
      </c>
      <c r="H960" s="131">
        <f>IFERROR(__xludf.DUMMYFUNCTION("""COMPUTED_VALUE"""),38309.0)</f>
        <v>38309</v>
      </c>
      <c r="I960" s="18">
        <f>IFERROR(__xludf.DUMMYFUNCTION("""COMPUTED_VALUE"""),13.536111111111111)</f>
        <v>13.53611111</v>
      </c>
      <c r="J960" s="22">
        <f>IFERROR(__xludf.DUMMYFUNCTION("""COMPUTED_VALUE"""),79.0)</f>
        <v>79</v>
      </c>
      <c r="K960" s="22">
        <f>IFERROR(__xludf.DUMMYFUNCTION("""COMPUTED_VALUE"""),5.0)</f>
        <v>5</v>
      </c>
      <c r="L960" s="26" t="str">
        <f>IFERROR(__xludf.DUMMYFUNCTION("""COMPUTED_VALUE"""),"Shooter")</f>
        <v>Shooter</v>
      </c>
    </row>
    <row r="961">
      <c r="A961" s="12" t="str">
        <f>IFERROR(__xludf.DUMMYFUNCTION("""COMPUTED_VALUE"""),"BattleBlock Theater")</f>
        <v>BattleBlock Theater</v>
      </c>
      <c r="B961" s="13" t="str">
        <f>IFERROR(__xludf.DUMMYFUNCTION("""COMPUTED_VALUE"""),"Xbox")</f>
        <v>Xbox</v>
      </c>
      <c r="C961" s="14"/>
      <c r="D961" s="14" t="str">
        <f>IFERROR(__xludf.DUMMYFUNCTION("""COMPUTED_VALUE"""),"Removed")</f>
        <v>Removed</v>
      </c>
      <c r="E961" s="294">
        <f>IFERROR(__xludf.DUMMYFUNCTION("""COMPUTED_VALUE"""),43252.0)</f>
        <v>43252</v>
      </c>
      <c r="F961" s="15">
        <f>IFERROR(__xludf.DUMMYFUNCTION("""COMPUTED_VALUE"""),43678.0)</f>
        <v>43678</v>
      </c>
      <c r="G961" s="18">
        <f>IFERROR(__xludf.DUMMYFUNCTION("""COMPUTED_VALUE"""),14.0)</f>
        <v>14</v>
      </c>
      <c r="H961" s="131">
        <f>IFERROR(__xludf.DUMMYFUNCTION("""COMPUTED_VALUE"""),41367.0)</f>
        <v>41367</v>
      </c>
      <c r="I961" s="18">
        <f>IFERROR(__xludf.DUMMYFUNCTION("""COMPUTED_VALUE"""),5.161111111111111)</f>
        <v>5.161111111</v>
      </c>
      <c r="J961" s="22">
        <f>IFERROR(__xludf.DUMMYFUNCTION("""COMPUTED_VALUE"""),85.0)</f>
        <v>85</v>
      </c>
      <c r="K961" s="22">
        <f>IFERROR(__xludf.DUMMYFUNCTION("""COMPUTED_VALUE"""),10.0)</f>
        <v>10</v>
      </c>
      <c r="L961" s="26" t="str">
        <f>IFERROR(__xludf.DUMMYFUNCTION("""COMPUTED_VALUE"""),"Platformer")</f>
        <v>Platformer</v>
      </c>
    </row>
    <row r="962">
      <c r="A962" s="12" t="str">
        <f>IFERROR(__xludf.DUMMYFUNCTION("""COMPUTED_VALUE"""),"Garou: Mark of the Wolves")</f>
        <v>Garou: Mark of the Wolves</v>
      </c>
      <c r="B962" s="13" t="str">
        <f>IFERROR(__xludf.DUMMYFUNCTION("""COMPUTED_VALUE"""),"Xbox")</f>
        <v>Xbox</v>
      </c>
      <c r="C962" s="14"/>
      <c r="D962" s="14" t="str">
        <f>IFERROR(__xludf.DUMMYFUNCTION("""COMPUTED_VALUE"""),"Removed")</f>
        <v>Removed</v>
      </c>
      <c r="E962" s="294">
        <f>IFERROR(__xludf.DUMMYFUNCTION("""COMPUTED_VALUE"""),42979.0)</f>
        <v>42979</v>
      </c>
      <c r="F962" s="15">
        <f>IFERROR(__xludf.DUMMYFUNCTION("""COMPUTED_VALUE"""),43678.0)</f>
        <v>43678</v>
      </c>
      <c r="G962" s="18">
        <f>IFERROR(__xludf.DUMMYFUNCTION("""COMPUTED_VALUE"""),23.0)</f>
        <v>23</v>
      </c>
      <c r="H962" s="131">
        <f>IFERROR(__xludf.DUMMYFUNCTION("""COMPUTED_VALUE"""),36490.0)</f>
        <v>36490</v>
      </c>
      <c r="I962" s="18">
        <f>IFERROR(__xludf.DUMMYFUNCTION("""COMPUTED_VALUE"""),17.76388888888889)</f>
        <v>17.76388889</v>
      </c>
      <c r="J962" s="22">
        <f>IFERROR(__xludf.DUMMYFUNCTION("""COMPUTED_VALUE"""),77.0)</f>
        <v>77</v>
      </c>
      <c r="K962" s="22">
        <f>IFERROR(__xludf.DUMMYFUNCTION("""COMPUTED_VALUE"""),1.5)</f>
        <v>1.5</v>
      </c>
      <c r="L962" s="26" t="str">
        <f>IFERROR(__xludf.DUMMYFUNCTION("""COMPUTED_VALUE"""),"Fighting")</f>
        <v>Fighting</v>
      </c>
    </row>
    <row r="963">
      <c r="A963" s="12" t="str">
        <f>IFERROR(__xludf.DUMMYFUNCTION("""COMPUTED_VALUE"""),"A Kingdom for Keflings")</f>
        <v>A Kingdom for Keflings</v>
      </c>
      <c r="B963" s="13" t="str">
        <f>IFERROR(__xludf.DUMMYFUNCTION("""COMPUTED_VALUE"""),"Xbox")</f>
        <v>Xbox</v>
      </c>
      <c r="C963" s="14"/>
      <c r="D963" s="14" t="str">
        <f>IFERROR(__xludf.DUMMYFUNCTION("""COMPUTED_VALUE"""),"Removed")</f>
        <v>Removed</v>
      </c>
      <c r="E963" s="294">
        <f>IFERROR(__xludf.DUMMYFUNCTION("""COMPUTED_VALUE"""),42887.0)</f>
        <v>42887</v>
      </c>
      <c r="F963" s="15">
        <f>IFERROR(__xludf.DUMMYFUNCTION("""COMPUTED_VALUE"""),43678.0)</f>
        <v>43678</v>
      </c>
      <c r="G963" s="18">
        <f>IFERROR(__xludf.DUMMYFUNCTION("""COMPUTED_VALUE"""),26.0)</f>
        <v>26</v>
      </c>
      <c r="H963" s="131">
        <f>IFERROR(__xludf.DUMMYFUNCTION("""COMPUTED_VALUE"""),39771.0)</f>
        <v>39771</v>
      </c>
      <c r="I963" s="18">
        <f>IFERROR(__xludf.DUMMYFUNCTION("""COMPUTED_VALUE"""),8.533333333333333)</f>
        <v>8.533333333</v>
      </c>
      <c r="J963" s="22">
        <f>IFERROR(__xludf.DUMMYFUNCTION("""COMPUTED_VALUE"""),78.0)</f>
        <v>78</v>
      </c>
      <c r="K963" s="22">
        <f>IFERROR(__xludf.DUMMYFUNCTION("""COMPUTED_VALUE"""),6.0)</f>
        <v>6</v>
      </c>
      <c r="L963" s="26" t="str">
        <f>IFERROR(__xludf.DUMMYFUNCTION("""COMPUTED_VALUE"""),"Strategy")</f>
        <v>Strategy</v>
      </c>
    </row>
    <row r="964">
      <c r="A964" s="12" t="str">
        <f>IFERROR(__xludf.DUMMYFUNCTION("""COMPUTED_VALUE"""),"A World of Keflings")</f>
        <v>A World of Keflings</v>
      </c>
      <c r="B964" s="13" t="str">
        <f>IFERROR(__xludf.DUMMYFUNCTION("""COMPUTED_VALUE"""),"Xbox")</f>
        <v>Xbox</v>
      </c>
      <c r="C964" s="14"/>
      <c r="D964" s="14" t="str">
        <f>IFERROR(__xludf.DUMMYFUNCTION("""COMPUTED_VALUE"""),"Removed")</f>
        <v>Removed</v>
      </c>
      <c r="E964" s="294">
        <f>IFERROR(__xludf.DUMMYFUNCTION("""COMPUTED_VALUE"""),42887.0)</f>
        <v>42887</v>
      </c>
      <c r="F964" s="15">
        <f>IFERROR(__xludf.DUMMYFUNCTION("""COMPUTED_VALUE"""),43678.0)</f>
        <v>43678</v>
      </c>
      <c r="G964" s="18">
        <f>IFERROR(__xludf.DUMMYFUNCTION("""COMPUTED_VALUE"""),26.0)</f>
        <v>26</v>
      </c>
      <c r="H964" s="131">
        <f>IFERROR(__xludf.DUMMYFUNCTION("""COMPUTED_VALUE"""),40534.0)</f>
        <v>40534</v>
      </c>
      <c r="I964" s="18">
        <f>IFERROR(__xludf.DUMMYFUNCTION("""COMPUTED_VALUE"""),6.441666666666666)</f>
        <v>6.441666667</v>
      </c>
      <c r="J964" s="22">
        <f>IFERROR(__xludf.DUMMYFUNCTION("""COMPUTED_VALUE"""),77.0)</f>
        <v>77</v>
      </c>
      <c r="K964" s="22">
        <f>IFERROR(__xludf.DUMMYFUNCTION("""COMPUTED_VALUE"""),7.0)</f>
        <v>7</v>
      </c>
      <c r="L964" s="26" t="str">
        <f>IFERROR(__xludf.DUMMYFUNCTION("""COMPUTED_VALUE"""),"Simulation")</f>
        <v>Simulation</v>
      </c>
    </row>
    <row r="965">
      <c r="A965" s="12" t="str">
        <f>IFERROR(__xludf.DUMMYFUNCTION("""COMPUTED_VALUE"""),"CastleStorm")</f>
        <v>CastleStorm</v>
      </c>
      <c r="B965" s="13" t="str">
        <f>IFERROR(__xludf.DUMMYFUNCTION("""COMPUTED_VALUE"""),"Xbox")</f>
        <v>Xbox</v>
      </c>
      <c r="C965" s="14"/>
      <c r="D965" s="14" t="str">
        <f>IFERROR(__xludf.DUMMYFUNCTION("""COMPUTED_VALUE"""),"Removed")</f>
        <v>Removed</v>
      </c>
      <c r="E965" s="294">
        <f>IFERROR(__xludf.DUMMYFUNCTION("""COMPUTED_VALUE"""),42887.0)</f>
        <v>42887</v>
      </c>
      <c r="F965" s="15">
        <f>IFERROR(__xludf.DUMMYFUNCTION("""COMPUTED_VALUE"""),43678.0)</f>
        <v>43678</v>
      </c>
      <c r="G965" s="18">
        <f>IFERROR(__xludf.DUMMYFUNCTION("""COMPUTED_VALUE"""),26.0)</f>
        <v>26</v>
      </c>
      <c r="H965" s="131">
        <f>IFERROR(__xludf.DUMMYFUNCTION("""COMPUTED_VALUE"""),41423.0)</f>
        <v>41423</v>
      </c>
      <c r="I965" s="18">
        <f>IFERROR(__xludf.DUMMYFUNCTION("""COMPUTED_VALUE"""),4.0055555555555555)</f>
        <v>4.005555556</v>
      </c>
      <c r="J965" s="22">
        <f>IFERROR(__xludf.DUMMYFUNCTION("""COMPUTED_VALUE"""),79.0)</f>
        <v>79</v>
      </c>
      <c r="K965" s="22">
        <f>IFERROR(__xludf.DUMMYFUNCTION("""COMPUTED_VALUE"""),7.0)</f>
        <v>7</v>
      </c>
      <c r="L965" s="26" t="str">
        <f>IFERROR(__xludf.DUMMYFUNCTION("""COMPUTED_VALUE"""),"Strategy")</f>
        <v>Strategy</v>
      </c>
    </row>
    <row r="966">
      <c r="A966" s="12" t="str">
        <f>IFERROR(__xludf.DUMMYFUNCTION("""COMPUTED_VALUE"""),"Joe Danger 2: The Movie")</f>
        <v>Joe Danger 2: The Movie</v>
      </c>
      <c r="B966" s="13" t="str">
        <f>IFERROR(__xludf.DUMMYFUNCTION("""COMPUTED_VALUE"""),"Xbox")</f>
        <v>Xbox</v>
      </c>
      <c r="C966" s="14"/>
      <c r="D966" s="14" t="str">
        <f>IFERROR(__xludf.DUMMYFUNCTION("""COMPUTED_VALUE"""),"Removed")</f>
        <v>Removed</v>
      </c>
      <c r="E966" s="294">
        <f>IFERROR(__xludf.DUMMYFUNCTION("""COMPUTED_VALUE"""),42887.0)</f>
        <v>42887</v>
      </c>
      <c r="F966" s="15">
        <f>IFERROR(__xludf.DUMMYFUNCTION("""COMPUTED_VALUE"""),43678.0)</f>
        <v>43678</v>
      </c>
      <c r="G966" s="18">
        <f>IFERROR(__xludf.DUMMYFUNCTION("""COMPUTED_VALUE"""),26.0)</f>
        <v>26</v>
      </c>
      <c r="H966" s="131">
        <f>IFERROR(__xludf.DUMMYFUNCTION("""COMPUTED_VALUE"""),41191.0)</f>
        <v>41191</v>
      </c>
      <c r="I966" s="18">
        <f>IFERROR(__xludf.DUMMYFUNCTION("""COMPUTED_VALUE"""),4.644444444444445)</f>
        <v>4.644444444</v>
      </c>
      <c r="J966" s="22">
        <f>IFERROR(__xludf.DUMMYFUNCTION("""COMPUTED_VALUE"""),82.0)</f>
        <v>82</v>
      </c>
      <c r="K966" s="22">
        <f>IFERROR(__xludf.DUMMYFUNCTION("""COMPUTED_VALUE"""),2.0)</f>
        <v>2</v>
      </c>
      <c r="L966" s="26" t="str">
        <f>IFERROR(__xludf.DUMMYFUNCTION("""COMPUTED_VALUE"""),"Platformer")</f>
        <v>Platformer</v>
      </c>
    </row>
    <row r="967">
      <c r="A967" s="12" t="str">
        <f>IFERROR(__xludf.DUMMYFUNCTION("""COMPUTED_VALUE"""),"Joe Danger: Special Edition")</f>
        <v>Joe Danger: Special Edition</v>
      </c>
      <c r="B967" s="13" t="str">
        <f>IFERROR(__xludf.DUMMYFUNCTION("""COMPUTED_VALUE"""),"Xbox")</f>
        <v>Xbox</v>
      </c>
      <c r="C967" s="14"/>
      <c r="D967" s="14" t="str">
        <f>IFERROR(__xludf.DUMMYFUNCTION("""COMPUTED_VALUE"""),"Removed")</f>
        <v>Removed</v>
      </c>
      <c r="E967" s="294">
        <f>IFERROR(__xludf.DUMMYFUNCTION("""COMPUTED_VALUE"""),42887.0)</f>
        <v>42887</v>
      </c>
      <c r="F967" s="15">
        <f>IFERROR(__xludf.DUMMYFUNCTION("""COMPUTED_VALUE"""),43678.0)</f>
        <v>43678</v>
      </c>
      <c r="G967" s="18">
        <f>IFERROR(__xludf.DUMMYFUNCTION("""COMPUTED_VALUE"""),26.0)</f>
        <v>26</v>
      </c>
      <c r="H967" s="131">
        <f>IFERROR(__xludf.DUMMYFUNCTION("""COMPUTED_VALUE"""),40337.0)</f>
        <v>40337</v>
      </c>
      <c r="I967" s="18">
        <f>IFERROR(__xludf.DUMMYFUNCTION("""COMPUTED_VALUE"""),6.980555555555555)</f>
        <v>6.980555556</v>
      </c>
      <c r="J967" s="22">
        <f>IFERROR(__xludf.DUMMYFUNCTION("""COMPUTED_VALUE"""),88.0)</f>
        <v>88</v>
      </c>
      <c r="K967" s="22">
        <f>IFERROR(__xludf.DUMMYFUNCTION("""COMPUTED_VALUE"""),6.0)</f>
        <v>6</v>
      </c>
      <c r="L967" s="26" t="str">
        <f>IFERROR(__xludf.DUMMYFUNCTION("""COMPUTED_VALUE"""),"Platformer")</f>
        <v>Platformer</v>
      </c>
    </row>
    <row r="968">
      <c r="A968" s="12" t="str">
        <f>IFERROR(__xludf.DUMMYFUNCTION("""COMPUTED_VALUE"""),"Monday Night Combat")</f>
        <v>Monday Night Combat</v>
      </c>
      <c r="B968" s="13" t="str">
        <f>IFERROR(__xludf.DUMMYFUNCTION("""COMPUTED_VALUE"""),"Xbox")</f>
        <v>Xbox</v>
      </c>
      <c r="C968" s="14"/>
      <c r="D968" s="14" t="str">
        <f>IFERROR(__xludf.DUMMYFUNCTION("""COMPUTED_VALUE"""),"Removed")</f>
        <v>Removed</v>
      </c>
      <c r="E968" s="294">
        <f>IFERROR(__xludf.DUMMYFUNCTION("""COMPUTED_VALUE"""),42887.0)</f>
        <v>42887</v>
      </c>
      <c r="F968" s="15">
        <f>IFERROR(__xludf.DUMMYFUNCTION("""COMPUTED_VALUE"""),43678.0)</f>
        <v>43678</v>
      </c>
      <c r="G968" s="18">
        <f>IFERROR(__xludf.DUMMYFUNCTION("""COMPUTED_VALUE"""),26.0)</f>
        <v>26</v>
      </c>
      <c r="H968" s="131">
        <f>IFERROR(__xludf.DUMMYFUNCTION("""COMPUTED_VALUE"""),40401.0)</f>
        <v>40401</v>
      </c>
      <c r="I968" s="18">
        <f>IFERROR(__xludf.DUMMYFUNCTION("""COMPUTED_VALUE"""),6.805555555555555)</f>
        <v>6.805555556</v>
      </c>
      <c r="J968" s="22">
        <f>IFERROR(__xludf.DUMMYFUNCTION("""COMPUTED_VALUE"""),79.0)</f>
        <v>79</v>
      </c>
      <c r="K968" s="22">
        <f>IFERROR(__xludf.DUMMYFUNCTION("""COMPUTED_VALUE"""),3.0)</f>
        <v>3</v>
      </c>
      <c r="L968" s="26" t="str">
        <f>IFERROR(__xludf.DUMMYFUNCTION("""COMPUTED_VALUE"""),"Shooter")</f>
        <v>Shooter</v>
      </c>
    </row>
    <row r="969">
      <c r="A969" s="12" t="str">
        <f>IFERROR(__xludf.DUMMYFUNCTION("""COMPUTED_VALUE"""),"N+")</f>
        <v>N+</v>
      </c>
      <c r="B969" s="13" t="str">
        <f>IFERROR(__xludf.DUMMYFUNCTION("""COMPUTED_VALUE"""),"Xbox")</f>
        <v>Xbox</v>
      </c>
      <c r="C969" s="14"/>
      <c r="D969" s="14" t="str">
        <f>IFERROR(__xludf.DUMMYFUNCTION("""COMPUTED_VALUE"""),"Removed")</f>
        <v>Removed</v>
      </c>
      <c r="E969" s="294">
        <f>IFERROR(__xludf.DUMMYFUNCTION("""COMPUTED_VALUE"""),42887.0)</f>
        <v>42887</v>
      </c>
      <c r="F969" s="15">
        <f>IFERROR(__xludf.DUMMYFUNCTION("""COMPUTED_VALUE"""),43678.0)</f>
        <v>43678</v>
      </c>
      <c r="G969" s="18">
        <f>IFERROR(__xludf.DUMMYFUNCTION("""COMPUTED_VALUE"""),26.0)</f>
        <v>26</v>
      </c>
      <c r="H969" s="131">
        <f>IFERROR(__xludf.DUMMYFUNCTION("""COMPUTED_VALUE"""),42213.0)</f>
        <v>42213</v>
      </c>
      <c r="I969" s="18">
        <f>IFERROR(__xludf.DUMMYFUNCTION("""COMPUTED_VALUE"""),1.8416666666666666)</f>
        <v>1.841666667</v>
      </c>
      <c r="J969" s="22">
        <f>IFERROR(__xludf.DUMMYFUNCTION("""COMPUTED_VALUE"""),83.0)</f>
        <v>83</v>
      </c>
      <c r="K969" s="22">
        <f>IFERROR(__xludf.DUMMYFUNCTION("""COMPUTED_VALUE"""),14.5)</f>
        <v>14.5</v>
      </c>
      <c r="L969" s="26" t="str">
        <f>IFERROR(__xludf.DUMMYFUNCTION("""COMPUTED_VALUE"""),"Platformer")</f>
        <v>Platformer</v>
      </c>
    </row>
    <row r="970">
      <c r="A970" s="12" t="str">
        <f>IFERROR(__xludf.DUMMYFUNCTION("""COMPUTED_VALUE"""),"Spelunky")</f>
        <v>Spelunky</v>
      </c>
      <c r="B970" s="13" t="str">
        <f>IFERROR(__xludf.DUMMYFUNCTION("""COMPUTED_VALUE"""),"Xbox")</f>
        <v>Xbox</v>
      </c>
      <c r="C970" s="14"/>
      <c r="D970" s="14" t="str">
        <f>IFERROR(__xludf.DUMMYFUNCTION("""COMPUTED_VALUE"""),"Removed")</f>
        <v>Removed</v>
      </c>
      <c r="E970" s="294">
        <f>IFERROR(__xludf.DUMMYFUNCTION("""COMPUTED_VALUE"""),42887.0)</f>
        <v>42887</v>
      </c>
      <c r="F970" s="15">
        <f>IFERROR(__xludf.DUMMYFUNCTION("""COMPUTED_VALUE"""),43678.0)</f>
        <v>43678</v>
      </c>
      <c r="G970" s="18">
        <f>IFERROR(__xludf.DUMMYFUNCTION("""COMPUTED_VALUE"""),26.0)</f>
        <v>26</v>
      </c>
      <c r="H970" s="131">
        <f>IFERROR(__xludf.DUMMYFUNCTION("""COMPUTED_VALUE"""),40057.0)</f>
        <v>40057</v>
      </c>
      <c r="I970" s="18">
        <f>IFERROR(__xludf.DUMMYFUNCTION("""COMPUTED_VALUE"""),7.75)</f>
        <v>7.75</v>
      </c>
      <c r="J970" s="22">
        <f>IFERROR(__xludf.DUMMYFUNCTION("""COMPUTED_VALUE"""),87.0)</f>
        <v>87</v>
      </c>
      <c r="K970" s="22">
        <f>IFERROR(__xludf.DUMMYFUNCTION("""COMPUTED_VALUE"""),17.5)</f>
        <v>17.5</v>
      </c>
      <c r="L970" s="26" t="str">
        <f>IFERROR(__xludf.DUMMYFUNCTION("""COMPUTED_VALUE"""),"Platformer")</f>
        <v>Platformer</v>
      </c>
    </row>
    <row r="971">
      <c r="A971" s="12" t="str">
        <f>IFERROR(__xludf.DUMMYFUNCTION("""COMPUTED_VALUE"""),"Toy Soldiers")</f>
        <v>Toy Soldiers</v>
      </c>
      <c r="B971" s="13" t="str">
        <f>IFERROR(__xludf.DUMMYFUNCTION("""COMPUTED_VALUE"""),"Xbox")</f>
        <v>Xbox</v>
      </c>
      <c r="C971" s="14"/>
      <c r="D971" s="14" t="str">
        <f>IFERROR(__xludf.DUMMYFUNCTION("""COMPUTED_VALUE"""),"Removed")</f>
        <v>Removed</v>
      </c>
      <c r="E971" s="294">
        <f>IFERROR(__xludf.DUMMYFUNCTION("""COMPUTED_VALUE"""),42887.0)</f>
        <v>42887</v>
      </c>
      <c r="F971" s="15">
        <f>IFERROR(__xludf.DUMMYFUNCTION("""COMPUTED_VALUE"""),43678.0)</f>
        <v>43678</v>
      </c>
      <c r="G971" s="18">
        <f>IFERROR(__xludf.DUMMYFUNCTION("""COMPUTED_VALUE"""),26.0)</f>
        <v>26</v>
      </c>
      <c r="H971" s="131">
        <f>IFERROR(__xludf.DUMMYFUNCTION("""COMPUTED_VALUE"""),40240.0)</f>
        <v>40240</v>
      </c>
      <c r="I971" s="18">
        <f>IFERROR(__xludf.DUMMYFUNCTION("""COMPUTED_VALUE"""),7.2444444444444445)</f>
        <v>7.244444444</v>
      </c>
      <c r="J971" s="22">
        <f>IFERROR(__xludf.DUMMYFUNCTION("""COMPUTED_VALUE"""),81.0)</f>
        <v>81</v>
      </c>
      <c r="K971" s="22">
        <f>IFERROR(__xludf.DUMMYFUNCTION("""COMPUTED_VALUE"""),6.0)</f>
        <v>6</v>
      </c>
      <c r="L971" s="26" t="str">
        <f>IFERROR(__xludf.DUMMYFUNCTION("""COMPUTED_VALUE"""),"Shooter")</f>
        <v>Shooter</v>
      </c>
    </row>
    <row r="972">
      <c r="A972" s="12" t="str">
        <f>IFERROR(__xludf.DUMMYFUNCTION("""COMPUTED_VALUE"""),"Toy Soldiers: Cold War")</f>
        <v>Toy Soldiers: Cold War</v>
      </c>
      <c r="B972" s="13" t="str">
        <f>IFERROR(__xludf.DUMMYFUNCTION("""COMPUTED_VALUE"""),"Xbox")</f>
        <v>Xbox</v>
      </c>
      <c r="C972" s="14"/>
      <c r="D972" s="14" t="str">
        <f>IFERROR(__xludf.DUMMYFUNCTION("""COMPUTED_VALUE"""),"Removed")</f>
        <v>Removed</v>
      </c>
      <c r="E972" s="294">
        <f>IFERROR(__xludf.DUMMYFUNCTION("""COMPUTED_VALUE"""),42887.0)</f>
        <v>42887</v>
      </c>
      <c r="F972" s="15">
        <f>IFERROR(__xludf.DUMMYFUNCTION("""COMPUTED_VALUE"""),43678.0)</f>
        <v>43678</v>
      </c>
      <c r="G972" s="18">
        <f>IFERROR(__xludf.DUMMYFUNCTION("""COMPUTED_VALUE"""),26.0)</f>
        <v>26</v>
      </c>
      <c r="H972" s="131">
        <f>IFERROR(__xludf.DUMMYFUNCTION("""COMPUTED_VALUE"""),40772.0)</f>
        <v>40772</v>
      </c>
      <c r="I972" s="18">
        <f>IFERROR(__xludf.DUMMYFUNCTION("""COMPUTED_VALUE"""),5.788888888888889)</f>
        <v>5.788888889</v>
      </c>
      <c r="J972" s="22">
        <f>IFERROR(__xludf.DUMMYFUNCTION("""COMPUTED_VALUE"""),81.0)</f>
        <v>81</v>
      </c>
      <c r="K972" s="22">
        <f>IFERROR(__xludf.DUMMYFUNCTION("""COMPUTED_VALUE"""),4.0)</f>
        <v>4</v>
      </c>
      <c r="L972" s="26" t="str">
        <f>IFERROR(__xludf.DUMMYFUNCTION("""COMPUTED_VALUE"""),"Shooter")</f>
        <v>Shooter</v>
      </c>
    </row>
    <row r="973">
      <c r="A973" s="12" t="str">
        <f>IFERROR(__xludf.DUMMYFUNCTION("""COMPUTED_VALUE"""),"Aftercharge")</f>
        <v>Aftercharge</v>
      </c>
      <c r="B973" s="13" t="str">
        <f>IFERROR(__xludf.DUMMYFUNCTION("""COMPUTED_VALUE"""),"Xbox")</f>
        <v>Xbox</v>
      </c>
      <c r="C973" s="14"/>
      <c r="D973" s="14" t="str">
        <f>IFERROR(__xludf.DUMMYFUNCTION("""COMPUTED_VALUE"""),"Removed")</f>
        <v>Removed</v>
      </c>
      <c r="E973" s="294">
        <f>IFERROR(__xludf.DUMMYFUNCTION("""COMPUTED_VALUE"""),43475.0)</f>
        <v>43475</v>
      </c>
      <c r="F973" s="15">
        <f>IFERROR(__xludf.DUMMYFUNCTION("""COMPUTED_VALUE"""),43647.0)</f>
        <v>43647</v>
      </c>
      <c r="G973" s="18">
        <f>IFERROR(__xludf.DUMMYFUNCTION("""COMPUTED_VALUE"""),5.699999999999999)</f>
        <v>5.7</v>
      </c>
      <c r="H973" s="131">
        <f>IFERROR(__xludf.DUMMYFUNCTION("""COMPUTED_VALUE"""),43475.0)</f>
        <v>43475</v>
      </c>
      <c r="I973" s="18">
        <f>IFERROR(__xludf.DUMMYFUNCTION("""COMPUTED_VALUE"""),0.0)</f>
        <v>0</v>
      </c>
      <c r="J973" s="22">
        <f>IFERROR(__xludf.DUMMYFUNCTION("""COMPUTED_VALUE"""),69.0)</f>
        <v>69</v>
      </c>
      <c r="K973" s="22"/>
      <c r="L973" s="26" t="str">
        <f>IFERROR(__xludf.DUMMYFUNCTION("""COMPUTED_VALUE"""),"Shooter")</f>
        <v>Shooter</v>
      </c>
    </row>
    <row r="974">
      <c r="A974" s="12" t="str">
        <f>IFERROR(__xludf.DUMMYFUNCTION("""COMPUTED_VALUE"""),"The LEGO Movie Videogame")</f>
        <v>The LEGO Movie Videogame</v>
      </c>
      <c r="B974" s="13" t="str">
        <f>IFERROR(__xludf.DUMMYFUNCTION("""COMPUTED_VALUE"""),"Xbox")</f>
        <v>Xbox</v>
      </c>
      <c r="C974" s="14"/>
      <c r="D974" s="14" t="str">
        <f>IFERROR(__xludf.DUMMYFUNCTION("""COMPUTED_VALUE"""),"Removed")</f>
        <v>Removed</v>
      </c>
      <c r="E974" s="294">
        <f>IFERROR(__xludf.DUMMYFUNCTION("""COMPUTED_VALUE"""),43466.0)</f>
        <v>43466</v>
      </c>
      <c r="F974" s="15">
        <f>IFERROR(__xludf.DUMMYFUNCTION("""COMPUTED_VALUE"""),43647.0)</f>
        <v>43647</v>
      </c>
      <c r="G974" s="18">
        <f>IFERROR(__xludf.DUMMYFUNCTION("""COMPUTED_VALUE"""),6.0)</f>
        <v>6</v>
      </c>
      <c r="H974" s="131">
        <f>IFERROR(__xludf.DUMMYFUNCTION("""COMPUTED_VALUE"""),41677.0)</f>
        <v>41677</v>
      </c>
      <c r="I974" s="18">
        <f>IFERROR(__xludf.DUMMYFUNCTION("""COMPUTED_VALUE"""),4.9)</f>
        <v>4.9</v>
      </c>
      <c r="J974" s="22">
        <f>IFERROR(__xludf.DUMMYFUNCTION("""COMPUTED_VALUE"""),69.0)</f>
        <v>69</v>
      </c>
      <c r="K974" s="22">
        <f>IFERROR(__xludf.DUMMYFUNCTION("""COMPUTED_VALUE"""),8.0)</f>
        <v>8</v>
      </c>
      <c r="L974" s="26" t="str">
        <f>IFERROR(__xludf.DUMMYFUNCTION("""COMPUTED_VALUE"""),"Action-Adventure")</f>
        <v>Action-Adventure</v>
      </c>
    </row>
    <row r="975">
      <c r="A975" s="12" t="str">
        <f>IFERROR(__xludf.DUMMYFUNCTION("""COMPUTED_VALUE"""),"Dandara")</f>
        <v>Dandara</v>
      </c>
      <c r="B975" s="13" t="str">
        <f>IFERROR(__xludf.DUMMYFUNCTION("""COMPUTED_VALUE"""),"Xbox")</f>
        <v>Xbox</v>
      </c>
      <c r="C975" s="14"/>
      <c r="D975" s="14" t="str">
        <f>IFERROR(__xludf.DUMMYFUNCTION("""COMPUTED_VALUE"""),"Removed")</f>
        <v>Removed</v>
      </c>
      <c r="E975" s="294">
        <f>IFERROR(__xludf.DUMMYFUNCTION("""COMPUTED_VALUE"""),43313.0)</f>
        <v>43313</v>
      </c>
      <c r="F975" s="15">
        <f>IFERROR(__xludf.DUMMYFUNCTION("""COMPUTED_VALUE"""),43647.0)</f>
        <v>43647</v>
      </c>
      <c r="G975" s="18">
        <f>IFERROR(__xludf.DUMMYFUNCTION("""COMPUTED_VALUE"""),11.0)</f>
        <v>11</v>
      </c>
      <c r="H975" s="131">
        <f>IFERROR(__xludf.DUMMYFUNCTION("""COMPUTED_VALUE"""),43137.0)</f>
        <v>43137</v>
      </c>
      <c r="I975" s="18">
        <f>IFERROR(__xludf.DUMMYFUNCTION("""COMPUTED_VALUE"""),0.4861111111111111)</f>
        <v>0.4861111111</v>
      </c>
      <c r="J975" s="22">
        <f>IFERROR(__xludf.DUMMYFUNCTION("""COMPUTED_VALUE"""),70.0)</f>
        <v>70</v>
      </c>
      <c r="K975" s="22">
        <f>IFERROR(__xludf.DUMMYFUNCTION("""COMPUTED_VALUE"""),6.5)</f>
        <v>6.5</v>
      </c>
      <c r="L975" s="26" t="str">
        <f>IFERROR(__xludf.DUMMYFUNCTION("""COMPUTED_VALUE"""),"Platformer")</f>
        <v>Platformer</v>
      </c>
    </row>
    <row r="976">
      <c r="A976" s="12" t="str">
        <f>IFERROR(__xludf.DUMMYFUNCTION("""COMPUTED_VALUE"""),"Dead Rising 2")</f>
        <v>Dead Rising 2</v>
      </c>
      <c r="B976" s="13" t="str">
        <f>IFERROR(__xludf.DUMMYFUNCTION("""COMPUTED_VALUE"""),"Xbox")</f>
        <v>Xbox</v>
      </c>
      <c r="C976" s="14"/>
      <c r="D976" s="14" t="str">
        <f>IFERROR(__xludf.DUMMYFUNCTION("""COMPUTED_VALUE"""),"Removed")</f>
        <v>Removed</v>
      </c>
      <c r="E976" s="294">
        <f>IFERROR(__xludf.DUMMYFUNCTION("""COMPUTED_VALUE"""),43313.0)</f>
        <v>43313</v>
      </c>
      <c r="F976" s="15">
        <f>IFERROR(__xludf.DUMMYFUNCTION("""COMPUTED_VALUE"""),43647.0)</f>
        <v>43647</v>
      </c>
      <c r="G976" s="18">
        <f>IFERROR(__xludf.DUMMYFUNCTION("""COMPUTED_VALUE"""),11.0)</f>
        <v>11</v>
      </c>
      <c r="H976" s="131">
        <f>IFERROR(__xludf.DUMMYFUNCTION("""COMPUTED_VALUE"""),40423.0)</f>
        <v>40423</v>
      </c>
      <c r="I976" s="18">
        <f>IFERROR(__xludf.DUMMYFUNCTION("""COMPUTED_VALUE"""),7.913888888888889)</f>
        <v>7.913888889</v>
      </c>
      <c r="J976" s="22">
        <f>IFERROR(__xludf.DUMMYFUNCTION("""COMPUTED_VALUE"""),79.0)</f>
        <v>79</v>
      </c>
      <c r="K976" s="22">
        <f>IFERROR(__xludf.DUMMYFUNCTION("""COMPUTED_VALUE"""),14.0)</f>
        <v>14</v>
      </c>
      <c r="L976" s="26" t="str">
        <f>IFERROR(__xludf.DUMMYFUNCTION("""COMPUTED_VALUE"""),"RPG")</f>
        <v>RPG</v>
      </c>
    </row>
    <row r="977">
      <c r="A977" s="12" t="str">
        <f>IFERROR(__xludf.DUMMYFUNCTION("""COMPUTED_VALUE"""),"HITMAN")</f>
        <v>HITMAN</v>
      </c>
      <c r="B977" s="13" t="str">
        <f>IFERROR(__xludf.DUMMYFUNCTION("""COMPUTED_VALUE"""),"Xbox")</f>
        <v>Xbox</v>
      </c>
      <c r="C977" s="14"/>
      <c r="D977" s="14" t="str">
        <f>IFERROR(__xludf.DUMMYFUNCTION("""COMPUTED_VALUE"""),"Removed")</f>
        <v>Removed</v>
      </c>
      <c r="E977" s="294">
        <f>IFERROR(__xludf.DUMMYFUNCTION("""COMPUTED_VALUE"""),43313.0)</f>
        <v>43313</v>
      </c>
      <c r="F977" s="15">
        <f>IFERROR(__xludf.DUMMYFUNCTION("""COMPUTED_VALUE"""),43647.0)</f>
        <v>43647</v>
      </c>
      <c r="G977" s="18">
        <f>IFERROR(__xludf.DUMMYFUNCTION("""COMPUTED_VALUE"""),11.0)</f>
        <v>11</v>
      </c>
      <c r="H977" s="131">
        <f>IFERROR(__xludf.DUMMYFUNCTION("""COMPUTED_VALUE"""),42440.0)</f>
        <v>42440</v>
      </c>
      <c r="I977" s="18">
        <f>IFERROR(__xludf.DUMMYFUNCTION("""COMPUTED_VALUE"""),2.388888888888889)</f>
        <v>2.388888889</v>
      </c>
      <c r="J977" s="22">
        <f>IFERROR(__xludf.DUMMYFUNCTION("""COMPUTED_VALUE"""),85.0)</f>
        <v>85</v>
      </c>
      <c r="K977" s="22">
        <f>IFERROR(__xludf.DUMMYFUNCTION("""COMPUTED_VALUE"""),10.5)</f>
        <v>10.5</v>
      </c>
      <c r="L977" s="26" t="str">
        <f>IFERROR(__xludf.DUMMYFUNCTION("""COMPUTED_VALUE"""),"Action-Adventure")</f>
        <v>Action-Adventure</v>
      </c>
    </row>
    <row r="978">
      <c r="A978" s="12" t="str">
        <f>IFERROR(__xludf.DUMMYFUNCTION("""COMPUTED_VALUE"""),"Metal Slug XX")</f>
        <v>Metal Slug XX</v>
      </c>
      <c r="B978" s="13" t="str">
        <f>IFERROR(__xludf.DUMMYFUNCTION("""COMPUTED_VALUE"""),"Xbox")</f>
        <v>Xbox</v>
      </c>
      <c r="C978" s="14"/>
      <c r="D978" s="14" t="str">
        <f>IFERROR(__xludf.DUMMYFUNCTION("""COMPUTED_VALUE"""),"Removed")</f>
        <v>Removed</v>
      </c>
      <c r="E978" s="294">
        <f>IFERROR(__xludf.DUMMYFUNCTION("""COMPUTED_VALUE"""),42948.0)</f>
        <v>42948</v>
      </c>
      <c r="F978" s="15">
        <f>IFERROR(__xludf.DUMMYFUNCTION("""COMPUTED_VALUE"""),43647.0)</f>
        <v>43647</v>
      </c>
      <c r="G978" s="18">
        <f>IFERROR(__xludf.DUMMYFUNCTION("""COMPUTED_VALUE"""),23.0)</f>
        <v>23</v>
      </c>
      <c r="H978" s="131">
        <f>IFERROR(__xludf.DUMMYFUNCTION("""COMPUTED_VALUE"""),40170.0)</f>
        <v>40170</v>
      </c>
      <c r="I978" s="18">
        <f>IFERROR(__xludf.DUMMYFUNCTION("""COMPUTED_VALUE"""),7.605555555555555)</f>
        <v>7.605555556</v>
      </c>
      <c r="J978" s="22">
        <f>IFERROR(__xludf.DUMMYFUNCTION("""COMPUTED_VALUE"""),61.0)</f>
        <v>61</v>
      </c>
      <c r="K978" s="22">
        <f>IFERROR(__xludf.DUMMYFUNCTION("""COMPUTED_VALUE"""),1.0)</f>
        <v>1</v>
      </c>
      <c r="L978" s="26" t="str">
        <f>IFERROR(__xludf.DUMMYFUNCTION("""COMPUTED_VALUE"""),"Shooter")</f>
        <v>Shooter</v>
      </c>
    </row>
    <row r="979">
      <c r="A979" s="12" t="str">
        <f>IFERROR(__xludf.DUMMYFUNCTION("""COMPUTED_VALUE"""),"Defense Grid: The Awakening")</f>
        <v>Defense Grid: The Awakening</v>
      </c>
      <c r="B979" s="13" t="str">
        <f>IFERROR(__xludf.DUMMYFUNCTION("""COMPUTED_VALUE"""),"Xbox")</f>
        <v>Xbox</v>
      </c>
      <c r="C979" s="14"/>
      <c r="D979" s="14" t="str">
        <f>IFERROR(__xludf.DUMMYFUNCTION("""COMPUTED_VALUE"""),"Removed")</f>
        <v>Removed</v>
      </c>
      <c r="E979" s="294">
        <f>IFERROR(__xludf.DUMMYFUNCTION("""COMPUTED_VALUE"""),42887.0)</f>
        <v>42887</v>
      </c>
      <c r="F979" s="15">
        <f>IFERROR(__xludf.DUMMYFUNCTION("""COMPUTED_VALUE"""),43647.0)</f>
        <v>43647</v>
      </c>
      <c r="G979" s="18">
        <f>IFERROR(__xludf.DUMMYFUNCTION("""COMPUTED_VALUE"""),25.0)</f>
        <v>25</v>
      </c>
      <c r="H979" s="131">
        <f>IFERROR(__xludf.DUMMYFUNCTION("""COMPUTED_VALUE"""),39790.0)</f>
        <v>39790</v>
      </c>
      <c r="I979" s="18">
        <f>IFERROR(__xludf.DUMMYFUNCTION("""COMPUTED_VALUE"""),8.480555555555556)</f>
        <v>8.480555556</v>
      </c>
      <c r="J979" s="22">
        <f>IFERROR(__xludf.DUMMYFUNCTION("""COMPUTED_VALUE"""),82.0)</f>
        <v>82</v>
      </c>
      <c r="K979" s="22">
        <f>IFERROR(__xludf.DUMMYFUNCTION("""COMPUTED_VALUE"""),11.0)</f>
        <v>11</v>
      </c>
      <c r="L979" s="26" t="str">
        <f>IFERROR(__xludf.DUMMYFUNCTION("""COMPUTED_VALUE"""),"Strategy")</f>
        <v>Strategy</v>
      </c>
    </row>
    <row r="980">
      <c r="A980" s="12" t="str">
        <f>IFERROR(__xludf.DUMMYFUNCTION("""COMPUTED_VALUE"""),"Hexic 2")</f>
        <v>Hexic 2</v>
      </c>
      <c r="B980" s="13" t="str">
        <f>IFERROR(__xludf.DUMMYFUNCTION("""COMPUTED_VALUE"""),"Xbox")</f>
        <v>Xbox</v>
      </c>
      <c r="C980" s="14"/>
      <c r="D980" s="14" t="str">
        <f>IFERROR(__xludf.DUMMYFUNCTION("""COMPUTED_VALUE"""),"Removed")</f>
        <v>Removed</v>
      </c>
      <c r="E980" s="294">
        <f>IFERROR(__xludf.DUMMYFUNCTION("""COMPUTED_VALUE"""),42887.0)</f>
        <v>42887</v>
      </c>
      <c r="F980" s="15">
        <f>IFERROR(__xludf.DUMMYFUNCTION("""COMPUTED_VALUE"""),43647.0)</f>
        <v>43647</v>
      </c>
      <c r="G980" s="18">
        <f>IFERROR(__xludf.DUMMYFUNCTION("""COMPUTED_VALUE"""),25.0)</f>
        <v>25</v>
      </c>
      <c r="H980" s="131">
        <f>IFERROR(__xludf.DUMMYFUNCTION("""COMPUTED_VALUE"""),39309.0)</f>
        <v>39309</v>
      </c>
      <c r="I980" s="18">
        <f>IFERROR(__xludf.DUMMYFUNCTION("""COMPUTED_VALUE"""),9.794444444444444)</f>
        <v>9.794444444</v>
      </c>
      <c r="J980" s="22">
        <f>IFERROR(__xludf.DUMMYFUNCTION("""COMPUTED_VALUE"""),72.0)</f>
        <v>72</v>
      </c>
      <c r="K980" s="22">
        <f>IFERROR(__xludf.DUMMYFUNCTION("""COMPUTED_VALUE"""),8.0)</f>
        <v>8</v>
      </c>
      <c r="L980" s="26" t="str">
        <f>IFERROR(__xludf.DUMMYFUNCTION("""COMPUTED_VALUE"""),"Puzzle")</f>
        <v>Puzzle</v>
      </c>
    </row>
    <row r="981">
      <c r="A981" s="12" t="str">
        <f>IFERROR(__xludf.DUMMYFUNCTION("""COMPUTED_VALUE"""),"Ultimate Marvel vs. Capcom 3")</f>
        <v>Ultimate Marvel vs. Capcom 3</v>
      </c>
      <c r="B981" s="13" t="str">
        <f>IFERROR(__xludf.DUMMYFUNCTION("""COMPUTED_VALUE"""),"Xbox")</f>
        <v>Xbox</v>
      </c>
      <c r="C981" s="14"/>
      <c r="D981" s="14" t="str">
        <f>IFERROR(__xludf.DUMMYFUNCTION("""COMPUTED_VALUE"""),"Removed")</f>
        <v>Removed</v>
      </c>
      <c r="E981" s="294">
        <f>IFERROR(__xludf.DUMMYFUNCTION("""COMPUTED_VALUE"""),43466.0)</f>
        <v>43466</v>
      </c>
      <c r="F981" s="15">
        <f>IFERROR(__xludf.DUMMYFUNCTION("""COMPUTED_VALUE"""),43617.0)</f>
        <v>43617</v>
      </c>
      <c r="G981" s="18">
        <f>IFERROR(__xludf.DUMMYFUNCTION("""COMPUTED_VALUE"""),5.0)</f>
        <v>5</v>
      </c>
      <c r="H981" s="131">
        <f>IFERROR(__xludf.DUMMYFUNCTION("""COMPUTED_VALUE"""),40862.0)</f>
        <v>40862</v>
      </c>
      <c r="I981" s="18">
        <f>IFERROR(__xludf.DUMMYFUNCTION("""COMPUTED_VALUE"""),7.127777777777778)</f>
        <v>7.127777778</v>
      </c>
      <c r="J981" s="22">
        <f>IFERROR(__xludf.DUMMYFUNCTION("""COMPUTED_VALUE"""),78.0)</f>
        <v>78</v>
      </c>
      <c r="K981" s="22">
        <f>IFERROR(__xludf.DUMMYFUNCTION("""COMPUTED_VALUE"""),1.0)</f>
        <v>1</v>
      </c>
      <c r="L981" s="26" t="str">
        <f>IFERROR(__xludf.DUMMYFUNCTION("""COMPUTED_VALUE"""),"Fighting")</f>
        <v>Fighting</v>
      </c>
    </row>
    <row r="982">
      <c r="A982" s="12" t="str">
        <f>IFERROR(__xludf.DUMMYFUNCTION("""COMPUTED_VALUE"""),"Shadow Complex: Remastered")</f>
        <v>Shadow Complex: Remastered</v>
      </c>
      <c r="B982" s="13" t="str">
        <f>IFERROR(__xludf.DUMMYFUNCTION("""COMPUTED_VALUE"""),"Xbox")</f>
        <v>Xbox</v>
      </c>
      <c r="C982" s="14"/>
      <c r="D982" s="14" t="str">
        <f>IFERROR(__xludf.DUMMYFUNCTION("""COMPUTED_VALUE"""),"Removed")</f>
        <v>Removed</v>
      </c>
      <c r="E982" s="294">
        <f>IFERROR(__xludf.DUMMYFUNCTION("""COMPUTED_VALUE"""),43282.0)</f>
        <v>43282</v>
      </c>
      <c r="F982" s="15">
        <f>IFERROR(__xludf.DUMMYFUNCTION("""COMPUTED_VALUE"""),43617.0)</f>
        <v>43617</v>
      </c>
      <c r="G982" s="18">
        <f>IFERROR(__xludf.DUMMYFUNCTION("""COMPUTED_VALUE"""),11.0)</f>
        <v>11</v>
      </c>
      <c r="H982" s="131">
        <f>IFERROR(__xludf.DUMMYFUNCTION("""COMPUTED_VALUE"""),40044.0)</f>
        <v>40044</v>
      </c>
      <c r="I982" s="18">
        <f>IFERROR(__xludf.DUMMYFUNCTION("""COMPUTED_VALUE"""),8.866666666666667)</f>
        <v>8.866666667</v>
      </c>
      <c r="J982" s="22">
        <f>IFERROR(__xludf.DUMMYFUNCTION("""COMPUTED_VALUE"""),80.0)</f>
        <v>80</v>
      </c>
      <c r="K982" s="22">
        <f>IFERROR(__xludf.DUMMYFUNCTION("""COMPUTED_VALUE"""),4.5)</f>
        <v>4.5</v>
      </c>
      <c r="L982" s="26" t="str">
        <f>IFERROR(__xludf.DUMMYFUNCTION("""COMPUTED_VALUE"""),"Shooter")</f>
        <v>Shooter</v>
      </c>
    </row>
    <row r="983">
      <c r="A983" s="12" t="str">
        <f>IFERROR(__xludf.DUMMYFUNCTION("""COMPUTED_VALUE"""),"Zombie Army Trilogy")</f>
        <v>Zombie Army Trilogy</v>
      </c>
      <c r="B983" s="13" t="str">
        <f>IFERROR(__xludf.DUMMYFUNCTION("""COMPUTED_VALUE"""),"Xbox")</f>
        <v>Xbox</v>
      </c>
      <c r="C983" s="14"/>
      <c r="D983" s="14" t="str">
        <f>IFERROR(__xludf.DUMMYFUNCTION("""COMPUTED_VALUE"""),"Removed")</f>
        <v>Removed</v>
      </c>
      <c r="E983" s="294">
        <f>IFERROR(__xludf.DUMMYFUNCTION("""COMPUTED_VALUE"""),43282.0)</f>
        <v>43282</v>
      </c>
      <c r="F983" s="15">
        <f>IFERROR(__xludf.DUMMYFUNCTION("""COMPUTED_VALUE"""),43617.0)</f>
        <v>43617</v>
      </c>
      <c r="G983" s="18">
        <f>IFERROR(__xludf.DUMMYFUNCTION("""COMPUTED_VALUE"""),11.0)</f>
        <v>11</v>
      </c>
      <c r="H983" s="131">
        <f>IFERROR(__xludf.DUMMYFUNCTION("""COMPUTED_VALUE"""),42069.0)</f>
        <v>42069</v>
      </c>
      <c r="I983" s="18">
        <f>IFERROR(__xludf.DUMMYFUNCTION("""COMPUTED_VALUE"""),3.3194444444444446)</f>
        <v>3.319444444</v>
      </c>
      <c r="J983" s="22">
        <f>IFERROR(__xludf.DUMMYFUNCTION("""COMPUTED_VALUE"""),62.0)</f>
        <v>62</v>
      </c>
      <c r="K983" s="22">
        <f>IFERROR(__xludf.DUMMYFUNCTION("""COMPUTED_VALUE"""),14.5)</f>
        <v>14.5</v>
      </c>
      <c r="L983" s="26" t="str">
        <f>IFERROR(__xludf.DUMMYFUNCTION("""COMPUTED_VALUE"""),"Shooter")</f>
        <v>Shooter</v>
      </c>
    </row>
    <row r="984">
      <c r="A984" s="12" t="str">
        <f>IFERROR(__xludf.DUMMYFUNCTION("""COMPUTED_VALUE"""),"Next Up Hero")</f>
        <v>Next Up Hero</v>
      </c>
      <c r="B984" s="13" t="str">
        <f>IFERROR(__xludf.DUMMYFUNCTION("""COMPUTED_VALUE"""),"Xbox")</f>
        <v>Xbox</v>
      </c>
      <c r="C984" s="14"/>
      <c r="D984" s="14" t="str">
        <f>IFERROR(__xludf.DUMMYFUNCTION("""COMPUTED_VALUE"""),"Removed")</f>
        <v>Removed</v>
      </c>
      <c r="E984" s="294">
        <f>IFERROR(__xludf.DUMMYFUNCTION("""COMPUTED_VALUE"""),43252.0)</f>
        <v>43252</v>
      </c>
      <c r="F984" s="15">
        <f>IFERROR(__xludf.DUMMYFUNCTION("""COMPUTED_VALUE"""),43617.0)</f>
        <v>43617</v>
      </c>
      <c r="G984" s="18">
        <f>IFERROR(__xludf.DUMMYFUNCTION("""COMPUTED_VALUE"""),12.0)</f>
        <v>12</v>
      </c>
      <c r="H984" s="131">
        <f>IFERROR(__xludf.DUMMYFUNCTION("""COMPUTED_VALUE"""),42923.0)</f>
        <v>42923</v>
      </c>
      <c r="I984" s="18">
        <f>IFERROR(__xludf.DUMMYFUNCTION("""COMPUTED_VALUE"""),0.9)</f>
        <v>0.9</v>
      </c>
      <c r="J984" s="22">
        <f>IFERROR(__xludf.DUMMYFUNCTION("""COMPUTED_VALUE"""),61.0)</f>
        <v>61</v>
      </c>
      <c r="K984" s="22">
        <f>IFERROR(__xludf.DUMMYFUNCTION("""COMPUTED_VALUE"""),15.0)</f>
        <v>15</v>
      </c>
      <c r="L984" s="26" t="str">
        <f>IFERROR(__xludf.DUMMYFUNCTION("""COMPUTED_VALUE"""),"Action-Adventure")</f>
        <v>Action-Adventure</v>
      </c>
    </row>
    <row r="985">
      <c r="A985" s="12" t="str">
        <f>IFERROR(__xludf.DUMMYFUNCTION("""COMPUTED_VALUE"""),"Devil May Cry 4: Special Edition")</f>
        <v>Devil May Cry 4: Special Edition</v>
      </c>
      <c r="B985" s="13" t="str">
        <f>IFERROR(__xludf.DUMMYFUNCTION("""COMPUTED_VALUE"""),"Xbox")</f>
        <v>Xbox</v>
      </c>
      <c r="C985" s="14"/>
      <c r="D985" s="14" t="str">
        <f>IFERROR(__xludf.DUMMYFUNCTION("""COMPUTED_VALUE"""),"Removed")</f>
        <v>Removed</v>
      </c>
      <c r="E985" s="294">
        <f>IFERROR(__xludf.DUMMYFUNCTION("""COMPUTED_VALUE"""),43101.0)</f>
        <v>43101</v>
      </c>
      <c r="F985" s="15">
        <f>IFERROR(__xludf.DUMMYFUNCTION("""COMPUTED_VALUE"""),43617.0)</f>
        <v>43617</v>
      </c>
      <c r="G985" s="18">
        <f>IFERROR(__xludf.DUMMYFUNCTION("""COMPUTED_VALUE"""),17.0)</f>
        <v>17</v>
      </c>
      <c r="H985" s="131">
        <f>IFERROR(__xludf.DUMMYFUNCTION("""COMPUTED_VALUE"""),42173.0)</f>
        <v>42173</v>
      </c>
      <c r="I985" s="18">
        <f>IFERROR(__xludf.DUMMYFUNCTION("""COMPUTED_VALUE"""),2.536111111111111)</f>
        <v>2.536111111</v>
      </c>
      <c r="J985" s="22">
        <f>IFERROR(__xludf.DUMMYFUNCTION("""COMPUTED_VALUE"""),76.0)</f>
        <v>76</v>
      </c>
      <c r="K985" s="22">
        <f>IFERROR(__xludf.DUMMYFUNCTION("""COMPUTED_VALUE"""),10.0)</f>
        <v>10</v>
      </c>
      <c r="L985" s="26" t="str">
        <f>IFERROR(__xludf.DUMMYFUNCTION("""COMPUTED_VALUE"""),"Action")</f>
        <v>Action</v>
      </c>
    </row>
    <row r="986">
      <c r="A986" s="12" t="str">
        <f>IFERROR(__xludf.DUMMYFUNCTION("""COMPUTED_VALUE"""),"LEGO Star Wars: The Complete Saga")</f>
        <v>LEGO Star Wars: The Complete Saga</v>
      </c>
      <c r="B986" s="13" t="str">
        <f>IFERROR(__xludf.DUMMYFUNCTION("""COMPUTED_VALUE"""),"Xbox")</f>
        <v>Xbox</v>
      </c>
      <c r="C986" s="14"/>
      <c r="D986" s="14" t="str">
        <f>IFERROR(__xludf.DUMMYFUNCTION("""COMPUTED_VALUE"""),"Removed")</f>
        <v>Removed</v>
      </c>
      <c r="E986" s="294">
        <f>IFERROR(__xludf.DUMMYFUNCTION("""COMPUTED_VALUE"""),43253.0)</f>
        <v>43253</v>
      </c>
      <c r="F986" s="15">
        <f>IFERROR(__xludf.DUMMYFUNCTION("""COMPUTED_VALUE"""),43586.0)</f>
        <v>43586</v>
      </c>
      <c r="G986" s="18">
        <f>IFERROR(__xludf.DUMMYFUNCTION("""COMPUTED_VALUE"""),10.966666666666667)</f>
        <v>10.96666667</v>
      </c>
      <c r="H986" s="131">
        <f>IFERROR(__xludf.DUMMYFUNCTION("""COMPUTED_VALUE"""),39392.0)</f>
        <v>39392</v>
      </c>
      <c r="I986" s="18">
        <f>IFERROR(__xludf.DUMMYFUNCTION("""COMPUTED_VALUE"""),10.572222222222223)</f>
        <v>10.57222222</v>
      </c>
      <c r="J986" s="22">
        <f>IFERROR(__xludf.DUMMYFUNCTION("""COMPUTED_VALUE"""),80.0)</f>
        <v>80</v>
      </c>
      <c r="K986" s="22">
        <f>IFERROR(__xludf.DUMMYFUNCTION("""COMPUTED_VALUE"""),14.0)</f>
        <v>14</v>
      </c>
      <c r="L986" s="26" t="str">
        <f>IFERROR(__xludf.DUMMYFUNCTION("""COMPUTED_VALUE"""),"Action-Adventure")</f>
        <v>Action-Adventure</v>
      </c>
    </row>
    <row r="987">
      <c r="A987" s="12" t="str">
        <f>IFERROR(__xludf.DUMMYFUNCTION("""COMPUTED_VALUE"""),"STAR WARS: Knights of the Old Republic")</f>
        <v>STAR WARS: Knights of the Old Republic</v>
      </c>
      <c r="B987" s="13" t="str">
        <f>IFERROR(__xludf.DUMMYFUNCTION("""COMPUTED_VALUE"""),"Xbox")</f>
        <v>Xbox</v>
      </c>
      <c r="C987" s="14"/>
      <c r="D987" s="14" t="str">
        <f>IFERROR(__xludf.DUMMYFUNCTION("""COMPUTED_VALUE"""),"Removed")</f>
        <v>Removed</v>
      </c>
      <c r="E987" s="294">
        <f>IFERROR(__xludf.DUMMYFUNCTION("""COMPUTED_VALUE"""),43253.0)</f>
        <v>43253</v>
      </c>
      <c r="F987" s="15">
        <f>IFERROR(__xludf.DUMMYFUNCTION("""COMPUTED_VALUE"""),43586.0)</f>
        <v>43586</v>
      </c>
      <c r="G987" s="18">
        <f>IFERROR(__xludf.DUMMYFUNCTION("""COMPUTED_VALUE"""),10.966666666666667)</f>
        <v>10.96666667</v>
      </c>
      <c r="H987" s="131">
        <f>IFERROR(__xludf.DUMMYFUNCTION("""COMPUTED_VALUE"""),37817.0)</f>
        <v>37817</v>
      </c>
      <c r="I987" s="18">
        <f>IFERROR(__xludf.DUMMYFUNCTION("""COMPUTED_VALUE"""),14.880555555555556)</f>
        <v>14.88055556</v>
      </c>
      <c r="J987" s="22">
        <f>IFERROR(__xludf.DUMMYFUNCTION("""COMPUTED_VALUE"""),94.0)</f>
        <v>94</v>
      </c>
      <c r="K987" s="22">
        <f>IFERROR(__xludf.DUMMYFUNCTION("""COMPUTED_VALUE"""),29.0)</f>
        <v>29</v>
      </c>
      <c r="L987" s="26" t="str">
        <f>IFERROR(__xludf.DUMMYFUNCTION("""COMPUTED_VALUE"""),"RPG")</f>
        <v>RPG</v>
      </c>
    </row>
    <row r="988">
      <c r="A988" s="12" t="str">
        <f>IFERROR(__xludf.DUMMYFUNCTION("""COMPUTED_VALUE"""),"MotoGP 17")</f>
        <v>MotoGP 17</v>
      </c>
      <c r="B988" s="13" t="str">
        <f>IFERROR(__xludf.DUMMYFUNCTION("""COMPUTED_VALUE"""),"Xbox")</f>
        <v>Xbox</v>
      </c>
      <c r="C988" s="14"/>
      <c r="D988" s="14" t="str">
        <f>IFERROR(__xludf.DUMMYFUNCTION("""COMPUTED_VALUE"""),"Removed")</f>
        <v>Removed</v>
      </c>
      <c r="E988" s="294">
        <f>IFERROR(__xludf.DUMMYFUNCTION("""COMPUTED_VALUE"""),43252.0)</f>
        <v>43252</v>
      </c>
      <c r="F988" s="15">
        <f>IFERROR(__xludf.DUMMYFUNCTION("""COMPUTED_VALUE"""),43586.0)</f>
        <v>43586</v>
      </c>
      <c r="G988" s="18">
        <f>IFERROR(__xludf.DUMMYFUNCTION("""COMPUTED_VALUE"""),11.0)</f>
        <v>11</v>
      </c>
      <c r="H988" s="131">
        <f>IFERROR(__xludf.DUMMYFUNCTION("""COMPUTED_VALUE"""),42927.0)</f>
        <v>42927</v>
      </c>
      <c r="I988" s="18">
        <f>IFERROR(__xludf.DUMMYFUNCTION("""COMPUTED_VALUE"""),0.8888888888888888)</f>
        <v>0.8888888889</v>
      </c>
      <c r="J988" s="22">
        <f>IFERROR(__xludf.DUMMYFUNCTION("""COMPUTED_VALUE"""),73.0)</f>
        <v>73</v>
      </c>
      <c r="K988" s="22">
        <f>IFERROR(__xludf.DUMMYFUNCTION("""COMPUTED_VALUE"""),50.5)</f>
        <v>50.5</v>
      </c>
      <c r="L988" s="26" t="str">
        <f>IFERROR(__xludf.DUMMYFUNCTION("""COMPUTED_VALUE"""),"Racing")</f>
        <v>Racing</v>
      </c>
    </row>
    <row r="989">
      <c r="A989" s="12" t="str">
        <f>IFERROR(__xludf.DUMMYFUNCTION("""COMPUTED_VALUE"""),"Star Wars: The Force Unleashed")</f>
        <v>Star Wars: The Force Unleashed</v>
      </c>
      <c r="B989" s="13" t="str">
        <f>IFERROR(__xludf.DUMMYFUNCTION("""COMPUTED_VALUE"""),"Xbox")</f>
        <v>Xbox</v>
      </c>
      <c r="C989" s="14"/>
      <c r="D989" s="14" t="str">
        <f>IFERROR(__xludf.DUMMYFUNCTION("""COMPUTED_VALUE"""),"Removed")</f>
        <v>Removed</v>
      </c>
      <c r="E989" s="294">
        <f>IFERROR(__xludf.DUMMYFUNCTION("""COMPUTED_VALUE"""),43252.0)</f>
        <v>43252</v>
      </c>
      <c r="F989" s="15">
        <f>IFERROR(__xludf.DUMMYFUNCTION("""COMPUTED_VALUE"""),43586.0)</f>
        <v>43586</v>
      </c>
      <c r="G989" s="18">
        <f>IFERROR(__xludf.DUMMYFUNCTION("""COMPUTED_VALUE"""),11.0)</f>
        <v>11</v>
      </c>
      <c r="H989" s="131">
        <f>IFERROR(__xludf.DUMMYFUNCTION("""COMPUTED_VALUE"""),39707.0)</f>
        <v>39707</v>
      </c>
      <c r="I989" s="18">
        <f>IFERROR(__xludf.DUMMYFUNCTION("""COMPUTED_VALUE"""),9.708333333333334)</f>
        <v>9.708333333</v>
      </c>
      <c r="J989" s="22">
        <f>IFERROR(__xludf.DUMMYFUNCTION("""COMPUTED_VALUE"""),73.0)</f>
        <v>73</v>
      </c>
      <c r="K989" s="22">
        <f>IFERROR(__xludf.DUMMYFUNCTION("""COMPUTED_VALUE"""),8.0)</f>
        <v>8</v>
      </c>
      <c r="L989" s="26" t="str">
        <f>IFERROR(__xludf.DUMMYFUNCTION("""COMPUTED_VALUE"""),"Action-Adventure")</f>
        <v>Action-Adventure</v>
      </c>
    </row>
    <row r="990">
      <c r="A990" s="12" t="str">
        <f>IFERROR(__xludf.DUMMYFUNCTION("""COMPUTED_VALUE"""),"Star Wars: The Force Unleashed II")</f>
        <v>Star Wars: The Force Unleashed II</v>
      </c>
      <c r="B990" s="13" t="str">
        <f>IFERROR(__xludf.DUMMYFUNCTION("""COMPUTED_VALUE"""),"Xbox")</f>
        <v>Xbox</v>
      </c>
      <c r="C990" s="14"/>
      <c r="D990" s="14" t="str">
        <f>IFERROR(__xludf.DUMMYFUNCTION("""COMPUTED_VALUE"""),"Removed")</f>
        <v>Removed</v>
      </c>
      <c r="E990" s="294">
        <f>IFERROR(__xludf.DUMMYFUNCTION("""COMPUTED_VALUE"""),43252.0)</f>
        <v>43252</v>
      </c>
      <c r="F990" s="15">
        <f>IFERROR(__xludf.DUMMYFUNCTION("""COMPUTED_VALUE"""),43586.0)</f>
        <v>43586</v>
      </c>
      <c r="G990" s="18">
        <f>IFERROR(__xludf.DUMMYFUNCTION("""COMPUTED_VALUE"""),11.0)</f>
        <v>11</v>
      </c>
      <c r="H990" s="131">
        <f>IFERROR(__xludf.DUMMYFUNCTION("""COMPUTED_VALUE"""),40477.0)</f>
        <v>40477</v>
      </c>
      <c r="I990" s="18">
        <f>IFERROR(__xludf.DUMMYFUNCTION("""COMPUTED_VALUE"""),7.597222222222222)</f>
        <v>7.597222222</v>
      </c>
      <c r="J990" s="22">
        <f>IFERROR(__xludf.DUMMYFUNCTION("""COMPUTED_VALUE"""),61.0)</f>
        <v>61</v>
      </c>
      <c r="K990" s="22">
        <f>IFERROR(__xludf.DUMMYFUNCTION("""COMPUTED_VALUE"""),5.5)</f>
        <v>5.5</v>
      </c>
      <c r="L990" s="26" t="str">
        <f>IFERROR(__xludf.DUMMYFUNCTION("""COMPUTED_VALUE"""),"Action-Adventure")</f>
        <v>Action-Adventure</v>
      </c>
    </row>
    <row r="991">
      <c r="A991" s="12" t="str">
        <f>IFERROR(__xludf.DUMMYFUNCTION("""COMPUTED_VALUE"""),"Laser League")</f>
        <v>Laser League</v>
      </c>
      <c r="B991" s="13" t="str">
        <f>IFERROR(__xludf.DUMMYFUNCTION("""COMPUTED_VALUE"""),"Xbox")</f>
        <v>Xbox</v>
      </c>
      <c r="C991" s="14"/>
      <c r="D991" s="14" t="str">
        <f>IFERROR(__xludf.DUMMYFUNCTION("""COMPUTED_VALUE"""),"Removed")</f>
        <v>Removed</v>
      </c>
      <c r="E991" s="294">
        <f>IFERROR(__xludf.DUMMYFUNCTION("""COMPUTED_VALUE"""),43230.0)</f>
        <v>43230</v>
      </c>
      <c r="F991" s="15">
        <f>IFERROR(__xludf.DUMMYFUNCTION("""COMPUTED_VALUE"""),43586.0)</f>
        <v>43586</v>
      </c>
      <c r="G991" s="18">
        <f>IFERROR(__xludf.DUMMYFUNCTION("""COMPUTED_VALUE"""),11.7)</f>
        <v>11.7</v>
      </c>
      <c r="H991" s="131">
        <f>IFERROR(__xludf.DUMMYFUNCTION("""COMPUTED_VALUE"""),43230.0)</f>
        <v>43230</v>
      </c>
      <c r="I991" s="18">
        <f>IFERROR(__xludf.DUMMYFUNCTION("""COMPUTED_VALUE"""),0.0)</f>
        <v>0</v>
      </c>
      <c r="J991" s="22">
        <f>IFERROR(__xludf.DUMMYFUNCTION("""COMPUTED_VALUE"""),81.0)</f>
        <v>81</v>
      </c>
      <c r="K991" s="22">
        <f>IFERROR(__xludf.DUMMYFUNCTION("""COMPUTED_VALUE"""),3.0)</f>
        <v>3</v>
      </c>
      <c r="L991" s="26" t="str">
        <f>IFERROR(__xludf.DUMMYFUNCTION("""COMPUTED_VALUE"""),"Sports")</f>
        <v>Sports</v>
      </c>
    </row>
    <row r="992">
      <c r="A992" s="12" t="str">
        <f>IFERROR(__xludf.DUMMYFUNCTION("""COMPUTED_VALUE"""),"Comic Jumper")</f>
        <v>Comic Jumper</v>
      </c>
      <c r="B992" s="13" t="str">
        <f>IFERROR(__xludf.DUMMYFUNCTION("""COMPUTED_VALUE"""),"Xbox")</f>
        <v>Xbox</v>
      </c>
      <c r="C992" s="14"/>
      <c r="D992" s="14" t="str">
        <f>IFERROR(__xludf.DUMMYFUNCTION("""COMPUTED_VALUE"""),"Removed")</f>
        <v>Removed</v>
      </c>
      <c r="E992" s="294">
        <f>IFERROR(__xludf.DUMMYFUNCTION("""COMPUTED_VALUE"""),42887.0)</f>
        <v>42887</v>
      </c>
      <c r="F992" s="15">
        <f>IFERROR(__xludf.DUMMYFUNCTION("""COMPUTED_VALUE"""),43586.0)</f>
        <v>43586</v>
      </c>
      <c r="G992" s="18">
        <f>IFERROR(__xludf.DUMMYFUNCTION("""COMPUTED_VALUE"""),23.0)</f>
        <v>23</v>
      </c>
      <c r="H992" s="131">
        <f>IFERROR(__xludf.DUMMYFUNCTION("""COMPUTED_VALUE"""),40457.0)</f>
        <v>40457</v>
      </c>
      <c r="I992" s="18">
        <f>IFERROR(__xludf.DUMMYFUNCTION("""COMPUTED_VALUE"""),6.652777777777778)</f>
        <v>6.652777778</v>
      </c>
      <c r="J992" s="22">
        <f>IFERROR(__xludf.DUMMYFUNCTION("""COMPUTED_VALUE"""),74.0)</f>
        <v>74</v>
      </c>
      <c r="K992" s="22">
        <f>IFERROR(__xludf.DUMMYFUNCTION("""COMPUTED_VALUE"""),5.5)</f>
        <v>5.5</v>
      </c>
      <c r="L992" s="26" t="str">
        <f>IFERROR(__xludf.DUMMYFUNCTION("""COMPUTED_VALUE"""),"Shooter")</f>
        <v>Shooter</v>
      </c>
    </row>
    <row r="993">
      <c r="A993" s="12" t="str">
        <f>IFERROR(__xludf.DUMMYFUNCTION("""COMPUTED_VALUE"""),"D4: Dark Dreams Don't Die")</f>
        <v>D4: Dark Dreams Don't Die</v>
      </c>
      <c r="B993" s="13" t="str">
        <f>IFERROR(__xludf.DUMMYFUNCTION("""COMPUTED_VALUE"""),"Xbox")</f>
        <v>Xbox</v>
      </c>
      <c r="C993" s="14"/>
      <c r="D993" s="14" t="str">
        <f>IFERROR(__xludf.DUMMYFUNCTION("""COMPUTED_VALUE"""),"Removed")</f>
        <v>Removed</v>
      </c>
      <c r="E993" s="294">
        <f>IFERROR(__xludf.DUMMYFUNCTION("""COMPUTED_VALUE"""),42887.0)</f>
        <v>42887</v>
      </c>
      <c r="F993" s="15">
        <f>IFERROR(__xludf.DUMMYFUNCTION("""COMPUTED_VALUE"""),43586.0)</f>
        <v>43586</v>
      </c>
      <c r="G993" s="18">
        <f>IFERROR(__xludf.DUMMYFUNCTION("""COMPUTED_VALUE"""),23.0)</f>
        <v>23</v>
      </c>
      <c r="H993" s="131">
        <f>IFERROR(__xludf.DUMMYFUNCTION("""COMPUTED_VALUE"""),41901.0)</f>
        <v>41901</v>
      </c>
      <c r="I993" s="18">
        <f>IFERROR(__xludf.DUMMYFUNCTION("""COMPUTED_VALUE"""),2.7)</f>
        <v>2.7</v>
      </c>
      <c r="J993" s="22">
        <f>IFERROR(__xludf.DUMMYFUNCTION("""COMPUTED_VALUE"""),76.0)</f>
        <v>76</v>
      </c>
      <c r="K993" s="22">
        <f>IFERROR(__xludf.DUMMYFUNCTION("""COMPUTED_VALUE"""),4.5)</f>
        <v>4.5</v>
      </c>
      <c r="L993" s="26" t="str">
        <f>IFERROR(__xludf.DUMMYFUNCTION("""COMPUTED_VALUE"""),"Adventure")</f>
        <v>Adventure</v>
      </c>
    </row>
    <row r="994">
      <c r="A994" s="12" t="str">
        <f>IFERROR(__xludf.DUMMYFUNCTION("""COMPUTED_VALUE"""),"DmC: Devil May Cry - Definitive Edition")</f>
        <v>DmC: Devil May Cry - Definitive Edition</v>
      </c>
      <c r="B994" s="13" t="str">
        <f>IFERROR(__xludf.DUMMYFUNCTION("""COMPUTED_VALUE"""),"Xbox")</f>
        <v>Xbox</v>
      </c>
      <c r="C994" s="14"/>
      <c r="D994" s="14" t="str">
        <f>IFERROR(__xludf.DUMMYFUNCTION("""COMPUTED_VALUE"""),"Removed")</f>
        <v>Removed</v>
      </c>
      <c r="E994" s="294">
        <f>IFERROR(__xludf.DUMMYFUNCTION("""COMPUTED_VALUE"""),42887.0)</f>
        <v>42887</v>
      </c>
      <c r="F994" s="15">
        <f>IFERROR(__xludf.DUMMYFUNCTION("""COMPUTED_VALUE"""),43586.0)</f>
        <v>43586</v>
      </c>
      <c r="G994" s="18">
        <f>IFERROR(__xludf.DUMMYFUNCTION("""COMPUTED_VALUE"""),23.0)</f>
        <v>23</v>
      </c>
      <c r="H994" s="131">
        <f>IFERROR(__xludf.DUMMYFUNCTION("""COMPUTED_VALUE"""),41289.0)</f>
        <v>41289</v>
      </c>
      <c r="I994" s="18">
        <f>IFERROR(__xludf.DUMMYFUNCTION("""COMPUTED_VALUE"""),4.377777777777778)</f>
        <v>4.377777778</v>
      </c>
      <c r="J994" s="22">
        <f>IFERROR(__xludf.DUMMYFUNCTION("""COMPUTED_VALUE"""),86.0)</f>
        <v>86</v>
      </c>
      <c r="K994" s="22">
        <f>IFERROR(__xludf.DUMMYFUNCTION("""COMPUTED_VALUE"""),9.0)</f>
        <v>9</v>
      </c>
      <c r="L994" s="26" t="str">
        <f>IFERROR(__xludf.DUMMYFUNCTION("""COMPUTED_VALUE"""),"Action-Adventure")</f>
        <v>Action-Adventure</v>
      </c>
    </row>
    <row r="995">
      <c r="A995" s="12" t="str">
        <f>IFERROR(__xludf.DUMMYFUNCTION("""COMPUTED_VALUE"""),"JumpJet Rex")</f>
        <v>JumpJet Rex</v>
      </c>
      <c r="B995" s="13" t="str">
        <f>IFERROR(__xludf.DUMMYFUNCTION("""COMPUTED_VALUE"""),"Xbox")</f>
        <v>Xbox</v>
      </c>
      <c r="C995" s="14"/>
      <c r="D995" s="14" t="str">
        <f>IFERROR(__xludf.DUMMYFUNCTION("""COMPUTED_VALUE"""),"Removed")</f>
        <v>Removed</v>
      </c>
      <c r="E995" s="294">
        <f>IFERROR(__xludf.DUMMYFUNCTION("""COMPUTED_VALUE"""),42887.0)</f>
        <v>42887</v>
      </c>
      <c r="F995" s="15">
        <f>IFERROR(__xludf.DUMMYFUNCTION("""COMPUTED_VALUE"""),43586.0)</f>
        <v>43586</v>
      </c>
      <c r="G995" s="18">
        <f>IFERROR(__xludf.DUMMYFUNCTION("""COMPUTED_VALUE"""),23.0)</f>
        <v>23</v>
      </c>
      <c r="H995" s="131">
        <f>IFERROR(__xludf.DUMMYFUNCTION("""COMPUTED_VALUE"""),42489.0)</f>
        <v>42489</v>
      </c>
      <c r="I995" s="18">
        <f>IFERROR(__xludf.DUMMYFUNCTION("""COMPUTED_VALUE"""),1.0888888888888888)</f>
        <v>1.088888889</v>
      </c>
      <c r="J995" s="22">
        <f>IFERROR(__xludf.DUMMYFUNCTION("""COMPUTED_VALUE"""),76.0)</f>
        <v>76</v>
      </c>
      <c r="K995" s="22">
        <f>IFERROR(__xludf.DUMMYFUNCTION("""COMPUTED_VALUE"""),3.0)</f>
        <v>3</v>
      </c>
      <c r="L995" s="26" t="str">
        <f>IFERROR(__xludf.DUMMYFUNCTION("""COMPUTED_VALUE"""),"Platformer")</f>
        <v>Platformer</v>
      </c>
    </row>
    <row r="996">
      <c r="A996" s="12" t="str">
        <f>IFERROR(__xludf.DUMMYFUNCTION("""COMPUTED_VALUE"""),"Knight Squad")</f>
        <v>Knight Squad</v>
      </c>
      <c r="B996" s="13" t="str">
        <f>IFERROR(__xludf.DUMMYFUNCTION("""COMPUTED_VALUE"""),"Xbox")</f>
        <v>Xbox</v>
      </c>
      <c r="C996" s="14"/>
      <c r="D996" s="14" t="str">
        <f>IFERROR(__xludf.DUMMYFUNCTION("""COMPUTED_VALUE"""),"Removed")</f>
        <v>Removed</v>
      </c>
      <c r="E996" s="294">
        <f>IFERROR(__xludf.DUMMYFUNCTION("""COMPUTED_VALUE"""),42887.0)</f>
        <v>42887</v>
      </c>
      <c r="F996" s="15">
        <f>IFERROR(__xludf.DUMMYFUNCTION("""COMPUTED_VALUE"""),43586.0)</f>
        <v>43586</v>
      </c>
      <c r="G996" s="18">
        <f>IFERROR(__xludf.DUMMYFUNCTION("""COMPUTED_VALUE"""),23.0)</f>
        <v>23</v>
      </c>
      <c r="H996" s="131">
        <f>IFERROR(__xludf.DUMMYFUNCTION("""COMPUTED_VALUE"""),42324.0)</f>
        <v>42324</v>
      </c>
      <c r="I996" s="18">
        <f>IFERROR(__xludf.DUMMYFUNCTION("""COMPUTED_VALUE"""),1.5416666666666667)</f>
        <v>1.541666667</v>
      </c>
      <c r="J996" s="22">
        <f>IFERROR(__xludf.DUMMYFUNCTION("""COMPUTED_VALUE"""),71.0)</f>
        <v>71</v>
      </c>
      <c r="K996" s="22">
        <f>IFERROR(__xludf.DUMMYFUNCTION("""COMPUTED_VALUE"""),1.0)</f>
        <v>1</v>
      </c>
      <c r="L996" s="26" t="str">
        <f>IFERROR(__xludf.DUMMYFUNCTION("""COMPUTED_VALUE"""),"Action")</f>
        <v>Action</v>
      </c>
    </row>
    <row r="997">
      <c r="A997" s="12" t="str">
        <f>IFERROR(__xludf.DUMMYFUNCTION("""COMPUTED_VALUE"""),"Layers of Fear")</f>
        <v>Layers of Fear</v>
      </c>
      <c r="B997" s="13" t="str">
        <f>IFERROR(__xludf.DUMMYFUNCTION("""COMPUTED_VALUE"""),"Xbox")</f>
        <v>Xbox</v>
      </c>
      <c r="C997" s="14"/>
      <c r="D997" s="14" t="str">
        <f>IFERROR(__xludf.DUMMYFUNCTION("""COMPUTED_VALUE"""),"Removed")</f>
        <v>Removed</v>
      </c>
      <c r="E997" s="294">
        <f>IFERROR(__xludf.DUMMYFUNCTION("""COMPUTED_VALUE"""),42887.0)</f>
        <v>42887</v>
      </c>
      <c r="F997" s="15">
        <f>IFERROR(__xludf.DUMMYFUNCTION("""COMPUTED_VALUE"""),43586.0)</f>
        <v>43586</v>
      </c>
      <c r="G997" s="18">
        <f>IFERROR(__xludf.DUMMYFUNCTION("""COMPUTED_VALUE"""),23.0)</f>
        <v>23</v>
      </c>
      <c r="H997" s="131">
        <f>IFERROR(__xludf.DUMMYFUNCTION("""COMPUTED_VALUE"""),42415.0)</f>
        <v>42415</v>
      </c>
      <c r="I997" s="18">
        <f>IFERROR(__xludf.DUMMYFUNCTION("""COMPUTED_VALUE"""),1.2944444444444445)</f>
        <v>1.294444444</v>
      </c>
      <c r="J997" s="22">
        <f>IFERROR(__xludf.DUMMYFUNCTION("""COMPUTED_VALUE"""),78.0)</f>
        <v>78</v>
      </c>
      <c r="K997" s="22">
        <f>IFERROR(__xludf.DUMMYFUNCTION("""COMPUTED_VALUE"""),3.5)</f>
        <v>3.5</v>
      </c>
      <c r="L997" s="26" t="str">
        <f>IFERROR(__xludf.DUMMYFUNCTION("""COMPUTED_VALUE"""),"Adventure")</f>
        <v>Adventure</v>
      </c>
    </row>
    <row r="998">
      <c r="A998" s="12" t="str">
        <f>IFERROR(__xludf.DUMMYFUNCTION("""COMPUTED_VALUE"""),"Mega Man Legacy Collection")</f>
        <v>Mega Man Legacy Collection</v>
      </c>
      <c r="B998" s="13" t="str">
        <f>IFERROR(__xludf.DUMMYFUNCTION("""COMPUTED_VALUE"""),"Xbox")</f>
        <v>Xbox</v>
      </c>
      <c r="C998" s="14"/>
      <c r="D998" s="14" t="str">
        <f>IFERROR(__xludf.DUMMYFUNCTION("""COMPUTED_VALUE"""),"Removed")</f>
        <v>Removed</v>
      </c>
      <c r="E998" s="294">
        <f>IFERROR(__xludf.DUMMYFUNCTION("""COMPUTED_VALUE"""),42887.0)</f>
        <v>42887</v>
      </c>
      <c r="F998" s="15">
        <f>IFERROR(__xludf.DUMMYFUNCTION("""COMPUTED_VALUE"""),43586.0)</f>
        <v>43586</v>
      </c>
      <c r="G998" s="18">
        <f>IFERROR(__xludf.DUMMYFUNCTION("""COMPUTED_VALUE"""),23.0)</f>
        <v>23</v>
      </c>
      <c r="H998" s="131">
        <f>IFERROR(__xludf.DUMMYFUNCTION("""COMPUTED_VALUE"""),42241.0)</f>
        <v>42241</v>
      </c>
      <c r="I998" s="18">
        <f>IFERROR(__xludf.DUMMYFUNCTION("""COMPUTED_VALUE"""),1.7666666666666666)</f>
        <v>1.766666667</v>
      </c>
      <c r="J998" s="22">
        <f>IFERROR(__xludf.DUMMYFUNCTION("""COMPUTED_VALUE"""),80.0)</f>
        <v>80</v>
      </c>
      <c r="K998" s="22">
        <f>IFERROR(__xludf.DUMMYFUNCTION("""COMPUTED_VALUE"""),20.0)</f>
        <v>20</v>
      </c>
      <c r="L998" s="26" t="str">
        <f>IFERROR(__xludf.DUMMYFUNCTION("""COMPUTED_VALUE"""),"Platformer")</f>
        <v>Platformer</v>
      </c>
    </row>
    <row r="999">
      <c r="A999" s="12" t="str">
        <f>IFERROR(__xludf.DUMMYFUNCTION("""COMPUTED_VALUE"""),"Ms. Splosion Man")</f>
        <v>Ms. Splosion Man</v>
      </c>
      <c r="B999" s="13" t="str">
        <f>IFERROR(__xludf.DUMMYFUNCTION("""COMPUTED_VALUE"""),"Xbox")</f>
        <v>Xbox</v>
      </c>
      <c r="C999" s="14"/>
      <c r="D999" s="14" t="str">
        <f>IFERROR(__xludf.DUMMYFUNCTION("""COMPUTED_VALUE"""),"Removed")</f>
        <v>Removed</v>
      </c>
      <c r="E999" s="294">
        <f>IFERROR(__xludf.DUMMYFUNCTION("""COMPUTED_VALUE"""),42887.0)</f>
        <v>42887</v>
      </c>
      <c r="F999" s="15">
        <f>IFERROR(__xludf.DUMMYFUNCTION("""COMPUTED_VALUE"""),43586.0)</f>
        <v>43586</v>
      </c>
      <c r="G999" s="18">
        <f>IFERROR(__xludf.DUMMYFUNCTION("""COMPUTED_VALUE"""),23.0)</f>
        <v>23</v>
      </c>
      <c r="H999" s="131">
        <f>IFERROR(__xludf.DUMMYFUNCTION("""COMPUTED_VALUE"""),40737.0)</f>
        <v>40737</v>
      </c>
      <c r="I999" s="18">
        <f>IFERROR(__xludf.DUMMYFUNCTION("""COMPUTED_VALUE"""),5.883333333333334)</f>
        <v>5.883333333</v>
      </c>
      <c r="J999" s="22">
        <f>IFERROR(__xludf.DUMMYFUNCTION("""COMPUTED_VALUE"""),83.0)</f>
        <v>83</v>
      </c>
      <c r="K999" s="22">
        <f>IFERROR(__xludf.DUMMYFUNCTION("""COMPUTED_VALUE"""),8.5)</f>
        <v>8.5</v>
      </c>
      <c r="L999" s="26" t="str">
        <f>IFERROR(__xludf.DUMMYFUNCTION("""COMPUTED_VALUE"""),"Platformer")</f>
        <v>Platformer</v>
      </c>
    </row>
    <row r="1000">
      <c r="A1000" s="12" t="str">
        <f>IFERROR(__xludf.DUMMYFUNCTION("""COMPUTED_VALUE"""),"Shantae and the Pirate's Curse")</f>
        <v>Shantae and the Pirate's Curse</v>
      </c>
      <c r="B1000" s="13" t="str">
        <f>IFERROR(__xludf.DUMMYFUNCTION("""COMPUTED_VALUE"""),"Xbox")</f>
        <v>Xbox</v>
      </c>
      <c r="C1000" s="14"/>
      <c r="D1000" s="14" t="str">
        <f>IFERROR(__xludf.DUMMYFUNCTION("""COMPUTED_VALUE"""),"Removed")</f>
        <v>Removed</v>
      </c>
      <c r="E1000" s="294">
        <f>IFERROR(__xludf.DUMMYFUNCTION("""COMPUTED_VALUE"""),42887.0)</f>
        <v>42887</v>
      </c>
      <c r="F1000" s="15">
        <f>IFERROR(__xludf.DUMMYFUNCTION("""COMPUTED_VALUE"""),43586.0)</f>
        <v>43586</v>
      </c>
      <c r="G1000" s="18">
        <f>IFERROR(__xludf.DUMMYFUNCTION("""COMPUTED_VALUE"""),23.0)</f>
        <v>23</v>
      </c>
      <c r="H1000" s="131">
        <f>IFERROR(__xludf.DUMMYFUNCTION("""COMPUTED_VALUE"""),41935.0)</f>
        <v>41935</v>
      </c>
      <c r="I1000" s="18">
        <f>IFERROR(__xludf.DUMMYFUNCTION("""COMPUTED_VALUE"""),2.6055555555555556)</f>
        <v>2.605555556</v>
      </c>
      <c r="J1000" s="22">
        <f>IFERROR(__xludf.DUMMYFUNCTION("""COMPUTED_VALUE"""),79.0)</f>
        <v>79</v>
      </c>
      <c r="K1000" s="22">
        <f>IFERROR(__xludf.DUMMYFUNCTION("""COMPUTED_VALUE"""),8.0)</f>
        <v>8</v>
      </c>
      <c r="L1000" s="26" t="str">
        <f>IFERROR(__xludf.DUMMYFUNCTION("""COMPUTED_VALUE"""),"Platformer")</f>
        <v>Platformer</v>
      </c>
    </row>
    <row r="1001">
      <c r="A1001" s="12" t="str">
        <f>IFERROR(__xludf.DUMMYFUNCTION("""COMPUTED_VALUE"""),"Super Mega Baseball: Extra Innings")</f>
        <v>Super Mega Baseball: Extra Innings</v>
      </c>
      <c r="B1001" s="13" t="str">
        <f>IFERROR(__xludf.DUMMYFUNCTION("""COMPUTED_VALUE"""),"Xbox")</f>
        <v>Xbox</v>
      </c>
      <c r="C1001" s="14"/>
      <c r="D1001" s="14" t="str">
        <f>IFERROR(__xludf.DUMMYFUNCTION("""COMPUTED_VALUE"""),"Removed")</f>
        <v>Removed</v>
      </c>
      <c r="E1001" s="294">
        <f>IFERROR(__xludf.DUMMYFUNCTION("""COMPUTED_VALUE"""),42887.0)</f>
        <v>42887</v>
      </c>
      <c r="F1001" s="15">
        <f>IFERROR(__xludf.DUMMYFUNCTION("""COMPUTED_VALUE"""),43586.0)</f>
        <v>43586</v>
      </c>
      <c r="G1001" s="18">
        <f>IFERROR(__xludf.DUMMYFUNCTION("""COMPUTED_VALUE"""),23.0)</f>
        <v>23</v>
      </c>
      <c r="H1001" s="131">
        <f>IFERROR(__xludf.DUMMYFUNCTION("""COMPUTED_VALUE"""),42230.0)</f>
        <v>42230</v>
      </c>
      <c r="I1001" s="18">
        <f>IFERROR(__xludf.DUMMYFUNCTION("""COMPUTED_VALUE"""),1.7972222222222223)</f>
        <v>1.797222222</v>
      </c>
      <c r="J1001" s="22">
        <f>IFERROR(__xludf.DUMMYFUNCTION("""COMPUTED_VALUE"""),80.0)</f>
        <v>80</v>
      </c>
      <c r="K1001" s="22">
        <f>IFERROR(__xludf.DUMMYFUNCTION("""COMPUTED_VALUE"""),10.5)</f>
        <v>10.5</v>
      </c>
      <c r="L1001" s="26" t="str">
        <f>IFERROR(__xludf.DUMMYFUNCTION("""COMPUTED_VALUE"""),"Baseball")</f>
        <v>Baseball</v>
      </c>
    </row>
    <row r="1002">
      <c r="A1002" s="12" t="str">
        <f>IFERROR(__xludf.DUMMYFUNCTION("""COMPUTED_VALUE"""),"Super Time Force")</f>
        <v>Super Time Force</v>
      </c>
      <c r="B1002" s="13" t="str">
        <f>IFERROR(__xludf.DUMMYFUNCTION("""COMPUTED_VALUE"""),"Xbox")</f>
        <v>Xbox</v>
      </c>
      <c r="C1002" s="14"/>
      <c r="D1002" s="14" t="str">
        <f>IFERROR(__xludf.DUMMYFUNCTION("""COMPUTED_VALUE"""),"Removed")</f>
        <v>Removed</v>
      </c>
      <c r="E1002" s="294">
        <f>IFERROR(__xludf.DUMMYFUNCTION("""COMPUTED_VALUE"""),42887.0)</f>
        <v>42887</v>
      </c>
      <c r="F1002" s="15">
        <f>IFERROR(__xludf.DUMMYFUNCTION("""COMPUTED_VALUE"""),43586.0)</f>
        <v>43586</v>
      </c>
      <c r="G1002" s="18">
        <f>IFERROR(__xludf.DUMMYFUNCTION("""COMPUTED_VALUE"""),23.0)</f>
        <v>23</v>
      </c>
      <c r="H1002" s="131">
        <f>IFERROR(__xludf.DUMMYFUNCTION("""COMPUTED_VALUE"""),41773.0)</f>
        <v>41773</v>
      </c>
      <c r="I1002" s="18">
        <f>IFERROR(__xludf.DUMMYFUNCTION("""COMPUTED_VALUE"""),3.047222222222222)</f>
        <v>3.047222222</v>
      </c>
      <c r="J1002" s="22">
        <f>IFERROR(__xludf.DUMMYFUNCTION("""COMPUTED_VALUE"""),80.0)</f>
        <v>80</v>
      </c>
      <c r="K1002" s="22">
        <f>IFERROR(__xludf.DUMMYFUNCTION("""COMPUTED_VALUE"""),4.0)</f>
        <v>4</v>
      </c>
      <c r="L1002" s="26" t="str">
        <f>IFERROR(__xludf.DUMMYFUNCTION("""COMPUTED_VALUE"""),"Platformer")</f>
        <v>Platformer</v>
      </c>
    </row>
    <row r="1003">
      <c r="A1003" s="12" t="str">
        <f>IFERROR(__xludf.DUMMYFUNCTION("""COMPUTED_VALUE"""),"OlliOlli2: XL Edition")</f>
        <v>OlliOlli2: XL Edition</v>
      </c>
      <c r="B1003" s="13" t="str">
        <f>IFERROR(__xludf.DUMMYFUNCTION("""COMPUTED_VALUE"""),"Xbox")</f>
        <v>Xbox</v>
      </c>
      <c r="C1003" s="14"/>
      <c r="D1003" s="14" t="str">
        <f>IFERROR(__xludf.DUMMYFUNCTION("""COMPUTED_VALUE"""),"Removed")</f>
        <v>Removed</v>
      </c>
      <c r="E1003" s="294">
        <f>IFERROR(__xludf.DUMMYFUNCTION("""COMPUTED_VALUE"""),43405.0)</f>
        <v>43405</v>
      </c>
      <c r="F1003" s="15">
        <f>IFERROR(__xludf.DUMMYFUNCTION("""COMPUTED_VALUE"""),43556.0)</f>
        <v>43556</v>
      </c>
      <c r="G1003" s="18">
        <f>IFERROR(__xludf.DUMMYFUNCTION("""COMPUTED_VALUE"""),5.0)</f>
        <v>5</v>
      </c>
      <c r="H1003" s="131">
        <f>IFERROR(__xludf.DUMMYFUNCTION("""COMPUTED_VALUE"""),42591.0)</f>
        <v>42591</v>
      </c>
      <c r="I1003" s="18">
        <f>IFERROR(__xludf.DUMMYFUNCTION("""COMPUTED_VALUE"""),2.227777777777778)</f>
        <v>2.227777778</v>
      </c>
      <c r="J1003" s="22">
        <f>IFERROR(__xludf.DUMMYFUNCTION("""COMPUTED_VALUE"""),83.0)</f>
        <v>83</v>
      </c>
      <c r="K1003" s="22">
        <f>IFERROR(__xludf.DUMMYFUNCTION("""COMPUTED_VALUE"""),3.0)</f>
        <v>3</v>
      </c>
      <c r="L1003" s="26" t="str">
        <f>IFERROR(__xludf.DUMMYFUNCTION("""COMPUTED_VALUE"""),"Skateboarding")</f>
        <v>Skateboarding</v>
      </c>
    </row>
    <row r="1004">
      <c r="A1004" s="12" t="str">
        <f>IFERROR(__xludf.DUMMYFUNCTION("""COMPUTED_VALUE"""),"Sheltered")</f>
        <v>Sheltered</v>
      </c>
      <c r="B1004" s="13" t="str">
        <f>IFERROR(__xludf.DUMMYFUNCTION("""COMPUTED_VALUE"""),"Xbox")</f>
        <v>Xbox</v>
      </c>
      <c r="C1004" s="14"/>
      <c r="D1004" s="14" t="str">
        <f>IFERROR(__xludf.DUMMYFUNCTION("""COMPUTED_VALUE"""),"Removed")</f>
        <v>Removed</v>
      </c>
      <c r="E1004" s="294">
        <f>IFERROR(__xludf.DUMMYFUNCTION("""COMPUTED_VALUE"""),43405.0)</f>
        <v>43405</v>
      </c>
      <c r="F1004" s="15">
        <f>IFERROR(__xludf.DUMMYFUNCTION("""COMPUTED_VALUE"""),43556.0)</f>
        <v>43556</v>
      </c>
      <c r="G1004" s="18">
        <f>IFERROR(__xludf.DUMMYFUNCTION("""COMPUTED_VALUE"""),5.0)</f>
        <v>5</v>
      </c>
      <c r="H1004" s="131">
        <f>IFERROR(__xludf.DUMMYFUNCTION("""COMPUTED_VALUE"""),42444.0)</f>
        <v>42444</v>
      </c>
      <c r="I1004" s="18">
        <f>IFERROR(__xludf.DUMMYFUNCTION("""COMPUTED_VALUE"""),2.6277777777777778)</f>
        <v>2.627777778</v>
      </c>
      <c r="J1004" s="22">
        <f>IFERROR(__xludf.DUMMYFUNCTION("""COMPUTED_VALUE"""),69.0)</f>
        <v>69</v>
      </c>
      <c r="K1004" s="22">
        <f>IFERROR(__xludf.DUMMYFUNCTION("""COMPUTED_VALUE"""),20.0)</f>
        <v>20</v>
      </c>
      <c r="L1004" s="26" t="str">
        <f>IFERROR(__xludf.DUMMYFUNCTION("""COMPUTED_VALUE"""),"RPG")</f>
        <v>RPG</v>
      </c>
    </row>
    <row r="1005">
      <c r="A1005" s="12" t="str">
        <f>IFERROR(__xludf.DUMMYFUNCTION("""COMPUTED_VALUE"""),"Outlast")</f>
        <v>Outlast</v>
      </c>
      <c r="B1005" s="13" t="str">
        <f>IFERROR(__xludf.DUMMYFUNCTION("""COMPUTED_VALUE"""),"Xbox")</f>
        <v>Xbox</v>
      </c>
      <c r="C1005" s="14"/>
      <c r="D1005" s="14" t="str">
        <f>IFERROR(__xludf.DUMMYFUNCTION("""COMPUTED_VALUE"""),"Removed")</f>
        <v>Removed</v>
      </c>
      <c r="E1005" s="294">
        <f>IFERROR(__xludf.DUMMYFUNCTION("""COMPUTED_VALUE"""),43374.0)</f>
        <v>43374</v>
      </c>
      <c r="F1005" s="15">
        <f>IFERROR(__xludf.DUMMYFUNCTION("""COMPUTED_VALUE"""),43556.0)</f>
        <v>43556</v>
      </c>
      <c r="G1005" s="18">
        <f>IFERROR(__xludf.DUMMYFUNCTION("""COMPUTED_VALUE"""),6.0)</f>
        <v>6</v>
      </c>
      <c r="H1005" s="131">
        <f>IFERROR(__xludf.DUMMYFUNCTION("""COMPUTED_VALUE"""),41521.0)</f>
        <v>41521</v>
      </c>
      <c r="I1005" s="18">
        <f>IFERROR(__xludf.DUMMYFUNCTION("""COMPUTED_VALUE"""),5.075)</f>
        <v>5.075</v>
      </c>
      <c r="J1005" s="22">
        <f>IFERROR(__xludf.DUMMYFUNCTION("""COMPUTED_VALUE"""),80.0)</f>
        <v>80</v>
      </c>
      <c r="K1005" s="22">
        <f>IFERROR(__xludf.DUMMYFUNCTION("""COMPUTED_VALUE"""),5.0)</f>
        <v>5</v>
      </c>
      <c r="L1005" s="26" t="str">
        <f>IFERROR(__xludf.DUMMYFUNCTION("""COMPUTED_VALUE"""),"Adventure")</f>
        <v>Adventure</v>
      </c>
    </row>
    <row r="1006">
      <c r="A1006" s="12" t="str">
        <f>IFERROR(__xludf.DUMMYFUNCTION("""COMPUTED_VALUE"""),"Homefront: The Revolution")</f>
        <v>Homefront: The Revolution</v>
      </c>
      <c r="B1006" s="13" t="str">
        <f>IFERROR(__xludf.DUMMYFUNCTION("""COMPUTED_VALUE"""),"Xbox")</f>
        <v>Xbox</v>
      </c>
      <c r="C1006" s="14"/>
      <c r="D1006" s="14" t="str">
        <f>IFERROR(__xludf.DUMMYFUNCTION("""COMPUTED_VALUE"""),"Removed")</f>
        <v>Removed</v>
      </c>
      <c r="E1006" s="294">
        <f>IFERROR(__xludf.DUMMYFUNCTION("""COMPUTED_VALUE"""),43221.0)</f>
        <v>43221</v>
      </c>
      <c r="F1006" s="15">
        <f>IFERROR(__xludf.DUMMYFUNCTION("""COMPUTED_VALUE"""),43556.0)</f>
        <v>43556</v>
      </c>
      <c r="G1006" s="18">
        <f>IFERROR(__xludf.DUMMYFUNCTION("""COMPUTED_VALUE"""),11.0)</f>
        <v>11</v>
      </c>
      <c r="H1006" s="131">
        <f>IFERROR(__xludf.DUMMYFUNCTION("""COMPUTED_VALUE"""),42507.0)</f>
        <v>42507</v>
      </c>
      <c r="I1006" s="18">
        <f>IFERROR(__xludf.DUMMYFUNCTION("""COMPUTED_VALUE"""),1.9555555555555555)</f>
        <v>1.955555556</v>
      </c>
      <c r="J1006" s="22">
        <f>IFERROR(__xludf.DUMMYFUNCTION("""COMPUTED_VALUE"""),49.0)</f>
        <v>49</v>
      </c>
      <c r="K1006" s="22">
        <f>IFERROR(__xludf.DUMMYFUNCTION("""COMPUTED_VALUE"""),12.0)</f>
        <v>12</v>
      </c>
      <c r="L1006" s="26" t="str">
        <f>IFERROR(__xludf.DUMMYFUNCTION("""COMPUTED_VALUE"""),"Shooter")</f>
        <v>Shooter</v>
      </c>
    </row>
    <row r="1007">
      <c r="A1007" s="12" t="str">
        <f>IFERROR(__xludf.DUMMYFUNCTION("""COMPUTED_VALUE"""),"Sonic &amp; Knuckles")</f>
        <v>Sonic &amp; Knuckles</v>
      </c>
      <c r="B1007" s="13" t="str">
        <f>IFERROR(__xludf.DUMMYFUNCTION("""COMPUTED_VALUE"""),"Xbox")</f>
        <v>Xbox</v>
      </c>
      <c r="C1007" s="14"/>
      <c r="D1007" s="14" t="str">
        <f>IFERROR(__xludf.DUMMYFUNCTION("""COMPUTED_VALUE"""),"Removed")</f>
        <v>Removed</v>
      </c>
      <c r="E1007" s="294">
        <f>IFERROR(__xludf.DUMMYFUNCTION("""COMPUTED_VALUE"""),43221.0)</f>
        <v>43221</v>
      </c>
      <c r="F1007" s="15">
        <f>IFERROR(__xludf.DUMMYFUNCTION("""COMPUTED_VALUE"""),43556.0)</f>
        <v>43556</v>
      </c>
      <c r="G1007" s="18">
        <f>IFERROR(__xludf.DUMMYFUNCTION("""COMPUTED_VALUE"""),11.0)</f>
        <v>11</v>
      </c>
      <c r="H1007" s="131">
        <f>IFERROR(__xludf.DUMMYFUNCTION("""COMPUTED_VALUE"""),42962.0)</f>
        <v>42962</v>
      </c>
      <c r="I1007" s="18">
        <f>IFERROR(__xludf.DUMMYFUNCTION("""COMPUTED_VALUE"""),0.7111111111111111)</f>
        <v>0.7111111111</v>
      </c>
      <c r="J1007" s="22">
        <f>IFERROR(__xludf.DUMMYFUNCTION("""COMPUTED_VALUE"""),69.0)</f>
        <v>69</v>
      </c>
      <c r="K1007" s="22">
        <f>IFERROR(__xludf.DUMMYFUNCTION("""COMPUTED_VALUE"""),3.0)</f>
        <v>3</v>
      </c>
      <c r="L1007" s="26" t="str">
        <f>IFERROR(__xludf.DUMMYFUNCTION("""COMPUTED_VALUE"""),"Platformer")</f>
        <v>Platformer</v>
      </c>
    </row>
    <row r="1008">
      <c r="A1008" s="12" t="str">
        <f>IFERROR(__xludf.DUMMYFUNCTION("""COMPUTED_VALUE"""),"Unmechanical: Extended Edition")</f>
        <v>Unmechanical: Extended Edition</v>
      </c>
      <c r="B1008" s="13" t="str">
        <f>IFERROR(__xludf.DUMMYFUNCTION("""COMPUTED_VALUE"""),"Xbox")</f>
        <v>Xbox</v>
      </c>
      <c r="C1008" s="14"/>
      <c r="D1008" s="14" t="str">
        <f>IFERROR(__xludf.DUMMYFUNCTION("""COMPUTED_VALUE"""),"Removed")</f>
        <v>Removed</v>
      </c>
      <c r="E1008" s="294">
        <f>IFERROR(__xludf.DUMMYFUNCTION("""COMPUTED_VALUE"""),43221.0)</f>
        <v>43221</v>
      </c>
      <c r="F1008" s="15">
        <f>IFERROR(__xludf.DUMMYFUNCTION("""COMPUTED_VALUE"""),43556.0)</f>
        <v>43556</v>
      </c>
      <c r="G1008" s="18">
        <f>IFERROR(__xludf.DUMMYFUNCTION("""COMPUTED_VALUE"""),11.0)</f>
        <v>11</v>
      </c>
      <c r="H1008" s="131">
        <f>IFERROR(__xludf.DUMMYFUNCTION("""COMPUTED_VALUE"""),41129.0)</f>
        <v>41129</v>
      </c>
      <c r="I1008" s="18">
        <f>IFERROR(__xludf.DUMMYFUNCTION("""COMPUTED_VALUE"""),5.730555555555555)</f>
        <v>5.730555556</v>
      </c>
      <c r="J1008" s="22">
        <f>IFERROR(__xludf.DUMMYFUNCTION("""COMPUTED_VALUE"""),66.0)</f>
        <v>66</v>
      </c>
      <c r="K1008" s="22">
        <f>IFERROR(__xludf.DUMMYFUNCTION("""COMPUTED_VALUE"""),2.5)</f>
        <v>2.5</v>
      </c>
      <c r="L1008" s="26" t="str">
        <f>IFERROR(__xludf.DUMMYFUNCTION("""COMPUTED_VALUE"""),"Puzzle")</f>
        <v>Puzzle</v>
      </c>
    </row>
    <row r="1009">
      <c r="A1009" s="12" t="str">
        <f>IFERROR(__xludf.DUMMYFUNCTION("""COMPUTED_VALUE"""),"OlliOlli")</f>
        <v>OlliOlli</v>
      </c>
      <c r="B1009" s="13" t="str">
        <f>IFERROR(__xludf.DUMMYFUNCTION("""COMPUTED_VALUE"""),"Xbox")</f>
        <v>Xbox</v>
      </c>
      <c r="C1009" s="14"/>
      <c r="D1009" s="14" t="str">
        <f>IFERROR(__xludf.DUMMYFUNCTION("""COMPUTED_VALUE"""),"Removed")</f>
        <v>Removed</v>
      </c>
      <c r="E1009" s="294">
        <f>IFERROR(__xludf.DUMMYFUNCTION("""COMPUTED_VALUE"""),42887.0)</f>
        <v>42887</v>
      </c>
      <c r="F1009" s="15">
        <f>IFERROR(__xludf.DUMMYFUNCTION("""COMPUTED_VALUE"""),43556.0)</f>
        <v>43556</v>
      </c>
      <c r="G1009" s="18">
        <f>IFERROR(__xludf.DUMMYFUNCTION("""COMPUTED_VALUE"""),22.0)</f>
        <v>22</v>
      </c>
      <c r="H1009" s="131">
        <f>IFERROR(__xludf.DUMMYFUNCTION("""COMPUTED_VALUE"""),41660.0)</f>
        <v>41660</v>
      </c>
      <c r="I1009" s="18">
        <f>IFERROR(__xludf.DUMMYFUNCTION("""COMPUTED_VALUE"""),3.361111111111111)</f>
        <v>3.361111111</v>
      </c>
      <c r="J1009" s="22">
        <f>IFERROR(__xludf.DUMMYFUNCTION("""COMPUTED_VALUE"""),78.0)</f>
        <v>78</v>
      </c>
      <c r="K1009" s="22">
        <f>IFERROR(__xludf.DUMMYFUNCTION("""COMPUTED_VALUE"""),4.0)</f>
        <v>4</v>
      </c>
      <c r="L1009" s="26" t="str">
        <f>IFERROR(__xludf.DUMMYFUNCTION("""COMPUTED_VALUE"""),"Skateboarding")</f>
        <v>Skateboarding</v>
      </c>
    </row>
    <row r="1010">
      <c r="A1010" s="12" t="str">
        <f>IFERROR(__xludf.DUMMYFUNCTION("""COMPUTED_VALUE"""),"Pumped BMX +")</f>
        <v>Pumped BMX +</v>
      </c>
      <c r="B1010" s="13" t="str">
        <f>IFERROR(__xludf.DUMMYFUNCTION("""COMPUTED_VALUE"""),"Xbox")</f>
        <v>Xbox</v>
      </c>
      <c r="C1010" s="14"/>
      <c r="D1010" s="14" t="str">
        <f>IFERROR(__xludf.DUMMYFUNCTION("""COMPUTED_VALUE"""),"Removed")</f>
        <v>Removed</v>
      </c>
      <c r="E1010" s="294">
        <f>IFERROR(__xludf.DUMMYFUNCTION("""COMPUTED_VALUE"""),42887.0)</f>
        <v>42887</v>
      </c>
      <c r="F1010" s="15">
        <f>IFERROR(__xludf.DUMMYFUNCTION("""COMPUTED_VALUE"""),43556.0)</f>
        <v>43556</v>
      </c>
      <c r="G1010" s="18">
        <f>IFERROR(__xludf.DUMMYFUNCTION("""COMPUTED_VALUE"""),22.0)</f>
        <v>22</v>
      </c>
      <c r="H1010" s="131">
        <f>IFERROR(__xludf.DUMMYFUNCTION("""COMPUTED_VALUE"""),42265.0)</f>
        <v>42265</v>
      </c>
      <c r="I1010" s="18">
        <f>IFERROR(__xludf.DUMMYFUNCTION("""COMPUTED_VALUE"""),1.7027777777777777)</f>
        <v>1.702777778</v>
      </c>
      <c r="J1010" s="22">
        <f>IFERROR(__xludf.DUMMYFUNCTION("""COMPUTED_VALUE"""),56.0)</f>
        <v>56</v>
      </c>
      <c r="K1010" s="22">
        <f>IFERROR(__xludf.DUMMYFUNCTION("""COMPUTED_VALUE"""),6.0)</f>
        <v>6</v>
      </c>
      <c r="L1010" s="26" t="str">
        <f>IFERROR(__xludf.DUMMYFUNCTION("""COMPUTED_VALUE"""),"Racing")</f>
        <v>Racing</v>
      </c>
    </row>
    <row r="1011">
      <c r="A1011" s="12" t="str">
        <f>IFERROR(__xludf.DUMMYFUNCTION("""COMPUTED_VALUE"""),"The Golf Club")</f>
        <v>The Golf Club</v>
      </c>
      <c r="B1011" s="13" t="str">
        <f>IFERROR(__xludf.DUMMYFUNCTION("""COMPUTED_VALUE"""),"Xbox")</f>
        <v>Xbox</v>
      </c>
      <c r="C1011" s="14"/>
      <c r="D1011" s="14" t="str">
        <f>IFERROR(__xludf.DUMMYFUNCTION("""COMPUTED_VALUE"""),"Removed")</f>
        <v>Removed</v>
      </c>
      <c r="E1011" s="294">
        <f>IFERROR(__xludf.DUMMYFUNCTION("""COMPUTED_VALUE"""),42887.0)</f>
        <v>42887</v>
      </c>
      <c r="F1011" s="15">
        <f>IFERROR(__xludf.DUMMYFUNCTION("""COMPUTED_VALUE"""),43556.0)</f>
        <v>43556</v>
      </c>
      <c r="G1011" s="18">
        <f>IFERROR(__xludf.DUMMYFUNCTION("""COMPUTED_VALUE"""),22.0)</f>
        <v>22</v>
      </c>
      <c r="H1011" s="131">
        <f>IFERROR(__xludf.DUMMYFUNCTION("""COMPUTED_VALUE"""),41870.0)</f>
        <v>41870</v>
      </c>
      <c r="I1011" s="18">
        <f>IFERROR(__xludf.DUMMYFUNCTION("""COMPUTED_VALUE"""),2.783333333333333)</f>
        <v>2.783333333</v>
      </c>
      <c r="J1011" s="22">
        <f>IFERROR(__xludf.DUMMYFUNCTION("""COMPUTED_VALUE"""),64.0)</f>
        <v>64</v>
      </c>
      <c r="K1011" s="22">
        <f>IFERROR(__xludf.DUMMYFUNCTION("""COMPUTED_VALUE"""),10.0)</f>
        <v>10</v>
      </c>
      <c r="L1011" s="26" t="str">
        <f>IFERROR(__xludf.DUMMYFUNCTION("""COMPUTED_VALUE"""),"Golf")</f>
        <v>Golf</v>
      </c>
    </row>
    <row r="1012">
      <c r="A1012" s="12" t="str">
        <f>IFERROR(__xludf.DUMMYFUNCTION("""COMPUTED_VALUE"""),"The Swapper")</f>
        <v>The Swapper</v>
      </c>
      <c r="B1012" s="13" t="str">
        <f>IFERROR(__xludf.DUMMYFUNCTION("""COMPUTED_VALUE"""),"Xbox")</f>
        <v>Xbox</v>
      </c>
      <c r="C1012" s="14"/>
      <c r="D1012" s="14" t="str">
        <f>IFERROR(__xludf.DUMMYFUNCTION("""COMPUTED_VALUE"""),"Removed")</f>
        <v>Removed</v>
      </c>
      <c r="E1012" s="294">
        <f>IFERROR(__xludf.DUMMYFUNCTION("""COMPUTED_VALUE"""),42887.0)</f>
        <v>42887</v>
      </c>
      <c r="F1012" s="15">
        <f>IFERROR(__xludf.DUMMYFUNCTION("""COMPUTED_VALUE"""),43556.0)</f>
        <v>43556</v>
      </c>
      <c r="G1012" s="18">
        <f>IFERROR(__xludf.DUMMYFUNCTION("""COMPUTED_VALUE"""),22.0)</f>
        <v>22</v>
      </c>
      <c r="H1012" s="131">
        <f>IFERROR(__xludf.DUMMYFUNCTION("""COMPUTED_VALUE"""),41424.0)</f>
        <v>41424</v>
      </c>
      <c r="I1012" s="18">
        <f>IFERROR(__xludf.DUMMYFUNCTION("""COMPUTED_VALUE"""),4.002777777777778)</f>
        <v>4.002777778</v>
      </c>
      <c r="J1012" s="22">
        <f>IFERROR(__xludf.DUMMYFUNCTION("""COMPUTED_VALUE"""),92.0)</f>
        <v>92</v>
      </c>
      <c r="K1012" s="22">
        <f>IFERROR(__xludf.DUMMYFUNCTION("""COMPUTED_VALUE"""),5.0)</f>
        <v>5</v>
      </c>
      <c r="L1012" s="26" t="str">
        <f>IFERROR(__xludf.DUMMYFUNCTION("""COMPUTED_VALUE"""),"Platformer")</f>
        <v>Platformer</v>
      </c>
    </row>
    <row r="1013">
      <c r="A1013" s="12" t="str">
        <f>IFERROR(__xludf.DUMMYFUNCTION("""COMPUTED_VALUE"""),"Kingdom: New Lands")</f>
        <v>Kingdom: New Lands</v>
      </c>
      <c r="B1013" s="13" t="str">
        <f>IFERROR(__xludf.DUMMYFUNCTION("""COMPUTED_VALUE"""),"Xbox")</f>
        <v>Xbox</v>
      </c>
      <c r="C1013" s="14"/>
      <c r="D1013" s="14" t="str">
        <f>IFERROR(__xludf.DUMMYFUNCTION("""COMPUTED_VALUE"""),"Removed")</f>
        <v>Removed</v>
      </c>
      <c r="E1013" s="294">
        <f>IFERROR(__xludf.DUMMYFUNCTION("""COMPUTED_VALUE"""),43191.0)</f>
        <v>43191</v>
      </c>
      <c r="F1013" s="15">
        <f>IFERROR(__xludf.DUMMYFUNCTION("""COMPUTED_VALUE"""),43525.0)</f>
        <v>43525</v>
      </c>
      <c r="G1013" s="18">
        <f>IFERROR(__xludf.DUMMYFUNCTION("""COMPUTED_VALUE"""),11.0)</f>
        <v>11</v>
      </c>
      <c r="H1013" s="131">
        <f>IFERROR(__xludf.DUMMYFUNCTION("""COMPUTED_VALUE"""),42298.0)</f>
        <v>42298</v>
      </c>
      <c r="I1013" s="18">
        <f>IFERROR(__xludf.DUMMYFUNCTION("""COMPUTED_VALUE"""),2.4444444444444446)</f>
        <v>2.444444444</v>
      </c>
      <c r="J1013" s="22">
        <f>IFERROR(__xludf.DUMMYFUNCTION("""COMPUTED_VALUE"""),87.0)</f>
        <v>87</v>
      </c>
      <c r="K1013" s="22">
        <f>IFERROR(__xludf.DUMMYFUNCTION("""COMPUTED_VALUE"""),8.0)</f>
        <v>8</v>
      </c>
      <c r="L1013" s="26" t="str">
        <f>IFERROR(__xludf.DUMMYFUNCTION("""COMPUTED_VALUE"""),"Strategy")</f>
        <v>Strategy</v>
      </c>
    </row>
    <row r="1014">
      <c r="A1014" s="12" t="str">
        <f>IFERROR(__xludf.DUMMYFUNCTION("""COMPUTED_VALUE"""),"Late Shift")</f>
        <v>Late Shift</v>
      </c>
      <c r="B1014" s="13" t="str">
        <f>IFERROR(__xludf.DUMMYFUNCTION("""COMPUTED_VALUE"""),"Xbox")</f>
        <v>Xbox</v>
      </c>
      <c r="C1014" s="14"/>
      <c r="D1014" s="14" t="str">
        <f>IFERROR(__xludf.DUMMYFUNCTION("""COMPUTED_VALUE"""),"Removed")</f>
        <v>Removed</v>
      </c>
      <c r="E1014" s="294">
        <f>IFERROR(__xludf.DUMMYFUNCTION("""COMPUTED_VALUE"""),43191.0)</f>
        <v>43191</v>
      </c>
      <c r="F1014" s="15">
        <f>IFERROR(__xludf.DUMMYFUNCTION("""COMPUTED_VALUE"""),43525.0)</f>
        <v>43525</v>
      </c>
      <c r="G1014" s="18">
        <f>IFERROR(__xludf.DUMMYFUNCTION("""COMPUTED_VALUE"""),11.0)</f>
        <v>11</v>
      </c>
      <c r="H1014" s="131">
        <f>IFERROR(__xludf.DUMMYFUNCTION("""COMPUTED_VALUE"""),42843.0)</f>
        <v>42843</v>
      </c>
      <c r="I1014" s="18">
        <f>IFERROR(__xludf.DUMMYFUNCTION("""COMPUTED_VALUE"""),0.9527777777777777)</f>
        <v>0.9527777778</v>
      </c>
      <c r="J1014" s="22">
        <f>IFERROR(__xludf.DUMMYFUNCTION("""COMPUTED_VALUE"""),72.0)</f>
        <v>72</v>
      </c>
      <c r="K1014" s="22">
        <f>IFERROR(__xludf.DUMMYFUNCTION("""COMPUTED_VALUE"""),1.5)</f>
        <v>1.5</v>
      </c>
      <c r="L1014" s="26" t="str">
        <f>IFERROR(__xludf.DUMMYFUNCTION("""COMPUTED_VALUE"""),"Adventure")</f>
        <v>Adventure</v>
      </c>
    </row>
    <row r="1015">
      <c r="A1015" s="12" t="str">
        <f>IFERROR(__xludf.DUMMYFUNCTION("""COMPUTED_VALUE"""),"Portal Knights")</f>
        <v>Portal Knights</v>
      </c>
      <c r="B1015" s="13" t="str">
        <f>IFERROR(__xludf.DUMMYFUNCTION("""COMPUTED_VALUE"""),"Xbox")</f>
        <v>Xbox</v>
      </c>
      <c r="C1015" s="14"/>
      <c r="D1015" s="14" t="str">
        <f>IFERROR(__xludf.DUMMYFUNCTION("""COMPUTED_VALUE"""),"Removed")</f>
        <v>Removed</v>
      </c>
      <c r="E1015" s="294">
        <f>IFERROR(__xludf.DUMMYFUNCTION("""COMPUTED_VALUE"""),43191.0)</f>
        <v>43191</v>
      </c>
      <c r="F1015" s="15">
        <f>IFERROR(__xludf.DUMMYFUNCTION("""COMPUTED_VALUE"""),43525.0)</f>
        <v>43525</v>
      </c>
      <c r="G1015" s="18">
        <f>IFERROR(__xludf.DUMMYFUNCTION("""COMPUTED_VALUE"""),11.0)</f>
        <v>11</v>
      </c>
      <c r="H1015" s="131">
        <f>IFERROR(__xludf.DUMMYFUNCTION("""COMPUTED_VALUE"""),42425.0)</f>
        <v>42425</v>
      </c>
      <c r="I1015" s="18">
        <f>IFERROR(__xludf.DUMMYFUNCTION("""COMPUTED_VALUE"""),2.1)</f>
        <v>2.1</v>
      </c>
      <c r="J1015" s="22">
        <f>IFERROR(__xludf.DUMMYFUNCTION("""COMPUTED_VALUE"""),77.0)</f>
        <v>77</v>
      </c>
      <c r="K1015" s="22">
        <f>IFERROR(__xludf.DUMMYFUNCTION("""COMPUTED_VALUE"""),26.0)</f>
        <v>26</v>
      </c>
      <c r="L1015" s="26" t="str">
        <f>IFERROR(__xludf.DUMMYFUNCTION("""COMPUTED_VALUE"""),"Action-Adventure")</f>
        <v>Action-Adventure</v>
      </c>
    </row>
    <row r="1016">
      <c r="A1016" s="12" t="str">
        <f>IFERROR(__xludf.DUMMYFUNCTION("""COMPUTED_VALUE"""),"Sacred Citadel")</f>
        <v>Sacred Citadel</v>
      </c>
      <c r="B1016" s="13" t="str">
        <f>IFERROR(__xludf.DUMMYFUNCTION("""COMPUTED_VALUE"""),"Xbox")</f>
        <v>Xbox</v>
      </c>
      <c r="C1016" s="14"/>
      <c r="D1016" s="14" t="str">
        <f>IFERROR(__xludf.DUMMYFUNCTION("""COMPUTED_VALUE"""),"Removed")</f>
        <v>Removed</v>
      </c>
      <c r="E1016" s="294">
        <f>IFERROR(__xludf.DUMMYFUNCTION("""COMPUTED_VALUE"""),43191.0)</f>
        <v>43191</v>
      </c>
      <c r="F1016" s="15">
        <f>IFERROR(__xludf.DUMMYFUNCTION("""COMPUTED_VALUE"""),43525.0)</f>
        <v>43525</v>
      </c>
      <c r="G1016" s="18">
        <f>IFERROR(__xludf.DUMMYFUNCTION("""COMPUTED_VALUE"""),11.0)</f>
        <v>11</v>
      </c>
      <c r="H1016" s="131">
        <f>IFERROR(__xludf.DUMMYFUNCTION("""COMPUTED_VALUE"""),41381.0)</f>
        <v>41381</v>
      </c>
      <c r="I1016" s="18">
        <f>IFERROR(__xludf.DUMMYFUNCTION("""COMPUTED_VALUE"""),4.955555555555556)</f>
        <v>4.955555556</v>
      </c>
      <c r="J1016" s="22">
        <f>IFERROR(__xludf.DUMMYFUNCTION("""COMPUTED_VALUE"""),63.0)</f>
        <v>63</v>
      </c>
      <c r="K1016" s="22">
        <f>IFERROR(__xludf.DUMMYFUNCTION("""COMPUTED_VALUE"""),5.0)</f>
        <v>5</v>
      </c>
      <c r="L1016" s="26" t="str">
        <f>IFERROR(__xludf.DUMMYFUNCTION("""COMPUTED_VALUE"""),"Action")</f>
        <v>Action</v>
      </c>
    </row>
    <row r="1017">
      <c r="A1017" s="12" t="str">
        <f>IFERROR(__xludf.DUMMYFUNCTION("""COMPUTED_VALUE"""),"F1 2015")</f>
        <v>F1 2015</v>
      </c>
      <c r="B1017" s="13" t="str">
        <f>IFERROR(__xludf.DUMMYFUNCTION("""COMPUTED_VALUE"""),"Xbox")</f>
        <v>Xbox</v>
      </c>
      <c r="C1017" s="14"/>
      <c r="D1017" s="14" t="str">
        <f>IFERROR(__xludf.DUMMYFUNCTION("""COMPUTED_VALUE"""),"Removed")</f>
        <v>Removed</v>
      </c>
      <c r="E1017" s="294">
        <f>IFERROR(__xludf.DUMMYFUNCTION("""COMPUTED_VALUE"""),42917.0)</f>
        <v>42917</v>
      </c>
      <c r="F1017" s="15">
        <f>IFERROR(__xludf.DUMMYFUNCTION("""COMPUTED_VALUE"""),43524.0)</f>
        <v>43524</v>
      </c>
      <c r="G1017" s="18">
        <f>IFERROR(__xludf.DUMMYFUNCTION("""COMPUTED_VALUE"""),19.900000000000002)</f>
        <v>19.9</v>
      </c>
      <c r="H1017" s="131">
        <f>IFERROR(__xludf.DUMMYFUNCTION("""COMPUTED_VALUE"""),42195.0)</f>
        <v>42195</v>
      </c>
      <c r="I1017" s="18">
        <f>IFERROR(__xludf.DUMMYFUNCTION("""COMPUTED_VALUE"""),1.975)</f>
        <v>1.975</v>
      </c>
      <c r="J1017" s="22">
        <f>IFERROR(__xludf.DUMMYFUNCTION("""COMPUTED_VALUE"""),64.0)</f>
        <v>64</v>
      </c>
      <c r="K1017" s="22">
        <f>IFERROR(__xludf.DUMMYFUNCTION("""COMPUTED_VALUE"""),11.0)</f>
        <v>11</v>
      </c>
      <c r="L1017" s="26" t="str">
        <f>IFERROR(__xludf.DUMMYFUNCTION("""COMPUTED_VALUE"""),"Racing")</f>
        <v>Racing</v>
      </c>
    </row>
    <row r="1018">
      <c r="A1018" s="12" t="str">
        <f>IFERROR(__xludf.DUMMYFUNCTION("""COMPUTED_VALUE"""),"Aven Colony")</f>
        <v>Aven Colony</v>
      </c>
      <c r="B1018" s="13" t="str">
        <f>IFERROR(__xludf.DUMMYFUNCTION("""COMPUTED_VALUE"""),"Xbox")</f>
        <v>Xbox</v>
      </c>
      <c r="C1018" s="14"/>
      <c r="D1018" s="14" t="str">
        <f>IFERROR(__xludf.DUMMYFUNCTION("""COMPUTED_VALUE"""),"Removed")</f>
        <v>Removed</v>
      </c>
      <c r="E1018" s="294">
        <f>IFERROR(__xludf.DUMMYFUNCTION("""COMPUTED_VALUE"""),43344.0)</f>
        <v>43344</v>
      </c>
      <c r="F1018" s="15">
        <f>IFERROR(__xludf.DUMMYFUNCTION("""COMPUTED_VALUE"""),43497.0)</f>
        <v>43497</v>
      </c>
      <c r="G1018" s="18">
        <f>IFERROR(__xludf.DUMMYFUNCTION("""COMPUTED_VALUE"""),5.0)</f>
        <v>5</v>
      </c>
      <c r="H1018" s="131">
        <f>IFERROR(__xludf.DUMMYFUNCTION("""COMPUTED_VALUE"""),42941.0)</f>
        <v>42941</v>
      </c>
      <c r="I1018" s="18">
        <f>IFERROR(__xludf.DUMMYFUNCTION("""COMPUTED_VALUE"""),1.1)</f>
        <v>1.1</v>
      </c>
      <c r="J1018" s="22">
        <f>IFERROR(__xludf.DUMMYFUNCTION("""COMPUTED_VALUE"""),77.0)</f>
        <v>77</v>
      </c>
      <c r="K1018" s="22">
        <f>IFERROR(__xludf.DUMMYFUNCTION("""COMPUTED_VALUE"""),30.0)</f>
        <v>30</v>
      </c>
      <c r="L1018" s="26" t="str">
        <f>IFERROR(__xludf.DUMMYFUNCTION("""COMPUTED_VALUE"""),"Simulation")</f>
        <v>Simulation</v>
      </c>
    </row>
    <row r="1019">
      <c r="A1019" s="12" t="str">
        <f>IFERROR(__xludf.DUMMYFUNCTION("""COMPUTED_VALUE"""),"Shadow Warrior")</f>
        <v>Shadow Warrior</v>
      </c>
      <c r="B1019" s="13" t="str">
        <f>IFERROR(__xludf.DUMMYFUNCTION("""COMPUTED_VALUE"""),"Xbox")</f>
        <v>Xbox</v>
      </c>
      <c r="C1019" s="14"/>
      <c r="D1019" s="14" t="str">
        <f>IFERROR(__xludf.DUMMYFUNCTION("""COMPUTED_VALUE"""),"Removed")</f>
        <v>Removed</v>
      </c>
      <c r="E1019" s="294">
        <f>IFERROR(__xludf.DUMMYFUNCTION("""COMPUTED_VALUE"""),43344.0)</f>
        <v>43344</v>
      </c>
      <c r="F1019" s="15">
        <f>IFERROR(__xludf.DUMMYFUNCTION("""COMPUTED_VALUE"""),43497.0)</f>
        <v>43497</v>
      </c>
      <c r="G1019" s="18">
        <f>IFERROR(__xludf.DUMMYFUNCTION("""COMPUTED_VALUE"""),5.0)</f>
        <v>5</v>
      </c>
      <c r="H1019" s="131">
        <f>IFERROR(__xludf.DUMMYFUNCTION("""COMPUTED_VALUE"""),41543.0)</f>
        <v>41543</v>
      </c>
      <c r="I1019" s="18">
        <f>IFERROR(__xludf.DUMMYFUNCTION("""COMPUTED_VALUE"""),4.930555555555555)</f>
        <v>4.930555556</v>
      </c>
      <c r="J1019" s="22">
        <f>IFERROR(__xludf.DUMMYFUNCTION("""COMPUTED_VALUE"""),74.0)</f>
        <v>74</v>
      </c>
      <c r="K1019" s="22">
        <f>IFERROR(__xludf.DUMMYFUNCTION("""COMPUTED_VALUE"""),12.5)</f>
        <v>12.5</v>
      </c>
      <c r="L1019" s="26" t="str">
        <f>IFERROR(__xludf.DUMMYFUNCTION("""COMPUTED_VALUE"""),"Shooter")</f>
        <v>Shooter</v>
      </c>
    </row>
    <row r="1020">
      <c r="A1020" s="12" t="str">
        <f>IFERROR(__xludf.DUMMYFUNCTION("""COMPUTED_VALUE"""),"Dovetail Games: Euro Fishing")</f>
        <v>Dovetail Games: Euro Fishing</v>
      </c>
      <c r="B1020" s="13" t="str">
        <f>IFERROR(__xludf.DUMMYFUNCTION("""COMPUTED_VALUE"""),"Xbox")</f>
        <v>Xbox</v>
      </c>
      <c r="C1020" s="14"/>
      <c r="D1020" s="14" t="str">
        <f>IFERROR(__xludf.DUMMYFUNCTION("""COMPUTED_VALUE"""),"Removed")</f>
        <v>Removed</v>
      </c>
      <c r="E1020" s="294">
        <f>IFERROR(__xludf.DUMMYFUNCTION("""COMPUTED_VALUE"""),43160.0)</f>
        <v>43160</v>
      </c>
      <c r="F1020" s="15">
        <f>IFERROR(__xludf.DUMMYFUNCTION("""COMPUTED_VALUE"""),43497.0)</f>
        <v>43497</v>
      </c>
      <c r="G1020" s="18">
        <f>IFERROR(__xludf.DUMMYFUNCTION("""COMPUTED_VALUE"""),11.0)</f>
        <v>11</v>
      </c>
      <c r="H1020" s="131">
        <f>IFERROR(__xludf.DUMMYFUNCTION("""COMPUTED_VALUE"""),42310.0)</f>
        <v>42310</v>
      </c>
      <c r="I1020" s="18">
        <f>IFERROR(__xludf.DUMMYFUNCTION("""COMPUTED_VALUE"""),2.3305555555555557)</f>
        <v>2.330555556</v>
      </c>
      <c r="J1020" s="22">
        <f>IFERROR(__xludf.DUMMYFUNCTION("""COMPUTED_VALUE"""),61.0)</f>
        <v>61</v>
      </c>
      <c r="K1020" s="22">
        <f>IFERROR(__xludf.DUMMYFUNCTION("""COMPUTED_VALUE"""),28.5)</f>
        <v>28.5</v>
      </c>
      <c r="L1020" s="26" t="str">
        <f>IFERROR(__xludf.DUMMYFUNCTION("""COMPUTED_VALUE"""),"Fishing")</f>
        <v>Fishing</v>
      </c>
    </row>
    <row r="1021">
      <c r="A1021" s="12" t="str">
        <f>IFERROR(__xludf.DUMMYFUNCTION("""COMPUTED_VALUE"""),"Resident Evil: Revelations 2")</f>
        <v>Resident Evil: Revelations 2</v>
      </c>
      <c r="B1021" s="13" t="str">
        <f>IFERROR(__xludf.DUMMYFUNCTION("""COMPUTED_VALUE"""),"Xbox")</f>
        <v>Xbox</v>
      </c>
      <c r="C1021" s="14"/>
      <c r="D1021" s="14" t="str">
        <f>IFERROR(__xludf.DUMMYFUNCTION("""COMPUTED_VALUE"""),"Removed")</f>
        <v>Removed</v>
      </c>
      <c r="E1021" s="294">
        <f>IFERROR(__xludf.DUMMYFUNCTION("""COMPUTED_VALUE"""),43160.0)</f>
        <v>43160</v>
      </c>
      <c r="F1021" s="15">
        <f>IFERROR(__xludf.DUMMYFUNCTION("""COMPUTED_VALUE"""),43497.0)</f>
        <v>43497</v>
      </c>
      <c r="G1021" s="18">
        <f>IFERROR(__xludf.DUMMYFUNCTION("""COMPUTED_VALUE"""),11.0)</f>
        <v>11</v>
      </c>
      <c r="H1021" s="131">
        <f>IFERROR(__xludf.DUMMYFUNCTION("""COMPUTED_VALUE"""),42059.0)</f>
        <v>42059</v>
      </c>
      <c r="I1021" s="18">
        <f>IFERROR(__xludf.DUMMYFUNCTION("""COMPUTED_VALUE"""),3.0194444444444444)</f>
        <v>3.019444444</v>
      </c>
      <c r="J1021" s="22">
        <f>IFERROR(__xludf.DUMMYFUNCTION("""COMPUTED_VALUE"""),75.0)</f>
        <v>75</v>
      </c>
      <c r="K1021" s="22">
        <f>IFERROR(__xludf.DUMMYFUNCTION("""COMPUTED_VALUE"""),10.0)</f>
        <v>10</v>
      </c>
      <c r="L1021" s="26" t="str">
        <f>IFERROR(__xludf.DUMMYFUNCTION("""COMPUTED_VALUE"""),"Shooter")</f>
        <v>Shooter</v>
      </c>
    </row>
    <row r="1022">
      <c r="A1022" s="12" t="str">
        <f>IFERROR(__xludf.DUMMYFUNCTION("""COMPUTED_VALUE"""),"Sonic CD")</f>
        <v>Sonic CD</v>
      </c>
      <c r="B1022" s="13" t="str">
        <f>IFERROR(__xludf.DUMMYFUNCTION("""COMPUTED_VALUE"""),"Xbox")</f>
        <v>Xbox</v>
      </c>
      <c r="C1022" s="14"/>
      <c r="D1022" s="14" t="str">
        <f>IFERROR(__xludf.DUMMYFUNCTION("""COMPUTED_VALUE"""),"Removed")</f>
        <v>Removed</v>
      </c>
      <c r="E1022" s="294">
        <f>IFERROR(__xludf.DUMMYFUNCTION("""COMPUTED_VALUE"""),43160.0)</f>
        <v>43160</v>
      </c>
      <c r="F1022" s="15">
        <f>IFERROR(__xludf.DUMMYFUNCTION("""COMPUTED_VALUE"""),43497.0)</f>
        <v>43497</v>
      </c>
      <c r="G1022" s="18">
        <f>IFERROR(__xludf.DUMMYFUNCTION("""COMPUTED_VALUE"""),11.0)</f>
        <v>11</v>
      </c>
      <c r="H1022" s="131">
        <f>IFERROR(__xludf.DUMMYFUNCTION("""COMPUTED_VALUE"""),34235.0)</f>
        <v>34235</v>
      </c>
      <c r="I1022" s="18">
        <f>IFERROR(__xludf.DUMMYFUNCTION("""COMPUTED_VALUE"""),24.43888888888889)</f>
        <v>24.43888889</v>
      </c>
      <c r="J1022" s="22">
        <f>IFERROR(__xludf.DUMMYFUNCTION("""COMPUTED_VALUE"""),82.0)</f>
        <v>82</v>
      </c>
      <c r="K1022" s="22">
        <f>IFERROR(__xludf.DUMMYFUNCTION("""COMPUTED_VALUE"""),2.0)</f>
        <v>2</v>
      </c>
      <c r="L1022" s="26" t="str">
        <f>IFERROR(__xludf.DUMMYFUNCTION("""COMPUTED_VALUE"""),"Platformer")</f>
        <v>Platformer</v>
      </c>
    </row>
    <row r="1023">
      <c r="A1023" s="12" t="str">
        <f>IFERROR(__xludf.DUMMYFUNCTION("""COMPUTED_VALUE"""),"The Final Station")</f>
        <v>The Final Station</v>
      </c>
      <c r="B1023" s="13" t="str">
        <f>IFERROR(__xludf.DUMMYFUNCTION("""COMPUTED_VALUE"""),"Xbox")</f>
        <v>Xbox</v>
      </c>
      <c r="C1023" s="14"/>
      <c r="D1023" s="14" t="str">
        <f>IFERROR(__xludf.DUMMYFUNCTION("""COMPUTED_VALUE"""),"Removed")</f>
        <v>Removed</v>
      </c>
      <c r="E1023" s="294">
        <f>IFERROR(__xludf.DUMMYFUNCTION("""COMPUTED_VALUE"""),43160.0)</f>
        <v>43160</v>
      </c>
      <c r="F1023" s="15">
        <f>IFERROR(__xludf.DUMMYFUNCTION("""COMPUTED_VALUE"""),43497.0)</f>
        <v>43497</v>
      </c>
      <c r="G1023" s="18">
        <f>IFERROR(__xludf.DUMMYFUNCTION("""COMPUTED_VALUE"""),11.0)</f>
        <v>11</v>
      </c>
      <c r="H1023" s="131">
        <f>IFERROR(__xludf.DUMMYFUNCTION("""COMPUTED_VALUE"""),42612.0)</f>
        <v>42612</v>
      </c>
      <c r="I1023" s="18">
        <f>IFERROR(__xludf.DUMMYFUNCTION("""COMPUTED_VALUE"""),1.5027777777777778)</f>
        <v>1.502777778</v>
      </c>
      <c r="J1023" s="22">
        <f>IFERROR(__xludf.DUMMYFUNCTION("""COMPUTED_VALUE"""),70.0)</f>
        <v>70</v>
      </c>
      <c r="K1023" s="22">
        <f>IFERROR(__xludf.DUMMYFUNCTION("""COMPUTED_VALUE"""),4.5)</f>
        <v>4.5</v>
      </c>
      <c r="L1023" s="26" t="str">
        <f>IFERROR(__xludf.DUMMYFUNCTION("""COMPUTED_VALUE"""),"Action-Adventure")</f>
        <v>Action-Adventure</v>
      </c>
    </row>
    <row r="1024">
      <c r="A1024" s="12" t="str">
        <f>IFERROR(__xludf.DUMMYFUNCTION("""COMPUTED_VALUE"""),"Kyub")</f>
        <v>Kyub</v>
      </c>
      <c r="B1024" s="13" t="str">
        <f>IFERROR(__xludf.DUMMYFUNCTION("""COMPUTED_VALUE"""),"Xbox")</f>
        <v>Xbox</v>
      </c>
      <c r="C1024" s="14"/>
      <c r="D1024" s="14" t="str">
        <f>IFERROR(__xludf.DUMMYFUNCTION("""COMPUTED_VALUE"""),"Removed")</f>
        <v>Removed</v>
      </c>
      <c r="E1024" s="294">
        <f>IFERROR(__xludf.DUMMYFUNCTION("""COMPUTED_VALUE"""),42887.0)</f>
        <v>42887</v>
      </c>
      <c r="F1024" s="15">
        <f>IFERROR(__xludf.DUMMYFUNCTION("""COMPUTED_VALUE"""),43497.0)</f>
        <v>43497</v>
      </c>
      <c r="G1024" s="18">
        <f>IFERROR(__xludf.DUMMYFUNCTION("""COMPUTED_VALUE"""),20.0)</f>
        <v>20</v>
      </c>
      <c r="H1024" s="131">
        <f>IFERROR(__xludf.DUMMYFUNCTION("""COMPUTED_VALUE"""),42564.0)</f>
        <v>42564</v>
      </c>
      <c r="I1024" s="18">
        <f>IFERROR(__xludf.DUMMYFUNCTION("""COMPUTED_VALUE"""),0.8833333333333333)</f>
        <v>0.8833333333</v>
      </c>
      <c r="J1024" s="22">
        <f>IFERROR(__xludf.DUMMYFUNCTION("""COMPUTED_VALUE"""),90.0)</f>
        <v>90</v>
      </c>
      <c r="K1024" s="22">
        <f>IFERROR(__xludf.DUMMYFUNCTION("""COMPUTED_VALUE"""),4.0)</f>
        <v>4</v>
      </c>
      <c r="L1024" s="26" t="str">
        <f>IFERROR(__xludf.DUMMYFUNCTION("""COMPUTED_VALUE"""),"Puzzle")</f>
        <v>Puzzle</v>
      </c>
    </row>
    <row r="1025">
      <c r="A1025" s="12" t="str">
        <f>IFERROR(__xludf.DUMMYFUNCTION("""COMPUTED_VALUE"""),"Mega Coin Squad")</f>
        <v>Mega Coin Squad</v>
      </c>
      <c r="B1025" s="13" t="str">
        <f>IFERROR(__xludf.DUMMYFUNCTION("""COMPUTED_VALUE"""),"Xbox")</f>
        <v>Xbox</v>
      </c>
      <c r="C1025" s="14"/>
      <c r="D1025" s="14" t="str">
        <f>IFERROR(__xludf.DUMMYFUNCTION("""COMPUTED_VALUE"""),"Removed")</f>
        <v>Removed</v>
      </c>
      <c r="E1025" s="294">
        <f>IFERROR(__xludf.DUMMYFUNCTION("""COMPUTED_VALUE"""),42887.0)</f>
        <v>42887</v>
      </c>
      <c r="F1025" s="15">
        <f>IFERROR(__xludf.DUMMYFUNCTION("""COMPUTED_VALUE"""),43497.0)</f>
        <v>43497</v>
      </c>
      <c r="G1025" s="18">
        <f>IFERROR(__xludf.DUMMYFUNCTION("""COMPUTED_VALUE"""),20.0)</f>
        <v>20</v>
      </c>
      <c r="H1025" s="131">
        <f>IFERROR(__xludf.DUMMYFUNCTION("""COMPUTED_VALUE"""),41866.0)</f>
        <v>41866</v>
      </c>
      <c r="I1025" s="18">
        <f>IFERROR(__xludf.DUMMYFUNCTION("""COMPUTED_VALUE"""),2.7944444444444443)</f>
        <v>2.794444444</v>
      </c>
      <c r="J1025" s="22">
        <f>IFERROR(__xludf.DUMMYFUNCTION("""COMPUTED_VALUE"""),74.0)</f>
        <v>74</v>
      </c>
      <c r="K1025" s="22">
        <f>IFERROR(__xludf.DUMMYFUNCTION("""COMPUTED_VALUE"""),1.0)</f>
        <v>1</v>
      </c>
      <c r="L1025" s="26" t="str">
        <f>IFERROR(__xludf.DUMMYFUNCTION("""COMPUTED_VALUE"""),"Platformer")</f>
        <v>Platformer</v>
      </c>
    </row>
    <row r="1026">
      <c r="A1026" s="12" t="str">
        <f>IFERROR(__xludf.DUMMYFUNCTION("""COMPUTED_VALUE"""),"The Escapists: The Walking Dead")</f>
        <v>The Escapists: The Walking Dead</v>
      </c>
      <c r="B1026" s="13" t="str">
        <f>IFERROR(__xludf.DUMMYFUNCTION("""COMPUTED_VALUE"""),"Xbox")</f>
        <v>Xbox</v>
      </c>
      <c r="C1026" s="14"/>
      <c r="D1026" s="14" t="str">
        <f>IFERROR(__xludf.DUMMYFUNCTION("""COMPUTED_VALUE"""),"Removed")</f>
        <v>Removed</v>
      </c>
      <c r="E1026" s="294">
        <f>IFERROR(__xludf.DUMMYFUNCTION("""COMPUTED_VALUE"""),43313.0)</f>
        <v>43313</v>
      </c>
      <c r="F1026" s="15">
        <f>IFERROR(__xludf.DUMMYFUNCTION("""COMPUTED_VALUE"""),43466.0)</f>
        <v>43466</v>
      </c>
      <c r="G1026" s="18">
        <f>IFERROR(__xludf.DUMMYFUNCTION("""COMPUTED_VALUE"""),5.0)</f>
        <v>5</v>
      </c>
      <c r="H1026" s="131">
        <f>IFERROR(__xludf.DUMMYFUNCTION("""COMPUTED_VALUE"""),42277.0)</f>
        <v>42277</v>
      </c>
      <c r="I1026" s="18">
        <f>IFERROR(__xludf.DUMMYFUNCTION("""COMPUTED_VALUE"""),2.8361111111111112)</f>
        <v>2.836111111</v>
      </c>
      <c r="J1026" s="22">
        <f>IFERROR(__xludf.DUMMYFUNCTION("""COMPUTED_VALUE"""),65.0)</f>
        <v>65</v>
      </c>
      <c r="K1026" s="22">
        <f>IFERROR(__xludf.DUMMYFUNCTION("""COMPUTED_VALUE"""),6.5)</f>
        <v>6.5</v>
      </c>
      <c r="L1026" s="26" t="str">
        <f>IFERROR(__xludf.DUMMYFUNCTION("""COMPUTED_VALUE"""),"Strategy")</f>
        <v>Strategy</v>
      </c>
    </row>
    <row r="1027">
      <c r="A1027" s="12" t="str">
        <f>IFERROR(__xludf.DUMMYFUNCTION("""COMPUTED_VALUE"""),"Letter Quest: Grimm's Journey - Remastered")</f>
        <v>Letter Quest: Grimm's Journey - Remastered</v>
      </c>
      <c r="B1027" s="13" t="str">
        <f>IFERROR(__xludf.DUMMYFUNCTION("""COMPUTED_VALUE"""),"Xbox")</f>
        <v>Xbox</v>
      </c>
      <c r="C1027" s="14"/>
      <c r="D1027" s="14" t="str">
        <f>IFERROR(__xludf.DUMMYFUNCTION("""COMPUTED_VALUE"""),"Removed")</f>
        <v>Removed</v>
      </c>
      <c r="E1027" s="294">
        <f>IFERROR(__xludf.DUMMYFUNCTION("""COMPUTED_VALUE"""),43132.0)</f>
        <v>43132</v>
      </c>
      <c r="F1027" s="15">
        <f>IFERROR(__xludf.DUMMYFUNCTION("""COMPUTED_VALUE"""),43466.0)</f>
        <v>43466</v>
      </c>
      <c r="G1027" s="18">
        <f>IFERROR(__xludf.DUMMYFUNCTION("""COMPUTED_VALUE"""),11.0)</f>
        <v>11</v>
      </c>
      <c r="H1027" s="131">
        <f>IFERROR(__xludf.DUMMYFUNCTION("""COMPUTED_VALUE"""),41842.0)</f>
        <v>41842</v>
      </c>
      <c r="I1027" s="18">
        <f>IFERROR(__xludf.DUMMYFUNCTION("""COMPUTED_VALUE"""),3.525)</f>
        <v>3.525</v>
      </c>
      <c r="J1027" s="22">
        <f>IFERROR(__xludf.DUMMYFUNCTION("""COMPUTED_VALUE"""),77.0)</f>
        <v>77</v>
      </c>
      <c r="K1027" s="22">
        <f>IFERROR(__xludf.DUMMYFUNCTION("""COMPUTED_VALUE"""),9.0)</f>
        <v>9</v>
      </c>
      <c r="L1027" s="26" t="str">
        <f>IFERROR(__xludf.DUMMYFUNCTION("""COMPUTED_VALUE"""),"Puzzle")</f>
        <v>Puzzle</v>
      </c>
    </row>
    <row r="1028">
      <c r="A1028" s="12" t="str">
        <f>IFERROR(__xludf.DUMMYFUNCTION("""COMPUTED_VALUE"""),"Dead Rising 3")</f>
        <v>Dead Rising 3</v>
      </c>
      <c r="B1028" s="13" t="str">
        <f>IFERROR(__xludf.DUMMYFUNCTION("""COMPUTED_VALUE"""),"Xbox")</f>
        <v>Xbox</v>
      </c>
      <c r="C1028" s="14"/>
      <c r="D1028" s="14" t="str">
        <f>IFERROR(__xludf.DUMMYFUNCTION("""COMPUTED_VALUE"""),"Removed")</f>
        <v>Removed</v>
      </c>
      <c r="E1028" s="294">
        <f>IFERROR(__xludf.DUMMYFUNCTION("""COMPUTED_VALUE"""),42948.0)</f>
        <v>42948</v>
      </c>
      <c r="F1028" s="15">
        <f>IFERROR(__xludf.DUMMYFUNCTION("""COMPUTED_VALUE"""),43466.0)</f>
        <v>43466</v>
      </c>
      <c r="G1028" s="18">
        <f>IFERROR(__xludf.DUMMYFUNCTION("""COMPUTED_VALUE"""),17.0)</f>
        <v>17</v>
      </c>
      <c r="H1028" s="131">
        <f>IFERROR(__xludf.DUMMYFUNCTION("""COMPUTED_VALUE"""),41600.0)</f>
        <v>41600</v>
      </c>
      <c r="I1028" s="18">
        <f>IFERROR(__xludf.DUMMYFUNCTION("""COMPUTED_VALUE"""),3.691666666666667)</f>
        <v>3.691666667</v>
      </c>
      <c r="J1028" s="22">
        <f>IFERROR(__xludf.DUMMYFUNCTION("""COMPUTED_VALUE"""),78.0)</f>
        <v>78</v>
      </c>
      <c r="K1028" s="22">
        <f>IFERROR(__xludf.DUMMYFUNCTION("""COMPUTED_VALUE"""),14.0)</f>
        <v>14</v>
      </c>
      <c r="L1028" s="26" t="str">
        <f>IFERROR(__xludf.DUMMYFUNCTION("""COMPUTED_VALUE"""),"RPG")</f>
        <v>RPG</v>
      </c>
    </row>
    <row r="1029">
      <c r="A1029" s="12" t="str">
        <f>IFERROR(__xludf.DUMMYFUNCTION("""COMPUTED_VALUE"""),"Electronic Super Joy")</f>
        <v>Electronic Super Joy</v>
      </c>
      <c r="B1029" s="13" t="str">
        <f>IFERROR(__xludf.DUMMYFUNCTION("""COMPUTED_VALUE"""),"Xbox")</f>
        <v>Xbox</v>
      </c>
      <c r="C1029" s="14"/>
      <c r="D1029" s="14" t="str">
        <f>IFERROR(__xludf.DUMMYFUNCTION("""COMPUTED_VALUE"""),"Removed")</f>
        <v>Removed</v>
      </c>
      <c r="E1029" s="294">
        <f>IFERROR(__xludf.DUMMYFUNCTION("""COMPUTED_VALUE"""),42887.0)</f>
        <v>42887</v>
      </c>
      <c r="F1029" s="15">
        <f>IFERROR(__xludf.DUMMYFUNCTION("""COMPUTED_VALUE"""),43466.0)</f>
        <v>43466</v>
      </c>
      <c r="G1029" s="18">
        <f>IFERROR(__xludf.DUMMYFUNCTION("""COMPUTED_VALUE"""),19.0)</f>
        <v>19</v>
      </c>
      <c r="H1029" s="131">
        <f>IFERROR(__xludf.DUMMYFUNCTION("""COMPUTED_VALUE"""),41509.0)</f>
        <v>41509</v>
      </c>
      <c r="I1029" s="18">
        <f>IFERROR(__xludf.DUMMYFUNCTION("""COMPUTED_VALUE"""),3.772222222222222)</f>
        <v>3.772222222</v>
      </c>
      <c r="J1029" s="22">
        <f>IFERROR(__xludf.DUMMYFUNCTION("""COMPUTED_VALUE"""),77.0)</f>
        <v>77</v>
      </c>
      <c r="K1029" s="22">
        <f>IFERROR(__xludf.DUMMYFUNCTION("""COMPUTED_VALUE"""),3.0)</f>
        <v>3</v>
      </c>
      <c r="L1029" s="26" t="str">
        <f>IFERROR(__xludf.DUMMYFUNCTION("""COMPUTED_VALUE"""),"Platformer")</f>
        <v>Platformer</v>
      </c>
    </row>
    <row r="1030">
      <c r="A1030" s="12" t="str">
        <f>IFERROR(__xludf.DUMMYFUNCTION("""COMPUTED_VALUE"""),"Roundabout")</f>
        <v>Roundabout</v>
      </c>
      <c r="B1030" s="13" t="str">
        <f>IFERROR(__xludf.DUMMYFUNCTION("""COMPUTED_VALUE"""),"Xbox")</f>
        <v>Xbox</v>
      </c>
      <c r="C1030" s="14"/>
      <c r="D1030" s="14" t="str">
        <f>IFERROR(__xludf.DUMMYFUNCTION("""COMPUTED_VALUE"""),"Removed")</f>
        <v>Removed</v>
      </c>
      <c r="E1030" s="294">
        <f>IFERROR(__xludf.DUMMYFUNCTION("""COMPUTED_VALUE"""),42887.0)</f>
        <v>42887</v>
      </c>
      <c r="F1030" s="15">
        <f>IFERROR(__xludf.DUMMYFUNCTION("""COMPUTED_VALUE"""),43466.0)</f>
        <v>43466</v>
      </c>
      <c r="G1030" s="18">
        <f>IFERROR(__xludf.DUMMYFUNCTION("""COMPUTED_VALUE"""),19.0)</f>
        <v>19</v>
      </c>
      <c r="H1030" s="131">
        <f>IFERROR(__xludf.DUMMYFUNCTION("""COMPUTED_VALUE"""),41900.0)</f>
        <v>41900</v>
      </c>
      <c r="I1030" s="18">
        <f>IFERROR(__xludf.DUMMYFUNCTION("""COMPUTED_VALUE"""),2.702777777777778)</f>
        <v>2.702777778</v>
      </c>
      <c r="J1030" s="22">
        <f>IFERROR(__xludf.DUMMYFUNCTION("""COMPUTED_VALUE"""),74.0)</f>
        <v>74</v>
      </c>
      <c r="K1030" s="22">
        <f>IFERROR(__xludf.DUMMYFUNCTION("""COMPUTED_VALUE"""),2.5)</f>
        <v>2.5</v>
      </c>
      <c r="L1030" s="26" t="str">
        <f>IFERROR(__xludf.DUMMYFUNCTION("""COMPUTED_VALUE"""),"Puzzle")</f>
        <v>Puzzle</v>
      </c>
    </row>
    <row r="1031">
      <c r="A1031" s="12" t="str">
        <f>IFERROR(__xludf.DUMMYFUNCTION("""COMPUTED_VALUE"""),"Steredenn")</f>
        <v>Steredenn</v>
      </c>
      <c r="B1031" s="13" t="str">
        <f>IFERROR(__xludf.DUMMYFUNCTION("""COMPUTED_VALUE"""),"Xbox")</f>
        <v>Xbox</v>
      </c>
      <c r="C1031" s="14"/>
      <c r="D1031" s="14" t="str">
        <f>IFERROR(__xludf.DUMMYFUNCTION("""COMPUTED_VALUE"""),"Removed")</f>
        <v>Removed</v>
      </c>
      <c r="E1031" s="294">
        <f>IFERROR(__xludf.DUMMYFUNCTION("""COMPUTED_VALUE"""),42887.0)</f>
        <v>42887</v>
      </c>
      <c r="F1031" s="15">
        <f>IFERROR(__xludf.DUMMYFUNCTION("""COMPUTED_VALUE"""),43466.0)</f>
        <v>43466</v>
      </c>
      <c r="G1031" s="18">
        <f>IFERROR(__xludf.DUMMYFUNCTION("""COMPUTED_VALUE"""),19.0)</f>
        <v>19</v>
      </c>
      <c r="H1031" s="131">
        <f>IFERROR(__xludf.DUMMYFUNCTION("""COMPUTED_VALUE"""),42142.0)</f>
        <v>42142</v>
      </c>
      <c r="I1031" s="18">
        <f>IFERROR(__xludf.DUMMYFUNCTION("""COMPUTED_VALUE"""),2.036111111111111)</f>
        <v>2.036111111</v>
      </c>
      <c r="J1031" s="22">
        <f>IFERROR(__xludf.DUMMYFUNCTION("""COMPUTED_VALUE"""),79.0)</f>
        <v>79</v>
      </c>
      <c r="K1031" s="22">
        <f>IFERROR(__xludf.DUMMYFUNCTION("""COMPUTED_VALUE"""),1.5)</f>
        <v>1.5</v>
      </c>
      <c r="L1031" s="26" t="str">
        <f>IFERROR(__xludf.DUMMYFUNCTION("""COMPUTED_VALUE"""),"Shoot 'Em Up")</f>
        <v>Shoot 'Em Up</v>
      </c>
    </row>
    <row r="1032">
      <c r="A1032" s="12" t="str">
        <f>IFERROR(__xludf.DUMMYFUNCTION("""COMPUTED_VALUE"""),"Bayonetta")</f>
        <v>Bayonetta</v>
      </c>
      <c r="B1032" s="13" t="str">
        <f>IFERROR(__xludf.DUMMYFUNCTION("""COMPUTED_VALUE"""),"Xbox")</f>
        <v>Xbox</v>
      </c>
      <c r="C1032" s="14"/>
      <c r="D1032" s="14" t="str">
        <f>IFERROR(__xludf.DUMMYFUNCTION("""COMPUTED_VALUE"""),"Removed")</f>
        <v>Removed</v>
      </c>
      <c r="E1032" s="294">
        <f>IFERROR(__xludf.DUMMYFUNCTION("""COMPUTED_VALUE"""),43101.0)</f>
        <v>43101</v>
      </c>
      <c r="F1032" s="15">
        <f>IFERROR(__xludf.DUMMYFUNCTION("""COMPUTED_VALUE"""),43435.0)</f>
        <v>43435</v>
      </c>
      <c r="G1032" s="18">
        <f>IFERROR(__xludf.DUMMYFUNCTION("""COMPUTED_VALUE"""),11.0)</f>
        <v>11</v>
      </c>
      <c r="H1032" s="131">
        <f>IFERROR(__xludf.DUMMYFUNCTION("""COMPUTED_VALUE"""),40115.0)</f>
        <v>40115</v>
      </c>
      <c r="I1032" s="18">
        <f>IFERROR(__xludf.DUMMYFUNCTION("""COMPUTED_VALUE"""),8.172222222222222)</f>
        <v>8.172222222</v>
      </c>
      <c r="J1032" s="22">
        <f>IFERROR(__xludf.DUMMYFUNCTION("""COMPUTED_VALUE"""),90.0)</f>
        <v>90</v>
      </c>
      <c r="K1032" s="22">
        <f>IFERROR(__xludf.DUMMYFUNCTION("""COMPUTED_VALUE"""),11.0)</f>
        <v>11</v>
      </c>
      <c r="L1032" s="26" t="str">
        <f>IFERROR(__xludf.DUMMYFUNCTION("""COMPUTED_VALUE"""),"Action")</f>
        <v>Action</v>
      </c>
    </row>
    <row r="1033">
      <c r="A1033" s="12" t="str">
        <f>IFERROR(__xludf.DUMMYFUNCTION("""COMPUTED_VALUE"""),"Deadlight: Director's Cut")</f>
        <v>Deadlight: Director's Cut</v>
      </c>
      <c r="B1033" s="13" t="str">
        <f>IFERROR(__xludf.DUMMYFUNCTION("""COMPUTED_VALUE"""),"Xbox")</f>
        <v>Xbox</v>
      </c>
      <c r="C1033" s="14"/>
      <c r="D1033" s="14" t="str">
        <f>IFERROR(__xludf.DUMMYFUNCTION("""COMPUTED_VALUE"""),"Removed")</f>
        <v>Removed</v>
      </c>
      <c r="E1033" s="294">
        <f>IFERROR(__xludf.DUMMYFUNCTION("""COMPUTED_VALUE"""),43101.0)</f>
        <v>43101</v>
      </c>
      <c r="F1033" s="15">
        <f>IFERROR(__xludf.DUMMYFUNCTION("""COMPUTED_VALUE"""),43435.0)</f>
        <v>43435</v>
      </c>
      <c r="G1033" s="18">
        <f>IFERROR(__xludf.DUMMYFUNCTION("""COMPUTED_VALUE"""),11.0)</f>
        <v>11</v>
      </c>
      <c r="H1033" s="131">
        <f>IFERROR(__xludf.DUMMYFUNCTION("""COMPUTED_VALUE"""),41900.0)</f>
        <v>41900</v>
      </c>
      <c r="I1033" s="18">
        <f>IFERROR(__xludf.DUMMYFUNCTION("""COMPUTED_VALUE"""),3.286111111111111)</f>
        <v>3.286111111</v>
      </c>
      <c r="J1033" s="22">
        <f>IFERROR(__xludf.DUMMYFUNCTION("""COMPUTED_VALUE"""),69.0)</f>
        <v>69</v>
      </c>
      <c r="K1033" s="22">
        <f>IFERROR(__xludf.DUMMYFUNCTION("""COMPUTED_VALUE"""),4.0)</f>
        <v>4</v>
      </c>
      <c r="L1033" s="26" t="str">
        <f>IFERROR(__xludf.DUMMYFUNCTION("""COMPUTED_VALUE"""),"RPG")</f>
        <v>RPG</v>
      </c>
    </row>
    <row r="1034">
      <c r="A1034" s="12" t="str">
        <f>IFERROR(__xludf.DUMMYFUNCTION("""COMPUTED_VALUE"""),"Injustice: Gods Among Us")</f>
        <v>Injustice: Gods Among Us</v>
      </c>
      <c r="B1034" s="13" t="str">
        <f>IFERROR(__xludf.DUMMYFUNCTION("""COMPUTED_VALUE"""),"Xbox")</f>
        <v>Xbox</v>
      </c>
      <c r="C1034" s="14"/>
      <c r="D1034" s="14" t="str">
        <f>IFERROR(__xludf.DUMMYFUNCTION("""COMPUTED_VALUE"""),"Removed")</f>
        <v>Removed</v>
      </c>
      <c r="E1034" s="294">
        <f>IFERROR(__xludf.DUMMYFUNCTION("""COMPUTED_VALUE"""),43101.0)</f>
        <v>43101</v>
      </c>
      <c r="F1034" s="15">
        <f>IFERROR(__xludf.DUMMYFUNCTION("""COMPUTED_VALUE"""),43435.0)</f>
        <v>43435</v>
      </c>
      <c r="G1034" s="18">
        <f>IFERROR(__xludf.DUMMYFUNCTION("""COMPUTED_VALUE"""),11.0)</f>
        <v>11</v>
      </c>
      <c r="H1034" s="131">
        <f>IFERROR(__xludf.DUMMYFUNCTION("""COMPUTED_VALUE"""),41380.0)</f>
        <v>41380</v>
      </c>
      <c r="I1034" s="18">
        <f>IFERROR(__xludf.DUMMYFUNCTION("""COMPUTED_VALUE"""),4.708333333333333)</f>
        <v>4.708333333</v>
      </c>
      <c r="J1034" s="22">
        <f>IFERROR(__xludf.DUMMYFUNCTION("""COMPUTED_VALUE"""),81.0)</f>
        <v>81</v>
      </c>
      <c r="K1034" s="22">
        <f>IFERROR(__xludf.DUMMYFUNCTION("""COMPUTED_VALUE"""),5.0)</f>
        <v>5</v>
      </c>
      <c r="L1034" s="26" t="str">
        <f>IFERROR(__xludf.DUMMYFUNCTION("""COMPUTED_VALUE"""),"Fighting")</f>
        <v>Fighting</v>
      </c>
    </row>
    <row r="1035">
      <c r="A1035" s="12" t="str">
        <f>IFERROR(__xludf.DUMMYFUNCTION("""COMPUTED_VALUE"""),"Metal Gear Solid V: Ground Zeroes")</f>
        <v>Metal Gear Solid V: Ground Zeroes</v>
      </c>
      <c r="B1035" s="13" t="str">
        <f>IFERROR(__xludf.DUMMYFUNCTION("""COMPUTED_VALUE"""),"Xbox")</f>
        <v>Xbox</v>
      </c>
      <c r="C1035" s="14"/>
      <c r="D1035" s="14" t="str">
        <f>IFERROR(__xludf.DUMMYFUNCTION("""COMPUTED_VALUE"""),"Removed")</f>
        <v>Removed</v>
      </c>
      <c r="E1035" s="294">
        <f>IFERROR(__xludf.DUMMYFUNCTION("""COMPUTED_VALUE"""),43101.0)</f>
        <v>43101</v>
      </c>
      <c r="F1035" s="15">
        <f>IFERROR(__xludf.DUMMYFUNCTION("""COMPUTED_VALUE"""),43435.0)</f>
        <v>43435</v>
      </c>
      <c r="G1035" s="18">
        <f>IFERROR(__xludf.DUMMYFUNCTION("""COMPUTED_VALUE"""),11.0)</f>
        <v>11</v>
      </c>
      <c r="H1035" s="131">
        <f>IFERROR(__xludf.DUMMYFUNCTION("""COMPUTED_VALUE"""),41716.0)</f>
        <v>41716</v>
      </c>
      <c r="I1035" s="18">
        <f>IFERROR(__xludf.DUMMYFUNCTION("""COMPUTED_VALUE"""),3.786111111111111)</f>
        <v>3.786111111</v>
      </c>
      <c r="J1035" s="22">
        <f>IFERROR(__xludf.DUMMYFUNCTION("""COMPUTED_VALUE"""),76.0)</f>
        <v>76</v>
      </c>
      <c r="K1035" s="22">
        <f>IFERROR(__xludf.DUMMYFUNCTION("""COMPUTED_VALUE"""),1.5)</f>
        <v>1.5</v>
      </c>
      <c r="L1035" s="26" t="str">
        <f>IFERROR(__xludf.DUMMYFUNCTION("""COMPUTED_VALUE"""),"Shooter")</f>
        <v>Shooter</v>
      </c>
    </row>
    <row r="1036">
      <c r="A1036" s="12" t="str">
        <f>IFERROR(__xludf.DUMMYFUNCTION("""COMPUTED_VALUE"""),"NBA Playgrounds")</f>
        <v>NBA Playgrounds</v>
      </c>
      <c r="B1036" s="13" t="str">
        <f>IFERROR(__xludf.DUMMYFUNCTION("""COMPUTED_VALUE"""),"Xbox")</f>
        <v>Xbox</v>
      </c>
      <c r="C1036" s="14"/>
      <c r="D1036" s="14" t="str">
        <f>IFERROR(__xludf.DUMMYFUNCTION("""COMPUTED_VALUE"""),"Removed")</f>
        <v>Removed</v>
      </c>
      <c r="E1036" s="294">
        <f>IFERROR(__xludf.DUMMYFUNCTION("""COMPUTED_VALUE"""),43101.0)</f>
        <v>43101</v>
      </c>
      <c r="F1036" s="15">
        <f>IFERROR(__xludf.DUMMYFUNCTION("""COMPUTED_VALUE"""),43435.0)</f>
        <v>43435</v>
      </c>
      <c r="G1036" s="18">
        <f>IFERROR(__xludf.DUMMYFUNCTION("""COMPUTED_VALUE"""),11.0)</f>
        <v>11</v>
      </c>
      <c r="H1036" s="131">
        <f>IFERROR(__xludf.DUMMYFUNCTION("""COMPUTED_VALUE"""),42863.0)</f>
        <v>42863</v>
      </c>
      <c r="I1036" s="18">
        <f>IFERROR(__xludf.DUMMYFUNCTION("""COMPUTED_VALUE"""),0.6472222222222223)</f>
        <v>0.6472222222</v>
      </c>
      <c r="J1036" s="22">
        <f>IFERROR(__xludf.DUMMYFUNCTION("""COMPUTED_VALUE"""),66.0)</f>
        <v>66</v>
      </c>
      <c r="K1036" s="22">
        <f>IFERROR(__xludf.DUMMYFUNCTION("""COMPUTED_VALUE"""),7.0)</f>
        <v>7</v>
      </c>
      <c r="L1036" s="26" t="str">
        <f>IFERROR(__xludf.DUMMYFUNCTION("""COMPUTED_VALUE"""),"Sports")</f>
        <v>Sports</v>
      </c>
    </row>
    <row r="1037">
      <c r="A1037" s="12" t="str">
        <f>IFERROR(__xludf.DUMMYFUNCTION("""COMPUTED_VALUE"""),"WRC 5: FIA World Rally Championships")</f>
        <v>WRC 5: FIA World Rally Championships</v>
      </c>
      <c r="B1037" s="13" t="str">
        <f>IFERROR(__xludf.DUMMYFUNCTION("""COMPUTED_VALUE"""),"Xbox")</f>
        <v>Xbox</v>
      </c>
      <c r="C1037" s="14"/>
      <c r="D1037" s="14" t="str">
        <f>IFERROR(__xludf.DUMMYFUNCTION("""COMPUTED_VALUE"""),"Removed")</f>
        <v>Removed</v>
      </c>
      <c r="E1037" s="294">
        <f>IFERROR(__xludf.DUMMYFUNCTION("""COMPUTED_VALUE"""),43101.0)</f>
        <v>43101</v>
      </c>
      <c r="F1037" s="15">
        <f>IFERROR(__xludf.DUMMYFUNCTION("""COMPUTED_VALUE"""),43435.0)</f>
        <v>43435</v>
      </c>
      <c r="G1037" s="18">
        <f>IFERROR(__xludf.DUMMYFUNCTION("""COMPUTED_VALUE"""),11.0)</f>
        <v>11</v>
      </c>
      <c r="H1037" s="131">
        <f>IFERROR(__xludf.DUMMYFUNCTION("""COMPUTED_VALUE"""),40459.0)</f>
        <v>40459</v>
      </c>
      <c r="I1037" s="18">
        <f>IFERROR(__xludf.DUMMYFUNCTION("""COMPUTED_VALUE"""),7.230555555555555)</f>
        <v>7.230555556</v>
      </c>
      <c r="J1037" s="22">
        <f>IFERROR(__xludf.DUMMYFUNCTION("""COMPUTED_VALUE"""),70.0)</f>
        <v>70</v>
      </c>
      <c r="K1037" s="22">
        <f>IFERROR(__xludf.DUMMYFUNCTION("""COMPUTED_VALUE"""),15.0)</f>
        <v>15</v>
      </c>
      <c r="L1037" s="26" t="str">
        <f>IFERROR(__xludf.DUMMYFUNCTION("""COMPUTED_VALUE"""),"Racing")</f>
        <v>Racing</v>
      </c>
    </row>
    <row r="1038">
      <c r="A1038" s="12" t="str">
        <f>IFERROR(__xludf.DUMMYFUNCTION("""COMPUTED_VALUE"""),"Farming Simulator 15")</f>
        <v>Farming Simulator 15</v>
      </c>
      <c r="B1038" s="13" t="str">
        <f>IFERROR(__xludf.DUMMYFUNCTION("""COMPUTED_VALUE"""),"Xbox")</f>
        <v>Xbox</v>
      </c>
      <c r="C1038" s="14"/>
      <c r="D1038" s="14" t="str">
        <f>IFERROR(__xludf.DUMMYFUNCTION("""COMPUTED_VALUE"""),"Removed")</f>
        <v>Removed</v>
      </c>
      <c r="E1038" s="294">
        <f>IFERROR(__xludf.DUMMYFUNCTION("""COMPUTED_VALUE"""),42887.0)</f>
        <v>42887</v>
      </c>
      <c r="F1038" s="15">
        <f>IFERROR(__xludf.DUMMYFUNCTION("""COMPUTED_VALUE"""),43435.0)</f>
        <v>43435</v>
      </c>
      <c r="G1038" s="18">
        <f>IFERROR(__xludf.DUMMYFUNCTION("""COMPUTED_VALUE"""),18.0)</f>
        <v>18</v>
      </c>
      <c r="H1038" s="131">
        <f>IFERROR(__xludf.DUMMYFUNCTION("""COMPUTED_VALUE"""),41942.0)</f>
        <v>41942</v>
      </c>
      <c r="I1038" s="18">
        <f>IFERROR(__xludf.DUMMYFUNCTION("""COMPUTED_VALUE"""),2.5861111111111112)</f>
        <v>2.586111111</v>
      </c>
      <c r="J1038" s="22">
        <f>IFERROR(__xludf.DUMMYFUNCTION("""COMPUTED_VALUE"""),54.0)</f>
        <v>54</v>
      </c>
      <c r="K1038" s="22">
        <f>IFERROR(__xludf.DUMMYFUNCTION("""COMPUTED_VALUE"""),60.5)</f>
        <v>60.5</v>
      </c>
      <c r="L1038" s="26" t="str">
        <f>IFERROR(__xludf.DUMMYFUNCTION("""COMPUTED_VALUE"""),"Simulation")</f>
        <v>Simulation</v>
      </c>
    </row>
    <row r="1039">
      <c r="A1039" s="12" t="str">
        <f>IFERROR(__xludf.DUMMYFUNCTION("""COMPUTED_VALUE"""),"The Technomancer")</f>
        <v>The Technomancer</v>
      </c>
      <c r="B1039" s="13" t="str">
        <f>IFERROR(__xludf.DUMMYFUNCTION("""COMPUTED_VALUE"""),"Xbox")</f>
        <v>Xbox</v>
      </c>
      <c r="C1039" s="14"/>
      <c r="D1039" s="14" t="str">
        <f>IFERROR(__xludf.DUMMYFUNCTION("""COMPUTED_VALUE"""),"Removed")</f>
        <v>Removed</v>
      </c>
      <c r="E1039" s="294">
        <f>IFERROR(__xludf.DUMMYFUNCTION("""COMPUTED_VALUE"""),43252.0)</f>
        <v>43252</v>
      </c>
      <c r="F1039" s="15">
        <f>IFERROR(__xludf.DUMMYFUNCTION("""COMPUTED_VALUE"""),43405.0)</f>
        <v>43405</v>
      </c>
      <c r="G1039" s="18">
        <f>IFERROR(__xludf.DUMMYFUNCTION("""COMPUTED_VALUE"""),5.0)</f>
        <v>5</v>
      </c>
      <c r="H1039" s="131">
        <f>IFERROR(__xludf.DUMMYFUNCTION("""COMPUTED_VALUE"""),42549.0)</f>
        <v>42549</v>
      </c>
      <c r="I1039" s="18">
        <f>IFERROR(__xludf.DUMMYFUNCTION("""COMPUTED_VALUE"""),1.925)</f>
        <v>1.925</v>
      </c>
      <c r="J1039" s="22">
        <f>IFERROR(__xludf.DUMMYFUNCTION("""COMPUTED_VALUE"""),68.0)</f>
        <v>68</v>
      </c>
      <c r="K1039" s="22">
        <f>IFERROR(__xludf.DUMMYFUNCTION("""COMPUTED_VALUE"""),20.5)</f>
        <v>20.5</v>
      </c>
      <c r="L1039" s="26" t="str">
        <f>IFERROR(__xludf.DUMMYFUNCTION("""COMPUTED_VALUE"""),"RPG")</f>
        <v>RPG</v>
      </c>
    </row>
    <row r="1040">
      <c r="A1040" s="12" t="str">
        <f>IFERROR(__xludf.DUMMYFUNCTION("""COMPUTED_VALUE"""),"Casey Powell Lacrosse 16")</f>
        <v>Casey Powell Lacrosse 16</v>
      </c>
      <c r="B1040" s="13" t="str">
        <f>IFERROR(__xludf.DUMMYFUNCTION("""COMPUTED_VALUE"""),"Xbox")</f>
        <v>Xbox</v>
      </c>
      <c r="C1040" s="14"/>
      <c r="D1040" s="14" t="str">
        <f>IFERROR(__xludf.DUMMYFUNCTION("""COMPUTED_VALUE"""),"Removed")</f>
        <v>Removed</v>
      </c>
      <c r="E1040" s="294">
        <f>IFERROR(__xludf.DUMMYFUNCTION("""COMPUTED_VALUE"""),43070.0)</f>
        <v>43070</v>
      </c>
      <c r="F1040" s="15">
        <f>IFERROR(__xludf.DUMMYFUNCTION("""COMPUTED_VALUE"""),43405.0)</f>
        <v>43405</v>
      </c>
      <c r="G1040" s="18">
        <f>IFERROR(__xludf.DUMMYFUNCTION("""COMPUTED_VALUE"""),11.0)</f>
        <v>11</v>
      </c>
      <c r="H1040" s="131">
        <f>IFERROR(__xludf.DUMMYFUNCTION("""COMPUTED_VALUE"""),42438.0)</f>
        <v>42438</v>
      </c>
      <c r="I1040" s="18">
        <f>IFERROR(__xludf.DUMMYFUNCTION("""COMPUTED_VALUE"""),1.7277777777777779)</f>
        <v>1.727777778</v>
      </c>
      <c r="J1040" s="22">
        <f>IFERROR(__xludf.DUMMYFUNCTION("""COMPUTED_VALUE"""),60.0)</f>
        <v>60</v>
      </c>
      <c r="K1040" s="22">
        <f>IFERROR(__xludf.DUMMYFUNCTION("""COMPUTED_VALUE"""),40.0)</f>
        <v>40</v>
      </c>
      <c r="L1040" s="26" t="str">
        <f>IFERROR(__xludf.DUMMYFUNCTION("""COMPUTED_VALUE"""),"Sports")</f>
        <v>Sports</v>
      </c>
    </row>
    <row r="1041">
      <c r="A1041" s="12" t="str">
        <f>IFERROR(__xludf.DUMMYFUNCTION("""COMPUTED_VALUE"""),"Mega Man 10")</f>
        <v>Mega Man 10</v>
      </c>
      <c r="B1041" s="13" t="str">
        <f>IFERROR(__xludf.DUMMYFUNCTION("""COMPUTED_VALUE"""),"Xbox")</f>
        <v>Xbox</v>
      </c>
      <c r="C1041" s="14"/>
      <c r="D1041" s="14" t="str">
        <f>IFERROR(__xludf.DUMMYFUNCTION("""COMPUTED_VALUE"""),"Removed")</f>
        <v>Removed</v>
      </c>
      <c r="E1041" s="294">
        <f>IFERROR(__xludf.DUMMYFUNCTION("""COMPUTED_VALUE"""),43070.0)</f>
        <v>43070</v>
      </c>
      <c r="F1041" s="15">
        <f>IFERROR(__xludf.DUMMYFUNCTION("""COMPUTED_VALUE"""),43405.0)</f>
        <v>43405</v>
      </c>
      <c r="G1041" s="18">
        <f>IFERROR(__xludf.DUMMYFUNCTION("""COMPUTED_VALUE"""),11.0)</f>
        <v>11</v>
      </c>
      <c r="H1041" s="131">
        <f>IFERROR(__xludf.DUMMYFUNCTION("""COMPUTED_VALUE"""),40238.0)</f>
        <v>40238</v>
      </c>
      <c r="I1041" s="18">
        <f>IFERROR(__xludf.DUMMYFUNCTION("""COMPUTED_VALUE"""),7.75)</f>
        <v>7.75</v>
      </c>
      <c r="J1041" s="22">
        <f>IFERROR(__xludf.DUMMYFUNCTION("""COMPUTED_VALUE"""),79.0)</f>
        <v>79</v>
      </c>
      <c r="K1041" s="22">
        <f>IFERROR(__xludf.DUMMYFUNCTION("""COMPUTED_VALUE"""),2.0)</f>
        <v>2</v>
      </c>
      <c r="L1041" s="26" t="str">
        <f>IFERROR(__xludf.DUMMYFUNCTION("""COMPUTED_VALUE"""),"Platformer")</f>
        <v>Platformer</v>
      </c>
    </row>
    <row r="1042">
      <c r="A1042" s="12" t="str">
        <f>IFERROR(__xludf.DUMMYFUNCTION("""COMPUTED_VALUE"""),"Sherlock Holmes: The Devil's Daughter")</f>
        <v>Sherlock Holmes: The Devil's Daughter</v>
      </c>
      <c r="B1042" s="13" t="str">
        <f>IFERROR(__xludf.DUMMYFUNCTION("""COMPUTED_VALUE"""),"Xbox")</f>
        <v>Xbox</v>
      </c>
      <c r="C1042" s="14"/>
      <c r="D1042" s="14" t="str">
        <f>IFERROR(__xludf.DUMMYFUNCTION("""COMPUTED_VALUE"""),"Removed")</f>
        <v>Removed</v>
      </c>
      <c r="E1042" s="294">
        <f>IFERROR(__xludf.DUMMYFUNCTION("""COMPUTED_VALUE"""),43070.0)</f>
        <v>43070</v>
      </c>
      <c r="F1042" s="15">
        <f>IFERROR(__xludf.DUMMYFUNCTION("""COMPUTED_VALUE"""),43405.0)</f>
        <v>43405</v>
      </c>
      <c r="G1042" s="18">
        <f>IFERROR(__xludf.DUMMYFUNCTION("""COMPUTED_VALUE"""),11.0)</f>
        <v>11</v>
      </c>
      <c r="H1042" s="131">
        <f>IFERROR(__xludf.DUMMYFUNCTION("""COMPUTED_VALUE"""),42531.0)</f>
        <v>42531</v>
      </c>
      <c r="I1042" s="18">
        <f>IFERROR(__xludf.DUMMYFUNCTION("""COMPUTED_VALUE"""),1.475)</f>
        <v>1.475</v>
      </c>
      <c r="J1042" s="22">
        <f>IFERROR(__xludf.DUMMYFUNCTION("""COMPUTED_VALUE"""),66.0)</f>
        <v>66</v>
      </c>
      <c r="K1042" s="22">
        <f>IFERROR(__xludf.DUMMYFUNCTION("""COMPUTED_VALUE"""),10.0)</f>
        <v>10</v>
      </c>
      <c r="L1042" s="26" t="str">
        <f>IFERROR(__xludf.DUMMYFUNCTION("""COMPUTED_VALUE"""),"Adventure")</f>
        <v>Adventure</v>
      </c>
    </row>
    <row r="1043">
      <c r="A1043" s="12" t="str">
        <f>IFERROR(__xludf.DUMMYFUNCTION("""COMPUTED_VALUE"""),"This War of Mine: The Little Ones")</f>
        <v>This War of Mine: The Little Ones</v>
      </c>
      <c r="B1043" s="13" t="str">
        <f>IFERROR(__xludf.DUMMYFUNCTION("""COMPUTED_VALUE"""),"Xbox")</f>
        <v>Xbox</v>
      </c>
      <c r="C1043" s="14"/>
      <c r="D1043" s="14" t="str">
        <f>IFERROR(__xludf.DUMMYFUNCTION("""COMPUTED_VALUE"""),"Removed")</f>
        <v>Removed</v>
      </c>
      <c r="E1043" s="294">
        <f>IFERROR(__xludf.DUMMYFUNCTION("""COMPUTED_VALUE"""),43070.0)</f>
        <v>43070</v>
      </c>
      <c r="F1043" s="15">
        <f>IFERROR(__xludf.DUMMYFUNCTION("""COMPUTED_VALUE"""),43405.0)</f>
        <v>43405</v>
      </c>
      <c r="G1043" s="18">
        <f>IFERROR(__xludf.DUMMYFUNCTION("""COMPUTED_VALUE"""),11.0)</f>
        <v>11</v>
      </c>
      <c r="H1043" s="131">
        <f>IFERROR(__xludf.DUMMYFUNCTION("""COMPUTED_VALUE"""),41957.0)</f>
        <v>41957</v>
      </c>
      <c r="I1043" s="18">
        <f>IFERROR(__xludf.DUMMYFUNCTION("""COMPUTED_VALUE"""),3.047222222222222)</f>
        <v>3.047222222</v>
      </c>
      <c r="J1043" s="22">
        <f>IFERROR(__xludf.DUMMYFUNCTION("""COMPUTED_VALUE"""),78.0)</f>
        <v>78</v>
      </c>
      <c r="K1043" s="22">
        <f>IFERROR(__xludf.DUMMYFUNCTION("""COMPUTED_VALUE"""),10.0)</f>
        <v>10</v>
      </c>
      <c r="L1043" s="26" t="str">
        <f>IFERROR(__xludf.DUMMYFUNCTION("""COMPUTED_VALUE"""),"Simulation")</f>
        <v>Simulation</v>
      </c>
    </row>
    <row r="1044">
      <c r="A1044" s="12" t="str">
        <f>IFERROR(__xludf.DUMMYFUNCTION("""COMPUTED_VALUE"""),"Resident Evil Zero")</f>
        <v>Resident Evil Zero</v>
      </c>
      <c r="B1044" s="13" t="str">
        <f>IFERROR(__xludf.DUMMYFUNCTION("""COMPUTED_VALUE"""),"Xbox")</f>
        <v>Xbox</v>
      </c>
      <c r="C1044" s="14"/>
      <c r="D1044" s="14" t="str">
        <f>IFERROR(__xludf.DUMMYFUNCTION("""COMPUTED_VALUE"""),"Removed")</f>
        <v>Removed</v>
      </c>
      <c r="E1044" s="294">
        <f>IFERROR(__xludf.DUMMYFUNCTION("""COMPUTED_VALUE"""),42887.0)</f>
        <v>42887</v>
      </c>
      <c r="F1044" s="15">
        <f>IFERROR(__xludf.DUMMYFUNCTION("""COMPUTED_VALUE"""),43405.0)</f>
        <v>43405</v>
      </c>
      <c r="G1044" s="18">
        <f>IFERROR(__xludf.DUMMYFUNCTION("""COMPUTED_VALUE"""),17.0)</f>
        <v>17</v>
      </c>
      <c r="H1044" s="131">
        <f>IFERROR(__xludf.DUMMYFUNCTION("""COMPUTED_VALUE"""),37570.0)</f>
        <v>37570</v>
      </c>
      <c r="I1044" s="18">
        <f>IFERROR(__xludf.DUMMYFUNCTION("""COMPUTED_VALUE"""),14.558333333333334)</f>
        <v>14.55833333</v>
      </c>
      <c r="J1044" s="22">
        <f>IFERROR(__xludf.DUMMYFUNCTION("""COMPUTED_VALUE"""),69.0)</f>
        <v>69</v>
      </c>
      <c r="K1044" s="22">
        <f>IFERROR(__xludf.DUMMYFUNCTION("""COMPUTED_VALUE"""),11.5)</f>
        <v>11.5</v>
      </c>
      <c r="L1044" s="26" t="str">
        <f>IFERROR(__xludf.DUMMYFUNCTION("""COMPUTED_VALUE"""),"Action-Adventure")</f>
        <v>Action-Adventure</v>
      </c>
    </row>
    <row r="1045">
      <c r="A1045" s="12" t="str">
        <f>IFERROR(__xludf.DUMMYFUNCTION("""COMPUTED_VALUE"""),"Oddworld: New 'n' Tasty")</f>
        <v>Oddworld: New 'n' Tasty</v>
      </c>
      <c r="B1045" s="13" t="str">
        <f>IFERROR(__xludf.DUMMYFUNCTION("""COMPUTED_VALUE"""),"Xbox")</f>
        <v>Xbox</v>
      </c>
      <c r="C1045" s="14"/>
      <c r="D1045" s="14" t="str">
        <f>IFERROR(__xludf.DUMMYFUNCTION("""COMPUTED_VALUE"""),"Removed")</f>
        <v>Removed</v>
      </c>
      <c r="E1045" s="294">
        <f>IFERROR(__xludf.DUMMYFUNCTION("""COMPUTED_VALUE"""),43041.0)</f>
        <v>43041</v>
      </c>
      <c r="F1045" s="15">
        <f>IFERROR(__xludf.DUMMYFUNCTION("""COMPUTED_VALUE"""),43374.0)</f>
        <v>43374</v>
      </c>
      <c r="G1045" s="18">
        <f>IFERROR(__xludf.DUMMYFUNCTION("""COMPUTED_VALUE"""),10.966666666666667)</f>
        <v>10.96666667</v>
      </c>
      <c r="H1045" s="131">
        <f>IFERROR(__xludf.DUMMYFUNCTION("""COMPUTED_VALUE"""),41842.0)</f>
        <v>41842</v>
      </c>
      <c r="I1045" s="18">
        <f>IFERROR(__xludf.DUMMYFUNCTION("""COMPUTED_VALUE"""),3.2777777777777777)</f>
        <v>3.277777778</v>
      </c>
      <c r="J1045" s="22">
        <f>IFERROR(__xludf.DUMMYFUNCTION("""COMPUTED_VALUE"""),86.0)</f>
        <v>86</v>
      </c>
      <c r="K1045" s="22">
        <f>IFERROR(__xludf.DUMMYFUNCTION("""COMPUTED_VALUE"""),7.5)</f>
        <v>7.5</v>
      </c>
      <c r="L1045" s="26" t="str">
        <f>IFERROR(__xludf.DUMMYFUNCTION("""COMPUTED_VALUE"""),"Platformer")</f>
        <v>Platformer</v>
      </c>
    </row>
    <row r="1046">
      <c r="A1046" s="12" t="str">
        <f>IFERROR(__xludf.DUMMYFUNCTION("""COMPUTED_VALUE"""),"Mega Man 9")</f>
        <v>Mega Man 9</v>
      </c>
      <c r="B1046" s="13" t="str">
        <f>IFERROR(__xludf.DUMMYFUNCTION("""COMPUTED_VALUE"""),"Xbox")</f>
        <v>Xbox</v>
      </c>
      <c r="C1046" s="14"/>
      <c r="D1046" s="14" t="str">
        <f>IFERROR(__xludf.DUMMYFUNCTION("""COMPUTED_VALUE"""),"Removed")</f>
        <v>Removed</v>
      </c>
      <c r="E1046" s="294">
        <f>IFERROR(__xludf.DUMMYFUNCTION("""COMPUTED_VALUE"""),43040.0)</f>
        <v>43040</v>
      </c>
      <c r="F1046" s="15">
        <f>IFERROR(__xludf.DUMMYFUNCTION("""COMPUTED_VALUE"""),43374.0)</f>
        <v>43374</v>
      </c>
      <c r="G1046" s="18">
        <f>IFERROR(__xludf.DUMMYFUNCTION("""COMPUTED_VALUE"""),11.0)</f>
        <v>11</v>
      </c>
      <c r="H1046" s="131">
        <f>IFERROR(__xludf.DUMMYFUNCTION("""COMPUTED_VALUE"""),39713.0)</f>
        <v>39713</v>
      </c>
      <c r="I1046" s="18">
        <f>IFERROR(__xludf.DUMMYFUNCTION("""COMPUTED_VALUE"""),9.108333333333333)</f>
        <v>9.108333333</v>
      </c>
      <c r="J1046" s="22">
        <f>IFERROR(__xludf.DUMMYFUNCTION("""COMPUTED_VALUE"""),82.0)</f>
        <v>82</v>
      </c>
      <c r="K1046" s="22">
        <f>IFERROR(__xludf.DUMMYFUNCTION("""COMPUTED_VALUE"""),3.5)</f>
        <v>3.5</v>
      </c>
      <c r="L1046" s="26" t="str">
        <f>IFERROR(__xludf.DUMMYFUNCTION("""COMPUTED_VALUE"""),"Platformer")</f>
        <v>Platformer</v>
      </c>
    </row>
    <row r="1047">
      <c r="A1047" s="12" t="str">
        <f>IFERROR(__xludf.DUMMYFUNCTION("""COMPUTED_VALUE"""),"Resident Evil")</f>
        <v>Resident Evil</v>
      </c>
      <c r="B1047" s="13" t="str">
        <f>IFERROR(__xludf.DUMMYFUNCTION("""COMPUTED_VALUE"""),"Xbox")</f>
        <v>Xbox</v>
      </c>
      <c r="C1047" s="14"/>
      <c r="D1047" s="14" t="str">
        <f>IFERROR(__xludf.DUMMYFUNCTION("""COMPUTED_VALUE"""),"Removed")</f>
        <v>Removed</v>
      </c>
      <c r="E1047" s="294">
        <f>IFERROR(__xludf.DUMMYFUNCTION("""COMPUTED_VALUE"""),43040.0)</f>
        <v>43040</v>
      </c>
      <c r="F1047" s="15">
        <f>IFERROR(__xludf.DUMMYFUNCTION("""COMPUTED_VALUE"""),43374.0)</f>
        <v>43374</v>
      </c>
      <c r="G1047" s="18">
        <f>IFERROR(__xludf.DUMMYFUNCTION("""COMPUTED_VALUE"""),11.0)</f>
        <v>11</v>
      </c>
      <c r="H1047" s="131">
        <f>IFERROR(__xludf.DUMMYFUNCTION("""COMPUTED_VALUE"""),37337.0)</f>
        <v>37337</v>
      </c>
      <c r="I1047" s="18">
        <f>IFERROR(__xludf.DUMMYFUNCTION("""COMPUTED_VALUE"""),15.608333333333333)</f>
        <v>15.60833333</v>
      </c>
      <c r="J1047" s="22">
        <f>IFERROR(__xludf.DUMMYFUNCTION("""COMPUTED_VALUE"""),82.0)</f>
        <v>82</v>
      </c>
      <c r="K1047" s="22">
        <f>IFERROR(__xludf.DUMMYFUNCTION("""COMPUTED_VALUE"""),11.0)</f>
        <v>11</v>
      </c>
      <c r="L1047" s="26" t="str">
        <f>IFERROR(__xludf.DUMMYFUNCTION("""COMPUTED_VALUE"""),"Action-Adventure")</f>
        <v>Action-Adventure</v>
      </c>
    </row>
    <row r="1048">
      <c r="A1048" s="12" t="str">
        <f>IFERROR(__xludf.DUMMYFUNCTION("""COMPUTED_VALUE"""),"Sky Force: Anniversary")</f>
        <v>Sky Force: Anniversary</v>
      </c>
      <c r="B1048" s="13" t="str">
        <f>IFERROR(__xludf.DUMMYFUNCTION("""COMPUTED_VALUE"""),"Xbox")</f>
        <v>Xbox</v>
      </c>
      <c r="C1048" s="14"/>
      <c r="D1048" s="14" t="str">
        <f>IFERROR(__xludf.DUMMYFUNCTION("""COMPUTED_VALUE"""),"Removed")</f>
        <v>Removed</v>
      </c>
      <c r="E1048" s="294">
        <f>IFERROR(__xludf.DUMMYFUNCTION("""COMPUTED_VALUE"""),43040.0)</f>
        <v>43040</v>
      </c>
      <c r="F1048" s="15">
        <f>IFERROR(__xludf.DUMMYFUNCTION("""COMPUTED_VALUE"""),43374.0)</f>
        <v>43374</v>
      </c>
      <c r="G1048" s="18">
        <f>IFERROR(__xludf.DUMMYFUNCTION("""COMPUTED_VALUE"""),11.0)</f>
        <v>11</v>
      </c>
      <c r="H1048" s="131">
        <f>IFERROR(__xludf.DUMMYFUNCTION("""COMPUTED_VALUE"""),42124.0)</f>
        <v>42124</v>
      </c>
      <c r="I1048" s="18">
        <f>IFERROR(__xludf.DUMMYFUNCTION("""COMPUTED_VALUE"""),2.5027777777777778)</f>
        <v>2.502777778</v>
      </c>
      <c r="J1048" s="22">
        <f>IFERROR(__xludf.DUMMYFUNCTION("""COMPUTED_VALUE"""),77.0)</f>
        <v>77</v>
      </c>
      <c r="K1048" s="22">
        <f>IFERROR(__xludf.DUMMYFUNCTION("""COMPUTED_VALUE"""),8.0)</f>
        <v>8</v>
      </c>
      <c r="L1048" s="26" t="str">
        <f>IFERROR(__xludf.DUMMYFUNCTION("""COMPUTED_VALUE"""),"Shooter")</f>
        <v>Shooter</v>
      </c>
    </row>
    <row r="1049">
      <c r="A1049" s="12" t="str">
        <f>IFERROR(__xludf.DUMMYFUNCTION("""COMPUTED_VALUE"""),"World of Van Helsing: Deathtrap")</f>
        <v>World of Van Helsing: Deathtrap</v>
      </c>
      <c r="B1049" s="13" t="str">
        <f>IFERROR(__xludf.DUMMYFUNCTION("""COMPUTED_VALUE"""),"Xbox")</f>
        <v>Xbox</v>
      </c>
      <c r="C1049" s="14"/>
      <c r="D1049" s="14" t="str">
        <f>IFERROR(__xludf.DUMMYFUNCTION("""COMPUTED_VALUE"""),"Removed")</f>
        <v>Removed</v>
      </c>
      <c r="E1049" s="294">
        <f>IFERROR(__xludf.DUMMYFUNCTION("""COMPUTED_VALUE"""),43040.0)</f>
        <v>43040</v>
      </c>
      <c r="F1049" s="15">
        <f>IFERROR(__xludf.DUMMYFUNCTION("""COMPUTED_VALUE"""),43374.0)</f>
        <v>43374</v>
      </c>
      <c r="G1049" s="18">
        <f>IFERROR(__xludf.DUMMYFUNCTION("""COMPUTED_VALUE"""),11.0)</f>
        <v>11</v>
      </c>
      <c r="H1049" s="131">
        <f>IFERROR(__xludf.DUMMYFUNCTION("""COMPUTED_VALUE"""),42038.0)</f>
        <v>42038</v>
      </c>
      <c r="I1049" s="18">
        <f>IFERROR(__xludf.DUMMYFUNCTION("""COMPUTED_VALUE"""),2.7444444444444445)</f>
        <v>2.744444444</v>
      </c>
      <c r="J1049" s="22">
        <f>IFERROR(__xludf.DUMMYFUNCTION("""COMPUTED_VALUE"""),80.0)</f>
        <v>80</v>
      </c>
      <c r="K1049" s="22">
        <f>IFERROR(__xludf.DUMMYFUNCTION("""COMPUTED_VALUE"""),7.0)</f>
        <v>7</v>
      </c>
      <c r="L1049" s="26" t="str">
        <f>IFERROR(__xludf.DUMMYFUNCTION("""COMPUTED_VALUE"""),"Strategy")</f>
        <v>Strategy</v>
      </c>
    </row>
    <row r="1050">
      <c r="A1050" s="12" t="str">
        <f>IFERROR(__xludf.DUMMYFUNCTION("""COMPUTED_VALUE"""),"Maldita Castilla EX: Cursed Castilla")</f>
        <v>Maldita Castilla EX: Cursed Castilla</v>
      </c>
      <c r="B1050" s="13" t="str">
        <f>IFERROR(__xludf.DUMMYFUNCTION("""COMPUTED_VALUE"""),"Xbox")</f>
        <v>Xbox</v>
      </c>
      <c r="C1050" s="14"/>
      <c r="D1050" s="14" t="str">
        <f>IFERROR(__xludf.DUMMYFUNCTION("""COMPUTED_VALUE"""),"Removed")</f>
        <v>Removed</v>
      </c>
      <c r="E1050" s="294">
        <f>IFERROR(__xludf.DUMMYFUNCTION("""COMPUTED_VALUE"""),43009.0)</f>
        <v>43009</v>
      </c>
      <c r="F1050" s="15">
        <f>IFERROR(__xludf.DUMMYFUNCTION("""COMPUTED_VALUE"""),43344.0)</f>
        <v>43344</v>
      </c>
      <c r="G1050" s="18">
        <f>IFERROR(__xludf.DUMMYFUNCTION("""COMPUTED_VALUE"""),11.0)</f>
        <v>11</v>
      </c>
      <c r="H1050" s="131">
        <f>IFERROR(__xludf.DUMMYFUNCTION("""COMPUTED_VALUE"""),41255.0)</f>
        <v>41255</v>
      </c>
      <c r="I1050" s="18">
        <f>IFERROR(__xludf.DUMMYFUNCTION("""COMPUTED_VALUE"""),4.802777777777778)</f>
        <v>4.802777778</v>
      </c>
      <c r="J1050" s="22">
        <f>IFERROR(__xludf.DUMMYFUNCTION("""COMPUTED_VALUE"""),81.0)</f>
        <v>81</v>
      </c>
      <c r="K1050" s="22">
        <f>IFERROR(__xludf.DUMMYFUNCTION("""COMPUTED_VALUE"""),5.5)</f>
        <v>5.5</v>
      </c>
      <c r="L1050" s="26" t="str">
        <f>IFERROR(__xludf.DUMMYFUNCTION("""COMPUTED_VALUE"""),"Platformer")</f>
        <v>Platformer</v>
      </c>
    </row>
    <row r="1051">
      <c r="A1051" s="12" t="str">
        <f>IFERROR(__xludf.DUMMYFUNCTION("""COMPUTED_VALUE"""),"Saints Row: Gat Out of Hell")</f>
        <v>Saints Row: Gat Out of Hell</v>
      </c>
      <c r="B1051" s="13" t="str">
        <f>IFERROR(__xludf.DUMMYFUNCTION("""COMPUTED_VALUE"""),"Xbox")</f>
        <v>Xbox</v>
      </c>
      <c r="C1051" s="14"/>
      <c r="D1051" s="14" t="str">
        <f>IFERROR(__xludf.DUMMYFUNCTION("""COMPUTED_VALUE"""),"Removed")</f>
        <v>Removed</v>
      </c>
      <c r="E1051" s="294">
        <f>IFERROR(__xludf.DUMMYFUNCTION("""COMPUTED_VALUE"""),43009.0)</f>
        <v>43009</v>
      </c>
      <c r="F1051" s="15">
        <f>IFERROR(__xludf.DUMMYFUNCTION("""COMPUTED_VALUE"""),43344.0)</f>
        <v>43344</v>
      </c>
      <c r="G1051" s="18">
        <f>IFERROR(__xludf.DUMMYFUNCTION("""COMPUTED_VALUE"""),11.0)</f>
        <v>11</v>
      </c>
      <c r="H1051" s="131">
        <f>IFERROR(__xludf.DUMMYFUNCTION("""COMPUTED_VALUE"""),42024.0)</f>
        <v>42024</v>
      </c>
      <c r="I1051" s="18">
        <f>IFERROR(__xludf.DUMMYFUNCTION("""COMPUTED_VALUE"""),2.6972222222222224)</f>
        <v>2.697222222</v>
      </c>
      <c r="J1051" s="22">
        <f>IFERROR(__xludf.DUMMYFUNCTION("""COMPUTED_VALUE"""),65.0)</f>
        <v>65</v>
      </c>
      <c r="K1051" s="22">
        <f>IFERROR(__xludf.DUMMYFUNCTION("""COMPUTED_VALUE"""),4.0)</f>
        <v>4</v>
      </c>
      <c r="L1051" s="26" t="str">
        <f>IFERROR(__xludf.DUMMYFUNCTION("""COMPUTED_VALUE"""),"Shooter")</f>
        <v>Shooter</v>
      </c>
    </row>
    <row r="1052">
      <c r="A1052" s="12" t="str">
        <f>IFERROR(__xludf.DUMMYFUNCTION("""COMPUTED_VALUE"""),"The Bug Butcher")</f>
        <v>The Bug Butcher</v>
      </c>
      <c r="B1052" s="13" t="str">
        <f>IFERROR(__xludf.DUMMYFUNCTION("""COMPUTED_VALUE"""),"Xbox")</f>
        <v>Xbox</v>
      </c>
      <c r="C1052" s="14"/>
      <c r="D1052" s="14" t="str">
        <f>IFERROR(__xludf.DUMMYFUNCTION("""COMPUTED_VALUE"""),"Removed")</f>
        <v>Removed</v>
      </c>
      <c r="E1052" s="294">
        <f>IFERROR(__xludf.DUMMYFUNCTION("""COMPUTED_VALUE"""),43009.0)</f>
        <v>43009</v>
      </c>
      <c r="F1052" s="15">
        <f>IFERROR(__xludf.DUMMYFUNCTION("""COMPUTED_VALUE"""),43344.0)</f>
        <v>43344</v>
      </c>
      <c r="G1052" s="18">
        <f>IFERROR(__xludf.DUMMYFUNCTION("""COMPUTED_VALUE"""),11.0)</f>
        <v>11</v>
      </c>
      <c r="H1052" s="131">
        <f>IFERROR(__xludf.DUMMYFUNCTION("""COMPUTED_VALUE"""),42388.0)</f>
        <v>42388</v>
      </c>
      <c r="I1052" s="18">
        <f>IFERROR(__xludf.DUMMYFUNCTION("""COMPUTED_VALUE"""),1.7)</f>
        <v>1.7</v>
      </c>
      <c r="J1052" s="22">
        <f>IFERROR(__xludf.DUMMYFUNCTION("""COMPUTED_VALUE"""),80.0)</f>
        <v>80</v>
      </c>
      <c r="K1052" s="22">
        <f>IFERROR(__xludf.DUMMYFUNCTION("""COMPUTED_VALUE"""),2.0)</f>
        <v>2</v>
      </c>
      <c r="L1052" s="26" t="str">
        <f>IFERROR(__xludf.DUMMYFUNCTION("""COMPUTED_VALUE"""),"Shooter")</f>
        <v>Shooter</v>
      </c>
    </row>
    <row r="1053">
      <c r="A1053" s="12" t="str">
        <f>IFERROR(__xludf.DUMMYFUNCTION("""COMPUTED_VALUE"""),"Tower of Guns")</f>
        <v>Tower of Guns</v>
      </c>
      <c r="B1053" s="13" t="str">
        <f>IFERROR(__xludf.DUMMYFUNCTION("""COMPUTED_VALUE"""),"Xbox")</f>
        <v>Xbox</v>
      </c>
      <c r="C1053" s="14"/>
      <c r="D1053" s="14" t="str">
        <f>IFERROR(__xludf.DUMMYFUNCTION("""COMPUTED_VALUE"""),"Removed")</f>
        <v>Removed</v>
      </c>
      <c r="E1053" s="294">
        <f>IFERROR(__xludf.DUMMYFUNCTION("""COMPUTED_VALUE"""),43009.0)</f>
        <v>43009</v>
      </c>
      <c r="F1053" s="15">
        <f>IFERROR(__xludf.DUMMYFUNCTION("""COMPUTED_VALUE"""),43344.0)</f>
        <v>43344</v>
      </c>
      <c r="G1053" s="18">
        <f>IFERROR(__xludf.DUMMYFUNCTION("""COMPUTED_VALUE"""),11.0)</f>
        <v>11</v>
      </c>
      <c r="H1053" s="131">
        <f>IFERROR(__xludf.DUMMYFUNCTION("""COMPUTED_VALUE"""),41702.0)</f>
        <v>41702</v>
      </c>
      <c r="I1053" s="18">
        <f>IFERROR(__xludf.DUMMYFUNCTION("""COMPUTED_VALUE"""),3.575)</f>
        <v>3.575</v>
      </c>
      <c r="J1053" s="22">
        <f>IFERROR(__xludf.DUMMYFUNCTION("""COMPUTED_VALUE"""),71.0)</f>
        <v>71</v>
      </c>
      <c r="K1053" s="22">
        <f>IFERROR(__xludf.DUMMYFUNCTION("""COMPUTED_VALUE"""),2.5)</f>
        <v>2.5</v>
      </c>
      <c r="L1053" s="26" t="str">
        <f>IFERROR(__xludf.DUMMYFUNCTION("""COMPUTED_VALUE"""),"Shooter")</f>
        <v>Shooter</v>
      </c>
    </row>
    <row r="1054">
      <c r="A1054" s="12" t="str">
        <f>IFERROR(__xludf.DUMMYFUNCTION("""COMPUTED_VALUE"""),"Pro Evolution Soccer 2018")</f>
        <v>Pro Evolution Soccer 2018</v>
      </c>
      <c r="B1054" s="13" t="str">
        <f>IFERROR(__xludf.DUMMYFUNCTION("""COMPUTED_VALUE"""),"Xbox")</f>
        <v>Xbox</v>
      </c>
      <c r="C1054" s="14"/>
      <c r="D1054" s="14" t="str">
        <f>IFERROR(__xludf.DUMMYFUNCTION("""COMPUTED_VALUE"""),"Removed")</f>
        <v>Removed</v>
      </c>
      <c r="E1054" s="294">
        <f>IFERROR(__xludf.DUMMYFUNCTION("""COMPUTED_VALUE"""),43221.0)</f>
        <v>43221</v>
      </c>
      <c r="F1054" s="15">
        <f>IFERROR(__xludf.DUMMYFUNCTION("""COMPUTED_VALUE"""),43313.0)</f>
        <v>43313</v>
      </c>
      <c r="G1054" s="18">
        <f>IFERROR(__xludf.DUMMYFUNCTION("""COMPUTED_VALUE"""),3.0)</f>
        <v>3</v>
      </c>
      <c r="H1054" s="131">
        <f>IFERROR(__xludf.DUMMYFUNCTION("""COMPUTED_VALUE"""),42990.0)</f>
        <v>42990</v>
      </c>
      <c r="I1054" s="18">
        <f>IFERROR(__xludf.DUMMYFUNCTION("""COMPUTED_VALUE"""),0.6361111111111111)</f>
        <v>0.6361111111</v>
      </c>
      <c r="J1054" s="22">
        <f>IFERROR(__xludf.DUMMYFUNCTION("""COMPUTED_VALUE"""),82.0)</f>
        <v>82</v>
      </c>
      <c r="K1054" s="22">
        <f>IFERROR(__xludf.DUMMYFUNCTION("""COMPUTED_VALUE"""),85.5)</f>
        <v>85.5</v>
      </c>
      <c r="L1054" s="26" t="str">
        <f>IFERROR(__xludf.DUMMYFUNCTION("""COMPUTED_VALUE"""),"Soccer")</f>
        <v>Soccer</v>
      </c>
    </row>
    <row r="1055">
      <c r="A1055" s="12" t="str">
        <f>IFERROR(__xludf.DUMMYFUNCTION("""COMPUTED_VALUE"""),"10 Second Ninja X")</f>
        <v>10 Second Ninja X</v>
      </c>
      <c r="B1055" s="13" t="str">
        <f>IFERROR(__xludf.DUMMYFUNCTION("""COMPUTED_VALUE"""),"Xbox")</f>
        <v>Xbox</v>
      </c>
      <c r="C1055" s="14"/>
      <c r="D1055" s="14" t="str">
        <f>IFERROR(__xludf.DUMMYFUNCTION("""COMPUTED_VALUE"""),"Removed")</f>
        <v>Removed</v>
      </c>
      <c r="E1055" s="294">
        <f>IFERROR(__xludf.DUMMYFUNCTION("""COMPUTED_VALUE"""),42979.0)</f>
        <v>42979</v>
      </c>
      <c r="F1055" s="15">
        <f>IFERROR(__xludf.DUMMYFUNCTION("""COMPUTED_VALUE"""),43313.0)</f>
        <v>43313</v>
      </c>
      <c r="G1055" s="18">
        <f>IFERROR(__xludf.DUMMYFUNCTION("""COMPUTED_VALUE"""),11.0)</f>
        <v>11</v>
      </c>
      <c r="H1055" s="131">
        <f>IFERROR(__xludf.DUMMYFUNCTION("""COMPUTED_VALUE"""),42570.0)</f>
        <v>42570</v>
      </c>
      <c r="I1055" s="18">
        <f>IFERROR(__xludf.DUMMYFUNCTION("""COMPUTED_VALUE"""),1.1166666666666667)</f>
        <v>1.116666667</v>
      </c>
      <c r="J1055" s="22">
        <f>IFERROR(__xludf.DUMMYFUNCTION("""COMPUTED_VALUE"""),82.0)</f>
        <v>82</v>
      </c>
      <c r="K1055" s="22">
        <f>IFERROR(__xludf.DUMMYFUNCTION("""COMPUTED_VALUE"""),2.0)</f>
        <v>2</v>
      </c>
      <c r="L1055" s="26" t="str">
        <f>IFERROR(__xludf.DUMMYFUNCTION("""COMPUTED_VALUE"""),"Platformer")</f>
        <v>Platformer</v>
      </c>
    </row>
    <row r="1056">
      <c r="A1056" s="12" t="str">
        <f>IFERROR(__xludf.DUMMYFUNCTION("""COMPUTED_VALUE"""),"The Bridge")</f>
        <v>The Bridge</v>
      </c>
      <c r="B1056" s="13" t="str">
        <f>IFERROR(__xludf.DUMMYFUNCTION("""COMPUTED_VALUE"""),"Xbox")</f>
        <v>Xbox</v>
      </c>
      <c r="C1056" s="14"/>
      <c r="D1056" s="14" t="str">
        <f>IFERROR(__xludf.DUMMYFUNCTION("""COMPUTED_VALUE"""),"Removed")</f>
        <v>Removed</v>
      </c>
      <c r="E1056" s="294">
        <f>IFERROR(__xludf.DUMMYFUNCTION("""COMPUTED_VALUE"""),42979.0)</f>
        <v>42979</v>
      </c>
      <c r="F1056" s="15">
        <f>IFERROR(__xludf.DUMMYFUNCTION("""COMPUTED_VALUE"""),43313.0)</f>
        <v>43313</v>
      </c>
      <c r="G1056" s="18">
        <f>IFERROR(__xludf.DUMMYFUNCTION("""COMPUTED_VALUE"""),11.0)</f>
        <v>11</v>
      </c>
      <c r="H1056" s="131">
        <f>IFERROR(__xludf.DUMMYFUNCTION("""COMPUTED_VALUE"""),41327.0)</f>
        <v>41327</v>
      </c>
      <c r="I1056" s="18">
        <f>IFERROR(__xludf.DUMMYFUNCTION("""COMPUTED_VALUE"""),4.525)</f>
        <v>4.525</v>
      </c>
      <c r="J1056" s="22">
        <f>IFERROR(__xludf.DUMMYFUNCTION("""COMPUTED_VALUE"""),72.0)</f>
        <v>72</v>
      </c>
      <c r="K1056" s="22">
        <f>IFERROR(__xludf.DUMMYFUNCTION("""COMPUTED_VALUE"""),4.0)</f>
        <v>4</v>
      </c>
      <c r="L1056" s="26" t="str">
        <f>IFERROR(__xludf.DUMMYFUNCTION("""COMPUTED_VALUE"""),"Platformer")</f>
        <v>Platformer</v>
      </c>
    </row>
    <row r="1057">
      <c r="A1057" s="12" t="str">
        <f>IFERROR(__xludf.DUMMYFUNCTION("""COMPUTED_VALUE"""),"Galaga Legions DX")</f>
        <v>Galaga Legions DX</v>
      </c>
      <c r="B1057" s="13" t="str">
        <f>IFERROR(__xludf.DUMMYFUNCTION("""COMPUTED_VALUE"""),"Xbox")</f>
        <v>Xbox</v>
      </c>
      <c r="C1057" s="14"/>
      <c r="D1057" s="14" t="str">
        <f>IFERROR(__xludf.DUMMYFUNCTION("""COMPUTED_VALUE"""),"Removed")</f>
        <v>Removed</v>
      </c>
      <c r="E1057" s="294">
        <f>IFERROR(__xludf.DUMMYFUNCTION("""COMPUTED_VALUE"""),42887.0)</f>
        <v>42887</v>
      </c>
      <c r="F1057" s="15">
        <f>IFERROR(__xludf.DUMMYFUNCTION("""COMPUTED_VALUE"""),43313.0)</f>
        <v>43313</v>
      </c>
      <c r="G1057" s="18">
        <f>IFERROR(__xludf.DUMMYFUNCTION("""COMPUTED_VALUE"""),14.0)</f>
        <v>14</v>
      </c>
      <c r="H1057" s="131">
        <f>IFERROR(__xludf.DUMMYFUNCTION("""COMPUTED_VALUE"""),40722.0)</f>
        <v>40722</v>
      </c>
      <c r="I1057" s="18">
        <f>IFERROR(__xludf.DUMMYFUNCTION("""COMPUTED_VALUE"""),5.925)</f>
        <v>5.925</v>
      </c>
      <c r="J1057" s="22">
        <f>IFERROR(__xludf.DUMMYFUNCTION("""COMPUTED_VALUE"""),74.0)</f>
        <v>74</v>
      </c>
      <c r="K1057" s="22">
        <f>IFERROR(__xludf.DUMMYFUNCTION("""COMPUTED_VALUE"""),1.5)</f>
        <v>1.5</v>
      </c>
      <c r="L1057" s="26" t="str">
        <f>IFERROR(__xludf.DUMMYFUNCTION("""COMPUTED_VALUE"""),"Shooter")</f>
        <v>Shooter</v>
      </c>
    </row>
    <row r="1058">
      <c r="A1058" s="12" t="str">
        <f>IFERROR(__xludf.DUMMYFUNCTION("""COMPUTED_VALUE"""),"Pac-Man Museum")</f>
        <v>Pac-Man Museum</v>
      </c>
      <c r="B1058" s="13" t="str">
        <f>IFERROR(__xludf.DUMMYFUNCTION("""COMPUTED_VALUE"""),"Xbox")</f>
        <v>Xbox</v>
      </c>
      <c r="C1058" s="14"/>
      <c r="D1058" s="14" t="str">
        <f>IFERROR(__xludf.DUMMYFUNCTION("""COMPUTED_VALUE"""),"Removed")</f>
        <v>Removed</v>
      </c>
      <c r="E1058" s="294">
        <f>IFERROR(__xludf.DUMMYFUNCTION("""COMPUTED_VALUE"""),42887.0)</f>
        <v>42887</v>
      </c>
      <c r="F1058" s="15">
        <f>IFERROR(__xludf.DUMMYFUNCTION("""COMPUTED_VALUE"""),43313.0)</f>
        <v>43313</v>
      </c>
      <c r="G1058" s="18">
        <f>IFERROR(__xludf.DUMMYFUNCTION("""COMPUTED_VALUE"""),14.0)</f>
        <v>14</v>
      </c>
      <c r="H1058" s="131">
        <f>IFERROR(__xludf.DUMMYFUNCTION("""COMPUTED_VALUE"""),41695.0)</f>
        <v>41695</v>
      </c>
      <c r="I1058" s="18">
        <f>IFERROR(__xludf.DUMMYFUNCTION("""COMPUTED_VALUE"""),3.2666666666666666)</f>
        <v>3.266666667</v>
      </c>
      <c r="J1058" s="22">
        <f>IFERROR(__xludf.DUMMYFUNCTION("""COMPUTED_VALUE"""),64.0)</f>
        <v>64</v>
      </c>
      <c r="K1058" s="22">
        <f>IFERROR(__xludf.DUMMYFUNCTION("""COMPUTED_VALUE"""),3.0)</f>
        <v>3</v>
      </c>
      <c r="L1058" s="26" t="str">
        <f>IFERROR(__xludf.DUMMYFUNCTION("""COMPUTED_VALUE"""),"Compilation")</f>
        <v>Compilation</v>
      </c>
    </row>
    <row r="1059">
      <c r="A1059" s="12" t="str">
        <f>IFERROR(__xludf.DUMMYFUNCTION("""COMPUTED_VALUE"""),"SoulCalibur II HD Online")</f>
        <v>SoulCalibur II HD Online</v>
      </c>
      <c r="B1059" s="13" t="str">
        <f>IFERROR(__xludf.DUMMYFUNCTION("""COMPUTED_VALUE"""),"Xbox")</f>
        <v>Xbox</v>
      </c>
      <c r="C1059" s="14"/>
      <c r="D1059" s="14" t="str">
        <f>IFERROR(__xludf.DUMMYFUNCTION("""COMPUTED_VALUE"""),"Removed")</f>
        <v>Removed</v>
      </c>
      <c r="E1059" s="294">
        <f>IFERROR(__xludf.DUMMYFUNCTION("""COMPUTED_VALUE"""),42887.0)</f>
        <v>42887</v>
      </c>
      <c r="F1059" s="15">
        <f>IFERROR(__xludf.DUMMYFUNCTION("""COMPUTED_VALUE"""),43313.0)</f>
        <v>43313</v>
      </c>
      <c r="G1059" s="18">
        <f>IFERROR(__xludf.DUMMYFUNCTION("""COMPUTED_VALUE"""),14.0)</f>
        <v>14</v>
      </c>
      <c r="H1059" s="131">
        <f>IFERROR(__xludf.DUMMYFUNCTION("""COMPUTED_VALUE"""),41597.0)</f>
        <v>41597</v>
      </c>
      <c r="I1059" s="18">
        <f>IFERROR(__xludf.DUMMYFUNCTION("""COMPUTED_VALUE"""),3.533333333333333)</f>
        <v>3.533333333</v>
      </c>
      <c r="J1059" s="22">
        <f>IFERROR(__xludf.DUMMYFUNCTION("""COMPUTED_VALUE"""),76.0)</f>
        <v>76</v>
      </c>
      <c r="K1059" s="22">
        <f>IFERROR(__xludf.DUMMYFUNCTION("""COMPUTED_VALUE"""),3.0)</f>
        <v>3</v>
      </c>
      <c r="L1059" s="26" t="str">
        <f>IFERROR(__xludf.DUMMYFUNCTION("""COMPUTED_VALUE"""),"Fighting")</f>
        <v>Fighting</v>
      </c>
    </row>
    <row r="1060">
      <c r="A1060" s="12" t="str">
        <f>IFERROR(__xludf.DUMMYFUNCTION("""COMPUTED_VALUE"""),"Tekken Tag Tournament 2")</f>
        <v>Tekken Tag Tournament 2</v>
      </c>
      <c r="B1060" s="13" t="str">
        <f>IFERROR(__xludf.DUMMYFUNCTION("""COMPUTED_VALUE"""),"Xbox")</f>
        <v>Xbox</v>
      </c>
      <c r="C1060" s="14"/>
      <c r="D1060" s="14" t="str">
        <f>IFERROR(__xludf.DUMMYFUNCTION("""COMPUTED_VALUE"""),"Removed")</f>
        <v>Removed</v>
      </c>
      <c r="E1060" s="294">
        <f>IFERROR(__xludf.DUMMYFUNCTION("""COMPUTED_VALUE"""),42887.0)</f>
        <v>42887</v>
      </c>
      <c r="F1060" s="15">
        <f>IFERROR(__xludf.DUMMYFUNCTION("""COMPUTED_VALUE"""),43313.0)</f>
        <v>43313</v>
      </c>
      <c r="G1060" s="18">
        <f>IFERROR(__xludf.DUMMYFUNCTION("""COMPUTED_VALUE"""),14.0)</f>
        <v>14</v>
      </c>
      <c r="H1060" s="131">
        <f>IFERROR(__xludf.DUMMYFUNCTION("""COMPUTED_VALUE"""),40797.0)</f>
        <v>40797</v>
      </c>
      <c r="I1060" s="18">
        <f>IFERROR(__xludf.DUMMYFUNCTION("""COMPUTED_VALUE"""),5.722222222222222)</f>
        <v>5.722222222</v>
      </c>
      <c r="J1060" s="22">
        <f>IFERROR(__xludf.DUMMYFUNCTION("""COMPUTED_VALUE"""),83.0)</f>
        <v>83</v>
      </c>
      <c r="K1060" s="22">
        <f>IFERROR(__xludf.DUMMYFUNCTION("""COMPUTED_VALUE"""),1.5)</f>
        <v>1.5</v>
      </c>
      <c r="L1060" s="26" t="str">
        <f>IFERROR(__xludf.DUMMYFUNCTION("""COMPUTED_VALUE"""),"Fighting")</f>
        <v>Fighting</v>
      </c>
    </row>
    <row r="1061">
      <c r="A1061" s="12" t="str">
        <f>IFERROR(__xludf.DUMMYFUNCTION("""COMPUTED_VALUE"""),"Overcooked!")</f>
        <v>Overcooked!</v>
      </c>
      <c r="B1061" s="13" t="str">
        <f>IFERROR(__xludf.DUMMYFUNCTION("""COMPUTED_VALUE"""),"Xbox")</f>
        <v>Xbox</v>
      </c>
      <c r="C1061" s="14"/>
      <c r="D1061" s="14" t="str">
        <f>IFERROR(__xludf.DUMMYFUNCTION("""COMPUTED_VALUE"""),"Removed")</f>
        <v>Removed</v>
      </c>
      <c r="E1061" s="294">
        <f>IFERROR(__xludf.DUMMYFUNCTION("""COMPUTED_VALUE"""),43221.0)</f>
        <v>43221</v>
      </c>
      <c r="F1061" s="15">
        <f>IFERROR(__xludf.DUMMYFUNCTION("""COMPUTED_VALUE"""),43282.0)</f>
        <v>43282</v>
      </c>
      <c r="G1061" s="18">
        <f>IFERROR(__xludf.DUMMYFUNCTION("""COMPUTED_VALUE"""),2.0)</f>
        <v>2</v>
      </c>
      <c r="H1061" s="131">
        <f>IFERROR(__xludf.DUMMYFUNCTION("""COMPUTED_VALUE"""),42585.0)</f>
        <v>42585</v>
      </c>
      <c r="I1061" s="18">
        <f>IFERROR(__xludf.DUMMYFUNCTION("""COMPUTED_VALUE"""),1.7444444444444445)</f>
        <v>1.744444444</v>
      </c>
      <c r="J1061" s="22">
        <f>IFERROR(__xludf.DUMMYFUNCTION("""COMPUTED_VALUE"""),80.0)</f>
        <v>80</v>
      </c>
      <c r="K1061" s="22">
        <f>IFERROR(__xludf.DUMMYFUNCTION("""COMPUTED_VALUE"""),8.0)</f>
        <v>8</v>
      </c>
      <c r="L1061" s="26" t="str">
        <f>IFERROR(__xludf.DUMMYFUNCTION("""COMPUTED_VALUE"""),"Simulation")</f>
        <v>Simulation</v>
      </c>
    </row>
    <row r="1062">
      <c r="A1062" s="12" t="str">
        <f>IFERROR(__xludf.DUMMYFUNCTION("""COMPUTED_VALUE"""),"Pharaonic")</f>
        <v>Pharaonic</v>
      </c>
      <c r="B1062" s="13" t="str">
        <f>IFERROR(__xludf.DUMMYFUNCTION("""COMPUTED_VALUE"""),"Xbox")</f>
        <v>Xbox</v>
      </c>
      <c r="C1062" s="14"/>
      <c r="D1062" s="14" t="str">
        <f>IFERROR(__xludf.DUMMYFUNCTION("""COMPUTED_VALUE"""),"Removed")</f>
        <v>Removed</v>
      </c>
      <c r="E1062" s="294">
        <f>IFERROR(__xludf.DUMMYFUNCTION("""COMPUTED_VALUE"""),42948.0)</f>
        <v>42948</v>
      </c>
      <c r="F1062" s="15">
        <f>IFERROR(__xludf.DUMMYFUNCTION("""COMPUTED_VALUE"""),43282.0)</f>
        <v>43282</v>
      </c>
      <c r="G1062" s="18">
        <f>IFERROR(__xludf.DUMMYFUNCTION("""COMPUTED_VALUE"""),11.0)</f>
        <v>11</v>
      </c>
      <c r="H1062" s="131">
        <f>IFERROR(__xludf.DUMMYFUNCTION("""COMPUTED_VALUE"""),42488.0)</f>
        <v>42488</v>
      </c>
      <c r="I1062" s="18">
        <f>IFERROR(__xludf.DUMMYFUNCTION("""COMPUTED_VALUE"""),1.2583333333333333)</f>
        <v>1.258333333</v>
      </c>
      <c r="J1062" s="22">
        <f>IFERROR(__xludf.DUMMYFUNCTION("""COMPUTED_VALUE"""),71.0)</f>
        <v>71</v>
      </c>
      <c r="K1062" s="22">
        <f>IFERROR(__xludf.DUMMYFUNCTION("""COMPUTED_VALUE"""),11.0)</f>
        <v>11</v>
      </c>
      <c r="L1062" s="26" t="str">
        <f>IFERROR(__xludf.DUMMYFUNCTION("""COMPUTED_VALUE"""),"RPG")</f>
        <v>RPG</v>
      </c>
    </row>
    <row r="1063">
      <c r="A1063" s="12" t="str">
        <f>IFERROR(__xludf.DUMMYFUNCTION("""COMPUTED_VALUE"""),"So Many Me")</f>
        <v>So Many Me</v>
      </c>
      <c r="B1063" s="13" t="str">
        <f>IFERROR(__xludf.DUMMYFUNCTION("""COMPUTED_VALUE"""),"Xbox")</f>
        <v>Xbox</v>
      </c>
      <c r="C1063" s="14"/>
      <c r="D1063" s="14" t="str">
        <f>IFERROR(__xludf.DUMMYFUNCTION("""COMPUTED_VALUE"""),"Removed")</f>
        <v>Removed</v>
      </c>
      <c r="E1063" s="294">
        <f>IFERROR(__xludf.DUMMYFUNCTION("""COMPUTED_VALUE"""),42948.0)</f>
        <v>42948</v>
      </c>
      <c r="F1063" s="15">
        <f>IFERROR(__xludf.DUMMYFUNCTION("""COMPUTED_VALUE"""),43282.0)</f>
        <v>43282</v>
      </c>
      <c r="G1063" s="18">
        <f>IFERROR(__xludf.DUMMYFUNCTION("""COMPUTED_VALUE"""),11.0)</f>
        <v>11</v>
      </c>
      <c r="H1063" s="131">
        <f>IFERROR(__xludf.DUMMYFUNCTION("""COMPUTED_VALUE"""),42201.0)</f>
        <v>42201</v>
      </c>
      <c r="I1063" s="18">
        <f>IFERROR(__xludf.DUMMYFUNCTION("""COMPUTED_VALUE"""),2.0416666666666665)</f>
        <v>2.041666667</v>
      </c>
      <c r="J1063" s="22">
        <f>IFERROR(__xludf.DUMMYFUNCTION("""COMPUTED_VALUE"""),82.0)</f>
        <v>82</v>
      </c>
      <c r="K1063" s="22">
        <f>IFERROR(__xludf.DUMMYFUNCTION("""COMPUTED_VALUE"""),10.0)</f>
        <v>10</v>
      </c>
      <c r="L1063" s="26" t="str">
        <f>IFERROR(__xludf.DUMMYFUNCTION("""COMPUTED_VALUE"""),"Platformer")</f>
        <v>Platformer</v>
      </c>
    </row>
    <row r="1064">
      <c r="A1064" s="12" t="str">
        <f>IFERROR(__xludf.DUMMYFUNCTION("""COMPUTED_VALUE"""),"Ultratron")</f>
        <v>Ultratron</v>
      </c>
      <c r="B1064" s="13" t="str">
        <f>IFERROR(__xludf.DUMMYFUNCTION("""COMPUTED_VALUE"""),"Xbox")</f>
        <v>Xbox</v>
      </c>
      <c r="C1064" s="14"/>
      <c r="D1064" s="14" t="str">
        <f>IFERROR(__xludf.DUMMYFUNCTION("""COMPUTED_VALUE"""),"Removed")</f>
        <v>Removed</v>
      </c>
      <c r="E1064" s="294">
        <f>IFERROR(__xludf.DUMMYFUNCTION("""COMPUTED_VALUE"""),42948.0)</f>
        <v>42948</v>
      </c>
      <c r="F1064" s="15">
        <f>IFERROR(__xludf.DUMMYFUNCTION("""COMPUTED_VALUE"""),43282.0)</f>
        <v>43282</v>
      </c>
      <c r="G1064" s="18">
        <f>IFERROR(__xludf.DUMMYFUNCTION("""COMPUTED_VALUE"""),11.0)</f>
        <v>11</v>
      </c>
      <c r="H1064" s="131">
        <f>IFERROR(__xludf.DUMMYFUNCTION("""COMPUTED_VALUE"""),41351.0)</f>
        <v>41351</v>
      </c>
      <c r="I1064" s="18">
        <f>IFERROR(__xludf.DUMMYFUNCTION("""COMPUTED_VALUE"""),4.3694444444444445)</f>
        <v>4.369444444</v>
      </c>
      <c r="J1064" s="22">
        <f>IFERROR(__xludf.DUMMYFUNCTION("""COMPUTED_VALUE"""),74.0)</f>
        <v>74</v>
      </c>
      <c r="K1064" s="22">
        <f>IFERROR(__xludf.DUMMYFUNCTION("""COMPUTED_VALUE"""),2.5)</f>
        <v>2.5</v>
      </c>
      <c r="L1064" s="26" t="str">
        <f>IFERROR(__xludf.DUMMYFUNCTION("""COMPUTED_VALUE"""),"Shooter")</f>
        <v>Shooter</v>
      </c>
    </row>
    <row r="1065">
      <c r="A1065" s="12" t="str">
        <f>IFERROR(__xludf.DUMMYFUNCTION("""COMPUTED_VALUE"""),"Bomberman Live: Battlefest")</f>
        <v>Bomberman Live: Battlefest</v>
      </c>
      <c r="B1065" s="13" t="str">
        <f>IFERROR(__xludf.DUMMYFUNCTION("""COMPUTED_VALUE"""),"Xbox")</f>
        <v>Xbox</v>
      </c>
      <c r="C1065" s="14"/>
      <c r="D1065" s="14" t="str">
        <f>IFERROR(__xludf.DUMMYFUNCTION("""COMPUTED_VALUE"""),"Removed")</f>
        <v>Removed</v>
      </c>
      <c r="E1065" s="294">
        <f>IFERROR(__xludf.DUMMYFUNCTION("""COMPUTED_VALUE"""),43206.0)</f>
        <v>43206</v>
      </c>
      <c r="F1065" s="15">
        <f>IFERROR(__xludf.DUMMYFUNCTION("""COMPUTED_VALUE"""),43252.0)</f>
        <v>43252</v>
      </c>
      <c r="G1065" s="18">
        <f>IFERROR(__xludf.DUMMYFUNCTION("""COMPUTED_VALUE"""),1.5)</f>
        <v>1.5</v>
      </c>
      <c r="H1065" s="131">
        <f>IFERROR(__xludf.DUMMYFUNCTION("""COMPUTED_VALUE"""),40520.0)</f>
        <v>40520</v>
      </c>
      <c r="I1065" s="18">
        <f>IFERROR(__xludf.DUMMYFUNCTION("""COMPUTED_VALUE"""),7.355555555555555)</f>
        <v>7.355555556</v>
      </c>
      <c r="J1065" s="22">
        <f>IFERROR(__xludf.DUMMYFUNCTION("""COMPUTED_VALUE"""),70.0)</f>
        <v>70</v>
      </c>
      <c r="K1065" s="22">
        <f>IFERROR(__xludf.DUMMYFUNCTION("""COMPUTED_VALUE"""),1.0)</f>
        <v>1</v>
      </c>
      <c r="L1065" s="26" t="str">
        <f>IFERROR(__xludf.DUMMYFUNCTION("""COMPUTED_VALUE"""),"Action")</f>
        <v>Action</v>
      </c>
    </row>
    <row r="1066">
      <c r="A1066" s="12" t="str">
        <f>IFERROR(__xludf.DUMMYFUNCTION("""COMPUTED_VALUE"""),"Bard's Gold")</f>
        <v>Bard's Gold</v>
      </c>
      <c r="B1066" s="13" t="str">
        <f>IFERROR(__xludf.DUMMYFUNCTION("""COMPUTED_VALUE"""),"Xbox")</f>
        <v>Xbox</v>
      </c>
      <c r="C1066" s="14"/>
      <c r="D1066" s="14" t="str">
        <f>IFERROR(__xludf.DUMMYFUNCTION("""COMPUTED_VALUE"""),"Removed")</f>
        <v>Removed</v>
      </c>
      <c r="E1066" s="294">
        <f>IFERROR(__xludf.DUMMYFUNCTION("""COMPUTED_VALUE"""),42917.0)</f>
        <v>42917</v>
      </c>
      <c r="F1066" s="15">
        <f>IFERROR(__xludf.DUMMYFUNCTION("""COMPUTED_VALUE"""),43252.0)</f>
        <v>43252</v>
      </c>
      <c r="G1066" s="18">
        <f>IFERROR(__xludf.DUMMYFUNCTION("""COMPUTED_VALUE"""),11.0)</f>
        <v>11</v>
      </c>
      <c r="H1066" s="131">
        <f>IFERROR(__xludf.DUMMYFUNCTION("""COMPUTED_VALUE"""),42230.0)</f>
        <v>42230</v>
      </c>
      <c r="I1066" s="18">
        <f>IFERROR(__xludf.DUMMYFUNCTION("""COMPUTED_VALUE"""),1.8805555555555555)</f>
        <v>1.880555556</v>
      </c>
      <c r="J1066" s="22">
        <f>IFERROR(__xludf.DUMMYFUNCTION("""COMPUTED_VALUE"""),63.0)</f>
        <v>63</v>
      </c>
      <c r="K1066" s="22">
        <f>IFERROR(__xludf.DUMMYFUNCTION("""COMPUTED_VALUE"""),5.0)</f>
        <v>5</v>
      </c>
      <c r="L1066" s="26" t="str">
        <f>IFERROR(__xludf.DUMMYFUNCTION("""COMPUTED_VALUE"""),"Platformer")</f>
        <v>Platformer</v>
      </c>
    </row>
    <row r="1067">
      <c r="A1067" s="12" t="str">
        <f>IFERROR(__xludf.DUMMYFUNCTION("""COMPUTED_VALUE"""),"Monaco: What's Yours is Mine")</f>
        <v>Monaco: What's Yours is Mine</v>
      </c>
      <c r="B1067" s="13" t="str">
        <f>IFERROR(__xludf.DUMMYFUNCTION("""COMPUTED_VALUE"""),"Xbox")</f>
        <v>Xbox</v>
      </c>
      <c r="C1067" s="14"/>
      <c r="D1067" s="14" t="str">
        <f>IFERROR(__xludf.DUMMYFUNCTION("""COMPUTED_VALUE"""),"Removed")</f>
        <v>Removed</v>
      </c>
      <c r="E1067" s="294">
        <f>IFERROR(__xludf.DUMMYFUNCTION("""COMPUTED_VALUE"""),42917.0)</f>
        <v>42917</v>
      </c>
      <c r="F1067" s="15">
        <f>IFERROR(__xludf.DUMMYFUNCTION("""COMPUTED_VALUE"""),43252.0)</f>
        <v>43252</v>
      </c>
      <c r="G1067" s="18">
        <f>IFERROR(__xludf.DUMMYFUNCTION("""COMPUTED_VALUE"""),11.0)</f>
        <v>11</v>
      </c>
      <c r="H1067" s="131">
        <f>IFERROR(__xludf.DUMMYFUNCTION("""COMPUTED_VALUE"""),41388.0)</f>
        <v>41388</v>
      </c>
      <c r="I1067" s="18">
        <f>IFERROR(__xludf.DUMMYFUNCTION("""COMPUTED_VALUE"""),4.186111111111111)</f>
        <v>4.186111111</v>
      </c>
      <c r="J1067" s="22">
        <f>IFERROR(__xludf.DUMMYFUNCTION("""COMPUTED_VALUE"""),81.0)</f>
        <v>81</v>
      </c>
      <c r="K1067" s="22">
        <f>IFERROR(__xludf.DUMMYFUNCTION("""COMPUTED_VALUE"""),8.0)</f>
        <v>8</v>
      </c>
      <c r="L1067" s="26" t="str">
        <f>IFERROR(__xludf.DUMMYFUNCTION("""COMPUTED_VALUE"""),"Action")</f>
        <v>Action</v>
      </c>
    </row>
    <row r="1068">
      <c r="A1068" s="12" t="str">
        <f>IFERROR(__xludf.DUMMYFUNCTION("""COMPUTED_VALUE"""),"Resident Evil 6")</f>
        <v>Resident Evil 6</v>
      </c>
      <c r="B1068" s="13" t="str">
        <f>IFERROR(__xludf.DUMMYFUNCTION("""COMPUTED_VALUE"""),"Xbox")</f>
        <v>Xbox</v>
      </c>
      <c r="C1068" s="14"/>
      <c r="D1068" s="14" t="str">
        <f>IFERROR(__xludf.DUMMYFUNCTION("""COMPUTED_VALUE"""),"Removed")</f>
        <v>Removed</v>
      </c>
      <c r="E1068" s="294">
        <f>IFERROR(__xludf.DUMMYFUNCTION("""COMPUTED_VALUE"""),42917.0)</f>
        <v>42917</v>
      </c>
      <c r="F1068" s="15">
        <f>IFERROR(__xludf.DUMMYFUNCTION("""COMPUTED_VALUE"""),43252.0)</f>
        <v>43252</v>
      </c>
      <c r="G1068" s="18">
        <f>IFERROR(__xludf.DUMMYFUNCTION("""COMPUTED_VALUE"""),11.0)</f>
        <v>11</v>
      </c>
      <c r="H1068" s="131">
        <f>IFERROR(__xludf.DUMMYFUNCTION("""COMPUTED_VALUE"""),41184.0)</f>
        <v>41184</v>
      </c>
      <c r="I1068" s="18">
        <f>IFERROR(__xludf.DUMMYFUNCTION("""COMPUTED_VALUE"""),4.747222222222222)</f>
        <v>4.747222222</v>
      </c>
      <c r="J1068" s="22">
        <f>IFERROR(__xludf.DUMMYFUNCTION("""COMPUTED_VALUE"""),63.0)</f>
        <v>63</v>
      </c>
      <c r="K1068" s="22">
        <f>IFERROR(__xludf.DUMMYFUNCTION("""COMPUTED_VALUE"""),21.5)</f>
        <v>21.5</v>
      </c>
      <c r="L1068" s="26" t="str">
        <f>IFERROR(__xludf.DUMMYFUNCTION("""COMPUTED_VALUE"""),"Shooter")</f>
        <v>Shooter</v>
      </c>
    </row>
    <row r="1069">
      <c r="A1069" s="12" t="str">
        <f>IFERROR(__xludf.DUMMYFUNCTION("""COMPUTED_VALUE"""),"BioShock Infinite")</f>
        <v>BioShock Infinite</v>
      </c>
      <c r="B1069" s="13" t="str">
        <f>IFERROR(__xludf.DUMMYFUNCTION("""COMPUTED_VALUE"""),"Xbox")</f>
        <v>Xbox</v>
      </c>
      <c r="C1069" s="14"/>
      <c r="D1069" s="14" t="str">
        <f>IFERROR(__xludf.DUMMYFUNCTION("""COMPUTED_VALUE"""),"Removed")</f>
        <v>Removed</v>
      </c>
      <c r="E1069" s="294">
        <f>IFERROR(__xludf.DUMMYFUNCTION("""COMPUTED_VALUE"""),42887.0)</f>
        <v>42887</v>
      </c>
      <c r="F1069" s="15">
        <f>IFERROR(__xludf.DUMMYFUNCTION("""COMPUTED_VALUE"""),43224.0)</f>
        <v>43224</v>
      </c>
      <c r="G1069" s="18">
        <f>IFERROR(__xludf.DUMMYFUNCTION("""COMPUTED_VALUE"""),11.100000000000001)</f>
        <v>11.1</v>
      </c>
      <c r="H1069" s="131">
        <f>IFERROR(__xludf.DUMMYFUNCTION("""COMPUTED_VALUE"""),41359.0)</f>
        <v>41359</v>
      </c>
      <c r="I1069" s="18">
        <f>IFERROR(__xludf.DUMMYFUNCTION("""COMPUTED_VALUE"""),4.180555555555555)</f>
        <v>4.180555556</v>
      </c>
      <c r="J1069" s="22">
        <f>IFERROR(__xludf.DUMMYFUNCTION("""COMPUTED_VALUE"""),93.0)</f>
        <v>93</v>
      </c>
      <c r="K1069" s="22">
        <f>IFERROR(__xludf.DUMMYFUNCTION("""COMPUTED_VALUE"""),11.5)</f>
        <v>11.5</v>
      </c>
      <c r="L1069" s="26" t="str">
        <f>IFERROR(__xludf.DUMMYFUNCTION("""COMPUTED_VALUE"""),"Shooter")</f>
        <v>Shooter</v>
      </c>
    </row>
    <row r="1070">
      <c r="A1070" s="12" t="str">
        <f>IFERROR(__xludf.DUMMYFUNCTION("""COMPUTED_VALUE"""),"BioShock 2")</f>
        <v>BioShock 2</v>
      </c>
      <c r="B1070" s="13" t="str">
        <f>IFERROR(__xludf.DUMMYFUNCTION("""COMPUTED_VALUE"""),"Xbox")</f>
        <v>Xbox</v>
      </c>
      <c r="C1070" s="14"/>
      <c r="D1070" s="14" t="str">
        <f>IFERROR(__xludf.DUMMYFUNCTION("""COMPUTED_VALUE"""),"Removed")</f>
        <v>Removed</v>
      </c>
      <c r="E1070" s="294">
        <f>IFERROR(__xludf.DUMMYFUNCTION("""COMPUTED_VALUE"""),42887.0)</f>
        <v>42887</v>
      </c>
      <c r="F1070" s="15">
        <f>IFERROR(__xludf.DUMMYFUNCTION("""COMPUTED_VALUE"""),43223.0)</f>
        <v>43223</v>
      </c>
      <c r="G1070" s="18">
        <f>IFERROR(__xludf.DUMMYFUNCTION("""COMPUTED_VALUE"""),11.066666666666666)</f>
        <v>11.06666667</v>
      </c>
      <c r="H1070" s="131">
        <f>IFERROR(__xludf.DUMMYFUNCTION("""COMPUTED_VALUE"""),40218.0)</f>
        <v>40218</v>
      </c>
      <c r="I1070" s="18">
        <f>IFERROR(__xludf.DUMMYFUNCTION("""COMPUTED_VALUE"""),7.311111111111111)</f>
        <v>7.311111111</v>
      </c>
      <c r="J1070" s="22">
        <f>IFERROR(__xludf.DUMMYFUNCTION("""COMPUTED_VALUE"""),88.0)</f>
        <v>88</v>
      </c>
      <c r="K1070" s="22">
        <f>IFERROR(__xludf.DUMMYFUNCTION("""COMPUTED_VALUE"""),11.0)</f>
        <v>11</v>
      </c>
      <c r="L1070" s="26" t="str">
        <f>IFERROR(__xludf.DUMMYFUNCTION("""COMPUTED_VALUE"""),"Shooter")</f>
        <v>Shooter</v>
      </c>
    </row>
    <row r="1071">
      <c r="A1071" s="12" t="str">
        <f>IFERROR(__xludf.DUMMYFUNCTION("""COMPUTED_VALUE"""),"BioShock")</f>
        <v>BioShock</v>
      </c>
      <c r="B1071" s="13" t="str">
        <f>IFERROR(__xludf.DUMMYFUNCTION("""COMPUTED_VALUE"""),"Xbox")</f>
        <v>Xbox</v>
      </c>
      <c r="C1071" s="14"/>
      <c r="D1071" s="14" t="str">
        <f>IFERROR(__xludf.DUMMYFUNCTION("""COMPUTED_VALUE"""),"Removed")</f>
        <v>Removed</v>
      </c>
      <c r="E1071" s="294">
        <f>IFERROR(__xludf.DUMMYFUNCTION("""COMPUTED_VALUE"""),42887.0)</f>
        <v>42887</v>
      </c>
      <c r="F1071" s="15">
        <f>IFERROR(__xludf.DUMMYFUNCTION("""COMPUTED_VALUE"""),43222.0)</f>
        <v>43222</v>
      </c>
      <c r="G1071" s="18">
        <f>IFERROR(__xludf.DUMMYFUNCTION("""COMPUTED_VALUE"""),11.033333333333333)</f>
        <v>11.03333333</v>
      </c>
      <c r="H1071" s="131">
        <f>IFERROR(__xludf.DUMMYFUNCTION("""COMPUTED_VALUE"""),39315.0)</f>
        <v>39315</v>
      </c>
      <c r="I1071" s="18">
        <f>IFERROR(__xludf.DUMMYFUNCTION("""COMPUTED_VALUE"""),9.777777777777779)</f>
        <v>9.777777778</v>
      </c>
      <c r="J1071" s="22">
        <f>IFERROR(__xludf.DUMMYFUNCTION("""COMPUTED_VALUE"""),96.0)</f>
        <v>96</v>
      </c>
      <c r="K1071" s="22">
        <f>IFERROR(__xludf.DUMMYFUNCTION("""COMPUTED_VALUE"""),12.0)</f>
        <v>12</v>
      </c>
      <c r="L1071" s="26" t="str">
        <f>IFERROR(__xludf.DUMMYFUNCTION("""COMPUTED_VALUE"""),"Shooter")</f>
        <v>Shooter</v>
      </c>
    </row>
    <row r="1072">
      <c r="A1072" s="12" t="str">
        <f>IFERROR(__xludf.DUMMYFUNCTION("""COMPUTED_VALUE"""),"Age of Booty")</f>
        <v>Age of Booty</v>
      </c>
      <c r="B1072" s="13" t="str">
        <f>IFERROR(__xludf.DUMMYFUNCTION("""COMPUTED_VALUE"""),"Xbox")</f>
        <v>Xbox</v>
      </c>
      <c r="C1072" s="14"/>
      <c r="D1072" s="14" t="str">
        <f>IFERROR(__xludf.DUMMYFUNCTION("""COMPUTED_VALUE"""),"Removed")</f>
        <v>Removed</v>
      </c>
      <c r="E1072" s="294">
        <f>IFERROR(__xludf.DUMMYFUNCTION("""COMPUTED_VALUE"""),42887.0)</f>
        <v>42887</v>
      </c>
      <c r="F1072" s="15">
        <f>IFERROR(__xludf.DUMMYFUNCTION("""COMPUTED_VALUE"""),43221.0)</f>
        <v>43221</v>
      </c>
      <c r="G1072" s="18">
        <f>IFERROR(__xludf.DUMMYFUNCTION("""COMPUTED_VALUE"""),11.0)</f>
        <v>11</v>
      </c>
      <c r="H1072" s="131">
        <f>IFERROR(__xludf.DUMMYFUNCTION("""COMPUTED_VALUE"""),39736.0)</f>
        <v>39736</v>
      </c>
      <c r="I1072" s="18">
        <f>IFERROR(__xludf.DUMMYFUNCTION("""COMPUTED_VALUE"""),8.627777777777778)</f>
        <v>8.627777778</v>
      </c>
      <c r="J1072" s="22">
        <f>IFERROR(__xludf.DUMMYFUNCTION("""COMPUTED_VALUE"""),76.0)</f>
        <v>76</v>
      </c>
      <c r="K1072" s="22">
        <f>IFERROR(__xludf.DUMMYFUNCTION("""COMPUTED_VALUE"""),8.0)</f>
        <v>8</v>
      </c>
      <c r="L1072" s="26" t="str">
        <f>IFERROR(__xludf.DUMMYFUNCTION("""COMPUTED_VALUE"""),"Real-Time Strategy")</f>
        <v>Real-Time Strategy</v>
      </c>
    </row>
    <row r="1073">
      <c r="A1073" s="12" t="str">
        <f>IFERROR(__xludf.DUMMYFUNCTION("""COMPUTED_VALUE"""),"Bionic Commando: Rearmed 2")</f>
        <v>Bionic Commando: Rearmed 2</v>
      </c>
      <c r="B1073" s="13" t="str">
        <f>IFERROR(__xludf.DUMMYFUNCTION("""COMPUTED_VALUE"""),"Xbox")</f>
        <v>Xbox</v>
      </c>
      <c r="C1073" s="14"/>
      <c r="D1073" s="14" t="str">
        <f>IFERROR(__xludf.DUMMYFUNCTION("""COMPUTED_VALUE"""),"Removed")</f>
        <v>Removed</v>
      </c>
      <c r="E1073" s="294">
        <f>IFERROR(__xludf.DUMMYFUNCTION("""COMPUTED_VALUE"""),42887.0)</f>
        <v>42887</v>
      </c>
      <c r="F1073" s="15">
        <f>IFERROR(__xludf.DUMMYFUNCTION("""COMPUTED_VALUE"""),43221.0)</f>
        <v>43221</v>
      </c>
      <c r="G1073" s="18">
        <f>IFERROR(__xludf.DUMMYFUNCTION("""COMPUTED_VALUE"""),11.0)</f>
        <v>11</v>
      </c>
      <c r="H1073" s="131">
        <f>IFERROR(__xludf.DUMMYFUNCTION("""COMPUTED_VALUE"""),40575.0)</f>
        <v>40575</v>
      </c>
      <c r="I1073" s="18">
        <f>IFERROR(__xludf.DUMMYFUNCTION("""COMPUTED_VALUE"""),6.333333333333333)</f>
        <v>6.333333333</v>
      </c>
      <c r="J1073" s="22">
        <f>IFERROR(__xludf.DUMMYFUNCTION("""COMPUTED_VALUE"""),62.0)</f>
        <v>62</v>
      </c>
      <c r="K1073" s="22">
        <f>IFERROR(__xludf.DUMMYFUNCTION("""COMPUTED_VALUE"""),5.5)</f>
        <v>5.5</v>
      </c>
      <c r="L1073" s="26" t="str">
        <f>IFERROR(__xludf.DUMMYFUNCTION("""COMPUTED_VALUE"""),"Platformer")</f>
        <v>Platformer</v>
      </c>
    </row>
    <row r="1074">
      <c r="A1074" s="12" t="str">
        <f>IFERROR(__xludf.DUMMYFUNCTION("""COMPUTED_VALUE"""),"Blood Bowl 2")</f>
        <v>Blood Bowl 2</v>
      </c>
      <c r="B1074" s="13" t="str">
        <f>IFERROR(__xludf.DUMMYFUNCTION("""COMPUTED_VALUE"""),"Xbox")</f>
        <v>Xbox</v>
      </c>
      <c r="C1074" s="14"/>
      <c r="D1074" s="14" t="str">
        <f>IFERROR(__xludf.DUMMYFUNCTION("""COMPUTED_VALUE"""),"Removed")</f>
        <v>Removed</v>
      </c>
      <c r="E1074" s="294">
        <f>IFERROR(__xludf.DUMMYFUNCTION("""COMPUTED_VALUE"""),42887.0)</f>
        <v>42887</v>
      </c>
      <c r="F1074" s="15">
        <f>IFERROR(__xludf.DUMMYFUNCTION("""COMPUTED_VALUE"""),43221.0)</f>
        <v>43221</v>
      </c>
      <c r="G1074" s="18">
        <f>IFERROR(__xludf.DUMMYFUNCTION("""COMPUTED_VALUE"""),11.0)</f>
        <v>11</v>
      </c>
      <c r="H1074" s="131">
        <f>IFERROR(__xludf.DUMMYFUNCTION("""COMPUTED_VALUE"""),42269.0)</f>
        <v>42269</v>
      </c>
      <c r="I1074" s="18">
        <f>IFERROR(__xludf.DUMMYFUNCTION("""COMPUTED_VALUE"""),1.6916666666666667)</f>
        <v>1.691666667</v>
      </c>
      <c r="J1074" s="22">
        <f>IFERROR(__xludf.DUMMYFUNCTION("""COMPUTED_VALUE"""),70.0)</f>
        <v>70</v>
      </c>
      <c r="K1074" s="22">
        <f>IFERROR(__xludf.DUMMYFUNCTION("""COMPUTED_VALUE"""),19.0)</f>
        <v>19</v>
      </c>
      <c r="L1074" s="26" t="str">
        <f>IFERROR(__xludf.DUMMYFUNCTION("""COMPUTED_VALUE"""),"RPG")</f>
        <v>RPG</v>
      </c>
    </row>
    <row r="1075">
      <c r="A1075" s="12" t="str">
        <f>IFERROR(__xludf.DUMMYFUNCTION("""COMPUTED_VALUE"""),"Borderlands")</f>
        <v>Borderlands</v>
      </c>
      <c r="B1075" s="13" t="str">
        <f>IFERROR(__xludf.DUMMYFUNCTION("""COMPUTED_VALUE"""),"Xbox")</f>
        <v>Xbox</v>
      </c>
      <c r="C1075" s="14"/>
      <c r="D1075" s="14" t="str">
        <f>IFERROR(__xludf.DUMMYFUNCTION("""COMPUTED_VALUE"""),"Removed")</f>
        <v>Removed</v>
      </c>
      <c r="E1075" s="294">
        <f>IFERROR(__xludf.DUMMYFUNCTION("""COMPUTED_VALUE"""),42887.0)</f>
        <v>42887</v>
      </c>
      <c r="F1075" s="15">
        <f>IFERROR(__xludf.DUMMYFUNCTION("""COMPUTED_VALUE"""),43221.0)</f>
        <v>43221</v>
      </c>
      <c r="G1075" s="18">
        <f>IFERROR(__xludf.DUMMYFUNCTION("""COMPUTED_VALUE"""),11.0)</f>
        <v>11</v>
      </c>
      <c r="H1075" s="131">
        <f>IFERROR(__xludf.DUMMYFUNCTION("""COMPUTED_VALUE"""),40106.0)</f>
        <v>40106</v>
      </c>
      <c r="I1075" s="18">
        <f>IFERROR(__xludf.DUMMYFUNCTION("""COMPUTED_VALUE"""),7.613888888888889)</f>
        <v>7.613888889</v>
      </c>
      <c r="J1075" s="22">
        <f>IFERROR(__xludf.DUMMYFUNCTION("""COMPUTED_VALUE"""),84.0)</f>
        <v>84</v>
      </c>
      <c r="K1075" s="22">
        <f>IFERROR(__xludf.DUMMYFUNCTION("""COMPUTED_VALUE"""),22.5)</f>
        <v>22.5</v>
      </c>
      <c r="L1075" s="26" t="str">
        <f>IFERROR(__xludf.DUMMYFUNCTION("""COMPUTED_VALUE"""),"Shooter")</f>
        <v>Shooter</v>
      </c>
    </row>
    <row r="1076">
      <c r="A1076" s="12" t="str">
        <f>IFERROR(__xludf.DUMMYFUNCTION("""COMPUTED_VALUE"""),"Bound by Flame")</f>
        <v>Bound by Flame</v>
      </c>
      <c r="B1076" s="13" t="str">
        <f>IFERROR(__xludf.DUMMYFUNCTION("""COMPUTED_VALUE"""),"Xbox")</f>
        <v>Xbox</v>
      </c>
      <c r="C1076" s="14"/>
      <c r="D1076" s="14" t="str">
        <f>IFERROR(__xludf.DUMMYFUNCTION("""COMPUTED_VALUE"""),"Removed")</f>
        <v>Removed</v>
      </c>
      <c r="E1076" s="294">
        <f>IFERROR(__xludf.DUMMYFUNCTION("""COMPUTED_VALUE"""),42887.0)</f>
        <v>42887</v>
      </c>
      <c r="F1076" s="15">
        <f>IFERROR(__xludf.DUMMYFUNCTION("""COMPUTED_VALUE"""),43221.0)</f>
        <v>43221</v>
      </c>
      <c r="G1076" s="18">
        <f>IFERROR(__xludf.DUMMYFUNCTION("""COMPUTED_VALUE"""),11.0)</f>
        <v>11</v>
      </c>
      <c r="H1076" s="131">
        <f>IFERROR(__xludf.DUMMYFUNCTION("""COMPUTED_VALUE"""),41768.0)</f>
        <v>41768</v>
      </c>
      <c r="I1076" s="18">
        <f>IFERROR(__xludf.DUMMYFUNCTION("""COMPUTED_VALUE"""),3.061111111111111)</f>
        <v>3.061111111</v>
      </c>
      <c r="J1076" s="22">
        <f>IFERROR(__xludf.DUMMYFUNCTION("""COMPUTED_VALUE"""),56.0)</f>
        <v>56</v>
      </c>
      <c r="K1076" s="22">
        <f>IFERROR(__xludf.DUMMYFUNCTION("""COMPUTED_VALUE"""),13.0)</f>
        <v>13</v>
      </c>
      <c r="L1076" s="26" t="str">
        <f>IFERROR(__xludf.DUMMYFUNCTION("""COMPUTED_VALUE"""),"RPG")</f>
        <v>RPG</v>
      </c>
    </row>
    <row r="1077">
      <c r="A1077" s="12" t="str">
        <f>IFERROR(__xludf.DUMMYFUNCTION("""COMPUTED_VALUE"""),"de Blob 2")</f>
        <v>de Blob 2</v>
      </c>
      <c r="B1077" s="13" t="str">
        <f>IFERROR(__xludf.DUMMYFUNCTION("""COMPUTED_VALUE"""),"Xbox")</f>
        <v>Xbox</v>
      </c>
      <c r="C1077" s="14"/>
      <c r="D1077" s="14" t="str">
        <f>IFERROR(__xludf.DUMMYFUNCTION("""COMPUTED_VALUE"""),"Removed")</f>
        <v>Removed</v>
      </c>
      <c r="E1077" s="294">
        <f>IFERROR(__xludf.DUMMYFUNCTION("""COMPUTED_VALUE"""),42887.0)</f>
        <v>42887</v>
      </c>
      <c r="F1077" s="15">
        <f>IFERROR(__xludf.DUMMYFUNCTION("""COMPUTED_VALUE"""),43221.0)</f>
        <v>43221</v>
      </c>
      <c r="G1077" s="18">
        <f>IFERROR(__xludf.DUMMYFUNCTION("""COMPUTED_VALUE"""),11.0)</f>
        <v>11</v>
      </c>
      <c r="H1077" s="131">
        <f>IFERROR(__xludf.DUMMYFUNCTION("""COMPUTED_VALUE"""),40596.0)</f>
        <v>40596</v>
      </c>
      <c r="I1077" s="18">
        <f>IFERROR(__xludf.DUMMYFUNCTION("""COMPUTED_VALUE"""),6.275)</f>
        <v>6.275</v>
      </c>
      <c r="J1077" s="22">
        <f>IFERROR(__xludf.DUMMYFUNCTION("""COMPUTED_VALUE"""),76.0)</f>
        <v>76</v>
      </c>
      <c r="K1077" s="22">
        <f>IFERROR(__xludf.DUMMYFUNCTION("""COMPUTED_VALUE"""),11.0)</f>
        <v>11</v>
      </c>
      <c r="L1077" s="26" t="str">
        <f>IFERROR(__xludf.DUMMYFUNCTION("""COMPUTED_VALUE"""),"Platformer")</f>
        <v>Platformer</v>
      </c>
    </row>
    <row r="1078">
      <c r="A1078" s="12" t="str">
        <f>IFERROR(__xludf.DUMMYFUNCTION("""COMPUTED_VALUE"""),"Dead Rising 2: Case Zero")</f>
        <v>Dead Rising 2: Case Zero</v>
      </c>
      <c r="B1078" s="13" t="str">
        <f>IFERROR(__xludf.DUMMYFUNCTION("""COMPUTED_VALUE"""),"Xbox")</f>
        <v>Xbox</v>
      </c>
      <c r="C1078" s="14"/>
      <c r="D1078" s="14" t="str">
        <f>IFERROR(__xludf.DUMMYFUNCTION("""COMPUTED_VALUE"""),"Removed")</f>
        <v>Removed</v>
      </c>
      <c r="E1078" s="294">
        <f>IFERROR(__xludf.DUMMYFUNCTION("""COMPUTED_VALUE"""),42887.0)</f>
        <v>42887</v>
      </c>
      <c r="F1078" s="15">
        <f>IFERROR(__xludf.DUMMYFUNCTION("""COMPUTED_VALUE"""),43221.0)</f>
        <v>43221</v>
      </c>
      <c r="G1078" s="18">
        <f>IFERROR(__xludf.DUMMYFUNCTION("""COMPUTED_VALUE"""),11.0)</f>
        <v>11</v>
      </c>
      <c r="H1078" s="131">
        <f>IFERROR(__xludf.DUMMYFUNCTION("""COMPUTED_VALUE"""),40421.0)</f>
        <v>40421</v>
      </c>
      <c r="I1078" s="18">
        <f>IFERROR(__xludf.DUMMYFUNCTION("""COMPUTED_VALUE"""),6.752777777777778)</f>
        <v>6.752777778</v>
      </c>
      <c r="J1078" s="22">
        <f>IFERROR(__xludf.DUMMYFUNCTION("""COMPUTED_VALUE"""),79.0)</f>
        <v>79</v>
      </c>
      <c r="K1078" s="22">
        <f>IFERROR(__xludf.DUMMYFUNCTION("""COMPUTED_VALUE"""),2.0)</f>
        <v>2</v>
      </c>
      <c r="L1078" s="26" t="str">
        <f>IFERROR(__xludf.DUMMYFUNCTION("""COMPUTED_VALUE"""),"Shooter")</f>
        <v>Shooter</v>
      </c>
    </row>
    <row r="1079">
      <c r="A1079" s="12" t="str">
        <f>IFERROR(__xludf.DUMMYFUNCTION("""COMPUTED_VALUE"""),"Defense Grid 2")</f>
        <v>Defense Grid 2</v>
      </c>
      <c r="B1079" s="13" t="str">
        <f>IFERROR(__xludf.DUMMYFUNCTION("""COMPUTED_VALUE"""),"Xbox")</f>
        <v>Xbox</v>
      </c>
      <c r="C1079" s="14"/>
      <c r="D1079" s="14" t="str">
        <f>IFERROR(__xludf.DUMMYFUNCTION("""COMPUTED_VALUE"""),"Removed")</f>
        <v>Removed</v>
      </c>
      <c r="E1079" s="294">
        <f>IFERROR(__xludf.DUMMYFUNCTION("""COMPUTED_VALUE"""),42887.0)</f>
        <v>42887</v>
      </c>
      <c r="F1079" s="15">
        <f>IFERROR(__xludf.DUMMYFUNCTION("""COMPUTED_VALUE"""),43221.0)</f>
        <v>43221</v>
      </c>
      <c r="G1079" s="18">
        <f>IFERROR(__xludf.DUMMYFUNCTION("""COMPUTED_VALUE"""),11.0)</f>
        <v>11</v>
      </c>
      <c r="H1079" s="131">
        <f>IFERROR(__xludf.DUMMYFUNCTION("""COMPUTED_VALUE"""),41905.0)</f>
        <v>41905</v>
      </c>
      <c r="I1079" s="18">
        <f>IFERROR(__xludf.DUMMYFUNCTION("""COMPUTED_VALUE"""),2.688888888888889)</f>
        <v>2.688888889</v>
      </c>
      <c r="J1079" s="22">
        <f>IFERROR(__xludf.DUMMYFUNCTION("""COMPUTED_VALUE"""),78.0)</f>
        <v>78</v>
      </c>
      <c r="K1079" s="22">
        <f>IFERROR(__xludf.DUMMYFUNCTION("""COMPUTED_VALUE"""),10.5)</f>
        <v>10.5</v>
      </c>
      <c r="L1079" s="26" t="str">
        <f>IFERROR(__xludf.DUMMYFUNCTION("""COMPUTED_VALUE"""),"Strategy")</f>
        <v>Strategy</v>
      </c>
    </row>
    <row r="1080">
      <c r="A1080" s="12" t="str">
        <f>IFERROR(__xludf.DUMMYFUNCTION("""COMPUTED_VALUE"""),"Dig Dug")</f>
        <v>Dig Dug</v>
      </c>
      <c r="B1080" s="13" t="str">
        <f>IFERROR(__xludf.DUMMYFUNCTION("""COMPUTED_VALUE"""),"Xbox")</f>
        <v>Xbox</v>
      </c>
      <c r="C1080" s="14"/>
      <c r="D1080" s="14" t="str">
        <f>IFERROR(__xludf.DUMMYFUNCTION("""COMPUTED_VALUE"""),"Removed")</f>
        <v>Removed</v>
      </c>
      <c r="E1080" s="294">
        <f>IFERROR(__xludf.DUMMYFUNCTION("""COMPUTED_VALUE"""),42887.0)</f>
        <v>42887</v>
      </c>
      <c r="F1080" s="15">
        <f>IFERROR(__xludf.DUMMYFUNCTION("""COMPUTED_VALUE"""),43221.0)</f>
        <v>43221</v>
      </c>
      <c r="G1080" s="18">
        <f>IFERROR(__xludf.DUMMYFUNCTION("""COMPUTED_VALUE"""),11.0)</f>
        <v>11</v>
      </c>
      <c r="H1080" s="131">
        <f>IFERROR(__xludf.DUMMYFUNCTION("""COMPUTED_VALUE"""),30060.0)</f>
        <v>30060</v>
      </c>
      <c r="I1080" s="18">
        <f>IFERROR(__xludf.DUMMYFUNCTION("""COMPUTED_VALUE"""),35.11666666666667)</f>
        <v>35.11666667</v>
      </c>
      <c r="J1080" s="22">
        <f>IFERROR(__xludf.DUMMYFUNCTION("""COMPUTED_VALUE"""),65.0)</f>
        <v>65</v>
      </c>
      <c r="K1080" s="22">
        <f>IFERROR(__xludf.DUMMYFUNCTION("""COMPUTED_VALUE"""),1.0)</f>
        <v>1</v>
      </c>
      <c r="L1080" s="26" t="str">
        <f>IFERROR(__xludf.DUMMYFUNCTION("""COMPUTED_VALUE"""),"Action")</f>
        <v>Action</v>
      </c>
    </row>
    <row r="1081">
      <c r="A1081" s="12" t="str">
        <f>IFERROR(__xludf.DUMMYFUNCTION("""COMPUTED_VALUE"""),"Final Fight: Double Impact")</f>
        <v>Final Fight: Double Impact</v>
      </c>
      <c r="B1081" s="13" t="str">
        <f>IFERROR(__xludf.DUMMYFUNCTION("""COMPUTED_VALUE"""),"Xbox")</f>
        <v>Xbox</v>
      </c>
      <c r="C1081" s="14"/>
      <c r="D1081" s="14" t="str">
        <f>IFERROR(__xludf.DUMMYFUNCTION("""COMPUTED_VALUE"""),"Removed")</f>
        <v>Removed</v>
      </c>
      <c r="E1081" s="294">
        <f>IFERROR(__xludf.DUMMYFUNCTION("""COMPUTED_VALUE"""),42887.0)</f>
        <v>42887</v>
      </c>
      <c r="F1081" s="15">
        <f>IFERROR(__xludf.DUMMYFUNCTION("""COMPUTED_VALUE"""),43221.0)</f>
        <v>43221</v>
      </c>
      <c r="G1081" s="18">
        <f>IFERROR(__xludf.DUMMYFUNCTION("""COMPUTED_VALUE"""),11.0)</f>
        <v>11</v>
      </c>
      <c r="H1081" s="131">
        <f>IFERROR(__xludf.DUMMYFUNCTION("""COMPUTED_VALUE"""),40282.0)</f>
        <v>40282</v>
      </c>
      <c r="I1081" s="18">
        <f>IFERROR(__xludf.DUMMYFUNCTION("""COMPUTED_VALUE"""),7.1305555555555555)</f>
        <v>7.130555556</v>
      </c>
      <c r="J1081" s="22">
        <f>IFERROR(__xludf.DUMMYFUNCTION("""COMPUTED_VALUE"""),77.0)</f>
        <v>77</v>
      </c>
      <c r="K1081" s="22">
        <f>IFERROR(__xludf.DUMMYFUNCTION("""COMPUTED_VALUE"""),1.0)</f>
        <v>1</v>
      </c>
      <c r="L1081" s="26" t="str">
        <f>IFERROR(__xludf.DUMMYFUNCTION("""COMPUTED_VALUE"""),"Brawler")</f>
        <v>Brawler</v>
      </c>
    </row>
    <row r="1082">
      <c r="A1082" s="12" t="str">
        <f>IFERROR(__xludf.DUMMYFUNCTION("""COMPUTED_VALUE"""),"LEGO Batman: The Videogame")</f>
        <v>LEGO Batman: The Videogame</v>
      </c>
      <c r="B1082" s="13" t="str">
        <f>IFERROR(__xludf.DUMMYFUNCTION("""COMPUTED_VALUE"""),"Xbox")</f>
        <v>Xbox</v>
      </c>
      <c r="C1082" s="14"/>
      <c r="D1082" s="14" t="str">
        <f>IFERROR(__xludf.DUMMYFUNCTION("""COMPUTED_VALUE"""),"Removed")</f>
        <v>Removed</v>
      </c>
      <c r="E1082" s="294">
        <f>IFERROR(__xludf.DUMMYFUNCTION("""COMPUTED_VALUE"""),42887.0)</f>
        <v>42887</v>
      </c>
      <c r="F1082" s="15">
        <f>IFERROR(__xludf.DUMMYFUNCTION("""COMPUTED_VALUE"""),43221.0)</f>
        <v>43221</v>
      </c>
      <c r="G1082" s="18">
        <f>IFERROR(__xludf.DUMMYFUNCTION("""COMPUTED_VALUE"""),11.0)</f>
        <v>11</v>
      </c>
      <c r="H1082" s="131">
        <f>IFERROR(__xludf.DUMMYFUNCTION("""COMPUTED_VALUE"""),39714.0)</f>
        <v>39714</v>
      </c>
      <c r="I1082" s="18">
        <f>IFERROR(__xludf.DUMMYFUNCTION("""COMPUTED_VALUE"""),8.688888888888888)</f>
        <v>8.688888889</v>
      </c>
      <c r="J1082" s="22">
        <f>IFERROR(__xludf.DUMMYFUNCTION("""COMPUTED_VALUE"""),76.0)</f>
        <v>76</v>
      </c>
      <c r="K1082" s="22">
        <f>IFERROR(__xludf.DUMMYFUNCTION("""COMPUTED_VALUE"""),10.0)</f>
        <v>10</v>
      </c>
      <c r="L1082" s="26" t="str">
        <f>IFERROR(__xludf.DUMMYFUNCTION("""COMPUTED_VALUE"""),"Action-Adventure")</f>
        <v>Action-Adventure</v>
      </c>
    </row>
    <row r="1083">
      <c r="A1083" s="12" t="str">
        <f>IFERROR(__xludf.DUMMYFUNCTION("""COMPUTED_VALUE"""),"Mad Max")</f>
        <v>Mad Max</v>
      </c>
      <c r="B1083" s="13" t="str">
        <f>IFERROR(__xludf.DUMMYFUNCTION("""COMPUTED_VALUE"""),"Xbox")</f>
        <v>Xbox</v>
      </c>
      <c r="C1083" s="14"/>
      <c r="D1083" s="14" t="str">
        <f>IFERROR(__xludf.DUMMYFUNCTION("""COMPUTED_VALUE"""),"Removed")</f>
        <v>Removed</v>
      </c>
      <c r="E1083" s="294">
        <f>IFERROR(__xludf.DUMMYFUNCTION("""COMPUTED_VALUE"""),42887.0)</f>
        <v>42887</v>
      </c>
      <c r="F1083" s="15">
        <f>IFERROR(__xludf.DUMMYFUNCTION("""COMPUTED_VALUE"""),43221.0)</f>
        <v>43221</v>
      </c>
      <c r="G1083" s="18">
        <f>IFERROR(__xludf.DUMMYFUNCTION("""COMPUTED_VALUE"""),11.0)</f>
        <v>11</v>
      </c>
      <c r="H1083" s="131">
        <f>IFERROR(__xludf.DUMMYFUNCTION("""COMPUTED_VALUE"""),42248.0)</f>
        <v>42248</v>
      </c>
      <c r="I1083" s="18">
        <f>IFERROR(__xludf.DUMMYFUNCTION("""COMPUTED_VALUE"""),1.75)</f>
        <v>1.75</v>
      </c>
      <c r="J1083" s="22">
        <f>IFERROR(__xludf.DUMMYFUNCTION("""COMPUTED_VALUE"""),72.0)</f>
        <v>72</v>
      </c>
      <c r="K1083" s="22">
        <f>IFERROR(__xludf.DUMMYFUNCTION("""COMPUTED_VALUE"""),19.5)</f>
        <v>19.5</v>
      </c>
      <c r="L1083" s="26" t="str">
        <f>IFERROR(__xludf.DUMMYFUNCTION("""COMPUTED_VALUE"""),"Shooter")</f>
        <v>Shooter</v>
      </c>
    </row>
    <row r="1084">
      <c r="A1084" s="12" t="str">
        <f>IFERROR(__xludf.DUMMYFUNCTION("""COMPUTED_VALUE"""),"NeoGeo Battle Coliseum")</f>
        <v>NeoGeo Battle Coliseum</v>
      </c>
      <c r="B1084" s="13" t="str">
        <f>IFERROR(__xludf.DUMMYFUNCTION("""COMPUTED_VALUE"""),"Xbox")</f>
        <v>Xbox</v>
      </c>
      <c r="C1084" s="14"/>
      <c r="D1084" s="14" t="str">
        <f>IFERROR(__xludf.DUMMYFUNCTION("""COMPUTED_VALUE"""),"Removed")</f>
        <v>Removed</v>
      </c>
      <c r="E1084" s="294">
        <f>IFERROR(__xludf.DUMMYFUNCTION("""COMPUTED_VALUE"""),42887.0)</f>
        <v>42887</v>
      </c>
      <c r="F1084" s="15">
        <f>IFERROR(__xludf.DUMMYFUNCTION("""COMPUTED_VALUE"""),43221.0)</f>
        <v>43221</v>
      </c>
      <c r="G1084" s="18">
        <f>IFERROR(__xludf.DUMMYFUNCTION("""COMPUTED_VALUE"""),11.0)</f>
        <v>11</v>
      </c>
      <c r="H1084" s="131">
        <f>IFERROR(__xludf.DUMMYFUNCTION("""COMPUTED_VALUE"""),38708.0)</f>
        <v>38708</v>
      </c>
      <c r="I1084" s="18">
        <f>IFERROR(__xludf.DUMMYFUNCTION("""COMPUTED_VALUE"""),11.441666666666666)</f>
        <v>11.44166667</v>
      </c>
      <c r="J1084" s="22">
        <f>IFERROR(__xludf.DUMMYFUNCTION("""COMPUTED_VALUE"""),64.0)</f>
        <v>64</v>
      </c>
      <c r="K1084" s="22">
        <f>IFERROR(__xludf.DUMMYFUNCTION("""COMPUTED_VALUE"""),0.5)</f>
        <v>0.5</v>
      </c>
      <c r="L1084" s="26" t="str">
        <f>IFERROR(__xludf.DUMMYFUNCTION("""COMPUTED_VALUE"""),"Fighting")</f>
        <v>Fighting</v>
      </c>
    </row>
    <row r="1085">
      <c r="A1085" s="12" t="str">
        <f>IFERROR(__xludf.DUMMYFUNCTION("""COMPUTED_VALUE"""),"Operation Flashpoint: Dragon Rising")</f>
        <v>Operation Flashpoint: Dragon Rising</v>
      </c>
      <c r="B1085" s="13" t="str">
        <f>IFERROR(__xludf.DUMMYFUNCTION("""COMPUTED_VALUE"""),"Xbox")</f>
        <v>Xbox</v>
      </c>
      <c r="C1085" s="14"/>
      <c r="D1085" s="14" t="str">
        <f>IFERROR(__xludf.DUMMYFUNCTION("""COMPUTED_VALUE"""),"Removed")</f>
        <v>Removed</v>
      </c>
      <c r="E1085" s="294">
        <f>IFERROR(__xludf.DUMMYFUNCTION("""COMPUTED_VALUE"""),42887.0)</f>
        <v>42887</v>
      </c>
      <c r="F1085" s="15">
        <f>IFERROR(__xludf.DUMMYFUNCTION("""COMPUTED_VALUE"""),43221.0)</f>
        <v>43221</v>
      </c>
      <c r="G1085" s="18">
        <f>IFERROR(__xludf.DUMMYFUNCTION("""COMPUTED_VALUE"""),11.0)</f>
        <v>11</v>
      </c>
      <c r="H1085" s="131">
        <f>IFERROR(__xludf.DUMMYFUNCTION("""COMPUTED_VALUE"""),40092.0)</f>
        <v>40092</v>
      </c>
      <c r="I1085" s="18">
        <f>IFERROR(__xludf.DUMMYFUNCTION("""COMPUTED_VALUE"""),7.652777777777778)</f>
        <v>7.652777778</v>
      </c>
      <c r="J1085" s="22">
        <f>IFERROR(__xludf.DUMMYFUNCTION("""COMPUTED_VALUE"""),77.0)</f>
        <v>77</v>
      </c>
      <c r="K1085" s="22">
        <f>IFERROR(__xludf.DUMMYFUNCTION("""COMPUTED_VALUE"""),12.0)</f>
        <v>12</v>
      </c>
      <c r="L1085" s="26" t="str">
        <f>IFERROR(__xludf.DUMMYFUNCTION("""COMPUTED_VALUE"""),"Shooter")</f>
        <v>Shooter</v>
      </c>
    </row>
    <row r="1086">
      <c r="A1086" s="12" t="str">
        <f>IFERROR(__xludf.DUMMYFUNCTION("""COMPUTED_VALUE"""),"Pac-Man Championship Edition DX")</f>
        <v>Pac-Man Championship Edition DX</v>
      </c>
      <c r="B1086" s="13" t="str">
        <f>IFERROR(__xludf.DUMMYFUNCTION("""COMPUTED_VALUE"""),"Xbox")</f>
        <v>Xbox</v>
      </c>
      <c r="C1086" s="14"/>
      <c r="D1086" s="14" t="str">
        <f>IFERROR(__xludf.DUMMYFUNCTION("""COMPUTED_VALUE"""),"Removed")</f>
        <v>Removed</v>
      </c>
      <c r="E1086" s="294">
        <f>IFERROR(__xludf.DUMMYFUNCTION("""COMPUTED_VALUE"""),42887.0)</f>
        <v>42887</v>
      </c>
      <c r="F1086" s="15">
        <f>IFERROR(__xludf.DUMMYFUNCTION("""COMPUTED_VALUE"""),43221.0)</f>
        <v>43221</v>
      </c>
      <c r="G1086" s="18">
        <f>IFERROR(__xludf.DUMMYFUNCTION("""COMPUTED_VALUE"""),11.0)</f>
        <v>11</v>
      </c>
      <c r="H1086" s="131">
        <f>IFERROR(__xludf.DUMMYFUNCTION("""COMPUTED_VALUE"""),40498.0)</f>
        <v>40498</v>
      </c>
      <c r="I1086" s="18">
        <f>IFERROR(__xludf.DUMMYFUNCTION("""COMPUTED_VALUE"""),6.541666666666667)</f>
        <v>6.541666667</v>
      </c>
      <c r="J1086" s="22">
        <f>IFERROR(__xludf.DUMMYFUNCTION("""COMPUTED_VALUE"""),93.0)</f>
        <v>93</v>
      </c>
      <c r="K1086" s="22">
        <f>IFERROR(__xludf.DUMMYFUNCTION("""COMPUTED_VALUE"""),4.0)</f>
        <v>4</v>
      </c>
      <c r="L1086" s="26" t="str">
        <f>IFERROR(__xludf.DUMMYFUNCTION("""COMPUTED_VALUE"""),"Action")</f>
        <v>Action</v>
      </c>
    </row>
    <row r="1087">
      <c r="A1087" s="12" t="str">
        <f>IFERROR(__xludf.DUMMYFUNCTION("""COMPUTED_VALUE"""),"Sacred 3")</f>
        <v>Sacred 3</v>
      </c>
      <c r="B1087" s="13" t="str">
        <f>IFERROR(__xludf.DUMMYFUNCTION("""COMPUTED_VALUE"""),"Xbox")</f>
        <v>Xbox</v>
      </c>
      <c r="C1087" s="14"/>
      <c r="D1087" s="14" t="str">
        <f>IFERROR(__xludf.DUMMYFUNCTION("""COMPUTED_VALUE"""),"Removed")</f>
        <v>Removed</v>
      </c>
      <c r="E1087" s="294">
        <f>IFERROR(__xludf.DUMMYFUNCTION("""COMPUTED_VALUE"""),42887.0)</f>
        <v>42887</v>
      </c>
      <c r="F1087" s="15">
        <f>IFERROR(__xludf.DUMMYFUNCTION("""COMPUTED_VALUE"""),43221.0)</f>
        <v>43221</v>
      </c>
      <c r="G1087" s="18">
        <f>IFERROR(__xludf.DUMMYFUNCTION("""COMPUTED_VALUE"""),11.0)</f>
        <v>11</v>
      </c>
      <c r="H1087" s="131">
        <f>IFERROR(__xludf.DUMMYFUNCTION("""COMPUTED_VALUE"""),41851.0)</f>
        <v>41851</v>
      </c>
      <c r="I1087" s="18">
        <f>IFERROR(__xludf.DUMMYFUNCTION("""COMPUTED_VALUE"""),2.8361111111111112)</f>
        <v>2.836111111</v>
      </c>
      <c r="J1087" s="22">
        <f>IFERROR(__xludf.DUMMYFUNCTION("""COMPUTED_VALUE"""),51.0)</f>
        <v>51</v>
      </c>
      <c r="K1087" s="22">
        <f>IFERROR(__xludf.DUMMYFUNCTION("""COMPUTED_VALUE"""),8.0)</f>
        <v>8</v>
      </c>
      <c r="L1087" s="26" t="str">
        <f>IFERROR(__xludf.DUMMYFUNCTION("""COMPUTED_VALUE"""),"RPG")</f>
        <v>RPG</v>
      </c>
    </row>
    <row r="1088">
      <c r="A1088" s="12" t="str">
        <f>IFERROR(__xludf.DUMMYFUNCTION("""COMPUTED_VALUE"""),"Sam &amp; Max: Beyond Time and Space")</f>
        <v>Sam &amp; Max: Beyond Time and Space</v>
      </c>
      <c r="B1088" s="13" t="str">
        <f>IFERROR(__xludf.DUMMYFUNCTION("""COMPUTED_VALUE"""),"Xbox")</f>
        <v>Xbox</v>
      </c>
      <c r="C1088" s="14"/>
      <c r="D1088" s="14" t="str">
        <f>IFERROR(__xludf.DUMMYFUNCTION("""COMPUTED_VALUE"""),"Removed")</f>
        <v>Removed</v>
      </c>
      <c r="E1088" s="294">
        <f>IFERROR(__xludf.DUMMYFUNCTION("""COMPUTED_VALUE"""),42887.0)</f>
        <v>42887</v>
      </c>
      <c r="F1088" s="15">
        <f>IFERROR(__xludf.DUMMYFUNCTION("""COMPUTED_VALUE"""),43221.0)</f>
        <v>43221</v>
      </c>
      <c r="G1088" s="18">
        <f>IFERROR(__xludf.DUMMYFUNCTION("""COMPUTED_VALUE"""),11.0)</f>
        <v>11</v>
      </c>
      <c r="H1088" s="131">
        <f>IFERROR(__xludf.DUMMYFUNCTION("""COMPUTED_VALUE"""),40869.0)</f>
        <v>40869</v>
      </c>
      <c r="I1088" s="18">
        <f>IFERROR(__xludf.DUMMYFUNCTION("""COMPUTED_VALUE"""),5.525)</f>
        <v>5.525</v>
      </c>
      <c r="J1088" s="22">
        <f>IFERROR(__xludf.DUMMYFUNCTION("""COMPUTED_VALUE"""),75.0)</f>
        <v>75</v>
      </c>
      <c r="K1088" s="22">
        <f>IFERROR(__xludf.DUMMYFUNCTION("""COMPUTED_VALUE"""),14.0)</f>
        <v>14</v>
      </c>
      <c r="L1088" s="26" t="str">
        <f>IFERROR(__xludf.DUMMYFUNCTION("""COMPUTED_VALUE"""),"Shooter")</f>
        <v>Shooter</v>
      </c>
    </row>
    <row r="1089">
      <c r="A1089" s="12" t="str">
        <f>IFERROR(__xludf.DUMMYFUNCTION("""COMPUTED_VALUE"""),"Sam &amp; Max: Save the World")</f>
        <v>Sam &amp; Max: Save the World</v>
      </c>
      <c r="B1089" s="13" t="str">
        <f>IFERROR(__xludf.DUMMYFUNCTION("""COMPUTED_VALUE"""),"Xbox")</f>
        <v>Xbox</v>
      </c>
      <c r="C1089" s="14"/>
      <c r="D1089" s="14" t="str">
        <f>IFERROR(__xludf.DUMMYFUNCTION("""COMPUTED_VALUE"""),"Removed")</f>
        <v>Removed</v>
      </c>
      <c r="E1089" s="294">
        <f>IFERROR(__xludf.DUMMYFUNCTION("""COMPUTED_VALUE"""),42887.0)</f>
        <v>42887</v>
      </c>
      <c r="F1089" s="15">
        <f>IFERROR(__xludf.DUMMYFUNCTION("""COMPUTED_VALUE"""),43221.0)</f>
        <v>43221</v>
      </c>
      <c r="G1089" s="18">
        <f>IFERROR(__xludf.DUMMYFUNCTION("""COMPUTED_VALUE"""),11.0)</f>
        <v>11</v>
      </c>
      <c r="H1089" s="131">
        <f>IFERROR(__xludf.DUMMYFUNCTION("""COMPUTED_VALUE"""),40869.0)</f>
        <v>40869</v>
      </c>
      <c r="I1089" s="18">
        <f>IFERROR(__xludf.DUMMYFUNCTION("""COMPUTED_VALUE"""),5.525)</f>
        <v>5.525</v>
      </c>
      <c r="J1089" s="22">
        <f>IFERROR(__xludf.DUMMYFUNCTION("""COMPUTED_VALUE"""),74.0)</f>
        <v>74</v>
      </c>
      <c r="K1089" s="22">
        <f>IFERROR(__xludf.DUMMYFUNCTION("""COMPUTED_VALUE"""),13.0)</f>
        <v>13</v>
      </c>
      <c r="L1089" s="26" t="str">
        <f>IFERROR(__xludf.DUMMYFUNCTION("""COMPUTED_VALUE"""),"Shooter")</f>
        <v>Shooter</v>
      </c>
    </row>
    <row r="1090">
      <c r="A1090" s="12" t="str">
        <f>IFERROR(__xludf.DUMMYFUNCTION("""COMPUTED_VALUE"""),"SEGA Vintage Collection: Alex Kidd &amp; Co.")</f>
        <v>SEGA Vintage Collection: Alex Kidd &amp; Co.</v>
      </c>
      <c r="B1090" s="13" t="str">
        <f>IFERROR(__xludf.DUMMYFUNCTION("""COMPUTED_VALUE"""),"Xbox")</f>
        <v>Xbox</v>
      </c>
      <c r="C1090" s="14"/>
      <c r="D1090" s="14" t="str">
        <f>IFERROR(__xludf.DUMMYFUNCTION("""COMPUTED_VALUE"""),"Removed")</f>
        <v>Removed</v>
      </c>
      <c r="E1090" s="294">
        <f>IFERROR(__xludf.DUMMYFUNCTION("""COMPUTED_VALUE"""),42887.0)</f>
        <v>42887</v>
      </c>
      <c r="F1090" s="15">
        <f>IFERROR(__xludf.DUMMYFUNCTION("""COMPUTED_VALUE"""),43221.0)</f>
        <v>43221</v>
      </c>
      <c r="G1090" s="18">
        <f>IFERROR(__xludf.DUMMYFUNCTION("""COMPUTED_VALUE"""),11.0)</f>
        <v>11</v>
      </c>
      <c r="H1090" s="131">
        <f>IFERROR(__xludf.DUMMYFUNCTION("""COMPUTED_VALUE"""),41052.0)</f>
        <v>41052</v>
      </c>
      <c r="I1090" s="18">
        <f>IFERROR(__xludf.DUMMYFUNCTION("""COMPUTED_VALUE"""),5.022222222222222)</f>
        <v>5.022222222</v>
      </c>
      <c r="J1090" s="22">
        <f>IFERROR(__xludf.DUMMYFUNCTION("""COMPUTED_VALUE"""),69.0)</f>
        <v>69</v>
      </c>
      <c r="K1090" s="22">
        <f>IFERROR(__xludf.DUMMYFUNCTION("""COMPUTED_VALUE"""),5.0)</f>
        <v>5</v>
      </c>
      <c r="L1090" s="26" t="str">
        <f>IFERROR(__xludf.DUMMYFUNCTION("""COMPUTED_VALUE"""),"Compilation")</f>
        <v>Compilation</v>
      </c>
    </row>
    <row r="1091">
      <c r="A1091" s="12" t="str">
        <f>IFERROR(__xludf.DUMMYFUNCTION("""COMPUTED_VALUE"""),"SEGA Vintage Collection: Golden Axe")</f>
        <v>SEGA Vintage Collection: Golden Axe</v>
      </c>
      <c r="B1091" s="13" t="str">
        <f>IFERROR(__xludf.DUMMYFUNCTION("""COMPUTED_VALUE"""),"Xbox")</f>
        <v>Xbox</v>
      </c>
      <c r="C1091" s="14"/>
      <c r="D1091" s="14" t="str">
        <f>IFERROR(__xludf.DUMMYFUNCTION("""COMPUTED_VALUE"""),"Removed")</f>
        <v>Removed</v>
      </c>
      <c r="E1091" s="294">
        <f>IFERROR(__xludf.DUMMYFUNCTION("""COMPUTED_VALUE"""),42887.0)</f>
        <v>42887</v>
      </c>
      <c r="F1091" s="15">
        <f>IFERROR(__xludf.DUMMYFUNCTION("""COMPUTED_VALUE"""),43221.0)</f>
        <v>43221</v>
      </c>
      <c r="G1091" s="18">
        <f>IFERROR(__xludf.DUMMYFUNCTION("""COMPUTED_VALUE"""),11.0)</f>
        <v>11</v>
      </c>
      <c r="H1091" s="131">
        <f>IFERROR(__xludf.DUMMYFUNCTION("""COMPUTED_VALUE"""),41059.0)</f>
        <v>41059</v>
      </c>
      <c r="I1091" s="18">
        <f>IFERROR(__xludf.DUMMYFUNCTION("""COMPUTED_VALUE"""),5.002777777777778)</f>
        <v>5.002777778</v>
      </c>
      <c r="J1091" s="22">
        <f>IFERROR(__xludf.DUMMYFUNCTION("""COMPUTED_VALUE"""),60.0)</f>
        <v>60</v>
      </c>
      <c r="K1091" s="22">
        <f>IFERROR(__xludf.DUMMYFUNCTION("""COMPUTED_VALUE"""),1.0)</f>
        <v>1</v>
      </c>
      <c r="L1091" s="26" t="str">
        <f>IFERROR(__xludf.DUMMYFUNCTION("""COMPUTED_VALUE"""),"Compilation")</f>
        <v>Compilation</v>
      </c>
    </row>
    <row r="1092">
      <c r="A1092" s="12" t="str">
        <f>IFERROR(__xludf.DUMMYFUNCTION("""COMPUTED_VALUE"""),"SoulCalibur")</f>
        <v>SoulCalibur</v>
      </c>
      <c r="B1092" s="13" t="str">
        <f>IFERROR(__xludf.DUMMYFUNCTION("""COMPUTED_VALUE"""),"Xbox")</f>
        <v>Xbox</v>
      </c>
      <c r="C1092" s="14"/>
      <c r="D1092" s="14" t="str">
        <f>IFERROR(__xludf.DUMMYFUNCTION("""COMPUTED_VALUE"""),"Removed")</f>
        <v>Removed</v>
      </c>
      <c r="E1092" s="294">
        <f>IFERROR(__xludf.DUMMYFUNCTION("""COMPUTED_VALUE"""),42887.0)</f>
        <v>42887</v>
      </c>
      <c r="F1092" s="15">
        <f>IFERROR(__xludf.DUMMYFUNCTION("""COMPUTED_VALUE"""),43221.0)</f>
        <v>43221</v>
      </c>
      <c r="G1092" s="18">
        <f>IFERROR(__xludf.DUMMYFUNCTION("""COMPUTED_VALUE"""),11.0)</f>
        <v>11</v>
      </c>
      <c r="H1092" s="131">
        <f>IFERROR(__xludf.DUMMYFUNCTION("""COMPUTED_VALUE"""),36006.0)</f>
        <v>36006</v>
      </c>
      <c r="I1092" s="18">
        <f>IFERROR(__xludf.DUMMYFUNCTION("""COMPUTED_VALUE"""),18.836111111111112)</f>
        <v>18.83611111</v>
      </c>
      <c r="J1092" s="22">
        <f>IFERROR(__xludf.DUMMYFUNCTION("""COMPUTED_VALUE"""),79.0)</f>
        <v>79</v>
      </c>
      <c r="K1092" s="22">
        <f>IFERROR(__xludf.DUMMYFUNCTION("""COMPUTED_VALUE"""),0.5)</f>
        <v>0.5</v>
      </c>
      <c r="L1092" s="26" t="str">
        <f>IFERROR(__xludf.DUMMYFUNCTION("""COMPUTED_VALUE"""),"Fighting")</f>
        <v>Fighting</v>
      </c>
    </row>
    <row r="1093">
      <c r="A1093" s="12" t="str">
        <f>IFERROR(__xludf.DUMMYFUNCTION("""COMPUTED_VALUE"""),"XCOM: Enemy Within")</f>
        <v>XCOM: Enemy Within</v>
      </c>
      <c r="B1093" s="13" t="str">
        <f>IFERROR(__xludf.DUMMYFUNCTION("""COMPUTED_VALUE"""),"Xbox")</f>
        <v>Xbox</v>
      </c>
      <c r="C1093" s="14"/>
      <c r="D1093" s="14" t="str">
        <f>IFERROR(__xludf.DUMMYFUNCTION("""COMPUTED_VALUE"""),"Removed")</f>
        <v>Removed</v>
      </c>
      <c r="E1093" s="294">
        <f>IFERROR(__xludf.DUMMYFUNCTION("""COMPUTED_VALUE"""),42887.0)</f>
        <v>42887</v>
      </c>
      <c r="F1093" s="15">
        <f>IFERROR(__xludf.DUMMYFUNCTION("""COMPUTED_VALUE"""),43221.0)</f>
        <v>43221</v>
      </c>
      <c r="G1093" s="18">
        <f>IFERROR(__xludf.DUMMYFUNCTION("""COMPUTED_VALUE"""),11.0)</f>
        <v>11</v>
      </c>
      <c r="H1093" s="131">
        <f>IFERROR(__xludf.DUMMYFUNCTION("""COMPUTED_VALUE"""),41590.0)</f>
        <v>41590</v>
      </c>
      <c r="I1093" s="18">
        <f>IFERROR(__xludf.DUMMYFUNCTION("""COMPUTED_VALUE"""),3.5527777777777776)</f>
        <v>3.552777778</v>
      </c>
      <c r="J1093" s="22">
        <f>IFERROR(__xludf.DUMMYFUNCTION("""COMPUTED_VALUE"""),88.0)</f>
        <v>88</v>
      </c>
      <c r="K1093" s="22">
        <f>IFERROR(__xludf.DUMMYFUNCTION("""COMPUTED_VALUE"""),27.5)</f>
        <v>27.5</v>
      </c>
      <c r="L1093" s="26" t="str">
        <f>IFERROR(__xludf.DUMMYFUNCTION("""COMPUTED_VALUE"""),"RPG")</f>
        <v>RPG</v>
      </c>
    </row>
    <row r="1094">
      <c r="A1094" s="12" t="str">
        <f>IFERROR(__xludf.DUMMYFUNCTION("""COMPUTED_VALUE"""),"Lumo")</f>
        <v>Lumo</v>
      </c>
      <c r="B1094" s="13" t="str">
        <f>IFERROR(__xludf.DUMMYFUNCTION("""COMPUTED_VALUE"""),"Xbox")</f>
        <v>Xbox</v>
      </c>
      <c r="C1094" s="14"/>
      <c r="D1094" s="14" t="str">
        <f>IFERROR(__xludf.DUMMYFUNCTION("""COMPUTED_VALUE"""),"Removed")</f>
        <v>Removed</v>
      </c>
      <c r="E1094" s="294">
        <f>IFERROR(__xludf.DUMMYFUNCTION("""COMPUTED_VALUE"""),42887.0)</f>
        <v>42887</v>
      </c>
      <c r="F1094" s="15">
        <f>IFERROR(__xludf.DUMMYFUNCTION("""COMPUTED_VALUE"""),43220.0)</f>
        <v>43220</v>
      </c>
      <c r="G1094" s="18">
        <f>IFERROR(__xludf.DUMMYFUNCTION("""COMPUTED_VALUE"""),10.966666666666667)</f>
        <v>10.96666667</v>
      </c>
      <c r="H1094" s="131">
        <f>IFERROR(__xludf.DUMMYFUNCTION("""COMPUTED_VALUE"""),42482.0)</f>
        <v>42482</v>
      </c>
      <c r="I1094" s="18">
        <f>IFERROR(__xludf.DUMMYFUNCTION("""COMPUTED_VALUE"""),1.1083333333333334)</f>
        <v>1.108333333</v>
      </c>
      <c r="J1094" s="22">
        <f>IFERROR(__xludf.DUMMYFUNCTION("""COMPUTED_VALUE"""),77.0)</f>
        <v>77</v>
      </c>
      <c r="K1094" s="22">
        <f>IFERROR(__xludf.DUMMYFUNCTION("""COMPUTED_VALUE"""),5.0)</f>
        <v>5</v>
      </c>
      <c r="L1094" s="26" t="str">
        <f>IFERROR(__xludf.DUMMYFUNCTION("""COMPUTED_VALUE"""),"Action-Adventure")</f>
        <v>Action-Adventure</v>
      </c>
    </row>
    <row r="1095">
      <c r="A1095" s="12" t="str">
        <f>IFERROR(__xludf.DUMMYFUNCTION("""COMPUTED_VALUE"""),"NBA 2K17")</f>
        <v>NBA 2K17</v>
      </c>
      <c r="B1095" s="13" t="str">
        <f>IFERROR(__xludf.DUMMYFUNCTION("""COMPUTED_VALUE"""),"Xbox")</f>
        <v>Xbox</v>
      </c>
      <c r="C1095" s="14"/>
      <c r="D1095" s="14" t="str">
        <f>IFERROR(__xludf.DUMMYFUNCTION("""COMPUTED_VALUE"""),"Removed")</f>
        <v>Removed</v>
      </c>
      <c r="E1095" s="294">
        <f>IFERROR(__xludf.DUMMYFUNCTION("""COMPUTED_VALUE"""),43132.0)</f>
        <v>43132</v>
      </c>
      <c r="F1095" s="15">
        <f>IFERROR(__xludf.DUMMYFUNCTION("""COMPUTED_VALUE"""),43191.0)</f>
        <v>43191</v>
      </c>
      <c r="G1095" s="18">
        <f>IFERROR(__xludf.DUMMYFUNCTION("""COMPUTED_VALUE"""),2.0)</f>
        <v>2</v>
      </c>
      <c r="H1095" s="131">
        <f>IFERROR(__xludf.DUMMYFUNCTION("""COMPUTED_VALUE"""),42629.0)</f>
        <v>42629</v>
      </c>
      <c r="I1095" s="18">
        <f>IFERROR(__xludf.DUMMYFUNCTION("""COMPUTED_VALUE"""),1.375)</f>
        <v>1.375</v>
      </c>
      <c r="J1095" s="22">
        <f>IFERROR(__xludf.DUMMYFUNCTION("""COMPUTED_VALUE"""),90.0)</f>
        <v>90</v>
      </c>
      <c r="K1095" s="22">
        <f>IFERROR(__xludf.DUMMYFUNCTION("""COMPUTED_VALUE"""),63.5)</f>
        <v>63.5</v>
      </c>
      <c r="L1095" s="26" t="str">
        <f>IFERROR(__xludf.DUMMYFUNCTION("""COMPUTED_VALUE"""),"Sports")</f>
        <v>Sports</v>
      </c>
    </row>
    <row r="1096">
      <c r="A1096" s="12" t="str">
        <f>IFERROR(__xludf.DUMMYFUNCTION("""COMPUTED_VALUE"""),"WWE 2K17")</f>
        <v>WWE 2K17</v>
      </c>
      <c r="B1096" s="13" t="str">
        <f>IFERROR(__xludf.DUMMYFUNCTION("""COMPUTED_VALUE"""),"Xbox")</f>
        <v>Xbox</v>
      </c>
      <c r="C1096" s="14"/>
      <c r="D1096" s="14" t="str">
        <f>IFERROR(__xludf.DUMMYFUNCTION("""COMPUTED_VALUE"""),"Removed")</f>
        <v>Removed</v>
      </c>
      <c r="E1096" s="294">
        <f>IFERROR(__xludf.DUMMYFUNCTION("""COMPUTED_VALUE"""),43132.0)</f>
        <v>43132</v>
      </c>
      <c r="F1096" s="15">
        <f>IFERROR(__xludf.DUMMYFUNCTION("""COMPUTED_VALUE"""),43191.0)</f>
        <v>43191</v>
      </c>
      <c r="G1096" s="18">
        <f>IFERROR(__xludf.DUMMYFUNCTION("""COMPUTED_VALUE"""),2.0)</f>
        <v>2</v>
      </c>
      <c r="H1096" s="131">
        <f>IFERROR(__xludf.DUMMYFUNCTION("""COMPUTED_VALUE"""),42654.0)</f>
        <v>42654</v>
      </c>
      <c r="I1096" s="18">
        <f>IFERROR(__xludf.DUMMYFUNCTION("""COMPUTED_VALUE"""),1.3055555555555556)</f>
        <v>1.305555556</v>
      </c>
      <c r="J1096" s="22">
        <f>IFERROR(__xludf.DUMMYFUNCTION("""COMPUTED_VALUE"""),68.0)</f>
        <v>68</v>
      </c>
      <c r="K1096" s="22">
        <f>IFERROR(__xludf.DUMMYFUNCTION("""COMPUTED_VALUE"""),13.0)</f>
        <v>13</v>
      </c>
      <c r="L1096" s="26" t="str">
        <f>IFERROR(__xludf.DUMMYFUNCTION("""COMPUTED_VALUE"""),"Wrestling")</f>
        <v>Wrestling</v>
      </c>
    </row>
    <row r="1097">
      <c r="A1097" s="12" t="str">
        <f>IFERROR(__xludf.DUMMYFUNCTION("""COMPUTED_VALUE"""),"Comix Zone")</f>
        <v>Comix Zone</v>
      </c>
      <c r="B1097" s="13" t="str">
        <f>IFERROR(__xludf.DUMMYFUNCTION("""COMPUTED_VALUE"""),"Xbox")</f>
        <v>Xbox</v>
      </c>
      <c r="C1097" s="14"/>
      <c r="D1097" s="14" t="str">
        <f>IFERROR(__xludf.DUMMYFUNCTION("""COMPUTED_VALUE"""),"Removed")</f>
        <v>Removed</v>
      </c>
      <c r="E1097" s="294">
        <f>IFERROR(__xludf.DUMMYFUNCTION("""COMPUTED_VALUE"""),42887.0)</f>
        <v>42887</v>
      </c>
      <c r="F1097" s="15">
        <f>IFERROR(__xludf.DUMMYFUNCTION("""COMPUTED_VALUE"""),43190.0)</f>
        <v>43190</v>
      </c>
      <c r="G1097" s="18">
        <f>IFERROR(__xludf.DUMMYFUNCTION("""COMPUTED_VALUE"""),9.966666666666667)</f>
        <v>9.966666667</v>
      </c>
      <c r="H1097" s="131">
        <f>IFERROR(__xludf.DUMMYFUNCTION("""COMPUTED_VALUE"""),34913.0)</f>
        <v>34913</v>
      </c>
      <c r="I1097" s="18">
        <f>IFERROR(__xludf.DUMMYFUNCTION("""COMPUTED_VALUE"""),21.830555555555556)</f>
        <v>21.83055556</v>
      </c>
      <c r="J1097" s="22">
        <f>IFERROR(__xludf.DUMMYFUNCTION("""COMPUTED_VALUE"""),71.0)</f>
        <v>71</v>
      </c>
      <c r="K1097" s="22">
        <f>IFERROR(__xludf.DUMMYFUNCTION("""COMPUTED_VALUE"""),2.0)</f>
        <v>2</v>
      </c>
      <c r="L1097" s="26" t="str">
        <f>IFERROR(__xludf.DUMMYFUNCTION("""COMPUTED_VALUE"""),"Action")</f>
        <v>Action</v>
      </c>
    </row>
    <row r="1098">
      <c r="A1098" s="12" t="str">
        <f>IFERROR(__xludf.DUMMYFUNCTION("""COMPUTED_VALUE"""),"CAPCOM Arcade Cabinet")</f>
        <v>CAPCOM Arcade Cabinet</v>
      </c>
      <c r="B1098" s="13" t="str">
        <f>IFERROR(__xludf.DUMMYFUNCTION("""COMPUTED_VALUE"""),"Xbox")</f>
        <v>Xbox</v>
      </c>
      <c r="C1098" s="14"/>
      <c r="D1098" s="14" t="str">
        <f>IFERROR(__xludf.DUMMYFUNCTION("""COMPUTED_VALUE"""),"Removed")</f>
        <v>Removed</v>
      </c>
      <c r="E1098" s="294">
        <f>IFERROR(__xludf.DUMMYFUNCTION("""COMPUTED_VALUE"""),42887.0)</f>
        <v>42887</v>
      </c>
      <c r="F1098" s="15">
        <f>IFERROR(__xludf.DUMMYFUNCTION("""COMPUTED_VALUE"""),43160.0)</f>
        <v>43160</v>
      </c>
      <c r="G1098" s="18">
        <f>IFERROR(__xludf.DUMMYFUNCTION("""COMPUTED_VALUE"""),9.0)</f>
        <v>9</v>
      </c>
      <c r="H1098" s="131">
        <f>IFERROR(__xludf.DUMMYFUNCTION("""COMPUTED_VALUE"""),41325.0)</f>
        <v>41325</v>
      </c>
      <c r="I1098" s="18">
        <f>IFERROR(__xludf.DUMMYFUNCTION("""COMPUTED_VALUE"""),4.280555555555556)</f>
        <v>4.280555556</v>
      </c>
      <c r="J1098" s="22">
        <f>IFERROR(__xludf.DUMMYFUNCTION("""COMPUTED_VALUE"""),68.0)</f>
        <v>68</v>
      </c>
      <c r="K1098" s="22">
        <f>IFERROR(__xludf.DUMMYFUNCTION("""COMPUTED_VALUE"""),6.0)</f>
        <v>6</v>
      </c>
      <c r="L1098" s="26" t="str">
        <f>IFERROR(__xludf.DUMMYFUNCTION("""COMPUTED_VALUE"""),"Arcade")</f>
        <v>Arcade</v>
      </c>
    </row>
    <row r="1099">
      <c r="A1099" s="12" t="str">
        <f>IFERROR(__xludf.DUMMYFUNCTION("""COMPUTED_VALUE"""),"Dark Void")</f>
        <v>Dark Void</v>
      </c>
      <c r="B1099" s="13" t="str">
        <f>IFERROR(__xludf.DUMMYFUNCTION("""COMPUTED_VALUE"""),"Xbox")</f>
        <v>Xbox</v>
      </c>
      <c r="C1099" s="14"/>
      <c r="D1099" s="14" t="str">
        <f>IFERROR(__xludf.DUMMYFUNCTION("""COMPUTED_VALUE"""),"Removed")</f>
        <v>Removed</v>
      </c>
      <c r="E1099" s="294">
        <f>IFERROR(__xludf.DUMMYFUNCTION("""COMPUTED_VALUE"""),42887.0)</f>
        <v>42887</v>
      </c>
      <c r="F1099" s="15">
        <f>IFERROR(__xludf.DUMMYFUNCTION("""COMPUTED_VALUE"""),43160.0)</f>
        <v>43160</v>
      </c>
      <c r="G1099" s="18">
        <f>IFERROR(__xludf.DUMMYFUNCTION("""COMPUTED_VALUE"""),9.0)</f>
        <v>9</v>
      </c>
      <c r="H1099" s="131">
        <f>IFERROR(__xludf.DUMMYFUNCTION("""COMPUTED_VALUE"""),40193.0)</f>
        <v>40193</v>
      </c>
      <c r="I1099" s="18">
        <f>IFERROR(__xludf.DUMMYFUNCTION("""COMPUTED_VALUE"""),7.377777777777778)</f>
        <v>7.377777778</v>
      </c>
      <c r="J1099" s="22">
        <f>IFERROR(__xludf.DUMMYFUNCTION("""COMPUTED_VALUE"""),59.0)</f>
        <v>59</v>
      </c>
      <c r="K1099" s="22">
        <f>IFERROR(__xludf.DUMMYFUNCTION("""COMPUTED_VALUE"""),7.5)</f>
        <v>7.5</v>
      </c>
      <c r="L1099" s="26" t="str">
        <f>IFERROR(__xludf.DUMMYFUNCTION("""COMPUTED_VALUE"""),"Shooter")</f>
        <v>Shooter</v>
      </c>
    </row>
    <row r="1100">
      <c r="A1100" s="12" t="str">
        <f>IFERROR(__xludf.DUMMYFUNCTION("""COMPUTED_VALUE"""),"FLOCK!")</f>
        <v>FLOCK!</v>
      </c>
      <c r="B1100" s="13" t="str">
        <f>IFERROR(__xludf.DUMMYFUNCTION("""COMPUTED_VALUE"""),"Xbox")</f>
        <v>Xbox</v>
      </c>
      <c r="C1100" s="14"/>
      <c r="D1100" s="14" t="str">
        <f>IFERROR(__xludf.DUMMYFUNCTION("""COMPUTED_VALUE"""),"Removed")</f>
        <v>Removed</v>
      </c>
      <c r="E1100" s="294">
        <f>IFERROR(__xludf.DUMMYFUNCTION("""COMPUTED_VALUE"""),42887.0)</f>
        <v>42887</v>
      </c>
      <c r="F1100" s="15">
        <f>IFERROR(__xludf.DUMMYFUNCTION("""COMPUTED_VALUE"""),43160.0)</f>
        <v>43160</v>
      </c>
      <c r="G1100" s="18">
        <f>IFERROR(__xludf.DUMMYFUNCTION("""COMPUTED_VALUE"""),9.0)</f>
        <v>9</v>
      </c>
      <c r="H1100" s="131">
        <f>IFERROR(__xludf.DUMMYFUNCTION("""COMPUTED_VALUE"""),42237.0)</f>
        <v>42237</v>
      </c>
      <c r="I1100" s="18">
        <f>IFERROR(__xludf.DUMMYFUNCTION("""COMPUTED_VALUE"""),1.7777777777777777)</f>
        <v>1.777777778</v>
      </c>
      <c r="J1100" s="22">
        <f>IFERROR(__xludf.DUMMYFUNCTION("""COMPUTED_VALUE"""),68.0)</f>
        <v>68</v>
      </c>
      <c r="K1100" s="22">
        <f>IFERROR(__xludf.DUMMYFUNCTION("""COMPUTED_VALUE"""),3.0)</f>
        <v>3</v>
      </c>
      <c r="L1100" s="26" t="str">
        <f>IFERROR(__xludf.DUMMYFUNCTION("""COMPUTED_VALUE"""),"Action")</f>
        <v>Action</v>
      </c>
    </row>
    <row r="1101">
      <c r="A1101" s="12" t="str">
        <f>IFERROR(__xludf.DUMMYFUNCTION("""COMPUTED_VALUE"""),"SEGA Vintage Collection: Monster World")</f>
        <v>SEGA Vintage Collection: Monster World</v>
      </c>
      <c r="B1101" s="13" t="str">
        <f>IFERROR(__xludf.DUMMYFUNCTION("""COMPUTED_VALUE"""),"Xbox")</f>
        <v>Xbox</v>
      </c>
      <c r="C1101" s="14"/>
      <c r="D1101" s="14" t="str">
        <f>IFERROR(__xludf.DUMMYFUNCTION("""COMPUTED_VALUE"""),"Removed")</f>
        <v>Removed</v>
      </c>
      <c r="E1101" s="294">
        <f>IFERROR(__xludf.DUMMYFUNCTION("""COMPUTED_VALUE"""),42887.0)</f>
        <v>42887</v>
      </c>
      <c r="F1101" s="15">
        <f>IFERROR(__xludf.DUMMYFUNCTION("""COMPUTED_VALUE"""),43160.0)</f>
        <v>43160</v>
      </c>
      <c r="G1101" s="18">
        <f>IFERROR(__xludf.DUMMYFUNCTION("""COMPUTED_VALUE"""),9.0)</f>
        <v>9</v>
      </c>
      <c r="H1101" s="131">
        <f>IFERROR(__xludf.DUMMYFUNCTION("""COMPUTED_VALUE"""),41052.0)</f>
        <v>41052</v>
      </c>
      <c r="I1101" s="18">
        <f>IFERROR(__xludf.DUMMYFUNCTION("""COMPUTED_VALUE"""),5.022222222222222)</f>
        <v>5.022222222</v>
      </c>
      <c r="J1101" s="22">
        <f>IFERROR(__xludf.DUMMYFUNCTION("""COMPUTED_VALUE"""),72.0)</f>
        <v>72</v>
      </c>
      <c r="K1101" s="22">
        <f>IFERROR(__xludf.DUMMYFUNCTION("""COMPUTED_VALUE"""),70.0)</f>
        <v>70</v>
      </c>
      <c r="L1101" s="26" t="str">
        <f>IFERROR(__xludf.DUMMYFUNCTION("""COMPUTED_VALUE"""),"Compilation")</f>
        <v>Compilation</v>
      </c>
    </row>
    <row r="1102">
      <c r="A1102" s="12" t="str">
        <f>IFERROR(__xludf.DUMMYFUNCTION("""COMPUTED_VALUE"""),"SEGA Vintage Collection: Streets of Rage")</f>
        <v>SEGA Vintage Collection: Streets of Rage</v>
      </c>
      <c r="B1102" s="13" t="str">
        <f>IFERROR(__xludf.DUMMYFUNCTION("""COMPUTED_VALUE"""),"Xbox")</f>
        <v>Xbox</v>
      </c>
      <c r="C1102" s="14"/>
      <c r="D1102" s="14" t="str">
        <f>IFERROR(__xludf.DUMMYFUNCTION("""COMPUTED_VALUE"""),"Removed")</f>
        <v>Removed</v>
      </c>
      <c r="E1102" s="294">
        <f>IFERROR(__xludf.DUMMYFUNCTION("""COMPUTED_VALUE"""),42887.0)</f>
        <v>42887</v>
      </c>
      <c r="F1102" s="15">
        <f>IFERROR(__xludf.DUMMYFUNCTION("""COMPUTED_VALUE"""),43160.0)</f>
        <v>43160</v>
      </c>
      <c r="G1102" s="18">
        <f>IFERROR(__xludf.DUMMYFUNCTION("""COMPUTED_VALUE"""),9.0)</f>
        <v>9</v>
      </c>
      <c r="H1102" s="131">
        <f>IFERROR(__xludf.DUMMYFUNCTION("""COMPUTED_VALUE"""),41059.0)</f>
        <v>41059</v>
      </c>
      <c r="I1102" s="18">
        <f>IFERROR(__xludf.DUMMYFUNCTION("""COMPUTED_VALUE"""),5.002777777777778)</f>
        <v>5.002777778</v>
      </c>
      <c r="J1102" s="22">
        <f>IFERROR(__xludf.DUMMYFUNCTION("""COMPUTED_VALUE"""),84.0)</f>
        <v>84</v>
      </c>
      <c r="K1102" s="22">
        <f>IFERROR(__xludf.DUMMYFUNCTION("""COMPUTED_VALUE"""),1.5)</f>
        <v>1.5</v>
      </c>
      <c r="L1102" s="26" t="str">
        <f>IFERROR(__xludf.DUMMYFUNCTION("""COMPUTED_VALUE"""),"Compilation")</f>
        <v>Compilation</v>
      </c>
    </row>
    <row r="1103">
      <c r="A1103" s="12" t="str">
        <f>IFERROR(__xludf.DUMMYFUNCTION("""COMPUTED_VALUE"""),"Strider")</f>
        <v>Strider</v>
      </c>
      <c r="B1103" s="13" t="str">
        <f>IFERROR(__xludf.DUMMYFUNCTION("""COMPUTED_VALUE"""),"Xbox")</f>
        <v>Xbox</v>
      </c>
      <c r="C1103" s="14"/>
      <c r="D1103" s="14" t="str">
        <f>IFERROR(__xludf.DUMMYFUNCTION("""COMPUTED_VALUE"""),"Removed")</f>
        <v>Removed</v>
      </c>
      <c r="E1103" s="294">
        <f>IFERROR(__xludf.DUMMYFUNCTION("""COMPUTED_VALUE"""),42887.0)</f>
        <v>42887</v>
      </c>
      <c r="F1103" s="15">
        <f>IFERROR(__xludf.DUMMYFUNCTION("""COMPUTED_VALUE"""),43160.0)</f>
        <v>43160</v>
      </c>
      <c r="G1103" s="18">
        <f>IFERROR(__xludf.DUMMYFUNCTION("""COMPUTED_VALUE"""),9.0)</f>
        <v>9</v>
      </c>
      <c r="H1103" s="131">
        <f>IFERROR(__xludf.DUMMYFUNCTION("""COMPUTED_VALUE"""),41688.0)</f>
        <v>41688</v>
      </c>
      <c r="I1103" s="18">
        <f>IFERROR(__xludf.DUMMYFUNCTION("""COMPUTED_VALUE"""),3.286111111111111)</f>
        <v>3.286111111</v>
      </c>
      <c r="J1103" s="22">
        <f>IFERROR(__xludf.DUMMYFUNCTION("""COMPUTED_VALUE"""),76.0)</f>
        <v>76</v>
      </c>
      <c r="K1103" s="22">
        <f>IFERROR(__xludf.DUMMYFUNCTION("""COMPUTED_VALUE"""),5.5)</f>
        <v>5.5</v>
      </c>
      <c r="L1103" s="26" t="str">
        <f>IFERROR(__xludf.DUMMYFUNCTION("""COMPUTED_VALUE"""),"Platformer")</f>
        <v>Platformer</v>
      </c>
    </row>
    <row r="1104">
      <c r="A1104" s="12" t="str">
        <f>IFERROR(__xludf.DUMMYFUNCTION("""COMPUTED_VALUE"""),"Virtua Fighter 5 Final Showdown")</f>
        <v>Virtua Fighter 5 Final Showdown</v>
      </c>
      <c r="B1104" s="13" t="str">
        <f>IFERROR(__xludf.DUMMYFUNCTION("""COMPUTED_VALUE"""),"Xbox")</f>
        <v>Xbox</v>
      </c>
      <c r="C1104" s="14"/>
      <c r="D1104" s="14" t="str">
        <f>IFERROR(__xludf.DUMMYFUNCTION("""COMPUTED_VALUE"""),"Removed")</f>
        <v>Removed</v>
      </c>
      <c r="E1104" s="294">
        <f>IFERROR(__xludf.DUMMYFUNCTION("""COMPUTED_VALUE"""),42887.0)</f>
        <v>42887</v>
      </c>
      <c r="F1104" s="15">
        <f>IFERROR(__xludf.DUMMYFUNCTION("""COMPUTED_VALUE"""),43160.0)</f>
        <v>43160</v>
      </c>
      <c r="G1104" s="18">
        <f>IFERROR(__xludf.DUMMYFUNCTION("""COMPUTED_VALUE"""),9.0)</f>
        <v>9</v>
      </c>
      <c r="H1104" s="131">
        <f>IFERROR(__xludf.DUMMYFUNCTION("""COMPUTED_VALUE"""),41065.0)</f>
        <v>41065</v>
      </c>
      <c r="I1104" s="18">
        <f>IFERROR(__xludf.DUMMYFUNCTION("""COMPUTED_VALUE"""),4.988888888888889)</f>
        <v>4.988888889</v>
      </c>
      <c r="J1104" s="22">
        <f>IFERROR(__xludf.DUMMYFUNCTION("""COMPUTED_VALUE"""),81.0)</f>
        <v>81</v>
      </c>
      <c r="K1104" s="22">
        <f>IFERROR(__xludf.DUMMYFUNCTION("""COMPUTED_VALUE"""),0.5)</f>
        <v>0.5</v>
      </c>
      <c r="L1104" s="26" t="str">
        <f>IFERROR(__xludf.DUMMYFUNCTION("""COMPUTED_VALUE"""),"Fighting")</f>
        <v>Fighting</v>
      </c>
    </row>
    <row r="1105">
      <c r="A1105" s="12" t="str">
        <f>IFERROR(__xludf.DUMMYFUNCTION("""COMPUTED_VALUE"""),"WWE 2K16")</f>
        <v>WWE 2K16</v>
      </c>
      <c r="B1105" s="13" t="str">
        <f>IFERROR(__xludf.DUMMYFUNCTION("""COMPUTED_VALUE"""),"Xbox")</f>
        <v>Xbox</v>
      </c>
      <c r="C1105" s="14"/>
      <c r="D1105" s="14" t="str">
        <f>IFERROR(__xludf.DUMMYFUNCTION("""COMPUTED_VALUE"""),"Removed")</f>
        <v>Removed</v>
      </c>
      <c r="E1105" s="294">
        <f>IFERROR(__xludf.DUMMYFUNCTION("""COMPUTED_VALUE"""),42887.0)</f>
        <v>42887</v>
      </c>
      <c r="F1105" s="15">
        <f>IFERROR(__xludf.DUMMYFUNCTION("""COMPUTED_VALUE"""),43131.0)</f>
        <v>43131</v>
      </c>
      <c r="G1105" s="18">
        <f>IFERROR(__xludf.DUMMYFUNCTION("""COMPUTED_VALUE"""),7.966666666666667)</f>
        <v>7.966666667</v>
      </c>
      <c r="H1105" s="131">
        <f>IFERROR(__xludf.DUMMYFUNCTION("""COMPUTED_VALUE"""),42304.0)</f>
        <v>42304</v>
      </c>
      <c r="I1105" s="18">
        <f>IFERROR(__xludf.DUMMYFUNCTION("""COMPUTED_VALUE"""),1.5944444444444446)</f>
        <v>1.594444444</v>
      </c>
      <c r="J1105" s="22">
        <f>IFERROR(__xludf.DUMMYFUNCTION("""COMPUTED_VALUE"""),72.0)</f>
        <v>72</v>
      </c>
      <c r="K1105" s="22">
        <f>IFERROR(__xludf.DUMMYFUNCTION("""COMPUTED_VALUE"""),15.5)</f>
        <v>15.5</v>
      </c>
      <c r="L1105" s="26" t="str">
        <f>IFERROR(__xludf.DUMMYFUNCTION("""COMPUTED_VALUE"""),"Wrestling")</f>
        <v>Wrestling</v>
      </c>
    </row>
    <row r="1106">
      <c r="A1106" s="12" t="str">
        <f>IFERROR(__xludf.DUMMYFUNCTION("""COMPUTED_VALUE"""),"NBA 2K16")</f>
        <v>NBA 2K16</v>
      </c>
      <c r="B1106" s="13" t="str">
        <f>IFERROR(__xludf.DUMMYFUNCTION("""COMPUTED_VALUE"""),"Xbox")</f>
        <v>Xbox</v>
      </c>
      <c r="C1106" s="14"/>
      <c r="D1106" s="14" t="str">
        <f>IFERROR(__xludf.DUMMYFUNCTION("""COMPUTED_VALUE"""),"Removed")</f>
        <v>Removed</v>
      </c>
      <c r="E1106" s="294">
        <f>IFERROR(__xludf.DUMMYFUNCTION("""COMPUTED_VALUE"""),42887.0)</f>
        <v>42887</v>
      </c>
      <c r="F1106" s="15">
        <f>IFERROR(__xludf.DUMMYFUNCTION("""COMPUTED_VALUE"""),43100.0)</f>
        <v>43100</v>
      </c>
      <c r="G1106" s="18">
        <f>IFERROR(__xludf.DUMMYFUNCTION("""COMPUTED_VALUE"""),6.966666666666667)</f>
        <v>6.966666667</v>
      </c>
      <c r="H1106" s="131">
        <f>IFERROR(__xludf.DUMMYFUNCTION("""COMPUTED_VALUE"""),42272.0)</f>
        <v>42272</v>
      </c>
      <c r="I1106" s="18">
        <f>IFERROR(__xludf.DUMMYFUNCTION("""COMPUTED_VALUE"""),1.6833333333333333)</f>
        <v>1.683333333</v>
      </c>
      <c r="J1106" s="22">
        <f>IFERROR(__xludf.DUMMYFUNCTION("""COMPUTED_VALUE"""),86.0)</f>
        <v>86</v>
      </c>
      <c r="K1106" s="22">
        <f>IFERROR(__xludf.DUMMYFUNCTION("""COMPUTED_VALUE"""),23.5)</f>
        <v>23.5</v>
      </c>
      <c r="L1106" s="26" t="str">
        <f>IFERROR(__xludf.DUMMYFUNCTION("""COMPUTED_VALUE"""),"Sports")</f>
        <v>Sports</v>
      </c>
    </row>
    <row r="1107">
      <c r="A1107" s="12" t="str">
        <f>IFERROR(__xludf.DUMMYFUNCTION("""COMPUTED_VALUE"""),"Dungeons &amp; Dragons: Chronicles of Mystara")</f>
        <v>Dungeons &amp; Dragons: Chronicles of Mystara</v>
      </c>
      <c r="B1107" s="13" t="str">
        <f>IFERROR(__xludf.DUMMYFUNCTION("""COMPUTED_VALUE"""),"Xbox")</f>
        <v>Xbox</v>
      </c>
      <c r="C1107" s="14"/>
      <c r="D1107" s="14" t="str">
        <f>IFERROR(__xludf.DUMMYFUNCTION("""COMPUTED_VALUE"""),"Removed")</f>
        <v>Removed</v>
      </c>
      <c r="E1107" s="294">
        <f>IFERROR(__xludf.DUMMYFUNCTION("""COMPUTED_VALUE"""),42887.0)</f>
        <v>42887</v>
      </c>
      <c r="F1107" s="15">
        <f>IFERROR(__xludf.DUMMYFUNCTION("""COMPUTED_VALUE"""),42962.0)</f>
        <v>42962</v>
      </c>
      <c r="G1107" s="18">
        <f>IFERROR(__xludf.DUMMYFUNCTION("""COMPUTED_VALUE"""),2.466666666666667)</f>
        <v>2.466666667</v>
      </c>
      <c r="H1107" s="131">
        <f>IFERROR(__xludf.DUMMYFUNCTION("""COMPUTED_VALUE"""),41443.0)</f>
        <v>41443</v>
      </c>
      <c r="I1107" s="18">
        <f>IFERROR(__xludf.DUMMYFUNCTION("""COMPUTED_VALUE"""),3.952777777777778)</f>
        <v>3.952777778</v>
      </c>
      <c r="J1107" s="22">
        <f>IFERROR(__xludf.DUMMYFUNCTION("""COMPUTED_VALUE"""),77.0)</f>
        <v>77</v>
      </c>
      <c r="K1107" s="22">
        <f>IFERROR(__xludf.DUMMYFUNCTION("""COMPUTED_VALUE"""),2.0)</f>
        <v>2</v>
      </c>
      <c r="L1107" s="26" t="str">
        <f>IFERROR(__xludf.DUMMYFUNCTION("""COMPUTED_VALUE"""),"RPG")</f>
        <v>RPG</v>
      </c>
    </row>
    <row r="1108">
      <c r="A1108" s="12"/>
      <c r="B1108" s="13"/>
      <c r="C1108" s="14"/>
      <c r="D1108" s="14"/>
      <c r="E1108" s="294"/>
      <c r="F1108" s="15"/>
      <c r="G1108" s="18"/>
      <c r="H1108" s="131"/>
      <c r="I1108" s="18"/>
      <c r="J1108" s="22"/>
      <c r="K1108" s="108"/>
      <c r="L1108" s="26"/>
    </row>
    <row r="1109">
      <c r="A1109" s="12"/>
      <c r="B1109" s="13"/>
      <c r="C1109" s="14"/>
      <c r="D1109" s="14"/>
      <c r="E1109" s="294"/>
      <c r="F1109" s="15"/>
      <c r="G1109" s="18"/>
      <c r="H1109" s="131"/>
      <c r="I1109" s="18"/>
      <c r="J1109" s="22"/>
      <c r="K1109" s="108"/>
      <c r="L1109" s="26"/>
    </row>
    <row r="1110">
      <c r="A1110" s="12"/>
      <c r="B1110" s="13"/>
      <c r="C1110" s="14"/>
      <c r="D1110" s="14"/>
      <c r="E1110" s="294"/>
      <c r="F1110" s="15"/>
      <c r="G1110" s="18"/>
      <c r="H1110" s="131"/>
      <c r="I1110" s="18"/>
      <c r="J1110" s="22"/>
      <c r="K1110" s="108"/>
      <c r="L1110" s="26"/>
    </row>
    <row r="1111">
      <c r="A1111" s="12"/>
      <c r="B1111" s="13"/>
      <c r="C1111" s="14"/>
      <c r="D1111" s="14"/>
      <c r="E1111" s="294"/>
      <c r="F1111" s="15"/>
      <c r="G1111" s="18"/>
      <c r="H1111" s="131"/>
      <c r="I1111" s="18"/>
      <c r="J1111" s="22"/>
      <c r="K1111" s="108"/>
      <c r="L1111" s="26"/>
    </row>
    <row r="1112">
      <c r="A1112" s="12"/>
      <c r="B1112" s="13"/>
      <c r="C1112" s="14"/>
      <c r="D1112" s="14"/>
      <c r="E1112" s="294"/>
      <c r="F1112" s="15"/>
      <c r="G1112" s="18"/>
      <c r="H1112" s="131"/>
      <c r="I1112" s="18"/>
      <c r="J1112" s="22"/>
      <c r="K1112" s="108"/>
      <c r="L1112" s="26"/>
    </row>
    <row r="1113">
      <c r="A1113" s="12"/>
      <c r="B1113" s="13"/>
      <c r="C1113" s="14"/>
      <c r="D1113" s="14"/>
      <c r="E1113" s="294"/>
      <c r="F1113" s="15"/>
      <c r="G1113" s="18"/>
      <c r="H1113" s="131"/>
      <c r="I1113" s="18"/>
      <c r="J1113" s="22"/>
      <c r="K1113" s="108"/>
      <c r="L1113" s="26"/>
    </row>
    <row r="1114">
      <c r="A1114" s="12"/>
      <c r="B1114" s="13"/>
      <c r="C1114" s="14"/>
      <c r="D1114" s="14"/>
      <c r="E1114" s="294"/>
      <c r="F1114" s="15"/>
      <c r="G1114" s="18"/>
      <c r="H1114" s="131"/>
      <c r="I1114" s="18"/>
      <c r="J1114" s="22"/>
      <c r="K1114" s="108"/>
      <c r="L1114" s="26"/>
    </row>
    <row r="1115">
      <c r="A1115" s="12"/>
      <c r="B1115" s="13"/>
      <c r="C1115" s="14"/>
      <c r="D1115" s="14"/>
      <c r="E1115" s="294"/>
      <c r="F1115" s="15"/>
      <c r="G1115" s="18"/>
      <c r="H1115" s="131"/>
      <c r="I1115" s="18"/>
      <c r="J1115" s="22"/>
      <c r="K1115" s="108"/>
      <c r="L1115" s="26"/>
    </row>
    <row r="1116">
      <c r="A1116" s="12"/>
      <c r="B1116" s="13"/>
      <c r="C1116" s="14"/>
      <c r="D1116" s="14"/>
      <c r="E1116" s="294"/>
      <c r="F1116" s="15"/>
      <c r="G1116" s="18"/>
      <c r="H1116" s="131"/>
      <c r="I1116" s="18"/>
      <c r="J1116" s="22"/>
      <c r="K1116" s="108"/>
      <c r="L1116" s="26"/>
    </row>
    <row r="1117">
      <c r="A1117" s="12"/>
      <c r="B1117" s="13"/>
      <c r="C1117" s="14"/>
      <c r="D1117" s="14"/>
      <c r="E1117" s="294"/>
      <c r="F1117" s="15"/>
      <c r="G1117" s="18"/>
      <c r="H1117" s="131"/>
      <c r="I1117" s="18"/>
      <c r="J1117" s="22"/>
      <c r="K1117" s="108"/>
      <c r="L1117" s="26"/>
    </row>
    <row r="1118">
      <c r="A1118" s="12"/>
      <c r="B1118" s="13"/>
      <c r="C1118" s="14"/>
      <c r="D1118" s="14"/>
      <c r="E1118" s="294"/>
      <c r="F1118" s="15"/>
      <c r="G1118" s="18"/>
      <c r="H1118" s="131"/>
      <c r="I1118" s="18"/>
      <c r="J1118" s="22"/>
      <c r="K1118" s="108"/>
      <c r="L1118" s="26"/>
    </row>
    <row r="1119">
      <c r="A1119" s="12"/>
      <c r="B1119" s="13"/>
      <c r="C1119" s="14"/>
      <c r="D1119" s="14"/>
      <c r="E1119" s="294"/>
      <c r="F1119" s="15"/>
      <c r="G1119" s="18"/>
      <c r="H1119" s="131"/>
      <c r="I1119" s="18"/>
      <c r="J1119" s="22"/>
      <c r="K1119" s="108"/>
      <c r="L1119" s="26"/>
    </row>
    <row r="1120">
      <c r="A1120" s="12"/>
      <c r="B1120" s="13"/>
      <c r="C1120" s="14"/>
      <c r="D1120" s="14"/>
      <c r="E1120" s="294"/>
      <c r="F1120" s="15"/>
      <c r="G1120" s="18"/>
      <c r="H1120" s="131"/>
      <c r="I1120" s="18"/>
      <c r="J1120" s="22"/>
      <c r="K1120" s="108"/>
      <c r="L1120" s="26"/>
    </row>
    <row r="1121">
      <c r="A1121" s="12"/>
      <c r="B1121" s="13"/>
      <c r="C1121" s="14"/>
      <c r="D1121" s="14"/>
      <c r="E1121" s="294"/>
      <c r="F1121" s="15"/>
      <c r="G1121" s="18"/>
      <c r="H1121" s="131"/>
      <c r="I1121" s="18"/>
      <c r="J1121" s="22"/>
      <c r="K1121" s="108"/>
      <c r="L1121" s="26"/>
    </row>
    <row r="1122">
      <c r="A1122" s="12"/>
      <c r="B1122" s="13"/>
      <c r="C1122" s="14"/>
      <c r="D1122" s="14"/>
      <c r="E1122" s="294"/>
      <c r="F1122" s="15"/>
      <c r="G1122" s="18"/>
      <c r="H1122" s="131"/>
      <c r="I1122" s="18"/>
      <c r="J1122" s="22"/>
      <c r="K1122" s="108"/>
      <c r="L1122" s="26"/>
    </row>
    <row r="1123">
      <c r="A1123" s="12"/>
      <c r="B1123" s="13"/>
      <c r="C1123" s="14"/>
      <c r="D1123" s="14"/>
      <c r="E1123" s="294"/>
      <c r="F1123" s="15"/>
      <c r="G1123" s="18"/>
      <c r="H1123" s="131"/>
      <c r="I1123" s="18"/>
      <c r="J1123" s="22"/>
      <c r="K1123" s="108"/>
      <c r="L1123" s="26"/>
    </row>
    <row r="1124">
      <c r="A1124" s="12"/>
      <c r="B1124" s="13"/>
      <c r="C1124" s="14"/>
      <c r="D1124" s="14"/>
      <c r="E1124" s="294"/>
      <c r="F1124" s="15"/>
      <c r="G1124" s="18"/>
      <c r="H1124" s="131"/>
      <c r="I1124" s="18"/>
      <c r="J1124" s="22"/>
      <c r="K1124" s="108"/>
      <c r="L1124" s="26"/>
    </row>
    <row r="1125">
      <c r="A1125" s="12"/>
      <c r="B1125" s="13"/>
      <c r="C1125" s="14"/>
      <c r="D1125" s="14"/>
      <c r="E1125" s="294"/>
      <c r="F1125" s="15"/>
      <c r="G1125" s="18"/>
      <c r="H1125" s="131"/>
      <c r="I1125" s="18"/>
      <c r="J1125" s="22"/>
      <c r="K1125" s="108"/>
      <c r="L1125" s="26"/>
    </row>
    <row r="1126">
      <c r="A1126" s="12"/>
      <c r="B1126" s="13"/>
      <c r="C1126" s="14"/>
      <c r="D1126" s="14"/>
      <c r="E1126" s="294"/>
      <c r="F1126" s="15"/>
      <c r="G1126" s="18"/>
      <c r="H1126" s="131"/>
      <c r="I1126" s="18"/>
      <c r="J1126" s="22"/>
      <c r="K1126" s="108"/>
      <c r="L1126" s="26"/>
    </row>
    <row r="1127">
      <c r="A1127" s="12"/>
      <c r="B1127" s="13"/>
      <c r="C1127" s="14"/>
      <c r="D1127" s="14"/>
      <c r="E1127" s="294"/>
      <c r="F1127" s="15"/>
      <c r="G1127" s="18"/>
      <c r="H1127" s="131"/>
      <c r="I1127" s="18"/>
      <c r="J1127" s="22"/>
      <c r="K1127" s="108"/>
      <c r="L1127" s="26"/>
    </row>
    <row r="1128">
      <c r="A1128" s="12"/>
      <c r="B1128" s="13"/>
      <c r="C1128" s="14"/>
      <c r="D1128" s="14"/>
      <c r="E1128" s="294"/>
      <c r="F1128" s="15"/>
      <c r="G1128" s="18"/>
      <c r="H1128" s="131"/>
      <c r="I1128" s="18"/>
      <c r="J1128" s="22"/>
      <c r="K1128" s="108"/>
      <c r="L1128" s="26"/>
    </row>
    <row r="1129">
      <c r="A1129" s="12"/>
      <c r="B1129" s="13"/>
      <c r="C1129" s="14"/>
      <c r="D1129" s="14"/>
      <c r="E1129" s="294"/>
      <c r="F1129" s="15"/>
      <c r="G1129" s="18"/>
      <c r="H1129" s="131"/>
      <c r="I1129" s="18"/>
      <c r="J1129" s="22"/>
      <c r="K1129" s="108"/>
      <c r="L1129" s="26"/>
    </row>
    <row r="1130">
      <c r="A1130" s="12"/>
      <c r="B1130" s="13"/>
      <c r="C1130" s="14"/>
      <c r="D1130" s="14"/>
      <c r="E1130" s="294"/>
      <c r="F1130" s="15"/>
      <c r="G1130" s="18"/>
      <c r="H1130" s="131"/>
      <c r="I1130" s="18"/>
      <c r="J1130" s="22"/>
      <c r="K1130" s="108"/>
      <c r="L1130" s="26"/>
    </row>
    <row r="1131">
      <c r="A1131" s="12"/>
      <c r="B1131" s="13"/>
      <c r="C1131" s="14"/>
      <c r="D1131" s="14"/>
      <c r="E1131" s="294"/>
      <c r="F1131" s="15"/>
      <c r="G1131" s="18"/>
      <c r="H1131" s="131"/>
      <c r="I1131" s="18"/>
      <c r="J1131" s="22"/>
      <c r="K1131" s="108"/>
      <c r="L1131" s="26"/>
    </row>
    <row r="1132">
      <c r="A1132" s="12"/>
      <c r="B1132" s="13"/>
      <c r="C1132" s="14"/>
      <c r="D1132" s="14"/>
      <c r="E1132" s="294"/>
      <c r="F1132" s="15"/>
      <c r="G1132" s="18"/>
      <c r="H1132" s="131"/>
      <c r="I1132" s="18"/>
      <c r="J1132" s="22"/>
      <c r="K1132" s="108"/>
      <c r="L1132" s="26"/>
    </row>
    <row r="1133">
      <c r="A1133" s="12"/>
      <c r="B1133" s="13"/>
      <c r="C1133" s="14"/>
      <c r="D1133" s="14"/>
      <c r="E1133" s="294"/>
      <c r="F1133" s="15"/>
      <c r="G1133" s="18"/>
      <c r="H1133" s="131"/>
      <c r="I1133" s="18"/>
      <c r="J1133" s="22"/>
      <c r="K1133" s="108"/>
      <c r="L1133" s="26"/>
    </row>
    <row r="1134">
      <c r="A1134" s="12"/>
      <c r="B1134" s="13"/>
      <c r="C1134" s="14"/>
      <c r="D1134" s="14"/>
      <c r="E1134" s="294"/>
      <c r="F1134" s="15"/>
      <c r="G1134" s="18"/>
      <c r="H1134" s="131"/>
      <c r="I1134" s="18"/>
      <c r="J1134" s="22"/>
      <c r="K1134" s="108"/>
      <c r="L1134" s="26"/>
    </row>
    <row r="1135">
      <c r="A1135" s="12"/>
      <c r="B1135" s="13"/>
      <c r="C1135" s="14"/>
      <c r="D1135" s="14"/>
      <c r="E1135" s="294"/>
      <c r="F1135" s="15"/>
      <c r="G1135" s="18"/>
      <c r="H1135" s="131"/>
      <c r="I1135" s="18"/>
      <c r="J1135" s="22"/>
      <c r="K1135" s="108"/>
      <c r="L1135" s="26"/>
    </row>
    <row r="1136">
      <c r="A1136" s="12"/>
      <c r="B1136" s="13"/>
      <c r="C1136" s="14"/>
      <c r="D1136" s="14"/>
      <c r="E1136" s="294"/>
      <c r="F1136" s="15"/>
      <c r="G1136" s="18"/>
      <c r="H1136" s="131"/>
      <c r="I1136" s="18"/>
      <c r="J1136" s="22"/>
      <c r="K1136" s="108"/>
      <c r="L1136" s="26"/>
    </row>
    <row r="1137">
      <c r="A1137" s="12"/>
      <c r="B1137" s="13"/>
      <c r="C1137" s="14"/>
      <c r="D1137" s="14"/>
      <c r="E1137" s="294"/>
      <c r="F1137" s="15"/>
      <c r="G1137" s="18"/>
      <c r="H1137" s="131"/>
      <c r="I1137" s="18"/>
      <c r="J1137" s="22"/>
      <c r="K1137" s="108"/>
      <c r="L1137" s="26"/>
    </row>
    <row r="1138">
      <c r="A1138" s="12"/>
      <c r="B1138" s="13"/>
      <c r="C1138" s="14"/>
      <c r="D1138" s="14"/>
      <c r="E1138" s="294"/>
      <c r="F1138" s="15"/>
      <c r="G1138" s="18"/>
      <c r="H1138" s="131"/>
      <c r="I1138" s="18"/>
      <c r="J1138" s="22"/>
      <c r="K1138" s="108"/>
      <c r="L1138" s="26"/>
    </row>
    <row r="1139">
      <c r="A1139" s="12"/>
      <c r="B1139" s="13"/>
      <c r="C1139" s="14"/>
      <c r="D1139" s="14"/>
      <c r="E1139" s="294"/>
      <c r="F1139" s="15"/>
      <c r="G1139" s="18"/>
      <c r="H1139" s="131"/>
      <c r="I1139" s="18"/>
      <c r="J1139" s="22"/>
      <c r="K1139" s="108"/>
      <c r="L1139" s="26"/>
    </row>
    <row r="1140">
      <c r="A1140" s="12"/>
      <c r="B1140" s="13"/>
      <c r="C1140" s="14"/>
      <c r="D1140" s="14"/>
      <c r="E1140" s="294"/>
      <c r="F1140" s="15"/>
      <c r="G1140" s="18"/>
      <c r="H1140" s="131"/>
      <c r="I1140" s="18"/>
      <c r="J1140" s="22"/>
      <c r="K1140" s="108"/>
      <c r="L1140" s="26"/>
    </row>
    <row r="1141">
      <c r="A1141" s="12"/>
      <c r="B1141" s="13"/>
      <c r="C1141" s="14"/>
      <c r="D1141" s="14"/>
      <c r="E1141" s="294"/>
      <c r="F1141" s="15"/>
      <c r="G1141" s="18"/>
      <c r="H1141" s="131"/>
      <c r="I1141" s="18"/>
      <c r="J1141" s="22"/>
      <c r="K1141" s="108"/>
      <c r="L1141" s="26"/>
    </row>
    <row r="1142">
      <c r="A1142" s="12"/>
      <c r="B1142" s="13"/>
      <c r="C1142" s="14"/>
      <c r="D1142" s="14"/>
      <c r="E1142" s="294"/>
      <c r="F1142" s="15"/>
      <c r="G1142" s="18"/>
      <c r="H1142" s="131"/>
      <c r="I1142" s="18"/>
      <c r="J1142" s="22"/>
      <c r="K1142" s="108"/>
      <c r="L1142" s="26"/>
    </row>
    <row r="1143">
      <c r="A1143" s="12"/>
      <c r="B1143" s="13"/>
      <c r="C1143" s="14"/>
      <c r="D1143" s="14"/>
      <c r="E1143" s="294"/>
      <c r="F1143" s="15"/>
      <c r="G1143" s="18"/>
      <c r="H1143" s="131"/>
      <c r="I1143" s="18"/>
      <c r="J1143" s="22"/>
      <c r="K1143" s="108"/>
      <c r="L1143" s="26"/>
    </row>
    <row r="1144">
      <c r="A1144" s="12"/>
      <c r="B1144" s="13"/>
      <c r="C1144" s="14"/>
      <c r="D1144" s="14"/>
      <c r="E1144" s="294"/>
      <c r="F1144" s="15"/>
      <c r="G1144" s="18"/>
      <c r="H1144" s="131"/>
      <c r="I1144" s="18"/>
      <c r="J1144" s="22"/>
      <c r="K1144" s="108"/>
      <c r="L1144" s="26"/>
    </row>
    <row r="1145">
      <c r="A1145" s="12"/>
      <c r="B1145" s="13"/>
      <c r="C1145" s="14"/>
      <c r="D1145" s="14"/>
      <c r="E1145" s="294"/>
      <c r="F1145" s="15"/>
      <c r="G1145" s="18"/>
      <c r="H1145" s="131"/>
      <c r="I1145" s="18"/>
      <c r="J1145" s="22"/>
      <c r="K1145" s="108"/>
      <c r="L1145" s="26"/>
    </row>
    <row r="1146">
      <c r="A1146" s="12"/>
      <c r="B1146" s="13"/>
      <c r="C1146" s="14"/>
      <c r="D1146" s="14"/>
      <c r="E1146" s="294"/>
      <c r="F1146" s="15"/>
      <c r="G1146" s="18"/>
      <c r="H1146" s="131"/>
      <c r="I1146" s="18"/>
      <c r="J1146" s="22"/>
      <c r="K1146" s="108"/>
      <c r="L1146" s="26"/>
    </row>
    <row r="1147">
      <c r="A1147" s="12"/>
      <c r="B1147" s="13"/>
      <c r="C1147" s="14"/>
      <c r="D1147" s="14"/>
      <c r="E1147" s="294"/>
      <c r="F1147" s="15"/>
      <c r="G1147" s="18"/>
      <c r="H1147" s="131"/>
      <c r="I1147" s="18"/>
      <c r="J1147" s="22"/>
      <c r="K1147" s="108"/>
      <c r="L1147" s="26"/>
    </row>
    <row r="1148">
      <c r="A1148" s="12"/>
      <c r="B1148" s="13"/>
      <c r="C1148" s="14"/>
      <c r="D1148" s="14"/>
      <c r="E1148" s="294"/>
      <c r="F1148" s="15"/>
      <c r="G1148" s="18"/>
      <c r="H1148" s="131"/>
      <c r="I1148" s="18"/>
      <c r="J1148" s="22"/>
      <c r="K1148" s="108"/>
      <c r="L1148" s="26"/>
    </row>
    <row r="1149">
      <c r="A1149" s="12"/>
      <c r="B1149" s="13"/>
      <c r="C1149" s="14"/>
      <c r="D1149" s="14"/>
      <c r="E1149" s="294"/>
      <c r="F1149" s="15"/>
      <c r="G1149" s="18"/>
      <c r="H1149" s="131"/>
      <c r="I1149" s="18"/>
      <c r="J1149" s="22"/>
      <c r="K1149" s="108"/>
      <c r="L1149" s="26"/>
    </row>
    <row r="1150">
      <c r="A1150" s="12"/>
      <c r="B1150" s="13"/>
      <c r="C1150" s="14"/>
      <c r="D1150" s="14"/>
      <c r="E1150" s="294"/>
      <c r="F1150" s="15"/>
      <c r="G1150" s="18"/>
      <c r="H1150" s="131"/>
      <c r="I1150" s="18"/>
      <c r="J1150" s="22"/>
      <c r="K1150" s="108"/>
      <c r="L1150" s="26"/>
    </row>
    <row r="1151">
      <c r="A1151" s="12"/>
      <c r="B1151" s="13"/>
      <c r="C1151" s="14"/>
      <c r="D1151" s="14"/>
      <c r="E1151" s="294"/>
      <c r="F1151" s="15"/>
      <c r="G1151" s="18"/>
      <c r="H1151" s="131"/>
      <c r="I1151" s="18"/>
      <c r="J1151" s="22"/>
      <c r="K1151" s="108"/>
      <c r="L1151" s="26"/>
    </row>
    <row r="1152">
      <c r="A1152" s="12"/>
      <c r="B1152" s="13"/>
      <c r="C1152" s="14"/>
      <c r="D1152" s="14"/>
      <c r="E1152" s="294"/>
      <c r="F1152" s="15"/>
      <c r="G1152" s="18"/>
      <c r="H1152" s="131"/>
      <c r="I1152" s="18"/>
      <c r="J1152" s="22"/>
      <c r="K1152" s="108"/>
      <c r="L1152" s="26"/>
    </row>
    <row r="1153">
      <c r="A1153" s="12"/>
      <c r="B1153" s="13"/>
      <c r="C1153" s="14"/>
      <c r="D1153" s="14"/>
      <c r="E1153" s="294"/>
      <c r="F1153" s="15"/>
      <c r="G1153" s="18"/>
      <c r="H1153" s="131"/>
      <c r="I1153" s="18"/>
      <c r="J1153" s="22"/>
      <c r="K1153" s="108"/>
      <c r="L1153" s="26"/>
    </row>
    <row r="1154">
      <c r="A1154" s="12"/>
      <c r="B1154" s="13"/>
      <c r="C1154" s="14"/>
      <c r="D1154" s="14"/>
      <c r="E1154" s="294"/>
      <c r="F1154" s="15"/>
      <c r="G1154" s="18"/>
      <c r="H1154" s="131"/>
      <c r="I1154" s="18"/>
      <c r="J1154" s="22"/>
      <c r="K1154" s="108"/>
      <c r="L1154" s="26"/>
    </row>
    <row r="1155">
      <c r="A1155" s="12"/>
      <c r="B1155" s="13"/>
      <c r="C1155" s="14"/>
      <c r="D1155" s="14"/>
      <c r="E1155" s="294"/>
      <c r="F1155" s="15"/>
      <c r="G1155" s="18"/>
      <c r="H1155" s="131"/>
      <c r="I1155" s="18"/>
      <c r="J1155" s="22"/>
      <c r="K1155" s="108"/>
      <c r="L1155" s="26"/>
    </row>
    <row r="1156">
      <c r="A1156" s="12"/>
      <c r="B1156" s="13"/>
      <c r="C1156" s="14"/>
      <c r="D1156" s="14"/>
      <c r="E1156" s="294"/>
      <c r="F1156" s="15"/>
      <c r="G1156" s="18"/>
      <c r="H1156" s="131"/>
      <c r="I1156" s="18"/>
      <c r="J1156" s="22"/>
      <c r="K1156" s="108"/>
      <c r="L1156" s="26"/>
    </row>
    <row r="1157">
      <c r="A1157" s="12"/>
      <c r="B1157" s="13"/>
      <c r="C1157" s="14"/>
      <c r="D1157" s="14"/>
      <c r="E1157" s="294"/>
      <c r="F1157" s="15"/>
      <c r="G1157" s="18"/>
      <c r="H1157" s="131"/>
      <c r="I1157" s="18"/>
      <c r="J1157" s="22"/>
      <c r="K1157" s="108"/>
      <c r="L1157" s="26"/>
    </row>
    <row r="1158">
      <c r="A1158" s="12"/>
      <c r="B1158" s="13"/>
      <c r="C1158" s="14"/>
      <c r="D1158" s="14"/>
      <c r="E1158" s="294"/>
      <c r="F1158" s="15"/>
      <c r="G1158" s="18"/>
      <c r="H1158" s="131"/>
      <c r="I1158" s="18"/>
      <c r="J1158" s="22"/>
      <c r="K1158" s="108"/>
      <c r="L1158" s="26"/>
    </row>
    <row r="1159">
      <c r="A1159" s="12"/>
      <c r="B1159" s="13"/>
      <c r="C1159" s="14"/>
      <c r="D1159" s="14"/>
      <c r="E1159" s="294"/>
      <c r="F1159" s="15"/>
      <c r="G1159" s="18"/>
      <c r="H1159" s="131"/>
      <c r="I1159" s="18"/>
      <c r="J1159" s="22"/>
      <c r="K1159" s="108"/>
      <c r="L1159" s="26"/>
    </row>
    <row r="1160">
      <c r="A1160" s="12"/>
      <c r="B1160" s="13"/>
      <c r="C1160" s="14"/>
      <c r="D1160" s="14"/>
      <c r="E1160" s="294"/>
      <c r="F1160" s="15"/>
      <c r="G1160" s="18"/>
      <c r="H1160" s="131"/>
      <c r="I1160" s="18"/>
      <c r="J1160" s="22"/>
      <c r="K1160" s="108"/>
      <c r="L1160" s="26"/>
    </row>
    <row r="1161">
      <c r="A1161" s="12"/>
      <c r="B1161" s="13"/>
      <c r="C1161" s="14"/>
      <c r="D1161" s="14"/>
      <c r="E1161" s="294"/>
      <c r="F1161" s="15"/>
      <c r="G1161" s="18"/>
      <c r="H1161" s="131"/>
      <c r="I1161" s="18"/>
      <c r="J1161" s="22"/>
      <c r="K1161" s="108"/>
      <c r="L1161" s="26"/>
    </row>
    <row r="1162">
      <c r="A1162" s="12"/>
      <c r="B1162" s="13"/>
      <c r="C1162" s="14"/>
      <c r="D1162" s="14"/>
      <c r="E1162" s="294"/>
      <c r="F1162" s="15"/>
      <c r="G1162" s="18"/>
      <c r="H1162" s="131"/>
      <c r="I1162" s="18"/>
      <c r="J1162" s="22"/>
      <c r="K1162" s="108"/>
      <c r="L1162" s="26"/>
    </row>
    <row r="1163">
      <c r="A1163" s="12"/>
      <c r="B1163" s="13"/>
      <c r="C1163" s="14"/>
      <c r="D1163" s="14"/>
      <c r="E1163" s="294"/>
      <c r="F1163" s="15"/>
      <c r="G1163" s="18"/>
      <c r="H1163" s="131"/>
      <c r="I1163" s="18"/>
      <c r="J1163" s="22"/>
      <c r="K1163" s="108"/>
      <c r="L1163" s="26"/>
    </row>
    <row r="1164">
      <c r="A1164" s="12"/>
      <c r="B1164" s="13"/>
      <c r="C1164" s="14"/>
      <c r="D1164" s="14"/>
      <c r="E1164" s="294"/>
      <c r="F1164" s="15"/>
      <c r="G1164" s="18"/>
      <c r="H1164" s="131"/>
      <c r="I1164" s="18"/>
      <c r="J1164" s="22"/>
      <c r="K1164" s="108"/>
      <c r="L1164" s="26"/>
    </row>
    <row r="1165">
      <c r="A1165" s="12"/>
      <c r="B1165" s="13"/>
      <c r="C1165" s="14"/>
      <c r="D1165" s="14"/>
      <c r="E1165" s="294"/>
      <c r="F1165" s="15"/>
      <c r="G1165" s="18"/>
      <c r="H1165" s="131"/>
      <c r="I1165" s="18"/>
      <c r="J1165" s="22"/>
      <c r="K1165" s="108"/>
      <c r="L1165" s="26"/>
    </row>
    <row r="1166">
      <c r="A1166" s="12"/>
      <c r="B1166" s="13"/>
      <c r="C1166" s="14"/>
      <c r="D1166" s="14"/>
      <c r="E1166" s="294"/>
      <c r="F1166" s="15"/>
      <c r="G1166" s="18"/>
      <c r="H1166" s="131"/>
      <c r="I1166" s="18"/>
      <c r="J1166" s="22"/>
      <c r="K1166" s="108"/>
      <c r="L1166" s="26"/>
    </row>
    <row r="1167">
      <c r="A1167" s="12"/>
      <c r="B1167" s="13"/>
      <c r="C1167" s="14"/>
      <c r="D1167" s="14"/>
      <c r="E1167" s="294"/>
      <c r="F1167" s="15"/>
      <c r="G1167" s="18"/>
      <c r="H1167" s="131"/>
      <c r="I1167" s="18"/>
      <c r="J1167" s="22"/>
      <c r="K1167" s="108"/>
      <c r="L1167" s="26"/>
    </row>
    <row r="1168">
      <c r="A1168" s="12"/>
      <c r="B1168" s="13"/>
      <c r="C1168" s="14"/>
      <c r="D1168" s="14"/>
      <c r="E1168" s="294"/>
      <c r="F1168" s="15"/>
      <c r="G1168" s="18"/>
      <c r="H1168" s="131"/>
      <c r="I1168" s="18"/>
      <c r="J1168" s="22"/>
      <c r="K1168" s="108"/>
      <c r="L1168" s="26"/>
    </row>
    <row r="1169">
      <c r="A1169" s="12"/>
      <c r="B1169" s="13"/>
      <c r="C1169" s="14"/>
      <c r="D1169" s="14"/>
      <c r="E1169" s="294"/>
      <c r="F1169" s="15"/>
      <c r="G1169" s="18"/>
      <c r="H1169" s="131"/>
      <c r="I1169" s="18"/>
      <c r="J1169" s="22"/>
      <c r="K1169" s="108"/>
      <c r="L1169" s="26"/>
    </row>
    <row r="1170">
      <c r="A1170" s="12"/>
      <c r="B1170" s="13"/>
      <c r="C1170" s="14"/>
      <c r="D1170" s="14"/>
      <c r="E1170" s="294"/>
      <c r="F1170" s="15"/>
      <c r="G1170" s="18"/>
      <c r="H1170" s="131"/>
      <c r="I1170" s="18"/>
      <c r="J1170" s="22"/>
      <c r="K1170" s="108"/>
      <c r="L1170" s="26"/>
    </row>
    <row r="1171">
      <c r="A1171" s="12"/>
      <c r="B1171" s="13"/>
      <c r="C1171" s="14"/>
      <c r="D1171" s="14"/>
      <c r="E1171" s="294"/>
      <c r="F1171" s="15"/>
      <c r="G1171" s="18"/>
      <c r="H1171" s="131"/>
      <c r="I1171" s="18"/>
      <c r="J1171" s="22"/>
      <c r="K1171" s="108"/>
      <c r="L1171" s="26"/>
    </row>
    <row r="1172">
      <c r="A1172" s="12"/>
      <c r="B1172" s="13"/>
      <c r="C1172" s="14"/>
      <c r="D1172" s="14"/>
      <c r="E1172" s="294"/>
      <c r="F1172" s="15"/>
      <c r="G1172" s="18"/>
      <c r="H1172" s="131"/>
      <c r="I1172" s="18"/>
      <c r="J1172" s="22"/>
      <c r="K1172" s="108"/>
      <c r="L1172" s="26"/>
    </row>
    <row r="1173">
      <c r="A1173" s="12"/>
      <c r="B1173" s="13"/>
      <c r="C1173" s="14"/>
      <c r="D1173" s="14"/>
      <c r="E1173" s="294"/>
      <c r="F1173" s="15"/>
      <c r="G1173" s="18"/>
      <c r="H1173" s="131"/>
      <c r="I1173" s="18"/>
      <c r="J1173" s="22"/>
      <c r="K1173" s="108"/>
      <c r="L1173" s="26"/>
    </row>
    <row r="1174">
      <c r="A1174" s="12"/>
      <c r="B1174" s="13"/>
      <c r="C1174" s="14"/>
      <c r="D1174" s="14"/>
      <c r="E1174" s="294"/>
      <c r="F1174" s="15"/>
      <c r="G1174" s="18"/>
      <c r="H1174" s="131"/>
      <c r="I1174" s="18"/>
      <c r="J1174" s="22"/>
      <c r="K1174" s="108"/>
      <c r="L1174" s="26"/>
    </row>
    <row r="1175">
      <c r="A1175" s="12"/>
      <c r="B1175" s="13"/>
      <c r="C1175" s="14"/>
      <c r="D1175" s="14"/>
      <c r="E1175" s="294"/>
      <c r="F1175" s="15"/>
      <c r="G1175" s="18"/>
      <c r="H1175" s="131"/>
      <c r="I1175" s="18"/>
      <c r="J1175" s="22"/>
      <c r="K1175" s="108"/>
      <c r="L1175" s="26"/>
    </row>
    <row r="1176">
      <c r="A1176" s="12"/>
      <c r="B1176" s="13"/>
      <c r="C1176" s="14"/>
      <c r="D1176" s="14"/>
      <c r="E1176" s="294"/>
      <c r="F1176" s="15"/>
      <c r="G1176" s="18"/>
      <c r="H1176" s="131"/>
      <c r="I1176" s="18"/>
      <c r="J1176" s="22"/>
      <c r="K1176" s="108"/>
      <c r="L1176" s="26"/>
    </row>
    <row r="1177">
      <c r="A1177" s="12"/>
      <c r="B1177" s="13"/>
      <c r="C1177" s="14"/>
      <c r="D1177" s="14"/>
      <c r="E1177" s="294"/>
      <c r="F1177" s="15"/>
      <c r="G1177" s="18"/>
      <c r="H1177" s="131"/>
      <c r="I1177" s="18"/>
      <c r="J1177" s="22"/>
      <c r="K1177" s="108"/>
      <c r="L1177" s="26"/>
    </row>
    <row r="1178">
      <c r="A1178" s="12"/>
      <c r="B1178" s="13"/>
      <c r="C1178" s="14"/>
      <c r="D1178" s="14"/>
      <c r="E1178" s="294"/>
      <c r="F1178" s="15"/>
      <c r="G1178" s="18"/>
      <c r="H1178" s="131"/>
      <c r="I1178" s="18"/>
      <c r="J1178" s="22"/>
      <c r="K1178" s="108"/>
      <c r="L1178" s="26"/>
    </row>
    <row r="1179">
      <c r="A1179" s="12"/>
      <c r="B1179" s="13"/>
      <c r="C1179" s="14"/>
      <c r="D1179" s="14"/>
      <c r="E1179" s="294"/>
      <c r="F1179" s="15"/>
      <c r="G1179" s="18"/>
      <c r="H1179" s="131"/>
      <c r="I1179" s="18"/>
      <c r="J1179" s="22"/>
      <c r="K1179" s="108"/>
      <c r="L1179" s="26"/>
    </row>
    <row r="1180">
      <c r="A1180" s="12"/>
      <c r="B1180" s="13"/>
      <c r="C1180" s="14"/>
      <c r="D1180" s="14"/>
      <c r="E1180" s="294"/>
      <c r="F1180" s="15"/>
      <c r="G1180" s="18"/>
      <c r="H1180" s="131"/>
      <c r="I1180" s="18"/>
      <c r="J1180" s="22"/>
      <c r="K1180" s="108"/>
      <c r="L1180" s="26"/>
    </row>
    <row r="1181">
      <c r="A1181" s="12"/>
      <c r="B1181" s="13"/>
      <c r="C1181" s="14"/>
      <c r="D1181" s="14"/>
      <c r="E1181" s="294"/>
      <c r="F1181" s="15"/>
      <c r="G1181" s="18"/>
      <c r="H1181" s="131"/>
      <c r="I1181" s="18"/>
      <c r="J1181" s="22"/>
      <c r="K1181" s="108"/>
      <c r="L1181" s="26"/>
    </row>
    <row r="1182">
      <c r="A1182" s="12"/>
      <c r="B1182" s="13"/>
      <c r="C1182" s="14"/>
      <c r="D1182" s="14"/>
      <c r="E1182" s="294"/>
      <c r="F1182" s="15"/>
      <c r="G1182" s="18"/>
      <c r="H1182" s="131"/>
      <c r="I1182" s="18"/>
      <c r="J1182" s="22"/>
      <c r="K1182" s="108"/>
      <c r="L1182" s="26"/>
    </row>
    <row r="1183">
      <c r="A1183" s="12"/>
      <c r="B1183" s="13"/>
      <c r="C1183" s="14"/>
      <c r="D1183" s="14"/>
      <c r="E1183" s="294"/>
      <c r="F1183" s="15"/>
      <c r="G1183" s="18"/>
      <c r="H1183" s="131"/>
      <c r="I1183" s="18"/>
      <c r="J1183" s="22"/>
      <c r="K1183" s="108"/>
      <c r="L1183" s="26"/>
    </row>
    <row r="1184">
      <c r="A1184" s="12"/>
      <c r="B1184" s="13"/>
      <c r="C1184" s="14"/>
      <c r="D1184" s="14"/>
      <c r="E1184" s="294"/>
      <c r="F1184" s="15"/>
      <c r="G1184" s="18"/>
      <c r="H1184" s="131"/>
      <c r="I1184" s="18"/>
      <c r="J1184" s="22"/>
      <c r="K1184" s="108"/>
      <c r="L1184" s="26"/>
    </row>
    <row r="1185">
      <c r="A1185" s="12"/>
      <c r="B1185" s="13"/>
      <c r="C1185" s="14"/>
      <c r="D1185" s="14"/>
      <c r="E1185" s="294"/>
      <c r="F1185" s="15"/>
      <c r="G1185" s="18"/>
      <c r="H1185" s="131"/>
      <c r="I1185" s="18"/>
      <c r="J1185" s="22"/>
      <c r="K1185" s="108"/>
      <c r="L1185" s="26"/>
    </row>
    <row r="1186">
      <c r="A1186" s="12"/>
      <c r="B1186" s="13"/>
      <c r="C1186" s="14"/>
      <c r="D1186" s="14"/>
      <c r="E1186" s="294"/>
      <c r="F1186" s="15"/>
      <c r="G1186" s="18"/>
      <c r="H1186" s="131"/>
      <c r="I1186" s="18"/>
      <c r="J1186" s="22"/>
      <c r="K1186" s="108"/>
      <c r="L1186" s="26"/>
    </row>
    <row r="1187">
      <c r="A1187" s="12"/>
      <c r="B1187" s="13"/>
      <c r="C1187" s="14"/>
      <c r="D1187" s="14"/>
      <c r="E1187" s="294"/>
      <c r="F1187" s="15"/>
      <c r="G1187" s="18"/>
      <c r="H1187" s="131"/>
      <c r="I1187" s="18"/>
      <c r="J1187" s="22"/>
      <c r="K1187" s="108"/>
      <c r="L1187" s="26"/>
    </row>
    <row r="1188">
      <c r="A1188" s="12"/>
      <c r="B1188" s="13"/>
      <c r="C1188" s="14"/>
      <c r="D1188" s="14"/>
      <c r="E1188" s="294"/>
      <c r="F1188" s="15"/>
      <c r="G1188" s="18"/>
      <c r="H1188" s="131"/>
      <c r="I1188" s="18"/>
      <c r="J1188" s="22"/>
      <c r="K1188" s="108"/>
      <c r="L1188" s="26"/>
    </row>
    <row r="1189">
      <c r="A1189" s="12"/>
      <c r="B1189" s="13"/>
      <c r="C1189" s="14"/>
      <c r="D1189" s="14"/>
      <c r="E1189" s="294"/>
      <c r="F1189" s="15"/>
      <c r="G1189" s="18"/>
      <c r="H1189" s="131"/>
      <c r="I1189" s="18"/>
      <c r="J1189" s="22"/>
      <c r="K1189" s="108"/>
      <c r="L1189" s="26"/>
    </row>
    <row r="1190">
      <c r="A1190" s="12"/>
      <c r="B1190" s="13"/>
      <c r="C1190" s="14"/>
      <c r="D1190" s="14"/>
      <c r="E1190" s="294"/>
      <c r="F1190" s="15"/>
      <c r="G1190" s="18"/>
      <c r="H1190" s="131"/>
      <c r="I1190" s="18"/>
      <c r="J1190" s="22"/>
      <c r="K1190" s="108"/>
      <c r="L1190" s="26"/>
    </row>
    <row r="1191">
      <c r="A1191" s="12"/>
      <c r="B1191" s="13"/>
      <c r="C1191" s="14"/>
      <c r="D1191" s="14"/>
      <c r="E1191" s="294"/>
      <c r="F1191" s="15"/>
      <c r="G1191" s="18"/>
      <c r="H1191" s="131"/>
      <c r="I1191" s="18"/>
      <c r="J1191" s="22"/>
      <c r="K1191" s="108"/>
      <c r="L1191" s="26"/>
    </row>
    <row r="1192">
      <c r="A1192" s="12"/>
      <c r="B1192" s="13"/>
      <c r="C1192" s="14"/>
      <c r="D1192" s="14"/>
      <c r="E1192" s="294"/>
      <c r="F1192" s="15"/>
      <c r="G1192" s="18"/>
      <c r="H1192" s="131"/>
      <c r="I1192" s="18"/>
      <c r="J1192" s="22"/>
      <c r="K1192" s="108"/>
      <c r="L1192" s="26"/>
    </row>
    <row r="1193">
      <c r="A1193" s="12"/>
      <c r="B1193" s="13"/>
      <c r="C1193" s="14"/>
      <c r="D1193" s="14"/>
      <c r="E1193" s="294"/>
      <c r="F1193" s="15"/>
      <c r="G1193" s="18"/>
      <c r="H1193" s="131"/>
      <c r="I1193" s="18"/>
      <c r="J1193" s="22"/>
      <c r="K1193" s="108"/>
      <c r="L1193" s="26"/>
    </row>
    <row r="1194">
      <c r="A1194" s="12"/>
      <c r="B1194" s="13"/>
      <c r="C1194" s="14"/>
      <c r="D1194" s="14"/>
      <c r="E1194" s="294"/>
      <c r="F1194" s="15"/>
      <c r="G1194" s="18"/>
      <c r="H1194" s="131"/>
      <c r="I1194" s="18"/>
      <c r="J1194" s="22"/>
      <c r="K1194" s="108"/>
      <c r="L1194" s="26"/>
    </row>
    <row r="1195">
      <c r="A1195" s="12"/>
      <c r="B1195" s="13"/>
      <c r="C1195" s="14"/>
      <c r="D1195" s="14"/>
      <c r="E1195" s="294"/>
      <c r="F1195" s="15"/>
      <c r="G1195" s="18"/>
      <c r="H1195" s="131"/>
      <c r="I1195" s="18"/>
      <c r="J1195" s="22"/>
      <c r="K1195" s="108"/>
      <c r="L1195" s="26"/>
    </row>
    <row r="1196">
      <c r="A1196" s="12"/>
      <c r="B1196" s="13"/>
      <c r="C1196" s="14"/>
      <c r="D1196" s="14"/>
      <c r="E1196" s="294"/>
      <c r="F1196" s="15"/>
      <c r="G1196" s="18"/>
      <c r="H1196" s="131"/>
      <c r="I1196" s="18"/>
      <c r="J1196" s="22"/>
      <c r="K1196" s="108"/>
      <c r="L1196" s="26"/>
    </row>
    <row r="1197">
      <c r="A1197" s="12"/>
      <c r="B1197" s="13"/>
      <c r="C1197" s="14"/>
      <c r="D1197" s="14"/>
      <c r="E1197" s="294"/>
      <c r="F1197" s="15"/>
      <c r="G1197" s="18"/>
      <c r="H1197" s="131"/>
      <c r="I1197" s="18"/>
      <c r="J1197" s="22"/>
      <c r="K1197" s="108"/>
      <c r="L1197" s="26"/>
    </row>
    <row r="1198">
      <c r="A1198" s="12"/>
      <c r="B1198" s="13"/>
      <c r="C1198" s="14"/>
      <c r="D1198" s="14"/>
      <c r="E1198" s="294"/>
      <c r="F1198" s="15"/>
      <c r="G1198" s="18"/>
      <c r="H1198" s="131"/>
      <c r="I1198" s="18"/>
      <c r="J1198" s="22"/>
      <c r="K1198" s="108"/>
      <c r="L1198" s="26"/>
    </row>
    <row r="1199">
      <c r="A1199" s="12"/>
      <c r="B1199" s="13"/>
      <c r="C1199" s="14"/>
      <c r="D1199" s="14"/>
      <c r="E1199" s="294"/>
      <c r="F1199" s="15"/>
      <c r="G1199" s="18"/>
      <c r="H1199" s="131"/>
      <c r="I1199" s="18"/>
      <c r="J1199" s="22"/>
      <c r="K1199" s="108"/>
      <c r="L1199" s="26"/>
    </row>
    <row r="1200">
      <c r="A1200" s="12"/>
      <c r="B1200" s="13"/>
      <c r="C1200" s="14"/>
      <c r="D1200" s="14"/>
      <c r="E1200" s="294"/>
      <c r="F1200" s="15"/>
      <c r="G1200" s="18"/>
      <c r="H1200" s="131"/>
      <c r="I1200" s="18"/>
      <c r="J1200" s="22"/>
      <c r="K1200" s="108"/>
      <c r="L1200" s="26"/>
    </row>
    <row r="1201">
      <c r="A1201" s="12"/>
      <c r="B1201" s="13"/>
      <c r="C1201" s="14"/>
      <c r="D1201" s="14"/>
      <c r="E1201" s="294"/>
      <c r="F1201" s="15"/>
      <c r="G1201" s="18"/>
      <c r="H1201" s="131"/>
      <c r="I1201" s="18"/>
      <c r="J1201" s="22"/>
      <c r="K1201" s="108"/>
      <c r="L1201" s="26"/>
    </row>
    <row r="1202">
      <c r="A1202" s="12"/>
      <c r="B1202" s="13"/>
      <c r="C1202" s="14"/>
      <c r="D1202" s="14"/>
      <c r="E1202" s="294"/>
      <c r="F1202" s="15"/>
      <c r="G1202" s="18"/>
      <c r="H1202" s="131"/>
      <c r="I1202" s="18"/>
      <c r="J1202" s="22"/>
      <c r="K1202" s="108"/>
      <c r="L1202" s="26"/>
    </row>
    <row r="1203">
      <c r="A1203" s="12"/>
      <c r="B1203" s="13"/>
      <c r="C1203" s="14"/>
      <c r="D1203" s="14"/>
      <c r="E1203" s="294"/>
      <c r="F1203" s="15"/>
      <c r="G1203" s="18"/>
      <c r="H1203" s="131"/>
      <c r="I1203" s="18"/>
      <c r="J1203" s="22"/>
      <c r="K1203" s="108"/>
      <c r="L1203" s="26"/>
    </row>
    <row r="1204">
      <c r="A1204" s="12"/>
      <c r="B1204" s="13"/>
      <c r="C1204" s="14"/>
      <c r="D1204" s="14"/>
      <c r="E1204" s="294"/>
      <c r="F1204" s="15"/>
      <c r="G1204" s="18"/>
      <c r="H1204" s="131"/>
      <c r="I1204" s="18"/>
      <c r="J1204" s="22"/>
      <c r="K1204" s="108"/>
      <c r="L1204" s="26"/>
    </row>
    <row r="1205">
      <c r="A1205" s="12"/>
      <c r="B1205" s="13"/>
      <c r="C1205" s="14"/>
      <c r="D1205" s="14"/>
      <c r="E1205" s="294"/>
      <c r="F1205" s="15"/>
      <c r="G1205" s="18"/>
      <c r="H1205" s="131"/>
      <c r="I1205" s="18"/>
      <c r="J1205" s="22"/>
      <c r="K1205" s="108"/>
      <c r="L1205" s="26"/>
    </row>
    <row r="1206">
      <c r="A1206" s="12"/>
      <c r="B1206" s="13"/>
      <c r="C1206" s="14"/>
      <c r="D1206" s="14"/>
      <c r="E1206" s="294"/>
      <c r="F1206" s="15"/>
      <c r="G1206" s="18"/>
      <c r="H1206" s="131"/>
      <c r="I1206" s="18"/>
      <c r="J1206" s="22"/>
      <c r="K1206" s="108"/>
      <c r="L1206" s="26"/>
    </row>
    <row r="1207">
      <c r="A1207" s="12"/>
      <c r="B1207" s="13"/>
      <c r="C1207" s="14"/>
      <c r="D1207" s="14"/>
      <c r="E1207" s="294"/>
      <c r="F1207" s="15"/>
      <c r="G1207" s="18"/>
      <c r="H1207" s="131"/>
      <c r="I1207" s="18"/>
      <c r="J1207" s="22"/>
      <c r="K1207" s="108"/>
      <c r="L1207" s="26"/>
    </row>
    <row r="1208">
      <c r="A1208" s="12"/>
      <c r="B1208" s="13"/>
      <c r="C1208" s="14"/>
      <c r="D1208" s="14"/>
      <c r="E1208" s="294"/>
      <c r="F1208" s="15"/>
      <c r="G1208" s="18"/>
      <c r="H1208" s="131"/>
      <c r="I1208" s="18"/>
      <c r="J1208" s="22"/>
      <c r="K1208" s="108"/>
      <c r="L1208" s="26"/>
    </row>
    <row r="1209">
      <c r="A1209" s="12"/>
      <c r="B1209" s="13"/>
      <c r="C1209" s="14"/>
      <c r="D1209" s="14"/>
      <c r="E1209" s="294"/>
      <c r="F1209" s="15"/>
      <c r="G1209" s="18"/>
      <c r="H1209" s="131"/>
      <c r="I1209" s="18"/>
      <c r="J1209" s="22"/>
      <c r="K1209" s="108"/>
      <c r="L1209" s="26"/>
    </row>
    <row r="1210">
      <c r="A1210" s="12"/>
      <c r="B1210" s="13"/>
      <c r="C1210" s="14"/>
      <c r="D1210" s="14"/>
      <c r="E1210" s="294"/>
      <c r="F1210" s="15"/>
      <c r="G1210" s="18"/>
      <c r="H1210" s="131"/>
      <c r="I1210" s="18"/>
      <c r="J1210" s="22"/>
      <c r="K1210" s="108"/>
      <c r="L1210" s="26"/>
    </row>
    <row r="1211">
      <c r="A1211" s="12"/>
      <c r="B1211" s="13"/>
      <c r="C1211" s="14"/>
      <c r="D1211" s="14"/>
      <c r="E1211" s="294"/>
      <c r="F1211" s="15"/>
      <c r="G1211" s="18"/>
      <c r="H1211" s="131"/>
      <c r="I1211" s="18"/>
      <c r="J1211" s="22"/>
      <c r="K1211" s="108"/>
      <c r="L1211" s="26"/>
    </row>
    <row r="1212">
      <c r="A1212" s="12"/>
      <c r="B1212" s="13"/>
      <c r="C1212" s="14"/>
      <c r="D1212" s="14"/>
      <c r="E1212" s="294"/>
      <c r="F1212" s="15"/>
      <c r="G1212" s="18"/>
      <c r="H1212" s="131"/>
      <c r="I1212" s="18"/>
      <c r="J1212" s="22"/>
      <c r="K1212" s="108"/>
      <c r="L1212" s="26"/>
    </row>
    <row r="1213">
      <c r="A1213" s="12"/>
      <c r="B1213" s="13"/>
      <c r="C1213" s="14"/>
      <c r="D1213" s="14"/>
      <c r="E1213" s="294"/>
      <c r="F1213" s="15"/>
      <c r="G1213" s="18"/>
      <c r="H1213" s="131"/>
      <c r="I1213" s="18"/>
      <c r="J1213" s="22"/>
      <c r="K1213" s="108"/>
      <c r="L1213" s="26"/>
    </row>
    <row r="1214">
      <c r="A1214" s="12"/>
      <c r="B1214" s="13"/>
      <c r="C1214" s="14"/>
      <c r="D1214" s="14"/>
      <c r="E1214" s="294"/>
      <c r="F1214" s="15"/>
      <c r="G1214" s="18"/>
      <c r="H1214" s="131"/>
      <c r="I1214" s="18"/>
      <c r="J1214" s="22"/>
      <c r="K1214" s="108"/>
      <c r="L1214" s="26"/>
    </row>
    <row r="1215">
      <c r="A1215" s="12"/>
      <c r="B1215" s="13"/>
      <c r="C1215" s="14"/>
      <c r="D1215" s="14"/>
      <c r="E1215" s="294"/>
      <c r="F1215" s="15"/>
      <c r="G1215" s="18"/>
      <c r="H1215" s="131"/>
      <c r="I1215" s="18"/>
      <c r="J1215" s="22"/>
      <c r="K1215" s="108"/>
      <c r="L1215" s="26"/>
    </row>
    <row r="1216">
      <c r="A1216" s="12"/>
      <c r="B1216" s="13"/>
      <c r="C1216" s="14"/>
      <c r="D1216" s="14"/>
      <c r="E1216" s="294"/>
      <c r="F1216" s="15"/>
      <c r="G1216" s="18"/>
      <c r="H1216" s="131"/>
      <c r="I1216" s="18"/>
      <c r="J1216" s="22"/>
      <c r="K1216" s="108"/>
      <c r="L1216" s="26"/>
    </row>
    <row r="1217">
      <c r="A1217" s="12"/>
      <c r="B1217" s="13"/>
      <c r="C1217" s="14"/>
      <c r="D1217" s="14"/>
      <c r="E1217" s="294"/>
      <c r="F1217" s="15"/>
      <c r="G1217" s="18"/>
      <c r="H1217" s="131"/>
      <c r="I1217" s="18"/>
      <c r="J1217" s="22"/>
      <c r="K1217" s="108"/>
      <c r="L1217" s="26"/>
    </row>
    <row r="1218">
      <c r="A1218" s="12"/>
      <c r="B1218" s="13"/>
      <c r="C1218" s="14"/>
      <c r="D1218" s="14"/>
      <c r="E1218" s="294"/>
      <c r="F1218" s="15"/>
      <c r="G1218" s="18"/>
      <c r="H1218" s="131"/>
      <c r="I1218" s="18"/>
      <c r="J1218" s="22"/>
      <c r="K1218" s="108"/>
      <c r="L1218" s="26"/>
    </row>
    <row r="1219">
      <c r="A1219" s="12"/>
      <c r="B1219" s="13"/>
      <c r="C1219" s="14"/>
      <c r="D1219" s="14"/>
      <c r="E1219" s="294"/>
      <c r="F1219" s="15"/>
      <c r="G1219" s="18"/>
      <c r="H1219" s="131"/>
      <c r="I1219" s="18"/>
      <c r="J1219" s="22"/>
      <c r="K1219" s="108"/>
      <c r="L1219" s="26"/>
    </row>
    <row r="1220">
      <c r="A1220" s="12"/>
      <c r="B1220" s="13"/>
      <c r="C1220" s="14"/>
      <c r="D1220" s="14"/>
      <c r="E1220" s="294"/>
      <c r="F1220" s="15"/>
      <c r="G1220" s="18"/>
      <c r="H1220" s="131"/>
      <c r="I1220" s="18"/>
      <c r="J1220" s="22"/>
      <c r="K1220" s="108"/>
      <c r="L1220" s="26"/>
    </row>
    <row r="1221">
      <c r="A1221" s="12"/>
      <c r="B1221" s="13"/>
      <c r="C1221" s="14"/>
      <c r="D1221" s="14"/>
      <c r="E1221" s="294"/>
      <c r="F1221" s="15"/>
      <c r="G1221" s="18"/>
      <c r="H1221" s="131"/>
      <c r="I1221" s="18"/>
      <c r="J1221" s="22"/>
      <c r="K1221" s="108"/>
      <c r="L1221" s="26"/>
    </row>
    <row r="1222">
      <c r="A1222" s="12"/>
      <c r="B1222" s="13"/>
      <c r="C1222" s="14"/>
      <c r="D1222" s="14"/>
      <c r="E1222" s="294"/>
      <c r="F1222" s="15"/>
      <c r="G1222" s="18"/>
      <c r="H1222" s="131"/>
      <c r="I1222" s="18"/>
      <c r="J1222" s="22"/>
      <c r="K1222" s="108"/>
      <c r="L1222" s="26"/>
    </row>
    <row r="1223">
      <c r="A1223" s="12"/>
      <c r="B1223" s="13"/>
      <c r="C1223" s="14"/>
      <c r="D1223" s="14"/>
      <c r="E1223" s="294"/>
      <c r="F1223" s="15"/>
      <c r="G1223" s="18"/>
      <c r="H1223" s="131"/>
      <c r="I1223" s="18"/>
      <c r="J1223" s="22"/>
      <c r="K1223" s="108"/>
      <c r="L1223" s="26"/>
    </row>
    <row r="1224">
      <c r="A1224" s="12"/>
      <c r="B1224" s="13"/>
      <c r="C1224" s="14"/>
      <c r="D1224" s="14"/>
      <c r="E1224" s="294"/>
      <c r="F1224" s="15"/>
      <c r="G1224" s="18"/>
      <c r="H1224" s="131"/>
      <c r="I1224" s="18"/>
      <c r="J1224" s="22"/>
      <c r="K1224" s="108"/>
      <c r="L1224" s="26"/>
    </row>
    <row r="1225">
      <c r="A1225" s="12"/>
      <c r="B1225" s="13"/>
      <c r="C1225" s="14"/>
      <c r="D1225" s="14"/>
      <c r="E1225" s="294"/>
      <c r="F1225" s="15"/>
      <c r="G1225" s="18"/>
      <c r="H1225" s="131"/>
      <c r="I1225" s="18"/>
      <c r="J1225" s="22"/>
      <c r="K1225" s="108"/>
      <c r="L1225" s="26"/>
    </row>
    <row r="1226">
      <c r="A1226" s="12"/>
      <c r="B1226" s="13"/>
      <c r="C1226" s="14"/>
      <c r="D1226" s="14"/>
      <c r="E1226" s="294"/>
      <c r="F1226" s="15"/>
      <c r="G1226" s="18"/>
      <c r="H1226" s="131"/>
      <c r="I1226" s="18"/>
      <c r="J1226" s="22"/>
      <c r="K1226" s="108"/>
      <c r="L1226" s="26"/>
    </row>
    <row r="1227">
      <c r="A1227" s="12"/>
      <c r="B1227" s="13"/>
      <c r="C1227" s="14"/>
      <c r="D1227" s="14"/>
      <c r="E1227" s="294"/>
      <c r="F1227" s="15"/>
      <c r="G1227" s="18"/>
      <c r="H1227" s="131"/>
      <c r="I1227" s="18"/>
      <c r="J1227" s="22"/>
      <c r="K1227" s="108"/>
      <c r="L1227" s="26"/>
    </row>
    <row r="1228">
      <c r="A1228" s="12"/>
      <c r="B1228" s="13"/>
      <c r="C1228" s="14"/>
      <c r="D1228" s="14"/>
      <c r="E1228" s="294"/>
      <c r="F1228" s="15"/>
      <c r="G1228" s="18"/>
      <c r="H1228" s="131"/>
      <c r="I1228" s="18"/>
      <c r="J1228" s="22"/>
      <c r="K1228" s="108"/>
      <c r="L1228" s="26"/>
    </row>
    <row r="1229">
      <c r="A1229" s="12"/>
      <c r="B1229" s="13"/>
      <c r="C1229" s="14"/>
      <c r="D1229" s="14"/>
      <c r="E1229" s="294"/>
      <c r="F1229" s="15"/>
      <c r="G1229" s="18"/>
      <c r="H1229" s="131"/>
      <c r="I1229" s="18"/>
      <c r="J1229" s="22"/>
      <c r="K1229" s="108"/>
      <c r="L1229" s="26"/>
    </row>
    <row r="1230">
      <c r="A1230" s="12"/>
      <c r="B1230" s="13"/>
      <c r="C1230" s="14"/>
      <c r="D1230" s="14"/>
      <c r="E1230" s="294"/>
      <c r="F1230" s="15"/>
      <c r="G1230" s="18"/>
      <c r="H1230" s="131"/>
      <c r="I1230" s="18"/>
      <c r="J1230" s="22"/>
      <c r="K1230" s="108"/>
      <c r="L1230" s="26"/>
    </row>
    <row r="1231">
      <c r="A1231" s="12"/>
      <c r="B1231" s="13"/>
      <c r="C1231" s="14"/>
      <c r="D1231" s="14"/>
      <c r="E1231" s="294"/>
      <c r="F1231" s="15"/>
      <c r="G1231" s="18"/>
      <c r="H1231" s="131"/>
      <c r="I1231" s="18"/>
      <c r="J1231" s="22"/>
      <c r="K1231" s="108"/>
      <c r="L1231" s="26"/>
    </row>
    <row r="1232">
      <c r="A1232" s="12"/>
      <c r="B1232" s="13"/>
      <c r="C1232" s="14"/>
      <c r="D1232" s="14"/>
      <c r="E1232" s="294"/>
      <c r="F1232" s="15"/>
      <c r="G1232" s="18"/>
      <c r="H1232" s="131"/>
      <c r="I1232" s="18"/>
      <c r="J1232" s="22"/>
      <c r="K1232" s="108"/>
      <c r="L1232" s="26"/>
    </row>
    <row r="1233">
      <c r="A1233" s="12"/>
      <c r="B1233" s="13"/>
      <c r="C1233" s="14"/>
      <c r="D1233" s="14"/>
      <c r="E1233" s="294"/>
      <c r="F1233" s="15"/>
      <c r="G1233" s="18"/>
      <c r="H1233" s="131"/>
      <c r="I1233" s="18"/>
      <c r="J1233" s="22"/>
      <c r="K1233" s="108"/>
      <c r="L1233" s="26"/>
    </row>
    <row r="1234">
      <c r="A1234" s="12"/>
      <c r="B1234" s="13"/>
      <c r="C1234" s="14"/>
      <c r="D1234" s="14"/>
      <c r="E1234" s="294"/>
      <c r="F1234" s="15"/>
      <c r="G1234" s="18"/>
      <c r="H1234" s="131"/>
      <c r="I1234" s="18"/>
      <c r="J1234" s="22"/>
      <c r="K1234" s="108"/>
      <c r="L1234" s="26"/>
    </row>
    <row r="1235">
      <c r="A1235" s="12"/>
      <c r="B1235" s="13"/>
      <c r="C1235" s="14"/>
      <c r="D1235" s="14"/>
      <c r="E1235" s="294"/>
      <c r="F1235" s="15"/>
      <c r="G1235" s="18"/>
      <c r="H1235" s="131"/>
      <c r="I1235" s="18"/>
      <c r="J1235" s="22"/>
      <c r="K1235" s="108"/>
      <c r="L1235" s="26"/>
    </row>
    <row r="1236">
      <c r="A1236" s="12"/>
      <c r="B1236" s="13"/>
      <c r="C1236" s="14"/>
      <c r="D1236" s="14"/>
      <c r="E1236" s="294"/>
      <c r="F1236" s="15"/>
      <c r="G1236" s="18"/>
      <c r="H1236" s="131"/>
      <c r="I1236" s="18"/>
      <c r="J1236" s="22"/>
      <c r="K1236" s="108"/>
      <c r="L1236" s="26"/>
    </row>
    <row r="1237">
      <c r="A1237" s="12"/>
      <c r="B1237" s="13"/>
      <c r="C1237" s="14"/>
      <c r="D1237" s="14"/>
      <c r="E1237" s="294"/>
      <c r="F1237" s="15"/>
      <c r="G1237" s="18"/>
      <c r="H1237" s="131"/>
      <c r="I1237" s="18"/>
      <c r="J1237" s="22"/>
      <c r="K1237" s="108"/>
      <c r="L1237" s="26"/>
    </row>
    <row r="1238">
      <c r="A1238" s="12"/>
      <c r="B1238" s="13"/>
      <c r="C1238" s="14"/>
      <c r="D1238" s="14"/>
      <c r="E1238" s="294"/>
      <c r="F1238" s="15"/>
      <c r="G1238" s="18"/>
      <c r="H1238" s="131"/>
      <c r="I1238" s="18"/>
      <c r="J1238" s="22"/>
      <c r="K1238" s="108"/>
      <c r="L1238" s="26"/>
    </row>
    <row r="1239">
      <c r="A1239" s="12"/>
      <c r="B1239" s="13"/>
      <c r="C1239" s="14"/>
      <c r="D1239" s="14"/>
      <c r="E1239" s="294"/>
      <c r="F1239" s="15"/>
      <c r="G1239" s="18"/>
      <c r="H1239" s="131"/>
      <c r="I1239" s="18"/>
      <c r="J1239" s="22"/>
      <c r="K1239" s="108"/>
      <c r="L1239" s="26"/>
    </row>
    <row r="1240">
      <c r="A1240" s="12"/>
      <c r="B1240" s="13"/>
      <c r="C1240" s="14"/>
      <c r="D1240" s="14"/>
      <c r="E1240" s="294"/>
      <c r="F1240" s="15"/>
      <c r="G1240" s="18"/>
      <c r="H1240" s="131"/>
      <c r="I1240" s="18"/>
      <c r="J1240" s="22"/>
      <c r="K1240" s="108"/>
      <c r="L1240" s="26"/>
    </row>
    <row r="1241">
      <c r="A1241" s="12"/>
      <c r="B1241" s="13"/>
      <c r="C1241" s="14"/>
      <c r="D1241" s="14"/>
      <c r="E1241" s="294"/>
      <c r="F1241" s="15"/>
      <c r="G1241" s="18"/>
      <c r="H1241" s="131"/>
      <c r="I1241" s="18"/>
      <c r="J1241" s="22"/>
      <c r="K1241" s="108"/>
      <c r="L1241" s="26"/>
    </row>
    <row r="1242">
      <c r="A1242" s="12"/>
      <c r="B1242" s="13"/>
      <c r="C1242" s="14"/>
      <c r="D1242" s="14"/>
      <c r="E1242" s="294"/>
      <c r="F1242" s="15"/>
      <c r="G1242" s="18"/>
      <c r="H1242" s="131"/>
      <c r="I1242" s="18"/>
      <c r="J1242" s="22"/>
      <c r="K1242" s="108"/>
      <c r="L1242" s="26"/>
    </row>
    <row r="1243">
      <c r="A1243" s="12"/>
      <c r="B1243" s="13"/>
      <c r="C1243" s="14"/>
      <c r="D1243" s="14"/>
      <c r="E1243" s="294"/>
      <c r="F1243" s="15"/>
      <c r="G1243" s="18"/>
      <c r="H1243" s="131"/>
      <c r="I1243" s="18"/>
      <c r="J1243" s="22"/>
      <c r="K1243" s="108"/>
      <c r="L1243" s="26"/>
    </row>
    <row r="1244">
      <c r="A1244" s="12"/>
      <c r="B1244" s="13"/>
      <c r="C1244" s="14"/>
      <c r="D1244" s="14"/>
      <c r="E1244" s="294"/>
      <c r="F1244" s="15"/>
      <c r="G1244" s="18"/>
      <c r="H1244" s="131"/>
      <c r="I1244" s="18"/>
      <c r="J1244" s="22"/>
      <c r="K1244" s="108"/>
      <c r="L1244" s="26"/>
    </row>
    <row r="1245">
      <c r="A1245" s="12"/>
      <c r="B1245" s="13"/>
      <c r="C1245" s="14"/>
      <c r="D1245" s="14"/>
      <c r="E1245" s="294"/>
      <c r="F1245" s="15"/>
      <c r="G1245" s="18"/>
      <c r="H1245" s="131"/>
      <c r="I1245" s="18"/>
      <c r="J1245" s="22"/>
      <c r="K1245" s="108"/>
      <c r="L1245" s="26"/>
    </row>
    <row r="1246">
      <c r="A1246" s="12"/>
      <c r="B1246" s="13"/>
      <c r="C1246" s="14"/>
      <c r="D1246" s="14"/>
      <c r="E1246" s="294"/>
      <c r="F1246" s="15"/>
      <c r="G1246" s="18"/>
      <c r="H1246" s="131"/>
      <c r="I1246" s="18"/>
      <c r="J1246" s="22"/>
      <c r="K1246" s="108"/>
      <c r="L1246" s="26"/>
    </row>
    <row r="1247">
      <c r="A1247" s="12"/>
      <c r="B1247" s="13"/>
      <c r="C1247" s="14"/>
      <c r="D1247" s="14"/>
      <c r="E1247" s="294"/>
      <c r="F1247" s="15"/>
      <c r="G1247" s="18"/>
      <c r="H1247" s="131"/>
      <c r="I1247" s="18"/>
      <c r="J1247" s="22"/>
      <c r="K1247" s="108"/>
      <c r="L1247" s="26"/>
    </row>
    <row r="1248">
      <c r="A1248" s="12"/>
      <c r="B1248" s="13"/>
      <c r="C1248" s="14"/>
      <c r="D1248" s="14"/>
      <c r="E1248" s="294"/>
      <c r="F1248" s="15"/>
      <c r="G1248" s="18"/>
      <c r="H1248" s="131"/>
      <c r="I1248" s="18"/>
      <c r="J1248" s="22"/>
      <c r="K1248" s="108"/>
      <c r="L1248" s="26"/>
    </row>
    <row r="1249">
      <c r="A1249" s="12"/>
      <c r="B1249" s="13"/>
      <c r="C1249" s="14"/>
      <c r="D1249" s="14"/>
      <c r="E1249" s="294"/>
      <c r="F1249" s="15"/>
      <c r="G1249" s="18"/>
      <c r="H1249" s="131"/>
      <c r="I1249" s="18"/>
      <c r="J1249" s="22"/>
      <c r="K1249" s="108"/>
      <c r="L1249" s="26"/>
    </row>
    <row r="1250">
      <c r="A1250" s="12"/>
      <c r="B1250" s="13"/>
      <c r="C1250" s="14"/>
      <c r="D1250" s="14"/>
      <c r="E1250" s="294"/>
      <c r="F1250" s="15"/>
      <c r="G1250" s="18"/>
      <c r="H1250" s="131"/>
      <c r="I1250" s="18"/>
      <c r="J1250" s="22"/>
      <c r="K1250" s="108"/>
      <c r="L1250" s="26"/>
    </row>
    <row r="1251">
      <c r="A1251" s="12"/>
      <c r="B1251" s="13"/>
      <c r="C1251" s="14"/>
      <c r="D1251" s="14"/>
      <c r="E1251" s="294"/>
      <c r="F1251" s="15"/>
      <c r="G1251" s="18"/>
      <c r="H1251" s="131"/>
      <c r="I1251" s="18"/>
      <c r="J1251" s="22"/>
      <c r="K1251" s="108"/>
      <c r="L1251" s="26"/>
    </row>
    <row r="1252">
      <c r="A1252" s="12"/>
      <c r="B1252" s="13"/>
      <c r="C1252" s="14"/>
      <c r="D1252" s="14"/>
      <c r="E1252" s="294"/>
      <c r="F1252" s="15"/>
      <c r="G1252" s="18"/>
      <c r="H1252" s="131"/>
      <c r="I1252" s="18"/>
      <c r="J1252" s="22"/>
      <c r="K1252" s="108"/>
      <c r="L1252" s="26"/>
    </row>
    <row r="1253">
      <c r="A1253" s="12"/>
      <c r="B1253" s="13"/>
      <c r="C1253" s="14"/>
      <c r="D1253" s="14"/>
      <c r="E1253" s="294"/>
      <c r="F1253" s="15"/>
      <c r="G1253" s="18"/>
      <c r="H1253" s="131"/>
      <c r="I1253" s="18"/>
      <c r="J1253" s="22"/>
      <c r="K1253" s="108"/>
      <c r="L1253" s="26"/>
    </row>
    <row r="1254">
      <c r="A1254" s="12"/>
      <c r="B1254" s="13"/>
      <c r="C1254" s="14"/>
      <c r="D1254" s="14"/>
      <c r="E1254" s="294"/>
      <c r="F1254" s="15"/>
      <c r="G1254" s="18"/>
      <c r="H1254" s="131"/>
      <c r="I1254" s="18"/>
      <c r="J1254" s="22"/>
      <c r="K1254" s="108"/>
      <c r="L1254" s="26"/>
    </row>
    <row r="1255">
      <c r="A1255" s="12"/>
      <c r="B1255" s="13"/>
      <c r="C1255" s="14"/>
      <c r="D1255" s="14"/>
      <c r="E1255" s="294"/>
      <c r="F1255" s="15"/>
      <c r="G1255" s="18"/>
      <c r="H1255" s="131"/>
      <c r="I1255" s="18"/>
      <c r="J1255" s="22"/>
      <c r="K1255" s="108"/>
      <c r="L1255" s="26"/>
    </row>
    <row r="1256">
      <c r="A1256" s="12"/>
      <c r="B1256" s="13"/>
      <c r="C1256" s="14"/>
      <c r="D1256" s="14"/>
      <c r="E1256" s="294"/>
      <c r="F1256" s="15"/>
      <c r="G1256" s="18"/>
      <c r="H1256" s="131"/>
      <c r="I1256" s="18"/>
      <c r="J1256" s="22"/>
      <c r="K1256" s="108"/>
      <c r="L1256" s="26"/>
    </row>
    <row r="1257">
      <c r="A1257" s="12"/>
      <c r="B1257" s="13"/>
      <c r="C1257" s="14"/>
      <c r="D1257" s="14"/>
      <c r="E1257" s="294"/>
      <c r="F1257" s="15"/>
      <c r="G1257" s="18"/>
      <c r="H1257" s="131"/>
      <c r="I1257" s="18"/>
      <c r="J1257" s="22"/>
      <c r="K1257" s="108"/>
      <c r="L1257" s="26"/>
    </row>
    <row r="1258">
      <c r="A1258" s="12"/>
      <c r="B1258" s="13"/>
      <c r="C1258" s="14"/>
      <c r="D1258" s="14"/>
      <c r="E1258" s="294"/>
      <c r="F1258" s="15"/>
      <c r="G1258" s="18"/>
      <c r="H1258" s="131"/>
      <c r="I1258" s="18"/>
      <c r="J1258" s="22"/>
      <c r="K1258" s="108"/>
      <c r="L1258" s="26"/>
    </row>
    <row r="1259">
      <c r="A1259" s="12"/>
      <c r="B1259" s="13"/>
      <c r="C1259" s="14"/>
      <c r="D1259" s="14"/>
      <c r="E1259" s="294"/>
      <c r="F1259" s="15"/>
      <c r="G1259" s="18"/>
      <c r="H1259" s="131"/>
      <c r="I1259" s="18"/>
      <c r="J1259" s="22"/>
      <c r="K1259" s="108"/>
      <c r="L1259" s="26"/>
    </row>
    <row r="1260">
      <c r="A1260" s="12"/>
      <c r="B1260" s="13"/>
      <c r="C1260" s="14"/>
      <c r="D1260" s="14"/>
      <c r="E1260" s="294"/>
      <c r="F1260" s="15"/>
      <c r="G1260" s="18"/>
      <c r="H1260" s="131"/>
      <c r="I1260" s="18"/>
      <c r="J1260" s="22"/>
      <c r="K1260" s="108"/>
      <c r="L1260" s="26"/>
    </row>
    <row r="1261">
      <c r="A1261" s="12"/>
      <c r="B1261" s="13"/>
      <c r="C1261" s="14"/>
      <c r="D1261" s="14"/>
      <c r="E1261" s="294"/>
      <c r="F1261" s="15"/>
      <c r="G1261" s="18"/>
      <c r="H1261" s="131"/>
      <c r="I1261" s="18"/>
      <c r="J1261" s="22"/>
      <c r="K1261" s="108"/>
      <c r="L1261" s="26"/>
    </row>
    <row r="1262">
      <c r="A1262" s="12"/>
      <c r="B1262" s="13"/>
      <c r="C1262" s="14"/>
      <c r="D1262" s="14"/>
      <c r="E1262" s="294"/>
      <c r="F1262" s="15"/>
      <c r="G1262" s="18"/>
      <c r="H1262" s="131"/>
      <c r="I1262" s="18"/>
      <c r="J1262" s="22"/>
      <c r="K1262" s="108"/>
      <c r="L1262" s="26"/>
    </row>
    <row r="1263">
      <c r="A1263" s="12"/>
      <c r="B1263" s="13"/>
      <c r="C1263" s="14"/>
      <c r="D1263" s="14"/>
      <c r="E1263" s="294"/>
      <c r="F1263" s="15"/>
      <c r="G1263" s="18"/>
      <c r="H1263" s="131"/>
      <c r="I1263" s="18"/>
      <c r="J1263" s="22"/>
      <c r="K1263" s="108"/>
      <c r="L1263" s="26"/>
    </row>
    <row r="1264">
      <c r="A1264" s="12"/>
      <c r="B1264" s="13"/>
      <c r="C1264" s="14"/>
      <c r="D1264" s="14"/>
      <c r="E1264" s="294"/>
      <c r="F1264" s="15"/>
      <c r="G1264" s="18"/>
      <c r="H1264" s="131"/>
      <c r="I1264" s="18"/>
      <c r="J1264" s="22"/>
      <c r="K1264" s="108"/>
      <c r="L1264" s="26"/>
    </row>
    <row r="1265">
      <c r="A1265" s="12"/>
      <c r="B1265" s="13"/>
      <c r="C1265" s="14"/>
      <c r="D1265" s="14"/>
      <c r="E1265" s="294"/>
      <c r="F1265" s="15"/>
      <c r="G1265" s="18"/>
      <c r="H1265" s="131"/>
      <c r="I1265" s="18"/>
      <c r="J1265" s="22"/>
      <c r="K1265" s="108"/>
      <c r="L1265" s="26"/>
    </row>
    <row r="1266">
      <c r="A1266" s="12"/>
      <c r="B1266" s="13"/>
      <c r="C1266" s="14"/>
      <c r="D1266" s="14"/>
      <c r="E1266" s="294"/>
      <c r="F1266" s="15"/>
      <c r="G1266" s="18"/>
      <c r="H1266" s="131"/>
      <c r="I1266" s="18"/>
      <c r="J1266" s="22"/>
      <c r="K1266" s="108"/>
      <c r="L1266" s="26"/>
    </row>
    <row r="1267">
      <c r="A1267" s="12"/>
      <c r="B1267" s="13"/>
      <c r="C1267" s="14"/>
      <c r="D1267" s="14"/>
      <c r="E1267" s="294"/>
      <c r="F1267" s="15"/>
      <c r="G1267" s="18"/>
      <c r="H1267" s="131"/>
      <c r="I1267" s="18"/>
      <c r="J1267" s="22"/>
      <c r="K1267" s="108"/>
      <c r="L1267" s="26"/>
    </row>
    <row r="1268">
      <c r="A1268" s="12"/>
      <c r="B1268" s="13"/>
      <c r="C1268" s="14"/>
      <c r="D1268" s="14"/>
      <c r="E1268" s="294"/>
      <c r="F1268" s="15"/>
      <c r="G1268" s="18"/>
      <c r="H1268" s="131"/>
      <c r="I1268" s="18"/>
      <c r="J1268" s="22"/>
      <c r="K1268" s="108"/>
      <c r="L1268" s="26"/>
    </row>
    <row r="1269">
      <c r="A1269" s="12"/>
      <c r="B1269" s="13"/>
      <c r="C1269" s="14"/>
      <c r="D1269" s="14"/>
      <c r="E1269" s="294"/>
      <c r="F1269" s="15"/>
      <c r="G1269" s="18"/>
      <c r="H1269" s="131"/>
      <c r="I1269" s="18"/>
      <c r="J1269" s="22"/>
      <c r="K1269" s="108"/>
      <c r="L1269" s="26"/>
    </row>
    <row r="1270">
      <c r="A1270" s="12"/>
      <c r="B1270" s="13"/>
      <c r="C1270" s="14"/>
      <c r="D1270" s="14"/>
      <c r="E1270" s="294"/>
      <c r="F1270" s="15"/>
      <c r="G1270" s="18"/>
      <c r="H1270" s="131"/>
      <c r="I1270" s="18"/>
      <c r="J1270" s="22"/>
      <c r="K1270" s="108"/>
      <c r="L1270" s="26"/>
    </row>
    <row r="1271">
      <c r="A1271" s="12"/>
      <c r="B1271" s="13"/>
      <c r="C1271" s="14"/>
      <c r="D1271" s="14"/>
      <c r="E1271" s="294"/>
      <c r="F1271" s="15"/>
      <c r="G1271" s="18"/>
      <c r="H1271" s="131"/>
      <c r="I1271" s="18"/>
      <c r="J1271" s="22"/>
      <c r="K1271" s="108"/>
      <c r="L1271" s="26"/>
    </row>
    <row r="1272">
      <c r="A1272" s="12"/>
      <c r="B1272" s="13"/>
      <c r="C1272" s="14"/>
      <c r="D1272" s="14"/>
      <c r="E1272" s="294"/>
      <c r="F1272" s="15"/>
      <c r="G1272" s="18"/>
      <c r="H1272" s="131"/>
      <c r="I1272" s="18"/>
      <c r="J1272" s="22"/>
      <c r="K1272" s="108"/>
      <c r="L1272" s="26"/>
    </row>
    <row r="1273">
      <c r="A1273" s="12"/>
      <c r="B1273" s="13"/>
      <c r="C1273" s="14"/>
      <c r="D1273" s="14"/>
      <c r="E1273" s="294"/>
      <c r="F1273" s="15"/>
      <c r="G1273" s="18"/>
      <c r="H1273" s="131"/>
      <c r="I1273" s="18"/>
      <c r="J1273" s="22"/>
      <c r="K1273" s="108"/>
      <c r="L1273" s="26"/>
    </row>
    <row r="1274">
      <c r="A1274" s="12"/>
      <c r="B1274" s="13"/>
      <c r="C1274" s="14"/>
      <c r="D1274" s="14"/>
      <c r="E1274" s="294"/>
      <c r="F1274" s="15"/>
      <c r="G1274" s="18"/>
      <c r="H1274" s="131"/>
      <c r="I1274" s="18"/>
      <c r="J1274" s="22"/>
      <c r="K1274" s="108"/>
      <c r="L1274" s="26"/>
    </row>
    <row r="1275">
      <c r="A1275" s="12"/>
      <c r="B1275" s="13"/>
      <c r="C1275" s="14"/>
      <c r="D1275" s="14"/>
      <c r="E1275" s="294"/>
      <c r="F1275" s="15"/>
      <c r="G1275" s="18"/>
      <c r="H1275" s="131"/>
      <c r="I1275" s="18"/>
      <c r="J1275" s="22"/>
      <c r="K1275" s="108"/>
      <c r="L1275" s="26"/>
    </row>
    <row r="1276">
      <c r="A1276" s="12"/>
      <c r="B1276" s="13"/>
      <c r="C1276" s="14"/>
      <c r="D1276" s="14"/>
      <c r="E1276" s="294"/>
      <c r="F1276" s="15"/>
      <c r="G1276" s="18"/>
      <c r="H1276" s="131"/>
      <c r="I1276" s="18"/>
      <c r="J1276" s="22"/>
      <c r="K1276" s="108"/>
      <c r="L1276" s="26"/>
    </row>
    <row r="1277">
      <c r="A1277" s="12"/>
      <c r="B1277" s="13"/>
      <c r="C1277" s="14"/>
      <c r="D1277" s="14"/>
      <c r="E1277" s="294"/>
      <c r="F1277" s="15"/>
      <c r="G1277" s="18"/>
      <c r="H1277" s="131"/>
      <c r="I1277" s="18"/>
      <c r="J1277" s="22"/>
      <c r="K1277" s="108"/>
      <c r="L1277" s="26"/>
    </row>
    <row r="1278">
      <c r="A1278" s="12"/>
      <c r="B1278" s="13"/>
      <c r="C1278" s="14"/>
      <c r="D1278" s="14"/>
      <c r="E1278" s="294"/>
      <c r="F1278" s="15"/>
      <c r="G1278" s="18"/>
      <c r="H1278" s="131"/>
      <c r="I1278" s="18"/>
      <c r="J1278" s="22"/>
      <c r="K1278" s="108"/>
      <c r="L1278" s="26"/>
    </row>
    <row r="1279">
      <c r="A1279" s="12"/>
      <c r="B1279" s="13"/>
      <c r="C1279" s="14"/>
      <c r="D1279" s="14"/>
      <c r="E1279" s="294"/>
      <c r="F1279" s="15"/>
      <c r="G1279" s="18"/>
      <c r="H1279" s="131"/>
      <c r="I1279" s="18"/>
      <c r="J1279" s="22"/>
      <c r="K1279" s="108"/>
      <c r="L1279" s="26"/>
    </row>
    <row r="1280">
      <c r="A1280" s="12"/>
      <c r="B1280" s="13"/>
      <c r="C1280" s="14"/>
      <c r="D1280" s="14"/>
      <c r="E1280" s="294"/>
      <c r="F1280" s="15"/>
      <c r="G1280" s="18"/>
      <c r="H1280" s="131"/>
      <c r="I1280" s="18"/>
      <c r="J1280" s="22"/>
      <c r="K1280" s="108"/>
      <c r="L1280" s="26"/>
    </row>
    <row r="1281">
      <c r="A1281" s="12"/>
      <c r="B1281" s="13"/>
      <c r="C1281" s="14"/>
      <c r="D1281" s="14"/>
      <c r="E1281" s="294"/>
      <c r="F1281" s="15"/>
      <c r="G1281" s="18"/>
      <c r="H1281" s="131"/>
      <c r="I1281" s="18"/>
      <c r="J1281" s="22"/>
      <c r="K1281" s="108"/>
      <c r="L1281" s="26"/>
    </row>
    <row r="1282">
      <c r="A1282" s="12"/>
      <c r="B1282" s="13"/>
      <c r="C1282" s="14"/>
      <c r="D1282" s="14"/>
      <c r="E1282" s="294"/>
      <c r="F1282" s="15"/>
      <c r="G1282" s="18"/>
      <c r="H1282" s="131"/>
      <c r="I1282" s="18"/>
      <c r="J1282" s="22"/>
      <c r="K1282" s="108"/>
      <c r="L1282" s="26"/>
    </row>
    <row r="1283">
      <c r="A1283" s="12"/>
      <c r="B1283" s="13"/>
      <c r="C1283" s="14"/>
      <c r="D1283" s="14"/>
      <c r="E1283" s="294"/>
      <c r="F1283" s="15"/>
      <c r="G1283" s="18"/>
      <c r="H1283" s="131"/>
      <c r="I1283" s="18"/>
      <c r="J1283" s="22"/>
      <c r="K1283" s="108"/>
      <c r="L1283" s="26"/>
    </row>
    <row r="1284">
      <c r="A1284" s="12"/>
      <c r="B1284" s="13"/>
      <c r="C1284" s="14"/>
      <c r="D1284" s="14"/>
      <c r="E1284" s="294"/>
      <c r="F1284" s="15"/>
      <c r="G1284" s="18"/>
      <c r="H1284" s="131"/>
      <c r="I1284" s="18"/>
      <c r="J1284" s="22"/>
      <c r="K1284" s="108"/>
      <c r="L1284" s="26"/>
    </row>
    <row r="1285">
      <c r="A1285" s="12"/>
      <c r="B1285" s="13"/>
      <c r="C1285" s="14"/>
      <c r="D1285" s="14"/>
      <c r="E1285" s="294"/>
      <c r="F1285" s="15"/>
      <c r="G1285" s="18"/>
      <c r="H1285" s="131"/>
      <c r="I1285" s="18"/>
      <c r="J1285" s="22"/>
      <c r="K1285" s="108"/>
      <c r="L1285" s="26"/>
    </row>
    <row r="1286">
      <c r="A1286" s="12"/>
      <c r="B1286" s="13"/>
      <c r="C1286" s="14"/>
      <c r="D1286" s="14"/>
      <c r="E1286" s="294"/>
      <c r="F1286" s="15"/>
      <c r="G1286" s="18"/>
      <c r="H1286" s="131"/>
      <c r="I1286" s="18"/>
      <c r="J1286" s="22"/>
      <c r="K1286" s="108"/>
      <c r="L1286" s="26"/>
    </row>
    <row r="1287">
      <c r="A1287" s="12"/>
      <c r="B1287" s="13"/>
      <c r="C1287" s="14"/>
      <c r="D1287" s="14"/>
      <c r="E1287" s="294"/>
      <c r="F1287" s="15"/>
      <c r="G1287" s="18"/>
      <c r="H1287" s="131"/>
      <c r="I1287" s="18"/>
      <c r="J1287" s="22"/>
      <c r="K1287" s="108"/>
      <c r="L1287" s="26"/>
    </row>
    <row r="1288">
      <c r="A1288" s="12"/>
      <c r="B1288" s="13"/>
      <c r="C1288" s="14"/>
      <c r="D1288" s="14"/>
      <c r="E1288" s="294"/>
      <c r="F1288" s="15"/>
      <c r="G1288" s="18"/>
      <c r="H1288" s="131"/>
      <c r="I1288" s="18"/>
      <c r="J1288" s="22"/>
      <c r="K1288" s="108"/>
      <c r="L1288" s="26"/>
    </row>
    <row r="1289">
      <c r="A1289" s="12"/>
      <c r="B1289" s="13"/>
      <c r="C1289" s="14"/>
      <c r="D1289" s="14"/>
      <c r="E1289" s="294"/>
      <c r="F1289" s="15"/>
      <c r="G1289" s="18"/>
      <c r="H1289" s="131"/>
      <c r="I1289" s="18"/>
      <c r="J1289" s="22"/>
      <c r="K1289" s="108"/>
      <c r="L1289" s="26"/>
    </row>
    <row r="1290">
      <c r="A1290" s="12"/>
      <c r="B1290" s="13"/>
      <c r="C1290" s="14"/>
      <c r="D1290" s="14"/>
      <c r="E1290" s="294"/>
      <c r="F1290" s="15"/>
      <c r="G1290" s="18"/>
      <c r="H1290" s="131"/>
      <c r="I1290" s="18"/>
      <c r="J1290" s="22"/>
      <c r="K1290" s="108"/>
      <c r="L1290" s="26"/>
    </row>
    <row r="1291">
      <c r="A1291" s="12"/>
      <c r="B1291" s="13"/>
      <c r="C1291" s="14"/>
      <c r="D1291" s="14"/>
      <c r="E1291" s="294"/>
      <c r="F1291" s="15"/>
      <c r="G1291" s="18"/>
      <c r="H1291" s="131"/>
      <c r="I1291" s="18"/>
      <c r="J1291" s="22"/>
      <c r="K1291" s="108"/>
      <c r="L1291" s="26"/>
    </row>
    <row r="1292">
      <c r="A1292" s="12"/>
      <c r="B1292" s="13"/>
      <c r="C1292" s="14"/>
      <c r="D1292" s="14"/>
      <c r="E1292" s="294"/>
      <c r="F1292" s="15"/>
      <c r="G1292" s="18"/>
      <c r="H1292" s="131"/>
      <c r="I1292" s="18"/>
      <c r="J1292" s="22"/>
      <c r="K1292" s="108"/>
      <c r="L1292" s="26"/>
    </row>
    <row r="1293">
      <c r="A1293" s="12"/>
      <c r="B1293" s="13"/>
      <c r="C1293" s="14"/>
      <c r="D1293" s="14"/>
      <c r="E1293" s="294"/>
      <c r="F1293" s="15"/>
      <c r="G1293" s="18"/>
      <c r="H1293" s="131"/>
      <c r="I1293" s="18"/>
      <c r="J1293" s="22"/>
      <c r="K1293" s="108"/>
      <c r="L1293" s="26"/>
    </row>
    <row r="1294">
      <c r="A1294" s="12"/>
      <c r="B1294" s="13"/>
      <c r="C1294" s="14"/>
      <c r="D1294" s="14"/>
      <c r="E1294" s="294"/>
      <c r="F1294" s="15"/>
      <c r="G1294" s="18"/>
      <c r="H1294" s="131"/>
      <c r="I1294" s="18"/>
      <c r="J1294" s="22"/>
      <c r="K1294" s="108"/>
      <c r="L1294" s="26"/>
    </row>
    <row r="1295">
      <c r="A1295" s="12"/>
      <c r="B1295" s="13"/>
      <c r="C1295" s="14"/>
      <c r="D1295" s="14"/>
      <c r="E1295" s="294"/>
      <c r="F1295" s="15"/>
      <c r="G1295" s="18"/>
      <c r="H1295" s="131"/>
      <c r="I1295" s="18"/>
      <c r="J1295" s="22"/>
      <c r="K1295" s="108"/>
      <c r="L1295" s="26"/>
    </row>
    <row r="1296">
      <c r="A1296" s="12"/>
      <c r="B1296" s="13"/>
      <c r="C1296" s="14"/>
      <c r="D1296" s="14"/>
      <c r="E1296" s="294"/>
      <c r="F1296" s="15"/>
      <c r="G1296" s="18"/>
      <c r="H1296" s="131"/>
      <c r="I1296" s="18"/>
      <c r="J1296" s="22"/>
      <c r="K1296" s="108"/>
      <c r="L1296" s="26"/>
    </row>
    <row r="1297">
      <c r="A1297" s="12"/>
      <c r="B1297" s="13"/>
      <c r="C1297" s="14"/>
      <c r="D1297" s="14"/>
      <c r="E1297" s="294"/>
      <c r="F1297" s="15"/>
      <c r="G1297" s="18"/>
      <c r="H1297" s="131"/>
      <c r="I1297" s="18"/>
      <c r="J1297" s="22"/>
      <c r="K1297" s="108"/>
      <c r="L1297" s="26"/>
    </row>
    <row r="1298">
      <c r="A1298" s="12"/>
      <c r="B1298" s="13"/>
      <c r="C1298" s="14"/>
      <c r="D1298" s="14"/>
      <c r="E1298" s="294"/>
      <c r="F1298" s="15"/>
      <c r="G1298" s="18"/>
      <c r="H1298" s="131"/>
      <c r="I1298" s="18"/>
      <c r="J1298" s="22"/>
      <c r="K1298" s="108"/>
      <c r="L1298" s="26"/>
    </row>
    <row r="1299">
      <c r="A1299" s="12"/>
      <c r="B1299" s="13"/>
      <c r="C1299" s="14"/>
      <c r="D1299" s="14"/>
      <c r="E1299" s="294"/>
      <c r="F1299" s="15"/>
      <c r="G1299" s="18"/>
      <c r="H1299" s="131"/>
      <c r="I1299" s="18"/>
      <c r="J1299" s="22"/>
      <c r="K1299" s="108"/>
      <c r="L1299" s="26"/>
    </row>
    <row r="1300">
      <c r="A1300" s="12"/>
      <c r="B1300" s="13"/>
      <c r="C1300" s="14"/>
      <c r="D1300" s="14"/>
      <c r="E1300" s="294"/>
      <c r="F1300" s="15"/>
      <c r="G1300" s="18"/>
      <c r="H1300" s="131"/>
      <c r="I1300" s="18"/>
      <c r="J1300" s="22"/>
      <c r="K1300" s="108"/>
      <c r="L1300" s="26"/>
    </row>
    <row r="1301">
      <c r="A1301" s="12"/>
      <c r="B1301" s="13"/>
      <c r="C1301" s="14"/>
      <c r="D1301" s="14"/>
      <c r="E1301" s="294"/>
      <c r="F1301" s="15"/>
      <c r="G1301" s="18"/>
      <c r="H1301" s="131"/>
      <c r="I1301" s="18"/>
      <c r="J1301" s="22"/>
      <c r="K1301" s="108"/>
      <c r="L1301" s="26"/>
    </row>
    <row r="1302">
      <c r="A1302" s="12"/>
      <c r="B1302" s="13"/>
      <c r="C1302" s="14"/>
      <c r="D1302" s="14"/>
      <c r="E1302" s="294"/>
      <c r="F1302" s="15"/>
      <c r="G1302" s="18"/>
      <c r="H1302" s="131"/>
      <c r="I1302" s="18"/>
      <c r="J1302" s="22"/>
      <c r="K1302" s="108"/>
      <c r="L1302" s="26"/>
    </row>
    <row r="1303">
      <c r="A1303" s="12"/>
      <c r="B1303" s="13"/>
      <c r="C1303" s="14"/>
      <c r="D1303" s="14"/>
      <c r="E1303" s="294"/>
      <c r="F1303" s="15"/>
      <c r="G1303" s="18"/>
      <c r="H1303" s="131"/>
      <c r="I1303" s="18"/>
      <c r="J1303" s="22"/>
      <c r="K1303" s="108"/>
      <c r="L1303" s="26"/>
    </row>
    <row r="1304">
      <c r="A1304" s="12"/>
      <c r="B1304" s="13"/>
      <c r="C1304" s="14"/>
      <c r="D1304" s="14"/>
      <c r="E1304" s="294"/>
      <c r="F1304" s="15"/>
      <c r="G1304" s="18"/>
      <c r="H1304" s="131"/>
      <c r="I1304" s="18"/>
      <c r="J1304" s="22"/>
      <c r="K1304" s="108"/>
      <c r="L1304" s="26"/>
    </row>
    <row r="1305">
      <c r="A1305" s="12"/>
      <c r="B1305" s="13"/>
      <c r="C1305" s="14"/>
      <c r="D1305" s="14"/>
      <c r="E1305" s="294"/>
      <c r="F1305" s="15"/>
      <c r="G1305" s="18"/>
      <c r="H1305" s="131"/>
      <c r="I1305" s="18"/>
      <c r="J1305" s="22"/>
      <c r="K1305" s="108"/>
      <c r="L1305" s="26"/>
    </row>
    <row r="1306">
      <c r="A1306" s="12"/>
      <c r="B1306" s="13"/>
      <c r="C1306" s="14"/>
      <c r="D1306" s="14"/>
      <c r="E1306" s="294"/>
      <c r="F1306" s="15"/>
      <c r="G1306" s="18"/>
      <c r="H1306" s="131"/>
      <c r="I1306" s="18"/>
      <c r="J1306" s="22"/>
      <c r="K1306" s="108"/>
      <c r="L1306" s="26"/>
    </row>
    <row r="1307">
      <c r="A1307" s="12"/>
      <c r="B1307" s="13"/>
      <c r="C1307" s="14"/>
      <c r="D1307" s="14"/>
      <c r="E1307" s="294"/>
      <c r="F1307" s="15"/>
      <c r="G1307" s="18"/>
      <c r="H1307" s="131"/>
      <c r="I1307" s="18"/>
      <c r="J1307" s="22"/>
      <c r="K1307" s="108"/>
      <c r="L1307" s="26"/>
    </row>
    <row r="1308">
      <c r="A1308" s="12"/>
      <c r="B1308" s="13"/>
      <c r="C1308" s="14"/>
      <c r="D1308" s="14"/>
      <c r="E1308" s="294"/>
      <c r="F1308" s="15"/>
      <c r="G1308" s="18"/>
      <c r="H1308" s="131"/>
      <c r="I1308" s="18"/>
      <c r="J1308" s="22"/>
      <c r="K1308" s="108"/>
      <c r="L1308" s="26"/>
    </row>
    <row r="1309">
      <c r="A1309" s="12"/>
      <c r="B1309" s="13"/>
      <c r="C1309" s="14"/>
      <c r="D1309" s="14"/>
      <c r="E1309" s="294"/>
      <c r="F1309" s="15"/>
      <c r="G1309" s="18"/>
      <c r="H1309" s="131"/>
      <c r="I1309" s="18"/>
      <c r="J1309" s="22"/>
      <c r="K1309" s="108"/>
      <c r="L1309" s="26"/>
    </row>
    <row r="1310">
      <c r="A1310" s="12"/>
      <c r="B1310" s="13"/>
      <c r="C1310" s="14"/>
      <c r="D1310" s="14"/>
      <c r="E1310" s="294"/>
      <c r="F1310" s="15"/>
      <c r="G1310" s="18"/>
      <c r="H1310" s="131"/>
      <c r="I1310" s="18"/>
      <c r="J1310" s="22"/>
      <c r="K1310" s="108"/>
      <c r="L1310" s="26"/>
    </row>
    <row r="1311">
      <c r="A1311" s="12"/>
      <c r="B1311" s="13"/>
      <c r="C1311" s="14"/>
      <c r="D1311" s="14"/>
      <c r="E1311" s="294"/>
      <c r="F1311" s="15"/>
      <c r="G1311" s="18"/>
      <c r="H1311" s="131"/>
      <c r="I1311" s="18"/>
      <c r="J1311" s="22"/>
      <c r="K1311" s="108"/>
      <c r="L1311" s="26"/>
    </row>
    <row r="1312">
      <c r="A1312" s="12"/>
      <c r="B1312" s="13"/>
      <c r="C1312" s="14"/>
      <c r="D1312" s="14"/>
      <c r="E1312" s="294"/>
      <c r="F1312" s="15"/>
      <c r="G1312" s="18"/>
      <c r="H1312" s="131"/>
      <c r="I1312" s="18"/>
      <c r="J1312" s="22"/>
      <c r="K1312" s="108"/>
      <c r="L1312" s="26"/>
    </row>
    <row r="1313">
      <c r="A1313" s="12"/>
      <c r="B1313" s="13"/>
      <c r="C1313" s="14"/>
      <c r="D1313" s="14"/>
      <c r="E1313" s="294"/>
      <c r="F1313" s="15"/>
      <c r="G1313" s="18"/>
      <c r="H1313" s="131"/>
      <c r="I1313" s="18"/>
      <c r="J1313" s="22"/>
      <c r="K1313" s="108"/>
      <c r="L1313" s="26"/>
    </row>
    <row r="1314">
      <c r="A1314" s="12"/>
      <c r="B1314" s="13"/>
      <c r="C1314" s="14"/>
      <c r="D1314" s="14"/>
      <c r="E1314" s="294"/>
      <c r="F1314" s="15"/>
      <c r="G1314" s="18"/>
      <c r="H1314" s="131"/>
      <c r="I1314" s="18"/>
      <c r="J1314" s="22"/>
      <c r="K1314" s="108"/>
      <c r="L1314" s="26"/>
    </row>
    <row r="1315">
      <c r="A1315" s="12"/>
      <c r="B1315" s="13"/>
      <c r="C1315" s="14"/>
      <c r="D1315" s="14"/>
      <c r="E1315" s="294"/>
      <c r="F1315" s="15"/>
      <c r="G1315" s="18"/>
      <c r="H1315" s="131"/>
      <c r="I1315" s="18"/>
      <c r="J1315" s="22"/>
      <c r="K1315" s="108"/>
      <c r="L1315" s="26"/>
    </row>
    <row r="1316">
      <c r="A1316" s="12"/>
      <c r="B1316" s="13"/>
      <c r="C1316" s="14"/>
      <c r="D1316" s="14"/>
      <c r="E1316" s="294"/>
      <c r="F1316" s="15"/>
      <c r="G1316" s="18"/>
      <c r="H1316" s="131"/>
      <c r="I1316" s="18"/>
      <c r="J1316" s="22"/>
      <c r="K1316" s="108"/>
      <c r="L1316" s="26"/>
    </row>
    <row r="1317">
      <c r="A1317" s="12"/>
      <c r="B1317" s="13"/>
      <c r="C1317" s="14"/>
      <c r="D1317" s="14"/>
      <c r="E1317" s="294"/>
      <c r="F1317" s="15"/>
      <c r="G1317" s="18"/>
      <c r="H1317" s="131"/>
      <c r="I1317" s="18"/>
      <c r="J1317" s="22"/>
      <c r="K1317" s="108"/>
      <c r="L1317" s="26"/>
    </row>
    <row r="1318">
      <c r="A1318" s="12"/>
      <c r="B1318" s="13"/>
      <c r="C1318" s="14"/>
      <c r="D1318" s="14"/>
      <c r="E1318" s="294"/>
      <c r="F1318" s="15"/>
      <c r="G1318" s="18"/>
      <c r="H1318" s="131"/>
      <c r="I1318" s="18"/>
      <c r="J1318" s="22"/>
      <c r="K1318" s="108"/>
      <c r="L1318" s="26"/>
    </row>
    <row r="1319">
      <c r="A1319" s="12"/>
      <c r="B1319" s="13"/>
      <c r="C1319" s="14"/>
      <c r="D1319" s="14"/>
      <c r="E1319" s="294"/>
      <c r="F1319" s="15"/>
      <c r="G1319" s="18"/>
      <c r="H1319" s="131"/>
      <c r="I1319" s="18"/>
      <c r="J1319" s="22"/>
      <c r="K1319" s="108"/>
      <c r="L1319" s="26"/>
    </row>
    <row r="1320">
      <c r="A1320" s="12"/>
      <c r="B1320" s="13"/>
      <c r="C1320" s="14"/>
      <c r="D1320" s="14"/>
      <c r="E1320" s="294"/>
      <c r="F1320" s="15"/>
      <c r="G1320" s="18"/>
      <c r="H1320" s="131"/>
      <c r="I1320" s="18"/>
      <c r="J1320" s="22"/>
      <c r="K1320" s="108"/>
      <c r="L1320" s="26"/>
    </row>
    <row r="1321">
      <c r="A1321" s="12"/>
      <c r="B1321" s="13"/>
      <c r="C1321" s="14"/>
      <c r="D1321" s="14"/>
      <c r="E1321" s="294"/>
      <c r="F1321" s="15"/>
      <c r="G1321" s="18"/>
      <c r="H1321" s="131"/>
      <c r="I1321" s="18"/>
      <c r="J1321" s="22"/>
      <c r="K1321" s="108"/>
      <c r="L1321" s="26"/>
    </row>
    <row r="1322">
      <c r="A1322" s="12"/>
      <c r="B1322" s="13"/>
      <c r="C1322" s="14"/>
      <c r="D1322" s="14"/>
      <c r="E1322" s="294"/>
      <c r="F1322" s="15"/>
      <c r="G1322" s="18"/>
      <c r="H1322" s="131"/>
      <c r="I1322" s="18"/>
      <c r="J1322" s="22"/>
      <c r="K1322" s="108"/>
      <c r="L1322" s="26"/>
    </row>
    <row r="1323">
      <c r="A1323" s="12"/>
      <c r="B1323" s="13"/>
      <c r="C1323" s="14"/>
      <c r="D1323" s="14"/>
      <c r="E1323" s="294"/>
      <c r="F1323" s="15"/>
      <c r="G1323" s="18"/>
      <c r="H1323" s="131"/>
      <c r="I1323" s="18"/>
      <c r="J1323" s="22"/>
      <c r="K1323" s="108"/>
      <c r="L1323" s="26"/>
    </row>
    <row r="1324">
      <c r="A1324" s="12"/>
      <c r="B1324" s="13"/>
      <c r="C1324" s="14"/>
      <c r="D1324" s="14"/>
      <c r="E1324" s="294"/>
      <c r="F1324" s="15"/>
      <c r="G1324" s="18"/>
      <c r="H1324" s="131"/>
      <c r="I1324" s="18"/>
      <c r="J1324" s="22"/>
      <c r="K1324" s="108"/>
      <c r="L1324" s="26"/>
    </row>
    <row r="1325">
      <c r="A1325" s="12"/>
      <c r="B1325" s="13"/>
      <c r="C1325" s="14"/>
      <c r="D1325" s="14"/>
      <c r="E1325" s="294"/>
      <c r="F1325" s="15"/>
      <c r="G1325" s="18"/>
      <c r="H1325" s="131"/>
      <c r="I1325" s="18"/>
      <c r="J1325" s="22"/>
      <c r="K1325" s="108"/>
      <c r="L1325" s="26"/>
    </row>
    <row r="1326">
      <c r="A1326" s="12"/>
      <c r="B1326" s="13"/>
      <c r="C1326" s="14"/>
      <c r="D1326" s="14"/>
      <c r="E1326" s="294"/>
      <c r="F1326" s="15"/>
      <c r="G1326" s="18"/>
      <c r="H1326" s="131"/>
      <c r="I1326" s="18"/>
      <c r="J1326" s="22"/>
      <c r="K1326" s="108"/>
      <c r="L1326" s="26"/>
    </row>
    <row r="1327">
      <c r="A1327" s="12"/>
      <c r="B1327" s="13"/>
      <c r="C1327" s="14"/>
      <c r="D1327" s="14"/>
      <c r="E1327" s="294"/>
      <c r="F1327" s="15"/>
      <c r="G1327" s="18"/>
      <c r="H1327" s="131"/>
      <c r="I1327" s="18"/>
      <c r="J1327" s="22"/>
      <c r="K1327" s="108"/>
      <c r="L1327" s="26"/>
    </row>
    <row r="1328">
      <c r="A1328" s="12"/>
      <c r="B1328" s="13"/>
      <c r="C1328" s="14"/>
      <c r="D1328" s="14"/>
      <c r="E1328" s="294"/>
      <c r="F1328" s="15"/>
      <c r="G1328" s="18"/>
      <c r="H1328" s="131"/>
      <c r="I1328" s="18"/>
      <c r="J1328" s="22"/>
      <c r="K1328" s="108"/>
      <c r="L1328" s="26"/>
    </row>
    <row r="1329">
      <c r="A1329" s="12"/>
      <c r="B1329" s="13"/>
      <c r="C1329" s="14"/>
      <c r="D1329" s="14"/>
      <c r="E1329" s="294"/>
      <c r="F1329" s="15"/>
      <c r="G1329" s="18"/>
      <c r="H1329" s="131"/>
      <c r="I1329" s="18"/>
      <c r="J1329" s="22"/>
      <c r="K1329" s="108"/>
      <c r="L1329" s="26"/>
    </row>
    <row r="1330">
      <c r="A1330" s="12"/>
      <c r="B1330" s="13"/>
      <c r="C1330" s="14"/>
      <c r="D1330" s="14"/>
      <c r="E1330" s="294"/>
      <c r="F1330" s="15"/>
      <c r="G1330" s="18"/>
      <c r="H1330" s="131"/>
      <c r="I1330" s="18"/>
      <c r="J1330" s="22"/>
      <c r="K1330" s="108"/>
      <c r="L1330" s="26"/>
    </row>
    <row r="1331">
      <c r="A1331" s="12"/>
      <c r="B1331" s="13"/>
      <c r="C1331" s="14"/>
      <c r="D1331" s="14"/>
      <c r="E1331" s="294"/>
      <c r="F1331" s="15"/>
      <c r="G1331" s="18"/>
      <c r="H1331" s="131"/>
      <c r="I1331" s="18"/>
      <c r="J1331" s="22"/>
      <c r="K1331" s="108"/>
      <c r="L1331" s="26"/>
    </row>
    <row r="1332">
      <c r="A1332" s="12"/>
      <c r="B1332" s="13"/>
      <c r="C1332" s="14"/>
      <c r="D1332" s="14"/>
      <c r="E1332" s="294"/>
      <c r="F1332" s="15"/>
      <c r="G1332" s="18"/>
      <c r="H1332" s="131"/>
      <c r="I1332" s="18"/>
      <c r="J1332" s="22"/>
      <c r="K1332" s="108"/>
      <c r="L1332" s="26"/>
    </row>
    <row r="1333">
      <c r="A1333" s="12"/>
      <c r="B1333" s="13"/>
      <c r="C1333" s="14"/>
      <c r="D1333" s="14"/>
      <c r="E1333" s="294"/>
      <c r="F1333" s="15"/>
      <c r="G1333" s="18"/>
      <c r="H1333" s="131"/>
      <c r="I1333" s="18"/>
      <c r="J1333" s="22"/>
      <c r="K1333" s="108"/>
      <c r="L1333" s="26"/>
    </row>
    <row r="1334">
      <c r="A1334" s="12"/>
      <c r="B1334" s="13"/>
      <c r="C1334" s="14"/>
      <c r="D1334" s="14"/>
      <c r="E1334" s="294"/>
      <c r="F1334" s="15"/>
      <c r="G1334" s="18"/>
      <c r="H1334" s="131"/>
      <c r="I1334" s="18"/>
      <c r="J1334" s="22"/>
      <c r="K1334" s="108"/>
      <c r="L1334" s="26"/>
    </row>
    <row r="1335">
      <c r="A1335" s="12"/>
      <c r="B1335" s="13"/>
      <c r="C1335" s="14"/>
      <c r="D1335" s="14"/>
      <c r="E1335" s="294"/>
      <c r="F1335" s="15"/>
      <c r="G1335" s="18"/>
      <c r="H1335" s="131"/>
      <c r="I1335" s="18"/>
      <c r="J1335" s="22"/>
      <c r="K1335" s="108"/>
      <c r="L1335" s="26"/>
    </row>
    <row r="1336">
      <c r="A1336" s="12"/>
      <c r="B1336" s="13"/>
      <c r="C1336" s="14"/>
      <c r="D1336" s="14"/>
      <c r="E1336" s="294"/>
      <c r="F1336" s="15"/>
      <c r="G1336" s="18"/>
      <c r="H1336" s="131"/>
      <c r="I1336" s="18"/>
      <c r="J1336" s="22"/>
      <c r="K1336" s="108"/>
      <c r="L1336" s="26"/>
    </row>
    <row r="1337">
      <c r="A1337" s="12"/>
      <c r="B1337" s="13"/>
      <c r="C1337" s="14"/>
      <c r="D1337" s="14"/>
      <c r="E1337" s="294"/>
      <c r="F1337" s="15"/>
      <c r="G1337" s="18"/>
      <c r="H1337" s="131"/>
      <c r="I1337" s="18"/>
      <c r="J1337" s="22"/>
      <c r="K1337" s="108"/>
      <c r="L1337" s="26"/>
    </row>
    <row r="1338">
      <c r="A1338" s="12"/>
      <c r="B1338" s="13"/>
      <c r="C1338" s="14"/>
      <c r="D1338" s="14"/>
      <c r="E1338" s="294"/>
      <c r="F1338" s="15"/>
      <c r="G1338" s="18"/>
      <c r="H1338" s="131"/>
      <c r="I1338" s="18"/>
      <c r="J1338" s="22"/>
      <c r="K1338" s="108"/>
      <c r="L1338" s="26"/>
    </row>
    <row r="1339">
      <c r="A1339" s="12"/>
      <c r="B1339" s="13"/>
      <c r="C1339" s="14"/>
      <c r="D1339" s="14"/>
      <c r="E1339" s="294"/>
      <c r="F1339" s="15"/>
      <c r="G1339" s="18"/>
      <c r="H1339" s="131"/>
      <c r="I1339" s="18"/>
      <c r="J1339" s="22"/>
      <c r="K1339" s="108"/>
      <c r="L1339" s="26"/>
    </row>
    <row r="1340">
      <c r="A1340" s="12"/>
      <c r="B1340" s="13"/>
      <c r="C1340" s="14"/>
      <c r="D1340" s="14"/>
      <c r="E1340" s="294"/>
      <c r="F1340" s="15"/>
      <c r="G1340" s="18"/>
      <c r="H1340" s="131"/>
      <c r="I1340" s="18"/>
      <c r="J1340" s="22"/>
      <c r="K1340" s="108"/>
      <c r="L1340" s="26"/>
    </row>
    <row r="1341">
      <c r="A1341" s="12"/>
      <c r="B1341" s="13"/>
      <c r="C1341" s="14"/>
      <c r="D1341" s="14"/>
      <c r="E1341" s="294"/>
      <c r="F1341" s="15"/>
      <c r="G1341" s="18"/>
      <c r="H1341" s="131"/>
      <c r="I1341" s="18"/>
      <c r="J1341" s="22"/>
      <c r="K1341" s="108"/>
      <c r="L1341" s="26"/>
    </row>
    <row r="1342">
      <c r="A1342" s="12"/>
      <c r="B1342" s="13"/>
      <c r="C1342" s="14"/>
      <c r="D1342" s="14"/>
      <c r="E1342" s="294"/>
      <c r="F1342" s="15"/>
      <c r="G1342" s="18"/>
      <c r="H1342" s="131"/>
      <c r="I1342" s="18"/>
      <c r="J1342" s="22"/>
      <c r="K1342" s="108"/>
      <c r="L1342" s="26"/>
    </row>
    <row r="1343">
      <c r="A1343" s="12"/>
      <c r="B1343" s="13"/>
      <c r="C1343" s="14"/>
      <c r="D1343" s="14"/>
      <c r="E1343" s="294"/>
      <c r="F1343" s="15"/>
      <c r="G1343" s="18"/>
      <c r="H1343" s="131"/>
      <c r="I1343" s="18"/>
      <c r="J1343" s="22"/>
      <c r="K1343" s="108"/>
      <c r="L1343" s="26"/>
    </row>
    <row r="1344">
      <c r="A1344" s="12"/>
      <c r="B1344" s="13"/>
      <c r="C1344" s="14"/>
      <c r="D1344" s="14"/>
      <c r="E1344" s="294"/>
      <c r="F1344" s="15"/>
      <c r="G1344" s="18"/>
      <c r="H1344" s="131"/>
      <c r="I1344" s="18"/>
      <c r="J1344" s="22"/>
      <c r="K1344" s="108"/>
      <c r="L1344" s="26"/>
    </row>
    <row r="1345">
      <c r="A1345" s="12"/>
      <c r="B1345" s="13"/>
      <c r="C1345" s="14"/>
      <c r="D1345" s="14"/>
      <c r="E1345" s="294"/>
      <c r="F1345" s="15"/>
      <c r="G1345" s="18"/>
      <c r="H1345" s="131"/>
      <c r="I1345" s="18"/>
      <c r="J1345" s="22"/>
      <c r="K1345" s="108"/>
      <c r="L1345" s="26"/>
    </row>
    <row r="1346">
      <c r="A1346" s="12"/>
      <c r="B1346" s="13"/>
      <c r="C1346" s="14"/>
      <c r="D1346" s="14"/>
      <c r="E1346" s="294"/>
      <c r="F1346" s="15"/>
      <c r="G1346" s="18"/>
      <c r="H1346" s="131"/>
      <c r="I1346" s="18"/>
      <c r="J1346" s="22"/>
      <c r="K1346" s="108"/>
      <c r="L1346" s="26"/>
    </row>
    <row r="1347">
      <c r="A1347" s="12"/>
      <c r="B1347" s="13"/>
      <c r="C1347" s="14"/>
      <c r="D1347" s="14"/>
      <c r="E1347" s="294"/>
      <c r="F1347" s="15"/>
      <c r="G1347" s="18"/>
      <c r="H1347" s="131"/>
      <c r="I1347" s="18"/>
      <c r="J1347" s="22"/>
      <c r="K1347" s="108"/>
      <c r="L1347" s="26"/>
    </row>
    <row r="1348">
      <c r="A1348" s="12"/>
      <c r="B1348" s="13"/>
      <c r="C1348" s="14"/>
      <c r="D1348" s="14"/>
      <c r="E1348" s="294"/>
      <c r="F1348" s="15"/>
      <c r="G1348" s="18"/>
      <c r="H1348" s="131"/>
      <c r="I1348" s="18"/>
      <c r="J1348" s="22"/>
      <c r="K1348" s="108"/>
      <c r="L1348" s="26"/>
    </row>
    <row r="1349">
      <c r="A1349" s="12"/>
      <c r="B1349" s="13"/>
      <c r="C1349" s="14"/>
      <c r="D1349" s="14"/>
      <c r="E1349" s="294"/>
      <c r="F1349" s="15"/>
      <c r="G1349" s="18"/>
      <c r="H1349" s="131"/>
      <c r="I1349" s="18"/>
      <c r="J1349" s="22"/>
      <c r="K1349" s="108"/>
      <c r="L1349" s="26"/>
    </row>
    <row r="1350">
      <c r="A1350" s="12"/>
      <c r="B1350" s="13"/>
      <c r="C1350" s="14"/>
      <c r="D1350" s="14"/>
      <c r="E1350" s="294"/>
      <c r="F1350" s="15"/>
      <c r="G1350" s="18"/>
      <c r="H1350" s="131"/>
      <c r="I1350" s="18"/>
      <c r="J1350" s="22"/>
      <c r="K1350" s="108"/>
      <c r="L1350" s="26"/>
    </row>
    <row r="1351">
      <c r="A1351" s="12"/>
      <c r="B1351" s="13"/>
      <c r="C1351" s="14"/>
      <c r="D1351" s="14"/>
      <c r="E1351" s="294"/>
      <c r="F1351" s="15"/>
      <c r="G1351" s="18"/>
      <c r="H1351" s="131"/>
      <c r="I1351" s="18"/>
      <c r="J1351" s="22"/>
      <c r="K1351" s="108"/>
      <c r="L1351" s="26"/>
    </row>
    <row r="1352">
      <c r="A1352" s="12"/>
      <c r="B1352" s="13"/>
      <c r="C1352" s="14"/>
      <c r="D1352" s="14"/>
      <c r="E1352" s="294"/>
      <c r="F1352" s="15"/>
      <c r="G1352" s="18"/>
      <c r="H1352" s="131"/>
      <c r="I1352" s="18"/>
      <c r="J1352" s="22"/>
      <c r="K1352" s="108"/>
      <c r="L1352" s="26"/>
    </row>
    <row r="1353">
      <c r="A1353" s="12"/>
      <c r="B1353" s="13"/>
      <c r="C1353" s="14"/>
      <c r="D1353" s="14"/>
      <c r="E1353" s="294"/>
      <c r="F1353" s="15"/>
      <c r="G1353" s="18"/>
      <c r="H1353" s="131"/>
      <c r="I1353" s="18"/>
      <c r="J1353" s="22"/>
      <c r="K1353" s="108"/>
      <c r="L1353" s="26"/>
    </row>
    <row r="1354">
      <c r="A1354" s="12"/>
      <c r="B1354" s="13"/>
      <c r="C1354" s="14"/>
      <c r="D1354" s="14"/>
      <c r="E1354" s="294"/>
      <c r="F1354" s="15"/>
      <c r="G1354" s="18"/>
      <c r="H1354" s="131"/>
      <c r="I1354" s="18"/>
      <c r="J1354" s="22"/>
      <c r="K1354" s="108"/>
      <c r="L1354" s="26"/>
    </row>
    <row r="1355">
      <c r="A1355" s="12"/>
      <c r="B1355" s="13"/>
      <c r="C1355" s="14"/>
      <c r="D1355" s="14"/>
      <c r="E1355" s="294"/>
      <c r="F1355" s="15"/>
      <c r="G1355" s="18"/>
      <c r="H1355" s="131"/>
      <c r="I1355" s="18"/>
      <c r="J1355" s="22"/>
      <c r="K1355" s="108"/>
      <c r="L1355" s="26"/>
    </row>
    <row r="1356">
      <c r="A1356" s="12"/>
      <c r="B1356" s="13"/>
      <c r="C1356" s="14"/>
      <c r="D1356" s="14"/>
      <c r="E1356" s="294"/>
      <c r="F1356" s="15"/>
      <c r="G1356" s="18"/>
      <c r="H1356" s="131"/>
      <c r="I1356" s="18"/>
      <c r="J1356" s="22"/>
      <c r="K1356" s="108"/>
      <c r="L1356" s="26"/>
    </row>
    <row r="1357">
      <c r="A1357" s="12"/>
      <c r="B1357" s="13"/>
      <c r="C1357" s="14"/>
      <c r="D1357" s="14"/>
      <c r="E1357" s="294"/>
      <c r="F1357" s="15"/>
      <c r="G1357" s="18"/>
      <c r="H1357" s="131"/>
      <c r="I1357" s="18"/>
      <c r="J1357" s="22"/>
      <c r="K1357" s="108"/>
      <c r="L1357" s="26"/>
    </row>
    <row r="1358">
      <c r="A1358" s="12"/>
      <c r="B1358" s="13"/>
      <c r="C1358" s="14"/>
      <c r="D1358" s="14"/>
      <c r="E1358" s="294"/>
      <c r="F1358" s="15"/>
      <c r="G1358" s="18"/>
      <c r="H1358" s="131"/>
      <c r="I1358" s="18"/>
      <c r="J1358" s="22"/>
      <c r="K1358" s="108"/>
      <c r="L1358" s="26"/>
    </row>
    <row r="1359">
      <c r="A1359" s="12"/>
      <c r="B1359" s="13"/>
      <c r="C1359" s="14"/>
      <c r="D1359" s="14"/>
      <c r="E1359" s="294"/>
      <c r="F1359" s="15"/>
      <c r="G1359" s="18"/>
      <c r="H1359" s="131"/>
      <c r="I1359" s="18"/>
      <c r="J1359" s="22"/>
      <c r="K1359" s="108"/>
      <c r="L1359" s="26"/>
    </row>
    <row r="1360">
      <c r="A1360" s="12"/>
      <c r="B1360" s="13"/>
      <c r="C1360" s="14"/>
      <c r="D1360" s="14"/>
      <c r="E1360" s="294"/>
      <c r="F1360" s="15"/>
      <c r="G1360" s="18"/>
      <c r="H1360" s="131"/>
      <c r="I1360" s="18"/>
      <c r="J1360" s="22"/>
      <c r="K1360" s="108"/>
      <c r="L1360" s="26"/>
    </row>
    <row r="1361">
      <c r="A1361" s="12"/>
      <c r="B1361" s="13"/>
      <c r="C1361" s="14"/>
      <c r="D1361" s="14"/>
      <c r="E1361" s="294"/>
      <c r="F1361" s="15"/>
      <c r="G1361" s="18"/>
      <c r="H1361" s="131"/>
      <c r="I1361" s="18"/>
      <c r="J1361" s="22"/>
      <c r="K1361" s="108"/>
      <c r="L1361" s="26"/>
    </row>
    <row r="1362">
      <c r="A1362" s="12"/>
      <c r="B1362" s="13"/>
      <c r="C1362" s="14"/>
      <c r="D1362" s="14"/>
      <c r="E1362" s="294"/>
      <c r="F1362" s="15"/>
      <c r="G1362" s="18"/>
      <c r="H1362" s="131"/>
      <c r="I1362" s="18"/>
      <c r="J1362" s="22"/>
      <c r="K1362" s="108"/>
      <c r="L1362" s="26"/>
    </row>
    <row r="1363">
      <c r="A1363" s="12"/>
      <c r="B1363" s="13"/>
      <c r="C1363" s="14"/>
      <c r="D1363" s="14"/>
      <c r="E1363" s="294"/>
      <c r="F1363" s="15"/>
      <c r="G1363" s="18"/>
      <c r="H1363" s="131"/>
      <c r="I1363" s="18"/>
      <c r="J1363" s="22"/>
      <c r="K1363" s="108"/>
      <c r="L1363" s="26"/>
    </row>
    <row r="1364">
      <c r="A1364" s="12"/>
      <c r="B1364" s="13"/>
      <c r="C1364" s="14"/>
      <c r="D1364" s="14"/>
      <c r="E1364" s="294"/>
      <c r="F1364" s="15"/>
      <c r="G1364" s="18"/>
      <c r="H1364" s="131"/>
      <c r="I1364" s="18"/>
      <c r="J1364" s="22"/>
      <c r="K1364" s="108"/>
      <c r="L1364" s="26"/>
    </row>
  </sheetData>
  <autoFilter ref="$A$2:$L$863">
    <sortState ref="A2:L863">
      <sortCondition ref="A2:A863"/>
    </sortState>
  </autoFilter>
  <conditionalFormatting sqref="B1">
    <cfRule type="cellIs" dxfId="4" priority="1" operator="equal">
      <formula>"Xbox"</formula>
    </cfRule>
  </conditionalFormatting>
  <conditionalFormatting sqref="A3:A1364">
    <cfRule type="expression" dxfId="6" priority="2">
      <formula>MATCH(A3,INDIRECT("'Xbox Game Studios'!A:A"),0)</formula>
    </cfRule>
  </conditionalFormatting>
  <conditionalFormatting sqref="A3:A1364">
    <cfRule type="expression" dxfId="5" priority="3">
      <formula>MATCH(A3,INDIRECT("'EA Play'!A:A"),0)</formula>
    </cfRule>
  </conditionalFormatting>
  <conditionalFormatting sqref="A3:A1364 D3:D1364">
    <cfRule type="expression" dxfId="13" priority="4">
      <formula>$D3="Coming Soon"</formula>
    </cfRule>
  </conditionalFormatting>
  <conditionalFormatting sqref="A3:A1364 D3:D1364">
    <cfRule type="expression" dxfId="7" priority="5">
      <formula>$D3="Removed"</formula>
    </cfRule>
  </conditionalFormatting>
  <conditionalFormatting sqref="A3:A1364 D3:D1364">
    <cfRule type="expression" dxfId="10" priority="6">
      <formula>$D3="Leaving Soon"</formula>
    </cfRule>
  </conditionalFormatting>
  <conditionalFormatting sqref="E3:E1364 I3:I1364">
    <cfRule type="expression" dxfId="4" priority="7">
      <formula>AND($E3&lt;&gt;"",(($E3-$H3)/365*12)&lt;1)</formula>
    </cfRule>
  </conditionalFormatting>
  <conditionalFormatting sqref="J3:J1364">
    <cfRule type="cellIs" dxfId="5" priority="8" operator="between">
      <formula>75</formula>
      <formula>89</formula>
    </cfRule>
  </conditionalFormatting>
  <conditionalFormatting sqref="J3:J1364">
    <cfRule type="cellIs" dxfId="6" priority="9" operator="between">
      <formula>50</formula>
      <formula>74</formula>
    </cfRule>
  </conditionalFormatting>
  <conditionalFormatting sqref="J3:J1364">
    <cfRule type="cellIs" dxfId="7" priority="10" operator="between">
      <formula>1</formula>
      <formula>49</formula>
    </cfRule>
  </conditionalFormatting>
  <conditionalFormatting sqref="B3:B1364">
    <cfRule type="expression" dxfId="14" priority="11">
      <formula>AND(MATCH(A3,INDIRECT("'Cross Play'!D2:D"),0),MATCH(A3,INDIRECT("'Cross Play'!A2:A"),0))</formula>
    </cfRule>
  </conditionalFormatting>
  <conditionalFormatting sqref="B3:B1364">
    <cfRule type="expression" dxfId="15" priority="12">
      <formula>MATCH(A3,INDIRECT("'Cross Play'!A2:A"),0)</formula>
    </cfRule>
  </conditionalFormatting>
  <conditionalFormatting sqref="B3:B1364">
    <cfRule type="expression" dxfId="16" priority="13">
      <formula>MATCH(A3,INDIRECT("'Cross Play'!D2:D"),0)</formula>
    </cfRule>
  </conditionalFormatting>
  <conditionalFormatting sqref="I3:I1364">
    <cfRule type="colorScale" priority="14">
      <colorScale>
        <cfvo type="min"/>
        <cfvo type="percentile" val="50"/>
        <cfvo type="max"/>
        <color rgb="FFB6D7A8"/>
        <color rgb="FFFFE599"/>
        <color rgb="FFEA9999"/>
      </colorScale>
    </cfRule>
  </conditionalFormatting>
  <conditionalFormatting sqref="A212">
    <cfRule type="notContainsBlanks" dxfId="5" priority="15">
      <formula>LEN(TRIM(A212))&gt;0</formula>
    </cfRule>
  </conditionalFormatting>
  <conditionalFormatting sqref="J2:J1364 K2">
    <cfRule type="cellIs" dxfId="8" priority="16" operator="between">
      <formula>90</formula>
      <formula>100</formula>
    </cfRule>
  </conditionalFormatting>
  <conditionalFormatting sqref="G3:G1364">
    <cfRule type="expression" dxfId="9" priority="17">
      <formula>MATCH(A3,INDIRECT("'Xbox Game Studios'!A:A"),0)</formula>
    </cfRule>
  </conditionalFormatting>
  <conditionalFormatting sqref="G3:G1364">
    <cfRule type="expression" dxfId="9" priority="18">
      <formula>MATCH(A3,INDIRECT("'EA Play'!A:A"),0)</formula>
    </cfRule>
  </conditionalFormatting>
  <conditionalFormatting sqref="G3:G1364">
    <cfRule type="expression" dxfId="10" priority="19">
      <formula>AND(D3="Active",OR(AND(G3&gt;11,G3&lt;13),AND(G3&gt;23,G3&lt;25),AND(G3&gt;35,G3&lt;37)),)</formula>
    </cfRule>
  </conditionalFormatting>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C7C3"/>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2"/>
  <cols>
    <col customWidth="1" min="1" max="1" width="48.75"/>
    <col customWidth="1" min="2" max="2" width="9.38"/>
    <col customWidth="1" min="3" max="3" width="9.13"/>
    <col customWidth="1" min="4" max="4" width="11.38"/>
    <col customWidth="1" min="5" max="5" width="11.5"/>
    <col customWidth="1" min="6" max="6" width="12.88"/>
    <col customWidth="1" min="7" max="7" width="9.38"/>
    <col customWidth="1" min="8" max="10" width="11.5"/>
    <col customWidth="1" min="11" max="11" width="12.38"/>
    <col customWidth="1" min="12" max="12" width="44.13"/>
  </cols>
  <sheetData>
    <row r="1">
      <c r="A1" s="126" t="s">
        <v>398</v>
      </c>
      <c r="B1" s="6">
        <f>COUNTA(D2:D2459)</f>
        <v>1106</v>
      </c>
      <c r="C1" s="2"/>
      <c r="D1" s="2"/>
      <c r="E1" s="2"/>
      <c r="F1" s="2"/>
      <c r="G1" s="2"/>
      <c r="H1" s="2"/>
      <c r="I1" s="2"/>
      <c r="J1" s="2"/>
      <c r="K1" s="2"/>
      <c r="L1" s="2"/>
    </row>
    <row r="2">
      <c r="A2" s="1" t="s">
        <v>0</v>
      </c>
      <c r="B2" s="8" t="s">
        <v>2</v>
      </c>
      <c r="C2" s="9" t="s">
        <v>3</v>
      </c>
      <c r="D2" s="8" t="s">
        <v>4</v>
      </c>
      <c r="E2" s="8" t="s">
        <v>5</v>
      </c>
      <c r="F2" s="9" t="s">
        <v>6</v>
      </c>
      <c r="G2" s="11" t="s">
        <v>7</v>
      </c>
      <c r="H2" s="7" t="s">
        <v>8</v>
      </c>
      <c r="I2" s="7" t="s">
        <v>9</v>
      </c>
      <c r="J2" s="7" t="s">
        <v>10</v>
      </c>
      <c r="K2" s="7" t="s">
        <v>11</v>
      </c>
      <c r="L2" s="7" t="s">
        <v>12</v>
      </c>
    </row>
    <row r="3" hidden="1">
      <c r="A3" s="17" t="str">
        <f>IFERROR(__xludf.DUMMYFUNCTION("FILTER('Master List'!A2:L2459, REGEXMATCH('Master List'!D2:D2459, ""Removed""))"),"Little Rocket Lab")</f>
        <v>Little Rocket Lab</v>
      </c>
      <c r="B3" s="20" t="str">
        <f>IFERROR(__xludf.DUMMYFUNCTION("""COMPUTED_VALUE"""),"Xbox / PC")</f>
        <v>Xbox / PC</v>
      </c>
      <c r="C3" s="20" t="str">
        <f>IFERROR(__xludf.DUMMYFUNCTION("""COMPUTED_VALUE"""),"Yes")</f>
        <v>Yes</v>
      </c>
      <c r="D3" s="21" t="str">
        <f>IFERROR(__xludf.DUMMYFUNCTION("""COMPUTED_VALUE"""),"Removed")</f>
        <v>Removed</v>
      </c>
      <c r="E3" s="127">
        <f>IFERROR(__xludf.DUMMYFUNCTION("""COMPUTED_VALUE"""),45938.0)</f>
        <v>45938</v>
      </c>
      <c r="F3" s="24">
        <f>IFERROR(__xludf.DUMMYFUNCTION("""COMPUTED_VALUE"""),46295.0)</f>
        <v>46295</v>
      </c>
      <c r="G3" s="27">
        <f>IFERROR(__xludf.DUMMYFUNCTION("""COMPUTED_VALUE"""),11.733333333333333)</f>
        <v>11.73333333</v>
      </c>
      <c r="H3" s="128">
        <f>IFERROR(__xludf.DUMMYFUNCTION("""COMPUTED_VALUE"""),45937.0)</f>
        <v>45937</v>
      </c>
      <c r="I3" s="27">
        <f>IFERROR(__xludf.DUMMYFUNCTION("""COMPUTED_VALUE"""),0.002777777777777778)</f>
        <v>0.002777777778</v>
      </c>
      <c r="J3" s="29">
        <f>IFERROR(__xludf.DUMMYFUNCTION("""COMPUTED_VALUE"""),83.0)</f>
        <v>83</v>
      </c>
      <c r="K3" s="29">
        <f>IFERROR(__xludf.DUMMYFUNCTION("""COMPUTED_VALUE"""),42.0)</f>
        <v>42</v>
      </c>
      <c r="L3" s="31" t="str">
        <f>IFERROR(__xludf.DUMMYFUNCTION("""COMPUTED_VALUE"""),"Sandbox")</f>
        <v>Sandbox</v>
      </c>
    </row>
    <row r="4" hidden="1">
      <c r="A4" s="17" t="str">
        <f>IFERROR(__xludf.DUMMYFUNCTION("""COMPUTED_VALUE"""),"Sopa: Tale of the Stolen Potato")</f>
        <v>Sopa: Tale of the Stolen Potato</v>
      </c>
      <c r="B4" s="20" t="str">
        <f>IFERROR(__xludf.DUMMYFUNCTION("""COMPUTED_VALUE"""),"Xbox / PC")</f>
        <v>Xbox / PC</v>
      </c>
      <c r="C4" s="20" t="str">
        <f>IFERROR(__xludf.DUMMYFUNCTION("""COMPUTED_VALUE"""),"Yes")</f>
        <v>Yes</v>
      </c>
      <c r="D4" s="21" t="str">
        <f>IFERROR(__xludf.DUMMYFUNCTION("""COMPUTED_VALUE"""),"Removed")</f>
        <v>Removed</v>
      </c>
      <c r="E4" s="127">
        <f>IFERROR(__xludf.DUMMYFUNCTION("""COMPUTED_VALUE"""),45937.0)</f>
        <v>45937</v>
      </c>
      <c r="F4" s="24">
        <f>IFERROR(__xludf.DUMMYFUNCTION("""COMPUTED_VALUE"""),46295.0)</f>
        <v>46295</v>
      </c>
      <c r="G4" s="27">
        <f>IFERROR(__xludf.DUMMYFUNCTION("""COMPUTED_VALUE"""),11.766666666666666)</f>
        <v>11.76666667</v>
      </c>
      <c r="H4" s="128">
        <f>IFERROR(__xludf.DUMMYFUNCTION("""COMPUTED_VALUE"""),45937.0)</f>
        <v>45937</v>
      </c>
      <c r="I4" s="27">
        <f>IFERROR(__xludf.DUMMYFUNCTION("""COMPUTED_VALUE"""),0.0)</f>
        <v>0</v>
      </c>
      <c r="J4" s="29">
        <f>IFERROR(__xludf.DUMMYFUNCTION("""COMPUTED_VALUE"""),79.0)</f>
        <v>79</v>
      </c>
      <c r="K4" s="29">
        <f>IFERROR(__xludf.DUMMYFUNCTION("""COMPUTED_VALUE"""),3.0)</f>
        <v>3</v>
      </c>
      <c r="L4" s="31" t="str">
        <f>IFERROR(__xludf.DUMMYFUNCTION("""COMPUTED_VALUE"""),"Action-Adventure")</f>
        <v>Action-Adventure</v>
      </c>
    </row>
    <row r="5" hidden="1">
      <c r="A5" s="278" t="str">
        <f>IFERROR(__xludf.DUMMYFUNCTION("""COMPUTED_VALUE"""),"Lara Croft and the Guardian of Light")</f>
        <v>Lara Croft and the Guardian of Light</v>
      </c>
      <c r="B5" s="20" t="str">
        <f>IFERROR(__xludf.DUMMYFUNCTION("""COMPUTED_VALUE"""),"Xbox / PC")</f>
        <v>Xbox / PC</v>
      </c>
      <c r="C5" s="21" t="str">
        <f>IFERROR(__xludf.DUMMYFUNCTION("""COMPUTED_VALUE"""),"Yes")</f>
        <v>Yes</v>
      </c>
      <c r="D5" s="21" t="str">
        <f>IFERROR(__xludf.DUMMYFUNCTION("""COMPUTED_VALUE"""),"Removed")</f>
        <v>Removed</v>
      </c>
      <c r="E5" s="279">
        <f>IFERROR(__xludf.DUMMYFUNCTION("""COMPUTED_VALUE"""),45930.0)</f>
        <v>45930</v>
      </c>
      <c r="F5" s="279">
        <f>IFERROR(__xludf.DUMMYFUNCTION("""COMPUTED_VALUE"""),46295.0)</f>
        <v>46295</v>
      </c>
      <c r="G5" s="27">
        <f>IFERROR(__xludf.DUMMYFUNCTION("""COMPUTED_VALUE"""),12.0)</f>
        <v>12</v>
      </c>
      <c r="H5" s="128">
        <f>IFERROR(__xludf.DUMMYFUNCTION("""COMPUTED_VALUE"""),42062.0)</f>
        <v>42062</v>
      </c>
      <c r="I5" s="27">
        <f>IFERROR(__xludf.DUMMYFUNCTION("""COMPUTED_VALUE"""),10.591666666666667)</f>
        <v>10.59166667</v>
      </c>
      <c r="J5" s="29">
        <f>IFERROR(__xludf.DUMMYFUNCTION("""COMPUTED_VALUE"""),84.0)</f>
        <v>84</v>
      </c>
      <c r="K5" s="29">
        <f>IFERROR(__xludf.DUMMYFUNCTION("""COMPUTED_VALUE"""),7.0)</f>
        <v>7</v>
      </c>
      <c r="L5" s="275" t="str">
        <f>IFERROR(__xludf.DUMMYFUNCTION("""COMPUTED_VALUE"""),"Action-Adventure")</f>
        <v>Action-Adventure</v>
      </c>
    </row>
    <row r="6" hidden="1">
      <c r="A6" s="278" t="str">
        <f>IFERROR(__xludf.DUMMYFUNCTION("""COMPUTED_VALUE"""),"SWORN")</f>
        <v>SWORN</v>
      </c>
      <c r="B6" s="20" t="str">
        <f>IFERROR(__xludf.DUMMYFUNCTION("""COMPUTED_VALUE"""),"Xbox / PC")</f>
        <v>Xbox / PC</v>
      </c>
      <c r="C6" s="21" t="str">
        <f>IFERROR(__xludf.DUMMYFUNCTION("""COMPUTED_VALUE"""),"Yes")</f>
        <v>Yes</v>
      </c>
      <c r="D6" s="21" t="str">
        <f>IFERROR(__xludf.DUMMYFUNCTION("""COMPUTED_VALUE"""),"Removed")</f>
        <v>Removed</v>
      </c>
      <c r="E6" s="279">
        <f>IFERROR(__xludf.DUMMYFUNCTION("""COMPUTED_VALUE"""),45923.0)</f>
        <v>45923</v>
      </c>
      <c r="F6" s="279">
        <f>IFERROR(__xludf.DUMMYFUNCTION("""COMPUTED_VALUE"""),46295.0)</f>
        <v>46295</v>
      </c>
      <c r="G6" s="27">
        <f>IFERROR(__xludf.DUMMYFUNCTION("""COMPUTED_VALUE"""),12.233333333333333)</f>
        <v>12.23333333</v>
      </c>
      <c r="H6" s="128">
        <f>IFERROR(__xludf.DUMMYFUNCTION("""COMPUTED_VALUE"""),45923.0)</f>
        <v>45923</v>
      </c>
      <c r="I6" s="27">
        <f>IFERROR(__xludf.DUMMYFUNCTION("""COMPUTED_VALUE"""),0.0)</f>
        <v>0</v>
      </c>
      <c r="J6" s="29">
        <f>IFERROR(__xludf.DUMMYFUNCTION("""COMPUTED_VALUE"""),77.66666666666667)</f>
        <v>77.66666667</v>
      </c>
      <c r="K6" s="29">
        <f>IFERROR(__xludf.DUMMYFUNCTION("""COMPUTED_VALUE"""),10.0)</f>
        <v>10</v>
      </c>
      <c r="L6" s="275" t="str">
        <f>IFERROR(__xludf.DUMMYFUNCTION("""COMPUTED_VALUE"""),"RPG")</f>
        <v>RPG</v>
      </c>
    </row>
    <row r="7" hidden="1">
      <c r="A7" s="17" t="str">
        <f>IFERROR(__xludf.DUMMYFUNCTION("""COMPUTED_VALUE"""),"Little Nightmares II")</f>
        <v>Little Nightmares II</v>
      </c>
      <c r="B7" s="20" t="str">
        <f>IFERROR(__xludf.DUMMYFUNCTION("""COMPUTED_VALUE"""),"Xbox / PC")</f>
        <v>Xbox / PC</v>
      </c>
      <c r="C7" s="20" t="str">
        <f>IFERROR(__xludf.DUMMYFUNCTION("""COMPUTED_VALUE"""),"Yes")</f>
        <v>Yes</v>
      </c>
      <c r="D7" s="21" t="str">
        <f>IFERROR(__xludf.DUMMYFUNCTION("""COMPUTED_VALUE"""),"Removed")</f>
        <v>Removed</v>
      </c>
      <c r="E7" s="127">
        <f>IFERROR(__xludf.DUMMYFUNCTION("""COMPUTED_VALUE"""),45839.0)</f>
        <v>45839</v>
      </c>
      <c r="F7" s="276">
        <f>IFERROR(__xludf.DUMMYFUNCTION("""COMPUTED_VALUE"""),46295.0)</f>
        <v>46295</v>
      </c>
      <c r="G7" s="27">
        <f>IFERROR(__xludf.DUMMYFUNCTION("""COMPUTED_VALUE"""),14.966666666666667)</f>
        <v>14.96666667</v>
      </c>
      <c r="H7" s="128">
        <f>IFERROR(__xludf.DUMMYFUNCTION("""COMPUTED_VALUE"""),44238.0)</f>
        <v>44238</v>
      </c>
      <c r="I7" s="27">
        <f>IFERROR(__xludf.DUMMYFUNCTION("""COMPUTED_VALUE"""),4.388888888888889)</f>
        <v>4.388888889</v>
      </c>
      <c r="J7" s="29">
        <f>IFERROR(__xludf.DUMMYFUNCTION("""COMPUTED_VALUE"""),82.0)</f>
        <v>82</v>
      </c>
      <c r="K7" s="29">
        <f>IFERROR(__xludf.DUMMYFUNCTION("""COMPUTED_VALUE"""),6.0)</f>
        <v>6</v>
      </c>
      <c r="L7" s="31" t="str">
        <f>IFERROR(__xludf.DUMMYFUNCTION("""COMPUTED_VALUE"""),"Action-Adventure")</f>
        <v>Action-Adventure</v>
      </c>
    </row>
    <row r="8" hidden="1">
      <c r="A8" s="278" t="str">
        <f>IFERROR(__xludf.DUMMYFUNCTION("""COMPUTED_VALUE"""),"Atomfall")</f>
        <v>Atomfall</v>
      </c>
      <c r="B8" s="20" t="str">
        <f>IFERROR(__xludf.DUMMYFUNCTION("""COMPUTED_VALUE"""),"Xbox / PC")</f>
        <v>Xbox / PC</v>
      </c>
      <c r="C8" s="21" t="str">
        <f>IFERROR(__xludf.DUMMYFUNCTION("""COMPUTED_VALUE"""),"Yes")</f>
        <v>Yes</v>
      </c>
      <c r="D8" s="21" t="str">
        <f>IFERROR(__xludf.DUMMYFUNCTION("""COMPUTED_VALUE"""),"Removed")</f>
        <v>Removed</v>
      </c>
      <c r="E8" s="279">
        <f>IFERROR(__xludf.DUMMYFUNCTION("""COMPUTED_VALUE"""),45743.0)</f>
        <v>45743</v>
      </c>
      <c r="F8" s="279">
        <f>IFERROR(__xludf.DUMMYFUNCTION("""COMPUTED_VALUE"""),46295.0)</f>
        <v>46295</v>
      </c>
      <c r="G8" s="27">
        <f>IFERROR(__xludf.DUMMYFUNCTION("""COMPUTED_VALUE"""),18.1)</f>
        <v>18.1</v>
      </c>
      <c r="H8" s="128">
        <f>IFERROR(__xludf.DUMMYFUNCTION("""COMPUTED_VALUE"""),45743.0)</f>
        <v>45743</v>
      </c>
      <c r="I8" s="27">
        <f>IFERROR(__xludf.DUMMYFUNCTION("""COMPUTED_VALUE"""),0.0)</f>
        <v>0</v>
      </c>
      <c r="J8" s="277">
        <f>IFERROR(__xludf.DUMMYFUNCTION("""COMPUTED_VALUE"""),75.0)</f>
        <v>75</v>
      </c>
      <c r="K8" s="29">
        <f>IFERROR(__xludf.DUMMYFUNCTION("""COMPUTED_VALUE"""),9.0)</f>
        <v>9</v>
      </c>
      <c r="L8" s="275" t="str">
        <f>IFERROR(__xludf.DUMMYFUNCTION("""COMPUTED_VALUE"""),"Action-Adventure")</f>
        <v>Action-Adventure</v>
      </c>
    </row>
    <row r="9" hidden="1">
      <c r="A9" s="278" t="str">
        <f>IFERROR(__xludf.DUMMYFUNCTION("""COMPUTED_VALUE"""),"SIFU")</f>
        <v>SIFU</v>
      </c>
      <c r="B9" s="20" t="str">
        <f>IFERROR(__xludf.DUMMYFUNCTION("""COMPUTED_VALUE"""),"Xbox / PC")</f>
        <v>Xbox / PC</v>
      </c>
      <c r="C9" s="21" t="str">
        <f>IFERROR(__xludf.DUMMYFUNCTION("""COMPUTED_VALUE"""),"Yes")</f>
        <v>Yes</v>
      </c>
      <c r="D9" s="21" t="str">
        <f>IFERROR(__xludf.DUMMYFUNCTION("""COMPUTED_VALUE"""),"Removed")</f>
        <v>Removed</v>
      </c>
      <c r="E9" s="279">
        <f>IFERROR(__xludf.DUMMYFUNCTION("""COMPUTED_VALUE"""),45567.0)</f>
        <v>45567</v>
      </c>
      <c r="F9" s="279">
        <f>IFERROR(__xludf.DUMMYFUNCTION("""COMPUTED_VALUE"""),46295.0)</f>
        <v>46295</v>
      </c>
      <c r="G9" s="27">
        <f>IFERROR(__xludf.DUMMYFUNCTION("""COMPUTED_VALUE"""),23.933333333333334)</f>
        <v>23.93333333</v>
      </c>
      <c r="H9" s="128">
        <f>IFERROR(__xludf.DUMMYFUNCTION("""COMPUTED_VALUE"""),44600.0)</f>
        <v>44600</v>
      </c>
      <c r="I9" s="27">
        <f>IFERROR(__xludf.DUMMYFUNCTION("""COMPUTED_VALUE"""),2.65)</f>
        <v>2.65</v>
      </c>
      <c r="J9" s="29">
        <f>IFERROR(__xludf.DUMMYFUNCTION("""COMPUTED_VALUE"""),81.0)</f>
        <v>81</v>
      </c>
      <c r="K9" s="29">
        <f>IFERROR(__xludf.DUMMYFUNCTION("""COMPUTED_VALUE"""),9.0)</f>
        <v>9</v>
      </c>
      <c r="L9" s="275" t="str">
        <f>IFERROR(__xludf.DUMMYFUNCTION("""COMPUTED_VALUE"""),"Beat-'Em-Up")</f>
        <v>Beat-'Em-Up</v>
      </c>
    </row>
    <row r="10" hidden="1">
      <c r="A10" s="278" t="str">
        <f>IFERROR(__xludf.DUMMYFUNCTION("""COMPUTED_VALUE"""),"Cyberpunk 2077")</f>
        <v>Cyberpunk 2077</v>
      </c>
      <c r="B10" s="20" t="str">
        <f>IFERROR(__xludf.DUMMYFUNCTION("""COMPUTED_VALUE"""),"Xbox")</f>
        <v>Xbox</v>
      </c>
      <c r="C10" s="21" t="str">
        <f>IFERROR(__xludf.DUMMYFUNCTION("""COMPUTED_VALUE"""),"Yes")</f>
        <v>Yes</v>
      </c>
      <c r="D10" s="21" t="str">
        <f>IFERROR(__xludf.DUMMYFUNCTION("""COMPUTED_VALUE"""),"Removed")</f>
        <v>Removed</v>
      </c>
      <c r="E10" s="279">
        <f>IFERROR(__xludf.DUMMYFUNCTION("""COMPUTED_VALUE"""),46091.0)</f>
        <v>46091</v>
      </c>
      <c r="F10" s="279">
        <f>IFERROR(__xludf.DUMMYFUNCTION("""COMPUTED_VALUE"""),46280.0)</f>
        <v>46280</v>
      </c>
      <c r="G10" s="27">
        <f>IFERROR(__xludf.DUMMYFUNCTION("""COMPUTED_VALUE"""),6.166666666666666)</f>
        <v>6.166666667</v>
      </c>
      <c r="H10" s="128">
        <f>IFERROR(__xludf.DUMMYFUNCTION("""COMPUTED_VALUE"""),44175.0)</f>
        <v>44175</v>
      </c>
      <c r="I10" s="27">
        <f>IFERROR(__xludf.DUMMYFUNCTION("""COMPUTED_VALUE"""),5.25)</f>
        <v>5.25</v>
      </c>
      <c r="J10" s="29">
        <f>IFERROR(__xludf.DUMMYFUNCTION("""COMPUTED_VALUE"""),86.0)</f>
        <v>86</v>
      </c>
      <c r="K10" s="29">
        <f>IFERROR(__xludf.DUMMYFUNCTION("""COMPUTED_VALUE"""),18.0)</f>
        <v>18</v>
      </c>
      <c r="L10" s="275" t="str">
        <f>IFERROR(__xludf.DUMMYFUNCTION("""COMPUTED_VALUE"""),"RPG")</f>
        <v>RPG</v>
      </c>
    </row>
    <row r="11" hidden="1">
      <c r="A11" s="278" t="str">
        <f>IFERROR(__xludf.DUMMYFUNCTION("""COMPUTED_VALUE"""),"Deep Rock Galactic: Survivor")</f>
        <v>Deep Rock Galactic: Survivor</v>
      </c>
      <c r="B11" s="20" t="str">
        <f>IFERROR(__xludf.DUMMYFUNCTION("""COMPUTED_VALUE"""),"Xbox / PC")</f>
        <v>Xbox / PC</v>
      </c>
      <c r="C11" s="21" t="str">
        <f>IFERROR(__xludf.DUMMYFUNCTION("""COMPUTED_VALUE"""),"Yes")</f>
        <v>Yes</v>
      </c>
      <c r="D11" s="21" t="str">
        <f>IFERROR(__xludf.DUMMYFUNCTION("""COMPUTED_VALUE"""),"Removed")</f>
        <v>Removed</v>
      </c>
      <c r="E11" s="279">
        <f>IFERROR(__xludf.DUMMYFUNCTION("""COMPUTED_VALUE"""),45917.0)</f>
        <v>45917</v>
      </c>
      <c r="F11" s="279">
        <f>IFERROR(__xludf.DUMMYFUNCTION("""COMPUTED_VALUE"""),46280.0)</f>
        <v>46280</v>
      </c>
      <c r="G11" s="27">
        <f>IFERROR(__xludf.DUMMYFUNCTION("""COMPUTED_VALUE"""),11.933333333333334)</f>
        <v>11.93333333</v>
      </c>
      <c r="H11" s="128">
        <f>IFERROR(__xludf.DUMMYFUNCTION("""COMPUTED_VALUE"""),45917.0)</f>
        <v>45917</v>
      </c>
      <c r="I11" s="27">
        <f>IFERROR(__xludf.DUMMYFUNCTION("""COMPUTED_VALUE"""),0.0)</f>
        <v>0</v>
      </c>
      <c r="J11" s="29">
        <f>IFERROR(__xludf.DUMMYFUNCTION("""COMPUTED_VALUE"""),86.0)</f>
        <v>86</v>
      </c>
      <c r="K11" s="29">
        <f>IFERROR(__xludf.DUMMYFUNCTION("""COMPUTED_VALUE"""),15.0)</f>
        <v>15</v>
      </c>
      <c r="L11" s="275" t="str">
        <f>IFERROR(__xludf.DUMMYFUNCTION("""COMPUTED_VALUE"""),"Shooter")</f>
        <v>Shooter</v>
      </c>
    </row>
    <row r="12" hidden="1">
      <c r="A12" s="278" t="str">
        <f>IFERROR(__xludf.DUMMYFUNCTION("""COMPUTED_VALUE"""),"Commandos: Origins")</f>
        <v>Commandos: Origins</v>
      </c>
      <c r="B12" s="20" t="str">
        <f>IFERROR(__xludf.DUMMYFUNCTION("""COMPUTED_VALUE"""),"Xbox / PC")</f>
        <v>Xbox / PC</v>
      </c>
      <c r="C12" s="21" t="str">
        <f>IFERROR(__xludf.DUMMYFUNCTION("""COMPUTED_VALUE"""),"Yes")</f>
        <v>Yes</v>
      </c>
      <c r="D12" s="21" t="str">
        <f>IFERROR(__xludf.DUMMYFUNCTION("""COMPUTED_VALUE"""),"Removed")</f>
        <v>Removed</v>
      </c>
      <c r="E12" s="279">
        <f>IFERROR(__xludf.DUMMYFUNCTION("""COMPUTED_VALUE"""),45756.0)</f>
        <v>45756</v>
      </c>
      <c r="F12" s="279">
        <f>IFERROR(__xludf.DUMMYFUNCTION("""COMPUTED_VALUE"""),46280.0)</f>
        <v>46280</v>
      </c>
      <c r="G12" s="27">
        <f>IFERROR(__xludf.DUMMYFUNCTION("""COMPUTED_VALUE"""),17.2)</f>
        <v>17.2</v>
      </c>
      <c r="H12" s="128">
        <f>IFERROR(__xludf.DUMMYFUNCTION("""COMPUTED_VALUE"""),45756.0)</f>
        <v>45756</v>
      </c>
      <c r="I12" s="27">
        <f>IFERROR(__xludf.DUMMYFUNCTION("""COMPUTED_VALUE"""),0.0)</f>
        <v>0</v>
      </c>
      <c r="J12" s="29">
        <f>IFERROR(__xludf.DUMMYFUNCTION("""COMPUTED_VALUE"""),76.0)</f>
        <v>76</v>
      </c>
      <c r="K12" s="29">
        <f>IFERROR(__xludf.DUMMYFUNCTION("""COMPUTED_VALUE"""),31.0)</f>
        <v>31</v>
      </c>
      <c r="L12" s="275" t="str">
        <f>IFERROR(__xludf.DUMMYFUNCTION("""COMPUTED_VALUE"""),"Strategy")</f>
        <v>Strategy</v>
      </c>
    </row>
    <row r="13" hidden="1">
      <c r="A13" s="278" t="str">
        <f>IFERROR(__xludf.DUMMYFUNCTION("""COMPUTED_VALUE"""),"Mullet Madjack")</f>
        <v>Mullet Madjack</v>
      </c>
      <c r="B13" s="20" t="str">
        <f>IFERROR(__xludf.DUMMYFUNCTION("""COMPUTED_VALUE"""),"Xbox / PC")</f>
        <v>Xbox / PC</v>
      </c>
      <c r="C13" s="21" t="str">
        <f>IFERROR(__xludf.DUMMYFUNCTION("""COMPUTED_VALUE"""),"Yes")</f>
        <v>Yes</v>
      </c>
      <c r="D13" s="21" t="str">
        <f>IFERROR(__xludf.DUMMYFUNCTION("""COMPUTED_VALUE"""),"Removed")</f>
        <v>Removed</v>
      </c>
      <c r="E13" s="279">
        <f>IFERROR(__xludf.DUMMYFUNCTION("""COMPUTED_VALUE"""),45729.0)</f>
        <v>45729</v>
      </c>
      <c r="F13" s="279">
        <f>IFERROR(__xludf.DUMMYFUNCTION("""COMPUTED_VALUE"""),46280.0)</f>
        <v>46280</v>
      </c>
      <c r="G13" s="27">
        <f>IFERROR(__xludf.DUMMYFUNCTION("""COMPUTED_VALUE"""),18.066666666666666)</f>
        <v>18.06666667</v>
      </c>
      <c r="H13" s="128">
        <f>IFERROR(__xludf.DUMMYFUNCTION("""COMPUTED_VALUE"""),45427.0)</f>
        <v>45427</v>
      </c>
      <c r="I13" s="27">
        <f>IFERROR(__xludf.DUMMYFUNCTION("""COMPUTED_VALUE"""),0.8277777777777777)</f>
        <v>0.8277777778</v>
      </c>
      <c r="J13" s="29">
        <f>IFERROR(__xludf.DUMMYFUNCTION("""COMPUTED_VALUE"""),88.0)</f>
        <v>88</v>
      </c>
      <c r="K13" s="29">
        <f>IFERROR(__xludf.DUMMYFUNCTION("""COMPUTED_VALUE"""),4.0)</f>
        <v>4</v>
      </c>
      <c r="L13" s="275" t="str">
        <f>IFERROR(__xludf.DUMMYFUNCTION("""COMPUTED_VALUE"""),"Shooter")</f>
        <v>Shooter</v>
      </c>
    </row>
    <row r="14" hidden="1">
      <c r="A14" s="17" t="str">
        <f>IFERROR(__xludf.DUMMYFUNCTION("""COMPUTED_VALUE"""),"Frostpunk 2")</f>
        <v>Frostpunk 2</v>
      </c>
      <c r="B14" s="20" t="str">
        <f>IFERROR(__xludf.DUMMYFUNCTION("""COMPUTED_VALUE"""),"Xbox / PC")</f>
        <v>Xbox / PC</v>
      </c>
      <c r="C14" s="21" t="str">
        <f>IFERROR(__xludf.DUMMYFUNCTION("""COMPUTED_VALUE"""),"Yes")</f>
        <v>Yes</v>
      </c>
      <c r="D14" s="21" t="str">
        <f>IFERROR(__xludf.DUMMYFUNCTION("""COMPUTED_VALUE"""),"Removed")</f>
        <v>Removed</v>
      </c>
      <c r="E14" s="279">
        <f>IFERROR(__xludf.DUMMYFUNCTION("""COMPUTED_VALUE"""),45555.0)</f>
        <v>45555</v>
      </c>
      <c r="F14" s="279">
        <f>IFERROR(__xludf.DUMMYFUNCTION("""COMPUTED_VALUE"""),46280.0)</f>
        <v>46280</v>
      </c>
      <c r="G14" s="27">
        <f>IFERROR(__xludf.DUMMYFUNCTION("""COMPUTED_VALUE"""),23.833333333333336)</f>
        <v>23.83333333</v>
      </c>
      <c r="H14" s="128">
        <f>IFERROR(__xludf.DUMMYFUNCTION("""COMPUTED_VALUE"""),45555.0)</f>
        <v>45555</v>
      </c>
      <c r="I14" s="27">
        <f>IFERROR(__xludf.DUMMYFUNCTION("""COMPUTED_VALUE"""),0.0)</f>
        <v>0</v>
      </c>
      <c r="J14" s="29">
        <f>IFERROR(__xludf.DUMMYFUNCTION("""COMPUTED_VALUE"""),86.0)</f>
        <v>86</v>
      </c>
      <c r="K14" s="29">
        <f>IFERROR(__xludf.DUMMYFUNCTION("""COMPUTED_VALUE"""),11.0)</f>
        <v>11</v>
      </c>
      <c r="L14" s="31" t="str">
        <f>IFERROR(__xludf.DUMMYFUNCTION("""COMPUTED_VALUE"""),"Simulation")</f>
        <v>Simulation</v>
      </c>
    </row>
    <row r="15" hidden="1">
      <c r="A15" s="278" t="str">
        <f>IFERROR(__xludf.DUMMYFUNCTION("""COMPUTED_VALUE"""),"Train Sim World 5")</f>
        <v>Train Sim World 5</v>
      </c>
      <c r="B15" s="20" t="str">
        <f>IFERROR(__xludf.DUMMYFUNCTION("""COMPUTED_VALUE"""),"Xbox / PC")</f>
        <v>Xbox / PC</v>
      </c>
      <c r="C15" s="21" t="str">
        <f>IFERROR(__xludf.DUMMYFUNCTION("""COMPUTED_VALUE"""),"Yes")</f>
        <v>Yes</v>
      </c>
      <c r="D15" s="21" t="str">
        <f>IFERROR(__xludf.DUMMYFUNCTION("""COMPUTED_VALUE"""),"Removed")</f>
        <v>Removed</v>
      </c>
      <c r="E15" s="279">
        <f>IFERROR(__xludf.DUMMYFUNCTION("""COMPUTED_VALUE"""),45552.0)</f>
        <v>45552</v>
      </c>
      <c r="F15" s="279">
        <f>IFERROR(__xludf.DUMMYFUNCTION("""COMPUTED_VALUE"""),46280.0)</f>
        <v>46280</v>
      </c>
      <c r="G15" s="27">
        <f>IFERROR(__xludf.DUMMYFUNCTION("""COMPUTED_VALUE"""),23.933333333333334)</f>
        <v>23.93333333</v>
      </c>
      <c r="H15" s="128">
        <f>IFERROR(__xludf.DUMMYFUNCTION("""COMPUTED_VALUE"""),45195.0)</f>
        <v>45195</v>
      </c>
      <c r="I15" s="27">
        <f>IFERROR(__xludf.DUMMYFUNCTION("""COMPUTED_VALUE"""),0.975)</f>
        <v>0.975</v>
      </c>
      <c r="J15" s="29">
        <f>IFERROR(__xludf.DUMMYFUNCTION("""COMPUTED_VALUE"""),77.0)</f>
        <v>77</v>
      </c>
      <c r="K15" s="29">
        <f>IFERROR(__xludf.DUMMYFUNCTION("""COMPUTED_VALUE"""),16.0)</f>
        <v>16</v>
      </c>
      <c r="L15" s="31" t="str">
        <f>IFERROR(__xludf.DUMMYFUNCTION("""COMPUTED_VALUE"""),"Simulation")</f>
        <v>Simulation</v>
      </c>
    </row>
    <row r="16" hidden="1">
      <c r="A16" s="278" t="str">
        <f>IFERROR(__xludf.DUMMYFUNCTION("""COMPUTED_VALUE"""),"Cricket 24")</f>
        <v>Cricket 24</v>
      </c>
      <c r="B16" s="20" t="str">
        <f>IFERROR(__xludf.DUMMYFUNCTION("""COMPUTED_VALUE"""),"Xbox / PC")</f>
        <v>Xbox / PC</v>
      </c>
      <c r="C16" s="21" t="str">
        <f>IFERROR(__xludf.DUMMYFUNCTION("""COMPUTED_VALUE"""),"Yes")</f>
        <v>Yes</v>
      </c>
      <c r="D16" s="21" t="str">
        <f>IFERROR(__xludf.DUMMYFUNCTION("""COMPUTED_VALUE"""),"Removed")</f>
        <v>Removed</v>
      </c>
      <c r="E16" s="279">
        <f>IFERROR(__xludf.DUMMYFUNCTION("""COMPUTED_VALUE"""),45482.0)</f>
        <v>45482</v>
      </c>
      <c r="F16" s="24">
        <f>IFERROR(__xludf.DUMMYFUNCTION("""COMPUTED_VALUE"""),46280.0)</f>
        <v>46280</v>
      </c>
      <c r="G16" s="27">
        <f>IFERROR(__xludf.DUMMYFUNCTION("""COMPUTED_VALUE"""),26.199999999999996)</f>
        <v>26.2</v>
      </c>
      <c r="H16" s="128">
        <f>IFERROR(__xludf.DUMMYFUNCTION("""COMPUTED_VALUE"""),45204.0)</f>
        <v>45204</v>
      </c>
      <c r="I16" s="27">
        <f>IFERROR(__xludf.DUMMYFUNCTION("""COMPUTED_VALUE"""),0.7611111111111111)</f>
        <v>0.7611111111</v>
      </c>
      <c r="J16" s="277">
        <f>IFERROR(__xludf.DUMMYFUNCTION("""COMPUTED_VALUE"""),57.0)</f>
        <v>57</v>
      </c>
      <c r="K16" s="29">
        <f>IFERROR(__xludf.DUMMYFUNCTION("""COMPUTED_VALUE"""),15.0)</f>
        <v>15</v>
      </c>
      <c r="L16" s="275" t="str">
        <f>IFERROR(__xludf.DUMMYFUNCTION("""COMPUTED_VALUE"""),"Sports")</f>
        <v>Sports</v>
      </c>
    </row>
    <row r="17" hidden="1">
      <c r="A17" s="278" t="str">
        <f>IFERROR(__xludf.DUMMYFUNCTION("""COMPUTED_VALUE"""),"Spiritfarer")</f>
        <v>Spiritfarer</v>
      </c>
      <c r="B17" s="20" t="str">
        <f>IFERROR(__xludf.DUMMYFUNCTION("""COMPUTED_VALUE"""),"Xbox / PC")</f>
        <v>Xbox / PC</v>
      </c>
      <c r="C17" s="21" t="str">
        <f>IFERROR(__xludf.DUMMYFUNCTION("""COMPUTED_VALUE"""),"Touch Controls")</f>
        <v>Touch Controls</v>
      </c>
      <c r="D17" s="21" t="str">
        <f>IFERROR(__xludf.DUMMYFUNCTION("""COMPUTED_VALUE"""),"Removed")</f>
        <v>Removed</v>
      </c>
      <c r="E17" s="279">
        <f>IFERROR(__xludf.DUMMYFUNCTION("""COMPUTED_VALUE"""),45182.0)</f>
        <v>45182</v>
      </c>
      <c r="F17" s="279">
        <f>IFERROR(__xludf.DUMMYFUNCTION("""COMPUTED_VALUE"""),46280.0)</f>
        <v>46280</v>
      </c>
      <c r="G17" s="27">
        <f>IFERROR(__xludf.DUMMYFUNCTION("""COMPUTED_VALUE"""),36.06666666666666)</f>
        <v>36.06666667</v>
      </c>
      <c r="H17" s="128">
        <f>IFERROR(__xludf.DUMMYFUNCTION("""COMPUTED_VALUE"""),44061.0)</f>
        <v>44061</v>
      </c>
      <c r="I17" s="27">
        <f>IFERROR(__xludf.DUMMYFUNCTION("""COMPUTED_VALUE"""),3.0694444444444446)</f>
        <v>3.069444444</v>
      </c>
      <c r="J17" s="29">
        <f>IFERROR(__xludf.DUMMYFUNCTION("""COMPUTED_VALUE"""),86.0)</f>
        <v>86</v>
      </c>
      <c r="K17" s="29">
        <f>IFERROR(__xludf.DUMMYFUNCTION("""COMPUTED_VALUE"""),21.0)</f>
        <v>21</v>
      </c>
      <c r="L17" s="275" t="str">
        <f>IFERROR(__xludf.DUMMYFUNCTION("""COMPUTED_VALUE"""),"Adventure")</f>
        <v>Adventure</v>
      </c>
    </row>
    <row r="18" hidden="1">
      <c r="A18" s="278" t="str">
        <f>IFERROR(__xludf.DUMMYFUNCTION("""COMPUTED_VALUE"""),"Superliminal")</f>
        <v>Superliminal</v>
      </c>
      <c r="B18" s="20" t="str">
        <f>IFERROR(__xludf.DUMMYFUNCTION("""COMPUTED_VALUE"""),"Xbox / PC")</f>
        <v>Xbox / PC</v>
      </c>
      <c r="C18" s="21" t="str">
        <f>IFERROR(__xludf.DUMMYFUNCTION("""COMPUTED_VALUE"""),"Touch Controls")</f>
        <v>Touch Controls</v>
      </c>
      <c r="D18" s="21" t="str">
        <f>IFERROR(__xludf.DUMMYFUNCTION("""COMPUTED_VALUE"""),"Removed")</f>
        <v>Removed</v>
      </c>
      <c r="E18" s="279">
        <f>IFERROR(__xludf.DUMMYFUNCTION("""COMPUTED_VALUE"""),44455.0)</f>
        <v>44455</v>
      </c>
      <c r="F18" s="279">
        <f>IFERROR(__xludf.DUMMYFUNCTION("""COMPUTED_VALUE"""),46280.0)</f>
        <v>46280</v>
      </c>
      <c r="G18" s="27">
        <f>IFERROR(__xludf.DUMMYFUNCTION("""COMPUTED_VALUE"""),59.96666666666666)</f>
        <v>59.96666667</v>
      </c>
      <c r="H18" s="128">
        <f>IFERROR(__xludf.DUMMYFUNCTION("""COMPUTED_VALUE"""),43781.0)</f>
        <v>43781</v>
      </c>
      <c r="I18" s="27">
        <f>IFERROR(__xludf.DUMMYFUNCTION("""COMPUTED_VALUE"""),1.8444444444444446)</f>
        <v>1.844444444</v>
      </c>
      <c r="J18" s="29">
        <f>IFERROR(__xludf.DUMMYFUNCTION("""COMPUTED_VALUE"""),77.0)</f>
        <v>77</v>
      </c>
      <c r="K18" s="29">
        <f>IFERROR(__xludf.DUMMYFUNCTION("""COMPUTED_VALUE"""),2.5)</f>
        <v>2.5</v>
      </c>
      <c r="L18" s="275" t="str">
        <f>IFERROR(__xludf.DUMMYFUNCTION("""COMPUTED_VALUE"""),"Puzzle")</f>
        <v>Puzzle</v>
      </c>
    </row>
    <row r="19" hidden="1">
      <c r="A19" s="278" t="str">
        <f>IFERROR(__xludf.DUMMYFUNCTION("""COMPUTED_VALUE"""),"Dead Cells")</f>
        <v>Dead Cells</v>
      </c>
      <c r="B19" s="20" t="str">
        <f>IFERROR(__xludf.DUMMYFUNCTION("""COMPUTED_VALUE"""),"Xbox / PC")</f>
        <v>Xbox / PC</v>
      </c>
      <c r="C19" s="21" t="str">
        <f>IFERROR(__xludf.DUMMYFUNCTION("""COMPUTED_VALUE"""),"Touch Controls")</f>
        <v>Touch Controls</v>
      </c>
      <c r="D19" s="21" t="str">
        <f>IFERROR(__xludf.DUMMYFUNCTION("""COMPUTED_VALUE"""),"Removed")</f>
        <v>Removed</v>
      </c>
      <c r="E19" s="279">
        <f>IFERROR(__xludf.DUMMYFUNCTION("""COMPUTED_VALUE"""),43713.0)</f>
        <v>43713</v>
      </c>
      <c r="F19" s="279">
        <f>IFERROR(__xludf.DUMMYFUNCTION("""COMPUTED_VALUE"""),46280.0)</f>
        <v>46280</v>
      </c>
      <c r="G19" s="27">
        <f>IFERROR(__xludf.DUMMYFUNCTION("""COMPUTED_VALUE"""),84.33333333333333)</f>
        <v>84.33333333</v>
      </c>
      <c r="H19" s="128">
        <f>IFERROR(__xludf.DUMMYFUNCTION("""COMPUTED_VALUE"""),42865.0)</f>
        <v>42865</v>
      </c>
      <c r="I19" s="27">
        <f>IFERROR(__xludf.DUMMYFUNCTION("""COMPUTED_VALUE"""),2.3194444444444446)</f>
        <v>2.319444444</v>
      </c>
      <c r="J19" s="29">
        <f>IFERROR(__xludf.DUMMYFUNCTION("""COMPUTED_VALUE"""),91.0)</f>
        <v>91</v>
      </c>
      <c r="K19" s="29">
        <f>IFERROR(__xludf.DUMMYFUNCTION("""COMPUTED_VALUE"""),13.0)</f>
        <v>13</v>
      </c>
      <c r="L19" s="275" t="str">
        <f>IFERROR(__xludf.DUMMYFUNCTION("""COMPUTED_VALUE"""),"Platformer")</f>
        <v>Platformer</v>
      </c>
    </row>
    <row r="20" hidden="1">
      <c r="A20" s="278" t="str">
        <f>IFERROR(__xludf.DUMMYFUNCTION("""COMPUTED_VALUE"""),"NBA 2K26")</f>
        <v>NBA 2K26</v>
      </c>
      <c r="B20" s="20" t="str">
        <f>IFERROR(__xludf.DUMMYFUNCTION("""COMPUTED_VALUE"""),"Xbox / PC")</f>
        <v>Xbox / PC</v>
      </c>
      <c r="C20" s="21" t="str">
        <f>IFERROR(__xludf.DUMMYFUNCTION("""COMPUTED_VALUE"""),"Yes")</f>
        <v>Yes</v>
      </c>
      <c r="D20" s="21" t="str">
        <f>IFERROR(__xludf.DUMMYFUNCTION("""COMPUTED_VALUE"""),"Removed")</f>
        <v>Removed</v>
      </c>
      <c r="E20" s="279">
        <f>IFERROR(__xludf.DUMMYFUNCTION("""COMPUTED_VALUE"""),46115.0)</f>
        <v>46115</v>
      </c>
      <c r="F20" s="279">
        <f>IFERROR(__xludf.DUMMYFUNCTION("""COMPUTED_VALUE"""),46271.0)</f>
        <v>46271</v>
      </c>
      <c r="G20" s="27">
        <f>IFERROR(__xludf.DUMMYFUNCTION("""COMPUTED_VALUE"""),5.1)</f>
        <v>5.1</v>
      </c>
      <c r="H20" s="128">
        <f>IFERROR(__xludf.DUMMYFUNCTION("""COMPUTED_VALUE"""),45905.0)</f>
        <v>45905</v>
      </c>
      <c r="I20" s="27">
        <f>IFERROR(__xludf.DUMMYFUNCTION("""COMPUTED_VALUE"""),0.5777777777777777)</f>
        <v>0.5777777778</v>
      </c>
      <c r="J20" s="29">
        <f>IFERROR(__xludf.DUMMYFUNCTION("""COMPUTED_VALUE"""),82.0)</f>
        <v>82</v>
      </c>
      <c r="K20" s="29">
        <f>IFERROR(__xludf.DUMMYFUNCTION("""COMPUTED_VALUE"""),41.0)</f>
        <v>41</v>
      </c>
      <c r="L20" s="275" t="str">
        <f>IFERROR(__xludf.DUMMYFUNCTION("""COMPUTED_VALUE"""),"Sports")</f>
        <v>Sports</v>
      </c>
    </row>
    <row r="21" hidden="1">
      <c r="A21" s="17" t="str">
        <f>IFERROR(__xludf.DUMMYFUNCTION("""COMPUTED_VALUE"""),"The Witcher 3: Wild Hunt - Complete Edition")</f>
        <v>The Witcher 3: Wild Hunt - Complete Edition</v>
      </c>
      <c r="B21" s="20" t="str">
        <f>IFERROR(__xludf.DUMMYFUNCTION("""COMPUTED_VALUE"""),"Xbox")</f>
        <v>Xbox</v>
      </c>
      <c r="C21" s="21" t="str">
        <f>IFERROR(__xludf.DUMMYFUNCTION("""COMPUTED_VALUE"""),"Yes")</f>
        <v>Yes</v>
      </c>
      <c r="D21" s="21" t="str">
        <f>IFERROR(__xludf.DUMMYFUNCTION("""COMPUTED_VALUE"""),"Removed")</f>
        <v>Removed</v>
      </c>
      <c r="E21" s="279">
        <f>IFERROR(__xludf.DUMMYFUNCTION("""COMPUTED_VALUE"""),46072.0)</f>
        <v>46072</v>
      </c>
      <c r="F21" s="279">
        <f>IFERROR(__xludf.DUMMYFUNCTION("""COMPUTED_VALUE"""),46265.0)</f>
        <v>46265</v>
      </c>
      <c r="G21" s="27">
        <f>IFERROR(__xludf.DUMMYFUNCTION("""COMPUTED_VALUE"""),6.366666666666667)</f>
        <v>6.366666667</v>
      </c>
      <c r="H21" s="128">
        <f>IFERROR(__xludf.DUMMYFUNCTION("""COMPUTED_VALUE"""),42612.0)</f>
        <v>42612</v>
      </c>
      <c r="I21" s="27">
        <f>IFERROR(__xludf.DUMMYFUNCTION("""COMPUTED_VALUE"""),9.469444444444445)</f>
        <v>9.469444444</v>
      </c>
      <c r="J21" s="29">
        <f>IFERROR(__xludf.DUMMYFUNCTION("""COMPUTED_VALUE"""),92.0)</f>
        <v>92</v>
      </c>
      <c r="K21" s="29">
        <f>IFERROR(__xludf.DUMMYFUNCTION("""COMPUTED_VALUE"""),51.0)</f>
        <v>51</v>
      </c>
      <c r="L21" s="275" t="str">
        <f>IFERROR(__xludf.DUMMYFUNCTION("""COMPUTED_VALUE"""),"Action-Adventure")</f>
        <v>Action-Adventure</v>
      </c>
    </row>
    <row r="22" hidden="1">
      <c r="A22" s="278" t="str">
        <f>IFERROR(__xludf.DUMMYFUNCTION("""COMPUTED_VALUE"""),"I Am Your Beast")</f>
        <v>I Am Your Beast</v>
      </c>
      <c r="B22" s="20" t="str">
        <f>IFERROR(__xludf.DUMMYFUNCTION("""COMPUTED_VALUE"""),"Xbox / PC")</f>
        <v>Xbox / PC</v>
      </c>
      <c r="C22" s="21" t="str">
        <f>IFERROR(__xludf.DUMMYFUNCTION("""COMPUTED_VALUE"""),"Yes")</f>
        <v>Yes</v>
      </c>
      <c r="D22" s="21" t="str">
        <f>IFERROR(__xludf.DUMMYFUNCTION("""COMPUTED_VALUE"""),"Removed")</f>
        <v>Removed</v>
      </c>
      <c r="E22" s="279">
        <f>IFERROR(__xludf.DUMMYFUNCTION("""COMPUTED_VALUE"""),45901.0)</f>
        <v>45901</v>
      </c>
      <c r="F22" s="279">
        <f>IFERROR(__xludf.DUMMYFUNCTION("""COMPUTED_VALUE"""),46265.0)</f>
        <v>46265</v>
      </c>
      <c r="G22" s="27">
        <f>IFERROR(__xludf.DUMMYFUNCTION("""COMPUTED_VALUE"""),11.966666666666667)</f>
        <v>11.96666667</v>
      </c>
      <c r="H22" s="128">
        <f>IFERROR(__xludf.DUMMYFUNCTION("""COMPUTED_VALUE"""),45545.0)</f>
        <v>45545</v>
      </c>
      <c r="I22" s="27">
        <f>IFERROR(__xludf.DUMMYFUNCTION("""COMPUTED_VALUE"""),0.975)</f>
        <v>0.975</v>
      </c>
      <c r="J22" s="29">
        <f>IFERROR(__xludf.DUMMYFUNCTION("""COMPUTED_VALUE"""),79.0)</f>
        <v>79</v>
      </c>
      <c r="K22" s="29">
        <f>IFERROR(__xludf.DUMMYFUNCTION("""COMPUTED_VALUE"""),3.0)</f>
        <v>3</v>
      </c>
      <c r="L22" s="275" t="str">
        <f>IFERROR(__xludf.DUMMYFUNCTION("""COMPUTED_VALUE"""),"Shooter")</f>
        <v>Shooter</v>
      </c>
    </row>
    <row r="23" hidden="1">
      <c r="A23" s="17" t="str">
        <f>IFERROR(__xludf.DUMMYFUNCTION("""COMPUTED_VALUE"""),"One Lonely Outpost")</f>
        <v>One Lonely Outpost</v>
      </c>
      <c r="B23" s="20" t="str">
        <f>IFERROR(__xludf.DUMMYFUNCTION("""COMPUTED_VALUE"""),"Xbox / PC")</f>
        <v>Xbox / PC</v>
      </c>
      <c r="C23" s="21" t="str">
        <f>IFERROR(__xludf.DUMMYFUNCTION("""COMPUTED_VALUE"""),"Yes")</f>
        <v>Yes</v>
      </c>
      <c r="D23" s="21" t="str">
        <f>IFERROR(__xludf.DUMMYFUNCTION("""COMPUTED_VALUE"""),"Removed")</f>
        <v>Removed</v>
      </c>
      <c r="E23" s="279">
        <f>IFERROR(__xludf.DUMMYFUNCTION("""COMPUTED_VALUE"""),45722.0)</f>
        <v>45722</v>
      </c>
      <c r="F23" s="279">
        <f>IFERROR(__xludf.DUMMYFUNCTION("""COMPUTED_VALUE"""),46265.0)</f>
        <v>46265</v>
      </c>
      <c r="G23" s="27">
        <f>IFERROR(__xludf.DUMMYFUNCTION("""COMPUTED_VALUE"""),17.8)</f>
        <v>17.8</v>
      </c>
      <c r="H23" s="128">
        <f>IFERROR(__xludf.DUMMYFUNCTION("""COMPUTED_VALUE"""),45103.0)</f>
        <v>45103</v>
      </c>
      <c r="I23" s="27">
        <f>IFERROR(__xludf.DUMMYFUNCTION("""COMPUTED_VALUE"""),1.6944444444444444)</f>
        <v>1.694444444</v>
      </c>
      <c r="J23" s="29">
        <f>IFERROR(__xludf.DUMMYFUNCTION("""COMPUTED_VALUE"""),60.0)</f>
        <v>60</v>
      </c>
      <c r="K23" s="29">
        <f>IFERROR(__xludf.DUMMYFUNCTION("""COMPUTED_VALUE"""),8.0)</f>
        <v>8</v>
      </c>
      <c r="L23" s="275" t="str">
        <f>IFERROR(__xludf.DUMMYFUNCTION("""COMPUTED_VALUE"""),"Virtual Life")</f>
        <v>Virtual Life</v>
      </c>
    </row>
    <row r="24" hidden="1">
      <c r="A24" s="278" t="str">
        <f>IFERROR(__xludf.DUMMYFUNCTION("""COMPUTED_VALUE"""),"Another Crab's Treasure")</f>
        <v>Another Crab's Treasure</v>
      </c>
      <c r="B24" s="20" t="str">
        <f>IFERROR(__xludf.DUMMYFUNCTION("""COMPUTED_VALUE"""),"Xbox / PC")</f>
        <v>Xbox / PC</v>
      </c>
      <c r="C24" s="21" t="str">
        <f>IFERROR(__xludf.DUMMYFUNCTION("""COMPUTED_VALUE"""),"Yes")</f>
        <v>Yes</v>
      </c>
      <c r="D24" s="21" t="str">
        <f>IFERROR(__xludf.DUMMYFUNCTION("""COMPUTED_VALUE"""),"Removed")</f>
        <v>Removed</v>
      </c>
      <c r="E24" s="279">
        <f>IFERROR(__xludf.DUMMYFUNCTION("""COMPUTED_VALUE"""),45407.0)</f>
        <v>45407</v>
      </c>
      <c r="F24" s="279">
        <f>IFERROR(__xludf.DUMMYFUNCTION("""COMPUTED_VALUE"""),46265.0)</f>
        <v>46265</v>
      </c>
      <c r="G24" s="27">
        <f>IFERROR(__xludf.DUMMYFUNCTION("""COMPUTED_VALUE"""),28.166666666666668)</f>
        <v>28.16666667</v>
      </c>
      <c r="H24" s="128">
        <f>IFERROR(__xludf.DUMMYFUNCTION("""COMPUTED_VALUE"""),45407.0)</f>
        <v>45407</v>
      </c>
      <c r="I24" s="27">
        <f>IFERROR(__xludf.DUMMYFUNCTION("""COMPUTED_VALUE"""),0.0)</f>
        <v>0</v>
      </c>
      <c r="J24" s="29">
        <f>IFERROR(__xludf.DUMMYFUNCTION("""COMPUTED_VALUE"""),79.0)</f>
        <v>79</v>
      </c>
      <c r="K24" s="29">
        <f>IFERROR(__xludf.DUMMYFUNCTION("""COMPUTED_VALUE"""),12.0)</f>
        <v>12</v>
      </c>
      <c r="L24" s="275" t="str">
        <f>IFERROR(__xludf.DUMMYFUNCTION("""COMPUTED_VALUE"""),"Action-Adventure")</f>
        <v>Action-Adventure</v>
      </c>
    </row>
    <row r="25" hidden="1">
      <c r="A25" s="17" t="str">
        <f>IFERROR(__xludf.DUMMYFUNCTION("""COMPUTED_VALUE"""),"Neon Abyss")</f>
        <v>Neon Abyss</v>
      </c>
      <c r="B25" s="20" t="str">
        <f>IFERROR(__xludf.DUMMYFUNCTION("""COMPUTED_VALUE"""),"Xbox / PC")</f>
        <v>Xbox / PC</v>
      </c>
      <c r="C25" s="20" t="str">
        <f>IFERROR(__xludf.DUMMYFUNCTION("""COMPUTED_VALUE"""),"Yes")</f>
        <v>Yes</v>
      </c>
      <c r="D25" s="21" t="str">
        <f>IFERROR(__xludf.DUMMYFUNCTION("""COMPUTED_VALUE"""),"Removed")</f>
        <v>Removed</v>
      </c>
      <c r="E25" s="127">
        <f>IFERROR(__xludf.DUMMYFUNCTION("""COMPUTED_VALUE"""),44026.0)</f>
        <v>44026</v>
      </c>
      <c r="F25" s="24">
        <f>IFERROR(__xludf.DUMMYFUNCTION("""COMPUTED_VALUE"""),46265.0)</f>
        <v>46265</v>
      </c>
      <c r="G25" s="27">
        <f>IFERROR(__xludf.DUMMYFUNCTION("""COMPUTED_VALUE"""),73.53333333333333)</f>
        <v>73.53333333</v>
      </c>
      <c r="H25" s="128">
        <f>IFERROR(__xludf.DUMMYFUNCTION("""COMPUTED_VALUE"""),44026.0)</f>
        <v>44026</v>
      </c>
      <c r="I25" s="27">
        <f>IFERROR(__xludf.DUMMYFUNCTION("""COMPUTED_VALUE"""),0.0)</f>
        <v>0</v>
      </c>
      <c r="J25" s="29">
        <f>IFERROR(__xludf.DUMMYFUNCTION("""COMPUTED_VALUE"""),77.0)</f>
        <v>77</v>
      </c>
      <c r="K25" s="29">
        <f>IFERROR(__xludf.DUMMYFUNCTION("""COMPUTED_VALUE"""),12.0)</f>
        <v>12</v>
      </c>
      <c r="L25" s="31" t="str">
        <f>IFERROR(__xludf.DUMMYFUNCTION("""COMPUTED_VALUE"""),"Platformer")</f>
        <v>Platformer</v>
      </c>
    </row>
    <row r="26" hidden="1">
      <c r="A26" s="17" t="str">
        <f>IFERROR(__xludf.DUMMYFUNCTION("""COMPUTED_VALUE"""),"Menace (2026) (Game Preview)")</f>
        <v>Menace (2026) (Game Preview)</v>
      </c>
      <c r="B26" s="20" t="str">
        <f>IFERROR(__xludf.DUMMYFUNCTION("""COMPUTED_VALUE"""),"PC")</f>
        <v>PC</v>
      </c>
      <c r="C26" s="21"/>
      <c r="D26" s="21" t="str">
        <f>IFERROR(__xludf.DUMMYFUNCTION("""COMPUTED_VALUE"""),"Removed")</f>
        <v>Removed</v>
      </c>
      <c r="E26" s="279">
        <f>IFERROR(__xludf.DUMMYFUNCTION("""COMPUTED_VALUE"""),46058.0)</f>
        <v>46058</v>
      </c>
      <c r="F26" s="279">
        <f>IFERROR(__xludf.DUMMYFUNCTION("""COMPUTED_VALUE"""),46249.0)</f>
        <v>46249</v>
      </c>
      <c r="G26" s="27">
        <f>IFERROR(__xludf.DUMMYFUNCTION("""COMPUTED_VALUE"""),6.333333333333334)</f>
        <v>6.333333333</v>
      </c>
      <c r="H26" s="128">
        <f>IFERROR(__xludf.DUMMYFUNCTION("""COMPUTED_VALUE"""),46058.0)</f>
        <v>46058</v>
      </c>
      <c r="I26" s="27">
        <f>IFERROR(__xludf.DUMMYFUNCTION("""COMPUTED_VALUE"""),0.0)</f>
        <v>0</v>
      </c>
      <c r="J26" s="277"/>
      <c r="K26" s="277">
        <f>IFERROR(__xludf.DUMMYFUNCTION("""COMPUTED_VALUE"""),20.0)</f>
        <v>20</v>
      </c>
      <c r="L26" s="275" t="str">
        <f>IFERROR(__xludf.DUMMYFUNCTION("""COMPUTED_VALUE"""),"Strategy")</f>
        <v>Strategy</v>
      </c>
    </row>
    <row r="27" hidden="1">
      <c r="A27" s="278" t="str">
        <f>IFERROR(__xludf.DUMMYFUNCTION("""COMPUTED_VALUE"""),"Aliens: Fireteam Elite")</f>
        <v>Aliens: Fireteam Elite</v>
      </c>
      <c r="B27" s="20" t="str">
        <f>IFERROR(__xludf.DUMMYFUNCTION("""COMPUTED_VALUE"""),"Xbox / PC")</f>
        <v>Xbox / PC</v>
      </c>
      <c r="C27" s="21" t="str">
        <f>IFERROR(__xludf.DUMMYFUNCTION("""COMPUTED_VALUE"""),"Yes")</f>
        <v>Yes</v>
      </c>
      <c r="D27" s="21" t="str">
        <f>IFERROR(__xludf.DUMMYFUNCTION("""COMPUTED_VALUE"""),"Removed")</f>
        <v>Removed</v>
      </c>
      <c r="E27" s="279">
        <f>IFERROR(__xludf.DUMMYFUNCTION("""COMPUTED_VALUE"""),45881.0)</f>
        <v>45881</v>
      </c>
      <c r="F27" s="279">
        <f>IFERROR(__xludf.DUMMYFUNCTION("""COMPUTED_VALUE"""),46249.0)</f>
        <v>46249</v>
      </c>
      <c r="G27" s="27">
        <f>IFERROR(__xludf.DUMMYFUNCTION("""COMPUTED_VALUE"""),12.1)</f>
        <v>12.1</v>
      </c>
      <c r="H27" s="128">
        <f>IFERROR(__xludf.DUMMYFUNCTION("""COMPUTED_VALUE"""),44803.0)</f>
        <v>44803</v>
      </c>
      <c r="I27" s="27">
        <f>IFERROR(__xludf.DUMMYFUNCTION("""COMPUTED_VALUE"""),2.95)</f>
        <v>2.95</v>
      </c>
      <c r="J27" s="277">
        <f>IFERROR(__xludf.DUMMYFUNCTION("""COMPUTED_VALUE"""),69.0)</f>
        <v>69</v>
      </c>
      <c r="K27" s="277">
        <f>IFERROR(__xludf.DUMMYFUNCTION("""COMPUTED_VALUE"""),9.0)</f>
        <v>9</v>
      </c>
      <c r="L27" s="275" t="str">
        <f>IFERROR(__xludf.DUMMYFUNCTION("""COMPUTED_VALUE"""),"Shooter")</f>
        <v>Shooter</v>
      </c>
    </row>
    <row r="28" hidden="1">
      <c r="A28" s="17" t="str">
        <f>IFERROR(__xludf.DUMMYFUNCTION("""COMPUTED_VALUE"""),"Atlas Fallen: Reign of Sand")</f>
        <v>Atlas Fallen: Reign of Sand</v>
      </c>
      <c r="B28" s="20" t="str">
        <f>IFERROR(__xludf.DUMMYFUNCTION("""COMPUTED_VALUE"""),"Xbox / PC")</f>
        <v>Xbox / PC</v>
      </c>
      <c r="C28" s="20" t="str">
        <f>IFERROR(__xludf.DUMMYFUNCTION("""COMPUTED_VALUE"""),"Yes")</f>
        <v>Yes</v>
      </c>
      <c r="D28" s="21" t="str">
        <f>IFERROR(__xludf.DUMMYFUNCTION("""COMPUTED_VALUE"""),"Removed")</f>
        <v>Removed</v>
      </c>
      <c r="E28" s="128">
        <f>IFERROR(__xludf.DUMMYFUNCTION("""COMPUTED_VALUE"""),45526.0)</f>
        <v>45526</v>
      </c>
      <c r="F28" s="276">
        <f>IFERROR(__xludf.DUMMYFUNCTION("""COMPUTED_VALUE"""),46249.0)</f>
        <v>46249</v>
      </c>
      <c r="G28" s="27">
        <f>IFERROR(__xludf.DUMMYFUNCTION("""COMPUTED_VALUE"""),23.766666666666666)</f>
        <v>23.76666667</v>
      </c>
      <c r="H28" s="128">
        <f>IFERROR(__xludf.DUMMYFUNCTION("""COMPUTED_VALUE"""),45148.0)</f>
        <v>45148</v>
      </c>
      <c r="I28" s="27">
        <f>IFERROR(__xludf.DUMMYFUNCTION("""COMPUTED_VALUE"""),1.0333333333333334)</f>
        <v>1.033333333</v>
      </c>
      <c r="J28" s="29">
        <f>IFERROR(__xludf.DUMMYFUNCTION("""COMPUTED_VALUE"""),64.0)</f>
        <v>64</v>
      </c>
      <c r="K28" s="29">
        <f>IFERROR(__xludf.DUMMYFUNCTION("""COMPUTED_VALUE"""),11.0)</f>
        <v>11</v>
      </c>
      <c r="L28" s="31" t="str">
        <f>IFERROR(__xludf.DUMMYFUNCTION("""COMPUTED_VALUE"""),"RPG")</f>
        <v>RPG</v>
      </c>
    </row>
    <row r="29" hidden="1">
      <c r="A29" s="278" t="str">
        <f>IFERROR(__xludf.DUMMYFUNCTION("""COMPUTED_VALUE"""),"Firewatch")</f>
        <v>Firewatch</v>
      </c>
      <c r="B29" s="20" t="str">
        <f>IFERROR(__xludf.DUMMYFUNCTION("""COMPUTED_VALUE"""),"Xbox / PC")</f>
        <v>Xbox / PC</v>
      </c>
      <c r="C29" s="21" t="str">
        <f>IFERROR(__xludf.DUMMYFUNCTION("""COMPUTED_VALUE"""),"Touch Controls")</f>
        <v>Touch Controls</v>
      </c>
      <c r="D29" s="21" t="str">
        <f>IFERROR(__xludf.DUMMYFUNCTION("""COMPUTED_VALUE"""),"Removed")</f>
        <v>Removed</v>
      </c>
      <c r="E29" s="279">
        <f>IFERROR(__xludf.DUMMYFUNCTION("""COMPUTED_VALUE"""),45155.0)</f>
        <v>45155</v>
      </c>
      <c r="F29" s="279">
        <f>IFERROR(__xludf.DUMMYFUNCTION("""COMPUTED_VALUE"""),46249.0)</f>
        <v>46249</v>
      </c>
      <c r="G29" s="27">
        <f>IFERROR(__xludf.DUMMYFUNCTION("""COMPUTED_VALUE"""),35.93333333333334)</f>
        <v>35.93333333</v>
      </c>
      <c r="H29" s="128">
        <f>IFERROR(__xludf.DUMMYFUNCTION("""COMPUTED_VALUE"""),42409.0)</f>
        <v>42409</v>
      </c>
      <c r="I29" s="27">
        <f>IFERROR(__xludf.DUMMYFUNCTION("""COMPUTED_VALUE"""),7.522222222222222)</f>
        <v>7.522222222</v>
      </c>
      <c r="J29" s="29">
        <f>IFERROR(__xludf.DUMMYFUNCTION("""COMPUTED_VALUE"""),83.0)</f>
        <v>83</v>
      </c>
      <c r="K29" s="29">
        <f>IFERROR(__xludf.DUMMYFUNCTION("""COMPUTED_VALUE"""),4.0)</f>
        <v>4</v>
      </c>
      <c r="L29" s="31" t="str">
        <f>IFERROR(__xludf.DUMMYFUNCTION("""COMPUTED_VALUE"""),"Adventure")</f>
        <v>Adventure</v>
      </c>
    </row>
    <row r="30" hidden="1">
      <c r="A30" s="17" t="str">
        <f>IFERROR(__xludf.DUMMYFUNCTION("""COMPUTED_VALUE"""),"Whiskerwood")</f>
        <v>Whiskerwood</v>
      </c>
      <c r="B30" s="20" t="str">
        <f>IFERROR(__xludf.DUMMYFUNCTION("""COMPUTED_VALUE"""),"PC")</f>
        <v>PC</v>
      </c>
      <c r="C30" s="21"/>
      <c r="D30" s="21" t="str">
        <f>IFERROR(__xludf.DUMMYFUNCTION("""COMPUTED_VALUE"""),"Removed")</f>
        <v>Removed</v>
      </c>
      <c r="E30" s="279">
        <f>IFERROR(__xludf.DUMMYFUNCTION("""COMPUTED_VALUE"""),45967.0)</f>
        <v>45967</v>
      </c>
      <c r="F30" s="279">
        <f>IFERROR(__xludf.DUMMYFUNCTION("""COMPUTED_VALUE"""),46234.0)</f>
        <v>46234</v>
      </c>
      <c r="G30" s="27">
        <f>IFERROR(__xludf.DUMMYFUNCTION("""COMPUTED_VALUE"""),8.799999999999999)</f>
        <v>8.8</v>
      </c>
      <c r="H30" s="128">
        <f>IFERROR(__xludf.DUMMYFUNCTION("""COMPUTED_VALUE"""),45967.0)</f>
        <v>45967</v>
      </c>
      <c r="I30" s="27">
        <f>IFERROR(__xludf.DUMMYFUNCTION("""COMPUTED_VALUE"""),0.0)</f>
        <v>0</v>
      </c>
      <c r="J30" s="29"/>
      <c r="K30" s="29">
        <f>IFERROR(__xludf.DUMMYFUNCTION("""COMPUTED_VALUE"""),14.0)</f>
        <v>14</v>
      </c>
      <c r="L30" s="275" t="str">
        <f>IFERROR(__xludf.DUMMYFUNCTION("""COMPUTED_VALUE"""),"Strategy")</f>
        <v>Strategy</v>
      </c>
    </row>
    <row r="31" hidden="1">
      <c r="A31" s="17" t="str">
        <f>IFERROR(__xludf.DUMMYFUNCTION("""COMPUTED_VALUE"""),"Rain World")</f>
        <v>Rain World</v>
      </c>
      <c r="B31" s="20" t="str">
        <f>IFERROR(__xludf.DUMMYFUNCTION("""COMPUTED_VALUE"""),"Xbox / PC")</f>
        <v>Xbox / PC</v>
      </c>
      <c r="C31" s="21" t="str">
        <f>IFERROR(__xludf.DUMMYFUNCTION("""COMPUTED_VALUE"""),"Yes")</f>
        <v>Yes</v>
      </c>
      <c r="D31" s="21" t="str">
        <f>IFERROR(__xludf.DUMMYFUNCTION("""COMPUTED_VALUE"""),"Removed")</f>
        <v>Removed</v>
      </c>
      <c r="E31" s="279">
        <f>IFERROR(__xludf.DUMMYFUNCTION("""COMPUTED_VALUE"""),45874.0)</f>
        <v>45874</v>
      </c>
      <c r="F31" s="276">
        <f>IFERROR(__xludf.DUMMYFUNCTION("""COMPUTED_VALUE"""),46234.0)</f>
        <v>46234</v>
      </c>
      <c r="G31" s="27">
        <f>IFERROR(__xludf.DUMMYFUNCTION("""COMPUTED_VALUE"""),11.833333333333334)</f>
        <v>11.83333333</v>
      </c>
      <c r="H31" s="128">
        <f>IFERROR(__xludf.DUMMYFUNCTION("""COMPUTED_VALUE"""),42822.0)</f>
        <v>42822</v>
      </c>
      <c r="I31" s="27">
        <f>IFERROR(__xludf.DUMMYFUNCTION("""COMPUTED_VALUE"""),8.352777777777778)</f>
        <v>8.352777778</v>
      </c>
      <c r="J31" s="277">
        <f>IFERROR(__xludf.DUMMYFUNCTION("""COMPUTED_VALUE"""),59.0)</f>
        <v>59</v>
      </c>
      <c r="K31" s="277">
        <f>IFERROR(__xludf.DUMMYFUNCTION("""COMPUTED_VALUE"""),21.0)</f>
        <v>21</v>
      </c>
      <c r="L31" s="275" t="str">
        <f>IFERROR(__xludf.DUMMYFUNCTION("""COMPUTED_VALUE"""),"Platformer")</f>
        <v>Platformer</v>
      </c>
    </row>
    <row r="32" hidden="1">
      <c r="A32" s="278" t="str">
        <f>IFERROR(__xludf.DUMMYFUNCTION("""COMPUTED_VALUE"""),"Back to the Dawn")</f>
        <v>Back to the Dawn</v>
      </c>
      <c r="B32" s="20" t="str">
        <f>IFERROR(__xludf.DUMMYFUNCTION("""COMPUTED_VALUE"""),"Xbox / PC")</f>
        <v>Xbox / PC</v>
      </c>
      <c r="C32" s="21" t="str">
        <f>IFERROR(__xludf.DUMMYFUNCTION("""COMPUTED_VALUE"""),"Yes")</f>
        <v>Yes</v>
      </c>
      <c r="D32" s="21" t="str">
        <f>IFERROR(__xludf.DUMMYFUNCTION("""COMPUTED_VALUE"""),"Removed")</f>
        <v>Removed</v>
      </c>
      <c r="E32" s="279">
        <f>IFERROR(__xludf.DUMMYFUNCTION("""COMPUTED_VALUE"""),45856.0)</f>
        <v>45856</v>
      </c>
      <c r="F32" s="279">
        <f>IFERROR(__xludf.DUMMYFUNCTION("""COMPUTED_VALUE"""),46234.0)</f>
        <v>46234</v>
      </c>
      <c r="G32" s="27">
        <f>IFERROR(__xludf.DUMMYFUNCTION("""COMPUTED_VALUE"""),12.400000000000002)</f>
        <v>12.4</v>
      </c>
      <c r="H32" s="128">
        <f>IFERROR(__xludf.DUMMYFUNCTION("""COMPUTED_VALUE"""),45856.0)</f>
        <v>45856</v>
      </c>
      <c r="I32" s="27">
        <f>IFERROR(__xludf.DUMMYFUNCTION("""COMPUTED_VALUE"""),0.0)</f>
        <v>0</v>
      </c>
      <c r="J32" s="29">
        <f>IFERROR(__xludf.DUMMYFUNCTION("""COMPUTED_VALUE"""),81.0)</f>
        <v>81</v>
      </c>
      <c r="K32" s="29">
        <f>IFERROR(__xludf.DUMMYFUNCTION("""COMPUTED_VALUE"""),12.0)</f>
        <v>12</v>
      </c>
      <c r="L32" s="275" t="str">
        <f>IFERROR(__xludf.DUMMYFUNCTION("""COMPUTED_VALUE"""),"Action-Adventure")</f>
        <v>Action-Adventure</v>
      </c>
    </row>
    <row r="33" hidden="1">
      <c r="A33" s="278" t="str">
        <f>IFERROR(__xludf.DUMMYFUNCTION("""COMPUTED_VALUE"""),"My Friendly Neighborhood")</f>
        <v>My Friendly Neighborhood</v>
      </c>
      <c r="B33" s="20" t="str">
        <f>IFERROR(__xludf.DUMMYFUNCTION("""COMPUTED_VALUE"""),"Xbox / PC")</f>
        <v>Xbox / PC</v>
      </c>
      <c r="C33" s="21" t="str">
        <f>IFERROR(__xludf.DUMMYFUNCTION("""COMPUTED_VALUE"""),"Yes")</f>
        <v>Yes</v>
      </c>
      <c r="D33" s="21" t="str">
        <f>IFERROR(__xludf.DUMMYFUNCTION("""COMPUTED_VALUE"""),"Removed")</f>
        <v>Removed</v>
      </c>
      <c r="E33" s="279">
        <f>IFERROR(__xludf.DUMMYFUNCTION("""COMPUTED_VALUE"""),45855.0)</f>
        <v>45855</v>
      </c>
      <c r="F33" s="279">
        <f>IFERROR(__xludf.DUMMYFUNCTION("""COMPUTED_VALUE"""),46234.0)</f>
        <v>46234</v>
      </c>
      <c r="G33" s="27">
        <f>IFERROR(__xludf.DUMMYFUNCTION("""COMPUTED_VALUE"""),12.433333333333334)</f>
        <v>12.43333333</v>
      </c>
      <c r="H33" s="128">
        <f>IFERROR(__xludf.DUMMYFUNCTION("""COMPUTED_VALUE"""),45125.0)</f>
        <v>45125</v>
      </c>
      <c r="I33" s="27">
        <f>IFERROR(__xludf.DUMMYFUNCTION("""COMPUTED_VALUE"""),1.9972222222222222)</f>
        <v>1.997222222</v>
      </c>
      <c r="J33" s="29">
        <f>IFERROR(__xludf.DUMMYFUNCTION("""COMPUTED_VALUE"""),81.0)</f>
        <v>81</v>
      </c>
      <c r="K33" s="29">
        <f>IFERROR(__xludf.DUMMYFUNCTION("""COMPUTED_VALUE"""),5.0)</f>
        <v>5</v>
      </c>
      <c r="L33" s="275" t="str">
        <f>IFERROR(__xludf.DUMMYFUNCTION("""COMPUTED_VALUE"""),"Survival")</f>
        <v>Survival</v>
      </c>
    </row>
    <row r="34" hidden="1">
      <c r="A34" s="278" t="str">
        <f>IFERROR(__xludf.DUMMYFUNCTION("""COMPUTED_VALUE"""),"Sniper Elite: Resistance")</f>
        <v>Sniper Elite: Resistance</v>
      </c>
      <c r="B34" s="20" t="str">
        <f>IFERROR(__xludf.DUMMYFUNCTION("""COMPUTED_VALUE"""),"Xbox / PC")</f>
        <v>Xbox / PC</v>
      </c>
      <c r="C34" s="21" t="str">
        <f>IFERROR(__xludf.DUMMYFUNCTION("""COMPUTED_VALUE"""),"Yes")</f>
        <v>Yes</v>
      </c>
      <c r="D34" s="21" t="str">
        <f>IFERROR(__xludf.DUMMYFUNCTION("""COMPUTED_VALUE"""),"Removed")</f>
        <v>Removed</v>
      </c>
      <c r="E34" s="279">
        <f>IFERROR(__xludf.DUMMYFUNCTION("""COMPUTED_VALUE"""),45687.0)</f>
        <v>45687</v>
      </c>
      <c r="F34" s="279">
        <f>IFERROR(__xludf.DUMMYFUNCTION("""COMPUTED_VALUE"""),46234.0)</f>
        <v>46234</v>
      </c>
      <c r="G34" s="27">
        <f>IFERROR(__xludf.DUMMYFUNCTION("""COMPUTED_VALUE"""),18.0)</f>
        <v>18</v>
      </c>
      <c r="H34" s="128">
        <f>IFERROR(__xludf.DUMMYFUNCTION("""COMPUTED_VALUE"""),45687.0)</f>
        <v>45687</v>
      </c>
      <c r="I34" s="27">
        <f>IFERROR(__xludf.DUMMYFUNCTION("""COMPUTED_VALUE"""),0.0)</f>
        <v>0</v>
      </c>
      <c r="J34" s="29">
        <f>IFERROR(__xludf.DUMMYFUNCTION("""COMPUTED_VALUE"""),75.0)</f>
        <v>75</v>
      </c>
      <c r="K34" s="29">
        <f>IFERROR(__xludf.DUMMYFUNCTION("""COMPUTED_VALUE"""),9.0)</f>
        <v>9</v>
      </c>
      <c r="L34" s="275" t="str">
        <f>IFERROR(__xludf.DUMMYFUNCTION("""COMPUTED_VALUE"""),"Shooter")</f>
        <v>Shooter</v>
      </c>
    </row>
    <row r="35" hidden="1">
      <c r="A35" s="278" t="str">
        <f>IFERROR(__xludf.DUMMYFUNCTION("""COMPUTED_VALUE"""),"Celeste")</f>
        <v>Celeste</v>
      </c>
      <c r="B35" s="20" t="str">
        <f>IFERROR(__xludf.DUMMYFUNCTION("""COMPUTED_VALUE"""),"Xbox / PC")</f>
        <v>Xbox / PC</v>
      </c>
      <c r="C35" s="21" t="str">
        <f>IFERROR(__xludf.DUMMYFUNCTION("""COMPUTED_VALUE"""),"Touch Controls")</f>
        <v>Touch Controls</v>
      </c>
      <c r="D35" s="21" t="str">
        <f>IFERROR(__xludf.DUMMYFUNCTION("""COMPUTED_VALUE"""),"Removed")</f>
        <v>Removed</v>
      </c>
      <c r="E35" s="279">
        <f>IFERROR(__xludf.DUMMYFUNCTION("""COMPUTED_VALUE"""),45139.0)</f>
        <v>45139</v>
      </c>
      <c r="F35" s="276">
        <f>IFERROR(__xludf.DUMMYFUNCTION("""COMPUTED_VALUE"""),46234.0)</f>
        <v>46234</v>
      </c>
      <c r="G35" s="27">
        <f>IFERROR(__xludf.DUMMYFUNCTION("""COMPUTED_VALUE"""),35.96666666666667)</f>
        <v>35.96666667</v>
      </c>
      <c r="H35" s="128">
        <f>IFERROR(__xludf.DUMMYFUNCTION("""COMPUTED_VALUE"""),43125.0)</f>
        <v>43125</v>
      </c>
      <c r="I35" s="27">
        <f>IFERROR(__xludf.DUMMYFUNCTION("""COMPUTED_VALUE"""),5.516666666666667)</f>
        <v>5.516666667</v>
      </c>
      <c r="J35" s="277">
        <f>IFERROR(__xludf.DUMMYFUNCTION("""COMPUTED_VALUE"""),91.0)</f>
        <v>91</v>
      </c>
      <c r="K35" s="29">
        <f>IFERROR(__xludf.DUMMYFUNCTION("""COMPUTED_VALUE"""),8.0)</f>
        <v>8</v>
      </c>
      <c r="L35" s="275" t="str">
        <f>IFERROR(__xludf.DUMMYFUNCTION("""COMPUTED_VALUE"""),"Platformer")</f>
        <v>Platformer</v>
      </c>
    </row>
    <row r="36" hidden="1">
      <c r="A36" s="17" t="str">
        <f>IFERROR(__xludf.DUMMYFUNCTION("""COMPUTED_VALUE"""),"Mount &amp; Blade II: Bannerlord")</f>
        <v>Mount &amp; Blade II: Bannerlord</v>
      </c>
      <c r="B36" s="20" t="str">
        <f>IFERROR(__xludf.DUMMYFUNCTION("""COMPUTED_VALUE"""),"Xbox / PC")</f>
        <v>Xbox / PC</v>
      </c>
      <c r="C36" s="21" t="str">
        <f>IFERROR(__xludf.DUMMYFUNCTION("""COMPUTED_VALUE"""),"M+KB")</f>
        <v>M+KB</v>
      </c>
      <c r="D36" s="21" t="str">
        <f>IFERROR(__xludf.DUMMYFUNCTION("""COMPUTED_VALUE"""),"Removed")</f>
        <v>Removed</v>
      </c>
      <c r="E36" s="279">
        <f>IFERROR(__xludf.DUMMYFUNCTION("""COMPUTED_VALUE"""),44971.0)</f>
        <v>44971</v>
      </c>
      <c r="F36" s="279">
        <f>IFERROR(__xludf.DUMMYFUNCTION("""COMPUTED_VALUE"""),46234.0)</f>
        <v>46234</v>
      </c>
      <c r="G36" s="27">
        <f>IFERROR(__xludf.DUMMYFUNCTION("""COMPUTED_VALUE"""),41.53333333333333)</f>
        <v>41.53333333</v>
      </c>
      <c r="H36" s="128">
        <f>IFERROR(__xludf.DUMMYFUNCTION("""COMPUTED_VALUE"""),43920.0)</f>
        <v>43920</v>
      </c>
      <c r="I36" s="27">
        <f>IFERROR(__xludf.DUMMYFUNCTION("""COMPUTED_VALUE"""),2.8722222222222222)</f>
        <v>2.872222222</v>
      </c>
      <c r="J36" s="29">
        <f>IFERROR(__xludf.DUMMYFUNCTION("""COMPUTED_VALUE"""),75.0)</f>
        <v>75</v>
      </c>
      <c r="K36" s="29">
        <f>IFERROR(__xludf.DUMMYFUNCTION("""COMPUTED_VALUE"""),39.0)</f>
        <v>39</v>
      </c>
      <c r="L36" s="275" t="str">
        <f>IFERROR(__xludf.DUMMYFUNCTION("""COMPUTED_VALUE"""),"RPG")</f>
        <v>RPG</v>
      </c>
    </row>
    <row r="37" hidden="1">
      <c r="A37" s="278" t="str">
        <f>IFERROR(__xludf.DUMMYFUNCTION("""COMPUTED_VALUE"""),"Crusader Kings III")</f>
        <v>Crusader Kings III</v>
      </c>
      <c r="B37" s="20" t="str">
        <f>IFERROR(__xludf.DUMMYFUNCTION("""COMPUTED_VALUE"""),"Xbox / PC")</f>
        <v>Xbox / PC</v>
      </c>
      <c r="C37" s="21" t="str">
        <f>IFERROR(__xludf.DUMMYFUNCTION("""COMPUTED_VALUE"""),"Yes")</f>
        <v>Yes</v>
      </c>
      <c r="D37" s="21" t="str">
        <f>IFERROR(__xludf.DUMMYFUNCTION("""COMPUTED_VALUE"""),"Removed")</f>
        <v>Removed</v>
      </c>
      <c r="E37" s="279">
        <f>IFERROR(__xludf.DUMMYFUNCTION("""COMPUTED_VALUE"""),44075.0)</f>
        <v>44075</v>
      </c>
      <c r="F37" s="279">
        <f>IFERROR(__xludf.DUMMYFUNCTION("""COMPUTED_VALUE"""),46234.0)</f>
        <v>46234</v>
      </c>
      <c r="G37" s="27">
        <f>IFERROR(__xludf.DUMMYFUNCTION("""COMPUTED_VALUE"""),70.96666666666667)</f>
        <v>70.96666667</v>
      </c>
      <c r="H37" s="128">
        <f>IFERROR(__xludf.DUMMYFUNCTION("""COMPUTED_VALUE"""),44075.0)</f>
        <v>44075</v>
      </c>
      <c r="I37" s="27">
        <f>IFERROR(__xludf.DUMMYFUNCTION("""COMPUTED_VALUE"""),0.0)</f>
        <v>0</v>
      </c>
      <c r="J37" s="29">
        <f>IFERROR(__xludf.DUMMYFUNCTION("""COMPUTED_VALUE"""),91.0)</f>
        <v>91</v>
      </c>
      <c r="K37" s="29">
        <f>IFERROR(__xludf.DUMMYFUNCTION("""COMPUTED_VALUE"""),12.5)</f>
        <v>12.5</v>
      </c>
      <c r="L37" s="275" t="str">
        <f>IFERROR(__xludf.DUMMYFUNCTION("""COMPUTED_VALUE"""),"Strategy")</f>
        <v>Strategy</v>
      </c>
    </row>
    <row r="38" hidden="1">
      <c r="A38" s="278" t="str">
        <f>IFERROR(__xludf.DUMMYFUNCTION("""COMPUTED_VALUE"""),"Super Fantasy Kingdom (Game Preview)")</f>
        <v>Super Fantasy Kingdom (Game Preview)</v>
      </c>
      <c r="B38" s="20" t="str">
        <f>IFERROR(__xludf.DUMMYFUNCTION("""COMPUTED_VALUE"""),"PC")</f>
        <v>PC</v>
      </c>
      <c r="C38" s="21"/>
      <c r="D38" s="21" t="str">
        <f>IFERROR(__xludf.DUMMYFUNCTION("""COMPUTED_VALUE"""),"Removed")</f>
        <v>Removed</v>
      </c>
      <c r="E38" s="279">
        <f>IFERROR(__xludf.DUMMYFUNCTION("""COMPUTED_VALUE"""),45954.0)</f>
        <v>45954</v>
      </c>
      <c r="F38" s="279">
        <f>IFERROR(__xludf.DUMMYFUNCTION("""COMPUTED_VALUE"""),46218.0)</f>
        <v>46218</v>
      </c>
      <c r="G38" s="27">
        <f>IFERROR(__xludf.DUMMYFUNCTION("""COMPUTED_VALUE"""),8.7)</f>
        <v>8.7</v>
      </c>
      <c r="H38" s="128">
        <f>IFERROR(__xludf.DUMMYFUNCTION("""COMPUTED_VALUE"""),45954.0)</f>
        <v>45954</v>
      </c>
      <c r="I38" s="27">
        <f>IFERROR(__xludf.DUMMYFUNCTION("""COMPUTED_VALUE"""),0.0)</f>
        <v>0</v>
      </c>
      <c r="J38" s="29">
        <f>IFERROR(__xludf.DUMMYFUNCTION("""COMPUTED_VALUE"""),77.0)</f>
        <v>77</v>
      </c>
      <c r="K38" s="29">
        <f>IFERROR(__xludf.DUMMYFUNCTION("""COMPUTED_VALUE"""),13.0)</f>
        <v>13</v>
      </c>
      <c r="L38" s="275" t="str">
        <f>IFERROR(__xludf.DUMMYFUNCTION("""COMPUTED_VALUE"""),"Defense")</f>
        <v>Defense</v>
      </c>
    </row>
    <row r="39" hidden="1">
      <c r="A39" s="17" t="str">
        <f>IFERROR(__xludf.DUMMYFUNCTION("""COMPUTED_VALUE"""),"Minami Lane")</f>
        <v>Minami Lane</v>
      </c>
      <c r="B39" s="20" t="str">
        <f>IFERROR(__xludf.DUMMYFUNCTION("""COMPUTED_VALUE"""),"Xbox / PC")</f>
        <v>Xbox / PC</v>
      </c>
      <c r="C39" s="21" t="str">
        <f>IFERROR(__xludf.DUMMYFUNCTION("""COMPUTED_VALUE"""),"Yes")</f>
        <v>Yes</v>
      </c>
      <c r="D39" s="21" t="str">
        <f>IFERROR(__xludf.DUMMYFUNCTION("""COMPUTED_VALUE"""),"Removed")</f>
        <v>Removed</v>
      </c>
      <c r="E39" s="279">
        <f>IFERROR(__xludf.DUMMYFUNCTION("""COMPUTED_VALUE"""),45847.0)</f>
        <v>45847</v>
      </c>
      <c r="F39" s="279">
        <f>IFERROR(__xludf.DUMMYFUNCTION("""COMPUTED_VALUE"""),46218.0)</f>
        <v>46218</v>
      </c>
      <c r="G39" s="27">
        <f>IFERROR(__xludf.DUMMYFUNCTION("""COMPUTED_VALUE"""),12.2)</f>
        <v>12.2</v>
      </c>
      <c r="H39" s="128">
        <f>IFERROR(__xludf.DUMMYFUNCTION("""COMPUTED_VALUE"""),45350.0)</f>
        <v>45350</v>
      </c>
      <c r="I39" s="27">
        <f>IFERROR(__xludf.DUMMYFUNCTION("""COMPUTED_VALUE"""),1.363888888888889)</f>
        <v>1.363888889</v>
      </c>
      <c r="J39" s="29">
        <f>IFERROR(__xludf.DUMMYFUNCTION("""COMPUTED_VALUE"""),78.0)</f>
        <v>78</v>
      </c>
      <c r="K39" s="29">
        <f>IFERROR(__xludf.DUMMYFUNCTION("""COMPUTED_VALUE"""),3.0)</f>
        <v>3</v>
      </c>
      <c r="L39" s="31" t="str">
        <f>IFERROR(__xludf.DUMMYFUNCTION("""COMPUTED_VALUE"""),"Tycoon")</f>
        <v>Tycoon</v>
      </c>
    </row>
    <row r="40" hidden="1">
      <c r="A40" s="278" t="str">
        <f>IFERROR(__xludf.DUMMYFUNCTION("""COMPUTED_VALUE"""),"Dungeons Of Hinterberg")</f>
        <v>Dungeons Of Hinterberg</v>
      </c>
      <c r="B40" s="20" t="str">
        <f>IFERROR(__xludf.DUMMYFUNCTION("""COMPUTED_VALUE"""),"Xbox / PC")</f>
        <v>Xbox / PC</v>
      </c>
      <c r="C40" s="20" t="str">
        <f>IFERROR(__xludf.DUMMYFUNCTION("""COMPUTED_VALUE"""),"Yes")</f>
        <v>Yes</v>
      </c>
      <c r="D40" s="21" t="str">
        <f>IFERROR(__xludf.DUMMYFUNCTION("""COMPUTED_VALUE"""),"Removed")</f>
        <v>Removed</v>
      </c>
      <c r="E40" s="279">
        <f>IFERROR(__xludf.DUMMYFUNCTION("""COMPUTED_VALUE"""),45491.0)</f>
        <v>45491</v>
      </c>
      <c r="F40" s="24">
        <f>IFERROR(__xludf.DUMMYFUNCTION("""COMPUTED_VALUE"""),46218.0)</f>
        <v>46218</v>
      </c>
      <c r="G40" s="27">
        <f>IFERROR(__xludf.DUMMYFUNCTION("""COMPUTED_VALUE"""),23.9)</f>
        <v>23.9</v>
      </c>
      <c r="H40" s="128">
        <f>IFERROR(__xludf.DUMMYFUNCTION("""COMPUTED_VALUE"""),45491.0)</f>
        <v>45491</v>
      </c>
      <c r="I40" s="27">
        <f>IFERROR(__xludf.DUMMYFUNCTION("""COMPUTED_VALUE"""),0.0)</f>
        <v>0</v>
      </c>
      <c r="J40" s="277">
        <f>IFERROR(__xludf.DUMMYFUNCTION("""COMPUTED_VALUE"""),82.0)</f>
        <v>82</v>
      </c>
      <c r="K40" s="277">
        <f>IFERROR(__xludf.DUMMYFUNCTION("""COMPUTED_VALUE"""),13.0)</f>
        <v>13</v>
      </c>
      <c r="L40" s="275" t="str">
        <f>IFERROR(__xludf.DUMMYFUNCTION("""COMPUTED_VALUE"""),"Action-Adventure")</f>
        <v>Action-Adventure</v>
      </c>
    </row>
    <row r="41" hidden="1">
      <c r="A41" s="278" t="str">
        <f>IFERROR(__xludf.DUMMYFUNCTION("""COMPUTED_VALUE"""),"EA Sports FC 24")</f>
        <v>EA Sports FC 24</v>
      </c>
      <c r="B41" s="20" t="str">
        <f>IFERROR(__xludf.DUMMYFUNCTION("""COMPUTED_VALUE"""),"Xbox / PC")</f>
        <v>Xbox / PC</v>
      </c>
      <c r="C41" s="21" t="str">
        <f>IFERROR(__xludf.DUMMYFUNCTION("""COMPUTED_VALUE"""),"Yes")</f>
        <v>Yes</v>
      </c>
      <c r="D41" s="21" t="str">
        <f>IFERROR(__xludf.DUMMYFUNCTION("""COMPUTED_VALUE"""),"Removed")</f>
        <v>Removed</v>
      </c>
      <c r="E41" s="279">
        <f>IFERROR(__xludf.DUMMYFUNCTION("""COMPUTED_VALUE"""),45468.0)</f>
        <v>45468</v>
      </c>
      <c r="F41" s="279">
        <f>IFERROR(__xludf.DUMMYFUNCTION("""COMPUTED_VALUE"""),46218.0)</f>
        <v>46218</v>
      </c>
      <c r="G41" s="27">
        <f>IFERROR(__xludf.DUMMYFUNCTION("""COMPUTED_VALUE"""),24.666666666666664)</f>
        <v>24.66666667</v>
      </c>
      <c r="H41" s="128">
        <f>IFERROR(__xludf.DUMMYFUNCTION("""COMPUTED_VALUE"""),45198.0)</f>
        <v>45198</v>
      </c>
      <c r="I41" s="27">
        <f>IFERROR(__xludf.DUMMYFUNCTION("""COMPUTED_VALUE"""),0.7388888888888889)</f>
        <v>0.7388888889</v>
      </c>
      <c r="J41" s="29">
        <f>IFERROR(__xludf.DUMMYFUNCTION("""COMPUTED_VALUE"""),75.0)</f>
        <v>75</v>
      </c>
      <c r="K41" s="29">
        <f>IFERROR(__xludf.DUMMYFUNCTION("""COMPUTED_VALUE"""),34.0)</f>
        <v>34</v>
      </c>
      <c r="L41" s="275" t="str">
        <f>IFERROR(__xludf.DUMMYFUNCTION("""COMPUTED_VALUE"""),"Sports")</f>
        <v>Sports</v>
      </c>
    </row>
    <row r="42" hidden="1">
      <c r="A42" s="278" t="str">
        <f>IFERROR(__xludf.DUMMYFUNCTION("""COMPUTED_VALUE"""),"Shadow of the Tomb Raider: Definitive Edition")</f>
        <v>Shadow of the Tomb Raider: Definitive Edition</v>
      </c>
      <c r="B42" s="20" t="str">
        <f>IFERROR(__xludf.DUMMYFUNCTION("""COMPUTED_VALUE"""),"Xbox / PC")</f>
        <v>Xbox / PC</v>
      </c>
      <c r="C42" s="21" t="str">
        <f>IFERROR(__xludf.DUMMYFUNCTION("""COMPUTED_VALUE"""),"Yes")</f>
        <v>Yes</v>
      </c>
      <c r="D42" s="21" t="str">
        <f>IFERROR(__xludf.DUMMYFUNCTION("""COMPUTED_VALUE"""),"Removed")</f>
        <v>Removed</v>
      </c>
      <c r="E42" s="23">
        <f>IFERROR(__xludf.DUMMYFUNCTION("""COMPUTED_VALUE"""),45393.0)</f>
        <v>45393</v>
      </c>
      <c r="F42" s="276">
        <f>IFERROR(__xludf.DUMMYFUNCTION("""COMPUTED_VALUE"""),46218.0)</f>
        <v>46218</v>
      </c>
      <c r="G42" s="27">
        <f>IFERROR(__xludf.DUMMYFUNCTION("""COMPUTED_VALUE"""),27.133333333333333)</f>
        <v>27.13333333</v>
      </c>
      <c r="H42" s="128">
        <f>IFERROR(__xludf.DUMMYFUNCTION("""COMPUTED_VALUE"""),43357.0)</f>
        <v>43357</v>
      </c>
      <c r="I42" s="27">
        <f>IFERROR(__xludf.DUMMYFUNCTION("""COMPUTED_VALUE"""),5.575)</f>
        <v>5.575</v>
      </c>
      <c r="J42" s="277">
        <f>IFERROR(__xludf.DUMMYFUNCTION("""COMPUTED_VALUE"""),82.0)</f>
        <v>82</v>
      </c>
      <c r="K42" s="29">
        <f>IFERROR(__xludf.DUMMYFUNCTION("""COMPUTED_VALUE"""),13.0)</f>
        <v>13</v>
      </c>
      <c r="L42" s="275" t="str">
        <f>IFERROR(__xludf.DUMMYFUNCTION("""COMPUTED_VALUE"""),"Action-Adventure")</f>
        <v>Action-Adventure</v>
      </c>
    </row>
    <row r="43" hidden="1">
      <c r="A43" s="17" t="str">
        <f>IFERROR(__xludf.DUMMYFUNCTION("""COMPUTED_VALUE"""),"Techtonica (Game Preview)")</f>
        <v>Techtonica (Game Preview)</v>
      </c>
      <c r="B43" s="20" t="str">
        <f>IFERROR(__xludf.DUMMYFUNCTION("""COMPUTED_VALUE"""),"Xbox / PC")</f>
        <v>Xbox / PC</v>
      </c>
      <c r="C43" s="21" t="str">
        <f>IFERROR(__xludf.DUMMYFUNCTION("""COMPUTED_VALUE"""),"Yes")</f>
        <v>Yes</v>
      </c>
      <c r="D43" s="21" t="str">
        <f>IFERROR(__xludf.DUMMYFUNCTION("""COMPUTED_VALUE"""),"Removed")</f>
        <v>Removed</v>
      </c>
      <c r="E43" s="279">
        <f>IFERROR(__xludf.DUMMYFUNCTION("""COMPUTED_VALUE"""),45125.0)</f>
        <v>45125</v>
      </c>
      <c r="F43" s="279">
        <f>IFERROR(__xludf.DUMMYFUNCTION("""COMPUTED_VALUE"""),46218.0)</f>
        <v>46218</v>
      </c>
      <c r="G43" s="27">
        <f>IFERROR(__xludf.DUMMYFUNCTION("""COMPUTED_VALUE"""),35.9)</f>
        <v>35.9</v>
      </c>
      <c r="H43" s="128">
        <f>IFERROR(__xludf.DUMMYFUNCTION("""COMPUTED_VALUE"""),45125.0)</f>
        <v>45125</v>
      </c>
      <c r="I43" s="27">
        <f>IFERROR(__xludf.DUMMYFUNCTION("""COMPUTED_VALUE"""),0.0)</f>
        <v>0</v>
      </c>
      <c r="J43" s="29">
        <f>IFERROR(__xludf.DUMMYFUNCTION("""COMPUTED_VALUE"""),70.0)</f>
        <v>70</v>
      </c>
      <c r="K43" s="29">
        <f>IFERROR(__xludf.DUMMYFUNCTION("""COMPUTED_VALUE"""),39.0)</f>
        <v>39</v>
      </c>
      <c r="L43" s="275" t="str">
        <f>IFERROR(__xludf.DUMMYFUNCTION("""COMPUTED_VALUE"""),"Simulation")</f>
        <v>Simulation</v>
      </c>
    </row>
    <row r="44" hidden="1">
      <c r="A44" s="278" t="str">
        <f>IFERROR(__xludf.DUMMYFUNCTION("""COMPUTED_VALUE"""),"PowerWash Simulator")</f>
        <v>PowerWash Simulator</v>
      </c>
      <c r="B44" s="20" t="str">
        <f>IFERROR(__xludf.DUMMYFUNCTION("""COMPUTED_VALUE"""),"Xbox / PC")</f>
        <v>Xbox / PC</v>
      </c>
      <c r="C44" s="21" t="str">
        <f>IFERROR(__xludf.DUMMYFUNCTION("""COMPUTED_VALUE"""),"Yes")</f>
        <v>Yes</v>
      </c>
      <c r="D44" s="21" t="str">
        <f>IFERROR(__xludf.DUMMYFUNCTION("""COMPUTED_VALUE"""),"Removed")</f>
        <v>Removed</v>
      </c>
      <c r="E44" s="279">
        <f>IFERROR(__xludf.DUMMYFUNCTION("""COMPUTED_VALUE"""),44756.0)</f>
        <v>44756</v>
      </c>
      <c r="F44" s="279">
        <f>IFERROR(__xludf.DUMMYFUNCTION("""COMPUTED_VALUE"""),46218.0)</f>
        <v>46218</v>
      </c>
      <c r="G44" s="27">
        <f>IFERROR(__xludf.DUMMYFUNCTION("""COMPUTED_VALUE"""),48.03333333333334)</f>
        <v>48.03333333</v>
      </c>
      <c r="H44" s="128">
        <f>IFERROR(__xludf.DUMMYFUNCTION("""COMPUTED_VALUE"""),44335.0)</f>
        <v>44335</v>
      </c>
      <c r="I44" s="27">
        <f>IFERROR(__xludf.DUMMYFUNCTION("""COMPUTED_VALUE"""),1.1527777777777777)</f>
        <v>1.152777778</v>
      </c>
      <c r="J44" s="29">
        <f>IFERROR(__xludf.DUMMYFUNCTION("""COMPUTED_VALUE"""),76.0)</f>
        <v>76</v>
      </c>
      <c r="K44" s="29">
        <f>IFERROR(__xludf.DUMMYFUNCTION("""COMPUTED_VALUE"""),21.5)</f>
        <v>21.5</v>
      </c>
      <c r="L44" s="275" t="str">
        <f>IFERROR(__xludf.DUMMYFUNCTION("""COMPUTED_VALUE"""),"Simulation")</f>
        <v>Simulation</v>
      </c>
    </row>
    <row r="45" hidden="1">
      <c r="A45" s="278" t="str">
        <f>IFERROR(__xludf.DUMMYFUNCTION("""COMPUTED_VALUE"""),"Golf With Your Friends")</f>
        <v>Golf With Your Friends</v>
      </c>
      <c r="B45" s="20" t="str">
        <f>IFERROR(__xludf.DUMMYFUNCTION("""COMPUTED_VALUE"""),"Xbox / PC")</f>
        <v>Xbox / PC</v>
      </c>
      <c r="C45" s="21" t="str">
        <f>IFERROR(__xludf.DUMMYFUNCTION("""COMPUTED_VALUE"""),"Touch Controls")</f>
        <v>Touch Controls</v>
      </c>
      <c r="D45" s="21" t="str">
        <f>IFERROR(__xludf.DUMMYFUNCTION("""COMPUTED_VALUE"""),"Removed")</f>
        <v>Removed</v>
      </c>
      <c r="E45" s="279">
        <f>IFERROR(__xludf.DUMMYFUNCTION("""COMPUTED_VALUE"""),43970.0)</f>
        <v>43970</v>
      </c>
      <c r="F45" s="279">
        <f>IFERROR(__xludf.DUMMYFUNCTION("""COMPUTED_VALUE"""),46218.0)</f>
        <v>46218</v>
      </c>
      <c r="G45" s="27">
        <f>IFERROR(__xludf.DUMMYFUNCTION("""COMPUTED_VALUE"""),73.86666666666667)</f>
        <v>73.86666667</v>
      </c>
      <c r="H45" s="128">
        <f>IFERROR(__xludf.DUMMYFUNCTION("""COMPUTED_VALUE"""),43970.0)</f>
        <v>43970</v>
      </c>
      <c r="I45" s="27">
        <f>IFERROR(__xludf.DUMMYFUNCTION("""COMPUTED_VALUE"""),0.0)</f>
        <v>0</v>
      </c>
      <c r="J45" s="29">
        <f>IFERROR(__xludf.DUMMYFUNCTION("""COMPUTED_VALUE"""),68.0)</f>
        <v>68</v>
      </c>
      <c r="K45" s="29">
        <f>IFERROR(__xludf.DUMMYFUNCTION("""COMPUTED_VALUE"""),23.5)</f>
        <v>23.5</v>
      </c>
      <c r="L45" s="275" t="str">
        <f>IFERROR(__xludf.DUMMYFUNCTION("""COMPUTED_VALUE"""),"Sports")</f>
        <v>Sports</v>
      </c>
    </row>
    <row r="46" hidden="1">
      <c r="A46" s="278" t="str">
        <f>IFERROR(__xludf.DUMMYFUNCTION("""COMPUTED_VALUE"""),"Stellaris")</f>
        <v>Stellaris</v>
      </c>
      <c r="B46" s="20" t="str">
        <f>IFERROR(__xludf.DUMMYFUNCTION("""COMPUTED_VALUE"""),"Xbox / PC")</f>
        <v>Xbox / PC</v>
      </c>
      <c r="C46" s="21" t="str">
        <f>IFERROR(__xludf.DUMMYFUNCTION("""COMPUTED_VALUE"""),"Yes")</f>
        <v>Yes</v>
      </c>
      <c r="D46" s="21" t="str">
        <f>IFERROR(__xludf.DUMMYFUNCTION("""COMPUTED_VALUE"""),"Removed")</f>
        <v>Removed</v>
      </c>
      <c r="E46" s="279">
        <f>IFERROR(__xludf.DUMMYFUNCTION("""COMPUTED_VALUE"""),43696.0)</f>
        <v>43696</v>
      </c>
      <c r="F46" s="279">
        <f>IFERROR(__xludf.DUMMYFUNCTION("""COMPUTED_VALUE"""),46218.0)</f>
        <v>46218</v>
      </c>
      <c r="G46" s="27">
        <f>IFERROR(__xludf.DUMMYFUNCTION("""COMPUTED_VALUE"""),82.86666666666667)</f>
        <v>82.86666667</v>
      </c>
      <c r="H46" s="128">
        <f>IFERROR(__xludf.DUMMYFUNCTION("""COMPUTED_VALUE"""),42499.0)</f>
        <v>42499</v>
      </c>
      <c r="I46" s="27">
        <f>IFERROR(__xludf.DUMMYFUNCTION("""COMPUTED_VALUE"""),3.2777777777777777)</f>
        <v>3.277777778</v>
      </c>
      <c r="J46" s="29">
        <f>IFERROR(__xludf.DUMMYFUNCTION("""COMPUTED_VALUE"""),81.0)</f>
        <v>81</v>
      </c>
      <c r="K46" s="29">
        <f>IFERROR(__xludf.DUMMYFUNCTION("""COMPUTED_VALUE"""),21.0)</f>
        <v>21</v>
      </c>
      <c r="L46" s="275" t="str">
        <f>IFERROR(__xludf.DUMMYFUNCTION("""COMPUTED_VALUE"""),"Strategy")</f>
        <v>Strategy</v>
      </c>
    </row>
    <row r="47" hidden="1">
      <c r="A47" s="278" t="str">
        <f>IFERROR(__xludf.DUMMYFUNCTION("""COMPUTED_VALUE"""),"Ultimate Chicken Horse")</f>
        <v>Ultimate Chicken Horse</v>
      </c>
      <c r="B47" s="21" t="str">
        <f>IFERROR(__xludf.DUMMYFUNCTION("""COMPUTED_VALUE"""),"Xbox / PC")</f>
        <v>Xbox / PC</v>
      </c>
      <c r="C47" s="21" t="str">
        <f>IFERROR(__xludf.DUMMYFUNCTION("""COMPUTED_VALUE"""),"Yes")</f>
        <v>Yes</v>
      </c>
      <c r="D47" s="21" t="str">
        <f>IFERROR(__xludf.DUMMYFUNCTION("""COMPUTED_VALUE"""),"Removed")</f>
        <v>Removed</v>
      </c>
      <c r="E47" s="279">
        <f>IFERROR(__xludf.DUMMYFUNCTION("""COMPUTED_VALUE"""),45841.0)</f>
        <v>45841</v>
      </c>
      <c r="F47" s="24">
        <f>IFERROR(__xludf.DUMMYFUNCTION("""COMPUTED_VALUE"""),46203.0)</f>
        <v>46203</v>
      </c>
      <c r="G47" s="27">
        <f>IFERROR(__xludf.DUMMYFUNCTION("""COMPUTED_VALUE"""),11.9)</f>
        <v>11.9</v>
      </c>
      <c r="H47" s="128">
        <f>IFERROR(__xludf.DUMMYFUNCTION("""COMPUTED_VALUE"""),43368.0)</f>
        <v>43368</v>
      </c>
      <c r="I47" s="27">
        <f>IFERROR(__xludf.DUMMYFUNCTION("""COMPUTED_VALUE"""),6.772222222222222)</f>
        <v>6.772222222</v>
      </c>
      <c r="J47" s="277">
        <f>IFERROR(__xludf.DUMMYFUNCTION("""COMPUTED_VALUE"""),80.0)</f>
        <v>80</v>
      </c>
      <c r="K47" s="277">
        <f>IFERROR(__xludf.DUMMYFUNCTION("""COMPUTED_VALUE"""),7.0)</f>
        <v>7</v>
      </c>
      <c r="L47" s="31" t="str">
        <f>IFERROR(__xludf.DUMMYFUNCTION("""COMPUTED_VALUE"""),"Platformer")</f>
        <v>Platformer</v>
      </c>
    </row>
    <row r="48" hidden="1">
      <c r="A48" s="278" t="str">
        <f>IFERROR(__xludf.DUMMYFUNCTION("""COMPUTED_VALUE"""),"Rise of the Tomb Raider")</f>
        <v>Rise of the Tomb Raider</v>
      </c>
      <c r="B48" s="20" t="str">
        <f>IFERROR(__xludf.DUMMYFUNCTION("""COMPUTED_VALUE"""),"Xbox / PC")</f>
        <v>Xbox / PC</v>
      </c>
      <c r="C48" s="21" t="str">
        <f>IFERROR(__xludf.DUMMYFUNCTION("""COMPUTED_VALUE"""),"Yes")</f>
        <v>Yes</v>
      </c>
      <c r="D48" s="21" t="str">
        <f>IFERROR(__xludf.DUMMYFUNCTION("""COMPUTED_VALUE"""),"Removed")</f>
        <v>Removed</v>
      </c>
      <c r="E48" s="279">
        <f>IFERROR(__xludf.DUMMYFUNCTION("""COMPUTED_VALUE"""),45839.0)</f>
        <v>45839</v>
      </c>
      <c r="F48" s="279">
        <f>IFERROR(__xludf.DUMMYFUNCTION("""COMPUTED_VALUE"""),46203.0)</f>
        <v>46203</v>
      </c>
      <c r="G48" s="27">
        <f>IFERROR(__xludf.DUMMYFUNCTION("""COMPUTED_VALUE"""),11.966666666666667)</f>
        <v>11.96666667</v>
      </c>
      <c r="H48" s="128">
        <f>IFERROR(__xludf.DUMMYFUNCTION("""COMPUTED_VALUE"""),42318.0)</f>
        <v>42318</v>
      </c>
      <c r="I48" s="27">
        <f>IFERROR(__xludf.DUMMYFUNCTION("""COMPUTED_VALUE"""),9.641666666666667)</f>
        <v>9.641666667</v>
      </c>
      <c r="J48" s="29">
        <f>IFERROR(__xludf.DUMMYFUNCTION("""COMPUTED_VALUE"""),86.0)</f>
        <v>86</v>
      </c>
      <c r="K48" s="29">
        <f>IFERROR(__xludf.DUMMYFUNCTION("""COMPUTED_VALUE"""),13.5)</f>
        <v>13.5</v>
      </c>
      <c r="L48" s="275" t="str">
        <f>IFERROR(__xludf.DUMMYFUNCTION("""COMPUTED_VALUE"""),"Action-Adventure")</f>
        <v>Action-Adventure</v>
      </c>
    </row>
    <row r="49" hidden="1">
      <c r="A49" s="278" t="str">
        <f>IFERROR(__xludf.DUMMYFUNCTION("""COMPUTED_VALUE"""),"Volcano Princess")</f>
        <v>Volcano Princess</v>
      </c>
      <c r="B49" s="20" t="str">
        <f>IFERROR(__xludf.DUMMYFUNCTION("""COMPUTED_VALUE"""),"Xbox / PC")</f>
        <v>Xbox / PC</v>
      </c>
      <c r="C49" s="21" t="str">
        <f>IFERROR(__xludf.DUMMYFUNCTION("""COMPUTED_VALUE"""),"Yes")</f>
        <v>Yes</v>
      </c>
      <c r="D49" s="21" t="str">
        <f>IFERROR(__xludf.DUMMYFUNCTION("""COMPUTED_VALUE"""),"Removed")</f>
        <v>Removed</v>
      </c>
      <c r="E49" s="279">
        <f>IFERROR(__xludf.DUMMYFUNCTION("""COMPUTED_VALUE"""),45832.0)</f>
        <v>45832</v>
      </c>
      <c r="F49" s="279">
        <f>IFERROR(__xludf.DUMMYFUNCTION("""COMPUTED_VALUE"""),46203.0)</f>
        <v>46203</v>
      </c>
      <c r="G49" s="27">
        <f>IFERROR(__xludf.DUMMYFUNCTION("""COMPUTED_VALUE"""),12.2)</f>
        <v>12.2</v>
      </c>
      <c r="H49" s="128">
        <f>IFERROR(__xludf.DUMMYFUNCTION("""COMPUTED_VALUE"""),45036.0)</f>
        <v>45036</v>
      </c>
      <c r="I49" s="27">
        <f>IFERROR(__xludf.DUMMYFUNCTION("""COMPUTED_VALUE"""),2.1777777777777776)</f>
        <v>2.177777778</v>
      </c>
      <c r="J49" s="29">
        <f>IFERROR(__xludf.DUMMYFUNCTION("""COMPUTED_VALUE"""),80.0)</f>
        <v>80</v>
      </c>
      <c r="K49" s="29">
        <f>IFERROR(__xludf.DUMMYFUNCTION("""COMPUTED_VALUE"""),9.0)</f>
        <v>9</v>
      </c>
      <c r="L49" s="275" t="str">
        <f>IFERROR(__xludf.DUMMYFUNCTION("""COMPUTED_VALUE"""),"RPG")</f>
        <v>RPG</v>
      </c>
    </row>
    <row r="50" hidden="1">
      <c r="A50" s="278" t="str">
        <f>IFERROR(__xludf.DUMMYFUNCTION("""COMPUTED_VALUE"""),"Tomb Raider: Definitive Edition")</f>
        <v>Tomb Raider: Definitive Edition</v>
      </c>
      <c r="B50" s="20" t="str">
        <f>IFERROR(__xludf.DUMMYFUNCTION("""COMPUTED_VALUE"""),"Xbox / PC")</f>
        <v>Xbox / PC</v>
      </c>
      <c r="C50" s="21" t="str">
        <f>IFERROR(__xludf.DUMMYFUNCTION("""COMPUTED_VALUE"""),"Yes")</f>
        <v>Yes</v>
      </c>
      <c r="D50" s="21" t="str">
        <f>IFERROR(__xludf.DUMMYFUNCTION("""COMPUTED_VALUE"""),"Removed")</f>
        <v>Removed</v>
      </c>
      <c r="E50" s="279">
        <f>IFERROR(__xludf.DUMMYFUNCTION("""COMPUTED_VALUE"""),45414.0)</f>
        <v>45414</v>
      </c>
      <c r="F50" s="279">
        <f>IFERROR(__xludf.DUMMYFUNCTION("""COMPUTED_VALUE"""),46203.0)</f>
        <v>46203</v>
      </c>
      <c r="G50" s="27">
        <f>IFERROR(__xludf.DUMMYFUNCTION("""COMPUTED_VALUE"""),25.93333333333333)</f>
        <v>25.93333333</v>
      </c>
      <c r="H50" s="128">
        <f>IFERROR(__xludf.DUMMYFUNCTION("""COMPUTED_VALUE"""),41338.0)</f>
        <v>41338</v>
      </c>
      <c r="I50" s="27">
        <f>IFERROR(__xludf.DUMMYFUNCTION("""COMPUTED_VALUE"""),11.158333333333333)</f>
        <v>11.15833333</v>
      </c>
      <c r="J50" s="29">
        <f>IFERROR(__xludf.DUMMYFUNCTION("""COMPUTED_VALUE"""),86.0)</f>
        <v>86</v>
      </c>
      <c r="K50" s="29">
        <f>IFERROR(__xludf.DUMMYFUNCTION("""COMPUTED_VALUE"""),11.5)</f>
        <v>11.5</v>
      </c>
      <c r="L50" s="275" t="str">
        <f>IFERROR(__xludf.DUMMYFUNCTION("""COMPUTED_VALUE"""),"Shooter")</f>
        <v>Shooter</v>
      </c>
    </row>
    <row r="51" hidden="1">
      <c r="A51" s="278" t="str">
        <f>IFERROR(__xludf.DUMMYFUNCTION("""COMPUTED_VALUE"""),"Unpacking")</f>
        <v>Unpacking</v>
      </c>
      <c r="B51" s="20" t="str">
        <f>IFERROR(__xludf.DUMMYFUNCTION("""COMPUTED_VALUE"""),"Xbox / PC")</f>
        <v>Xbox / PC</v>
      </c>
      <c r="C51" s="21" t="str">
        <f>IFERROR(__xludf.DUMMYFUNCTION("""COMPUTED_VALUE"""),"Touch Controls")</f>
        <v>Touch Controls</v>
      </c>
      <c r="D51" s="21" t="str">
        <f>IFERROR(__xludf.DUMMYFUNCTION("""COMPUTED_VALUE"""),"Removed")</f>
        <v>Removed</v>
      </c>
      <c r="E51" s="279">
        <f>IFERROR(__xludf.DUMMYFUNCTION("""COMPUTED_VALUE"""),44502.0)</f>
        <v>44502</v>
      </c>
      <c r="F51" s="279">
        <f>IFERROR(__xludf.DUMMYFUNCTION("""COMPUTED_VALUE"""),46203.0)</f>
        <v>46203</v>
      </c>
      <c r="G51" s="27">
        <f>IFERROR(__xludf.DUMMYFUNCTION("""COMPUTED_VALUE"""),55.93333333333334)</f>
        <v>55.93333333</v>
      </c>
      <c r="H51" s="128">
        <f>IFERROR(__xludf.DUMMYFUNCTION("""COMPUTED_VALUE"""),44502.0)</f>
        <v>44502</v>
      </c>
      <c r="I51" s="27">
        <f>IFERROR(__xludf.DUMMYFUNCTION("""COMPUTED_VALUE"""),0.0)</f>
        <v>0</v>
      </c>
      <c r="J51" s="29">
        <f>IFERROR(__xludf.DUMMYFUNCTION("""COMPUTED_VALUE"""),82.0)</f>
        <v>82</v>
      </c>
      <c r="K51" s="29">
        <f>IFERROR(__xludf.DUMMYFUNCTION("""COMPUTED_VALUE"""),3.5)</f>
        <v>3.5</v>
      </c>
      <c r="L51" s="275" t="str">
        <f>IFERROR(__xludf.DUMMYFUNCTION("""COMPUTED_VALUE"""),"Puzzle")</f>
        <v>Puzzle</v>
      </c>
    </row>
    <row r="52" hidden="1">
      <c r="A52" s="278" t="str">
        <f>IFERROR(__xludf.DUMMYFUNCTION("""COMPUTED_VALUE"""),"Slay the Spire")</f>
        <v>Slay the Spire</v>
      </c>
      <c r="B52" s="20" t="str">
        <f>IFERROR(__xludf.DUMMYFUNCTION("""COMPUTED_VALUE"""),"Xbox / PC")</f>
        <v>Xbox / PC</v>
      </c>
      <c r="C52" s="21" t="str">
        <f>IFERROR(__xludf.DUMMYFUNCTION("""COMPUTED_VALUE"""),"Touch Controls")</f>
        <v>Touch Controls</v>
      </c>
      <c r="D52" s="21" t="str">
        <f>IFERROR(__xludf.DUMMYFUNCTION("""COMPUTED_VALUE"""),"Removed")</f>
        <v>Removed</v>
      </c>
      <c r="E52" s="279">
        <f>IFERROR(__xludf.DUMMYFUNCTION("""COMPUTED_VALUE"""),43691.0)</f>
        <v>43691</v>
      </c>
      <c r="F52" s="276">
        <f>IFERROR(__xludf.DUMMYFUNCTION("""COMPUTED_VALUE"""),46203.0)</f>
        <v>46203</v>
      </c>
      <c r="G52" s="27">
        <f>IFERROR(__xludf.DUMMYFUNCTION("""COMPUTED_VALUE"""),82.53333333333333)</f>
        <v>82.53333333</v>
      </c>
      <c r="H52" s="128">
        <f>IFERROR(__xludf.DUMMYFUNCTION("""COMPUTED_VALUE"""),43054.0)</f>
        <v>43054</v>
      </c>
      <c r="I52" s="27">
        <f>IFERROR(__xludf.DUMMYFUNCTION("""COMPUTED_VALUE"""),1.7472222222222222)</f>
        <v>1.747222222</v>
      </c>
      <c r="J52" s="277">
        <f>IFERROR(__xludf.DUMMYFUNCTION("""COMPUTED_VALUE"""),88.0)</f>
        <v>88</v>
      </c>
      <c r="K52" s="277">
        <f>IFERROR(__xludf.DUMMYFUNCTION("""COMPUTED_VALUE"""),10.5)</f>
        <v>10.5</v>
      </c>
      <c r="L52" s="275" t="str">
        <f>IFERROR(__xludf.DUMMYFUNCTION("""COMPUTED_VALUE"""),"Strategy")</f>
        <v>Strategy</v>
      </c>
    </row>
    <row r="53" hidden="1">
      <c r="A53" s="278" t="str">
        <f>IFERROR(__xludf.DUMMYFUNCTION("""COMPUTED_VALUE"""),"Payday 2: Crimewave Edition")</f>
        <v>Payday 2: Crimewave Edition</v>
      </c>
      <c r="B53" s="20" t="str">
        <f>IFERROR(__xludf.DUMMYFUNCTION("""COMPUTED_VALUE"""),"Xbox")</f>
        <v>Xbox</v>
      </c>
      <c r="C53" s="20"/>
      <c r="D53" s="21" t="str">
        <f>IFERROR(__xludf.DUMMYFUNCTION("""COMPUTED_VALUE"""),"Removed")</f>
        <v>Removed</v>
      </c>
      <c r="E53" s="279">
        <f>IFERROR(__xludf.DUMMYFUNCTION("""COMPUTED_VALUE"""),42887.0)</f>
        <v>42887</v>
      </c>
      <c r="F53" s="279">
        <f>IFERROR(__xludf.DUMMYFUNCTION("""COMPUTED_VALUE"""),46203.0)</f>
        <v>46203</v>
      </c>
      <c r="G53" s="27">
        <f>IFERROR(__xludf.DUMMYFUNCTION("""COMPUTED_VALUE"""),108.96666666666667)</f>
        <v>108.9666667</v>
      </c>
      <c r="H53" s="128">
        <f>IFERROR(__xludf.DUMMYFUNCTION("""COMPUTED_VALUE"""),41499.0)</f>
        <v>41499</v>
      </c>
      <c r="I53" s="27">
        <f>IFERROR(__xludf.DUMMYFUNCTION("""COMPUTED_VALUE"""),3.8)</f>
        <v>3.8</v>
      </c>
      <c r="J53" s="277">
        <f>IFERROR(__xludf.DUMMYFUNCTION("""COMPUTED_VALUE"""),65.0)</f>
        <v>65</v>
      </c>
      <c r="K53" s="29">
        <f>IFERROR(__xludf.DUMMYFUNCTION("""COMPUTED_VALUE"""),24.5)</f>
        <v>24.5</v>
      </c>
      <c r="L53" s="275" t="str">
        <f>IFERROR(__xludf.DUMMYFUNCTION("""COMPUTED_VALUE"""),"Shooter")</f>
        <v>Shooter</v>
      </c>
    </row>
    <row r="54" hidden="1">
      <c r="A54" s="278" t="str">
        <f>IFERROR(__xludf.DUMMYFUNCTION("""COMPUTED_VALUE"""),"Scott Pilgrim vs. The World: The Game")</f>
        <v>Scott Pilgrim vs. The World: The Game</v>
      </c>
      <c r="B54" s="20" t="str">
        <f>IFERROR(__xludf.DUMMYFUNCTION("""COMPUTED_VALUE"""),"Xbox / PC")</f>
        <v>Xbox / PC</v>
      </c>
      <c r="C54" s="21" t="str">
        <f>IFERROR(__xludf.DUMMYFUNCTION("""COMPUTED_VALUE"""),"Yes")</f>
        <v>Yes</v>
      </c>
      <c r="D54" s="21" t="str">
        <f>IFERROR(__xludf.DUMMYFUNCTION("""COMPUTED_VALUE"""),"Removed")</f>
        <v>Removed</v>
      </c>
      <c r="E54" s="279">
        <f>IFERROR(__xludf.DUMMYFUNCTION("""COMPUTED_VALUE"""),45931.0)</f>
        <v>45931</v>
      </c>
      <c r="F54" s="276">
        <f>IFERROR(__xludf.DUMMYFUNCTION("""COMPUTED_VALUE"""),46188.0)</f>
        <v>46188</v>
      </c>
      <c r="G54" s="27">
        <f>IFERROR(__xludf.DUMMYFUNCTION("""COMPUTED_VALUE"""),8.466666666666667)</f>
        <v>8.466666667</v>
      </c>
      <c r="H54" s="128">
        <f>IFERROR(__xludf.DUMMYFUNCTION("""COMPUTED_VALUE"""),44210.0)</f>
        <v>44210</v>
      </c>
      <c r="I54" s="27">
        <f>IFERROR(__xludf.DUMMYFUNCTION("""COMPUTED_VALUE"""),4.713888888888889)</f>
        <v>4.713888889</v>
      </c>
      <c r="J54" s="29">
        <f>IFERROR(__xludf.DUMMYFUNCTION("""COMPUTED_VALUE"""),79.0)</f>
        <v>79</v>
      </c>
      <c r="K54" s="29">
        <f>IFERROR(__xludf.DUMMYFUNCTION("""COMPUTED_VALUE"""),5.0)</f>
        <v>5</v>
      </c>
      <c r="L54" s="31" t="str">
        <f>IFERROR(__xludf.DUMMYFUNCTION("""COMPUTED_VALUE"""),"Beat-'Em-Up")</f>
        <v>Beat-'Em-Up</v>
      </c>
    </row>
    <row r="55" hidden="1">
      <c r="A55" s="278" t="str">
        <f>IFERROR(__xludf.DUMMYFUNCTION("""COMPUTED_VALUE"""),"Warhammer 40,000: Space Marine - Master Crafted Edition")</f>
        <v>Warhammer 40,000: Space Marine - Master Crafted Edition</v>
      </c>
      <c r="B55" s="20" t="str">
        <f>IFERROR(__xludf.DUMMYFUNCTION("""COMPUTED_VALUE"""),"Xbox / PC")</f>
        <v>Xbox / PC</v>
      </c>
      <c r="C55" s="21" t="str">
        <f>IFERROR(__xludf.DUMMYFUNCTION("""COMPUTED_VALUE"""),"Yes")</f>
        <v>Yes</v>
      </c>
      <c r="D55" s="21" t="str">
        <f>IFERROR(__xludf.DUMMYFUNCTION("""COMPUTED_VALUE"""),"Removed")</f>
        <v>Removed</v>
      </c>
      <c r="E55" s="279">
        <f>IFERROR(__xludf.DUMMYFUNCTION("""COMPUTED_VALUE"""),45818.0)</f>
        <v>45818</v>
      </c>
      <c r="F55" s="276">
        <f>IFERROR(__xludf.DUMMYFUNCTION("""COMPUTED_VALUE"""),46188.0)</f>
        <v>46188</v>
      </c>
      <c r="G55" s="27">
        <f>IFERROR(__xludf.DUMMYFUNCTION("""COMPUTED_VALUE"""),12.166666666666666)</f>
        <v>12.16666667</v>
      </c>
      <c r="H55" s="128">
        <f>IFERROR(__xludf.DUMMYFUNCTION("""COMPUTED_VALUE"""),40792.0)</f>
        <v>40792</v>
      </c>
      <c r="I55" s="27">
        <f>IFERROR(__xludf.DUMMYFUNCTION("""COMPUTED_VALUE"""),13.761111111111111)</f>
        <v>13.76111111</v>
      </c>
      <c r="J55" s="277">
        <f>IFERROR(__xludf.DUMMYFUNCTION("""COMPUTED_VALUE"""),76.0)</f>
        <v>76</v>
      </c>
      <c r="K55" s="277">
        <f>IFERROR(__xludf.DUMMYFUNCTION("""COMPUTED_VALUE"""),8.0)</f>
        <v>8</v>
      </c>
      <c r="L55" s="275" t="str">
        <f>IFERROR(__xludf.DUMMYFUNCTION("""COMPUTED_VALUE"""),"Shooter")</f>
        <v>Shooter</v>
      </c>
    </row>
    <row r="56" hidden="1">
      <c r="A56" s="17" t="str">
        <f>IFERROR(__xludf.DUMMYFUNCTION("""COMPUTED_VALUE"""),"Jurassic World Evolution 2")</f>
        <v>Jurassic World Evolution 2</v>
      </c>
      <c r="B56" s="20" t="str">
        <f>IFERROR(__xludf.DUMMYFUNCTION("""COMPUTED_VALUE"""),"Xbox / PC")</f>
        <v>Xbox / PC</v>
      </c>
      <c r="C56" s="21" t="str">
        <f>IFERROR(__xludf.DUMMYFUNCTION("""COMPUTED_VALUE"""),"Yes")</f>
        <v>Yes</v>
      </c>
      <c r="D56" s="21" t="str">
        <f>IFERROR(__xludf.DUMMYFUNCTION("""COMPUTED_VALUE"""),"Removed")</f>
        <v>Removed</v>
      </c>
      <c r="E56" s="279">
        <f>IFERROR(__xludf.DUMMYFUNCTION("""COMPUTED_VALUE"""),44698.0)</f>
        <v>44698</v>
      </c>
      <c r="F56" s="279">
        <f>IFERROR(__xludf.DUMMYFUNCTION("""COMPUTED_VALUE"""),46188.0)</f>
        <v>46188</v>
      </c>
      <c r="G56" s="27">
        <f>IFERROR(__xludf.DUMMYFUNCTION("""COMPUTED_VALUE"""),48.93333333333333)</f>
        <v>48.93333333</v>
      </c>
      <c r="H56" s="128">
        <f>IFERROR(__xludf.DUMMYFUNCTION("""COMPUTED_VALUE"""),44509.0)</f>
        <v>44509</v>
      </c>
      <c r="I56" s="27">
        <f>IFERROR(__xludf.DUMMYFUNCTION("""COMPUTED_VALUE"""),0.5222222222222223)</f>
        <v>0.5222222222</v>
      </c>
      <c r="J56" s="29">
        <f>IFERROR(__xludf.DUMMYFUNCTION("""COMPUTED_VALUE"""),79.0)</f>
        <v>79</v>
      </c>
      <c r="K56" s="29">
        <f>IFERROR(__xludf.DUMMYFUNCTION("""COMPUTED_VALUE"""),6.0)</f>
        <v>6</v>
      </c>
      <c r="L56" s="275" t="str">
        <f>IFERROR(__xludf.DUMMYFUNCTION("""COMPUTED_VALUE"""),"Simulation")</f>
        <v>Simulation</v>
      </c>
    </row>
    <row r="57" hidden="1">
      <c r="A57" s="278" t="str">
        <f>IFERROR(__xludf.DUMMYFUNCTION("""COMPUTED_VALUE"""),"Teenage Mutant Ninja Turtles: Shredder's Revenge")</f>
        <v>Teenage Mutant Ninja Turtles: Shredder's Revenge</v>
      </c>
      <c r="B57" s="20" t="str">
        <f>IFERROR(__xludf.DUMMYFUNCTION("""COMPUTED_VALUE"""),"Xbox / PC")</f>
        <v>Xbox / PC</v>
      </c>
      <c r="C57" s="21" t="str">
        <f>IFERROR(__xludf.DUMMYFUNCTION("""COMPUTED_VALUE"""),"Touch Controls")</f>
        <v>Touch Controls</v>
      </c>
      <c r="D57" s="21" t="str">
        <f>IFERROR(__xludf.DUMMYFUNCTION("""COMPUTED_VALUE"""),"Removed")</f>
        <v>Removed</v>
      </c>
      <c r="E57" s="279">
        <f>IFERROR(__xludf.DUMMYFUNCTION("""COMPUTED_VALUE"""),44728.0)</f>
        <v>44728</v>
      </c>
      <c r="F57" s="279">
        <f>IFERROR(__xludf.DUMMYFUNCTION("""COMPUTED_VALUE"""),46188.0)</f>
        <v>46188</v>
      </c>
      <c r="G57" s="27">
        <f>IFERROR(__xludf.DUMMYFUNCTION("""COMPUTED_VALUE"""),47.96666666666667)</f>
        <v>47.96666667</v>
      </c>
      <c r="H57" s="128">
        <f>IFERROR(__xludf.DUMMYFUNCTION("""COMPUTED_VALUE"""),44728.0)</f>
        <v>44728</v>
      </c>
      <c r="I57" s="27">
        <f>IFERROR(__xludf.DUMMYFUNCTION("""COMPUTED_VALUE"""),0.0)</f>
        <v>0</v>
      </c>
      <c r="J57" s="29">
        <f>IFERROR(__xludf.DUMMYFUNCTION("""COMPUTED_VALUE"""),86.0)</f>
        <v>86</v>
      </c>
      <c r="K57" s="29">
        <f>IFERROR(__xludf.DUMMYFUNCTION("""COMPUTED_VALUE"""),2.5)</f>
        <v>2.5</v>
      </c>
      <c r="L57" s="275" t="str">
        <f>IFERROR(__xludf.DUMMYFUNCTION("""COMPUTED_VALUE"""),"Brawler")</f>
        <v>Brawler</v>
      </c>
    </row>
    <row r="58" hidden="1">
      <c r="A58" s="278" t="str">
        <f>IFERROR(__xludf.DUMMYFUNCTION("""COMPUTED_VALUE"""),"Lost In Random")</f>
        <v>Lost In Random</v>
      </c>
      <c r="B58" s="20" t="str">
        <f>IFERROR(__xludf.DUMMYFUNCTION("""COMPUTED_VALUE"""),"Xbox / PC")</f>
        <v>Xbox / PC</v>
      </c>
      <c r="C58" s="21" t="str">
        <f>IFERROR(__xludf.DUMMYFUNCTION("""COMPUTED_VALUE"""),"Touch Controls")</f>
        <v>Touch Controls</v>
      </c>
      <c r="D58" s="21" t="str">
        <f>IFERROR(__xludf.DUMMYFUNCTION("""COMPUTED_VALUE"""),"Removed")</f>
        <v>Removed</v>
      </c>
      <c r="E58" s="279">
        <f>IFERROR(__xludf.DUMMYFUNCTION("""COMPUTED_VALUE"""),44663.0)</f>
        <v>44663</v>
      </c>
      <c r="F58" s="279">
        <f>IFERROR(__xludf.DUMMYFUNCTION("""COMPUTED_VALUE"""),46188.0)</f>
        <v>46188</v>
      </c>
      <c r="G58" s="27">
        <f>IFERROR(__xludf.DUMMYFUNCTION("""COMPUTED_VALUE"""),50.099999999999994)</f>
        <v>50.1</v>
      </c>
      <c r="H58" s="128">
        <f>IFERROR(__xludf.DUMMYFUNCTION("""COMPUTED_VALUE"""),44449.0)</f>
        <v>44449</v>
      </c>
      <c r="I58" s="27">
        <f>IFERROR(__xludf.DUMMYFUNCTION("""COMPUTED_VALUE"""),0.5888888888888889)</f>
        <v>0.5888888889</v>
      </c>
      <c r="J58" s="29">
        <f>IFERROR(__xludf.DUMMYFUNCTION("""COMPUTED_VALUE"""),76.0)</f>
        <v>76</v>
      </c>
      <c r="K58" s="29">
        <f>IFERROR(__xludf.DUMMYFUNCTION("""COMPUTED_VALUE"""),11.5)</f>
        <v>11.5</v>
      </c>
      <c r="L58" s="275" t="str">
        <f>IFERROR(__xludf.DUMMYFUNCTION("""COMPUTED_VALUE"""),"RPG")</f>
        <v>RPG</v>
      </c>
    </row>
    <row r="59" hidden="1">
      <c r="A59" s="278" t="str">
        <f>IFERROR(__xludf.DUMMYFUNCTION("""COMPUTED_VALUE"""),"Persona 4: Golden")</f>
        <v>Persona 4: Golden</v>
      </c>
      <c r="B59" s="20" t="str">
        <f>IFERROR(__xludf.DUMMYFUNCTION("""COMPUTED_VALUE"""),"Xbox / PC")</f>
        <v>Xbox / PC</v>
      </c>
      <c r="C59" s="21" t="str">
        <f>IFERROR(__xludf.DUMMYFUNCTION("""COMPUTED_VALUE"""),"Yes")</f>
        <v>Yes</v>
      </c>
      <c r="D59" s="21" t="str">
        <f>IFERROR(__xludf.DUMMYFUNCTION("""COMPUTED_VALUE"""),"Removed")</f>
        <v>Removed</v>
      </c>
      <c r="E59" s="279">
        <f>IFERROR(__xludf.DUMMYFUNCTION("""COMPUTED_VALUE"""),45889.0)</f>
        <v>45889</v>
      </c>
      <c r="F59" s="279">
        <f>IFERROR(__xludf.DUMMYFUNCTION("""COMPUTED_VALUE"""),46173.0)</f>
        <v>46173</v>
      </c>
      <c r="G59" s="27">
        <f>IFERROR(__xludf.DUMMYFUNCTION("""COMPUTED_VALUE"""),9.333333333333334)</f>
        <v>9.333333333</v>
      </c>
      <c r="H59" s="128">
        <f>IFERROR(__xludf.DUMMYFUNCTION("""COMPUTED_VALUE"""),41074.0)</f>
        <v>41074</v>
      </c>
      <c r="I59" s="27">
        <f>IFERROR(__xludf.DUMMYFUNCTION("""COMPUTED_VALUE"""),13.183333333333334)</f>
        <v>13.18333333</v>
      </c>
      <c r="J59" s="29">
        <f>IFERROR(__xludf.DUMMYFUNCTION("""COMPUTED_VALUE"""),90.0)</f>
        <v>90</v>
      </c>
      <c r="K59" s="29">
        <f>IFERROR(__xludf.DUMMYFUNCTION("""COMPUTED_VALUE"""),68.5)</f>
        <v>68.5</v>
      </c>
      <c r="L59" s="275" t="str">
        <f>IFERROR(__xludf.DUMMYFUNCTION("""COMPUTED_VALUE"""),"RPG")</f>
        <v>RPG</v>
      </c>
    </row>
    <row r="60" hidden="1">
      <c r="A60" s="278" t="str">
        <f>IFERROR(__xludf.DUMMYFUNCTION("""COMPUTED_VALUE"""),"Crypt Custodian")</f>
        <v>Crypt Custodian</v>
      </c>
      <c r="B60" s="20" t="str">
        <f>IFERROR(__xludf.DUMMYFUNCTION("""COMPUTED_VALUE"""),"Xbox / PC")</f>
        <v>Xbox / PC</v>
      </c>
      <c r="C60" s="21" t="str">
        <f>IFERROR(__xludf.DUMMYFUNCTION("""COMPUTED_VALUE"""),"Yes")</f>
        <v>Yes</v>
      </c>
      <c r="D60" s="21" t="str">
        <f>IFERROR(__xludf.DUMMYFUNCTION("""COMPUTED_VALUE"""),"Removed")</f>
        <v>Removed</v>
      </c>
      <c r="E60" s="279">
        <f>IFERROR(__xludf.DUMMYFUNCTION("""COMPUTED_VALUE"""),45811.0)</f>
        <v>45811</v>
      </c>
      <c r="F60" s="279">
        <f>IFERROR(__xludf.DUMMYFUNCTION("""COMPUTED_VALUE"""),46173.0)</f>
        <v>46173</v>
      </c>
      <c r="G60" s="27">
        <f>IFERROR(__xludf.DUMMYFUNCTION("""COMPUTED_VALUE"""),11.9)</f>
        <v>11.9</v>
      </c>
      <c r="H60" s="128">
        <f>IFERROR(__xludf.DUMMYFUNCTION("""COMPUTED_VALUE"""),45531.0)</f>
        <v>45531</v>
      </c>
      <c r="I60" s="27">
        <f>IFERROR(__xludf.DUMMYFUNCTION("""COMPUTED_VALUE"""),0.7666666666666667)</f>
        <v>0.7666666667</v>
      </c>
      <c r="J60" s="29">
        <f>IFERROR(__xludf.DUMMYFUNCTION("""COMPUTED_VALUE"""),82.0)</f>
        <v>82</v>
      </c>
      <c r="K60" s="29">
        <f>IFERROR(__xludf.DUMMYFUNCTION("""COMPUTED_VALUE"""),10.0)</f>
        <v>10</v>
      </c>
      <c r="L60" s="275" t="str">
        <f>IFERROR(__xludf.DUMMYFUNCTION("""COMPUTED_VALUE"""),"Action-Adventure")</f>
        <v>Action-Adventure</v>
      </c>
    </row>
    <row r="61" hidden="1">
      <c r="A61" s="278" t="str">
        <f>IFERROR(__xludf.DUMMYFUNCTION("""COMPUTED_VALUE"""),"Spray Paint Simulator")</f>
        <v>Spray Paint Simulator</v>
      </c>
      <c r="B61" s="20" t="str">
        <f>IFERROR(__xludf.DUMMYFUNCTION("""COMPUTED_VALUE"""),"Xbox / PC")</f>
        <v>Xbox / PC</v>
      </c>
      <c r="C61" s="21" t="str">
        <f>IFERROR(__xludf.DUMMYFUNCTION("""COMPUTED_VALUE"""),"Yes")</f>
        <v>Yes</v>
      </c>
      <c r="D61" s="21" t="str">
        <f>IFERROR(__xludf.DUMMYFUNCTION("""COMPUTED_VALUE"""),"Removed")</f>
        <v>Removed</v>
      </c>
      <c r="E61" s="279">
        <f>IFERROR(__xludf.DUMMYFUNCTION("""COMPUTED_VALUE"""),45806.0)</f>
        <v>45806</v>
      </c>
      <c r="F61" s="279">
        <f>IFERROR(__xludf.DUMMYFUNCTION("""COMPUTED_VALUE"""),46173.0)</f>
        <v>46173</v>
      </c>
      <c r="G61" s="27">
        <f>IFERROR(__xludf.DUMMYFUNCTION("""COMPUTED_VALUE"""),12.033333333333333)</f>
        <v>12.03333333</v>
      </c>
      <c r="H61" s="128">
        <f>IFERROR(__xludf.DUMMYFUNCTION("""COMPUTED_VALUE"""),45806.0)</f>
        <v>45806</v>
      </c>
      <c r="I61" s="27">
        <f>IFERROR(__xludf.DUMMYFUNCTION("""COMPUTED_VALUE"""),0.0)</f>
        <v>0</v>
      </c>
      <c r="J61" s="29">
        <f>IFERROR(__xludf.DUMMYFUNCTION("""COMPUTED_VALUE"""),78.0)</f>
        <v>78</v>
      </c>
      <c r="K61" s="29">
        <f>IFERROR(__xludf.DUMMYFUNCTION("""COMPUTED_VALUE"""),9.0)</f>
        <v>9</v>
      </c>
      <c r="L61" s="275" t="str">
        <f>IFERROR(__xludf.DUMMYFUNCTION("""COMPUTED_VALUE"""),"Simulation")</f>
        <v>Simulation</v>
      </c>
    </row>
    <row r="62" hidden="1">
      <c r="A62" s="278" t="str">
        <f>IFERROR(__xludf.DUMMYFUNCTION("""COMPUTED_VALUE"""),"Metaphor: ReFantazio")</f>
        <v>Metaphor: ReFantazio</v>
      </c>
      <c r="B62" s="20" t="str">
        <f>IFERROR(__xludf.DUMMYFUNCTION("""COMPUTED_VALUE"""),"Xbox / PC")</f>
        <v>Xbox / PC</v>
      </c>
      <c r="C62" s="21" t="str">
        <f>IFERROR(__xludf.DUMMYFUNCTION("""COMPUTED_VALUE"""),"Yes")</f>
        <v>Yes</v>
      </c>
      <c r="D62" s="21" t="str">
        <f>IFERROR(__xludf.DUMMYFUNCTION("""COMPUTED_VALUE"""),"Removed")</f>
        <v>Removed</v>
      </c>
      <c r="E62" s="279">
        <f>IFERROR(__xludf.DUMMYFUNCTION("""COMPUTED_VALUE"""),45806.0)</f>
        <v>45806</v>
      </c>
      <c r="F62" s="279">
        <f>IFERROR(__xludf.DUMMYFUNCTION("""COMPUTED_VALUE"""),46173.0)</f>
        <v>46173</v>
      </c>
      <c r="G62" s="27">
        <f>IFERROR(__xludf.DUMMYFUNCTION("""COMPUTED_VALUE"""),12.033333333333333)</f>
        <v>12.03333333</v>
      </c>
      <c r="H62" s="128">
        <f>IFERROR(__xludf.DUMMYFUNCTION("""COMPUTED_VALUE"""),45576.0)</f>
        <v>45576</v>
      </c>
      <c r="I62" s="27">
        <f>IFERROR(__xludf.DUMMYFUNCTION("""COMPUTED_VALUE"""),0.6333333333333333)</f>
        <v>0.6333333333</v>
      </c>
      <c r="J62" s="29">
        <f>IFERROR(__xludf.DUMMYFUNCTION("""COMPUTED_VALUE"""),94.0)</f>
        <v>94</v>
      </c>
      <c r="K62" s="29">
        <f>IFERROR(__xludf.DUMMYFUNCTION("""COMPUTED_VALUE"""),66.0)</f>
        <v>66</v>
      </c>
      <c r="L62" s="275" t="str">
        <f>IFERROR(__xludf.DUMMYFUNCTION("""COMPUTED_VALUE"""),"RPG")</f>
        <v>RPG</v>
      </c>
    </row>
    <row r="63" hidden="1">
      <c r="A63" s="278" t="str">
        <f>IFERROR(__xludf.DUMMYFUNCTION("""COMPUTED_VALUE"""),"Against the Storm")</f>
        <v>Against the Storm</v>
      </c>
      <c r="B63" s="20" t="str">
        <f>IFERROR(__xludf.DUMMYFUNCTION("""COMPUTED_VALUE"""),"Xbox / PC")</f>
        <v>Xbox / PC</v>
      </c>
      <c r="C63" s="21"/>
      <c r="D63" s="21" t="str">
        <f>IFERROR(__xludf.DUMMYFUNCTION("""COMPUTED_VALUE"""),"Removed")</f>
        <v>Removed</v>
      </c>
      <c r="E63" s="279">
        <f>IFERROR(__xludf.DUMMYFUNCTION("""COMPUTED_VALUE"""),45268.0)</f>
        <v>45268</v>
      </c>
      <c r="F63" s="279">
        <f>IFERROR(__xludf.DUMMYFUNCTION("""COMPUTED_VALUE"""),46173.0)</f>
        <v>46173</v>
      </c>
      <c r="G63" s="27">
        <f>IFERROR(__xludf.DUMMYFUNCTION("""COMPUTED_VALUE"""),29.733333333333334)</f>
        <v>29.73333333</v>
      </c>
      <c r="H63" s="128">
        <f>IFERROR(__xludf.DUMMYFUNCTION("""COMPUTED_VALUE"""),44487.0)</f>
        <v>44487</v>
      </c>
      <c r="I63" s="27">
        <f>IFERROR(__xludf.DUMMYFUNCTION("""COMPUTED_VALUE"""),2.138888888888889)</f>
        <v>2.138888889</v>
      </c>
      <c r="J63" s="29">
        <f>IFERROR(__xludf.DUMMYFUNCTION("""COMPUTED_VALUE"""),90.0)</f>
        <v>90</v>
      </c>
      <c r="K63" s="29">
        <f>IFERROR(__xludf.DUMMYFUNCTION("""COMPUTED_VALUE"""),93.0)</f>
        <v>93</v>
      </c>
      <c r="L63" s="31" t="str">
        <f>IFERROR(__xludf.DUMMYFUNCTION("""COMPUTED_VALUE"""),"Strategy")</f>
        <v>Strategy</v>
      </c>
    </row>
    <row r="64" hidden="1">
      <c r="A64" s="17" t="str">
        <f>IFERROR(__xludf.DUMMYFUNCTION("""COMPUTED_VALUE"""),"PAW Patrol Rescue Wheels: Championship")</f>
        <v>PAW Patrol Rescue Wheels: Championship</v>
      </c>
      <c r="B64" s="20" t="str">
        <f>IFERROR(__xludf.DUMMYFUNCTION("""COMPUTED_VALUE"""),"Xbox / PC")</f>
        <v>Xbox / PC</v>
      </c>
      <c r="C64" s="21" t="str">
        <f>IFERROR(__xludf.DUMMYFUNCTION("""COMPUTED_VALUE"""),"Yes")</f>
        <v>Yes</v>
      </c>
      <c r="D64" s="21" t="str">
        <f>IFERROR(__xludf.DUMMYFUNCTION("""COMPUTED_VALUE"""),"Removed")</f>
        <v>Removed</v>
      </c>
      <c r="E64" s="279">
        <f>IFERROR(__xludf.DUMMYFUNCTION("""COMPUTED_VALUE"""),46058.0)</f>
        <v>46058</v>
      </c>
      <c r="F64" s="279">
        <f>IFERROR(__xludf.DUMMYFUNCTION("""COMPUTED_VALUE"""),46157.0)</f>
        <v>46157</v>
      </c>
      <c r="G64" s="27">
        <f>IFERROR(__xludf.DUMMYFUNCTION("""COMPUTED_VALUE"""),3.3333333333333335)</f>
        <v>3.333333333</v>
      </c>
      <c r="H64" s="128">
        <f>IFERROR(__xludf.DUMMYFUNCTION("""COMPUTED_VALUE"""),45961.0)</f>
        <v>45961</v>
      </c>
      <c r="I64" s="27">
        <f>IFERROR(__xludf.DUMMYFUNCTION("""COMPUTED_VALUE"""),0.2638888888888889)</f>
        <v>0.2638888889</v>
      </c>
      <c r="J64" s="29">
        <f>IFERROR(__xludf.DUMMYFUNCTION("""COMPUTED_VALUE"""),63.0)</f>
        <v>63</v>
      </c>
      <c r="K64" s="29">
        <f>IFERROR(__xludf.DUMMYFUNCTION("""COMPUTED_VALUE"""),4.0)</f>
        <v>4</v>
      </c>
      <c r="L64" s="275" t="str">
        <f>IFERROR(__xludf.DUMMYFUNCTION("""COMPUTED_VALUE"""),"Racing")</f>
        <v>Racing</v>
      </c>
    </row>
    <row r="65" hidden="1">
      <c r="A65" s="278" t="str">
        <f>IFERROR(__xludf.DUMMYFUNCTION("""COMPUTED_VALUE"""),"Kulebra and the Souls of Limbo")</f>
        <v>Kulebra and the Souls of Limbo</v>
      </c>
      <c r="B65" s="20" t="str">
        <f>IFERROR(__xludf.DUMMYFUNCTION("""COMPUTED_VALUE"""),"Xbox / PC")</f>
        <v>Xbox / PC</v>
      </c>
      <c r="C65" s="21" t="str">
        <f>IFERROR(__xludf.DUMMYFUNCTION("""COMPUTED_VALUE"""),"Yes")</f>
        <v>Yes</v>
      </c>
      <c r="D65" s="21" t="str">
        <f>IFERROR(__xludf.DUMMYFUNCTION("""COMPUTED_VALUE"""),"Removed")</f>
        <v>Removed</v>
      </c>
      <c r="E65" s="279">
        <f>IFERROR(__xludf.DUMMYFUNCTION("""COMPUTED_VALUE"""),45793.0)</f>
        <v>45793</v>
      </c>
      <c r="F65" s="279">
        <f>IFERROR(__xludf.DUMMYFUNCTION("""COMPUTED_VALUE"""),46157.0)</f>
        <v>46157</v>
      </c>
      <c r="G65" s="27">
        <f>IFERROR(__xludf.DUMMYFUNCTION("""COMPUTED_VALUE"""),11.966666666666667)</f>
        <v>11.96666667</v>
      </c>
      <c r="H65" s="128">
        <f>IFERROR(__xludf.DUMMYFUNCTION("""COMPUTED_VALUE"""),45793.0)</f>
        <v>45793</v>
      </c>
      <c r="I65" s="27">
        <f>IFERROR(__xludf.DUMMYFUNCTION("""COMPUTED_VALUE"""),0.0)</f>
        <v>0</v>
      </c>
      <c r="J65" s="29">
        <f>IFERROR(__xludf.DUMMYFUNCTION("""COMPUTED_VALUE"""),73.0)</f>
        <v>73</v>
      </c>
      <c r="K65" s="29">
        <f>IFERROR(__xludf.DUMMYFUNCTION("""COMPUTED_VALUE"""),10.0)</f>
        <v>10</v>
      </c>
      <c r="L65" s="275" t="str">
        <f>IFERROR(__xludf.DUMMYFUNCTION("""COMPUTED_VALUE"""),"Action-Adventure")</f>
        <v>Action-Adventure</v>
      </c>
    </row>
    <row r="66" hidden="1">
      <c r="A66" s="278" t="str">
        <f>IFERROR(__xludf.DUMMYFUNCTION("""COMPUTED_VALUE"""),"Galacticare")</f>
        <v>Galacticare</v>
      </c>
      <c r="B66" s="20" t="str">
        <f>IFERROR(__xludf.DUMMYFUNCTION("""COMPUTED_VALUE"""),"Xbox / PC")</f>
        <v>Xbox / PC</v>
      </c>
      <c r="C66" s="21" t="str">
        <f>IFERROR(__xludf.DUMMYFUNCTION("""COMPUTED_VALUE"""),"Yes")</f>
        <v>Yes</v>
      </c>
      <c r="D66" s="21" t="str">
        <f>IFERROR(__xludf.DUMMYFUNCTION("""COMPUTED_VALUE"""),"Removed")</f>
        <v>Removed</v>
      </c>
      <c r="E66" s="279">
        <f>IFERROR(__xludf.DUMMYFUNCTION("""COMPUTED_VALUE"""),45435.0)</f>
        <v>45435</v>
      </c>
      <c r="F66" s="279">
        <f>IFERROR(__xludf.DUMMYFUNCTION("""COMPUTED_VALUE"""),46157.0)</f>
        <v>46157</v>
      </c>
      <c r="G66" s="27">
        <f>IFERROR(__xludf.DUMMYFUNCTION("""COMPUTED_VALUE"""),23.733333333333334)</f>
        <v>23.73333333</v>
      </c>
      <c r="H66" s="128">
        <f>IFERROR(__xludf.DUMMYFUNCTION("""COMPUTED_VALUE"""),45435.0)</f>
        <v>45435</v>
      </c>
      <c r="I66" s="27">
        <f>IFERROR(__xludf.DUMMYFUNCTION("""COMPUTED_VALUE"""),0.0)</f>
        <v>0</v>
      </c>
      <c r="J66" s="29">
        <f>IFERROR(__xludf.DUMMYFUNCTION("""COMPUTED_VALUE"""),80.0)</f>
        <v>80</v>
      </c>
      <c r="K66" s="29">
        <f>IFERROR(__xludf.DUMMYFUNCTION("""COMPUTED_VALUE"""),20.0)</f>
        <v>20</v>
      </c>
      <c r="L66" s="275" t="str">
        <f>IFERROR(__xludf.DUMMYFUNCTION("""COMPUTED_VALUE"""),"Tycoon")</f>
        <v>Tycoon</v>
      </c>
    </row>
    <row r="67" hidden="1">
      <c r="A67" s="278" t="str">
        <f>IFERROR(__xludf.DUMMYFUNCTION("""COMPUTED_VALUE"""),"Go Mecha Ball")</f>
        <v>Go Mecha Ball</v>
      </c>
      <c r="B67" s="20" t="str">
        <f>IFERROR(__xludf.DUMMYFUNCTION("""COMPUTED_VALUE"""),"Xbox / PC")</f>
        <v>Xbox / PC</v>
      </c>
      <c r="C67" s="21" t="str">
        <f>IFERROR(__xludf.DUMMYFUNCTION("""COMPUTED_VALUE"""),"Yes")</f>
        <v>Yes</v>
      </c>
      <c r="D67" s="21" t="str">
        <f>IFERROR(__xludf.DUMMYFUNCTION("""COMPUTED_VALUE"""),"Removed")</f>
        <v>Removed</v>
      </c>
      <c r="E67" s="279">
        <f>IFERROR(__xludf.DUMMYFUNCTION("""COMPUTED_VALUE"""),45316.0)</f>
        <v>45316</v>
      </c>
      <c r="F67" s="23">
        <f>IFERROR(__xludf.DUMMYFUNCTION("""COMPUTED_VALUE"""),46157.0)</f>
        <v>46157</v>
      </c>
      <c r="G67" s="27">
        <f>IFERROR(__xludf.DUMMYFUNCTION("""COMPUTED_VALUE"""),27.666666666666664)</f>
        <v>27.66666667</v>
      </c>
      <c r="H67" s="128">
        <f>IFERROR(__xludf.DUMMYFUNCTION("""COMPUTED_VALUE"""),45316.0)</f>
        <v>45316</v>
      </c>
      <c r="I67" s="27">
        <f>IFERROR(__xludf.DUMMYFUNCTION("""COMPUTED_VALUE"""),0.0)</f>
        <v>0</v>
      </c>
      <c r="J67" s="29">
        <f>IFERROR(__xludf.DUMMYFUNCTION("""COMPUTED_VALUE"""),68.0)</f>
        <v>68</v>
      </c>
      <c r="K67" s="29">
        <f>IFERROR(__xludf.DUMMYFUNCTION("""COMPUTED_VALUE"""),3.0)</f>
        <v>3</v>
      </c>
      <c r="L67" s="275" t="str">
        <f>IFERROR(__xludf.DUMMYFUNCTION("""COMPUTED_VALUE"""),"Action")</f>
        <v>Action</v>
      </c>
    </row>
    <row r="68" hidden="1">
      <c r="A68" s="17" t="str">
        <f>IFERROR(__xludf.DUMMYFUNCTION("""COMPUTED_VALUE"""),"Planet of Lana")</f>
        <v>Planet of Lana</v>
      </c>
      <c r="B68" s="20" t="str">
        <f>IFERROR(__xludf.DUMMYFUNCTION("""COMPUTED_VALUE"""),"Xbox / PC")</f>
        <v>Xbox / PC</v>
      </c>
      <c r="C68" s="21" t="str">
        <f>IFERROR(__xludf.DUMMYFUNCTION("""COMPUTED_VALUE"""),"Yes")</f>
        <v>Yes</v>
      </c>
      <c r="D68" s="21" t="str">
        <f>IFERROR(__xludf.DUMMYFUNCTION("""COMPUTED_VALUE"""),"Removed")</f>
        <v>Removed</v>
      </c>
      <c r="E68" s="279">
        <f>IFERROR(__xludf.DUMMYFUNCTION("""COMPUTED_VALUE"""),45069.0)</f>
        <v>45069</v>
      </c>
      <c r="F68" s="23">
        <f>IFERROR(__xludf.DUMMYFUNCTION("""COMPUTED_VALUE"""),46157.0)</f>
        <v>46157</v>
      </c>
      <c r="G68" s="27">
        <f>IFERROR(__xludf.DUMMYFUNCTION("""COMPUTED_VALUE"""),35.733333333333334)</f>
        <v>35.73333333</v>
      </c>
      <c r="H68" s="128">
        <f>IFERROR(__xludf.DUMMYFUNCTION("""COMPUTED_VALUE"""),45069.0)</f>
        <v>45069</v>
      </c>
      <c r="I68" s="27">
        <f>IFERROR(__xludf.DUMMYFUNCTION("""COMPUTED_VALUE"""),0.0)</f>
        <v>0</v>
      </c>
      <c r="J68" s="29">
        <f>IFERROR(__xludf.DUMMYFUNCTION("""COMPUTED_VALUE"""),80.0)</f>
        <v>80</v>
      </c>
      <c r="K68" s="29">
        <f>IFERROR(__xludf.DUMMYFUNCTION("""COMPUTED_VALUE"""),5.0)</f>
        <v>5</v>
      </c>
      <c r="L68" s="31" t="str">
        <f>IFERROR(__xludf.DUMMYFUNCTION("""COMPUTED_VALUE"""),"Action-Adventure")</f>
        <v>Action-Adventure</v>
      </c>
    </row>
    <row r="69" hidden="1">
      <c r="A69" s="278" t="str">
        <f>IFERROR(__xludf.DUMMYFUNCTION("""COMPUTED_VALUE"""),"ENDLESS Legend II (Game Preview)")</f>
        <v>ENDLESS Legend II (Game Preview)</v>
      </c>
      <c r="B69" s="20" t="str">
        <f>IFERROR(__xludf.DUMMYFUNCTION("""COMPUTED_VALUE"""),"PC")</f>
        <v>PC</v>
      </c>
      <c r="C69" s="21"/>
      <c r="D69" s="21" t="str">
        <f>IFERROR(__xludf.DUMMYFUNCTION("""COMPUTED_VALUE"""),"Removed")</f>
        <v>Removed</v>
      </c>
      <c r="E69" s="279">
        <f>IFERROR(__xludf.DUMMYFUNCTION("""COMPUTED_VALUE"""),45922.0)</f>
        <v>45922</v>
      </c>
      <c r="F69" s="279">
        <f>IFERROR(__xludf.DUMMYFUNCTION("""COMPUTED_VALUE"""),46142.0)</f>
        <v>46142</v>
      </c>
      <c r="G69" s="27">
        <f>IFERROR(__xludf.DUMMYFUNCTION("""COMPUTED_VALUE"""),7.266666666666666)</f>
        <v>7.266666667</v>
      </c>
      <c r="H69" s="128">
        <f>IFERROR(__xludf.DUMMYFUNCTION("""COMPUTED_VALUE"""),45922.0)</f>
        <v>45922</v>
      </c>
      <c r="I69" s="27">
        <f>IFERROR(__xludf.DUMMYFUNCTION("""COMPUTED_VALUE"""),0.0)</f>
        <v>0</v>
      </c>
      <c r="J69" s="29"/>
      <c r="K69" s="29">
        <f>IFERROR(__xludf.DUMMYFUNCTION("""COMPUTED_VALUE"""),9.0)</f>
        <v>9</v>
      </c>
      <c r="L69" s="275" t="str">
        <f>IFERROR(__xludf.DUMMYFUNCTION("""COMPUTED_VALUE"""),"Strategy")</f>
        <v>Strategy</v>
      </c>
    </row>
    <row r="70" hidden="1">
      <c r="A70" s="278" t="str">
        <f>IFERROR(__xludf.DUMMYFUNCTION("""COMPUTED_VALUE"""),"Revenge of the Savage Planet")</f>
        <v>Revenge of the Savage Planet</v>
      </c>
      <c r="B70" s="20" t="str">
        <f>IFERROR(__xludf.DUMMYFUNCTION("""COMPUTED_VALUE"""),"Xbox / PC")</f>
        <v>Xbox / PC</v>
      </c>
      <c r="C70" s="21" t="str">
        <f>IFERROR(__xludf.DUMMYFUNCTION("""COMPUTED_VALUE"""),"Yes")</f>
        <v>Yes</v>
      </c>
      <c r="D70" s="21" t="str">
        <f>IFERROR(__xludf.DUMMYFUNCTION("""COMPUTED_VALUE"""),"Removed")</f>
        <v>Removed</v>
      </c>
      <c r="E70" s="279">
        <f>IFERROR(__xludf.DUMMYFUNCTION("""COMPUTED_VALUE"""),45785.0)</f>
        <v>45785</v>
      </c>
      <c r="F70" s="279">
        <f>IFERROR(__xludf.DUMMYFUNCTION("""COMPUTED_VALUE"""),46142.0)</f>
        <v>46142</v>
      </c>
      <c r="G70" s="27">
        <f>IFERROR(__xludf.DUMMYFUNCTION("""COMPUTED_VALUE"""),11.733333333333333)</f>
        <v>11.73333333</v>
      </c>
      <c r="H70" s="128">
        <f>IFERROR(__xludf.DUMMYFUNCTION("""COMPUTED_VALUE"""),45785.0)</f>
        <v>45785</v>
      </c>
      <c r="I70" s="27">
        <f>IFERROR(__xludf.DUMMYFUNCTION("""COMPUTED_VALUE"""),0.0)</f>
        <v>0</v>
      </c>
      <c r="J70" s="29">
        <f>IFERROR(__xludf.DUMMYFUNCTION("""COMPUTED_VALUE"""),77.0)</f>
        <v>77</v>
      </c>
      <c r="K70" s="29">
        <f>IFERROR(__xludf.DUMMYFUNCTION("""COMPUTED_VALUE"""),9.0)</f>
        <v>9</v>
      </c>
      <c r="L70" s="275" t="str">
        <f>IFERROR(__xludf.DUMMYFUNCTION("""COMPUTED_VALUE"""),"Action-Adventure")</f>
        <v>Action-Adventure</v>
      </c>
    </row>
    <row r="71" hidden="1">
      <c r="A71" s="278" t="str">
        <f>IFERROR(__xludf.DUMMYFUNCTION("""COMPUTED_VALUE"""),"Dragon Ball Xenoverse 2")</f>
        <v>Dragon Ball Xenoverse 2</v>
      </c>
      <c r="B71" s="20" t="str">
        <f>IFERROR(__xludf.DUMMYFUNCTION("""COMPUTED_VALUE"""),"Xbox / PC")</f>
        <v>Xbox / PC</v>
      </c>
      <c r="C71" s="21" t="str">
        <f>IFERROR(__xludf.DUMMYFUNCTION("""COMPUTED_VALUE"""),"Yes")</f>
        <v>Yes</v>
      </c>
      <c r="D71" s="21" t="str">
        <f>IFERROR(__xludf.DUMMYFUNCTION("""COMPUTED_VALUE"""),"Removed")</f>
        <v>Removed</v>
      </c>
      <c r="E71" s="279">
        <f>IFERROR(__xludf.DUMMYFUNCTION("""COMPUTED_VALUE"""),45784.0)</f>
        <v>45784</v>
      </c>
      <c r="F71" s="279">
        <f>IFERROR(__xludf.DUMMYFUNCTION("""COMPUTED_VALUE"""),46142.0)</f>
        <v>46142</v>
      </c>
      <c r="G71" s="27">
        <f>IFERROR(__xludf.DUMMYFUNCTION("""COMPUTED_VALUE"""),11.766666666666666)</f>
        <v>11.76666667</v>
      </c>
      <c r="H71" s="128">
        <f>IFERROR(__xludf.DUMMYFUNCTION("""COMPUTED_VALUE"""),42668.0)</f>
        <v>42668</v>
      </c>
      <c r="I71" s="27">
        <f>IFERROR(__xludf.DUMMYFUNCTION("""COMPUTED_VALUE"""),8.533333333333333)</f>
        <v>8.533333333</v>
      </c>
      <c r="J71" s="29">
        <f>IFERROR(__xludf.DUMMYFUNCTION("""COMPUTED_VALUE"""),72.0)</f>
        <v>72</v>
      </c>
      <c r="K71" s="29">
        <f>IFERROR(__xludf.DUMMYFUNCTION("""COMPUTED_VALUE"""),20.0)</f>
        <v>20</v>
      </c>
      <c r="L71" s="275" t="str">
        <f>IFERROR(__xludf.DUMMYFUNCTION("""COMPUTED_VALUE"""),"Fighting")</f>
        <v>Fighting</v>
      </c>
    </row>
    <row r="72" hidden="1">
      <c r="A72" s="17" t="str">
        <f>IFERROR(__xludf.DUMMYFUNCTION("""COMPUTED_VALUE"""),"Hunt: Showdown 1896")</f>
        <v>Hunt: Showdown 1896</v>
      </c>
      <c r="B72" s="20" t="str">
        <f>IFERROR(__xludf.DUMMYFUNCTION("""COMPUTED_VALUE"""),"Xbox / PC")</f>
        <v>Xbox / PC</v>
      </c>
      <c r="C72" s="21" t="str">
        <f>IFERROR(__xludf.DUMMYFUNCTION("""COMPUTED_VALUE"""),"Yes")</f>
        <v>Yes</v>
      </c>
      <c r="D72" s="21" t="str">
        <f>IFERROR(__xludf.DUMMYFUNCTION("""COMPUTED_VALUE"""),"Removed")</f>
        <v>Removed</v>
      </c>
      <c r="E72" s="279">
        <f>IFERROR(__xludf.DUMMYFUNCTION("""COMPUTED_VALUE"""),45638.0)</f>
        <v>45638</v>
      </c>
      <c r="F72" s="23">
        <f>IFERROR(__xludf.DUMMYFUNCTION("""COMPUTED_VALUE"""),46142.0)</f>
        <v>46142</v>
      </c>
      <c r="G72" s="27">
        <f>IFERROR(__xludf.DUMMYFUNCTION("""COMPUTED_VALUE"""),16.6)</f>
        <v>16.6</v>
      </c>
      <c r="H72" s="128">
        <f>IFERROR(__xludf.DUMMYFUNCTION("""COMPUTED_VALUE"""),45519.0)</f>
        <v>45519</v>
      </c>
      <c r="I72" s="27">
        <f>IFERROR(__xludf.DUMMYFUNCTION("""COMPUTED_VALUE"""),0.325)</f>
        <v>0.325</v>
      </c>
      <c r="J72" s="29">
        <f>IFERROR(__xludf.DUMMYFUNCTION("""COMPUTED_VALUE"""),80.0)</f>
        <v>80</v>
      </c>
      <c r="K72" s="29">
        <f>IFERROR(__xludf.DUMMYFUNCTION("""COMPUTED_VALUE"""),41.0)</f>
        <v>41</v>
      </c>
      <c r="L72" s="31" t="str">
        <f>IFERROR(__xludf.DUMMYFUNCTION("""COMPUTED_VALUE"""),"Shooter")</f>
        <v>Shooter</v>
      </c>
    </row>
    <row r="73" hidden="1">
      <c r="A73" s="17" t="str">
        <f>IFERROR(__xludf.DUMMYFUNCTION("""COMPUTED_VALUE"""),"Goat Simulator: Remastered")</f>
        <v>Goat Simulator: Remastered</v>
      </c>
      <c r="B73" s="20" t="str">
        <f>IFERROR(__xludf.DUMMYFUNCTION("""COMPUTED_VALUE"""),"Xbox / PC")</f>
        <v>Xbox / PC</v>
      </c>
      <c r="C73" s="21" t="str">
        <f>IFERROR(__xludf.DUMMYFUNCTION("""COMPUTED_VALUE"""),"Yes")</f>
        <v>Yes</v>
      </c>
      <c r="D73" s="21" t="str">
        <f>IFERROR(__xludf.DUMMYFUNCTION("""COMPUTED_VALUE"""),"Removed")</f>
        <v>Removed</v>
      </c>
      <c r="E73" s="279">
        <f>IFERROR(__xludf.DUMMYFUNCTION("""COMPUTED_VALUE"""),45603.0)</f>
        <v>45603</v>
      </c>
      <c r="F73" s="23">
        <f>IFERROR(__xludf.DUMMYFUNCTION("""COMPUTED_VALUE"""),46142.0)</f>
        <v>46142</v>
      </c>
      <c r="G73" s="27">
        <f>IFERROR(__xludf.DUMMYFUNCTION("""COMPUTED_VALUE"""),17.766666666666666)</f>
        <v>17.76666667</v>
      </c>
      <c r="H73" s="128">
        <f>IFERROR(__xludf.DUMMYFUNCTION("""COMPUTED_VALUE"""),45603.0)</f>
        <v>45603</v>
      </c>
      <c r="I73" s="27">
        <f>IFERROR(__xludf.DUMMYFUNCTION("""COMPUTED_VALUE"""),0.0)</f>
        <v>0</v>
      </c>
      <c r="J73" s="29">
        <f>IFERROR(__xludf.DUMMYFUNCTION("""COMPUTED_VALUE"""),65.0)</f>
        <v>65</v>
      </c>
      <c r="K73" s="29">
        <f>IFERROR(__xludf.DUMMYFUNCTION("""COMPUTED_VALUE"""),3.0)</f>
        <v>3</v>
      </c>
      <c r="L73" s="31" t="str">
        <f>IFERROR(__xludf.DUMMYFUNCTION("""COMPUTED_VALUE"""),"Action-Adventure")</f>
        <v>Action-Adventure</v>
      </c>
    </row>
    <row r="74" hidden="1">
      <c r="A74" s="17" t="str">
        <f>IFERROR(__xludf.DUMMYFUNCTION("""COMPUTED_VALUE"""),"Creatures of Ava")</f>
        <v>Creatures of Ava</v>
      </c>
      <c r="B74" s="20" t="str">
        <f>IFERROR(__xludf.DUMMYFUNCTION("""COMPUTED_VALUE"""),"Xbox / PC")</f>
        <v>Xbox / PC</v>
      </c>
      <c r="C74" s="21" t="str">
        <f>IFERROR(__xludf.DUMMYFUNCTION("""COMPUTED_VALUE"""),"Yes")</f>
        <v>Yes</v>
      </c>
      <c r="D74" s="21" t="str">
        <f>IFERROR(__xludf.DUMMYFUNCTION("""COMPUTED_VALUE"""),"Removed")</f>
        <v>Removed</v>
      </c>
      <c r="E74" s="279">
        <f>IFERROR(__xludf.DUMMYFUNCTION("""COMPUTED_VALUE"""),45511.0)</f>
        <v>45511</v>
      </c>
      <c r="F74" s="23">
        <f>IFERROR(__xludf.DUMMYFUNCTION("""COMPUTED_VALUE"""),46142.0)</f>
        <v>46142</v>
      </c>
      <c r="G74" s="27">
        <f>IFERROR(__xludf.DUMMYFUNCTION("""COMPUTED_VALUE"""),20.766666666666666)</f>
        <v>20.76666667</v>
      </c>
      <c r="H74" s="128">
        <f>IFERROR(__xludf.DUMMYFUNCTION("""COMPUTED_VALUE"""),45511.0)</f>
        <v>45511</v>
      </c>
      <c r="I74" s="27">
        <f>IFERROR(__xludf.DUMMYFUNCTION("""COMPUTED_VALUE"""),0.0)</f>
        <v>0</v>
      </c>
      <c r="J74" s="29">
        <f>IFERROR(__xludf.DUMMYFUNCTION("""COMPUTED_VALUE"""),75.0)</f>
        <v>75</v>
      </c>
      <c r="K74" s="29">
        <f>IFERROR(__xludf.DUMMYFUNCTION("""COMPUTED_VALUE"""),9.0)</f>
        <v>9</v>
      </c>
      <c r="L74" s="31" t="str">
        <f>IFERROR(__xludf.DUMMYFUNCTION("""COMPUTED_VALUE"""),"Action-Adventure")</f>
        <v>Action-Adventure</v>
      </c>
    </row>
    <row r="75" hidden="1">
      <c r="A75" s="17" t="str">
        <f>IFERROR(__xludf.DUMMYFUNCTION("""COMPUTED_VALUE"""),"NHL 24")</f>
        <v>NHL 24</v>
      </c>
      <c r="B75" s="20" t="str">
        <f>IFERROR(__xludf.DUMMYFUNCTION("""COMPUTED_VALUE"""),"Xbox")</f>
        <v>Xbox</v>
      </c>
      <c r="C75" s="21" t="str">
        <f>IFERROR(__xludf.DUMMYFUNCTION("""COMPUTED_VALUE"""),"Yes")</f>
        <v>Yes</v>
      </c>
      <c r="D75" s="21" t="str">
        <f>IFERROR(__xludf.DUMMYFUNCTION("""COMPUTED_VALUE"""),"Removed")</f>
        <v>Removed</v>
      </c>
      <c r="E75" s="279">
        <f>IFERROR(__xludf.DUMMYFUNCTION("""COMPUTED_VALUE"""),45400.0)</f>
        <v>45400</v>
      </c>
      <c r="F75" s="279">
        <f>IFERROR(__xludf.DUMMYFUNCTION("""COMPUTED_VALUE"""),46142.0)</f>
        <v>46142</v>
      </c>
      <c r="G75" s="27">
        <f>IFERROR(__xludf.DUMMYFUNCTION("""COMPUTED_VALUE"""),24.4)</f>
        <v>24.4</v>
      </c>
      <c r="H75" s="128">
        <f>IFERROR(__xludf.DUMMYFUNCTION("""COMPUTED_VALUE"""),45205.0)</f>
        <v>45205</v>
      </c>
      <c r="I75" s="27">
        <f>IFERROR(__xludf.DUMMYFUNCTION("""COMPUTED_VALUE"""),0.5333333333333333)</f>
        <v>0.5333333333</v>
      </c>
      <c r="J75" s="29">
        <f>IFERROR(__xludf.DUMMYFUNCTION("""COMPUTED_VALUE"""),71.0)</f>
        <v>71</v>
      </c>
      <c r="K75" s="29">
        <f>IFERROR(__xludf.DUMMYFUNCTION("""COMPUTED_VALUE"""),5.0)</f>
        <v>5</v>
      </c>
      <c r="L75" s="275" t="str">
        <f>IFERROR(__xludf.DUMMYFUNCTION("""COMPUTED_VALUE"""),"Sports")</f>
        <v>Sports</v>
      </c>
    </row>
    <row r="76" hidden="1">
      <c r="A76" s="278" t="str">
        <f>IFERROR(__xludf.DUMMYFUNCTION("""COMPUTED_VALUE"""),"Citizen Sleeper")</f>
        <v>Citizen Sleeper</v>
      </c>
      <c r="B76" s="20" t="str">
        <f>IFERROR(__xludf.DUMMYFUNCTION("""COMPUTED_VALUE"""),"Xbox / PC")</f>
        <v>Xbox / PC</v>
      </c>
      <c r="C76" s="21" t="str">
        <f>IFERROR(__xludf.DUMMYFUNCTION("""COMPUTED_VALUE"""),"Touch Controls")</f>
        <v>Touch Controls</v>
      </c>
      <c r="D76" s="21" t="str">
        <f>IFERROR(__xludf.DUMMYFUNCTION("""COMPUTED_VALUE"""),"Removed")</f>
        <v>Removed</v>
      </c>
      <c r="E76" s="279">
        <f>IFERROR(__xludf.DUMMYFUNCTION("""COMPUTED_VALUE"""),44686.0)</f>
        <v>44686</v>
      </c>
      <c r="F76" s="279">
        <f>IFERROR(__xludf.DUMMYFUNCTION("""COMPUTED_VALUE"""),46142.0)</f>
        <v>46142</v>
      </c>
      <c r="G76" s="27">
        <f>IFERROR(__xludf.DUMMYFUNCTION("""COMPUTED_VALUE"""),47.833333333333336)</f>
        <v>47.83333333</v>
      </c>
      <c r="H76" s="128">
        <f>IFERROR(__xludf.DUMMYFUNCTION("""COMPUTED_VALUE"""),44686.0)</f>
        <v>44686</v>
      </c>
      <c r="I76" s="27">
        <f>IFERROR(__xludf.DUMMYFUNCTION("""COMPUTED_VALUE"""),0.0)</f>
        <v>0</v>
      </c>
      <c r="J76" s="29">
        <f>IFERROR(__xludf.DUMMYFUNCTION("""COMPUTED_VALUE"""),82.0)</f>
        <v>82</v>
      </c>
      <c r="K76" s="29">
        <f>IFERROR(__xludf.DUMMYFUNCTION("""COMPUTED_VALUE"""),6.0)</f>
        <v>6</v>
      </c>
      <c r="L76" s="275" t="str">
        <f>IFERROR(__xludf.DUMMYFUNCTION("""COMPUTED_VALUE"""),"RPG")</f>
        <v>RPG</v>
      </c>
    </row>
    <row r="77" hidden="1">
      <c r="A77" s="17" t="str">
        <f>IFERROR(__xludf.DUMMYFUNCTION("""COMPUTED_VALUE"""),"My Little Pony: A Zephyr Heights Mystery")</f>
        <v>My Little Pony: A Zephyr Heights Mystery</v>
      </c>
      <c r="B77" s="20" t="str">
        <f>IFERROR(__xludf.DUMMYFUNCTION("""COMPUTED_VALUE"""),"Xbox / PC")</f>
        <v>Xbox / PC</v>
      </c>
      <c r="C77" s="20" t="str">
        <f>IFERROR(__xludf.DUMMYFUNCTION("""COMPUTED_VALUE"""),"Yes")</f>
        <v>Yes</v>
      </c>
      <c r="D77" s="21" t="str">
        <f>IFERROR(__xludf.DUMMYFUNCTION("""COMPUTED_VALUE"""),"Removed")</f>
        <v>Removed</v>
      </c>
      <c r="E77" s="127">
        <f>IFERROR(__xludf.DUMMYFUNCTION("""COMPUTED_VALUE"""),46037.0)</f>
        <v>46037</v>
      </c>
      <c r="F77" s="24">
        <f>IFERROR(__xludf.DUMMYFUNCTION("""COMPUTED_VALUE"""),46127.0)</f>
        <v>46127</v>
      </c>
      <c r="G77" s="27">
        <f>IFERROR(__xludf.DUMMYFUNCTION("""COMPUTED_VALUE"""),3.0)</f>
        <v>3</v>
      </c>
      <c r="H77" s="128">
        <f>IFERROR(__xludf.DUMMYFUNCTION("""COMPUTED_VALUE"""),45429.0)</f>
        <v>45429</v>
      </c>
      <c r="I77" s="27">
        <f>IFERROR(__xludf.DUMMYFUNCTION("""COMPUTED_VALUE"""),1.6611111111111112)</f>
        <v>1.661111111</v>
      </c>
      <c r="J77" s="29">
        <f>IFERROR(__xludf.DUMMYFUNCTION("""COMPUTED_VALUE"""),80.0)</f>
        <v>80</v>
      </c>
      <c r="K77" s="29">
        <f>IFERROR(__xludf.DUMMYFUNCTION("""COMPUTED_VALUE"""),5.0)</f>
        <v>5</v>
      </c>
      <c r="L77" s="31" t="str">
        <f>IFERROR(__xludf.DUMMYFUNCTION("""COMPUTED_VALUE"""),"Action-Adventure")</f>
        <v>Action-Adventure</v>
      </c>
    </row>
    <row r="78" hidden="1">
      <c r="A78" s="17" t="str">
        <f>IFERROR(__xludf.DUMMYFUNCTION("""COMPUTED_VALUE"""),"Grand Theft Auto V")</f>
        <v>Grand Theft Auto V</v>
      </c>
      <c r="B78" s="20" t="str">
        <f>IFERROR(__xludf.DUMMYFUNCTION("""COMPUTED_VALUE"""),"Xbox / PC")</f>
        <v>Xbox / PC</v>
      </c>
      <c r="C78" s="21" t="str">
        <f>IFERROR(__xludf.DUMMYFUNCTION("""COMPUTED_VALUE"""),"Yes")</f>
        <v>Yes</v>
      </c>
      <c r="D78" s="21" t="str">
        <f>IFERROR(__xludf.DUMMYFUNCTION("""COMPUTED_VALUE"""),"Removed")</f>
        <v>Removed</v>
      </c>
      <c r="E78" s="23">
        <f>IFERROR(__xludf.DUMMYFUNCTION("""COMPUTED_VALUE"""),45762.0)</f>
        <v>45762</v>
      </c>
      <c r="F78" s="24">
        <f>IFERROR(__xludf.DUMMYFUNCTION("""COMPUTED_VALUE"""),46127.0)</f>
        <v>46127</v>
      </c>
      <c r="G78" s="27">
        <f>IFERROR(__xludf.DUMMYFUNCTION("""COMPUTED_VALUE"""),12.0)</f>
        <v>12</v>
      </c>
      <c r="H78" s="23">
        <f>IFERROR(__xludf.DUMMYFUNCTION("""COMPUTED_VALUE"""),41534.0)</f>
        <v>41534</v>
      </c>
      <c r="I78" s="27">
        <f>IFERROR(__xludf.DUMMYFUNCTION("""COMPUTED_VALUE"""),11.577777777777778)</f>
        <v>11.57777778</v>
      </c>
      <c r="J78" s="29">
        <f>IFERROR(__xludf.DUMMYFUNCTION("""COMPUTED_VALUE"""),97.0)</f>
        <v>97</v>
      </c>
      <c r="K78" s="29">
        <f>IFERROR(__xludf.DUMMYFUNCTION("""COMPUTED_VALUE"""),31.5)</f>
        <v>31.5</v>
      </c>
      <c r="L78" s="31" t="str">
        <f>IFERROR(__xludf.DUMMYFUNCTION("""COMPUTED_VALUE"""),"Racing")</f>
        <v>Racing</v>
      </c>
    </row>
    <row r="79" hidden="1">
      <c r="A79" s="17" t="str">
        <f>IFERROR(__xludf.DUMMYFUNCTION("""COMPUTED_VALUE"""),"Ashen")</f>
        <v>Ashen</v>
      </c>
      <c r="B79" s="20" t="str">
        <f>IFERROR(__xludf.DUMMYFUNCTION("""COMPUTED_VALUE"""),"Xbox / PC")</f>
        <v>Xbox / PC</v>
      </c>
      <c r="C79" s="20"/>
      <c r="D79" s="21" t="str">
        <f>IFERROR(__xludf.DUMMYFUNCTION("""COMPUTED_VALUE"""),"Removed")</f>
        <v>Removed</v>
      </c>
      <c r="E79" s="279">
        <f>IFERROR(__xludf.DUMMYFUNCTION("""COMPUTED_VALUE"""),45594.0)</f>
        <v>45594</v>
      </c>
      <c r="F79" s="279">
        <f>IFERROR(__xludf.DUMMYFUNCTION("""COMPUTED_VALUE"""),46127.0)</f>
        <v>46127</v>
      </c>
      <c r="G79" s="27">
        <f>IFERROR(__xludf.DUMMYFUNCTION("""COMPUTED_VALUE"""),17.53333333333333)</f>
        <v>17.53333333</v>
      </c>
      <c r="H79" s="128">
        <f>IFERROR(__xludf.DUMMYFUNCTION("""COMPUTED_VALUE"""),43441.0)</f>
        <v>43441</v>
      </c>
      <c r="I79" s="27">
        <f>IFERROR(__xludf.DUMMYFUNCTION("""COMPUTED_VALUE"""),5.894444444444445)</f>
        <v>5.894444444</v>
      </c>
      <c r="J79" s="277">
        <f>IFERROR(__xludf.DUMMYFUNCTION("""COMPUTED_VALUE"""),78.0)</f>
        <v>78</v>
      </c>
      <c r="K79" s="29">
        <f>IFERROR(__xludf.DUMMYFUNCTION("""COMPUTED_VALUE"""),15.5)</f>
        <v>15.5</v>
      </c>
      <c r="L79" s="275" t="str">
        <f>IFERROR(__xludf.DUMMYFUNCTION("""COMPUTED_VALUE"""),"RPG")</f>
        <v>RPG</v>
      </c>
    </row>
    <row r="80" hidden="1">
      <c r="A80" s="278" t="str">
        <f>IFERROR(__xludf.DUMMYFUNCTION("""COMPUTED_VALUE"""),"Eiyuden Chronicle: Hundred Heroes")</f>
        <v>Eiyuden Chronicle: Hundred Heroes</v>
      </c>
      <c r="B80" s="20" t="str">
        <f>IFERROR(__xludf.DUMMYFUNCTION("""COMPUTED_VALUE"""),"Xbox / PC")</f>
        <v>Xbox / PC</v>
      </c>
      <c r="C80" s="21" t="str">
        <f>IFERROR(__xludf.DUMMYFUNCTION("""COMPUTED_VALUE"""),"Yes")</f>
        <v>Yes</v>
      </c>
      <c r="D80" s="21" t="str">
        <f>IFERROR(__xludf.DUMMYFUNCTION("""COMPUTED_VALUE"""),"Removed")</f>
        <v>Removed</v>
      </c>
      <c r="E80" s="279">
        <f>IFERROR(__xludf.DUMMYFUNCTION("""COMPUTED_VALUE"""),45405.0)</f>
        <v>45405</v>
      </c>
      <c r="F80" s="279">
        <f>IFERROR(__xludf.DUMMYFUNCTION("""COMPUTED_VALUE"""),46127.0)</f>
        <v>46127</v>
      </c>
      <c r="G80" s="27">
        <f>IFERROR(__xludf.DUMMYFUNCTION("""COMPUTED_VALUE"""),23.733333333333334)</f>
        <v>23.73333333</v>
      </c>
      <c r="H80" s="128">
        <f>IFERROR(__xludf.DUMMYFUNCTION("""COMPUTED_VALUE"""),45405.0)</f>
        <v>45405</v>
      </c>
      <c r="I80" s="27">
        <f>IFERROR(__xludf.DUMMYFUNCTION("""COMPUTED_VALUE"""),0.0)</f>
        <v>0</v>
      </c>
      <c r="J80" s="29">
        <f>IFERROR(__xludf.DUMMYFUNCTION("""COMPUTED_VALUE"""),79.0)</f>
        <v>79</v>
      </c>
      <c r="K80" s="29">
        <f>IFERROR(__xludf.DUMMYFUNCTION("""COMPUTED_VALUE"""),44.0)</f>
        <v>44</v>
      </c>
      <c r="L80" s="275" t="str">
        <f>IFERROR(__xludf.DUMMYFUNCTION("""COMPUTED_VALUE"""),"RPG")</f>
        <v>RPG</v>
      </c>
    </row>
    <row r="81" hidden="1">
      <c r="A81" s="278" t="str">
        <f>IFERROR(__xludf.DUMMYFUNCTION("""COMPUTED_VALUE"""),"Terra Invicta (Game Preview)")</f>
        <v>Terra Invicta (Game Preview)</v>
      </c>
      <c r="B81" s="20" t="str">
        <f>IFERROR(__xludf.DUMMYFUNCTION("""COMPUTED_VALUE"""),"PC")</f>
        <v>PC</v>
      </c>
      <c r="C81" s="21"/>
      <c r="D81" s="21" t="str">
        <f>IFERROR(__xludf.DUMMYFUNCTION("""COMPUTED_VALUE"""),"Removed")</f>
        <v>Removed</v>
      </c>
      <c r="E81" s="279">
        <f>IFERROR(__xludf.DUMMYFUNCTION("""COMPUTED_VALUE"""),45377.0)</f>
        <v>45377</v>
      </c>
      <c r="F81" s="279">
        <f>IFERROR(__xludf.DUMMYFUNCTION("""COMPUTED_VALUE"""),46127.0)</f>
        <v>46127</v>
      </c>
      <c r="G81" s="27">
        <f>IFERROR(__xludf.DUMMYFUNCTION("""COMPUTED_VALUE"""),24.633333333333333)</f>
        <v>24.63333333</v>
      </c>
      <c r="H81" s="128">
        <f>IFERROR(__xludf.DUMMYFUNCTION("""COMPUTED_VALUE"""),45260.0)</f>
        <v>45260</v>
      </c>
      <c r="I81" s="27">
        <f>IFERROR(__xludf.DUMMYFUNCTION("""COMPUTED_VALUE"""),0.32222222222222224)</f>
        <v>0.3222222222</v>
      </c>
      <c r="J81" s="29">
        <f>IFERROR(__xludf.DUMMYFUNCTION("""COMPUTED_VALUE"""),83.0)</f>
        <v>83</v>
      </c>
      <c r="K81" s="29">
        <f>IFERROR(__xludf.DUMMYFUNCTION("""COMPUTED_VALUE"""),60.0)</f>
        <v>60</v>
      </c>
      <c r="L81" s="275" t="str">
        <f>IFERROR(__xludf.DUMMYFUNCTION("""COMPUTED_VALUE"""),"Strategy")</f>
        <v>Strategy</v>
      </c>
    </row>
    <row r="82" hidden="1">
      <c r="A82" s="278" t="str">
        <f>IFERROR(__xludf.DUMMYFUNCTION("""COMPUTED_VALUE"""),"Peppa Pig: World Adventures")</f>
        <v>Peppa Pig: World Adventures</v>
      </c>
      <c r="B82" s="20" t="str">
        <f>IFERROR(__xludf.DUMMYFUNCTION("""COMPUTED_VALUE"""),"Xbox / PC")</f>
        <v>Xbox / PC</v>
      </c>
      <c r="C82" s="21" t="str">
        <f>IFERROR(__xludf.DUMMYFUNCTION("""COMPUTED_VALUE"""),"Yes")</f>
        <v>Yes</v>
      </c>
      <c r="D82" s="21" t="str">
        <f>IFERROR(__xludf.DUMMYFUNCTION("""COMPUTED_VALUE"""),"Removed")</f>
        <v>Removed</v>
      </c>
      <c r="E82" s="279">
        <f>IFERROR(__xludf.DUMMYFUNCTION("""COMPUTED_VALUE"""),45925.0)</f>
        <v>45925</v>
      </c>
      <c r="F82" s="279">
        <f>IFERROR(__xludf.DUMMYFUNCTION("""COMPUTED_VALUE"""),46112.0)</f>
        <v>46112</v>
      </c>
      <c r="G82" s="27">
        <f>IFERROR(__xludf.DUMMYFUNCTION("""COMPUTED_VALUE"""),6.166666666666666)</f>
        <v>6.166666667</v>
      </c>
      <c r="H82" s="128">
        <f>IFERROR(__xludf.DUMMYFUNCTION("""COMPUTED_VALUE"""),45002.0)</f>
        <v>45002</v>
      </c>
      <c r="I82" s="27">
        <f>IFERROR(__xludf.DUMMYFUNCTION("""COMPUTED_VALUE"""),2.522222222222222)</f>
        <v>2.522222222</v>
      </c>
      <c r="J82" s="29">
        <f>IFERROR(__xludf.DUMMYFUNCTION("""COMPUTED_VALUE"""),72.0)</f>
        <v>72</v>
      </c>
      <c r="K82" s="29">
        <f>IFERROR(__xludf.DUMMYFUNCTION("""COMPUTED_VALUE"""),2.0)</f>
        <v>2</v>
      </c>
      <c r="L82" s="275" t="str">
        <f>IFERROR(__xludf.DUMMYFUNCTION("""COMPUTED_VALUE"""),"Action-Adventure")</f>
        <v>Action-Adventure</v>
      </c>
    </row>
    <row r="83" hidden="1">
      <c r="A83" s="278" t="str">
        <f>IFERROR(__xludf.DUMMYFUNCTION("""COMPUTED_VALUE"""),"Mad Streets")</f>
        <v>Mad Streets</v>
      </c>
      <c r="B83" s="20" t="str">
        <f>IFERROR(__xludf.DUMMYFUNCTION("""COMPUTED_VALUE"""),"Xbox / PC")</f>
        <v>Xbox / PC</v>
      </c>
      <c r="C83" s="21" t="str">
        <f>IFERROR(__xludf.DUMMYFUNCTION("""COMPUTED_VALUE"""),"Yes")</f>
        <v>Yes</v>
      </c>
      <c r="D83" s="21" t="str">
        <f>IFERROR(__xludf.DUMMYFUNCTION("""COMPUTED_VALUE"""),"Removed")</f>
        <v>Removed</v>
      </c>
      <c r="E83" s="279">
        <f>IFERROR(__xludf.DUMMYFUNCTION("""COMPUTED_VALUE"""),45572.0)</f>
        <v>45572</v>
      </c>
      <c r="F83" s="279">
        <f>IFERROR(__xludf.DUMMYFUNCTION("""COMPUTED_VALUE"""),46112.0)</f>
        <v>46112</v>
      </c>
      <c r="G83" s="27">
        <f>IFERROR(__xludf.DUMMYFUNCTION("""COMPUTED_VALUE"""),17.766666666666666)</f>
        <v>17.76666667</v>
      </c>
      <c r="H83" s="128">
        <f>IFERROR(__xludf.DUMMYFUNCTION("""COMPUTED_VALUE"""),44435.0)</f>
        <v>44435</v>
      </c>
      <c r="I83" s="27">
        <f>IFERROR(__xludf.DUMMYFUNCTION("""COMPUTED_VALUE"""),3.111111111111111)</f>
        <v>3.111111111</v>
      </c>
      <c r="J83" s="29">
        <f>IFERROR(__xludf.DUMMYFUNCTION("""COMPUTED_VALUE"""),55.0)</f>
        <v>55</v>
      </c>
      <c r="K83" s="29">
        <f>IFERROR(__xludf.DUMMYFUNCTION("""COMPUTED_VALUE"""),2.0)</f>
        <v>2</v>
      </c>
      <c r="L83" s="31" t="str">
        <f>IFERROR(__xludf.DUMMYFUNCTION("""COMPUTED_VALUE"""),"Beat-'Em-Up ")</f>
        <v>Beat-'Em-Up </v>
      </c>
    </row>
    <row r="84" hidden="1">
      <c r="A84" s="278" t="str">
        <f>IFERROR(__xludf.DUMMYFUNCTION("""COMPUTED_VALUE"""),"Bratz: Rhythm &amp; Style")</f>
        <v>Bratz: Rhythm &amp; Style</v>
      </c>
      <c r="B84" s="20" t="str">
        <f>IFERROR(__xludf.DUMMYFUNCTION("""COMPUTED_VALUE"""),"Xbox / PC")</f>
        <v>Xbox / PC</v>
      </c>
      <c r="C84" s="21" t="str">
        <f>IFERROR(__xludf.DUMMYFUNCTION("""COMPUTED_VALUE"""),"Yes")</f>
        <v>Yes</v>
      </c>
      <c r="D84" s="21" t="str">
        <f>IFERROR(__xludf.DUMMYFUNCTION("""COMPUTED_VALUE"""),"Removed")</f>
        <v>Removed</v>
      </c>
      <c r="E84" s="279">
        <f>IFERROR(__xludf.DUMMYFUNCTION("""COMPUTED_VALUE"""),46002.0)</f>
        <v>46002</v>
      </c>
      <c r="F84" s="279">
        <f>IFERROR(__xludf.DUMMYFUNCTION("""COMPUTED_VALUE"""),46096.0)</f>
        <v>46096</v>
      </c>
      <c r="G84" s="27">
        <f>IFERROR(__xludf.DUMMYFUNCTION("""COMPUTED_VALUE"""),3.1333333333333337)</f>
        <v>3.133333333</v>
      </c>
      <c r="H84" s="128">
        <f>IFERROR(__xludf.DUMMYFUNCTION("""COMPUTED_VALUE"""),45912.0)</f>
        <v>45912</v>
      </c>
      <c r="I84" s="27">
        <f>IFERROR(__xludf.DUMMYFUNCTION("""COMPUTED_VALUE"""),0.24722222222222223)</f>
        <v>0.2472222222</v>
      </c>
      <c r="J84" s="29">
        <f>IFERROR(__xludf.DUMMYFUNCTION("""COMPUTED_VALUE"""),75.0)</f>
        <v>75</v>
      </c>
      <c r="K84" s="29">
        <f>IFERROR(__xludf.DUMMYFUNCTION("""COMPUTED_VALUE"""),6.0)</f>
        <v>6</v>
      </c>
      <c r="L84" s="275" t="str">
        <f>IFERROR(__xludf.DUMMYFUNCTION("""COMPUTED_VALUE"""),"Action-Adventure")</f>
        <v>Action-Adventure</v>
      </c>
    </row>
    <row r="85" hidden="1">
      <c r="A85" s="17" t="str">
        <f>IFERROR(__xludf.DUMMYFUNCTION("""COMPUTED_VALUE"""),"He Is Coming (Game Preview)")</f>
        <v>He Is Coming (Game Preview)</v>
      </c>
      <c r="B85" s="20" t="str">
        <f>IFERROR(__xludf.DUMMYFUNCTION("""COMPUTED_VALUE"""),"PC")</f>
        <v>PC</v>
      </c>
      <c r="C85" s="21"/>
      <c r="D85" s="21" t="str">
        <f>IFERROR(__xludf.DUMMYFUNCTION("""COMPUTED_VALUE"""),"Removed")</f>
        <v>Removed</v>
      </c>
      <c r="E85" s="279">
        <f>IFERROR(__xludf.DUMMYFUNCTION("""COMPUTED_VALUE"""),45855.0)</f>
        <v>45855</v>
      </c>
      <c r="F85" s="279">
        <f>IFERROR(__xludf.DUMMYFUNCTION("""COMPUTED_VALUE"""),46096.0)</f>
        <v>46096</v>
      </c>
      <c r="G85" s="27">
        <f>IFERROR(__xludf.DUMMYFUNCTION("""COMPUTED_VALUE"""),7.933333333333334)</f>
        <v>7.933333333</v>
      </c>
      <c r="H85" s="128">
        <f>IFERROR(__xludf.DUMMYFUNCTION("""COMPUTED_VALUE"""),45855.0)</f>
        <v>45855</v>
      </c>
      <c r="I85" s="27">
        <f>IFERROR(__xludf.DUMMYFUNCTION("""COMPUTED_VALUE"""),0.0)</f>
        <v>0</v>
      </c>
      <c r="J85" s="29"/>
      <c r="K85" s="29">
        <f>IFERROR(__xludf.DUMMYFUNCTION("""COMPUTED_VALUE"""),6.0)</f>
        <v>6</v>
      </c>
      <c r="L85" s="31" t="str">
        <f>IFERROR(__xludf.DUMMYFUNCTION("""COMPUTED_VALUE"""),"RPG")</f>
        <v>RPG</v>
      </c>
    </row>
    <row r="86" hidden="1">
      <c r="A86" s="278" t="str">
        <f>IFERROR(__xludf.DUMMYFUNCTION("""COMPUTED_VALUE"""),"Mythwrecked: Ambrosia Island")</f>
        <v>Mythwrecked: Ambrosia Island</v>
      </c>
      <c r="B86" s="20" t="str">
        <f>IFERROR(__xludf.DUMMYFUNCTION("""COMPUTED_VALUE"""),"Xbox / PC")</f>
        <v>Xbox / PC</v>
      </c>
      <c r="C86" s="21" t="str">
        <f>IFERROR(__xludf.DUMMYFUNCTION("""COMPUTED_VALUE"""),"Yes")</f>
        <v>Yes</v>
      </c>
      <c r="D86" s="21" t="str">
        <f>IFERROR(__xludf.DUMMYFUNCTION("""COMPUTED_VALUE"""),"Removed")</f>
        <v>Removed</v>
      </c>
      <c r="E86" s="279">
        <f>IFERROR(__xludf.DUMMYFUNCTION("""COMPUTED_VALUE"""),45736.0)</f>
        <v>45736</v>
      </c>
      <c r="F86" s="279">
        <f>IFERROR(__xludf.DUMMYFUNCTION("""COMPUTED_VALUE"""),46096.0)</f>
        <v>46096</v>
      </c>
      <c r="G86" s="27">
        <f>IFERROR(__xludf.DUMMYFUNCTION("""COMPUTED_VALUE"""),11.833333333333334)</f>
        <v>11.83333333</v>
      </c>
      <c r="H86" s="128">
        <f>IFERROR(__xludf.DUMMYFUNCTION("""COMPUTED_VALUE"""),45631.0)</f>
        <v>45631</v>
      </c>
      <c r="I86" s="27">
        <f>IFERROR(__xludf.DUMMYFUNCTION("""COMPUTED_VALUE"""),0.2916666666666667)</f>
        <v>0.2916666667</v>
      </c>
      <c r="J86" s="29">
        <f>IFERROR(__xludf.DUMMYFUNCTION("""COMPUTED_VALUE"""),62.0)</f>
        <v>62</v>
      </c>
      <c r="K86" s="277">
        <f>IFERROR(__xludf.DUMMYFUNCTION("""COMPUTED_VALUE"""),9.0)</f>
        <v>9</v>
      </c>
      <c r="L86" s="275" t="str">
        <f>IFERROR(__xludf.DUMMYFUNCTION("""COMPUTED_VALUE"""),"Action-Adventure")</f>
        <v>Action-Adventure</v>
      </c>
    </row>
    <row r="87" hidden="1">
      <c r="A87" s="278" t="str">
        <f>IFERROR(__xludf.DUMMYFUNCTION("""COMPUTED_VALUE"""),"Enter the Gungeon")</f>
        <v>Enter the Gungeon</v>
      </c>
      <c r="B87" s="20" t="str">
        <f>IFERROR(__xludf.DUMMYFUNCTION("""COMPUTED_VALUE"""),"Xbox / PC")</f>
        <v>Xbox / PC</v>
      </c>
      <c r="C87" s="21" t="str">
        <f>IFERROR(__xludf.DUMMYFUNCTION("""COMPUTED_VALUE"""),"Touch Controls")</f>
        <v>Touch Controls</v>
      </c>
      <c r="D87" s="21" t="str">
        <f>IFERROR(__xludf.DUMMYFUNCTION("""COMPUTED_VALUE"""),"Removed")</f>
        <v>Removed</v>
      </c>
      <c r="E87" s="279">
        <f>IFERROR(__xludf.DUMMYFUNCTION("""COMPUTED_VALUE"""),45727.0)</f>
        <v>45727</v>
      </c>
      <c r="F87" s="279">
        <f>IFERROR(__xludf.DUMMYFUNCTION("""COMPUTED_VALUE"""),46096.0)</f>
        <v>46096</v>
      </c>
      <c r="G87" s="27">
        <f>IFERROR(__xludf.DUMMYFUNCTION("""COMPUTED_VALUE"""),12.133333333333333)</f>
        <v>12.13333333</v>
      </c>
      <c r="H87" s="128">
        <f>IFERROR(__xludf.DUMMYFUNCTION("""COMPUTED_VALUE"""),42465.0)</f>
        <v>42465</v>
      </c>
      <c r="I87" s="27">
        <f>IFERROR(__xludf.DUMMYFUNCTION("""COMPUTED_VALUE"""),8.933333333333334)</f>
        <v>8.933333333</v>
      </c>
      <c r="J87" s="29">
        <f>IFERROR(__xludf.DUMMYFUNCTION("""COMPUTED_VALUE"""),85.0)</f>
        <v>85</v>
      </c>
      <c r="K87" s="29">
        <f>IFERROR(__xludf.DUMMYFUNCTION("""COMPUTED_VALUE"""),18.5)</f>
        <v>18.5</v>
      </c>
      <c r="L87" s="275" t="str">
        <f>IFERROR(__xludf.DUMMYFUNCTION("""COMPUTED_VALUE"""),"Action-Adventure")</f>
        <v>Action-Adventure</v>
      </c>
    </row>
    <row r="88" hidden="1">
      <c r="A88" s="278" t="str">
        <f>IFERROR(__xludf.DUMMYFUNCTION("""COMPUTED_VALUE"""),"Lightyear Frontier (Game Preview)")</f>
        <v>Lightyear Frontier (Game Preview)</v>
      </c>
      <c r="B88" s="21" t="str">
        <f>IFERROR(__xludf.DUMMYFUNCTION("""COMPUTED_VALUE"""),"Xbox / PC")</f>
        <v>Xbox / PC</v>
      </c>
      <c r="C88" s="21" t="str">
        <f>IFERROR(__xludf.DUMMYFUNCTION("""COMPUTED_VALUE"""),"Yes")</f>
        <v>Yes</v>
      </c>
      <c r="D88" s="21" t="str">
        <f>IFERROR(__xludf.DUMMYFUNCTION("""COMPUTED_VALUE"""),"Removed")</f>
        <v>Removed</v>
      </c>
      <c r="E88" s="279">
        <f>IFERROR(__xludf.DUMMYFUNCTION("""COMPUTED_VALUE"""),45370.0)</f>
        <v>45370</v>
      </c>
      <c r="F88" s="276">
        <f>IFERROR(__xludf.DUMMYFUNCTION("""COMPUTED_VALUE"""),46096.0)</f>
        <v>46096</v>
      </c>
      <c r="G88" s="27">
        <f>IFERROR(__xludf.DUMMYFUNCTION("""COMPUTED_VALUE"""),23.866666666666667)</f>
        <v>23.86666667</v>
      </c>
      <c r="H88" s="128">
        <f>IFERROR(__xludf.DUMMYFUNCTION("""COMPUTED_VALUE"""),45370.0)</f>
        <v>45370</v>
      </c>
      <c r="I88" s="27">
        <f>IFERROR(__xludf.DUMMYFUNCTION("""COMPUTED_VALUE"""),0.0)</f>
        <v>0</v>
      </c>
      <c r="J88" s="277">
        <f>IFERROR(__xludf.DUMMYFUNCTION("""COMPUTED_VALUE"""),76.0)</f>
        <v>76</v>
      </c>
      <c r="K88" s="277">
        <f>IFERROR(__xludf.DUMMYFUNCTION("""COMPUTED_VALUE"""),12.0)</f>
        <v>12</v>
      </c>
      <c r="L88" s="275" t="str">
        <f>IFERROR(__xludf.DUMMYFUNCTION("""COMPUTED_VALUE"""),"Sandbox")</f>
        <v>Sandbox</v>
      </c>
    </row>
    <row r="89" hidden="1">
      <c r="A89" s="278" t="str">
        <f>IFERROR(__xludf.DUMMYFUNCTION("""COMPUTED_VALUE"""),"F1 23")</f>
        <v>F1 23</v>
      </c>
      <c r="B89" s="20" t="str">
        <f>IFERROR(__xludf.DUMMYFUNCTION("""COMPUTED_VALUE"""),"Xbox / PC")</f>
        <v>Xbox / PC</v>
      </c>
      <c r="C89" s="21" t="str">
        <f>IFERROR(__xludf.DUMMYFUNCTION("""COMPUTED_VALUE"""),"Yes")</f>
        <v>Yes</v>
      </c>
      <c r="D89" s="21" t="str">
        <f>IFERROR(__xludf.DUMMYFUNCTION("""COMPUTED_VALUE"""),"Removed")</f>
        <v>Removed</v>
      </c>
      <c r="E89" s="279">
        <f>IFERROR(__xludf.DUMMYFUNCTION("""COMPUTED_VALUE"""),45309.0)</f>
        <v>45309</v>
      </c>
      <c r="F89" s="279">
        <f>IFERROR(__xludf.DUMMYFUNCTION("""COMPUTED_VALUE"""),46096.0)</f>
        <v>46096</v>
      </c>
      <c r="G89" s="27">
        <f>IFERROR(__xludf.DUMMYFUNCTION("""COMPUTED_VALUE"""),25.9)</f>
        <v>25.9</v>
      </c>
      <c r="H89" s="128">
        <f>IFERROR(__xludf.DUMMYFUNCTION("""COMPUTED_VALUE"""),45093.0)</f>
        <v>45093</v>
      </c>
      <c r="I89" s="27">
        <f>IFERROR(__xludf.DUMMYFUNCTION("""COMPUTED_VALUE"""),0.5888888888888889)</f>
        <v>0.5888888889</v>
      </c>
      <c r="J89" s="29">
        <f>IFERROR(__xludf.DUMMYFUNCTION("""COMPUTED_VALUE"""),82.0)</f>
        <v>82</v>
      </c>
      <c r="K89" s="29">
        <f>IFERROR(__xludf.DUMMYFUNCTION("""COMPUTED_VALUE"""),8.0)</f>
        <v>8</v>
      </c>
      <c r="L89" s="275" t="str">
        <f>IFERROR(__xludf.DUMMYFUNCTION("""COMPUTED_VALUE"""),"Racing")</f>
        <v>Racing</v>
      </c>
    </row>
    <row r="90" hidden="1">
      <c r="A90" s="278" t="str">
        <f>IFERROR(__xludf.DUMMYFUNCTION("""COMPUTED_VALUE"""),"Monster Train")</f>
        <v>Monster Train</v>
      </c>
      <c r="B90" s="20" t="str">
        <f>IFERROR(__xludf.DUMMYFUNCTION("""COMPUTED_VALUE"""),"Xbox / PC")</f>
        <v>Xbox / PC</v>
      </c>
      <c r="C90" s="21" t="str">
        <f>IFERROR(__xludf.DUMMYFUNCTION("""COMPUTED_VALUE"""),"Touch Controls")</f>
        <v>Touch Controls</v>
      </c>
      <c r="D90" s="21" t="str">
        <f>IFERROR(__xludf.DUMMYFUNCTION("""COMPUTED_VALUE"""),"Removed")</f>
        <v>Removed</v>
      </c>
      <c r="E90" s="279">
        <f>IFERROR(__xludf.DUMMYFUNCTION("""COMPUTED_VALUE"""),45720.0)</f>
        <v>45720</v>
      </c>
      <c r="F90" s="279">
        <f>IFERROR(__xludf.DUMMYFUNCTION("""COMPUTED_VALUE"""),46081.0)</f>
        <v>46081</v>
      </c>
      <c r="G90" s="27">
        <f>IFERROR(__xludf.DUMMYFUNCTION("""COMPUTED_VALUE"""),11.799999999999999)</f>
        <v>11.8</v>
      </c>
      <c r="H90" s="128">
        <f>IFERROR(__xludf.DUMMYFUNCTION("""COMPUTED_VALUE"""),43972.0)</f>
        <v>43972</v>
      </c>
      <c r="I90" s="27">
        <f>IFERROR(__xludf.DUMMYFUNCTION("""COMPUTED_VALUE"""),4.786111111111111)</f>
        <v>4.786111111</v>
      </c>
      <c r="J90" s="29">
        <f>IFERROR(__xludf.DUMMYFUNCTION("""COMPUTED_VALUE"""),85.0)</f>
        <v>85</v>
      </c>
      <c r="K90" s="29">
        <f>IFERROR(__xludf.DUMMYFUNCTION("""COMPUTED_VALUE"""),1.5)</f>
        <v>1.5</v>
      </c>
      <c r="L90" s="275" t="str">
        <f>IFERROR(__xludf.DUMMYFUNCTION("""COMPUTED_VALUE"""),"Strategy")</f>
        <v>Strategy</v>
      </c>
    </row>
    <row r="91" hidden="1">
      <c r="A91" s="278" t="str">
        <f>IFERROR(__xludf.DUMMYFUNCTION("""COMPUTED_VALUE"""),"Expeditions: A MudRunner Game")</f>
        <v>Expeditions: A MudRunner Game</v>
      </c>
      <c r="B91" s="20" t="str">
        <f>IFERROR(__xludf.DUMMYFUNCTION("""COMPUTED_VALUE"""),"Xbox / PC")</f>
        <v>Xbox / PC</v>
      </c>
      <c r="C91" s="21" t="str">
        <f>IFERROR(__xludf.DUMMYFUNCTION("""COMPUTED_VALUE"""),"Yes")</f>
        <v>Yes</v>
      </c>
      <c r="D91" s="21" t="str">
        <f>IFERROR(__xludf.DUMMYFUNCTION("""COMPUTED_VALUE"""),"Removed")</f>
        <v>Removed</v>
      </c>
      <c r="E91" s="279">
        <f>IFERROR(__xludf.DUMMYFUNCTION("""COMPUTED_VALUE"""),45540.0)</f>
        <v>45540</v>
      </c>
      <c r="F91" s="279">
        <f>IFERROR(__xludf.DUMMYFUNCTION("""COMPUTED_VALUE"""),46081.0)</f>
        <v>46081</v>
      </c>
      <c r="G91" s="27">
        <f>IFERROR(__xludf.DUMMYFUNCTION("""COMPUTED_VALUE"""),17.766666666666666)</f>
        <v>17.76666667</v>
      </c>
      <c r="H91" s="128">
        <f>IFERROR(__xludf.DUMMYFUNCTION("""COMPUTED_VALUE"""),45356.0)</f>
        <v>45356</v>
      </c>
      <c r="I91" s="27">
        <f>IFERROR(__xludf.DUMMYFUNCTION("""COMPUTED_VALUE"""),0.5)</f>
        <v>0.5</v>
      </c>
      <c r="J91" s="29">
        <f>IFERROR(__xludf.DUMMYFUNCTION("""COMPUTED_VALUE"""),77.0)</f>
        <v>77</v>
      </c>
      <c r="K91" s="29">
        <f>IFERROR(__xludf.DUMMYFUNCTION("""COMPUTED_VALUE"""),50.0)</f>
        <v>50</v>
      </c>
      <c r="L91" s="275" t="str">
        <f>IFERROR(__xludf.DUMMYFUNCTION("""COMPUTED_VALUE"""),"Simulation")</f>
        <v>Simulation</v>
      </c>
    </row>
    <row r="92" hidden="1">
      <c r="A92" s="278" t="str">
        <f>IFERROR(__xludf.DUMMYFUNCTION("""COMPUTED_VALUE"""),"Injustice 2")</f>
        <v>Injustice 2</v>
      </c>
      <c r="B92" s="20" t="str">
        <f>IFERROR(__xludf.DUMMYFUNCTION("""COMPUTED_VALUE"""),"Xbox / PC")</f>
        <v>Xbox / PC</v>
      </c>
      <c r="C92" s="21" t="str">
        <f>IFERROR(__xludf.DUMMYFUNCTION("""COMPUTED_VALUE"""),"Yes")</f>
        <v>Yes</v>
      </c>
      <c r="D92" s="21" t="str">
        <f>IFERROR(__xludf.DUMMYFUNCTION("""COMPUTED_VALUE"""),"Removed")</f>
        <v>Removed</v>
      </c>
      <c r="E92" s="279">
        <f>IFERROR(__xludf.DUMMYFUNCTION("""COMPUTED_VALUE"""),44203.0)</f>
        <v>44203</v>
      </c>
      <c r="F92" s="279">
        <f>IFERROR(__xludf.DUMMYFUNCTION("""COMPUTED_VALUE"""),46081.0)</f>
        <v>46081</v>
      </c>
      <c r="G92" s="27">
        <f>IFERROR(__xludf.DUMMYFUNCTION("""COMPUTED_VALUE"""),61.7)</f>
        <v>61.7</v>
      </c>
      <c r="H92" s="128">
        <f>IFERROR(__xludf.DUMMYFUNCTION("""COMPUTED_VALUE"""),42871.0)</f>
        <v>42871</v>
      </c>
      <c r="I92" s="27">
        <f>IFERROR(__xludf.DUMMYFUNCTION("""COMPUTED_VALUE"""),3.6416666666666666)</f>
        <v>3.641666667</v>
      </c>
      <c r="J92" s="29">
        <f>IFERROR(__xludf.DUMMYFUNCTION("""COMPUTED_VALUE"""),87.5)</f>
        <v>87.5</v>
      </c>
      <c r="K92" s="29">
        <f>IFERROR(__xludf.DUMMYFUNCTION("""COMPUTED_VALUE"""),5.5)</f>
        <v>5.5</v>
      </c>
      <c r="L92" s="275" t="str">
        <f>IFERROR(__xludf.DUMMYFUNCTION("""COMPUTED_VALUE"""),"Fighting")</f>
        <v>Fighting</v>
      </c>
    </row>
    <row r="93" hidden="1">
      <c r="A93" s="17" t="str">
        <f>IFERROR(__xludf.DUMMYFUNCTION("""COMPUTED_VALUE"""),"Middle-earth: Shadow of War")</f>
        <v>Middle-earth: Shadow of War</v>
      </c>
      <c r="B93" s="20" t="str">
        <f>IFERROR(__xludf.DUMMYFUNCTION("""COMPUTED_VALUE"""),"Xbox / PC")</f>
        <v>Xbox / PC</v>
      </c>
      <c r="C93" s="20" t="str">
        <f>IFERROR(__xludf.DUMMYFUNCTION("""COMPUTED_VALUE"""),"Yes")</f>
        <v>Yes</v>
      </c>
      <c r="D93" s="21" t="str">
        <f>IFERROR(__xludf.DUMMYFUNCTION("""COMPUTED_VALUE"""),"Removed")</f>
        <v>Removed</v>
      </c>
      <c r="E93" s="127">
        <f>IFERROR(__xludf.DUMMYFUNCTION("""COMPUTED_VALUE"""),43650.0)</f>
        <v>43650</v>
      </c>
      <c r="F93" s="276">
        <f>IFERROR(__xludf.DUMMYFUNCTION("""COMPUTED_VALUE"""),46081.0)</f>
        <v>46081</v>
      </c>
      <c r="G93" s="27">
        <f>IFERROR(__xludf.DUMMYFUNCTION("""COMPUTED_VALUE"""),79.80000000000001)</f>
        <v>79.8</v>
      </c>
      <c r="H93" s="128">
        <f>IFERROR(__xludf.DUMMYFUNCTION("""COMPUTED_VALUE"""),43018.0)</f>
        <v>43018</v>
      </c>
      <c r="I93" s="27">
        <f>IFERROR(__xludf.DUMMYFUNCTION("""COMPUTED_VALUE"""),1.7333333333333334)</f>
        <v>1.733333333</v>
      </c>
      <c r="J93" s="29">
        <f>IFERROR(__xludf.DUMMYFUNCTION("""COMPUTED_VALUE"""),81.0)</f>
        <v>81</v>
      </c>
      <c r="K93" s="29">
        <f>IFERROR(__xludf.DUMMYFUNCTION("""COMPUTED_VALUE"""),20.5)</f>
        <v>20.5</v>
      </c>
      <c r="L93" s="31" t="str">
        <f>IFERROR(__xludf.DUMMYFUNCTION("""COMPUTED_VALUE"""),"RPG")</f>
        <v>RPG</v>
      </c>
    </row>
    <row r="94" hidden="1">
      <c r="A94" s="17" t="str">
        <f>IFERROR(__xludf.DUMMYFUNCTION("""COMPUTED_VALUE"""),"Madden NFL 24")</f>
        <v>Madden NFL 24</v>
      </c>
      <c r="B94" s="20" t="str">
        <f>IFERROR(__xludf.DUMMYFUNCTION("""COMPUTED_VALUE"""),"Xbox / PC")</f>
        <v>Xbox / PC</v>
      </c>
      <c r="C94" s="21" t="str">
        <f>IFERROR(__xludf.DUMMYFUNCTION("""COMPUTED_VALUE"""),"Yes")</f>
        <v>Yes</v>
      </c>
      <c r="D94" s="21" t="str">
        <f>IFERROR(__xludf.DUMMYFUNCTION("""COMPUTED_VALUE"""),"Removed")</f>
        <v>Removed</v>
      </c>
      <c r="E94" s="279">
        <f>IFERROR(__xludf.DUMMYFUNCTION("""COMPUTED_VALUE"""),45330.0)</f>
        <v>45330</v>
      </c>
      <c r="F94" s="279">
        <f>IFERROR(__xludf.DUMMYFUNCTION("""COMPUTED_VALUE"""),46068.0)</f>
        <v>46068</v>
      </c>
      <c r="G94" s="27">
        <f>IFERROR(__xludf.DUMMYFUNCTION("""COMPUTED_VALUE"""),24.233333333333334)</f>
        <v>24.23333333</v>
      </c>
      <c r="H94" s="128">
        <f>IFERROR(__xludf.DUMMYFUNCTION("""COMPUTED_VALUE"""),45156.0)</f>
        <v>45156</v>
      </c>
      <c r="I94" s="27">
        <f>IFERROR(__xludf.DUMMYFUNCTION("""COMPUTED_VALUE"""),0.4722222222222222)</f>
        <v>0.4722222222</v>
      </c>
      <c r="J94" s="29">
        <f>IFERROR(__xludf.DUMMYFUNCTION("""COMPUTED_VALUE"""),65.0)</f>
        <v>65</v>
      </c>
      <c r="K94" s="29">
        <f>IFERROR(__xludf.DUMMYFUNCTION("""COMPUTED_VALUE"""),14.0)</f>
        <v>14</v>
      </c>
      <c r="L94" s="31" t="str">
        <f>IFERROR(__xludf.DUMMYFUNCTION("""COMPUTED_VALUE"""),"Sports")</f>
        <v>Sports</v>
      </c>
    </row>
    <row r="95" hidden="1">
      <c r="A95" s="17" t="str">
        <f>IFERROR(__xludf.DUMMYFUNCTION("""COMPUTED_VALUE"""),"PAW Patrol World")</f>
        <v>PAW Patrol World</v>
      </c>
      <c r="B95" s="20" t="str">
        <f>IFERROR(__xludf.DUMMYFUNCTION("""COMPUTED_VALUE"""),"Xbox / PC")</f>
        <v>Xbox / PC</v>
      </c>
      <c r="C95" s="20" t="str">
        <f>IFERROR(__xludf.DUMMYFUNCTION("""COMPUTED_VALUE"""),"Yes")</f>
        <v>Yes</v>
      </c>
      <c r="D95" s="21" t="str">
        <f>IFERROR(__xludf.DUMMYFUNCTION("""COMPUTED_VALUE"""),"Removed")</f>
        <v>Removed</v>
      </c>
      <c r="E95" s="127">
        <f>IFERROR(__xludf.DUMMYFUNCTION("""COMPUTED_VALUE"""),45910.0)</f>
        <v>45910</v>
      </c>
      <c r="F95" s="276">
        <f>IFERROR(__xludf.DUMMYFUNCTION("""COMPUTED_VALUE"""),46053.0)</f>
        <v>46053</v>
      </c>
      <c r="G95" s="27">
        <f>IFERROR(__xludf.DUMMYFUNCTION("""COMPUTED_VALUE"""),4.666666666666667)</f>
        <v>4.666666667</v>
      </c>
      <c r="H95" s="128">
        <f>IFERROR(__xludf.DUMMYFUNCTION("""COMPUTED_VALUE"""),45198.0)</f>
        <v>45198</v>
      </c>
      <c r="I95" s="27">
        <f>IFERROR(__xludf.DUMMYFUNCTION("""COMPUTED_VALUE"""),1.9472222222222222)</f>
        <v>1.947222222</v>
      </c>
      <c r="J95" s="29">
        <f>IFERROR(__xludf.DUMMYFUNCTION("""COMPUTED_VALUE"""),79.0)</f>
        <v>79</v>
      </c>
      <c r="K95" s="29">
        <f>IFERROR(__xludf.DUMMYFUNCTION("""COMPUTED_VALUE"""),7.0)</f>
        <v>7</v>
      </c>
      <c r="L95" s="31" t="str">
        <f>IFERROR(__xludf.DUMMYFUNCTION("""COMPUTED_VALUE"""),"Action-Adventure")</f>
        <v>Action-Adventure</v>
      </c>
    </row>
    <row r="96" hidden="1">
      <c r="A96" s="278" t="str">
        <f>IFERROR(__xludf.DUMMYFUNCTION("""COMPUTED_VALUE"""),"Citizen Sleeper 2: Starward Vector")</f>
        <v>Citizen Sleeper 2: Starward Vector</v>
      </c>
      <c r="B96" s="20" t="str">
        <f>IFERROR(__xludf.DUMMYFUNCTION("""COMPUTED_VALUE"""),"Xbox / PC")</f>
        <v>Xbox / PC</v>
      </c>
      <c r="C96" s="21" t="str">
        <f>IFERROR(__xludf.DUMMYFUNCTION("""COMPUTED_VALUE"""),"Yes")</f>
        <v>Yes</v>
      </c>
      <c r="D96" s="21" t="str">
        <f>IFERROR(__xludf.DUMMYFUNCTION("""COMPUTED_VALUE"""),"Removed")</f>
        <v>Removed</v>
      </c>
      <c r="E96" s="279">
        <f>IFERROR(__xludf.DUMMYFUNCTION("""COMPUTED_VALUE"""),45688.0)</f>
        <v>45688</v>
      </c>
      <c r="F96" s="279">
        <f>IFERROR(__xludf.DUMMYFUNCTION("""COMPUTED_VALUE"""),46053.0)</f>
        <v>46053</v>
      </c>
      <c r="G96" s="27">
        <f>IFERROR(__xludf.DUMMYFUNCTION("""COMPUTED_VALUE"""),12.0)</f>
        <v>12</v>
      </c>
      <c r="H96" s="128">
        <f>IFERROR(__xludf.DUMMYFUNCTION("""COMPUTED_VALUE"""),45688.0)</f>
        <v>45688</v>
      </c>
      <c r="I96" s="27">
        <f>IFERROR(__xludf.DUMMYFUNCTION("""COMPUTED_VALUE"""),0.0)</f>
        <v>0</v>
      </c>
      <c r="J96" s="29">
        <f>IFERROR(__xludf.DUMMYFUNCTION("""COMPUTED_VALUE"""),85.0)</f>
        <v>85</v>
      </c>
      <c r="K96" s="29">
        <f>IFERROR(__xludf.DUMMYFUNCTION("""COMPUTED_VALUE"""),10.0)</f>
        <v>10</v>
      </c>
      <c r="L96" s="275" t="str">
        <f>IFERROR(__xludf.DUMMYFUNCTION("""COMPUTED_VALUE"""),"RPG")</f>
        <v>RPG</v>
      </c>
    </row>
    <row r="97" hidden="1">
      <c r="A97" s="278" t="str">
        <f>IFERROR(__xludf.DUMMYFUNCTION("""COMPUTED_VALUE"""),"Shady Part of Me")</f>
        <v>Shady Part of Me</v>
      </c>
      <c r="B97" s="20" t="str">
        <f>IFERROR(__xludf.DUMMYFUNCTION("""COMPUTED_VALUE"""),"Xbox / PC")</f>
        <v>Xbox / PC</v>
      </c>
      <c r="C97" s="21" t="str">
        <f>IFERROR(__xludf.DUMMYFUNCTION("""COMPUTED_VALUE"""),"Yes")</f>
        <v>Yes</v>
      </c>
      <c r="D97" s="21" t="str">
        <f>IFERROR(__xludf.DUMMYFUNCTION("""COMPUTED_VALUE"""),"Removed")</f>
        <v>Removed</v>
      </c>
      <c r="E97" s="279">
        <f>IFERROR(__xludf.DUMMYFUNCTION("""COMPUTED_VALUE"""),45686.0)</f>
        <v>45686</v>
      </c>
      <c r="F97" s="279">
        <f>IFERROR(__xludf.DUMMYFUNCTION("""COMPUTED_VALUE"""),46053.0)</f>
        <v>46053</v>
      </c>
      <c r="G97" s="27">
        <f>IFERROR(__xludf.DUMMYFUNCTION("""COMPUTED_VALUE"""),12.033333333333333)</f>
        <v>12.03333333</v>
      </c>
      <c r="H97" s="128">
        <f>IFERROR(__xludf.DUMMYFUNCTION("""COMPUTED_VALUE"""),44175.0)</f>
        <v>44175</v>
      </c>
      <c r="I97" s="27">
        <f>IFERROR(__xludf.DUMMYFUNCTION("""COMPUTED_VALUE"""),4.136111111111111)</f>
        <v>4.136111111</v>
      </c>
      <c r="J97" s="29">
        <f>IFERROR(__xludf.DUMMYFUNCTION("""COMPUTED_VALUE"""),78.0)</f>
        <v>78</v>
      </c>
      <c r="K97" s="29">
        <f>IFERROR(__xludf.DUMMYFUNCTION("""COMPUTED_VALUE"""),5.0)</f>
        <v>5</v>
      </c>
      <c r="L97" s="31" t="str">
        <f>IFERROR(__xludf.DUMMYFUNCTION("""COMPUTED_VALUE"""),"Action-Adventure")</f>
        <v>Action-Adventure</v>
      </c>
    </row>
    <row r="98" hidden="1">
      <c r="A98" s="278" t="str">
        <f>IFERROR(__xludf.DUMMYFUNCTION("""COMPUTED_VALUE"""),"Orcs Must Die! Deathtrap")</f>
        <v>Orcs Must Die! Deathtrap</v>
      </c>
      <c r="B98" s="21" t="str">
        <f>IFERROR(__xludf.DUMMYFUNCTION("""COMPUTED_VALUE"""),"Xbox / PC")</f>
        <v>Xbox / PC</v>
      </c>
      <c r="C98" s="21" t="str">
        <f>IFERROR(__xludf.DUMMYFUNCTION("""COMPUTED_VALUE"""),"Yes")</f>
        <v>Yes</v>
      </c>
      <c r="D98" s="21" t="str">
        <f>IFERROR(__xludf.DUMMYFUNCTION("""COMPUTED_VALUE"""),"Removed")</f>
        <v>Removed</v>
      </c>
      <c r="E98" s="279">
        <f>IFERROR(__xludf.DUMMYFUNCTION("""COMPUTED_VALUE"""),45685.0)</f>
        <v>45685</v>
      </c>
      <c r="F98" s="279">
        <f>IFERROR(__xludf.DUMMYFUNCTION("""COMPUTED_VALUE"""),46053.0)</f>
        <v>46053</v>
      </c>
      <c r="G98" s="27">
        <f>IFERROR(__xludf.DUMMYFUNCTION("""COMPUTED_VALUE"""),12.066666666666666)</f>
        <v>12.06666667</v>
      </c>
      <c r="H98" s="128">
        <f>IFERROR(__xludf.DUMMYFUNCTION("""COMPUTED_VALUE"""),45685.0)</f>
        <v>45685</v>
      </c>
      <c r="I98" s="27">
        <f>IFERROR(__xludf.DUMMYFUNCTION("""COMPUTED_VALUE"""),0.0)</f>
        <v>0</v>
      </c>
      <c r="J98" s="29">
        <f>IFERROR(__xludf.DUMMYFUNCTION("""COMPUTED_VALUE"""),70.0)</f>
        <v>70</v>
      </c>
      <c r="K98" s="29">
        <f>IFERROR(__xludf.DUMMYFUNCTION("""COMPUTED_VALUE"""),21.0)</f>
        <v>21</v>
      </c>
      <c r="L98" s="275" t="str">
        <f>IFERROR(__xludf.DUMMYFUNCTION("""COMPUTED_VALUE"""),"Roguelike")</f>
        <v>Roguelike</v>
      </c>
    </row>
    <row r="99" hidden="1">
      <c r="A99" s="17" t="str">
        <f>IFERROR(__xludf.DUMMYFUNCTION("""COMPUTED_VALUE"""),"Lonely Mountain: Snow Riders")</f>
        <v>Lonely Mountain: Snow Riders</v>
      </c>
      <c r="B99" s="20" t="str">
        <f>IFERROR(__xludf.DUMMYFUNCTION("""COMPUTED_VALUE"""),"Xbox / PC")</f>
        <v>Xbox / PC</v>
      </c>
      <c r="C99" s="20" t="str">
        <f>IFERROR(__xludf.DUMMYFUNCTION("""COMPUTED_VALUE"""),"Yes")</f>
        <v>Yes</v>
      </c>
      <c r="D99" s="21" t="str">
        <f>IFERROR(__xludf.DUMMYFUNCTION("""COMPUTED_VALUE"""),"Removed")</f>
        <v>Removed</v>
      </c>
      <c r="E99" s="127">
        <f>IFERROR(__xludf.DUMMYFUNCTION("""COMPUTED_VALUE"""),45678.0)</f>
        <v>45678</v>
      </c>
      <c r="F99" s="24">
        <f>IFERROR(__xludf.DUMMYFUNCTION("""COMPUTED_VALUE"""),46053.0)</f>
        <v>46053</v>
      </c>
      <c r="G99" s="27">
        <f>IFERROR(__xludf.DUMMYFUNCTION("""COMPUTED_VALUE"""),12.299999999999999)</f>
        <v>12.3</v>
      </c>
      <c r="H99" s="128">
        <f>IFERROR(__xludf.DUMMYFUNCTION("""COMPUTED_VALUE"""),43958.0)</f>
        <v>43958</v>
      </c>
      <c r="I99" s="27">
        <f>IFERROR(__xludf.DUMMYFUNCTION("""COMPUTED_VALUE"""),4.705555555555556)</f>
        <v>4.705555556</v>
      </c>
      <c r="J99" s="29">
        <f>IFERROR(__xludf.DUMMYFUNCTION("""COMPUTED_VALUE"""),84.0)</f>
        <v>84</v>
      </c>
      <c r="K99" s="29">
        <f>IFERROR(__xludf.DUMMYFUNCTION("""COMPUTED_VALUE"""),3.0)</f>
        <v>3</v>
      </c>
      <c r="L99" s="31" t="str">
        <f>IFERROR(__xludf.DUMMYFUNCTION("""COMPUTED_VALUE"""),"Biking")</f>
        <v>Biking</v>
      </c>
    </row>
    <row r="100" hidden="1">
      <c r="A100" s="278" t="str">
        <f>IFERROR(__xludf.DUMMYFUNCTION("""COMPUTED_VALUE"""),"Starbound")</f>
        <v>Starbound</v>
      </c>
      <c r="B100" s="20" t="str">
        <f>IFERROR(__xludf.DUMMYFUNCTION("""COMPUTED_VALUE"""),"Xbox / PC")</f>
        <v>Xbox / PC</v>
      </c>
      <c r="C100" s="21" t="str">
        <f>IFERROR(__xludf.DUMMYFUNCTION("""COMPUTED_VALUE"""),"Yes")</f>
        <v>Yes</v>
      </c>
      <c r="D100" s="21" t="str">
        <f>IFERROR(__xludf.DUMMYFUNCTION("""COMPUTED_VALUE"""),"Removed")</f>
        <v>Removed</v>
      </c>
      <c r="E100" s="279">
        <f>IFERROR(__xludf.DUMMYFUNCTION("""COMPUTED_VALUE"""),44173.0)</f>
        <v>44173</v>
      </c>
      <c r="F100" s="279">
        <f>IFERROR(__xludf.DUMMYFUNCTION("""COMPUTED_VALUE"""),46053.0)</f>
        <v>46053</v>
      </c>
      <c r="G100" s="27">
        <f>IFERROR(__xludf.DUMMYFUNCTION("""COMPUTED_VALUE"""),61.733333333333334)</f>
        <v>61.73333333</v>
      </c>
      <c r="H100" s="128">
        <f>IFERROR(__xludf.DUMMYFUNCTION("""COMPUTED_VALUE"""),42573.0)</f>
        <v>42573</v>
      </c>
      <c r="I100" s="27">
        <f>IFERROR(__xludf.DUMMYFUNCTION("""COMPUTED_VALUE"""),4.377777777777778)</f>
        <v>4.377777778</v>
      </c>
      <c r="J100" s="29">
        <f>IFERROR(__xludf.DUMMYFUNCTION("""COMPUTED_VALUE"""),81.0)</f>
        <v>81</v>
      </c>
      <c r="K100" s="29">
        <f>IFERROR(__xludf.DUMMYFUNCTION("""COMPUTED_VALUE"""),21.5)</f>
        <v>21.5</v>
      </c>
      <c r="L100" s="275" t="str">
        <f>IFERROR(__xludf.DUMMYFUNCTION("""COMPUTED_VALUE"""),"Platformer")</f>
        <v>Platformer</v>
      </c>
    </row>
    <row r="101" hidden="1">
      <c r="A101" s="278" t="str">
        <f>IFERROR(__xludf.DUMMYFUNCTION("""COMPUTED_VALUE"""),"The Grinch: Christmas Adventures")</f>
        <v>The Grinch: Christmas Adventures</v>
      </c>
      <c r="B101" s="20" t="str">
        <f>IFERROR(__xludf.DUMMYFUNCTION("""COMPUTED_VALUE"""),"Xbox / PC")</f>
        <v>Xbox / PC</v>
      </c>
      <c r="C101" s="21" t="str">
        <f>IFERROR(__xludf.DUMMYFUNCTION("""COMPUTED_VALUE"""),"Yes")</f>
        <v>Yes</v>
      </c>
      <c r="D101" s="21" t="str">
        <f>IFERROR(__xludf.DUMMYFUNCTION("""COMPUTED_VALUE"""),"Removed")</f>
        <v>Removed</v>
      </c>
      <c r="E101" s="279">
        <f>IFERROR(__xludf.DUMMYFUNCTION("""COMPUTED_VALUE"""),45945.0)</f>
        <v>45945</v>
      </c>
      <c r="F101" s="279">
        <f>IFERROR(__xludf.DUMMYFUNCTION("""COMPUTED_VALUE"""),46037.0)</f>
        <v>46037</v>
      </c>
      <c r="G101" s="27">
        <f>IFERROR(__xludf.DUMMYFUNCTION("""COMPUTED_VALUE"""),3.0)</f>
        <v>3</v>
      </c>
      <c r="H101" s="128">
        <f>IFERROR(__xludf.DUMMYFUNCTION("""COMPUTED_VALUE"""),45212.0)</f>
        <v>45212</v>
      </c>
      <c r="I101" s="27">
        <f>IFERROR(__xludf.DUMMYFUNCTION("""COMPUTED_VALUE"""),2.0055555555555555)</f>
        <v>2.005555556</v>
      </c>
      <c r="J101" s="29">
        <f>IFERROR(__xludf.DUMMYFUNCTION("""COMPUTED_VALUE"""),68.33333333333333)</f>
        <v>68.33333333</v>
      </c>
      <c r="K101" s="29">
        <f>IFERROR(__xludf.DUMMYFUNCTION("""COMPUTED_VALUE"""),3.0)</f>
        <v>3</v>
      </c>
      <c r="L101" s="275" t="str">
        <f>IFERROR(__xludf.DUMMYFUNCTION("""COMPUTED_VALUE"""),"Platformer")</f>
        <v>Platformer</v>
      </c>
    </row>
    <row r="102" hidden="1">
      <c r="A102" s="278" t="str">
        <f>IFERROR(__xludf.DUMMYFUNCTION("""COMPUTED_VALUE"""),"The Ascent")</f>
        <v>The Ascent</v>
      </c>
      <c r="B102" s="20" t="str">
        <f>IFERROR(__xludf.DUMMYFUNCTION("""COMPUTED_VALUE"""),"Xbox / PC")</f>
        <v>Xbox / PC</v>
      </c>
      <c r="C102" s="20" t="str">
        <f>IFERROR(__xludf.DUMMYFUNCTION("""COMPUTED_VALUE"""),"Touch Controls")</f>
        <v>Touch Controls</v>
      </c>
      <c r="D102" s="21" t="str">
        <f>IFERROR(__xludf.DUMMYFUNCTION("""COMPUTED_VALUE"""),"Removed")</f>
        <v>Removed</v>
      </c>
      <c r="E102" s="279">
        <f>IFERROR(__xludf.DUMMYFUNCTION("""COMPUTED_VALUE"""),45846.0)</f>
        <v>45846</v>
      </c>
      <c r="F102" s="279">
        <f>IFERROR(__xludf.DUMMYFUNCTION("""COMPUTED_VALUE"""),46037.0)</f>
        <v>46037</v>
      </c>
      <c r="G102" s="27">
        <f>IFERROR(__xludf.DUMMYFUNCTION("""COMPUTED_VALUE"""),6.233333333333334)</f>
        <v>6.233333333</v>
      </c>
      <c r="H102" s="128">
        <f>IFERROR(__xludf.DUMMYFUNCTION("""COMPUTED_VALUE"""),44406.0)</f>
        <v>44406</v>
      </c>
      <c r="I102" s="27">
        <f>IFERROR(__xludf.DUMMYFUNCTION("""COMPUTED_VALUE"""),3.941666666666667)</f>
        <v>3.941666667</v>
      </c>
      <c r="J102" s="29">
        <f>IFERROR(__xludf.DUMMYFUNCTION("""COMPUTED_VALUE"""),69.5)</f>
        <v>69.5</v>
      </c>
      <c r="K102" s="29">
        <f>IFERROR(__xludf.DUMMYFUNCTION("""COMPUTED_VALUE"""),9.0)</f>
        <v>9</v>
      </c>
      <c r="L102" s="275" t="str">
        <f>IFERROR(__xludf.DUMMYFUNCTION("""COMPUTED_VALUE"""),"RPG")</f>
        <v>RPG</v>
      </c>
    </row>
    <row r="103" hidden="1">
      <c r="A103" s="278" t="str">
        <f>IFERROR(__xludf.DUMMYFUNCTION("""COMPUTED_VALUE"""),"Road 96")</f>
        <v>Road 96</v>
      </c>
      <c r="B103" s="20" t="str">
        <f>IFERROR(__xludf.DUMMYFUNCTION("""COMPUTED_VALUE"""),"Xbox / PC")</f>
        <v>Xbox / PC</v>
      </c>
      <c r="C103" s="21" t="str">
        <f>IFERROR(__xludf.DUMMYFUNCTION("""COMPUTED_VALUE"""),"Touch Controls")</f>
        <v>Touch Controls</v>
      </c>
      <c r="D103" s="21" t="str">
        <f>IFERROR(__xludf.DUMMYFUNCTION("""COMPUTED_VALUE"""),"Removed")</f>
        <v>Removed</v>
      </c>
      <c r="E103" s="279">
        <f>IFERROR(__xludf.DUMMYFUNCTION("""COMPUTED_VALUE"""),45664.0)</f>
        <v>45664</v>
      </c>
      <c r="F103" s="279">
        <f>IFERROR(__xludf.DUMMYFUNCTION("""COMPUTED_VALUE"""),46037.0)</f>
        <v>46037</v>
      </c>
      <c r="G103" s="27">
        <f>IFERROR(__xludf.DUMMYFUNCTION("""COMPUTED_VALUE"""),12.266666666666666)</f>
        <v>12.26666667</v>
      </c>
      <c r="H103" s="128">
        <f>IFERROR(__xludf.DUMMYFUNCTION("""COMPUTED_VALUE"""),44424.0)</f>
        <v>44424</v>
      </c>
      <c r="I103" s="27">
        <f>IFERROR(__xludf.DUMMYFUNCTION("""COMPUTED_VALUE"""),3.3916666666666666)</f>
        <v>3.391666667</v>
      </c>
      <c r="J103" s="29">
        <f>IFERROR(__xludf.DUMMYFUNCTION("""COMPUTED_VALUE"""),79.0)</f>
        <v>79</v>
      </c>
      <c r="K103" s="29">
        <f>IFERROR(__xludf.DUMMYFUNCTION("""COMPUTED_VALUE"""),7.5)</f>
        <v>7.5</v>
      </c>
      <c r="L103" s="275" t="str">
        <f>IFERROR(__xludf.DUMMYFUNCTION("""COMPUTED_VALUE"""),"Adventure")</f>
        <v>Adventure</v>
      </c>
    </row>
    <row r="104" hidden="1">
      <c r="A104" s="278" t="str">
        <f>IFERROR(__xludf.DUMMYFUNCTION("""COMPUTED_VALUE"""),"Flintlock: The Siege of Dawn")</f>
        <v>Flintlock: The Siege of Dawn</v>
      </c>
      <c r="B104" s="20" t="str">
        <f>IFERROR(__xludf.DUMMYFUNCTION("""COMPUTED_VALUE"""),"Xbox / PC")</f>
        <v>Xbox / PC</v>
      </c>
      <c r="C104" s="21" t="str">
        <f>IFERROR(__xludf.DUMMYFUNCTION("""COMPUTED_VALUE"""),"Yes")</f>
        <v>Yes</v>
      </c>
      <c r="D104" s="21" t="str">
        <f>IFERROR(__xludf.DUMMYFUNCTION("""COMPUTED_VALUE"""),"Removed")</f>
        <v>Removed</v>
      </c>
      <c r="E104" s="279">
        <f>IFERROR(__xludf.DUMMYFUNCTION("""COMPUTED_VALUE"""),45491.0)</f>
        <v>45491</v>
      </c>
      <c r="F104" s="279">
        <f>IFERROR(__xludf.DUMMYFUNCTION("""COMPUTED_VALUE"""),46037.0)</f>
        <v>46037</v>
      </c>
      <c r="G104" s="27">
        <f>IFERROR(__xludf.DUMMYFUNCTION("""COMPUTED_VALUE"""),17.9)</f>
        <v>17.9</v>
      </c>
      <c r="H104" s="128">
        <f>IFERROR(__xludf.DUMMYFUNCTION("""COMPUTED_VALUE"""),45491.0)</f>
        <v>45491</v>
      </c>
      <c r="I104" s="27">
        <f>IFERROR(__xludf.DUMMYFUNCTION("""COMPUTED_VALUE"""),0.0)</f>
        <v>0</v>
      </c>
      <c r="J104" s="29">
        <f>IFERROR(__xludf.DUMMYFUNCTION("""COMPUTED_VALUE"""),71.0)</f>
        <v>71</v>
      </c>
      <c r="K104" s="29">
        <f>IFERROR(__xludf.DUMMYFUNCTION("""COMPUTED_VALUE"""),9.0)</f>
        <v>9</v>
      </c>
      <c r="L104" s="275" t="str">
        <f>IFERROR(__xludf.DUMMYFUNCTION("""COMPUTED_VALUE"""),"Action-Adventure")</f>
        <v>Action-Adventure</v>
      </c>
    </row>
    <row r="105" hidden="1">
      <c r="A105" s="278" t="str">
        <f>IFERROR(__xludf.DUMMYFUNCTION("""COMPUTED_VALUE"""),"Neon White")</f>
        <v>Neon White</v>
      </c>
      <c r="B105" s="20" t="str">
        <f>IFERROR(__xludf.DUMMYFUNCTION("""COMPUTED_VALUE"""),"Xbox / PC")</f>
        <v>Xbox / PC</v>
      </c>
      <c r="C105" s="21" t="str">
        <f>IFERROR(__xludf.DUMMYFUNCTION("""COMPUTED_VALUE"""),"Yes")</f>
        <v>Yes</v>
      </c>
      <c r="D105" s="21" t="str">
        <f>IFERROR(__xludf.DUMMYFUNCTION("""COMPUTED_VALUE"""),"Removed")</f>
        <v>Removed</v>
      </c>
      <c r="E105" s="279">
        <f>IFERROR(__xludf.DUMMYFUNCTION("""COMPUTED_VALUE"""),45484.0)</f>
        <v>45484</v>
      </c>
      <c r="F105" s="279">
        <f>IFERROR(__xludf.DUMMYFUNCTION("""COMPUTED_VALUE"""),46037.0)</f>
        <v>46037</v>
      </c>
      <c r="G105" s="27">
        <f>IFERROR(__xludf.DUMMYFUNCTION("""COMPUTED_VALUE"""),18.133333333333333)</f>
        <v>18.13333333</v>
      </c>
      <c r="H105" s="128">
        <f>IFERROR(__xludf.DUMMYFUNCTION("""COMPUTED_VALUE"""),44728.0)</f>
        <v>44728</v>
      </c>
      <c r="I105" s="27">
        <f>IFERROR(__xludf.DUMMYFUNCTION("""COMPUTED_VALUE"""),2.0694444444444446)</f>
        <v>2.069444444</v>
      </c>
      <c r="J105" s="29">
        <f>IFERROR(__xludf.DUMMYFUNCTION("""COMPUTED_VALUE"""),89.0)</f>
        <v>89</v>
      </c>
      <c r="K105" s="29">
        <f>IFERROR(__xludf.DUMMYFUNCTION("""COMPUTED_VALUE"""),11.0)</f>
        <v>11</v>
      </c>
      <c r="L105" s="275" t="str">
        <f>IFERROR(__xludf.DUMMYFUNCTION("""COMPUTED_VALUE"""),"Shooter")</f>
        <v>Shooter</v>
      </c>
    </row>
    <row r="106" hidden="1">
      <c r="A106" s="278" t="str">
        <f>IFERROR(__xludf.DUMMYFUNCTION("""COMPUTED_VALUE"""),"Carrion")</f>
        <v>Carrion</v>
      </c>
      <c r="B106" s="20" t="str">
        <f>IFERROR(__xludf.DUMMYFUNCTION("""COMPUTED_VALUE"""),"Xbox / PC")</f>
        <v>Xbox / PC</v>
      </c>
      <c r="C106" s="21" t="str">
        <f>IFERROR(__xludf.DUMMYFUNCTION("""COMPUTED_VALUE"""),"Yes")</f>
        <v>Yes</v>
      </c>
      <c r="D106" s="21" t="str">
        <f>IFERROR(__xludf.DUMMYFUNCTION("""COMPUTED_VALUE"""),"Removed")</f>
        <v>Removed</v>
      </c>
      <c r="E106" s="279">
        <f>IFERROR(__xludf.DUMMYFUNCTION("""COMPUTED_VALUE"""),45659.0)</f>
        <v>45659</v>
      </c>
      <c r="F106" s="279">
        <f>IFERROR(__xludf.DUMMYFUNCTION("""COMPUTED_VALUE"""),46022.0)</f>
        <v>46022</v>
      </c>
      <c r="G106" s="27">
        <f>IFERROR(__xludf.DUMMYFUNCTION("""COMPUTED_VALUE"""),11.933333333333334)</f>
        <v>11.93333333</v>
      </c>
      <c r="H106" s="128">
        <f>IFERROR(__xludf.DUMMYFUNCTION("""COMPUTED_VALUE"""),44035.0)</f>
        <v>44035</v>
      </c>
      <c r="I106" s="27">
        <f>IFERROR(__xludf.DUMMYFUNCTION("""COMPUTED_VALUE"""),4.441666666666666)</f>
        <v>4.441666667</v>
      </c>
      <c r="J106" s="29">
        <f>IFERROR(__xludf.DUMMYFUNCTION("""COMPUTED_VALUE"""),76.0)</f>
        <v>76</v>
      </c>
      <c r="K106" s="29">
        <f>IFERROR(__xludf.DUMMYFUNCTION("""COMPUTED_VALUE"""),4.0)</f>
        <v>4</v>
      </c>
      <c r="L106" s="275" t="str">
        <f>IFERROR(__xludf.DUMMYFUNCTION("""COMPUTED_VALUE"""),"Action")</f>
        <v>Action</v>
      </c>
    </row>
    <row r="107" hidden="1">
      <c r="A107" s="278" t="str">
        <f>IFERROR(__xludf.DUMMYFUNCTION("""COMPUTED_VALUE"""),"Hell Let Loose")</f>
        <v>Hell Let Loose</v>
      </c>
      <c r="B107" s="20" t="str">
        <f>IFERROR(__xludf.DUMMYFUNCTION("""COMPUTED_VALUE"""),"Xbox / PC")</f>
        <v>Xbox / PC</v>
      </c>
      <c r="C107" s="21" t="str">
        <f>IFERROR(__xludf.DUMMYFUNCTION("""COMPUTED_VALUE"""),"Yes")</f>
        <v>Yes</v>
      </c>
      <c r="D107" s="21" t="str">
        <f>IFERROR(__xludf.DUMMYFUNCTION("""COMPUTED_VALUE"""),"Removed")</f>
        <v>Removed</v>
      </c>
      <c r="E107" s="279">
        <f>IFERROR(__xludf.DUMMYFUNCTION("""COMPUTED_VALUE"""),45295.0)</f>
        <v>45295</v>
      </c>
      <c r="F107" s="279">
        <f>IFERROR(__xludf.DUMMYFUNCTION("""COMPUTED_VALUE"""),46022.0)</f>
        <v>46022</v>
      </c>
      <c r="G107" s="27">
        <f>IFERROR(__xludf.DUMMYFUNCTION("""COMPUTED_VALUE"""),23.866666666666667)</f>
        <v>23.86666667</v>
      </c>
      <c r="H107" s="128">
        <f>IFERROR(__xludf.DUMMYFUNCTION("""COMPUTED_VALUE"""),43622.0)</f>
        <v>43622</v>
      </c>
      <c r="I107" s="27">
        <f>IFERROR(__xludf.DUMMYFUNCTION("""COMPUTED_VALUE"""),4.5777777777777775)</f>
        <v>4.577777778</v>
      </c>
      <c r="J107" s="29">
        <f>IFERROR(__xludf.DUMMYFUNCTION("""COMPUTED_VALUE"""),79.0)</f>
        <v>79</v>
      </c>
      <c r="K107" s="29">
        <f>IFERROR(__xludf.DUMMYFUNCTION("""COMPUTED_VALUE"""),30.0)</f>
        <v>30</v>
      </c>
      <c r="L107" s="275" t="str">
        <f>IFERROR(__xludf.DUMMYFUNCTION("""COMPUTED_VALUE"""),"Shooter")</f>
        <v>Shooter</v>
      </c>
    </row>
    <row r="108" hidden="1">
      <c r="A108" s="278" t="str">
        <f>IFERROR(__xludf.DUMMYFUNCTION("""COMPUTED_VALUE"""),"Wildfrost")</f>
        <v>Wildfrost</v>
      </c>
      <c r="B108" s="20" t="str">
        <f>IFERROR(__xludf.DUMMYFUNCTION("""COMPUTED_VALUE"""),"Xbox / PC")</f>
        <v>Xbox / PC</v>
      </c>
      <c r="C108" s="21" t="str">
        <f>IFERROR(__xludf.DUMMYFUNCTION("""COMPUTED_VALUE"""),"Yes")</f>
        <v>Yes</v>
      </c>
      <c r="D108" s="21" t="str">
        <f>IFERROR(__xludf.DUMMYFUNCTION("""COMPUTED_VALUE"""),"Removed")</f>
        <v>Removed</v>
      </c>
      <c r="E108" s="279">
        <f>IFERROR(__xludf.DUMMYFUNCTION("""COMPUTED_VALUE"""),45636.0)</f>
        <v>45636</v>
      </c>
      <c r="F108" s="279">
        <f>IFERROR(__xludf.DUMMYFUNCTION("""COMPUTED_VALUE"""),46006.0)</f>
        <v>46006</v>
      </c>
      <c r="G108" s="27">
        <f>IFERROR(__xludf.DUMMYFUNCTION("""COMPUTED_VALUE"""),12.166666666666666)</f>
        <v>12.16666667</v>
      </c>
      <c r="H108" s="128">
        <f>IFERROR(__xludf.DUMMYFUNCTION("""COMPUTED_VALUE"""),45028.0)</f>
        <v>45028</v>
      </c>
      <c r="I108" s="27">
        <f>IFERROR(__xludf.DUMMYFUNCTION("""COMPUTED_VALUE"""),1.6611111111111112)</f>
        <v>1.661111111</v>
      </c>
      <c r="J108" s="29">
        <f>IFERROR(__xludf.DUMMYFUNCTION("""COMPUTED_VALUE"""),80.0)</f>
        <v>80</v>
      </c>
      <c r="K108" s="29">
        <f>IFERROR(__xludf.DUMMYFUNCTION("""COMPUTED_VALUE"""),13.0)</f>
        <v>13</v>
      </c>
      <c r="L108" s="275" t="str">
        <f>IFERROR(__xludf.DUMMYFUNCTION("""COMPUTED_VALUE"""),"Card Battle")</f>
        <v>Card Battle</v>
      </c>
    </row>
    <row r="109" hidden="1">
      <c r="A109" s="278" t="str">
        <f>IFERROR(__xludf.DUMMYFUNCTION("""COMPUTED_VALUE"""),"Still Wakes the Deep")</f>
        <v>Still Wakes the Deep</v>
      </c>
      <c r="B109" s="20" t="str">
        <f>IFERROR(__xludf.DUMMYFUNCTION("""COMPUTED_VALUE"""),"Xbox / PC")</f>
        <v>Xbox / PC</v>
      </c>
      <c r="C109" s="21" t="str">
        <f>IFERROR(__xludf.DUMMYFUNCTION("""COMPUTED_VALUE"""),"Yes")</f>
        <v>Yes</v>
      </c>
      <c r="D109" s="21" t="str">
        <f>IFERROR(__xludf.DUMMYFUNCTION("""COMPUTED_VALUE"""),"Removed")</f>
        <v>Removed</v>
      </c>
      <c r="E109" s="279">
        <f>IFERROR(__xludf.DUMMYFUNCTION("""COMPUTED_VALUE"""),45461.0)</f>
        <v>45461</v>
      </c>
      <c r="F109" s="279">
        <f>IFERROR(__xludf.DUMMYFUNCTION("""COMPUTED_VALUE"""),46006.0)</f>
        <v>46006</v>
      </c>
      <c r="G109" s="27">
        <f>IFERROR(__xludf.DUMMYFUNCTION("""COMPUTED_VALUE"""),17.9)</f>
        <v>17.9</v>
      </c>
      <c r="H109" s="128">
        <f>IFERROR(__xludf.DUMMYFUNCTION("""COMPUTED_VALUE"""),45461.0)</f>
        <v>45461</v>
      </c>
      <c r="I109" s="27">
        <f>IFERROR(__xludf.DUMMYFUNCTION("""COMPUTED_VALUE"""),0.0)</f>
        <v>0</v>
      </c>
      <c r="J109" s="29">
        <f>IFERROR(__xludf.DUMMYFUNCTION("""COMPUTED_VALUE"""),74.0)</f>
        <v>74</v>
      </c>
      <c r="K109" s="29">
        <f>IFERROR(__xludf.DUMMYFUNCTION("""COMPUTED_VALUE"""),5.0)</f>
        <v>5</v>
      </c>
      <c r="L109" s="31" t="str">
        <f>IFERROR(__xludf.DUMMYFUNCTION("""COMPUTED_VALUE"""),"Survival")</f>
        <v>Survival</v>
      </c>
    </row>
    <row r="110" hidden="1">
      <c r="A110" s="17" t="str">
        <f>IFERROR(__xludf.DUMMYFUNCTION("""COMPUTED_VALUE"""),"Mortal Kombat 11")</f>
        <v>Mortal Kombat 11</v>
      </c>
      <c r="B110" s="20" t="str">
        <f>IFERROR(__xludf.DUMMYFUNCTION("""COMPUTED_VALUE"""),"Xbox / PC")</f>
        <v>Xbox / PC</v>
      </c>
      <c r="C110" s="20" t="str">
        <f>IFERROR(__xludf.DUMMYFUNCTION("""COMPUTED_VALUE"""),"Yes")</f>
        <v>Yes</v>
      </c>
      <c r="D110" s="21" t="str">
        <f>IFERROR(__xludf.DUMMYFUNCTION("""COMPUTED_VALUE"""),"Removed")</f>
        <v>Removed</v>
      </c>
      <c r="E110" s="128">
        <f>IFERROR(__xludf.DUMMYFUNCTION("""COMPUTED_VALUE"""),44546.0)</f>
        <v>44546</v>
      </c>
      <c r="F110" s="24">
        <f>IFERROR(__xludf.DUMMYFUNCTION("""COMPUTED_VALUE"""),46006.0)</f>
        <v>46006</v>
      </c>
      <c r="G110" s="27">
        <f>IFERROR(__xludf.DUMMYFUNCTION("""COMPUTED_VALUE"""),47.96666666666667)</f>
        <v>47.96666667</v>
      </c>
      <c r="H110" s="128">
        <f>IFERROR(__xludf.DUMMYFUNCTION("""COMPUTED_VALUE"""),42117.0)</f>
        <v>42117</v>
      </c>
      <c r="I110" s="27">
        <f>IFERROR(__xludf.DUMMYFUNCTION("""COMPUTED_VALUE"""),6.647222222222222)</f>
        <v>6.647222222</v>
      </c>
      <c r="J110" s="29">
        <f>IFERROR(__xludf.DUMMYFUNCTION("""COMPUTED_VALUE"""),82.0)</f>
        <v>82</v>
      </c>
      <c r="K110" s="29">
        <f>IFERROR(__xludf.DUMMYFUNCTION("""COMPUTED_VALUE"""),6.0)</f>
        <v>6</v>
      </c>
      <c r="L110" s="31" t="str">
        <f>IFERROR(__xludf.DUMMYFUNCTION("""COMPUTED_VALUE"""),"Fighting")</f>
        <v>Fighting</v>
      </c>
    </row>
    <row r="111" hidden="1">
      <c r="A111" s="278" t="str">
        <f>IFERROR(__xludf.DUMMYFUNCTION("""COMPUTED_VALUE"""),"Barbie Project Friendship")</f>
        <v>Barbie Project Friendship</v>
      </c>
      <c r="B111" s="20" t="str">
        <f>IFERROR(__xludf.DUMMYFUNCTION("""COMPUTED_VALUE"""),"Xbox / PC")</f>
        <v>Xbox / PC</v>
      </c>
      <c r="C111" s="20" t="str">
        <f>IFERROR(__xludf.DUMMYFUNCTION("""COMPUTED_VALUE"""),"Yes")</f>
        <v>Yes</v>
      </c>
      <c r="D111" s="21" t="str">
        <f>IFERROR(__xludf.DUMMYFUNCTION("""COMPUTED_VALUE"""),"Removed")</f>
        <v>Removed</v>
      </c>
      <c r="E111" s="279">
        <f>IFERROR(__xludf.DUMMYFUNCTION("""COMPUTED_VALUE"""),45819.0)</f>
        <v>45819</v>
      </c>
      <c r="F111" s="24">
        <f>IFERROR(__xludf.DUMMYFUNCTION("""COMPUTED_VALUE"""),45991.0)</f>
        <v>45991</v>
      </c>
      <c r="G111" s="27">
        <f>IFERROR(__xludf.DUMMYFUNCTION("""COMPUTED_VALUE"""),5.633333333333333)</f>
        <v>5.633333333</v>
      </c>
      <c r="H111" s="128">
        <f>IFERROR(__xludf.DUMMYFUNCTION("""COMPUTED_VALUE"""),45590.0)</f>
        <v>45590</v>
      </c>
      <c r="I111" s="27">
        <f>IFERROR(__xludf.DUMMYFUNCTION("""COMPUTED_VALUE"""),0.6277777777777778)</f>
        <v>0.6277777778</v>
      </c>
      <c r="J111" s="277">
        <f>IFERROR(__xludf.DUMMYFUNCTION("""COMPUTED_VALUE"""),80.0)</f>
        <v>80</v>
      </c>
      <c r="K111" s="29">
        <f>IFERROR(__xludf.DUMMYFUNCTION("""COMPUTED_VALUE"""),8.0)</f>
        <v>8</v>
      </c>
      <c r="L111" s="275" t="str">
        <f>IFERROR(__xludf.DUMMYFUNCTION("""COMPUTED_VALUE"""),"Action-Adventure")</f>
        <v>Action-Adventure</v>
      </c>
    </row>
    <row r="112" hidden="1">
      <c r="A112" s="278" t="str">
        <f>IFERROR(__xludf.DUMMYFUNCTION("""COMPUTED_VALUE"""),"Octopath Traveler")</f>
        <v>Octopath Traveler</v>
      </c>
      <c r="B112" s="20" t="str">
        <f>IFERROR(__xludf.DUMMYFUNCTION("""COMPUTED_VALUE"""),"Xbox / PC")</f>
        <v>Xbox / PC</v>
      </c>
      <c r="C112" s="21" t="str">
        <f>IFERROR(__xludf.DUMMYFUNCTION("""COMPUTED_VALUE"""),"Touch Controls")</f>
        <v>Touch Controls</v>
      </c>
      <c r="D112" s="21" t="str">
        <f>IFERROR(__xludf.DUMMYFUNCTION("""COMPUTED_VALUE"""),"Removed")</f>
        <v>Removed</v>
      </c>
      <c r="E112" s="279">
        <f>IFERROR(__xludf.DUMMYFUNCTION("""COMPUTED_VALUE"""),45449.0)</f>
        <v>45449</v>
      </c>
      <c r="F112" s="279">
        <f>IFERROR(__xludf.DUMMYFUNCTION("""COMPUTED_VALUE"""),45991.0)</f>
        <v>45991</v>
      </c>
      <c r="G112" s="27">
        <f>IFERROR(__xludf.DUMMYFUNCTION("""COMPUTED_VALUE"""),17.8)</f>
        <v>17.8</v>
      </c>
      <c r="H112" s="128">
        <f>IFERROR(__xludf.DUMMYFUNCTION("""COMPUTED_VALUE"""),43293.0)</f>
        <v>43293</v>
      </c>
      <c r="I112" s="27">
        <f>IFERROR(__xludf.DUMMYFUNCTION("""COMPUTED_VALUE"""),5.9)</f>
        <v>5.9</v>
      </c>
      <c r="J112" s="29">
        <f>IFERROR(__xludf.DUMMYFUNCTION("""COMPUTED_VALUE"""),83.0)</f>
        <v>83</v>
      </c>
      <c r="K112" s="29">
        <f>IFERROR(__xludf.DUMMYFUNCTION("""COMPUTED_VALUE"""),61.0)</f>
        <v>61</v>
      </c>
      <c r="L112" s="275" t="str">
        <f>IFERROR(__xludf.DUMMYFUNCTION("""COMPUTED_VALUE"""),"RPG")</f>
        <v>RPG</v>
      </c>
    </row>
    <row r="113" hidden="1">
      <c r="A113" s="17" t="str">
        <f>IFERROR(__xludf.DUMMYFUNCTION("""COMPUTED_VALUE"""),"Octopath Traveler II")</f>
        <v>Octopath Traveler II</v>
      </c>
      <c r="B113" s="20" t="str">
        <f>IFERROR(__xludf.DUMMYFUNCTION("""COMPUTED_VALUE"""),"Xbox / PC")</f>
        <v>Xbox / PC</v>
      </c>
      <c r="C113" s="21" t="str">
        <f>IFERROR(__xludf.DUMMYFUNCTION("""COMPUTED_VALUE"""),"Yes")</f>
        <v>Yes</v>
      </c>
      <c r="D113" s="21" t="str">
        <f>IFERROR(__xludf.DUMMYFUNCTION("""COMPUTED_VALUE"""),"Removed")</f>
        <v>Removed</v>
      </c>
      <c r="E113" s="279">
        <f>IFERROR(__xludf.DUMMYFUNCTION("""COMPUTED_VALUE"""),45449.0)</f>
        <v>45449</v>
      </c>
      <c r="F113" s="279">
        <f>IFERROR(__xludf.DUMMYFUNCTION("""COMPUTED_VALUE"""),45991.0)</f>
        <v>45991</v>
      </c>
      <c r="G113" s="27">
        <f>IFERROR(__xludf.DUMMYFUNCTION("""COMPUTED_VALUE"""),17.8)</f>
        <v>17.8</v>
      </c>
      <c r="H113" s="128">
        <f>IFERROR(__xludf.DUMMYFUNCTION("""COMPUTED_VALUE"""),44981.0)</f>
        <v>44981</v>
      </c>
      <c r="I113" s="27">
        <f>IFERROR(__xludf.DUMMYFUNCTION("""COMPUTED_VALUE"""),1.2833333333333334)</f>
        <v>1.283333333</v>
      </c>
      <c r="J113" s="29">
        <f>IFERROR(__xludf.DUMMYFUNCTION("""COMPUTED_VALUE"""),85.0)</f>
        <v>85</v>
      </c>
      <c r="K113" s="29">
        <f>IFERROR(__xludf.DUMMYFUNCTION("""COMPUTED_VALUE"""),61.0)</f>
        <v>61</v>
      </c>
      <c r="L113" s="31" t="str">
        <f>IFERROR(__xludf.DUMMYFUNCTION("""COMPUTED_VALUE"""),"RPG")</f>
        <v>RPG</v>
      </c>
    </row>
    <row r="114" hidden="1">
      <c r="A114" s="278" t="str">
        <f>IFERROR(__xludf.DUMMYFUNCTION("""COMPUTED_VALUE"""),"Lords of the Fallen")</f>
        <v>Lords of the Fallen</v>
      </c>
      <c r="B114" s="20" t="str">
        <f>IFERROR(__xludf.DUMMYFUNCTION("""COMPUTED_VALUE"""),"Xbox / PC")</f>
        <v>Xbox / PC</v>
      </c>
      <c r="C114" s="21" t="str">
        <f>IFERROR(__xludf.DUMMYFUNCTION("""COMPUTED_VALUE"""),"Yes")</f>
        <v>Yes</v>
      </c>
      <c r="D114" s="21" t="str">
        <f>IFERROR(__xludf.DUMMYFUNCTION("""COMPUTED_VALUE"""),"Removed")</f>
        <v>Removed</v>
      </c>
      <c r="E114" s="279">
        <f>IFERROR(__xludf.DUMMYFUNCTION("""COMPUTED_VALUE"""),45442.0)</f>
        <v>45442</v>
      </c>
      <c r="F114" s="279">
        <f>IFERROR(__xludf.DUMMYFUNCTION("""COMPUTED_VALUE"""),45991.0)</f>
        <v>45991</v>
      </c>
      <c r="G114" s="27">
        <f>IFERROR(__xludf.DUMMYFUNCTION("""COMPUTED_VALUE"""),18.0)</f>
        <v>18</v>
      </c>
      <c r="H114" s="128">
        <f>IFERROR(__xludf.DUMMYFUNCTION("""COMPUTED_VALUE"""),45212.0)</f>
        <v>45212</v>
      </c>
      <c r="I114" s="27">
        <f>IFERROR(__xludf.DUMMYFUNCTION("""COMPUTED_VALUE"""),0.6305555555555555)</f>
        <v>0.6305555556</v>
      </c>
      <c r="J114" s="29">
        <f>IFERROR(__xludf.DUMMYFUNCTION("""COMPUTED_VALUE"""),75.0)</f>
        <v>75</v>
      </c>
      <c r="K114" s="29">
        <f>IFERROR(__xludf.DUMMYFUNCTION("""COMPUTED_VALUE"""),15.0)</f>
        <v>15</v>
      </c>
      <c r="L114" s="275" t="str">
        <f>IFERROR(__xludf.DUMMYFUNCTION("""COMPUTED_VALUE"""),"RPG")</f>
        <v>RPG</v>
      </c>
    </row>
    <row r="115" hidden="1">
      <c r="A115" s="278" t="str">
        <f>IFERROR(__xludf.DUMMYFUNCTION("""COMPUTED_VALUE"""),"SteamWorld Build")</f>
        <v>SteamWorld Build</v>
      </c>
      <c r="B115" s="20" t="str">
        <f>IFERROR(__xludf.DUMMYFUNCTION("""COMPUTED_VALUE"""),"Xbox / PC")</f>
        <v>Xbox / PC</v>
      </c>
      <c r="C115" s="21" t="str">
        <f>IFERROR(__xludf.DUMMYFUNCTION("""COMPUTED_VALUE"""),"Yes")</f>
        <v>Yes</v>
      </c>
      <c r="D115" s="21" t="str">
        <f>IFERROR(__xludf.DUMMYFUNCTION("""COMPUTED_VALUE"""),"Removed")</f>
        <v>Removed</v>
      </c>
      <c r="E115" s="279">
        <f>IFERROR(__xludf.DUMMYFUNCTION("""COMPUTED_VALUE"""),45261.0)</f>
        <v>45261</v>
      </c>
      <c r="F115" s="279">
        <f>IFERROR(__xludf.DUMMYFUNCTION("""COMPUTED_VALUE"""),45991.0)</f>
        <v>45991</v>
      </c>
      <c r="G115" s="27">
        <f>IFERROR(__xludf.DUMMYFUNCTION("""COMPUTED_VALUE"""),23.96666666666667)</f>
        <v>23.96666667</v>
      </c>
      <c r="H115" s="128">
        <f>IFERROR(__xludf.DUMMYFUNCTION("""COMPUTED_VALUE"""),45261.0)</f>
        <v>45261</v>
      </c>
      <c r="I115" s="27">
        <f>IFERROR(__xludf.DUMMYFUNCTION("""COMPUTED_VALUE"""),0.0)</f>
        <v>0</v>
      </c>
      <c r="J115" s="29">
        <f>IFERROR(__xludf.DUMMYFUNCTION("""COMPUTED_VALUE"""),74.0)</f>
        <v>74</v>
      </c>
      <c r="K115" s="29">
        <f>IFERROR(__xludf.DUMMYFUNCTION("""COMPUTED_VALUE"""),9.0)</f>
        <v>9</v>
      </c>
      <c r="L115" s="275" t="str">
        <f>IFERROR(__xludf.DUMMYFUNCTION("""COMPUTED_VALUE"""),"Strategy")</f>
        <v>Strategy</v>
      </c>
    </row>
    <row r="116" hidden="1">
      <c r="A116" s="17" t="str">
        <f>IFERROR(__xludf.DUMMYFUNCTION("""COMPUTED_VALUE"""),"Blacksmith Master")</f>
        <v>Blacksmith Master</v>
      </c>
      <c r="B116" s="20" t="str">
        <f>IFERROR(__xludf.DUMMYFUNCTION("""COMPUTED_VALUE"""),"PC")</f>
        <v>PC</v>
      </c>
      <c r="C116" s="20"/>
      <c r="D116" s="21" t="str">
        <f>IFERROR(__xludf.DUMMYFUNCTION("""COMPUTED_VALUE"""),"Removed")</f>
        <v>Removed</v>
      </c>
      <c r="E116" s="128">
        <f>IFERROR(__xludf.DUMMYFUNCTION("""COMPUTED_VALUE"""),45888.0)</f>
        <v>45888</v>
      </c>
      <c r="F116" s="276">
        <f>IFERROR(__xludf.DUMMYFUNCTION("""COMPUTED_VALUE"""),45976.0)</f>
        <v>45976</v>
      </c>
      <c r="G116" s="27">
        <f>IFERROR(__xludf.DUMMYFUNCTION("""COMPUTED_VALUE"""),2.8666666666666667)</f>
        <v>2.866666667</v>
      </c>
      <c r="H116" s="128">
        <f>IFERROR(__xludf.DUMMYFUNCTION("""COMPUTED_VALUE"""),45792.0)</f>
        <v>45792</v>
      </c>
      <c r="I116" s="27">
        <f>IFERROR(__xludf.DUMMYFUNCTION("""COMPUTED_VALUE"""),0.2611111111111111)</f>
        <v>0.2611111111</v>
      </c>
      <c r="J116" s="29">
        <f>IFERROR(__xludf.DUMMYFUNCTION("""COMPUTED_VALUE"""),72.5)</f>
        <v>72.5</v>
      </c>
      <c r="K116" s="29">
        <f>IFERROR(__xludf.DUMMYFUNCTION("""COMPUTED_VALUE"""),12.0)</f>
        <v>12</v>
      </c>
      <c r="L116" s="31" t="str">
        <f>IFERROR(__xludf.DUMMYFUNCTION("""COMPUTED_VALUE"""),"Tycoon")</f>
        <v>Tycoon</v>
      </c>
    </row>
    <row r="117" hidden="1">
      <c r="A117" s="17" t="str">
        <f>IFERROR(__xludf.DUMMYFUNCTION("""COMPUTED_VALUE"""),"S.T.A.L.K.E.R. 2: Heart of Chornobyl")</f>
        <v>S.T.A.L.K.E.R. 2: Heart of Chornobyl</v>
      </c>
      <c r="B117" s="20" t="str">
        <f>IFERROR(__xludf.DUMMYFUNCTION("""COMPUTED_VALUE"""),"Xbox / PC")</f>
        <v>Xbox / PC</v>
      </c>
      <c r="C117" s="21" t="str">
        <f>IFERROR(__xludf.DUMMYFUNCTION("""COMPUTED_VALUE"""),"Yes")</f>
        <v>Yes</v>
      </c>
      <c r="D117" s="21" t="str">
        <f>IFERROR(__xludf.DUMMYFUNCTION("""COMPUTED_VALUE"""),"Removed")</f>
        <v>Removed</v>
      </c>
      <c r="E117" s="279">
        <f>IFERROR(__xludf.DUMMYFUNCTION("""COMPUTED_VALUE"""),45616.0)</f>
        <v>45616</v>
      </c>
      <c r="F117" s="279">
        <f>IFERROR(__xludf.DUMMYFUNCTION("""COMPUTED_VALUE"""),45976.0)</f>
        <v>45976</v>
      </c>
      <c r="G117" s="27">
        <f>IFERROR(__xludf.DUMMYFUNCTION("""COMPUTED_VALUE"""),11.833333333333334)</f>
        <v>11.83333333</v>
      </c>
      <c r="H117" s="128">
        <f>IFERROR(__xludf.DUMMYFUNCTION("""COMPUTED_VALUE"""),45616.0)</f>
        <v>45616</v>
      </c>
      <c r="I117" s="27">
        <f>IFERROR(__xludf.DUMMYFUNCTION("""COMPUTED_VALUE"""),0.0)</f>
        <v>0</v>
      </c>
      <c r="J117" s="29">
        <f>IFERROR(__xludf.DUMMYFUNCTION("""COMPUTED_VALUE"""),73.0)</f>
        <v>73</v>
      </c>
      <c r="K117" s="29">
        <f>IFERROR(__xludf.DUMMYFUNCTION("""COMPUTED_VALUE"""),31.0)</f>
        <v>31</v>
      </c>
      <c r="L117" s="275" t="str">
        <f>IFERROR(__xludf.DUMMYFUNCTION("""COMPUTED_VALUE"""),"Action-Adventure")</f>
        <v>Action-Adventure</v>
      </c>
    </row>
    <row r="118" hidden="1">
      <c r="A118" s="278" t="str">
        <f>IFERROR(__xludf.DUMMYFUNCTION("""COMPUTED_VALUE"""),"Spirittea")</f>
        <v>Spirittea</v>
      </c>
      <c r="B118" s="20" t="str">
        <f>IFERROR(__xludf.DUMMYFUNCTION("""COMPUTED_VALUE"""),"Xbox / PC")</f>
        <v>Xbox / PC</v>
      </c>
      <c r="C118" s="21" t="str">
        <f>IFERROR(__xludf.DUMMYFUNCTION("""COMPUTED_VALUE"""),"Yes")</f>
        <v>Yes</v>
      </c>
      <c r="D118" s="21" t="str">
        <f>IFERROR(__xludf.DUMMYFUNCTION("""COMPUTED_VALUE"""),"Removed")</f>
        <v>Removed</v>
      </c>
      <c r="E118" s="279">
        <f>IFERROR(__xludf.DUMMYFUNCTION("""COMPUTED_VALUE"""),45243.0)</f>
        <v>45243</v>
      </c>
      <c r="F118" s="279">
        <f>IFERROR(__xludf.DUMMYFUNCTION("""COMPUTED_VALUE"""),45976.0)</f>
        <v>45976</v>
      </c>
      <c r="G118" s="27">
        <f>IFERROR(__xludf.DUMMYFUNCTION("""COMPUTED_VALUE"""),24.066666666666666)</f>
        <v>24.06666667</v>
      </c>
      <c r="H118" s="128">
        <f>IFERROR(__xludf.DUMMYFUNCTION("""COMPUTED_VALUE"""),45243.0)</f>
        <v>45243</v>
      </c>
      <c r="I118" s="27">
        <f>IFERROR(__xludf.DUMMYFUNCTION("""COMPUTED_VALUE"""),0.0)</f>
        <v>0</v>
      </c>
      <c r="J118" s="29">
        <f>IFERROR(__xludf.DUMMYFUNCTION("""COMPUTED_VALUE"""),76.0)</f>
        <v>76</v>
      </c>
      <c r="K118" s="29">
        <f>IFERROR(__xludf.DUMMYFUNCTION("""COMPUTED_VALUE"""),33.0)</f>
        <v>33</v>
      </c>
      <c r="L118" s="275" t="str">
        <f>IFERROR(__xludf.DUMMYFUNCTION("""COMPUTED_VALUE"""),"RPG")</f>
        <v>RPG</v>
      </c>
    </row>
    <row r="119" hidden="1">
      <c r="A119" s="278" t="str">
        <f>IFERROR(__xludf.DUMMYFUNCTION("""COMPUTED_VALUE"""),"Football Manager 2024")</f>
        <v>Football Manager 2024</v>
      </c>
      <c r="B119" s="20" t="str">
        <f>IFERROR(__xludf.DUMMYFUNCTION("""COMPUTED_VALUE"""),"Xbox / PC")</f>
        <v>Xbox / PC</v>
      </c>
      <c r="C119" s="20" t="str">
        <f>IFERROR(__xludf.DUMMYFUNCTION("""COMPUTED_VALUE"""),"Yes")</f>
        <v>Yes</v>
      </c>
      <c r="D119" s="21" t="str">
        <f>IFERROR(__xludf.DUMMYFUNCTION("""COMPUTED_VALUE"""),"Removed")</f>
        <v>Removed</v>
      </c>
      <c r="E119" s="279">
        <f>IFERROR(__xludf.DUMMYFUNCTION("""COMPUTED_VALUE"""),45236.0)</f>
        <v>45236</v>
      </c>
      <c r="F119" s="24">
        <f>IFERROR(__xludf.DUMMYFUNCTION("""COMPUTED_VALUE"""),45976.0)</f>
        <v>45976</v>
      </c>
      <c r="G119" s="27">
        <f>IFERROR(__xludf.DUMMYFUNCTION("""COMPUTED_VALUE"""),24.299999999999997)</f>
        <v>24.3</v>
      </c>
      <c r="H119" s="128">
        <f>IFERROR(__xludf.DUMMYFUNCTION("""COMPUTED_VALUE"""),45236.0)</f>
        <v>45236</v>
      </c>
      <c r="I119" s="27">
        <f>IFERROR(__xludf.DUMMYFUNCTION("""COMPUTED_VALUE"""),0.0)</f>
        <v>0</v>
      </c>
      <c r="J119" s="277">
        <f>IFERROR(__xludf.DUMMYFUNCTION("""COMPUTED_VALUE"""),84.0)</f>
        <v>84</v>
      </c>
      <c r="K119" s="29">
        <f>IFERROR(__xludf.DUMMYFUNCTION("""COMPUTED_VALUE"""),11.0)</f>
        <v>11</v>
      </c>
      <c r="L119" s="275" t="str">
        <f>IFERROR(__xludf.DUMMYFUNCTION("""COMPUTED_VALUE"""),"Simulation")</f>
        <v>Simulation</v>
      </c>
    </row>
    <row r="120" hidden="1">
      <c r="A120" s="278" t="str">
        <f>IFERROR(__xludf.DUMMYFUNCTION("""COMPUTED_VALUE"""),"Frostpunk")</f>
        <v>Frostpunk</v>
      </c>
      <c r="B120" s="20" t="str">
        <f>IFERROR(__xludf.DUMMYFUNCTION("""COMPUTED_VALUE"""),"Xbox / PC")</f>
        <v>Xbox / PC</v>
      </c>
      <c r="C120" s="21" t="str">
        <f>IFERROR(__xludf.DUMMYFUNCTION("""COMPUTED_VALUE"""),"Touch Controls")</f>
        <v>Touch Controls</v>
      </c>
      <c r="D120" s="21" t="str">
        <f>IFERROR(__xludf.DUMMYFUNCTION("""COMPUTED_VALUE"""),"Removed")</f>
        <v>Removed</v>
      </c>
      <c r="E120" s="279">
        <f>IFERROR(__xludf.DUMMYFUNCTION("""COMPUTED_VALUE"""),43839.0)</f>
        <v>43839</v>
      </c>
      <c r="F120" s="279">
        <f>IFERROR(__xludf.DUMMYFUNCTION("""COMPUTED_VALUE"""),45976.0)</f>
        <v>45976</v>
      </c>
      <c r="G120" s="27">
        <f>IFERROR(__xludf.DUMMYFUNCTION("""COMPUTED_VALUE"""),70.19999999999999)</f>
        <v>70.2</v>
      </c>
      <c r="H120" s="128">
        <f>IFERROR(__xludf.DUMMYFUNCTION("""COMPUTED_VALUE"""),43214.0)</f>
        <v>43214</v>
      </c>
      <c r="I120" s="27">
        <f>IFERROR(__xludf.DUMMYFUNCTION("""COMPUTED_VALUE"""),1.7083333333333333)</f>
        <v>1.708333333</v>
      </c>
      <c r="J120" s="29">
        <f>IFERROR(__xludf.DUMMYFUNCTION("""COMPUTED_VALUE"""),84.0)</f>
        <v>84</v>
      </c>
      <c r="K120" s="29">
        <f>IFERROR(__xludf.DUMMYFUNCTION("""COMPUTED_VALUE"""),10.0)</f>
        <v>10</v>
      </c>
      <c r="L120" s="275" t="str">
        <f>IFERROR(__xludf.DUMMYFUNCTION("""COMPUTED_VALUE"""),"Simulation")</f>
        <v>Simulation</v>
      </c>
    </row>
    <row r="121" hidden="1">
      <c r="A121" s="278" t="str">
        <f>IFERROR(__xludf.DUMMYFUNCTION("""COMPUTED_VALUE"""),"Metal Slug: Tactics")</f>
        <v>Metal Slug: Tactics</v>
      </c>
      <c r="B121" s="20" t="str">
        <f>IFERROR(__xludf.DUMMYFUNCTION("""COMPUTED_VALUE"""),"Xbox / PC")</f>
        <v>Xbox / PC</v>
      </c>
      <c r="C121" s="21" t="str">
        <f>IFERROR(__xludf.DUMMYFUNCTION("""COMPUTED_VALUE"""),"Yes")</f>
        <v>Yes</v>
      </c>
      <c r="D121" s="21" t="str">
        <f>IFERROR(__xludf.DUMMYFUNCTION("""COMPUTED_VALUE"""),"Removed")</f>
        <v>Removed</v>
      </c>
      <c r="E121" s="279">
        <f>IFERROR(__xludf.DUMMYFUNCTION("""COMPUTED_VALUE"""),45601.0)</f>
        <v>45601</v>
      </c>
      <c r="F121" s="279">
        <f>IFERROR(__xludf.DUMMYFUNCTION("""COMPUTED_VALUE"""),45961.0)</f>
        <v>45961</v>
      </c>
      <c r="G121" s="27">
        <f>IFERROR(__xludf.DUMMYFUNCTION("""COMPUTED_VALUE"""),11.833333333333334)</f>
        <v>11.83333333</v>
      </c>
      <c r="H121" s="128">
        <f>IFERROR(__xludf.DUMMYFUNCTION("""COMPUTED_VALUE"""),45601.0)</f>
        <v>45601</v>
      </c>
      <c r="I121" s="27">
        <f>IFERROR(__xludf.DUMMYFUNCTION("""COMPUTED_VALUE"""),0.0)</f>
        <v>0</v>
      </c>
      <c r="J121" s="29">
        <f>IFERROR(__xludf.DUMMYFUNCTION("""COMPUTED_VALUE"""),79.0)</f>
        <v>79</v>
      </c>
      <c r="K121" s="29">
        <f>IFERROR(__xludf.DUMMYFUNCTION("""COMPUTED_VALUE"""),8.0)</f>
        <v>8</v>
      </c>
      <c r="L121" s="275" t="str">
        <f>IFERROR(__xludf.DUMMYFUNCTION("""COMPUTED_VALUE"""),"Strategy")</f>
        <v>Strategy</v>
      </c>
    </row>
    <row r="122" hidden="1">
      <c r="A122" s="278" t="str">
        <f>IFERROR(__xludf.DUMMYFUNCTION("""COMPUTED_VALUE"""),"Jusant")</f>
        <v>Jusant</v>
      </c>
      <c r="B122" s="20" t="str">
        <f>IFERROR(__xludf.DUMMYFUNCTION("""COMPUTED_VALUE"""),"Xbox / PC")</f>
        <v>Xbox / PC</v>
      </c>
      <c r="C122" s="21" t="str">
        <f>IFERROR(__xludf.DUMMYFUNCTION("""COMPUTED_VALUE"""),"Yes")</f>
        <v>Yes</v>
      </c>
      <c r="D122" s="21" t="str">
        <f>IFERROR(__xludf.DUMMYFUNCTION("""COMPUTED_VALUE"""),"Removed")</f>
        <v>Removed</v>
      </c>
      <c r="E122" s="279">
        <f>IFERROR(__xludf.DUMMYFUNCTION("""COMPUTED_VALUE"""),45230.0)</f>
        <v>45230</v>
      </c>
      <c r="F122" s="279">
        <f>IFERROR(__xludf.DUMMYFUNCTION("""COMPUTED_VALUE"""),45961.0)</f>
        <v>45961</v>
      </c>
      <c r="G122" s="27">
        <f>IFERROR(__xludf.DUMMYFUNCTION("""COMPUTED_VALUE"""),24.0)</f>
        <v>24</v>
      </c>
      <c r="H122" s="128">
        <f>IFERROR(__xludf.DUMMYFUNCTION("""COMPUTED_VALUE"""),45230.0)</f>
        <v>45230</v>
      </c>
      <c r="I122" s="27">
        <f>IFERROR(__xludf.DUMMYFUNCTION("""COMPUTED_VALUE"""),0.0)</f>
        <v>0</v>
      </c>
      <c r="J122" s="29">
        <f>IFERROR(__xludf.DUMMYFUNCTION("""COMPUTED_VALUE"""),83.0)</f>
        <v>83</v>
      </c>
      <c r="K122" s="29">
        <f>IFERROR(__xludf.DUMMYFUNCTION("""COMPUTED_VALUE"""),4.0)</f>
        <v>4</v>
      </c>
      <c r="L122" s="275" t="str">
        <f>IFERROR(__xludf.DUMMYFUNCTION("""COMPUTED_VALUE"""),"Adventure")</f>
        <v>Adventure</v>
      </c>
    </row>
    <row r="123" hidden="1">
      <c r="A123" s="278" t="str">
        <f>IFERROR(__xludf.DUMMYFUNCTION("""COMPUTED_VALUE"""),"Return to Monkey Island")</f>
        <v>Return to Monkey Island</v>
      </c>
      <c r="B123" s="20" t="str">
        <f>IFERROR(__xludf.DUMMYFUNCTION("""COMPUTED_VALUE"""),"Xbox / PC")</f>
        <v>Xbox / PC</v>
      </c>
      <c r="C123" s="21" t="str">
        <f>IFERROR(__xludf.DUMMYFUNCTION("""COMPUTED_VALUE"""),"Yes")</f>
        <v>Yes</v>
      </c>
      <c r="D123" s="21" t="str">
        <f>IFERROR(__xludf.DUMMYFUNCTION("""COMPUTED_VALUE"""),"Removed")</f>
        <v>Removed</v>
      </c>
      <c r="E123" s="279">
        <f>IFERROR(__xludf.DUMMYFUNCTION("""COMPUTED_VALUE"""),44873.0)</f>
        <v>44873</v>
      </c>
      <c r="F123" s="279">
        <f>IFERROR(__xludf.DUMMYFUNCTION("""COMPUTED_VALUE"""),45961.0)</f>
        <v>45961</v>
      </c>
      <c r="G123" s="27">
        <f>IFERROR(__xludf.DUMMYFUNCTION("""COMPUTED_VALUE"""),35.733333333333334)</f>
        <v>35.73333333</v>
      </c>
      <c r="H123" s="128">
        <f>IFERROR(__xludf.DUMMYFUNCTION("""COMPUTED_VALUE"""),44823.0)</f>
        <v>44823</v>
      </c>
      <c r="I123" s="27">
        <f>IFERROR(__xludf.DUMMYFUNCTION("""COMPUTED_VALUE"""),0.1361111111111111)</f>
        <v>0.1361111111</v>
      </c>
      <c r="J123" s="29">
        <f>IFERROR(__xludf.DUMMYFUNCTION("""COMPUTED_VALUE"""),87.0)</f>
        <v>87</v>
      </c>
      <c r="K123" s="29">
        <f>IFERROR(__xludf.DUMMYFUNCTION("""COMPUTED_VALUE"""),10.5)</f>
        <v>10.5</v>
      </c>
      <c r="L123" s="275" t="str">
        <f>IFERROR(__xludf.DUMMYFUNCTION("""COMPUTED_VALUE"""),"Adventure")</f>
        <v>Adventure</v>
      </c>
    </row>
    <row r="124" hidden="1">
      <c r="A124" s="278" t="str">
        <f>IFERROR(__xludf.DUMMYFUNCTION("""COMPUTED_VALUE"""),"NBA LIVE 19")</f>
        <v>NBA LIVE 19</v>
      </c>
      <c r="B124" s="20" t="str">
        <f>IFERROR(__xludf.DUMMYFUNCTION("""COMPUTED_VALUE"""),"Xbox")</f>
        <v>Xbox</v>
      </c>
      <c r="C124" s="21"/>
      <c r="D124" s="21" t="str">
        <f>IFERROR(__xludf.DUMMYFUNCTION("""COMPUTED_VALUE"""),"Removed")</f>
        <v>Removed</v>
      </c>
      <c r="E124" s="279">
        <f>IFERROR(__xludf.DUMMYFUNCTION("""COMPUTED_VALUE"""),44145.0)</f>
        <v>44145</v>
      </c>
      <c r="F124" s="279">
        <f>IFERROR(__xludf.DUMMYFUNCTION("""COMPUTED_VALUE"""),45953.0)</f>
        <v>45953</v>
      </c>
      <c r="G124" s="27">
        <f>IFERROR(__xludf.DUMMYFUNCTION("""COMPUTED_VALUE"""),59.43333333333333)</f>
        <v>59.43333333</v>
      </c>
      <c r="H124" s="128">
        <f>IFERROR(__xludf.DUMMYFUNCTION("""COMPUTED_VALUE"""),43350.0)</f>
        <v>43350</v>
      </c>
      <c r="I124" s="27">
        <f>IFERROR(__xludf.DUMMYFUNCTION("""COMPUTED_VALUE"""),2.175)</f>
        <v>2.175</v>
      </c>
      <c r="J124" s="277">
        <f>IFERROR(__xludf.DUMMYFUNCTION("""COMPUTED_VALUE"""),75.0)</f>
        <v>75</v>
      </c>
      <c r="K124" s="277">
        <f>IFERROR(__xludf.DUMMYFUNCTION("""COMPUTED_VALUE"""),27.5)</f>
        <v>27.5</v>
      </c>
      <c r="L124" s="31" t="str">
        <f>IFERROR(__xludf.DUMMYFUNCTION("""COMPUTED_VALUE"""),"Sports")</f>
        <v>Sports</v>
      </c>
    </row>
    <row r="125" hidden="1">
      <c r="A125" s="278" t="str">
        <f>IFERROR(__xludf.DUMMYFUNCTION("""COMPUTED_VALUE"""),"Teenage Mutant Ninja Turtles: Mutants Unleashed")</f>
        <v>Teenage Mutant Ninja Turtles: Mutants Unleashed</v>
      </c>
      <c r="B125" s="20" t="str">
        <f>IFERROR(__xludf.DUMMYFUNCTION("""COMPUTED_VALUE"""),"Xbox / PC")</f>
        <v>Xbox / PC</v>
      </c>
      <c r="C125" s="20" t="str">
        <f>IFERROR(__xludf.DUMMYFUNCTION("""COMPUTED_VALUE"""),"Yes")</f>
        <v>Yes</v>
      </c>
      <c r="D125" s="21" t="str">
        <f>IFERROR(__xludf.DUMMYFUNCTION("""COMPUTED_VALUE"""),"Removed")</f>
        <v>Removed</v>
      </c>
      <c r="E125" s="279">
        <f>IFERROR(__xludf.DUMMYFUNCTION("""COMPUTED_VALUE"""),45785.0)</f>
        <v>45785</v>
      </c>
      <c r="F125" s="24">
        <f>IFERROR(__xludf.DUMMYFUNCTION("""COMPUTED_VALUE"""),45945.0)</f>
        <v>45945</v>
      </c>
      <c r="G125" s="27">
        <f>IFERROR(__xludf.DUMMYFUNCTION("""COMPUTED_VALUE"""),5.233333333333333)</f>
        <v>5.233333333</v>
      </c>
      <c r="H125" s="128">
        <f>IFERROR(__xludf.DUMMYFUNCTION("""COMPUTED_VALUE"""),45583.0)</f>
        <v>45583</v>
      </c>
      <c r="I125" s="27">
        <f>IFERROR(__xludf.DUMMYFUNCTION("""COMPUTED_VALUE"""),0.5555555555555556)</f>
        <v>0.5555555556</v>
      </c>
      <c r="J125" s="277">
        <f>IFERROR(__xludf.DUMMYFUNCTION("""COMPUTED_VALUE"""),66.0)</f>
        <v>66</v>
      </c>
      <c r="K125" s="277">
        <f>IFERROR(__xludf.DUMMYFUNCTION("""COMPUTED_VALUE"""),12.0)</f>
        <v>12</v>
      </c>
      <c r="L125" s="275" t="str">
        <f>IFERROR(__xludf.DUMMYFUNCTION("""COMPUTED_VALUE"""),"Action-Adventure")</f>
        <v>Action-Adventure</v>
      </c>
    </row>
    <row r="126" hidden="1">
      <c r="A126" s="278" t="str">
        <f>IFERROR(__xludf.DUMMYFUNCTION("""COMPUTED_VALUE"""),"Core Keeper")</f>
        <v>Core Keeper</v>
      </c>
      <c r="B126" s="20" t="str">
        <f>IFERROR(__xludf.DUMMYFUNCTION("""COMPUTED_VALUE"""),"Xbox / PC")</f>
        <v>Xbox / PC</v>
      </c>
      <c r="C126" s="21" t="str">
        <f>IFERROR(__xludf.DUMMYFUNCTION("""COMPUTED_VALUE"""),"Yes")</f>
        <v>Yes</v>
      </c>
      <c r="D126" s="21" t="str">
        <f>IFERROR(__xludf.DUMMYFUNCTION("""COMPUTED_VALUE"""),"Removed")</f>
        <v>Removed</v>
      </c>
      <c r="E126" s="279">
        <f>IFERROR(__xludf.DUMMYFUNCTION("""COMPUTED_VALUE"""),45531.0)</f>
        <v>45531</v>
      </c>
      <c r="F126" s="279">
        <f>IFERROR(__xludf.DUMMYFUNCTION("""COMPUTED_VALUE"""),45945.0)</f>
        <v>45945</v>
      </c>
      <c r="G126" s="27">
        <f>IFERROR(__xludf.DUMMYFUNCTION("""COMPUTED_VALUE"""),13.6)</f>
        <v>13.6</v>
      </c>
      <c r="H126" s="128">
        <f>IFERROR(__xludf.DUMMYFUNCTION("""COMPUTED_VALUE"""),45531.0)</f>
        <v>45531</v>
      </c>
      <c r="I126" s="27">
        <f>IFERROR(__xludf.DUMMYFUNCTION("""COMPUTED_VALUE"""),0.0)</f>
        <v>0</v>
      </c>
      <c r="J126" s="29">
        <f>IFERROR(__xludf.DUMMYFUNCTION("""COMPUTED_VALUE"""),85.0)</f>
        <v>85</v>
      </c>
      <c r="K126" s="29">
        <f>IFERROR(__xludf.DUMMYFUNCTION("""COMPUTED_VALUE"""),27.0)</f>
        <v>27</v>
      </c>
      <c r="L126" s="275" t="str">
        <f>IFERROR(__xludf.DUMMYFUNCTION("""COMPUTED_VALUE"""),"Sandbox")</f>
        <v>Sandbox</v>
      </c>
    </row>
    <row r="127" hidden="1">
      <c r="A127" s="278" t="str">
        <f>IFERROR(__xludf.DUMMYFUNCTION("""COMPUTED_VALUE"""),"Cocoon")</f>
        <v>Cocoon</v>
      </c>
      <c r="B127" s="20" t="str">
        <f>IFERROR(__xludf.DUMMYFUNCTION("""COMPUTED_VALUE"""),"Xbox / PC")</f>
        <v>Xbox / PC</v>
      </c>
      <c r="C127" s="21"/>
      <c r="D127" s="21" t="str">
        <f>IFERROR(__xludf.DUMMYFUNCTION("""COMPUTED_VALUE"""),"Removed")</f>
        <v>Removed</v>
      </c>
      <c r="E127" s="279">
        <f>IFERROR(__xludf.DUMMYFUNCTION("""COMPUTED_VALUE"""),45198.0)</f>
        <v>45198</v>
      </c>
      <c r="F127" s="279">
        <f>IFERROR(__xludf.DUMMYFUNCTION("""COMPUTED_VALUE"""),45945.0)</f>
        <v>45945</v>
      </c>
      <c r="G127" s="27">
        <f>IFERROR(__xludf.DUMMYFUNCTION("""COMPUTED_VALUE"""),24.53333333333333)</f>
        <v>24.53333333</v>
      </c>
      <c r="H127" s="128">
        <f>IFERROR(__xludf.DUMMYFUNCTION("""COMPUTED_VALUE"""),45198.0)</f>
        <v>45198</v>
      </c>
      <c r="I127" s="27">
        <f>IFERROR(__xludf.DUMMYFUNCTION("""COMPUTED_VALUE"""),0.0)</f>
        <v>0</v>
      </c>
      <c r="J127" s="29">
        <f>IFERROR(__xludf.DUMMYFUNCTION("""COMPUTED_VALUE"""),89.0)</f>
        <v>89</v>
      </c>
      <c r="K127" s="29">
        <f>IFERROR(__xludf.DUMMYFUNCTION("""COMPUTED_VALUE"""),5.0)</f>
        <v>5</v>
      </c>
      <c r="L127" s="275" t="str">
        <f>IFERROR(__xludf.DUMMYFUNCTION("""COMPUTED_VALUE"""),"Puzzle")</f>
        <v>Puzzle</v>
      </c>
    </row>
    <row r="128" hidden="1">
      <c r="A128" s="278" t="str">
        <f>IFERROR(__xludf.DUMMYFUNCTION("""COMPUTED_VALUE"""),"NINJA GAIDEN: Master Collection")</f>
        <v>NINJA GAIDEN: Master Collection</v>
      </c>
      <c r="B128" s="20" t="str">
        <f>IFERROR(__xludf.DUMMYFUNCTION("""COMPUTED_VALUE"""),"Xbox / PC")</f>
        <v>Xbox / PC</v>
      </c>
      <c r="C128" s="21" t="str">
        <f>IFERROR(__xludf.DUMMYFUNCTION("""COMPUTED_VALUE"""),"Touch Controls")</f>
        <v>Touch Controls</v>
      </c>
      <c r="D128" s="21" t="str">
        <f>IFERROR(__xludf.DUMMYFUNCTION("""COMPUTED_VALUE"""),"Removed")</f>
        <v>Removed</v>
      </c>
      <c r="E128" s="279">
        <f>IFERROR(__xludf.DUMMYFUNCTION("""COMPUTED_VALUE"""),44714.0)</f>
        <v>44714</v>
      </c>
      <c r="F128" s="279">
        <f>IFERROR(__xludf.DUMMYFUNCTION("""COMPUTED_VALUE"""),45930.0)</f>
        <v>45930</v>
      </c>
      <c r="G128" s="27">
        <f>IFERROR(__xludf.DUMMYFUNCTION("""COMPUTED_VALUE"""),39.93333333333334)</f>
        <v>39.93333333</v>
      </c>
      <c r="H128" s="128">
        <f>IFERROR(__xludf.DUMMYFUNCTION("""COMPUTED_VALUE"""),44357.0)</f>
        <v>44357</v>
      </c>
      <c r="I128" s="27">
        <f>IFERROR(__xludf.DUMMYFUNCTION("""COMPUTED_VALUE"""),0.9777777777777777)</f>
        <v>0.9777777778</v>
      </c>
      <c r="J128" s="29">
        <f>IFERROR(__xludf.DUMMYFUNCTION("""COMPUTED_VALUE"""),71.5)</f>
        <v>71.5</v>
      </c>
      <c r="K128" s="29">
        <f>IFERROR(__xludf.DUMMYFUNCTION("""COMPUTED_VALUE"""),29.5)</f>
        <v>29.5</v>
      </c>
      <c r="L128" s="275" t="str">
        <f>IFERROR(__xludf.DUMMYFUNCTION("""COMPUTED_VALUE"""),"Action")</f>
        <v>Action</v>
      </c>
    </row>
    <row r="129" hidden="1">
      <c r="A129" s="17" t="str">
        <f>IFERROR(__xludf.DUMMYFUNCTION("""COMPUTED_VALUE"""),"All You Need Is Help")</f>
        <v>All You Need Is Help</v>
      </c>
      <c r="B129" s="20" t="str">
        <f>IFERROR(__xludf.DUMMYFUNCTION("""COMPUTED_VALUE"""),"Xbox / PC")</f>
        <v>Xbox / PC</v>
      </c>
      <c r="C129" s="21" t="str">
        <f>IFERROR(__xludf.DUMMYFUNCTION("""COMPUTED_VALUE"""),"Yes")</f>
        <v>Yes</v>
      </c>
      <c r="D129" s="21" t="str">
        <f>IFERROR(__xludf.DUMMYFUNCTION("""COMPUTED_VALUE"""),"Removed")</f>
        <v>Removed</v>
      </c>
      <c r="E129" s="279">
        <f>IFERROR(__xludf.DUMMYFUNCTION("""COMPUTED_VALUE"""),45561.0)</f>
        <v>45561</v>
      </c>
      <c r="F129" s="279">
        <f>IFERROR(__xludf.DUMMYFUNCTION("""COMPUTED_VALUE"""),45915.0)</f>
        <v>45915</v>
      </c>
      <c r="G129" s="27">
        <f>IFERROR(__xludf.DUMMYFUNCTION("""COMPUTED_VALUE"""),11.633333333333333)</f>
        <v>11.63333333</v>
      </c>
      <c r="H129" s="128">
        <f>IFERROR(__xludf.DUMMYFUNCTION("""COMPUTED_VALUE"""),45561.0)</f>
        <v>45561</v>
      </c>
      <c r="I129" s="27">
        <f>IFERROR(__xludf.DUMMYFUNCTION("""COMPUTED_VALUE"""),0.0)</f>
        <v>0</v>
      </c>
      <c r="J129" s="29">
        <f>IFERROR(__xludf.DUMMYFUNCTION("""COMPUTED_VALUE"""),62.0)</f>
        <v>62</v>
      </c>
      <c r="K129" s="277">
        <f>IFERROR(__xludf.DUMMYFUNCTION("""COMPUTED_VALUE"""),4.0)</f>
        <v>4</v>
      </c>
      <c r="L129" s="275" t="str">
        <f>IFERROR(__xludf.DUMMYFUNCTION("""COMPUTED_VALUE"""),"Puzzle")</f>
        <v>Puzzle</v>
      </c>
    </row>
    <row r="130" hidden="1">
      <c r="A130" s="17" t="str">
        <f>IFERROR(__xludf.DUMMYFUNCTION("""COMPUTED_VALUE"""),"We Love Katamari Reroll + Royal Reverie")</f>
        <v>We Love Katamari Reroll + Royal Reverie</v>
      </c>
      <c r="B130" s="20" t="str">
        <f>IFERROR(__xludf.DUMMYFUNCTION("""COMPUTED_VALUE"""),"Xbox / PC")</f>
        <v>Xbox / PC</v>
      </c>
      <c r="C130" s="21" t="str">
        <f>IFERROR(__xludf.DUMMYFUNCTION("""COMPUTED_VALUE"""),"Yes")</f>
        <v>Yes</v>
      </c>
      <c r="D130" s="21" t="str">
        <f>IFERROR(__xludf.DUMMYFUNCTION("""COMPUTED_VALUE"""),"Removed")</f>
        <v>Removed</v>
      </c>
      <c r="E130" s="279">
        <f>IFERROR(__xludf.DUMMYFUNCTION("""COMPUTED_VALUE"""),45561.0)</f>
        <v>45561</v>
      </c>
      <c r="F130" s="279">
        <f>IFERROR(__xludf.DUMMYFUNCTION("""COMPUTED_VALUE"""),45915.0)</f>
        <v>45915</v>
      </c>
      <c r="G130" s="27">
        <f>IFERROR(__xludf.DUMMYFUNCTION("""COMPUTED_VALUE"""),11.633333333333333)</f>
        <v>11.63333333</v>
      </c>
      <c r="H130" s="128">
        <f>IFERROR(__xludf.DUMMYFUNCTION("""COMPUTED_VALUE"""),45079.0)</f>
        <v>45079</v>
      </c>
      <c r="I130" s="27">
        <f>IFERROR(__xludf.DUMMYFUNCTION("""COMPUTED_VALUE"""),1.3166666666666667)</f>
        <v>1.316666667</v>
      </c>
      <c r="J130" s="29">
        <f>IFERROR(__xludf.DUMMYFUNCTION("""COMPUTED_VALUE"""),81.0)</f>
        <v>81</v>
      </c>
      <c r="K130" s="29">
        <f>IFERROR(__xludf.DUMMYFUNCTION("""COMPUTED_VALUE"""),5.0)</f>
        <v>5</v>
      </c>
      <c r="L130" s="275" t="str">
        <f>IFERROR(__xludf.DUMMYFUNCTION("""COMPUTED_VALUE"""),"Action-Adventure")</f>
        <v>Action-Adventure</v>
      </c>
    </row>
    <row r="131" hidden="1">
      <c r="A131" s="278" t="str">
        <f>IFERROR(__xludf.DUMMYFUNCTION("""COMPUTED_VALUE"""),"Wargroove 2")</f>
        <v>Wargroove 2</v>
      </c>
      <c r="B131" s="20" t="str">
        <f>IFERROR(__xludf.DUMMYFUNCTION("""COMPUTED_VALUE"""),"Xbox / PC")</f>
        <v>Xbox / PC</v>
      </c>
      <c r="C131" s="21" t="str">
        <f>IFERROR(__xludf.DUMMYFUNCTION("""COMPUTED_VALUE"""),"Yes")</f>
        <v>Yes</v>
      </c>
      <c r="D131" s="21" t="str">
        <f>IFERROR(__xludf.DUMMYFUNCTION("""COMPUTED_VALUE"""),"Removed")</f>
        <v>Removed</v>
      </c>
      <c r="E131" s="279">
        <f>IFERROR(__xludf.DUMMYFUNCTION("""COMPUTED_VALUE"""),45554.0)</f>
        <v>45554</v>
      </c>
      <c r="F131" s="279">
        <f>IFERROR(__xludf.DUMMYFUNCTION("""COMPUTED_VALUE"""),45915.0)</f>
        <v>45915</v>
      </c>
      <c r="G131" s="27">
        <f>IFERROR(__xludf.DUMMYFUNCTION("""COMPUTED_VALUE"""),11.866666666666667)</f>
        <v>11.86666667</v>
      </c>
      <c r="H131" s="128">
        <f>IFERROR(__xludf.DUMMYFUNCTION("""COMPUTED_VALUE"""),45204.0)</f>
        <v>45204</v>
      </c>
      <c r="I131" s="27">
        <f>IFERROR(__xludf.DUMMYFUNCTION("""COMPUTED_VALUE"""),0.9555555555555556)</f>
        <v>0.9555555556</v>
      </c>
      <c r="J131" s="29">
        <f>IFERROR(__xludf.DUMMYFUNCTION("""COMPUTED_VALUE"""),85.0)</f>
        <v>85</v>
      </c>
      <c r="K131" s="29">
        <f>IFERROR(__xludf.DUMMYFUNCTION("""COMPUTED_VALUE"""),21.0)</f>
        <v>21</v>
      </c>
      <c r="L131" s="275" t="str">
        <f>IFERROR(__xludf.DUMMYFUNCTION("""COMPUTED_VALUE"""),"Strategy")</f>
        <v>Strategy</v>
      </c>
    </row>
    <row r="132" hidden="1">
      <c r="A132" s="17" t="str">
        <f>IFERROR(__xludf.DUMMYFUNCTION("""COMPUTED_VALUE"""),"Borderlands 3: Ultimate Edition")</f>
        <v>Borderlands 3: Ultimate Edition</v>
      </c>
      <c r="B132" s="20" t="str">
        <f>IFERROR(__xludf.DUMMYFUNCTION("""COMPUTED_VALUE"""),"Xbox / PC")</f>
        <v>Xbox / PC</v>
      </c>
      <c r="C132" s="21" t="str">
        <f>IFERROR(__xludf.DUMMYFUNCTION("""COMPUTED_VALUE"""),"Yes")</f>
        <v>Yes</v>
      </c>
      <c r="D132" s="21" t="str">
        <f>IFERROR(__xludf.DUMMYFUNCTION("""COMPUTED_VALUE"""),"Removed")</f>
        <v>Removed</v>
      </c>
      <c r="E132" s="279">
        <f>IFERROR(__xludf.DUMMYFUNCTION("""COMPUTED_VALUE"""),45750.0)</f>
        <v>45750</v>
      </c>
      <c r="F132" s="279">
        <f>IFERROR(__xludf.DUMMYFUNCTION("""COMPUTED_VALUE"""),45900.0)</f>
        <v>45900</v>
      </c>
      <c r="G132" s="27">
        <f>IFERROR(__xludf.DUMMYFUNCTION("""COMPUTED_VALUE"""),4.9)</f>
        <v>4.9</v>
      </c>
      <c r="H132" s="128">
        <f>IFERROR(__xludf.DUMMYFUNCTION("""COMPUTED_VALUE"""),45205.0)</f>
        <v>45205</v>
      </c>
      <c r="I132" s="27">
        <f>IFERROR(__xludf.DUMMYFUNCTION("""COMPUTED_VALUE"""),1.4916666666666667)</f>
        <v>1.491666667</v>
      </c>
      <c r="J132" s="29">
        <f>IFERROR(__xludf.DUMMYFUNCTION("""COMPUTED_VALUE"""),77.0)</f>
        <v>77</v>
      </c>
      <c r="K132" s="29">
        <f>IFERROR(__xludf.DUMMYFUNCTION("""COMPUTED_VALUE"""),33.0)</f>
        <v>33</v>
      </c>
      <c r="L132" s="275" t="str">
        <f>IFERROR(__xludf.DUMMYFUNCTION("""COMPUTED_VALUE"""),"Shooter")</f>
        <v>Shooter</v>
      </c>
    </row>
    <row r="133" hidden="1">
      <c r="A133" s="278" t="str">
        <f>IFERROR(__xludf.DUMMYFUNCTION("""COMPUTED_VALUE"""),"Sea of Stars")</f>
        <v>Sea of Stars</v>
      </c>
      <c r="B133" s="20" t="str">
        <f>IFERROR(__xludf.DUMMYFUNCTION("""COMPUTED_VALUE"""),"Xbox / PC")</f>
        <v>Xbox / PC</v>
      </c>
      <c r="C133" s="21" t="str">
        <f>IFERROR(__xludf.DUMMYFUNCTION("""COMPUTED_VALUE"""),"Yes")</f>
        <v>Yes</v>
      </c>
      <c r="D133" s="21" t="str">
        <f>IFERROR(__xludf.DUMMYFUNCTION("""COMPUTED_VALUE"""),"Removed")</f>
        <v>Removed</v>
      </c>
      <c r="E133" s="279">
        <f>IFERROR(__xludf.DUMMYFUNCTION("""COMPUTED_VALUE"""),45167.0)</f>
        <v>45167</v>
      </c>
      <c r="F133" s="279">
        <f>IFERROR(__xludf.DUMMYFUNCTION("""COMPUTED_VALUE"""),45900.0)</f>
        <v>45900</v>
      </c>
      <c r="G133" s="27">
        <f>IFERROR(__xludf.DUMMYFUNCTION("""COMPUTED_VALUE"""),24.03333333333333)</f>
        <v>24.03333333</v>
      </c>
      <c r="H133" s="128">
        <f>IFERROR(__xludf.DUMMYFUNCTION("""COMPUTED_VALUE"""),45167.0)</f>
        <v>45167</v>
      </c>
      <c r="I133" s="27">
        <f>IFERROR(__xludf.DUMMYFUNCTION("""COMPUTED_VALUE"""),0.0)</f>
        <v>0</v>
      </c>
      <c r="J133" s="29">
        <f>IFERROR(__xludf.DUMMYFUNCTION("""COMPUTED_VALUE"""),90.0)</f>
        <v>90</v>
      </c>
      <c r="K133" s="29">
        <f>IFERROR(__xludf.DUMMYFUNCTION("""COMPUTED_VALUE"""),20.0)</f>
        <v>20</v>
      </c>
      <c r="L133" s="275" t="str">
        <f>IFERROR(__xludf.DUMMYFUNCTION("""COMPUTED_VALUE"""),"RPG")</f>
        <v>RPG</v>
      </c>
    </row>
    <row r="134" hidden="1">
      <c r="A134" s="17" t="str">
        <f>IFERROR(__xludf.DUMMYFUNCTION("""COMPUTED_VALUE"""),"This War of Mine: Final Cut")</f>
        <v>This War of Mine: Final Cut</v>
      </c>
      <c r="B134" s="20" t="str">
        <f>IFERROR(__xludf.DUMMYFUNCTION("""COMPUTED_VALUE"""),"Xbox / PC")</f>
        <v>Xbox / PC</v>
      </c>
      <c r="C134" s="21" t="str">
        <f>IFERROR(__xludf.DUMMYFUNCTION("""COMPUTED_VALUE"""),"Touch Controls")</f>
        <v>Touch Controls</v>
      </c>
      <c r="D134" s="21" t="str">
        <f>IFERROR(__xludf.DUMMYFUNCTION("""COMPUTED_VALUE"""),"Removed")</f>
        <v>Removed</v>
      </c>
      <c r="E134" s="279">
        <f>IFERROR(__xludf.DUMMYFUNCTION("""COMPUTED_VALUE"""),44691.0)</f>
        <v>44691</v>
      </c>
      <c r="F134" s="279">
        <f>IFERROR(__xludf.DUMMYFUNCTION("""COMPUTED_VALUE"""),45900.0)</f>
        <v>45900</v>
      </c>
      <c r="G134" s="27">
        <f>IFERROR(__xludf.DUMMYFUNCTION("""COMPUTED_VALUE"""),39.666666666666664)</f>
        <v>39.66666667</v>
      </c>
      <c r="H134" s="128">
        <f>IFERROR(__xludf.DUMMYFUNCTION("""COMPUTED_VALUE"""),41957.0)</f>
        <v>41957</v>
      </c>
      <c r="I134" s="27">
        <f>IFERROR(__xludf.DUMMYFUNCTION("""COMPUTED_VALUE"""),7.488888888888889)</f>
        <v>7.488888889</v>
      </c>
      <c r="J134" s="29">
        <f>IFERROR(__xludf.DUMMYFUNCTION("""COMPUTED_VALUE"""),80.5)</f>
        <v>80.5</v>
      </c>
      <c r="K134" s="29">
        <f>IFERROR(__xludf.DUMMYFUNCTION("""COMPUTED_VALUE"""),10.5)</f>
        <v>10.5</v>
      </c>
      <c r="L134" s="282" t="str">
        <f>IFERROR(__xludf.DUMMYFUNCTION("""COMPUTED_VALUE"""),"Simulation")</f>
        <v>Simulation</v>
      </c>
    </row>
    <row r="135" hidden="1">
      <c r="A135" s="278" t="str">
        <f>IFERROR(__xludf.DUMMYFUNCTION("""COMPUTED_VALUE"""),"PAW Patrol Mighty Pups: Save Adventure Bay")</f>
        <v>PAW Patrol Mighty Pups: Save Adventure Bay</v>
      </c>
      <c r="B135" s="20" t="str">
        <f>IFERROR(__xludf.DUMMYFUNCTION("""COMPUTED_VALUE"""),"Xbox / PC")</f>
        <v>Xbox / PC</v>
      </c>
      <c r="C135" s="21" t="str">
        <f>IFERROR(__xludf.DUMMYFUNCTION("""COMPUTED_VALUE"""),"Touch Controls")</f>
        <v>Touch Controls</v>
      </c>
      <c r="D135" s="21" t="str">
        <f>IFERROR(__xludf.DUMMYFUNCTION("""COMPUTED_VALUE"""),"Removed")</f>
        <v>Removed</v>
      </c>
      <c r="E135" s="279">
        <f>IFERROR(__xludf.DUMMYFUNCTION("""COMPUTED_VALUE"""),44546.0)</f>
        <v>44546</v>
      </c>
      <c r="F135" s="279">
        <f>IFERROR(__xludf.DUMMYFUNCTION("""COMPUTED_VALUE"""),45900.0)</f>
        <v>45900</v>
      </c>
      <c r="G135" s="27">
        <f>IFERROR(__xludf.DUMMYFUNCTION("""COMPUTED_VALUE"""),44.46666666666667)</f>
        <v>44.46666667</v>
      </c>
      <c r="H135" s="128">
        <f>IFERROR(__xludf.DUMMYFUNCTION("""COMPUTED_VALUE"""),44141.0)</f>
        <v>44141</v>
      </c>
      <c r="I135" s="27">
        <f>IFERROR(__xludf.DUMMYFUNCTION("""COMPUTED_VALUE"""),1.1111111111111112)</f>
        <v>1.111111111</v>
      </c>
      <c r="J135" s="29">
        <f>IFERROR(__xludf.DUMMYFUNCTION("""COMPUTED_VALUE"""),65.0)</f>
        <v>65</v>
      </c>
      <c r="K135" s="29">
        <f>IFERROR(__xludf.DUMMYFUNCTION("""COMPUTED_VALUE"""),5.0)</f>
        <v>5</v>
      </c>
      <c r="L135" s="31" t="str">
        <f>IFERROR(__xludf.DUMMYFUNCTION("""COMPUTED_VALUE"""),"Action")</f>
        <v>Action</v>
      </c>
    </row>
    <row r="136" hidden="1">
      <c r="A136" s="278" t="str">
        <f>IFERROR(__xludf.DUMMYFUNCTION("""COMPUTED_VALUE"""),"Persona 3: Reload")</f>
        <v>Persona 3: Reload</v>
      </c>
      <c r="B136" s="20" t="str">
        <f>IFERROR(__xludf.DUMMYFUNCTION("""COMPUTED_VALUE"""),"Xbox / PC")</f>
        <v>Xbox / PC</v>
      </c>
      <c r="C136" s="21" t="str">
        <f>IFERROR(__xludf.DUMMYFUNCTION("""COMPUTED_VALUE"""),"Yes")</f>
        <v>Yes</v>
      </c>
      <c r="D136" s="21" t="str">
        <f>IFERROR(__xludf.DUMMYFUNCTION("""COMPUTED_VALUE"""),"Removed")</f>
        <v>Removed</v>
      </c>
      <c r="E136" s="279">
        <f>IFERROR(__xludf.DUMMYFUNCTION("""COMPUTED_VALUE"""),45324.0)</f>
        <v>45324</v>
      </c>
      <c r="F136" s="279">
        <f>IFERROR(__xludf.DUMMYFUNCTION("""COMPUTED_VALUE"""),45884.0)</f>
        <v>45884</v>
      </c>
      <c r="G136" s="27">
        <f>IFERROR(__xludf.DUMMYFUNCTION("""COMPUTED_VALUE"""),18.433333333333334)</f>
        <v>18.43333333</v>
      </c>
      <c r="H136" s="128">
        <f>IFERROR(__xludf.DUMMYFUNCTION("""COMPUTED_VALUE"""),45324.0)</f>
        <v>45324</v>
      </c>
      <c r="I136" s="27">
        <f>IFERROR(__xludf.DUMMYFUNCTION("""COMPUTED_VALUE"""),0.0)</f>
        <v>0</v>
      </c>
      <c r="J136" s="29">
        <f>IFERROR(__xludf.DUMMYFUNCTION("""COMPUTED_VALUE"""),87.0)</f>
        <v>87</v>
      </c>
      <c r="K136" s="29">
        <f>IFERROR(__xludf.DUMMYFUNCTION("""COMPUTED_VALUE"""),49.0)</f>
        <v>49</v>
      </c>
      <c r="L136" s="275" t="str">
        <f>IFERROR(__xludf.DUMMYFUNCTION("""COMPUTED_VALUE"""),"RPG")</f>
        <v>RPG</v>
      </c>
    </row>
    <row r="137" hidden="1">
      <c r="A137" s="17" t="str">
        <f>IFERROR(__xludf.DUMMYFUNCTION("""COMPUTED_VALUE"""),"Farming Simulator 22")</f>
        <v>Farming Simulator 22</v>
      </c>
      <c r="B137" s="20" t="str">
        <f>IFERROR(__xludf.DUMMYFUNCTION("""COMPUTED_VALUE"""),"Xbox / PC")</f>
        <v>Xbox / PC</v>
      </c>
      <c r="C137" s="20" t="str">
        <f>IFERROR(__xludf.DUMMYFUNCTION("""COMPUTED_VALUE"""),"Yes")</f>
        <v>Yes</v>
      </c>
      <c r="D137" s="21" t="str">
        <f>IFERROR(__xludf.DUMMYFUNCTION("""COMPUTED_VALUE"""),"Removed")</f>
        <v>Removed</v>
      </c>
      <c r="E137" s="127">
        <f>IFERROR(__xludf.DUMMYFUNCTION("""COMPUTED_VALUE"""),44700.0)</f>
        <v>44700</v>
      </c>
      <c r="F137" s="24">
        <f>IFERROR(__xludf.DUMMYFUNCTION("""COMPUTED_VALUE"""),45884.0)</f>
        <v>45884</v>
      </c>
      <c r="G137" s="27">
        <f>IFERROR(__xludf.DUMMYFUNCTION("""COMPUTED_VALUE"""),38.86666666666667)</f>
        <v>38.86666667</v>
      </c>
      <c r="H137" s="128">
        <f>IFERROR(__xludf.DUMMYFUNCTION("""COMPUTED_VALUE"""),44522.0)</f>
        <v>44522</v>
      </c>
      <c r="I137" s="27">
        <f>IFERROR(__xludf.DUMMYFUNCTION("""COMPUTED_VALUE"""),0.49166666666666664)</f>
        <v>0.4916666667</v>
      </c>
      <c r="J137" s="29">
        <f>IFERROR(__xludf.DUMMYFUNCTION("""COMPUTED_VALUE"""),75.5)</f>
        <v>75.5</v>
      </c>
      <c r="K137" s="29">
        <f>IFERROR(__xludf.DUMMYFUNCTION("""COMPUTED_VALUE"""),466.0)</f>
        <v>466</v>
      </c>
      <c r="L137" s="31" t="str">
        <f>IFERROR(__xludf.DUMMYFUNCTION("""COMPUTED_VALUE"""),"Simulation")</f>
        <v>Simulation</v>
      </c>
    </row>
    <row r="138" hidden="1">
      <c r="A138" s="278" t="str">
        <f>IFERROR(__xludf.DUMMYFUNCTION("""COMPUTED_VALUE"""),"Anthem")</f>
        <v>Anthem</v>
      </c>
      <c r="B138" s="20" t="str">
        <f>IFERROR(__xludf.DUMMYFUNCTION("""COMPUTED_VALUE"""),"Xbox / PC")</f>
        <v>Xbox / PC</v>
      </c>
      <c r="C138" s="21"/>
      <c r="D138" s="21" t="str">
        <f>IFERROR(__xludf.DUMMYFUNCTION("""COMPUTED_VALUE"""),"Removed")</f>
        <v>Removed</v>
      </c>
      <c r="E138" s="279">
        <f>IFERROR(__xludf.DUMMYFUNCTION("""COMPUTED_VALUE"""),44145.0)</f>
        <v>44145</v>
      </c>
      <c r="F138" s="279">
        <f>IFERROR(__xludf.DUMMYFUNCTION("""COMPUTED_VALUE"""),45884.0)</f>
        <v>45884</v>
      </c>
      <c r="G138" s="27">
        <f>IFERROR(__xludf.DUMMYFUNCTION("""COMPUTED_VALUE"""),57.16666666666667)</f>
        <v>57.16666667</v>
      </c>
      <c r="H138" s="128">
        <f>IFERROR(__xludf.DUMMYFUNCTION("""COMPUTED_VALUE"""),43511.0)</f>
        <v>43511</v>
      </c>
      <c r="I138" s="27">
        <f>IFERROR(__xludf.DUMMYFUNCTION("""COMPUTED_VALUE"""),1.7361111111111112)</f>
        <v>1.736111111</v>
      </c>
      <c r="J138" s="29">
        <f>IFERROR(__xludf.DUMMYFUNCTION("""COMPUTED_VALUE"""),62.0)</f>
        <v>62</v>
      </c>
      <c r="K138" s="29">
        <f>IFERROR(__xludf.DUMMYFUNCTION("""COMPUTED_VALUE"""),12.5)</f>
        <v>12.5</v>
      </c>
      <c r="L138" s="275" t="str">
        <f>IFERROR(__xludf.DUMMYFUNCTION("""COMPUTED_VALUE"""),"RPG")</f>
        <v>RPG</v>
      </c>
    </row>
    <row r="139" hidden="1">
      <c r="A139" s="278" t="str">
        <f>IFERROR(__xludf.DUMMYFUNCTION("""COMPUTED_VALUE"""),"Gigantic: Rampage Edition")</f>
        <v>Gigantic: Rampage Edition</v>
      </c>
      <c r="B139" s="20" t="str">
        <f>IFERROR(__xludf.DUMMYFUNCTION("""COMPUTED_VALUE"""),"Xbox / PC")</f>
        <v>Xbox / PC</v>
      </c>
      <c r="C139" s="21" t="str">
        <f>IFERROR(__xludf.DUMMYFUNCTION("""COMPUTED_VALUE"""),"Yes")</f>
        <v>Yes</v>
      </c>
      <c r="D139" s="21" t="str">
        <f>IFERROR(__xludf.DUMMYFUNCTION("""COMPUTED_VALUE"""),"Removed")</f>
        <v>Removed</v>
      </c>
      <c r="E139" s="279">
        <f>IFERROR(__xludf.DUMMYFUNCTION("""COMPUTED_VALUE"""),45679.0)</f>
        <v>45679</v>
      </c>
      <c r="F139" s="276">
        <f>IFERROR(__xludf.DUMMYFUNCTION("""COMPUTED_VALUE"""),45869.0)</f>
        <v>45869</v>
      </c>
      <c r="G139" s="27">
        <f>IFERROR(__xludf.DUMMYFUNCTION("""COMPUTED_VALUE"""),6.2666666666666675)</f>
        <v>6.266666667</v>
      </c>
      <c r="H139" s="128">
        <f>IFERROR(__xludf.DUMMYFUNCTION("""COMPUTED_VALUE"""),45391.0)</f>
        <v>45391</v>
      </c>
      <c r="I139" s="27">
        <f>IFERROR(__xludf.DUMMYFUNCTION("""COMPUTED_VALUE"""),0.7861111111111111)</f>
        <v>0.7861111111</v>
      </c>
      <c r="J139" s="277">
        <f>IFERROR(__xludf.DUMMYFUNCTION("""COMPUTED_VALUE"""),65.0)</f>
        <v>65</v>
      </c>
      <c r="K139" s="29">
        <f>IFERROR(__xludf.DUMMYFUNCTION("""COMPUTED_VALUE"""),16.0)</f>
        <v>16</v>
      </c>
      <c r="L139" s="275" t="str">
        <f>IFERROR(__xludf.DUMMYFUNCTION("""COMPUTED_VALUE"""),"MOBA")</f>
        <v>MOBA</v>
      </c>
    </row>
    <row r="140" hidden="1">
      <c r="A140" s="17" t="str">
        <f>IFERROR(__xludf.DUMMYFUNCTION("""COMPUTED_VALUE"""),"Kunitsu-Gami: Path of the Goddess")</f>
        <v>Kunitsu-Gami: Path of the Goddess</v>
      </c>
      <c r="B140" s="20" t="str">
        <f>IFERROR(__xludf.DUMMYFUNCTION("""COMPUTED_VALUE"""),"Xbox / PC")</f>
        <v>Xbox / PC</v>
      </c>
      <c r="C140" s="21" t="str">
        <f>IFERROR(__xludf.DUMMYFUNCTION("""COMPUTED_VALUE"""),"Yes")</f>
        <v>Yes</v>
      </c>
      <c r="D140" s="21" t="str">
        <f>IFERROR(__xludf.DUMMYFUNCTION("""COMPUTED_VALUE"""),"Removed")</f>
        <v>Removed</v>
      </c>
      <c r="E140" s="279">
        <f>IFERROR(__xludf.DUMMYFUNCTION("""COMPUTED_VALUE"""),45492.0)</f>
        <v>45492</v>
      </c>
      <c r="F140" s="279">
        <f>IFERROR(__xludf.DUMMYFUNCTION("""COMPUTED_VALUE"""),45869.0)</f>
        <v>45869</v>
      </c>
      <c r="G140" s="27">
        <f>IFERROR(__xludf.DUMMYFUNCTION("""COMPUTED_VALUE"""),12.366666666666665)</f>
        <v>12.36666667</v>
      </c>
      <c r="H140" s="128">
        <f>IFERROR(__xludf.DUMMYFUNCTION("""COMPUTED_VALUE"""),45492.0)</f>
        <v>45492</v>
      </c>
      <c r="I140" s="27">
        <f>IFERROR(__xludf.DUMMYFUNCTION("""COMPUTED_VALUE"""),0.0)</f>
        <v>0</v>
      </c>
      <c r="J140" s="29">
        <f>IFERROR(__xludf.DUMMYFUNCTION("""COMPUTED_VALUE"""),80.0)</f>
        <v>80</v>
      </c>
      <c r="K140" s="29">
        <f>IFERROR(__xludf.DUMMYFUNCTION("""COMPUTED_VALUE"""),16.0)</f>
        <v>16</v>
      </c>
      <c r="L140" s="275" t="str">
        <f>IFERROR(__xludf.DUMMYFUNCTION("""COMPUTED_VALUE"""),"Action-Adventure")</f>
        <v>Action-Adventure</v>
      </c>
    </row>
    <row r="141" hidden="1">
      <c r="A141" s="278" t="str">
        <f>IFERROR(__xludf.DUMMYFUNCTION("""COMPUTED_VALUE"""),"Turnip Boy Robs a Bank")</f>
        <v>Turnip Boy Robs a Bank</v>
      </c>
      <c r="B141" s="20" t="str">
        <f>IFERROR(__xludf.DUMMYFUNCTION("""COMPUTED_VALUE"""),"Xbox / PC")</f>
        <v>Xbox / PC</v>
      </c>
      <c r="C141" s="21" t="str">
        <f>IFERROR(__xludf.DUMMYFUNCTION("""COMPUTED_VALUE"""),"Yes")</f>
        <v>Yes</v>
      </c>
      <c r="D141" s="21" t="str">
        <f>IFERROR(__xludf.DUMMYFUNCTION("""COMPUTED_VALUE"""),"Removed")</f>
        <v>Removed</v>
      </c>
      <c r="E141" s="279">
        <f>IFERROR(__xludf.DUMMYFUNCTION("""COMPUTED_VALUE"""),45309.0)</f>
        <v>45309</v>
      </c>
      <c r="F141" s="276">
        <f>IFERROR(__xludf.DUMMYFUNCTION("""COMPUTED_VALUE"""),45869.0)</f>
        <v>45869</v>
      </c>
      <c r="G141" s="27">
        <f>IFERROR(__xludf.DUMMYFUNCTION("""COMPUTED_VALUE"""),18.400000000000002)</f>
        <v>18.4</v>
      </c>
      <c r="H141" s="128">
        <f>IFERROR(__xludf.DUMMYFUNCTION("""COMPUTED_VALUE"""),45309.0)</f>
        <v>45309</v>
      </c>
      <c r="I141" s="27">
        <f>IFERROR(__xludf.DUMMYFUNCTION("""COMPUTED_VALUE"""),0.0)</f>
        <v>0</v>
      </c>
      <c r="J141" s="277">
        <f>IFERROR(__xludf.DUMMYFUNCTION("""COMPUTED_VALUE"""),82.0)</f>
        <v>82</v>
      </c>
      <c r="K141" s="277">
        <f>IFERROR(__xludf.DUMMYFUNCTION("""COMPUTED_VALUE"""),4.0)</f>
        <v>4</v>
      </c>
      <c r="L141" s="275" t="str">
        <f>IFERROR(__xludf.DUMMYFUNCTION("""COMPUTED_VALUE"""),"Action-Adventure")</f>
        <v>Action-Adventure</v>
      </c>
    </row>
    <row r="142" hidden="1">
      <c r="A142" s="278" t="str">
        <f>IFERROR(__xludf.DUMMYFUNCTION("""COMPUTED_VALUE"""),"Mafia: Definitive Edition")</f>
        <v>Mafia: Definitive Edition</v>
      </c>
      <c r="B142" s="20" t="str">
        <f>IFERROR(__xludf.DUMMYFUNCTION("""COMPUTED_VALUE"""),"Xbox / PC")</f>
        <v>Xbox / PC</v>
      </c>
      <c r="C142" s="21" t="str">
        <f>IFERROR(__xludf.DUMMYFUNCTION("""COMPUTED_VALUE"""),"Yes")</f>
        <v>Yes</v>
      </c>
      <c r="D142" s="21" t="str">
        <f>IFERROR(__xludf.DUMMYFUNCTION("""COMPUTED_VALUE"""),"Removed")</f>
        <v>Removed</v>
      </c>
      <c r="E142" s="279">
        <f>IFERROR(__xludf.DUMMYFUNCTION("""COMPUTED_VALUE"""),45517.0)</f>
        <v>45517</v>
      </c>
      <c r="F142" s="279">
        <f>IFERROR(__xludf.DUMMYFUNCTION("""COMPUTED_VALUE"""),45853.0)</f>
        <v>45853</v>
      </c>
      <c r="G142" s="27">
        <f>IFERROR(__xludf.DUMMYFUNCTION("""COMPUTED_VALUE"""),11.066666666666666)</f>
        <v>11.06666667</v>
      </c>
      <c r="H142" s="128">
        <f>IFERROR(__xludf.DUMMYFUNCTION("""COMPUTED_VALUE"""),44099.0)</f>
        <v>44099</v>
      </c>
      <c r="I142" s="27">
        <f>IFERROR(__xludf.DUMMYFUNCTION("""COMPUTED_VALUE"""),3.8833333333333333)</f>
        <v>3.883333333</v>
      </c>
      <c r="J142" s="29">
        <f>IFERROR(__xludf.DUMMYFUNCTION("""COMPUTED_VALUE"""),76.0)</f>
        <v>76</v>
      </c>
      <c r="K142" s="29">
        <f>IFERROR(__xludf.DUMMYFUNCTION("""COMPUTED_VALUE"""),11.0)</f>
        <v>11</v>
      </c>
      <c r="L142" s="31" t="str">
        <f>IFERROR(__xludf.DUMMYFUNCTION("""COMPUTED_VALUE"""),"Shooter")</f>
        <v>Shooter</v>
      </c>
    </row>
    <row r="143" hidden="1">
      <c r="A143" s="278" t="str">
        <f>IFERROR(__xludf.DUMMYFUNCTION("""COMPUTED_VALUE"""),"Flock (2024)")</f>
        <v>Flock (2024)</v>
      </c>
      <c r="B143" s="20" t="str">
        <f>IFERROR(__xludf.DUMMYFUNCTION("""COMPUTED_VALUE"""),"Xbox / PC")</f>
        <v>Xbox / PC</v>
      </c>
      <c r="C143" s="21" t="str">
        <f>IFERROR(__xludf.DUMMYFUNCTION("""COMPUTED_VALUE"""),"Yes")</f>
        <v>Yes</v>
      </c>
      <c r="D143" s="21" t="str">
        <f>IFERROR(__xludf.DUMMYFUNCTION("""COMPUTED_VALUE"""),"Removed")</f>
        <v>Removed</v>
      </c>
      <c r="E143" s="279">
        <f>IFERROR(__xludf.DUMMYFUNCTION("""COMPUTED_VALUE"""),45489.0)</f>
        <v>45489</v>
      </c>
      <c r="F143" s="279">
        <f>IFERROR(__xludf.DUMMYFUNCTION("""COMPUTED_VALUE"""),45853.0)</f>
        <v>45853</v>
      </c>
      <c r="G143" s="27">
        <f>IFERROR(__xludf.DUMMYFUNCTION("""COMPUTED_VALUE"""),11.966666666666667)</f>
        <v>11.96666667</v>
      </c>
      <c r="H143" s="128">
        <f>IFERROR(__xludf.DUMMYFUNCTION("""COMPUTED_VALUE"""),45489.0)</f>
        <v>45489</v>
      </c>
      <c r="I143" s="27">
        <f>IFERROR(__xludf.DUMMYFUNCTION("""COMPUTED_VALUE"""),0.0)</f>
        <v>0</v>
      </c>
      <c r="J143" s="29">
        <f>IFERROR(__xludf.DUMMYFUNCTION("""COMPUTED_VALUE"""),74.0)</f>
        <v>74</v>
      </c>
      <c r="K143" s="29">
        <f>IFERROR(__xludf.DUMMYFUNCTION("""COMPUTED_VALUE"""),4.0)</f>
        <v>4</v>
      </c>
      <c r="L143" s="275" t="str">
        <f>IFERROR(__xludf.DUMMYFUNCTION("""COMPUTED_VALUE"""),"Action-Adventure")</f>
        <v>Action-Adventure</v>
      </c>
    </row>
    <row r="144" hidden="1">
      <c r="A144" s="278" t="str">
        <f>IFERROR(__xludf.DUMMYFUNCTION("""COMPUTED_VALUE"""),"Magical Delicacy")</f>
        <v>Magical Delicacy</v>
      </c>
      <c r="B144" s="20" t="str">
        <f>IFERROR(__xludf.DUMMYFUNCTION("""COMPUTED_VALUE"""),"Xbox / PC")</f>
        <v>Xbox / PC</v>
      </c>
      <c r="C144" s="21" t="str">
        <f>IFERROR(__xludf.DUMMYFUNCTION("""COMPUTED_VALUE"""),"Yes")</f>
        <v>Yes</v>
      </c>
      <c r="D144" s="21" t="str">
        <f>IFERROR(__xludf.DUMMYFUNCTION("""COMPUTED_VALUE"""),"Removed")</f>
        <v>Removed</v>
      </c>
      <c r="E144" s="279">
        <f>IFERROR(__xludf.DUMMYFUNCTION("""COMPUTED_VALUE"""),45489.0)</f>
        <v>45489</v>
      </c>
      <c r="F144" s="279">
        <f>IFERROR(__xludf.DUMMYFUNCTION("""COMPUTED_VALUE"""),45853.0)</f>
        <v>45853</v>
      </c>
      <c r="G144" s="27">
        <f>IFERROR(__xludf.DUMMYFUNCTION("""COMPUTED_VALUE"""),11.966666666666667)</f>
        <v>11.96666667</v>
      </c>
      <c r="H144" s="128">
        <f>IFERROR(__xludf.DUMMYFUNCTION("""COMPUTED_VALUE"""),45489.0)</f>
        <v>45489</v>
      </c>
      <c r="I144" s="27">
        <f>IFERROR(__xludf.DUMMYFUNCTION("""COMPUTED_VALUE"""),0.0)</f>
        <v>0</v>
      </c>
      <c r="J144" s="29">
        <f>IFERROR(__xludf.DUMMYFUNCTION("""COMPUTED_VALUE"""),84.0)</f>
        <v>84</v>
      </c>
      <c r="K144" s="29">
        <f>IFERROR(__xludf.DUMMYFUNCTION("""COMPUTED_VALUE"""),27.0)</f>
        <v>27</v>
      </c>
      <c r="L144" s="275" t="str">
        <f>IFERROR(__xludf.DUMMYFUNCTION("""COMPUTED_VALUE"""),"Strategy")</f>
        <v>Strategy</v>
      </c>
    </row>
    <row r="145" hidden="1">
      <c r="A145" s="278" t="str">
        <f>IFERROR(__xludf.DUMMYFUNCTION("""COMPUTED_VALUE"""),"Tchia")</f>
        <v>Tchia</v>
      </c>
      <c r="B145" s="20" t="str">
        <f>IFERROR(__xludf.DUMMYFUNCTION("""COMPUTED_VALUE"""),"Xbox / PC")</f>
        <v>Xbox / PC</v>
      </c>
      <c r="C145" s="21" t="str">
        <f>IFERROR(__xludf.DUMMYFUNCTION("""COMPUTED_VALUE"""),"Yes")</f>
        <v>Yes</v>
      </c>
      <c r="D145" s="21" t="str">
        <f>IFERROR(__xludf.DUMMYFUNCTION("""COMPUTED_VALUE"""),"Removed")</f>
        <v>Removed</v>
      </c>
      <c r="E145" s="279">
        <f>IFERROR(__xludf.DUMMYFUNCTION("""COMPUTED_VALUE"""),45484.0)</f>
        <v>45484</v>
      </c>
      <c r="F145" s="279">
        <f>IFERROR(__xludf.DUMMYFUNCTION("""COMPUTED_VALUE"""),45853.0)</f>
        <v>45853</v>
      </c>
      <c r="G145" s="27">
        <f>IFERROR(__xludf.DUMMYFUNCTION("""COMPUTED_VALUE"""),12.133333333333333)</f>
        <v>12.13333333</v>
      </c>
      <c r="H145" s="128">
        <f>IFERROR(__xludf.DUMMYFUNCTION("""COMPUTED_VALUE"""),45006.0)</f>
        <v>45006</v>
      </c>
      <c r="I145" s="27">
        <f>IFERROR(__xludf.DUMMYFUNCTION("""COMPUTED_VALUE"""),1.3055555555555556)</f>
        <v>1.305555556</v>
      </c>
      <c r="J145" s="29">
        <f>IFERROR(__xludf.DUMMYFUNCTION("""COMPUTED_VALUE"""),77.0)</f>
        <v>77</v>
      </c>
      <c r="K145" s="29">
        <f>IFERROR(__xludf.DUMMYFUNCTION("""COMPUTED_VALUE"""),7.0)</f>
        <v>7</v>
      </c>
      <c r="L145" s="31" t="str">
        <f>IFERROR(__xludf.DUMMYFUNCTION("""COMPUTED_VALUE"""),"Action-Adventure")</f>
        <v>Action-Adventure</v>
      </c>
    </row>
    <row r="146" hidden="1">
      <c r="A146" s="278" t="str">
        <f>IFERROR(__xludf.DUMMYFUNCTION("""COMPUTED_VALUE"""),"The Case of the Golden Idol")</f>
        <v>The Case of the Golden Idol</v>
      </c>
      <c r="B146" s="20" t="str">
        <f>IFERROR(__xludf.DUMMYFUNCTION("""COMPUTED_VALUE"""),"Xbox / PC")</f>
        <v>Xbox / PC</v>
      </c>
      <c r="C146" s="21" t="str">
        <f>IFERROR(__xludf.DUMMYFUNCTION("""COMPUTED_VALUE"""),"Yes")</f>
        <v>Yes</v>
      </c>
      <c r="D146" s="21" t="str">
        <f>IFERROR(__xludf.DUMMYFUNCTION("""COMPUTED_VALUE"""),"Removed")</f>
        <v>Removed</v>
      </c>
      <c r="E146" s="279">
        <f>IFERROR(__xludf.DUMMYFUNCTION("""COMPUTED_VALUE"""),45482.0)</f>
        <v>45482</v>
      </c>
      <c r="F146" s="279">
        <f>IFERROR(__xludf.DUMMYFUNCTION("""COMPUTED_VALUE"""),45853.0)</f>
        <v>45853</v>
      </c>
      <c r="G146" s="27">
        <f>IFERROR(__xludf.DUMMYFUNCTION("""COMPUTED_VALUE"""),12.2)</f>
        <v>12.2</v>
      </c>
      <c r="H146" s="128">
        <f>IFERROR(__xludf.DUMMYFUNCTION("""COMPUTED_VALUE"""),44847.0)</f>
        <v>44847</v>
      </c>
      <c r="I146" s="27">
        <f>IFERROR(__xludf.DUMMYFUNCTION("""COMPUTED_VALUE"""),1.738888888888889)</f>
        <v>1.738888889</v>
      </c>
      <c r="J146" s="29">
        <f>IFERROR(__xludf.DUMMYFUNCTION("""COMPUTED_VALUE"""),84.0)</f>
        <v>84</v>
      </c>
      <c r="K146" s="29">
        <f>IFERROR(__xludf.DUMMYFUNCTION("""COMPUTED_VALUE"""),6.0)</f>
        <v>6</v>
      </c>
      <c r="L146" s="275" t="str">
        <f>IFERROR(__xludf.DUMMYFUNCTION("""COMPUTED_VALUE"""),"Point and Click")</f>
        <v>Point and Click</v>
      </c>
    </row>
    <row r="147" hidden="1">
      <c r="A147" s="278" t="str">
        <f>IFERROR(__xludf.DUMMYFUNCTION("""COMPUTED_VALUE"""),"The Callisto Protocol")</f>
        <v>The Callisto Protocol</v>
      </c>
      <c r="B147" s="20" t="str">
        <f>IFERROR(__xludf.DUMMYFUNCTION("""COMPUTED_VALUE"""),"Xbox / PC")</f>
        <v>Xbox / PC</v>
      </c>
      <c r="C147" s="21" t="str">
        <f>IFERROR(__xludf.DUMMYFUNCTION("""COMPUTED_VALUE"""),"Yes")</f>
        <v>Yes</v>
      </c>
      <c r="D147" s="21" t="str">
        <f>IFERROR(__xludf.DUMMYFUNCTION("""COMPUTED_VALUE"""),"Removed")</f>
        <v>Removed</v>
      </c>
      <c r="E147" s="279">
        <f>IFERROR(__xludf.DUMMYFUNCTION("""COMPUTED_VALUE"""),45456.0)</f>
        <v>45456</v>
      </c>
      <c r="F147" s="279">
        <f>IFERROR(__xludf.DUMMYFUNCTION("""COMPUTED_VALUE"""),45853.0)</f>
        <v>45853</v>
      </c>
      <c r="G147" s="27">
        <f>IFERROR(__xludf.DUMMYFUNCTION("""COMPUTED_VALUE"""),13.066666666666666)</f>
        <v>13.06666667</v>
      </c>
      <c r="H147" s="128">
        <f>IFERROR(__xludf.DUMMYFUNCTION("""COMPUTED_VALUE"""),44897.0)</f>
        <v>44897</v>
      </c>
      <c r="I147" s="27">
        <f>IFERROR(__xludf.DUMMYFUNCTION("""COMPUTED_VALUE"""),1.5305555555555554)</f>
        <v>1.530555556</v>
      </c>
      <c r="J147" s="29">
        <f>IFERROR(__xludf.DUMMYFUNCTION("""COMPUTED_VALUE"""),69.0)</f>
        <v>69</v>
      </c>
      <c r="K147" s="29">
        <f>IFERROR(__xludf.DUMMYFUNCTION("""COMPUTED_VALUE"""),10.0)</f>
        <v>10</v>
      </c>
      <c r="L147" s="31" t="str">
        <f>IFERROR(__xludf.DUMMYFUNCTION("""COMPUTED_VALUE"""),"Survival")</f>
        <v>Survival</v>
      </c>
    </row>
    <row r="148" hidden="1">
      <c r="A148" s="278" t="str">
        <f>IFERROR(__xludf.DUMMYFUNCTION("""COMPUTED_VALUE"""),"Journey to the Savage Planet")</f>
        <v>Journey to the Savage Planet</v>
      </c>
      <c r="B148" s="20" t="str">
        <f>IFERROR(__xludf.DUMMYFUNCTION("""COMPUTED_VALUE"""),"Xbox / PC")</f>
        <v>Xbox / PC</v>
      </c>
      <c r="C148" s="21" t="str">
        <f>IFERROR(__xludf.DUMMYFUNCTION("""COMPUTED_VALUE"""),"Yes")</f>
        <v>Yes</v>
      </c>
      <c r="D148" s="21" t="str">
        <f>IFERROR(__xludf.DUMMYFUNCTION("""COMPUTED_VALUE"""),"Removed")</f>
        <v>Removed</v>
      </c>
      <c r="E148" s="279">
        <f>IFERROR(__xludf.DUMMYFUNCTION("""COMPUTED_VALUE"""),45476.0)</f>
        <v>45476</v>
      </c>
      <c r="F148" s="279">
        <f>IFERROR(__xludf.DUMMYFUNCTION("""COMPUTED_VALUE"""),45838.0)</f>
        <v>45838</v>
      </c>
      <c r="G148" s="27">
        <f>IFERROR(__xludf.DUMMYFUNCTION("""COMPUTED_VALUE"""),11.9)</f>
        <v>11.9</v>
      </c>
      <c r="H148" s="128">
        <f>IFERROR(__xludf.DUMMYFUNCTION("""COMPUTED_VALUE"""),43858.0)</f>
        <v>43858</v>
      </c>
      <c r="I148" s="27">
        <f>IFERROR(__xludf.DUMMYFUNCTION("""COMPUTED_VALUE"""),4.430555555555555)</f>
        <v>4.430555556</v>
      </c>
      <c r="J148" s="29">
        <f>IFERROR(__xludf.DUMMYFUNCTION("""COMPUTED_VALUE"""),76.0)</f>
        <v>76</v>
      </c>
      <c r="K148" s="29">
        <f>IFERROR(__xludf.DUMMYFUNCTION("""COMPUTED_VALUE"""),7.0)</f>
        <v>7</v>
      </c>
      <c r="L148" s="275" t="str">
        <f>IFERROR(__xludf.DUMMYFUNCTION("""COMPUTED_VALUE"""),"Shooter")</f>
        <v>Shooter</v>
      </c>
    </row>
    <row r="149" hidden="1">
      <c r="A149" s="278" t="str">
        <f>IFERROR(__xludf.DUMMYFUNCTION("""COMPUTED_VALUE"""),"Robin Hood: Sherwood Builders")</f>
        <v>Robin Hood: Sherwood Builders</v>
      </c>
      <c r="B149" s="20" t="str">
        <f>IFERROR(__xludf.DUMMYFUNCTION("""COMPUTED_VALUE"""),"Xbox / PC")</f>
        <v>Xbox / PC</v>
      </c>
      <c r="C149" s="21" t="str">
        <f>IFERROR(__xludf.DUMMYFUNCTION("""COMPUTED_VALUE"""),"Yes")</f>
        <v>Yes</v>
      </c>
      <c r="D149" s="21" t="str">
        <f>IFERROR(__xludf.DUMMYFUNCTION("""COMPUTED_VALUE"""),"Removed")</f>
        <v>Removed</v>
      </c>
      <c r="E149" s="279">
        <f>IFERROR(__xludf.DUMMYFUNCTION("""COMPUTED_VALUE"""),45470.0)</f>
        <v>45470</v>
      </c>
      <c r="F149" s="279">
        <f>IFERROR(__xludf.DUMMYFUNCTION("""COMPUTED_VALUE"""),45838.0)</f>
        <v>45838</v>
      </c>
      <c r="G149" s="27">
        <f>IFERROR(__xludf.DUMMYFUNCTION("""COMPUTED_VALUE"""),12.1)</f>
        <v>12.1</v>
      </c>
      <c r="H149" s="128">
        <f>IFERROR(__xludf.DUMMYFUNCTION("""COMPUTED_VALUE"""),45351.0)</f>
        <v>45351</v>
      </c>
      <c r="I149" s="27">
        <f>IFERROR(__xludf.DUMMYFUNCTION("""COMPUTED_VALUE"""),0.3277777777777778)</f>
        <v>0.3277777778</v>
      </c>
      <c r="J149" s="29">
        <f>IFERROR(__xludf.DUMMYFUNCTION("""COMPUTED_VALUE"""),80.33333333333333)</f>
        <v>80.33333333</v>
      </c>
      <c r="K149" s="29">
        <f>IFERROR(__xludf.DUMMYFUNCTION("""COMPUTED_VALUE"""),16.0)</f>
        <v>16</v>
      </c>
      <c r="L149" s="275" t="str">
        <f>IFERROR(__xludf.DUMMYFUNCTION("""COMPUTED_VALUE"""),"Action-Adventure")</f>
        <v>Action-Adventure</v>
      </c>
    </row>
    <row r="150" hidden="1">
      <c r="A150" s="278" t="str">
        <f>IFERROR(__xludf.DUMMYFUNCTION("""COMPUTED_VALUE"""),"SteamWorld Dig")</f>
        <v>SteamWorld Dig</v>
      </c>
      <c r="B150" s="20" t="str">
        <f>IFERROR(__xludf.DUMMYFUNCTION("""COMPUTED_VALUE"""),"Xbox")</f>
        <v>Xbox</v>
      </c>
      <c r="C150" s="21" t="str">
        <f>IFERROR(__xludf.DUMMYFUNCTION("""COMPUTED_VALUE"""),"Yes")</f>
        <v>Yes</v>
      </c>
      <c r="D150" s="21" t="str">
        <f>IFERROR(__xludf.DUMMYFUNCTION("""COMPUTED_VALUE"""),"Removed")</f>
        <v>Removed</v>
      </c>
      <c r="E150" s="279">
        <f>IFERROR(__xludf.DUMMYFUNCTION("""COMPUTED_VALUE"""),45469.0)</f>
        <v>45469</v>
      </c>
      <c r="F150" s="279">
        <f>IFERROR(__xludf.DUMMYFUNCTION("""COMPUTED_VALUE"""),45838.0)</f>
        <v>45838</v>
      </c>
      <c r="G150" s="27">
        <f>IFERROR(__xludf.DUMMYFUNCTION("""COMPUTED_VALUE"""),12.133333333333333)</f>
        <v>12.13333333</v>
      </c>
      <c r="H150" s="128">
        <f>IFERROR(__xludf.DUMMYFUNCTION("""COMPUTED_VALUE"""),41494.0)</f>
        <v>41494</v>
      </c>
      <c r="I150" s="27">
        <f>IFERROR(__xludf.DUMMYFUNCTION("""COMPUTED_VALUE"""),10.883333333333333)</f>
        <v>10.88333333</v>
      </c>
      <c r="J150" s="29">
        <f>IFERROR(__xludf.DUMMYFUNCTION("""COMPUTED_VALUE"""),82.0)</f>
        <v>82</v>
      </c>
      <c r="K150" s="29">
        <f>IFERROR(__xludf.DUMMYFUNCTION("""COMPUTED_VALUE"""),5.0)</f>
        <v>5</v>
      </c>
      <c r="L150" s="275" t="str">
        <f>IFERROR(__xludf.DUMMYFUNCTION("""COMPUTED_VALUE"""),"Metroidvania")</f>
        <v>Metroidvania</v>
      </c>
    </row>
    <row r="151" hidden="1">
      <c r="A151" s="278" t="str">
        <f>IFERROR(__xludf.DUMMYFUNCTION("""COMPUTED_VALUE"""),"SteamWorld Dig 2")</f>
        <v>SteamWorld Dig 2</v>
      </c>
      <c r="B151" s="20" t="str">
        <f>IFERROR(__xludf.DUMMYFUNCTION("""COMPUTED_VALUE"""),"Xbox / PC")</f>
        <v>Xbox / PC</v>
      </c>
      <c r="C151" s="21"/>
      <c r="D151" s="21" t="str">
        <f>IFERROR(__xludf.DUMMYFUNCTION("""COMPUTED_VALUE"""),"Removed")</f>
        <v>Removed</v>
      </c>
      <c r="E151" s="23">
        <f>IFERROR(__xludf.DUMMYFUNCTION("""COMPUTED_VALUE"""),45469.0)</f>
        <v>45469</v>
      </c>
      <c r="F151" s="276">
        <f>IFERROR(__xludf.DUMMYFUNCTION("""COMPUTED_VALUE"""),45838.0)</f>
        <v>45838</v>
      </c>
      <c r="G151" s="27">
        <f>IFERROR(__xludf.DUMMYFUNCTION("""COMPUTED_VALUE"""),12.133333333333333)</f>
        <v>12.13333333</v>
      </c>
      <c r="H151" s="128">
        <f>IFERROR(__xludf.DUMMYFUNCTION("""COMPUTED_VALUE"""),42999.0)</f>
        <v>42999</v>
      </c>
      <c r="I151" s="27">
        <f>IFERROR(__xludf.DUMMYFUNCTION("""COMPUTED_VALUE"""),6.763888888888889)</f>
        <v>6.763888889</v>
      </c>
      <c r="J151" s="277">
        <f>IFERROR(__xludf.DUMMYFUNCTION("""COMPUTED_VALUE"""),88.0)</f>
        <v>88</v>
      </c>
      <c r="K151" s="29">
        <f>IFERROR(__xludf.DUMMYFUNCTION("""COMPUTED_VALUE"""),8.0)</f>
        <v>8</v>
      </c>
      <c r="L151" s="275" t="str">
        <f>IFERROR(__xludf.DUMMYFUNCTION("""COMPUTED_VALUE"""),"Metroidvania")</f>
        <v>Metroidvania</v>
      </c>
    </row>
    <row r="152" hidden="1">
      <c r="A152" s="278" t="str">
        <f>IFERROR(__xludf.DUMMYFUNCTION("""COMPUTED_VALUE"""),"Arcade Paradise")</f>
        <v>Arcade Paradise</v>
      </c>
      <c r="B152" s="20" t="str">
        <f>IFERROR(__xludf.DUMMYFUNCTION("""COMPUTED_VALUE"""),"Xbox / PC")</f>
        <v>Xbox / PC</v>
      </c>
      <c r="C152" s="21"/>
      <c r="D152" s="21" t="str">
        <f>IFERROR(__xludf.DUMMYFUNCTION("""COMPUTED_VALUE"""),"Removed")</f>
        <v>Removed</v>
      </c>
      <c r="E152" s="279">
        <f>IFERROR(__xludf.DUMMYFUNCTION("""COMPUTED_VALUE"""),45110.0)</f>
        <v>45110</v>
      </c>
      <c r="F152" s="276">
        <f>IFERROR(__xludf.DUMMYFUNCTION("""COMPUTED_VALUE"""),45838.0)</f>
        <v>45838</v>
      </c>
      <c r="G152" s="27">
        <f>IFERROR(__xludf.DUMMYFUNCTION("""COMPUTED_VALUE"""),23.9)</f>
        <v>23.9</v>
      </c>
      <c r="H152" s="128">
        <f>IFERROR(__xludf.DUMMYFUNCTION("""COMPUTED_VALUE"""),44784.0)</f>
        <v>44784</v>
      </c>
      <c r="I152" s="27">
        <f>IFERROR(__xludf.DUMMYFUNCTION("""COMPUTED_VALUE"""),0.8944444444444445)</f>
        <v>0.8944444444</v>
      </c>
      <c r="J152" s="277">
        <f>IFERROR(__xludf.DUMMYFUNCTION("""COMPUTED_VALUE"""),81.0)</f>
        <v>81</v>
      </c>
      <c r="K152" s="29">
        <f>IFERROR(__xludf.DUMMYFUNCTION("""COMPUTED_VALUE"""),26.0)</f>
        <v>26</v>
      </c>
      <c r="L152" s="275" t="str">
        <f>IFERROR(__xludf.DUMMYFUNCTION("""COMPUTED_VALUE"""),"Simulation")</f>
        <v>Simulation</v>
      </c>
    </row>
    <row r="153" hidden="1">
      <c r="A153" s="278" t="str">
        <f>IFERROR(__xludf.DUMMYFUNCTION("""COMPUTED_VALUE"""),"Keplerth")</f>
        <v>Keplerth</v>
      </c>
      <c r="B153" s="20" t="str">
        <f>IFERROR(__xludf.DUMMYFUNCTION("""COMPUTED_VALUE"""),"PC")</f>
        <v>PC</v>
      </c>
      <c r="C153" s="21"/>
      <c r="D153" s="21" t="str">
        <f>IFERROR(__xludf.DUMMYFUNCTION("""COMPUTED_VALUE"""),"Removed")</f>
        <v>Removed</v>
      </c>
      <c r="E153" s="279">
        <f>IFERROR(__xludf.DUMMYFUNCTION("""COMPUTED_VALUE"""),45463.0)</f>
        <v>45463</v>
      </c>
      <c r="F153" s="279">
        <f>IFERROR(__xludf.DUMMYFUNCTION("""COMPUTED_VALUE"""),45823.0)</f>
        <v>45823</v>
      </c>
      <c r="G153" s="27">
        <f>IFERROR(__xludf.DUMMYFUNCTION("""COMPUTED_VALUE"""),11.833333333333334)</f>
        <v>11.83333333</v>
      </c>
      <c r="H153" s="128">
        <f>IFERROR(__xludf.DUMMYFUNCTION("""COMPUTED_VALUE"""),44704.0)</f>
        <v>44704</v>
      </c>
      <c r="I153" s="27">
        <f>IFERROR(__xludf.DUMMYFUNCTION("""COMPUTED_VALUE"""),2.075)</f>
        <v>2.075</v>
      </c>
      <c r="J153" s="29">
        <f>IFERROR(__xludf.DUMMYFUNCTION("""COMPUTED_VALUE"""),81.0)</f>
        <v>81</v>
      </c>
      <c r="K153" s="29">
        <f>IFERROR(__xludf.DUMMYFUNCTION("""COMPUTED_VALUE"""),20.0)</f>
        <v>20</v>
      </c>
      <c r="L153" s="275" t="str">
        <f>IFERROR(__xludf.DUMMYFUNCTION("""COMPUTED_VALUE"""),"Sandbox")</f>
        <v>Sandbox</v>
      </c>
    </row>
    <row r="154" hidden="1">
      <c r="A154" s="278" t="str">
        <f>IFERROR(__xludf.DUMMYFUNCTION("""COMPUTED_VALUE"""),"My Time at Sandrock")</f>
        <v>My Time at Sandrock</v>
      </c>
      <c r="B154" s="20" t="str">
        <f>IFERROR(__xludf.DUMMYFUNCTION("""COMPUTED_VALUE"""),"Xbox / PC")</f>
        <v>Xbox / PC</v>
      </c>
      <c r="C154" s="21" t="str">
        <f>IFERROR(__xludf.DUMMYFUNCTION("""COMPUTED_VALUE"""),"Yes")</f>
        <v>Yes</v>
      </c>
      <c r="D154" s="21" t="str">
        <f>IFERROR(__xludf.DUMMYFUNCTION("""COMPUTED_VALUE"""),"Removed")</f>
        <v>Removed</v>
      </c>
      <c r="E154" s="279">
        <f>IFERROR(__xludf.DUMMYFUNCTION("""COMPUTED_VALUE"""),45462.0)</f>
        <v>45462</v>
      </c>
      <c r="F154" s="279">
        <f>IFERROR(__xludf.DUMMYFUNCTION("""COMPUTED_VALUE"""),45823.0)</f>
        <v>45823</v>
      </c>
      <c r="G154" s="27">
        <f>IFERROR(__xludf.DUMMYFUNCTION("""COMPUTED_VALUE"""),11.866666666666667)</f>
        <v>11.86666667</v>
      </c>
      <c r="H154" s="128">
        <f>IFERROR(__xludf.DUMMYFUNCTION("""COMPUTED_VALUE"""),45232.0)</f>
        <v>45232</v>
      </c>
      <c r="I154" s="27">
        <f>IFERROR(__xludf.DUMMYFUNCTION("""COMPUTED_VALUE"""),0.6305555555555555)</f>
        <v>0.6305555556</v>
      </c>
      <c r="J154" s="29">
        <f>IFERROR(__xludf.DUMMYFUNCTION("""COMPUTED_VALUE"""),80.0)</f>
        <v>80</v>
      </c>
      <c r="K154" s="29">
        <f>IFERROR(__xludf.DUMMYFUNCTION("""COMPUTED_VALUE"""),79.0)</f>
        <v>79</v>
      </c>
      <c r="L154" s="275" t="str">
        <f>IFERROR(__xludf.DUMMYFUNCTION("""COMPUTED_VALUE"""),"RPG")</f>
        <v>RPG</v>
      </c>
    </row>
    <row r="155" hidden="1">
      <c r="A155" s="17" t="str">
        <f>IFERROR(__xludf.DUMMYFUNCTION("""COMPUTED_VALUE"""),"Isonzo")</f>
        <v>Isonzo</v>
      </c>
      <c r="B155" s="20" t="str">
        <f>IFERROR(__xludf.DUMMYFUNCTION("""COMPUTED_VALUE"""),"Xbox / PC")</f>
        <v>Xbox / PC</v>
      </c>
      <c r="C155" s="21" t="str">
        <f>IFERROR(__xludf.DUMMYFUNCTION("""COMPUTED_VALUE"""),"Yes")</f>
        <v>Yes</v>
      </c>
      <c r="D155" s="21" t="str">
        <f>IFERROR(__xludf.DUMMYFUNCTION("""COMPUTED_VALUE"""),"Removed")</f>
        <v>Removed</v>
      </c>
      <c r="E155" s="279">
        <f>IFERROR(__xludf.DUMMYFUNCTION("""COMPUTED_VALUE"""),45456.0)</f>
        <v>45456</v>
      </c>
      <c r="F155" s="279">
        <f>IFERROR(__xludf.DUMMYFUNCTION("""COMPUTED_VALUE"""),45823.0)</f>
        <v>45823</v>
      </c>
      <c r="G155" s="27">
        <f>IFERROR(__xludf.DUMMYFUNCTION("""COMPUTED_VALUE"""),12.066666666666666)</f>
        <v>12.06666667</v>
      </c>
      <c r="H155" s="128">
        <f>IFERROR(__xludf.DUMMYFUNCTION("""COMPUTED_VALUE"""),44817.0)</f>
        <v>44817</v>
      </c>
      <c r="I155" s="27">
        <f>IFERROR(__xludf.DUMMYFUNCTION("""COMPUTED_VALUE"""),1.75)</f>
        <v>1.75</v>
      </c>
      <c r="J155" s="29">
        <f>IFERROR(__xludf.DUMMYFUNCTION("""COMPUTED_VALUE"""),67.0)</f>
        <v>67</v>
      </c>
      <c r="K155" s="29">
        <f>IFERROR(__xludf.DUMMYFUNCTION("""COMPUTED_VALUE"""),15.0)</f>
        <v>15</v>
      </c>
      <c r="L155" s="275" t="str">
        <f>IFERROR(__xludf.DUMMYFUNCTION("""COMPUTED_VALUE"""),"Shooter")</f>
        <v>Shooter</v>
      </c>
    </row>
    <row r="156" hidden="1">
      <c r="A156" s="278" t="str">
        <f>IFERROR(__xludf.DUMMYFUNCTION("""COMPUTED_VALUE"""),"Depersonalization")</f>
        <v>Depersonalization</v>
      </c>
      <c r="B156" s="20" t="str">
        <f>IFERROR(__xludf.DUMMYFUNCTION("""COMPUTED_VALUE"""),"PC")</f>
        <v>PC</v>
      </c>
      <c r="C156" s="21"/>
      <c r="D156" s="21" t="str">
        <f>IFERROR(__xludf.DUMMYFUNCTION("""COMPUTED_VALUE"""),"Removed")</f>
        <v>Removed</v>
      </c>
      <c r="E156" s="279">
        <f>IFERROR(__xludf.DUMMYFUNCTION("""COMPUTED_VALUE"""),45455.0)</f>
        <v>45455</v>
      </c>
      <c r="F156" s="279">
        <f>IFERROR(__xludf.DUMMYFUNCTION("""COMPUTED_VALUE"""),45823.0)</f>
        <v>45823</v>
      </c>
      <c r="G156" s="27">
        <f>IFERROR(__xludf.DUMMYFUNCTION("""COMPUTED_VALUE"""),12.1)</f>
        <v>12.1</v>
      </c>
      <c r="H156" s="128">
        <f>IFERROR(__xludf.DUMMYFUNCTION("""COMPUTED_VALUE"""),44914.0)</f>
        <v>44914</v>
      </c>
      <c r="I156" s="27">
        <f>IFERROR(__xludf.DUMMYFUNCTION("""COMPUTED_VALUE"""),1.4805555555555556)</f>
        <v>1.480555556</v>
      </c>
      <c r="J156" s="29">
        <f>IFERROR(__xludf.DUMMYFUNCTION("""COMPUTED_VALUE"""),80.0)</f>
        <v>80</v>
      </c>
      <c r="K156" s="29">
        <f>IFERROR(__xludf.DUMMYFUNCTION("""COMPUTED_VALUE"""),6.0)</f>
        <v>6</v>
      </c>
      <c r="L156" s="275" t="str">
        <f>IFERROR(__xludf.DUMMYFUNCTION("""COMPUTED_VALUE"""),"RPG")</f>
        <v>RPG</v>
      </c>
    </row>
    <row r="157" hidden="1">
      <c r="A157" s="17" t="str">
        <f>IFERROR(__xludf.DUMMYFUNCTION("""COMPUTED_VALUE"""),"Rolling Hills: Make Sushi, Make Friends")</f>
        <v>Rolling Hills: Make Sushi, Make Friends</v>
      </c>
      <c r="B157" s="20" t="str">
        <f>IFERROR(__xludf.DUMMYFUNCTION("""COMPUTED_VALUE"""),"Xbox / PC")</f>
        <v>Xbox / PC</v>
      </c>
      <c r="C157" s="20" t="str">
        <f>IFERROR(__xludf.DUMMYFUNCTION("""COMPUTED_VALUE"""),"Yes")</f>
        <v>Yes</v>
      </c>
      <c r="D157" s="21" t="str">
        <f>IFERROR(__xludf.DUMMYFUNCTION("""COMPUTED_VALUE"""),"Removed")</f>
        <v>Removed</v>
      </c>
      <c r="E157" s="279">
        <f>IFERROR(__xludf.DUMMYFUNCTION("""COMPUTED_VALUE"""),45447.0)</f>
        <v>45447</v>
      </c>
      <c r="F157" s="24">
        <f>IFERROR(__xludf.DUMMYFUNCTION("""COMPUTED_VALUE"""),45823.0)</f>
        <v>45823</v>
      </c>
      <c r="G157" s="27">
        <f>IFERROR(__xludf.DUMMYFUNCTION("""COMPUTED_VALUE"""),12.366666666666665)</f>
        <v>12.36666667</v>
      </c>
      <c r="H157" s="128">
        <f>IFERROR(__xludf.DUMMYFUNCTION("""COMPUTED_VALUE"""),45447.0)</f>
        <v>45447</v>
      </c>
      <c r="I157" s="27">
        <f>IFERROR(__xludf.DUMMYFUNCTION("""COMPUTED_VALUE"""),0.0)</f>
        <v>0</v>
      </c>
      <c r="J157" s="277">
        <f>IFERROR(__xludf.DUMMYFUNCTION("""COMPUTED_VALUE"""),73.0)</f>
        <v>73</v>
      </c>
      <c r="K157" s="277">
        <f>IFERROR(__xludf.DUMMYFUNCTION("""COMPUTED_VALUE"""),9.0)</f>
        <v>9</v>
      </c>
      <c r="L157" s="275" t="str">
        <f>IFERROR(__xludf.DUMMYFUNCTION("""COMPUTED_VALUE"""),"Simulation")</f>
        <v>Simulation</v>
      </c>
    </row>
    <row r="158" hidden="1">
      <c r="A158" s="278" t="str">
        <f>IFERROR(__xludf.DUMMYFUNCTION("""COMPUTED_VALUE"""),"Dordogne")</f>
        <v>Dordogne</v>
      </c>
      <c r="B158" s="20" t="str">
        <f>IFERROR(__xludf.DUMMYFUNCTION("""COMPUTED_VALUE"""),"Xbox / PC")</f>
        <v>Xbox / PC</v>
      </c>
      <c r="C158" s="21" t="str">
        <f>IFERROR(__xludf.DUMMYFUNCTION("""COMPUTED_VALUE"""),"Yes")</f>
        <v>Yes</v>
      </c>
      <c r="D158" s="21" t="str">
        <f>IFERROR(__xludf.DUMMYFUNCTION("""COMPUTED_VALUE"""),"Removed")</f>
        <v>Removed</v>
      </c>
      <c r="E158" s="279">
        <f>IFERROR(__xludf.DUMMYFUNCTION("""COMPUTED_VALUE"""),45090.0)</f>
        <v>45090</v>
      </c>
      <c r="F158" s="276">
        <f>IFERROR(__xludf.DUMMYFUNCTION("""COMPUTED_VALUE"""),45823.0)</f>
        <v>45823</v>
      </c>
      <c r="G158" s="27">
        <f>IFERROR(__xludf.DUMMYFUNCTION("""COMPUTED_VALUE"""),24.066666666666666)</f>
        <v>24.06666667</v>
      </c>
      <c r="H158" s="128">
        <f>IFERROR(__xludf.DUMMYFUNCTION("""COMPUTED_VALUE"""),45090.0)</f>
        <v>45090</v>
      </c>
      <c r="I158" s="27">
        <f>IFERROR(__xludf.DUMMYFUNCTION("""COMPUTED_VALUE"""),0.0)</f>
        <v>0</v>
      </c>
      <c r="J158" s="277">
        <f>IFERROR(__xludf.DUMMYFUNCTION("""COMPUTED_VALUE"""),74.0)</f>
        <v>74</v>
      </c>
      <c r="K158" s="277">
        <f>IFERROR(__xludf.DUMMYFUNCTION("""COMPUTED_VALUE"""),4.0)</f>
        <v>4</v>
      </c>
      <c r="L158" s="275" t="str">
        <f>IFERROR(__xludf.DUMMYFUNCTION("""COMPUTED_VALUE"""),"Adventure")</f>
        <v>Adventure</v>
      </c>
    </row>
    <row r="159" hidden="1">
      <c r="A159" s="278" t="str">
        <f>IFERROR(__xludf.DUMMYFUNCTION("""COMPUTED_VALUE"""),"Hypnospace Outlaw")</f>
        <v>Hypnospace Outlaw</v>
      </c>
      <c r="B159" s="20" t="str">
        <f>IFERROR(__xludf.DUMMYFUNCTION("""COMPUTED_VALUE"""),"Xbox / PC")</f>
        <v>Xbox / PC</v>
      </c>
      <c r="C159" s="21" t="str">
        <f>IFERROR(__xludf.DUMMYFUNCTION("""COMPUTED_VALUE"""),"Yes")</f>
        <v>Yes</v>
      </c>
      <c r="D159" s="21" t="str">
        <f>IFERROR(__xludf.DUMMYFUNCTION("""COMPUTED_VALUE"""),"Removed")</f>
        <v>Removed</v>
      </c>
      <c r="E159" s="279">
        <f>IFERROR(__xludf.DUMMYFUNCTION("""COMPUTED_VALUE"""),45083.0)</f>
        <v>45083</v>
      </c>
      <c r="F159" s="279">
        <f>IFERROR(__xludf.DUMMYFUNCTION("""COMPUTED_VALUE"""),45823.0)</f>
        <v>45823</v>
      </c>
      <c r="G159" s="27">
        <f>IFERROR(__xludf.DUMMYFUNCTION("""COMPUTED_VALUE"""),24.299999999999997)</f>
        <v>24.3</v>
      </c>
      <c r="H159" s="128">
        <f>IFERROR(__xludf.DUMMYFUNCTION("""COMPUTED_VALUE"""),43536.0)</f>
        <v>43536</v>
      </c>
      <c r="I159" s="27">
        <f>IFERROR(__xludf.DUMMYFUNCTION("""COMPUTED_VALUE"""),4.233333333333333)</f>
        <v>4.233333333</v>
      </c>
      <c r="J159" s="29">
        <f>IFERROR(__xludf.DUMMYFUNCTION("""COMPUTED_VALUE"""),82.0)</f>
        <v>82</v>
      </c>
      <c r="K159" s="29">
        <f>IFERROR(__xludf.DUMMYFUNCTION("""COMPUTED_VALUE"""),5.5)</f>
        <v>5.5</v>
      </c>
      <c r="L159" s="275" t="str">
        <f>IFERROR(__xludf.DUMMYFUNCTION("""COMPUTED_VALUE"""),"Adventure")</f>
        <v>Adventure</v>
      </c>
    </row>
    <row r="160" hidden="1">
      <c r="A160" s="17" t="str">
        <f>IFERROR(__xludf.DUMMYFUNCTION("""COMPUTED_VALUE"""),"Firework")</f>
        <v>Firework</v>
      </c>
      <c r="B160" s="20" t="str">
        <f>IFERROR(__xludf.DUMMYFUNCTION("""COMPUTED_VALUE"""),"PC")</f>
        <v>PC</v>
      </c>
      <c r="C160" s="20"/>
      <c r="D160" s="21" t="str">
        <f>IFERROR(__xludf.DUMMYFUNCTION("""COMPUTED_VALUE"""),"Removed")</f>
        <v>Removed</v>
      </c>
      <c r="E160" s="279">
        <f>IFERROR(__xludf.DUMMYFUNCTION("""COMPUTED_VALUE"""),45447.0)</f>
        <v>45447</v>
      </c>
      <c r="F160" s="24">
        <f>IFERROR(__xludf.DUMMYFUNCTION("""COMPUTED_VALUE"""),45808.0)</f>
        <v>45808</v>
      </c>
      <c r="G160" s="27">
        <f>IFERROR(__xludf.DUMMYFUNCTION("""COMPUTED_VALUE"""),11.866666666666667)</f>
        <v>11.86666667</v>
      </c>
      <c r="H160" s="128">
        <f>IFERROR(__xludf.DUMMYFUNCTION("""COMPUTED_VALUE"""),44230.0)</f>
        <v>44230</v>
      </c>
      <c r="I160" s="27">
        <f>IFERROR(__xludf.DUMMYFUNCTION("""COMPUTED_VALUE"""),3.3361111111111112)</f>
        <v>3.336111111</v>
      </c>
      <c r="J160" s="277">
        <f>IFERROR(__xludf.DUMMYFUNCTION("""COMPUTED_VALUE"""),80.0)</f>
        <v>80</v>
      </c>
      <c r="K160" s="29">
        <f>IFERROR(__xludf.DUMMYFUNCTION("""COMPUTED_VALUE"""),4.0)</f>
        <v>4</v>
      </c>
      <c r="L160" s="275" t="str">
        <f>IFERROR(__xludf.DUMMYFUNCTION("""COMPUTED_VALUE"""),"Action-Adventure")</f>
        <v>Action-Adventure</v>
      </c>
    </row>
    <row r="161" hidden="1">
      <c r="A161" s="17" t="str">
        <f>IFERROR(__xludf.DUMMYFUNCTION("""COMPUTED_VALUE"""),"Humanity")</f>
        <v>Humanity</v>
      </c>
      <c r="B161" s="20" t="str">
        <f>IFERROR(__xludf.DUMMYFUNCTION("""COMPUTED_VALUE"""),"Xbox / PC")</f>
        <v>Xbox / PC</v>
      </c>
      <c r="C161" s="21" t="str">
        <f>IFERROR(__xludf.DUMMYFUNCTION("""COMPUTED_VALUE"""),"Yes")</f>
        <v>Yes</v>
      </c>
      <c r="D161" s="21" t="str">
        <f>IFERROR(__xludf.DUMMYFUNCTION("""COMPUTED_VALUE"""),"Removed")</f>
        <v>Removed</v>
      </c>
      <c r="E161" s="279">
        <f>IFERROR(__xludf.DUMMYFUNCTION("""COMPUTED_VALUE"""),45442.0)</f>
        <v>45442</v>
      </c>
      <c r="F161" s="279">
        <f>IFERROR(__xludf.DUMMYFUNCTION("""COMPUTED_VALUE"""),45808.0)</f>
        <v>45808</v>
      </c>
      <c r="G161" s="27">
        <f>IFERROR(__xludf.DUMMYFUNCTION("""COMPUTED_VALUE"""),12.0)</f>
        <v>12</v>
      </c>
      <c r="H161" s="128">
        <f>IFERROR(__xludf.DUMMYFUNCTION("""COMPUTED_VALUE"""),45062.0)</f>
        <v>45062</v>
      </c>
      <c r="I161" s="27">
        <f>IFERROR(__xludf.DUMMYFUNCTION("""COMPUTED_VALUE"""),1.038888888888889)</f>
        <v>1.038888889</v>
      </c>
      <c r="J161" s="29">
        <f>IFERROR(__xludf.DUMMYFUNCTION("""COMPUTED_VALUE"""),86.0)</f>
        <v>86</v>
      </c>
      <c r="K161" s="29">
        <f>IFERROR(__xludf.DUMMYFUNCTION("""COMPUTED_VALUE"""),12.0)</f>
        <v>12</v>
      </c>
      <c r="L161" s="275" t="str">
        <f>IFERROR(__xludf.DUMMYFUNCTION("""COMPUTED_VALUE"""),"Puzzle")</f>
        <v>Puzzle</v>
      </c>
    </row>
    <row r="162" hidden="1">
      <c r="A162" s="278" t="str">
        <f>IFERROR(__xludf.DUMMYFUNCTION("""COMPUTED_VALUE"""),"Slayers X: Terminal Aftermath - Vengance of the Slayer")</f>
        <v>Slayers X: Terminal Aftermath - Vengance of the Slayer</v>
      </c>
      <c r="B162" s="20" t="str">
        <f>IFERROR(__xludf.DUMMYFUNCTION("""COMPUTED_VALUE"""),"Xbox / PC")</f>
        <v>Xbox / PC</v>
      </c>
      <c r="C162" s="21" t="str">
        <f>IFERROR(__xludf.DUMMYFUNCTION("""COMPUTED_VALUE"""),"Yes")</f>
        <v>Yes</v>
      </c>
      <c r="D162" s="21" t="str">
        <f>IFERROR(__xludf.DUMMYFUNCTION("""COMPUTED_VALUE"""),"Removed")</f>
        <v>Removed</v>
      </c>
      <c r="E162" s="279">
        <f>IFERROR(__xludf.DUMMYFUNCTION("""COMPUTED_VALUE"""),45078.0)</f>
        <v>45078</v>
      </c>
      <c r="F162" s="276">
        <f>IFERROR(__xludf.DUMMYFUNCTION("""COMPUTED_VALUE"""),45808.0)</f>
        <v>45808</v>
      </c>
      <c r="G162" s="27">
        <f>IFERROR(__xludf.DUMMYFUNCTION("""COMPUTED_VALUE"""),23.96666666666667)</f>
        <v>23.96666667</v>
      </c>
      <c r="H162" s="128">
        <f>IFERROR(__xludf.DUMMYFUNCTION("""COMPUTED_VALUE"""),45078.0)</f>
        <v>45078</v>
      </c>
      <c r="I162" s="27">
        <f>IFERROR(__xludf.DUMMYFUNCTION("""COMPUTED_VALUE"""),0.0)</f>
        <v>0</v>
      </c>
      <c r="J162" s="277">
        <f>IFERROR(__xludf.DUMMYFUNCTION("""COMPUTED_VALUE"""),80.0)</f>
        <v>80</v>
      </c>
      <c r="K162" s="29">
        <f>IFERROR(__xludf.DUMMYFUNCTION("""COMPUTED_VALUE"""),4.0)</f>
        <v>4</v>
      </c>
      <c r="L162" s="275" t="str">
        <f>IFERROR(__xludf.DUMMYFUNCTION("""COMPUTED_VALUE"""),"Shooter")</f>
        <v>Shooter</v>
      </c>
    </row>
    <row r="163" hidden="1">
      <c r="A163" s="17" t="str">
        <f>IFERROR(__xludf.DUMMYFUNCTION("""COMPUTED_VALUE"""),"Cassette Beasts")</f>
        <v>Cassette Beasts</v>
      </c>
      <c r="B163" s="20" t="str">
        <f>IFERROR(__xludf.DUMMYFUNCTION("""COMPUTED_VALUE"""),"Xbox / PC")</f>
        <v>Xbox / PC</v>
      </c>
      <c r="C163" s="21"/>
      <c r="D163" s="21" t="str">
        <f>IFERROR(__xludf.DUMMYFUNCTION("""COMPUTED_VALUE"""),"Removed")</f>
        <v>Removed</v>
      </c>
      <c r="E163" s="279">
        <f>IFERROR(__xludf.DUMMYFUNCTION("""COMPUTED_VALUE"""),45042.0)</f>
        <v>45042</v>
      </c>
      <c r="F163" s="279">
        <f>IFERROR(__xludf.DUMMYFUNCTION("""COMPUTED_VALUE"""),45808.0)</f>
        <v>45808</v>
      </c>
      <c r="G163" s="27">
        <f>IFERROR(__xludf.DUMMYFUNCTION("""COMPUTED_VALUE"""),25.133333333333333)</f>
        <v>25.13333333</v>
      </c>
      <c r="H163" s="128">
        <f>IFERROR(__xludf.DUMMYFUNCTION("""COMPUTED_VALUE"""),45042.0)</f>
        <v>45042</v>
      </c>
      <c r="I163" s="27">
        <f>IFERROR(__xludf.DUMMYFUNCTION("""COMPUTED_VALUE"""),0.0)</f>
        <v>0</v>
      </c>
      <c r="J163" s="277">
        <f>IFERROR(__xludf.DUMMYFUNCTION("""COMPUTED_VALUE"""),83.0)</f>
        <v>83</v>
      </c>
      <c r="K163" s="29">
        <f>IFERROR(__xludf.DUMMYFUNCTION("""COMPUTED_VALUE"""),17.0)</f>
        <v>17</v>
      </c>
      <c r="L163" s="275" t="str">
        <f>IFERROR(__xludf.DUMMYFUNCTION("""COMPUTED_VALUE"""),"RPG")</f>
        <v>RPG</v>
      </c>
    </row>
    <row r="164" hidden="1">
      <c r="A164" s="278" t="str">
        <f>IFERROR(__xludf.DUMMYFUNCTION("""COMPUTED_VALUE"""),"Hauntii")</f>
        <v>Hauntii</v>
      </c>
      <c r="B164" s="20" t="str">
        <f>IFERROR(__xludf.DUMMYFUNCTION("""COMPUTED_VALUE"""),"Xbox / PC")</f>
        <v>Xbox / PC</v>
      </c>
      <c r="C164" s="21" t="str">
        <f>IFERROR(__xludf.DUMMYFUNCTION("""COMPUTED_VALUE"""),"Yes")</f>
        <v>Yes</v>
      </c>
      <c r="D164" s="21" t="str">
        <f>IFERROR(__xludf.DUMMYFUNCTION("""COMPUTED_VALUE"""),"Removed")</f>
        <v>Removed</v>
      </c>
      <c r="E164" s="279">
        <f>IFERROR(__xludf.DUMMYFUNCTION("""COMPUTED_VALUE"""),45435.0)</f>
        <v>45435</v>
      </c>
      <c r="F164" s="279">
        <f>IFERROR(__xludf.DUMMYFUNCTION("""COMPUTED_VALUE"""),45792.0)</f>
        <v>45792</v>
      </c>
      <c r="G164" s="27">
        <f>IFERROR(__xludf.DUMMYFUNCTION("""COMPUTED_VALUE"""),11.733333333333333)</f>
        <v>11.73333333</v>
      </c>
      <c r="H164" s="128">
        <f>IFERROR(__xludf.DUMMYFUNCTION("""COMPUTED_VALUE"""),45435.0)</f>
        <v>45435</v>
      </c>
      <c r="I164" s="27">
        <f>IFERROR(__xludf.DUMMYFUNCTION("""COMPUTED_VALUE"""),0.0)</f>
        <v>0</v>
      </c>
      <c r="J164" s="29">
        <f>IFERROR(__xludf.DUMMYFUNCTION("""COMPUTED_VALUE"""),69.0)</f>
        <v>69</v>
      </c>
      <c r="K164" s="29">
        <f>IFERROR(__xludf.DUMMYFUNCTION("""COMPUTED_VALUE"""),8.0)</f>
        <v>8</v>
      </c>
      <c r="L164" s="31" t="str">
        <f>IFERROR(__xludf.DUMMYFUNCTION("""COMPUTED_VALUE"""),"Action-Adventure")</f>
        <v>Action-Adventure</v>
      </c>
    </row>
    <row r="165" hidden="1">
      <c r="A165" s="278" t="str">
        <f>IFERROR(__xludf.DUMMYFUNCTION("""COMPUTED_VALUE"""),"Chants of Sennaar")</f>
        <v>Chants of Sennaar</v>
      </c>
      <c r="B165" s="20" t="str">
        <f>IFERROR(__xludf.DUMMYFUNCTION("""COMPUTED_VALUE"""),"Xbox / PC")</f>
        <v>Xbox / PC</v>
      </c>
      <c r="C165" s="21" t="str">
        <f>IFERROR(__xludf.DUMMYFUNCTION("""COMPUTED_VALUE"""),"Yes")</f>
        <v>Yes</v>
      </c>
      <c r="D165" s="21" t="str">
        <f>IFERROR(__xludf.DUMMYFUNCTION("""COMPUTED_VALUE"""),"Removed")</f>
        <v>Removed</v>
      </c>
      <c r="E165" s="279">
        <f>IFERROR(__xludf.DUMMYFUNCTION("""COMPUTED_VALUE"""),45427.0)</f>
        <v>45427</v>
      </c>
      <c r="F165" s="279">
        <f>IFERROR(__xludf.DUMMYFUNCTION("""COMPUTED_VALUE"""),45792.0)</f>
        <v>45792</v>
      </c>
      <c r="G165" s="27">
        <f>IFERROR(__xludf.DUMMYFUNCTION("""COMPUTED_VALUE"""),12.0)</f>
        <v>12</v>
      </c>
      <c r="H165" s="128">
        <f>IFERROR(__xludf.DUMMYFUNCTION("""COMPUTED_VALUE"""),45174.0)</f>
        <v>45174</v>
      </c>
      <c r="I165" s="27">
        <f>IFERROR(__xludf.DUMMYFUNCTION("""COMPUTED_VALUE"""),0.6944444444444444)</f>
        <v>0.6944444444</v>
      </c>
      <c r="J165" s="29">
        <f>IFERROR(__xludf.DUMMYFUNCTION("""COMPUTED_VALUE"""),85.0)</f>
        <v>85</v>
      </c>
      <c r="K165" s="29">
        <f>IFERROR(__xludf.DUMMYFUNCTION("""COMPUTED_VALUE"""),9.0)</f>
        <v>9</v>
      </c>
      <c r="L165" s="275" t="str">
        <f>IFERROR(__xludf.DUMMYFUNCTION("""COMPUTED_VALUE"""),"Adventure")</f>
        <v>Adventure</v>
      </c>
    </row>
    <row r="166" hidden="1">
      <c r="A166" s="278" t="str">
        <f>IFERROR(__xludf.DUMMYFUNCTION("""COMPUTED_VALUE"""),"Brothers: A Tale of Two Sons")</f>
        <v>Brothers: A Tale of Two Sons</v>
      </c>
      <c r="B166" s="20" t="str">
        <f>IFERROR(__xludf.DUMMYFUNCTION("""COMPUTED_VALUE"""),"Xbox / PC")</f>
        <v>Xbox / PC</v>
      </c>
      <c r="C166" s="21" t="str">
        <f>IFERROR(__xludf.DUMMYFUNCTION("""COMPUTED_VALUE"""),"Yes")</f>
        <v>Yes</v>
      </c>
      <c r="D166" s="21" t="str">
        <f>IFERROR(__xludf.DUMMYFUNCTION("""COMPUTED_VALUE"""),"Removed")</f>
        <v>Removed</v>
      </c>
      <c r="E166" s="279">
        <f>IFERROR(__xludf.DUMMYFUNCTION("""COMPUTED_VALUE"""),45426.0)</f>
        <v>45426</v>
      </c>
      <c r="F166" s="279">
        <f>IFERROR(__xludf.DUMMYFUNCTION("""COMPUTED_VALUE"""),45792.0)</f>
        <v>45792</v>
      </c>
      <c r="G166" s="27">
        <f>IFERROR(__xludf.DUMMYFUNCTION("""COMPUTED_VALUE"""),12.033333333333333)</f>
        <v>12.03333333</v>
      </c>
      <c r="H166" s="128">
        <f>IFERROR(__xludf.DUMMYFUNCTION("""COMPUTED_VALUE"""),41493.0)</f>
        <v>41493</v>
      </c>
      <c r="I166" s="27">
        <f>IFERROR(__xludf.DUMMYFUNCTION("""COMPUTED_VALUE"""),10.769444444444444)</f>
        <v>10.76944444</v>
      </c>
      <c r="J166" s="29">
        <f>IFERROR(__xludf.DUMMYFUNCTION("""COMPUTED_VALUE"""),81.0)</f>
        <v>81</v>
      </c>
      <c r="K166" s="29">
        <f>IFERROR(__xludf.DUMMYFUNCTION("""COMPUTED_VALUE"""),3.0)</f>
        <v>3</v>
      </c>
      <c r="L166" s="31" t="str">
        <f>IFERROR(__xludf.DUMMYFUNCTION("""COMPUTED_VALUE"""),"Action-Adventure")</f>
        <v>Action-Adventure</v>
      </c>
    </row>
    <row r="167" hidden="1">
      <c r="A167" s="278" t="str">
        <f>IFERROR(__xludf.DUMMYFUNCTION("""COMPUTED_VALUE"""),"The Big Con")</f>
        <v>The Big Con</v>
      </c>
      <c r="B167" s="20" t="str">
        <f>IFERROR(__xludf.DUMMYFUNCTION("""COMPUTED_VALUE"""),"Xbox / PC")</f>
        <v>Xbox / PC</v>
      </c>
      <c r="C167" s="21" t="str">
        <f>IFERROR(__xludf.DUMMYFUNCTION("""COMPUTED_VALUE"""),"Yes")</f>
        <v>Yes</v>
      </c>
      <c r="D167" s="21" t="str">
        <f>IFERROR(__xludf.DUMMYFUNCTION("""COMPUTED_VALUE"""),"Removed")</f>
        <v>Removed</v>
      </c>
      <c r="E167" s="279">
        <f>IFERROR(__xludf.DUMMYFUNCTION("""COMPUTED_VALUE"""),45078.0)</f>
        <v>45078</v>
      </c>
      <c r="F167" s="279">
        <f>IFERROR(__xludf.DUMMYFUNCTION("""COMPUTED_VALUE"""),45792.0)</f>
        <v>45792</v>
      </c>
      <c r="G167" s="27">
        <f>IFERROR(__xludf.DUMMYFUNCTION("""COMPUTED_VALUE"""),23.466666666666665)</f>
        <v>23.46666667</v>
      </c>
      <c r="H167" s="128">
        <f>IFERROR(__xludf.DUMMYFUNCTION("""COMPUTED_VALUE"""),44439.0)</f>
        <v>44439</v>
      </c>
      <c r="I167" s="27">
        <f>IFERROR(__xludf.DUMMYFUNCTION("""COMPUTED_VALUE"""),1.7527777777777778)</f>
        <v>1.752777778</v>
      </c>
      <c r="J167" s="29">
        <f>IFERROR(__xludf.DUMMYFUNCTION("""COMPUTED_VALUE"""),77.0)</f>
        <v>77</v>
      </c>
      <c r="K167" s="29">
        <f>IFERROR(__xludf.DUMMYFUNCTION("""COMPUTED_VALUE"""),4.0)</f>
        <v>4</v>
      </c>
      <c r="L167" s="275" t="str">
        <f>IFERROR(__xludf.DUMMYFUNCTION("""COMPUTED_VALUE"""),"Adventure")</f>
        <v>Adventure</v>
      </c>
    </row>
    <row r="168" hidden="1">
      <c r="A168" s="278" t="str">
        <f>IFERROR(__xludf.DUMMYFUNCTION("""COMPUTED_VALUE"""),"Dune: Spice Wars")</f>
        <v>Dune: Spice Wars</v>
      </c>
      <c r="B168" s="20" t="str">
        <f>IFERROR(__xludf.DUMMYFUNCTION("""COMPUTED_VALUE"""),"Xbox / PC")</f>
        <v>Xbox / PC</v>
      </c>
      <c r="C168" s="21" t="str">
        <f>IFERROR(__xludf.DUMMYFUNCTION("""COMPUTED_VALUE"""),"Yes")</f>
        <v>Yes</v>
      </c>
      <c r="D168" s="21" t="str">
        <f>IFERROR(__xludf.DUMMYFUNCTION("""COMPUTED_VALUE"""),"Removed")</f>
        <v>Removed</v>
      </c>
      <c r="E168" s="279">
        <f>IFERROR(__xludf.DUMMYFUNCTION("""COMPUTED_VALUE"""),44882.0)</f>
        <v>44882</v>
      </c>
      <c r="F168" s="279">
        <f>IFERROR(__xludf.DUMMYFUNCTION("""COMPUTED_VALUE"""),45792.0)</f>
        <v>45792</v>
      </c>
      <c r="G168" s="27">
        <f>IFERROR(__xludf.DUMMYFUNCTION("""COMPUTED_VALUE"""),29.933333333333334)</f>
        <v>29.93333333</v>
      </c>
      <c r="H168" s="128">
        <f>IFERROR(__xludf.DUMMYFUNCTION("""COMPUTED_VALUE"""),44677.0)</f>
        <v>44677</v>
      </c>
      <c r="I168" s="27">
        <f>IFERROR(__xludf.DUMMYFUNCTION("""COMPUTED_VALUE"""),0.5583333333333333)</f>
        <v>0.5583333333</v>
      </c>
      <c r="J168" s="29">
        <f>IFERROR(__xludf.DUMMYFUNCTION("""COMPUTED_VALUE"""),72.0)</f>
        <v>72</v>
      </c>
      <c r="K168" s="29">
        <f>IFERROR(__xludf.DUMMYFUNCTION("""COMPUTED_VALUE"""),7.0)</f>
        <v>7</v>
      </c>
      <c r="L168" s="275" t="str">
        <f>IFERROR(__xludf.DUMMYFUNCTION("""COMPUTED_VALUE"""),"Strategy")</f>
        <v>Strategy</v>
      </c>
    </row>
    <row r="169" hidden="1">
      <c r="A169" s="278" t="str">
        <f>IFERROR(__xludf.DUMMYFUNCTION("""COMPUTED_VALUE"""),"Kona II: Brume")</f>
        <v>Kona II: Brume</v>
      </c>
      <c r="B169" s="20" t="str">
        <f>IFERROR(__xludf.DUMMYFUNCTION("""COMPUTED_VALUE"""),"Xbox / PC")</f>
        <v>Xbox / PC</v>
      </c>
      <c r="C169" s="21" t="str">
        <f>IFERROR(__xludf.DUMMYFUNCTION("""COMPUTED_VALUE"""),"Yes")</f>
        <v>Yes</v>
      </c>
      <c r="D169" s="21" t="str">
        <f>IFERROR(__xludf.DUMMYFUNCTION("""COMPUTED_VALUE"""),"Removed")</f>
        <v>Removed</v>
      </c>
      <c r="E169" s="279">
        <f>IFERROR(__xludf.DUMMYFUNCTION("""COMPUTED_VALUE"""),45419.0)</f>
        <v>45419</v>
      </c>
      <c r="F169" s="279">
        <f>IFERROR(__xludf.DUMMYFUNCTION("""COMPUTED_VALUE"""),45777.0)</f>
        <v>45777</v>
      </c>
      <c r="G169" s="27">
        <f>IFERROR(__xludf.DUMMYFUNCTION("""COMPUTED_VALUE"""),11.766666666666666)</f>
        <v>11.76666667</v>
      </c>
      <c r="H169" s="128">
        <f>IFERROR(__xludf.DUMMYFUNCTION("""COMPUTED_VALUE"""),45217.0)</f>
        <v>45217</v>
      </c>
      <c r="I169" s="27">
        <f>IFERROR(__xludf.DUMMYFUNCTION("""COMPUTED_VALUE"""),0.5527777777777778)</f>
        <v>0.5527777778</v>
      </c>
      <c r="J169" s="277">
        <f>IFERROR(__xludf.DUMMYFUNCTION("""COMPUTED_VALUE"""),79.0)</f>
        <v>79</v>
      </c>
      <c r="K169" s="29">
        <f>IFERROR(__xludf.DUMMYFUNCTION("""COMPUTED_VALUE"""),8.0)</f>
        <v>8</v>
      </c>
      <c r="L169" s="275" t="str">
        <f>IFERROR(__xludf.DUMMYFUNCTION("""COMPUTED_VALUE"""),"Action-Adventure")</f>
        <v>Action-Adventure</v>
      </c>
    </row>
    <row r="170" hidden="1">
      <c r="A170" s="17" t="str">
        <f>IFERROR(__xludf.DUMMYFUNCTION("""COMPUTED_VALUE"""),"Have A Nice Death")</f>
        <v>Have A Nice Death</v>
      </c>
      <c r="B170" s="20" t="str">
        <f>IFERROR(__xludf.DUMMYFUNCTION("""COMPUTED_VALUE"""),"Xbox / PC")</f>
        <v>Xbox / PC</v>
      </c>
      <c r="C170" s="21" t="str">
        <f>IFERROR(__xludf.DUMMYFUNCTION("""COMPUTED_VALUE"""),"Yes")</f>
        <v>Yes</v>
      </c>
      <c r="D170" s="21" t="str">
        <f>IFERROR(__xludf.DUMMYFUNCTION("""COMPUTED_VALUE"""),"Removed")</f>
        <v>Removed</v>
      </c>
      <c r="E170" s="279">
        <f>IFERROR(__xludf.DUMMYFUNCTION("""COMPUTED_VALUE"""),45412.0)</f>
        <v>45412</v>
      </c>
      <c r="F170" s="279">
        <f>IFERROR(__xludf.DUMMYFUNCTION("""COMPUTED_VALUE"""),45777.0)</f>
        <v>45777</v>
      </c>
      <c r="G170" s="27">
        <f>IFERROR(__xludf.DUMMYFUNCTION("""COMPUTED_VALUE"""),12.0)</f>
        <v>12</v>
      </c>
      <c r="H170" s="128">
        <f>IFERROR(__xludf.DUMMYFUNCTION("""COMPUTED_VALUE"""),45007.0)</f>
        <v>45007</v>
      </c>
      <c r="I170" s="27">
        <f>IFERROR(__xludf.DUMMYFUNCTION("""COMPUTED_VALUE"""),1.1055555555555556)</f>
        <v>1.105555556</v>
      </c>
      <c r="J170" s="29">
        <f>IFERROR(__xludf.DUMMYFUNCTION("""COMPUTED_VALUE"""),81.0)</f>
        <v>81</v>
      </c>
      <c r="K170" s="29">
        <f>IFERROR(__xludf.DUMMYFUNCTION("""COMPUTED_VALUE"""),9.0)</f>
        <v>9</v>
      </c>
      <c r="L170" s="31" t="str">
        <f>IFERROR(__xludf.DUMMYFUNCTION("""COMPUTED_VALUE"""),"Platformer")</f>
        <v>Platformer</v>
      </c>
    </row>
    <row r="171" hidden="1">
      <c r="A171" s="278" t="str">
        <f>IFERROR(__xludf.DUMMYFUNCTION("""COMPUTED_VALUE"""),"The Rewinder")</f>
        <v>The Rewinder</v>
      </c>
      <c r="B171" s="20" t="str">
        <f>IFERROR(__xludf.DUMMYFUNCTION("""COMPUTED_VALUE"""),"Xbox / PC")</f>
        <v>Xbox / PC</v>
      </c>
      <c r="C171" s="21" t="str">
        <f>IFERROR(__xludf.DUMMYFUNCTION("""COMPUTED_VALUE"""),"Yes")</f>
        <v>Yes</v>
      </c>
      <c r="D171" s="21" t="str">
        <f>IFERROR(__xludf.DUMMYFUNCTION("""COMPUTED_VALUE"""),"Removed")</f>
        <v>Removed</v>
      </c>
      <c r="E171" s="279">
        <f>IFERROR(__xludf.DUMMYFUNCTION("""COMPUTED_VALUE"""),45411.0)</f>
        <v>45411</v>
      </c>
      <c r="F171" s="276">
        <f>IFERROR(__xludf.DUMMYFUNCTION("""COMPUTED_VALUE"""),45777.0)</f>
        <v>45777</v>
      </c>
      <c r="G171" s="27">
        <f>IFERROR(__xludf.DUMMYFUNCTION("""COMPUTED_VALUE"""),12.033333333333333)</f>
        <v>12.03333333</v>
      </c>
      <c r="H171" s="128">
        <f>IFERROR(__xludf.DUMMYFUNCTION("""COMPUTED_VALUE"""),44449.0)</f>
        <v>44449</v>
      </c>
      <c r="I171" s="27">
        <f>IFERROR(__xludf.DUMMYFUNCTION("""COMPUTED_VALUE"""),2.636111111111111)</f>
        <v>2.636111111</v>
      </c>
      <c r="J171" s="277">
        <f>IFERROR(__xludf.DUMMYFUNCTION("""COMPUTED_VALUE"""),78.0)</f>
        <v>78</v>
      </c>
      <c r="K171" s="277">
        <f>IFERROR(__xludf.DUMMYFUNCTION("""COMPUTED_VALUE"""),5.0)</f>
        <v>5</v>
      </c>
      <c r="L171" s="275" t="str">
        <f>IFERROR(__xludf.DUMMYFUNCTION("""COMPUTED_VALUE"""),"Action-Adventure")</f>
        <v>Action-Adventure</v>
      </c>
    </row>
    <row r="172" hidden="1">
      <c r="A172" s="278" t="str">
        <f>IFERROR(__xludf.DUMMYFUNCTION("""COMPUTED_VALUE"""),"Thirsty Suitors")</f>
        <v>Thirsty Suitors</v>
      </c>
      <c r="B172" s="20" t="str">
        <f>IFERROR(__xludf.DUMMYFUNCTION("""COMPUTED_VALUE"""),"Xbox / PC")</f>
        <v>Xbox / PC</v>
      </c>
      <c r="C172" s="21" t="str">
        <f>IFERROR(__xludf.DUMMYFUNCTION("""COMPUTED_VALUE"""),"Yes")</f>
        <v>Yes</v>
      </c>
      <c r="D172" s="21" t="str">
        <f>IFERROR(__xludf.DUMMYFUNCTION("""COMPUTED_VALUE"""),"Removed")</f>
        <v>Removed</v>
      </c>
      <c r="E172" s="279">
        <f>IFERROR(__xludf.DUMMYFUNCTION("""COMPUTED_VALUE"""),45232.0)</f>
        <v>45232</v>
      </c>
      <c r="F172" s="279">
        <f>IFERROR(__xludf.DUMMYFUNCTION("""COMPUTED_VALUE"""),45777.0)</f>
        <v>45777</v>
      </c>
      <c r="G172" s="27">
        <f>IFERROR(__xludf.DUMMYFUNCTION("""COMPUTED_VALUE"""),17.933333333333334)</f>
        <v>17.93333333</v>
      </c>
      <c r="H172" s="128">
        <f>IFERROR(__xludf.DUMMYFUNCTION("""COMPUTED_VALUE"""),45232.0)</f>
        <v>45232</v>
      </c>
      <c r="I172" s="27">
        <f>IFERROR(__xludf.DUMMYFUNCTION("""COMPUTED_VALUE"""),0.0)</f>
        <v>0</v>
      </c>
      <c r="J172" s="29">
        <f>IFERROR(__xludf.DUMMYFUNCTION("""COMPUTED_VALUE"""),80.0)</f>
        <v>80</v>
      </c>
      <c r="K172" s="29">
        <f>IFERROR(__xludf.DUMMYFUNCTION("""COMPUTED_VALUE"""),8.0)</f>
        <v>8</v>
      </c>
      <c r="L172" s="275" t="str">
        <f>IFERROR(__xludf.DUMMYFUNCTION("""COMPUTED_VALUE"""),"RPG")</f>
        <v>RPG</v>
      </c>
    </row>
    <row r="173" hidden="1">
      <c r="A173" s="278" t="str">
        <f>IFERROR(__xludf.DUMMYFUNCTION("""COMPUTED_VALUE"""),"The Last Case of Benedict Fox")</f>
        <v>The Last Case of Benedict Fox</v>
      </c>
      <c r="B173" s="20" t="str">
        <f>IFERROR(__xludf.DUMMYFUNCTION("""COMPUTED_VALUE"""),"Xbox / PC")</f>
        <v>Xbox / PC</v>
      </c>
      <c r="C173" s="21"/>
      <c r="D173" s="21" t="str">
        <f>IFERROR(__xludf.DUMMYFUNCTION("""COMPUTED_VALUE"""),"Removed")</f>
        <v>Removed</v>
      </c>
      <c r="E173" s="279">
        <f>IFERROR(__xludf.DUMMYFUNCTION("""COMPUTED_VALUE"""),45043.0)</f>
        <v>45043</v>
      </c>
      <c r="F173" s="279">
        <f>IFERROR(__xludf.DUMMYFUNCTION("""COMPUTED_VALUE"""),45777.0)</f>
        <v>45777</v>
      </c>
      <c r="G173" s="27">
        <f>IFERROR(__xludf.DUMMYFUNCTION("""COMPUTED_VALUE"""),24.1)</f>
        <v>24.1</v>
      </c>
      <c r="H173" s="128">
        <f>IFERROR(__xludf.DUMMYFUNCTION("""COMPUTED_VALUE"""),45043.0)</f>
        <v>45043</v>
      </c>
      <c r="I173" s="27">
        <f>IFERROR(__xludf.DUMMYFUNCTION("""COMPUTED_VALUE"""),0.0)</f>
        <v>0</v>
      </c>
      <c r="J173" s="29">
        <f>IFERROR(__xludf.DUMMYFUNCTION("""COMPUTED_VALUE"""),66.0)</f>
        <v>66</v>
      </c>
      <c r="K173" s="29">
        <f>IFERROR(__xludf.DUMMYFUNCTION("""COMPUTED_VALUE"""),11.0)</f>
        <v>11</v>
      </c>
      <c r="L173" s="275" t="str">
        <f>IFERROR(__xludf.DUMMYFUNCTION("""COMPUTED_VALUE"""),"Horror")</f>
        <v>Horror</v>
      </c>
    </row>
    <row r="174" hidden="1">
      <c r="A174" s="278" t="str">
        <f>IFERROR(__xludf.DUMMYFUNCTION("""COMPUTED_VALUE"""),"NHL 23")</f>
        <v>NHL 23</v>
      </c>
      <c r="B174" s="20" t="str">
        <f>IFERROR(__xludf.DUMMYFUNCTION("""COMPUTED_VALUE"""),"Xbox")</f>
        <v>Xbox</v>
      </c>
      <c r="C174" s="21"/>
      <c r="D174" s="21" t="str">
        <f>IFERROR(__xludf.DUMMYFUNCTION("""COMPUTED_VALUE"""),"Removed")</f>
        <v>Removed</v>
      </c>
      <c r="E174" s="279">
        <f>IFERROR(__xludf.DUMMYFUNCTION("""COMPUTED_VALUE"""),45029.0)</f>
        <v>45029</v>
      </c>
      <c r="F174" s="279">
        <f>IFERROR(__xludf.DUMMYFUNCTION("""COMPUTED_VALUE"""),45777.0)</f>
        <v>45777</v>
      </c>
      <c r="G174" s="27">
        <f>IFERROR(__xludf.DUMMYFUNCTION("""COMPUTED_VALUE"""),24.566666666666663)</f>
        <v>24.56666667</v>
      </c>
      <c r="H174" s="128">
        <f>IFERROR(__xludf.DUMMYFUNCTION("""COMPUTED_VALUE"""),44845.0)</f>
        <v>44845</v>
      </c>
      <c r="I174" s="27">
        <f>IFERROR(__xludf.DUMMYFUNCTION("""COMPUTED_VALUE"""),0.5055555555555555)</f>
        <v>0.5055555556</v>
      </c>
      <c r="J174" s="29">
        <f>IFERROR(__xludf.DUMMYFUNCTION("""COMPUTED_VALUE"""),71.0)</f>
        <v>71</v>
      </c>
      <c r="K174" s="29">
        <f>IFERROR(__xludf.DUMMYFUNCTION("""COMPUTED_VALUE"""),12.0)</f>
        <v>12</v>
      </c>
      <c r="L174" s="275" t="str">
        <f>IFERROR(__xludf.DUMMYFUNCTION("""COMPUTED_VALUE"""),"Sports")</f>
        <v>Sports</v>
      </c>
    </row>
    <row r="175" hidden="1">
      <c r="A175" s="17" t="str">
        <f>IFERROR(__xludf.DUMMYFUNCTION("""COMPUTED_VALUE"""),"Sniper Elite 5")</f>
        <v>Sniper Elite 5</v>
      </c>
      <c r="B175" s="20" t="str">
        <f>IFERROR(__xludf.DUMMYFUNCTION("""COMPUTED_VALUE"""),"Xbox / PC")</f>
        <v>Xbox / PC</v>
      </c>
      <c r="C175" s="21" t="str">
        <f>IFERROR(__xludf.DUMMYFUNCTION("""COMPUTED_VALUE"""),"M+KB")</f>
        <v>M+KB</v>
      </c>
      <c r="D175" s="21" t="str">
        <f>IFERROR(__xludf.DUMMYFUNCTION("""COMPUTED_VALUE"""),"Removed")</f>
        <v>Removed</v>
      </c>
      <c r="E175" s="279">
        <f>IFERROR(__xludf.DUMMYFUNCTION("""COMPUTED_VALUE"""),44707.0)</f>
        <v>44707</v>
      </c>
      <c r="F175" s="279">
        <f>IFERROR(__xludf.DUMMYFUNCTION("""COMPUTED_VALUE"""),45777.0)</f>
        <v>45777</v>
      </c>
      <c r="G175" s="27">
        <f>IFERROR(__xludf.DUMMYFUNCTION("""COMPUTED_VALUE"""),35.13333333333333)</f>
        <v>35.13333333</v>
      </c>
      <c r="H175" s="128">
        <f>IFERROR(__xludf.DUMMYFUNCTION("""COMPUTED_VALUE"""),44707.0)</f>
        <v>44707</v>
      </c>
      <c r="I175" s="27">
        <f>IFERROR(__xludf.DUMMYFUNCTION("""COMPUTED_VALUE"""),0.0)</f>
        <v>0</v>
      </c>
      <c r="J175" s="29">
        <f>IFERROR(__xludf.DUMMYFUNCTION("""COMPUTED_VALUE"""),77.0)</f>
        <v>77</v>
      </c>
      <c r="K175" s="29">
        <f>IFERROR(__xludf.DUMMYFUNCTION("""COMPUTED_VALUE"""),9.0)</f>
        <v>9</v>
      </c>
      <c r="L175" s="275" t="str">
        <f>IFERROR(__xludf.DUMMYFUNCTION("""COMPUTED_VALUE"""),"Shooter")</f>
        <v>Shooter</v>
      </c>
    </row>
    <row r="176" hidden="1">
      <c r="A176" s="278" t="str">
        <f>IFERROR(__xludf.DUMMYFUNCTION("""COMPUTED_VALUE"""),"Orcs Must Die! 3")</f>
        <v>Orcs Must Die! 3</v>
      </c>
      <c r="B176" s="20" t="str">
        <f>IFERROR(__xludf.DUMMYFUNCTION("""COMPUTED_VALUE"""),"Xbox / PC")</f>
        <v>Xbox / PC</v>
      </c>
      <c r="C176" s="21" t="str">
        <f>IFERROR(__xludf.DUMMYFUNCTION("""COMPUTED_VALUE"""),"Yes")</f>
        <v>Yes</v>
      </c>
      <c r="D176" s="21" t="str">
        <f>IFERROR(__xludf.DUMMYFUNCTION("""COMPUTED_VALUE"""),"Removed")</f>
        <v>Removed</v>
      </c>
      <c r="E176" s="279">
        <f>IFERROR(__xludf.DUMMYFUNCTION("""COMPUTED_VALUE"""),45399.0)</f>
        <v>45399</v>
      </c>
      <c r="F176" s="279">
        <f>IFERROR(__xludf.DUMMYFUNCTION("""COMPUTED_VALUE"""),45762.0)</f>
        <v>45762</v>
      </c>
      <c r="G176" s="27">
        <f>IFERROR(__xludf.DUMMYFUNCTION("""COMPUTED_VALUE"""),11.933333333333334)</f>
        <v>11.93333333</v>
      </c>
      <c r="H176" s="128">
        <f>IFERROR(__xludf.DUMMYFUNCTION("""COMPUTED_VALUE"""),44400.0)</f>
        <v>44400</v>
      </c>
      <c r="I176" s="27">
        <f>IFERROR(__xludf.DUMMYFUNCTION("""COMPUTED_VALUE"""),2.7333333333333334)</f>
        <v>2.733333333</v>
      </c>
      <c r="J176" s="29">
        <f>IFERROR(__xludf.DUMMYFUNCTION("""COMPUTED_VALUE"""),77.0)</f>
        <v>77</v>
      </c>
      <c r="K176" s="29">
        <f>IFERROR(__xludf.DUMMYFUNCTION("""COMPUTED_VALUE"""),10.0)</f>
        <v>10</v>
      </c>
      <c r="L176" s="275" t="str">
        <f>IFERROR(__xludf.DUMMYFUNCTION("""COMPUTED_VALUE"""),"Strategy")</f>
        <v>Strategy</v>
      </c>
    </row>
    <row r="177" hidden="1">
      <c r="A177" s="17" t="str">
        <f>IFERROR(__xludf.DUMMYFUNCTION("""COMPUTED_VALUE"""),"Harold Halibut")</f>
        <v>Harold Halibut</v>
      </c>
      <c r="B177" s="20" t="str">
        <f>IFERROR(__xludf.DUMMYFUNCTION("""COMPUTED_VALUE"""),"Xbox / PC")</f>
        <v>Xbox / PC</v>
      </c>
      <c r="C177" s="20" t="str">
        <f>IFERROR(__xludf.DUMMYFUNCTION("""COMPUTED_VALUE"""),"Yes")</f>
        <v>Yes</v>
      </c>
      <c r="D177" s="21" t="str">
        <f>IFERROR(__xludf.DUMMYFUNCTION("""COMPUTED_VALUE"""),"Removed")</f>
        <v>Removed</v>
      </c>
      <c r="E177" s="127">
        <f>IFERROR(__xludf.DUMMYFUNCTION("""COMPUTED_VALUE"""),45398.0)</f>
        <v>45398</v>
      </c>
      <c r="F177" s="276">
        <f>IFERROR(__xludf.DUMMYFUNCTION("""COMPUTED_VALUE"""),45762.0)</f>
        <v>45762</v>
      </c>
      <c r="G177" s="27">
        <f>IFERROR(__xludf.DUMMYFUNCTION("""COMPUTED_VALUE"""),11.966666666666667)</f>
        <v>11.96666667</v>
      </c>
      <c r="H177" s="128">
        <f>IFERROR(__xludf.DUMMYFUNCTION("""COMPUTED_VALUE"""),45398.0)</f>
        <v>45398</v>
      </c>
      <c r="I177" s="27">
        <f>IFERROR(__xludf.DUMMYFUNCTION("""COMPUTED_VALUE"""),0.0)</f>
        <v>0</v>
      </c>
      <c r="J177" s="29">
        <f>IFERROR(__xludf.DUMMYFUNCTION("""COMPUTED_VALUE"""),70.0)</f>
        <v>70</v>
      </c>
      <c r="K177" s="29">
        <f>IFERROR(__xludf.DUMMYFUNCTION("""COMPUTED_VALUE"""),10.0)</f>
        <v>10</v>
      </c>
      <c r="L177" s="31" t="str">
        <f>IFERROR(__xludf.DUMMYFUNCTION("""COMPUTED_VALUE"""),"Adventure")</f>
        <v>Adventure</v>
      </c>
    </row>
    <row r="178" hidden="1">
      <c r="A178" s="278" t="str">
        <f>IFERROR(__xludf.DUMMYFUNCTION("""COMPUTED_VALUE"""),"Botany Manor")</f>
        <v>Botany Manor</v>
      </c>
      <c r="B178" s="20" t="str">
        <f>IFERROR(__xludf.DUMMYFUNCTION("""COMPUTED_VALUE"""),"Xbox / PC")</f>
        <v>Xbox / PC</v>
      </c>
      <c r="C178" s="21" t="str">
        <f>IFERROR(__xludf.DUMMYFUNCTION("""COMPUTED_VALUE"""),"Yes")</f>
        <v>Yes</v>
      </c>
      <c r="D178" s="21" t="str">
        <f>IFERROR(__xludf.DUMMYFUNCTION("""COMPUTED_VALUE"""),"Removed")</f>
        <v>Removed</v>
      </c>
      <c r="E178" s="279">
        <f>IFERROR(__xludf.DUMMYFUNCTION("""COMPUTED_VALUE"""),45391.0)</f>
        <v>45391</v>
      </c>
      <c r="F178" s="279">
        <f>IFERROR(__xludf.DUMMYFUNCTION("""COMPUTED_VALUE"""),45762.0)</f>
        <v>45762</v>
      </c>
      <c r="G178" s="27">
        <f>IFERROR(__xludf.DUMMYFUNCTION("""COMPUTED_VALUE"""),12.2)</f>
        <v>12.2</v>
      </c>
      <c r="H178" s="128">
        <f>IFERROR(__xludf.DUMMYFUNCTION("""COMPUTED_VALUE"""),45391.0)</f>
        <v>45391</v>
      </c>
      <c r="I178" s="27">
        <f>IFERROR(__xludf.DUMMYFUNCTION("""COMPUTED_VALUE"""),0.0)</f>
        <v>0</v>
      </c>
      <c r="J178" s="29">
        <f>IFERROR(__xludf.DUMMYFUNCTION("""COMPUTED_VALUE"""),84.0)</f>
        <v>84</v>
      </c>
      <c r="K178" s="29">
        <f>IFERROR(__xludf.DUMMYFUNCTION("""COMPUTED_VALUE"""),3.0)</f>
        <v>3</v>
      </c>
      <c r="L178" s="275" t="str">
        <f>IFERROR(__xludf.DUMMYFUNCTION("""COMPUTED_VALUE"""),"Adventure")</f>
        <v>Adventure</v>
      </c>
    </row>
    <row r="179" hidden="1">
      <c r="A179" s="17" t="str">
        <f>IFERROR(__xludf.DUMMYFUNCTION("""COMPUTED_VALUE"""),"Kona")</f>
        <v>Kona</v>
      </c>
      <c r="B179" s="20" t="str">
        <f>IFERROR(__xludf.DUMMYFUNCTION("""COMPUTED_VALUE"""),"Xbox")</f>
        <v>Xbox</v>
      </c>
      <c r="C179" s="21" t="str">
        <f>IFERROR(__xludf.DUMMYFUNCTION("""COMPUTED_VALUE"""),"Yes")</f>
        <v>Yes</v>
      </c>
      <c r="D179" s="21" t="str">
        <f>IFERROR(__xludf.DUMMYFUNCTION("""COMPUTED_VALUE"""),"Removed")</f>
        <v>Removed</v>
      </c>
      <c r="E179" s="279">
        <f>IFERROR(__xludf.DUMMYFUNCTION("""COMPUTED_VALUE"""),45391.0)</f>
        <v>45391</v>
      </c>
      <c r="F179" s="279">
        <f>IFERROR(__xludf.DUMMYFUNCTION("""COMPUTED_VALUE"""),45762.0)</f>
        <v>45762</v>
      </c>
      <c r="G179" s="27">
        <f>IFERROR(__xludf.DUMMYFUNCTION("""COMPUTED_VALUE"""),12.2)</f>
        <v>12.2</v>
      </c>
      <c r="H179" s="128">
        <f>IFERROR(__xludf.DUMMYFUNCTION("""COMPUTED_VALUE"""),42439.0)</f>
        <v>42439</v>
      </c>
      <c r="I179" s="27">
        <f>IFERROR(__xludf.DUMMYFUNCTION("""COMPUTED_VALUE"""),8.080555555555556)</f>
        <v>8.080555556</v>
      </c>
      <c r="J179" s="29">
        <f>IFERROR(__xludf.DUMMYFUNCTION("""COMPUTED_VALUE"""),71.0)</f>
        <v>71</v>
      </c>
      <c r="K179" s="29">
        <f>IFERROR(__xludf.DUMMYFUNCTION("""COMPUTED_VALUE"""),5.5)</f>
        <v>5.5</v>
      </c>
      <c r="L179" s="275" t="str">
        <f>IFERROR(__xludf.DUMMYFUNCTION("""COMPUTED_VALUE"""),"Adventure")</f>
        <v>Adventure</v>
      </c>
    </row>
    <row r="180" hidden="1">
      <c r="A180" s="278" t="str">
        <f>IFERROR(__xludf.DUMMYFUNCTION("""COMPUTED_VALUE"""),"Homestead Arcana")</f>
        <v>Homestead Arcana</v>
      </c>
      <c r="B180" s="20" t="str">
        <f>IFERROR(__xludf.DUMMYFUNCTION("""COMPUTED_VALUE"""),"Xbox / PC")</f>
        <v>Xbox / PC</v>
      </c>
      <c r="C180" s="21" t="str">
        <f>IFERROR(__xludf.DUMMYFUNCTION("""COMPUTED_VALUE"""),"Yes")</f>
        <v>Yes</v>
      </c>
      <c r="D180" s="21" t="str">
        <f>IFERROR(__xludf.DUMMYFUNCTION("""COMPUTED_VALUE"""),"Removed")</f>
        <v>Removed</v>
      </c>
      <c r="E180" s="279">
        <f>IFERROR(__xludf.DUMMYFUNCTION("""COMPUTED_VALUE"""),45037.0)</f>
        <v>45037</v>
      </c>
      <c r="F180" s="279">
        <f>IFERROR(__xludf.DUMMYFUNCTION("""COMPUTED_VALUE"""),45762.0)</f>
        <v>45762</v>
      </c>
      <c r="G180" s="27">
        <f>IFERROR(__xludf.DUMMYFUNCTION("""COMPUTED_VALUE"""),23.8)</f>
        <v>23.8</v>
      </c>
      <c r="H180" s="128">
        <f>IFERROR(__xludf.DUMMYFUNCTION("""COMPUTED_VALUE"""),45037.0)</f>
        <v>45037</v>
      </c>
      <c r="I180" s="27">
        <f>IFERROR(__xludf.DUMMYFUNCTION("""COMPUTED_VALUE"""),0.0)</f>
        <v>0</v>
      </c>
      <c r="J180" s="29">
        <f>IFERROR(__xludf.DUMMYFUNCTION("""COMPUTED_VALUE"""),59.0)</f>
        <v>59</v>
      </c>
      <c r="K180" s="29">
        <f>IFERROR(__xludf.DUMMYFUNCTION("""COMPUTED_VALUE"""),13.0)</f>
        <v>13</v>
      </c>
      <c r="L180" s="275" t="str">
        <f>IFERROR(__xludf.DUMMYFUNCTION("""COMPUTED_VALUE"""),"Sandbox")</f>
        <v>Sandbox</v>
      </c>
    </row>
    <row r="181" hidden="1">
      <c r="A181" s="17" t="str">
        <f>IFERROR(__xludf.DUMMYFUNCTION("""COMPUTED_VALUE"""),"Coral Island")</f>
        <v>Coral Island</v>
      </c>
      <c r="B181" s="20" t="str">
        <f>IFERROR(__xludf.DUMMYFUNCTION("""COMPUTED_VALUE"""),"Xbox / PC")</f>
        <v>Xbox / PC</v>
      </c>
      <c r="C181" s="21" t="str">
        <f>IFERROR(__xludf.DUMMYFUNCTION("""COMPUTED_VALUE"""),"Yes")</f>
        <v>Yes</v>
      </c>
      <c r="D181" s="21" t="str">
        <f>IFERROR(__xludf.DUMMYFUNCTION("""COMPUTED_VALUE"""),"Removed")</f>
        <v>Removed</v>
      </c>
      <c r="E181" s="279">
        <f>IFERROR(__xludf.DUMMYFUNCTION("""COMPUTED_VALUE"""),44845.0)</f>
        <v>44845</v>
      </c>
      <c r="F181" s="279">
        <f>IFERROR(__xludf.DUMMYFUNCTION("""COMPUTED_VALUE"""),45762.0)</f>
        <v>45762</v>
      </c>
      <c r="G181" s="27">
        <f>IFERROR(__xludf.DUMMYFUNCTION("""COMPUTED_VALUE"""),30.133333333333333)</f>
        <v>30.13333333</v>
      </c>
      <c r="H181" s="128">
        <f>IFERROR(__xludf.DUMMYFUNCTION("""COMPUTED_VALUE"""),44845.0)</f>
        <v>44845</v>
      </c>
      <c r="I181" s="27">
        <f>IFERROR(__xludf.DUMMYFUNCTION("""COMPUTED_VALUE"""),0.0)</f>
        <v>0</v>
      </c>
      <c r="J181" s="29">
        <f>IFERROR(__xludf.DUMMYFUNCTION("""COMPUTED_VALUE"""),82.0)</f>
        <v>82</v>
      </c>
      <c r="K181" s="29">
        <f>IFERROR(__xludf.DUMMYFUNCTION("""COMPUTED_VALUE"""),23.0)</f>
        <v>23</v>
      </c>
      <c r="L181" s="31" t="str">
        <f>IFERROR(__xludf.DUMMYFUNCTION("""COMPUTED_VALUE"""),"RPG")</f>
        <v>RPG</v>
      </c>
    </row>
    <row r="182" hidden="1">
      <c r="A182" s="278" t="str">
        <f>IFERROR(__xludf.DUMMYFUNCTION("""COMPUTED_VALUE"""),"Turbo Golf Racing (Game Preview)")</f>
        <v>Turbo Golf Racing (Game Preview)</v>
      </c>
      <c r="B182" s="20" t="str">
        <f>IFERROR(__xludf.DUMMYFUNCTION("""COMPUTED_VALUE"""),"Xbox / PC")</f>
        <v>Xbox / PC</v>
      </c>
      <c r="C182" s="21" t="str">
        <f>IFERROR(__xludf.DUMMYFUNCTION("""COMPUTED_VALUE"""),"Touch Controls")</f>
        <v>Touch Controls</v>
      </c>
      <c r="D182" s="21" t="str">
        <f>IFERROR(__xludf.DUMMYFUNCTION("""COMPUTED_VALUE"""),"Removed")</f>
        <v>Removed</v>
      </c>
      <c r="E182" s="279">
        <f>IFERROR(__xludf.DUMMYFUNCTION("""COMPUTED_VALUE"""),44777.0)</f>
        <v>44777</v>
      </c>
      <c r="F182" s="279">
        <f>IFERROR(__xludf.DUMMYFUNCTION("""COMPUTED_VALUE"""),45762.0)</f>
        <v>45762</v>
      </c>
      <c r="G182" s="27">
        <f>IFERROR(__xludf.DUMMYFUNCTION("""COMPUTED_VALUE"""),32.36666666666667)</f>
        <v>32.36666667</v>
      </c>
      <c r="H182" s="128">
        <f>IFERROR(__xludf.DUMMYFUNCTION("""COMPUTED_VALUE"""),44777.0)</f>
        <v>44777</v>
      </c>
      <c r="I182" s="27">
        <f>IFERROR(__xludf.DUMMYFUNCTION("""COMPUTED_VALUE"""),0.0)</f>
        <v>0</v>
      </c>
      <c r="J182" s="29">
        <f>IFERROR(__xludf.DUMMYFUNCTION("""COMPUTED_VALUE"""),73.0)</f>
        <v>73</v>
      </c>
      <c r="K182" s="29">
        <f>IFERROR(__xludf.DUMMYFUNCTION("""COMPUTED_VALUE"""),2.0)</f>
        <v>2</v>
      </c>
      <c r="L182" s="275" t="str">
        <f>IFERROR(__xludf.DUMMYFUNCTION("""COMPUTED_VALUE"""),"Racing")</f>
        <v>Racing</v>
      </c>
    </row>
    <row r="183" hidden="1">
      <c r="A183" s="17" t="str">
        <f>IFERROR(__xludf.DUMMYFUNCTION("""COMPUTED_VALUE"""),"Lil Gator Game")</f>
        <v>Lil Gator Game</v>
      </c>
      <c r="B183" s="20" t="str">
        <f>IFERROR(__xludf.DUMMYFUNCTION("""COMPUTED_VALUE"""),"Xbox / PC")</f>
        <v>Xbox / PC</v>
      </c>
      <c r="C183" s="21" t="str">
        <f>IFERROR(__xludf.DUMMYFUNCTION("""COMPUTED_VALUE"""),"Yes")</f>
        <v>Yes</v>
      </c>
      <c r="D183" s="21" t="str">
        <f>IFERROR(__xludf.DUMMYFUNCTION("""COMPUTED_VALUE"""),"Removed")</f>
        <v>Removed</v>
      </c>
      <c r="E183" s="279">
        <f>IFERROR(__xludf.DUMMYFUNCTION("""COMPUTED_VALUE"""),45386.0)</f>
        <v>45386</v>
      </c>
      <c r="F183" s="279">
        <f>IFERROR(__xludf.DUMMYFUNCTION("""COMPUTED_VALUE"""),45747.0)</f>
        <v>45747</v>
      </c>
      <c r="G183" s="27">
        <f>IFERROR(__xludf.DUMMYFUNCTION("""COMPUTED_VALUE"""),11.866666666666667)</f>
        <v>11.86666667</v>
      </c>
      <c r="H183" s="128">
        <f>IFERROR(__xludf.DUMMYFUNCTION("""COMPUTED_VALUE"""),44665.0)</f>
        <v>44665</v>
      </c>
      <c r="I183" s="27">
        <f>IFERROR(__xludf.DUMMYFUNCTION("""COMPUTED_VALUE"""),1.9722222222222223)</f>
        <v>1.972222222</v>
      </c>
      <c r="J183" s="29">
        <f>IFERROR(__xludf.DUMMYFUNCTION("""COMPUTED_VALUE"""),84.0)</f>
        <v>84</v>
      </c>
      <c r="K183" s="29">
        <f>IFERROR(__xludf.DUMMYFUNCTION("""COMPUTED_VALUE"""),3.0)</f>
        <v>3</v>
      </c>
      <c r="L183" s="282" t="str">
        <f>IFERROR(__xludf.DUMMYFUNCTION("""COMPUTED_VALUE"""),"Action")</f>
        <v>Action</v>
      </c>
    </row>
    <row r="184" hidden="1">
      <c r="A184" s="278" t="str">
        <f>IFERROR(__xludf.DUMMYFUNCTION("""COMPUTED_VALUE"""),"Hot Wheels Unleashed 2: Turbocharged")</f>
        <v>Hot Wheels Unleashed 2: Turbocharged</v>
      </c>
      <c r="B184" s="20" t="str">
        <f>IFERROR(__xludf.DUMMYFUNCTION("""COMPUTED_VALUE"""),"Xbox / PC")</f>
        <v>Xbox / PC</v>
      </c>
      <c r="C184" s="21" t="str">
        <f>IFERROR(__xludf.DUMMYFUNCTION("""COMPUTED_VALUE"""),"Yes")</f>
        <v>Yes</v>
      </c>
      <c r="D184" s="21" t="str">
        <f>IFERROR(__xludf.DUMMYFUNCTION("""COMPUTED_VALUE"""),"Removed")</f>
        <v>Removed</v>
      </c>
      <c r="E184" s="279">
        <f>IFERROR(__xludf.DUMMYFUNCTION("""COMPUTED_VALUE"""),45379.0)</f>
        <v>45379</v>
      </c>
      <c r="F184" s="279">
        <f>IFERROR(__xludf.DUMMYFUNCTION("""COMPUTED_VALUE"""),45747.0)</f>
        <v>45747</v>
      </c>
      <c r="G184" s="27">
        <f>IFERROR(__xludf.DUMMYFUNCTION("""COMPUTED_VALUE"""),12.066666666666666)</f>
        <v>12.06666667</v>
      </c>
      <c r="H184" s="128">
        <f>IFERROR(__xludf.DUMMYFUNCTION("""COMPUTED_VALUE"""),45218.0)</f>
        <v>45218</v>
      </c>
      <c r="I184" s="27">
        <f>IFERROR(__xludf.DUMMYFUNCTION("""COMPUTED_VALUE"""),0.44166666666666665)</f>
        <v>0.4416666667</v>
      </c>
      <c r="J184" s="29">
        <f>IFERROR(__xludf.DUMMYFUNCTION("""COMPUTED_VALUE"""),77.0)</f>
        <v>77</v>
      </c>
      <c r="K184" s="29">
        <f>IFERROR(__xludf.DUMMYFUNCTION("""COMPUTED_VALUE"""),8.0)</f>
        <v>8</v>
      </c>
      <c r="L184" s="31" t="str">
        <f>IFERROR(__xludf.DUMMYFUNCTION("""COMPUTED_VALUE"""),"Racing")</f>
        <v>Racing</v>
      </c>
    </row>
    <row r="185" hidden="1">
      <c r="A185" s="278" t="str">
        <f>IFERROR(__xludf.DUMMYFUNCTION("""COMPUTED_VALUE"""),"Open Roads")</f>
        <v>Open Roads</v>
      </c>
      <c r="B185" s="20" t="str">
        <f>IFERROR(__xludf.DUMMYFUNCTION("""COMPUTED_VALUE"""),"Xbox / PC")</f>
        <v>Xbox / PC</v>
      </c>
      <c r="C185" s="21" t="str">
        <f>IFERROR(__xludf.DUMMYFUNCTION("""COMPUTED_VALUE"""),"Yes")</f>
        <v>Yes</v>
      </c>
      <c r="D185" s="21" t="str">
        <f>IFERROR(__xludf.DUMMYFUNCTION("""COMPUTED_VALUE"""),"Removed")</f>
        <v>Removed</v>
      </c>
      <c r="E185" s="279">
        <f>IFERROR(__xludf.DUMMYFUNCTION("""COMPUTED_VALUE"""),45379.0)</f>
        <v>45379</v>
      </c>
      <c r="F185" s="279">
        <f>IFERROR(__xludf.DUMMYFUNCTION("""COMPUTED_VALUE"""),45747.0)</f>
        <v>45747</v>
      </c>
      <c r="G185" s="27">
        <f>IFERROR(__xludf.DUMMYFUNCTION("""COMPUTED_VALUE"""),12.066666666666666)</f>
        <v>12.06666667</v>
      </c>
      <c r="H185" s="128">
        <f>IFERROR(__xludf.DUMMYFUNCTION("""COMPUTED_VALUE"""),45379.0)</f>
        <v>45379</v>
      </c>
      <c r="I185" s="27">
        <f>IFERROR(__xludf.DUMMYFUNCTION("""COMPUTED_VALUE"""),0.0)</f>
        <v>0</v>
      </c>
      <c r="J185" s="29">
        <f>IFERROR(__xludf.DUMMYFUNCTION("""COMPUTED_VALUE"""),67.0)</f>
        <v>67</v>
      </c>
      <c r="K185" s="29">
        <f>IFERROR(__xludf.DUMMYFUNCTION("""COMPUTED_VALUE"""),3.0)</f>
        <v>3</v>
      </c>
      <c r="L185" s="275" t="str">
        <f>IFERROR(__xludf.DUMMYFUNCTION("""COMPUTED_VALUE"""),"Adventure")</f>
        <v>Adventure</v>
      </c>
    </row>
    <row r="186" hidden="1">
      <c r="A186" s="278" t="str">
        <f>IFERROR(__xludf.DUMMYFUNCTION("""COMPUTED_VALUE"""),"MLB The Show 24")</f>
        <v>MLB The Show 24</v>
      </c>
      <c r="B186" s="20" t="str">
        <f>IFERROR(__xludf.DUMMYFUNCTION("""COMPUTED_VALUE"""),"Xbox")</f>
        <v>Xbox</v>
      </c>
      <c r="C186" s="21" t="str">
        <f>IFERROR(__xludf.DUMMYFUNCTION("""COMPUTED_VALUE"""),"Yes")</f>
        <v>Yes</v>
      </c>
      <c r="D186" s="21" t="str">
        <f>IFERROR(__xludf.DUMMYFUNCTION("""COMPUTED_VALUE"""),"Removed")</f>
        <v>Removed</v>
      </c>
      <c r="E186" s="279">
        <f>IFERROR(__xludf.DUMMYFUNCTION("""COMPUTED_VALUE"""),45370.0)</f>
        <v>45370</v>
      </c>
      <c r="F186" s="279">
        <f>IFERROR(__xludf.DUMMYFUNCTION("""COMPUTED_VALUE"""),45747.0)</f>
        <v>45747</v>
      </c>
      <c r="G186" s="27">
        <f>IFERROR(__xludf.DUMMYFUNCTION("""COMPUTED_VALUE"""),12.366666666666665)</f>
        <v>12.36666667</v>
      </c>
      <c r="H186" s="128">
        <f>IFERROR(__xludf.DUMMYFUNCTION("""COMPUTED_VALUE"""),45370.0)</f>
        <v>45370</v>
      </c>
      <c r="I186" s="27">
        <f>IFERROR(__xludf.DUMMYFUNCTION("""COMPUTED_VALUE"""),0.0)</f>
        <v>0</v>
      </c>
      <c r="J186" s="29">
        <f>IFERROR(__xludf.DUMMYFUNCTION("""COMPUTED_VALUE"""),78.0)</f>
        <v>78</v>
      </c>
      <c r="K186" s="29">
        <f>IFERROR(__xludf.DUMMYFUNCTION("""COMPUTED_VALUE"""),14.0)</f>
        <v>14</v>
      </c>
      <c r="L186" s="275" t="str">
        <f>IFERROR(__xludf.DUMMYFUNCTION("""COMPUTED_VALUE"""),"Sports")</f>
        <v>Sports</v>
      </c>
    </row>
    <row r="187" hidden="1">
      <c r="A187" s="278" t="str">
        <f>IFERROR(__xludf.DUMMYFUNCTION("""COMPUTED_VALUE"""),"The Lamplighters League")</f>
        <v>The Lamplighters League</v>
      </c>
      <c r="B187" s="20" t="str">
        <f>IFERROR(__xludf.DUMMYFUNCTION("""COMPUTED_VALUE"""),"Xbox / PC")</f>
        <v>Xbox / PC</v>
      </c>
      <c r="C187" s="21" t="str">
        <f>IFERROR(__xludf.DUMMYFUNCTION("""COMPUTED_VALUE"""),"Yes")</f>
        <v>Yes</v>
      </c>
      <c r="D187" s="21" t="str">
        <f>IFERROR(__xludf.DUMMYFUNCTION("""COMPUTED_VALUE"""),"Removed")</f>
        <v>Removed</v>
      </c>
      <c r="E187" s="279">
        <f>IFERROR(__xludf.DUMMYFUNCTION("""COMPUTED_VALUE"""),45202.0)</f>
        <v>45202</v>
      </c>
      <c r="F187" s="279">
        <f>IFERROR(__xludf.DUMMYFUNCTION("""COMPUTED_VALUE"""),45747.0)</f>
        <v>45747</v>
      </c>
      <c r="G187" s="27">
        <f>IFERROR(__xludf.DUMMYFUNCTION("""COMPUTED_VALUE"""),17.9)</f>
        <v>17.9</v>
      </c>
      <c r="H187" s="128">
        <f>IFERROR(__xludf.DUMMYFUNCTION("""COMPUTED_VALUE"""),45202.0)</f>
        <v>45202</v>
      </c>
      <c r="I187" s="27">
        <f>IFERROR(__xludf.DUMMYFUNCTION("""COMPUTED_VALUE"""),0.0)</f>
        <v>0</v>
      </c>
      <c r="J187" s="29">
        <f>IFERROR(__xludf.DUMMYFUNCTION("""COMPUTED_VALUE"""),76.0)</f>
        <v>76</v>
      </c>
      <c r="K187" s="29">
        <f>IFERROR(__xludf.DUMMYFUNCTION("""COMPUTED_VALUE"""),26.0)</f>
        <v>26</v>
      </c>
      <c r="L187" s="275" t="str">
        <f>IFERROR(__xludf.DUMMYFUNCTION("""COMPUTED_VALUE"""),"RPG")</f>
        <v>RPG</v>
      </c>
    </row>
    <row r="188" hidden="1">
      <c r="A188" s="278" t="str">
        <f>IFERROR(__xludf.DUMMYFUNCTION("""COMPUTED_VALUE"""),"Monster Hunter: Rise")</f>
        <v>Monster Hunter: Rise</v>
      </c>
      <c r="B188" s="20" t="str">
        <f>IFERROR(__xludf.DUMMYFUNCTION("""COMPUTED_VALUE"""),"Xbox / PC")</f>
        <v>Xbox / PC</v>
      </c>
      <c r="C188" s="21" t="str">
        <f>IFERROR(__xludf.DUMMYFUNCTION("""COMPUTED_VALUE"""),"Yes")</f>
        <v>Yes</v>
      </c>
      <c r="D188" s="21" t="str">
        <f>IFERROR(__xludf.DUMMYFUNCTION("""COMPUTED_VALUE"""),"Removed")</f>
        <v>Removed</v>
      </c>
      <c r="E188" s="279">
        <f>IFERROR(__xludf.DUMMYFUNCTION("""COMPUTED_VALUE"""),44946.0)</f>
        <v>44946</v>
      </c>
      <c r="F188" s="279">
        <f>IFERROR(__xludf.DUMMYFUNCTION("""COMPUTED_VALUE"""),45747.0)</f>
        <v>45747</v>
      </c>
      <c r="G188" s="27">
        <f>IFERROR(__xludf.DUMMYFUNCTION("""COMPUTED_VALUE"""),26.333333333333336)</f>
        <v>26.33333333</v>
      </c>
      <c r="H188" s="128">
        <f>IFERROR(__xludf.DUMMYFUNCTION("""COMPUTED_VALUE"""),44281.0)</f>
        <v>44281</v>
      </c>
      <c r="I188" s="27">
        <f>IFERROR(__xludf.DUMMYFUNCTION("""COMPUTED_VALUE"""),1.8166666666666667)</f>
        <v>1.816666667</v>
      </c>
      <c r="J188" s="29">
        <f>IFERROR(__xludf.DUMMYFUNCTION("""COMPUTED_VALUE"""),86.0)</f>
        <v>86</v>
      </c>
      <c r="K188" s="29">
        <f>IFERROR(__xludf.DUMMYFUNCTION("""COMPUTED_VALUE"""),21.0)</f>
        <v>21</v>
      </c>
      <c r="L188" s="275" t="str">
        <f>IFERROR(__xludf.DUMMYFUNCTION("""COMPUTED_VALUE"""),"RPG")</f>
        <v>RPG</v>
      </c>
    </row>
    <row r="189" hidden="1">
      <c r="A189" s="278" t="str">
        <f>IFERROR(__xludf.DUMMYFUNCTION("""COMPUTED_VALUE"""),"Yakuza 0")</f>
        <v>Yakuza 0</v>
      </c>
      <c r="B189" s="20" t="str">
        <f>IFERROR(__xludf.DUMMYFUNCTION("""COMPUTED_VALUE"""),"Xbox / PC")</f>
        <v>Xbox / PC</v>
      </c>
      <c r="C189" s="21" t="str">
        <f>IFERROR(__xludf.DUMMYFUNCTION("""COMPUTED_VALUE"""),"Touch Controls")</f>
        <v>Touch Controls</v>
      </c>
      <c r="D189" s="21" t="str">
        <f>IFERROR(__xludf.DUMMYFUNCTION("""COMPUTED_VALUE"""),"Removed")</f>
        <v>Removed</v>
      </c>
      <c r="E189" s="279">
        <f>IFERROR(__xludf.DUMMYFUNCTION("""COMPUTED_VALUE"""),44747.0)</f>
        <v>44747</v>
      </c>
      <c r="F189" s="279">
        <f>IFERROR(__xludf.DUMMYFUNCTION("""COMPUTED_VALUE"""),45747.0)</f>
        <v>45747</v>
      </c>
      <c r="G189" s="27">
        <f>IFERROR(__xludf.DUMMYFUNCTION("""COMPUTED_VALUE"""),32.833333333333336)</f>
        <v>32.83333333</v>
      </c>
      <c r="H189" s="128">
        <f>IFERROR(__xludf.DUMMYFUNCTION("""COMPUTED_VALUE"""),42075.0)</f>
        <v>42075</v>
      </c>
      <c r="I189" s="27">
        <f>IFERROR(__xludf.DUMMYFUNCTION("""COMPUTED_VALUE"""),7.313888888888889)</f>
        <v>7.313888889</v>
      </c>
      <c r="J189" s="29">
        <f>IFERROR(__xludf.DUMMYFUNCTION("""COMPUTED_VALUE"""),85.0)</f>
        <v>85</v>
      </c>
      <c r="K189" s="29">
        <f>IFERROR(__xludf.DUMMYFUNCTION("""COMPUTED_VALUE"""),31.0)</f>
        <v>31</v>
      </c>
      <c r="L189" s="31" t="str">
        <f>IFERROR(__xludf.DUMMYFUNCTION("""COMPUTED_VALUE"""),"RPG")</f>
        <v>RPG</v>
      </c>
    </row>
    <row r="190" hidden="1">
      <c r="A190" s="278" t="str">
        <f>IFERROR(__xludf.DUMMYFUNCTION("""COMPUTED_VALUE"""),"Yakuza Kiwami")</f>
        <v>Yakuza Kiwami</v>
      </c>
      <c r="B190" s="20" t="str">
        <f>IFERROR(__xludf.DUMMYFUNCTION("""COMPUTED_VALUE"""),"Xbox / PC")</f>
        <v>Xbox / PC</v>
      </c>
      <c r="C190" s="21" t="str">
        <f>IFERROR(__xludf.DUMMYFUNCTION("""COMPUTED_VALUE"""),"Touch Controls")</f>
        <v>Touch Controls</v>
      </c>
      <c r="D190" s="21" t="str">
        <f>IFERROR(__xludf.DUMMYFUNCTION("""COMPUTED_VALUE"""),"Removed")</f>
        <v>Removed</v>
      </c>
      <c r="E190" s="279">
        <f>IFERROR(__xludf.DUMMYFUNCTION("""COMPUTED_VALUE"""),44747.0)</f>
        <v>44747</v>
      </c>
      <c r="F190" s="279">
        <f>IFERROR(__xludf.DUMMYFUNCTION("""COMPUTED_VALUE"""),45747.0)</f>
        <v>45747</v>
      </c>
      <c r="G190" s="27">
        <f>IFERROR(__xludf.DUMMYFUNCTION("""COMPUTED_VALUE"""),32.833333333333336)</f>
        <v>32.83333333</v>
      </c>
      <c r="H190" s="128">
        <f>IFERROR(__xludf.DUMMYFUNCTION("""COMPUTED_VALUE"""),42390.0)</f>
        <v>42390</v>
      </c>
      <c r="I190" s="27">
        <f>IFERROR(__xludf.DUMMYFUNCTION("""COMPUTED_VALUE"""),6.455555555555556)</f>
        <v>6.455555556</v>
      </c>
      <c r="J190" s="29">
        <f>IFERROR(__xludf.DUMMYFUNCTION("""COMPUTED_VALUE"""),80.0)</f>
        <v>80</v>
      </c>
      <c r="K190" s="29">
        <f>IFERROR(__xludf.DUMMYFUNCTION("""COMPUTED_VALUE"""),18.0)</f>
        <v>18</v>
      </c>
      <c r="L190" s="275" t="str">
        <f>IFERROR(__xludf.DUMMYFUNCTION("""COMPUTED_VALUE"""),"Action-Adventure")</f>
        <v>Action-Adventure</v>
      </c>
    </row>
    <row r="191" hidden="1">
      <c r="A191" s="278" t="str">
        <f>IFERROR(__xludf.DUMMYFUNCTION("""COMPUTED_VALUE"""),"Yakuza Kiwami 2")</f>
        <v>Yakuza Kiwami 2</v>
      </c>
      <c r="B191" s="20" t="str">
        <f>IFERROR(__xludf.DUMMYFUNCTION("""COMPUTED_VALUE"""),"Xbox / PC")</f>
        <v>Xbox / PC</v>
      </c>
      <c r="C191" s="21" t="str">
        <f>IFERROR(__xludf.DUMMYFUNCTION("""COMPUTED_VALUE"""),"Touch Controls")</f>
        <v>Touch Controls</v>
      </c>
      <c r="D191" s="21" t="str">
        <f>IFERROR(__xludf.DUMMYFUNCTION("""COMPUTED_VALUE"""),"Removed")</f>
        <v>Removed</v>
      </c>
      <c r="E191" s="279">
        <f>IFERROR(__xludf.DUMMYFUNCTION("""COMPUTED_VALUE"""),44747.0)</f>
        <v>44747</v>
      </c>
      <c r="F191" s="279">
        <f>IFERROR(__xludf.DUMMYFUNCTION("""COMPUTED_VALUE"""),45747.0)</f>
        <v>45747</v>
      </c>
      <c r="G191" s="27">
        <f>IFERROR(__xludf.DUMMYFUNCTION("""COMPUTED_VALUE"""),32.833333333333336)</f>
        <v>32.83333333</v>
      </c>
      <c r="H191" s="128">
        <f>IFERROR(__xludf.DUMMYFUNCTION("""COMPUTED_VALUE"""),43076.0)</f>
        <v>43076</v>
      </c>
      <c r="I191" s="27">
        <f>IFERROR(__xludf.DUMMYFUNCTION("""COMPUTED_VALUE"""),4.5777777777777775)</f>
        <v>4.577777778</v>
      </c>
      <c r="J191" s="29">
        <f>IFERROR(__xludf.DUMMYFUNCTION("""COMPUTED_VALUE"""),82.0)</f>
        <v>82</v>
      </c>
      <c r="K191" s="29">
        <f>IFERROR(__xludf.DUMMYFUNCTION("""COMPUTED_VALUE"""),18.5)</f>
        <v>18.5</v>
      </c>
      <c r="L191" s="31" t="str">
        <f>IFERROR(__xludf.DUMMYFUNCTION("""COMPUTED_VALUE"""),"Action-Adventure")</f>
        <v>Action-Adventure</v>
      </c>
    </row>
    <row r="192" hidden="1">
      <c r="A192" s="17" t="str">
        <f>IFERROR(__xludf.DUMMYFUNCTION("""COMPUTED_VALUE"""),"Yakuza: Like a Dragon")</f>
        <v>Yakuza: Like a Dragon</v>
      </c>
      <c r="B192" s="20" t="str">
        <f>IFERROR(__xludf.DUMMYFUNCTION("""COMPUTED_VALUE"""),"Xbox / PC")</f>
        <v>Xbox / PC</v>
      </c>
      <c r="C192" s="20" t="str">
        <f>IFERROR(__xludf.DUMMYFUNCTION("""COMPUTED_VALUE"""),"Touch Controls")</f>
        <v>Touch Controls</v>
      </c>
      <c r="D192" s="21" t="str">
        <f>IFERROR(__xludf.DUMMYFUNCTION("""COMPUTED_VALUE"""),"Removed")</f>
        <v>Removed</v>
      </c>
      <c r="E192" s="127">
        <f>IFERROR(__xludf.DUMMYFUNCTION("""COMPUTED_VALUE"""),44360.0)</f>
        <v>44360</v>
      </c>
      <c r="F192" s="24">
        <f>IFERROR(__xludf.DUMMYFUNCTION("""COMPUTED_VALUE"""),45747.0)</f>
        <v>45747</v>
      </c>
      <c r="G192" s="27">
        <f>IFERROR(__xludf.DUMMYFUNCTION("""COMPUTED_VALUE"""),45.56666666666666)</f>
        <v>45.56666667</v>
      </c>
      <c r="H192" s="128">
        <f>IFERROR(__xludf.DUMMYFUNCTION("""COMPUTED_VALUE"""),43846.0)</f>
        <v>43846</v>
      </c>
      <c r="I192" s="27">
        <f>IFERROR(__xludf.DUMMYFUNCTION("""COMPUTED_VALUE"""),1.4083333333333334)</f>
        <v>1.408333333</v>
      </c>
      <c r="J192" s="29">
        <f>IFERROR(__xludf.DUMMYFUNCTION("""COMPUTED_VALUE"""),86.0)</f>
        <v>86</v>
      </c>
      <c r="K192" s="29">
        <f>IFERROR(__xludf.DUMMYFUNCTION("""COMPUTED_VALUE"""),45.5)</f>
        <v>45.5</v>
      </c>
      <c r="L192" s="31" t="str">
        <f>IFERROR(__xludf.DUMMYFUNCTION("""COMPUTED_VALUE"""),"RPG")</f>
        <v>RPG</v>
      </c>
    </row>
    <row r="193" hidden="1">
      <c r="A193" s="17" t="str">
        <f>IFERROR(__xludf.DUMMYFUNCTION("""COMPUTED_VALUE"""),"No More Heroes III")</f>
        <v>No More Heroes III</v>
      </c>
      <c r="B193" s="20" t="str">
        <f>IFERROR(__xludf.DUMMYFUNCTION("""COMPUTED_VALUE"""),"Xbox / PC")</f>
        <v>Xbox / PC</v>
      </c>
      <c r="C193" s="20" t="str">
        <f>IFERROR(__xludf.DUMMYFUNCTION("""COMPUTED_VALUE"""),"Yes")</f>
        <v>Yes</v>
      </c>
      <c r="D193" s="21" t="str">
        <f>IFERROR(__xludf.DUMMYFUNCTION("""COMPUTED_VALUE"""),"Removed")</f>
        <v>Removed</v>
      </c>
      <c r="E193" s="127">
        <f>IFERROR(__xludf.DUMMYFUNCTION("""COMPUTED_VALUE"""),45365.0)</f>
        <v>45365</v>
      </c>
      <c r="F193" s="24">
        <f>IFERROR(__xludf.DUMMYFUNCTION("""COMPUTED_VALUE"""),45731.0)</f>
        <v>45731</v>
      </c>
      <c r="G193" s="27">
        <f>IFERROR(__xludf.DUMMYFUNCTION("""COMPUTED_VALUE"""),12.033333333333333)</f>
        <v>12.03333333</v>
      </c>
      <c r="H193" s="128">
        <f>IFERROR(__xludf.DUMMYFUNCTION("""COMPUTED_VALUE"""),44435.0)</f>
        <v>44435</v>
      </c>
      <c r="I193" s="27">
        <f>IFERROR(__xludf.DUMMYFUNCTION("""COMPUTED_VALUE"""),2.547222222222222)</f>
        <v>2.547222222</v>
      </c>
      <c r="J193" s="29">
        <f>IFERROR(__xludf.DUMMYFUNCTION("""COMPUTED_VALUE"""),75.0)</f>
        <v>75</v>
      </c>
      <c r="K193" s="29">
        <f>IFERROR(__xludf.DUMMYFUNCTION("""COMPUTED_VALUE"""),12.0)</f>
        <v>12</v>
      </c>
      <c r="L193" s="31" t="str">
        <f>IFERROR(__xludf.DUMMYFUNCTION("""COMPUTED_VALUE"""),"Action")</f>
        <v>Action</v>
      </c>
    </row>
    <row r="194" hidden="1">
      <c r="A194" s="278" t="str">
        <f>IFERROR(__xludf.DUMMYFUNCTION("""COMPUTED_VALUE"""),"SpongeBob SquarePants: Battle for Bikini Bottom - Rehydrated")</f>
        <v>SpongeBob SquarePants: Battle for Bikini Bottom - Rehydrated</v>
      </c>
      <c r="B194" s="20" t="str">
        <f>IFERROR(__xludf.DUMMYFUNCTION("""COMPUTED_VALUE"""),"Xbox / PC")</f>
        <v>Xbox / PC</v>
      </c>
      <c r="C194" s="21" t="str">
        <f>IFERROR(__xludf.DUMMYFUNCTION("""COMPUTED_VALUE"""),"Yes")</f>
        <v>Yes</v>
      </c>
      <c r="D194" s="21" t="str">
        <f>IFERROR(__xludf.DUMMYFUNCTION("""COMPUTED_VALUE"""),"Removed")</f>
        <v>Removed</v>
      </c>
      <c r="E194" s="279">
        <f>IFERROR(__xludf.DUMMYFUNCTION("""COMPUTED_VALUE"""),45363.0)</f>
        <v>45363</v>
      </c>
      <c r="F194" s="276">
        <f>IFERROR(__xludf.DUMMYFUNCTION("""COMPUTED_VALUE"""),45731.0)</f>
        <v>45731</v>
      </c>
      <c r="G194" s="27">
        <f>IFERROR(__xludf.DUMMYFUNCTION("""COMPUTED_VALUE"""),12.1)</f>
        <v>12.1</v>
      </c>
      <c r="H194" s="128">
        <f>IFERROR(__xludf.DUMMYFUNCTION("""COMPUTED_VALUE"""),44005.0)</f>
        <v>44005</v>
      </c>
      <c r="I194" s="27">
        <f>IFERROR(__xludf.DUMMYFUNCTION("""COMPUTED_VALUE"""),3.7194444444444446)</f>
        <v>3.719444444</v>
      </c>
      <c r="J194" s="277">
        <f>IFERROR(__xludf.DUMMYFUNCTION("""COMPUTED_VALUE"""),68.0)</f>
        <v>68</v>
      </c>
      <c r="K194" s="277">
        <f>IFERROR(__xludf.DUMMYFUNCTION("""COMPUTED_VALUE"""),9.0)</f>
        <v>9</v>
      </c>
      <c r="L194" s="275" t="str">
        <f>IFERROR(__xludf.DUMMYFUNCTION("""COMPUTED_VALUE"""),"Platformer")</f>
        <v>Platformer</v>
      </c>
    </row>
    <row r="195" hidden="1">
      <c r="A195" s="278" t="str">
        <f>IFERROR(__xludf.DUMMYFUNCTION("""COMPUTED_VALUE"""),"Lies of P")</f>
        <v>Lies of P</v>
      </c>
      <c r="B195" s="21" t="str">
        <f>IFERROR(__xludf.DUMMYFUNCTION("""COMPUTED_VALUE"""),"Xbox / PC")</f>
        <v>Xbox / PC</v>
      </c>
      <c r="C195" s="21" t="str">
        <f>IFERROR(__xludf.DUMMYFUNCTION("""COMPUTED_VALUE"""),"Yes")</f>
        <v>Yes</v>
      </c>
      <c r="D195" s="21" t="str">
        <f>IFERROR(__xludf.DUMMYFUNCTION("""COMPUTED_VALUE"""),"Removed")</f>
        <v>Removed</v>
      </c>
      <c r="E195" s="279">
        <f>IFERROR(__xludf.DUMMYFUNCTION("""COMPUTED_VALUE"""),45188.0)</f>
        <v>45188</v>
      </c>
      <c r="F195" s="276">
        <f>IFERROR(__xludf.DUMMYFUNCTION("""COMPUTED_VALUE"""),45731.0)</f>
        <v>45731</v>
      </c>
      <c r="G195" s="27">
        <f>IFERROR(__xludf.DUMMYFUNCTION("""COMPUTED_VALUE"""),17.866666666666667)</f>
        <v>17.86666667</v>
      </c>
      <c r="H195" s="128">
        <f>IFERROR(__xludf.DUMMYFUNCTION("""COMPUTED_VALUE"""),45188.0)</f>
        <v>45188</v>
      </c>
      <c r="I195" s="27">
        <f>IFERROR(__xludf.DUMMYFUNCTION("""COMPUTED_VALUE"""),0.0)</f>
        <v>0</v>
      </c>
      <c r="J195" s="277">
        <f>IFERROR(__xludf.DUMMYFUNCTION("""COMPUTED_VALUE"""),81.0)</f>
        <v>81</v>
      </c>
      <c r="K195" s="29">
        <f>IFERROR(__xludf.DUMMYFUNCTION("""COMPUTED_VALUE"""),18.0)</f>
        <v>18</v>
      </c>
      <c r="L195" s="275" t="str">
        <f>IFERROR(__xludf.DUMMYFUNCTION("""COMPUTED_VALUE"""),"RPG")</f>
        <v>RPG</v>
      </c>
    </row>
    <row r="196" hidden="1">
      <c r="A196" s="278" t="str">
        <f>IFERROR(__xludf.DUMMYFUNCTION("""COMPUTED_VALUE"""),"Solar Ash")</f>
        <v>Solar Ash</v>
      </c>
      <c r="B196" s="20" t="str">
        <f>IFERROR(__xludf.DUMMYFUNCTION("""COMPUTED_VALUE"""),"Xbox / PC")</f>
        <v>Xbox / PC</v>
      </c>
      <c r="C196" s="21" t="str">
        <f>IFERROR(__xludf.DUMMYFUNCTION("""COMPUTED_VALUE"""),"Yes")</f>
        <v>Yes</v>
      </c>
      <c r="D196" s="21" t="str">
        <f>IFERROR(__xludf.DUMMYFUNCTION("""COMPUTED_VALUE"""),"Removed")</f>
        <v>Removed</v>
      </c>
      <c r="E196" s="279">
        <f>IFERROR(__xludf.DUMMYFUNCTION("""COMPUTED_VALUE"""),45183.0)</f>
        <v>45183</v>
      </c>
      <c r="F196" s="276">
        <f>IFERROR(__xludf.DUMMYFUNCTION("""COMPUTED_VALUE"""),45731.0)</f>
        <v>45731</v>
      </c>
      <c r="G196" s="27">
        <f>IFERROR(__xludf.DUMMYFUNCTION("""COMPUTED_VALUE"""),18.03333333333333)</f>
        <v>18.03333333</v>
      </c>
      <c r="H196" s="128">
        <f>IFERROR(__xludf.DUMMYFUNCTION("""COMPUTED_VALUE"""),44532.0)</f>
        <v>44532</v>
      </c>
      <c r="I196" s="27">
        <f>IFERROR(__xludf.DUMMYFUNCTION("""COMPUTED_VALUE"""),1.7833333333333334)</f>
        <v>1.783333333</v>
      </c>
      <c r="J196" s="277">
        <f>IFERROR(__xludf.DUMMYFUNCTION("""COMPUTED_VALUE"""),78.0)</f>
        <v>78</v>
      </c>
      <c r="K196" s="29">
        <f>IFERROR(__xludf.DUMMYFUNCTION("""COMPUTED_VALUE"""),6.0)</f>
        <v>6</v>
      </c>
      <c r="L196" s="31" t="str">
        <f>IFERROR(__xludf.DUMMYFUNCTION("""COMPUTED_VALUE"""),"Action")</f>
        <v>Action</v>
      </c>
    </row>
    <row r="197" hidden="1">
      <c r="A197" s="278" t="str">
        <f>IFERROR(__xludf.DUMMYFUNCTION("""COMPUTED_VALUE"""),"Yakuza 6: The Song of Life")</f>
        <v>Yakuza 6: The Song of Life</v>
      </c>
      <c r="B197" s="20" t="str">
        <f>IFERROR(__xludf.DUMMYFUNCTION("""COMPUTED_VALUE"""),"Xbox / PC")</f>
        <v>Xbox / PC</v>
      </c>
      <c r="C197" s="21" t="str">
        <f>IFERROR(__xludf.DUMMYFUNCTION("""COMPUTED_VALUE"""),"Touch Controls")</f>
        <v>Touch Controls</v>
      </c>
      <c r="D197" s="21" t="str">
        <f>IFERROR(__xludf.DUMMYFUNCTION("""COMPUTED_VALUE"""),"Removed")</f>
        <v>Removed</v>
      </c>
      <c r="E197" s="279">
        <f>IFERROR(__xludf.DUMMYFUNCTION("""COMPUTED_VALUE"""),44280.0)</f>
        <v>44280</v>
      </c>
      <c r="F197" s="279">
        <f>IFERROR(__xludf.DUMMYFUNCTION("""COMPUTED_VALUE"""),45731.0)</f>
        <v>45731</v>
      </c>
      <c r="G197" s="27">
        <f>IFERROR(__xludf.DUMMYFUNCTION("""COMPUTED_VALUE"""),47.66666666666667)</f>
        <v>47.66666667</v>
      </c>
      <c r="H197" s="128">
        <f>IFERROR(__xludf.DUMMYFUNCTION("""COMPUTED_VALUE"""),42712.0)</f>
        <v>42712</v>
      </c>
      <c r="I197" s="27">
        <f>IFERROR(__xludf.DUMMYFUNCTION("""COMPUTED_VALUE"""),4.2972222222222225)</f>
        <v>4.297222222</v>
      </c>
      <c r="J197" s="29">
        <f>IFERROR(__xludf.DUMMYFUNCTION("""COMPUTED_VALUE"""),83.0)</f>
        <v>83</v>
      </c>
      <c r="K197" s="29">
        <f>IFERROR(__xludf.DUMMYFUNCTION("""COMPUTED_VALUE"""),19.0)</f>
        <v>19</v>
      </c>
      <c r="L197" s="275" t="str">
        <f>IFERROR(__xludf.DUMMYFUNCTION("""COMPUTED_VALUE"""),"RPG")</f>
        <v>RPG</v>
      </c>
    </row>
    <row r="198" hidden="1">
      <c r="A198" s="278" t="str">
        <f>IFERROR(__xludf.DUMMYFUNCTION("""COMPUTED_VALUE"""),"Yakuza 5: Remastered")</f>
        <v>Yakuza 5: Remastered</v>
      </c>
      <c r="B198" s="20" t="str">
        <f>IFERROR(__xludf.DUMMYFUNCTION("""COMPUTED_VALUE"""),"Xbox / PC")</f>
        <v>Xbox / PC</v>
      </c>
      <c r="C198" s="21" t="str">
        <f>IFERROR(__xludf.DUMMYFUNCTION("""COMPUTED_VALUE"""),"Touch Controls")</f>
        <v>Touch Controls</v>
      </c>
      <c r="D198" s="21" t="str">
        <f>IFERROR(__xludf.DUMMYFUNCTION("""COMPUTED_VALUE"""),"Removed")</f>
        <v>Removed</v>
      </c>
      <c r="E198" s="279">
        <f>IFERROR(__xludf.DUMMYFUNCTION("""COMPUTED_VALUE"""),44224.0)</f>
        <v>44224</v>
      </c>
      <c r="F198" s="276">
        <f>IFERROR(__xludf.DUMMYFUNCTION("""COMPUTED_VALUE"""),45731.0)</f>
        <v>45731</v>
      </c>
      <c r="G198" s="27">
        <f>IFERROR(__xludf.DUMMYFUNCTION("""COMPUTED_VALUE"""),49.56666666666666)</f>
        <v>49.56666667</v>
      </c>
      <c r="H198" s="128">
        <f>IFERROR(__xludf.DUMMYFUNCTION("""COMPUTED_VALUE"""),43872.0)</f>
        <v>43872</v>
      </c>
      <c r="I198" s="27">
        <f>IFERROR(__xludf.DUMMYFUNCTION("""COMPUTED_VALUE"""),0.9638888888888889)</f>
        <v>0.9638888889</v>
      </c>
      <c r="J198" s="277">
        <f>IFERROR(__xludf.DUMMYFUNCTION("""COMPUTED_VALUE"""),82.0)</f>
        <v>82</v>
      </c>
      <c r="K198" s="29">
        <f>IFERROR(__xludf.DUMMYFUNCTION("""COMPUTED_VALUE"""),38.5)</f>
        <v>38.5</v>
      </c>
      <c r="L198" s="275" t="str">
        <f>IFERROR(__xludf.DUMMYFUNCTION("""COMPUTED_VALUE"""),"RPG")</f>
        <v>RPG</v>
      </c>
    </row>
    <row r="199" hidden="1">
      <c r="A199" s="278" t="str">
        <f>IFERROR(__xludf.DUMMYFUNCTION("""COMPUTED_VALUE"""),"Warhammer 40,000: Boltgun")</f>
        <v>Warhammer 40,000: Boltgun</v>
      </c>
      <c r="B199" s="20" t="str">
        <f>IFERROR(__xludf.DUMMYFUNCTION("""COMPUTED_VALUE"""),"Xbox / PC")</f>
        <v>Xbox / PC</v>
      </c>
      <c r="C199" s="21" t="str">
        <f>IFERROR(__xludf.DUMMYFUNCTION("""COMPUTED_VALUE"""),"Yes")</f>
        <v>Yes</v>
      </c>
      <c r="D199" s="21" t="str">
        <f>IFERROR(__xludf.DUMMYFUNCTION("""COMPUTED_VALUE"""),"Removed")</f>
        <v>Removed</v>
      </c>
      <c r="E199" s="279">
        <f>IFERROR(__xludf.DUMMYFUNCTION("""COMPUTED_VALUE"""),45356.0)</f>
        <v>45356</v>
      </c>
      <c r="F199" s="276">
        <f>IFERROR(__xludf.DUMMYFUNCTION("""COMPUTED_VALUE"""),45716.0)</f>
        <v>45716</v>
      </c>
      <c r="G199" s="27">
        <f>IFERROR(__xludf.DUMMYFUNCTION("""COMPUTED_VALUE"""),11.766666666666666)</f>
        <v>11.76666667</v>
      </c>
      <c r="H199" s="128">
        <f>IFERROR(__xludf.DUMMYFUNCTION("""COMPUTED_VALUE"""),45069.0)</f>
        <v>45069</v>
      </c>
      <c r="I199" s="27">
        <f>IFERROR(__xludf.DUMMYFUNCTION("""COMPUTED_VALUE"""),0.7833333333333333)</f>
        <v>0.7833333333</v>
      </c>
      <c r="J199" s="277">
        <f>IFERROR(__xludf.DUMMYFUNCTION("""COMPUTED_VALUE"""),75.0)</f>
        <v>75</v>
      </c>
      <c r="K199" s="29">
        <f>IFERROR(__xludf.DUMMYFUNCTION("""COMPUTED_VALUE"""),10.0)</f>
        <v>10</v>
      </c>
      <c r="L199" s="275" t="str">
        <f>IFERROR(__xludf.DUMMYFUNCTION("""COMPUTED_VALUE"""),"Shooter")</f>
        <v>Shooter</v>
      </c>
    </row>
    <row r="200" hidden="1">
      <c r="A200" s="17" t="str">
        <f>IFERROR(__xludf.DUMMYFUNCTION("""COMPUTED_VALUE"""),"Space Engineers")</f>
        <v>Space Engineers</v>
      </c>
      <c r="B200" s="20" t="str">
        <f>IFERROR(__xludf.DUMMYFUNCTION("""COMPUTED_VALUE"""),"Xbox / PC")</f>
        <v>Xbox / PC</v>
      </c>
      <c r="C200" s="21" t="str">
        <f>IFERROR(__xludf.DUMMYFUNCTION("""COMPUTED_VALUE"""),"Yes")</f>
        <v>Yes</v>
      </c>
      <c r="D200" s="21" t="str">
        <f>IFERROR(__xludf.DUMMYFUNCTION("""COMPUTED_VALUE"""),"Removed")</f>
        <v>Removed</v>
      </c>
      <c r="E200" s="279">
        <f>IFERROR(__xludf.DUMMYFUNCTION("""COMPUTED_VALUE"""),45351.0)</f>
        <v>45351</v>
      </c>
      <c r="F200" s="23">
        <f>IFERROR(__xludf.DUMMYFUNCTION("""COMPUTED_VALUE"""),45716.0)</f>
        <v>45716</v>
      </c>
      <c r="G200" s="27">
        <f>IFERROR(__xludf.DUMMYFUNCTION("""COMPUTED_VALUE"""),11.966666666666667)</f>
        <v>11.96666667</v>
      </c>
      <c r="H200" s="128">
        <f>IFERROR(__xludf.DUMMYFUNCTION("""COMPUTED_VALUE"""),43936.0)</f>
        <v>43936</v>
      </c>
      <c r="I200" s="27">
        <f>IFERROR(__xludf.DUMMYFUNCTION("""COMPUTED_VALUE"""),3.8722222222222222)</f>
        <v>3.872222222</v>
      </c>
      <c r="J200" s="29">
        <f>IFERROR(__xludf.DUMMYFUNCTION("""COMPUTED_VALUE"""),68.0)</f>
        <v>68</v>
      </c>
      <c r="K200" s="29">
        <f>IFERROR(__xludf.DUMMYFUNCTION("""COMPUTED_VALUE"""),20.0)</f>
        <v>20</v>
      </c>
      <c r="L200" s="31" t="str">
        <f>IFERROR(__xludf.DUMMYFUNCTION("""COMPUTED_VALUE"""),"Sandbox")</f>
        <v>Sandbox</v>
      </c>
    </row>
    <row r="201" hidden="1">
      <c r="A201" s="17" t="str">
        <f>IFERROR(__xludf.DUMMYFUNCTION("""COMPUTED_VALUE"""),"Maneater")</f>
        <v>Maneater</v>
      </c>
      <c r="B201" s="20" t="str">
        <f>IFERROR(__xludf.DUMMYFUNCTION("""COMPUTED_VALUE"""),"Xbox / PC")</f>
        <v>Xbox / PC</v>
      </c>
      <c r="C201" s="21" t="str">
        <f>IFERROR(__xludf.DUMMYFUNCTION("""COMPUTED_VALUE"""),"Yes")</f>
        <v>Yes</v>
      </c>
      <c r="D201" s="21" t="str">
        <f>IFERROR(__xludf.DUMMYFUNCTION("""COMPUTED_VALUE"""),"Removed")</f>
        <v>Removed</v>
      </c>
      <c r="E201" s="279">
        <f>IFERROR(__xludf.DUMMYFUNCTION("""COMPUTED_VALUE"""),45349.0)</f>
        <v>45349</v>
      </c>
      <c r="F201" s="279">
        <f>IFERROR(__xludf.DUMMYFUNCTION("""COMPUTED_VALUE"""),45716.0)</f>
        <v>45716</v>
      </c>
      <c r="G201" s="27">
        <f>IFERROR(__xludf.DUMMYFUNCTION("""COMPUTED_VALUE"""),12.033333333333333)</f>
        <v>12.03333333</v>
      </c>
      <c r="H201" s="128">
        <f>IFERROR(__xludf.DUMMYFUNCTION("""COMPUTED_VALUE"""),43973.0)</f>
        <v>43973</v>
      </c>
      <c r="I201" s="27">
        <f>IFERROR(__xludf.DUMMYFUNCTION("""COMPUTED_VALUE"""),3.763888888888889)</f>
        <v>3.763888889</v>
      </c>
      <c r="J201" s="29">
        <f>IFERROR(__xludf.DUMMYFUNCTION("""COMPUTED_VALUE"""),70.5)</f>
        <v>70.5</v>
      </c>
      <c r="K201" s="29">
        <f>IFERROR(__xludf.DUMMYFUNCTION("""COMPUTED_VALUE"""),8.0)</f>
        <v>8</v>
      </c>
      <c r="L201" s="282" t="str">
        <f>IFERROR(__xludf.DUMMYFUNCTION("""COMPUTED_VALUE"""),"RPG")</f>
        <v>RPG</v>
      </c>
    </row>
    <row r="202" hidden="1">
      <c r="A202" s="17" t="str">
        <f>IFERROR(__xludf.DUMMYFUNCTION("""COMPUTED_VALUE"""),"GRIS")</f>
        <v>GRIS</v>
      </c>
      <c r="B202" s="20" t="str">
        <f>IFERROR(__xludf.DUMMYFUNCTION("""COMPUTED_VALUE"""),"Xbox / PC")</f>
        <v>Xbox / PC</v>
      </c>
      <c r="C202" s="21" t="str">
        <f>IFERROR(__xludf.DUMMYFUNCTION("""COMPUTED_VALUE"""),"Yes")</f>
        <v>Yes</v>
      </c>
      <c r="D202" s="21" t="str">
        <f>IFERROR(__xludf.DUMMYFUNCTION("""COMPUTED_VALUE"""),"Removed")</f>
        <v>Removed</v>
      </c>
      <c r="E202" s="279">
        <f>IFERROR(__xludf.DUMMYFUNCTION("""COMPUTED_VALUE"""),45174.0)</f>
        <v>45174</v>
      </c>
      <c r="F202" s="279">
        <f>IFERROR(__xludf.DUMMYFUNCTION("""COMPUTED_VALUE"""),45716.0)</f>
        <v>45716</v>
      </c>
      <c r="G202" s="27">
        <f>IFERROR(__xludf.DUMMYFUNCTION("""COMPUTED_VALUE"""),17.766666666666666)</f>
        <v>17.76666667</v>
      </c>
      <c r="H202" s="128">
        <f>IFERROR(__xludf.DUMMYFUNCTION("""COMPUTED_VALUE"""),43465.0)</f>
        <v>43465</v>
      </c>
      <c r="I202" s="27">
        <f>IFERROR(__xludf.DUMMYFUNCTION("""COMPUTED_VALUE"""),4.680555555555555)</f>
        <v>4.680555556</v>
      </c>
      <c r="J202" s="29">
        <f>IFERROR(__xludf.DUMMYFUNCTION("""COMPUTED_VALUE"""),84.0)</f>
        <v>84</v>
      </c>
      <c r="K202" s="29">
        <f>IFERROR(__xludf.DUMMYFUNCTION("""COMPUTED_VALUE"""),3.5)</f>
        <v>3.5</v>
      </c>
      <c r="L202" s="275" t="str">
        <f>IFERROR(__xludf.DUMMYFUNCTION("""COMPUTED_VALUE"""),"Platformer")</f>
        <v>Platformer</v>
      </c>
    </row>
    <row r="203" hidden="1">
      <c r="A203" s="278" t="str">
        <f>IFERROR(__xludf.DUMMYFUNCTION("""COMPUTED_VALUE"""),"Yakuza 3: Remastered")</f>
        <v>Yakuza 3: Remastered</v>
      </c>
      <c r="B203" s="20" t="str">
        <f>IFERROR(__xludf.DUMMYFUNCTION("""COMPUTED_VALUE"""),"Xbox / PC")</f>
        <v>Xbox / PC</v>
      </c>
      <c r="C203" s="21" t="str">
        <f>IFERROR(__xludf.DUMMYFUNCTION("""COMPUTED_VALUE"""),"Touch Controls")</f>
        <v>Touch Controls</v>
      </c>
      <c r="D203" s="21" t="str">
        <f>IFERROR(__xludf.DUMMYFUNCTION("""COMPUTED_VALUE"""),"Removed")</f>
        <v>Removed</v>
      </c>
      <c r="E203" s="279">
        <f>IFERROR(__xludf.DUMMYFUNCTION("""COMPUTED_VALUE"""),44224.0)</f>
        <v>44224</v>
      </c>
      <c r="F203" s="279">
        <f>IFERROR(__xludf.DUMMYFUNCTION("""COMPUTED_VALUE"""),45716.0)</f>
        <v>45716</v>
      </c>
      <c r="G203" s="27">
        <f>IFERROR(__xludf.DUMMYFUNCTION("""COMPUTED_VALUE"""),49.0)</f>
        <v>49</v>
      </c>
      <c r="H203" s="128">
        <f>IFERROR(__xludf.DUMMYFUNCTION("""COMPUTED_VALUE"""),43697.0)</f>
        <v>43697</v>
      </c>
      <c r="I203" s="27">
        <f>IFERROR(__xludf.DUMMYFUNCTION("""COMPUTED_VALUE"""),1.4388888888888889)</f>
        <v>1.438888889</v>
      </c>
      <c r="J203" s="277">
        <f>IFERROR(__xludf.DUMMYFUNCTION("""COMPUTED_VALUE"""),77.0)</f>
        <v>77</v>
      </c>
      <c r="K203" s="277">
        <f>IFERROR(__xludf.DUMMYFUNCTION("""COMPUTED_VALUE"""),17.5)</f>
        <v>17.5</v>
      </c>
      <c r="L203" s="275" t="str">
        <f>IFERROR(__xludf.DUMMYFUNCTION("""COMPUTED_VALUE"""),"RPG")</f>
        <v>RPG</v>
      </c>
    </row>
    <row r="204" hidden="1">
      <c r="A204" s="17" t="str">
        <f>IFERROR(__xludf.DUMMYFUNCTION("""COMPUTED_VALUE"""),"Yakuza 4: Remastered")</f>
        <v>Yakuza 4: Remastered</v>
      </c>
      <c r="B204" s="20" t="str">
        <f>IFERROR(__xludf.DUMMYFUNCTION("""COMPUTED_VALUE"""),"Xbox / PC")</f>
        <v>Xbox / PC</v>
      </c>
      <c r="C204" s="21" t="str">
        <f>IFERROR(__xludf.DUMMYFUNCTION("""COMPUTED_VALUE"""),"Touch Controls")</f>
        <v>Touch Controls</v>
      </c>
      <c r="D204" s="21" t="str">
        <f>IFERROR(__xludf.DUMMYFUNCTION("""COMPUTED_VALUE"""),"Removed")</f>
        <v>Removed</v>
      </c>
      <c r="E204" s="279">
        <f>IFERROR(__xludf.DUMMYFUNCTION("""COMPUTED_VALUE"""),44224.0)</f>
        <v>44224</v>
      </c>
      <c r="F204" s="279">
        <f>IFERROR(__xludf.DUMMYFUNCTION("""COMPUTED_VALUE"""),45716.0)</f>
        <v>45716</v>
      </c>
      <c r="G204" s="27">
        <f>IFERROR(__xludf.DUMMYFUNCTION("""COMPUTED_VALUE"""),49.0)</f>
        <v>49</v>
      </c>
      <c r="H204" s="128">
        <f>IFERROR(__xludf.DUMMYFUNCTION("""COMPUTED_VALUE"""),43767.0)</f>
        <v>43767</v>
      </c>
      <c r="I204" s="27">
        <f>IFERROR(__xludf.DUMMYFUNCTION("""COMPUTED_VALUE"""),1.2472222222222222)</f>
        <v>1.247222222</v>
      </c>
      <c r="J204" s="277">
        <f>IFERROR(__xludf.DUMMYFUNCTION("""COMPUTED_VALUE"""),78.0)</f>
        <v>78</v>
      </c>
      <c r="K204" s="277">
        <f>IFERROR(__xludf.DUMMYFUNCTION("""COMPUTED_VALUE"""),22.5)</f>
        <v>22.5</v>
      </c>
      <c r="L204" s="275" t="str">
        <f>IFERROR(__xludf.DUMMYFUNCTION("""COMPUTED_VALUE"""),"RPG")</f>
        <v>RPG</v>
      </c>
    </row>
    <row r="205" hidden="1">
      <c r="A205" s="278" t="str">
        <f>IFERROR(__xludf.DUMMYFUNCTION("""COMPUTED_VALUE"""),"F1 22")</f>
        <v>F1 22</v>
      </c>
      <c r="B205" s="20" t="str">
        <f>IFERROR(__xludf.DUMMYFUNCTION("""COMPUTED_VALUE"""),"Xbox / PC")</f>
        <v>Xbox / PC</v>
      </c>
      <c r="C205" s="21"/>
      <c r="D205" s="21" t="str">
        <f>IFERROR(__xludf.DUMMYFUNCTION("""COMPUTED_VALUE"""),"Removed")</f>
        <v>Removed</v>
      </c>
      <c r="E205" s="279">
        <f>IFERROR(__xludf.DUMMYFUNCTION("""COMPUTED_VALUE"""),44987.0)</f>
        <v>44987</v>
      </c>
      <c r="F205" s="279">
        <f>IFERROR(__xludf.DUMMYFUNCTION("""COMPUTED_VALUE"""),45716.0)</f>
        <v>45716</v>
      </c>
      <c r="G205" s="27">
        <f>IFERROR(__xludf.DUMMYFUNCTION("""COMPUTED_VALUE"""),23.866666666666667)</f>
        <v>23.86666667</v>
      </c>
      <c r="H205" s="128">
        <f>IFERROR(__xludf.DUMMYFUNCTION("""COMPUTED_VALUE"""),44740.0)</f>
        <v>44740</v>
      </c>
      <c r="I205" s="27">
        <f>IFERROR(__xludf.DUMMYFUNCTION("""COMPUTED_VALUE"""),0.6777777777777778)</f>
        <v>0.6777777778</v>
      </c>
      <c r="J205" s="29">
        <f>IFERROR(__xludf.DUMMYFUNCTION("""COMPUTED_VALUE"""),81.0)</f>
        <v>81</v>
      </c>
      <c r="K205" s="29">
        <f>IFERROR(__xludf.DUMMYFUNCTION("""COMPUTED_VALUE"""),23.0)</f>
        <v>23</v>
      </c>
      <c r="L205" s="275" t="str">
        <f>IFERROR(__xludf.DUMMYFUNCTION("""COMPUTED_VALUE"""),"Racing")</f>
        <v>Racing</v>
      </c>
    </row>
    <row r="206" hidden="1">
      <c r="A206" s="278" t="str">
        <f>IFERROR(__xludf.DUMMYFUNCTION("""COMPUTED_VALUE"""),"Indivisible")</f>
        <v>Indivisible</v>
      </c>
      <c r="B206" s="20" t="str">
        <f>IFERROR(__xludf.DUMMYFUNCTION("""COMPUTED_VALUE"""),"Xbox / PC")</f>
        <v>Xbox / PC</v>
      </c>
      <c r="C206" s="21" t="str">
        <f>IFERROR(__xludf.DUMMYFUNCTION("""COMPUTED_VALUE"""),"Yes")</f>
        <v>Yes</v>
      </c>
      <c r="D206" s="21" t="str">
        <f>IFERROR(__xludf.DUMMYFUNCTION("""COMPUTED_VALUE"""),"Removed")</f>
        <v>Removed</v>
      </c>
      <c r="E206" s="279">
        <f>IFERROR(__xludf.DUMMYFUNCTION("""COMPUTED_VALUE"""),45350.0)</f>
        <v>45350</v>
      </c>
      <c r="F206" s="279">
        <f>IFERROR(__xludf.DUMMYFUNCTION("""COMPUTED_VALUE"""),45703.0)</f>
        <v>45703</v>
      </c>
      <c r="G206" s="27">
        <f>IFERROR(__xludf.DUMMYFUNCTION("""COMPUTED_VALUE"""),11.566666666666666)</f>
        <v>11.56666667</v>
      </c>
      <c r="H206" s="128">
        <f>IFERROR(__xludf.DUMMYFUNCTION("""COMPUTED_VALUE"""),43746.0)</f>
        <v>43746</v>
      </c>
      <c r="I206" s="27">
        <f>IFERROR(__xludf.DUMMYFUNCTION("""COMPUTED_VALUE"""),4.388888888888889)</f>
        <v>4.388888889</v>
      </c>
      <c r="J206" s="29">
        <f>IFERROR(__xludf.DUMMYFUNCTION("""COMPUTED_VALUE"""),82.0)</f>
        <v>82</v>
      </c>
      <c r="K206" s="29">
        <f>IFERROR(__xludf.DUMMYFUNCTION("""COMPUTED_VALUE"""),18.5)</f>
        <v>18.5</v>
      </c>
      <c r="L206" s="275" t="str">
        <f>IFERROR(__xludf.DUMMYFUNCTION("""COMPUTED_VALUE"""),"RPG")</f>
        <v>RPG</v>
      </c>
    </row>
    <row r="207" hidden="1">
      <c r="A207" s="17" t="str">
        <f>IFERROR(__xludf.DUMMYFUNCTION("""COMPUTED_VALUE"""),"Return to Grace")</f>
        <v>Return to Grace</v>
      </c>
      <c r="B207" s="20" t="str">
        <f>IFERROR(__xludf.DUMMYFUNCTION("""COMPUTED_VALUE"""),"Xbox / PC")</f>
        <v>Xbox / PC</v>
      </c>
      <c r="C207" s="21" t="str">
        <f>IFERROR(__xludf.DUMMYFUNCTION("""COMPUTED_VALUE"""),"Yes")</f>
        <v>Yes</v>
      </c>
      <c r="D207" s="21" t="str">
        <f>IFERROR(__xludf.DUMMYFUNCTION("""COMPUTED_VALUE"""),"Removed")</f>
        <v>Removed</v>
      </c>
      <c r="E207" s="279">
        <f>IFERROR(__xludf.DUMMYFUNCTION("""COMPUTED_VALUE"""),45342.0)</f>
        <v>45342</v>
      </c>
      <c r="F207" s="279">
        <f>IFERROR(__xludf.DUMMYFUNCTION("""COMPUTED_VALUE"""),45703.0)</f>
        <v>45703</v>
      </c>
      <c r="G207" s="27">
        <f>IFERROR(__xludf.DUMMYFUNCTION("""COMPUTED_VALUE"""),11.833333333333334)</f>
        <v>11.83333333</v>
      </c>
      <c r="H207" s="128">
        <f>IFERROR(__xludf.DUMMYFUNCTION("""COMPUTED_VALUE"""),45076.0)</f>
        <v>45076</v>
      </c>
      <c r="I207" s="27">
        <f>IFERROR(__xludf.DUMMYFUNCTION("""COMPUTED_VALUE"""),0.7222222222222222)</f>
        <v>0.7222222222</v>
      </c>
      <c r="J207" s="29">
        <f>IFERROR(__xludf.DUMMYFUNCTION("""COMPUTED_VALUE"""),79.0)</f>
        <v>79</v>
      </c>
      <c r="K207" s="29">
        <f>IFERROR(__xludf.DUMMYFUNCTION("""COMPUTED_VALUE"""),3.0)</f>
        <v>3</v>
      </c>
      <c r="L207" s="275" t="str">
        <f>IFERROR(__xludf.DUMMYFUNCTION("""COMPUTED_VALUE"""),"Adventure")</f>
        <v>Adventure</v>
      </c>
    </row>
    <row r="208" hidden="1">
      <c r="A208" s="17" t="str">
        <f>IFERROR(__xludf.DUMMYFUNCTION("""COMPUTED_VALUE"""),"Tales of Arise")</f>
        <v>Tales of Arise</v>
      </c>
      <c r="B208" s="20" t="str">
        <f>IFERROR(__xludf.DUMMYFUNCTION("""COMPUTED_VALUE"""),"Xbox / PC")</f>
        <v>Xbox / PC</v>
      </c>
      <c r="C208" s="20" t="str">
        <f>IFERROR(__xludf.DUMMYFUNCTION("""COMPUTED_VALUE"""),"Yes")</f>
        <v>Yes</v>
      </c>
      <c r="D208" s="21" t="str">
        <f>IFERROR(__xludf.DUMMYFUNCTION("""COMPUTED_VALUE"""),"Removed")</f>
        <v>Removed</v>
      </c>
      <c r="E208" s="127">
        <f>IFERROR(__xludf.DUMMYFUNCTION("""COMPUTED_VALUE"""),45342.0)</f>
        <v>45342</v>
      </c>
      <c r="F208" s="276">
        <f>IFERROR(__xludf.DUMMYFUNCTION("""COMPUTED_VALUE"""),45703.0)</f>
        <v>45703</v>
      </c>
      <c r="G208" s="27">
        <f>IFERROR(__xludf.DUMMYFUNCTION("""COMPUTED_VALUE"""),11.833333333333334)</f>
        <v>11.83333333</v>
      </c>
      <c r="H208" s="128">
        <f>IFERROR(__xludf.DUMMYFUNCTION("""COMPUTED_VALUE"""),44449.0)</f>
        <v>44449</v>
      </c>
      <c r="I208" s="27">
        <f>IFERROR(__xludf.DUMMYFUNCTION("""COMPUTED_VALUE"""),2.4444444444444446)</f>
        <v>2.444444444</v>
      </c>
      <c r="J208" s="29">
        <f>IFERROR(__xludf.DUMMYFUNCTION("""COMPUTED_VALUE"""),87.0)</f>
        <v>87</v>
      </c>
      <c r="K208" s="29">
        <f>IFERROR(__xludf.DUMMYFUNCTION("""COMPUTED_VALUE"""),41.0)</f>
        <v>41</v>
      </c>
      <c r="L208" s="31" t="str">
        <f>IFERROR(__xludf.DUMMYFUNCTION("""COMPUTED_VALUE"""),"RPG")</f>
        <v>RPG</v>
      </c>
    </row>
    <row r="209" hidden="1">
      <c r="A209" s="278" t="str">
        <f>IFERROR(__xludf.DUMMYFUNCTION("""COMPUTED_VALUE"""),"A Little to the Left")</f>
        <v>A Little to the Left</v>
      </c>
      <c r="B209" s="20" t="str">
        <f>IFERROR(__xludf.DUMMYFUNCTION("""COMPUTED_VALUE"""),"Xbox / PC")</f>
        <v>Xbox / PC</v>
      </c>
      <c r="C209" s="21" t="str">
        <f>IFERROR(__xludf.DUMMYFUNCTION("""COMPUTED_VALUE"""),"Yes")</f>
        <v>Yes</v>
      </c>
      <c r="D209" s="21" t="str">
        <f>IFERROR(__xludf.DUMMYFUNCTION("""COMPUTED_VALUE"""),"Removed")</f>
        <v>Removed</v>
      </c>
      <c r="E209" s="279">
        <f>IFERROR(__xludf.DUMMYFUNCTION("""COMPUTED_VALUE"""),45336.0)</f>
        <v>45336</v>
      </c>
      <c r="F209" s="276">
        <f>IFERROR(__xludf.DUMMYFUNCTION("""COMPUTED_VALUE"""),45703.0)</f>
        <v>45703</v>
      </c>
      <c r="G209" s="27">
        <f>IFERROR(__xludf.DUMMYFUNCTION("""COMPUTED_VALUE"""),12.033333333333333)</f>
        <v>12.03333333</v>
      </c>
      <c r="H209" s="128">
        <f>IFERROR(__xludf.DUMMYFUNCTION("""COMPUTED_VALUE"""),44873.0)</f>
        <v>44873</v>
      </c>
      <c r="I209" s="27">
        <f>IFERROR(__xludf.DUMMYFUNCTION("""COMPUTED_VALUE"""),1.2666666666666666)</f>
        <v>1.266666667</v>
      </c>
      <c r="J209" s="277">
        <f>IFERROR(__xludf.DUMMYFUNCTION("""COMPUTED_VALUE"""),75.0)</f>
        <v>75</v>
      </c>
      <c r="K209" s="29">
        <f>IFERROR(__xludf.DUMMYFUNCTION("""COMPUTED_VALUE"""),4.0)</f>
        <v>4</v>
      </c>
      <c r="L209" s="275" t="str">
        <f>IFERROR(__xludf.DUMMYFUNCTION("""COMPUTED_VALUE"""),"Puzzle")</f>
        <v>Puzzle</v>
      </c>
    </row>
    <row r="210" hidden="1">
      <c r="A210" s="278" t="str">
        <f>IFERROR(__xludf.DUMMYFUNCTION("""COMPUTED_VALUE"""),"Bloodstained: Ritual of the Night")</f>
        <v>Bloodstained: Ritual of the Night</v>
      </c>
      <c r="B210" s="20" t="str">
        <f>IFERROR(__xludf.DUMMYFUNCTION("""COMPUTED_VALUE"""),"Xbox / PC")</f>
        <v>Xbox / PC</v>
      </c>
      <c r="C210" s="21" t="str">
        <f>IFERROR(__xludf.DUMMYFUNCTION("""COMPUTED_VALUE"""),"Yes")</f>
        <v>Yes</v>
      </c>
      <c r="D210" s="21" t="str">
        <f>IFERROR(__xludf.DUMMYFUNCTION("""COMPUTED_VALUE"""),"Removed")</f>
        <v>Removed</v>
      </c>
      <c r="E210" s="279">
        <f>IFERROR(__xludf.DUMMYFUNCTION("""COMPUTED_VALUE"""),45336.0)</f>
        <v>45336</v>
      </c>
      <c r="F210" s="279">
        <f>IFERROR(__xludf.DUMMYFUNCTION("""COMPUTED_VALUE"""),45703.0)</f>
        <v>45703</v>
      </c>
      <c r="G210" s="27">
        <f>IFERROR(__xludf.DUMMYFUNCTION("""COMPUTED_VALUE"""),12.033333333333333)</f>
        <v>12.03333333</v>
      </c>
      <c r="H210" s="128">
        <f>IFERROR(__xludf.DUMMYFUNCTION("""COMPUTED_VALUE"""),43634.0)</f>
        <v>43634</v>
      </c>
      <c r="I210" s="27">
        <f>IFERROR(__xludf.DUMMYFUNCTION("""COMPUTED_VALUE"""),4.655555555555556)</f>
        <v>4.655555556</v>
      </c>
      <c r="J210" s="29">
        <f>IFERROR(__xludf.DUMMYFUNCTION("""COMPUTED_VALUE"""),84.0)</f>
        <v>84</v>
      </c>
      <c r="K210" s="29">
        <f>IFERROR(__xludf.DUMMYFUNCTION("""COMPUTED_VALUE"""),13.5)</f>
        <v>13.5</v>
      </c>
      <c r="L210" s="275" t="str">
        <f>IFERROR(__xludf.DUMMYFUNCTION("""COMPUTED_VALUE"""),"Platformer")</f>
        <v>Platformer</v>
      </c>
    </row>
    <row r="211" hidden="1">
      <c r="A211" s="278" t="str">
        <f>IFERROR(__xludf.DUMMYFUNCTION("""COMPUTED_VALUE"""),"Merge &amp; Blade")</f>
        <v>Merge &amp; Blade</v>
      </c>
      <c r="B211" s="20" t="str">
        <f>IFERROR(__xludf.DUMMYFUNCTION("""COMPUTED_VALUE"""),"Xbox / PC")</f>
        <v>Xbox / PC</v>
      </c>
      <c r="C211" s="21" t="str">
        <f>IFERROR(__xludf.DUMMYFUNCTION("""COMPUTED_VALUE"""),"Yes")</f>
        <v>Yes</v>
      </c>
      <c r="D211" s="21" t="str">
        <f>IFERROR(__xludf.DUMMYFUNCTION("""COMPUTED_VALUE"""),"Removed")</f>
        <v>Removed</v>
      </c>
      <c r="E211" s="279">
        <f>IFERROR(__xludf.DUMMYFUNCTION("""COMPUTED_VALUE"""),44985.0)</f>
        <v>44985</v>
      </c>
      <c r="F211" s="279">
        <f>IFERROR(__xludf.DUMMYFUNCTION("""COMPUTED_VALUE"""),45703.0)</f>
        <v>45703</v>
      </c>
      <c r="G211" s="27">
        <f>IFERROR(__xludf.DUMMYFUNCTION("""COMPUTED_VALUE"""),23.566666666666666)</f>
        <v>23.56666667</v>
      </c>
      <c r="H211" s="128">
        <f>IFERROR(__xludf.DUMMYFUNCTION("""COMPUTED_VALUE"""),44985.0)</f>
        <v>44985</v>
      </c>
      <c r="I211" s="27">
        <f>IFERROR(__xludf.DUMMYFUNCTION("""COMPUTED_VALUE"""),0.0)</f>
        <v>0</v>
      </c>
      <c r="J211" s="29">
        <f>IFERROR(__xludf.DUMMYFUNCTION("""COMPUTED_VALUE"""),70.0)</f>
        <v>70</v>
      </c>
      <c r="K211" s="29">
        <f>IFERROR(__xludf.DUMMYFUNCTION("""COMPUTED_VALUE"""),8.0)</f>
        <v>8</v>
      </c>
      <c r="L211" s="275" t="str">
        <f>IFERROR(__xludf.DUMMYFUNCTION("""COMPUTED_VALUE"""),"Puzzle")</f>
        <v>Puzzle</v>
      </c>
    </row>
    <row r="212" hidden="1">
      <c r="A212" s="278" t="str">
        <f>IFERROR(__xludf.DUMMYFUNCTION("""COMPUTED_VALUE"""),"Madden NFL 23")</f>
        <v>Madden NFL 23</v>
      </c>
      <c r="B212" s="20" t="str">
        <f>IFERROR(__xludf.DUMMYFUNCTION("""COMPUTED_VALUE"""),"Xbox / PC")</f>
        <v>Xbox / PC</v>
      </c>
      <c r="C212" s="21"/>
      <c r="D212" s="21" t="str">
        <f>IFERROR(__xludf.DUMMYFUNCTION("""COMPUTED_VALUE"""),"Removed")</f>
        <v>Removed</v>
      </c>
      <c r="E212" s="279">
        <f>IFERROR(__xludf.DUMMYFUNCTION("""COMPUTED_VALUE"""),44966.0)</f>
        <v>44966</v>
      </c>
      <c r="F212" s="279">
        <f>IFERROR(__xludf.DUMMYFUNCTION("""COMPUTED_VALUE"""),45703.0)</f>
        <v>45703</v>
      </c>
      <c r="G212" s="27">
        <f>IFERROR(__xludf.DUMMYFUNCTION("""COMPUTED_VALUE"""),24.2)</f>
        <v>24.2</v>
      </c>
      <c r="H212" s="128">
        <f>IFERROR(__xludf.DUMMYFUNCTION("""COMPUTED_VALUE"""),44791.0)</f>
        <v>44791</v>
      </c>
      <c r="I212" s="27">
        <f>IFERROR(__xludf.DUMMYFUNCTION("""COMPUTED_VALUE"""),0.475)</f>
        <v>0.475</v>
      </c>
      <c r="J212" s="29">
        <f>IFERROR(__xludf.DUMMYFUNCTION("""COMPUTED_VALUE"""),69.0)</f>
        <v>69</v>
      </c>
      <c r="K212" s="29">
        <f>IFERROR(__xludf.DUMMYFUNCTION("""COMPUTED_VALUE"""),28.0)</f>
        <v>28</v>
      </c>
      <c r="L212" s="275" t="str">
        <f>IFERROR(__xludf.DUMMYFUNCTION("""COMPUTED_VALUE"""),"Sports")</f>
        <v>Sports</v>
      </c>
    </row>
    <row r="213" hidden="1">
      <c r="A213" s="278" t="str">
        <f>IFERROR(__xludf.DUMMYFUNCTION("""COMPUTED_VALUE"""),"EA Sports UFC 3")</f>
        <v>EA Sports UFC 3</v>
      </c>
      <c r="B213" s="20" t="str">
        <f>IFERROR(__xludf.DUMMYFUNCTION("""COMPUTED_VALUE"""),"Xbox")</f>
        <v>Xbox</v>
      </c>
      <c r="C213" s="21"/>
      <c r="D213" s="21" t="str">
        <f>IFERROR(__xludf.DUMMYFUNCTION("""COMPUTED_VALUE"""),"Removed")</f>
        <v>Removed</v>
      </c>
      <c r="E213" s="279">
        <f>IFERROR(__xludf.DUMMYFUNCTION("""COMPUTED_VALUE"""),44145.0)</f>
        <v>44145</v>
      </c>
      <c r="F213" s="279">
        <f>IFERROR(__xludf.DUMMYFUNCTION("""COMPUTED_VALUE"""),45703.0)</f>
        <v>45703</v>
      </c>
      <c r="G213" s="27">
        <f>IFERROR(__xludf.DUMMYFUNCTION("""COMPUTED_VALUE"""),51.16666666666667)</f>
        <v>51.16666667</v>
      </c>
      <c r="H213" s="128">
        <f>IFERROR(__xludf.DUMMYFUNCTION("""COMPUTED_VALUE"""),43133.0)</f>
        <v>43133</v>
      </c>
      <c r="I213" s="27">
        <f>IFERROR(__xludf.DUMMYFUNCTION("""COMPUTED_VALUE"""),2.772222222222222)</f>
        <v>2.772222222</v>
      </c>
      <c r="J213" s="277">
        <f>IFERROR(__xludf.DUMMYFUNCTION("""COMPUTED_VALUE"""),77.0)</f>
        <v>77</v>
      </c>
      <c r="K213" s="277">
        <f>IFERROR(__xludf.DUMMYFUNCTION("""COMPUTED_VALUE"""),9.0)</f>
        <v>9</v>
      </c>
      <c r="L213" s="275" t="str">
        <f>IFERROR(__xludf.DUMMYFUNCTION("""COMPUTED_VALUE"""),"Sports")</f>
        <v>Sports</v>
      </c>
    </row>
    <row r="214" hidden="1">
      <c r="A214" s="278" t="str">
        <f>IFERROR(__xludf.DUMMYFUNCTION("""COMPUTED_VALUE"""),"Anuchard")</f>
        <v>Anuchard</v>
      </c>
      <c r="B214" s="20" t="str">
        <f>IFERROR(__xludf.DUMMYFUNCTION("""COMPUTED_VALUE"""),"Xbox / PC")</f>
        <v>Xbox / PC</v>
      </c>
      <c r="C214" s="21" t="str">
        <f>IFERROR(__xludf.DUMMYFUNCTION("""COMPUTED_VALUE"""),"Yes")</f>
        <v>Yes</v>
      </c>
      <c r="D214" s="21" t="str">
        <f>IFERROR(__xludf.DUMMYFUNCTION("""COMPUTED_VALUE"""),"Removed")</f>
        <v>Removed</v>
      </c>
      <c r="E214" s="279">
        <f>IFERROR(__xludf.DUMMYFUNCTION("""COMPUTED_VALUE"""),45328.0)</f>
        <v>45328</v>
      </c>
      <c r="F214" s="279">
        <f>IFERROR(__xludf.DUMMYFUNCTION("""COMPUTED_VALUE"""),45688.0)</f>
        <v>45688</v>
      </c>
      <c r="G214" s="27">
        <f>IFERROR(__xludf.DUMMYFUNCTION("""COMPUTED_VALUE"""),11.799999999999999)</f>
        <v>11.8</v>
      </c>
      <c r="H214" s="128">
        <f>IFERROR(__xludf.DUMMYFUNCTION("""COMPUTED_VALUE"""),44672.0)</f>
        <v>44672</v>
      </c>
      <c r="I214" s="27">
        <f>IFERROR(__xludf.DUMMYFUNCTION("""COMPUTED_VALUE"""),1.7916666666666667)</f>
        <v>1.791666667</v>
      </c>
      <c r="J214" s="29">
        <f>IFERROR(__xludf.DUMMYFUNCTION("""COMPUTED_VALUE"""),70.0)</f>
        <v>70</v>
      </c>
      <c r="K214" s="29">
        <f>IFERROR(__xludf.DUMMYFUNCTION("""COMPUTED_VALUE"""),9.0)</f>
        <v>9</v>
      </c>
      <c r="L214" s="275" t="str">
        <f>IFERROR(__xludf.DUMMYFUNCTION("""COMPUTED_VALUE"""),"RPG")</f>
        <v>RPG</v>
      </c>
    </row>
    <row r="215" hidden="1">
      <c r="A215" s="17" t="str">
        <f>IFERROR(__xludf.DUMMYFUNCTION("""COMPUTED_VALUE"""),"Broforce Forever")</f>
        <v>Broforce Forever</v>
      </c>
      <c r="B215" s="20" t="str">
        <f>IFERROR(__xludf.DUMMYFUNCTION("""COMPUTED_VALUE"""),"Xbox / PC")</f>
        <v>Xbox / PC</v>
      </c>
      <c r="C215" s="21" t="str">
        <f>IFERROR(__xludf.DUMMYFUNCTION("""COMPUTED_VALUE"""),"Yes")</f>
        <v>Yes</v>
      </c>
      <c r="D215" s="21" t="str">
        <f>IFERROR(__xludf.DUMMYFUNCTION("""COMPUTED_VALUE"""),"Removed")</f>
        <v>Removed</v>
      </c>
      <c r="E215" s="279">
        <f>IFERROR(__xludf.DUMMYFUNCTION("""COMPUTED_VALUE"""),45146.0)</f>
        <v>45146</v>
      </c>
      <c r="F215" s="276">
        <f>IFERROR(__xludf.DUMMYFUNCTION("""COMPUTED_VALUE"""),45688.0)</f>
        <v>45688</v>
      </c>
      <c r="G215" s="27">
        <f>IFERROR(__xludf.DUMMYFUNCTION("""COMPUTED_VALUE"""),17.733333333333334)</f>
        <v>17.73333333</v>
      </c>
      <c r="H215" s="128">
        <f>IFERROR(__xludf.DUMMYFUNCTION("""COMPUTED_VALUE"""),45146.0)</f>
        <v>45146</v>
      </c>
      <c r="I215" s="27">
        <f>IFERROR(__xludf.DUMMYFUNCTION("""COMPUTED_VALUE"""),0.0)</f>
        <v>0</v>
      </c>
      <c r="J215" s="29">
        <f>IFERROR(__xludf.DUMMYFUNCTION("""COMPUTED_VALUE"""),80.0)</f>
        <v>80</v>
      </c>
      <c r="K215" s="29">
        <f>IFERROR(__xludf.DUMMYFUNCTION("""COMPUTED_VALUE"""),7.0)</f>
        <v>7</v>
      </c>
      <c r="L215" s="275" t="str">
        <f>IFERROR(__xludf.DUMMYFUNCTION("""COMPUTED_VALUE"""),"Shooter")</f>
        <v>Shooter</v>
      </c>
    </row>
    <row r="216" hidden="1">
      <c r="A216" s="278" t="str">
        <f>IFERROR(__xludf.DUMMYFUNCTION("""COMPUTED_VALUE"""),"Serious Sam: Siberian Mayhem")</f>
        <v>Serious Sam: Siberian Mayhem</v>
      </c>
      <c r="B216" s="20" t="str">
        <f>IFERROR(__xludf.DUMMYFUNCTION("""COMPUTED_VALUE"""),"Xbox / PC")</f>
        <v>Xbox / PC</v>
      </c>
      <c r="C216" s="21" t="str">
        <f>IFERROR(__xludf.DUMMYFUNCTION("""COMPUTED_VALUE"""),"Yes")</f>
        <v>Yes</v>
      </c>
      <c r="D216" s="21" t="str">
        <f>IFERROR(__xludf.DUMMYFUNCTION("""COMPUTED_VALUE"""),"Removed")</f>
        <v>Removed</v>
      </c>
      <c r="E216" s="279">
        <f>IFERROR(__xludf.DUMMYFUNCTION("""COMPUTED_VALUE"""),45132.0)</f>
        <v>45132</v>
      </c>
      <c r="F216" s="279">
        <f>IFERROR(__xludf.DUMMYFUNCTION("""COMPUTED_VALUE"""),45688.0)</f>
        <v>45688</v>
      </c>
      <c r="G216" s="27">
        <f>IFERROR(__xludf.DUMMYFUNCTION("""COMPUTED_VALUE"""),18.166666666666664)</f>
        <v>18.16666667</v>
      </c>
      <c r="H216" s="128">
        <f>IFERROR(__xludf.DUMMYFUNCTION("""COMPUTED_VALUE"""),44586.0)</f>
        <v>44586</v>
      </c>
      <c r="I216" s="27">
        <f>IFERROR(__xludf.DUMMYFUNCTION("""COMPUTED_VALUE"""),1.5)</f>
        <v>1.5</v>
      </c>
      <c r="J216" s="29">
        <f>IFERROR(__xludf.DUMMYFUNCTION("""COMPUTED_VALUE"""),70.0)</f>
        <v>70</v>
      </c>
      <c r="K216" s="29">
        <f>IFERROR(__xludf.DUMMYFUNCTION("""COMPUTED_VALUE"""),5.0)</f>
        <v>5</v>
      </c>
      <c r="L216" s="275" t="str">
        <f>IFERROR(__xludf.DUMMYFUNCTION("""COMPUTED_VALUE"""),"Shooter")</f>
        <v>Shooter</v>
      </c>
    </row>
    <row r="217" hidden="1">
      <c r="A217" s="278" t="str">
        <f>IFERROR(__xludf.DUMMYFUNCTION("""COMPUTED_VALUE"""),"Maquette")</f>
        <v>Maquette</v>
      </c>
      <c r="B217" s="20" t="str">
        <f>IFERROR(__xludf.DUMMYFUNCTION("""COMPUTED_VALUE"""),"Xbox / PC")</f>
        <v>Xbox / PC</v>
      </c>
      <c r="C217" s="21" t="str">
        <f>IFERROR(__xludf.DUMMYFUNCTION("""COMPUTED_VALUE"""),"Yes")</f>
        <v>Yes</v>
      </c>
      <c r="D217" s="21" t="str">
        <f>IFERROR(__xludf.DUMMYFUNCTION("""COMPUTED_VALUE"""),"Removed")</f>
        <v>Removed</v>
      </c>
      <c r="E217" s="279">
        <f>IFERROR(__xludf.DUMMYFUNCTION("""COMPUTED_VALUE"""),45126.0)</f>
        <v>45126</v>
      </c>
      <c r="F217" s="279">
        <f>IFERROR(__xludf.DUMMYFUNCTION("""COMPUTED_VALUE"""),45688.0)</f>
        <v>45688</v>
      </c>
      <c r="G217" s="27">
        <f>IFERROR(__xludf.DUMMYFUNCTION("""COMPUTED_VALUE"""),18.366666666666667)</f>
        <v>18.36666667</v>
      </c>
      <c r="H217" s="128">
        <f>IFERROR(__xludf.DUMMYFUNCTION("""COMPUTED_VALUE"""),44257.0)</f>
        <v>44257</v>
      </c>
      <c r="I217" s="27">
        <f>IFERROR(__xludf.DUMMYFUNCTION("""COMPUTED_VALUE"""),2.3805555555555555)</f>
        <v>2.380555556</v>
      </c>
      <c r="J217" s="29">
        <f>IFERROR(__xludf.DUMMYFUNCTION("""COMPUTED_VALUE"""),70.0)</f>
        <v>70</v>
      </c>
      <c r="K217" s="29">
        <f>IFERROR(__xludf.DUMMYFUNCTION("""COMPUTED_VALUE"""),4.0)</f>
        <v>4</v>
      </c>
      <c r="L217" s="275" t="str">
        <f>IFERROR(__xludf.DUMMYFUNCTION("""COMPUTED_VALUE"""),"Puzzle")</f>
        <v>Puzzle</v>
      </c>
    </row>
    <row r="218" hidden="1">
      <c r="A218" s="278" t="str">
        <f>IFERROR(__xludf.DUMMYFUNCTION("""COMPUTED_VALUE"""),"Darkest Dungeon")</f>
        <v>Darkest Dungeon</v>
      </c>
      <c r="B218" s="20" t="str">
        <f>IFERROR(__xludf.DUMMYFUNCTION("""COMPUTED_VALUE"""),"Xbox / PC")</f>
        <v>Xbox / PC</v>
      </c>
      <c r="C218" s="21" t="str">
        <f>IFERROR(__xludf.DUMMYFUNCTION("""COMPUTED_VALUE"""),"Yes")</f>
        <v>Yes</v>
      </c>
      <c r="D218" s="21" t="str">
        <f>IFERROR(__xludf.DUMMYFUNCTION("""COMPUTED_VALUE"""),"Removed")</f>
        <v>Removed</v>
      </c>
      <c r="E218" s="279">
        <f>IFERROR(__xludf.DUMMYFUNCTION("""COMPUTED_VALUE"""),44959.0)</f>
        <v>44959</v>
      </c>
      <c r="F218" s="279">
        <f>IFERROR(__xludf.DUMMYFUNCTION("""COMPUTED_VALUE"""),45688.0)</f>
        <v>45688</v>
      </c>
      <c r="G218" s="27">
        <f>IFERROR(__xludf.DUMMYFUNCTION("""COMPUTED_VALUE"""),23.933333333333334)</f>
        <v>23.93333333</v>
      </c>
      <c r="H218" s="128">
        <f>IFERROR(__xludf.DUMMYFUNCTION("""COMPUTED_VALUE"""),42388.0)</f>
        <v>42388</v>
      </c>
      <c r="I218" s="27">
        <f>IFERROR(__xludf.DUMMYFUNCTION("""COMPUTED_VALUE"""),7.036111111111111)</f>
        <v>7.036111111</v>
      </c>
      <c r="J218" s="29">
        <f>IFERROR(__xludf.DUMMYFUNCTION("""COMPUTED_VALUE"""),84.0)</f>
        <v>84</v>
      </c>
      <c r="K218" s="29">
        <f>IFERROR(__xludf.DUMMYFUNCTION("""COMPUTED_VALUE"""),56.0)</f>
        <v>56</v>
      </c>
      <c r="L218" s="275" t="str">
        <f>IFERROR(__xludf.DUMMYFUNCTION("""COMPUTED_VALUE"""),"RPG")</f>
        <v>RPG</v>
      </c>
    </row>
    <row r="219" hidden="1">
      <c r="A219" s="278" t="str">
        <f>IFERROR(__xludf.DUMMYFUNCTION("""COMPUTED_VALUE"""),"Death's Door")</f>
        <v>Death's Door</v>
      </c>
      <c r="B219" s="20" t="str">
        <f>IFERROR(__xludf.DUMMYFUNCTION("""COMPUTED_VALUE"""),"Xbox / PC")</f>
        <v>Xbox / PC</v>
      </c>
      <c r="C219" s="21" t="str">
        <f>IFERROR(__xludf.DUMMYFUNCTION("""COMPUTED_VALUE"""),"Touch Controls")</f>
        <v>Touch Controls</v>
      </c>
      <c r="D219" s="21" t="str">
        <f>IFERROR(__xludf.DUMMYFUNCTION("""COMPUTED_VALUE"""),"Removed")</f>
        <v>Removed</v>
      </c>
      <c r="E219" s="23">
        <f>IFERROR(__xludf.DUMMYFUNCTION("""COMPUTED_VALUE"""),44581.0)</f>
        <v>44581</v>
      </c>
      <c r="F219" s="279">
        <f>IFERROR(__xludf.DUMMYFUNCTION("""COMPUTED_VALUE"""),45688.0)</f>
        <v>45688</v>
      </c>
      <c r="G219" s="27">
        <f>IFERROR(__xludf.DUMMYFUNCTION("""COMPUTED_VALUE"""),36.33333333333333)</f>
        <v>36.33333333</v>
      </c>
      <c r="H219" s="128">
        <f>IFERROR(__xludf.DUMMYFUNCTION("""COMPUTED_VALUE"""),44397.0)</f>
        <v>44397</v>
      </c>
      <c r="I219" s="27">
        <f>IFERROR(__xludf.DUMMYFUNCTION("""COMPUTED_VALUE"""),0.5)</f>
        <v>0.5</v>
      </c>
      <c r="J219" s="29">
        <f>IFERROR(__xludf.DUMMYFUNCTION("""COMPUTED_VALUE"""),86.0)</f>
        <v>86</v>
      </c>
      <c r="K219" s="29">
        <f>IFERROR(__xludf.DUMMYFUNCTION("""COMPUTED_VALUE"""),8.5)</f>
        <v>8.5</v>
      </c>
      <c r="L219" s="275" t="str">
        <f>IFERROR(__xludf.DUMMYFUNCTION("""COMPUTED_VALUE"""),"Action-Adventure")</f>
        <v>Action-Adventure</v>
      </c>
    </row>
    <row r="220" hidden="1">
      <c r="A220" s="278" t="str">
        <f>IFERROR(__xludf.DUMMYFUNCTION("""COMPUTED_VALUE"""),"Those Who Remain")</f>
        <v>Those Who Remain</v>
      </c>
      <c r="B220" s="20" t="str">
        <f>IFERROR(__xludf.DUMMYFUNCTION("""COMPUTED_VALUE"""),"Xbox / PC")</f>
        <v>Xbox / PC</v>
      </c>
      <c r="C220" s="21" t="str">
        <f>IFERROR(__xludf.DUMMYFUNCTION("""COMPUTED_VALUE"""),"Yes")</f>
        <v>Yes</v>
      </c>
      <c r="D220" s="21" t="str">
        <f>IFERROR(__xludf.DUMMYFUNCTION("""COMPUTED_VALUE"""),"Removed")</f>
        <v>Removed</v>
      </c>
      <c r="E220" s="279">
        <f>IFERROR(__xludf.DUMMYFUNCTION("""COMPUTED_VALUE"""),45307.0)</f>
        <v>45307</v>
      </c>
      <c r="F220" s="279">
        <f>IFERROR(__xludf.DUMMYFUNCTION("""COMPUTED_VALUE"""),45672.0)</f>
        <v>45672</v>
      </c>
      <c r="G220" s="27">
        <f>IFERROR(__xludf.DUMMYFUNCTION("""COMPUTED_VALUE"""),11.966666666666667)</f>
        <v>11.96666667</v>
      </c>
      <c r="H220" s="128">
        <f>IFERROR(__xludf.DUMMYFUNCTION("""COMPUTED_VALUE"""),43979.0)</f>
        <v>43979</v>
      </c>
      <c r="I220" s="27">
        <f>IFERROR(__xludf.DUMMYFUNCTION("""COMPUTED_VALUE"""),3.6333333333333333)</f>
        <v>3.633333333</v>
      </c>
      <c r="J220" s="277">
        <f>IFERROR(__xludf.DUMMYFUNCTION("""COMPUTED_VALUE"""),49.0)</f>
        <v>49</v>
      </c>
      <c r="K220" s="29">
        <f>IFERROR(__xludf.DUMMYFUNCTION("""COMPUTED_VALUE"""),6.0)</f>
        <v>6</v>
      </c>
      <c r="L220" s="275" t="str">
        <f>IFERROR(__xludf.DUMMYFUNCTION("""COMPUTED_VALUE"""),"Adventure")</f>
        <v>Adventure</v>
      </c>
    </row>
    <row r="221" hidden="1">
      <c r="A221" s="278" t="str">
        <f>IFERROR(__xludf.DUMMYFUNCTION("""COMPUTED_VALUE"""),"Figment")</f>
        <v>Figment</v>
      </c>
      <c r="B221" s="20" t="str">
        <f>IFERROR(__xludf.DUMMYFUNCTION("""COMPUTED_VALUE"""),"Xbox / PC")</f>
        <v>Xbox / PC</v>
      </c>
      <c r="C221" s="21" t="str">
        <f>IFERROR(__xludf.DUMMYFUNCTION("""COMPUTED_VALUE"""),"Yes")</f>
        <v>Yes</v>
      </c>
      <c r="D221" s="21" t="str">
        <f>IFERROR(__xludf.DUMMYFUNCTION("""COMPUTED_VALUE"""),"Removed")</f>
        <v>Removed</v>
      </c>
      <c r="E221" s="279">
        <f>IFERROR(__xludf.DUMMYFUNCTION("""COMPUTED_VALUE"""),45300.0)</f>
        <v>45300</v>
      </c>
      <c r="F221" s="279">
        <f>IFERROR(__xludf.DUMMYFUNCTION("""COMPUTED_VALUE"""),45672.0)</f>
        <v>45672</v>
      </c>
      <c r="G221" s="27">
        <f>IFERROR(__xludf.DUMMYFUNCTION("""COMPUTED_VALUE"""),12.2)</f>
        <v>12.2</v>
      </c>
      <c r="H221" s="128">
        <f>IFERROR(__xludf.DUMMYFUNCTION("""COMPUTED_VALUE"""),43000.0)</f>
        <v>43000</v>
      </c>
      <c r="I221" s="27">
        <f>IFERROR(__xludf.DUMMYFUNCTION("""COMPUTED_VALUE"""),6.2972222222222225)</f>
        <v>6.297222222</v>
      </c>
      <c r="J221" s="277">
        <f>IFERROR(__xludf.DUMMYFUNCTION("""COMPUTED_VALUE"""),75.0)</f>
        <v>75</v>
      </c>
      <c r="K221" s="29">
        <f>IFERROR(__xludf.DUMMYFUNCTION("""COMPUTED_VALUE"""),5.0)</f>
        <v>5</v>
      </c>
      <c r="L221" s="275" t="str">
        <f>IFERROR(__xludf.DUMMYFUNCTION("""COMPUTED_VALUE"""),"Action-Adventure")</f>
        <v>Action-Adventure</v>
      </c>
    </row>
    <row r="222" hidden="1">
      <c r="A222" s="278" t="str">
        <f>IFERROR(__xludf.DUMMYFUNCTION("""COMPUTED_VALUE"""),"Exoprimal")</f>
        <v>Exoprimal</v>
      </c>
      <c r="B222" s="20" t="str">
        <f>IFERROR(__xludf.DUMMYFUNCTION("""COMPUTED_VALUE"""),"Xbox / PC")</f>
        <v>Xbox / PC</v>
      </c>
      <c r="C222" s="21" t="str">
        <f>IFERROR(__xludf.DUMMYFUNCTION("""COMPUTED_VALUE"""),"Yes")</f>
        <v>Yes</v>
      </c>
      <c r="D222" s="21" t="str">
        <f>IFERROR(__xludf.DUMMYFUNCTION("""COMPUTED_VALUE"""),"Removed")</f>
        <v>Removed</v>
      </c>
      <c r="E222" s="279">
        <f>IFERROR(__xludf.DUMMYFUNCTION("""COMPUTED_VALUE"""),45121.0)</f>
        <v>45121</v>
      </c>
      <c r="F222" s="279">
        <f>IFERROR(__xludf.DUMMYFUNCTION("""COMPUTED_VALUE"""),45672.0)</f>
        <v>45672</v>
      </c>
      <c r="G222" s="27">
        <f>IFERROR(__xludf.DUMMYFUNCTION("""COMPUTED_VALUE"""),18.03333333333333)</f>
        <v>18.03333333</v>
      </c>
      <c r="H222" s="128">
        <f>IFERROR(__xludf.DUMMYFUNCTION("""COMPUTED_VALUE"""),45121.0)</f>
        <v>45121</v>
      </c>
      <c r="I222" s="27">
        <f>IFERROR(__xludf.DUMMYFUNCTION("""COMPUTED_VALUE"""),0.0)</f>
        <v>0</v>
      </c>
      <c r="J222" s="29">
        <f>IFERROR(__xludf.DUMMYFUNCTION("""COMPUTED_VALUE"""),73.0)</f>
        <v>73</v>
      </c>
      <c r="K222" s="29">
        <f>IFERROR(__xludf.DUMMYFUNCTION("""COMPUTED_VALUE"""),6.0)</f>
        <v>6</v>
      </c>
      <c r="L222" s="275" t="str">
        <f>IFERROR(__xludf.DUMMYFUNCTION("""COMPUTED_VALUE"""),"Action")</f>
        <v>Action</v>
      </c>
    </row>
    <row r="223" hidden="1">
      <c r="A223" s="278" t="str">
        <f>IFERROR(__xludf.DUMMYFUNCTION("""COMPUTED_VALUE"""),"Common'hood")</f>
        <v>Common'hood</v>
      </c>
      <c r="B223" s="20" t="str">
        <f>IFERROR(__xludf.DUMMYFUNCTION("""COMPUTED_VALUE"""),"Xbox / PC")</f>
        <v>Xbox / PC</v>
      </c>
      <c r="C223" s="21" t="str">
        <f>IFERROR(__xludf.DUMMYFUNCTION("""COMPUTED_VALUE"""),"Yes")</f>
        <v>Yes</v>
      </c>
      <c r="D223" s="21" t="str">
        <f>IFERROR(__xludf.DUMMYFUNCTION("""COMPUTED_VALUE"""),"Removed")</f>
        <v>Removed</v>
      </c>
      <c r="E223" s="279">
        <f>IFERROR(__xludf.DUMMYFUNCTION("""COMPUTED_VALUE"""),45118.0)</f>
        <v>45118</v>
      </c>
      <c r="F223" s="279">
        <f>IFERROR(__xludf.DUMMYFUNCTION("""COMPUTED_VALUE"""),45672.0)</f>
        <v>45672</v>
      </c>
      <c r="G223" s="27">
        <f>IFERROR(__xludf.DUMMYFUNCTION("""COMPUTED_VALUE"""),18.133333333333333)</f>
        <v>18.13333333</v>
      </c>
      <c r="H223" s="128">
        <f>IFERROR(__xludf.DUMMYFUNCTION("""COMPUTED_VALUE"""),44875.0)</f>
        <v>44875</v>
      </c>
      <c r="I223" s="27">
        <f>IFERROR(__xludf.DUMMYFUNCTION("""COMPUTED_VALUE"""),0.6694444444444444)</f>
        <v>0.6694444444</v>
      </c>
      <c r="J223" s="29">
        <f>IFERROR(__xludf.DUMMYFUNCTION("""COMPUTED_VALUE"""),50.0)</f>
        <v>50</v>
      </c>
      <c r="K223" s="29">
        <f>IFERROR(__xludf.DUMMYFUNCTION("""COMPUTED_VALUE"""),23.0)</f>
        <v>23</v>
      </c>
      <c r="L223" s="275" t="str">
        <f>IFERROR(__xludf.DUMMYFUNCTION("""COMPUTED_VALUE"""),"Simulation")</f>
        <v>Simulation</v>
      </c>
    </row>
    <row r="224" hidden="1">
      <c r="A224" s="17" t="str">
        <f>IFERROR(__xludf.DUMMYFUNCTION("""COMPUTED_VALUE"""),"Insurgency: Sandstorm")</f>
        <v>Insurgency: Sandstorm</v>
      </c>
      <c r="B224" s="20" t="str">
        <f>IFERROR(__xludf.DUMMYFUNCTION("""COMPUTED_VALUE"""),"Xbox / PC")</f>
        <v>Xbox / PC</v>
      </c>
      <c r="C224" s="20" t="str">
        <f>IFERROR(__xludf.DUMMYFUNCTION("""COMPUTED_VALUE"""),"Yes")</f>
        <v>Yes</v>
      </c>
      <c r="D224" s="21" t="str">
        <f>IFERROR(__xludf.DUMMYFUNCTION("""COMPUTED_VALUE"""),"Removed")</f>
        <v>Removed</v>
      </c>
      <c r="E224" s="128">
        <f>IFERROR(__xludf.DUMMYFUNCTION("""COMPUTED_VALUE"""),44894.0)</f>
        <v>44894</v>
      </c>
      <c r="F224" s="276">
        <f>IFERROR(__xludf.DUMMYFUNCTION("""COMPUTED_VALUE"""),45672.0)</f>
        <v>45672</v>
      </c>
      <c r="G224" s="27">
        <f>IFERROR(__xludf.DUMMYFUNCTION("""COMPUTED_VALUE"""),25.53333333333333)</f>
        <v>25.53333333</v>
      </c>
      <c r="H224" s="128">
        <f>IFERROR(__xludf.DUMMYFUNCTION("""COMPUTED_VALUE"""),43361.0)</f>
        <v>43361</v>
      </c>
      <c r="I224" s="27">
        <f>IFERROR(__xludf.DUMMYFUNCTION("""COMPUTED_VALUE"""),4.197222222222222)</f>
        <v>4.197222222</v>
      </c>
      <c r="J224" s="29">
        <f>IFERROR(__xludf.DUMMYFUNCTION("""COMPUTED_VALUE"""),80.0)</f>
        <v>80</v>
      </c>
      <c r="K224" s="29">
        <f>IFERROR(__xludf.DUMMYFUNCTION("""COMPUTED_VALUE"""),33.0)</f>
        <v>33</v>
      </c>
      <c r="L224" s="31" t="str">
        <f>IFERROR(__xludf.DUMMYFUNCTION("""COMPUTED_VALUE"""),"Shooter")</f>
        <v>Shooter</v>
      </c>
    </row>
    <row r="225" hidden="1">
      <c r="A225" s="278" t="str">
        <f>IFERROR(__xludf.DUMMYFUNCTION("""COMPUTED_VALUE"""),"Escape Academy")</f>
        <v>Escape Academy</v>
      </c>
      <c r="B225" s="20" t="str">
        <f>IFERROR(__xludf.DUMMYFUNCTION("""COMPUTED_VALUE"""),"Xbox / PC")</f>
        <v>Xbox / PC</v>
      </c>
      <c r="C225" s="21" t="str">
        <f>IFERROR(__xludf.DUMMYFUNCTION("""COMPUTED_VALUE"""),"Touch Controls")</f>
        <v>Touch Controls</v>
      </c>
      <c r="D225" s="21" t="str">
        <f>IFERROR(__xludf.DUMMYFUNCTION("""COMPUTED_VALUE"""),"Removed")</f>
        <v>Removed</v>
      </c>
      <c r="E225" s="279">
        <f>IFERROR(__xludf.DUMMYFUNCTION("""COMPUTED_VALUE"""),44756.0)</f>
        <v>44756</v>
      </c>
      <c r="F225" s="276">
        <f>IFERROR(__xludf.DUMMYFUNCTION("""COMPUTED_VALUE"""),45672.0)</f>
        <v>45672</v>
      </c>
      <c r="G225" s="27">
        <f>IFERROR(__xludf.DUMMYFUNCTION("""COMPUTED_VALUE"""),30.03333333333333)</f>
        <v>30.03333333</v>
      </c>
      <c r="H225" s="128">
        <f>IFERROR(__xludf.DUMMYFUNCTION("""COMPUTED_VALUE"""),44756.0)</f>
        <v>44756</v>
      </c>
      <c r="I225" s="27">
        <f>IFERROR(__xludf.DUMMYFUNCTION("""COMPUTED_VALUE"""),0.0)</f>
        <v>0</v>
      </c>
      <c r="J225" s="277">
        <f>IFERROR(__xludf.DUMMYFUNCTION("""COMPUTED_VALUE"""),81.0)</f>
        <v>81</v>
      </c>
      <c r="K225" s="29">
        <f>IFERROR(__xludf.DUMMYFUNCTION("""COMPUTED_VALUE"""),4.5)</f>
        <v>4.5</v>
      </c>
      <c r="L225" s="275" t="str">
        <f>IFERROR(__xludf.DUMMYFUNCTION("""COMPUTED_VALUE"""),"Adventure")</f>
        <v>Adventure</v>
      </c>
    </row>
    <row r="226" hidden="1">
      <c r="A226" s="278" t="str">
        <f>IFERROR(__xludf.DUMMYFUNCTION("""COMPUTED_VALUE"""),"LEGO 2K Drive")</f>
        <v>LEGO 2K Drive</v>
      </c>
      <c r="B226" s="21" t="str">
        <f>IFERROR(__xludf.DUMMYFUNCTION("""COMPUTED_VALUE"""),"Xbox")</f>
        <v>Xbox</v>
      </c>
      <c r="C226" s="21" t="str">
        <f>IFERROR(__xludf.DUMMYFUNCTION("""COMPUTED_VALUE"""),"Yes")</f>
        <v>Yes</v>
      </c>
      <c r="D226" s="21" t="str">
        <f>IFERROR(__xludf.DUMMYFUNCTION("""COMPUTED_VALUE"""),"Removed")</f>
        <v>Removed</v>
      </c>
      <c r="E226" s="279">
        <f>IFERROR(__xludf.DUMMYFUNCTION("""COMPUTED_VALUE"""),45385.0)</f>
        <v>45385</v>
      </c>
      <c r="F226" s="279">
        <f>IFERROR(__xludf.DUMMYFUNCTION("""COMPUTED_VALUE"""),45657.0)</f>
        <v>45657</v>
      </c>
      <c r="G226" s="27">
        <f>IFERROR(__xludf.DUMMYFUNCTION("""COMPUTED_VALUE"""),8.9)</f>
        <v>8.9</v>
      </c>
      <c r="H226" s="128">
        <f>IFERROR(__xludf.DUMMYFUNCTION("""COMPUTED_VALUE"""),45062.0)</f>
        <v>45062</v>
      </c>
      <c r="I226" s="27">
        <f>IFERROR(__xludf.DUMMYFUNCTION("""COMPUTED_VALUE"""),0.8805555555555555)</f>
        <v>0.8805555556</v>
      </c>
      <c r="J226" s="277">
        <f>IFERROR(__xludf.DUMMYFUNCTION("""COMPUTED_VALUE"""),73.0)</f>
        <v>73</v>
      </c>
      <c r="K226" s="29">
        <f>IFERROR(__xludf.DUMMYFUNCTION("""COMPUTED_VALUE"""),7.0)</f>
        <v>7</v>
      </c>
      <c r="L226" s="275" t="str">
        <f>IFERROR(__xludf.DUMMYFUNCTION("""COMPUTED_VALUE"""),"Racing")</f>
        <v>Racing</v>
      </c>
    </row>
    <row r="227" hidden="1">
      <c r="A227" s="278" t="str">
        <f>IFERROR(__xludf.DUMMYFUNCTION("""COMPUTED_VALUE"""),"Close to the Sun")</f>
        <v>Close to the Sun</v>
      </c>
      <c r="B227" s="21" t="str">
        <f>IFERROR(__xludf.DUMMYFUNCTION("""COMPUTED_VALUE"""),"Xbox / PC")</f>
        <v>Xbox / PC</v>
      </c>
      <c r="C227" s="21" t="str">
        <f>IFERROR(__xludf.DUMMYFUNCTION("""COMPUTED_VALUE"""),"Yes")</f>
        <v>Yes</v>
      </c>
      <c r="D227" s="21" t="str">
        <f>IFERROR(__xludf.DUMMYFUNCTION("""COMPUTED_VALUE"""),"Removed")</f>
        <v>Removed</v>
      </c>
      <c r="E227" s="279">
        <f>IFERROR(__xludf.DUMMYFUNCTION("""COMPUTED_VALUE"""),45293.0)</f>
        <v>45293</v>
      </c>
      <c r="F227" s="279">
        <f>IFERROR(__xludf.DUMMYFUNCTION("""COMPUTED_VALUE"""),45657.0)</f>
        <v>45657</v>
      </c>
      <c r="G227" s="27">
        <f>IFERROR(__xludf.DUMMYFUNCTION("""COMPUTED_VALUE"""),11.933333333333334)</f>
        <v>11.93333333</v>
      </c>
      <c r="H227" s="128">
        <f>IFERROR(__xludf.DUMMYFUNCTION("""COMPUTED_VALUE"""),43767.0)</f>
        <v>43767</v>
      </c>
      <c r="I227" s="27">
        <f>IFERROR(__xludf.DUMMYFUNCTION("""COMPUTED_VALUE"""),4.175)</f>
        <v>4.175</v>
      </c>
      <c r="J227" s="277">
        <f>IFERROR(__xludf.DUMMYFUNCTION("""COMPUTED_VALUE"""),66.0)</f>
        <v>66</v>
      </c>
      <c r="K227" s="277">
        <f>IFERROR(__xludf.DUMMYFUNCTION("""COMPUTED_VALUE"""),4.0)</f>
        <v>4</v>
      </c>
      <c r="L227" s="275" t="str">
        <f>IFERROR(__xludf.DUMMYFUNCTION("""COMPUTED_VALUE"""),"Adventure")</f>
        <v>Adventure</v>
      </c>
    </row>
    <row r="228" hidden="1">
      <c r="A228" s="278" t="str">
        <f>IFERROR(__xludf.DUMMYFUNCTION("""COMPUTED_VALUE"""),"Party Animals")</f>
        <v>Party Animals</v>
      </c>
      <c r="B228" s="21" t="str">
        <f>IFERROR(__xludf.DUMMYFUNCTION("""COMPUTED_VALUE"""),"Xbox")</f>
        <v>Xbox</v>
      </c>
      <c r="C228" s="21" t="str">
        <f>IFERROR(__xludf.DUMMYFUNCTION("""COMPUTED_VALUE"""),"Yes")</f>
        <v>Yes</v>
      </c>
      <c r="D228" s="21" t="str">
        <f>IFERROR(__xludf.DUMMYFUNCTION("""COMPUTED_VALUE"""),"Removed")</f>
        <v>Removed</v>
      </c>
      <c r="E228" s="279">
        <f>IFERROR(__xludf.DUMMYFUNCTION("""COMPUTED_VALUE"""),45189.0)</f>
        <v>45189</v>
      </c>
      <c r="F228" s="279">
        <f>IFERROR(__xludf.DUMMYFUNCTION("""COMPUTED_VALUE"""),45657.0)</f>
        <v>45657</v>
      </c>
      <c r="G228" s="27">
        <f>IFERROR(__xludf.DUMMYFUNCTION("""COMPUTED_VALUE"""),15.333333333333332)</f>
        <v>15.33333333</v>
      </c>
      <c r="H228" s="128">
        <f>IFERROR(__xludf.DUMMYFUNCTION("""COMPUTED_VALUE"""),45189.0)</f>
        <v>45189</v>
      </c>
      <c r="I228" s="27">
        <f>IFERROR(__xludf.DUMMYFUNCTION("""COMPUTED_VALUE"""),0.0)</f>
        <v>0</v>
      </c>
      <c r="J228" s="29">
        <f>IFERROR(__xludf.DUMMYFUNCTION("""COMPUTED_VALUE"""),77.0)</f>
        <v>77</v>
      </c>
      <c r="K228" s="29">
        <f>IFERROR(__xludf.DUMMYFUNCTION("""COMPUTED_VALUE"""),1.0)</f>
        <v>1</v>
      </c>
      <c r="L228" s="275" t="str">
        <f>IFERROR(__xludf.DUMMYFUNCTION("""COMPUTED_VALUE"""),"Action")</f>
        <v>Action</v>
      </c>
    </row>
    <row r="229" hidden="1">
      <c r="A229" s="278" t="str">
        <f>IFERROR(__xludf.DUMMYFUNCTION("""COMPUTED_VALUE"""),"McPixel 3")</f>
        <v>McPixel 3</v>
      </c>
      <c r="B229" s="20" t="str">
        <f>IFERROR(__xludf.DUMMYFUNCTION("""COMPUTED_VALUE"""),"Xbox / PC")</f>
        <v>Xbox / PC</v>
      </c>
      <c r="C229" s="21" t="str">
        <f>IFERROR(__xludf.DUMMYFUNCTION("""COMPUTED_VALUE"""),"Yes")</f>
        <v>Yes</v>
      </c>
      <c r="D229" s="21" t="str">
        <f>IFERROR(__xludf.DUMMYFUNCTION("""COMPUTED_VALUE"""),"Removed")</f>
        <v>Removed</v>
      </c>
      <c r="E229" s="279">
        <f>IFERROR(__xludf.DUMMYFUNCTION("""COMPUTED_VALUE"""),45113.0)</f>
        <v>45113</v>
      </c>
      <c r="F229" s="279">
        <f>IFERROR(__xludf.DUMMYFUNCTION("""COMPUTED_VALUE"""),45657.0)</f>
        <v>45657</v>
      </c>
      <c r="G229" s="27">
        <f>IFERROR(__xludf.DUMMYFUNCTION("""COMPUTED_VALUE"""),17.8)</f>
        <v>17.8</v>
      </c>
      <c r="H229" s="128">
        <f>IFERROR(__xludf.DUMMYFUNCTION("""COMPUTED_VALUE"""),44879.0)</f>
        <v>44879</v>
      </c>
      <c r="I229" s="27">
        <f>IFERROR(__xludf.DUMMYFUNCTION("""COMPUTED_VALUE"""),0.6444444444444445)</f>
        <v>0.6444444444</v>
      </c>
      <c r="J229" s="29">
        <f>IFERROR(__xludf.DUMMYFUNCTION("""COMPUTED_VALUE"""),75.0)</f>
        <v>75</v>
      </c>
      <c r="K229" s="29">
        <f>IFERROR(__xludf.DUMMYFUNCTION("""COMPUTED_VALUE"""),5.0)</f>
        <v>5</v>
      </c>
      <c r="L229" s="275" t="str">
        <f>IFERROR(__xludf.DUMMYFUNCTION("""COMPUTED_VALUE"""),"Minigame Collection")</f>
        <v>Minigame Collection</v>
      </c>
    </row>
    <row r="230" hidden="1">
      <c r="A230" s="17" t="str">
        <f>IFERROR(__xludf.DUMMYFUNCTION("""COMPUTED_VALUE"""),"BlazBlue: Cross Tag Battle - Special Edition")</f>
        <v>BlazBlue: Cross Tag Battle - Special Edition</v>
      </c>
      <c r="B230" s="20" t="str">
        <f>IFERROR(__xludf.DUMMYFUNCTION("""COMPUTED_VALUE"""),"Xbox / PC")</f>
        <v>Xbox / PC</v>
      </c>
      <c r="C230" s="21" t="str">
        <f>IFERROR(__xludf.DUMMYFUNCTION("""COMPUTED_VALUE"""),"Yes")</f>
        <v>Yes</v>
      </c>
      <c r="D230" s="21" t="str">
        <f>IFERROR(__xludf.DUMMYFUNCTION("""COMPUTED_VALUE"""),"Removed")</f>
        <v>Removed</v>
      </c>
      <c r="E230" s="279">
        <f>IFERROR(__xludf.DUMMYFUNCTION("""COMPUTED_VALUE"""),45043.0)</f>
        <v>45043</v>
      </c>
      <c r="F230" s="279">
        <f>IFERROR(__xludf.DUMMYFUNCTION("""COMPUTED_VALUE"""),45657.0)</f>
        <v>45657</v>
      </c>
      <c r="G230" s="27">
        <f>IFERROR(__xludf.DUMMYFUNCTION("""COMPUTED_VALUE"""),20.1)</f>
        <v>20.1</v>
      </c>
      <c r="H230" s="128">
        <f>IFERROR(__xludf.DUMMYFUNCTION("""COMPUTED_VALUE"""),43251.0)</f>
        <v>43251</v>
      </c>
      <c r="I230" s="27">
        <f>IFERROR(__xludf.DUMMYFUNCTION("""COMPUTED_VALUE"""),4.908333333333333)</f>
        <v>4.908333333</v>
      </c>
      <c r="J230" s="29">
        <f>IFERROR(__xludf.DUMMYFUNCTION("""COMPUTED_VALUE"""),72.0)</f>
        <v>72</v>
      </c>
      <c r="K230" s="29">
        <f>IFERROR(__xludf.DUMMYFUNCTION("""COMPUTED_VALUE"""),4.0)</f>
        <v>4</v>
      </c>
      <c r="L230" s="275" t="str">
        <f>IFERROR(__xludf.DUMMYFUNCTION("""COMPUTED_VALUE"""),"Fighting")</f>
        <v>Fighting</v>
      </c>
    </row>
    <row r="231" hidden="1">
      <c r="A231" s="278" t="str">
        <f>IFERROR(__xludf.DUMMYFUNCTION("""COMPUTED_VALUE"""),"Humankind")</f>
        <v>Humankind</v>
      </c>
      <c r="B231" s="21" t="str">
        <f>IFERROR(__xludf.DUMMYFUNCTION("""COMPUTED_VALUE"""),"Xbox / PC")</f>
        <v>Xbox / PC</v>
      </c>
      <c r="C231" s="21" t="str">
        <f>IFERROR(__xludf.DUMMYFUNCTION("""COMPUTED_VALUE"""),"Yes")</f>
        <v>Yes</v>
      </c>
      <c r="D231" s="21" t="str">
        <f>IFERROR(__xludf.DUMMYFUNCTION("""COMPUTED_VALUE"""),"Removed")</f>
        <v>Removed</v>
      </c>
      <c r="E231" s="279">
        <f>IFERROR(__xludf.DUMMYFUNCTION("""COMPUTED_VALUE"""),44425.0)</f>
        <v>44425</v>
      </c>
      <c r="F231" s="279">
        <f>IFERROR(__xludf.DUMMYFUNCTION("""COMPUTED_VALUE"""),45657.0)</f>
        <v>45657</v>
      </c>
      <c r="G231" s="27">
        <f>IFERROR(__xludf.DUMMYFUNCTION("""COMPUTED_VALUE"""),40.43333333333334)</f>
        <v>40.43333333</v>
      </c>
      <c r="H231" s="128">
        <f>IFERROR(__xludf.DUMMYFUNCTION("""COMPUTED_VALUE"""),44425.0)</f>
        <v>44425</v>
      </c>
      <c r="I231" s="27">
        <f>IFERROR(__xludf.DUMMYFUNCTION("""COMPUTED_VALUE"""),0.0)</f>
        <v>0</v>
      </c>
      <c r="J231" s="277">
        <f>IFERROR(__xludf.DUMMYFUNCTION("""COMPUTED_VALUE"""),78.0)</f>
        <v>78</v>
      </c>
      <c r="K231" s="277">
        <f>IFERROR(__xludf.DUMMYFUNCTION("""COMPUTED_VALUE"""),14.5)</f>
        <v>14.5</v>
      </c>
      <c r="L231" s="31" t="str">
        <f>IFERROR(__xludf.DUMMYFUNCTION("""COMPUTED_VALUE"""),"Strategy")</f>
        <v>Strategy</v>
      </c>
    </row>
    <row r="232" hidden="1">
      <c r="A232" s="278" t="str">
        <f>IFERROR(__xludf.DUMMYFUNCTION("""COMPUTED_VALUE"""),"The Quarry")</f>
        <v>The Quarry</v>
      </c>
      <c r="B232" s="20" t="str">
        <f>IFERROR(__xludf.DUMMYFUNCTION("""COMPUTED_VALUE"""),"Xbox")</f>
        <v>Xbox</v>
      </c>
      <c r="C232" s="21"/>
      <c r="D232" s="21" t="str">
        <f>IFERROR(__xludf.DUMMYFUNCTION("""COMPUTED_VALUE"""),"Removed")</f>
        <v>Removed</v>
      </c>
      <c r="E232" s="279">
        <f>IFERROR(__xludf.DUMMYFUNCTION("""COMPUTED_VALUE"""),45371.0)</f>
        <v>45371</v>
      </c>
      <c r="F232" s="279">
        <f>IFERROR(__xludf.DUMMYFUNCTION("""COMPUTED_VALUE"""),45641.0)</f>
        <v>45641</v>
      </c>
      <c r="G232" s="27">
        <f>IFERROR(__xludf.DUMMYFUNCTION("""COMPUTED_VALUE"""),8.833333333333334)</f>
        <v>8.833333333</v>
      </c>
      <c r="H232" s="128">
        <f>IFERROR(__xludf.DUMMYFUNCTION("""COMPUTED_VALUE"""),44722.0)</f>
        <v>44722</v>
      </c>
      <c r="I232" s="27">
        <f>IFERROR(__xludf.DUMMYFUNCTION("""COMPUTED_VALUE"""),1.7777777777777777)</f>
        <v>1.777777778</v>
      </c>
      <c r="J232" s="29">
        <f>IFERROR(__xludf.DUMMYFUNCTION("""COMPUTED_VALUE"""),79.0)</f>
        <v>79</v>
      </c>
      <c r="K232" s="29">
        <f>IFERROR(__xludf.DUMMYFUNCTION("""COMPUTED_VALUE"""),9.0)</f>
        <v>9</v>
      </c>
      <c r="L232" s="275" t="str">
        <f>IFERROR(__xludf.DUMMYFUNCTION("""COMPUTED_VALUE"""),"Adventure")</f>
        <v>Adventure</v>
      </c>
    </row>
    <row r="233" hidden="1">
      <c r="A233" s="111" t="str">
        <f>IFERROR(__xludf.DUMMYFUNCTION("""COMPUTED_VALUE"""),"Tin Hearts")</f>
        <v>Tin Hearts</v>
      </c>
      <c r="B233" s="20" t="str">
        <f>IFERROR(__xludf.DUMMYFUNCTION("""COMPUTED_VALUE"""),"Xbox / PC")</f>
        <v>Xbox / PC</v>
      </c>
      <c r="C233" s="21" t="str">
        <f>IFERROR(__xludf.DUMMYFUNCTION("""COMPUTED_VALUE"""),"Yes")</f>
        <v>Yes</v>
      </c>
      <c r="D233" s="21" t="str">
        <f>IFERROR(__xludf.DUMMYFUNCTION("""COMPUTED_VALUE"""),"Removed")</f>
        <v>Removed</v>
      </c>
      <c r="E233" s="279">
        <f>IFERROR(__xludf.DUMMYFUNCTION("""COMPUTED_VALUE"""),45272.0)</f>
        <v>45272</v>
      </c>
      <c r="F233" s="279">
        <f>IFERROR(__xludf.DUMMYFUNCTION("""COMPUTED_VALUE"""),45641.0)</f>
        <v>45641</v>
      </c>
      <c r="G233" s="27">
        <f>IFERROR(__xludf.DUMMYFUNCTION("""COMPUTED_VALUE"""),12.1)</f>
        <v>12.1</v>
      </c>
      <c r="H233" s="128">
        <f>IFERROR(__xludf.DUMMYFUNCTION("""COMPUTED_VALUE"""),43412.0)</f>
        <v>43412</v>
      </c>
      <c r="I233" s="27">
        <f>IFERROR(__xludf.DUMMYFUNCTION("""COMPUTED_VALUE"""),5.094444444444444)</f>
        <v>5.094444444</v>
      </c>
      <c r="J233" s="29">
        <f>IFERROR(__xludf.DUMMYFUNCTION("""COMPUTED_VALUE"""),66.0)</f>
        <v>66</v>
      </c>
      <c r="K233" s="29">
        <f>IFERROR(__xludf.DUMMYFUNCTION("""COMPUTED_VALUE"""),31.0)</f>
        <v>31</v>
      </c>
      <c r="L233" s="275" t="str">
        <f>IFERROR(__xludf.DUMMYFUNCTION("""COMPUTED_VALUE"""),"Puzzle")</f>
        <v>Puzzle</v>
      </c>
    </row>
    <row r="234" hidden="1">
      <c r="A234" s="278" t="str">
        <f>IFERROR(__xludf.DUMMYFUNCTION("""COMPUTED_VALUE"""),"Amnesia: The Bunker")</f>
        <v>Amnesia: The Bunker</v>
      </c>
      <c r="B234" s="20" t="str">
        <f>IFERROR(__xludf.DUMMYFUNCTION("""COMPUTED_VALUE"""),"Xbox / PC")</f>
        <v>Xbox / PC</v>
      </c>
      <c r="C234" s="21" t="str">
        <f>IFERROR(__xludf.DUMMYFUNCTION("""COMPUTED_VALUE"""),"Yes")</f>
        <v>Yes</v>
      </c>
      <c r="D234" s="21" t="str">
        <f>IFERROR(__xludf.DUMMYFUNCTION("""COMPUTED_VALUE"""),"Removed")</f>
        <v>Removed</v>
      </c>
      <c r="E234" s="279">
        <f>IFERROR(__xludf.DUMMYFUNCTION("""COMPUTED_VALUE"""),45083.0)</f>
        <v>45083</v>
      </c>
      <c r="F234" s="279">
        <f>IFERROR(__xludf.DUMMYFUNCTION("""COMPUTED_VALUE"""),45641.0)</f>
        <v>45641</v>
      </c>
      <c r="G234" s="27">
        <f>IFERROR(__xludf.DUMMYFUNCTION("""COMPUTED_VALUE"""),18.299999999999997)</f>
        <v>18.3</v>
      </c>
      <c r="H234" s="128">
        <f>IFERROR(__xludf.DUMMYFUNCTION("""COMPUTED_VALUE"""),45083.0)</f>
        <v>45083</v>
      </c>
      <c r="I234" s="27">
        <f>IFERROR(__xludf.DUMMYFUNCTION("""COMPUTED_VALUE"""),0.0)</f>
        <v>0</v>
      </c>
      <c r="J234" s="29">
        <f>IFERROR(__xludf.DUMMYFUNCTION("""COMPUTED_VALUE"""),77.0)</f>
        <v>77</v>
      </c>
      <c r="K234" s="29">
        <f>IFERROR(__xludf.DUMMYFUNCTION("""COMPUTED_VALUE"""),5.0)</f>
        <v>5</v>
      </c>
      <c r="L234" s="275" t="str">
        <f>IFERROR(__xludf.DUMMYFUNCTION("""COMPUTED_VALUE"""),"Adventure")</f>
        <v>Adventure</v>
      </c>
    </row>
    <row r="235" hidden="1">
      <c r="A235" s="278" t="str">
        <f>IFERROR(__xludf.DUMMYFUNCTION("""COMPUTED_VALUE"""),"Rainbow Billy: The Curse of the Leviathan")</f>
        <v>Rainbow Billy: The Curse of the Leviathan</v>
      </c>
      <c r="B235" s="21" t="str">
        <f>IFERROR(__xludf.DUMMYFUNCTION("""COMPUTED_VALUE"""),"Xbox / PC")</f>
        <v>Xbox / PC</v>
      </c>
      <c r="C235" s="21" t="str">
        <f>IFERROR(__xludf.DUMMYFUNCTION("""COMPUTED_VALUE"""),"Yes")</f>
        <v>Yes</v>
      </c>
      <c r="D235" s="21" t="str">
        <f>IFERROR(__xludf.DUMMYFUNCTION("""COMPUTED_VALUE"""),"Removed")</f>
        <v>Removed</v>
      </c>
      <c r="E235" s="279">
        <f>IFERROR(__xludf.DUMMYFUNCTION("""COMPUTED_VALUE"""),44910.0)</f>
        <v>44910</v>
      </c>
      <c r="F235" s="279">
        <f>IFERROR(__xludf.DUMMYFUNCTION("""COMPUTED_VALUE"""),45641.0)</f>
        <v>45641</v>
      </c>
      <c r="G235" s="27">
        <f>IFERROR(__xludf.DUMMYFUNCTION("""COMPUTED_VALUE"""),24.0)</f>
        <v>24</v>
      </c>
      <c r="H235" s="128">
        <f>IFERROR(__xludf.DUMMYFUNCTION("""COMPUTED_VALUE"""),44474.0)</f>
        <v>44474</v>
      </c>
      <c r="I235" s="27">
        <f>IFERROR(__xludf.DUMMYFUNCTION("""COMPUTED_VALUE"""),1.1944444444444444)</f>
        <v>1.194444444</v>
      </c>
      <c r="J235" s="29">
        <f>IFERROR(__xludf.DUMMYFUNCTION("""COMPUTED_VALUE"""),86.0)</f>
        <v>86</v>
      </c>
      <c r="K235" s="29">
        <f>IFERROR(__xludf.DUMMYFUNCTION("""COMPUTED_VALUE"""),12.0)</f>
        <v>12</v>
      </c>
      <c r="L235" s="31" t="str">
        <f>IFERROR(__xludf.DUMMYFUNCTION("""COMPUTED_VALUE"""),"RPG")</f>
        <v>RPG</v>
      </c>
    </row>
    <row r="236" hidden="1">
      <c r="A236" s="17" t="str">
        <f>IFERROR(__xludf.DUMMYFUNCTION("""COMPUTED_VALUE"""),"Forager")</f>
        <v>Forager</v>
      </c>
      <c r="B236" s="20" t="str">
        <f>IFERROR(__xludf.DUMMYFUNCTION("""COMPUTED_VALUE"""),"Xbox / PC")</f>
        <v>Xbox / PC</v>
      </c>
      <c r="C236" s="20" t="str">
        <f>IFERROR(__xludf.DUMMYFUNCTION("""COMPUTED_VALUE"""),"Yes")</f>
        <v>Yes</v>
      </c>
      <c r="D236" s="21" t="str">
        <f>IFERROR(__xludf.DUMMYFUNCTION("""COMPUTED_VALUE"""),"Removed")</f>
        <v>Removed</v>
      </c>
      <c r="E236" s="127">
        <f>IFERROR(__xludf.DUMMYFUNCTION("""COMPUTED_VALUE"""),44028.0)</f>
        <v>44028</v>
      </c>
      <c r="F236" s="24">
        <f>IFERROR(__xludf.DUMMYFUNCTION("""COMPUTED_VALUE"""),45641.0)</f>
        <v>45641</v>
      </c>
      <c r="G236" s="27">
        <f>IFERROR(__xludf.DUMMYFUNCTION("""COMPUTED_VALUE"""),52.96666666666667)</f>
        <v>52.96666667</v>
      </c>
      <c r="H236" s="128">
        <f>IFERROR(__xludf.DUMMYFUNCTION("""COMPUTED_VALUE"""),43573.0)</f>
        <v>43573</v>
      </c>
      <c r="I236" s="27">
        <f>IFERROR(__xludf.DUMMYFUNCTION("""COMPUTED_VALUE"""),1.2444444444444445)</f>
        <v>1.244444444</v>
      </c>
      <c r="J236" s="29">
        <f>IFERROR(__xludf.DUMMYFUNCTION("""COMPUTED_VALUE"""),78.0)</f>
        <v>78</v>
      </c>
      <c r="K236" s="29">
        <f>IFERROR(__xludf.DUMMYFUNCTION("""COMPUTED_VALUE"""),13.5)</f>
        <v>13.5</v>
      </c>
      <c r="L236" s="31" t="str">
        <f>IFERROR(__xludf.DUMMYFUNCTION("""COMPUTED_VALUE"""),"Adventure")</f>
        <v>Adventure</v>
      </c>
    </row>
    <row r="237" hidden="1">
      <c r="A237" s="17" t="str">
        <f>IFERROR(__xludf.DUMMYFUNCTION("""COMPUTED_VALUE"""),"Forza Horizon 4")</f>
        <v>Forza Horizon 4</v>
      </c>
      <c r="B237" s="20" t="str">
        <f>IFERROR(__xludf.DUMMYFUNCTION("""COMPUTED_VALUE"""),"Xbox / PC")</f>
        <v>Xbox / PC</v>
      </c>
      <c r="C237" s="20" t="str">
        <f>IFERROR(__xludf.DUMMYFUNCTION("""COMPUTED_VALUE"""),"Yes")</f>
        <v>Yes</v>
      </c>
      <c r="D237" s="21" t="str">
        <f>IFERROR(__xludf.DUMMYFUNCTION("""COMPUTED_VALUE"""),"Removed")</f>
        <v>Removed</v>
      </c>
      <c r="E237" s="127">
        <f>IFERROR(__xludf.DUMMYFUNCTION("""COMPUTED_VALUE"""),43375.0)</f>
        <v>43375</v>
      </c>
      <c r="F237" s="24">
        <f>IFERROR(__xludf.DUMMYFUNCTION("""COMPUTED_VALUE"""),45641.0)</f>
        <v>45641</v>
      </c>
      <c r="G237" s="27">
        <f>IFERROR(__xludf.DUMMYFUNCTION("""COMPUTED_VALUE"""),74.43333333333334)</f>
        <v>74.43333333</v>
      </c>
      <c r="H237" s="128">
        <f>IFERROR(__xludf.DUMMYFUNCTION("""COMPUTED_VALUE"""),43371.0)</f>
        <v>43371</v>
      </c>
      <c r="I237" s="27">
        <f>IFERROR(__xludf.DUMMYFUNCTION("""COMPUTED_VALUE"""),0.011111111111111112)</f>
        <v>0.01111111111</v>
      </c>
      <c r="J237" s="29">
        <f>IFERROR(__xludf.DUMMYFUNCTION("""COMPUTED_VALUE"""),92.0)</f>
        <v>92</v>
      </c>
      <c r="K237" s="29">
        <f>IFERROR(__xludf.DUMMYFUNCTION("""COMPUTED_VALUE"""),11.0)</f>
        <v>11</v>
      </c>
      <c r="L237" s="31" t="str">
        <f>IFERROR(__xludf.DUMMYFUNCTION("""COMPUTED_VALUE"""),"Racing")</f>
        <v>Racing</v>
      </c>
    </row>
    <row r="238" hidden="1">
      <c r="A238" s="17" t="str">
        <f>IFERROR(__xludf.DUMMYFUNCTION("""COMPUTED_VALUE"""),"While the Iron's Hot")</f>
        <v>While the Iron's Hot</v>
      </c>
      <c r="B238" s="20" t="str">
        <f>IFERROR(__xludf.DUMMYFUNCTION("""COMPUTED_VALUE"""),"Xbox / PC")</f>
        <v>Xbox / PC</v>
      </c>
      <c r="C238" s="20" t="str">
        <f>IFERROR(__xludf.DUMMYFUNCTION("""COMPUTED_VALUE"""),"Yes")</f>
        <v>Yes</v>
      </c>
      <c r="D238" s="21" t="str">
        <f>IFERROR(__xludf.DUMMYFUNCTION("""COMPUTED_VALUE"""),"Removed")</f>
        <v>Removed</v>
      </c>
      <c r="E238" s="128">
        <f>IFERROR(__xludf.DUMMYFUNCTION("""COMPUTED_VALUE"""),45265.0)</f>
        <v>45265</v>
      </c>
      <c r="F238" s="24">
        <f>IFERROR(__xludf.DUMMYFUNCTION("""COMPUTED_VALUE"""),45626.0)</f>
        <v>45626</v>
      </c>
      <c r="G238" s="27">
        <f>IFERROR(__xludf.DUMMYFUNCTION("""COMPUTED_VALUE"""),11.833333333333334)</f>
        <v>11.83333333</v>
      </c>
      <c r="H238" s="128">
        <f>IFERROR(__xludf.DUMMYFUNCTION("""COMPUTED_VALUE"""),45265.0)</f>
        <v>45265</v>
      </c>
      <c r="I238" s="27">
        <f>IFERROR(__xludf.DUMMYFUNCTION("""COMPUTED_VALUE"""),0.0)</f>
        <v>0</v>
      </c>
      <c r="J238" s="29">
        <f>IFERROR(__xludf.DUMMYFUNCTION("""COMPUTED_VALUE"""),63.0)</f>
        <v>63</v>
      </c>
      <c r="K238" s="29">
        <f>IFERROR(__xludf.DUMMYFUNCTION("""COMPUTED_VALUE"""),17.0)</f>
        <v>17</v>
      </c>
      <c r="L238" s="31" t="str">
        <f>IFERROR(__xludf.DUMMYFUNCTION("""COMPUTED_VALUE"""),"Adventure")</f>
        <v>Adventure</v>
      </c>
    </row>
    <row r="239" hidden="1">
      <c r="A239" s="278" t="str">
        <f>IFERROR(__xludf.DUMMYFUNCTION("""COMPUTED_VALUE"""),"Spirit of the North: Enhanced Edition")</f>
        <v>Spirit of the North: Enhanced Edition</v>
      </c>
      <c r="B239" s="21" t="str">
        <f>IFERROR(__xludf.DUMMYFUNCTION("""COMPUTED_VALUE"""),"Xbox / PC")</f>
        <v>Xbox / PC</v>
      </c>
      <c r="C239" s="21" t="str">
        <f>IFERROR(__xludf.DUMMYFUNCTION("""COMPUTED_VALUE"""),"Yes")</f>
        <v>Yes</v>
      </c>
      <c r="D239" s="21" t="str">
        <f>IFERROR(__xludf.DUMMYFUNCTION("""COMPUTED_VALUE"""),"Removed")</f>
        <v>Removed</v>
      </c>
      <c r="E239" s="279">
        <f>IFERROR(__xludf.DUMMYFUNCTION("""COMPUTED_VALUE"""),45261.0)</f>
        <v>45261</v>
      </c>
      <c r="F239" s="24">
        <f>IFERROR(__xludf.DUMMYFUNCTION("""COMPUTED_VALUE"""),45626.0)</f>
        <v>45626</v>
      </c>
      <c r="G239" s="27">
        <f>IFERROR(__xludf.DUMMYFUNCTION("""COMPUTED_VALUE"""),11.966666666666667)</f>
        <v>11.96666667</v>
      </c>
      <c r="H239" s="128">
        <f>IFERROR(__xludf.DUMMYFUNCTION("""COMPUTED_VALUE"""),43770.0)</f>
        <v>43770</v>
      </c>
      <c r="I239" s="27">
        <f>IFERROR(__xludf.DUMMYFUNCTION("""COMPUTED_VALUE"""),4.083333333333333)</f>
        <v>4.083333333</v>
      </c>
      <c r="J239" s="29">
        <f>IFERROR(__xludf.DUMMYFUNCTION("""COMPUTED_VALUE"""),64.0)</f>
        <v>64</v>
      </c>
      <c r="K239" s="29">
        <f>IFERROR(__xludf.DUMMYFUNCTION("""COMPUTED_VALUE"""),5.0)</f>
        <v>5</v>
      </c>
      <c r="L239" s="275" t="str">
        <f>IFERROR(__xludf.DUMMYFUNCTION("""COMPUTED_VALUE"""),"Platformer")</f>
        <v>Platformer</v>
      </c>
    </row>
    <row r="240" hidden="1">
      <c r="A240" s="17" t="str">
        <f>IFERROR(__xludf.DUMMYFUNCTION("""COMPUTED_VALUE"""),"Remnant: From the Ashes")</f>
        <v>Remnant: From the Ashes</v>
      </c>
      <c r="B240" s="20" t="str">
        <f>IFERROR(__xludf.DUMMYFUNCTION("""COMPUTED_VALUE"""),"Xbox / PC")</f>
        <v>Xbox / PC</v>
      </c>
      <c r="C240" s="20" t="str">
        <f>IFERROR(__xludf.DUMMYFUNCTION("""COMPUTED_VALUE"""),"Yes")</f>
        <v>Yes</v>
      </c>
      <c r="D240" s="21" t="str">
        <f>IFERROR(__xludf.DUMMYFUNCTION("""COMPUTED_VALUE"""),"Removed")</f>
        <v>Removed</v>
      </c>
      <c r="E240" s="279">
        <f>IFERROR(__xludf.DUMMYFUNCTION("""COMPUTED_VALUE"""),45259.0)</f>
        <v>45259</v>
      </c>
      <c r="F240" s="24">
        <f>IFERROR(__xludf.DUMMYFUNCTION("""COMPUTED_VALUE"""),45626.0)</f>
        <v>45626</v>
      </c>
      <c r="G240" s="27">
        <f>IFERROR(__xludf.DUMMYFUNCTION("""COMPUTED_VALUE"""),12.033333333333333)</f>
        <v>12.03333333</v>
      </c>
      <c r="H240" s="128">
        <f>IFERROR(__xludf.DUMMYFUNCTION("""COMPUTED_VALUE"""),43697.0)</f>
        <v>43697</v>
      </c>
      <c r="I240" s="27">
        <f>IFERROR(__xludf.DUMMYFUNCTION("""COMPUTED_VALUE"""),4.275)</f>
        <v>4.275</v>
      </c>
      <c r="J240" s="277">
        <f>IFERROR(__xludf.DUMMYFUNCTION("""COMPUTED_VALUE"""),81.0)</f>
        <v>81</v>
      </c>
      <c r="K240" s="29">
        <f>IFERROR(__xludf.DUMMYFUNCTION("""COMPUTED_VALUE"""),13.5)</f>
        <v>13.5</v>
      </c>
      <c r="L240" s="275" t="str">
        <f>IFERROR(__xludf.DUMMYFUNCTION("""COMPUTED_VALUE"""),"Shooter")</f>
        <v>Shooter</v>
      </c>
    </row>
    <row r="241" hidden="1">
      <c r="A241" s="17" t="str">
        <f>IFERROR(__xludf.DUMMYFUNCTION("""COMPUTED_VALUE"""),"Rollerdrome")</f>
        <v>Rollerdrome</v>
      </c>
      <c r="B241" s="20" t="str">
        <f>IFERROR(__xludf.DUMMYFUNCTION("""COMPUTED_VALUE"""),"Xbox / PC")</f>
        <v>Xbox / PC</v>
      </c>
      <c r="C241" s="20" t="str">
        <f>IFERROR(__xludf.DUMMYFUNCTION("""COMPUTED_VALUE"""),"Yes")</f>
        <v>Yes</v>
      </c>
      <c r="D241" s="21" t="str">
        <f>IFERROR(__xludf.DUMMYFUNCTION("""COMPUTED_VALUE"""),"Removed")</f>
        <v>Removed</v>
      </c>
      <c r="E241" s="279">
        <f>IFERROR(__xludf.DUMMYFUNCTION("""COMPUTED_VALUE"""),45258.0)</f>
        <v>45258</v>
      </c>
      <c r="F241" s="24">
        <f>IFERROR(__xludf.DUMMYFUNCTION("""COMPUTED_VALUE"""),45626.0)</f>
        <v>45626</v>
      </c>
      <c r="G241" s="27">
        <f>IFERROR(__xludf.DUMMYFUNCTION("""COMPUTED_VALUE"""),12.066666666666666)</f>
        <v>12.06666667</v>
      </c>
      <c r="H241" s="128">
        <f>IFERROR(__xludf.DUMMYFUNCTION("""COMPUTED_VALUE"""),44789.0)</f>
        <v>44789</v>
      </c>
      <c r="I241" s="27">
        <f>IFERROR(__xludf.DUMMYFUNCTION("""COMPUTED_VALUE"""),1.2833333333333334)</f>
        <v>1.283333333</v>
      </c>
      <c r="J241" s="29">
        <f>IFERROR(__xludf.DUMMYFUNCTION("""COMPUTED_VALUE"""),79.0)</f>
        <v>79</v>
      </c>
      <c r="K241" s="29">
        <f>IFERROR(__xludf.DUMMYFUNCTION("""COMPUTED_VALUE"""),5.0)</f>
        <v>5</v>
      </c>
      <c r="L241" s="275" t="str">
        <f>IFERROR(__xludf.DUMMYFUNCTION("""COMPUTED_VALUE"""),"Action")</f>
        <v>Action</v>
      </c>
    </row>
    <row r="242" hidden="1">
      <c r="A242" s="278" t="str">
        <f>IFERROR(__xludf.DUMMYFUNCTION("""COMPUTED_VALUE"""),"Hello Neighbor 2")</f>
        <v>Hello Neighbor 2</v>
      </c>
      <c r="B242" s="20" t="str">
        <f>IFERROR(__xludf.DUMMYFUNCTION("""COMPUTED_VALUE"""),"Xbox / PC")</f>
        <v>Xbox / PC</v>
      </c>
      <c r="C242" s="20" t="str">
        <f>IFERROR(__xludf.DUMMYFUNCTION("""COMPUTED_VALUE"""),"Yes")</f>
        <v>Yes</v>
      </c>
      <c r="D242" s="21" t="str">
        <f>IFERROR(__xludf.DUMMYFUNCTION("""COMPUTED_VALUE"""),"Removed")</f>
        <v>Removed</v>
      </c>
      <c r="E242" s="279">
        <f>IFERROR(__xludf.DUMMYFUNCTION("""COMPUTED_VALUE"""),44901.0)</f>
        <v>44901</v>
      </c>
      <c r="F242" s="276">
        <f>IFERROR(__xludf.DUMMYFUNCTION("""COMPUTED_VALUE"""),45626.0)</f>
        <v>45626</v>
      </c>
      <c r="G242" s="27">
        <f>IFERROR(__xludf.DUMMYFUNCTION("""COMPUTED_VALUE"""),23.8)</f>
        <v>23.8</v>
      </c>
      <c r="H242" s="128">
        <f>IFERROR(__xludf.DUMMYFUNCTION("""COMPUTED_VALUE"""),44901.0)</f>
        <v>44901</v>
      </c>
      <c r="I242" s="27">
        <f>IFERROR(__xludf.DUMMYFUNCTION("""COMPUTED_VALUE"""),0.0)</f>
        <v>0</v>
      </c>
      <c r="J242" s="277">
        <f>IFERROR(__xludf.DUMMYFUNCTION("""COMPUTED_VALUE"""),56.0)</f>
        <v>56</v>
      </c>
      <c r="K242" s="29">
        <f>IFERROR(__xludf.DUMMYFUNCTION("""COMPUTED_VALUE"""),5.0)</f>
        <v>5</v>
      </c>
      <c r="L242" s="275" t="str">
        <f>IFERROR(__xludf.DUMMYFUNCTION("""COMPUTED_VALUE"""),"Action-Adventure")</f>
        <v>Action-Adventure</v>
      </c>
    </row>
    <row r="243" hidden="1">
      <c r="A243" s="278" t="str">
        <f>IFERROR(__xludf.DUMMYFUNCTION("""COMPUTED_VALUE"""),"Soccer Story")</f>
        <v>Soccer Story</v>
      </c>
      <c r="B243" s="20" t="str">
        <f>IFERROR(__xludf.DUMMYFUNCTION("""COMPUTED_VALUE"""),"Xbox / PC")</f>
        <v>Xbox / PC</v>
      </c>
      <c r="C243" s="20" t="str">
        <f>IFERROR(__xludf.DUMMYFUNCTION("""COMPUTED_VALUE"""),"Yes")</f>
        <v>Yes</v>
      </c>
      <c r="D243" s="21" t="str">
        <f>IFERROR(__xludf.DUMMYFUNCTION("""COMPUTED_VALUE"""),"Removed")</f>
        <v>Removed</v>
      </c>
      <c r="E243" s="279">
        <f>IFERROR(__xludf.DUMMYFUNCTION("""COMPUTED_VALUE"""),44894.0)</f>
        <v>44894</v>
      </c>
      <c r="F243" s="24">
        <f>IFERROR(__xludf.DUMMYFUNCTION("""COMPUTED_VALUE"""),45626.0)</f>
        <v>45626</v>
      </c>
      <c r="G243" s="27">
        <f>IFERROR(__xludf.DUMMYFUNCTION("""COMPUTED_VALUE"""),24.03333333333333)</f>
        <v>24.03333333</v>
      </c>
      <c r="H243" s="128">
        <f>IFERROR(__xludf.DUMMYFUNCTION("""COMPUTED_VALUE"""),44894.0)</f>
        <v>44894</v>
      </c>
      <c r="I243" s="27">
        <f>IFERROR(__xludf.DUMMYFUNCTION("""COMPUTED_VALUE"""),0.0)</f>
        <v>0</v>
      </c>
      <c r="J243" s="277">
        <f>IFERROR(__xludf.DUMMYFUNCTION("""COMPUTED_VALUE"""),71.0)</f>
        <v>71</v>
      </c>
      <c r="K243" s="29">
        <f>IFERROR(__xludf.DUMMYFUNCTION("""COMPUTED_VALUE"""),10.0)</f>
        <v>10</v>
      </c>
      <c r="L243" s="275" t="str">
        <f>IFERROR(__xludf.DUMMYFUNCTION("""COMPUTED_VALUE"""),"RPG")</f>
        <v>RPG</v>
      </c>
    </row>
    <row r="244" hidden="1">
      <c r="A244" s="278" t="str">
        <f>IFERROR(__xludf.DUMMYFUNCTION("""COMPUTED_VALUE"""),"Conan Exiles")</f>
        <v>Conan Exiles</v>
      </c>
      <c r="B244" s="20" t="str">
        <f>IFERROR(__xludf.DUMMYFUNCTION("""COMPUTED_VALUE"""),"Xbox / PC")</f>
        <v>Xbox / PC</v>
      </c>
      <c r="C244" s="20" t="str">
        <f>IFERROR(__xludf.DUMMYFUNCTION("""COMPUTED_VALUE"""),"Yes")</f>
        <v>Yes</v>
      </c>
      <c r="D244" s="21" t="str">
        <f>IFERROR(__xludf.DUMMYFUNCTION("""COMPUTED_VALUE"""),"Removed")</f>
        <v>Removed</v>
      </c>
      <c r="E244" s="279">
        <f>IFERROR(__xludf.DUMMYFUNCTION("""COMPUTED_VALUE"""),44341.0)</f>
        <v>44341</v>
      </c>
      <c r="F244" s="24">
        <f>IFERROR(__xludf.DUMMYFUNCTION("""COMPUTED_VALUE"""),45626.0)</f>
        <v>45626</v>
      </c>
      <c r="G244" s="27">
        <f>IFERROR(__xludf.DUMMYFUNCTION("""COMPUTED_VALUE"""),42.166666666666664)</f>
        <v>42.16666667</v>
      </c>
      <c r="H244" s="128">
        <f>IFERROR(__xludf.DUMMYFUNCTION("""COMPUTED_VALUE"""),43238.0)</f>
        <v>43238</v>
      </c>
      <c r="I244" s="27">
        <f>IFERROR(__xludf.DUMMYFUNCTION("""COMPUTED_VALUE"""),3.0194444444444444)</f>
        <v>3.019444444</v>
      </c>
      <c r="J244" s="277">
        <f>IFERROR(__xludf.DUMMYFUNCTION("""COMPUTED_VALUE"""),64.0)</f>
        <v>64</v>
      </c>
      <c r="K244" s="277">
        <f>IFERROR(__xludf.DUMMYFUNCTION("""COMPUTED_VALUE"""),33.0)</f>
        <v>33</v>
      </c>
      <c r="L244" s="275" t="str">
        <f>IFERROR(__xludf.DUMMYFUNCTION("""COMPUTED_VALUE"""),"RPG")</f>
        <v>RPG</v>
      </c>
    </row>
    <row r="245" hidden="1">
      <c r="A245" s="278" t="str">
        <f>IFERROR(__xludf.DUMMYFUNCTION("""COMPUTED_VALUE"""),"Persona 5: Tactica")</f>
        <v>Persona 5: Tactica</v>
      </c>
      <c r="B245" s="20" t="str">
        <f>IFERROR(__xludf.DUMMYFUNCTION("""COMPUTED_VALUE"""),"Xbox / PC")</f>
        <v>Xbox / PC</v>
      </c>
      <c r="C245" s="20" t="str">
        <f>IFERROR(__xludf.DUMMYFUNCTION("""COMPUTED_VALUE"""),"Yes")</f>
        <v>Yes</v>
      </c>
      <c r="D245" s="21" t="str">
        <f>IFERROR(__xludf.DUMMYFUNCTION("""COMPUTED_VALUE"""),"Removed")</f>
        <v>Removed</v>
      </c>
      <c r="E245" s="279">
        <f>IFERROR(__xludf.DUMMYFUNCTION("""COMPUTED_VALUE"""),45247.0)</f>
        <v>45247</v>
      </c>
      <c r="F245" s="276">
        <f>IFERROR(__xludf.DUMMYFUNCTION("""COMPUTED_VALUE"""),45611.0)</f>
        <v>45611</v>
      </c>
      <c r="G245" s="27">
        <f>IFERROR(__xludf.DUMMYFUNCTION("""COMPUTED_VALUE"""),11.933333333333334)</f>
        <v>11.93333333</v>
      </c>
      <c r="H245" s="128">
        <f>IFERROR(__xludf.DUMMYFUNCTION("""COMPUTED_VALUE"""),45247.0)</f>
        <v>45247</v>
      </c>
      <c r="I245" s="27">
        <f>IFERROR(__xludf.DUMMYFUNCTION("""COMPUTED_VALUE"""),0.0)</f>
        <v>0</v>
      </c>
      <c r="J245" s="29">
        <f>IFERROR(__xludf.DUMMYFUNCTION("""COMPUTED_VALUE"""),75.0)</f>
        <v>75</v>
      </c>
      <c r="K245" s="29">
        <f>IFERROR(__xludf.DUMMYFUNCTION("""COMPUTED_VALUE"""),23.0)</f>
        <v>23</v>
      </c>
      <c r="L245" s="275" t="str">
        <f>IFERROR(__xludf.DUMMYFUNCTION("""COMPUTED_VALUE"""),"RPG")</f>
        <v>RPG</v>
      </c>
    </row>
    <row r="246" hidden="1">
      <c r="A246" s="278" t="str">
        <f>IFERROR(__xludf.DUMMYFUNCTION("""COMPUTED_VALUE"""),"Dungeons 4")</f>
        <v>Dungeons 4</v>
      </c>
      <c r="B246" s="20" t="str">
        <f>IFERROR(__xludf.DUMMYFUNCTION("""COMPUTED_VALUE"""),"Xbox / PC")</f>
        <v>Xbox / PC</v>
      </c>
      <c r="C246" s="20" t="str">
        <f>IFERROR(__xludf.DUMMYFUNCTION("""COMPUTED_VALUE"""),"Yes")</f>
        <v>Yes</v>
      </c>
      <c r="D246" s="21" t="str">
        <f>IFERROR(__xludf.DUMMYFUNCTION("""COMPUTED_VALUE"""),"Removed")</f>
        <v>Removed</v>
      </c>
      <c r="E246" s="279">
        <f>IFERROR(__xludf.DUMMYFUNCTION("""COMPUTED_VALUE"""),45239.0)</f>
        <v>45239</v>
      </c>
      <c r="F246" s="276">
        <f>IFERROR(__xludf.DUMMYFUNCTION("""COMPUTED_VALUE"""),45611.0)</f>
        <v>45611</v>
      </c>
      <c r="G246" s="27">
        <f>IFERROR(__xludf.DUMMYFUNCTION("""COMPUTED_VALUE"""),12.2)</f>
        <v>12.2</v>
      </c>
      <c r="H246" s="128">
        <f>IFERROR(__xludf.DUMMYFUNCTION("""COMPUTED_VALUE"""),45239.0)</f>
        <v>45239</v>
      </c>
      <c r="I246" s="27">
        <f>IFERROR(__xludf.DUMMYFUNCTION("""COMPUTED_VALUE"""),0.0)</f>
        <v>0</v>
      </c>
      <c r="J246" s="277">
        <f>IFERROR(__xludf.DUMMYFUNCTION("""COMPUTED_VALUE"""),76.0)</f>
        <v>76</v>
      </c>
      <c r="K246" s="29">
        <f>IFERROR(__xludf.DUMMYFUNCTION("""COMPUTED_VALUE"""),27.0)</f>
        <v>27</v>
      </c>
      <c r="L246" s="275" t="str">
        <f>IFERROR(__xludf.DUMMYFUNCTION("""COMPUTED_VALUE"""),"Strategy")</f>
        <v>Strategy</v>
      </c>
    </row>
    <row r="247" hidden="1">
      <c r="A247" s="278" t="str">
        <f>IFERROR(__xludf.DUMMYFUNCTION("""COMPUTED_VALUE"""),"Like a Dragon Gaiden: The Man Who Erased His Name")</f>
        <v>Like a Dragon Gaiden: The Man Who Erased His Name</v>
      </c>
      <c r="B247" s="20" t="str">
        <f>IFERROR(__xludf.DUMMYFUNCTION("""COMPUTED_VALUE"""),"Xbox / PC")</f>
        <v>Xbox / PC</v>
      </c>
      <c r="C247" s="21" t="str">
        <f>IFERROR(__xludf.DUMMYFUNCTION("""COMPUTED_VALUE"""),"Yes")</f>
        <v>Yes</v>
      </c>
      <c r="D247" s="21" t="str">
        <f>IFERROR(__xludf.DUMMYFUNCTION("""COMPUTED_VALUE"""),"Removed")</f>
        <v>Removed</v>
      </c>
      <c r="E247" s="279">
        <f>IFERROR(__xludf.DUMMYFUNCTION("""COMPUTED_VALUE"""),45239.0)</f>
        <v>45239</v>
      </c>
      <c r="F247" s="276">
        <f>IFERROR(__xludf.DUMMYFUNCTION("""COMPUTED_VALUE"""),45611.0)</f>
        <v>45611</v>
      </c>
      <c r="G247" s="27">
        <f>IFERROR(__xludf.DUMMYFUNCTION("""COMPUTED_VALUE"""),12.2)</f>
        <v>12.2</v>
      </c>
      <c r="H247" s="128">
        <f>IFERROR(__xludf.DUMMYFUNCTION("""COMPUTED_VALUE"""),45239.0)</f>
        <v>45239</v>
      </c>
      <c r="I247" s="27">
        <f>IFERROR(__xludf.DUMMYFUNCTION("""COMPUTED_VALUE"""),0.0)</f>
        <v>0</v>
      </c>
      <c r="J247" s="277">
        <f>IFERROR(__xludf.DUMMYFUNCTION("""COMPUTED_VALUE"""),79.0)</f>
        <v>79</v>
      </c>
      <c r="K247" s="29">
        <f>IFERROR(__xludf.DUMMYFUNCTION("""COMPUTED_VALUE"""),11.0)</f>
        <v>11</v>
      </c>
      <c r="L247" s="275" t="str">
        <f>IFERROR(__xludf.DUMMYFUNCTION("""COMPUTED_VALUE"""),"Action-Adventure")</f>
        <v>Action-Adventure</v>
      </c>
    </row>
    <row r="248" hidden="1">
      <c r="A248" s="278" t="str">
        <f>IFERROR(__xludf.DUMMYFUNCTION("""COMPUTED_VALUE"""),"Like a Dragon: Ishin!")</f>
        <v>Like a Dragon: Ishin!</v>
      </c>
      <c r="B248" s="20" t="str">
        <f>IFERROR(__xludf.DUMMYFUNCTION("""COMPUTED_VALUE"""),"Xbox / PC")</f>
        <v>Xbox / PC</v>
      </c>
      <c r="C248" s="21" t="str">
        <f>IFERROR(__xludf.DUMMYFUNCTION("""COMPUTED_VALUE"""),"Yes")</f>
        <v>Yes</v>
      </c>
      <c r="D248" s="21" t="str">
        <f>IFERROR(__xludf.DUMMYFUNCTION("""COMPUTED_VALUE"""),"Removed")</f>
        <v>Removed</v>
      </c>
      <c r="E248" s="279">
        <f>IFERROR(__xludf.DUMMYFUNCTION("""COMPUTED_VALUE"""),45216.0)</f>
        <v>45216</v>
      </c>
      <c r="F248" s="276">
        <f>IFERROR(__xludf.DUMMYFUNCTION("""COMPUTED_VALUE"""),45611.0)</f>
        <v>45611</v>
      </c>
      <c r="G248" s="27">
        <f>IFERROR(__xludf.DUMMYFUNCTION("""COMPUTED_VALUE"""),12.933333333333334)</f>
        <v>12.93333333</v>
      </c>
      <c r="H248" s="128">
        <f>IFERROR(__xludf.DUMMYFUNCTION("""COMPUTED_VALUE"""),44978.0)</f>
        <v>44978</v>
      </c>
      <c r="I248" s="27">
        <f>IFERROR(__xludf.DUMMYFUNCTION("""COMPUTED_VALUE"""),0.6555555555555556)</f>
        <v>0.6555555556</v>
      </c>
      <c r="J248" s="277">
        <f>IFERROR(__xludf.DUMMYFUNCTION("""COMPUTED_VALUE"""),81.0)</f>
        <v>81</v>
      </c>
      <c r="K248" s="277">
        <f>IFERROR(__xludf.DUMMYFUNCTION("""COMPUTED_VALUE"""),24.0)</f>
        <v>24</v>
      </c>
      <c r="L248" s="275" t="str">
        <f>IFERROR(__xludf.DUMMYFUNCTION("""COMPUTED_VALUE"""),"RPG")</f>
        <v>RPG</v>
      </c>
    </row>
    <row r="249" hidden="1">
      <c r="A249" s="278" t="str">
        <f>IFERROR(__xludf.DUMMYFUNCTION("""COMPUTED_VALUE"""),"Goat Simulator")</f>
        <v>Goat Simulator</v>
      </c>
      <c r="B249" s="20" t="str">
        <f>IFERROR(__xludf.DUMMYFUNCTION("""COMPUTED_VALUE"""),"Xbox / PC")</f>
        <v>Xbox / PC</v>
      </c>
      <c r="C249" s="21" t="str">
        <f>IFERROR(__xludf.DUMMYFUNCTION("""COMPUTED_VALUE"""),"Yes")</f>
        <v>Yes</v>
      </c>
      <c r="D249" s="21" t="str">
        <f>IFERROR(__xludf.DUMMYFUNCTION("""COMPUTED_VALUE"""),"Removed")</f>
        <v>Removed</v>
      </c>
      <c r="E249" s="279">
        <f>IFERROR(__xludf.DUMMYFUNCTION("""COMPUTED_VALUE"""),45020.0)</f>
        <v>45020</v>
      </c>
      <c r="F249" s="279">
        <f>IFERROR(__xludf.DUMMYFUNCTION("""COMPUTED_VALUE"""),45611.0)</f>
        <v>45611</v>
      </c>
      <c r="G249" s="27">
        <f>IFERROR(__xludf.DUMMYFUNCTION("""COMPUTED_VALUE"""),19.366666666666667)</f>
        <v>19.36666667</v>
      </c>
      <c r="H249" s="128">
        <f>IFERROR(__xludf.DUMMYFUNCTION("""COMPUTED_VALUE"""),41730.0)</f>
        <v>41730</v>
      </c>
      <c r="I249" s="27">
        <f>IFERROR(__xludf.DUMMYFUNCTION("""COMPUTED_VALUE"""),9.008333333333333)</f>
        <v>9.008333333</v>
      </c>
      <c r="J249" s="277">
        <f>IFERROR(__xludf.DUMMYFUNCTION("""COMPUTED_VALUE"""),58.0)</f>
        <v>58</v>
      </c>
      <c r="K249" s="29">
        <f>IFERROR(__xludf.DUMMYFUNCTION("""COMPUTED_VALUE"""),2.0)</f>
        <v>2</v>
      </c>
      <c r="L249" s="275" t="str">
        <f>IFERROR(__xludf.DUMMYFUNCTION("""COMPUTED_VALUE"""),"Simulation")</f>
        <v>Simulation</v>
      </c>
    </row>
    <row r="250" hidden="1">
      <c r="A250" s="278" t="str">
        <f>IFERROR(__xludf.DUMMYFUNCTION("""COMPUTED_VALUE"""),"Somerville")</f>
        <v>Somerville</v>
      </c>
      <c r="B250" s="21" t="str">
        <f>IFERROR(__xludf.DUMMYFUNCTION("""COMPUTED_VALUE"""),"Xbox / PC")</f>
        <v>Xbox / PC</v>
      </c>
      <c r="C250" s="21"/>
      <c r="D250" s="21" t="str">
        <f>IFERROR(__xludf.DUMMYFUNCTION("""COMPUTED_VALUE"""),"Removed")</f>
        <v>Removed</v>
      </c>
      <c r="E250" s="279">
        <f>IFERROR(__xludf.DUMMYFUNCTION("""COMPUTED_VALUE"""),44880.0)</f>
        <v>44880</v>
      </c>
      <c r="F250" s="279">
        <f>IFERROR(__xludf.DUMMYFUNCTION("""COMPUTED_VALUE"""),45611.0)</f>
        <v>45611</v>
      </c>
      <c r="G250" s="27">
        <f>IFERROR(__xludf.DUMMYFUNCTION("""COMPUTED_VALUE"""),24.0)</f>
        <v>24</v>
      </c>
      <c r="H250" s="128">
        <f>IFERROR(__xludf.DUMMYFUNCTION("""COMPUTED_VALUE"""),44880.0)</f>
        <v>44880</v>
      </c>
      <c r="I250" s="27">
        <f>IFERROR(__xludf.DUMMYFUNCTION("""COMPUTED_VALUE"""),0.0)</f>
        <v>0</v>
      </c>
      <c r="J250" s="29">
        <f>IFERROR(__xludf.DUMMYFUNCTION("""COMPUTED_VALUE"""),82.0)</f>
        <v>82</v>
      </c>
      <c r="K250" s="29">
        <f>IFERROR(__xludf.DUMMYFUNCTION("""COMPUTED_VALUE"""),3.0)</f>
        <v>3</v>
      </c>
      <c r="L250" s="275" t="str">
        <f>IFERROR(__xludf.DUMMYFUNCTION("""COMPUTED_VALUE"""),"Adventure")</f>
        <v>Adventure</v>
      </c>
    </row>
    <row r="251" hidden="1">
      <c r="A251" s="278" t="str">
        <f>IFERROR(__xludf.DUMMYFUNCTION("""COMPUTED_VALUE"""),"Dicey Dungeons")</f>
        <v>Dicey Dungeons</v>
      </c>
      <c r="B251" s="20" t="str">
        <f>IFERROR(__xludf.DUMMYFUNCTION("""COMPUTED_VALUE"""),"Xbox / PC")</f>
        <v>Xbox / PC</v>
      </c>
      <c r="C251" s="21" t="str">
        <f>IFERROR(__xludf.DUMMYFUNCTION("""COMPUTED_VALUE"""),"Touch Controls")</f>
        <v>Touch Controls</v>
      </c>
      <c r="D251" s="21" t="str">
        <f>IFERROR(__xludf.DUMMYFUNCTION("""COMPUTED_VALUE"""),"Removed")</f>
        <v>Removed</v>
      </c>
      <c r="E251" s="279">
        <f>IFERROR(__xludf.DUMMYFUNCTION("""COMPUTED_VALUE"""),44511.0)</f>
        <v>44511</v>
      </c>
      <c r="F251" s="279">
        <f>IFERROR(__xludf.DUMMYFUNCTION("""COMPUTED_VALUE"""),45611.0)</f>
        <v>45611</v>
      </c>
      <c r="G251" s="27">
        <f>IFERROR(__xludf.DUMMYFUNCTION("""COMPUTED_VALUE"""),36.13333333333333)</f>
        <v>36.13333333</v>
      </c>
      <c r="H251" s="128">
        <f>IFERROR(__xludf.DUMMYFUNCTION("""COMPUTED_VALUE"""),43690.0)</f>
        <v>43690</v>
      </c>
      <c r="I251" s="27">
        <f>IFERROR(__xludf.DUMMYFUNCTION("""COMPUTED_VALUE"""),2.2444444444444445)</f>
        <v>2.244444444</v>
      </c>
      <c r="J251" s="277">
        <f>IFERROR(__xludf.DUMMYFUNCTION("""COMPUTED_VALUE"""),80.0)</f>
        <v>80</v>
      </c>
      <c r="K251" s="277">
        <f>IFERROR(__xludf.DUMMYFUNCTION("""COMPUTED_VALUE"""),25.5)</f>
        <v>25.5</v>
      </c>
      <c r="L251" s="275" t="str">
        <f>IFERROR(__xludf.DUMMYFUNCTION("""COMPUTED_VALUE"""),"RPG")</f>
        <v>RPG</v>
      </c>
    </row>
    <row r="252" hidden="1">
      <c r="A252" s="278" t="str">
        <f>IFERROR(__xludf.DUMMYFUNCTION("""COMPUTED_VALUE"""),"Headbangers: Rhythm Royale")</f>
        <v>Headbangers: Rhythm Royale</v>
      </c>
      <c r="B252" s="20" t="str">
        <f>IFERROR(__xludf.DUMMYFUNCTION("""COMPUTED_VALUE"""),"Xbox / PC")</f>
        <v>Xbox / PC</v>
      </c>
      <c r="C252" s="21" t="str">
        <f>IFERROR(__xludf.DUMMYFUNCTION("""COMPUTED_VALUE"""),"Yes")</f>
        <v>Yes</v>
      </c>
      <c r="D252" s="21" t="str">
        <f>IFERROR(__xludf.DUMMYFUNCTION("""COMPUTED_VALUE"""),"Removed")</f>
        <v>Removed</v>
      </c>
      <c r="E252" s="279">
        <f>IFERROR(__xludf.DUMMYFUNCTION("""COMPUTED_VALUE"""),45230.0)</f>
        <v>45230</v>
      </c>
      <c r="F252" s="279">
        <f>IFERROR(__xludf.DUMMYFUNCTION("""COMPUTED_VALUE"""),45596.0)</f>
        <v>45596</v>
      </c>
      <c r="G252" s="27">
        <f>IFERROR(__xludf.DUMMYFUNCTION("""COMPUTED_VALUE"""),12.0)</f>
        <v>12</v>
      </c>
      <c r="H252" s="128">
        <f>IFERROR(__xludf.DUMMYFUNCTION("""COMPUTED_VALUE"""),45230.0)</f>
        <v>45230</v>
      </c>
      <c r="I252" s="27">
        <f>IFERROR(__xludf.DUMMYFUNCTION("""COMPUTED_VALUE"""),0.0)</f>
        <v>0</v>
      </c>
      <c r="J252" s="29">
        <f>IFERROR(__xludf.DUMMYFUNCTION("""COMPUTED_VALUE"""),74.0)</f>
        <v>74</v>
      </c>
      <c r="K252" s="29">
        <f>IFERROR(__xludf.DUMMYFUNCTION("""COMPUTED_VALUE"""),4.0)</f>
        <v>4</v>
      </c>
      <c r="L252" s="275" t="str">
        <f>IFERROR(__xludf.DUMMYFUNCTION("""COMPUTED_VALUE"""),"Music")</f>
        <v>Music</v>
      </c>
    </row>
    <row r="253" hidden="1">
      <c r="A253" s="17" t="str">
        <f>IFERROR(__xludf.DUMMYFUNCTION("""COMPUTED_VALUE"""),"Mineko's Night Market")</f>
        <v>Mineko's Night Market</v>
      </c>
      <c r="B253" s="20" t="str">
        <f>IFERROR(__xludf.DUMMYFUNCTION("""COMPUTED_VALUE"""),"Xbox / PC")</f>
        <v>Xbox / PC</v>
      </c>
      <c r="C253" s="21" t="str">
        <f>IFERROR(__xludf.DUMMYFUNCTION("""COMPUTED_VALUE"""),"Yes")</f>
        <v>Yes</v>
      </c>
      <c r="D253" s="21" t="str">
        <f>IFERROR(__xludf.DUMMYFUNCTION("""COMPUTED_VALUE"""),"Removed")</f>
        <v>Removed</v>
      </c>
      <c r="E253" s="279">
        <f>IFERROR(__xludf.DUMMYFUNCTION("""COMPUTED_VALUE"""),45225.0)</f>
        <v>45225</v>
      </c>
      <c r="F253" s="279">
        <f>IFERROR(__xludf.DUMMYFUNCTION("""COMPUTED_VALUE"""),45596.0)</f>
        <v>45596</v>
      </c>
      <c r="G253" s="27">
        <f>IFERROR(__xludf.DUMMYFUNCTION("""COMPUTED_VALUE"""),12.133333333333333)</f>
        <v>12.13333333</v>
      </c>
      <c r="H253" s="128">
        <f>IFERROR(__xludf.DUMMYFUNCTION("""COMPUTED_VALUE"""),45195.0)</f>
        <v>45195</v>
      </c>
      <c r="I253" s="27">
        <f>IFERROR(__xludf.DUMMYFUNCTION("""COMPUTED_VALUE"""),0.08333333333333333)</f>
        <v>0.08333333333</v>
      </c>
      <c r="J253" s="277">
        <f>IFERROR(__xludf.DUMMYFUNCTION("""COMPUTED_VALUE"""),66.0)</f>
        <v>66</v>
      </c>
      <c r="K253" s="277">
        <f>IFERROR(__xludf.DUMMYFUNCTION("""COMPUTED_VALUE"""),18.0)</f>
        <v>18</v>
      </c>
      <c r="L253" s="275" t="str">
        <f>IFERROR(__xludf.DUMMYFUNCTION("""COMPUTED_VALUE"""),"Adventure")</f>
        <v>Adventure</v>
      </c>
    </row>
    <row r="254" hidden="1">
      <c r="A254" s="278" t="str">
        <f>IFERROR(__xludf.DUMMYFUNCTION("""COMPUTED_VALUE"""),"Inkulinati (Game Preview)")</f>
        <v>Inkulinati (Game Preview)</v>
      </c>
      <c r="B254" s="20" t="str">
        <f>IFERROR(__xludf.DUMMYFUNCTION("""COMPUTED_VALUE"""),"Xbox / PC")</f>
        <v>Xbox / PC</v>
      </c>
      <c r="C254" s="21" t="str">
        <f>IFERROR(__xludf.DUMMYFUNCTION("""COMPUTED_VALUE"""),"M+KB")</f>
        <v>M+KB</v>
      </c>
      <c r="D254" s="21" t="str">
        <f>IFERROR(__xludf.DUMMYFUNCTION("""COMPUTED_VALUE"""),"Removed")</f>
        <v>Removed</v>
      </c>
      <c r="E254" s="279">
        <f>IFERROR(__xludf.DUMMYFUNCTION("""COMPUTED_VALUE"""),44957.0)</f>
        <v>44957</v>
      </c>
      <c r="F254" s="279">
        <f>IFERROR(__xludf.DUMMYFUNCTION("""COMPUTED_VALUE"""),45596.0)</f>
        <v>45596</v>
      </c>
      <c r="G254" s="27">
        <f>IFERROR(__xludf.DUMMYFUNCTION("""COMPUTED_VALUE"""),21.0)</f>
        <v>21</v>
      </c>
      <c r="H254" s="128">
        <f>IFERROR(__xludf.DUMMYFUNCTION("""COMPUTED_VALUE"""),44957.0)</f>
        <v>44957</v>
      </c>
      <c r="I254" s="27">
        <f>IFERROR(__xludf.DUMMYFUNCTION("""COMPUTED_VALUE"""),0.0)</f>
        <v>0</v>
      </c>
      <c r="J254" s="29">
        <f>IFERROR(__xludf.DUMMYFUNCTION("""COMPUTED_VALUE"""),78.0)</f>
        <v>78</v>
      </c>
      <c r="K254" s="29">
        <f>IFERROR(__xludf.DUMMYFUNCTION("""COMPUTED_VALUE"""),6.0)</f>
        <v>6</v>
      </c>
      <c r="L254" s="275" t="str">
        <f>IFERROR(__xludf.DUMMYFUNCTION("""COMPUTED_VALUE"""),"Strategy")</f>
        <v>Strategy</v>
      </c>
    </row>
    <row r="255" hidden="1">
      <c r="A255" s="278" t="str">
        <f>IFERROR(__xludf.DUMMYFUNCTION("""COMPUTED_VALUE"""),"Frog Detective: The Entire Mystery")</f>
        <v>Frog Detective: The Entire Mystery</v>
      </c>
      <c r="B255" s="20" t="str">
        <f>IFERROR(__xludf.DUMMYFUNCTION("""COMPUTED_VALUE"""),"Xbox / PC")</f>
        <v>Xbox / PC</v>
      </c>
      <c r="C255" s="21" t="str">
        <f>IFERROR(__xludf.DUMMYFUNCTION("""COMPUTED_VALUE"""),"Yes")</f>
        <v>Yes</v>
      </c>
      <c r="D255" s="21" t="str">
        <f>IFERROR(__xludf.DUMMYFUNCTION("""COMPUTED_VALUE"""),"Removed")</f>
        <v>Removed</v>
      </c>
      <c r="E255" s="279">
        <f>IFERROR(__xludf.DUMMYFUNCTION("""COMPUTED_VALUE"""),44861.0)</f>
        <v>44861</v>
      </c>
      <c r="F255" s="279">
        <f>IFERROR(__xludf.DUMMYFUNCTION("""COMPUTED_VALUE"""),45596.0)</f>
        <v>45596</v>
      </c>
      <c r="G255" s="27">
        <f>IFERROR(__xludf.DUMMYFUNCTION("""COMPUTED_VALUE"""),24.1)</f>
        <v>24.1</v>
      </c>
      <c r="H255" s="128">
        <f>IFERROR(__xludf.DUMMYFUNCTION("""COMPUTED_VALUE"""),44861.0)</f>
        <v>44861</v>
      </c>
      <c r="I255" s="27">
        <f>IFERROR(__xludf.DUMMYFUNCTION("""COMPUTED_VALUE"""),0.0)</f>
        <v>0</v>
      </c>
      <c r="J255" s="29">
        <f>IFERROR(__xludf.DUMMYFUNCTION("""COMPUTED_VALUE"""),77.0)</f>
        <v>77</v>
      </c>
      <c r="K255" s="29">
        <f>IFERROR(__xludf.DUMMYFUNCTION("""COMPUTED_VALUE"""),4.0)</f>
        <v>4</v>
      </c>
      <c r="L255" s="275" t="str">
        <f>IFERROR(__xludf.DUMMYFUNCTION("""COMPUTED_VALUE"""),"Adventure")</f>
        <v>Adventure</v>
      </c>
    </row>
    <row r="256" hidden="1">
      <c r="A256" s="278" t="str">
        <f>IFERROR(__xludf.DUMMYFUNCTION("""COMPUTED_VALUE"""),"Lonely Mountains: Downhill")</f>
        <v>Lonely Mountains: Downhill</v>
      </c>
      <c r="B256" s="20" t="str">
        <f>IFERROR(__xludf.DUMMYFUNCTION("""COMPUTED_VALUE"""),"Xbox / PC")</f>
        <v>Xbox / PC</v>
      </c>
      <c r="C256" s="21" t="str">
        <f>IFERROR(__xludf.DUMMYFUNCTION("""COMPUTED_VALUE"""),"Yes")</f>
        <v>Yes</v>
      </c>
      <c r="D256" s="21" t="str">
        <f>IFERROR(__xludf.DUMMYFUNCTION("""COMPUTED_VALUE"""),"Removed")</f>
        <v>Removed</v>
      </c>
      <c r="E256" s="279">
        <f>IFERROR(__xludf.DUMMYFUNCTION("""COMPUTED_VALUE"""),43761.0)</f>
        <v>43761</v>
      </c>
      <c r="F256" s="279">
        <f>IFERROR(__xludf.DUMMYFUNCTION("""COMPUTED_VALUE"""),45596.0)</f>
        <v>45596</v>
      </c>
      <c r="G256" s="27">
        <f>IFERROR(__xludf.DUMMYFUNCTION("""COMPUTED_VALUE"""),60.233333333333334)</f>
        <v>60.23333333</v>
      </c>
      <c r="H256" s="128">
        <f>IFERROR(__xludf.DUMMYFUNCTION("""COMPUTED_VALUE"""),43761.0)</f>
        <v>43761</v>
      </c>
      <c r="I256" s="27">
        <f>IFERROR(__xludf.DUMMYFUNCTION("""COMPUTED_VALUE"""),0.0)</f>
        <v>0</v>
      </c>
      <c r="J256" s="29">
        <f>IFERROR(__xludf.DUMMYFUNCTION("""COMPUTED_VALUE"""),79.0)</f>
        <v>79</v>
      </c>
      <c r="K256" s="29">
        <f>IFERROR(__xludf.DUMMYFUNCTION("""COMPUTED_VALUE"""),5.5)</f>
        <v>5.5</v>
      </c>
      <c r="L256" s="275" t="str">
        <f>IFERROR(__xludf.DUMMYFUNCTION("""COMPUTED_VALUE"""),"Racing")</f>
        <v>Racing</v>
      </c>
    </row>
    <row r="257" hidden="1">
      <c r="A257" s="278" t="str">
        <f>IFERROR(__xludf.DUMMYFUNCTION("""COMPUTED_VALUE"""),"F1 Manager 2023")</f>
        <v>F1 Manager 2023</v>
      </c>
      <c r="B257" s="20" t="str">
        <f>IFERROR(__xludf.DUMMYFUNCTION("""COMPUTED_VALUE"""),"Xbox / PC")</f>
        <v>Xbox / PC</v>
      </c>
      <c r="C257" s="21" t="str">
        <f>IFERROR(__xludf.DUMMYFUNCTION("""COMPUTED_VALUE"""),"Yes")</f>
        <v>Yes</v>
      </c>
      <c r="D257" s="21" t="str">
        <f>IFERROR(__xludf.DUMMYFUNCTION("""COMPUTED_VALUE"""),"Removed")</f>
        <v>Removed</v>
      </c>
      <c r="E257" s="279">
        <f>IFERROR(__xludf.DUMMYFUNCTION("""COMPUTED_VALUE"""),45218.0)</f>
        <v>45218</v>
      </c>
      <c r="F257" s="279">
        <f>IFERROR(__xludf.DUMMYFUNCTION("""COMPUTED_VALUE"""),45580.0)</f>
        <v>45580</v>
      </c>
      <c r="G257" s="27">
        <f>IFERROR(__xludf.DUMMYFUNCTION("""COMPUTED_VALUE"""),11.866666666666667)</f>
        <v>11.86666667</v>
      </c>
      <c r="H257" s="128">
        <f>IFERROR(__xludf.DUMMYFUNCTION("""COMPUTED_VALUE"""),45138.0)</f>
        <v>45138</v>
      </c>
      <c r="I257" s="27">
        <f>IFERROR(__xludf.DUMMYFUNCTION("""COMPUTED_VALUE"""),0.21944444444444444)</f>
        <v>0.2194444444</v>
      </c>
      <c r="J257" s="29">
        <f>IFERROR(__xludf.DUMMYFUNCTION("""COMPUTED_VALUE"""),79.0)</f>
        <v>79</v>
      </c>
      <c r="K257" s="29">
        <f>IFERROR(__xludf.DUMMYFUNCTION("""COMPUTED_VALUE"""),16.0)</f>
        <v>16</v>
      </c>
      <c r="L257" s="275" t="str">
        <f>IFERROR(__xludf.DUMMYFUNCTION("""COMPUTED_VALUE"""),"Racing")</f>
        <v>Racing</v>
      </c>
    </row>
    <row r="258" hidden="1">
      <c r="A258" s="17" t="str">
        <f>IFERROR(__xludf.DUMMYFUNCTION("""COMPUTED_VALUE"""),"From Space")</f>
        <v>From Space</v>
      </c>
      <c r="B258" s="20" t="str">
        <f>IFERROR(__xludf.DUMMYFUNCTION("""COMPUTED_VALUE"""),"Xbox / PC")</f>
        <v>Xbox / PC</v>
      </c>
      <c r="C258" s="21" t="str">
        <f>IFERROR(__xludf.DUMMYFUNCTION("""COMPUTED_VALUE"""),"Yes")</f>
        <v>Yes</v>
      </c>
      <c r="D258" s="21" t="str">
        <f>IFERROR(__xludf.DUMMYFUNCTION("""COMPUTED_VALUE"""),"Removed")</f>
        <v>Removed</v>
      </c>
      <c r="E258" s="279">
        <f>IFERROR(__xludf.DUMMYFUNCTION("""COMPUTED_VALUE"""),45211.0)</f>
        <v>45211</v>
      </c>
      <c r="F258" s="279">
        <f>IFERROR(__xludf.DUMMYFUNCTION("""COMPUTED_VALUE"""),45580.0)</f>
        <v>45580</v>
      </c>
      <c r="G258" s="27">
        <f>IFERROR(__xludf.DUMMYFUNCTION("""COMPUTED_VALUE"""),12.1)</f>
        <v>12.1</v>
      </c>
      <c r="H258" s="128">
        <f>IFERROR(__xludf.DUMMYFUNCTION("""COMPUTED_VALUE"""),45211.0)</f>
        <v>45211</v>
      </c>
      <c r="I258" s="27">
        <f>IFERROR(__xludf.DUMMYFUNCTION("""COMPUTED_VALUE"""),0.0)</f>
        <v>0</v>
      </c>
      <c r="J258" s="29">
        <f>IFERROR(__xludf.DUMMYFUNCTION("""COMPUTED_VALUE"""),60.0)</f>
        <v>60</v>
      </c>
      <c r="K258" s="29">
        <f>IFERROR(__xludf.DUMMYFUNCTION("""COMPUTED_VALUE"""),13.0)</f>
        <v>13</v>
      </c>
      <c r="L258" s="275" t="str">
        <f>IFERROR(__xludf.DUMMYFUNCTION("""COMPUTED_VALUE"""),"Shooter")</f>
        <v>Shooter</v>
      </c>
    </row>
    <row r="259" hidden="1">
      <c r="A259" s="278" t="str">
        <f>IFERROR(__xludf.DUMMYFUNCTION("""COMPUTED_VALUE"""),"Scorn")</f>
        <v>Scorn</v>
      </c>
      <c r="B259" s="20" t="str">
        <f>IFERROR(__xludf.DUMMYFUNCTION("""COMPUTED_VALUE"""),"Xbox / PC")</f>
        <v>Xbox / PC</v>
      </c>
      <c r="C259" s="21" t="str">
        <f>IFERROR(__xludf.DUMMYFUNCTION("""COMPUTED_VALUE"""),"Touch Controls")</f>
        <v>Touch Controls</v>
      </c>
      <c r="D259" s="21" t="str">
        <f>IFERROR(__xludf.DUMMYFUNCTION("""COMPUTED_VALUE"""),"Removed")</f>
        <v>Removed</v>
      </c>
      <c r="E259" s="279">
        <f>IFERROR(__xludf.DUMMYFUNCTION("""COMPUTED_VALUE"""),44848.0)</f>
        <v>44848</v>
      </c>
      <c r="F259" s="279">
        <f>IFERROR(__xludf.DUMMYFUNCTION("""COMPUTED_VALUE"""),45580.0)</f>
        <v>45580</v>
      </c>
      <c r="G259" s="27">
        <f>IFERROR(__xludf.DUMMYFUNCTION("""COMPUTED_VALUE"""),24.03333333333333)</f>
        <v>24.03333333</v>
      </c>
      <c r="H259" s="128">
        <f>IFERROR(__xludf.DUMMYFUNCTION("""COMPUTED_VALUE"""),44848.0)</f>
        <v>44848</v>
      </c>
      <c r="I259" s="27">
        <f>IFERROR(__xludf.DUMMYFUNCTION("""COMPUTED_VALUE"""),0.0)</f>
        <v>0</v>
      </c>
      <c r="J259" s="29">
        <f>IFERROR(__xludf.DUMMYFUNCTION("""COMPUTED_VALUE"""),71.0)</f>
        <v>71</v>
      </c>
      <c r="K259" s="29">
        <f>IFERROR(__xludf.DUMMYFUNCTION("""COMPUTED_VALUE"""),6.0)</f>
        <v>6</v>
      </c>
      <c r="L259" s="275" t="str">
        <f>IFERROR(__xludf.DUMMYFUNCTION("""COMPUTED_VALUE"""),"Adventure")</f>
        <v>Adventure</v>
      </c>
    </row>
    <row r="260" hidden="1">
      <c r="A260" s="278" t="str">
        <f>IFERROR(__xludf.DUMMYFUNCTION("""COMPUTED_VALUE"""),"Dyson Sphere Program (Game Preview)")</f>
        <v>Dyson Sphere Program (Game Preview)</v>
      </c>
      <c r="B260" s="20" t="str">
        <f>IFERROR(__xludf.DUMMYFUNCTION("""COMPUTED_VALUE"""),"PC")</f>
        <v>PC</v>
      </c>
      <c r="C260" s="21"/>
      <c r="D260" s="21" t="str">
        <f>IFERROR(__xludf.DUMMYFUNCTION("""COMPUTED_VALUE"""),"Removed")</f>
        <v>Removed</v>
      </c>
      <c r="E260" s="23">
        <f>IFERROR(__xludf.DUMMYFUNCTION("""COMPUTED_VALUE"""),44847.0)</f>
        <v>44847</v>
      </c>
      <c r="F260" s="279">
        <f>IFERROR(__xludf.DUMMYFUNCTION("""COMPUTED_VALUE"""),45580.0)</f>
        <v>45580</v>
      </c>
      <c r="G260" s="27">
        <f>IFERROR(__xludf.DUMMYFUNCTION("""COMPUTED_VALUE"""),24.066666666666666)</f>
        <v>24.06666667</v>
      </c>
      <c r="H260" s="128">
        <f>IFERROR(__xludf.DUMMYFUNCTION("""COMPUTED_VALUE"""),44217.0)</f>
        <v>44217</v>
      </c>
      <c r="I260" s="27">
        <f>IFERROR(__xludf.DUMMYFUNCTION("""COMPUTED_VALUE"""),1.7277777777777779)</f>
        <v>1.727777778</v>
      </c>
      <c r="J260" s="29"/>
      <c r="K260" s="29">
        <f>IFERROR(__xludf.DUMMYFUNCTION("""COMPUTED_VALUE"""),65.0)</f>
        <v>65</v>
      </c>
      <c r="L260" s="275" t="str">
        <f>IFERROR(__xludf.DUMMYFUNCTION("""COMPUTED_VALUE"""),"Strategy")</f>
        <v>Strategy</v>
      </c>
    </row>
    <row r="261" hidden="1">
      <c r="A261" s="278" t="str">
        <f>IFERROR(__xludf.DUMMYFUNCTION("""COMPUTED_VALUE"""),"Everspace 2")</f>
        <v>Everspace 2</v>
      </c>
      <c r="B261" s="20" t="str">
        <f>IFERROR(__xludf.DUMMYFUNCTION("""COMPUTED_VALUE"""),"Xbox / PC")</f>
        <v>Xbox / PC</v>
      </c>
      <c r="C261" s="21" t="str">
        <f>IFERROR(__xludf.DUMMYFUNCTION("""COMPUTED_VALUE"""),"Yes")</f>
        <v>Yes</v>
      </c>
      <c r="D261" s="21" t="str">
        <f>IFERROR(__xludf.DUMMYFUNCTION("""COMPUTED_VALUE"""),"Removed")</f>
        <v>Removed</v>
      </c>
      <c r="E261" s="279">
        <f>IFERROR(__xludf.DUMMYFUNCTION("""COMPUTED_VALUE"""),44490.0)</f>
        <v>44490</v>
      </c>
      <c r="F261" s="279">
        <f>IFERROR(__xludf.DUMMYFUNCTION("""COMPUTED_VALUE"""),45580.0)</f>
        <v>45580</v>
      </c>
      <c r="G261" s="27">
        <f>IFERROR(__xludf.DUMMYFUNCTION("""COMPUTED_VALUE"""),35.8)</f>
        <v>35.8</v>
      </c>
      <c r="H261" s="128">
        <f>IFERROR(__xludf.DUMMYFUNCTION("""COMPUTED_VALUE"""),44214.0)</f>
        <v>44214</v>
      </c>
      <c r="I261" s="27">
        <f>IFERROR(__xludf.DUMMYFUNCTION("""COMPUTED_VALUE"""),0.7583333333333333)</f>
        <v>0.7583333333</v>
      </c>
      <c r="J261" s="29">
        <f>IFERROR(__xludf.DUMMYFUNCTION("""COMPUTED_VALUE"""),75.5)</f>
        <v>75.5</v>
      </c>
      <c r="K261" s="29">
        <f>IFERROR(__xludf.DUMMYFUNCTION("""COMPUTED_VALUE"""),7.5)</f>
        <v>7.5</v>
      </c>
      <c r="L261" s="275" t="str">
        <f>IFERROR(__xludf.DUMMYFUNCTION("""COMPUTED_VALUE"""),"Shooter")</f>
        <v>Shooter</v>
      </c>
    </row>
    <row r="262" hidden="1">
      <c r="A262" s="278" t="str">
        <f>IFERROR(__xludf.DUMMYFUNCTION("""COMPUTED_VALUE"""),"Gotham Knights")</f>
        <v>Gotham Knights</v>
      </c>
      <c r="B262" s="20" t="str">
        <f>IFERROR(__xludf.DUMMYFUNCTION("""COMPUTED_VALUE"""),"Xbox / PC")</f>
        <v>Xbox / PC</v>
      </c>
      <c r="C262" s="21" t="str">
        <f>IFERROR(__xludf.DUMMYFUNCTION("""COMPUTED_VALUE"""),"Yes")</f>
        <v>Yes</v>
      </c>
      <c r="D262" s="21" t="str">
        <f>IFERROR(__xludf.DUMMYFUNCTION("""COMPUTED_VALUE"""),"Removed")</f>
        <v>Removed</v>
      </c>
      <c r="E262" s="279">
        <f>IFERROR(__xludf.DUMMYFUNCTION("""COMPUTED_VALUE"""),45202.0)</f>
        <v>45202</v>
      </c>
      <c r="F262" s="279">
        <f>IFERROR(__xludf.DUMMYFUNCTION("""COMPUTED_VALUE"""),45565.0)</f>
        <v>45565</v>
      </c>
      <c r="G262" s="27">
        <f>IFERROR(__xludf.DUMMYFUNCTION("""COMPUTED_VALUE"""),11.9)</f>
        <v>11.9</v>
      </c>
      <c r="H262" s="128">
        <f>IFERROR(__xludf.DUMMYFUNCTION("""COMPUTED_VALUE"""),44855.0)</f>
        <v>44855</v>
      </c>
      <c r="I262" s="27">
        <f>IFERROR(__xludf.DUMMYFUNCTION("""COMPUTED_VALUE"""),0.95)</f>
        <v>0.95</v>
      </c>
      <c r="J262" s="29">
        <f>IFERROR(__xludf.DUMMYFUNCTION("""COMPUTED_VALUE"""),66.0)</f>
        <v>66</v>
      </c>
      <c r="K262" s="29">
        <f>IFERROR(__xludf.DUMMYFUNCTION("""COMPUTED_VALUE"""),17.0)</f>
        <v>17</v>
      </c>
      <c r="L262" s="275" t="str">
        <f>IFERROR(__xludf.DUMMYFUNCTION("""COMPUTED_VALUE"""),"RPG")</f>
        <v>RPG</v>
      </c>
    </row>
    <row r="263" hidden="1">
      <c r="A263" s="17" t="str">
        <f>IFERROR(__xludf.DUMMYFUNCTION("""COMPUTED_VALUE"""),"Phoenix Wright: Ace Attorney Trilogy")</f>
        <v>Phoenix Wright: Ace Attorney Trilogy</v>
      </c>
      <c r="B263" s="20" t="str">
        <f>IFERROR(__xludf.DUMMYFUNCTION("""COMPUTED_VALUE"""),"Xbox / PC")</f>
        <v>Xbox / PC</v>
      </c>
      <c r="C263" s="21" t="str">
        <f>IFERROR(__xludf.DUMMYFUNCTION("""COMPUTED_VALUE"""),"Yes")</f>
        <v>Yes</v>
      </c>
      <c r="D263" s="21" t="str">
        <f>IFERROR(__xludf.DUMMYFUNCTION("""COMPUTED_VALUE"""),"Removed")</f>
        <v>Removed</v>
      </c>
      <c r="E263" s="279">
        <f>IFERROR(__xludf.DUMMYFUNCTION("""COMPUTED_VALUE"""),45195.0)</f>
        <v>45195</v>
      </c>
      <c r="F263" s="279">
        <f>IFERROR(__xludf.DUMMYFUNCTION("""COMPUTED_VALUE"""),45565.0)</f>
        <v>45565</v>
      </c>
      <c r="G263" s="27">
        <f>IFERROR(__xludf.DUMMYFUNCTION("""COMPUTED_VALUE"""),12.133333333333333)</f>
        <v>12.13333333</v>
      </c>
      <c r="H263" s="128">
        <f>IFERROR(__xludf.DUMMYFUNCTION("""COMPUTED_VALUE"""),41006.0)</f>
        <v>41006</v>
      </c>
      <c r="I263" s="27">
        <f>IFERROR(__xludf.DUMMYFUNCTION("""COMPUTED_VALUE"""),11.469444444444445)</f>
        <v>11.46944444</v>
      </c>
      <c r="J263" s="29">
        <f>IFERROR(__xludf.DUMMYFUNCTION("""COMPUTED_VALUE"""),80.0)</f>
        <v>80</v>
      </c>
      <c r="K263" s="29">
        <f>IFERROR(__xludf.DUMMYFUNCTION("""COMPUTED_VALUE"""),66.0)</f>
        <v>66</v>
      </c>
      <c r="L263" s="275" t="str">
        <f>IFERROR(__xludf.DUMMYFUNCTION("""COMPUTED_VALUE"""),"Adventure")</f>
        <v>Adventure</v>
      </c>
    </row>
    <row r="264" hidden="1">
      <c r="A264" s="278" t="str">
        <f>IFERROR(__xludf.DUMMYFUNCTION("""COMPUTED_VALUE"""),"Loop Hero")</f>
        <v>Loop Hero</v>
      </c>
      <c r="B264" s="20" t="str">
        <f>IFERROR(__xludf.DUMMYFUNCTION("""COMPUTED_VALUE"""),"Xbox / PC")</f>
        <v>Xbox / PC</v>
      </c>
      <c r="C264" s="21"/>
      <c r="D264" s="21" t="str">
        <f>IFERROR(__xludf.DUMMYFUNCTION("""COMPUTED_VALUE"""),"Removed")</f>
        <v>Removed</v>
      </c>
      <c r="E264" s="279">
        <f>IFERROR(__xludf.DUMMYFUNCTION("""COMPUTED_VALUE"""),45020.0)</f>
        <v>45020</v>
      </c>
      <c r="F264" s="279">
        <f>IFERROR(__xludf.DUMMYFUNCTION("""COMPUTED_VALUE"""),45565.0)</f>
        <v>45565</v>
      </c>
      <c r="G264" s="27">
        <f>IFERROR(__xludf.DUMMYFUNCTION("""COMPUTED_VALUE"""),17.866666666666667)</f>
        <v>17.86666667</v>
      </c>
      <c r="H264" s="128">
        <f>IFERROR(__xludf.DUMMYFUNCTION("""COMPUTED_VALUE"""),44259.0)</f>
        <v>44259</v>
      </c>
      <c r="I264" s="27">
        <f>IFERROR(__xludf.DUMMYFUNCTION("""COMPUTED_VALUE"""),2.0833333333333335)</f>
        <v>2.083333333</v>
      </c>
      <c r="J264" s="29">
        <f>IFERROR(__xludf.DUMMYFUNCTION("""COMPUTED_VALUE"""),82.0)</f>
        <v>82</v>
      </c>
      <c r="K264" s="29">
        <f>IFERROR(__xludf.DUMMYFUNCTION("""COMPUTED_VALUE"""),29.0)</f>
        <v>29</v>
      </c>
      <c r="L264" s="275" t="str">
        <f>IFERROR(__xludf.DUMMYFUNCTION("""COMPUTED_VALUE"""),"Strategy")</f>
        <v>Strategy</v>
      </c>
    </row>
    <row r="265" hidden="1">
      <c r="A265" s="278" t="str">
        <f>IFERROR(__xludf.DUMMYFUNCTION("""COMPUTED_VALUE"""),"PAW Patrol Grand Prix")</f>
        <v>PAW Patrol Grand Prix</v>
      </c>
      <c r="B265" s="20" t="str">
        <f>IFERROR(__xludf.DUMMYFUNCTION("""COMPUTED_VALUE"""),"Xbox / PC")</f>
        <v>Xbox / PC</v>
      </c>
      <c r="C265" s="21" t="str">
        <f>IFERROR(__xludf.DUMMYFUNCTION("""COMPUTED_VALUE"""),"Yes")</f>
        <v>Yes</v>
      </c>
      <c r="D265" s="21" t="str">
        <f>IFERROR(__xludf.DUMMYFUNCTION("""COMPUTED_VALUE"""),"Removed")</f>
        <v>Removed</v>
      </c>
      <c r="E265" s="279">
        <f>IFERROR(__xludf.DUMMYFUNCTION("""COMPUTED_VALUE"""),44834.0)</f>
        <v>44834</v>
      </c>
      <c r="F265" s="279">
        <f>IFERROR(__xludf.DUMMYFUNCTION("""COMPUTED_VALUE"""),45565.0)</f>
        <v>45565</v>
      </c>
      <c r="G265" s="27">
        <f>IFERROR(__xludf.DUMMYFUNCTION("""COMPUTED_VALUE"""),24.0)</f>
        <v>24</v>
      </c>
      <c r="H265" s="128">
        <f>IFERROR(__xludf.DUMMYFUNCTION("""COMPUTED_VALUE"""),44834.0)</f>
        <v>44834</v>
      </c>
      <c r="I265" s="27">
        <f>IFERROR(__xludf.DUMMYFUNCTION("""COMPUTED_VALUE"""),0.0)</f>
        <v>0</v>
      </c>
      <c r="J265" s="29">
        <f>IFERROR(__xludf.DUMMYFUNCTION("""COMPUTED_VALUE"""),70.0)</f>
        <v>70</v>
      </c>
      <c r="K265" s="29">
        <f>IFERROR(__xludf.DUMMYFUNCTION("""COMPUTED_VALUE"""),1.0)</f>
        <v>1</v>
      </c>
      <c r="L265" s="275" t="str">
        <f>IFERROR(__xludf.DUMMYFUNCTION("""COMPUTED_VALUE"""),"Action")</f>
        <v>Action</v>
      </c>
    </row>
    <row r="266" hidden="1">
      <c r="A266" s="278" t="str">
        <f>IFERROR(__xludf.DUMMYFUNCTION("""COMPUTED_VALUE"""),"Let's Build A Zoo")</f>
        <v>Let's Build A Zoo</v>
      </c>
      <c r="B266" s="20" t="str">
        <f>IFERROR(__xludf.DUMMYFUNCTION("""COMPUTED_VALUE"""),"Xbox / PC")</f>
        <v>Xbox / PC</v>
      </c>
      <c r="C266" s="21" t="str">
        <f>IFERROR(__xludf.DUMMYFUNCTION("""COMPUTED_VALUE"""),"Yes")</f>
        <v>Yes</v>
      </c>
      <c r="D266" s="21" t="str">
        <f>IFERROR(__xludf.DUMMYFUNCTION("""COMPUTED_VALUE"""),"Removed")</f>
        <v>Removed</v>
      </c>
      <c r="E266" s="279">
        <f>IFERROR(__xludf.DUMMYFUNCTION("""COMPUTED_VALUE"""),44833.0)</f>
        <v>44833</v>
      </c>
      <c r="F266" s="279">
        <f>IFERROR(__xludf.DUMMYFUNCTION("""COMPUTED_VALUE"""),45565.0)</f>
        <v>45565</v>
      </c>
      <c r="G266" s="27">
        <f>IFERROR(__xludf.DUMMYFUNCTION("""COMPUTED_VALUE"""),24.03333333333333)</f>
        <v>24.03333333</v>
      </c>
      <c r="H266" s="128">
        <f>IFERROR(__xludf.DUMMYFUNCTION("""COMPUTED_VALUE"""),44505.0)</f>
        <v>44505</v>
      </c>
      <c r="I266" s="27">
        <f>IFERROR(__xludf.DUMMYFUNCTION("""COMPUTED_VALUE"""),0.9)</f>
        <v>0.9</v>
      </c>
      <c r="J266" s="29">
        <f>IFERROR(__xludf.DUMMYFUNCTION("""COMPUTED_VALUE"""),78.0)</f>
        <v>78</v>
      </c>
      <c r="K266" s="29">
        <f>IFERROR(__xludf.DUMMYFUNCTION("""COMPUTED_VALUE"""),35.5)</f>
        <v>35.5</v>
      </c>
      <c r="L266" s="275" t="str">
        <f>IFERROR(__xludf.DUMMYFUNCTION("""COMPUTED_VALUE"""),"Simulation")</f>
        <v>Simulation</v>
      </c>
    </row>
    <row r="267" hidden="1">
      <c r="A267" s="17" t="str">
        <f>IFERROR(__xludf.DUMMYFUNCTION("""COMPUTED_VALUE"""),"Valheim (Game Preview)")</f>
        <v>Valheim (Game Preview)</v>
      </c>
      <c r="B267" s="20" t="str">
        <f>IFERROR(__xludf.DUMMYFUNCTION("""COMPUTED_VALUE"""),"Xbox / PC")</f>
        <v>Xbox / PC</v>
      </c>
      <c r="C267" s="21" t="str">
        <f>IFERROR(__xludf.DUMMYFUNCTION("""COMPUTED_VALUE"""),"M+KB")</f>
        <v>M+KB</v>
      </c>
      <c r="D267" s="21" t="str">
        <f>IFERROR(__xludf.DUMMYFUNCTION("""COMPUTED_VALUE"""),"Removed")</f>
        <v>Removed</v>
      </c>
      <c r="E267" s="279">
        <f>IFERROR(__xludf.DUMMYFUNCTION("""COMPUTED_VALUE"""),44833.0)</f>
        <v>44833</v>
      </c>
      <c r="F267" s="279">
        <f>IFERROR(__xludf.DUMMYFUNCTION("""COMPUTED_VALUE"""),45565.0)</f>
        <v>45565</v>
      </c>
      <c r="G267" s="27">
        <f>IFERROR(__xludf.DUMMYFUNCTION("""COMPUTED_VALUE"""),24.03333333333333)</f>
        <v>24.03333333</v>
      </c>
      <c r="H267" s="128">
        <f>IFERROR(__xludf.DUMMYFUNCTION("""COMPUTED_VALUE"""),44229.0)</f>
        <v>44229</v>
      </c>
      <c r="I267" s="27">
        <f>IFERROR(__xludf.DUMMYFUNCTION("""COMPUTED_VALUE"""),1.6583333333333334)</f>
        <v>1.658333333</v>
      </c>
      <c r="J267" s="29">
        <f>IFERROR(__xludf.DUMMYFUNCTION("""COMPUTED_VALUE"""),85.0)</f>
        <v>85</v>
      </c>
      <c r="K267" s="29">
        <f>IFERROR(__xludf.DUMMYFUNCTION("""COMPUTED_VALUE"""),71.0)</f>
        <v>71</v>
      </c>
      <c r="L267" s="275" t="str">
        <f>IFERROR(__xludf.DUMMYFUNCTION("""COMPUTED_VALUE"""),"Action-Adventure")</f>
        <v>Action-Adventure</v>
      </c>
    </row>
    <row r="268" hidden="1">
      <c r="A268" s="278" t="str">
        <f>IFERROR(__xludf.DUMMYFUNCTION("""COMPUTED_VALUE"""),"My Time at Portia")</f>
        <v>My Time at Portia</v>
      </c>
      <c r="B268" s="21" t="str">
        <f>IFERROR(__xludf.DUMMYFUNCTION("""COMPUTED_VALUE"""),"Xbox / PC")</f>
        <v>Xbox / PC</v>
      </c>
      <c r="C268" s="21" t="str">
        <f>IFERROR(__xludf.DUMMYFUNCTION("""COMPUTED_VALUE"""),"Yes")</f>
        <v>Yes</v>
      </c>
      <c r="D268" s="21" t="str">
        <f>IFERROR(__xludf.DUMMYFUNCTION("""COMPUTED_VALUE"""),"Removed")</f>
        <v>Removed</v>
      </c>
      <c r="E268" s="279">
        <f>IFERROR(__xludf.DUMMYFUNCTION("""COMPUTED_VALUE"""),43650.0)</f>
        <v>43650</v>
      </c>
      <c r="F268" s="279">
        <f>IFERROR(__xludf.DUMMYFUNCTION("""COMPUTED_VALUE"""),45565.0)</f>
        <v>45565</v>
      </c>
      <c r="G268" s="27">
        <f>IFERROR(__xludf.DUMMYFUNCTION("""COMPUTED_VALUE"""),62.86666666666667)</f>
        <v>62.86666667</v>
      </c>
      <c r="H268" s="128">
        <f>IFERROR(__xludf.DUMMYFUNCTION("""COMPUTED_VALUE"""),43571.0)</f>
        <v>43571</v>
      </c>
      <c r="I268" s="27">
        <f>IFERROR(__xludf.DUMMYFUNCTION("""COMPUTED_VALUE"""),0.21666666666666667)</f>
        <v>0.2166666667</v>
      </c>
      <c r="J268" s="29">
        <f>IFERROR(__xludf.DUMMYFUNCTION("""COMPUTED_VALUE"""),73.0)</f>
        <v>73</v>
      </c>
      <c r="K268" s="29">
        <f>IFERROR(__xludf.DUMMYFUNCTION("""COMPUTED_VALUE"""),64.0)</f>
        <v>64</v>
      </c>
      <c r="L268" s="275" t="str">
        <f>IFERROR(__xludf.DUMMYFUNCTION("""COMPUTED_VALUE"""),"RPG")</f>
        <v>RPG</v>
      </c>
    </row>
    <row r="269" hidden="1">
      <c r="A269" s="278" t="str">
        <f>IFERROR(__xludf.DUMMYFUNCTION("""COMPUTED_VALUE"""),"PAYDAY 3")</f>
        <v>PAYDAY 3</v>
      </c>
      <c r="B269" s="20" t="str">
        <f>IFERROR(__xludf.DUMMYFUNCTION("""COMPUTED_VALUE"""),"Xbox / PC")</f>
        <v>Xbox / PC</v>
      </c>
      <c r="C269" s="21" t="str">
        <f>IFERROR(__xludf.DUMMYFUNCTION("""COMPUTED_VALUE"""),"Yes")</f>
        <v>Yes</v>
      </c>
      <c r="D269" s="21" t="str">
        <f>IFERROR(__xludf.DUMMYFUNCTION("""COMPUTED_VALUE"""),"Removed")</f>
        <v>Removed</v>
      </c>
      <c r="E269" s="279">
        <f>IFERROR(__xludf.DUMMYFUNCTION("""COMPUTED_VALUE"""),45190.0)</f>
        <v>45190</v>
      </c>
      <c r="F269" s="279">
        <f>IFERROR(__xludf.DUMMYFUNCTION("""COMPUTED_VALUE"""),45550.0)</f>
        <v>45550</v>
      </c>
      <c r="G269" s="27">
        <f>IFERROR(__xludf.DUMMYFUNCTION("""COMPUTED_VALUE"""),11.799999999999999)</f>
        <v>11.8</v>
      </c>
      <c r="H269" s="128">
        <f>IFERROR(__xludf.DUMMYFUNCTION("""COMPUTED_VALUE"""),45190.0)</f>
        <v>45190</v>
      </c>
      <c r="I269" s="27">
        <f>IFERROR(__xludf.DUMMYFUNCTION("""COMPUTED_VALUE"""),0.0)</f>
        <v>0</v>
      </c>
      <c r="J269" s="29">
        <f>IFERROR(__xludf.DUMMYFUNCTION("""COMPUTED_VALUE"""),68.0)</f>
        <v>68</v>
      </c>
      <c r="K269" s="29">
        <f>IFERROR(__xludf.DUMMYFUNCTION("""COMPUTED_VALUE"""),10.0)</f>
        <v>10</v>
      </c>
      <c r="L269" s="275" t="str">
        <f>IFERROR(__xludf.DUMMYFUNCTION("""COMPUTED_VALUE"""),"Shooter")</f>
        <v>Shooter</v>
      </c>
    </row>
    <row r="270" hidden="1">
      <c r="A270" s="278" t="str">
        <f>IFERROR(__xludf.DUMMYFUNCTION("""COMPUTED_VALUE"""),"FIFA 23")</f>
        <v>FIFA 23</v>
      </c>
      <c r="B270" s="20" t="str">
        <f>IFERROR(__xludf.DUMMYFUNCTION("""COMPUTED_VALUE"""),"Xbox / PC")</f>
        <v>Xbox / PC</v>
      </c>
      <c r="C270" s="21" t="str">
        <f>IFERROR(__xludf.DUMMYFUNCTION("""COMPUTED_VALUE"""),"Yes")</f>
        <v>Yes</v>
      </c>
      <c r="D270" s="21" t="str">
        <f>IFERROR(__xludf.DUMMYFUNCTION("""COMPUTED_VALUE"""),"Removed")</f>
        <v>Removed</v>
      </c>
      <c r="E270" s="279">
        <f>IFERROR(__xludf.DUMMYFUNCTION("""COMPUTED_VALUE"""),45062.0)</f>
        <v>45062</v>
      </c>
      <c r="F270" s="279">
        <f>IFERROR(__xludf.DUMMYFUNCTION("""COMPUTED_VALUE"""),45550.0)</f>
        <v>45550</v>
      </c>
      <c r="G270" s="27">
        <f>IFERROR(__xludf.DUMMYFUNCTION("""COMPUTED_VALUE"""),15.966666666666665)</f>
        <v>15.96666667</v>
      </c>
      <c r="H270" s="128">
        <f>IFERROR(__xludf.DUMMYFUNCTION("""COMPUTED_VALUE"""),44470.0)</f>
        <v>44470</v>
      </c>
      <c r="I270" s="27">
        <f>IFERROR(__xludf.DUMMYFUNCTION("""COMPUTED_VALUE"""),1.625)</f>
        <v>1.625</v>
      </c>
      <c r="J270" s="29">
        <f>IFERROR(__xludf.DUMMYFUNCTION("""COMPUTED_VALUE"""),78.0)</f>
        <v>78</v>
      </c>
      <c r="K270" s="29">
        <f>IFERROR(__xludf.DUMMYFUNCTION("""COMPUTED_VALUE"""),94.0)</f>
        <v>94</v>
      </c>
      <c r="L270" s="275" t="str">
        <f>IFERROR(__xludf.DUMMYFUNCTION("""COMPUTED_VALUE"""),"Sports")</f>
        <v>Sports</v>
      </c>
    </row>
    <row r="271" hidden="1">
      <c r="A271" s="278" t="str">
        <f>IFERROR(__xludf.DUMMYFUNCTION("""COMPUTED_VALUE"""),"Slime Rancher 2 (Game Preview)")</f>
        <v>Slime Rancher 2 (Game Preview)</v>
      </c>
      <c r="B271" s="21" t="str">
        <f>IFERROR(__xludf.DUMMYFUNCTION("""COMPUTED_VALUE"""),"Xbox / PC")</f>
        <v>Xbox / PC</v>
      </c>
      <c r="C271" s="21" t="str">
        <f>IFERROR(__xludf.DUMMYFUNCTION("""COMPUTED_VALUE"""),"Touch Controls, M+KB")</f>
        <v>Touch Controls, M+KB</v>
      </c>
      <c r="D271" s="21" t="str">
        <f>IFERROR(__xludf.DUMMYFUNCTION("""COMPUTED_VALUE"""),"Removed")</f>
        <v>Removed</v>
      </c>
      <c r="E271" s="279">
        <f>IFERROR(__xludf.DUMMYFUNCTION("""COMPUTED_VALUE"""),44826.0)</f>
        <v>44826</v>
      </c>
      <c r="F271" s="276">
        <f>IFERROR(__xludf.DUMMYFUNCTION("""COMPUTED_VALUE"""),45550.0)</f>
        <v>45550</v>
      </c>
      <c r="G271" s="27">
        <f>IFERROR(__xludf.DUMMYFUNCTION("""COMPUTED_VALUE"""),23.766666666666666)</f>
        <v>23.76666667</v>
      </c>
      <c r="H271" s="128">
        <f>IFERROR(__xludf.DUMMYFUNCTION("""COMPUTED_VALUE"""),44826.0)</f>
        <v>44826</v>
      </c>
      <c r="I271" s="27">
        <f>IFERROR(__xludf.DUMMYFUNCTION("""COMPUTED_VALUE"""),0.0)</f>
        <v>0</v>
      </c>
      <c r="J271" s="277">
        <f>IFERROR(__xludf.DUMMYFUNCTION("""COMPUTED_VALUE"""),76.0)</f>
        <v>76</v>
      </c>
      <c r="K271" s="29">
        <f>IFERROR(__xludf.DUMMYFUNCTION("""COMPUTED_VALUE"""),8.5)</f>
        <v>8.5</v>
      </c>
      <c r="L271" s="275" t="str">
        <f>IFERROR(__xludf.DUMMYFUNCTION("""COMPUTED_VALUE"""),"Shooter")</f>
        <v>Shooter</v>
      </c>
    </row>
    <row r="272" hidden="1">
      <c r="A272" s="278" t="str">
        <f>IFERROR(__xludf.DUMMYFUNCTION("""COMPUTED_VALUE"""),"SpiderHeck")</f>
        <v>SpiderHeck</v>
      </c>
      <c r="B272" s="20" t="str">
        <f>IFERROR(__xludf.DUMMYFUNCTION("""COMPUTED_VALUE"""),"Xbox / PC")</f>
        <v>Xbox / PC</v>
      </c>
      <c r="C272" s="20" t="str">
        <f>IFERROR(__xludf.DUMMYFUNCTION("""COMPUTED_VALUE"""),"Touch Controls")</f>
        <v>Touch Controls</v>
      </c>
      <c r="D272" s="21" t="str">
        <f>IFERROR(__xludf.DUMMYFUNCTION("""COMPUTED_VALUE"""),"Removed")</f>
        <v>Removed</v>
      </c>
      <c r="E272" s="279">
        <f>IFERROR(__xludf.DUMMYFUNCTION("""COMPUTED_VALUE"""),44826.0)</f>
        <v>44826</v>
      </c>
      <c r="F272" s="276">
        <f>IFERROR(__xludf.DUMMYFUNCTION("""COMPUTED_VALUE"""),45550.0)</f>
        <v>45550</v>
      </c>
      <c r="G272" s="27">
        <f>IFERROR(__xludf.DUMMYFUNCTION("""COMPUTED_VALUE"""),23.766666666666666)</f>
        <v>23.76666667</v>
      </c>
      <c r="H272" s="128">
        <f>IFERROR(__xludf.DUMMYFUNCTION("""COMPUTED_VALUE"""),44826.0)</f>
        <v>44826</v>
      </c>
      <c r="I272" s="27">
        <f>IFERROR(__xludf.DUMMYFUNCTION("""COMPUTED_VALUE"""),0.0)</f>
        <v>0</v>
      </c>
      <c r="J272" s="277">
        <f>IFERROR(__xludf.DUMMYFUNCTION("""COMPUTED_VALUE"""),83.0)</f>
        <v>83</v>
      </c>
      <c r="K272" s="29">
        <f>IFERROR(__xludf.DUMMYFUNCTION("""COMPUTED_VALUE"""),9.0)</f>
        <v>9</v>
      </c>
      <c r="L272" s="31" t="str">
        <f>IFERROR(__xludf.DUMMYFUNCTION("""COMPUTED_VALUE"""),"Party")</f>
        <v>Party</v>
      </c>
    </row>
    <row r="273" hidden="1">
      <c r="A273" s="278" t="str">
        <f>IFERROR(__xludf.DUMMYFUNCTION("""COMPUTED_VALUE"""),"You Suck at Parking")</f>
        <v>You Suck at Parking</v>
      </c>
      <c r="B273" s="20" t="str">
        <f>IFERROR(__xludf.DUMMYFUNCTION("""COMPUTED_VALUE"""),"Xbox / PC")</f>
        <v>Xbox / PC</v>
      </c>
      <c r="C273" s="21" t="str">
        <f>IFERROR(__xludf.DUMMYFUNCTION("""COMPUTED_VALUE"""),"Touch Controls")</f>
        <v>Touch Controls</v>
      </c>
      <c r="D273" s="21" t="str">
        <f>IFERROR(__xludf.DUMMYFUNCTION("""COMPUTED_VALUE"""),"Removed")</f>
        <v>Removed</v>
      </c>
      <c r="E273" s="279">
        <f>IFERROR(__xludf.DUMMYFUNCTION("""COMPUTED_VALUE"""),44818.0)</f>
        <v>44818</v>
      </c>
      <c r="F273" s="276">
        <f>IFERROR(__xludf.DUMMYFUNCTION("""COMPUTED_VALUE"""),45550.0)</f>
        <v>45550</v>
      </c>
      <c r="G273" s="27">
        <f>IFERROR(__xludf.DUMMYFUNCTION("""COMPUTED_VALUE"""),24.03333333333333)</f>
        <v>24.03333333</v>
      </c>
      <c r="H273" s="128">
        <f>IFERROR(__xludf.DUMMYFUNCTION("""COMPUTED_VALUE"""),44818.0)</f>
        <v>44818</v>
      </c>
      <c r="I273" s="27">
        <f>IFERROR(__xludf.DUMMYFUNCTION("""COMPUTED_VALUE"""),0.0)</f>
        <v>0</v>
      </c>
      <c r="J273" s="277">
        <f>IFERROR(__xludf.DUMMYFUNCTION("""COMPUTED_VALUE"""),77.0)</f>
        <v>77</v>
      </c>
      <c r="K273" s="29">
        <f>IFERROR(__xludf.DUMMYFUNCTION("""COMPUTED_VALUE"""),8.5)</f>
        <v>8.5</v>
      </c>
      <c r="L273" s="275" t="str">
        <f>IFERROR(__xludf.DUMMYFUNCTION("""COMPUTED_VALUE"""),"Racing")</f>
        <v>Racing</v>
      </c>
    </row>
    <row r="274" hidden="1">
      <c r="A274" s="17" t="str">
        <f>IFERROR(__xludf.DUMMYFUNCTION("""COMPUTED_VALUE"""),"Ashes of the Singularity: Escalation")</f>
        <v>Ashes of the Singularity: Escalation</v>
      </c>
      <c r="B274" s="20" t="str">
        <f>IFERROR(__xludf.DUMMYFUNCTION("""COMPUTED_VALUE"""),"PC")</f>
        <v>PC</v>
      </c>
      <c r="C274" s="21"/>
      <c r="D274" s="21" t="str">
        <f>IFERROR(__xludf.DUMMYFUNCTION("""COMPUTED_VALUE"""),"Removed")</f>
        <v>Removed</v>
      </c>
      <c r="E274" s="279">
        <f>IFERROR(__xludf.DUMMYFUNCTION("""COMPUTED_VALUE"""),44817.0)</f>
        <v>44817</v>
      </c>
      <c r="F274" s="276">
        <f>IFERROR(__xludf.DUMMYFUNCTION("""COMPUTED_VALUE"""),45550.0)</f>
        <v>45550</v>
      </c>
      <c r="G274" s="27">
        <f>IFERROR(__xludf.DUMMYFUNCTION("""COMPUTED_VALUE"""),24.066666666666666)</f>
        <v>24.06666667</v>
      </c>
      <c r="H274" s="128">
        <f>IFERROR(__xludf.DUMMYFUNCTION("""COMPUTED_VALUE"""),42684.0)</f>
        <v>42684</v>
      </c>
      <c r="I274" s="27">
        <f>IFERROR(__xludf.DUMMYFUNCTION("""COMPUTED_VALUE"""),5.841666666666667)</f>
        <v>5.841666667</v>
      </c>
      <c r="J274" s="277">
        <f>IFERROR(__xludf.DUMMYFUNCTION("""COMPUTED_VALUE"""),81.0)</f>
        <v>81</v>
      </c>
      <c r="K274" s="277">
        <f>IFERROR(__xludf.DUMMYFUNCTION("""COMPUTED_VALUE"""),16.0)</f>
        <v>16</v>
      </c>
      <c r="L274" s="275" t="str">
        <f>IFERROR(__xludf.DUMMYFUNCTION("""COMPUTED_VALUE"""),"Real-Time Strategy")</f>
        <v>Real-Time Strategy</v>
      </c>
    </row>
    <row r="275" hidden="1">
      <c r="A275" s="278" t="str">
        <f>IFERROR(__xludf.DUMMYFUNCTION("""COMPUTED_VALUE"""),"NBA 2K24")</f>
        <v>NBA 2K24</v>
      </c>
      <c r="B275" s="20" t="str">
        <f>IFERROR(__xludf.DUMMYFUNCTION("""COMPUTED_VALUE"""),"Xbox")</f>
        <v>Xbox</v>
      </c>
      <c r="C275" s="21" t="str">
        <f>IFERROR(__xludf.DUMMYFUNCTION("""COMPUTED_VALUE"""),"Yes")</f>
        <v>Yes</v>
      </c>
      <c r="D275" s="21" t="str">
        <f>IFERROR(__xludf.DUMMYFUNCTION("""COMPUTED_VALUE"""),"Removed")</f>
        <v>Removed</v>
      </c>
      <c r="E275" s="279">
        <f>IFERROR(__xludf.DUMMYFUNCTION("""COMPUTED_VALUE"""),45362.0)</f>
        <v>45362</v>
      </c>
      <c r="F275" s="279">
        <f>IFERROR(__xludf.DUMMYFUNCTION("""COMPUTED_VALUE"""),45535.0)</f>
        <v>45535</v>
      </c>
      <c r="G275" s="27">
        <f>IFERROR(__xludf.DUMMYFUNCTION("""COMPUTED_VALUE"""),5.633333333333333)</f>
        <v>5.633333333</v>
      </c>
      <c r="H275" s="128">
        <f>IFERROR(__xludf.DUMMYFUNCTION("""COMPUTED_VALUE"""),45177.0)</f>
        <v>45177</v>
      </c>
      <c r="I275" s="27">
        <f>IFERROR(__xludf.DUMMYFUNCTION("""COMPUTED_VALUE"""),0.5083333333333333)</f>
        <v>0.5083333333</v>
      </c>
      <c r="J275" s="277">
        <f>IFERROR(__xludf.DUMMYFUNCTION("""COMPUTED_VALUE"""),68.0)</f>
        <v>68</v>
      </c>
      <c r="K275" s="29">
        <f>IFERROR(__xludf.DUMMYFUNCTION("""COMPUTED_VALUE"""),24.0)</f>
        <v>24</v>
      </c>
      <c r="L275" s="275" t="str">
        <f>IFERROR(__xludf.DUMMYFUNCTION("""COMPUTED_VALUE"""),"Sports")</f>
        <v>Sports</v>
      </c>
    </row>
    <row r="276" hidden="1">
      <c r="A276" s="278" t="str">
        <f>IFERROR(__xludf.DUMMYFUNCTION("""COMPUTED_VALUE"""),"Guilty Gear -Strive-")</f>
        <v>Guilty Gear -Strive-</v>
      </c>
      <c r="B276" s="20" t="str">
        <f>IFERROR(__xludf.DUMMYFUNCTION("""COMPUTED_VALUE"""),"Xbox / PC")</f>
        <v>Xbox / PC</v>
      </c>
      <c r="C276" s="21" t="str">
        <f>IFERROR(__xludf.DUMMYFUNCTION("""COMPUTED_VALUE"""),"Yes")</f>
        <v>Yes</v>
      </c>
      <c r="D276" s="21" t="str">
        <f>IFERROR(__xludf.DUMMYFUNCTION("""COMPUTED_VALUE"""),"Removed")</f>
        <v>Removed</v>
      </c>
      <c r="E276" s="279">
        <f>IFERROR(__xludf.DUMMYFUNCTION("""COMPUTED_VALUE"""),44992.0)</f>
        <v>44992</v>
      </c>
      <c r="F276" s="279">
        <f>IFERROR(__xludf.DUMMYFUNCTION("""COMPUTED_VALUE"""),45535.0)</f>
        <v>45535</v>
      </c>
      <c r="G276" s="27">
        <f>IFERROR(__xludf.DUMMYFUNCTION("""COMPUTED_VALUE"""),17.766666666666666)</f>
        <v>17.76666667</v>
      </c>
      <c r="H276" s="128">
        <f>IFERROR(__xludf.DUMMYFUNCTION("""COMPUTED_VALUE"""),44358.0)</f>
        <v>44358</v>
      </c>
      <c r="I276" s="27">
        <f>IFERROR(__xludf.DUMMYFUNCTION("""COMPUTED_VALUE"""),1.738888888888889)</f>
        <v>1.738888889</v>
      </c>
      <c r="J276" s="29">
        <f>IFERROR(__xludf.DUMMYFUNCTION("""COMPUTED_VALUE"""),85.0)</f>
        <v>85</v>
      </c>
      <c r="K276" s="29">
        <f>IFERROR(__xludf.DUMMYFUNCTION("""COMPUTED_VALUE"""),5.0)</f>
        <v>5</v>
      </c>
      <c r="L276" s="275" t="str">
        <f>IFERROR(__xludf.DUMMYFUNCTION("""COMPUTED_VALUE"""),"Fighting")</f>
        <v>Fighting</v>
      </c>
    </row>
    <row r="277" hidden="1">
      <c r="A277" s="278" t="str">
        <f>IFERROR(__xludf.DUMMYFUNCTION("""COMPUTED_VALUE"""),"Atomic Heart")</f>
        <v>Atomic Heart</v>
      </c>
      <c r="B277" s="20" t="str">
        <f>IFERROR(__xludf.DUMMYFUNCTION("""COMPUTED_VALUE"""),"Xbox / PC")</f>
        <v>Xbox / PC</v>
      </c>
      <c r="C277" s="20" t="str">
        <f>IFERROR(__xludf.DUMMYFUNCTION("""COMPUTED_VALUE"""),"M+KB")</f>
        <v>M+KB</v>
      </c>
      <c r="D277" s="21" t="str">
        <f>IFERROR(__xludf.DUMMYFUNCTION("""COMPUTED_VALUE"""),"Removed")</f>
        <v>Removed</v>
      </c>
      <c r="E277" s="279">
        <f>IFERROR(__xludf.DUMMYFUNCTION("""COMPUTED_VALUE"""),44978.0)</f>
        <v>44978</v>
      </c>
      <c r="F277" s="24">
        <f>IFERROR(__xludf.DUMMYFUNCTION("""COMPUTED_VALUE"""),45535.0)</f>
        <v>45535</v>
      </c>
      <c r="G277" s="27">
        <f>IFERROR(__xludf.DUMMYFUNCTION("""COMPUTED_VALUE"""),18.299999999999997)</f>
        <v>18.3</v>
      </c>
      <c r="H277" s="128">
        <f>IFERROR(__xludf.DUMMYFUNCTION("""COMPUTED_VALUE"""),44978.0)</f>
        <v>44978</v>
      </c>
      <c r="I277" s="27">
        <f>IFERROR(__xludf.DUMMYFUNCTION("""COMPUTED_VALUE"""),0.0)</f>
        <v>0</v>
      </c>
      <c r="J277" s="277">
        <f>IFERROR(__xludf.DUMMYFUNCTION("""COMPUTED_VALUE"""),72.0)</f>
        <v>72</v>
      </c>
      <c r="K277" s="29">
        <f>IFERROR(__xludf.DUMMYFUNCTION("""COMPUTED_VALUE"""),16.0)</f>
        <v>16</v>
      </c>
      <c r="L277" s="275" t="str">
        <f>IFERROR(__xludf.DUMMYFUNCTION("""COMPUTED_VALUE"""),"Shooter")</f>
        <v>Shooter</v>
      </c>
    </row>
    <row r="278" hidden="1">
      <c r="A278" s="17" t="str">
        <f>IFERROR(__xludf.DUMMYFUNCTION("""COMPUTED_VALUE"""),"DOOM")</f>
        <v>DOOM</v>
      </c>
      <c r="B278" s="20" t="str">
        <f>IFERROR(__xludf.DUMMYFUNCTION("""COMPUTED_VALUE"""),"Xbox / PC")</f>
        <v>Xbox / PC</v>
      </c>
      <c r="C278" s="20" t="str">
        <f>IFERROR(__xludf.DUMMYFUNCTION("""COMPUTED_VALUE"""),"Yes")</f>
        <v>Yes</v>
      </c>
      <c r="D278" s="21" t="str">
        <f>IFERROR(__xludf.DUMMYFUNCTION("""COMPUTED_VALUE"""),"Removed")</f>
        <v>Removed</v>
      </c>
      <c r="E278" s="127">
        <f>IFERROR(__xludf.DUMMYFUNCTION("""COMPUTED_VALUE"""),44267.0)</f>
        <v>44267</v>
      </c>
      <c r="F278" s="24">
        <f>IFERROR(__xludf.DUMMYFUNCTION("""COMPUTED_VALUE"""),45524.0)</f>
        <v>45524</v>
      </c>
      <c r="G278" s="27">
        <f>IFERROR(__xludf.DUMMYFUNCTION("""COMPUTED_VALUE"""),41.266666666666666)</f>
        <v>41.26666667</v>
      </c>
      <c r="H278" s="128">
        <f>IFERROR(__xludf.DUMMYFUNCTION("""COMPUTED_VALUE"""),34313.0)</f>
        <v>34313</v>
      </c>
      <c r="I278" s="27">
        <f>IFERROR(__xludf.DUMMYFUNCTION("""COMPUTED_VALUE"""),27.255555555555556)</f>
        <v>27.25555556</v>
      </c>
      <c r="J278" s="29">
        <f>IFERROR(__xludf.DUMMYFUNCTION("""COMPUTED_VALUE"""),83.0)</f>
        <v>83</v>
      </c>
      <c r="K278" s="29">
        <f>IFERROR(__xludf.DUMMYFUNCTION("""COMPUTED_VALUE"""),4.5)</f>
        <v>4.5</v>
      </c>
      <c r="L278" s="31" t="str">
        <f>IFERROR(__xludf.DUMMYFUNCTION("""COMPUTED_VALUE"""),"Shooter")</f>
        <v>Shooter</v>
      </c>
    </row>
    <row r="279" hidden="1">
      <c r="A279" s="278" t="str">
        <f>IFERROR(__xludf.DUMMYFUNCTION("""COMPUTED_VALUE"""),"DOOM II: Hell on Earth")</f>
        <v>DOOM II: Hell on Earth</v>
      </c>
      <c r="B279" s="21" t="str">
        <f>IFERROR(__xludf.DUMMYFUNCTION("""COMPUTED_VALUE"""),"Xbox / PC")</f>
        <v>Xbox / PC</v>
      </c>
      <c r="C279" s="21" t="str">
        <f>IFERROR(__xludf.DUMMYFUNCTION("""COMPUTED_VALUE"""),"Yes")</f>
        <v>Yes</v>
      </c>
      <c r="D279" s="21" t="str">
        <f>IFERROR(__xludf.DUMMYFUNCTION("""COMPUTED_VALUE"""),"Removed")</f>
        <v>Removed</v>
      </c>
      <c r="E279" s="279">
        <f>IFERROR(__xludf.DUMMYFUNCTION("""COMPUTED_VALUE"""),44267.0)</f>
        <v>44267</v>
      </c>
      <c r="F279" s="276">
        <f>IFERROR(__xludf.DUMMYFUNCTION("""COMPUTED_VALUE"""),45524.0)</f>
        <v>45524</v>
      </c>
      <c r="G279" s="27">
        <f>IFERROR(__xludf.DUMMYFUNCTION("""COMPUTED_VALUE"""),41.266666666666666)</f>
        <v>41.26666667</v>
      </c>
      <c r="H279" s="128">
        <f>IFERROR(__xludf.DUMMYFUNCTION("""COMPUTED_VALUE"""),34607.0)</f>
        <v>34607</v>
      </c>
      <c r="I279" s="27">
        <f>IFERROR(__xludf.DUMMYFUNCTION("""COMPUTED_VALUE"""),26.45)</f>
        <v>26.45</v>
      </c>
      <c r="J279" s="277">
        <f>IFERROR(__xludf.DUMMYFUNCTION("""COMPUTED_VALUE"""),80.0)</f>
        <v>80</v>
      </c>
      <c r="K279" s="277">
        <f>IFERROR(__xludf.DUMMYFUNCTION("""COMPUTED_VALUE"""),7.0)</f>
        <v>7</v>
      </c>
      <c r="L279" s="275" t="str">
        <f>IFERROR(__xludf.DUMMYFUNCTION("""COMPUTED_VALUE"""),"Shooter")</f>
        <v>Shooter</v>
      </c>
    </row>
    <row r="280" hidden="1">
      <c r="A280" s="278" t="str">
        <f>IFERROR(__xludf.DUMMYFUNCTION("""COMPUTED_VALUE"""),"The Texas Chainsaw Massacre")</f>
        <v>The Texas Chainsaw Massacre</v>
      </c>
      <c r="B280" s="21" t="str">
        <f>IFERROR(__xludf.DUMMYFUNCTION("""COMPUTED_VALUE"""),"Xbox / PC")</f>
        <v>Xbox / PC</v>
      </c>
      <c r="C280" s="21" t="str">
        <f>IFERROR(__xludf.DUMMYFUNCTION("""COMPUTED_VALUE"""),"Yes")</f>
        <v>Yes</v>
      </c>
      <c r="D280" s="21" t="str">
        <f>IFERROR(__xludf.DUMMYFUNCTION("""COMPUTED_VALUE"""),"Removed")</f>
        <v>Removed</v>
      </c>
      <c r="E280" s="279">
        <f>IFERROR(__xludf.DUMMYFUNCTION("""COMPUTED_VALUE"""),45156.0)</f>
        <v>45156</v>
      </c>
      <c r="F280" s="276">
        <f>IFERROR(__xludf.DUMMYFUNCTION("""COMPUTED_VALUE"""),45519.0)</f>
        <v>45519</v>
      </c>
      <c r="G280" s="27">
        <f>IFERROR(__xludf.DUMMYFUNCTION("""COMPUTED_VALUE"""),11.9)</f>
        <v>11.9</v>
      </c>
      <c r="H280" s="128">
        <f>IFERROR(__xludf.DUMMYFUNCTION("""COMPUTED_VALUE"""),45156.0)</f>
        <v>45156</v>
      </c>
      <c r="I280" s="27">
        <f>IFERROR(__xludf.DUMMYFUNCTION("""COMPUTED_VALUE"""),0.0)</f>
        <v>0</v>
      </c>
      <c r="J280" s="277">
        <f>IFERROR(__xludf.DUMMYFUNCTION("""COMPUTED_VALUE"""),72.0)</f>
        <v>72</v>
      </c>
      <c r="K280" s="29">
        <f>IFERROR(__xludf.DUMMYFUNCTION("""COMPUTED_VALUE"""),2.0)</f>
        <v>2</v>
      </c>
      <c r="L280" s="275" t="str">
        <f>IFERROR(__xludf.DUMMYFUNCTION("""COMPUTED_VALUE"""),"Action")</f>
        <v>Action</v>
      </c>
    </row>
    <row r="281" hidden="1">
      <c r="A281" s="17" t="str">
        <f>IFERROR(__xludf.DUMMYFUNCTION("""COMPUTED_VALUE"""),"Airborne Kingdom")</f>
        <v>Airborne Kingdom</v>
      </c>
      <c r="B281" s="20" t="str">
        <f>IFERROR(__xludf.DUMMYFUNCTION("""COMPUTED_VALUE"""),"Xbox / PC")</f>
        <v>Xbox / PC</v>
      </c>
      <c r="C281" s="20" t="str">
        <f>IFERROR(__xludf.DUMMYFUNCTION("""COMPUTED_VALUE"""),"Yes")</f>
        <v>Yes</v>
      </c>
      <c r="D281" s="21" t="str">
        <f>IFERROR(__xludf.DUMMYFUNCTION("""COMPUTED_VALUE"""),"Removed")</f>
        <v>Removed</v>
      </c>
      <c r="E281" s="279">
        <f>IFERROR(__xludf.DUMMYFUNCTION("""COMPUTED_VALUE"""),45148.0)</f>
        <v>45148</v>
      </c>
      <c r="F281" s="276">
        <f>IFERROR(__xludf.DUMMYFUNCTION("""COMPUTED_VALUE"""),45519.0)</f>
        <v>45519</v>
      </c>
      <c r="G281" s="27">
        <f>IFERROR(__xludf.DUMMYFUNCTION("""COMPUTED_VALUE"""),12.166666666666666)</f>
        <v>12.16666667</v>
      </c>
      <c r="H281" s="128">
        <f>IFERROR(__xludf.DUMMYFUNCTION("""COMPUTED_VALUE"""),44182.0)</f>
        <v>44182</v>
      </c>
      <c r="I281" s="27">
        <f>IFERROR(__xludf.DUMMYFUNCTION("""COMPUTED_VALUE"""),2.647222222222222)</f>
        <v>2.647222222</v>
      </c>
      <c r="J281" s="277">
        <f>IFERROR(__xludf.DUMMYFUNCTION("""COMPUTED_VALUE"""),76.0)</f>
        <v>76</v>
      </c>
      <c r="K281" s="29">
        <f>IFERROR(__xludf.DUMMYFUNCTION("""COMPUTED_VALUE"""),8.0)</f>
        <v>8</v>
      </c>
      <c r="L281" s="275" t="str">
        <f>IFERROR(__xludf.DUMMYFUNCTION("""COMPUTED_VALUE"""),"Strategy")</f>
        <v>Strategy</v>
      </c>
    </row>
    <row r="282" hidden="1">
      <c r="A282" s="278" t="str">
        <f>IFERROR(__xludf.DUMMYFUNCTION("""COMPUTED_VALUE"""),"Shadow Warrior 3: Definitive Edition")</f>
        <v>Shadow Warrior 3: Definitive Edition</v>
      </c>
      <c r="B282" s="21" t="str">
        <f>IFERROR(__xludf.DUMMYFUNCTION("""COMPUTED_VALUE"""),"Xbox / PC")</f>
        <v>Xbox / PC</v>
      </c>
      <c r="C282" s="21" t="str">
        <f>IFERROR(__xludf.DUMMYFUNCTION("""COMPUTED_VALUE"""),"Yes")</f>
        <v>Yes</v>
      </c>
      <c r="D282" s="21" t="str">
        <f>IFERROR(__xludf.DUMMYFUNCTION("""COMPUTED_VALUE"""),"Removed")</f>
        <v>Removed</v>
      </c>
      <c r="E282" s="279">
        <f>IFERROR(__xludf.DUMMYFUNCTION("""COMPUTED_VALUE"""),44973.0)</f>
        <v>44973</v>
      </c>
      <c r="F282" s="276">
        <f>IFERROR(__xludf.DUMMYFUNCTION("""COMPUTED_VALUE"""),45519.0)</f>
        <v>45519</v>
      </c>
      <c r="G282" s="27">
        <f>IFERROR(__xludf.DUMMYFUNCTION("""COMPUTED_VALUE"""),17.96666666666667)</f>
        <v>17.96666667</v>
      </c>
      <c r="H282" s="128">
        <f>IFERROR(__xludf.DUMMYFUNCTION("""COMPUTED_VALUE"""),44621.0)</f>
        <v>44621</v>
      </c>
      <c r="I282" s="27">
        <f>IFERROR(__xludf.DUMMYFUNCTION("""COMPUTED_VALUE"""),0.9583333333333334)</f>
        <v>0.9583333333</v>
      </c>
      <c r="J282" s="277">
        <f>IFERROR(__xludf.DUMMYFUNCTION("""COMPUTED_VALUE"""),71.0)</f>
        <v>71</v>
      </c>
      <c r="K282" s="29">
        <f>IFERROR(__xludf.DUMMYFUNCTION("""COMPUTED_VALUE"""),6.0)</f>
        <v>6</v>
      </c>
      <c r="L282" s="275" t="str">
        <f>IFERROR(__xludf.DUMMYFUNCTION("""COMPUTED_VALUE"""),"Shooter")</f>
        <v>Shooter</v>
      </c>
    </row>
    <row r="283" hidden="1">
      <c r="A283" s="278" t="str">
        <f>IFERROR(__xludf.DUMMYFUNCTION("""COMPUTED_VALUE"""),"Offworld Trading Company")</f>
        <v>Offworld Trading Company</v>
      </c>
      <c r="B283" s="20" t="str">
        <f>IFERROR(__xludf.DUMMYFUNCTION("""COMPUTED_VALUE"""),"PC")</f>
        <v>PC</v>
      </c>
      <c r="C283" s="21"/>
      <c r="D283" s="21" t="str">
        <f>IFERROR(__xludf.DUMMYFUNCTION("""COMPUTED_VALUE"""),"Removed")</f>
        <v>Removed</v>
      </c>
      <c r="E283" s="279">
        <f>IFERROR(__xludf.DUMMYFUNCTION("""COMPUTED_VALUE"""),44784.0)</f>
        <v>44784</v>
      </c>
      <c r="F283" s="279">
        <f>IFERROR(__xludf.DUMMYFUNCTION("""COMPUTED_VALUE"""),45519.0)</f>
        <v>45519</v>
      </c>
      <c r="G283" s="27">
        <f>IFERROR(__xludf.DUMMYFUNCTION("""COMPUTED_VALUE"""),24.133333333333333)</f>
        <v>24.13333333</v>
      </c>
      <c r="H283" s="128">
        <f>IFERROR(__xludf.DUMMYFUNCTION("""COMPUTED_VALUE"""),42488.0)</f>
        <v>42488</v>
      </c>
      <c r="I283" s="27">
        <f>IFERROR(__xludf.DUMMYFUNCTION("""COMPUTED_VALUE"""),6.286111111111111)</f>
        <v>6.286111111</v>
      </c>
      <c r="J283" s="29">
        <f>IFERROR(__xludf.DUMMYFUNCTION("""COMPUTED_VALUE"""),78.0)</f>
        <v>78</v>
      </c>
      <c r="K283" s="29">
        <f>IFERROR(__xludf.DUMMYFUNCTION("""COMPUTED_VALUE"""),8.0)</f>
        <v>8</v>
      </c>
      <c r="L283" s="275" t="str">
        <f>IFERROR(__xludf.DUMMYFUNCTION("""COMPUTED_VALUE"""),"Real-Time Strategy")</f>
        <v>Real-Time Strategy</v>
      </c>
    </row>
    <row r="284" hidden="1">
      <c r="A284" s="278" t="str">
        <f>IFERROR(__xludf.DUMMYFUNCTION("""COMPUTED_VALUE"""),"Train Sim World 4")</f>
        <v>Train Sim World 4</v>
      </c>
      <c r="B284" s="20" t="str">
        <f>IFERROR(__xludf.DUMMYFUNCTION("""COMPUTED_VALUE"""),"Xbox / PC")</f>
        <v>Xbox / PC</v>
      </c>
      <c r="C284" s="21" t="str">
        <f>IFERROR(__xludf.DUMMYFUNCTION("""COMPUTED_VALUE"""),"Yes")</f>
        <v>Yes</v>
      </c>
      <c r="D284" s="21" t="str">
        <f>IFERROR(__xludf.DUMMYFUNCTION("""COMPUTED_VALUE"""),"Removed")</f>
        <v>Removed</v>
      </c>
      <c r="E284" s="279">
        <f>IFERROR(__xludf.DUMMYFUNCTION("""COMPUTED_VALUE"""),45329.0)</f>
        <v>45329</v>
      </c>
      <c r="F284" s="276">
        <f>IFERROR(__xludf.DUMMYFUNCTION("""COMPUTED_VALUE"""),45504.0)</f>
        <v>45504</v>
      </c>
      <c r="G284" s="27">
        <f>IFERROR(__xludf.DUMMYFUNCTION("""COMPUTED_VALUE"""),5.766666666666667)</f>
        <v>5.766666667</v>
      </c>
      <c r="H284" s="128">
        <f>IFERROR(__xludf.DUMMYFUNCTION("""COMPUTED_VALUE"""),45195.0)</f>
        <v>45195</v>
      </c>
      <c r="I284" s="27">
        <f>IFERROR(__xludf.DUMMYFUNCTION("""COMPUTED_VALUE"""),0.3638888888888889)</f>
        <v>0.3638888889</v>
      </c>
      <c r="J284" s="277">
        <f>IFERROR(__xludf.DUMMYFUNCTION("""COMPUTED_VALUE"""),80.0)</f>
        <v>80</v>
      </c>
      <c r="K284" s="29">
        <f>IFERROR(__xludf.DUMMYFUNCTION("""COMPUTED_VALUE"""),18.0)</f>
        <v>18</v>
      </c>
      <c r="L284" s="275" t="str">
        <f>IFERROR(__xludf.DUMMYFUNCTION("""COMPUTED_VALUE"""),"Simulation")</f>
        <v>Simulation</v>
      </c>
    </row>
    <row r="285" hidden="1">
      <c r="A285" s="278" t="str">
        <f>IFERROR(__xludf.DUMMYFUNCTION("""COMPUTED_VALUE"""),"A Short Hike")</f>
        <v>A Short Hike</v>
      </c>
      <c r="B285" s="20" t="str">
        <f>IFERROR(__xludf.DUMMYFUNCTION("""COMPUTED_VALUE"""),"Xbox / PC")</f>
        <v>Xbox / PC</v>
      </c>
      <c r="C285" s="21" t="str">
        <f>IFERROR(__xludf.DUMMYFUNCTION("""COMPUTED_VALUE"""),"Yes")</f>
        <v>Yes</v>
      </c>
      <c r="D285" s="21" t="str">
        <f>IFERROR(__xludf.DUMMYFUNCTION("""COMPUTED_VALUE"""),"Removed")</f>
        <v>Removed</v>
      </c>
      <c r="E285" s="279">
        <f>IFERROR(__xludf.DUMMYFUNCTION("""COMPUTED_VALUE"""),45141.0)</f>
        <v>45141</v>
      </c>
      <c r="F285" s="24">
        <f>IFERROR(__xludf.DUMMYFUNCTION("""COMPUTED_VALUE"""),45504.0)</f>
        <v>45504</v>
      </c>
      <c r="G285" s="27">
        <f>IFERROR(__xludf.DUMMYFUNCTION("""COMPUTED_VALUE"""),11.9)</f>
        <v>11.9</v>
      </c>
      <c r="H285" s="128">
        <f>IFERROR(__xludf.DUMMYFUNCTION("""COMPUTED_VALUE"""),43676.0)</f>
        <v>43676</v>
      </c>
      <c r="I285" s="27">
        <f>IFERROR(__xludf.DUMMYFUNCTION("""COMPUTED_VALUE"""),4.008333333333334)</f>
        <v>4.008333333</v>
      </c>
      <c r="J285" s="277">
        <f>IFERROR(__xludf.DUMMYFUNCTION("""COMPUTED_VALUE"""),82.0)</f>
        <v>82</v>
      </c>
      <c r="K285" s="277">
        <f>IFERROR(__xludf.DUMMYFUNCTION("""COMPUTED_VALUE"""),2.0)</f>
        <v>2</v>
      </c>
      <c r="L285" s="275" t="str">
        <f>IFERROR(__xludf.DUMMYFUNCTION("""COMPUTED_VALUE"""),"Action-Adventure")</f>
        <v>Action-Adventure</v>
      </c>
    </row>
    <row r="286" hidden="1">
      <c r="A286" s="278" t="str">
        <f>IFERROR(__xludf.DUMMYFUNCTION("""COMPUTED_VALUE"""),"Venba")</f>
        <v>Venba</v>
      </c>
      <c r="B286" s="20" t="str">
        <f>IFERROR(__xludf.DUMMYFUNCTION("""COMPUTED_VALUE"""),"Xbox / PC")</f>
        <v>Xbox / PC</v>
      </c>
      <c r="C286" s="20"/>
      <c r="D286" s="21" t="str">
        <f>IFERROR(__xludf.DUMMYFUNCTION("""COMPUTED_VALUE"""),"Removed")</f>
        <v>Removed</v>
      </c>
      <c r="E286" s="279">
        <f>IFERROR(__xludf.DUMMYFUNCTION("""COMPUTED_VALUE"""),45138.0)</f>
        <v>45138</v>
      </c>
      <c r="F286" s="276">
        <f>IFERROR(__xludf.DUMMYFUNCTION("""COMPUTED_VALUE"""),45504.0)</f>
        <v>45504</v>
      </c>
      <c r="G286" s="27">
        <f>IFERROR(__xludf.DUMMYFUNCTION("""COMPUTED_VALUE"""),12.0)</f>
        <v>12</v>
      </c>
      <c r="H286" s="128">
        <f>IFERROR(__xludf.DUMMYFUNCTION("""COMPUTED_VALUE"""),45138.0)</f>
        <v>45138</v>
      </c>
      <c r="I286" s="27">
        <f>IFERROR(__xludf.DUMMYFUNCTION("""COMPUTED_VALUE"""),0.0)</f>
        <v>0</v>
      </c>
      <c r="J286" s="277">
        <f>IFERROR(__xludf.DUMMYFUNCTION("""COMPUTED_VALUE"""),79.0)</f>
        <v>79</v>
      </c>
      <c r="K286" s="29">
        <f>IFERROR(__xludf.DUMMYFUNCTION("""COMPUTED_VALUE"""),2.0)</f>
        <v>2</v>
      </c>
      <c r="L286" s="31" t="str">
        <f>IFERROR(__xludf.DUMMYFUNCTION("""COMPUTED_VALUE"""),"Adventure")</f>
        <v>Adventure</v>
      </c>
    </row>
    <row r="287" hidden="1">
      <c r="A287" s="278" t="str">
        <f>IFERROR(__xludf.DUMMYFUNCTION("""COMPUTED_VALUE"""),"Figment 2: Creed Valley")</f>
        <v>Figment 2: Creed Valley</v>
      </c>
      <c r="B287" s="20" t="str">
        <f>IFERROR(__xludf.DUMMYFUNCTION("""COMPUTED_VALUE"""),"Xbox / PC")</f>
        <v>Xbox / PC</v>
      </c>
      <c r="C287" s="21" t="str">
        <f>IFERROR(__xludf.DUMMYFUNCTION("""COMPUTED_VALUE"""),"Yes")</f>
        <v>Yes</v>
      </c>
      <c r="D287" s="21" t="str">
        <f>IFERROR(__xludf.DUMMYFUNCTION("""COMPUTED_VALUE"""),"Removed")</f>
        <v>Removed</v>
      </c>
      <c r="E287" s="279">
        <f>IFERROR(__xludf.DUMMYFUNCTION("""COMPUTED_VALUE"""),45127.0)</f>
        <v>45127</v>
      </c>
      <c r="F287" s="276">
        <f>IFERROR(__xludf.DUMMYFUNCTION("""COMPUTED_VALUE"""),45488.0)</f>
        <v>45488</v>
      </c>
      <c r="G287" s="27">
        <f>IFERROR(__xludf.DUMMYFUNCTION("""COMPUTED_VALUE"""),11.833333333333334)</f>
        <v>11.83333333</v>
      </c>
      <c r="H287" s="128">
        <f>IFERROR(__xludf.DUMMYFUNCTION("""COMPUTED_VALUE"""),44994.0)</f>
        <v>44994</v>
      </c>
      <c r="I287" s="27">
        <f>IFERROR(__xludf.DUMMYFUNCTION("""COMPUTED_VALUE"""),0.3638888888888889)</f>
        <v>0.3638888889</v>
      </c>
      <c r="J287" s="277">
        <f>IFERROR(__xludf.DUMMYFUNCTION("""COMPUTED_VALUE"""),74.0)</f>
        <v>74</v>
      </c>
      <c r="K287" s="29">
        <f>IFERROR(__xludf.DUMMYFUNCTION("""COMPUTED_VALUE"""),4.0)</f>
        <v>4</v>
      </c>
      <c r="L287" s="275" t="str">
        <f>IFERROR(__xludf.DUMMYFUNCTION("""COMPUTED_VALUE"""),"Action-Adventure")</f>
        <v>Action-Adventure</v>
      </c>
    </row>
    <row r="288" hidden="1">
      <c r="A288" s="278" t="str">
        <f>IFERROR(__xludf.DUMMYFUNCTION("""COMPUTED_VALUE"""),"The Wandering Village")</f>
        <v>The Wandering Village</v>
      </c>
      <c r="B288" s="20" t="str">
        <f>IFERROR(__xludf.DUMMYFUNCTION("""COMPUTED_VALUE"""),"Xbox / PC")</f>
        <v>Xbox / PC</v>
      </c>
      <c r="C288" s="21" t="str">
        <f>IFERROR(__xludf.DUMMYFUNCTION("""COMPUTED_VALUE"""),"Yes")</f>
        <v>Yes</v>
      </c>
      <c r="D288" s="21" t="str">
        <f>IFERROR(__xludf.DUMMYFUNCTION("""COMPUTED_VALUE"""),"Removed")</f>
        <v>Removed</v>
      </c>
      <c r="E288" s="279">
        <f>IFERROR(__xludf.DUMMYFUNCTION("""COMPUTED_VALUE"""),45127.0)</f>
        <v>45127</v>
      </c>
      <c r="F288" s="276">
        <f>IFERROR(__xludf.DUMMYFUNCTION("""COMPUTED_VALUE"""),45488.0)</f>
        <v>45488</v>
      </c>
      <c r="G288" s="27">
        <f>IFERROR(__xludf.DUMMYFUNCTION("""COMPUTED_VALUE"""),11.833333333333334)</f>
        <v>11.83333333</v>
      </c>
      <c r="H288" s="128">
        <f>IFERROR(__xludf.DUMMYFUNCTION("""COMPUTED_VALUE"""),44818.0)</f>
        <v>44818</v>
      </c>
      <c r="I288" s="27">
        <f>IFERROR(__xludf.DUMMYFUNCTION("""COMPUTED_VALUE"""),0.85)</f>
        <v>0.85</v>
      </c>
      <c r="J288" s="277">
        <f>IFERROR(__xludf.DUMMYFUNCTION("""COMPUTED_VALUE"""),75.0)</f>
        <v>75</v>
      </c>
      <c r="K288" s="29">
        <f>IFERROR(__xludf.DUMMYFUNCTION("""COMPUTED_VALUE"""),14.0)</f>
        <v>14</v>
      </c>
      <c r="L288" s="275" t="str">
        <f>IFERROR(__xludf.DUMMYFUNCTION("""COMPUTED_VALUE"""),"Simulation")</f>
        <v>Simulation</v>
      </c>
    </row>
    <row r="289" hidden="1">
      <c r="A289" s="278" t="str">
        <f>IFERROR(__xludf.DUMMYFUNCTION("""COMPUTED_VALUE"""),"TOEM")</f>
        <v>TOEM</v>
      </c>
      <c r="B289" s="20" t="str">
        <f>IFERROR(__xludf.DUMMYFUNCTION("""COMPUTED_VALUE"""),"Xbox / PC")</f>
        <v>Xbox / PC</v>
      </c>
      <c r="C289" s="21" t="str">
        <f>IFERROR(__xludf.DUMMYFUNCTION("""COMPUTED_VALUE"""),"Yes")</f>
        <v>Yes</v>
      </c>
      <c r="D289" s="21" t="str">
        <f>IFERROR(__xludf.DUMMYFUNCTION("""COMPUTED_VALUE"""),"Removed")</f>
        <v>Removed</v>
      </c>
      <c r="E289" s="279">
        <f>IFERROR(__xludf.DUMMYFUNCTION("""COMPUTED_VALUE"""),45125.0)</f>
        <v>45125</v>
      </c>
      <c r="F289" s="276">
        <f>IFERROR(__xludf.DUMMYFUNCTION("""COMPUTED_VALUE"""),45488.0)</f>
        <v>45488</v>
      </c>
      <c r="G289" s="27">
        <f>IFERROR(__xludf.DUMMYFUNCTION("""COMPUTED_VALUE"""),11.9)</f>
        <v>11.9</v>
      </c>
      <c r="H289" s="128">
        <f>IFERROR(__xludf.DUMMYFUNCTION("""COMPUTED_VALUE"""),44456.0)</f>
        <v>44456</v>
      </c>
      <c r="I289" s="27">
        <f>IFERROR(__xludf.DUMMYFUNCTION("""COMPUTED_VALUE"""),1.836111111111111)</f>
        <v>1.836111111</v>
      </c>
      <c r="J289" s="277">
        <f>IFERROR(__xludf.DUMMYFUNCTION("""COMPUTED_VALUE"""),79.0)</f>
        <v>79</v>
      </c>
      <c r="K289" s="29">
        <f>IFERROR(__xludf.DUMMYFUNCTION("""COMPUTED_VALUE"""),4.0)</f>
        <v>4</v>
      </c>
      <c r="L289" s="275" t="str">
        <f>IFERROR(__xludf.DUMMYFUNCTION("""COMPUTED_VALUE"""),"Adventure")</f>
        <v>Adventure</v>
      </c>
    </row>
    <row r="290" hidden="1">
      <c r="A290" s="17" t="str">
        <f>IFERROR(__xludf.DUMMYFUNCTION("""COMPUTED_VALUE"""),"Coffee Talk Episode 2: Hibiscus &amp; Butterfly")</f>
        <v>Coffee Talk Episode 2: Hibiscus &amp; Butterfly</v>
      </c>
      <c r="B290" s="20" t="str">
        <f>IFERROR(__xludf.DUMMYFUNCTION("""COMPUTED_VALUE"""),"Xbox / PC")</f>
        <v>Xbox / PC</v>
      </c>
      <c r="C290" s="20" t="str">
        <f>IFERROR(__xludf.DUMMYFUNCTION("""COMPUTED_VALUE"""),"Yes")</f>
        <v>Yes</v>
      </c>
      <c r="D290" s="21" t="str">
        <f>IFERROR(__xludf.DUMMYFUNCTION("""COMPUTED_VALUE"""),"Removed")</f>
        <v>Removed</v>
      </c>
      <c r="E290" s="127">
        <f>IFERROR(__xludf.DUMMYFUNCTION("""COMPUTED_VALUE"""),45036.0)</f>
        <v>45036</v>
      </c>
      <c r="F290" s="24">
        <f>IFERROR(__xludf.DUMMYFUNCTION("""COMPUTED_VALUE"""),45488.0)</f>
        <v>45488</v>
      </c>
      <c r="G290" s="27">
        <f>IFERROR(__xludf.DUMMYFUNCTION("""COMPUTED_VALUE"""),14.833333333333334)</f>
        <v>14.83333333</v>
      </c>
      <c r="H290" s="128">
        <f>IFERROR(__xludf.DUMMYFUNCTION("""COMPUTED_VALUE"""),45036.0)</f>
        <v>45036</v>
      </c>
      <c r="I290" s="27">
        <f>IFERROR(__xludf.DUMMYFUNCTION("""COMPUTED_VALUE"""),0.0)</f>
        <v>0</v>
      </c>
      <c r="J290" s="29">
        <f>IFERROR(__xludf.DUMMYFUNCTION("""COMPUTED_VALUE"""),78.0)</f>
        <v>78</v>
      </c>
      <c r="K290" s="29">
        <f>IFERROR(__xludf.DUMMYFUNCTION("""COMPUTED_VALUE"""),7.0)</f>
        <v>7</v>
      </c>
      <c r="L290" s="31" t="str">
        <f>IFERROR(__xludf.DUMMYFUNCTION("""COMPUTED_VALUE"""),"Adventure")</f>
        <v>Adventure</v>
      </c>
    </row>
    <row r="291" hidden="1">
      <c r="A291" s="278" t="str">
        <f>IFERROR(__xludf.DUMMYFUNCTION("""COMPUTED_VALUE"""),"Sins of a Solar Empire: Rebellion")</f>
        <v>Sins of a Solar Empire: Rebellion</v>
      </c>
      <c r="B291" s="20" t="str">
        <f>IFERROR(__xludf.DUMMYFUNCTION("""COMPUTED_VALUE"""),"PC")</f>
        <v>PC</v>
      </c>
      <c r="C291" s="21"/>
      <c r="D291" s="21" t="str">
        <f>IFERROR(__xludf.DUMMYFUNCTION("""COMPUTED_VALUE"""),"Removed")</f>
        <v>Removed</v>
      </c>
      <c r="E291" s="279">
        <f>IFERROR(__xludf.DUMMYFUNCTION("""COMPUTED_VALUE"""),44763.0)</f>
        <v>44763</v>
      </c>
      <c r="F291" s="276">
        <f>IFERROR(__xludf.DUMMYFUNCTION("""COMPUTED_VALUE"""),45488.0)</f>
        <v>45488</v>
      </c>
      <c r="G291" s="27">
        <f>IFERROR(__xludf.DUMMYFUNCTION("""COMPUTED_VALUE"""),23.8)</f>
        <v>23.8</v>
      </c>
      <c r="H291" s="128">
        <f>IFERROR(__xludf.DUMMYFUNCTION("""COMPUTED_VALUE"""),41430.0)</f>
        <v>41430</v>
      </c>
      <c r="I291" s="27">
        <f>IFERROR(__xludf.DUMMYFUNCTION("""COMPUTED_VALUE"""),9.127777777777778)</f>
        <v>9.127777778</v>
      </c>
      <c r="J291" s="277">
        <f>IFERROR(__xludf.DUMMYFUNCTION("""COMPUTED_VALUE"""),82.0)</f>
        <v>82</v>
      </c>
      <c r="K291" s="277">
        <f>IFERROR(__xludf.DUMMYFUNCTION("""COMPUTED_VALUE"""),10.0)</f>
        <v>10</v>
      </c>
      <c r="L291" s="275" t="str">
        <f>IFERROR(__xludf.DUMMYFUNCTION("""COMPUTED_VALUE"""),"Real-Time Strategy")</f>
        <v>Real-Time Strategy</v>
      </c>
    </row>
    <row r="292" hidden="1">
      <c r="A292" s="17" t="str">
        <f>IFERROR(__xludf.DUMMYFUNCTION("""COMPUTED_VALUE"""),"Cricket 22")</f>
        <v>Cricket 22</v>
      </c>
      <c r="B292" s="20" t="str">
        <f>IFERROR(__xludf.DUMMYFUNCTION("""COMPUTED_VALUE"""),"Xbox / PC")</f>
        <v>Xbox / PC</v>
      </c>
      <c r="C292" s="21" t="str">
        <f>IFERROR(__xludf.DUMMYFUNCTION("""COMPUTED_VALUE"""),"Yes")</f>
        <v>Yes</v>
      </c>
      <c r="D292" s="21" t="str">
        <f>IFERROR(__xludf.DUMMYFUNCTION("""COMPUTED_VALUE"""),"Removed")</f>
        <v>Removed</v>
      </c>
      <c r="E292" s="23">
        <f>IFERROR(__xludf.DUMMYFUNCTION("""COMPUTED_VALUE"""),44656.0)</f>
        <v>44656</v>
      </c>
      <c r="F292" s="276">
        <f>IFERROR(__xludf.DUMMYFUNCTION("""COMPUTED_VALUE"""),45478.0)</f>
        <v>45478</v>
      </c>
      <c r="G292" s="27">
        <f>IFERROR(__xludf.DUMMYFUNCTION("""COMPUTED_VALUE"""),27.0)</f>
        <v>27</v>
      </c>
      <c r="H292" s="128">
        <f>IFERROR(__xludf.DUMMYFUNCTION("""COMPUTED_VALUE"""),44532.0)</f>
        <v>44532</v>
      </c>
      <c r="I292" s="27">
        <f>IFERROR(__xludf.DUMMYFUNCTION("""COMPUTED_VALUE"""),0.3416666666666667)</f>
        <v>0.3416666667</v>
      </c>
      <c r="J292" s="277">
        <f>IFERROR(__xludf.DUMMYFUNCTION("""COMPUTED_VALUE"""),61.0)</f>
        <v>61</v>
      </c>
      <c r="K292" s="277">
        <f>IFERROR(__xludf.DUMMYFUNCTION("""COMPUTED_VALUE"""),22.0)</f>
        <v>22</v>
      </c>
      <c r="L292" s="275" t="str">
        <f>IFERROR(__xludf.DUMMYFUNCTION("""COMPUTED_VALUE"""),"Sports")</f>
        <v>Sports</v>
      </c>
    </row>
    <row r="293" hidden="1">
      <c r="A293" s="278" t="str">
        <f>IFERROR(__xludf.DUMMYFUNCTION("""COMPUTED_VALUE"""),"Sword and Fairy: Together Forever")</f>
        <v>Sword and Fairy: Together Forever</v>
      </c>
      <c r="B293" s="21" t="str">
        <f>IFERROR(__xludf.DUMMYFUNCTION("""COMPUTED_VALUE"""),"Xbox / PC")</f>
        <v>Xbox / PC</v>
      </c>
      <c r="C293" s="21" t="str">
        <f>IFERROR(__xludf.DUMMYFUNCTION("""COMPUTED_VALUE"""),"Yes")</f>
        <v>Yes</v>
      </c>
      <c r="D293" s="21" t="str">
        <f>IFERROR(__xludf.DUMMYFUNCTION("""COMPUTED_VALUE"""),"Removed")</f>
        <v>Removed</v>
      </c>
      <c r="E293" s="279">
        <f>IFERROR(__xludf.DUMMYFUNCTION("""COMPUTED_VALUE"""),45113.0)</f>
        <v>45113</v>
      </c>
      <c r="F293" s="276">
        <f>IFERROR(__xludf.DUMMYFUNCTION("""COMPUTED_VALUE"""),45473.0)</f>
        <v>45473</v>
      </c>
      <c r="G293" s="27">
        <f>IFERROR(__xludf.DUMMYFUNCTION("""COMPUTED_VALUE"""),11.799999999999999)</f>
        <v>11.8</v>
      </c>
      <c r="H293" s="128">
        <f>IFERROR(__xludf.DUMMYFUNCTION("""COMPUTED_VALUE"""),44490.0)</f>
        <v>44490</v>
      </c>
      <c r="I293" s="27">
        <f>IFERROR(__xludf.DUMMYFUNCTION("""COMPUTED_VALUE"""),1.7083333333333333)</f>
        <v>1.708333333</v>
      </c>
      <c r="J293" s="277">
        <f>IFERROR(__xludf.DUMMYFUNCTION("""COMPUTED_VALUE"""),73.0)</f>
        <v>73</v>
      </c>
      <c r="K293" s="29">
        <f>IFERROR(__xludf.DUMMYFUNCTION("""COMPUTED_VALUE"""),24.0)</f>
        <v>24</v>
      </c>
      <c r="L293" s="275" t="str">
        <f>IFERROR(__xludf.DUMMYFUNCTION("""COMPUTED_VALUE"""),"RPG")</f>
        <v>RPG</v>
      </c>
    </row>
    <row r="294" hidden="1">
      <c r="A294" s="278" t="str">
        <f>IFERROR(__xludf.DUMMYFUNCTION("""COMPUTED_VALUE"""),"Story of Seasons: Friends of Mineral Town")</f>
        <v>Story of Seasons: Friends of Mineral Town</v>
      </c>
      <c r="B294" s="20" t="str">
        <f>IFERROR(__xludf.DUMMYFUNCTION("""COMPUTED_VALUE"""),"Xbox / PC")</f>
        <v>Xbox / PC</v>
      </c>
      <c r="C294" s="21"/>
      <c r="D294" s="21" t="str">
        <f>IFERROR(__xludf.DUMMYFUNCTION("""COMPUTED_VALUE"""),"Removed")</f>
        <v>Removed</v>
      </c>
      <c r="E294" s="279">
        <f>IFERROR(__xludf.DUMMYFUNCTION("""COMPUTED_VALUE"""),45106.0)</f>
        <v>45106</v>
      </c>
      <c r="F294" s="276">
        <f>IFERROR(__xludf.DUMMYFUNCTION("""COMPUTED_VALUE"""),45473.0)</f>
        <v>45473</v>
      </c>
      <c r="G294" s="27">
        <f>IFERROR(__xludf.DUMMYFUNCTION("""COMPUTED_VALUE"""),12.033333333333333)</f>
        <v>12.03333333</v>
      </c>
      <c r="H294" s="128">
        <f>IFERROR(__xludf.DUMMYFUNCTION("""COMPUTED_VALUE"""),43755.0)</f>
        <v>43755</v>
      </c>
      <c r="I294" s="27">
        <f>IFERROR(__xludf.DUMMYFUNCTION("""COMPUTED_VALUE"""),3.7)</f>
        <v>3.7</v>
      </c>
      <c r="J294" s="277">
        <f>IFERROR(__xludf.DUMMYFUNCTION("""COMPUTED_VALUE"""),72.0)</f>
        <v>72</v>
      </c>
      <c r="K294" s="277">
        <f>IFERROR(__xludf.DUMMYFUNCTION("""COMPUTED_VALUE"""),30.0)</f>
        <v>30</v>
      </c>
      <c r="L294" s="275" t="str">
        <f>IFERROR(__xludf.DUMMYFUNCTION("""COMPUTED_VALUE"""),"Simulation")</f>
        <v>Simulation</v>
      </c>
    </row>
    <row r="295" hidden="1">
      <c r="A295" s="278" t="str">
        <f>IFERROR(__xludf.DUMMYFUNCTION("""COMPUTED_VALUE"""),"F.I.S.T.: Forged In Shadow Torch")</f>
        <v>F.I.S.T.: Forged In Shadow Torch</v>
      </c>
      <c r="B295" s="21" t="str">
        <f>IFERROR(__xludf.DUMMYFUNCTION("""COMPUTED_VALUE"""),"Xbox / PC")</f>
        <v>Xbox / PC</v>
      </c>
      <c r="C295" s="21" t="str">
        <f>IFERROR(__xludf.DUMMYFUNCTION("""COMPUTED_VALUE"""),"Yes")</f>
        <v>Yes</v>
      </c>
      <c r="D295" s="21" t="str">
        <f>IFERROR(__xludf.DUMMYFUNCTION("""COMPUTED_VALUE"""),"Removed")</f>
        <v>Removed</v>
      </c>
      <c r="E295" s="279">
        <f>IFERROR(__xludf.DUMMYFUNCTION("""COMPUTED_VALUE"""),45104.0)</f>
        <v>45104</v>
      </c>
      <c r="F295" s="276">
        <f>IFERROR(__xludf.DUMMYFUNCTION("""COMPUTED_VALUE"""),45473.0)</f>
        <v>45473</v>
      </c>
      <c r="G295" s="27">
        <f>IFERROR(__xludf.DUMMYFUNCTION("""COMPUTED_VALUE"""),12.1)</f>
        <v>12.1</v>
      </c>
      <c r="H295" s="128">
        <f>IFERROR(__xludf.DUMMYFUNCTION("""COMPUTED_VALUE"""),44446.0)</f>
        <v>44446</v>
      </c>
      <c r="I295" s="27">
        <f>IFERROR(__xludf.DUMMYFUNCTION("""COMPUTED_VALUE"""),1.8055555555555556)</f>
        <v>1.805555556</v>
      </c>
      <c r="J295" s="277">
        <f>IFERROR(__xludf.DUMMYFUNCTION("""COMPUTED_VALUE"""),81.0)</f>
        <v>81</v>
      </c>
      <c r="K295" s="29">
        <f>IFERROR(__xludf.DUMMYFUNCTION("""COMPUTED_VALUE"""),12.0)</f>
        <v>12</v>
      </c>
      <c r="L295" s="275" t="str">
        <f>IFERROR(__xludf.DUMMYFUNCTION("""COMPUTED_VALUE"""),"Platformer")</f>
        <v>Platformer</v>
      </c>
    </row>
    <row r="296" hidden="1">
      <c r="A296" s="278" t="str">
        <f>IFERROR(__xludf.DUMMYFUNCTION("""COMPUTED_VALUE"""),"Stranded Deep")</f>
        <v>Stranded Deep</v>
      </c>
      <c r="B296" s="21" t="str">
        <f>IFERROR(__xludf.DUMMYFUNCTION("""COMPUTED_VALUE"""),"Xbox / PC")</f>
        <v>Xbox / PC</v>
      </c>
      <c r="C296" s="21" t="str">
        <f>IFERROR(__xludf.DUMMYFUNCTION("""COMPUTED_VALUE"""),"Yes")</f>
        <v>Yes</v>
      </c>
      <c r="D296" s="21" t="str">
        <f>IFERROR(__xludf.DUMMYFUNCTION("""COMPUTED_VALUE"""),"Removed")</f>
        <v>Removed</v>
      </c>
      <c r="E296" s="279">
        <f>IFERROR(__xludf.DUMMYFUNCTION("""COMPUTED_VALUE"""),44929.0)</f>
        <v>44929</v>
      </c>
      <c r="F296" s="276">
        <f>IFERROR(__xludf.DUMMYFUNCTION("""COMPUTED_VALUE"""),45473.0)</f>
        <v>45473</v>
      </c>
      <c r="G296" s="27">
        <f>IFERROR(__xludf.DUMMYFUNCTION("""COMPUTED_VALUE"""),17.9)</f>
        <v>17.9</v>
      </c>
      <c r="H296" s="128">
        <f>IFERROR(__xludf.DUMMYFUNCTION("""COMPUTED_VALUE"""),42027.0)</f>
        <v>42027</v>
      </c>
      <c r="I296" s="27">
        <f>IFERROR(__xludf.DUMMYFUNCTION("""COMPUTED_VALUE"""),7.944444444444445)</f>
        <v>7.944444444</v>
      </c>
      <c r="J296" s="277">
        <f>IFERROR(__xludf.DUMMYFUNCTION("""COMPUTED_VALUE"""),75.0)</f>
        <v>75</v>
      </c>
      <c r="K296" s="29">
        <f>IFERROR(__xludf.DUMMYFUNCTION("""COMPUTED_VALUE"""),18.0)</f>
        <v>18</v>
      </c>
      <c r="L296" s="275" t="str">
        <f>IFERROR(__xludf.DUMMYFUNCTION("""COMPUTED_VALUE"""),"Adventure")</f>
        <v>Adventure</v>
      </c>
    </row>
    <row r="297" hidden="1">
      <c r="A297" s="17" t="str">
        <f>IFERROR(__xludf.DUMMYFUNCTION("""COMPUTED_VALUE"""),"FIFA 22")</f>
        <v>FIFA 22</v>
      </c>
      <c r="B297" s="20" t="str">
        <f>IFERROR(__xludf.DUMMYFUNCTION("""COMPUTED_VALUE"""),"Xbox / PC")</f>
        <v>Xbox / PC</v>
      </c>
      <c r="C297" s="20"/>
      <c r="D297" s="21" t="str">
        <f>IFERROR(__xludf.DUMMYFUNCTION("""COMPUTED_VALUE"""),"Removed")</f>
        <v>Removed</v>
      </c>
      <c r="E297" s="128">
        <f>IFERROR(__xludf.DUMMYFUNCTION("""COMPUTED_VALUE"""),44735.0)</f>
        <v>44735</v>
      </c>
      <c r="F297" s="24">
        <f>IFERROR(__xludf.DUMMYFUNCTION("""COMPUTED_VALUE"""),45473.0)</f>
        <v>45473</v>
      </c>
      <c r="G297" s="27">
        <f>IFERROR(__xludf.DUMMYFUNCTION("""COMPUTED_VALUE"""),24.233333333333334)</f>
        <v>24.23333333</v>
      </c>
      <c r="H297" s="128">
        <f>IFERROR(__xludf.DUMMYFUNCTION("""COMPUTED_VALUE"""),44470.0)</f>
        <v>44470</v>
      </c>
      <c r="I297" s="27">
        <f>IFERROR(__xludf.DUMMYFUNCTION("""COMPUTED_VALUE"""),0.7277777777777777)</f>
        <v>0.7277777778</v>
      </c>
      <c r="J297" s="29">
        <f>IFERROR(__xludf.DUMMYFUNCTION("""COMPUTED_VALUE"""),75.5)</f>
        <v>75.5</v>
      </c>
      <c r="K297" s="29">
        <f>IFERROR(__xludf.DUMMYFUNCTION("""COMPUTED_VALUE"""),94.5)</f>
        <v>94.5</v>
      </c>
      <c r="L297" s="31" t="str">
        <f>IFERROR(__xludf.DUMMYFUNCTION("""COMPUTED_VALUE"""),"Sports")</f>
        <v>Sports</v>
      </c>
    </row>
    <row r="298" hidden="1">
      <c r="A298" s="17" t="str">
        <f>IFERROR(__xludf.DUMMYFUNCTION("""COMPUTED_VALUE"""),"Bramble: The Mountain King")</f>
        <v>Bramble: The Mountain King</v>
      </c>
      <c r="B298" s="20" t="str">
        <f>IFERROR(__xludf.DUMMYFUNCTION("""COMPUTED_VALUE"""),"Xbox / PC")</f>
        <v>Xbox / PC</v>
      </c>
      <c r="C298" s="20" t="str">
        <f>IFERROR(__xludf.DUMMYFUNCTION("""COMPUTED_VALUE"""),"Yes")</f>
        <v>Yes</v>
      </c>
      <c r="D298" s="21" t="str">
        <f>IFERROR(__xludf.DUMMYFUNCTION("""COMPUTED_VALUE"""),"Removed")</f>
        <v>Removed</v>
      </c>
      <c r="E298" s="128">
        <f>IFERROR(__xludf.DUMMYFUNCTION("""COMPUTED_VALUE"""),45104.0)</f>
        <v>45104</v>
      </c>
      <c r="F298" s="24">
        <f>IFERROR(__xludf.DUMMYFUNCTION("""COMPUTED_VALUE"""),45458.0)</f>
        <v>45458</v>
      </c>
      <c r="G298" s="27">
        <f>IFERROR(__xludf.DUMMYFUNCTION("""COMPUTED_VALUE"""),11.6)</f>
        <v>11.6</v>
      </c>
      <c r="H298" s="128">
        <f>IFERROR(__xludf.DUMMYFUNCTION("""COMPUTED_VALUE"""),45043.0)</f>
        <v>45043</v>
      </c>
      <c r="I298" s="27">
        <f>IFERROR(__xludf.DUMMYFUNCTION("""COMPUTED_VALUE"""),0.16666666666666666)</f>
        <v>0.1666666667</v>
      </c>
      <c r="J298" s="29">
        <f>IFERROR(__xludf.DUMMYFUNCTION("""COMPUTED_VALUE"""),80.0)</f>
        <v>80</v>
      </c>
      <c r="K298" s="29">
        <f>IFERROR(__xludf.DUMMYFUNCTION("""COMPUTED_VALUE"""),5.0)</f>
        <v>5</v>
      </c>
      <c r="L298" s="31" t="str">
        <f>IFERROR(__xludf.DUMMYFUNCTION("""COMPUTED_VALUE"""),"Platformer")</f>
        <v>Platformer</v>
      </c>
    </row>
    <row r="299" hidden="1">
      <c r="A299" s="17" t="str">
        <f>IFERROR(__xludf.DUMMYFUNCTION("""COMPUTED_VALUE"""),"The Bookwalker: Thief of Tales")</f>
        <v>The Bookwalker: Thief of Tales</v>
      </c>
      <c r="B299" s="20" t="str">
        <f>IFERROR(__xludf.DUMMYFUNCTION("""COMPUTED_VALUE"""),"Xbox / PC")</f>
        <v>Xbox / PC</v>
      </c>
      <c r="C299" s="20"/>
      <c r="D299" s="21" t="str">
        <f>IFERROR(__xludf.DUMMYFUNCTION("""COMPUTED_VALUE"""),"Removed")</f>
        <v>Removed</v>
      </c>
      <c r="E299" s="128">
        <f>IFERROR(__xludf.DUMMYFUNCTION("""COMPUTED_VALUE"""),45099.0)</f>
        <v>45099</v>
      </c>
      <c r="F299" s="24">
        <f>IFERROR(__xludf.DUMMYFUNCTION("""COMPUTED_VALUE"""),45458.0)</f>
        <v>45458</v>
      </c>
      <c r="G299" s="27">
        <f>IFERROR(__xludf.DUMMYFUNCTION("""COMPUTED_VALUE"""),11.766666666666666)</f>
        <v>11.76666667</v>
      </c>
      <c r="H299" s="128">
        <f>IFERROR(__xludf.DUMMYFUNCTION("""COMPUTED_VALUE"""),45099.0)</f>
        <v>45099</v>
      </c>
      <c r="I299" s="27">
        <f>IFERROR(__xludf.DUMMYFUNCTION("""COMPUTED_VALUE"""),0.0)</f>
        <v>0</v>
      </c>
      <c r="J299" s="29">
        <f>IFERROR(__xludf.DUMMYFUNCTION("""COMPUTED_VALUE"""),75.0)</f>
        <v>75</v>
      </c>
      <c r="K299" s="29">
        <f>IFERROR(__xludf.DUMMYFUNCTION("""COMPUTED_VALUE"""),6.0)</f>
        <v>6</v>
      </c>
      <c r="L299" s="31" t="str">
        <f>IFERROR(__xludf.DUMMYFUNCTION("""COMPUTED_VALUE"""),"Adventure")</f>
        <v>Adventure</v>
      </c>
    </row>
    <row r="300" hidden="1">
      <c r="A300" s="278" t="str">
        <f>IFERROR(__xludf.DUMMYFUNCTION("""COMPUTED_VALUE"""),"Rune Factory 4: Special")</f>
        <v>Rune Factory 4: Special</v>
      </c>
      <c r="B300" s="20" t="str">
        <f>IFERROR(__xludf.DUMMYFUNCTION("""COMPUTED_VALUE"""),"Xbox / PC")</f>
        <v>Xbox / PC</v>
      </c>
      <c r="C300" s="21" t="str">
        <f>IFERROR(__xludf.DUMMYFUNCTION("""COMPUTED_VALUE"""),"Yes")</f>
        <v>Yes</v>
      </c>
      <c r="D300" s="21" t="str">
        <f>IFERROR(__xludf.DUMMYFUNCTION("""COMPUTED_VALUE"""),"Removed")</f>
        <v>Removed</v>
      </c>
      <c r="E300" s="279">
        <f>IFERROR(__xludf.DUMMYFUNCTION("""COMPUTED_VALUE"""),45085.0)</f>
        <v>45085</v>
      </c>
      <c r="F300" s="276">
        <f>IFERROR(__xludf.DUMMYFUNCTION("""COMPUTED_VALUE"""),45458.0)</f>
        <v>45458</v>
      </c>
      <c r="G300" s="27">
        <f>IFERROR(__xludf.DUMMYFUNCTION("""COMPUTED_VALUE"""),12.233333333333333)</f>
        <v>12.23333333</v>
      </c>
      <c r="H300" s="128">
        <f>IFERROR(__xludf.DUMMYFUNCTION("""COMPUTED_VALUE"""),41109.0)</f>
        <v>41109</v>
      </c>
      <c r="I300" s="27">
        <f>IFERROR(__xludf.DUMMYFUNCTION("""COMPUTED_VALUE"""),10.886111111111111)</f>
        <v>10.88611111</v>
      </c>
      <c r="J300" s="277">
        <f>IFERROR(__xludf.DUMMYFUNCTION("""COMPUTED_VALUE"""),82.0)</f>
        <v>82</v>
      </c>
      <c r="K300" s="277">
        <f>IFERROR(__xludf.DUMMYFUNCTION("""COMPUTED_VALUE"""),39.0)</f>
        <v>39</v>
      </c>
      <c r="L300" s="275" t="str">
        <f>IFERROR(__xludf.DUMMYFUNCTION("""COMPUTED_VALUE"""),"RPG")</f>
        <v>RPG</v>
      </c>
    </row>
    <row r="301" hidden="1">
      <c r="A301" s="278" t="str">
        <f>IFERROR(__xludf.DUMMYFUNCTION("""COMPUTED_VALUE"""),"Spacelines from the Far Out")</f>
        <v>Spacelines from the Far Out</v>
      </c>
      <c r="B301" s="20" t="str">
        <f>IFERROR(__xludf.DUMMYFUNCTION("""COMPUTED_VALUE"""),"Xbox / PC")</f>
        <v>Xbox / PC</v>
      </c>
      <c r="C301" s="21" t="str">
        <f>IFERROR(__xludf.DUMMYFUNCTION("""COMPUTED_VALUE"""),"Touch Controls")</f>
        <v>Touch Controls</v>
      </c>
      <c r="D301" s="21" t="str">
        <f>IFERROR(__xludf.DUMMYFUNCTION("""COMPUTED_VALUE"""),"Removed")</f>
        <v>Removed</v>
      </c>
      <c r="E301" s="279">
        <f>IFERROR(__xludf.DUMMYFUNCTION("""COMPUTED_VALUE"""),44719.0)</f>
        <v>44719</v>
      </c>
      <c r="F301" s="276">
        <f>IFERROR(__xludf.DUMMYFUNCTION("""COMPUTED_VALUE"""),45458.0)</f>
        <v>45458</v>
      </c>
      <c r="G301" s="27">
        <f>IFERROR(__xludf.DUMMYFUNCTION("""COMPUTED_VALUE"""),24.266666666666666)</f>
        <v>24.26666667</v>
      </c>
      <c r="H301" s="128">
        <f>IFERROR(__xludf.DUMMYFUNCTION("""COMPUTED_VALUE"""),44719.0)</f>
        <v>44719</v>
      </c>
      <c r="I301" s="27">
        <f>IFERROR(__xludf.DUMMYFUNCTION("""COMPUTED_VALUE"""),0.0)</f>
        <v>0</v>
      </c>
      <c r="J301" s="277">
        <f>IFERROR(__xludf.DUMMYFUNCTION("""COMPUTED_VALUE"""),83.0)</f>
        <v>83</v>
      </c>
      <c r="K301" s="29">
        <f>IFERROR(__xludf.DUMMYFUNCTION("""COMPUTED_VALUE"""),1.5)</f>
        <v>1.5</v>
      </c>
      <c r="L301" s="275" t="str">
        <f>IFERROR(__xludf.DUMMYFUNCTION("""COMPUTED_VALUE"""),"Strategy")</f>
        <v>Strategy</v>
      </c>
    </row>
    <row r="302" hidden="1">
      <c r="A302" s="278" t="str">
        <f>IFERROR(__xludf.DUMMYFUNCTION("""COMPUTED_VALUE"""),"Chicory: A Colorful Tale")</f>
        <v>Chicory: A Colorful Tale</v>
      </c>
      <c r="B302" s="21" t="str">
        <f>IFERROR(__xludf.DUMMYFUNCTION("""COMPUTED_VALUE"""),"Xbox / PC")</f>
        <v>Xbox / PC</v>
      </c>
      <c r="C302" s="21"/>
      <c r="D302" s="21" t="str">
        <f>IFERROR(__xludf.DUMMYFUNCTION("""COMPUTED_VALUE"""),"Removed")</f>
        <v>Removed</v>
      </c>
      <c r="E302" s="279">
        <f>IFERROR(__xludf.DUMMYFUNCTION("""COMPUTED_VALUE"""),45076.0)</f>
        <v>45076</v>
      </c>
      <c r="F302" s="276">
        <f>IFERROR(__xludf.DUMMYFUNCTION("""COMPUTED_VALUE"""),45443.0)</f>
        <v>45443</v>
      </c>
      <c r="G302" s="27">
        <f>IFERROR(__xludf.DUMMYFUNCTION("""COMPUTED_VALUE"""),12.0)</f>
        <v>12</v>
      </c>
      <c r="H302" s="128">
        <f>IFERROR(__xludf.DUMMYFUNCTION("""COMPUTED_VALUE"""),44357.0)</f>
        <v>44357</v>
      </c>
      <c r="I302" s="27">
        <f>IFERROR(__xludf.DUMMYFUNCTION("""COMPUTED_VALUE"""),1.9722222222222223)</f>
        <v>1.972222222</v>
      </c>
      <c r="J302" s="277">
        <f>IFERROR(__xludf.DUMMYFUNCTION("""COMPUTED_VALUE"""),90.0)</f>
        <v>90</v>
      </c>
      <c r="K302" s="29">
        <f>IFERROR(__xludf.DUMMYFUNCTION("""COMPUTED_VALUE"""),10.0)</f>
        <v>10</v>
      </c>
      <c r="L302" s="275" t="str">
        <f>IFERROR(__xludf.DUMMYFUNCTION("""COMPUTED_VALUE"""),"Action-Adventure")</f>
        <v>Action-Adventure</v>
      </c>
    </row>
    <row r="303" hidden="1">
      <c r="A303" s="17" t="str">
        <f>IFERROR(__xludf.DUMMYFUNCTION("""COMPUTED_VALUE"""),"Farworld Pioneers")</f>
        <v>Farworld Pioneers</v>
      </c>
      <c r="B303" s="20" t="str">
        <f>IFERROR(__xludf.DUMMYFUNCTION("""COMPUTED_VALUE"""),"Xbox / PC")</f>
        <v>Xbox / PC</v>
      </c>
      <c r="C303" s="21"/>
      <c r="D303" s="21" t="str">
        <f>IFERROR(__xludf.DUMMYFUNCTION("""COMPUTED_VALUE"""),"Removed")</f>
        <v>Removed</v>
      </c>
      <c r="E303" s="279">
        <f>IFERROR(__xludf.DUMMYFUNCTION("""COMPUTED_VALUE"""),45076.0)</f>
        <v>45076</v>
      </c>
      <c r="F303" s="276">
        <f>IFERROR(__xludf.DUMMYFUNCTION("""COMPUTED_VALUE"""),45443.0)</f>
        <v>45443</v>
      </c>
      <c r="G303" s="27">
        <f>IFERROR(__xludf.DUMMYFUNCTION("""COMPUTED_VALUE"""),12.0)</f>
        <v>12</v>
      </c>
      <c r="H303" s="128">
        <f>IFERROR(__xludf.DUMMYFUNCTION("""COMPUTED_VALUE"""),45076.0)</f>
        <v>45076</v>
      </c>
      <c r="I303" s="27">
        <f>IFERROR(__xludf.DUMMYFUNCTION("""COMPUTED_VALUE"""),0.0)</f>
        <v>0</v>
      </c>
      <c r="J303" s="29">
        <f>IFERROR(__xludf.DUMMYFUNCTION("""COMPUTED_VALUE"""),58.0)</f>
        <v>58</v>
      </c>
      <c r="K303" s="29">
        <f>IFERROR(__xludf.DUMMYFUNCTION("""COMPUTED_VALUE"""),28.0)</f>
        <v>28</v>
      </c>
      <c r="L303" s="275" t="str">
        <f>IFERROR(__xludf.DUMMYFUNCTION("""COMPUTED_VALUE"""),"Sandbox")</f>
        <v>Sandbox</v>
      </c>
    </row>
    <row r="304" hidden="1">
      <c r="A304" s="17" t="str">
        <f>IFERROR(__xludf.DUMMYFUNCTION("""COMPUTED_VALUE"""),"Railway Empire 2")</f>
        <v>Railway Empire 2</v>
      </c>
      <c r="B304" s="21" t="str">
        <f>IFERROR(__xludf.DUMMYFUNCTION("""COMPUTED_VALUE"""),"Xbox / PC")</f>
        <v>Xbox / PC</v>
      </c>
      <c r="C304" s="21" t="str">
        <f>IFERROR(__xludf.DUMMYFUNCTION("""COMPUTED_VALUE"""),"Yes")</f>
        <v>Yes</v>
      </c>
      <c r="D304" s="21" t="str">
        <f>IFERROR(__xludf.DUMMYFUNCTION("""COMPUTED_VALUE"""),"Removed")</f>
        <v>Removed</v>
      </c>
      <c r="E304" s="279">
        <f>IFERROR(__xludf.DUMMYFUNCTION("""COMPUTED_VALUE"""),45070.0)</f>
        <v>45070</v>
      </c>
      <c r="F304" s="276">
        <f>IFERROR(__xludf.DUMMYFUNCTION("""COMPUTED_VALUE"""),45443.0)</f>
        <v>45443</v>
      </c>
      <c r="G304" s="27">
        <f>IFERROR(__xludf.DUMMYFUNCTION("""COMPUTED_VALUE"""),12.2)</f>
        <v>12.2</v>
      </c>
      <c r="H304" s="128">
        <f>IFERROR(__xludf.DUMMYFUNCTION("""COMPUTED_VALUE"""),45070.0)</f>
        <v>45070</v>
      </c>
      <c r="I304" s="27">
        <f>IFERROR(__xludf.DUMMYFUNCTION("""COMPUTED_VALUE"""),0.0)</f>
        <v>0</v>
      </c>
      <c r="J304" s="277">
        <f>IFERROR(__xludf.DUMMYFUNCTION("""COMPUTED_VALUE"""),79.0)</f>
        <v>79</v>
      </c>
      <c r="K304" s="277">
        <f>IFERROR(__xludf.DUMMYFUNCTION("""COMPUTED_VALUE"""),28.0)</f>
        <v>28</v>
      </c>
      <c r="L304" s="275" t="str">
        <f>IFERROR(__xludf.DUMMYFUNCTION("""COMPUTED_VALUE"""),"Racing")</f>
        <v>Racing</v>
      </c>
    </row>
    <row r="305" hidden="1">
      <c r="A305" s="278" t="str">
        <f>IFERROR(__xludf.DUMMYFUNCTION("""COMPUTED_VALUE"""),"JoJo's Bizarre Adventure: All-Star Battle R")</f>
        <v>JoJo's Bizarre Adventure: All-Star Battle R</v>
      </c>
      <c r="B305" s="20" t="str">
        <f>IFERROR(__xludf.DUMMYFUNCTION("""COMPUTED_VALUE"""),"Xbox / PC")</f>
        <v>Xbox / PC</v>
      </c>
      <c r="C305" s="20" t="str">
        <f>IFERROR(__xludf.DUMMYFUNCTION("""COMPUTED_VALUE"""),"Yes")</f>
        <v>Yes</v>
      </c>
      <c r="D305" s="21" t="str">
        <f>IFERROR(__xludf.DUMMYFUNCTION("""COMPUTED_VALUE"""),"Removed")</f>
        <v>Removed</v>
      </c>
      <c r="E305" s="279">
        <f>IFERROR(__xludf.DUMMYFUNCTION("""COMPUTED_VALUE"""),44957.0)</f>
        <v>44957</v>
      </c>
      <c r="F305" s="276">
        <f>IFERROR(__xludf.DUMMYFUNCTION("""COMPUTED_VALUE"""),45443.0)</f>
        <v>45443</v>
      </c>
      <c r="G305" s="27">
        <f>IFERROR(__xludf.DUMMYFUNCTION("""COMPUTED_VALUE"""),16.0)</f>
        <v>16</v>
      </c>
      <c r="H305" s="128">
        <f>IFERROR(__xludf.DUMMYFUNCTION("""COMPUTED_VALUE"""),44805.0)</f>
        <v>44805</v>
      </c>
      <c r="I305" s="27">
        <f>IFERROR(__xludf.DUMMYFUNCTION("""COMPUTED_VALUE"""),0.41388888888888886)</f>
        <v>0.4138888889</v>
      </c>
      <c r="J305" s="277">
        <f>IFERROR(__xludf.DUMMYFUNCTION("""COMPUTED_VALUE"""),73.0)</f>
        <v>73</v>
      </c>
      <c r="K305" s="277">
        <f>IFERROR(__xludf.DUMMYFUNCTION("""COMPUTED_VALUE"""),10.0)</f>
        <v>10</v>
      </c>
      <c r="L305" s="31" t="str">
        <f>IFERROR(__xludf.DUMMYFUNCTION("""COMPUTED_VALUE"""),"Fighting")</f>
        <v>Fighting</v>
      </c>
    </row>
    <row r="306" hidden="1">
      <c r="A306" s="278" t="str">
        <f>IFERROR(__xludf.DUMMYFUNCTION("""COMPUTED_VALUE"""),"Pac-Man Museum+")</f>
        <v>Pac-Man Museum+</v>
      </c>
      <c r="B306" s="21" t="str">
        <f>IFERROR(__xludf.DUMMYFUNCTION("""COMPUTED_VALUE"""),"Xbox / PC")</f>
        <v>Xbox / PC</v>
      </c>
      <c r="C306" s="21" t="str">
        <f>IFERROR(__xludf.DUMMYFUNCTION("""COMPUTED_VALUE"""),"Yes")</f>
        <v>Yes</v>
      </c>
      <c r="D306" s="21" t="str">
        <f>IFERROR(__xludf.DUMMYFUNCTION("""COMPUTED_VALUE"""),"Removed")</f>
        <v>Removed</v>
      </c>
      <c r="E306" s="279">
        <f>IFERROR(__xludf.DUMMYFUNCTION("""COMPUTED_VALUE"""),44708.0)</f>
        <v>44708</v>
      </c>
      <c r="F306" s="276">
        <f>IFERROR(__xludf.DUMMYFUNCTION("""COMPUTED_VALUE"""),45443.0)</f>
        <v>45443</v>
      </c>
      <c r="G306" s="27">
        <f>IFERROR(__xludf.DUMMYFUNCTION("""COMPUTED_VALUE"""),24.1)</f>
        <v>24.1</v>
      </c>
      <c r="H306" s="128">
        <f>IFERROR(__xludf.DUMMYFUNCTION("""COMPUTED_VALUE"""),44708.0)</f>
        <v>44708</v>
      </c>
      <c r="I306" s="27">
        <f>IFERROR(__xludf.DUMMYFUNCTION("""COMPUTED_VALUE"""),0.0)</f>
        <v>0</v>
      </c>
      <c r="J306" s="277">
        <f>IFERROR(__xludf.DUMMYFUNCTION("""COMPUTED_VALUE"""),64.0)</f>
        <v>64</v>
      </c>
      <c r="K306" s="277">
        <f>IFERROR(__xludf.DUMMYFUNCTION("""COMPUTED_VALUE"""),2.5)</f>
        <v>2.5</v>
      </c>
      <c r="L306" s="31" t="str">
        <f>IFERROR(__xludf.DUMMYFUNCTION("""COMPUTED_VALUE"""),"Platformer")</f>
        <v>Platformer</v>
      </c>
    </row>
    <row r="307" hidden="1">
      <c r="A307" s="278" t="str">
        <f>IFERROR(__xludf.DUMMYFUNCTION("""COMPUTED_VALUE"""),"Little Witch in the Woods (Game Preview)")</f>
        <v>Little Witch in the Woods (Game Preview)</v>
      </c>
      <c r="B307" s="20" t="str">
        <f>IFERROR(__xludf.DUMMYFUNCTION("""COMPUTED_VALUE"""),"Xbox / PC")</f>
        <v>Xbox / PC</v>
      </c>
      <c r="C307" s="21" t="str">
        <f>IFERROR(__xludf.DUMMYFUNCTION("""COMPUTED_VALUE"""),"Touch Controls")</f>
        <v>Touch Controls</v>
      </c>
      <c r="D307" s="21" t="str">
        <f>IFERROR(__xludf.DUMMYFUNCTION("""COMPUTED_VALUE"""),"Removed")</f>
        <v>Removed</v>
      </c>
      <c r="E307" s="279">
        <f>IFERROR(__xludf.DUMMYFUNCTION("""COMPUTED_VALUE"""),44698.0)</f>
        <v>44698</v>
      </c>
      <c r="F307" s="276">
        <f>IFERROR(__xludf.DUMMYFUNCTION("""COMPUTED_VALUE"""),45443.0)</f>
        <v>45443</v>
      </c>
      <c r="G307" s="27">
        <f>IFERROR(__xludf.DUMMYFUNCTION("""COMPUTED_VALUE"""),24.43333333333333)</f>
        <v>24.43333333</v>
      </c>
      <c r="H307" s="128">
        <f>IFERROR(__xludf.DUMMYFUNCTION("""COMPUTED_VALUE"""),44697.0)</f>
        <v>44697</v>
      </c>
      <c r="I307" s="27">
        <f>IFERROR(__xludf.DUMMYFUNCTION("""COMPUTED_VALUE"""),0.002777777777777778)</f>
        <v>0.002777777778</v>
      </c>
      <c r="J307" s="277"/>
      <c r="K307" s="277">
        <f>IFERROR(__xludf.DUMMYFUNCTION("""COMPUTED_VALUE"""),8.0)</f>
        <v>8</v>
      </c>
      <c r="L307" s="275" t="str">
        <f>IFERROR(__xludf.DUMMYFUNCTION("""COMPUTED_VALUE"""),"RPG")</f>
        <v>RPG</v>
      </c>
    </row>
    <row r="308" hidden="1">
      <c r="A308" s="278" t="str">
        <f>IFERROR(__xludf.DUMMYFUNCTION("""COMPUTED_VALUE"""),"Eastern Exorcist")</f>
        <v>Eastern Exorcist</v>
      </c>
      <c r="B308" s="20" t="str">
        <f>IFERROR(__xludf.DUMMYFUNCTION("""COMPUTED_VALUE"""),"Xbox / PC")</f>
        <v>Xbox / PC</v>
      </c>
      <c r="C308" s="20"/>
      <c r="D308" s="21" t="str">
        <f>IFERROR(__xludf.DUMMYFUNCTION("""COMPUTED_VALUE"""),"Removed")</f>
        <v>Removed</v>
      </c>
      <c r="E308" s="279">
        <f>IFERROR(__xludf.DUMMYFUNCTION("""COMPUTED_VALUE"""),45064.0)</f>
        <v>45064</v>
      </c>
      <c r="F308" s="24">
        <f>IFERROR(__xludf.DUMMYFUNCTION("""COMPUTED_VALUE"""),45427.0)</f>
        <v>45427</v>
      </c>
      <c r="G308" s="27">
        <f>IFERROR(__xludf.DUMMYFUNCTION("""COMPUTED_VALUE"""),11.9)</f>
        <v>11.9</v>
      </c>
      <c r="H308" s="128">
        <f>IFERROR(__xludf.DUMMYFUNCTION("""COMPUTED_VALUE"""),44385.0)</f>
        <v>44385</v>
      </c>
      <c r="I308" s="27">
        <f>IFERROR(__xludf.DUMMYFUNCTION("""COMPUTED_VALUE"""),1.8611111111111112)</f>
        <v>1.861111111</v>
      </c>
      <c r="J308" s="277">
        <f>IFERROR(__xludf.DUMMYFUNCTION("""COMPUTED_VALUE"""),73.0)</f>
        <v>73</v>
      </c>
      <c r="K308" s="29">
        <f>IFERROR(__xludf.DUMMYFUNCTION("""COMPUTED_VALUE"""),7.0)</f>
        <v>7</v>
      </c>
      <c r="L308" s="275" t="str">
        <f>IFERROR(__xludf.DUMMYFUNCTION("""COMPUTED_VALUE"""),"RPG")</f>
        <v>RPG</v>
      </c>
    </row>
    <row r="309" hidden="1">
      <c r="A309" s="17" t="str">
        <f>IFERROR(__xludf.DUMMYFUNCTION("""COMPUTED_VALUE"""),"Supraland: Six Inches Under")</f>
        <v>Supraland: Six Inches Under</v>
      </c>
      <c r="B309" s="20" t="str">
        <f>IFERROR(__xludf.DUMMYFUNCTION("""COMPUTED_VALUE"""),"Xbox / PC")</f>
        <v>Xbox / PC</v>
      </c>
      <c r="C309" s="21" t="str">
        <f>IFERROR(__xludf.DUMMYFUNCTION("""COMPUTED_VALUE"""),"Yes")</f>
        <v>Yes</v>
      </c>
      <c r="D309" s="21" t="str">
        <f>IFERROR(__xludf.DUMMYFUNCTION("""COMPUTED_VALUE"""),"Removed")</f>
        <v>Removed</v>
      </c>
      <c r="E309" s="279">
        <f>IFERROR(__xludf.DUMMYFUNCTION("""COMPUTED_VALUE"""),45064.0)</f>
        <v>45064</v>
      </c>
      <c r="F309" s="276">
        <f>IFERROR(__xludf.DUMMYFUNCTION("""COMPUTED_VALUE"""),45427.0)</f>
        <v>45427</v>
      </c>
      <c r="G309" s="27">
        <f>IFERROR(__xludf.DUMMYFUNCTION("""COMPUTED_VALUE"""),11.9)</f>
        <v>11.9</v>
      </c>
      <c r="H309" s="128">
        <f>IFERROR(__xludf.DUMMYFUNCTION("""COMPUTED_VALUE"""),44575.0)</f>
        <v>44575</v>
      </c>
      <c r="I309" s="27">
        <f>IFERROR(__xludf.DUMMYFUNCTION("""COMPUTED_VALUE"""),1.3444444444444446)</f>
        <v>1.344444444</v>
      </c>
      <c r="J309" s="277">
        <f>IFERROR(__xludf.DUMMYFUNCTION("""COMPUTED_VALUE"""),86.0)</f>
        <v>86</v>
      </c>
      <c r="K309" s="277">
        <f>IFERROR(__xludf.DUMMYFUNCTION("""COMPUTED_VALUE"""),8.0)</f>
        <v>8</v>
      </c>
      <c r="L309" s="275" t="str">
        <f>IFERROR(__xludf.DUMMYFUNCTION("""COMPUTED_VALUE"""),"Action-Adventure")</f>
        <v>Action-Adventure</v>
      </c>
    </row>
    <row r="310" hidden="1">
      <c r="A310" s="278" t="str">
        <f>IFERROR(__xludf.DUMMYFUNCTION("""COMPUTED_VALUE"""),"Fuga: Melodies of Steel 2")</f>
        <v>Fuga: Melodies of Steel 2</v>
      </c>
      <c r="B310" s="20" t="str">
        <f>IFERROR(__xludf.DUMMYFUNCTION("""COMPUTED_VALUE"""),"Xbox / PC")</f>
        <v>Xbox / PC</v>
      </c>
      <c r="C310" s="21" t="str">
        <f>IFERROR(__xludf.DUMMYFUNCTION("""COMPUTED_VALUE"""),"Yes")</f>
        <v>Yes</v>
      </c>
      <c r="D310" s="21" t="str">
        <f>IFERROR(__xludf.DUMMYFUNCTION("""COMPUTED_VALUE"""),"Removed")</f>
        <v>Removed</v>
      </c>
      <c r="E310" s="279">
        <f>IFERROR(__xludf.DUMMYFUNCTION("""COMPUTED_VALUE"""),45057.0)</f>
        <v>45057</v>
      </c>
      <c r="F310" s="279">
        <f>IFERROR(__xludf.DUMMYFUNCTION("""COMPUTED_VALUE"""),45427.0)</f>
        <v>45427</v>
      </c>
      <c r="G310" s="27">
        <f>IFERROR(__xludf.DUMMYFUNCTION("""COMPUTED_VALUE"""),12.133333333333333)</f>
        <v>12.13333333</v>
      </c>
      <c r="H310" s="128">
        <f>IFERROR(__xludf.DUMMYFUNCTION("""COMPUTED_VALUE"""),45057.0)</f>
        <v>45057</v>
      </c>
      <c r="I310" s="27">
        <f>IFERROR(__xludf.DUMMYFUNCTION("""COMPUTED_VALUE"""),0.0)</f>
        <v>0</v>
      </c>
      <c r="J310" s="29">
        <f>IFERROR(__xludf.DUMMYFUNCTION("""COMPUTED_VALUE"""),85.0)</f>
        <v>85</v>
      </c>
      <c r="K310" s="29">
        <f>IFERROR(__xludf.DUMMYFUNCTION("""COMPUTED_VALUE"""),22.0)</f>
        <v>22</v>
      </c>
      <c r="L310" s="275" t="str">
        <f>IFERROR(__xludf.DUMMYFUNCTION("""COMPUTED_VALUE"""),"RPG")</f>
        <v>RPG</v>
      </c>
    </row>
    <row r="311" hidden="1">
      <c r="A311" s="17" t="str">
        <f>IFERROR(__xludf.DUMMYFUNCTION("""COMPUTED_VALUE"""),"SD Gundam Battle Alliance")</f>
        <v>SD Gundam Battle Alliance</v>
      </c>
      <c r="B311" s="20" t="str">
        <f>IFERROR(__xludf.DUMMYFUNCTION("""COMPUTED_VALUE"""),"Xbox / PC")</f>
        <v>Xbox / PC</v>
      </c>
      <c r="C311" s="21" t="str">
        <f>IFERROR(__xludf.DUMMYFUNCTION("""COMPUTED_VALUE"""),"Yes")</f>
        <v>Yes</v>
      </c>
      <c r="D311" s="21" t="str">
        <f>IFERROR(__xludf.DUMMYFUNCTION("""COMPUTED_VALUE"""),"Removed")</f>
        <v>Removed</v>
      </c>
      <c r="E311" s="23">
        <f>IFERROR(__xludf.DUMMYFUNCTION("""COMPUTED_VALUE"""),44966.0)</f>
        <v>44966</v>
      </c>
      <c r="F311" s="24">
        <f>IFERROR(__xludf.DUMMYFUNCTION("""COMPUTED_VALUE"""),45427.0)</f>
        <v>45427</v>
      </c>
      <c r="G311" s="27">
        <f>IFERROR(__xludf.DUMMYFUNCTION("""COMPUTED_VALUE"""),15.2)</f>
        <v>15.2</v>
      </c>
      <c r="H311" s="128">
        <f>IFERROR(__xludf.DUMMYFUNCTION("""COMPUTED_VALUE"""),44798.0)</f>
        <v>44798</v>
      </c>
      <c r="I311" s="27">
        <f>IFERROR(__xludf.DUMMYFUNCTION("""COMPUTED_VALUE"""),0.45555555555555555)</f>
        <v>0.4555555556</v>
      </c>
      <c r="J311" s="29">
        <f>IFERROR(__xludf.DUMMYFUNCTION("""COMPUTED_VALUE"""),71.0)</f>
        <v>71</v>
      </c>
      <c r="K311" s="29">
        <f>IFERROR(__xludf.DUMMYFUNCTION("""COMPUTED_VALUE"""),11.0)</f>
        <v>11</v>
      </c>
      <c r="L311" s="31" t="str">
        <f>IFERROR(__xludf.DUMMYFUNCTION("""COMPUTED_VALUE"""),"RPG")</f>
        <v>RPG</v>
      </c>
    </row>
    <row r="312" hidden="1">
      <c r="A312" s="17" t="str">
        <f>IFERROR(__xludf.DUMMYFUNCTION("""COMPUTED_VALUE"""),"Ghostlore")</f>
        <v>Ghostlore</v>
      </c>
      <c r="B312" s="20" t="str">
        <f>IFERROR(__xludf.DUMMYFUNCTION("""COMPUTED_VALUE"""),"Xbox / PC")</f>
        <v>Xbox / PC</v>
      </c>
      <c r="C312" s="20"/>
      <c r="D312" s="21" t="str">
        <f>IFERROR(__xludf.DUMMYFUNCTION("""COMPUTED_VALUE"""),"Removed")</f>
        <v>Removed</v>
      </c>
      <c r="E312" s="283">
        <f>IFERROR(__xludf.DUMMYFUNCTION("""COMPUTED_VALUE"""),44882.0)</f>
        <v>44882</v>
      </c>
      <c r="F312" s="24">
        <f>IFERROR(__xludf.DUMMYFUNCTION("""COMPUTED_VALUE"""),45427.0)</f>
        <v>45427</v>
      </c>
      <c r="G312" s="27">
        <f>IFERROR(__xludf.DUMMYFUNCTION("""COMPUTED_VALUE"""),17.933333333333334)</f>
        <v>17.93333333</v>
      </c>
      <c r="H312" s="128">
        <f>IFERROR(__xludf.DUMMYFUNCTION("""COMPUTED_VALUE"""),44665.0)</f>
        <v>44665</v>
      </c>
      <c r="I312" s="27">
        <f>IFERROR(__xludf.DUMMYFUNCTION("""COMPUTED_VALUE"""),0.5916666666666667)</f>
        <v>0.5916666667</v>
      </c>
      <c r="J312" s="29">
        <f>IFERROR(__xludf.DUMMYFUNCTION("""COMPUTED_VALUE"""),81.0)</f>
        <v>81</v>
      </c>
      <c r="K312" s="29">
        <f>IFERROR(__xludf.DUMMYFUNCTION("""COMPUTED_VALUE"""),6.0)</f>
        <v>6</v>
      </c>
      <c r="L312" s="31" t="str">
        <f>IFERROR(__xludf.DUMMYFUNCTION("""COMPUTED_VALUE"""),"RPG")</f>
        <v>RPG</v>
      </c>
    </row>
    <row r="313" hidden="1">
      <c r="A313" s="278" t="str">
        <f>IFERROR(__xludf.DUMMYFUNCTION("""COMPUTED_VALUE"""),"Eiyuden Chronicle: Rising")</f>
        <v>Eiyuden Chronicle: Rising</v>
      </c>
      <c r="B313" s="20" t="str">
        <f>IFERROR(__xludf.DUMMYFUNCTION("""COMPUTED_VALUE"""),"Xbox / PC")</f>
        <v>Xbox / PC</v>
      </c>
      <c r="C313" s="20" t="str">
        <f>IFERROR(__xludf.DUMMYFUNCTION("""COMPUTED_VALUE"""),"Touch Controls")</f>
        <v>Touch Controls</v>
      </c>
      <c r="D313" s="21" t="str">
        <f>IFERROR(__xludf.DUMMYFUNCTION("""COMPUTED_VALUE"""),"Removed")</f>
        <v>Removed</v>
      </c>
      <c r="E313" s="279">
        <f>IFERROR(__xludf.DUMMYFUNCTION("""COMPUTED_VALUE"""),44691.0)</f>
        <v>44691</v>
      </c>
      <c r="F313" s="24">
        <f>IFERROR(__xludf.DUMMYFUNCTION("""COMPUTED_VALUE"""),45427.0)</f>
        <v>45427</v>
      </c>
      <c r="G313" s="27">
        <f>IFERROR(__xludf.DUMMYFUNCTION("""COMPUTED_VALUE"""),24.166666666666664)</f>
        <v>24.16666667</v>
      </c>
      <c r="H313" s="128">
        <f>IFERROR(__xludf.DUMMYFUNCTION("""COMPUTED_VALUE"""),44691.0)</f>
        <v>44691</v>
      </c>
      <c r="I313" s="27">
        <f>IFERROR(__xludf.DUMMYFUNCTION("""COMPUTED_VALUE"""),0.0)</f>
        <v>0</v>
      </c>
      <c r="J313" s="277">
        <f>IFERROR(__xludf.DUMMYFUNCTION("""COMPUTED_VALUE"""),71.0)</f>
        <v>71</v>
      </c>
      <c r="K313" s="277">
        <f>IFERROR(__xludf.DUMMYFUNCTION("""COMPUTED_VALUE"""),11.0)</f>
        <v>11</v>
      </c>
      <c r="L313" s="275" t="str">
        <f>IFERROR(__xludf.DUMMYFUNCTION("""COMPUTED_VALUE"""),"RPG")</f>
        <v>RPG</v>
      </c>
    </row>
    <row r="314" hidden="1">
      <c r="A314" s="278" t="str">
        <f>IFERROR(__xludf.DUMMYFUNCTION("""COMPUTED_VALUE"""),"Norco")</f>
        <v>Norco</v>
      </c>
      <c r="B314" s="20" t="str">
        <f>IFERROR(__xludf.DUMMYFUNCTION("""COMPUTED_VALUE"""),"Xbox / PC")</f>
        <v>Xbox / PC</v>
      </c>
      <c r="C314" s="20" t="str">
        <f>IFERROR(__xludf.DUMMYFUNCTION("""COMPUTED_VALUE"""),"M+KB")</f>
        <v>M+KB</v>
      </c>
      <c r="D314" s="21" t="str">
        <f>IFERROR(__xludf.DUMMYFUNCTION("""COMPUTED_VALUE"""),"Removed")</f>
        <v>Removed</v>
      </c>
      <c r="E314" s="279">
        <f>IFERROR(__xludf.DUMMYFUNCTION("""COMPUTED_VALUE"""),44644.0)</f>
        <v>44644</v>
      </c>
      <c r="F314" s="24">
        <f>IFERROR(__xludf.DUMMYFUNCTION("""COMPUTED_VALUE"""),45427.0)</f>
        <v>45427</v>
      </c>
      <c r="G314" s="27">
        <f>IFERROR(__xludf.DUMMYFUNCTION("""COMPUTED_VALUE"""),25.7)</f>
        <v>25.7</v>
      </c>
      <c r="H314" s="128">
        <f>IFERROR(__xludf.DUMMYFUNCTION("""COMPUTED_VALUE"""),44644.0)</f>
        <v>44644</v>
      </c>
      <c r="I314" s="27">
        <f>IFERROR(__xludf.DUMMYFUNCTION("""COMPUTED_VALUE"""),0.0)</f>
        <v>0</v>
      </c>
      <c r="J314" s="277">
        <f>IFERROR(__xludf.DUMMYFUNCTION("""COMPUTED_VALUE"""),87.0)</f>
        <v>87</v>
      </c>
      <c r="K314" s="277">
        <f>IFERROR(__xludf.DUMMYFUNCTION("""COMPUTED_VALUE"""),5.5)</f>
        <v>5.5</v>
      </c>
      <c r="L314" s="275" t="str">
        <f>IFERROR(__xludf.DUMMYFUNCTION("""COMPUTED_VALUE"""),"Adventure")</f>
        <v>Adventure</v>
      </c>
    </row>
    <row r="315" hidden="1">
      <c r="A315" s="278" t="str">
        <f>IFERROR(__xludf.DUMMYFUNCTION("""COMPUTED_VALUE"""),"Just Cause 4: Reloaded")</f>
        <v>Just Cause 4: Reloaded</v>
      </c>
      <c r="B315" s="20" t="str">
        <f>IFERROR(__xludf.DUMMYFUNCTION("""COMPUTED_VALUE"""),"Xbox / PC")</f>
        <v>Xbox / PC</v>
      </c>
      <c r="C315" s="20" t="str">
        <f>IFERROR(__xludf.DUMMYFUNCTION("""COMPUTED_VALUE"""),"Yes")</f>
        <v>Yes</v>
      </c>
      <c r="D315" s="21" t="str">
        <f>IFERROR(__xludf.DUMMYFUNCTION("""COMPUTED_VALUE"""),"Removed")</f>
        <v>Removed</v>
      </c>
      <c r="E315" s="279">
        <f>IFERROR(__xludf.DUMMYFUNCTION("""COMPUTED_VALUE"""),44329.0)</f>
        <v>44329</v>
      </c>
      <c r="F315" s="276">
        <f>IFERROR(__xludf.DUMMYFUNCTION("""COMPUTED_VALUE"""),45427.0)</f>
        <v>45427</v>
      </c>
      <c r="G315" s="27">
        <f>IFERROR(__xludf.DUMMYFUNCTION("""COMPUTED_VALUE"""),36.06666666666666)</f>
        <v>36.06666667</v>
      </c>
      <c r="H315" s="128">
        <f>IFERROR(__xludf.DUMMYFUNCTION("""COMPUTED_VALUE"""),43438.0)</f>
        <v>43438</v>
      </c>
      <c r="I315" s="27">
        <f>IFERROR(__xludf.DUMMYFUNCTION("""COMPUTED_VALUE"""),2.441666666666667)</f>
        <v>2.441666667</v>
      </c>
      <c r="J315" s="277">
        <f>IFERROR(__xludf.DUMMYFUNCTION("""COMPUTED_VALUE"""),69.0)</f>
        <v>69</v>
      </c>
      <c r="K315" s="29">
        <f>IFERROR(__xludf.DUMMYFUNCTION("""COMPUTED_VALUE"""),16.0)</f>
        <v>16</v>
      </c>
      <c r="L315" s="275" t="str">
        <f>IFERROR(__xludf.DUMMYFUNCTION("""COMPUTED_VALUE"""),"Action-Adventure")</f>
        <v>Action-Adventure</v>
      </c>
    </row>
    <row r="316" hidden="1">
      <c r="A316" s="278" t="str">
        <f>IFERROR(__xludf.DUMMYFUNCTION("""COMPUTED_VALUE"""),"Ravenlok")</f>
        <v>Ravenlok</v>
      </c>
      <c r="B316" s="20" t="str">
        <f>IFERROR(__xludf.DUMMYFUNCTION("""COMPUTED_VALUE"""),"Xbox / PC")</f>
        <v>Xbox / PC</v>
      </c>
      <c r="C316" s="20" t="str">
        <f>IFERROR(__xludf.DUMMYFUNCTION("""COMPUTED_VALUE"""),"Yes")</f>
        <v>Yes</v>
      </c>
      <c r="D316" s="21" t="str">
        <f>IFERROR(__xludf.DUMMYFUNCTION("""COMPUTED_VALUE"""),"Removed")</f>
        <v>Removed</v>
      </c>
      <c r="E316" s="279">
        <f>IFERROR(__xludf.DUMMYFUNCTION("""COMPUTED_VALUE"""),45050.0)</f>
        <v>45050</v>
      </c>
      <c r="F316" s="276">
        <f>IFERROR(__xludf.DUMMYFUNCTION("""COMPUTED_VALUE"""),45412.0)</f>
        <v>45412</v>
      </c>
      <c r="G316" s="27">
        <f>IFERROR(__xludf.DUMMYFUNCTION("""COMPUTED_VALUE"""),11.866666666666667)</f>
        <v>11.86666667</v>
      </c>
      <c r="H316" s="128">
        <f>IFERROR(__xludf.DUMMYFUNCTION("""COMPUTED_VALUE"""),45050.0)</f>
        <v>45050</v>
      </c>
      <c r="I316" s="27">
        <f>IFERROR(__xludf.DUMMYFUNCTION("""COMPUTED_VALUE"""),0.0)</f>
        <v>0</v>
      </c>
      <c r="J316" s="277">
        <f>IFERROR(__xludf.DUMMYFUNCTION("""COMPUTED_VALUE"""),66.0)</f>
        <v>66</v>
      </c>
      <c r="K316" s="29">
        <f>IFERROR(__xludf.DUMMYFUNCTION("""COMPUTED_VALUE"""),4.0)</f>
        <v>4</v>
      </c>
      <c r="L316" s="275" t="str">
        <f>IFERROR(__xludf.DUMMYFUNCTION("""COMPUTED_VALUE"""),"RPG")</f>
        <v>RPG</v>
      </c>
    </row>
    <row r="317" hidden="1">
      <c r="A317" s="17" t="str">
        <f>IFERROR(__xludf.DUMMYFUNCTION("""COMPUTED_VALUE"""),"Besiege")</f>
        <v>Besiege</v>
      </c>
      <c r="B317" s="20" t="str">
        <f>IFERROR(__xludf.DUMMYFUNCTION("""COMPUTED_VALUE"""),"Xbox / PC")</f>
        <v>Xbox / PC</v>
      </c>
      <c r="C317" s="20" t="str">
        <f>IFERROR(__xludf.DUMMYFUNCTION("""COMPUTED_VALUE"""),"Touch Controls")</f>
        <v>Touch Controls</v>
      </c>
      <c r="D317" s="21" t="str">
        <f>IFERROR(__xludf.DUMMYFUNCTION("""COMPUTED_VALUE"""),"Removed")</f>
        <v>Removed</v>
      </c>
      <c r="E317" s="279">
        <f>IFERROR(__xludf.DUMMYFUNCTION("""COMPUTED_VALUE"""),45047.0)</f>
        <v>45047</v>
      </c>
      <c r="F317" s="276">
        <f>IFERROR(__xludf.DUMMYFUNCTION("""COMPUTED_VALUE"""),45412.0)</f>
        <v>45412</v>
      </c>
      <c r="G317" s="27">
        <f>IFERROR(__xludf.DUMMYFUNCTION("""COMPUTED_VALUE"""),11.966666666666667)</f>
        <v>11.96666667</v>
      </c>
      <c r="H317" s="128">
        <f>IFERROR(__xludf.DUMMYFUNCTION("""COMPUTED_VALUE"""),44602.0)</f>
        <v>44602</v>
      </c>
      <c r="I317" s="27">
        <f>IFERROR(__xludf.DUMMYFUNCTION("""COMPUTED_VALUE"""),1.225)</f>
        <v>1.225</v>
      </c>
      <c r="J317" s="29">
        <f>IFERROR(__xludf.DUMMYFUNCTION("""COMPUTED_VALUE"""),88.33333333333333)</f>
        <v>88.33333333</v>
      </c>
      <c r="K317" s="29">
        <f>IFERROR(__xludf.DUMMYFUNCTION("""COMPUTED_VALUE"""),5.0)</f>
        <v>5</v>
      </c>
      <c r="L317" s="275" t="str">
        <f>IFERROR(__xludf.DUMMYFUNCTION("""COMPUTED_VALUE"""),"Simulation")</f>
        <v>Simulation</v>
      </c>
    </row>
    <row r="318" hidden="1">
      <c r="A318" s="278" t="str">
        <f>IFERROR(__xludf.DUMMYFUNCTION("""COMPUTED_VALUE"""),"NHL 22")</f>
        <v>NHL 22</v>
      </c>
      <c r="B318" s="20" t="str">
        <f>IFERROR(__xludf.DUMMYFUNCTION("""COMPUTED_VALUE"""),"Xbox")</f>
        <v>Xbox</v>
      </c>
      <c r="C318" s="20"/>
      <c r="D318" s="21" t="str">
        <f>IFERROR(__xludf.DUMMYFUNCTION("""COMPUTED_VALUE"""),"Removed")</f>
        <v>Removed</v>
      </c>
      <c r="E318" s="23">
        <f>IFERROR(__xludf.DUMMYFUNCTION("""COMPUTED_VALUE"""),44693.0)</f>
        <v>44693</v>
      </c>
      <c r="F318" s="276">
        <f>IFERROR(__xludf.DUMMYFUNCTION("""COMPUTED_VALUE"""),45412.0)</f>
        <v>45412</v>
      </c>
      <c r="G318" s="27">
        <f>IFERROR(__xludf.DUMMYFUNCTION("""COMPUTED_VALUE"""),23.599999999999998)</f>
        <v>23.6</v>
      </c>
      <c r="H318" s="128">
        <f>IFERROR(__xludf.DUMMYFUNCTION("""COMPUTED_VALUE"""),44484.0)</f>
        <v>44484</v>
      </c>
      <c r="I318" s="27">
        <f>IFERROR(__xludf.DUMMYFUNCTION("""COMPUTED_VALUE"""),0.575)</f>
        <v>0.575</v>
      </c>
      <c r="J318" s="277">
        <f>IFERROR(__xludf.DUMMYFUNCTION("""COMPUTED_VALUE"""),74.0)</f>
        <v>74</v>
      </c>
      <c r="K318" s="29">
        <f>IFERROR(__xludf.DUMMYFUNCTION("""COMPUTED_VALUE"""),85.0)</f>
        <v>85</v>
      </c>
      <c r="L318" s="275" t="str">
        <f>IFERROR(__xludf.DUMMYFUNCTION("""COMPUTED_VALUE"""),"Sports")</f>
        <v>Sports</v>
      </c>
    </row>
    <row r="319" hidden="1">
      <c r="A319" s="278" t="str">
        <f>IFERROR(__xludf.DUMMYFUNCTION("""COMPUTED_VALUE"""),"Loot River")</f>
        <v>Loot River</v>
      </c>
      <c r="B319" s="20" t="str">
        <f>IFERROR(__xludf.DUMMYFUNCTION("""COMPUTED_VALUE"""),"Xbox / PC")</f>
        <v>Xbox / PC</v>
      </c>
      <c r="C319" s="20" t="str">
        <f>IFERROR(__xludf.DUMMYFUNCTION("""COMPUTED_VALUE"""),"Touch Controls")</f>
        <v>Touch Controls</v>
      </c>
      <c r="D319" s="21" t="str">
        <f>IFERROR(__xludf.DUMMYFUNCTION("""COMPUTED_VALUE"""),"Removed")</f>
        <v>Removed</v>
      </c>
      <c r="E319" s="279">
        <f>IFERROR(__xludf.DUMMYFUNCTION("""COMPUTED_VALUE"""),44684.0)</f>
        <v>44684</v>
      </c>
      <c r="F319" s="276">
        <f>IFERROR(__xludf.DUMMYFUNCTION("""COMPUTED_VALUE"""),45412.0)</f>
        <v>45412</v>
      </c>
      <c r="G319" s="27">
        <f>IFERROR(__xludf.DUMMYFUNCTION("""COMPUTED_VALUE"""),23.9)</f>
        <v>23.9</v>
      </c>
      <c r="H319" s="128">
        <f>IFERROR(__xludf.DUMMYFUNCTION("""COMPUTED_VALUE"""),44684.0)</f>
        <v>44684</v>
      </c>
      <c r="I319" s="27">
        <f>IFERROR(__xludf.DUMMYFUNCTION("""COMPUTED_VALUE"""),0.0)</f>
        <v>0</v>
      </c>
      <c r="J319" s="277">
        <f>IFERROR(__xludf.DUMMYFUNCTION("""COMPUTED_VALUE"""),66.0)</f>
        <v>66</v>
      </c>
      <c r="K319" s="29">
        <f>IFERROR(__xludf.DUMMYFUNCTION("""COMPUTED_VALUE"""),4.0)</f>
        <v>4</v>
      </c>
      <c r="L319" s="275" t="str">
        <f>IFERROR(__xludf.DUMMYFUNCTION("""COMPUTED_VALUE"""),"Action")</f>
        <v>Action</v>
      </c>
    </row>
    <row r="320" hidden="1">
      <c r="A320" s="278" t="str">
        <f>IFERROR(__xludf.DUMMYFUNCTION("""COMPUTED_VALUE"""),"7 Days to Die (Game Preview)")</f>
        <v>7 Days to Die (Game Preview)</v>
      </c>
      <c r="B320" s="20" t="str">
        <f>IFERROR(__xludf.DUMMYFUNCTION("""COMPUTED_VALUE"""),"Xbox / PC")</f>
        <v>Xbox / PC</v>
      </c>
      <c r="C320" s="21" t="str">
        <f>IFERROR(__xludf.DUMMYFUNCTION("""COMPUTED_VALUE"""),"Yes")</f>
        <v>Yes</v>
      </c>
      <c r="D320" s="21" t="str">
        <f>IFERROR(__xludf.DUMMYFUNCTION("""COMPUTED_VALUE"""),"Removed")</f>
        <v>Removed</v>
      </c>
      <c r="E320" s="279">
        <f>IFERROR(__xludf.DUMMYFUNCTION("""COMPUTED_VALUE"""),44677.0)</f>
        <v>44677</v>
      </c>
      <c r="F320" s="276">
        <f>IFERROR(__xludf.DUMMYFUNCTION("""COMPUTED_VALUE"""),45412.0)</f>
        <v>45412</v>
      </c>
      <c r="G320" s="27">
        <f>IFERROR(__xludf.DUMMYFUNCTION("""COMPUTED_VALUE"""),24.133333333333333)</f>
        <v>24.13333333</v>
      </c>
      <c r="H320" s="128">
        <f>IFERROR(__xludf.DUMMYFUNCTION("""COMPUTED_VALUE"""),41621.0)</f>
        <v>41621</v>
      </c>
      <c r="I320" s="27">
        <f>IFERROR(__xludf.DUMMYFUNCTION("""COMPUTED_VALUE"""),8.369444444444444)</f>
        <v>8.369444444</v>
      </c>
      <c r="J320" s="277">
        <f>IFERROR(__xludf.DUMMYFUNCTION("""COMPUTED_VALUE"""),35.0)</f>
        <v>35</v>
      </c>
      <c r="K320" s="29">
        <f>IFERROR(__xludf.DUMMYFUNCTION("""COMPUTED_VALUE"""),54.0)</f>
        <v>54</v>
      </c>
      <c r="L320" s="275" t="str">
        <f>IFERROR(__xludf.DUMMYFUNCTION("""COMPUTED_VALUE"""),"Shooter")</f>
        <v>Shooter</v>
      </c>
    </row>
    <row r="321" hidden="1">
      <c r="A321" s="278" t="str">
        <f>IFERROR(__xludf.DUMMYFUNCTION("""COMPUTED_VALUE"""),"Pikuniku")</f>
        <v>Pikuniku</v>
      </c>
      <c r="B321" s="20" t="str">
        <f>IFERROR(__xludf.DUMMYFUNCTION("""COMPUTED_VALUE"""),"Xbox / PC")</f>
        <v>Xbox / PC</v>
      </c>
      <c r="C321" s="20" t="str">
        <f>IFERROR(__xludf.DUMMYFUNCTION("""COMPUTED_VALUE"""),"Yes")</f>
        <v>Yes</v>
      </c>
      <c r="D321" s="21" t="str">
        <f>IFERROR(__xludf.DUMMYFUNCTION("""COMPUTED_VALUE"""),"Removed")</f>
        <v>Removed</v>
      </c>
      <c r="E321" s="279">
        <f>IFERROR(__xludf.DUMMYFUNCTION("""COMPUTED_VALUE"""),43902.0)</f>
        <v>43902</v>
      </c>
      <c r="F321" s="276">
        <f>IFERROR(__xludf.DUMMYFUNCTION("""COMPUTED_VALUE"""),45412.0)</f>
        <v>45412</v>
      </c>
      <c r="G321" s="27">
        <f>IFERROR(__xludf.DUMMYFUNCTION("""COMPUTED_VALUE"""),49.60000000000001)</f>
        <v>49.6</v>
      </c>
      <c r="H321" s="128">
        <f>IFERROR(__xludf.DUMMYFUNCTION("""COMPUTED_VALUE"""),43489.0)</f>
        <v>43489</v>
      </c>
      <c r="I321" s="27">
        <f>IFERROR(__xludf.DUMMYFUNCTION("""COMPUTED_VALUE"""),1.1333333333333333)</f>
        <v>1.133333333</v>
      </c>
      <c r="J321" s="277">
        <f>IFERROR(__xludf.DUMMYFUNCTION("""COMPUTED_VALUE"""),76.0)</f>
        <v>76</v>
      </c>
      <c r="K321" s="29">
        <f>IFERROR(__xludf.DUMMYFUNCTION("""COMPUTED_VALUE"""),3.0)</f>
        <v>3</v>
      </c>
      <c r="L321" s="31" t="str">
        <f>IFERROR(__xludf.DUMMYFUNCTION("""COMPUTED_VALUE"""),"Platformer")</f>
        <v>Platformer</v>
      </c>
    </row>
    <row r="322" hidden="1">
      <c r="A322" s="278" t="str">
        <f>IFERROR(__xludf.DUMMYFUNCTION("""COMPUTED_VALUE"""),"Amnesia: Collection")</f>
        <v>Amnesia: Collection</v>
      </c>
      <c r="B322" s="20" t="str">
        <f>IFERROR(__xludf.DUMMYFUNCTION("""COMPUTED_VALUE"""),"Xbox / PC")</f>
        <v>Xbox / PC</v>
      </c>
      <c r="C322" s="21" t="str">
        <f>IFERROR(__xludf.DUMMYFUNCTION("""COMPUTED_VALUE"""),"Touch Controls")</f>
        <v>Touch Controls</v>
      </c>
      <c r="D322" s="21" t="str">
        <f>IFERROR(__xludf.DUMMYFUNCTION("""COMPUTED_VALUE"""),"Removed")</f>
        <v>Removed</v>
      </c>
      <c r="E322" s="279">
        <f>IFERROR(__xludf.DUMMYFUNCTION("""COMPUTED_VALUE"""),44854.0)</f>
        <v>44854</v>
      </c>
      <c r="F322" s="276">
        <f>IFERROR(__xludf.DUMMYFUNCTION("""COMPUTED_VALUE"""),45397.0)</f>
        <v>45397</v>
      </c>
      <c r="G322" s="27">
        <f>IFERROR(__xludf.DUMMYFUNCTION("""COMPUTED_VALUE"""),17.833333333333336)</f>
        <v>17.83333333</v>
      </c>
      <c r="H322" s="128">
        <f>IFERROR(__xludf.DUMMYFUNCTION("""COMPUTED_VALUE"""),42696.0)</f>
        <v>42696</v>
      </c>
      <c r="I322" s="27">
        <f>IFERROR(__xludf.DUMMYFUNCTION("""COMPUTED_VALUE"""),5.911111111111111)</f>
        <v>5.911111111</v>
      </c>
      <c r="J322" s="277">
        <f>IFERROR(__xludf.DUMMYFUNCTION("""COMPUTED_VALUE"""),79.0)</f>
        <v>79</v>
      </c>
      <c r="K322" s="29">
        <f>IFERROR(__xludf.DUMMYFUNCTION("""COMPUTED_VALUE"""),15.5)</f>
        <v>15.5</v>
      </c>
      <c r="L322" s="275" t="str">
        <f>IFERROR(__xludf.DUMMYFUNCTION("""COMPUTED_VALUE"""),"Adventure")</f>
        <v>Adventure</v>
      </c>
    </row>
    <row r="323" hidden="1">
      <c r="A323" s="278" t="str">
        <f>IFERROR(__xludf.DUMMYFUNCTION("""COMPUTED_VALUE"""),"Amnesia: Rebirth")</f>
        <v>Amnesia: Rebirth</v>
      </c>
      <c r="B323" s="20" t="str">
        <f>IFERROR(__xludf.DUMMYFUNCTION("""COMPUTED_VALUE"""),"Xbox / PC")</f>
        <v>Xbox / PC</v>
      </c>
      <c r="C323" s="21" t="str">
        <f>IFERROR(__xludf.DUMMYFUNCTION("""COMPUTED_VALUE"""),"Touch Controls")</f>
        <v>Touch Controls</v>
      </c>
      <c r="D323" s="21" t="str">
        <f>IFERROR(__xludf.DUMMYFUNCTION("""COMPUTED_VALUE"""),"Removed")</f>
        <v>Removed</v>
      </c>
      <c r="E323" s="279">
        <f>IFERROR(__xludf.DUMMYFUNCTION("""COMPUTED_VALUE"""),44854.0)</f>
        <v>44854</v>
      </c>
      <c r="F323" s="276">
        <f>IFERROR(__xludf.DUMMYFUNCTION("""COMPUTED_VALUE"""),45397.0)</f>
        <v>45397</v>
      </c>
      <c r="G323" s="284">
        <f>IFERROR(__xludf.DUMMYFUNCTION("""COMPUTED_VALUE"""),17.833333333333336)</f>
        <v>17.83333333</v>
      </c>
      <c r="H323" s="128">
        <f>IFERROR(__xludf.DUMMYFUNCTION("""COMPUTED_VALUE"""),44124.0)</f>
        <v>44124</v>
      </c>
      <c r="I323" s="27">
        <f>IFERROR(__xludf.DUMMYFUNCTION("""COMPUTED_VALUE"""),2.0)</f>
        <v>2</v>
      </c>
      <c r="J323" s="277">
        <f>IFERROR(__xludf.DUMMYFUNCTION("""COMPUTED_VALUE"""),80.0)</f>
        <v>80</v>
      </c>
      <c r="K323" s="277">
        <f>IFERROR(__xludf.DUMMYFUNCTION("""COMPUTED_VALUE"""),8.5)</f>
        <v>8.5</v>
      </c>
      <c r="L323" s="275" t="str">
        <f>IFERROR(__xludf.DUMMYFUNCTION("""COMPUTED_VALUE"""),"Adventure")</f>
        <v>Adventure</v>
      </c>
    </row>
    <row r="324" hidden="1">
      <c r="A324" s="278" t="str">
        <f>IFERROR(__xludf.DUMMYFUNCTION("""COMPUTED_VALUE"""),"Phantom Abyss (Game Preview)")</f>
        <v>Phantom Abyss (Game Preview)</v>
      </c>
      <c r="B324" s="21" t="str">
        <f>IFERROR(__xludf.DUMMYFUNCTION("""COMPUTED_VALUE"""),"Xbox / PC")</f>
        <v>Xbox / PC</v>
      </c>
      <c r="C324" s="21" t="str">
        <f>IFERROR(__xludf.DUMMYFUNCTION("""COMPUTED_VALUE"""),"Yes")</f>
        <v>Yes</v>
      </c>
      <c r="D324" s="21" t="str">
        <f>IFERROR(__xludf.DUMMYFUNCTION("""COMPUTED_VALUE"""),"Removed")</f>
        <v>Removed</v>
      </c>
      <c r="E324" s="279">
        <f>IFERROR(__xludf.DUMMYFUNCTION("""COMPUTED_VALUE"""),44854.0)</f>
        <v>44854</v>
      </c>
      <c r="F324" s="276">
        <f>IFERROR(__xludf.DUMMYFUNCTION("""COMPUTED_VALUE"""),45397.0)</f>
        <v>45397</v>
      </c>
      <c r="G324" s="27">
        <f>IFERROR(__xludf.DUMMYFUNCTION("""COMPUTED_VALUE"""),17.833333333333336)</f>
        <v>17.83333333</v>
      </c>
      <c r="H324" s="128">
        <f>IFERROR(__xludf.DUMMYFUNCTION("""COMPUTED_VALUE"""),44369.0)</f>
        <v>44369</v>
      </c>
      <c r="I324" s="27">
        <f>IFERROR(__xludf.DUMMYFUNCTION("""COMPUTED_VALUE"""),1.3277777777777777)</f>
        <v>1.327777778</v>
      </c>
      <c r="J324" s="277">
        <f>IFERROR(__xludf.DUMMYFUNCTION("""COMPUTED_VALUE"""),72.0)</f>
        <v>72</v>
      </c>
      <c r="K324" s="29">
        <f>IFERROR(__xludf.DUMMYFUNCTION("""COMPUTED_VALUE"""),20.0)</f>
        <v>20</v>
      </c>
      <c r="L324" s="275" t="str">
        <f>IFERROR(__xludf.DUMMYFUNCTION("""COMPUTED_VALUE"""),"Platformer")</f>
        <v>Platformer</v>
      </c>
    </row>
    <row r="325" hidden="1">
      <c r="A325" s="278" t="str">
        <f>IFERROR(__xludf.DUMMYFUNCTION("""COMPUTED_VALUE"""),"SOMA")</f>
        <v>SOMA</v>
      </c>
      <c r="B325" s="20" t="str">
        <f>IFERROR(__xludf.DUMMYFUNCTION("""COMPUTED_VALUE"""),"Xbox / PC")</f>
        <v>Xbox / PC</v>
      </c>
      <c r="C325" s="21" t="str">
        <f>IFERROR(__xludf.DUMMYFUNCTION("""COMPUTED_VALUE"""),"Touch Controls")</f>
        <v>Touch Controls</v>
      </c>
      <c r="D325" s="21" t="str">
        <f>IFERROR(__xludf.DUMMYFUNCTION("""COMPUTED_VALUE"""),"Removed")</f>
        <v>Removed</v>
      </c>
      <c r="E325" s="279">
        <f>IFERROR(__xludf.DUMMYFUNCTION("""COMPUTED_VALUE"""),44854.0)</f>
        <v>44854</v>
      </c>
      <c r="F325" s="276">
        <f>IFERROR(__xludf.DUMMYFUNCTION("""COMPUTED_VALUE"""),45397.0)</f>
        <v>45397</v>
      </c>
      <c r="G325" s="27">
        <f>IFERROR(__xludf.DUMMYFUNCTION("""COMPUTED_VALUE"""),17.833333333333336)</f>
        <v>17.83333333</v>
      </c>
      <c r="H325" s="128">
        <f>IFERROR(__xludf.DUMMYFUNCTION("""COMPUTED_VALUE"""),42269.0)</f>
        <v>42269</v>
      </c>
      <c r="I325" s="27">
        <f>IFERROR(__xludf.DUMMYFUNCTION("""COMPUTED_VALUE"""),7.0777777777777775)</f>
        <v>7.077777778</v>
      </c>
      <c r="J325" s="277">
        <f>IFERROR(__xludf.DUMMYFUNCTION("""COMPUTED_VALUE"""),83.0)</f>
        <v>83</v>
      </c>
      <c r="K325" s="277">
        <f>IFERROR(__xludf.DUMMYFUNCTION("""COMPUTED_VALUE"""),9.0)</f>
        <v>9</v>
      </c>
      <c r="L325" s="275" t="str">
        <f>IFERROR(__xludf.DUMMYFUNCTION("""COMPUTED_VALUE"""),"Adventure")</f>
        <v>Adventure</v>
      </c>
    </row>
    <row r="326" hidden="1">
      <c r="A326" s="278" t="str">
        <f>IFERROR(__xludf.DUMMYFUNCTION("""COMPUTED_VALUE"""),"Research and Destroy")</f>
        <v>Research and Destroy</v>
      </c>
      <c r="B326" s="20" t="str">
        <f>IFERROR(__xludf.DUMMYFUNCTION("""COMPUTED_VALUE"""),"Xbox / PC")</f>
        <v>Xbox / PC</v>
      </c>
      <c r="C326" s="21" t="str">
        <f>IFERROR(__xludf.DUMMYFUNCTION("""COMPUTED_VALUE"""),"Touch Controls")</f>
        <v>Touch Controls</v>
      </c>
      <c r="D326" s="21" t="str">
        <f>IFERROR(__xludf.DUMMYFUNCTION("""COMPUTED_VALUE"""),"Removed")</f>
        <v>Removed</v>
      </c>
      <c r="E326" s="279">
        <f>IFERROR(__xludf.DUMMYFUNCTION("""COMPUTED_VALUE"""),44677.0)</f>
        <v>44677</v>
      </c>
      <c r="F326" s="276">
        <f>IFERROR(__xludf.DUMMYFUNCTION("""COMPUTED_VALUE"""),45397.0)</f>
        <v>45397</v>
      </c>
      <c r="G326" s="27">
        <f>IFERROR(__xludf.DUMMYFUNCTION("""COMPUTED_VALUE"""),23.633333333333333)</f>
        <v>23.63333333</v>
      </c>
      <c r="H326" s="128">
        <f>IFERROR(__xludf.DUMMYFUNCTION("""COMPUTED_VALUE"""),44677.0)</f>
        <v>44677</v>
      </c>
      <c r="I326" s="27">
        <f>IFERROR(__xludf.DUMMYFUNCTION("""COMPUTED_VALUE"""),0.0)</f>
        <v>0</v>
      </c>
      <c r="J326" s="277">
        <f>IFERROR(__xludf.DUMMYFUNCTION("""COMPUTED_VALUE"""),73.0)</f>
        <v>73</v>
      </c>
      <c r="K326" s="29">
        <f>IFERROR(__xludf.DUMMYFUNCTION("""COMPUTED_VALUE"""),6.5)</f>
        <v>6.5</v>
      </c>
      <c r="L326" s="275" t="str">
        <f>IFERROR(__xludf.DUMMYFUNCTION("""COMPUTED_VALUE"""),"Shooter")</f>
        <v>Shooter</v>
      </c>
    </row>
    <row r="327" hidden="1">
      <c r="A327" s="278" t="str">
        <f>IFERROR(__xludf.DUMMYFUNCTION("""COMPUTED_VALUE"""),"Back 4 Blood")</f>
        <v>Back 4 Blood</v>
      </c>
      <c r="B327" s="20" t="str">
        <f>IFERROR(__xludf.DUMMYFUNCTION("""COMPUTED_VALUE"""),"Xbox / PC")</f>
        <v>Xbox / PC</v>
      </c>
      <c r="C327" s="21" t="str">
        <f>IFERROR(__xludf.DUMMYFUNCTION("""COMPUTED_VALUE"""),"Yes")</f>
        <v>Yes</v>
      </c>
      <c r="D327" s="21" t="str">
        <f>IFERROR(__xludf.DUMMYFUNCTION("""COMPUTED_VALUE"""),"Removed")</f>
        <v>Removed</v>
      </c>
      <c r="E327" s="279">
        <f>IFERROR(__xludf.DUMMYFUNCTION("""COMPUTED_VALUE"""),44481.0)</f>
        <v>44481</v>
      </c>
      <c r="F327" s="276">
        <f>IFERROR(__xludf.DUMMYFUNCTION("""COMPUTED_VALUE"""),45397.0)</f>
        <v>45397</v>
      </c>
      <c r="G327" s="27">
        <f>IFERROR(__xludf.DUMMYFUNCTION("""COMPUTED_VALUE"""),30.1)</f>
        <v>30.1</v>
      </c>
      <c r="H327" s="128">
        <f>IFERROR(__xludf.DUMMYFUNCTION("""COMPUTED_VALUE"""),44481.0)</f>
        <v>44481</v>
      </c>
      <c r="I327" s="27">
        <f>IFERROR(__xludf.DUMMYFUNCTION("""COMPUTED_VALUE"""),0.0)</f>
        <v>0</v>
      </c>
      <c r="J327" s="277">
        <f>IFERROR(__xludf.DUMMYFUNCTION("""COMPUTED_VALUE"""),76.5)</f>
        <v>76.5</v>
      </c>
      <c r="K327" s="277">
        <f>IFERROR(__xludf.DUMMYFUNCTION("""COMPUTED_VALUE"""),8.5)</f>
        <v>8.5</v>
      </c>
      <c r="L327" s="275" t="str">
        <f>IFERROR(__xludf.DUMMYFUNCTION("""COMPUTED_VALUE"""),"Shooter")</f>
        <v>Shooter</v>
      </c>
    </row>
    <row r="328" hidden="1">
      <c r="A328" s="278" t="str">
        <f>IFERROR(__xludf.DUMMYFUNCTION("""COMPUTED_VALUE"""),"INFINITE GUITARS")</f>
        <v>INFINITE GUITARS</v>
      </c>
      <c r="B328" s="20" t="str">
        <f>IFERROR(__xludf.DUMMYFUNCTION("""COMPUTED_VALUE"""),"Xbox / PC")</f>
        <v>Xbox / PC</v>
      </c>
      <c r="C328" s="21" t="str">
        <f>IFERROR(__xludf.DUMMYFUNCTION("""COMPUTED_VALUE"""),"Yes")</f>
        <v>Yes</v>
      </c>
      <c r="D328" s="21" t="str">
        <f>IFERROR(__xludf.DUMMYFUNCTION("""COMPUTED_VALUE"""),"Removed")</f>
        <v>Removed</v>
      </c>
      <c r="E328" s="279">
        <f>IFERROR(__xludf.DUMMYFUNCTION("""COMPUTED_VALUE"""),45015.0)</f>
        <v>45015</v>
      </c>
      <c r="F328" s="276">
        <f>IFERROR(__xludf.DUMMYFUNCTION("""COMPUTED_VALUE"""),45382.0)</f>
        <v>45382</v>
      </c>
      <c r="G328" s="27">
        <f>IFERROR(__xludf.DUMMYFUNCTION("""COMPUTED_VALUE"""),12.0)</f>
        <v>12</v>
      </c>
      <c r="H328" s="128">
        <f>IFERROR(__xludf.DUMMYFUNCTION("""COMPUTED_VALUE"""),44908.0)</f>
        <v>44908</v>
      </c>
      <c r="I328" s="27">
        <f>IFERROR(__xludf.DUMMYFUNCTION("""COMPUTED_VALUE"""),0.2972222222222222)</f>
        <v>0.2972222222</v>
      </c>
      <c r="J328" s="277">
        <f>IFERROR(__xludf.DUMMYFUNCTION("""COMPUTED_VALUE"""),62.0)</f>
        <v>62</v>
      </c>
      <c r="K328" s="29">
        <f>IFERROR(__xludf.DUMMYFUNCTION("""COMPUTED_VALUE"""),12.0)</f>
        <v>12</v>
      </c>
      <c r="L328" s="31" t="str">
        <f>IFERROR(__xludf.DUMMYFUNCTION("""COMPUTED_VALUE"""),"RPG")</f>
        <v>RPG</v>
      </c>
    </row>
    <row r="329" hidden="1">
      <c r="A329" s="278" t="str">
        <f>IFERROR(__xludf.DUMMYFUNCTION("""COMPUTED_VALUE"""),"MLB The Show 23")</f>
        <v>MLB The Show 23</v>
      </c>
      <c r="B329" s="21" t="str">
        <f>IFERROR(__xludf.DUMMYFUNCTION("""COMPUTED_VALUE"""),"Xbox")</f>
        <v>Xbox</v>
      </c>
      <c r="C329" s="21" t="str">
        <f>IFERROR(__xludf.DUMMYFUNCTION("""COMPUTED_VALUE"""),"Yes")</f>
        <v>Yes</v>
      </c>
      <c r="D329" s="21" t="str">
        <f>IFERROR(__xludf.DUMMYFUNCTION("""COMPUTED_VALUE"""),"Removed")</f>
        <v>Removed</v>
      </c>
      <c r="E329" s="279">
        <f>IFERROR(__xludf.DUMMYFUNCTION("""COMPUTED_VALUE"""),45013.0)</f>
        <v>45013</v>
      </c>
      <c r="F329" s="276">
        <f>IFERROR(__xludf.DUMMYFUNCTION("""COMPUTED_VALUE"""),45382.0)</f>
        <v>45382</v>
      </c>
      <c r="G329" s="27">
        <f>IFERROR(__xludf.DUMMYFUNCTION("""COMPUTED_VALUE"""),12.066666666666666)</f>
        <v>12.06666667</v>
      </c>
      <c r="H329" s="128">
        <f>IFERROR(__xludf.DUMMYFUNCTION("""COMPUTED_VALUE"""),45013.0)</f>
        <v>45013</v>
      </c>
      <c r="I329" s="27">
        <f>IFERROR(__xludf.DUMMYFUNCTION("""COMPUTED_VALUE"""),0.0)</f>
        <v>0</v>
      </c>
      <c r="J329" s="277">
        <f>IFERROR(__xludf.DUMMYFUNCTION("""COMPUTED_VALUE"""),80.0)</f>
        <v>80</v>
      </c>
      <c r="K329" s="277">
        <f>IFERROR(__xludf.DUMMYFUNCTION("""COMPUTED_VALUE"""),57.0)</f>
        <v>57</v>
      </c>
      <c r="L329" s="275" t="str">
        <f>IFERROR(__xludf.DUMMYFUNCTION("""COMPUTED_VALUE"""),"Sports")</f>
        <v>Sports</v>
      </c>
    </row>
    <row r="330" hidden="1">
      <c r="A330" s="278" t="str">
        <f>IFERROR(__xludf.DUMMYFUNCTION("""COMPUTED_VALUE"""),"Hot Wheels Unleashed: Game of the Year Edition")</f>
        <v>Hot Wheels Unleashed: Game of the Year Edition</v>
      </c>
      <c r="B330" s="20" t="str">
        <f>IFERROR(__xludf.DUMMYFUNCTION("""COMPUTED_VALUE"""),"Xbox / PC")</f>
        <v>Xbox / PC</v>
      </c>
      <c r="C330" s="21" t="str">
        <f>IFERROR(__xludf.DUMMYFUNCTION("""COMPUTED_VALUE"""),"Yes")</f>
        <v>Yes</v>
      </c>
      <c r="D330" s="21" t="str">
        <f>IFERROR(__xludf.DUMMYFUNCTION("""COMPUTED_VALUE"""),"Removed")</f>
        <v>Removed</v>
      </c>
      <c r="E330" s="279">
        <f>IFERROR(__xludf.DUMMYFUNCTION("""COMPUTED_VALUE"""),44964.0)</f>
        <v>44964</v>
      </c>
      <c r="F330" s="276">
        <f>IFERROR(__xludf.DUMMYFUNCTION("""COMPUTED_VALUE"""),45382.0)</f>
        <v>45382</v>
      </c>
      <c r="G330" s="27">
        <f>IFERROR(__xludf.DUMMYFUNCTION("""COMPUTED_VALUE"""),13.766666666666666)</f>
        <v>13.76666667</v>
      </c>
      <c r="H330" s="128">
        <f>IFERROR(__xludf.DUMMYFUNCTION("""COMPUTED_VALUE"""),44469.0)</f>
        <v>44469</v>
      </c>
      <c r="I330" s="27">
        <f>IFERROR(__xludf.DUMMYFUNCTION("""COMPUTED_VALUE"""),1.3527777777777779)</f>
        <v>1.352777778</v>
      </c>
      <c r="J330" s="277">
        <f>IFERROR(__xludf.DUMMYFUNCTION("""COMPUTED_VALUE"""),72.0)</f>
        <v>72</v>
      </c>
      <c r="K330" s="277">
        <f>IFERROR(__xludf.DUMMYFUNCTION("""COMPUTED_VALUE"""),9.0)</f>
        <v>9</v>
      </c>
      <c r="L330" s="275" t="str">
        <f>IFERROR(__xludf.DUMMYFUNCTION("""COMPUTED_VALUE"""),"Racing")</f>
        <v>Racing</v>
      </c>
    </row>
    <row r="331" hidden="1">
      <c r="A331" s="278" t="str">
        <f>IFERROR(__xludf.DUMMYFUNCTION("""COMPUTED_VALUE"""),"Hardspace: Shipbreaker")</f>
        <v>Hardspace: Shipbreaker</v>
      </c>
      <c r="B331" s="20" t="str">
        <f>IFERROR(__xludf.DUMMYFUNCTION("""COMPUTED_VALUE"""),"Xbox / PC")</f>
        <v>Xbox / PC</v>
      </c>
      <c r="C331" s="21" t="str">
        <f>IFERROR(__xludf.DUMMYFUNCTION("""COMPUTED_VALUE"""),"Yes")</f>
        <v>Yes</v>
      </c>
      <c r="D331" s="21" t="str">
        <f>IFERROR(__xludf.DUMMYFUNCTION("""COMPUTED_VALUE"""),"Removed")</f>
        <v>Removed</v>
      </c>
      <c r="E331" s="279">
        <f>IFERROR(__xludf.DUMMYFUNCTION("""COMPUTED_VALUE"""),44705.0)</f>
        <v>44705</v>
      </c>
      <c r="F331" s="279">
        <f>IFERROR(__xludf.DUMMYFUNCTION("""COMPUTED_VALUE"""),45366.0)</f>
        <v>45366</v>
      </c>
      <c r="G331" s="27">
        <f>IFERROR(__xludf.DUMMYFUNCTION("""COMPUTED_VALUE"""),21.7)</f>
        <v>21.7</v>
      </c>
      <c r="H331" s="128">
        <f>IFERROR(__xludf.DUMMYFUNCTION("""COMPUTED_VALUE"""),43998.0)</f>
        <v>43998</v>
      </c>
      <c r="I331" s="27">
        <f>IFERROR(__xludf.DUMMYFUNCTION("""COMPUTED_VALUE"""),1.9388888888888889)</f>
        <v>1.938888889</v>
      </c>
      <c r="J331" s="277">
        <f>IFERROR(__xludf.DUMMYFUNCTION("""COMPUTED_VALUE"""),82.0)</f>
        <v>82</v>
      </c>
      <c r="K331" s="29">
        <f>IFERROR(__xludf.DUMMYFUNCTION("""COMPUTED_VALUE"""),26.5)</f>
        <v>26.5</v>
      </c>
      <c r="L331" s="275" t="str">
        <f>IFERROR(__xludf.DUMMYFUNCTION("""COMPUTED_VALUE"""),"Simulation")</f>
        <v>Simulation</v>
      </c>
    </row>
    <row r="332" hidden="1">
      <c r="A332" s="278" t="str">
        <f>IFERROR(__xludf.DUMMYFUNCTION("""COMPUTED_VALUE"""),"Shredders")</f>
        <v>Shredders</v>
      </c>
      <c r="B332" s="20" t="str">
        <f>IFERROR(__xludf.DUMMYFUNCTION("""COMPUTED_VALUE"""),"Xbox / PC")</f>
        <v>Xbox / PC</v>
      </c>
      <c r="C332" s="21" t="str">
        <f>IFERROR(__xludf.DUMMYFUNCTION("""COMPUTED_VALUE"""),"Yes")</f>
        <v>Yes</v>
      </c>
      <c r="D332" s="21" t="str">
        <f>IFERROR(__xludf.DUMMYFUNCTION("""COMPUTED_VALUE"""),"Removed")</f>
        <v>Removed</v>
      </c>
      <c r="E332" s="279">
        <f>IFERROR(__xludf.DUMMYFUNCTION("""COMPUTED_VALUE"""),44637.0)</f>
        <v>44637</v>
      </c>
      <c r="F332" s="279">
        <f>IFERROR(__xludf.DUMMYFUNCTION("""COMPUTED_VALUE"""),45366.0)</f>
        <v>45366</v>
      </c>
      <c r="G332" s="27">
        <f>IFERROR(__xludf.DUMMYFUNCTION("""COMPUTED_VALUE"""),23.933333333333334)</f>
        <v>23.93333333</v>
      </c>
      <c r="H332" s="128">
        <f>IFERROR(__xludf.DUMMYFUNCTION("""COMPUTED_VALUE"""),44637.0)</f>
        <v>44637</v>
      </c>
      <c r="I332" s="27">
        <f>IFERROR(__xludf.DUMMYFUNCTION("""COMPUTED_VALUE"""),0.0)</f>
        <v>0</v>
      </c>
      <c r="J332" s="277">
        <f>IFERROR(__xludf.DUMMYFUNCTION("""COMPUTED_VALUE"""),69.0)</f>
        <v>69</v>
      </c>
      <c r="K332" s="29">
        <f>IFERROR(__xludf.DUMMYFUNCTION("""COMPUTED_VALUE"""),3.5)</f>
        <v>3.5</v>
      </c>
      <c r="L332" s="275" t="str">
        <f>IFERROR(__xludf.DUMMYFUNCTION("""COMPUTED_VALUE"""),"Sports")</f>
        <v>Sports</v>
      </c>
    </row>
    <row r="333" hidden="1">
      <c r="A333" s="17" t="str">
        <f>IFERROR(__xludf.DUMMYFUNCTION("""COMPUTED_VALUE"""),"Soul Hackers 2")</f>
        <v>Soul Hackers 2</v>
      </c>
      <c r="B333" s="20" t="str">
        <f>IFERROR(__xludf.DUMMYFUNCTION("""COMPUTED_VALUE"""),"Xbox / PC")</f>
        <v>Xbox / PC</v>
      </c>
      <c r="C333" s="21" t="str">
        <f>IFERROR(__xludf.DUMMYFUNCTION("""COMPUTED_VALUE"""),"Yes")</f>
        <v>Yes</v>
      </c>
      <c r="D333" s="21" t="str">
        <f>IFERROR(__xludf.DUMMYFUNCTION("""COMPUTED_VALUE"""),"Removed")</f>
        <v>Removed</v>
      </c>
      <c r="E333" s="279">
        <f>IFERROR(__xludf.DUMMYFUNCTION("""COMPUTED_VALUE"""),44985.0)</f>
        <v>44985</v>
      </c>
      <c r="F333" s="279">
        <f>IFERROR(__xludf.DUMMYFUNCTION("""COMPUTED_VALUE"""),45351.0)</f>
        <v>45351</v>
      </c>
      <c r="G333" s="27">
        <f>IFERROR(__xludf.DUMMYFUNCTION("""COMPUTED_VALUE"""),12.033333333333333)</f>
        <v>12.03333333</v>
      </c>
      <c r="H333" s="128">
        <f>IFERROR(__xludf.DUMMYFUNCTION("""COMPUTED_VALUE"""),44798.0)</f>
        <v>44798</v>
      </c>
      <c r="I333" s="27">
        <f>IFERROR(__xludf.DUMMYFUNCTION("""COMPUTED_VALUE"""),0.5083333333333333)</f>
        <v>0.5083333333</v>
      </c>
      <c r="J333" s="29">
        <f>IFERROR(__xludf.DUMMYFUNCTION("""COMPUTED_VALUE"""),74.0)</f>
        <v>74</v>
      </c>
      <c r="K333" s="29">
        <f>IFERROR(__xludf.DUMMYFUNCTION("""COMPUTED_VALUE"""),32.0)</f>
        <v>32</v>
      </c>
      <c r="L333" s="275" t="str">
        <f>IFERROR(__xludf.DUMMYFUNCTION("""COMPUTED_VALUE"""),"RPG")</f>
        <v>RPG</v>
      </c>
    </row>
    <row r="334" hidden="1">
      <c r="A334" s="278" t="str">
        <f>IFERROR(__xludf.DUMMYFUNCTION("""COMPUTED_VALUE"""),"Madden NFL 22")</f>
        <v>Madden NFL 22</v>
      </c>
      <c r="B334" s="20" t="str">
        <f>IFERROR(__xludf.DUMMYFUNCTION("""COMPUTED_VALUE"""),"Xbox / PC")</f>
        <v>Xbox / PC</v>
      </c>
      <c r="C334" s="21"/>
      <c r="D334" s="21" t="str">
        <f>IFERROR(__xludf.DUMMYFUNCTION("""COMPUTED_VALUE"""),"Removed")</f>
        <v>Removed</v>
      </c>
      <c r="E334" s="279">
        <f>IFERROR(__xludf.DUMMYFUNCTION("""COMPUTED_VALUE"""),44609.0)</f>
        <v>44609</v>
      </c>
      <c r="F334" s="279">
        <f>IFERROR(__xludf.DUMMYFUNCTION("""COMPUTED_VALUE"""),45351.0)</f>
        <v>45351</v>
      </c>
      <c r="G334" s="27">
        <f>IFERROR(__xludf.DUMMYFUNCTION("""COMPUTED_VALUE"""),24.4)</f>
        <v>24.4</v>
      </c>
      <c r="H334" s="128">
        <f>IFERROR(__xludf.DUMMYFUNCTION("""COMPUTED_VALUE"""),44428.0)</f>
        <v>44428</v>
      </c>
      <c r="I334" s="27">
        <f>IFERROR(__xludf.DUMMYFUNCTION("""COMPUTED_VALUE"""),0.49166666666666664)</f>
        <v>0.4916666667</v>
      </c>
      <c r="J334" s="29">
        <f>IFERROR(__xludf.DUMMYFUNCTION("""COMPUTED_VALUE"""),70.0)</f>
        <v>70</v>
      </c>
      <c r="K334" s="29">
        <f>IFERROR(__xludf.DUMMYFUNCTION("""COMPUTED_VALUE"""),19.0)</f>
        <v>19</v>
      </c>
      <c r="L334" s="275" t="str">
        <f>IFERROR(__xludf.DUMMYFUNCTION("""COMPUTED_VALUE"""),"Sports")</f>
        <v>Sports</v>
      </c>
    </row>
    <row r="335" hidden="1">
      <c r="A335" s="278" t="str">
        <f>IFERROR(__xludf.DUMMYFUNCTION("""COMPUTED_VALUE"""),"Opus: Echo of Starsong - Full Bloom Edition")</f>
        <v>Opus: Echo of Starsong - Full Bloom Edition</v>
      </c>
      <c r="B335" s="20" t="str">
        <f>IFERROR(__xludf.DUMMYFUNCTION("""COMPUTED_VALUE"""),"Xbox / PC")</f>
        <v>Xbox / PC</v>
      </c>
      <c r="C335" s="21" t="str">
        <f>IFERROR(__xludf.DUMMYFUNCTION("""COMPUTED_VALUE"""),"Touch Controls")</f>
        <v>Touch Controls</v>
      </c>
      <c r="D335" s="21" t="str">
        <f>IFERROR(__xludf.DUMMYFUNCTION("""COMPUTED_VALUE"""),"Removed")</f>
        <v>Removed</v>
      </c>
      <c r="E335" s="279">
        <f>IFERROR(__xludf.DUMMYFUNCTION("""COMPUTED_VALUE"""),44798.0)</f>
        <v>44798</v>
      </c>
      <c r="F335" s="279">
        <f>IFERROR(__xludf.DUMMYFUNCTION("""COMPUTED_VALUE"""),45337.0)</f>
        <v>45337</v>
      </c>
      <c r="G335" s="27">
        <f>IFERROR(__xludf.DUMMYFUNCTION("""COMPUTED_VALUE"""),17.666666666666668)</f>
        <v>17.66666667</v>
      </c>
      <c r="H335" s="128">
        <f>IFERROR(__xludf.DUMMYFUNCTION("""COMPUTED_VALUE"""),44439.0)</f>
        <v>44439</v>
      </c>
      <c r="I335" s="27">
        <f>IFERROR(__xludf.DUMMYFUNCTION("""COMPUTED_VALUE"""),0.9861111111111112)</f>
        <v>0.9861111111</v>
      </c>
      <c r="J335" s="29">
        <f>IFERROR(__xludf.DUMMYFUNCTION("""COMPUTED_VALUE"""),90.0)</f>
        <v>90</v>
      </c>
      <c r="K335" s="29">
        <f>IFERROR(__xludf.DUMMYFUNCTION("""COMPUTED_VALUE"""),9.5)</f>
        <v>9.5</v>
      </c>
      <c r="L335" s="275" t="str">
        <f>IFERROR(__xludf.DUMMYFUNCTION("""COMPUTED_VALUE"""),"Adventure")</f>
        <v>Adventure</v>
      </c>
    </row>
    <row r="336" hidden="1">
      <c r="A336" s="278" t="str">
        <f>IFERROR(__xludf.DUMMYFUNCTION("""COMPUTED_VALUE"""),"Galactic Civilizations III")</f>
        <v>Galactic Civilizations III</v>
      </c>
      <c r="B336" s="20" t="str">
        <f>IFERROR(__xludf.DUMMYFUNCTION("""COMPUTED_VALUE"""),"PC")</f>
        <v>PC</v>
      </c>
      <c r="C336" s="21"/>
      <c r="D336" s="21" t="str">
        <f>IFERROR(__xludf.DUMMYFUNCTION("""COMPUTED_VALUE"""),"Removed")</f>
        <v>Removed</v>
      </c>
      <c r="E336" s="279">
        <f>IFERROR(__xludf.DUMMYFUNCTION("""COMPUTED_VALUE"""),44616.0)</f>
        <v>44616</v>
      </c>
      <c r="F336" s="279">
        <f>IFERROR(__xludf.DUMMYFUNCTION("""COMPUTED_VALUE"""),45337.0)</f>
        <v>45337</v>
      </c>
      <c r="G336" s="27">
        <f>IFERROR(__xludf.DUMMYFUNCTION("""COMPUTED_VALUE"""),23.700000000000003)</f>
        <v>23.7</v>
      </c>
      <c r="H336" s="128">
        <f>IFERROR(__xludf.DUMMYFUNCTION("""COMPUTED_VALUE"""),41725.0)</f>
        <v>41725</v>
      </c>
      <c r="I336" s="27">
        <f>IFERROR(__xludf.DUMMYFUNCTION("""COMPUTED_VALUE"""),7.908333333333333)</f>
        <v>7.908333333</v>
      </c>
      <c r="J336" s="277">
        <f>IFERROR(__xludf.DUMMYFUNCTION("""COMPUTED_VALUE"""),81.0)</f>
        <v>81</v>
      </c>
      <c r="K336" s="29">
        <f>IFERROR(__xludf.DUMMYFUNCTION("""COMPUTED_VALUE"""),23.0)</f>
        <v>23</v>
      </c>
      <c r="L336" s="275" t="str">
        <f>IFERROR(__xludf.DUMMYFUNCTION("""COMPUTED_VALUE"""),"Strategy")</f>
        <v>Strategy</v>
      </c>
    </row>
    <row r="337" hidden="1">
      <c r="A337" s="278" t="str">
        <f>IFERROR(__xludf.DUMMYFUNCTION("""COMPUTED_VALUE"""),"F1 2021")</f>
        <v>F1 2021</v>
      </c>
      <c r="B337" s="20" t="str">
        <f>IFERROR(__xludf.DUMMYFUNCTION("""COMPUTED_VALUE"""),"Xbox")</f>
        <v>Xbox</v>
      </c>
      <c r="C337" s="21" t="str">
        <f>IFERROR(__xludf.DUMMYFUNCTION("""COMPUTED_VALUE"""),"Yes")</f>
        <v>Yes</v>
      </c>
      <c r="D337" s="21" t="str">
        <f>IFERROR(__xludf.DUMMYFUNCTION("""COMPUTED_VALUE"""),"Removed")</f>
        <v>Removed</v>
      </c>
      <c r="E337" s="279">
        <f>IFERROR(__xludf.DUMMYFUNCTION("""COMPUTED_VALUE"""),44644.0)</f>
        <v>44644</v>
      </c>
      <c r="F337" s="279">
        <f>IFERROR(__xludf.DUMMYFUNCTION("""COMPUTED_VALUE"""),45322.0)</f>
        <v>45322</v>
      </c>
      <c r="G337" s="27">
        <f>IFERROR(__xludf.DUMMYFUNCTION("""COMPUTED_VALUE"""),22.200000000000003)</f>
        <v>22.2</v>
      </c>
      <c r="H337" s="128">
        <f>IFERROR(__xludf.DUMMYFUNCTION("""COMPUTED_VALUE"""),44392.0)</f>
        <v>44392</v>
      </c>
      <c r="I337" s="27">
        <f>IFERROR(__xludf.DUMMYFUNCTION("""COMPUTED_VALUE"""),0.6916666666666667)</f>
        <v>0.6916666667</v>
      </c>
      <c r="J337" s="277">
        <f>IFERROR(__xludf.DUMMYFUNCTION("""COMPUTED_VALUE"""),84.0)</f>
        <v>84</v>
      </c>
      <c r="K337" s="29">
        <f>IFERROR(__xludf.DUMMYFUNCTION("""COMPUTED_VALUE"""),7.5)</f>
        <v>7.5</v>
      </c>
      <c r="L337" s="275" t="str">
        <f>IFERROR(__xludf.DUMMYFUNCTION("""COMPUTED_VALUE"""),"Racing")</f>
        <v>Racing</v>
      </c>
    </row>
    <row r="338" hidden="1">
      <c r="A338" s="17" t="str">
        <f>IFERROR(__xludf.DUMMYFUNCTION("""COMPUTED_VALUE"""),"HITMAN: World of Assassination")</f>
        <v>HITMAN: World of Assassination</v>
      </c>
      <c r="B338" s="20" t="str">
        <f>IFERROR(__xludf.DUMMYFUNCTION("""COMPUTED_VALUE"""),"Xbox / PC")</f>
        <v>Xbox / PC</v>
      </c>
      <c r="C338" s="21" t="str">
        <f>IFERROR(__xludf.DUMMYFUNCTION("""COMPUTED_VALUE"""),"Touch Controls")</f>
        <v>Touch Controls</v>
      </c>
      <c r="D338" s="21" t="str">
        <f>IFERROR(__xludf.DUMMYFUNCTION("""COMPUTED_VALUE"""),"Removed")</f>
        <v>Removed</v>
      </c>
      <c r="E338" s="279">
        <f>IFERROR(__xludf.DUMMYFUNCTION("""COMPUTED_VALUE"""),44581.0)</f>
        <v>44581</v>
      </c>
      <c r="F338" s="279">
        <f>IFERROR(__xludf.DUMMYFUNCTION("""COMPUTED_VALUE"""),45322.0)</f>
        <v>45322</v>
      </c>
      <c r="G338" s="27">
        <f>IFERROR(__xludf.DUMMYFUNCTION("""COMPUTED_VALUE"""),24.333333333333332)</f>
        <v>24.33333333</v>
      </c>
      <c r="H338" s="128">
        <f>IFERROR(__xludf.DUMMYFUNCTION("""COMPUTED_VALUE"""),44581.0)</f>
        <v>44581</v>
      </c>
      <c r="I338" s="27">
        <f>IFERROR(__xludf.DUMMYFUNCTION("""COMPUTED_VALUE"""),0.0)</f>
        <v>0</v>
      </c>
      <c r="J338" s="29">
        <f>IFERROR(__xludf.DUMMYFUNCTION("""COMPUTED_VALUE"""),85.33333333333333)</f>
        <v>85.33333333</v>
      </c>
      <c r="K338" s="29">
        <f>IFERROR(__xludf.DUMMYFUNCTION("""COMPUTED_VALUE"""),25.0)</f>
        <v>25</v>
      </c>
      <c r="L338" s="275" t="str">
        <f>IFERROR(__xludf.DUMMYFUNCTION("""COMPUTED_VALUE"""),"Action-Adventure")</f>
        <v>Action-Adventure</v>
      </c>
    </row>
    <row r="339" hidden="1">
      <c r="A339" s="278" t="str">
        <f>IFERROR(__xludf.DUMMYFUNCTION("""COMPUTED_VALUE"""),"Persona 3: Portable")</f>
        <v>Persona 3: Portable</v>
      </c>
      <c r="B339" s="20" t="str">
        <f>IFERROR(__xludf.DUMMYFUNCTION("""COMPUTED_VALUE"""),"Xbox / PC")</f>
        <v>Xbox / PC</v>
      </c>
      <c r="C339" s="21" t="str">
        <f>IFERROR(__xludf.DUMMYFUNCTION("""COMPUTED_VALUE"""),"Yes")</f>
        <v>Yes</v>
      </c>
      <c r="D339" s="21" t="str">
        <f>IFERROR(__xludf.DUMMYFUNCTION("""COMPUTED_VALUE"""),"Removed")</f>
        <v>Removed</v>
      </c>
      <c r="E339" s="23">
        <f>IFERROR(__xludf.DUMMYFUNCTION("""COMPUTED_VALUE"""),44945.0)</f>
        <v>44945</v>
      </c>
      <c r="F339" s="279">
        <f>IFERROR(__xludf.DUMMYFUNCTION("""COMPUTED_VALUE"""),45306.0)</f>
        <v>45306</v>
      </c>
      <c r="G339" s="27">
        <f>IFERROR(__xludf.DUMMYFUNCTION("""COMPUTED_VALUE"""),11.866666666666667)</f>
        <v>11.86666667</v>
      </c>
      <c r="H339" s="128">
        <f>IFERROR(__xludf.DUMMYFUNCTION("""COMPUTED_VALUE"""),40118.0)</f>
        <v>40118</v>
      </c>
      <c r="I339" s="27">
        <f>IFERROR(__xludf.DUMMYFUNCTION("""COMPUTED_VALUE"""),13.216666666666667)</f>
        <v>13.21666667</v>
      </c>
      <c r="J339" s="29">
        <f>IFERROR(__xludf.DUMMYFUNCTION("""COMPUTED_VALUE"""),89.0)</f>
        <v>89</v>
      </c>
      <c r="K339" s="29">
        <f>IFERROR(__xludf.DUMMYFUNCTION("""COMPUTED_VALUE"""),65.5)</f>
        <v>65.5</v>
      </c>
      <c r="L339" s="275" t="str">
        <f>IFERROR(__xludf.DUMMYFUNCTION("""COMPUTED_VALUE"""),"RPG")</f>
        <v>RPG</v>
      </c>
    </row>
    <row r="340" hidden="1">
      <c r="A340" s="278" t="str">
        <f>IFERROR(__xludf.DUMMYFUNCTION("""COMPUTED_VALUE"""),"MotoGP 22")</f>
        <v>MotoGP 22</v>
      </c>
      <c r="B340" s="20" t="str">
        <f>IFERROR(__xludf.DUMMYFUNCTION("""COMPUTED_VALUE"""),"Xbox / PC")</f>
        <v>Xbox / PC</v>
      </c>
      <c r="C340" s="21" t="str">
        <f>IFERROR(__xludf.DUMMYFUNCTION("""COMPUTED_VALUE"""),"Yes")</f>
        <v>Yes</v>
      </c>
      <c r="D340" s="21" t="str">
        <f>IFERROR(__xludf.DUMMYFUNCTION("""COMPUTED_VALUE"""),"Removed")</f>
        <v>Removed</v>
      </c>
      <c r="E340" s="279">
        <f>IFERROR(__xludf.DUMMYFUNCTION("""COMPUTED_VALUE"""),44763.0)</f>
        <v>44763</v>
      </c>
      <c r="F340" s="279">
        <f>IFERROR(__xludf.DUMMYFUNCTION("""COMPUTED_VALUE"""),45306.0)</f>
        <v>45306</v>
      </c>
      <c r="G340" s="27">
        <f>IFERROR(__xludf.DUMMYFUNCTION("""COMPUTED_VALUE"""),17.8)</f>
        <v>17.8</v>
      </c>
      <c r="H340" s="128">
        <f>IFERROR(__xludf.DUMMYFUNCTION("""COMPUTED_VALUE"""),44672.0)</f>
        <v>44672</v>
      </c>
      <c r="I340" s="27">
        <f>IFERROR(__xludf.DUMMYFUNCTION("""COMPUTED_VALUE"""),0.25)</f>
        <v>0.25</v>
      </c>
      <c r="J340" s="29">
        <f>IFERROR(__xludf.DUMMYFUNCTION("""COMPUTED_VALUE"""),81.0)</f>
        <v>81</v>
      </c>
      <c r="K340" s="29">
        <f>IFERROR(__xludf.DUMMYFUNCTION("""COMPUTED_VALUE"""),10.5)</f>
        <v>10.5</v>
      </c>
      <c r="L340" s="275" t="str">
        <f>IFERROR(__xludf.DUMMYFUNCTION("""COMPUTED_VALUE"""),"Racing")</f>
        <v>Racing</v>
      </c>
    </row>
    <row r="341" hidden="1">
      <c r="A341" s="278" t="str">
        <f>IFERROR(__xludf.DUMMYFUNCTION("""COMPUTED_VALUE"""),"Garden Story")</f>
        <v>Garden Story</v>
      </c>
      <c r="B341" s="20" t="str">
        <f>IFERROR(__xludf.DUMMYFUNCTION("""COMPUTED_VALUE"""),"Xbox / PC")</f>
        <v>Xbox / PC</v>
      </c>
      <c r="C341" s="21" t="str">
        <f>IFERROR(__xludf.DUMMYFUNCTION("""COMPUTED_VALUE"""),"Touch Controls")</f>
        <v>Touch Controls</v>
      </c>
      <c r="D341" s="21" t="str">
        <f>IFERROR(__xludf.DUMMYFUNCTION("""COMPUTED_VALUE"""),"Removed")</f>
        <v>Removed</v>
      </c>
      <c r="E341" s="279">
        <f>IFERROR(__xludf.DUMMYFUNCTION("""COMPUTED_VALUE"""),44760.0)</f>
        <v>44760</v>
      </c>
      <c r="F341" s="279">
        <f>IFERROR(__xludf.DUMMYFUNCTION("""COMPUTED_VALUE"""),45306.0)</f>
        <v>45306</v>
      </c>
      <c r="G341" s="27">
        <f>IFERROR(__xludf.DUMMYFUNCTION("""COMPUTED_VALUE"""),17.9)</f>
        <v>17.9</v>
      </c>
      <c r="H341" s="128">
        <f>IFERROR(__xludf.DUMMYFUNCTION("""COMPUTED_VALUE"""),44419.0)</f>
        <v>44419</v>
      </c>
      <c r="I341" s="27">
        <f>IFERROR(__xludf.DUMMYFUNCTION("""COMPUTED_VALUE"""),0.9361111111111111)</f>
        <v>0.9361111111</v>
      </c>
      <c r="J341" s="277">
        <f>IFERROR(__xludf.DUMMYFUNCTION("""COMPUTED_VALUE"""),70.0)</f>
        <v>70</v>
      </c>
      <c r="K341" s="29">
        <f>IFERROR(__xludf.DUMMYFUNCTION("""COMPUTED_VALUE"""),10.0)</f>
        <v>10</v>
      </c>
      <c r="L341" s="275" t="str">
        <f>IFERROR(__xludf.DUMMYFUNCTION("""COMPUTED_VALUE"""),"RPG")</f>
        <v>RPG</v>
      </c>
    </row>
    <row r="342" hidden="1">
      <c r="A342" s="278" t="str">
        <f>IFERROR(__xludf.DUMMYFUNCTION("""COMPUTED_VALUE"""),"NARAKA: BLADEPOINT")</f>
        <v>NARAKA: BLADEPOINT</v>
      </c>
      <c r="B342" s="20" t="str">
        <f>IFERROR(__xludf.DUMMYFUNCTION("""COMPUTED_VALUE"""),"Xbox / PC")</f>
        <v>Xbox / PC</v>
      </c>
      <c r="C342" s="21" t="str">
        <f>IFERROR(__xludf.DUMMYFUNCTION("""COMPUTED_VALUE"""),"Yes")</f>
        <v>Yes</v>
      </c>
      <c r="D342" s="21" t="str">
        <f>IFERROR(__xludf.DUMMYFUNCTION("""COMPUTED_VALUE"""),"Removed")</f>
        <v>Removed</v>
      </c>
      <c r="E342" s="279">
        <f>IFERROR(__xludf.DUMMYFUNCTION("""COMPUTED_VALUE"""),44735.0)</f>
        <v>44735</v>
      </c>
      <c r="F342" s="279">
        <f>IFERROR(__xludf.DUMMYFUNCTION("""COMPUTED_VALUE"""),45291.0)</f>
        <v>45291</v>
      </c>
      <c r="G342" s="27">
        <f>IFERROR(__xludf.DUMMYFUNCTION("""COMPUTED_VALUE"""),18.233333333333334)</f>
        <v>18.23333333</v>
      </c>
      <c r="H342" s="128">
        <f>IFERROR(__xludf.DUMMYFUNCTION("""COMPUTED_VALUE"""),44420.0)</f>
        <v>44420</v>
      </c>
      <c r="I342" s="27">
        <f>IFERROR(__xludf.DUMMYFUNCTION("""COMPUTED_VALUE"""),0.8638888888888889)</f>
        <v>0.8638888889</v>
      </c>
      <c r="J342" s="277">
        <f>IFERROR(__xludf.DUMMYFUNCTION("""COMPUTED_VALUE"""),71.0)</f>
        <v>71</v>
      </c>
      <c r="K342" s="29">
        <f>IFERROR(__xludf.DUMMYFUNCTION("""COMPUTED_VALUE"""),48.0)</f>
        <v>48</v>
      </c>
      <c r="L342" s="31" t="str">
        <f>IFERROR(__xludf.DUMMYFUNCTION("""COMPUTED_VALUE"""),"Action")</f>
        <v>Action</v>
      </c>
    </row>
    <row r="343" hidden="1">
      <c r="A343" s="278" t="str">
        <f>IFERROR(__xludf.DUMMYFUNCTION("""COMPUTED_VALUE"""),"Potion Craft")</f>
        <v>Potion Craft</v>
      </c>
      <c r="B343" s="20" t="str">
        <f>IFERROR(__xludf.DUMMYFUNCTION("""COMPUTED_VALUE"""),"Xbox / PC")</f>
        <v>Xbox / PC</v>
      </c>
      <c r="C343" s="21"/>
      <c r="D343" s="21" t="str">
        <f>IFERROR(__xludf.DUMMYFUNCTION("""COMPUTED_VALUE"""),"Removed")</f>
        <v>Removed</v>
      </c>
      <c r="E343" s="279">
        <f>IFERROR(__xludf.DUMMYFUNCTION("""COMPUTED_VALUE"""),44908.0)</f>
        <v>44908</v>
      </c>
      <c r="F343" s="279">
        <f>IFERROR(__xludf.DUMMYFUNCTION("""COMPUTED_VALUE"""),45275.0)</f>
        <v>45275</v>
      </c>
      <c r="G343" s="27">
        <f>IFERROR(__xludf.DUMMYFUNCTION("""COMPUTED_VALUE"""),12.066666666666666)</f>
        <v>12.06666667</v>
      </c>
      <c r="H343" s="128">
        <f>IFERROR(__xludf.DUMMYFUNCTION("""COMPUTED_VALUE"""),44908.0)</f>
        <v>44908</v>
      </c>
      <c r="I343" s="27">
        <f>IFERROR(__xludf.DUMMYFUNCTION("""COMPUTED_VALUE"""),0.0)</f>
        <v>0</v>
      </c>
      <c r="J343" s="29">
        <f>IFERROR(__xludf.DUMMYFUNCTION("""COMPUTED_VALUE"""),76.0)</f>
        <v>76</v>
      </c>
      <c r="K343" s="29">
        <f>IFERROR(__xludf.DUMMYFUNCTION("""COMPUTED_VALUE"""),10.0)</f>
        <v>10</v>
      </c>
      <c r="L343" s="31" t="str">
        <f>IFERROR(__xludf.DUMMYFUNCTION("""COMPUTED_VALUE"""),"Simulation")</f>
        <v>Simulation</v>
      </c>
    </row>
    <row r="344" hidden="1">
      <c r="A344" s="285" t="str">
        <f>IFERROR(__xludf.DUMMYFUNCTION("""COMPUTED_VALUE"""),"Chained Echoes")</f>
        <v>Chained Echoes</v>
      </c>
      <c r="B344" s="20" t="str">
        <f>IFERROR(__xludf.DUMMYFUNCTION("""COMPUTED_VALUE"""),"Xbox / PC")</f>
        <v>Xbox / PC</v>
      </c>
      <c r="C344" s="21" t="str">
        <f>IFERROR(__xludf.DUMMYFUNCTION("""COMPUTED_VALUE"""),"Yes")</f>
        <v>Yes</v>
      </c>
      <c r="D344" s="21" t="str">
        <f>IFERROR(__xludf.DUMMYFUNCTION("""COMPUTED_VALUE"""),"Removed")</f>
        <v>Removed</v>
      </c>
      <c r="E344" s="279">
        <f>IFERROR(__xludf.DUMMYFUNCTION("""COMPUTED_VALUE"""),44903.0)</f>
        <v>44903</v>
      </c>
      <c r="F344" s="279">
        <f>IFERROR(__xludf.DUMMYFUNCTION("""COMPUTED_VALUE"""),45275.0)</f>
        <v>45275</v>
      </c>
      <c r="G344" s="27">
        <f>IFERROR(__xludf.DUMMYFUNCTION("""COMPUTED_VALUE"""),12.233333333333333)</f>
        <v>12.23333333</v>
      </c>
      <c r="H344" s="128">
        <f>IFERROR(__xludf.DUMMYFUNCTION("""COMPUTED_VALUE"""),44903.0)</f>
        <v>44903</v>
      </c>
      <c r="I344" s="27">
        <f>IFERROR(__xludf.DUMMYFUNCTION("""COMPUTED_VALUE"""),0.0)</f>
        <v>0</v>
      </c>
      <c r="J344" s="29">
        <f>IFERROR(__xludf.DUMMYFUNCTION("""COMPUTED_VALUE"""),92.0)</f>
        <v>92</v>
      </c>
      <c r="K344" s="29">
        <f>IFERROR(__xludf.DUMMYFUNCTION("""COMPUTED_VALUE"""),31.0)</f>
        <v>31</v>
      </c>
      <c r="L344" s="275" t="str">
        <f>IFERROR(__xludf.DUMMYFUNCTION("""COMPUTED_VALUE"""),"RPG")</f>
        <v>RPG</v>
      </c>
    </row>
    <row r="345" hidden="1">
      <c r="A345" s="278" t="str">
        <f>IFERROR(__xludf.DUMMYFUNCTION("""COMPUTED_VALUE"""),"Opus Magnum")</f>
        <v>Opus Magnum</v>
      </c>
      <c r="B345" s="20" t="str">
        <f>IFERROR(__xludf.DUMMYFUNCTION("""COMPUTED_VALUE"""),"PC")</f>
        <v>PC</v>
      </c>
      <c r="C345" s="21"/>
      <c r="D345" s="21" t="str">
        <f>IFERROR(__xludf.DUMMYFUNCTION("""COMPUTED_VALUE"""),"Removed")</f>
        <v>Removed</v>
      </c>
      <c r="E345" s="279">
        <f>IFERROR(__xludf.DUMMYFUNCTION("""COMPUTED_VALUE"""),44810.0)</f>
        <v>44810</v>
      </c>
      <c r="F345" s="279">
        <f>IFERROR(__xludf.DUMMYFUNCTION("""COMPUTED_VALUE"""),45275.0)</f>
        <v>45275</v>
      </c>
      <c r="G345" s="27">
        <f>IFERROR(__xludf.DUMMYFUNCTION("""COMPUTED_VALUE"""),15.299999999999999)</f>
        <v>15.3</v>
      </c>
      <c r="H345" s="128">
        <f>IFERROR(__xludf.DUMMYFUNCTION("""COMPUTED_VALUE"""),43076.0)</f>
        <v>43076</v>
      </c>
      <c r="I345" s="27">
        <f>IFERROR(__xludf.DUMMYFUNCTION("""COMPUTED_VALUE"""),4.747222222222222)</f>
        <v>4.747222222</v>
      </c>
      <c r="J345" s="29">
        <f>IFERROR(__xludf.DUMMYFUNCTION("""COMPUTED_VALUE"""),90.0)</f>
        <v>90</v>
      </c>
      <c r="K345" s="29">
        <f>IFERROR(__xludf.DUMMYFUNCTION("""COMPUTED_VALUE"""),15.0)</f>
        <v>15</v>
      </c>
      <c r="L345" s="275" t="str">
        <f>IFERROR(__xludf.DUMMYFUNCTION("""COMPUTED_VALUE"""),"Puzzle")</f>
        <v>Puzzle</v>
      </c>
    </row>
    <row r="346" hidden="1">
      <c r="A346" s="278" t="str">
        <f>IFERROR(__xludf.DUMMYFUNCTION("""COMPUTED_VALUE"""),"Rubber Bandits")</f>
        <v>Rubber Bandits</v>
      </c>
      <c r="B346" s="20" t="str">
        <f>IFERROR(__xludf.DUMMYFUNCTION("""COMPUTED_VALUE"""),"Xbox / PC")</f>
        <v>Xbox / PC</v>
      </c>
      <c r="C346" s="21" t="str">
        <f>IFERROR(__xludf.DUMMYFUNCTION("""COMPUTED_VALUE"""),"Touch Controls")</f>
        <v>Touch Controls</v>
      </c>
      <c r="D346" s="21" t="str">
        <f>IFERROR(__xludf.DUMMYFUNCTION("""COMPUTED_VALUE"""),"Removed")</f>
        <v>Removed</v>
      </c>
      <c r="E346" s="279">
        <f>IFERROR(__xludf.DUMMYFUNCTION("""COMPUTED_VALUE"""),44532.0)</f>
        <v>44532</v>
      </c>
      <c r="F346" s="279">
        <f>IFERROR(__xludf.DUMMYFUNCTION("""COMPUTED_VALUE"""),45275.0)</f>
        <v>45275</v>
      </c>
      <c r="G346" s="27">
        <f>IFERROR(__xludf.DUMMYFUNCTION("""COMPUTED_VALUE"""),24.43333333333333)</f>
        <v>24.43333333</v>
      </c>
      <c r="H346" s="128">
        <f>IFERROR(__xludf.DUMMYFUNCTION("""COMPUTED_VALUE"""),44532.0)</f>
        <v>44532</v>
      </c>
      <c r="I346" s="27">
        <f>IFERROR(__xludf.DUMMYFUNCTION("""COMPUTED_VALUE"""),0.0)</f>
        <v>0</v>
      </c>
      <c r="J346" s="29">
        <f>IFERROR(__xludf.DUMMYFUNCTION("""COMPUTED_VALUE"""),74.0)</f>
        <v>74</v>
      </c>
      <c r="K346" s="29">
        <f>IFERROR(__xludf.DUMMYFUNCTION("""COMPUTED_VALUE"""),2.5)</f>
        <v>2.5</v>
      </c>
      <c r="L346" s="275" t="str">
        <f>IFERROR(__xludf.DUMMYFUNCTION("""COMPUTED_VALUE"""),"Brawler")</f>
        <v>Brawler</v>
      </c>
    </row>
    <row r="347" hidden="1">
      <c r="A347" s="278" t="str">
        <f>IFERROR(__xludf.DUMMYFUNCTION("""COMPUTED_VALUE"""),"Eastward")</f>
        <v>Eastward</v>
      </c>
      <c r="B347" s="20" t="str">
        <f>IFERROR(__xludf.DUMMYFUNCTION("""COMPUTED_VALUE"""),"Xbox / PC")</f>
        <v>Xbox / PC</v>
      </c>
      <c r="C347" s="21" t="str">
        <f>IFERROR(__xludf.DUMMYFUNCTION("""COMPUTED_VALUE"""),"Yes")</f>
        <v>Yes</v>
      </c>
      <c r="D347" s="21" t="str">
        <f>IFERROR(__xludf.DUMMYFUNCTION("""COMPUTED_VALUE"""),"Removed")</f>
        <v>Removed</v>
      </c>
      <c r="E347" s="279">
        <f>IFERROR(__xludf.DUMMYFUNCTION("""COMPUTED_VALUE"""),44896.0)</f>
        <v>44896</v>
      </c>
      <c r="F347" s="279">
        <f>IFERROR(__xludf.DUMMYFUNCTION("""COMPUTED_VALUE"""),45260.0)</f>
        <v>45260</v>
      </c>
      <c r="G347" s="27">
        <f>IFERROR(__xludf.DUMMYFUNCTION("""COMPUTED_VALUE"""),11.966666666666667)</f>
        <v>11.96666667</v>
      </c>
      <c r="H347" s="128">
        <f>IFERROR(__xludf.DUMMYFUNCTION("""COMPUTED_VALUE"""),44546.0)</f>
        <v>44546</v>
      </c>
      <c r="I347" s="27">
        <f>IFERROR(__xludf.DUMMYFUNCTION("""COMPUTED_VALUE"""),0.9583333333333334)</f>
        <v>0.9583333333</v>
      </c>
      <c r="J347" s="29">
        <f>IFERROR(__xludf.DUMMYFUNCTION("""COMPUTED_VALUE"""),82.0)</f>
        <v>82</v>
      </c>
      <c r="K347" s="29">
        <f>IFERROR(__xludf.DUMMYFUNCTION("""COMPUTED_VALUE"""),20.0)</f>
        <v>20</v>
      </c>
      <c r="L347" s="275" t="str">
        <f>IFERROR(__xludf.DUMMYFUNCTION("""COMPUTED_VALUE"""),"RPG")</f>
        <v>RPG</v>
      </c>
    </row>
    <row r="348" hidden="1">
      <c r="A348" s="278" t="str">
        <f>IFERROR(__xludf.DUMMYFUNCTION("""COMPUTED_VALUE"""),"Disc Room (2020)")</f>
        <v>Disc Room (2020)</v>
      </c>
      <c r="B348" s="20" t="str">
        <f>IFERROR(__xludf.DUMMYFUNCTION("""COMPUTED_VALUE"""),"Xbox / PC")</f>
        <v>Xbox / PC</v>
      </c>
      <c r="C348" s="21" t="str">
        <f>IFERROR(__xludf.DUMMYFUNCTION("""COMPUTED_VALUE"""),"Touch Controls")</f>
        <v>Touch Controls</v>
      </c>
      <c r="D348" s="21" t="str">
        <f>IFERROR(__xludf.DUMMYFUNCTION("""COMPUTED_VALUE"""),"Removed")</f>
        <v>Removed</v>
      </c>
      <c r="E348" s="279">
        <f>IFERROR(__xludf.DUMMYFUNCTION("""COMPUTED_VALUE"""),44719.0)</f>
        <v>44719</v>
      </c>
      <c r="F348" s="279">
        <f>IFERROR(__xludf.DUMMYFUNCTION("""COMPUTED_VALUE"""),45260.0)</f>
        <v>45260</v>
      </c>
      <c r="G348" s="27">
        <f>IFERROR(__xludf.DUMMYFUNCTION("""COMPUTED_VALUE"""),17.766666666666666)</f>
        <v>17.76666667</v>
      </c>
      <c r="H348" s="128">
        <f>IFERROR(__xludf.DUMMYFUNCTION("""COMPUTED_VALUE"""),44126.0)</f>
        <v>44126</v>
      </c>
      <c r="I348" s="27">
        <f>IFERROR(__xludf.DUMMYFUNCTION("""COMPUTED_VALUE"""),1.625)</f>
        <v>1.625</v>
      </c>
      <c r="J348" s="29">
        <f>IFERROR(__xludf.DUMMYFUNCTION("""COMPUTED_VALUE"""),83.0)</f>
        <v>83</v>
      </c>
      <c r="K348" s="29">
        <f>IFERROR(__xludf.DUMMYFUNCTION("""COMPUTED_VALUE"""),3.0)</f>
        <v>3</v>
      </c>
      <c r="L348" s="275" t="str">
        <f>IFERROR(__xludf.DUMMYFUNCTION("""COMPUTED_VALUE"""),"Action-Adventure")</f>
        <v>Action-Adventure</v>
      </c>
    </row>
    <row r="349" hidden="1">
      <c r="A349" s="17" t="str">
        <f>IFERROR(__xludf.DUMMYFUNCTION("""COMPUTED_VALUE"""),"ANVIL: Vault Breaker (Game Preview)")</f>
        <v>ANVIL: Vault Breaker (Game Preview)</v>
      </c>
      <c r="B349" s="20" t="str">
        <f>IFERROR(__xludf.DUMMYFUNCTION("""COMPUTED_VALUE"""),"Xbox / PC")</f>
        <v>Xbox / PC</v>
      </c>
      <c r="C349" s="21" t="str">
        <f>IFERROR(__xludf.DUMMYFUNCTION("""COMPUTED_VALUE"""),"Touch Controls")</f>
        <v>Touch Controls</v>
      </c>
      <c r="D349" s="21" t="str">
        <f>IFERROR(__xludf.DUMMYFUNCTION("""COMPUTED_VALUE"""),"Removed")</f>
        <v>Removed</v>
      </c>
      <c r="E349" s="279">
        <f>IFERROR(__xludf.DUMMYFUNCTION("""COMPUTED_VALUE"""),44532.0)</f>
        <v>44532</v>
      </c>
      <c r="F349" s="279">
        <f>IFERROR(__xludf.DUMMYFUNCTION("""COMPUTED_VALUE"""),45260.0)</f>
        <v>45260</v>
      </c>
      <c r="G349" s="27">
        <f>IFERROR(__xludf.DUMMYFUNCTION("""COMPUTED_VALUE"""),23.933333333333334)</f>
        <v>23.93333333</v>
      </c>
      <c r="H349" s="128">
        <f>IFERROR(__xludf.DUMMYFUNCTION("""COMPUTED_VALUE"""),44440.0)</f>
        <v>44440</v>
      </c>
      <c r="I349" s="27">
        <f>IFERROR(__xludf.DUMMYFUNCTION("""COMPUTED_VALUE"""),0.25277777777777777)</f>
        <v>0.2527777778</v>
      </c>
      <c r="J349" s="29">
        <f>IFERROR(__xludf.DUMMYFUNCTION("""COMPUTED_VALUE"""),75.0)</f>
        <v>75</v>
      </c>
      <c r="K349" s="29">
        <f>IFERROR(__xludf.DUMMYFUNCTION("""COMPUTED_VALUE"""),3.0)</f>
        <v>3</v>
      </c>
      <c r="L349" s="31" t="str">
        <f>IFERROR(__xludf.DUMMYFUNCTION("""COMPUTED_VALUE"""),"Shooter")</f>
        <v>Shooter</v>
      </c>
    </row>
    <row r="350" hidden="1">
      <c r="A350" s="278" t="str">
        <f>IFERROR(__xludf.DUMMYFUNCTION("""COMPUTED_VALUE"""),"GRID (2019)")</f>
        <v>GRID (2019)</v>
      </c>
      <c r="B350" s="20" t="str">
        <f>IFERROR(__xludf.DUMMYFUNCTION("""COMPUTED_VALUE"""),"Xbox")</f>
        <v>Xbox</v>
      </c>
      <c r="C350" s="21"/>
      <c r="D350" s="21" t="str">
        <f>IFERROR(__xludf.DUMMYFUNCTION("""COMPUTED_VALUE"""),"Removed")</f>
        <v>Removed</v>
      </c>
      <c r="E350" s="279">
        <f>IFERROR(__xludf.DUMMYFUNCTION("""COMPUTED_VALUE"""),44418.0)</f>
        <v>44418</v>
      </c>
      <c r="F350" s="279">
        <f>IFERROR(__xludf.DUMMYFUNCTION("""COMPUTED_VALUE"""),45260.0)</f>
        <v>45260</v>
      </c>
      <c r="G350" s="27">
        <f>IFERROR(__xludf.DUMMYFUNCTION("""COMPUTED_VALUE"""),27.666666666666664)</f>
        <v>27.66666667</v>
      </c>
      <c r="H350" s="128">
        <f>IFERROR(__xludf.DUMMYFUNCTION("""COMPUTED_VALUE"""),43719.0)</f>
        <v>43719</v>
      </c>
      <c r="I350" s="27">
        <f>IFERROR(__xludf.DUMMYFUNCTION("""COMPUTED_VALUE"""),1.913888888888889)</f>
        <v>1.913888889</v>
      </c>
      <c r="J350" s="29">
        <f>IFERROR(__xludf.DUMMYFUNCTION("""COMPUTED_VALUE"""),79.0)</f>
        <v>79</v>
      </c>
      <c r="K350" s="29">
        <f>IFERROR(__xludf.DUMMYFUNCTION("""COMPUTED_VALUE"""),21.0)</f>
        <v>21</v>
      </c>
      <c r="L350" s="275" t="str">
        <f>IFERROR(__xludf.DUMMYFUNCTION("""COMPUTED_VALUE"""),"Racing")</f>
        <v>Racing</v>
      </c>
    </row>
    <row r="351" hidden="1">
      <c r="A351" s="278" t="str">
        <f>IFERROR(__xludf.DUMMYFUNCTION("""COMPUTED_VALUE"""),"Battlefield 1943")</f>
        <v>Battlefield 1943</v>
      </c>
      <c r="B351" s="20" t="str">
        <f>IFERROR(__xludf.DUMMYFUNCTION("""COMPUTED_VALUE"""),"Xbox")</f>
        <v>Xbox</v>
      </c>
      <c r="C351" s="21"/>
      <c r="D351" s="21" t="str">
        <f>IFERROR(__xludf.DUMMYFUNCTION("""COMPUTED_VALUE"""),"Removed")</f>
        <v>Removed</v>
      </c>
      <c r="E351" s="279">
        <f>IFERROR(__xludf.DUMMYFUNCTION("""COMPUTED_VALUE"""),44145.0)</f>
        <v>44145</v>
      </c>
      <c r="F351" s="279">
        <f>IFERROR(__xludf.DUMMYFUNCTION("""COMPUTED_VALUE"""),45260.0)</f>
        <v>45260</v>
      </c>
      <c r="G351" s="27">
        <f>IFERROR(__xludf.DUMMYFUNCTION("""COMPUTED_VALUE"""),36.666666666666664)</f>
        <v>36.66666667</v>
      </c>
      <c r="H351" s="128">
        <f>IFERROR(__xludf.DUMMYFUNCTION("""COMPUTED_VALUE"""),40002.0)</f>
        <v>40002</v>
      </c>
      <c r="I351" s="27">
        <f>IFERROR(__xludf.DUMMYFUNCTION("""COMPUTED_VALUE"""),11.338888888888889)</f>
        <v>11.33888889</v>
      </c>
      <c r="J351" s="29">
        <f>IFERROR(__xludf.DUMMYFUNCTION("""COMPUTED_VALUE"""),83.0)</f>
        <v>83</v>
      </c>
      <c r="K351" s="29">
        <f>IFERROR(__xludf.DUMMYFUNCTION("""COMPUTED_VALUE"""),24.0)</f>
        <v>24</v>
      </c>
      <c r="L351" s="275" t="str">
        <f>IFERROR(__xludf.DUMMYFUNCTION("""COMPUTED_VALUE"""),"Shooter")</f>
        <v>Shooter</v>
      </c>
    </row>
    <row r="352" hidden="1">
      <c r="A352" s="278" t="str">
        <f>IFERROR(__xludf.DUMMYFUNCTION("""COMPUTED_VALUE"""),"Battlefield: Bad Company")</f>
        <v>Battlefield: Bad Company</v>
      </c>
      <c r="B352" s="20" t="str">
        <f>IFERROR(__xludf.DUMMYFUNCTION("""COMPUTED_VALUE"""),"Xbox")</f>
        <v>Xbox</v>
      </c>
      <c r="C352" s="21"/>
      <c r="D352" s="21" t="str">
        <f>IFERROR(__xludf.DUMMYFUNCTION("""COMPUTED_VALUE"""),"Removed")</f>
        <v>Removed</v>
      </c>
      <c r="E352" s="279">
        <f>IFERROR(__xludf.DUMMYFUNCTION("""COMPUTED_VALUE"""),44145.0)</f>
        <v>44145</v>
      </c>
      <c r="F352" s="279">
        <f>IFERROR(__xludf.DUMMYFUNCTION("""COMPUTED_VALUE"""),45260.0)</f>
        <v>45260</v>
      </c>
      <c r="G352" s="27">
        <f>IFERROR(__xludf.DUMMYFUNCTION("""COMPUTED_VALUE"""),36.666666666666664)</f>
        <v>36.66666667</v>
      </c>
      <c r="H352" s="128">
        <f>IFERROR(__xludf.DUMMYFUNCTION("""COMPUTED_VALUE"""),39622.0)</f>
        <v>39622</v>
      </c>
      <c r="I352" s="27">
        <f>IFERROR(__xludf.DUMMYFUNCTION("""COMPUTED_VALUE"""),12.380555555555556)</f>
        <v>12.38055556</v>
      </c>
      <c r="J352" s="29">
        <f>IFERROR(__xludf.DUMMYFUNCTION("""COMPUTED_VALUE"""),83.0)</f>
        <v>83</v>
      </c>
      <c r="K352" s="29">
        <f>IFERROR(__xludf.DUMMYFUNCTION("""COMPUTED_VALUE"""),7.5)</f>
        <v>7.5</v>
      </c>
      <c r="L352" s="275" t="str">
        <f>IFERROR(__xludf.DUMMYFUNCTION("""COMPUTED_VALUE"""),"Shooter")</f>
        <v>Shooter</v>
      </c>
    </row>
    <row r="353" hidden="1">
      <c r="A353" s="278" t="str">
        <f>IFERROR(__xludf.DUMMYFUNCTION("""COMPUTED_VALUE"""),"Battlefield: Bad Company 2")</f>
        <v>Battlefield: Bad Company 2</v>
      </c>
      <c r="B353" s="20" t="str">
        <f>IFERROR(__xludf.DUMMYFUNCTION("""COMPUTED_VALUE"""),"Xbox / PC")</f>
        <v>Xbox / PC</v>
      </c>
      <c r="C353" s="21"/>
      <c r="D353" s="21" t="str">
        <f>IFERROR(__xludf.DUMMYFUNCTION("""COMPUTED_VALUE"""),"Removed")</f>
        <v>Removed</v>
      </c>
      <c r="E353" s="279">
        <f>IFERROR(__xludf.DUMMYFUNCTION("""COMPUTED_VALUE"""),44145.0)</f>
        <v>44145</v>
      </c>
      <c r="F353" s="279">
        <f>IFERROR(__xludf.DUMMYFUNCTION("""COMPUTED_VALUE"""),45260.0)</f>
        <v>45260</v>
      </c>
      <c r="G353" s="27">
        <f>IFERROR(__xludf.DUMMYFUNCTION("""COMPUTED_VALUE"""),36.666666666666664)</f>
        <v>36.66666667</v>
      </c>
      <c r="H353" s="128">
        <f>IFERROR(__xludf.DUMMYFUNCTION("""COMPUTED_VALUE"""),40239.0)</f>
        <v>40239</v>
      </c>
      <c r="I353" s="27">
        <f>IFERROR(__xludf.DUMMYFUNCTION("""COMPUTED_VALUE"""),10.688888888888888)</f>
        <v>10.68888889</v>
      </c>
      <c r="J353" s="29">
        <f>IFERROR(__xludf.DUMMYFUNCTION("""COMPUTED_VALUE"""),88.0)</f>
        <v>88</v>
      </c>
      <c r="K353" s="29">
        <f>IFERROR(__xludf.DUMMYFUNCTION("""COMPUTED_VALUE"""),7.0)</f>
        <v>7</v>
      </c>
      <c r="L353" s="275" t="str">
        <f>IFERROR(__xludf.DUMMYFUNCTION("""COMPUTED_VALUE"""),"Shooter")</f>
        <v>Shooter</v>
      </c>
    </row>
    <row r="354" hidden="1">
      <c r="A354" s="278" t="str">
        <f>IFERROR(__xludf.DUMMYFUNCTION("""COMPUTED_VALUE"""),"Gungrave G.O.R.E")</f>
        <v>Gungrave G.O.R.E</v>
      </c>
      <c r="B354" s="20" t="str">
        <f>IFERROR(__xludf.DUMMYFUNCTION("""COMPUTED_VALUE"""),"Xbox / PC")</f>
        <v>Xbox / PC</v>
      </c>
      <c r="C354" s="21" t="str">
        <f>IFERROR(__xludf.DUMMYFUNCTION("""COMPUTED_VALUE"""),"Yes")</f>
        <v>Yes</v>
      </c>
      <c r="D354" s="21" t="str">
        <f>IFERROR(__xludf.DUMMYFUNCTION("""COMPUTED_VALUE"""),"Removed")</f>
        <v>Removed</v>
      </c>
      <c r="E354" s="279">
        <f>IFERROR(__xludf.DUMMYFUNCTION("""COMPUTED_VALUE"""),44887.0)</f>
        <v>44887</v>
      </c>
      <c r="F354" s="279">
        <f>IFERROR(__xludf.DUMMYFUNCTION("""COMPUTED_VALUE"""),45245.0)</f>
        <v>45245</v>
      </c>
      <c r="G354" s="27">
        <f>IFERROR(__xludf.DUMMYFUNCTION("""COMPUTED_VALUE"""),11.766666666666666)</f>
        <v>11.76666667</v>
      </c>
      <c r="H354" s="128">
        <f>IFERROR(__xludf.DUMMYFUNCTION("""COMPUTED_VALUE"""),44887.0)</f>
        <v>44887</v>
      </c>
      <c r="I354" s="27">
        <f>IFERROR(__xludf.DUMMYFUNCTION("""COMPUTED_VALUE"""),0.0)</f>
        <v>0</v>
      </c>
      <c r="J354" s="29">
        <f>IFERROR(__xludf.DUMMYFUNCTION("""COMPUTED_VALUE"""),56.0)</f>
        <v>56</v>
      </c>
      <c r="K354" s="29">
        <f>IFERROR(__xludf.DUMMYFUNCTION("""COMPUTED_VALUE"""),13.0)</f>
        <v>13</v>
      </c>
      <c r="L354" s="275" t="str">
        <f>IFERROR(__xludf.DUMMYFUNCTION("""COMPUTED_VALUE"""),"Action")</f>
        <v>Action</v>
      </c>
    </row>
    <row r="355" hidden="1">
      <c r="A355" s="278" t="str">
        <f>IFERROR(__xludf.DUMMYFUNCTION("""COMPUTED_VALUE"""),"Lapin (Game Preview)")</f>
        <v>Lapin (Game Preview)</v>
      </c>
      <c r="B355" s="20" t="str">
        <f>IFERROR(__xludf.DUMMYFUNCTION("""COMPUTED_VALUE"""),"Xbox / PC")</f>
        <v>Xbox / PC</v>
      </c>
      <c r="C355" s="21" t="str">
        <f>IFERROR(__xludf.DUMMYFUNCTION("""COMPUTED_VALUE"""),"Yes")</f>
        <v>Yes</v>
      </c>
      <c r="D355" s="21" t="str">
        <f>IFERROR(__xludf.DUMMYFUNCTION("""COMPUTED_VALUE"""),"Removed")</f>
        <v>Removed</v>
      </c>
      <c r="E355" s="279">
        <f>IFERROR(__xludf.DUMMYFUNCTION("""COMPUTED_VALUE"""),44882.0)</f>
        <v>44882</v>
      </c>
      <c r="F355" s="279">
        <f>IFERROR(__xludf.DUMMYFUNCTION("""COMPUTED_VALUE"""),45245.0)</f>
        <v>45245</v>
      </c>
      <c r="G355" s="27">
        <f>IFERROR(__xludf.DUMMYFUNCTION("""COMPUTED_VALUE"""),11.933333333333334)</f>
        <v>11.93333333</v>
      </c>
      <c r="H355" s="128">
        <f>IFERROR(__xludf.DUMMYFUNCTION("""COMPUTED_VALUE"""),44882.0)</f>
        <v>44882</v>
      </c>
      <c r="I355" s="27">
        <f>IFERROR(__xludf.DUMMYFUNCTION("""COMPUTED_VALUE"""),0.0)</f>
        <v>0</v>
      </c>
      <c r="J355" s="29">
        <f>IFERROR(__xludf.DUMMYFUNCTION("""COMPUTED_VALUE"""),80.0)</f>
        <v>80</v>
      </c>
      <c r="K355" s="29">
        <f>IFERROR(__xludf.DUMMYFUNCTION("""COMPUTED_VALUE"""),6.0)</f>
        <v>6</v>
      </c>
      <c r="L355" s="275" t="str">
        <f>IFERROR(__xludf.DUMMYFUNCTION("""COMPUTED_VALUE"""),"Platformer")</f>
        <v>Platformer</v>
      </c>
    </row>
    <row r="356" hidden="1">
      <c r="A356" s="17" t="str">
        <f>IFERROR(__xludf.DUMMYFUNCTION("""COMPUTED_VALUE"""),"Football Manager 2023")</f>
        <v>Football Manager 2023</v>
      </c>
      <c r="B356" s="20" t="str">
        <f>IFERROR(__xludf.DUMMYFUNCTION("""COMPUTED_VALUE"""),"Xbox / PC")</f>
        <v>Xbox / PC</v>
      </c>
      <c r="C356" s="20" t="str">
        <f>IFERROR(__xludf.DUMMYFUNCTION("""COMPUTED_VALUE"""),"Touch Controls")</f>
        <v>Touch Controls</v>
      </c>
      <c r="D356" s="21" t="str">
        <f>IFERROR(__xludf.DUMMYFUNCTION("""COMPUTED_VALUE"""),"Removed")</f>
        <v>Removed</v>
      </c>
      <c r="E356" s="128">
        <f>IFERROR(__xludf.DUMMYFUNCTION("""COMPUTED_VALUE"""),44873.0)</f>
        <v>44873</v>
      </c>
      <c r="F356" s="24">
        <f>IFERROR(__xludf.DUMMYFUNCTION("""COMPUTED_VALUE"""),45245.0)</f>
        <v>45245</v>
      </c>
      <c r="G356" s="27">
        <f>IFERROR(__xludf.DUMMYFUNCTION("""COMPUTED_VALUE"""),12.233333333333333)</f>
        <v>12.23333333</v>
      </c>
      <c r="H356" s="128">
        <f>IFERROR(__xludf.DUMMYFUNCTION("""COMPUTED_VALUE"""),44873.0)</f>
        <v>44873</v>
      </c>
      <c r="I356" s="27">
        <f>IFERROR(__xludf.DUMMYFUNCTION("""COMPUTED_VALUE"""),0.0)</f>
        <v>0</v>
      </c>
      <c r="J356" s="29">
        <f>IFERROR(__xludf.DUMMYFUNCTION("""COMPUTED_VALUE"""),81.0)</f>
        <v>81</v>
      </c>
      <c r="K356" s="29">
        <f>IFERROR(__xludf.DUMMYFUNCTION("""COMPUTED_VALUE"""),42.5)</f>
        <v>42.5</v>
      </c>
      <c r="L356" s="31" t="str">
        <f>IFERROR(__xludf.DUMMYFUNCTION("""COMPUTED_VALUE"""),"Sports")</f>
        <v>Sports</v>
      </c>
    </row>
    <row r="357" hidden="1">
      <c r="A357" s="278" t="str">
        <f>IFERROR(__xludf.DUMMYFUNCTION("""COMPUTED_VALUE"""),"Ghost Song")</f>
        <v>Ghost Song</v>
      </c>
      <c r="B357" s="20" t="str">
        <f>IFERROR(__xludf.DUMMYFUNCTION("""COMPUTED_VALUE"""),"Xbox / PC")</f>
        <v>Xbox / PC</v>
      </c>
      <c r="C357" s="21" t="str">
        <f>IFERROR(__xludf.DUMMYFUNCTION("""COMPUTED_VALUE"""),"Touch Controls")</f>
        <v>Touch Controls</v>
      </c>
      <c r="D357" s="21" t="str">
        <f>IFERROR(__xludf.DUMMYFUNCTION("""COMPUTED_VALUE"""),"Removed")</f>
        <v>Removed</v>
      </c>
      <c r="E357" s="279">
        <f>IFERROR(__xludf.DUMMYFUNCTION("""COMPUTED_VALUE"""),44868.0)</f>
        <v>44868</v>
      </c>
      <c r="F357" s="276">
        <f>IFERROR(__xludf.DUMMYFUNCTION("""COMPUTED_VALUE"""),45245.0)</f>
        <v>45245</v>
      </c>
      <c r="G357" s="27">
        <f>IFERROR(__xludf.DUMMYFUNCTION("""COMPUTED_VALUE"""),12.400000000000002)</f>
        <v>12.4</v>
      </c>
      <c r="H357" s="128">
        <f>IFERROR(__xludf.DUMMYFUNCTION("""COMPUTED_VALUE"""),44868.0)</f>
        <v>44868</v>
      </c>
      <c r="I357" s="27">
        <f>IFERROR(__xludf.DUMMYFUNCTION("""COMPUTED_VALUE"""),0.0)</f>
        <v>0</v>
      </c>
      <c r="J357" s="277">
        <f>IFERROR(__xludf.DUMMYFUNCTION("""COMPUTED_VALUE"""),86.0)</f>
        <v>86</v>
      </c>
      <c r="K357" s="29">
        <f>IFERROR(__xludf.DUMMYFUNCTION("""COMPUTED_VALUE"""),7.5)</f>
        <v>7.5</v>
      </c>
      <c r="L357" s="275" t="str">
        <f>IFERROR(__xludf.DUMMYFUNCTION("""COMPUTED_VALUE"""),"Platformer")</f>
        <v>Platformer</v>
      </c>
    </row>
    <row r="358" hidden="1">
      <c r="A358" s="278" t="str">
        <f>IFERROR(__xludf.DUMMYFUNCTION("""COMPUTED_VALUE"""),"Exapunks")</f>
        <v>Exapunks</v>
      </c>
      <c r="B358" s="20" t="str">
        <f>IFERROR(__xludf.DUMMYFUNCTION("""COMPUTED_VALUE"""),"PC")</f>
        <v>PC</v>
      </c>
      <c r="C358" s="20"/>
      <c r="D358" s="21" t="str">
        <f>IFERROR(__xludf.DUMMYFUNCTION("""COMPUTED_VALUE"""),"Removed")</f>
        <v>Removed</v>
      </c>
      <c r="E358" s="279">
        <f>IFERROR(__xludf.DUMMYFUNCTION("""COMPUTED_VALUE"""),44798.0)</f>
        <v>44798</v>
      </c>
      <c r="F358" s="24">
        <f>IFERROR(__xludf.DUMMYFUNCTION("""COMPUTED_VALUE"""),45245.0)</f>
        <v>45245</v>
      </c>
      <c r="G358" s="27">
        <f>IFERROR(__xludf.DUMMYFUNCTION("""COMPUTED_VALUE"""),14.666666666666668)</f>
        <v>14.66666667</v>
      </c>
      <c r="H358" s="128">
        <f>IFERROR(__xludf.DUMMYFUNCTION("""COMPUTED_VALUE"""),43395.0)</f>
        <v>43395</v>
      </c>
      <c r="I358" s="27">
        <f>IFERROR(__xludf.DUMMYFUNCTION("""COMPUTED_VALUE"""),3.841666666666667)</f>
        <v>3.841666667</v>
      </c>
      <c r="J358" s="277">
        <f>IFERROR(__xludf.DUMMYFUNCTION("""COMPUTED_VALUE"""),80.0)</f>
        <v>80</v>
      </c>
      <c r="K358" s="277">
        <f>IFERROR(__xludf.DUMMYFUNCTION("""COMPUTED_VALUE"""),26.5)</f>
        <v>26.5</v>
      </c>
      <c r="L358" s="275" t="str">
        <f>IFERROR(__xludf.DUMMYFUNCTION("""COMPUTED_VALUE"""),"Simulation")</f>
        <v>Simulation</v>
      </c>
    </row>
    <row r="359" hidden="1">
      <c r="A359" s="278" t="str">
        <f>IFERROR(__xludf.DUMMYFUNCTION("""COMPUTED_VALUE"""),"Coffee Talk")</f>
        <v>Coffee Talk</v>
      </c>
      <c r="B359" s="20" t="str">
        <f>IFERROR(__xludf.DUMMYFUNCTION("""COMPUTED_VALUE"""),"Xbox / PC")</f>
        <v>Xbox / PC</v>
      </c>
      <c r="C359" s="20" t="str">
        <f>IFERROR(__xludf.DUMMYFUNCTION("""COMPUTED_VALUE"""),"Touch Controls")</f>
        <v>Touch Controls</v>
      </c>
      <c r="D359" s="21" t="str">
        <f>IFERROR(__xludf.DUMMYFUNCTION("""COMPUTED_VALUE"""),"Removed")</f>
        <v>Removed</v>
      </c>
      <c r="E359" s="279">
        <f>IFERROR(__xludf.DUMMYFUNCTION("""COMPUTED_VALUE"""),44789.0)</f>
        <v>44789</v>
      </c>
      <c r="F359" s="24">
        <f>IFERROR(__xludf.DUMMYFUNCTION("""COMPUTED_VALUE"""),45245.0)</f>
        <v>45245</v>
      </c>
      <c r="G359" s="27">
        <f>IFERROR(__xludf.DUMMYFUNCTION("""COMPUTED_VALUE"""),14.966666666666667)</f>
        <v>14.96666667</v>
      </c>
      <c r="H359" s="128">
        <f>IFERROR(__xludf.DUMMYFUNCTION("""COMPUTED_VALUE"""),43859.0)</f>
        <v>43859</v>
      </c>
      <c r="I359" s="27">
        <f>IFERROR(__xludf.DUMMYFUNCTION("""COMPUTED_VALUE"""),2.547222222222222)</f>
        <v>2.547222222</v>
      </c>
      <c r="J359" s="277">
        <f>IFERROR(__xludf.DUMMYFUNCTION("""COMPUTED_VALUE"""),75.0)</f>
        <v>75</v>
      </c>
      <c r="K359" s="29">
        <f>IFERROR(__xludf.DUMMYFUNCTION("""COMPUTED_VALUE"""),4.0)</f>
        <v>4</v>
      </c>
      <c r="L359" s="275" t="str">
        <f>IFERROR(__xludf.DUMMYFUNCTION("""COMPUTED_VALUE"""),"Adventure")</f>
        <v>Adventure</v>
      </c>
    </row>
    <row r="360" hidden="1">
      <c r="A360" s="17" t="str">
        <f>IFERROR(__xludf.DUMMYFUNCTION("""COMPUTED_VALUE"""),"Townscaper")</f>
        <v>Townscaper</v>
      </c>
      <c r="B360" s="20" t="str">
        <f>IFERROR(__xludf.DUMMYFUNCTION("""COMPUTED_VALUE"""),"Xbox / PC")</f>
        <v>Xbox / PC</v>
      </c>
      <c r="C360" s="21" t="str">
        <f>IFERROR(__xludf.DUMMYFUNCTION("""COMPUTED_VALUE"""),"Touch Controls")</f>
        <v>Touch Controls</v>
      </c>
      <c r="D360" s="21" t="str">
        <f>IFERROR(__xludf.DUMMYFUNCTION("""COMPUTED_VALUE"""),"Removed")</f>
        <v>Removed</v>
      </c>
      <c r="E360" s="279">
        <f>IFERROR(__xludf.DUMMYFUNCTION("""COMPUTED_VALUE"""),44532.0)</f>
        <v>44532</v>
      </c>
      <c r="F360" s="276">
        <f>IFERROR(__xludf.DUMMYFUNCTION("""COMPUTED_VALUE"""),45245.0)</f>
        <v>45245</v>
      </c>
      <c r="G360" s="27">
        <f>IFERROR(__xludf.DUMMYFUNCTION("""COMPUTED_VALUE"""),23.433333333333334)</f>
        <v>23.43333333</v>
      </c>
      <c r="H360" s="128">
        <f>IFERROR(__xludf.DUMMYFUNCTION("""COMPUTED_VALUE"""),44012.0)</f>
        <v>44012</v>
      </c>
      <c r="I360" s="27">
        <f>IFERROR(__xludf.DUMMYFUNCTION("""COMPUTED_VALUE"""),1.4222222222222223)</f>
        <v>1.422222222</v>
      </c>
      <c r="J360" s="277">
        <f>IFERROR(__xludf.DUMMYFUNCTION("""COMPUTED_VALUE"""),86.0)</f>
        <v>86</v>
      </c>
      <c r="K360" s="29">
        <f>IFERROR(__xludf.DUMMYFUNCTION("""COMPUTED_VALUE"""),3.0)</f>
        <v>3</v>
      </c>
      <c r="L360" s="275" t="str">
        <f>IFERROR(__xludf.DUMMYFUNCTION("""COMPUTED_VALUE"""),"Simulation")</f>
        <v>Simulation</v>
      </c>
    </row>
    <row r="361" hidden="1">
      <c r="A361" s="278" t="str">
        <f>IFERROR(__xludf.DUMMYFUNCTION("""COMPUTED_VALUE"""),"Rocket Arena")</f>
        <v>Rocket Arena</v>
      </c>
      <c r="B361" s="20" t="str">
        <f>IFERROR(__xludf.DUMMYFUNCTION("""COMPUTED_VALUE"""),"Xbox / PC")</f>
        <v>Xbox / PC</v>
      </c>
      <c r="C361" s="21"/>
      <c r="D361" s="21" t="str">
        <f>IFERROR(__xludf.DUMMYFUNCTION("""COMPUTED_VALUE"""),"Removed")</f>
        <v>Removed</v>
      </c>
      <c r="E361" s="279">
        <f>IFERROR(__xludf.DUMMYFUNCTION("""COMPUTED_VALUE"""),44145.0)</f>
        <v>44145</v>
      </c>
      <c r="F361" s="276">
        <f>IFERROR(__xludf.DUMMYFUNCTION("""COMPUTED_VALUE"""),45244.0)</f>
        <v>45244</v>
      </c>
      <c r="G361" s="27">
        <f>IFERROR(__xludf.DUMMYFUNCTION("""COMPUTED_VALUE"""),36.13333333333333)</f>
        <v>36.13333333</v>
      </c>
      <c r="H361" s="128">
        <f>IFERROR(__xludf.DUMMYFUNCTION("""COMPUTED_VALUE"""),44026.0)</f>
        <v>44026</v>
      </c>
      <c r="I361" s="27">
        <f>IFERROR(__xludf.DUMMYFUNCTION("""COMPUTED_VALUE"""),0.32222222222222224)</f>
        <v>0.3222222222</v>
      </c>
      <c r="J361" s="277">
        <f>IFERROR(__xludf.DUMMYFUNCTION("""COMPUTED_VALUE"""),71.0)</f>
        <v>71</v>
      </c>
      <c r="K361" s="277">
        <f>IFERROR(__xludf.DUMMYFUNCTION("""COMPUTED_VALUE"""),3.0)</f>
        <v>3</v>
      </c>
      <c r="L361" s="275" t="str">
        <f>IFERROR(__xludf.DUMMYFUNCTION("""COMPUTED_VALUE"""),"Shooter")</f>
        <v>Shooter</v>
      </c>
    </row>
    <row r="362" hidden="1">
      <c r="A362" s="278" t="str">
        <f>IFERROR(__xludf.DUMMYFUNCTION("""COMPUTED_VALUE"""),"Gunfire Reborn")</f>
        <v>Gunfire Reborn</v>
      </c>
      <c r="B362" s="20" t="str">
        <f>IFERROR(__xludf.DUMMYFUNCTION("""COMPUTED_VALUE"""),"Xbox / PC")</f>
        <v>Xbox / PC</v>
      </c>
      <c r="C362" s="21" t="str">
        <f>IFERROR(__xludf.DUMMYFUNCTION("""COMPUTED_VALUE"""),"Yes")</f>
        <v>Yes</v>
      </c>
      <c r="D362" s="21" t="str">
        <f>IFERROR(__xludf.DUMMYFUNCTION("""COMPUTED_VALUE"""),"Removed")</f>
        <v>Removed</v>
      </c>
      <c r="E362" s="279">
        <f>IFERROR(__xludf.DUMMYFUNCTION("""COMPUTED_VALUE"""),44861.0)</f>
        <v>44861</v>
      </c>
      <c r="F362" s="276">
        <f>IFERROR(__xludf.DUMMYFUNCTION("""COMPUTED_VALUE"""),45230.0)</f>
        <v>45230</v>
      </c>
      <c r="G362" s="27">
        <f>IFERROR(__xludf.DUMMYFUNCTION("""COMPUTED_VALUE"""),12.1)</f>
        <v>12.1</v>
      </c>
      <c r="H362" s="128">
        <f>IFERROR(__xludf.DUMMYFUNCTION("""COMPUTED_VALUE"""),44517.0)</f>
        <v>44517</v>
      </c>
      <c r="I362" s="27">
        <f>IFERROR(__xludf.DUMMYFUNCTION("""COMPUTED_VALUE"""),0.9444444444444444)</f>
        <v>0.9444444444</v>
      </c>
      <c r="J362" s="277">
        <f>IFERROR(__xludf.DUMMYFUNCTION("""COMPUTED_VALUE"""),77.0)</f>
        <v>77</v>
      </c>
      <c r="K362" s="29">
        <f>IFERROR(__xludf.DUMMYFUNCTION("""COMPUTED_VALUE"""),3.0)</f>
        <v>3</v>
      </c>
      <c r="L362" s="275" t="str">
        <f>IFERROR(__xludf.DUMMYFUNCTION("""COMPUTED_VALUE"""),"Shooter")</f>
        <v>Shooter</v>
      </c>
    </row>
    <row r="363" hidden="1">
      <c r="A363" s="17" t="str">
        <f>IFERROR(__xludf.DUMMYFUNCTION("""COMPUTED_VALUE"""),"Signalis")</f>
        <v>Signalis</v>
      </c>
      <c r="B363" s="20" t="str">
        <f>IFERROR(__xludf.DUMMYFUNCTION("""COMPUTED_VALUE"""),"Xbox / PC")</f>
        <v>Xbox / PC</v>
      </c>
      <c r="C363" s="20" t="str">
        <f>IFERROR(__xludf.DUMMYFUNCTION("""COMPUTED_VALUE"""),"Yes")</f>
        <v>Yes</v>
      </c>
      <c r="D363" s="21" t="str">
        <f>IFERROR(__xludf.DUMMYFUNCTION("""COMPUTED_VALUE"""),"Removed")</f>
        <v>Removed</v>
      </c>
      <c r="E363" s="128">
        <f>IFERROR(__xludf.DUMMYFUNCTION("""COMPUTED_VALUE"""),44861.0)</f>
        <v>44861</v>
      </c>
      <c r="F363" s="276">
        <f>IFERROR(__xludf.DUMMYFUNCTION("""COMPUTED_VALUE"""),45230.0)</f>
        <v>45230</v>
      </c>
      <c r="G363" s="27">
        <f>IFERROR(__xludf.DUMMYFUNCTION("""COMPUTED_VALUE"""),12.1)</f>
        <v>12.1</v>
      </c>
      <c r="H363" s="128">
        <f>IFERROR(__xludf.DUMMYFUNCTION("""COMPUTED_VALUE"""),44861.0)</f>
        <v>44861</v>
      </c>
      <c r="I363" s="27">
        <f>IFERROR(__xludf.DUMMYFUNCTION("""COMPUTED_VALUE"""),0.0)</f>
        <v>0</v>
      </c>
      <c r="J363" s="29">
        <f>IFERROR(__xludf.DUMMYFUNCTION("""COMPUTED_VALUE"""),81.0)</f>
        <v>81</v>
      </c>
      <c r="K363" s="29">
        <f>IFERROR(__xludf.DUMMYFUNCTION("""COMPUTED_VALUE"""),9.0)</f>
        <v>9</v>
      </c>
      <c r="L363" s="31" t="str">
        <f>IFERROR(__xludf.DUMMYFUNCTION("""COMPUTED_VALUE"""),"Action-Adventure")</f>
        <v>Action-Adventure</v>
      </c>
    </row>
    <row r="364" hidden="1">
      <c r="A364" s="278" t="str">
        <f>IFERROR(__xludf.DUMMYFUNCTION("""COMPUTED_VALUE"""),"Kill It With Fire")</f>
        <v>Kill It With Fire</v>
      </c>
      <c r="B364" s="20" t="str">
        <f>IFERROR(__xludf.DUMMYFUNCTION("""COMPUTED_VALUE"""),"Xbox / PC")</f>
        <v>Xbox / PC</v>
      </c>
      <c r="C364" s="20" t="str">
        <f>IFERROR(__xludf.DUMMYFUNCTION("""COMPUTED_VALUE"""),"Yes")</f>
        <v>Yes</v>
      </c>
      <c r="D364" s="21" t="str">
        <f>IFERROR(__xludf.DUMMYFUNCTION("""COMPUTED_VALUE"""),"Removed")</f>
        <v>Removed</v>
      </c>
      <c r="E364" s="279">
        <f>IFERROR(__xludf.DUMMYFUNCTION("""COMPUTED_VALUE"""),44504.0)</f>
        <v>44504</v>
      </c>
      <c r="F364" s="24">
        <f>IFERROR(__xludf.DUMMYFUNCTION("""COMPUTED_VALUE"""),45230.0)</f>
        <v>45230</v>
      </c>
      <c r="G364" s="27">
        <f>IFERROR(__xludf.DUMMYFUNCTION("""COMPUTED_VALUE"""),23.866666666666667)</f>
        <v>23.86666667</v>
      </c>
      <c r="H364" s="128">
        <f>IFERROR(__xludf.DUMMYFUNCTION("""COMPUTED_VALUE"""),44056.0)</f>
        <v>44056</v>
      </c>
      <c r="I364" s="27">
        <f>IFERROR(__xludf.DUMMYFUNCTION("""COMPUTED_VALUE"""),1.225)</f>
        <v>1.225</v>
      </c>
      <c r="J364" s="277">
        <f>IFERROR(__xludf.DUMMYFUNCTION("""COMPUTED_VALUE"""),73.0)</f>
        <v>73</v>
      </c>
      <c r="K364" s="29">
        <f>IFERROR(__xludf.DUMMYFUNCTION("""COMPUTED_VALUE"""),3.0)</f>
        <v>3</v>
      </c>
      <c r="L364" s="275" t="str">
        <f>IFERROR(__xludf.DUMMYFUNCTION("""COMPUTED_VALUE"""),"Action")</f>
        <v>Action</v>
      </c>
    </row>
    <row r="365" hidden="1">
      <c r="A365" s="278" t="str">
        <f>IFERROR(__xludf.DUMMYFUNCTION("""COMPUTED_VALUE"""),"Solasta: Crown of the Magister")</f>
        <v>Solasta: Crown of the Magister</v>
      </c>
      <c r="B365" s="20" t="str">
        <f>IFERROR(__xludf.DUMMYFUNCTION("""COMPUTED_VALUE"""),"Xbox / PC")</f>
        <v>Xbox / PC</v>
      </c>
      <c r="C365" s="20" t="str">
        <f>IFERROR(__xludf.DUMMYFUNCTION("""COMPUTED_VALUE"""),"Yes")</f>
        <v>Yes</v>
      </c>
      <c r="D365" s="21" t="str">
        <f>IFERROR(__xludf.DUMMYFUNCTION("""COMPUTED_VALUE"""),"Removed")</f>
        <v>Removed</v>
      </c>
      <c r="E365" s="279">
        <f>IFERROR(__xludf.DUMMYFUNCTION("""COMPUTED_VALUE"""),44343.0)</f>
        <v>44343</v>
      </c>
      <c r="F365" s="24">
        <f>IFERROR(__xludf.DUMMYFUNCTION("""COMPUTED_VALUE"""),45230.0)</f>
        <v>45230</v>
      </c>
      <c r="G365" s="27">
        <f>IFERROR(__xludf.DUMMYFUNCTION("""COMPUTED_VALUE"""),29.099999999999998)</f>
        <v>29.1</v>
      </c>
      <c r="H365" s="128">
        <f>IFERROR(__xludf.DUMMYFUNCTION("""COMPUTED_VALUE"""),44124.0)</f>
        <v>44124</v>
      </c>
      <c r="I365" s="27">
        <f>IFERROR(__xludf.DUMMYFUNCTION("""COMPUTED_VALUE"""),0.6027777777777777)</f>
        <v>0.6027777778</v>
      </c>
      <c r="J365" s="277">
        <f>IFERROR(__xludf.DUMMYFUNCTION("""COMPUTED_VALUE"""),78.0)</f>
        <v>78</v>
      </c>
      <c r="K365" s="29">
        <f>IFERROR(__xludf.DUMMYFUNCTION("""COMPUTED_VALUE"""),39.5)</f>
        <v>39.5</v>
      </c>
      <c r="L365" s="275" t="str">
        <f>IFERROR(__xludf.DUMMYFUNCTION("""COMPUTED_VALUE"""),"RPG")</f>
        <v>RPG</v>
      </c>
    </row>
    <row r="366" hidden="1">
      <c r="A366" s="278" t="str">
        <f>IFERROR(__xludf.DUMMYFUNCTION("""COMPUTED_VALUE"""),"The Legend of Tianding")</f>
        <v>The Legend of Tianding</v>
      </c>
      <c r="B366" s="20" t="str">
        <f>IFERROR(__xludf.DUMMYFUNCTION("""COMPUTED_VALUE"""),"Xbox / PC")</f>
        <v>Xbox / PC</v>
      </c>
      <c r="C366" s="21" t="str">
        <f>IFERROR(__xludf.DUMMYFUNCTION("""COMPUTED_VALUE"""),"Yes")</f>
        <v>Yes</v>
      </c>
      <c r="D366" s="21" t="str">
        <f>IFERROR(__xludf.DUMMYFUNCTION("""COMPUTED_VALUE"""),"Removed")</f>
        <v>Removed</v>
      </c>
      <c r="E366" s="279">
        <f>IFERROR(__xludf.DUMMYFUNCTION("""COMPUTED_VALUE"""),44865.0)</f>
        <v>44865</v>
      </c>
      <c r="F366" s="279">
        <f>IFERROR(__xludf.DUMMYFUNCTION("""COMPUTED_VALUE"""),45214.0)</f>
        <v>45214</v>
      </c>
      <c r="G366" s="27">
        <f>IFERROR(__xludf.DUMMYFUNCTION("""COMPUTED_VALUE"""),11.5)</f>
        <v>11.5</v>
      </c>
      <c r="H366" s="128">
        <f>IFERROR(__xludf.DUMMYFUNCTION("""COMPUTED_VALUE"""),44865.0)</f>
        <v>44865</v>
      </c>
      <c r="I366" s="27">
        <f>IFERROR(__xludf.DUMMYFUNCTION("""COMPUTED_VALUE"""),0.0)</f>
        <v>0</v>
      </c>
      <c r="J366" s="277">
        <f>IFERROR(__xludf.DUMMYFUNCTION("""COMPUTED_VALUE"""),80.0)</f>
        <v>80</v>
      </c>
      <c r="K366" s="29">
        <f>IFERROR(__xludf.DUMMYFUNCTION("""COMPUTED_VALUE"""),5.0)</f>
        <v>5</v>
      </c>
      <c r="L366" s="275" t="str">
        <f>IFERROR(__xludf.DUMMYFUNCTION("""COMPUTED_VALUE"""),"Platformer")</f>
        <v>Platformer</v>
      </c>
    </row>
    <row r="367" hidden="1">
      <c r="A367" s="278" t="str">
        <f>IFERROR(__xludf.DUMMYFUNCTION("""COMPUTED_VALUE"""),"Eville")</f>
        <v>Eville</v>
      </c>
      <c r="B367" s="20" t="str">
        <f>IFERROR(__xludf.DUMMYFUNCTION("""COMPUTED_VALUE"""),"Xbox / PC")</f>
        <v>Xbox / PC</v>
      </c>
      <c r="C367" s="21" t="str">
        <f>IFERROR(__xludf.DUMMYFUNCTION("""COMPUTED_VALUE"""),"Yes")</f>
        <v>Yes</v>
      </c>
      <c r="D367" s="21" t="str">
        <f>IFERROR(__xludf.DUMMYFUNCTION("""COMPUTED_VALUE"""),"Removed")</f>
        <v>Removed</v>
      </c>
      <c r="E367" s="279">
        <f>IFERROR(__xludf.DUMMYFUNCTION("""COMPUTED_VALUE"""),44845.0)</f>
        <v>44845</v>
      </c>
      <c r="F367" s="276">
        <f>IFERROR(__xludf.DUMMYFUNCTION("""COMPUTED_VALUE"""),45214.0)</f>
        <v>45214</v>
      </c>
      <c r="G367" s="27">
        <f>IFERROR(__xludf.DUMMYFUNCTION("""COMPUTED_VALUE"""),12.133333333333333)</f>
        <v>12.13333333</v>
      </c>
      <c r="H367" s="128">
        <f>IFERROR(__xludf.DUMMYFUNCTION("""COMPUTED_VALUE"""),44845.0)</f>
        <v>44845</v>
      </c>
      <c r="I367" s="27">
        <f>IFERROR(__xludf.DUMMYFUNCTION("""COMPUTED_VALUE"""),0.0)</f>
        <v>0</v>
      </c>
      <c r="J367" s="277">
        <f>IFERROR(__xludf.DUMMYFUNCTION("""COMPUTED_VALUE"""),71.0)</f>
        <v>71</v>
      </c>
      <c r="K367" s="29">
        <f>IFERROR(__xludf.DUMMYFUNCTION("""COMPUTED_VALUE"""),8.0)</f>
        <v>8</v>
      </c>
      <c r="L367" s="275" t="str">
        <f>IFERROR(__xludf.DUMMYFUNCTION("""COMPUTED_VALUE"""),"Action-Adventure")</f>
        <v>Action-Adventure</v>
      </c>
    </row>
    <row r="368" hidden="1">
      <c r="A368" s="278" t="str">
        <f>IFERROR(__xludf.DUMMYFUNCTION("""COMPUTED_VALUE"""),"Shenzhen I/O")</f>
        <v>Shenzhen I/O</v>
      </c>
      <c r="B368" s="20" t="str">
        <f>IFERROR(__xludf.DUMMYFUNCTION("""COMPUTED_VALUE"""),"PC")</f>
        <v>PC</v>
      </c>
      <c r="C368" s="20"/>
      <c r="D368" s="21" t="str">
        <f>IFERROR(__xludf.DUMMYFUNCTION("""COMPUTED_VALUE"""),"Removed")</f>
        <v>Removed</v>
      </c>
      <c r="E368" s="279">
        <f>IFERROR(__xludf.DUMMYFUNCTION("""COMPUTED_VALUE"""),44777.0)</f>
        <v>44777</v>
      </c>
      <c r="F368" s="24">
        <f>IFERROR(__xludf.DUMMYFUNCTION("""COMPUTED_VALUE"""),45214.0)</f>
        <v>45214</v>
      </c>
      <c r="G368" s="27">
        <f>IFERROR(__xludf.DUMMYFUNCTION("""COMPUTED_VALUE"""),14.366666666666667)</f>
        <v>14.36666667</v>
      </c>
      <c r="H368" s="128">
        <f>IFERROR(__xludf.DUMMYFUNCTION("""COMPUTED_VALUE"""),42649.0)</f>
        <v>42649</v>
      </c>
      <c r="I368" s="27">
        <f>IFERROR(__xludf.DUMMYFUNCTION("""COMPUTED_VALUE"""),5.8277777777777775)</f>
        <v>5.827777778</v>
      </c>
      <c r="J368" s="277">
        <f>IFERROR(__xludf.DUMMYFUNCTION("""COMPUTED_VALUE"""),88.0)</f>
        <v>88</v>
      </c>
      <c r="K368" s="29">
        <f>IFERROR(__xludf.DUMMYFUNCTION("""COMPUTED_VALUE"""),25.0)</f>
        <v>25</v>
      </c>
      <c r="L368" s="275" t="str">
        <f>IFERROR(__xludf.DUMMYFUNCTION("""COMPUTED_VALUE"""),"Puzzle")</f>
        <v>Puzzle</v>
      </c>
    </row>
    <row r="369" hidden="1">
      <c r="A369" s="278" t="str">
        <f>IFERROR(__xludf.DUMMYFUNCTION("""COMPUTED_VALUE"""),"Overwhelm")</f>
        <v>Overwhelm</v>
      </c>
      <c r="B369" s="20" t="str">
        <f>IFERROR(__xludf.DUMMYFUNCTION("""COMPUTED_VALUE"""),"PC")</f>
        <v>PC</v>
      </c>
      <c r="C369" s="21"/>
      <c r="D369" s="21" t="str">
        <f>IFERROR(__xludf.DUMMYFUNCTION("""COMPUTED_VALUE"""),"Removed")</f>
        <v>Removed</v>
      </c>
      <c r="E369" s="279">
        <f>IFERROR(__xludf.DUMMYFUNCTION("""COMPUTED_VALUE"""),44756.0)</f>
        <v>44756</v>
      </c>
      <c r="F369" s="276">
        <f>IFERROR(__xludf.DUMMYFUNCTION("""COMPUTED_VALUE"""),45214.0)</f>
        <v>45214</v>
      </c>
      <c r="G369" s="27">
        <f>IFERROR(__xludf.DUMMYFUNCTION("""COMPUTED_VALUE"""),15.033333333333333)</f>
        <v>15.03333333</v>
      </c>
      <c r="H369" s="128">
        <f>IFERROR(__xludf.DUMMYFUNCTION("""COMPUTED_VALUE"""),43292.0)</f>
        <v>43292</v>
      </c>
      <c r="I369" s="27">
        <f>IFERROR(__xludf.DUMMYFUNCTION("""COMPUTED_VALUE"""),4.008333333333334)</f>
        <v>4.008333333</v>
      </c>
      <c r="J369" s="277">
        <f>IFERROR(__xludf.DUMMYFUNCTION("""COMPUTED_VALUE"""),74.0)</f>
        <v>74</v>
      </c>
      <c r="K369" s="29">
        <f>IFERROR(__xludf.DUMMYFUNCTION("""COMPUTED_VALUE"""),6.0)</f>
        <v>6</v>
      </c>
      <c r="L369" s="275" t="str">
        <f>IFERROR(__xludf.DUMMYFUNCTION("""COMPUTED_VALUE"""),"Platformer")</f>
        <v>Platformer</v>
      </c>
    </row>
    <row r="370" hidden="1">
      <c r="A370" s="278" t="str">
        <f>IFERROR(__xludf.DUMMYFUNCTION("""COMPUTED_VALUE"""),"Trek to Yomi")</f>
        <v>Trek to Yomi</v>
      </c>
      <c r="B370" s="20" t="str">
        <f>IFERROR(__xludf.DUMMYFUNCTION("""COMPUTED_VALUE"""),"Xbox / PC")</f>
        <v>Xbox / PC</v>
      </c>
      <c r="C370" s="21" t="str">
        <f>IFERROR(__xludf.DUMMYFUNCTION("""COMPUTED_VALUE"""),"Yes")</f>
        <v>Yes</v>
      </c>
      <c r="D370" s="21" t="str">
        <f>IFERROR(__xludf.DUMMYFUNCTION("""COMPUTED_VALUE"""),"Removed")</f>
        <v>Removed</v>
      </c>
      <c r="E370" s="279">
        <f>IFERROR(__xludf.DUMMYFUNCTION("""COMPUTED_VALUE"""),44686.0)</f>
        <v>44686</v>
      </c>
      <c r="F370" s="279">
        <f>IFERROR(__xludf.DUMMYFUNCTION("""COMPUTED_VALUE"""),45214.0)</f>
        <v>45214</v>
      </c>
      <c r="G370" s="27">
        <f>IFERROR(__xludf.DUMMYFUNCTION("""COMPUTED_VALUE"""),17.333333333333332)</f>
        <v>17.33333333</v>
      </c>
      <c r="H370" s="128">
        <f>IFERROR(__xludf.DUMMYFUNCTION("""COMPUTED_VALUE"""),44686.0)</f>
        <v>44686</v>
      </c>
      <c r="I370" s="27">
        <f>IFERROR(__xludf.DUMMYFUNCTION("""COMPUTED_VALUE"""),0.0)</f>
        <v>0</v>
      </c>
      <c r="J370" s="277">
        <f>IFERROR(__xludf.DUMMYFUNCTION("""COMPUTED_VALUE"""),72.0)</f>
        <v>72</v>
      </c>
      <c r="K370" s="29">
        <f>IFERROR(__xludf.DUMMYFUNCTION("""COMPUTED_VALUE"""),5.0)</f>
        <v>5</v>
      </c>
      <c r="L370" s="275" t="str">
        <f>IFERROR(__xludf.DUMMYFUNCTION("""COMPUTED_VALUE"""),"Action")</f>
        <v>Action</v>
      </c>
    </row>
    <row r="371" hidden="1">
      <c r="A371" s="278" t="str">
        <f>IFERROR(__xludf.DUMMYFUNCTION("""COMPUTED_VALUE"""),"Turnip Boy Commits Tax Evasion")</f>
        <v>Turnip Boy Commits Tax Evasion</v>
      </c>
      <c r="B371" s="20" t="str">
        <f>IFERROR(__xludf.DUMMYFUNCTION("""COMPUTED_VALUE"""),"Xbox / PC")</f>
        <v>Xbox / PC</v>
      </c>
      <c r="C371" s="20" t="str">
        <f>IFERROR(__xludf.DUMMYFUNCTION("""COMPUTED_VALUE"""),"Touch Controls")</f>
        <v>Touch Controls</v>
      </c>
      <c r="D371" s="21" t="str">
        <f>IFERROR(__xludf.DUMMYFUNCTION("""COMPUTED_VALUE"""),"Removed")</f>
        <v>Removed</v>
      </c>
      <c r="E371" s="279">
        <f>IFERROR(__xludf.DUMMYFUNCTION("""COMPUTED_VALUE"""),44670.0)</f>
        <v>44670</v>
      </c>
      <c r="F371" s="276">
        <f>IFERROR(__xludf.DUMMYFUNCTION("""COMPUTED_VALUE"""),45214.0)</f>
        <v>45214</v>
      </c>
      <c r="G371" s="27">
        <f>IFERROR(__xludf.DUMMYFUNCTION("""COMPUTED_VALUE"""),17.866666666666667)</f>
        <v>17.86666667</v>
      </c>
      <c r="H371" s="128">
        <f>IFERROR(__xludf.DUMMYFUNCTION("""COMPUTED_VALUE"""),44308.0)</f>
        <v>44308</v>
      </c>
      <c r="I371" s="27">
        <f>IFERROR(__xludf.DUMMYFUNCTION("""COMPUTED_VALUE"""),0.9916666666666667)</f>
        <v>0.9916666667</v>
      </c>
      <c r="J371" s="277">
        <f>IFERROR(__xludf.DUMMYFUNCTION("""COMPUTED_VALUE"""),72.0)</f>
        <v>72</v>
      </c>
      <c r="K371" s="277">
        <f>IFERROR(__xludf.DUMMYFUNCTION("""COMPUTED_VALUE"""),2.0)</f>
        <v>2</v>
      </c>
      <c r="L371" s="275" t="str">
        <f>IFERROR(__xludf.DUMMYFUNCTION("""COMPUTED_VALUE"""),"Action-Adventure")</f>
        <v>Action-Adventure</v>
      </c>
    </row>
    <row r="372" hidden="1">
      <c r="A372" s="278" t="str">
        <f>IFERROR(__xludf.DUMMYFUNCTION("""COMPUTED_VALUE"""),"Despot's Game")</f>
        <v>Despot's Game</v>
      </c>
      <c r="B372" s="21" t="str">
        <f>IFERROR(__xludf.DUMMYFUNCTION("""COMPUTED_VALUE"""),"Xbox / PC")</f>
        <v>Xbox / PC</v>
      </c>
      <c r="C372" s="21" t="str">
        <f>IFERROR(__xludf.DUMMYFUNCTION("""COMPUTED_VALUE"""),"Yes")</f>
        <v>Yes</v>
      </c>
      <c r="D372" s="21" t="str">
        <f>IFERROR(__xludf.DUMMYFUNCTION("""COMPUTED_VALUE"""),"Removed")</f>
        <v>Removed</v>
      </c>
      <c r="E372" s="23">
        <f>IFERROR(__xludf.DUMMYFUNCTION("""COMPUTED_VALUE"""),44833.0)</f>
        <v>44833</v>
      </c>
      <c r="F372" s="276">
        <f>IFERROR(__xludf.DUMMYFUNCTION("""COMPUTED_VALUE"""),45199.0)</f>
        <v>45199</v>
      </c>
      <c r="G372" s="27">
        <f>IFERROR(__xludf.DUMMYFUNCTION("""COMPUTED_VALUE"""),12.033333333333333)</f>
        <v>12.03333333</v>
      </c>
      <c r="H372" s="128">
        <f>IFERROR(__xludf.DUMMYFUNCTION("""COMPUTED_VALUE"""),44833.0)</f>
        <v>44833</v>
      </c>
      <c r="I372" s="27">
        <f>IFERROR(__xludf.DUMMYFUNCTION("""COMPUTED_VALUE"""),0.0)</f>
        <v>0</v>
      </c>
      <c r="J372" s="277">
        <f>IFERROR(__xludf.DUMMYFUNCTION("""COMPUTED_VALUE"""),80.0)</f>
        <v>80</v>
      </c>
      <c r="K372" s="29">
        <f>IFERROR(__xludf.DUMMYFUNCTION("""COMPUTED_VALUE"""),9.5)</f>
        <v>9.5</v>
      </c>
      <c r="L372" s="286" t="str">
        <f>IFERROR(__xludf.DUMMYFUNCTION("""COMPUTED_VALUE"""),"Strategy")</f>
        <v>Strategy</v>
      </c>
    </row>
    <row r="373" hidden="1">
      <c r="A373" s="278" t="str">
        <f>IFERROR(__xludf.DUMMYFUNCTION("""COMPUTED_VALUE"""),"Moonscars")</f>
        <v>Moonscars</v>
      </c>
      <c r="B373" s="21" t="str">
        <f>IFERROR(__xludf.DUMMYFUNCTION("""COMPUTED_VALUE"""),"Xbox / PC")</f>
        <v>Xbox / PC</v>
      </c>
      <c r="C373" s="21" t="str">
        <f>IFERROR(__xludf.DUMMYFUNCTION("""COMPUTED_VALUE"""),"Yes")</f>
        <v>Yes</v>
      </c>
      <c r="D373" s="21" t="str">
        <f>IFERROR(__xludf.DUMMYFUNCTION("""COMPUTED_VALUE"""),"Removed")</f>
        <v>Removed</v>
      </c>
      <c r="E373" s="279">
        <f>IFERROR(__xludf.DUMMYFUNCTION("""COMPUTED_VALUE"""),44831.0)</f>
        <v>44831</v>
      </c>
      <c r="F373" s="276">
        <f>IFERROR(__xludf.DUMMYFUNCTION("""COMPUTED_VALUE"""),45199.0)</f>
        <v>45199</v>
      </c>
      <c r="G373" s="27">
        <f>IFERROR(__xludf.DUMMYFUNCTION("""COMPUTED_VALUE"""),12.1)</f>
        <v>12.1</v>
      </c>
      <c r="H373" s="128">
        <f>IFERROR(__xludf.DUMMYFUNCTION("""COMPUTED_VALUE"""),44831.0)</f>
        <v>44831</v>
      </c>
      <c r="I373" s="27">
        <f>IFERROR(__xludf.DUMMYFUNCTION("""COMPUTED_VALUE"""),0.0)</f>
        <v>0</v>
      </c>
      <c r="J373" s="277">
        <f>IFERROR(__xludf.DUMMYFUNCTION("""COMPUTED_VALUE"""),76.0)</f>
        <v>76</v>
      </c>
      <c r="K373" s="29">
        <f>IFERROR(__xludf.DUMMYFUNCTION("""COMPUTED_VALUE"""),8.5)</f>
        <v>8.5</v>
      </c>
      <c r="L373" s="275" t="str">
        <f>IFERROR(__xludf.DUMMYFUNCTION("""COMPUTED_VALUE"""),"Action-Adventure")</f>
        <v>Action-Adventure</v>
      </c>
    </row>
    <row r="374" hidden="1">
      <c r="A374" s="17" t="str">
        <f>IFERROR(__xludf.DUMMYFUNCTION("""COMPUTED_VALUE"""),"Beacon Pines")</f>
        <v>Beacon Pines</v>
      </c>
      <c r="B374" s="20" t="str">
        <f>IFERROR(__xludf.DUMMYFUNCTION("""COMPUTED_VALUE"""),"Xbox / PC")</f>
        <v>Xbox / PC</v>
      </c>
      <c r="C374" s="20" t="str">
        <f>IFERROR(__xludf.DUMMYFUNCTION("""COMPUTED_VALUE"""),"Yes")</f>
        <v>Yes</v>
      </c>
      <c r="D374" s="21" t="str">
        <f>IFERROR(__xludf.DUMMYFUNCTION("""COMPUTED_VALUE"""),"Removed")</f>
        <v>Removed</v>
      </c>
      <c r="E374" s="127">
        <f>IFERROR(__xludf.DUMMYFUNCTION("""COMPUTED_VALUE"""),44826.0)</f>
        <v>44826</v>
      </c>
      <c r="F374" s="24">
        <f>IFERROR(__xludf.DUMMYFUNCTION("""COMPUTED_VALUE"""),45199.0)</f>
        <v>45199</v>
      </c>
      <c r="G374" s="27">
        <f>IFERROR(__xludf.DUMMYFUNCTION("""COMPUTED_VALUE"""),12.266666666666666)</f>
        <v>12.26666667</v>
      </c>
      <c r="H374" s="128">
        <f>IFERROR(__xludf.DUMMYFUNCTION("""COMPUTED_VALUE"""),44826.0)</f>
        <v>44826</v>
      </c>
      <c r="I374" s="27">
        <f>IFERROR(__xludf.DUMMYFUNCTION("""COMPUTED_VALUE"""),0.0)</f>
        <v>0</v>
      </c>
      <c r="J374" s="29">
        <f>IFERROR(__xludf.DUMMYFUNCTION("""COMPUTED_VALUE"""),83.0)</f>
        <v>83</v>
      </c>
      <c r="K374" s="29">
        <f>IFERROR(__xludf.DUMMYFUNCTION("""COMPUTED_VALUE"""),5.0)</f>
        <v>5</v>
      </c>
      <c r="L374" s="31" t="str">
        <f>IFERROR(__xludf.DUMMYFUNCTION("""COMPUTED_VALUE"""),"Adventure")</f>
        <v>Adventure</v>
      </c>
    </row>
    <row r="375" hidden="1">
      <c r="A375" s="278" t="str">
        <f>IFERROR(__xludf.DUMMYFUNCTION("""COMPUTED_VALUE"""),"Last Call BBS")</f>
        <v>Last Call BBS</v>
      </c>
      <c r="B375" s="20" t="str">
        <f>IFERROR(__xludf.DUMMYFUNCTION("""COMPUTED_VALUE"""),"PC")</f>
        <v>PC</v>
      </c>
      <c r="C375" s="20"/>
      <c r="D375" s="21" t="str">
        <f>IFERROR(__xludf.DUMMYFUNCTION("""COMPUTED_VALUE"""),"Removed")</f>
        <v>Removed</v>
      </c>
      <c r="E375" s="279">
        <f>IFERROR(__xludf.DUMMYFUNCTION("""COMPUTED_VALUE"""),44747.0)</f>
        <v>44747</v>
      </c>
      <c r="F375" s="24">
        <f>IFERROR(__xludf.DUMMYFUNCTION("""COMPUTED_VALUE"""),45199.0)</f>
        <v>45199</v>
      </c>
      <c r="G375" s="27">
        <f>IFERROR(__xludf.DUMMYFUNCTION("""COMPUTED_VALUE"""),14.833333333333334)</f>
        <v>14.83333333</v>
      </c>
      <c r="H375" s="128">
        <f>IFERROR(__xludf.DUMMYFUNCTION("""COMPUTED_VALUE"""),44747.0)</f>
        <v>44747</v>
      </c>
      <c r="I375" s="27">
        <f>IFERROR(__xludf.DUMMYFUNCTION("""COMPUTED_VALUE"""),0.0)</f>
        <v>0</v>
      </c>
      <c r="J375" s="277">
        <f>IFERROR(__xludf.DUMMYFUNCTION("""COMPUTED_VALUE"""),80.0)</f>
        <v>80</v>
      </c>
      <c r="K375" s="29">
        <f>IFERROR(__xludf.DUMMYFUNCTION("""COMPUTED_VALUE"""),64.5)</f>
        <v>64.5</v>
      </c>
      <c r="L375" s="275" t="str">
        <f>IFERROR(__xludf.DUMMYFUNCTION("""COMPUTED_VALUE"""),"Strategy")</f>
        <v>Strategy</v>
      </c>
    </row>
    <row r="376" hidden="1">
      <c r="A376" s="278" t="str">
        <f>IFERROR(__xludf.DUMMYFUNCTION("""COMPUTED_VALUE"""),"Weird West: Definitive Edition")</f>
        <v>Weird West: Definitive Edition</v>
      </c>
      <c r="B376" s="20" t="str">
        <f>IFERROR(__xludf.DUMMYFUNCTION("""COMPUTED_VALUE"""),"Xbox / PC")</f>
        <v>Xbox / PC</v>
      </c>
      <c r="C376" s="20" t="str">
        <f>IFERROR(__xludf.DUMMYFUNCTION("""COMPUTED_VALUE"""),"Yes")</f>
        <v>Yes</v>
      </c>
      <c r="D376" s="21" t="str">
        <f>IFERROR(__xludf.DUMMYFUNCTION("""COMPUTED_VALUE"""),"Removed")</f>
        <v>Removed</v>
      </c>
      <c r="E376" s="279">
        <f>IFERROR(__xludf.DUMMYFUNCTION("""COMPUTED_VALUE"""),44651.0)</f>
        <v>44651</v>
      </c>
      <c r="F376" s="276">
        <f>IFERROR(__xludf.DUMMYFUNCTION("""COMPUTED_VALUE"""),45199.0)</f>
        <v>45199</v>
      </c>
      <c r="G376" s="27">
        <f>IFERROR(__xludf.DUMMYFUNCTION("""COMPUTED_VALUE"""),18.0)</f>
        <v>18</v>
      </c>
      <c r="H376" s="128">
        <f>IFERROR(__xludf.DUMMYFUNCTION("""COMPUTED_VALUE"""),44651.0)</f>
        <v>44651</v>
      </c>
      <c r="I376" s="27">
        <f>IFERROR(__xludf.DUMMYFUNCTION("""COMPUTED_VALUE"""),0.0)</f>
        <v>0</v>
      </c>
      <c r="J376" s="277">
        <f>IFERROR(__xludf.DUMMYFUNCTION("""COMPUTED_VALUE"""),79.5)</f>
        <v>79.5</v>
      </c>
      <c r="K376" s="29">
        <f>IFERROR(__xludf.DUMMYFUNCTION("""COMPUTED_VALUE"""),21.0)</f>
        <v>21</v>
      </c>
      <c r="L376" s="275" t="str">
        <f>IFERROR(__xludf.DUMMYFUNCTION("""COMPUTED_VALUE"""),"RPG")</f>
        <v>RPG</v>
      </c>
    </row>
    <row r="377" hidden="1">
      <c r="A377" s="278" t="str">
        <f>IFERROR(__xludf.DUMMYFUNCTION("""COMPUTED_VALUE"""),"Prodeus")</f>
        <v>Prodeus</v>
      </c>
      <c r="B377" s="20" t="str">
        <f>IFERROR(__xludf.DUMMYFUNCTION("""COMPUTED_VALUE"""),"Xbox / PC")</f>
        <v>Xbox / PC</v>
      </c>
      <c r="C377" s="20" t="str">
        <f>IFERROR(__xludf.DUMMYFUNCTION("""COMPUTED_VALUE"""),"Yes")</f>
        <v>Yes</v>
      </c>
      <c r="D377" s="21" t="str">
        <f>IFERROR(__xludf.DUMMYFUNCTION("""COMPUTED_VALUE"""),"Removed")</f>
        <v>Removed</v>
      </c>
      <c r="E377" s="279">
        <f>IFERROR(__xludf.DUMMYFUNCTION("""COMPUTED_VALUE"""),44371.0)</f>
        <v>44371</v>
      </c>
      <c r="F377" s="276">
        <f>IFERROR(__xludf.DUMMYFUNCTION("""COMPUTED_VALUE"""),45199.0)</f>
        <v>45199</v>
      </c>
      <c r="G377" s="27">
        <f>IFERROR(__xludf.DUMMYFUNCTION("""COMPUTED_VALUE"""),27.2)</f>
        <v>27.2</v>
      </c>
      <c r="H377" s="128">
        <f>IFERROR(__xludf.DUMMYFUNCTION("""COMPUTED_VALUE"""),44144.0)</f>
        <v>44144</v>
      </c>
      <c r="I377" s="27">
        <f>IFERROR(__xludf.DUMMYFUNCTION("""COMPUTED_VALUE"""),0.625)</f>
        <v>0.625</v>
      </c>
      <c r="J377" s="277">
        <f>IFERROR(__xludf.DUMMYFUNCTION("""COMPUTED_VALUE"""),85.5)</f>
        <v>85.5</v>
      </c>
      <c r="K377" s="29">
        <f>IFERROR(__xludf.DUMMYFUNCTION("""COMPUTED_VALUE"""),5.5)</f>
        <v>5.5</v>
      </c>
      <c r="L377" s="275" t="str">
        <f>IFERROR(__xludf.DUMMYFUNCTION("""COMPUTED_VALUE"""),"Shooter")</f>
        <v>Shooter</v>
      </c>
    </row>
    <row r="378" hidden="1">
      <c r="A378" s="17" t="str">
        <f>IFERROR(__xludf.DUMMYFUNCTION("""COMPUTED_VALUE"""),"Outriders")</f>
        <v>Outriders</v>
      </c>
      <c r="B378" s="20" t="str">
        <f>IFERROR(__xludf.DUMMYFUNCTION("""COMPUTED_VALUE"""),"Xbox / PC")</f>
        <v>Xbox / PC</v>
      </c>
      <c r="C378" s="20" t="str">
        <f>IFERROR(__xludf.DUMMYFUNCTION("""COMPUTED_VALUE"""),"Yes")</f>
        <v>Yes</v>
      </c>
      <c r="D378" s="21" t="str">
        <f>IFERROR(__xludf.DUMMYFUNCTION("""COMPUTED_VALUE"""),"Removed")</f>
        <v>Removed</v>
      </c>
      <c r="E378" s="128">
        <f>IFERROR(__xludf.DUMMYFUNCTION("""COMPUTED_VALUE"""),44287.0)</f>
        <v>44287</v>
      </c>
      <c r="F378" s="24">
        <f>IFERROR(__xludf.DUMMYFUNCTION("""COMPUTED_VALUE"""),45199.0)</f>
        <v>45199</v>
      </c>
      <c r="G378" s="27">
        <f>IFERROR(__xludf.DUMMYFUNCTION("""COMPUTED_VALUE"""),29.96666666666667)</f>
        <v>29.96666667</v>
      </c>
      <c r="H378" s="128">
        <f>IFERROR(__xludf.DUMMYFUNCTION("""COMPUTED_VALUE"""),44287.0)</f>
        <v>44287</v>
      </c>
      <c r="I378" s="27">
        <f>IFERROR(__xludf.DUMMYFUNCTION("""COMPUTED_VALUE"""),0.0)</f>
        <v>0</v>
      </c>
      <c r="J378" s="29">
        <f>IFERROR(__xludf.DUMMYFUNCTION("""COMPUTED_VALUE"""),78.0)</f>
        <v>78</v>
      </c>
      <c r="K378" s="29">
        <f>IFERROR(__xludf.DUMMYFUNCTION("""COMPUTED_VALUE"""),15.0)</f>
        <v>15</v>
      </c>
      <c r="L378" s="31" t="str">
        <f>IFERROR(__xludf.DUMMYFUNCTION("""COMPUTED_VALUE"""),"RPG")</f>
        <v>RPG</v>
      </c>
    </row>
    <row r="379" hidden="1">
      <c r="A379" s="278" t="str">
        <f>IFERROR(__xludf.DUMMYFUNCTION("""COMPUTED_VALUE"""),"Sid Meier's Civilization VI")</f>
        <v>Sid Meier's Civilization VI</v>
      </c>
      <c r="B379" s="20" t="str">
        <f>IFERROR(__xludf.DUMMYFUNCTION("""COMPUTED_VALUE"""),"Xbox / PC")</f>
        <v>Xbox / PC</v>
      </c>
      <c r="C379" s="20" t="str">
        <f>IFERROR(__xludf.DUMMYFUNCTION("""COMPUTED_VALUE"""),"Yes")</f>
        <v>Yes</v>
      </c>
      <c r="D379" s="21" t="str">
        <f>IFERROR(__xludf.DUMMYFUNCTION("""COMPUTED_VALUE"""),"Removed")</f>
        <v>Removed</v>
      </c>
      <c r="E379" s="279">
        <f>IFERROR(__xludf.DUMMYFUNCTION("""COMPUTED_VALUE"""),45001.0)</f>
        <v>45001</v>
      </c>
      <c r="F379" s="276">
        <f>IFERROR(__xludf.DUMMYFUNCTION("""COMPUTED_VALUE"""),45184.0)</f>
        <v>45184</v>
      </c>
      <c r="G379" s="27">
        <f>IFERROR(__xludf.DUMMYFUNCTION("""COMPUTED_VALUE"""),5.966666666666667)</f>
        <v>5.966666667</v>
      </c>
      <c r="H379" s="128">
        <f>IFERROR(__xludf.DUMMYFUNCTION("""COMPUTED_VALUE"""),42664.0)</f>
        <v>42664</v>
      </c>
      <c r="I379" s="27">
        <f>IFERROR(__xludf.DUMMYFUNCTION("""COMPUTED_VALUE"""),6.402777777777778)</f>
        <v>6.402777778</v>
      </c>
      <c r="J379" s="277">
        <f>IFERROR(__xludf.DUMMYFUNCTION("""COMPUTED_VALUE"""),87.0)</f>
        <v>87</v>
      </c>
      <c r="K379" s="277">
        <f>IFERROR(__xludf.DUMMYFUNCTION("""COMPUTED_VALUE"""),23.0)</f>
        <v>23</v>
      </c>
      <c r="L379" s="275" t="str">
        <f>IFERROR(__xludf.DUMMYFUNCTION("""COMPUTED_VALUE"""),"Strategy")</f>
        <v>Strategy</v>
      </c>
    </row>
    <row r="380" hidden="1">
      <c r="A380" s="278" t="str">
        <f>IFERROR(__xludf.DUMMYFUNCTION("""COMPUTED_VALUE"""),"Danganronpa V3: Killing Harmony")</f>
        <v>Danganronpa V3: Killing Harmony</v>
      </c>
      <c r="B380" s="21" t="str">
        <f>IFERROR(__xludf.DUMMYFUNCTION("""COMPUTED_VALUE"""),"Xbox / PC")</f>
        <v>Xbox / PC</v>
      </c>
      <c r="C380" s="21" t="str">
        <f>IFERROR(__xludf.DUMMYFUNCTION("""COMPUTED_VALUE"""),"Touch Controls")</f>
        <v>Touch Controls</v>
      </c>
      <c r="D380" s="21" t="str">
        <f>IFERROR(__xludf.DUMMYFUNCTION("""COMPUTED_VALUE"""),"Removed")</f>
        <v>Removed</v>
      </c>
      <c r="E380" s="279">
        <f>IFERROR(__xludf.DUMMYFUNCTION("""COMPUTED_VALUE"""),44819.0)</f>
        <v>44819</v>
      </c>
      <c r="F380" s="276">
        <f>IFERROR(__xludf.DUMMYFUNCTION("""COMPUTED_VALUE"""),45184.0)</f>
        <v>45184</v>
      </c>
      <c r="G380" s="27">
        <f>IFERROR(__xludf.DUMMYFUNCTION("""COMPUTED_VALUE"""),12.0)</f>
        <v>12</v>
      </c>
      <c r="H380" s="128">
        <f>IFERROR(__xludf.DUMMYFUNCTION("""COMPUTED_VALUE"""),42747.0)</f>
        <v>42747</v>
      </c>
      <c r="I380" s="27">
        <f>IFERROR(__xludf.DUMMYFUNCTION("""COMPUTED_VALUE"""),5.675)</f>
        <v>5.675</v>
      </c>
      <c r="J380" s="277">
        <f>IFERROR(__xludf.DUMMYFUNCTION("""COMPUTED_VALUE"""),80.0)</f>
        <v>80</v>
      </c>
      <c r="K380" s="29">
        <f>IFERROR(__xludf.DUMMYFUNCTION("""COMPUTED_VALUE"""),39.0)</f>
        <v>39</v>
      </c>
      <c r="L380" s="275" t="str">
        <f>IFERROR(__xludf.DUMMYFUNCTION("""COMPUTED_VALUE"""),"Shooter")</f>
        <v>Shooter</v>
      </c>
    </row>
    <row r="381" hidden="1">
      <c r="A381" s="278" t="str">
        <f>IFERROR(__xludf.DUMMYFUNCTION("""COMPUTED_VALUE"""),"Fuga: Melodies of Steel")</f>
        <v>Fuga: Melodies of Steel</v>
      </c>
      <c r="B381" s="20" t="str">
        <f>IFERROR(__xludf.DUMMYFUNCTION("""COMPUTED_VALUE"""),"Xbox / PC")</f>
        <v>Xbox / PC</v>
      </c>
      <c r="C381" s="21" t="str">
        <f>IFERROR(__xludf.DUMMYFUNCTION("""COMPUTED_VALUE"""),"Touch Controls")</f>
        <v>Touch Controls</v>
      </c>
      <c r="D381" s="21" t="str">
        <f>IFERROR(__xludf.DUMMYFUNCTION("""COMPUTED_VALUE"""),"Removed")</f>
        <v>Removed</v>
      </c>
      <c r="E381" s="279">
        <f>IFERROR(__xludf.DUMMYFUNCTION("""COMPUTED_VALUE"""),44819.0)</f>
        <v>44819</v>
      </c>
      <c r="F381" s="24">
        <f>IFERROR(__xludf.DUMMYFUNCTION("""COMPUTED_VALUE"""),45184.0)</f>
        <v>45184</v>
      </c>
      <c r="G381" s="27">
        <f>IFERROR(__xludf.DUMMYFUNCTION("""COMPUTED_VALUE"""),12.0)</f>
        <v>12</v>
      </c>
      <c r="H381" s="128">
        <f>IFERROR(__xludf.DUMMYFUNCTION("""COMPUTED_VALUE"""),44405.0)</f>
        <v>44405</v>
      </c>
      <c r="I381" s="27">
        <f>IFERROR(__xludf.DUMMYFUNCTION("""COMPUTED_VALUE"""),1.1305555555555555)</f>
        <v>1.130555556</v>
      </c>
      <c r="J381" s="29">
        <f>IFERROR(__xludf.DUMMYFUNCTION("""COMPUTED_VALUE"""),87.0)</f>
        <v>87</v>
      </c>
      <c r="K381" s="29">
        <f>IFERROR(__xludf.DUMMYFUNCTION("""COMPUTED_VALUE"""),19.5)</f>
        <v>19.5</v>
      </c>
      <c r="L381" s="275" t="str">
        <f>IFERROR(__xludf.DUMMYFUNCTION("""COMPUTED_VALUE"""),"RPG")</f>
        <v>RPG</v>
      </c>
    </row>
    <row r="382" hidden="1">
      <c r="A382" s="278" t="str">
        <f>IFERROR(__xludf.DUMMYFUNCTION("""COMPUTED_VALUE"""),"Metal: Hellsinger")</f>
        <v>Metal: Hellsinger</v>
      </c>
      <c r="B382" s="20" t="str">
        <f>IFERROR(__xludf.DUMMYFUNCTION("""COMPUTED_VALUE"""),"Xbox / PC")</f>
        <v>Xbox / PC</v>
      </c>
      <c r="C382" s="20" t="str">
        <f>IFERROR(__xludf.DUMMYFUNCTION("""COMPUTED_VALUE"""),"Yes")</f>
        <v>Yes</v>
      </c>
      <c r="D382" s="21" t="str">
        <f>IFERROR(__xludf.DUMMYFUNCTION("""COMPUTED_VALUE"""),"Removed")</f>
        <v>Removed</v>
      </c>
      <c r="E382" s="279">
        <f>IFERROR(__xludf.DUMMYFUNCTION("""COMPUTED_VALUE"""),44819.0)</f>
        <v>44819</v>
      </c>
      <c r="F382" s="24">
        <f>IFERROR(__xludf.DUMMYFUNCTION("""COMPUTED_VALUE"""),45184.0)</f>
        <v>45184</v>
      </c>
      <c r="G382" s="27">
        <f>IFERROR(__xludf.DUMMYFUNCTION("""COMPUTED_VALUE"""),12.0)</f>
        <v>12</v>
      </c>
      <c r="H382" s="128">
        <f>IFERROR(__xludf.DUMMYFUNCTION("""COMPUTED_VALUE"""),44819.0)</f>
        <v>44819</v>
      </c>
      <c r="I382" s="27">
        <f>IFERROR(__xludf.DUMMYFUNCTION("""COMPUTED_VALUE"""),0.0)</f>
        <v>0</v>
      </c>
      <c r="J382" s="277">
        <f>IFERROR(__xludf.DUMMYFUNCTION("""COMPUTED_VALUE"""),79.0)</f>
        <v>79</v>
      </c>
      <c r="K382" s="277">
        <f>IFERROR(__xludf.DUMMYFUNCTION("""COMPUTED_VALUE"""),6.0)</f>
        <v>6</v>
      </c>
      <c r="L382" s="275" t="str">
        <f>IFERROR(__xludf.DUMMYFUNCTION("""COMPUTED_VALUE"""),"Shooter")</f>
        <v>Shooter</v>
      </c>
    </row>
    <row r="383" hidden="1">
      <c r="A383" s="17" t="str">
        <f>IFERROR(__xludf.DUMMYFUNCTION("""COMPUTED_VALUE"""),"Amazing Cultivation Simulator")</f>
        <v>Amazing Cultivation Simulator</v>
      </c>
      <c r="B383" s="20" t="str">
        <f>IFERROR(__xludf.DUMMYFUNCTION("""COMPUTED_VALUE"""),"PC")</f>
        <v>PC</v>
      </c>
      <c r="C383" s="20"/>
      <c r="D383" s="21" t="str">
        <f>IFERROR(__xludf.DUMMYFUNCTION("""COMPUTED_VALUE"""),"Removed")</f>
        <v>Removed</v>
      </c>
      <c r="E383" s="23">
        <f>IFERROR(__xludf.DUMMYFUNCTION("""COMPUTED_VALUE"""),44818.0)</f>
        <v>44818</v>
      </c>
      <c r="F383" s="276">
        <f>IFERROR(__xludf.DUMMYFUNCTION("""COMPUTED_VALUE"""),45184.0)</f>
        <v>45184</v>
      </c>
      <c r="G383" s="27">
        <f>IFERROR(__xludf.DUMMYFUNCTION("""COMPUTED_VALUE"""),12.033333333333333)</f>
        <v>12.03333333</v>
      </c>
      <c r="H383" s="128">
        <f>IFERROR(__xludf.DUMMYFUNCTION("""COMPUTED_VALUE"""),43476.0)</f>
        <v>43476</v>
      </c>
      <c r="I383" s="27">
        <f>IFERROR(__xludf.DUMMYFUNCTION("""COMPUTED_VALUE"""),3.675)</f>
        <v>3.675</v>
      </c>
      <c r="J383" s="29">
        <f>IFERROR(__xludf.DUMMYFUNCTION("""COMPUTED_VALUE"""),73.0)</f>
        <v>73</v>
      </c>
      <c r="K383" s="29">
        <f>IFERROR(__xludf.DUMMYFUNCTION("""COMPUTED_VALUE"""),100.0)</f>
        <v>100</v>
      </c>
      <c r="L383" s="31" t="str">
        <f>IFERROR(__xludf.DUMMYFUNCTION("""COMPUTED_VALUE"""),"Simulation")</f>
        <v>Simulation</v>
      </c>
    </row>
    <row r="384" hidden="1">
      <c r="A384" s="278" t="str">
        <f>IFERROR(__xludf.DUMMYFUNCTION("""COMPUTED_VALUE"""),"DC League of Super-Pets: The Adventures of Krypto and Ace")</f>
        <v>DC League of Super-Pets: The Adventures of Krypto and Ace</v>
      </c>
      <c r="B384" s="20" t="str">
        <f>IFERROR(__xludf.DUMMYFUNCTION("""COMPUTED_VALUE"""),"Xbox / PC")</f>
        <v>Xbox / PC</v>
      </c>
      <c r="C384" s="20" t="str">
        <f>IFERROR(__xludf.DUMMYFUNCTION("""COMPUTED_VALUE"""),"Touch Controls")</f>
        <v>Touch Controls</v>
      </c>
      <c r="D384" s="21" t="str">
        <f>IFERROR(__xludf.DUMMYFUNCTION("""COMPUTED_VALUE"""),"Removed")</f>
        <v>Removed</v>
      </c>
      <c r="E384" s="279">
        <f>IFERROR(__xludf.DUMMYFUNCTION("""COMPUTED_VALUE"""),44817.0)</f>
        <v>44817</v>
      </c>
      <c r="F384" s="24">
        <f>IFERROR(__xludf.DUMMYFUNCTION("""COMPUTED_VALUE"""),45184.0)</f>
        <v>45184</v>
      </c>
      <c r="G384" s="27">
        <f>IFERROR(__xludf.DUMMYFUNCTION("""COMPUTED_VALUE"""),12.066666666666666)</f>
        <v>12.06666667</v>
      </c>
      <c r="H384" s="128">
        <f>IFERROR(__xludf.DUMMYFUNCTION("""COMPUTED_VALUE"""),44757.0)</f>
        <v>44757</v>
      </c>
      <c r="I384" s="27">
        <f>IFERROR(__xludf.DUMMYFUNCTION("""COMPUTED_VALUE"""),0.16111111111111112)</f>
        <v>0.1611111111</v>
      </c>
      <c r="J384" s="277">
        <f>IFERROR(__xludf.DUMMYFUNCTION("""COMPUTED_VALUE"""),60.0)</f>
        <v>60</v>
      </c>
      <c r="K384" s="277">
        <f>IFERROR(__xludf.DUMMYFUNCTION("""COMPUTED_VALUE"""),3.0)</f>
        <v>3</v>
      </c>
      <c r="L384" s="275" t="str">
        <f>IFERROR(__xludf.DUMMYFUNCTION("""COMPUTED_VALUE"""),"Action-Adventure")</f>
        <v>Action-Adventure</v>
      </c>
    </row>
    <row r="385" hidden="1">
      <c r="A385" s="278" t="str">
        <f>IFERROR(__xludf.DUMMYFUNCTION("""COMPUTED_VALUE"""),"Train Sim World 3")</f>
        <v>Train Sim World 3</v>
      </c>
      <c r="B385" s="21" t="str">
        <f>IFERROR(__xludf.DUMMYFUNCTION("""COMPUTED_VALUE"""),"Xbox / PC")</f>
        <v>Xbox / PC</v>
      </c>
      <c r="C385" s="21"/>
      <c r="D385" s="21" t="str">
        <f>IFERROR(__xludf.DUMMYFUNCTION("""COMPUTED_VALUE"""),"Removed")</f>
        <v>Removed</v>
      </c>
      <c r="E385" s="279">
        <f>IFERROR(__xludf.DUMMYFUNCTION("""COMPUTED_VALUE"""),44810.0)</f>
        <v>44810</v>
      </c>
      <c r="F385" s="276">
        <f>IFERROR(__xludf.DUMMYFUNCTION("""COMPUTED_VALUE"""),45184.0)</f>
        <v>45184</v>
      </c>
      <c r="G385" s="27">
        <f>IFERROR(__xludf.DUMMYFUNCTION("""COMPUTED_VALUE"""),12.299999999999999)</f>
        <v>12.3</v>
      </c>
      <c r="H385" s="128">
        <f>IFERROR(__xludf.DUMMYFUNCTION("""COMPUTED_VALUE"""),44810.0)</f>
        <v>44810</v>
      </c>
      <c r="I385" s="27">
        <f>IFERROR(__xludf.DUMMYFUNCTION("""COMPUTED_VALUE"""),0.0)</f>
        <v>0</v>
      </c>
      <c r="J385" s="277">
        <f>IFERROR(__xludf.DUMMYFUNCTION("""COMPUTED_VALUE"""),78.0)</f>
        <v>78</v>
      </c>
      <c r="K385" s="29">
        <f>IFERROR(__xludf.DUMMYFUNCTION("""COMPUTED_VALUE"""),466.0)</f>
        <v>466</v>
      </c>
      <c r="L385" s="275" t="str">
        <f>IFERROR(__xludf.DUMMYFUNCTION("""COMPUTED_VALUE"""),"Simulation")</f>
        <v>Simulation</v>
      </c>
    </row>
    <row r="386" hidden="1">
      <c r="A386" s="278" t="str">
        <f>IFERROR(__xludf.DUMMYFUNCTION("""COMPUTED_VALUE"""),"Tainted Grail: Conquest")</f>
        <v>Tainted Grail: Conquest</v>
      </c>
      <c r="B386" s="20" t="str">
        <f>IFERROR(__xludf.DUMMYFUNCTION("""COMPUTED_VALUE"""),"Xbox / PC")</f>
        <v>Xbox / PC</v>
      </c>
      <c r="C386" s="20" t="str">
        <f>IFERROR(__xludf.DUMMYFUNCTION("""COMPUTED_VALUE"""),"Touch Controls")</f>
        <v>Touch Controls</v>
      </c>
      <c r="D386" s="21" t="str">
        <f>IFERROR(__xludf.DUMMYFUNCTION("""COMPUTED_VALUE"""),"Removed")</f>
        <v>Removed</v>
      </c>
      <c r="E386" s="279">
        <f>IFERROR(__xludf.DUMMYFUNCTION("""COMPUTED_VALUE"""),44642.0)</f>
        <v>44642</v>
      </c>
      <c r="F386" s="276">
        <f>IFERROR(__xludf.DUMMYFUNCTION("""COMPUTED_VALUE"""),45184.0)</f>
        <v>45184</v>
      </c>
      <c r="G386" s="27">
        <f>IFERROR(__xludf.DUMMYFUNCTION("""COMPUTED_VALUE"""),17.766666666666666)</f>
        <v>17.76666667</v>
      </c>
      <c r="H386" s="128">
        <f>IFERROR(__xludf.DUMMYFUNCTION("""COMPUTED_VALUE"""),44000.0)</f>
        <v>44000</v>
      </c>
      <c r="I386" s="27">
        <f>IFERROR(__xludf.DUMMYFUNCTION("""COMPUTED_VALUE"""),1.761111111111111)</f>
        <v>1.761111111</v>
      </c>
      <c r="J386" s="277">
        <f>IFERROR(__xludf.DUMMYFUNCTION("""COMPUTED_VALUE"""),82.0)</f>
        <v>82</v>
      </c>
      <c r="K386" s="29">
        <f>IFERROR(__xludf.DUMMYFUNCTION("""COMPUTED_VALUE"""),13.5)</f>
        <v>13.5</v>
      </c>
      <c r="L386" s="275" t="str">
        <f>IFERROR(__xludf.DUMMYFUNCTION("""COMPUTED_VALUE"""),"RPG")</f>
        <v>RPG</v>
      </c>
    </row>
    <row r="387" hidden="1">
      <c r="A387" s="278" t="str">
        <f>IFERROR(__xludf.DUMMYFUNCTION("""COMPUTED_VALUE"""),"Aragami 2")</f>
        <v>Aragami 2</v>
      </c>
      <c r="B387" s="21" t="str">
        <f>IFERROR(__xludf.DUMMYFUNCTION("""COMPUTED_VALUE"""),"Xbox / PC")</f>
        <v>Xbox / PC</v>
      </c>
      <c r="C387" s="21" t="str">
        <f>IFERROR(__xludf.DUMMYFUNCTION("""COMPUTED_VALUE"""),"Touch Controls")</f>
        <v>Touch Controls</v>
      </c>
      <c r="D387" s="21" t="str">
        <f>IFERROR(__xludf.DUMMYFUNCTION("""COMPUTED_VALUE"""),"Removed")</f>
        <v>Removed</v>
      </c>
      <c r="E387" s="279">
        <f>IFERROR(__xludf.DUMMYFUNCTION("""COMPUTED_VALUE"""),44456.0)</f>
        <v>44456</v>
      </c>
      <c r="F387" s="276">
        <f>IFERROR(__xludf.DUMMYFUNCTION("""COMPUTED_VALUE"""),45184.0)</f>
        <v>45184</v>
      </c>
      <c r="G387" s="27">
        <f>IFERROR(__xludf.DUMMYFUNCTION("""COMPUTED_VALUE"""),23.933333333333334)</f>
        <v>23.93333333</v>
      </c>
      <c r="H387" s="128">
        <f>IFERROR(__xludf.DUMMYFUNCTION("""COMPUTED_VALUE"""),44456.0)</f>
        <v>44456</v>
      </c>
      <c r="I387" s="27">
        <f>IFERROR(__xludf.DUMMYFUNCTION("""COMPUTED_VALUE"""),0.0)</f>
        <v>0</v>
      </c>
      <c r="J387" s="277">
        <f>IFERROR(__xludf.DUMMYFUNCTION("""COMPUTED_VALUE"""),69.0)</f>
        <v>69</v>
      </c>
      <c r="K387" s="29">
        <f>IFERROR(__xludf.DUMMYFUNCTION("""COMPUTED_VALUE"""),13.5)</f>
        <v>13.5</v>
      </c>
      <c r="L387" s="275" t="str">
        <f>IFERROR(__xludf.DUMMYFUNCTION("""COMPUTED_VALUE"""),"Action")</f>
        <v>Action</v>
      </c>
    </row>
    <row r="388" hidden="1">
      <c r="A388" s="278" t="str">
        <f>IFERROR(__xludf.DUMMYFUNCTION("""COMPUTED_VALUE"""),"Commandos 3: HD Remaster")</f>
        <v>Commandos 3: HD Remaster</v>
      </c>
      <c r="B388" s="20" t="str">
        <f>IFERROR(__xludf.DUMMYFUNCTION("""COMPUTED_VALUE"""),"Xbox / PC")</f>
        <v>Xbox / PC</v>
      </c>
      <c r="C388" s="21" t="str">
        <f>IFERROR(__xludf.DUMMYFUNCTION("""COMPUTED_VALUE"""),"Yes")</f>
        <v>Yes</v>
      </c>
      <c r="D388" s="21" t="str">
        <f>IFERROR(__xludf.DUMMYFUNCTION("""COMPUTED_VALUE"""),"Removed")</f>
        <v>Removed</v>
      </c>
      <c r="E388" s="279">
        <f>IFERROR(__xludf.DUMMYFUNCTION("""COMPUTED_VALUE"""),44803.0)</f>
        <v>44803</v>
      </c>
      <c r="F388" s="276">
        <f>IFERROR(__xludf.DUMMYFUNCTION("""COMPUTED_VALUE"""),45169.0)</f>
        <v>45169</v>
      </c>
      <c r="G388" s="27">
        <f>IFERROR(__xludf.DUMMYFUNCTION("""COMPUTED_VALUE"""),12.0)</f>
        <v>12</v>
      </c>
      <c r="H388" s="128">
        <f>IFERROR(__xludf.DUMMYFUNCTION("""COMPUTED_VALUE"""),44803.0)</f>
        <v>44803</v>
      </c>
      <c r="I388" s="27">
        <f>IFERROR(__xludf.DUMMYFUNCTION("""COMPUTED_VALUE"""),0.0)</f>
        <v>0</v>
      </c>
      <c r="J388" s="277">
        <f>IFERROR(__xludf.DUMMYFUNCTION("""COMPUTED_VALUE"""),60.0)</f>
        <v>60</v>
      </c>
      <c r="K388" s="277">
        <f>IFERROR(__xludf.DUMMYFUNCTION("""COMPUTED_VALUE"""),10.0)</f>
        <v>10</v>
      </c>
      <c r="L388" s="275" t="str">
        <f>IFERROR(__xludf.DUMMYFUNCTION("""COMPUTED_VALUE"""),"Real-Time Strategy")</f>
        <v>Real-Time Strategy</v>
      </c>
    </row>
    <row r="389" hidden="1">
      <c r="A389" s="278" t="str">
        <f>IFERROR(__xludf.DUMMYFUNCTION("""COMPUTED_VALUE"""),"Immortality")</f>
        <v>Immortality</v>
      </c>
      <c r="B389" s="20" t="str">
        <f>IFERROR(__xludf.DUMMYFUNCTION("""COMPUTED_VALUE"""),"Xbox / PC")</f>
        <v>Xbox / PC</v>
      </c>
      <c r="C389" s="20" t="str">
        <f>IFERROR(__xludf.DUMMYFUNCTION("""COMPUTED_VALUE"""),"Yes")</f>
        <v>Yes</v>
      </c>
      <c r="D389" s="21" t="str">
        <f>IFERROR(__xludf.DUMMYFUNCTION("""COMPUTED_VALUE"""),"Removed")</f>
        <v>Removed</v>
      </c>
      <c r="E389" s="279">
        <f>IFERROR(__xludf.DUMMYFUNCTION("""COMPUTED_VALUE"""),44803.0)</f>
        <v>44803</v>
      </c>
      <c r="F389" s="276">
        <f>IFERROR(__xludf.DUMMYFUNCTION("""COMPUTED_VALUE"""),45169.0)</f>
        <v>45169</v>
      </c>
      <c r="G389" s="27">
        <f>IFERROR(__xludf.DUMMYFUNCTION("""COMPUTED_VALUE"""),12.0)</f>
        <v>12</v>
      </c>
      <c r="H389" s="128">
        <f>IFERROR(__xludf.DUMMYFUNCTION("""COMPUTED_VALUE"""),44803.0)</f>
        <v>44803</v>
      </c>
      <c r="I389" s="27">
        <f>IFERROR(__xludf.DUMMYFUNCTION("""COMPUTED_VALUE"""),0.0)</f>
        <v>0</v>
      </c>
      <c r="J389" s="277">
        <f>IFERROR(__xludf.DUMMYFUNCTION("""COMPUTED_VALUE"""),91.0)</f>
        <v>91</v>
      </c>
      <c r="K389" s="277">
        <f>IFERROR(__xludf.DUMMYFUNCTION("""COMPUTED_VALUE"""),5.0)</f>
        <v>5</v>
      </c>
      <c r="L389" s="275" t="str">
        <f>IFERROR(__xludf.DUMMYFUNCTION("""COMPUTED_VALUE"""),"Adventure")</f>
        <v>Adventure</v>
      </c>
    </row>
    <row r="390" hidden="1">
      <c r="A390" s="17" t="str">
        <f>IFERROR(__xludf.DUMMYFUNCTION("""COMPUTED_VALUE"""),"Tinykin")</f>
        <v>Tinykin</v>
      </c>
      <c r="B390" s="20" t="str">
        <f>IFERROR(__xludf.DUMMYFUNCTION("""COMPUTED_VALUE"""),"Xbox / PC")</f>
        <v>Xbox / PC</v>
      </c>
      <c r="C390" s="20"/>
      <c r="D390" s="21" t="str">
        <f>IFERROR(__xludf.DUMMYFUNCTION("""COMPUTED_VALUE"""),"Removed")</f>
        <v>Removed</v>
      </c>
      <c r="E390" s="279">
        <f>IFERROR(__xludf.DUMMYFUNCTION("""COMPUTED_VALUE"""),44803.0)</f>
        <v>44803</v>
      </c>
      <c r="F390" s="276">
        <f>IFERROR(__xludf.DUMMYFUNCTION("""COMPUTED_VALUE"""),45169.0)</f>
        <v>45169</v>
      </c>
      <c r="G390" s="27">
        <f>IFERROR(__xludf.DUMMYFUNCTION("""COMPUTED_VALUE"""),12.0)</f>
        <v>12</v>
      </c>
      <c r="H390" s="128">
        <f>IFERROR(__xludf.DUMMYFUNCTION("""COMPUTED_VALUE"""),44803.0)</f>
        <v>44803</v>
      </c>
      <c r="I390" s="27">
        <f>IFERROR(__xludf.DUMMYFUNCTION("""COMPUTED_VALUE"""),0.0)</f>
        <v>0</v>
      </c>
      <c r="J390" s="277">
        <f>IFERROR(__xludf.DUMMYFUNCTION("""COMPUTED_VALUE"""),81.0)</f>
        <v>81</v>
      </c>
      <c r="K390" s="29">
        <f>IFERROR(__xludf.DUMMYFUNCTION("""COMPUTED_VALUE"""),6.0)</f>
        <v>6</v>
      </c>
      <c r="L390" s="275" t="str">
        <f>IFERROR(__xludf.DUMMYFUNCTION("""COMPUTED_VALUE"""),"Platformer")</f>
        <v>Platformer</v>
      </c>
    </row>
    <row r="391" hidden="1">
      <c r="A391" s="278" t="str">
        <f>IFERROR(__xludf.DUMMYFUNCTION("""COMPUTED_VALUE"""),"Nuclear Throne")</f>
        <v>Nuclear Throne</v>
      </c>
      <c r="B391" s="21" t="str">
        <f>IFERROR(__xludf.DUMMYFUNCTION("""COMPUTED_VALUE"""),"Xbox / PC")</f>
        <v>Xbox / PC</v>
      </c>
      <c r="C391" s="21" t="str">
        <f>IFERROR(__xludf.DUMMYFUNCTION("""COMPUTED_VALUE"""),"Yes")</f>
        <v>Yes</v>
      </c>
      <c r="D391" s="21" t="str">
        <f>IFERROR(__xludf.DUMMYFUNCTION("""COMPUTED_VALUE"""),"Removed")</f>
        <v>Removed</v>
      </c>
      <c r="E391" s="279">
        <f>IFERROR(__xludf.DUMMYFUNCTION("""COMPUTED_VALUE"""),44448.0)</f>
        <v>44448</v>
      </c>
      <c r="F391" s="276">
        <f>IFERROR(__xludf.DUMMYFUNCTION("""COMPUTED_VALUE"""),45169.0)</f>
        <v>45169</v>
      </c>
      <c r="G391" s="27">
        <f>IFERROR(__xludf.DUMMYFUNCTION("""COMPUTED_VALUE"""),23.700000000000003)</f>
        <v>23.7</v>
      </c>
      <c r="H391" s="128">
        <f>IFERROR(__xludf.DUMMYFUNCTION("""COMPUTED_VALUE"""),42343.0)</f>
        <v>42343</v>
      </c>
      <c r="I391" s="27">
        <f>IFERROR(__xludf.DUMMYFUNCTION("""COMPUTED_VALUE"""),5.761111111111111)</f>
        <v>5.761111111</v>
      </c>
      <c r="J391" s="277">
        <f>IFERROR(__xludf.DUMMYFUNCTION("""COMPUTED_VALUE"""),89.0)</f>
        <v>89</v>
      </c>
      <c r="K391" s="29">
        <f>IFERROR(__xludf.DUMMYFUNCTION("""COMPUTED_VALUE"""),15.5)</f>
        <v>15.5</v>
      </c>
      <c r="L391" s="31" t="str">
        <f>IFERROR(__xludf.DUMMYFUNCTION("""COMPUTED_VALUE"""),"Shooter")</f>
        <v>Shooter</v>
      </c>
    </row>
    <row r="392" hidden="1">
      <c r="A392" s="278" t="str">
        <f>IFERROR(__xludf.DUMMYFUNCTION("""COMPUTED_VALUE"""),"Surgeon Simulator 2: Access All Areas")</f>
        <v>Surgeon Simulator 2: Access All Areas</v>
      </c>
      <c r="B392" s="21" t="str">
        <f>IFERROR(__xludf.DUMMYFUNCTION("""COMPUTED_VALUE"""),"Xbox / PC")</f>
        <v>Xbox / PC</v>
      </c>
      <c r="C392" s="21" t="str">
        <f>IFERROR(__xludf.DUMMYFUNCTION("""COMPUTED_VALUE"""),"Yes")</f>
        <v>Yes</v>
      </c>
      <c r="D392" s="21" t="str">
        <f>IFERROR(__xludf.DUMMYFUNCTION("""COMPUTED_VALUE"""),"Removed")</f>
        <v>Removed</v>
      </c>
      <c r="E392" s="279">
        <f>IFERROR(__xludf.DUMMYFUNCTION("""COMPUTED_VALUE"""),44441.0)</f>
        <v>44441</v>
      </c>
      <c r="F392" s="276">
        <f>IFERROR(__xludf.DUMMYFUNCTION("""COMPUTED_VALUE"""),45169.0)</f>
        <v>45169</v>
      </c>
      <c r="G392" s="27">
        <f>IFERROR(__xludf.DUMMYFUNCTION("""COMPUTED_VALUE"""),23.933333333333334)</f>
        <v>23.93333333</v>
      </c>
      <c r="H392" s="128">
        <f>IFERROR(__xludf.DUMMYFUNCTION("""COMPUTED_VALUE"""),44070.0)</f>
        <v>44070</v>
      </c>
      <c r="I392" s="27">
        <f>IFERROR(__xludf.DUMMYFUNCTION("""COMPUTED_VALUE"""),1.0138888888888888)</f>
        <v>1.013888889</v>
      </c>
      <c r="J392" s="29">
        <f>IFERROR(__xludf.DUMMYFUNCTION("""COMPUTED_VALUE"""),69.0)</f>
        <v>69</v>
      </c>
      <c r="K392" s="29">
        <f>IFERROR(__xludf.DUMMYFUNCTION("""COMPUTED_VALUE"""),4.0)</f>
        <v>4</v>
      </c>
      <c r="L392" s="31" t="str">
        <f>IFERROR(__xludf.DUMMYFUNCTION("""COMPUTED_VALUE"""),"Simulation")</f>
        <v>Simulation</v>
      </c>
    </row>
    <row r="393" hidden="1">
      <c r="A393" s="278" t="str">
        <f>IFERROR(__xludf.DUMMYFUNCTION("""COMPUTED_VALUE"""),"Black Desert")</f>
        <v>Black Desert</v>
      </c>
      <c r="B393" s="20" t="str">
        <f>IFERROR(__xludf.DUMMYFUNCTION("""COMPUTED_VALUE"""),"Xbox")</f>
        <v>Xbox</v>
      </c>
      <c r="C393" s="21" t="str">
        <f>IFERROR(__xludf.DUMMYFUNCTION("""COMPUTED_VALUE"""),"Yes")</f>
        <v>Yes</v>
      </c>
      <c r="D393" s="21" t="str">
        <f>IFERROR(__xludf.DUMMYFUNCTION("""COMPUTED_VALUE"""),"Removed")</f>
        <v>Removed</v>
      </c>
      <c r="E393" s="279">
        <f>IFERROR(__xludf.DUMMYFUNCTION("""COMPUTED_VALUE"""),43594.0)</f>
        <v>43594</v>
      </c>
      <c r="F393" s="276">
        <f>IFERROR(__xludf.DUMMYFUNCTION("""COMPUTED_VALUE"""),45169.0)</f>
        <v>45169</v>
      </c>
      <c r="G393" s="27">
        <f>IFERROR(__xludf.DUMMYFUNCTION("""COMPUTED_VALUE"""),51.7)</f>
        <v>51.7</v>
      </c>
      <c r="H393" s="128">
        <f>IFERROR(__xludf.DUMMYFUNCTION("""COMPUTED_VALUE"""),42432.0)</f>
        <v>42432</v>
      </c>
      <c r="I393" s="27">
        <f>IFERROR(__xludf.DUMMYFUNCTION("""COMPUTED_VALUE"""),3.183333333333333)</f>
        <v>3.183333333</v>
      </c>
      <c r="J393" s="277">
        <f>IFERROR(__xludf.DUMMYFUNCTION("""COMPUTED_VALUE"""),75.0)</f>
        <v>75</v>
      </c>
      <c r="K393" s="29">
        <f>IFERROR(__xludf.DUMMYFUNCTION("""COMPUTED_VALUE"""),72.0)</f>
        <v>72</v>
      </c>
      <c r="L393" s="275" t="str">
        <f>IFERROR(__xludf.DUMMYFUNCTION("""COMPUTED_VALUE"""),"MMORPG")</f>
        <v>MMORPG</v>
      </c>
    </row>
    <row r="394" hidden="1">
      <c r="A394" s="278" t="str">
        <f>IFERROR(__xludf.DUMMYFUNCTION("""COMPUTED_VALUE"""),"DEATH STRANDING")</f>
        <v>DEATH STRANDING</v>
      </c>
      <c r="B394" s="20" t="str">
        <f>IFERROR(__xludf.DUMMYFUNCTION("""COMPUTED_VALUE"""),"PC")</f>
        <v>PC</v>
      </c>
      <c r="C394" s="20"/>
      <c r="D394" s="21" t="str">
        <f>IFERROR(__xludf.DUMMYFUNCTION("""COMPUTED_VALUE"""),"Removed")</f>
        <v>Removed</v>
      </c>
      <c r="E394" s="279">
        <f>IFERROR(__xludf.DUMMYFUNCTION("""COMPUTED_VALUE"""),44796.0)</f>
        <v>44796</v>
      </c>
      <c r="F394" s="276">
        <f>IFERROR(__xludf.DUMMYFUNCTION("""COMPUTED_VALUE"""),45153.0)</f>
        <v>45153</v>
      </c>
      <c r="G394" s="27">
        <f>IFERROR(__xludf.DUMMYFUNCTION("""COMPUTED_VALUE"""),11.733333333333333)</f>
        <v>11.73333333</v>
      </c>
      <c r="H394" s="128">
        <f>IFERROR(__xludf.DUMMYFUNCTION("""COMPUTED_VALUE"""),43777.0)</f>
        <v>43777</v>
      </c>
      <c r="I394" s="27">
        <f>IFERROR(__xludf.DUMMYFUNCTION("""COMPUTED_VALUE"""),2.7916666666666665)</f>
        <v>2.791666667</v>
      </c>
      <c r="J394" s="277">
        <f>IFERROR(__xludf.DUMMYFUNCTION("""COMPUTED_VALUE"""),86.0)</f>
        <v>86</v>
      </c>
      <c r="K394" s="277">
        <f>IFERROR(__xludf.DUMMYFUNCTION("""COMPUTED_VALUE"""),40.5)</f>
        <v>40.5</v>
      </c>
      <c r="L394" s="275" t="str">
        <f>IFERROR(__xludf.DUMMYFUNCTION("""COMPUTED_VALUE"""),"Action-Adventure")</f>
        <v>Action-Adventure</v>
      </c>
    </row>
    <row r="395" hidden="1">
      <c r="A395" s="278" t="str">
        <f>IFERROR(__xludf.DUMMYFUNCTION("""COMPUTED_VALUE"""),"Midnight Fight Express")</f>
        <v>Midnight Fight Express</v>
      </c>
      <c r="B395" s="20" t="str">
        <f>IFERROR(__xludf.DUMMYFUNCTION("""COMPUTED_VALUE"""),"Xbox / PC")</f>
        <v>Xbox / PC</v>
      </c>
      <c r="C395" s="20" t="str">
        <f>IFERROR(__xludf.DUMMYFUNCTION("""COMPUTED_VALUE"""),"Yes")</f>
        <v>Yes</v>
      </c>
      <c r="D395" s="21" t="str">
        <f>IFERROR(__xludf.DUMMYFUNCTION("""COMPUTED_VALUE"""),"Removed")</f>
        <v>Removed</v>
      </c>
      <c r="E395" s="279">
        <f>IFERROR(__xludf.DUMMYFUNCTION("""COMPUTED_VALUE"""),44796.0)</f>
        <v>44796</v>
      </c>
      <c r="F395" s="276">
        <f>IFERROR(__xludf.DUMMYFUNCTION("""COMPUTED_VALUE"""),45153.0)</f>
        <v>45153</v>
      </c>
      <c r="G395" s="27">
        <f>IFERROR(__xludf.DUMMYFUNCTION("""COMPUTED_VALUE"""),11.733333333333333)</f>
        <v>11.73333333</v>
      </c>
      <c r="H395" s="128">
        <f>IFERROR(__xludf.DUMMYFUNCTION("""COMPUTED_VALUE"""),44796.0)</f>
        <v>44796</v>
      </c>
      <c r="I395" s="27">
        <f>IFERROR(__xludf.DUMMYFUNCTION("""COMPUTED_VALUE"""),0.0)</f>
        <v>0</v>
      </c>
      <c r="J395" s="277">
        <f>IFERROR(__xludf.DUMMYFUNCTION("""COMPUTED_VALUE"""),75.0)</f>
        <v>75</v>
      </c>
      <c r="K395" s="29">
        <f>IFERROR(__xludf.DUMMYFUNCTION("""COMPUTED_VALUE"""),5.0)</f>
        <v>5</v>
      </c>
      <c r="L395" s="275" t="str">
        <f>IFERROR(__xludf.DUMMYFUNCTION("""COMPUTED_VALUE"""),"Action")</f>
        <v>Action</v>
      </c>
    </row>
    <row r="396" hidden="1">
      <c r="A396" s="278" t="str">
        <f>IFERROR(__xludf.DUMMYFUNCTION("""COMPUTED_VALUE"""),"Total War: Warhammer III")</f>
        <v>Total War: Warhammer III</v>
      </c>
      <c r="B396" s="21" t="str">
        <f>IFERROR(__xludf.DUMMYFUNCTION("""COMPUTED_VALUE"""),"PC")</f>
        <v>PC</v>
      </c>
      <c r="C396" s="21"/>
      <c r="D396" s="21" t="str">
        <f>IFERROR(__xludf.DUMMYFUNCTION("""COMPUTED_VALUE"""),"Removed")</f>
        <v>Removed</v>
      </c>
      <c r="E396" s="279">
        <f>IFERROR(__xludf.DUMMYFUNCTION("""COMPUTED_VALUE"""),44609.0)</f>
        <v>44609</v>
      </c>
      <c r="F396" s="276">
        <f>IFERROR(__xludf.DUMMYFUNCTION("""COMPUTED_VALUE"""),45153.0)</f>
        <v>45153</v>
      </c>
      <c r="G396" s="27">
        <f>IFERROR(__xludf.DUMMYFUNCTION("""COMPUTED_VALUE"""),17.933333333333334)</f>
        <v>17.93333333</v>
      </c>
      <c r="H396" s="128">
        <f>IFERROR(__xludf.DUMMYFUNCTION("""COMPUTED_VALUE"""),44609.0)</f>
        <v>44609</v>
      </c>
      <c r="I396" s="27">
        <f>IFERROR(__xludf.DUMMYFUNCTION("""COMPUTED_VALUE"""),0.0)</f>
        <v>0</v>
      </c>
      <c r="J396" s="277">
        <f>IFERROR(__xludf.DUMMYFUNCTION("""COMPUTED_VALUE"""),88.0)</f>
        <v>88</v>
      </c>
      <c r="K396" s="29">
        <f>IFERROR(__xludf.DUMMYFUNCTION("""COMPUTED_VALUE"""),28.5)</f>
        <v>28.5</v>
      </c>
      <c r="L396" s="31" t="str">
        <f>IFERROR(__xludf.DUMMYFUNCTION("""COMPUTED_VALUE"""),"Strategy")</f>
        <v>Strategy</v>
      </c>
    </row>
    <row r="397" hidden="1">
      <c r="A397" s="278" t="str">
        <f>IFERROR(__xludf.DUMMYFUNCTION("""COMPUTED_VALUE"""),"Edge of Eternity")</f>
        <v>Edge of Eternity</v>
      </c>
      <c r="B397" s="20" t="str">
        <f>IFERROR(__xludf.DUMMYFUNCTION("""COMPUTED_VALUE"""),"Xbox / PC")</f>
        <v>Xbox / PC</v>
      </c>
      <c r="C397" s="20" t="str">
        <f>IFERROR(__xludf.DUMMYFUNCTION("""COMPUTED_VALUE"""),"Touch Controls")</f>
        <v>Touch Controls</v>
      </c>
      <c r="D397" s="21" t="str">
        <f>IFERROR(__xludf.DUMMYFUNCTION("""COMPUTED_VALUE"""),"Removed")</f>
        <v>Removed</v>
      </c>
      <c r="E397" s="279">
        <f>IFERROR(__xludf.DUMMYFUNCTION("""COMPUTED_VALUE"""),44602.0)</f>
        <v>44602</v>
      </c>
      <c r="F397" s="276">
        <f>IFERROR(__xludf.DUMMYFUNCTION("""COMPUTED_VALUE"""),45153.0)</f>
        <v>45153</v>
      </c>
      <c r="G397" s="27">
        <f>IFERROR(__xludf.DUMMYFUNCTION("""COMPUTED_VALUE"""),18.166666666666664)</f>
        <v>18.16666667</v>
      </c>
      <c r="H397" s="128">
        <f>IFERROR(__xludf.DUMMYFUNCTION("""COMPUTED_VALUE"""),43439.0)</f>
        <v>43439</v>
      </c>
      <c r="I397" s="27">
        <f>IFERROR(__xludf.DUMMYFUNCTION("""COMPUTED_VALUE"""),3.1805555555555554)</f>
        <v>3.180555556</v>
      </c>
      <c r="J397" s="277">
        <f>IFERROR(__xludf.DUMMYFUNCTION("""COMPUTED_VALUE"""),67.0)</f>
        <v>67</v>
      </c>
      <c r="K397" s="29">
        <f>IFERROR(__xludf.DUMMYFUNCTION("""COMPUTED_VALUE"""),30.5)</f>
        <v>30.5</v>
      </c>
      <c r="L397" s="275" t="str">
        <f>IFERROR(__xludf.DUMMYFUNCTION("""COMPUTED_VALUE"""),"RPG")</f>
        <v>RPG</v>
      </c>
    </row>
    <row r="398" hidden="1">
      <c r="A398" s="278" t="str">
        <f>IFERROR(__xludf.DUMMYFUNCTION("""COMPUTED_VALUE"""),"Expeditions: Rome")</f>
        <v>Expeditions: Rome</v>
      </c>
      <c r="B398" s="20" t="str">
        <f>IFERROR(__xludf.DUMMYFUNCTION("""COMPUTED_VALUE"""),"PC")</f>
        <v>PC</v>
      </c>
      <c r="C398" s="20"/>
      <c r="D398" s="21" t="str">
        <f>IFERROR(__xludf.DUMMYFUNCTION("""COMPUTED_VALUE"""),"Removed")</f>
        <v>Removed</v>
      </c>
      <c r="E398" s="279">
        <f>IFERROR(__xludf.DUMMYFUNCTION("""COMPUTED_VALUE"""),44784.0)</f>
        <v>44784</v>
      </c>
      <c r="F398" s="276">
        <f>IFERROR(__xludf.DUMMYFUNCTION("""COMPUTED_VALUE"""),45138.0)</f>
        <v>45138</v>
      </c>
      <c r="G398" s="27">
        <f>IFERROR(__xludf.DUMMYFUNCTION("""COMPUTED_VALUE"""),11.633333333333333)</f>
        <v>11.63333333</v>
      </c>
      <c r="H398" s="128">
        <f>IFERROR(__xludf.DUMMYFUNCTION("""COMPUTED_VALUE"""),44581.0)</f>
        <v>44581</v>
      </c>
      <c r="I398" s="27">
        <f>IFERROR(__xludf.DUMMYFUNCTION("""COMPUTED_VALUE"""),0.5583333333333333)</f>
        <v>0.5583333333</v>
      </c>
      <c r="J398" s="277">
        <f>IFERROR(__xludf.DUMMYFUNCTION("""COMPUTED_VALUE"""),80.0)</f>
        <v>80</v>
      </c>
      <c r="K398" s="29">
        <f>IFERROR(__xludf.DUMMYFUNCTION("""COMPUTED_VALUE"""),39.0)</f>
        <v>39</v>
      </c>
      <c r="L398" s="275" t="str">
        <f>IFERROR(__xludf.DUMMYFUNCTION("""COMPUTED_VALUE"""),"RPG")</f>
        <v>RPG</v>
      </c>
    </row>
    <row r="399" hidden="1">
      <c r="A399" s="278" t="str">
        <f>IFERROR(__xludf.DUMMYFUNCTION("""COMPUTED_VALUE"""),"Two Point Campus")</f>
        <v>Two Point Campus</v>
      </c>
      <c r="B399" s="20" t="str">
        <f>IFERROR(__xludf.DUMMYFUNCTION("""COMPUTED_VALUE"""),"Xbox / PC")</f>
        <v>Xbox / PC</v>
      </c>
      <c r="C399" s="21" t="str">
        <f>IFERROR(__xludf.DUMMYFUNCTION("""COMPUTED_VALUE"""),"Touch Controls")</f>
        <v>Touch Controls</v>
      </c>
      <c r="D399" s="21" t="str">
        <f>IFERROR(__xludf.DUMMYFUNCTION("""COMPUTED_VALUE"""),"Removed")</f>
        <v>Removed</v>
      </c>
      <c r="E399" s="279">
        <f>IFERROR(__xludf.DUMMYFUNCTION("""COMPUTED_VALUE"""),44782.0)</f>
        <v>44782</v>
      </c>
      <c r="F399" s="276">
        <f>IFERROR(__xludf.DUMMYFUNCTION("""COMPUTED_VALUE"""),45138.0)</f>
        <v>45138</v>
      </c>
      <c r="G399" s="27">
        <f>IFERROR(__xludf.DUMMYFUNCTION("""COMPUTED_VALUE"""),11.7)</f>
        <v>11.7</v>
      </c>
      <c r="H399" s="128">
        <f>IFERROR(__xludf.DUMMYFUNCTION("""COMPUTED_VALUE"""),44782.0)</f>
        <v>44782</v>
      </c>
      <c r="I399" s="27">
        <f>IFERROR(__xludf.DUMMYFUNCTION("""COMPUTED_VALUE"""),0.0)</f>
        <v>0</v>
      </c>
      <c r="J399" s="29">
        <f>IFERROR(__xludf.DUMMYFUNCTION("""COMPUTED_VALUE"""),84.0)</f>
        <v>84</v>
      </c>
      <c r="K399" s="29">
        <f>IFERROR(__xludf.DUMMYFUNCTION("""COMPUTED_VALUE"""),27.0)</f>
        <v>27</v>
      </c>
      <c r="L399" s="286" t="str">
        <f>IFERROR(__xludf.DUMMYFUNCTION("""COMPUTED_VALUE"""),"Simulation")</f>
        <v>Simulation</v>
      </c>
    </row>
    <row r="400" hidden="1">
      <c r="A400" s="278" t="str">
        <f>IFERROR(__xludf.DUMMYFUNCTION("""COMPUTED_VALUE"""),"Dreamscaper")</f>
        <v>Dreamscaper</v>
      </c>
      <c r="B400" s="21" t="str">
        <f>IFERROR(__xludf.DUMMYFUNCTION("""COMPUTED_VALUE"""),"Xbox / PC")</f>
        <v>Xbox / PC</v>
      </c>
      <c r="C400" s="21" t="str">
        <f>IFERROR(__xludf.DUMMYFUNCTION("""COMPUTED_VALUE"""),"Touch Controls")</f>
        <v>Touch Controls</v>
      </c>
      <c r="D400" s="21" t="str">
        <f>IFERROR(__xludf.DUMMYFUNCTION("""COMPUTED_VALUE"""),"Removed")</f>
        <v>Removed</v>
      </c>
      <c r="E400" s="279">
        <f>IFERROR(__xludf.DUMMYFUNCTION("""COMPUTED_VALUE"""),44595.0)</f>
        <v>44595</v>
      </c>
      <c r="F400" s="24">
        <f>IFERROR(__xludf.DUMMYFUNCTION("""COMPUTED_VALUE"""),45138.0)</f>
        <v>45138</v>
      </c>
      <c r="G400" s="27">
        <f>IFERROR(__xludf.DUMMYFUNCTION("""COMPUTED_VALUE"""),17.9)</f>
        <v>17.9</v>
      </c>
      <c r="H400" s="128">
        <f>IFERROR(__xludf.DUMMYFUNCTION("""COMPUTED_VALUE"""),44057.0)</f>
        <v>44057</v>
      </c>
      <c r="I400" s="27">
        <f>IFERROR(__xludf.DUMMYFUNCTION("""COMPUTED_VALUE"""),1.4694444444444446)</f>
        <v>1.469444444</v>
      </c>
      <c r="J400" s="277">
        <f>IFERROR(__xludf.DUMMYFUNCTION("""COMPUTED_VALUE"""),80.0)</f>
        <v>80</v>
      </c>
      <c r="K400" s="29">
        <f>IFERROR(__xludf.DUMMYFUNCTION("""COMPUTED_VALUE"""),12.0)</f>
        <v>12</v>
      </c>
      <c r="L400" s="275" t="str">
        <f>IFERROR(__xludf.DUMMYFUNCTION("""COMPUTED_VALUE"""),"RPG")</f>
        <v>RPG</v>
      </c>
    </row>
    <row r="401" hidden="1">
      <c r="A401" s="278" t="str">
        <f>IFERROR(__xludf.DUMMYFUNCTION("""COMPUTED_VALUE"""),"Marvel's Avengers")</f>
        <v>Marvel's Avengers</v>
      </c>
      <c r="B401" s="20" t="str">
        <f>IFERROR(__xludf.DUMMYFUNCTION("""COMPUTED_VALUE"""),"Xbox / PC")</f>
        <v>Xbox / PC</v>
      </c>
      <c r="C401" s="20" t="str">
        <f>IFERROR(__xludf.DUMMYFUNCTION("""COMPUTED_VALUE"""),"Yes")</f>
        <v>Yes</v>
      </c>
      <c r="D401" s="21" t="str">
        <f>IFERROR(__xludf.DUMMYFUNCTION("""COMPUTED_VALUE"""),"Removed")</f>
        <v>Removed</v>
      </c>
      <c r="E401" s="279">
        <f>IFERROR(__xludf.DUMMYFUNCTION("""COMPUTED_VALUE"""),44469.0)</f>
        <v>44469</v>
      </c>
      <c r="F401" s="24">
        <f>IFERROR(__xludf.DUMMYFUNCTION("""COMPUTED_VALUE"""),45138.0)</f>
        <v>45138</v>
      </c>
      <c r="G401" s="27">
        <f>IFERROR(__xludf.DUMMYFUNCTION("""COMPUTED_VALUE"""),22.0)</f>
        <v>22</v>
      </c>
      <c r="H401" s="128">
        <f>IFERROR(__xludf.DUMMYFUNCTION("""COMPUTED_VALUE"""),44078.0)</f>
        <v>44078</v>
      </c>
      <c r="I401" s="27">
        <f>IFERROR(__xludf.DUMMYFUNCTION("""COMPUTED_VALUE"""),1.0722222222222222)</f>
        <v>1.072222222</v>
      </c>
      <c r="J401" s="277">
        <f>IFERROR(__xludf.DUMMYFUNCTION("""COMPUTED_VALUE"""),67.0)</f>
        <v>67</v>
      </c>
      <c r="K401" s="277">
        <f>IFERROR(__xludf.DUMMYFUNCTION("""COMPUTED_VALUE"""),11.5)</f>
        <v>11.5</v>
      </c>
      <c r="L401" s="275" t="str">
        <f>IFERROR(__xludf.DUMMYFUNCTION("""COMPUTED_VALUE"""),"RPG")</f>
        <v>RPG</v>
      </c>
    </row>
    <row r="402" hidden="1">
      <c r="A402" s="278" t="str">
        <f>IFERROR(__xludf.DUMMYFUNCTION("""COMPUTED_VALUE"""),"PAW Patrol The Movie: Adventure City Calls")</f>
        <v>PAW Patrol The Movie: Adventure City Calls</v>
      </c>
      <c r="B402" s="20" t="str">
        <f>IFERROR(__xludf.DUMMYFUNCTION("""COMPUTED_VALUE"""),"Xbox / PC")</f>
        <v>Xbox / PC</v>
      </c>
      <c r="C402" s="20" t="str">
        <f>IFERROR(__xludf.DUMMYFUNCTION("""COMPUTED_VALUE"""),"Touch Controls")</f>
        <v>Touch Controls</v>
      </c>
      <c r="D402" s="21" t="str">
        <f>IFERROR(__xludf.DUMMYFUNCTION("""COMPUTED_VALUE"""),"Removed")</f>
        <v>Removed</v>
      </c>
      <c r="E402" s="279">
        <f>IFERROR(__xludf.DUMMYFUNCTION("""COMPUTED_VALUE"""),44756.0)</f>
        <v>44756</v>
      </c>
      <c r="F402" s="276">
        <f>IFERROR(__xludf.DUMMYFUNCTION("""COMPUTED_VALUE"""),45122.0)</f>
        <v>45122</v>
      </c>
      <c r="G402" s="27">
        <f>IFERROR(__xludf.DUMMYFUNCTION("""COMPUTED_VALUE"""),12.033333333333333)</f>
        <v>12.03333333</v>
      </c>
      <c r="H402" s="128">
        <f>IFERROR(__xludf.DUMMYFUNCTION("""COMPUTED_VALUE"""),44421.0)</f>
        <v>44421</v>
      </c>
      <c r="I402" s="27">
        <f>IFERROR(__xludf.DUMMYFUNCTION("""COMPUTED_VALUE"""),0.9194444444444444)</f>
        <v>0.9194444444</v>
      </c>
      <c r="J402" s="277">
        <f>IFERROR(__xludf.DUMMYFUNCTION("""COMPUTED_VALUE"""),40.0)</f>
        <v>40</v>
      </c>
      <c r="K402" s="29">
        <f>IFERROR(__xludf.DUMMYFUNCTION("""COMPUTED_VALUE"""),2.0)</f>
        <v>2</v>
      </c>
      <c r="L402" s="275" t="str">
        <f>IFERROR(__xludf.DUMMYFUNCTION("""COMPUTED_VALUE"""),"Action")</f>
        <v>Action</v>
      </c>
    </row>
    <row r="403" hidden="1">
      <c r="A403" s="278" t="str">
        <f>IFERROR(__xludf.DUMMYFUNCTION("""COMPUTED_VALUE"""),"Spelunky 2")</f>
        <v>Spelunky 2</v>
      </c>
      <c r="B403" s="20" t="str">
        <f>IFERROR(__xludf.DUMMYFUNCTION("""COMPUTED_VALUE"""),"Xbox / PC")</f>
        <v>Xbox / PC</v>
      </c>
      <c r="C403" s="21" t="str">
        <f>IFERROR(__xludf.DUMMYFUNCTION("""COMPUTED_VALUE"""),"Touch Controls")</f>
        <v>Touch Controls</v>
      </c>
      <c r="D403" s="21" t="str">
        <f>IFERROR(__xludf.DUMMYFUNCTION("""COMPUTED_VALUE"""),"Removed")</f>
        <v>Removed</v>
      </c>
      <c r="E403" s="279">
        <f>IFERROR(__xludf.DUMMYFUNCTION("""COMPUTED_VALUE"""),44574.0)</f>
        <v>44574</v>
      </c>
      <c r="F403" s="276">
        <f>IFERROR(__xludf.DUMMYFUNCTION("""COMPUTED_VALUE"""),45122.0)</f>
        <v>45122</v>
      </c>
      <c r="G403" s="27">
        <f>IFERROR(__xludf.DUMMYFUNCTION("""COMPUTED_VALUE"""),18.066666666666666)</f>
        <v>18.06666667</v>
      </c>
      <c r="H403" s="128">
        <f>IFERROR(__xludf.DUMMYFUNCTION("""COMPUTED_VALUE"""),44089.0)</f>
        <v>44089</v>
      </c>
      <c r="I403" s="27">
        <f>IFERROR(__xludf.DUMMYFUNCTION("""COMPUTED_VALUE"""),1.3277777777777777)</f>
        <v>1.327777778</v>
      </c>
      <c r="J403" s="277">
        <f>IFERROR(__xludf.DUMMYFUNCTION("""COMPUTED_VALUE"""),89.0)</f>
        <v>89</v>
      </c>
      <c r="K403" s="29">
        <f>IFERROR(__xludf.DUMMYFUNCTION("""COMPUTED_VALUE"""),28.0)</f>
        <v>28</v>
      </c>
      <c r="L403" s="31" t="str">
        <f>IFERROR(__xludf.DUMMYFUNCTION("""COMPUTED_VALUE"""),"Platformer")</f>
        <v>Platformer</v>
      </c>
    </row>
    <row r="404" hidden="1">
      <c r="A404" s="278" t="str">
        <f>IFERROR(__xludf.DUMMYFUNCTION("""COMPUTED_VALUE"""),"Exo One")</f>
        <v>Exo One</v>
      </c>
      <c r="B404" s="21" t="str">
        <f>IFERROR(__xludf.DUMMYFUNCTION("""COMPUTED_VALUE"""),"Xbox / PC")</f>
        <v>Xbox / PC</v>
      </c>
      <c r="C404" s="21" t="str">
        <f>IFERROR(__xludf.DUMMYFUNCTION("""COMPUTED_VALUE"""),"Touch Controls")</f>
        <v>Touch Controls</v>
      </c>
      <c r="D404" s="21" t="str">
        <f>IFERROR(__xludf.DUMMYFUNCTION("""COMPUTED_VALUE"""),"Removed")</f>
        <v>Removed</v>
      </c>
      <c r="E404" s="279">
        <f>IFERROR(__xludf.DUMMYFUNCTION("""COMPUTED_VALUE"""),44518.0)</f>
        <v>44518</v>
      </c>
      <c r="F404" s="276">
        <f>IFERROR(__xludf.DUMMYFUNCTION("""COMPUTED_VALUE"""),45122.0)</f>
        <v>45122</v>
      </c>
      <c r="G404" s="27">
        <f>IFERROR(__xludf.DUMMYFUNCTION("""COMPUTED_VALUE"""),19.900000000000002)</f>
        <v>19.9</v>
      </c>
      <c r="H404" s="128">
        <f>IFERROR(__xludf.DUMMYFUNCTION("""COMPUTED_VALUE"""),44518.0)</f>
        <v>44518</v>
      </c>
      <c r="I404" s="27">
        <f>IFERROR(__xludf.DUMMYFUNCTION("""COMPUTED_VALUE"""),0.0)</f>
        <v>0</v>
      </c>
      <c r="J404" s="277">
        <f>IFERROR(__xludf.DUMMYFUNCTION("""COMPUTED_VALUE"""),79.5)</f>
        <v>79.5</v>
      </c>
      <c r="K404" s="29">
        <f>IFERROR(__xludf.DUMMYFUNCTION("""COMPUTED_VALUE"""),2.0)</f>
        <v>2</v>
      </c>
      <c r="L404" s="275" t="str">
        <f>IFERROR(__xludf.DUMMYFUNCTION("""COMPUTED_VALUE"""),"Adventure")</f>
        <v>Adventure</v>
      </c>
    </row>
    <row r="405" hidden="1">
      <c r="A405" s="278" t="str">
        <f>IFERROR(__xludf.DUMMYFUNCTION("""COMPUTED_VALUE"""),"DJMax Respect V")</f>
        <v>DJMax Respect V</v>
      </c>
      <c r="B405" s="20" t="str">
        <f>IFERROR(__xludf.DUMMYFUNCTION("""COMPUTED_VALUE"""),"Xbox / PC")</f>
        <v>Xbox / PC</v>
      </c>
      <c r="C405" s="20" t="str">
        <f>IFERROR(__xludf.DUMMYFUNCTION("""COMPUTED_VALUE"""),"Yes")</f>
        <v>Yes</v>
      </c>
      <c r="D405" s="21" t="str">
        <f>IFERROR(__xludf.DUMMYFUNCTION("""COMPUTED_VALUE"""),"Removed")</f>
        <v>Removed</v>
      </c>
      <c r="E405" s="279">
        <f>IFERROR(__xludf.DUMMYFUNCTION("""COMPUTED_VALUE"""),44749.0)</f>
        <v>44749</v>
      </c>
      <c r="F405" s="276">
        <f>IFERROR(__xludf.DUMMYFUNCTION("""COMPUTED_VALUE"""),45107.0)</f>
        <v>45107</v>
      </c>
      <c r="G405" s="27">
        <f>IFERROR(__xludf.DUMMYFUNCTION("""COMPUTED_VALUE"""),11.766666666666666)</f>
        <v>11.76666667</v>
      </c>
      <c r="H405" s="128">
        <f>IFERROR(__xludf.DUMMYFUNCTION("""COMPUTED_VALUE"""),43817.0)</f>
        <v>43817</v>
      </c>
      <c r="I405" s="27">
        <f>IFERROR(__xludf.DUMMYFUNCTION("""COMPUTED_VALUE"""),2.5527777777777776)</f>
        <v>2.552777778</v>
      </c>
      <c r="J405" s="277">
        <f>IFERROR(__xludf.DUMMYFUNCTION("""COMPUTED_VALUE"""),75.0)</f>
        <v>75</v>
      </c>
      <c r="K405" s="29">
        <f>IFERROR(__xludf.DUMMYFUNCTION("""COMPUTED_VALUE"""),44.0)</f>
        <v>44</v>
      </c>
      <c r="L405" s="275" t="str">
        <f>IFERROR(__xludf.DUMMYFUNCTION("""COMPUTED_VALUE"""),"Music/Rhythm")</f>
        <v>Music/Rhythm</v>
      </c>
    </row>
    <row r="406" hidden="1">
      <c r="A406" s="17" t="str">
        <f>IFERROR(__xludf.DUMMYFUNCTION("""COMPUTED_VALUE"""),"Matchpoint: Tennis Championships")</f>
        <v>Matchpoint: Tennis Championships</v>
      </c>
      <c r="B406" s="20" t="str">
        <f>IFERROR(__xludf.DUMMYFUNCTION("""COMPUTED_VALUE"""),"Xbox / PC")</f>
        <v>Xbox / PC</v>
      </c>
      <c r="C406" s="20" t="str">
        <f>IFERROR(__xludf.DUMMYFUNCTION("""COMPUTED_VALUE"""),"Touch Controls")</f>
        <v>Touch Controls</v>
      </c>
      <c r="D406" s="21" t="str">
        <f>IFERROR(__xludf.DUMMYFUNCTION("""COMPUTED_VALUE"""),"Removed")</f>
        <v>Removed</v>
      </c>
      <c r="E406" s="128">
        <f>IFERROR(__xludf.DUMMYFUNCTION("""COMPUTED_VALUE"""),44749.0)</f>
        <v>44749</v>
      </c>
      <c r="F406" s="276">
        <f>IFERROR(__xludf.DUMMYFUNCTION("""COMPUTED_VALUE"""),45107.0)</f>
        <v>45107</v>
      </c>
      <c r="G406" s="27">
        <f>IFERROR(__xludf.DUMMYFUNCTION("""COMPUTED_VALUE"""),11.766666666666666)</f>
        <v>11.76666667</v>
      </c>
      <c r="H406" s="128">
        <f>IFERROR(__xludf.DUMMYFUNCTION("""COMPUTED_VALUE"""),44749.0)</f>
        <v>44749</v>
      </c>
      <c r="I406" s="27">
        <f>IFERROR(__xludf.DUMMYFUNCTION("""COMPUTED_VALUE"""),0.0)</f>
        <v>0</v>
      </c>
      <c r="J406" s="29">
        <f>IFERROR(__xludf.DUMMYFUNCTION("""COMPUTED_VALUE"""),60.0)</f>
        <v>60</v>
      </c>
      <c r="K406" s="29">
        <f>IFERROR(__xludf.DUMMYFUNCTION("""COMPUTED_VALUE"""),10.5)</f>
        <v>10.5</v>
      </c>
      <c r="L406" s="31" t="str">
        <f>IFERROR(__xludf.DUMMYFUNCTION("""COMPUTED_VALUE"""),"Sports")</f>
        <v>Sports</v>
      </c>
    </row>
    <row r="407" hidden="1">
      <c r="A407" s="17" t="str">
        <f>IFERROR(__xludf.DUMMYFUNCTION("""COMPUTED_VALUE"""),"OMORI")</f>
        <v>OMORI</v>
      </c>
      <c r="B407" s="20" t="str">
        <f>IFERROR(__xludf.DUMMYFUNCTION("""COMPUTED_VALUE"""),"Xbox / PC")</f>
        <v>Xbox / PC</v>
      </c>
      <c r="C407" s="20" t="str">
        <f>IFERROR(__xludf.DUMMYFUNCTION("""COMPUTED_VALUE"""),"Yes")</f>
        <v>Yes</v>
      </c>
      <c r="D407" s="21" t="str">
        <f>IFERROR(__xludf.DUMMYFUNCTION("""COMPUTED_VALUE"""),"Removed")</f>
        <v>Removed</v>
      </c>
      <c r="E407" s="127">
        <f>IFERROR(__xludf.DUMMYFUNCTION("""COMPUTED_VALUE"""),44728.0)</f>
        <v>44728</v>
      </c>
      <c r="F407" s="24">
        <f>IFERROR(__xludf.DUMMYFUNCTION("""COMPUTED_VALUE"""),45107.0)</f>
        <v>45107</v>
      </c>
      <c r="G407" s="27">
        <f>IFERROR(__xludf.DUMMYFUNCTION("""COMPUTED_VALUE"""),12.466666666666669)</f>
        <v>12.46666667</v>
      </c>
      <c r="H407" s="128">
        <f>IFERROR(__xludf.DUMMYFUNCTION("""COMPUTED_VALUE"""),44190.0)</f>
        <v>44190</v>
      </c>
      <c r="I407" s="27">
        <f>IFERROR(__xludf.DUMMYFUNCTION("""COMPUTED_VALUE"""),1.475)</f>
        <v>1.475</v>
      </c>
      <c r="J407" s="29">
        <f>IFERROR(__xludf.DUMMYFUNCTION("""COMPUTED_VALUE"""),87.0)</f>
        <v>87</v>
      </c>
      <c r="K407" s="29">
        <f>IFERROR(__xludf.DUMMYFUNCTION("""COMPUTED_VALUE"""),20.5)</f>
        <v>20.5</v>
      </c>
      <c r="L407" s="31" t="str">
        <f>IFERROR(__xludf.DUMMYFUNCTION("""COMPUTED_VALUE"""),"RPG")</f>
        <v>RPG</v>
      </c>
    </row>
    <row r="408" hidden="1">
      <c r="A408" s="278" t="str">
        <f>IFERROR(__xludf.DUMMYFUNCTION("""COMPUTED_VALUE"""),"Olija")</f>
        <v>Olija</v>
      </c>
      <c r="B408" s="20" t="str">
        <f>IFERROR(__xludf.DUMMYFUNCTION("""COMPUTED_VALUE"""),"Xbox / PC")</f>
        <v>Xbox / PC</v>
      </c>
      <c r="C408" s="21" t="str">
        <f>IFERROR(__xludf.DUMMYFUNCTION("""COMPUTED_VALUE"""),"Yes")</f>
        <v>Yes</v>
      </c>
      <c r="D408" s="21" t="str">
        <f>IFERROR(__xludf.DUMMYFUNCTION("""COMPUTED_VALUE"""),"Removed")</f>
        <v>Removed</v>
      </c>
      <c r="E408" s="279">
        <f>IFERROR(__xludf.DUMMYFUNCTION("""COMPUTED_VALUE"""),44565.0)</f>
        <v>44565</v>
      </c>
      <c r="F408" s="24">
        <f>IFERROR(__xludf.DUMMYFUNCTION("""COMPUTED_VALUE"""),45107.0)</f>
        <v>45107</v>
      </c>
      <c r="G408" s="27">
        <f>IFERROR(__xludf.DUMMYFUNCTION("""COMPUTED_VALUE"""),17.866666666666667)</f>
        <v>17.86666667</v>
      </c>
      <c r="H408" s="128">
        <f>IFERROR(__xludf.DUMMYFUNCTION("""COMPUTED_VALUE"""),44224.0)</f>
        <v>44224</v>
      </c>
      <c r="I408" s="27">
        <f>IFERROR(__xludf.DUMMYFUNCTION("""COMPUTED_VALUE"""),0.9333333333333333)</f>
        <v>0.9333333333</v>
      </c>
      <c r="J408" s="277">
        <f>IFERROR(__xludf.DUMMYFUNCTION("""COMPUTED_VALUE"""),78.0)</f>
        <v>78</v>
      </c>
      <c r="K408" s="29">
        <f>IFERROR(__xludf.DUMMYFUNCTION("""COMPUTED_VALUE"""),5.0)</f>
        <v>5</v>
      </c>
      <c r="L408" s="275" t="str">
        <f>IFERROR(__xludf.DUMMYFUNCTION("""COMPUTED_VALUE"""),"Action-Adventure")</f>
        <v>Action-Adventure</v>
      </c>
    </row>
    <row r="409" hidden="1">
      <c r="A409" s="278" t="str">
        <f>IFERROR(__xludf.DUMMYFUNCTION("""COMPUTED_VALUE"""),"Empire of Sin")</f>
        <v>Empire of Sin</v>
      </c>
      <c r="B409" s="21" t="str">
        <f>IFERROR(__xludf.DUMMYFUNCTION("""COMPUTED_VALUE"""),"Xbox / PC")</f>
        <v>Xbox / PC</v>
      </c>
      <c r="C409" s="21" t="str">
        <f>IFERROR(__xludf.DUMMYFUNCTION("""COMPUTED_VALUE"""),"Touch Controls")</f>
        <v>Touch Controls</v>
      </c>
      <c r="D409" s="21" t="str">
        <f>IFERROR(__xludf.DUMMYFUNCTION("""COMPUTED_VALUE"""),"Removed")</f>
        <v>Removed</v>
      </c>
      <c r="E409" s="279">
        <f>IFERROR(__xludf.DUMMYFUNCTION("""COMPUTED_VALUE"""),44273.0)</f>
        <v>44273</v>
      </c>
      <c r="F409" s="276">
        <f>IFERROR(__xludf.DUMMYFUNCTION("""COMPUTED_VALUE"""),45107.0)</f>
        <v>45107</v>
      </c>
      <c r="G409" s="27">
        <f>IFERROR(__xludf.DUMMYFUNCTION("""COMPUTED_VALUE"""),27.4)</f>
        <v>27.4</v>
      </c>
      <c r="H409" s="128">
        <f>IFERROR(__xludf.DUMMYFUNCTION("""COMPUTED_VALUE"""),44166.0)</f>
        <v>44166</v>
      </c>
      <c r="I409" s="27">
        <f>IFERROR(__xludf.DUMMYFUNCTION("""COMPUTED_VALUE"""),0.2972222222222222)</f>
        <v>0.2972222222</v>
      </c>
      <c r="J409" s="29">
        <f>IFERROR(__xludf.DUMMYFUNCTION("""COMPUTED_VALUE"""),65.5)</f>
        <v>65.5</v>
      </c>
      <c r="K409" s="29">
        <f>IFERROR(__xludf.DUMMYFUNCTION("""COMPUTED_VALUE"""),8.0)</f>
        <v>8</v>
      </c>
      <c r="L409" s="31" t="str">
        <f>IFERROR(__xludf.DUMMYFUNCTION("""COMPUTED_VALUE"""),"RPG")</f>
        <v>RPG</v>
      </c>
    </row>
    <row r="410" hidden="1">
      <c r="A410" s="278" t="str">
        <f>IFERROR(__xludf.DUMMYFUNCTION("""COMPUTED_VALUE"""),"Mortal Shell: Enhanced Edition")</f>
        <v>Mortal Shell: Enhanced Edition</v>
      </c>
      <c r="B410" s="20" t="str">
        <f>IFERROR(__xludf.DUMMYFUNCTION("""COMPUTED_VALUE"""),"Xbox / PC")</f>
        <v>Xbox / PC</v>
      </c>
      <c r="C410" s="20" t="str">
        <f>IFERROR(__xludf.DUMMYFUNCTION("""COMPUTED_VALUE"""),"Yes")</f>
        <v>Yes</v>
      </c>
      <c r="D410" s="21" t="str">
        <f>IFERROR(__xludf.DUMMYFUNCTION("""COMPUTED_VALUE"""),"Removed")</f>
        <v>Removed</v>
      </c>
      <c r="E410" s="279">
        <f>IFERROR(__xludf.DUMMYFUNCTION("""COMPUTED_VALUE"""),44931.0)</f>
        <v>44931</v>
      </c>
      <c r="F410" s="276">
        <f>IFERROR(__xludf.DUMMYFUNCTION("""COMPUTED_VALUE"""),45092.0)</f>
        <v>45092</v>
      </c>
      <c r="G410" s="27">
        <f>IFERROR(__xludf.DUMMYFUNCTION("""COMPUTED_VALUE"""),5.333333333333333)</f>
        <v>5.333333333</v>
      </c>
      <c r="H410" s="128">
        <f>IFERROR(__xludf.DUMMYFUNCTION("""COMPUTED_VALUE"""),44061.0)</f>
        <v>44061</v>
      </c>
      <c r="I410" s="27">
        <f>IFERROR(__xludf.DUMMYFUNCTION("""COMPUTED_VALUE"""),2.3805555555555555)</f>
        <v>2.380555556</v>
      </c>
      <c r="J410" s="277">
        <f>IFERROR(__xludf.DUMMYFUNCTION("""COMPUTED_VALUE"""),76.0)</f>
        <v>76</v>
      </c>
      <c r="K410" s="29">
        <f>IFERROR(__xludf.DUMMYFUNCTION("""COMPUTED_VALUE"""),10.0)</f>
        <v>10</v>
      </c>
      <c r="L410" s="275" t="str">
        <f>IFERROR(__xludf.DUMMYFUNCTION("""COMPUTED_VALUE"""),"RPG")</f>
        <v>RPG</v>
      </c>
    </row>
    <row r="411" hidden="1">
      <c r="A411" s="278" t="str">
        <f>IFERROR(__xludf.DUMMYFUNCTION("""COMPUTED_VALUE"""),"Total War: Three Kingdoms")</f>
        <v>Total War: Three Kingdoms</v>
      </c>
      <c r="B411" s="20" t="str">
        <f>IFERROR(__xludf.DUMMYFUNCTION("""COMPUTED_VALUE"""),"PC")</f>
        <v>PC</v>
      </c>
      <c r="C411" s="20"/>
      <c r="D411" s="21" t="str">
        <f>IFERROR(__xludf.DUMMYFUNCTION("""COMPUTED_VALUE"""),"Removed")</f>
        <v>Removed</v>
      </c>
      <c r="E411" s="279">
        <f>IFERROR(__xludf.DUMMYFUNCTION("""COMPUTED_VALUE"""),44733.0)</f>
        <v>44733</v>
      </c>
      <c r="F411" s="276">
        <f>IFERROR(__xludf.DUMMYFUNCTION("""COMPUTED_VALUE"""),45092.0)</f>
        <v>45092</v>
      </c>
      <c r="G411" s="27">
        <f>IFERROR(__xludf.DUMMYFUNCTION("""COMPUTED_VALUE"""),11.799999999999999)</f>
        <v>11.8</v>
      </c>
      <c r="H411" s="128">
        <f>IFERROR(__xludf.DUMMYFUNCTION("""COMPUTED_VALUE"""),43608.0)</f>
        <v>43608</v>
      </c>
      <c r="I411" s="27">
        <f>IFERROR(__xludf.DUMMYFUNCTION("""COMPUTED_VALUE"""),3.077777777777778)</f>
        <v>3.077777778</v>
      </c>
      <c r="J411" s="277">
        <f>IFERROR(__xludf.DUMMYFUNCTION("""COMPUTED_VALUE"""),85.0)</f>
        <v>85</v>
      </c>
      <c r="K411" s="29">
        <f>IFERROR(__xludf.DUMMYFUNCTION("""COMPUTED_VALUE"""),48.0)</f>
        <v>48</v>
      </c>
      <c r="L411" s="31" t="str">
        <f>IFERROR(__xludf.DUMMYFUNCTION("""COMPUTED_VALUE"""),"Strategy")</f>
        <v>Strategy</v>
      </c>
    </row>
    <row r="412" hidden="1">
      <c r="A412" s="278" t="str">
        <f>IFERROR(__xludf.DUMMYFUNCTION("""COMPUTED_VALUE"""),"Chorus")</f>
        <v>Chorus</v>
      </c>
      <c r="B412" s="20" t="str">
        <f>IFERROR(__xludf.DUMMYFUNCTION("""COMPUTED_VALUE"""),"Xbox / PC")</f>
        <v>Xbox / PC</v>
      </c>
      <c r="C412" s="20" t="str">
        <f>IFERROR(__xludf.DUMMYFUNCTION("""COMPUTED_VALUE"""),"Touch Controls")</f>
        <v>Touch Controls</v>
      </c>
      <c r="D412" s="21" t="str">
        <f>IFERROR(__xludf.DUMMYFUNCTION("""COMPUTED_VALUE"""),"Removed")</f>
        <v>Removed</v>
      </c>
      <c r="E412" s="279">
        <f>IFERROR(__xludf.DUMMYFUNCTION("""COMPUTED_VALUE"""),44719.0)</f>
        <v>44719</v>
      </c>
      <c r="F412" s="24">
        <f>IFERROR(__xludf.DUMMYFUNCTION("""COMPUTED_VALUE"""),45092.0)</f>
        <v>45092</v>
      </c>
      <c r="G412" s="27">
        <f>IFERROR(__xludf.DUMMYFUNCTION("""COMPUTED_VALUE"""),12.266666666666666)</f>
        <v>12.26666667</v>
      </c>
      <c r="H412" s="128">
        <f>IFERROR(__xludf.DUMMYFUNCTION("""COMPUTED_VALUE"""),44533.0)</f>
        <v>44533</v>
      </c>
      <c r="I412" s="27">
        <f>IFERROR(__xludf.DUMMYFUNCTION("""COMPUTED_VALUE"""),0.5111111111111111)</f>
        <v>0.5111111111</v>
      </c>
      <c r="J412" s="277">
        <f>IFERROR(__xludf.DUMMYFUNCTION("""COMPUTED_VALUE"""),78.0)</f>
        <v>78</v>
      </c>
      <c r="K412" s="29">
        <f>IFERROR(__xludf.DUMMYFUNCTION("""COMPUTED_VALUE"""),14.5)</f>
        <v>14.5</v>
      </c>
      <c r="L412" s="275" t="str">
        <f>IFERROR(__xludf.DUMMYFUNCTION("""COMPUTED_VALUE"""),"Action")</f>
        <v>Action</v>
      </c>
    </row>
    <row r="413" hidden="1">
      <c r="A413" s="278" t="str">
        <f>IFERROR(__xludf.DUMMYFUNCTION("""COMPUTED_VALUE"""),"Serious Sam 4")</f>
        <v>Serious Sam 4</v>
      </c>
      <c r="B413" s="21" t="str">
        <f>IFERROR(__xludf.DUMMYFUNCTION("""COMPUTED_VALUE"""),"Xbox / PC")</f>
        <v>Xbox / PC</v>
      </c>
      <c r="C413" s="21" t="str">
        <f>IFERROR(__xludf.DUMMYFUNCTION("""COMPUTED_VALUE"""),"Yes")</f>
        <v>Yes</v>
      </c>
      <c r="D413" s="21" t="str">
        <f>IFERROR(__xludf.DUMMYFUNCTION("""COMPUTED_VALUE"""),"Removed")</f>
        <v>Removed</v>
      </c>
      <c r="E413" s="279">
        <f>IFERROR(__xludf.DUMMYFUNCTION("""COMPUTED_VALUE"""),44537.0)</f>
        <v>44537</v>
      </c>
      <c r="F413" s="276">
        <f>IFERROR(__xludf.DUMMYFUNCTION("""COMPUTED_VALUE"""),45092.0)</f>
        <v>45092</v>
      </c>
      <c r="G413" s="27">
        <f>IFERROR(__xludf.DUMMYFUNCTION("""COMPUTED_VALUE"""),18.266666666666666)</f>
        <v>18.26666667</v>
      </c>
      <c r="H413" s="128">
        <f>IFERROR(__xludf.DUMMYFUNCTION("""COMPUTED_VALUE"""),44098.0)</f>
        <v>44098</v>
      </c>
      <c r="I413" s="27">
        <f>IFERROR(__xludf.DUMMYFUNCTION("""COMPUTED_VALUE"""),1.2027777777777777)</f>
        <v>1.202777778</v>
      </c>
      <c r="J413" s="277">
        <f>IFERROR(__xludf.DUMMYFUNCTION("""COMPUTED_VALUE"""),68.0)</f>
        <v>68</v>
      </c>
      <c r="K413" s="29">
        <f>IFERROR(__xludf.DUMMYFUNCTION("""COMPUTED_VALUE"""),9.5)</f>
        <v>9.5</v>
      </c>
      <c r="L413" s="275" t="str">
        <f>IFERROR(__xludf.DUMMYFUNCTION("""COMPUTED_VALUE"""),"Shooter")</f>
        <v>Shooter</v>
      </c>
    </row>
    <row r="414" hidden="1">
      <c r="A414" s="278" t="str">
        <f>IFERROR(__xludf.DUMMYFUNCTION("""COMPUTED_VALUE"""),"Bridge Constructor: Portal")</f>
        <v>Bridge Constructor: Portal</v>
      </c>
      <c r="B414" s="20" t="str">
        <f>IFERROR(__xludf.DUMMYFUNCTION("""COMPUTED_VALUE"""),"Xbox / PC")</f>
        <v>Xbox / PC</v>
      </c>
      <c r="C414" s="20" t="str">
        <f>IFERROR(__xludf.DUMMYFUNCTION("""COMPUTED_VALUE"""),"Touch Controls")</f>
        <v>Touch Controls</v>
      </c>
      <c r="D414" s="21" t="str">
        <f>IFERROR(__xludf.DUMMYFUNCTION("""COMPUTED_VALUE"""),"Removed")</f>
        <v>Removed</v>
      </c>
      <c r="E414" s="279">
        <f>IFERROR(__xludf.DUMMYFUNCTION("""COMPUTED_VALUE"""),43625.0)</f>
        <v>43625</v>
      </c>
      <c r="F414" s="276">
        <f>IFERROR(__xludf.DUMMYFUNCTION("""COMPUTED_VALUE"""),45092.0)</f>
        <v>45092</v>
      </c>
      <c r="G414" s="27">
        <f>IFERROR(__xludf.DUMMYFUNCTION("""COMPUTED_VALUE"""),48.2)</f>
        <v>48.2</v>
      </c>
      <c r="H414" s="128">
        <f>IFERROR(__xludf.DUMMYFUNCTION("""COMPUTED_VALUE"""),43089.0)</f>
        <v>43089</v>
      </c>
      <c r="I414" s="27">
        <f>IFERROR(__xludf.DUMMYFUNCTION("""COMPUTED_VALUE"""),1.4694444444444446)</f>
        <v>1.469444444</v>
      </c>
      <c r="J414" s="277">
        <f>IFERROR(__xludf.DUMMYFUNCTION("""COMPUTED_VALUE"""),78.0)</f>
        <v>78</v>
      </c>
      <c r="K414" s="277">
        <f>IFERROR(__xludf.DUMMYFUNCTION("""COMPUTED_VALUE"""),13.5)</f>
        <v>13.5</v>
      </c>
      <c r="L414" s="275" t="str">
        <f>IFERROR(__xludf.DUMMYFUNCTION("""COMPUTED_VALUE"""),"Puzzle")</f>
        <v>Puzzle</v>
      </c>
    </row>
    <row r="415" hidden="1">
      <c r="A415" s="278" t="str">
        <f>IFERROR(__xludf.DUMMYFUNCTION("""COMPUTED_VALUE"""),"Floppy Knights")</f>
        <v>Floppy Knights</v>
      </c>
      <c r="B415" s="20" t="str">
        <f>IFERROR(__xludf.DUMMYFUNCTION("""COMPUTED_VALUE"""),"Xbox / PC")</f>
        <v>Xbox / PC</v>
      </c>
      <c r="C415" s="20" t="str">
        <f>IFERROR(__xludf.DUMMYFUNCTION("""COMPUTED_VALUE"""),"Touch Controls")</f>
        <v>Touch Controls</v>
      </c>
      <c r="D415" s="21" t="str">
        <f>IFERROR(__xludf.DUMMYFUNCTION("""COMPUTED_VALUE"""),"Removed")</f>
        <v>Removed</v>
      </c>
      <c r="E415" s="279">
        <f>IFERROR(__xludf.DUMMYFUNCTION("""COMPUTED_VALUE"""),44705.0)</f>
        <v>44705</v>
      </c>
      <c r="F415" s="276">
        <f>IFERROR(__xludf.DUMMYFUNCTION("""COMPUTED_VALUE"""),45077.0)</f>
        <v>45077</v>
      </c>
      <c r="G415" s="27">
        <f>IFERROR(__xludf.DUMMYFUNCTION("""COMPUTED_VALUE"""),12.2)</f>
        <v>12.2</v>
      </c>
      <c r="H415" s="128">
        <f>IFERROR(__xludf.DUMMYFUNCTION("""COMPUTED_VALUE"""),44705.0)</f>
        <v>44705</v>
      </c>
      <c r="I415" s="27">
        <f>IFERROR(__xludf.DUMMYFUNCTION("""COMPUTED_VALUE"""),0.0)</f>
        <v>0</v>
      </c>
      <c r="J415" s="277">
        <f>IFERROR(__xludf.DUMMYFUNCTION("""COMPUTED_VALUE"""),81.0)</f>
        <v>81</v>
      </c>
      <c r="K415" s="29">
        <f>IFERROR(__xludf.DUMMYFUNCTION("""COMPUTED_VALUE"""),8.0)</f>
        <v>8</v>
      </c>
      <c r="L415" s="275" t="str">
        <f>IFERROR(__xludf.DUMMYFUNCTION("""COMPUTED_VALUE"""),"Strategy")</f>
        <v>Strategy</v>
      </c>
    </row>
    <row r="416" hidden="1">
      <c r="A416" s="278" t="str">
        <f>IFERROR(__xludf.DUMMYFUNCTION("""COMPUTED_VALUE"""),"Lawn Mowing Simulator")</f>
        <v>Lawn Mowing Simulator</v>
      </c>
      <c r="B416" s="20" t="str">
        <f>IFERROR(__xludf.DUMMYFUNCTION("""COMPUTED_VALUE"""),"Xbox / PC")</f>
        <v>Xbox / PC</v>
      </c>
      <c r="C416" s="21" t="str">
        <f>IFERROR(__xludf.DUMMYFUNCTION("""COMPUTED_VALUE"""),"Touch Controls")</f>
        <v>Touch Controls</v>
      </c>
      <c r="D416" s="21" t="str">
        <f>IFERROR(__xludf.DUMMYFUNCTION("""COMPUTED_VALUE"""),"Removed")</f>
        <v>Removed</v>
      </c>
      <c r="E416" s="279">
        <f>IFERROR(__xludf.DUMMYFUNCTION("""COMPUTED_VALUE"""),44532.0)</f>
        <v>44532</v>
      </c>
      <c r="F416" s="24">
        <f>IFERROR(__xludf.DUMMYFUNCTION("""COMPUTED_VALUE"""),45077.0)</f>
        <v>45077</v>
      </c>
      <c r="G416" s="27">
        <f>IFERROR(__xludf.DUMMYFUNCTION("""COMPUTED_VALUE"""),17.933333333333334)</f>
        <v>17.93333333</v>
      </c>
      <c r="H416" s="128">
        <f>IFERROR(__xludf.DUMMYFUNCTION("""COMPUTED_VALUE"""),44418.0)</f>
        <v>44418</v>
      </c>
      <c r="I416" s="27">
        <f>IFERROR(__xludf.DUMMYFUNCTION("""COMPUTED_VALUE"""),0.3111111111111111)</f>
        <v>0.3111111111</v>
      </c>
      <c r="J416" s="277">
        <f>IFERROR(__xludf.DUMMYFUNCTION("""COMPUTED_VALUE"""),70.5)</f>
        <v>70.5</v>
      </c>
      <c r="K416" s="29">
        <f>IFERROR(__xludf.DUMMYFUNCTION("""COMPUTED_VALUE"""),17.0)</f>
        <v>17</v>
      </c>
      <c r="L416" s="275" t="str">
        <f>IFERROR(__xludf.DUMMYFUNCTION("""COMPUTED_VALUE"""),"Simulation")</f>
        <v>Simulation</v>
      </c>
    </row>
    <row r="417" hidden="1">
      <c r="A417" s="278" t="str">
        <f>IFERROR(__xludf.DUMMYFUNCTION("""COMPUTED_VALUE"""),"Evil Genius 2: World Domination")</f>
        <v>Evil Genius 2: World Domination</v>
      </c>
      <c r="B417" s="20" t="str">
        <f>IFERROR(__xludf.DUMMYFUNCTION("""COMPUTED_VALUE"""),"Xbox / PC")</f>
        <v>Xbox / PC</v>
      </c>
      <c r="C417" s="20" t="str">
        <f>IFERROR(__xludf.DUMMYFUNCTION("""COMPUTED_VALUE"""),"Yes")</f>
        <v>Yes</v>
      </c>
      <c r="D417" s="21" t="str">
        <f>IFERROR(__xludf.DUMMYFUNCTION("""COMPUTED_VALUE"""),"Removed")</f>
        <v>Removed</v>
      </c>
      <c r="E417" s="279">
        <f>IFERROR(__xludf.DUMMYFUNCTION("""COMPUTED_VALUE"""),44530.0)</f>
        <v>44530</v>
      </c>
      <c r="F417" s="24">
        <f>IFERROR(__xludf.DUMMYFUNCTION("""COMPUTED_VALUE"""),45077.0)</f>
        <v>45077</v>
      </c>
      <c r="G417" s="27">
        <f>IFERROR(__xludf.DUMMYFUNCTION("""COMPUTED_VALUE"""),18.0)</f>
        <v>18</v>
      </c>
      <c r="H417" s="128">
        <f>IFERROR(__xludf.DUMMYFUNCTION("""COMPUTED_VALUE"""),44275.0)</f>
        <v>44275</v>
      </c>
      <c r="I417" s="27">
        <f>IFERROR(__xludf.DUMMYFUNCTION("""COMPUTED_VALUE"""),0.6944444444444444)</f>
        <v>0.6944444444</v>
      </c>
      <c r="J417" s="277">
        <f>IFERROR(__xludf.DUMMYFUNCTION("""COMPUTED_VALUE"""),76.0)</f>
        <v>76</v>
      </c>
      <c r="K417" s="29">
        <f>IFERROR(__xludf.DUMMYFUNCTION("""COMPUTED_VALUE"""),28.5)</f>
        <v>28.5</v>
      </c>
      <c r="L417" s="275" t="str">
        <f>IFERROR(__xludf.DUMMYFUNCTION("""COMPUTED_VALUE"""),"Strategy")</f>
        <v>Strategy</v>
      </c>
    </row>
    <row r="418" hidden="1">
      <c r="A418" s="278" t="str">
        <f>IFERROR(__xludf.DUMMYFUNCTION("""COMPUTED_VALUE"""),"FIFA 21")</f>
        <v>FIFA 21</v>
      </c>
      <c r="B418" s="20" t="str">
        <f>IFERROR(__xludf.DUMMYFUNCTION("""COMPUTED_VALUE"""),"Xbox / PC")</f>
        <v>Xbox / PC</v>
      </c>
      <c r="C418" s="21"/>
      <c r="D418" s="21" t="str">
        <f>IFERROR(__xludf.DUMMYFUNCTION("""COMPUTED_VALUE"""),"Removed")</f>
        <v>Removed</v>
      </c>
      <c r="E418" s="279">
        <f>IFERROR(__xludf.DUMMYFUNCTION("""COMPUTED_VALUE"""),44322.0)</f>
        <v>44322</v>
      </c>
      <c r="F418" s="276">
        <f>IFERROR(__xludf.DUMMYFUNCTION("""COMPUTED_VALUE"""),45077.0)</f>
        <v>45077</v>
      </c>
      <c r="G418" s="27">
        <f>IFERROR(__xludf.DUMMYFUNCTION("""COMPUTED_VALUE"""),24.800000000000004)</f>
        <v>24.8</v>
      </c>
      <c r="H418" s="128">
        <f>IFERROR(__xludf.DUMMYFUNCTION("""COMPUTED_VALUE"""),44110.0)</f>
        <v>44110</v>
      </c>
      <c r="I418" s="27">
        <f>IFERROR(__xludf.DUMMYFUNCTION("""COMPUTED_VALUE"""),0.5833333333333334)</f>
        <v>0.5833333333</v>
      </c>
      <c r="J418" s="277">
        <f>IFERROR(__xludf.DUMMYFUNCTION("""COMPUTED_VALUE"""),77.0)</f>
        <v>77</v>
      </c>
      <c r="K418" s="29">
        <f>IFERROR(__xludf.DUMMYFUNCTION("""COMPUTED_VALUE"""),81.0)</f>
        <v>81</v>
      </c>
      <c r="L418" s="275" t="str">
        <f>IFERROR(__xludf.DUMMYFUNCTION("""COMPUTED_VALUE"""),"Sports")</f>
        <v>Sports</v>
      </c>
    </row>
    <row r="419" hidden="1">
      <c r="A419" s="278" t="str">
        <f>IFERROR(__xludf.DUMMYFUNCTION("""COMPUTED_VALUE"""),"Europa Universalis IV")</f>
        <v>Europa Universalis IV</v>
      </c>
      <c r="B419" s="20" t="str">
        <f>IFERROR(__xludf.DUMMYFUNCTION("""COMPUTED_VALUE"""),"PC")</f>
        <v>PC</v>
      </c>
      <c r="C419" s="20"/>
      <c r="D419" s="21" t="str">
        <f>IFERROR(__xludf.DUMMYFUNCTION("""COMPUTED_VALUE"""),"Removed")</f>
        <v>Removed</v>
      </c>
      <c r="E419" s="279">
        <f>IFERROR(__xludf.DUMMYFUNCTION("""COMPUTED_VALUE"""),43803.0)</f>
        <v>43803</v>
      </c>
      <c r="F419" s="276">
        <f>IFERROR(__xludf.DUMMYFUNCTION("""COMPUTED_VALUE"""),45077.0)</f>
        <v>45077</v>
      </c>
      <c r="G419" s="27">
        <f>IFERROR(__xludf.DUMMYFUNCTION("""COMPUTED_VALUE"""),41.86666666666667)</f>
        <v>41.86666667</v>
      </c>
      <c r="H419" s="128">
        <f>IFERROR(__xludf.DUMMYFUNCTION("""COMPUTED_VALUE"""),41499.0)</f>
        <v>41499</v>
      </c>
      <c r="I419" s="27">
        <f>IFERROR(__xludf.DUMMYFUNCTION("""COMPUTED_VALUE"""),6.308333333333334)</f>
        <v>6.308333333</v>
      </c>
      <c r="J419" s="277">
        <f>IFERROR(__xludf.DUMMYFUNCTION("""COMPUTED_VALUE"""),87.0)</f>
        <v>87</v>
      </c>
      <c r="K419" s="29">
        <f>IFERROR(__xludf.DUMMYFUNCTION("""COMPUTED_VALUE"""),225.0)</f>
        <v>225</v>
      </c>
      <c r="L419" s="275" t="str">
        <f>IFERROR(__xludf.DUMMYFUNCTION("""COMPUTED_VALUE"""),"Strategy")</f>
        <v>Strategy</v>
      </c>
    </row>
    <row r="420" hidden="1">
      <c r="A420" s="278" t="str">
        <f>IFERROR(__xludf.DUMMYFUNCTION("""COMPUTED_VALUE"""),"Her Story")</f>
        <v>Her Story</v>
      </c>
      <c r="B420" s="20" t="str">
        <f>IFERROR(__xludf.DUMMYFUNCTION("""COMPUTED_VALUE"""),"PC")</f>
        <v>PC</v>
      </c>
      <c r="C420" s="21"/>
      <c r="D420" s="21" t="str">
        <f>IFERROR(__xludf.DUMMYFUNCTION("""COMPUTED_VALUE"""),"Removed")</f>
        <v>Removed</v>
      </c>
      <c r="E420" s="279">
        <f>IFERROR(__xludf.DUMMYFUNCTION("""COMPUTED_VALUE"""),44698.0)</f>
        <v>44698</v>
      </c>
      <c r="F420" s="276">
        <f>IFERROR(__xludf.DUMMYFUNCTION("""COMPUTED_VALUE"""),45061.0)</f>
        <v>45061</v>
      </c>
      <c r="G420" s="27">
        <f>IFERROR(__xludf.DUMMYFUNCTION("""COMPUTED_VALUE"""),11.933333333333334)</f>
        <v>11.93333333</v>
      </c>
      <c r="H420" s="128">
        <f>IFERROR(__xludf.DUMMYFUNCTION("""COMPUTED_VALUE"""),42179.0)</f>
        <v>42179</v>
      </c>
      <c r="I420" s="27">
        <f>IFERROR(__xludf.DUMMYFUNCTION("""COMPUTED_VALUE"""),6.897222222222222)</f>
        <v>6.897222222</v>
      </c>
      <c r="J420" s="277">
        <f>IFERROR(__xludf.DUMMYFUNCTION("""COMPUTED_VALUE"""),86.0)</f>
        <v>86</v>
      </c>
      <c r="K420" s="29">
        <f>IFERROR(__xludf.DUMMYFUNCTION("""COMPUTED_VALUE"""),2.0)</f>
        <v>2</v>
      </c>
      <c r="L420" s="275" t="str">
        <f>IFERROR(__xludf.DUMMYFUNCTION("""COMPUTED_VALUE"""),"Adventure")</f>
        <v>Adventure</v>
      </c>
    </row>
    <row r="421" hidden="1">
      <c r="A421" s="17" t="str">
        <f>IFERROR(__xludf.DUMMYFUNCTION("""COMPUTED_VALUE"""),"Umurangi Generation - Special Edition")</f>
        <v>Umurangi Generation - Special Edition</v>
      </c>
      <c r="B421" s="20" t="str">
        <f>IFERROR(__xludf.DUMMYFUNCTION("""COMPUTED_VALUE"""),"Xbox / PC")</f>
        <v>Xbox / PC</v>
      </c>
      <c r="C421" s="20" t="str">
        <f>IFERROR(__xludf.DUMMYFUNCTION("""COMPUTED_VALUE"""),"Touch Controls")</f>
        <v>Touch Controls</v>
      </c>
      <c r="D421" s="21" t="str">
        <f>IFERROR(__xludf.DUMMYFUNCTION("""COMPUTED_VALUE"""),"Removed")</f>
        <v>Removed</v>
      </c>
      <c r="E421" s="127">
        <f>IFERROR(__xludf.DUMMYFUNCTION("""COMPUTED_VALUE"""),44698.0)</f>
        <v>44698</v>
      </c>
      <c r="F421" s="24">
        <f>IFERROR(__xludf.DUMMYFUNCTION("""COMPUTED_VALUE"""),45061.0)</f>
        <v>45061</v>
      </c>
      <c r="G421" s="27">
        <f>IFERROR(__xludf.DUMMYFUNCTION("""COMPUTED_VALUE"""),11.933333333333334)</f>
        <v>11.93333333</v>
      </c>
      <c r="H421" s="128">
        <f>IFERROR(__xludf.DUMMYFUNCTION("""COMPUTED_VALUE"""),44352.0)</f>
        <v>44352</v>
      </c>
      <c r="I421" s="27">
        <f>IFERROR(__xludf.DUMMYFUNCTION("""COMPUTED_VALUE"""),0.95)</f>
        <v>0.95</v>
      </c>
      <c r="J421" s="29">
        <f>IFERROR(__xludf.DUMMYFUNCTION("""COMPUTED_VALUE"""),84.0)</f>
        <v>84</v>
      </c>
      <c r="K421" s="29">
        <f>IFERROR(__xludf.DUMMYFUNCTION("""COMPUTED_VALUE"""),2.5)</f>
        <v>2.5</v>
      </c>
      <c r="L421" s="31" t="str">
        <f>IFERROR(__xludf.DUMMYFUNCTION("""COMPUTED_VALUE"""),"Adventure")</f>
        <v>Adventure</v>
      </c>
    </row>
    <row r="422" hidden="1">
      <c r="A422" s="278" t="str">
        <f>IFERROR(__xludf.DUMMYFUNCTION("""COMPUTED_VALUE"""),"Danganronpa 2: Goodbye Despair - Anniversary Edition")</f>
        <v>Danganronpa 2: Goodbye Despair - Anniversary Edition</v>
      </c>
      <c r="B422" s="20" t="str">
        <f>IFERROR(__xludf.DUMMYFUNCTION("""COMPUTED_VALUE"""),"Xbox / PC")</f>
        <v>Xbox / PC</v>
      </c>
      <c r="C422" s="21" t="str">
        <f>IFERROR(__xludf.DUMMYFUNCTION("""COMPUTED_VALUE"""),"Touch Controls")</f>
        <v>Touch Controls</v>
      </c>
      <c r="D422" s="21" t="str">
        <f>IFERROR(__xludf.DUMMYFUNCTION("""COMPUTED_VALUE"""),"Removed")</f>
        <v>Removed</v>
      </c>
      <c r="E422" s="279">
        <f>IFERROR(__xludf.DUMMYFUNCTION("""COMPUTED_VALUE"""),44691.0)</f>
        <v>44691</v>
      </c>
      <c r="F422" s="276">
        <f>IFERROR(__xludf.DUMMYFUNCTION("""COMPUTED_VALUE"""),45061.0)</f>
        <v>45061</v>
      </c>
      <c r="G422" s="27">
        <f>IFERROR(__xludf.DUMMYFUNCTION("""COMPUTED_VALUE"""),12.166666666666666)</f>
        <v>12.16666667</v>
      </c>
      <c r="H422" s="128">
        <f>IFERROR(__xludf.DUMMYFUNCTION("""COMPUTED_VALUE"""),41116.0)</f>
        <v>41116</v>
      </c>
      <c r="I422" s="27">
        <f>IFERROR(__xludf.DUMMYFUNCTION("""COMPUTED_VALUE"""),9.78888888888889)</f>
        <v>9.788888889</v>
      </c>
      <c r="J422" s="277">
        <f>IFERROR(__xludf.DUMMYFUNCTION("""COMPUTED_VALUE"""),83.0)</f>
        <v>83</v>
      </c>
      <c r="K422" s="29">
        <f>IFERROR(__xludf.DUMMYFUNCTION("""COMPUTED_VALUE"""),33.5)</f>
        <v>33.5</v>
      </c>
      <c r="L422" s="275" t="str">
        <f>IFERROR(__xludf.DUMMYFUNCTION("""COMPUTED_VALUE"""),"Shooter")</f>
        <v>Shooter</v>
      </c>
    </row>
    <row r="423" hidden="1">
      <c r="A423" s="17" t="str">
        <f>IFERROR(__xludf.DUMMYFUNCTION("""COMPUTED_VALUE"""),"Before We Leave")</f>
        <v>Before We Leave</v>
      </c>
      <c r="B423" s="21" t="str">
        <f>IFERROR(__xludf.DUMMYFUNCTION("""COMPUTED_VALUE"""),"Xbox / PC")</f>
        <v>Xbox / PC</v>
      </c>
      <c r="C423" s="21" t="str">
        <f>IFERROR(__xludf.DUMMYFUNCTION("""COMPUTED_VALUE"""),"Yes")</f>
        <v>Yes</v>
      </c>
      <c r="D423" s="21" t="str">
        <f>IFERROR(__xludf.DUMMYFUNCTION("""COMPUTED_VALUE"""),"Removed")</f>
        <v>Removed</v>
      </c>
      <c r="E423" s="279">
        <f>IFERROR(__xludf.DUMMYFUNCTION("""COMPUTED_VALUE"""),44531.0)</f>
        <v>44531</v>
      </c>
      <c r="F423" s="276">
        <f>IFERROR(__xludf.DUMMYFUNCTION("""COMPUTED_VALUE"""),45061.0)</f>
        <v>45061</v>
      </c>
      <c r="G423" s="27">
        <f>IFERROR(__xludf.DUMMYFUNCTION("""COMPUTED_VALUE"""),17.466666666666665)</f>
        <v>17.46666667</v>
      </c>
      <c r="H423" s="128">
        <f>IFERROR(__xludf.DUMMYFUNCTION("""COMPUTED_VALUE"""),44329.0)</f>
        <v>44329</v>
      </c>
      <c r="I423" s="27">
        <f>IFERROR(__xludf.DUMMYFUNCTION("""COMPUTED_VALUE"""),0.55)</f>
        <v>0.55</v>
      </c>
      <c r="J423" s="29">
        <f>IFERROR(__xludf.DUMMYFUNCTION("""COMPUTED_VALUE"""),72.0)</f>
        <v>72</v>
      </c>
      <c r="K423" s="29">
        <f>IFERROR(__xludf.DUMMYFUNCTION("""COMPUTED_VALUE"""),11.5)</f>
        <v>11.5</v>
      </c>
      <c r="L423" s="275" t="str">
        <f>IFERROR(__xludf.DUMMYFUNCTION("""COMPUTED_VALUE"""),"Simulation")</f>
        <v>Simulation</v>
      </c>
    </row>
    <row r="424" hidden="1">
      <c r="A424" s="278" t="str">
        <f>IFERROR(__xludf.DUMMYFUNCTION("""COMPUTED_VALUE"""),"My Friend Pedro")</f>
        <v>My Friend Pedro</v>
      </c>
      <c r="B424" s="20" t="str">
        <f>IFERROR(__xludf.DUMMYFUNCTION("""COMPUTED_VALUE"""),"Xbox / PC")</f>
        <v>Xbox / PC</v>
      </c>
      <c r="C424" s="21" t="str">
        <f>IFERROR(__xludf.DUMMYFUNCTION("""COMPUTED_VALUE"""),"Yes")</f>
        <v>Yes</v>
      </c>
      <c r="D424" s="21" t="str">
        <f>IFERROR(__xludf.DUMMYFUNCTION("""COMPUTED_VALUE"""),"Removed")</f>
        <v>Removed</v>
      </c>
      <c r="E424" s="279">
        <f>IFERROR(__xludf.DUMMYFUNCTION("""COMPUTED_VALUE"""),44518.0)</f>
        <v>44518</v>
      </c>
      <c r="F424" s="24">
        <f>IFERROR(__xludf.DUMMYFUNCTION("""COMPUTED_VALUE"""),45061.0)</f>
        <v>45061</v>
      </c>
      <c r="G424" s="27">
        <f>IFERROR(__xludf.DUMMYFUNCTION("""COMPUTED_VALUE"""),17.9)</f>
        <v>17.9</v>
      </c>
      <c r="H424" s="128">
        <f>IFERROR(__xludf.DUMMYFUNCTION("""COMPUTED_VALUE"""),43636.0)</f>
        <v>43636</v>
      </c>
      <c r="I424" s="27">
        <f>IFERROR(__xludf.DUMMYFUNCTION("""COMPUTED_VALUE"""),2.411111111111111)</f>
        <v>2.411111111</v>
      </c>
      <c r="J424" s="277">
        <f>IFERROR(__xludf.DUMMYFUNCTION("""COMPUTED_VALUE"""),80.0)</f>
        <v>80</v>
      </c>
      <c r="K424" s="29">
        <f>IFERROR(__xludf.DUMMYFUNCTION("""COMPUTED_VALUE"""),4.0)</f>
        <v>4</v>
      </c>
      <c r="L424" s="275" t="str">
        <f>IFERROR(__xludf.DUMMYFUNCTION("""COMPUTED_VALUE"""),"Action")</f>
        <v>Action</v>
      </c>
    </row>
    <row r="425" hidden="1">
      <c r="A425" s="17" t="str">
        <f>IFERROR(__xludf.DUMMYFUNCTION("""COMPUTED_VALUE"""),"Hearts of Iron IV: Cadet Edition")</f>
        <v>Hearts of Iron IV: Cadet Edition</v>
      </c>
      <c r="B425" s="20" t="str">
        <f>IFERROR(__xludf.DUMMYFUNCTION("""COMPUTED_VALUE"""),"PC")</f>
        <v>PC</v>
      </c>
      <c r="C425" s="20"/>
      <c r="D425" s="21" t="str">
        <f>IFERROR(__xludf.DUMMYFUNCTION("""COMPUTED_VALUE"""),"Removed")</f>
        <v>Removed</v>
      </c>
      <c r="E425" s="128">
        <f>IFERROR(__xludf.DUMMYFUNCTION("""COMPUTED_VALUE"""),43784.0)</f>
        <v>43784</v>
      </c>
      <c r="F425" s="276">
        <f>IFERROR(__xludf.DUMMYFUNCTION("""COMPUTED_VALUE"""),45061.0)</f>
        <v>45061</v>
      </c>
      <c r="G425" s="27">
        <f>IFERROR(__xludf.DUMMYFUNCTION("""COMPUTED_VALUE"""),42.0)</f>
        <v>42</v>
      </c>
      <c r="H425" s="128">
        <f>IFERROR(__xludf.DUMMYFUNCTION("""COMPUTED_VALUE"""),42527.0)</f>
        <v>42527</v>
      </c>
      <c r="I425" s="27">
        <f>IFERROR(__xludf.DUMMYFUNCTION("""COMPUTED_VALUE"""),3.441666666666667)</f>
        <v>3.441666667</v>
      </c>
      <c r="J425" s="29">
        <f>IFERROR(__xludf.DUMMYFUNCTION("""COMPUTED_VALUE"""),83.0)</f>
        <v>83</v>
      </c>
      <c r="K425" s="29">
        <f>IFERROR(__xludf.DUMMYFUNCTION("""COMPUTED_VALUE"""),42.5)</f>
        <v>42.5</v>
      </c>
      <c r="L425" s="31" t="str">
        <f>IFERROR(__xludf.DUMMYFUNCTION("""COMPUTED_VALUE"""),"Strategy")</f>
        <v>Strategy</v>
      </c>
    </row>
    <row r="426" hidden="1">
      <c r="A426" s="278" t="str">
        <f>IFERROR(__xludf.DUMMYFUNCTION("""COMPUTED_VALUE"""),"Bugsnax")</f>
        <v>Bugsnax</v>
      </c>
      <c r="B426" s="20" t="str">
        <f>IFERROR(__xludf.DUMMYFUNCTION("""COMPUTED_VALUE"""),"Xbox / PC")</f>
        <v>Xbox / PC</v>
      </c>
      <c r="C426" s="20" t="str">
        <f>IFERROR(__xludf.DUMMYFUNCTION("""COMPUTED_VALUE"""),"Touch Controls")</f>
        <v>Touch Controls</v>
      </c>
      <c r="D426" s="21" t="str">
        <f>IFERROR(__xludf.DUMMYFUNCTION("""COMPUTED_VALUE"""),"Removed")</f>
        <v>Removed</v>
      </c>
      <c r="E426" s="279">
        <f>IFERROR(__xludf.DUMMYFUNCTION("""COMPUTED_VALUE"""),44679.0)</f>
        <v>44679</v>
      </c>
      <c r="F426" s="276">
        <f>IFERROR(__xludf.DUMMYFUNCTION("""COMPUTED_VALUE"""),45046.0)</f>
        <v>45046</v>
      </c>
      <c r="G426" s="27">
        <f>IFERROR(__xludf.DUMMYFUNCTION("""COMPUTED_VALUE"""),12.066666666666666)</f>
        <v>12.06666667</v>
      </c>
      <c r="H426" s="128">
        <f>IFERROR(__xludf.DUMMYFUNCTION("""COMPUTED_VALUE"""),44147.0)</f>
        <v>44147</v>
      </c>
      <c r="I426" s="27">
        <f>IFERROR(__xludf.DUMMYFUNCTION("""COMPUTED_VALUE"""),1.461111111111111)</f>
        <v>1.461111111</v>
      </c>
      <c r="J426" s="277">
        <f>IFERROR(__xludf.DUMMYFUNCTION("""COMPUTED_VALUE"""),77.0)</f>
        <v>77</v>
      </c>
      <c r="K426" s="29">
        <f>IFERROR(__xludf.DUMMYFUNCTION("""COMPUTED_VALUE"""),7.5)</f>
        <v>7.5</v>
      </c>
      <c r="L426" s="275" t="str">
        <f>IFERROR(__xludf.DUMMYFUNCTION("""COMPUTED_VALUE"""),"Adventure")</f>
        <v>Adventure</v>
      </c>
    </row>
    <row r="427" hidden="1">
      <c r="A427" s="17" t="str">
        <f>IFERROR(__xludf.DUMMYFUNCTION("""COMPUTED_VALUE"""),"Unsouled")</f>
        <v>Unsouled</v>
      </c>
      <c r="B427" s="20" t="str">
        <f>IFERROR(__xludf.DUMMYFUNCTION("""COMPUTED_VALUE"""),"Xbox / PC")</f>
        <v>Xbox / PC</v>
      </c>
      <c r="C427" s="20" t="str">
        <f>IFERROR(__xludf.DUMMYFUNCTION("""COMPUTED_VALUE"""),"Yes")</f>
        <v>Yes</v>
      </c>
      <c r="D427" s="21" t="str">
        <f>IFERROR(__xludf.DUMMYFUNCTION("""COMPUTED_VALUE"""),"Removed")</f>
        <v>Removed</v>
      </c>
      <c r="E427" s="128">
        <f>IFERROR(__xludf.DUMMYFUNCTION("""COMPUTED_VALUE"""),44679.0)</f>
        <v>44679</v>
      </c>
      <c r="F427" s="276">
        <f>IFERROR(__xludf.DUMMYFUNCTION("""COMPUTED_VALUE"""),45046.0)</f>
        <v>45046</v>
      </c>
      <c r="G427" s="27">
        <f>IFERROR(__xludf.DUMMYFUNCTION("""COMPUTED_VALUE"""),12.066666666666666)</f>
        <v>12.06666667</v>
      </c>
      <c r="H427" s="128">
        <f>IFERROR(__xludf.DUMMYFUNCTION("""COMPUTED_VALUE"""),44517.0)</f>
        <v>44517</v>
      </c>
      <c r="I427" s="27">
        <f>IFERROR(__xludf.DUMMYFUNCTION("""COMPUTED_VALUE"""),0.44722222222222224)</f>
        <v>0.4472222222</v>
      </c>
      <c r="J427" s="29">
        <f>IFERROR(__xludf.DUMMYFUNCTION("""COMPUTED_VALUE"""),84.0)</f>
        <v>84</v>
      </c>
      <c r="K427" s="29">
        <f>IFERROR(__xludf.DUMMYFUNCTION("""COMPUTED_VALUE"""),2.0)</f>
        <v>2</v>
      </c>
      <c r="L427" s="31" t="str">
        <f>IFERROR(__xludf.DUMMYFUNCTION("""COMPUTED_VALUE"""),"RPG")</f>
        <v>RPG</v>
      </c>
    </row>
    <row r="428" hidden="1">
      <c r="A428" s="278" t="str">
        <f>IFERROR(__xludf.DUMMYFUNCTION("""COMPUTED_VALUE"""),"Dragon Quest Builders 2")</f>
        <v>Dragon Quest Builders 2</v>
      </c>
      <c r="B428" s="20" t="str">
        <f>IFERROR(__xludf.DUMMYFUNCTION("""COMPUTED_VALUE"""),"Xbox / PC")</f>
        <v>Xbox / PC</v>
      </c>
      <c r="C428" s="20" t="str">
        <f>IFERROR(__xludf.DUMMYFUNCTION("""COMPUTED_VALUE"""),"Yes")</f>
        <v>Yes</v>
      </c>
      <c r="D428" s="21" t="str">
        <f>IFERROR(__xludf.DUMMYFUNCTION("""COMPUTED_VALUE"""),"Removed")</f>
        <v>Removed</v>
      </c>
      <c r="E428" s="279">
        <f>IFERROR(__xludf.DUMMYFUNCTION("""COMPUTED_VALUE"""),44320.0)</f>
        <v>44320</v>
      </c>
      <c r="F428" s="276">
        <f>IFERROR(__xludf.DUMMYFUNCTION("""COMPUTED_VALUE"""),45046.0)</f>
        <v>45046</v>
      </c>
      <c r="G428" s="27">
        <f>IFERROR(__xludf.DUMMYFUNCTION("""COMPUTED_VALUE"""),23.866666666666667)</f>
        <v>23.86666667</v>
      </c>
      <c r="H428" s="128">
        <f>IFERROR(__xludf.DUMMYFUNCTION("""COMPUTED_VALUE"""),43658.0)</f>
        <v>43658</v>
      </c>
      <c r="I428" s="27">
        <f>IFERROR(__xludf.DUMMYFUNCTION("""COMPUTED_VALUE"""),1.8111111111111111)</f>
        <v>1.811111111</v>
      </c>
      <c r="J428" s="277">
        <f>IFERROR(__xludf.DUMMYFUNCTION("""COMPUTED_VALUE"""),85.0)</f>
        <v>85</v>
      </c>
      <c r="K428" s="29">
        <f>IFERROR(__xludf.DUMMYFUNCTION("""COMPUTED_VALUE"""),56.0)</f>
        <v>56</v>
      </c>
      <c r="L428" s="31" t="str">
        <f>IFERROR(__xludf.DUMMYFUNCTION("""COMPUTED_VALUE"""),"RPG")</f>
        <v>RPG</v>
      </c>
    </row>
    <row r="429" hidden="1">
      <c r="A429" s="278" t="str">
        <f>IFERROR(__xludf.DUMMYFUNCTION("""COMPUTED_VALUE"""),"Destroy All Humans! (2020)")</f>
        <v>Destroy All Humans! (2020)</v>
      </c>
      <c r="B429" s="20" t="str">
        <f>IFERROR(__xludf.DUMMYFUNCTION("""COMPUTED_VALUE"""),"Xbox / PC")</f>
        <v>Xbox / PC</v>
      </c>
      <c r="C429" s="20" t="str">
        <f>IFERROR(__xludf.DUMMYFUNCTION("""COMPUTED_VALUE"""),"Yes")</f>
        <v>Yes</v>
      </c>
      <c r="D429" s="21" t="str">
        <f>IFERROR(__xludf.DUMMYFUNCTION("""COMPUTED_VALUE"""),"Removed")</f>
        <v>Removed</v>
      </c>
      <c r="E429" s="279">
        <f>IFERROR(__xludf.DUMMYFUNCTION("""COMPUTED_VALUE"""),44315.0)</f>
        <v>44315</v>
      </c>
      <c r="F429" s="276">
        <f>IFERROR(__xludf.DUMMYFUNCTION("""COMPUTED_VALUE"""),45046.0)</f>
        <v>45046</v>
      </c>
      <c r="G429" s="27">
        <f>IFERROR(__xludf.DUMMYFUNCTION("""COMPUTED_VALUE"""),24.03333333333333)</f>
        <v>24.03333333</v>
      </c>
      <c r="H429" s="128">
        <f>IFERROR(__xludf.DUMMYFUNCTION("""COMPUTED_VALUE"""),44040.0)</f>
        <v>44040</v>
      </c>
      <c r="I429" s="27">
        <f>IFERROR(__xludf.DUMMYFUNCTION("""COMPUTED_VALUE"""),0.7527777777777778)</f>
        <v>0.7527777778</v>
      </c>
      <c r="J429" s="277">
        <f>IFERROR(__xludf.DUMMYFUNCTION("""COMPUTED_VALUE"""),69.5)</f>
        <v>69.5</v>
      </c>
      <c r="K429" s="277">
        <f>IFERROR(__xludf.DUMMYFUNCTION("""COMPUTED_VALUE"""),7.5)</f>
        <v>7.5</v>
      </c>
      <c r="L429" s="275" t="str">
        <f>IFERROR(__xludf.DUMMYFUNCTION("""COMPUTED_VALUE"""),"Action")</f>
        <v>Action</v>
      </c>
    </row>
    <row r="430" hidden="1">
      <c r="A430" s="278" t="str">
        <f>IFERROR(__xludf.DUMMYFUNCTION("""COMPUTED_VALUE"""),"NHL 21")</f>
        <v>NHL 21</v>
      </c>
      <c r="B430" s="20" t="str">
        <f>IFERROR(__xludf.DUMMYFUNCTION("""COMPUTED_VALUE"""),"Xbox")</f>
        <v>Xbox</v>
      </c>
      <c r="C430" s="20"/>
      <c r="D430" s="21" t="str">
        <f>IFERROR(__xludf.DUMMYFUNCTION("""COMPUTED_VALUE"""),"Removed")</f>
        <v>Removed</v>
      </c>
      <c r="E430" s="279">
        <f>IFERROR(__xludf.DUMMYFUNCTION("""COMPUTED_VALUE"""),44298.0)</f>
        <v>44298</v>
      </c>
      <c r="F430" s="276">
        <f>IFERROR(__xludf.DUMMYFUNCTION("""COMPUTED_VALUE"""),45046.0)</f>
        <v>45046</v>
      </c>
      <c r="G430" s="27">
        <f>IFERROR(__xludf.DUMMYFUNCTION("""COMPUTED_VALUE"""),24.599999999999998)</f>
        <v>24.6</v>
      </c>
      <c r="H430" s="128">
        <f>IFERROR(__xludf.DUMMYFUNCTION("""COMPUTED_VALUE"""),44120.0)</f>
        <v>44120</v>
      </c>
      <c r="I430" s="27">
        <f>IFERROR(__xludf.DUMMYFUNCTION("""COMPUTED_VALUE"""),0.4888888888888889)</f>
        <v>0.4888888889</v>
      </c>
      <c r="J430" s="277">
        <f>IFERROR(__xludf.DUMMYFUNCTION("""COMPUTED_VALUE"""),81.0)</f>
        <v>81</v>
      </c>
      <c r="K430" s="277">
        <f>IFERROR(__xludf.DUMMYFUNCTION("""COMPUTED_VALUE"""),9.0)</f>
        <v>9</v>
      </c>
      <c r="L430" s="275" t="str">
        <f>IFERROR(__xludf.DUMMYFUNCTION("""COMPUTED_VALUE"""),"Sports")</f>
        <v>Sports</v>
      </c>
    </row>
    <row r="431" hidden="1">
      <c r="A431" s="278" t="str">
        <f>IFERROR(__xludf.DUMMYFUNCTION("""COMPUTED_VALUE"""),"Tetris Effect: Connected")</f>
        <v>Tetris Effect: Connected</v>
      </c>
      <c r="B431" s="20" t="str">
        <f>IFERROR(__xludf.DUMMYFUNCTION("""COMPUTED_VALUE"""),"Xbox / PC")</f>
        <v>Xbox / PC</v>
      </c>
      <c r="C431" s="20"/>
      <c r="D431" s="21" t="str">
        <f>IFERROR(__xludf.DUMMYFUNCTION("""COMPUTED_VALUE"""),"Removed")</f>
        <v>Removed</v>
      </c>
      <c r="E431" s="279">
        <f>IFERROR(__xludf.DUMMYFUNCTION("""COMPUTED_VALUE"""),44145.0)</f>
        <v>44145</v>
      </c>
      <c r="F431" s="24">
        <f>IFERROR(__xludf.DUMMYFUNCTION("""COMPUTED_VALUE"""),45046.0)</f>
        <v>45046</v>
      </c>
      <c r="G431" s="27">
        <f>IFERROR(__xludf.DUMMYFUNCTION("""COMPUTED_VALUE"""),29.666666666666668)</f>
        <v>29.66666667</v>
      </c>
      <c r="H431" s="128">
        <f>IFERROR(__xludf.DUMMYFUNCTION("""COMPUTED_VALUE"""),44145.0)</f>
        <v>44145</v>
      </c>
      <c r="I431" s="27">
        <f>IFERROR(__xludf.DUMMYFUNCTION("""COMPUTED_VALUE"""),0.0)</f>
        <v>0</v>
      </c>
      <c r="J431" s="277">
        <f>IFERROR(__xludf.DUMMYFUNCTION("""COMPUTED_VALUE"""),84.0)</f>
        <v>84</v>
      </c>
      <c r="K431" s="277">
        <f>IFERROR(__xludf.DUMMYFUNCTION("""COMPUTED_VALUE"""),2.5)</f>
        <v>2.5</v>
      </c>
      <c r="L431" s="275" t="str">
        <f>IFERROR(__xludf.DUMMYFUNCTION("""COMPUTED_VALUE"""),"Puzzle")</f>
        <v>Puzzle</v>
      </c>
    </row>
    <row r="432" hidden="1">
      <c r="A432" s="278" t="str">
        <f>IFERROR(__xludf.DUMMYFUNCTION("""COMPUTED_VALUE"""),"Life Is Strange: True Colors")</f>
        <v>Life Is Strange: True Colors</v>
      </c>
      <c r="B432" s="20" t="str">
        <f>IFERROR(__xludf.DUMMYFUNCTION("""COMPUTED_VALUE"""),"Xbox / PC")</f>
        <v>Xbox / PC</v>
      </c>
      <c r="C432" s="20" t="str">
        <f>IFERROR(__xludf.DUMMYFUNCTION("""COMPUTED_VALUE"""),"Touch Controls")</f>
        <v>Touch Controls</v>
      </c>
      <c r="D432" s="21" t="str">
        <f>IFERROR(__xludf.DUMMYFUNCTION("""COMPUTED_VALUE"""),"Removed")</f>
        <v>Removed</v>
      </c>
      <c r="E432" s="279">
        <f>IFERROR(__xludf.DUMMYFUNCTION("""COMPUTED_VALUE"""),44663.0)</f>
        <v>44663</v>
      </c>
      <c r="F432" s="276">
        <f>IFERROR(__xludf.DUMMYFUNCTION("""COMPUTED_VALUE"""),45031.0)</f>
        <v>45031</v>
      </c>
      <c r="G432" s="27">
        <f>IFERROR(__xludf.DUMMYFUNCTION("""COMPUTED_VALUE"""),12.1)</f>
        <v>12.1</v>
      </c>
      <c r="H432" s="128">
        <f>IFERROR(__xludf.DUMMYFUNCTION("""COMPUTED_VALUE"""),44449.0)</f>
        <v>44449</v>
      </c>
      <c r="I432" s="27">
        <f>IFERROR(__xludf.DUMMYFUNCTION("""COMPUTED_VALUE"""),0.5888888888888889)</f>
        <v>0.5888888889</v>
      </c>
      <c r="J432" s="277">
        <f>IFERROR(__xludf.DUMMYFUNCTION("""COMPUTED_VALUE"""),79.0)</f>
        <v>79</v>
      </c>
      <c r="K432" s="29">
        <f>IFERROR(__xludf.DUMMYFUNCTION("""COMPUTED_VALUE"""),10.0)</f>
        <v>10</v>
      </c>
      <c r="L432" s="275" t="str">
        <f>IFERROR(__xludf.DUMMYFUNCTION("""COMPUTED_VALUE"""),"Adventure")</f>
        <v>Adventure</v>
      </c>
    </row>
    <row r="433" hidden="1">
      <c r="A433" s="278" t="str">
        <f>IFERROR(__xludf.DUMMYFUNCTION("""COMPUTED_VALUE"""),"Panzer Corps 2")</f>
        <v>Panzer Corps 2</v>
      </c>
      <c r="B433" s="20" t="str">
        <f>IFERROR(__xludf.DUMMYFUNCTION("""COMPUTED_VALUE"""),"PC")</f>
        <v>PC</v>
      </c>
      <c r="C433" s="21"/>
      <c r="D433" s="21" t="str">
        <f>IFERROR(__xludf.DUMMYFUNCTION("""COMPUTED_VALUE"""),"Removed")</f>
        <v>Removed</v>
      </c>
      <c r="E433" s="279">
        <f>IFERROR(__xludf.DUMMYFUNCTION("""COMPUTED_VALUE"""),44663.0)</f>
        <v>44663</v>
      </c>
      <c r="F433" s="276">
        <f>IFERROR(__xludf.DUMMYFUNCTION("""COMPUTED_VALUE"""),45031.0)</f>
        <v>45031</v>
      </c>
      <c r="G433" s="27">
        <f>IFERROR(__xludf.DUMMYFUNCTION("""COMPUTED_VALUE"""),12.1)</f>
        <v>12.1</v>
      </c>
      <c r="H433" s="128">
        <f>IFERROR(__xludf.DUMMYFUNCTION("""COMPUTED_VALUE"""),43909.0)</f>
        <v>43909</v>
      </c>
      <c r="I433" s="27">
        <f>IFERROR(__xludf.DUMMYFUNCTION("""COMPUTED_VALUE"""),2.063888888888889)</f>
        <v>2.063888889</v>
      </c>
      <c r="J433" s="277">
        <f>IFERROR(__xludf.DUMMYFUNCTION("""COMPUTED_VALUE"""),86.0)</f>
        <v>86</v>
      </c>
      <c r="K433" s="29">
        <f>IFERROR(__xludf.DUMMYFUNCTION("""COMPUTED_VALUE"""),59.5)</f>
        <v>59.5</v>
      </c>
      <c r="L433" s="275" t="str">
        <f>IFERROR(__xludf.DUMMYFUNCTION("""COMPUTED_VALUE"""),"Strategy")</f>
        <v>Strategy</v>
      </c>
    </row>
    <row r="434" hidden="1">
      <c r="A434" s="278" t="str">
        <f>IFERROR(__xludf.DUMMYFUNCTION("""COMPUTED_VALUE"""),"The Dungeon of Naheulbeuk: The Amulet of Chaos")</f>
        <v>The Dungeon of Naheulbeuk: The Amulet of Chaos</v>
      </c>
      <c r="B434" s="21" t="str">
        <f>IFERROR(__xludf.DUMMYFUNCTION("""COMPUTED_VALUE"""),"Xbox / PC")</f>
        <v>Xbox / PC</v>
      </c>
      <c r="C434" s="21" t="str">
        <f>IFERROR(__xludf.DUMMYFUNCTION("""COMPUTED_VALUE"""),"Touch Controls")</f>
        <v>Touch Controls</v>
      </c>
      <c r="D434" s="21" t="str">
        <f>IFERROR(__xludf.DUMMYFUNCTION("""COMPUTED_VALUE"""),"Removed")</f>
        <v>Removed</v>
      </c>
      <c r="E434" s="279">
        <f>IFERROR(__xludf.DUMMYFUNCTION("""COMPUTED_VALUE"""),44637.0)</f>
        <v>44637</v>
      </c>
      <c r="F434" s="276">
        <f>IFERROR(__xludf.DUMMYFUNCTION("""COMPUTED_VALUE"""),45031.0)</f>
        <v>45031</v>
      </c>
      <c r="G434" s="27">
        <f>IFERROR(__xludf.DUMMYFUNCTION("""COMPUTED_VALUE"""),12.933333333333334)</f>
        <v>12.93333333</v>
      </c>
      <c r="H434" s="128">
        <f>IFERROR(__xludf.DUMMYFUNCTION("""COMPUTED_VALUE"""),44070.0)</f>
        <v>44070</v>
      </c>
      <c r="I434" s="27">
        <f>IFERROR(__xludf.DUMMYFUNCTION("""COMPUTED_VALUE"""),1.5555555555555556)</f>
        <v>1.555555556</v>
      </c>
      <c r="J434" s="277">
        <f>IFERROR(__xludf.DUMMYFUNCTION("""COMPUTED_VALUE"""),74.5)</f>
        <v>74.5</v>
      </c>
      <c r="K434" s="29">
        <f>IFERROR(__xludf.DUMMYFUNCTION("""COMPUTED_VALUE"""),31.0)</f>
        <v>31</v>
      </c>
      <c r="L434" s="31" t="str">
        <f>IFERROR(__xludf.DUMMYFUNCTION("""COMPUTED_VALUE"""),"RPG")</f>
        <v>RPG</v>
      </c>
    </row>
    <row r="435" hidden="1">
      <c r="A435" s="278" t="str">
        <f>IFERROR(__xludf.DUMMYFUNCTION("""COMPUTED_VALUE"""),"Moonglow Bay")</f>
        <v>Moonglow Bay</v>
      </c>
      <c r="B435" s="20" t="str">
        <f>IFERROR(__xludf.DUMMYFUNCTION("""COMPUTED_VALUE"""),"Xbox / PC")</f>
        <v>Xbox / PC</v>
      </c>
      <c r="C435" s="20" t="str">
        <f>IFERROR(__xludf.DUMMYFUNCTION("""COMPUTED_VALUE"""),"Touch Controls")</f>
        <v>Touch Controls</v>
      </c>
      <c r="D435" s="21" t="str">
        <f>IFERROR(__xludf.DUMMYFUNCTION("""COMPUTED_VALUE"""),"Removed")</f>
        <v>Removed</v>
      </c>
      <c r="E435" s="279">
        <f>IFERROR(__xludf.DUMMYFUNCTION("""COMPUTED_VALUE"""),44495.0)</f>
        <v>44495</v>
      </c>
      <c r="F435" s="276">
        <f>IFERROR(__xludf.DUMMYFUNCTION("""COMPUTED_VALUE"""),45031.0)</f>
        <v>45031</v>
      </c>
      <c r="G435" s="27">
        <f>IFERROR(__xludf.DUMMYFUNCTION("""COMPUTED_VALUE"""),17.633333333333333)</f>
        <v>17.63333333</v>
      </c>
      <c r="H435" s="128">
        <f>IFERROR(__xludf.DUMMYFUNCTION("""COMPUTED_VALUE"""),44495.0)</f>
        <v>44495</v>
      </c>
      <c r="I435" s="27">
        <f>IFERROR(__xludf.DUMMYFUNCTION("""COMPUTED_VALUE"""),0.0)</f>
        <v>0</v>
      </c>
      <c r="J435" s="277">
        <f>IFERROR(__xludf.DUMMYFUNCTION("""COMPUTED_VALUE"""),75.5)</f>
        <v>75.5</v>
      </c>
      <c r="K435" s="29">
        <f>IFERROR(__xludf.DUMMYFUNCTION("""COMPUTED_VALUE"""),23.0)</f>
        <v>23</v>
      </c>
      <c r="L435" s="275" t="str">
        <f>IFERROR(__xludf.DUMMYFUNCTION("""COMPUTED_VALUE"""),"RPG")</f>
        <v>RPG</v>
      </c>
    </row>
    <row r="436" hidden="1">
      <c r="A436" s="17" t="str">
        <f>IFERROR(__xludf.DUMMYFUNCTION("""COMPUTED_VALUE"""),"The Riftbreaker")</f>
        <v>The Riftbreaker</v>
      </c>
      <c r="B436" s="20" t="str">
        <f>IFERROR(__xludf.DUMMYFUNCTION("""COMPUTED_VALUE"""),"Xbox / PC")</f>
        <v>Xbox / PC</v>
      </c>
      <c r="C436" s="20" t="str">
        <f>IFERROR(__xludf.DUMMYFUNCTION("""COMPUTED_VALUE"""),"Yes")</f>
        <v>Yes</v>
      </c>
      <c r="D436" s="21" t="str">
        <f>IFERROR(__xludf.DUMMYFUNCTION("""COMPUTED_VALUE"""),"Removed")</f>
        <v>Removed</v>
      </c>
      <c r="E436" s="279">
        <f>IFERROR(__xludf.DUMMYFUNCTION("""COMPUTED_VALUE"""),44483.0)</f>
        <v>44483</v>
      </c>
      <c r="F436" s="276">
        <f>IFERROR(__xludf.DUMMYFUNCTION("""COMPUTED_VALUE"""),45031.0)</f>
        <v>45031</v>
      </c>
      <c r="G436" s="27">
        <f>IFERROR(__xludf.DUMMYFUNCTION("""COMPUTED_VALUE"""),18.03333333333333)</f>
        <v>18.03333333</v>
      </c>
      <c r="H436" s="128">
        <f>IFERROR(__xludf.DUMMYFUNCTION("""COMPUTED_VALUE"""),44483.0)</f>
        <v>44483</v>
      </c>
      <c r="I436" s="27">
        <f>IFERROR(__xludf.DUMMYFUNCTION("""COMPUTED_VALUE"""),0.0)</f>
        <v>0</v>
      </c>
      <c r="J436" s="29">
        <f>IFERROR(__xludf.DUMMYFUNCTION("""COMPUTED_VALUE"""),80.5)</f>
        <v>80.5</v>
      </c>
      <c r="K436" s="29">
        <f>IFERROR(__xludf.DUMMYFUNCTION("""COMPUTED_VALUE"""),21.5)</f>
        <v>21.5</v>
      </c>
      <c r="L436" s="275" t="str">
        <f>IFERROR(__xludf.DUMMYFUNCTION("""COMPUTED_VALUE"""),"Action")</f>
        <v>Action</v>
      </c>
    </row>
    <row r="437" hidden="1">
      <c r="A437" s="278" t="str">
        <f>IFERROR(__xludf.DUMMYFUNCTION("""COMPUTED_VALUE"""),"Chinatown Detective Agency")</f>
        <v>Chinatown Detective Agency</v>
      </c>
      <c r="B437" s="21" t="str">
        <f>IFERROR(__xludf.DUMMYFUNCTION("""COMPUTED_VALUE"""),"Xbox / PC")</f>
        <v>Xbox / PC</v>
      </c>
      <c r="C437" s="21" t="str">
        <f>IFERROR(__xludf.DUMMYFUNCTION("""COMPUTED_VALUE"""),"Touch Controls")</f>
        <v>Touch Controls</v>
      </c>
      <c r="D437" s="21" t="str">
        <f>IFERROR(__xludf.DUMMYFUNCTION("""COMPUTED_VALUE"""),"Removed")</f>
        <v>Removed</v>
      </c>
      <c r="E437" s="279">
        <f>IFERROR(__xludf.DUMMYFUNCTION("""COMPUTED_VALUE"""),44658.0)</f>
        <v>44658</v>
      </c>
      <c r="F437" s="276">
        <f>IFERROR(__xludf.DUMMYFUNCTION("""COMPUTED_VALUE"""),45016.0)</f>
        <v>45016</v>
      </c>
      <c r="G437" s="27">
        <f>IFERROR(__xludf.DUMMYFUNCTION("""COMPUTED_VALUE"""),11.766666666666666)</f>
        <v>11.76666667</v>
      </c>
      <c r="H437" s="128">
        <f>IFERROR(__xludf.DUMMYFUNCTION("""COMPUTED_VALUE"""),44658.0)</f>
        <v>44658</v>
      </c>
      <c r="I437" s="27">
        <f>IFERROR(__xludf.DUMMYFUNCTION("""COMPUTED_VALUE"""),0.0)</f>
        <v>0</v>
      </c>
      <c r="J437" s="29">
        <f>IFERROR(__xludf.DUMMYFUNCTION("""COMPUTED_VALUE"""),67.0)</f>
        <v>67</v>
      </c>
      <c r="K437" s="29">
        <f>IFERROR(__xludf.DUMMYFUNCTION("""COMPUTED_VALUE"""),7.0)</f>
        <v>7</v>
      </c>
      <c r="L437" s="31" t="str">
        <f>IFERROR(__xludf.DUMMYFUNCTION("""COMPUTED_VALUE"""),"Adventure")</f>
        <v>Adventure</v>
      </c>
    </row>
    <row r="438" hidden="1">
      <c r="A438" s="278" t="str">
        <f>IFERROR(__xludf.DUMMYFUNCTION("""COMPUTED_VALUE"""),"MLB The Show 22")</f>
        <v>MLB The Show 22</v>
      </c>
      <c r="B438" s="20" t="str">
        <f>IFERROR(__xludf.DUMMYFUNCTION("""COMPUTED_VALUE"""),"Xbox")</f>
        <v>Xbox</v>
      </c>
      <c r="C438" s="20" t="str">
        <f>IFERROR(__xludf.DUMMYFUNCTION("""COMPUTED_VALUE"""),"Touch Controls")</f>
        <v>Touch Controls</v>
      </c>
      <c r="D438" s="21" t="str">
        <f>IFERROR(__xludf.DUMMYFUNCTION("""COMPUTED_VALUE"""),"Removed")</f>
        <v>Removed</v>
      </c>
      <c r="E438" s="279">
        <f>IFERROR(__xludf.DUMMYFUNCTION("""COMPUTED_VALUE"""),44656.0)</f>
        <v>44656</v>
      </c>
      <c r="F438" s="24">
        <f>IFERROR(__xludf.DUMMYFUNCTION("""COMPUTED_VALUE"""),45016.0)</f>
        <v>45016</v>
      </c>
      <c r="G438" s="27">
        <f>IFERROR(__xludf.DUMMYFUNCTION("""COMPUTED_VALUE"""),11.833333333333334)</f>
        <v>11.83333333</v>
      </c>
      <c r="H438" s="128">
        <f>IFERROR(__xludf.DUMMYFUNCTION("""COMPUTED_VALUE"""),44656.0)</f>
        <v>44656</v>
      </c>
      <c r="I438" s="27">
        <f>IFERROR(__xludf.DUMMYFUNCTION("""COMPUTED_VALUE"""),0.0)</f>
        <v>0</v>
      </c>
      <c r="J438" s="277">
        <f>IFERROR(__xludf.DUMMYFUNCTION("""COMPUTED_VALUE"""),80.0)</f>
        <v>80</v>
      </c>
      <c r="K438" s="29">
        <f>IFERROR(__xludf.DUMMYFUNCTION("""COMPUTED_VALUE"""),214.0)</f>
        <v>214</v>
      </c>
      <c r="L438" s="31" t="str">
        <f>IFERROR(__xludf.DUMMYFUNCTION("""COMPUTED_VALUE"""),"Sports")</f>
        <v>Sports</v>
      </c>
    </row>
    <row r="439" hidden="1">
      <c r="A439" s="278" t="str">
        <f>IFERROR(__xludf.DUMMYFUNCTION("""COMPUTED_VALUE"""),"A Memoir Blue")</f>
        <v>A Memoir Blue</v>
      </c>
      <c r="B439" s="20" t="str">
        <f>IFERROR(__xludf.DUMMYFUNCTION("""COMPUTED_VALUE"""),"Xbox / PC")</f>
        <v>Xbox / PC</v>
      </c>
      <c r="C439" s="21" t="str">
        <f>IFERROR(__xludf.DUMMYFUNCTION("""COMPUTED_VALUE"""),"Touch Controls")</f>
        <v>Touch Controls</v>
      </c>
      <c r="D439" s="21" t="str">
        <f>IFERROR(__xludf.DUMMYFUNCTION("""COMPUTED_VALUE"""),"Removed")</f>
        <v>Removed</v>
      </c>
      <c r="E439" s="279">
        <f>IFERROR(__xludf.DUMMYFUNCTION("""COMPUTED_VALUE"""),44644.0)</f>
        <v>44644</v>
      </c>
      <c r="F439" s="279">
        <f>IFERROR(__xludf.DUMMYFUNCTION("""COMPUTED_VALUE"""),45016.0)</f>
        <v>45016</v>
      </c>
      <c r="G439" s="27">
        <f>IFERROR(__xludf.DUMMYFUNCTION("""COMPUTED_VALUE"""),12.2)</f>
        <v>12.2</v>
      </c>
      <c r="H439" s="128">
        <f>IFERROR(__xludf.DUMMYFUNCTION("""COMPUTED_VALUE"""),44644.0)</f>
        <v>44644</v>
      </c>
      <c r="I439" s="27">
        <f>IFERROR(__xludf.DUMMYFUNCTION("""COMPUTED_VALUE"""),0.0)</f>
        <v>0</v>
      </c>
      <c r="J439" s="29">
        <f>IFERROR(__xludf.DUMMYFUNCTION("""COMPUTED_VALUE"""),74.0)</f>
        <v>74</v>
      </c>
      <c r="K439" s="29">
        <f>IFERROR(__xludf.DUMMYFUNCTION("""COMPUTED_VALUE"""),1.0)</f>
        <v>1</v>
      </c>
      <c r="L439" s="275" t="str">
        <f>IFERROR(__xludf.DUMMYFUNCTION("""COMPUTED_VALUE"""),"Adventure")</f>
        <v>Adventure</v>
      </c>
    </row>
    <row r="440" hidden="1">
      <c r="A440" s="17" t="str">
        <f>IFERROR(__xludf.DUMMYFUNCTION("""COMPUTED_VALUE"""),"Kraken Academy!!")</f>
        <v>Kraken Academy!!</v>
      </c>
      <c r="B440" s="20" t="str">
        <f>IFERROR(__xludf.DUMMYFUNCTION("""COMPUTED_VALUE"""),"Xbox / PC")</f>
        <v>Xbox / PC</v>
      </c>
      <c r="C440" s="20" t="str">
        <f>IFERROR(__xludf.DUMMYFUNCTION("""COMPUTED_VALUE"""),"Touch Controls")</f>
        <v>Touch Controls</v>
      </c>
      <c r="D440" s="21" t="str">
        <f>IFERROR(__xludf.DUMMYFUNCTION("""COMPUTED_VALUE"""),"Removed")</f>
        <v>Removed</v>
      </c>
      <c r="E440" s="128">
        <f>IFERROR(__xludf.DUMMYFUNCTION("""COMPUTED_VALUE"""),44642.0)</f>
        <v>44642</v>
      </c>
      <c r="F440" s="276">
        <f>IFERROR(__xludf.DUMMYFUNCTION("""COMPUTED_VALUE"""),45016.0)</f>
        <v>45016</v>
      </c>
      <c r="G440" s="27">
        <f>IFERROR(__xludf.DUMMYFUNCTION("""COMPUTED_VALUE"""),12.266666666666666)</f>
        <v>12.26666667</v>
      </c>
      <c r="H440" s="128">
        <f>IFERROR(__xludf.DUMMYFUNCTION("""COMPUTED_VALUE"""),44642.0)</f>
        <v>44642</v>
      </c>
      <c r="I440" s="27">
        <f>IFERROR(__xludf.DUMMYFUNCTION("""COMPUTED_VALUE"""),0.0)</f>
        <v>0</v>
      </c>
      <c r="J440" s="29">
        <f>IFERROR(__xludf.DUMMYFUNCTION("""COMPUTED_VALUE"""),60.0)</f>
        <v>60</v>
      </c>
      <c r="K440" s="29">
        <f>IFERROR(__xludf.DUMMYFUNCTION("""COMPUTED_VALUE"""),7.5)</f>
        <v>7.5</v>
      </c>
      <c r="L440" s="31" t="str">
        <f>IFERROR(__xludf.DUMMYFUNCTION("""COMPUTED_VALUE"""),"Adventure")</f>
        <v>Adventure</v>
      </c>
    </row>
    <row r="441" hidden="1">
      <c r="A441" s="17" t="str">
        <f>IFERROR(__xludf.DUMMYFUNCTION("""COMPUTED_VALUE"""),"Power Rangers: Battle for the Grid")</f>
        <v>Power Rangers: Battle for the Grid</v>
      </c>
      <c r="B441" s="20" t="str">
        <f>IFERROR(__xludf.DUMMYFUNCTION("""COMPUTED_VALUE"""),"Xbox / PC")</f>
        <v>Xbox / PC</v>
      </c>
      <c r="C441" s="20" t="str">
        <f>IFERROR(__xludf.DUMMYFUNCTION("""COMPUTED_VALUE"""),"Yes")</f>
        <v>Yes</v>
      </c>
      <c r="D441" s="21" t="str">
        <f>IFERROR(__xludf.DUMMYFUNCTION("""COMPUTED_VALUE"""),"Removed")</f>
        <v>Removed</v>
      </c>
      <c r="E441" s="128">
        <f>IFERROR(__xludf.DUMMYFUNCTION("""COMPUTED_VALUE"""),43916.0)</f>
        <v>43916</v>
      </c>
      <c r="F441" s="276">
        <f>IFERROR(__xludf.DUMMYFUNCTION("""COMPUTED_VALUE"""),45016.0)</f>
        <v>45016</v>
      </c>
      <c r="G441" s="27">
        <f>IFERROR(__xludf.DUMMYFUNCTION("""COMPUTED_VALUE"""),36.13333333333333)</f>
        <v>36.13333333</v>
      </c>
      <c r="H441" s="128">
        <f>IFERROR(__xludf.DUMMYFUNCTION("""COMPUTED_VALUE"""),43550.0)</f>
        <v>43550</v>
      </c>
      <c r="I441" s="27">
        <f>IFERROR(__xludf.DUMMYFUNCTION("""COMPUTED_VALUE"""),1.0)</f>
        <v>1</v>
      </c>
      <c r="J441" s="29">
        <f>IFERROR(__xludf.DUMMYFUNCTION("""COMPUTED_VALUE"""),53.0)</f>
        <v>53</v>
      </c>
      <c r="K441" s="29">
        <f>IFERROR(__xludf.DUMMYFUNCTION("""COMPUTED_VALUE"""),2.0)</f>
        <v>2</v>
      </c>
      <c r="L441" s="31" t="str">
        <f>IFERROR(__xludf.DUMMYFUNCTION("""COMPUTED_VALUE"""),"Fighting")</f>
        <v>Fighting</v>
      </c>
    </row>
    <row r="442" hidden="1">
      <c r="A442" s="17" t="str">
        <f>IFERROR(__xludf.DUMMYFUNCTION("""COMPUTED_VALUE"""),"ClusterTruck")</f>
        <v>ClusterTruck</v>
      </c>
      <c r="B442" s="20" t="str">
        <f>IFERROR(__xludf.DUMMYFUNCTION("""COMPUTED_VALUE"""),"Xbox / PC")</f>
        <v>Xbox / PC</v>
      </c>
      <c r="C442" s="20" t="str">
        <f>IFERROR(__xludf.DUMMYFUNCTION("""COMPUTED_VALUE"""),"Yes")</f>
        <v>Yes</v>
      </c>
      <c r="D442" s="21" t="str">
        <f>IFERROR(__xludf.DUMMYFUNCTION("""COMPUTED_VALUE"""),"Removed")</f>
        <v>Removed</v>
      </c>
      <c r="E442" s="128">
        <f>IFERROR(__xludf.DUMMYFUNCTION("""COMPUTED_VALUE"""),43191.0)</f>
        <v>43191</v>
      </c>
      <c r="F442" s="276">
        <f>IFERROR(__xludf.DUMMYFUNCTION("""COMPUTED_VALUE"""),45016.0)</f>
        <v>45016</v>
      </c>
      <c r="G442" s="27">
        <f>IFERROR(__xludf.DUMMYFUNCTION("""COMPUTED_VALUE"""),59.96666666666666)</f>
        <v>59.96666667</v>
      </c>
      <c r="H442" s="128">
        <f>IFERROR(__xludf.DUMMYFUNCTION("""COMPUTED_VALUE"""),42640.0)</f>
        <v>42640</v>
      </c>
      <c r="I442" s="27">
        <f>IFERROR(__xludf.DUMMYFUNCTION("""COMPUTED_VALUE"""),1.511111111111111)</f>
        <v>1.511111111</v>
      </c>
      <c r="J442" s="29">
        <f>IFERROR(__xludf.DUMMYFUNCTION("""COMPUTED_VALUE"""),69.0)</f>
        <v>69</v>
      </c>
      <c r="K442" s="29">
        <f>IFERROR(__xludf.DUMMYFUNCTION("""COMPUTED_VALUE"""),3.5)</f>
        <v>3.5</v>
      </c>
      <c r="L442" s="31" t="str">
        <f>IFERROR(__xludf.DUMMYFUNCTION("""COMPUTED_VALUE"""),"Platformer")</f>
        <v>Platformer</v>
      </c>
    </row>
    <row r="443" hidden="1">
      <c r="A443" s="17" t="str">
        <f>IFERROR(__xludf.DUMMYFUNCTION("""COMPUTED_VALUE"""),"Double Dragon Neon")</f>
        <v>Double Dragon Neon</v>
      </c>
      <c r="B443" s="20" t="str">
        <f>IFERROR(__xludf.DUMMYFUNCTION("""COMPUTED_VALUE"""),"Xbox")</f>
        <v>Xbox</v>
      </c>
      <c r="C443" s="20" t="str">
        <f>IFERROR(__xludf.DUMMYFUNCTION("""COMPUTED_VALUE"""),"Touch Controls")</f>
        <v>Touch Controls</v>
      </c>
      <c r="D443" s="21" t="str">
        <f>IFERROR(__xludf.DUMMYFUNCTION("""COMPUTED_VALUE"""),"Removed")</f>
        <v>Removed</v>
      </c>
      <c r="E443" s="128">
        <f>IFERROR(__xludf.DUMMYFUNCTION("""COMPUTED_VALUE"""),42887.0)</f>
        <v>42887</v>
      </c>
      <c r="F443" s="24">
        <f>IFERROR(__xludf.DUMMYFUNCTION("""COMPUTED_VALUE"""),45016.0)</f>
        <v>45016</v>
      </c>
      <c r="G443" s="27">
        <f>IFERROR(__xludf.DUMMYFUNCTION("""COMPUTED_VALUE"""),69.96666666666667)</f>
        <v>69.96666667</v>
      </c>
      <c r="H443" s="128">
        <f>IFERROR(__xludf.DUMMYFUNCTION("""COMPUTED_VALUE"""),41163.0)</f>
        <v>41163</v>
      </c>
      <c r="I443" s="27">
        <f>IFERROR(__xludf.DUMMYFUNCTION("""COMPUTED_VALUE"""),4.722222222222222)</f>
        <v>4.722222222</v>
      </c>
      <c r="J443" s="29">
        <f>IFERROR(__xludf.DUMMYFUNCTION("""COMPUTED_VALUE"""),66.0)</f>
        <v>66</v>
      </c>
      <c r="K443" s="29">
        <f>IFERROR(__xludf.DUMMYFUNCTION("""COMPUTED_VALUE"""),3.5)</f>
        <v>3.5</v>
      </c>
      <c r="L443" s="31" t="str">
        <f>IFERROR(__xludf.DUMMYFUNCTION("""COMPUTED_VALUE"""),"Adventure")</f>
        <v>Adventure</v>
      </c>
    </row>
    <row r="444" hidden="1">
      <c r="A444" s="278" t="str">
        <f>IFERROR(__xludf.DUMMYFUNCTION("""COMPUTED_VALUE"""),"Zero Escape: The Nonary Games")</f>
        <v>Zero Escape: The Nonary Games</v>
      </c>
      <c r="B444" s="20" t="str">
        <f>IFERROR(__xludf.DUMMYFUNCTION("""COMPUTED_VALUE"""),"Xbox / PC")</f>
        <v>Xbox / PC</v>
      </c>
      <c r="C444" s="20" t="str">
        <f>IFERROR(__xludf.DUMMYFUNCTION("""COMPUTED_VALUE"""),"Touch Controls")</f>
        <v>Touch Controls</v>
      </c>
      <c r="D444" s="21" t="str">
        <f>IFERROR(__xludf.DUMMYFUNCTION("""COMPUTED_VALUE"""),"Removed")</f>
        <v>Removed</v>
      </c>
      <c r="E444" s="279">
        <f>IFERROR(__xludf.DUMMYFUNCTION("""COMPUTED_VALUE"""),44642.0)</f>
        <v>44642</v>
      </c>
      <c r="F444" s="276">
        <f>IFERROR(__xludf.DUMMYFUNCTION("""COMPUTED_VALUE"""),45000.0)</f>
        <v>45000</v>
      </c>
      <c r="G444" s="27">
        <f>IFERROR(__xludf.DUMMYFUNCTION("""COMPUTED_VALUE"""),11.766666666666666)</f>
        <v>11.76666667</v>
      </c>
      <c r="H444" s="128">
        <f>IFERROR(__xludf.DUMMYFUNCTION("""COMPUTED_VALUE"""),42818.0)</f>
        <v>42818</v>
      </c>
      <c r="I444" s="27">
        <f>IFERROR(__xludf.DUMMYFUNCTION("""COMPUTED_VALUE"""),4.9944444444444445)</f>
        <v>4.994444444</v>
      </c>
      <c r="J444" s="277">
        <f>IFERROR(__xludf.DUMMYFUNCTION("""COMPUTED_VALUE"""),86.0)</f>
        <v>86</v>
      </c>
      <c r="K444" s="277">
        <f>IFERROR(__xludf.DUMMYFUNCTION("""COMPUTED_VALUE"""),33.5)</f>
        <v>33.5</v>
      </c>
      <c r="L444" s="31" t="str">
        <f>IFERROR(__xludf.DUMMYFUNCTION("""COMPUTED_VALUE"""),"Adventure")</f>
        <v>Adventure</v>
      </c>
    </row>
    <row r="445" hidden="1">
      <c r="A445" s="17" t="str">
        <f>IFERROR(__xludf.DUMMYFUNCTION("""COMPUTED_VALUE"""),"Paradise Killer")</f>
        <v>Paradise Killer</v>
      </c>
      <c r="B445" s="20" t="str">
        <f>IFERROR(__xludf.DUMMYFUNCTION("""COMPUTED_VALUE"""),"Xbox / PC")</f>
        <v>Xbox / PC</v>
      </c>
      <c r="C445" s="20" t="str">
        <f>IFERROR(__xludf.DUMMYFUNCTION("""COMPUTED_VALUE"""),"Touch Controls")</f>
        <v>Touch Controls</v>
      </c>
      <c r="D445" s="21" t="str">
        <f>IFERROR(__xludf.DUMMYFUNCTION("""COMPUTED_VALUE"""),"Removed")</f>
        <v>Removed</v>
      </c>
      <c r="E445" s="128">
        <f>IFERROR(__xludf.DUMMYFUNCTION("""COMPUTED_VALUE"""),44636.0)</f>
        <v>44636</v>
      </c>
      <c r="F445" s="276">
        <f>IFERROR(__xludf.DUMMYFUNCTION("""COMPUTED_VALUE"""),45000.0)</f>
        <v>45000</v>
      </c>
      <c r="G445" s="27">
        <f>IFERROR(__xludf.DUMMYFUNCTION("""COMPUTED_VALUE"""),11.966666666666667)</f>
        <v>11.96666667</v>
      </c>
      <c r="H445" s="128">
        <f>IFERROR(__xludf.DUMMYFUNCTION("""COMPUTED_VALUE"""),44098.0)</f>
        <v>44098</v>
      </c>
      <c r="I445" s="27">
        <f>IFERROR(__xludf.DUMMYFUNCTION("""COMPUTED_VALUE"""),1.4777777777777779)</f>
        <v>1.477777778</v>
      </c>
      <c r="J445" s="29">
        <f>IFERROR(__xludf.DUMMYFUNCTION("""COMPUTED_VALUE"""),81.0)</f>
        <v>81</v>
      </c>
      <c r="K445" s="29">
        <f>IFERROR(__xludf.DUMMYFUNCTION("""COMPUTED_VALUE"""),12.0)</f>
        <v>12</v>
      </c>
      <c r="L445" s="31" t="str">
        <f>IFERROR(__xludf.DUMMYFUNCTION("""COMPUTED_VALUE"""),"Adventure")</f>
        <v>Adventure</v>
      </c>
    </row>
    <row r="446" hidden="1">
      <c r="A446" s="287" t="str">
        <f>IFERROR(__xludf.DUMMYFUNCTION("""COMPUTED_VALUE"""),"Kentucky Route Zero")</f>
        <v>Kentucky Route Zero</v>
      </c>
      <c r="B446" s="20" t="str">
        <f>IFERROR(__xludf.DUMMYFUNCTION("""COMPUTED_VALUE"""),"Xbox / PC")</f>
        <v>Xbox / PC</v>
      </c>
      <c r="C446" s="20" t="str">
        <f>IFERROR(__xludf.DUMMYFUNCTION("""COMPUTED_VALUE"""),"Touch Controls")</f>
        <v>Touch Controls</v>
      </c>
      <c r="D446" s="21" t="str">
        <f>IFERROR(__xludf.DUMMYFUNCTION("""COMPUTED_VALUE"""),"Removed")</f>
        <v>Removed</v>
      </c>
      <c r="E446" s="279">
        <f>IFERROR(__xludf.DUMMYFUNCTION("""COMPUTED_VALUE"""),44630.0)</f>
        <v>44630</v>
      </c>
      <c r="F446" s="24">
        <f>IFERROR(__xludf.DUMMYFUNCTION("""COMPUTED_VALUE"""),45000.0)</f>
        <v>45000</v>
      </c>
      <c r="G446" s="27">
        <f>IFERROR(__xludf.DUMMYFUNCTION("""COMPUTED_VALUE"""),12.166666666666666)</f>
        <v>12.16666667</v>
      </c>
      <c r="H446" s="128">
        <f>IFERROR(__xludf.DUMMYFUNCTION("""COMPUTED_VALUE"""),41327.0)</f>
        <v>41327</v>
      </c>
      <c r="I446" s="27">
        <f>IFERROR(__xludf.DUMMYFUNCTION("""COMPUTED_VALUE"""),9.05)</f>
        <v>9.05</v>
      </c>
      <c r="J446" s="277">
        <f>IFERROR(__xludf.DUMMYFUNCTION("""COMPUTED_VALUE"""),86.5)</f>
        <v>86.5</v>
      </c>
      <c r="K446" s="29">
        <f>IFERROR(__xludf.DUMMYFUNCTION("""COMPUTED_VALUE"""),10.0)</f>
        <v>10</v>
      </c>
      <c r="L446" s="275" t="str">
        <f>IFERROR(__xludf.DUMMYFUNCTION("""COMPUTED_VALUE"""),"Adventure")</f>
        <v>Adventure</v>
      </c>
    </row>
    <row r="447" hidden="1">
      <c r="A447" s="17" t="str">
        <f>IFERROR(__xludf.DUMMYFUNCTION("""COMPUTED_VALUE"""),"Marvel's Guardians of the Galaxy")</f>
        <v>Marvel's Guardians of the Galaxy</v>
      </c>
      <c r="B447" s="20" t="str">
        <f>IFERROR(__xludf.DUMMYFUNCTION("""COMPUTED_VALUE"""),"Xbox / PC")</f>
        <v>Xbox / PC</v>
      </c>
      <c r="C447" s="20" t="str">
        <f>IFERROR(__xludf.DUMMYFUNCTION("""COMPUTED_VALUE"""),"Yes")</f>
        <v>Yes</v>
      </c>
      <c r="D447" s="21" t="str">
        <f>IFERROR(__xludf.DUMMYFUNCTION("""COMPUTED_VALUE"""),"Removed")</f>
        <v>Removed</v>
      </c>
      <c r="E447" s="23">
        <f>IFERROR(__xludf.DUMMYFUNCTION("""COMPUTED_VALUE"""),44630.0)</f>
        <v>44630</v>
      </c>
      <c r="F447" s="276">
        <f>IFERROR(__xludf.DUMMYFUNCTION("""COMPUTED_VALUE"""),45000.0)</f>
        <v>45000</v>
      </c>
      <c r="G447" s="27">
        <f>IFERROR(__xludf.DUMMYFUNCTION("""COMPUTED_VALUE"""),12.166666666666666)</f>
        <v>12.16666667</v>
      </c>
      <c r="H447" s="128">
        <f>IFERROR(__xludf.DUMMYFUNCTION("""COMPUTED_VALUE"""),44495.0)</f>
        <v>44495</v>
      </c>
      <c r="I447" s="27">
        <f>IFERROR(__xludf.DUMMYFUNCTION("""COMPUTED_VALUE"""),0.37222222222222223)</f>
        <v>0.3722222222</v>
      </c>
      <c r="J447" s="29">
        <f>IFERROR(__xludf.DUMMYFUNCTION("""COMPUTED_VALUE"""),81.0)</f>
        <v>81</v>
      </c>
      <c r="K447" s="29">
        <f>IFERROR(__xludf.DUMMYFUNCTION("""COMPUTED_VALUE"""),17.0)</f>
        <v>17</v>
      </c>
      <c r="L447" s="275" t="str">
        <f>IFERROR(__xludf.DUMMYFUNCTION("""COMPUTED_VALUE"""),"Action-Adventure")</f>
        <v>Action-Adventure</v>
      </c>
    </row>
    <row r="448" hidden="1">
      <c r="A448" s="17" t="str">
        <f>IFERROR(__xludf.DUMMYFUNCTION("""COMPUTED_VALUE"""),"Young Souls")</f>
        <v>Young Souls</v>
      </c>
      <c r="B448" s="20" t="str">
        <f>IFERROR(__xludf.DUMMYFUNCTION("""COMPUTED_VALUE"""),"Xbox / PC")</f>
        <v>Xbox / PC</v>
      </c>
      <c r="C448" s="21" t="str">
        <f>IFERROR(__xludf.DUMMYFUNCTION("""COMPUTED_VALUE"""),"Touch Controls")</f>
        <v>Touch Controls</v>
      </c>
      <c r="D448" s="21" t="str">
        <f>IFERROR(__xludf.DUMMYFUNCTION("""COMPUTED_VALUE"""),"Removed")</f>
        <v>Removed</v>
      </c>
      <c r="E448" s="23">
        <f>IFERROR(__xludf.DUMMYFUNCTION("""COMPUTED_VALUE"""),44630.0)</f>
        <v>44630</v>
      </c>
      <c r="F448" s="276">
        <f>IFERROR(__xludf.DUMMYFUNCTION("""COMPUTED_VALUE"""),45000.0)</f>
        <v>45000</v>
      </c>
      <c r="G448" s="27">
        <f>IFERROR(__xludf.DUMMYFUNCTION("""COMPUTED_VALUE"""),12.166666666666666)</f>
        <v>12.16666667</v>
      </c>
      <c r="H448" s="128">
        <f>IFERROR(__xludf.DUMMYFUNCTION("""COMPUTED_VALUE"""),44425.0)</f>
        <v>44425</v>
      </c>
      <c r="I448" s="27">
        <f>IFERROR(__xludf.DUMMYFUNCTION("""COMPUTED_VALUE"""),0.5638888888888889)</f>
        <v>0.5638888889</v>
      </c>
      <c r="J448" s="277">
        <f>IFERROR(__xludf.DUMMYFUNCTION("""COMPUTED_VALUE"""),83.0)</f>
        <v>83</v>
      </c>
      <c r="K448" s="277">
        <f>IFERROR(__xludf.DUMMYFUNCTION("""COMPUTED_VALUE"""),21.5)</f>
        <v>21.5</v>
      </c>
      <c r="L448" s="275" t="str">
        <f>IFERROR(__xludf.DUMMYFUNCTION("""COMPUTED_VALUE"""),"Action-Adventure")</f>
        <v>Action-Adventure</v>
      </c>
    </row>
    <row r="449" hidden="1">
      <c r="A449" s="278" t="str">
        <f>IFERROR(__xludf.DUMMYFUNCTION("""COMPUTED_VALUE"""),"F1 2020")</f>
        <v>F1 2020</v>
      </c>
      <c r="B449" s="20" t="str">
        <f>IFERROR(__xludf.DUMMYFUNCTION("""COMPUTED_VALUE"""),"Xbox")</f>
        <v>Xbox</v>
      </c>
      <c r="C449" s="20"/>
      <c r="D449" s="21" t="str">
        <f>IFERROR(__xludf.DUMMYFUNCTION("""COMPUTED_VALUE"""),"Removed")</f>
        <v>Removed</v>
      </c>
      <c r="E449" s="279">
        <f>IFERROR(__xludf.DUMMYFUNCTION("""COMPUTED_VALUE"""),44418.0)</f>
        <v>44418</v>
      </c>
      <c r="F449" s="276">
        <f>IFERROR(__xludf.DUMMYFUNCTION("""COMPUTED_VALUE"""),45000.0)</f>
        <v>45000</v>
      </c>
      <c r="G449" s="27">
        <f>IFERROR(__xludf.DUMMYFUNCTION("""COMPUTED_VALUE"""),19.166666666666668)</f>
        <v>19.16666667</v>
      </c>
      <c r="H449" s="128">
        <f>IFERROR(__xludf.DUMMYFUNCTION("""COMPUTED_VALUE"""),44022.0)</f>
        <v>44022</v>
      </c>
      <c r="I449" s="27">
        <f>IFERROR(__xludf.DUMMYFUNCTION("""COMPUTED_VALUE"""),1.0833333333333333)</f>
        <v>1.083333333</v>
      </c>
      <c r="J449" s="29">
        <f>IFERROR(__xludf.DUMMYFUNCTION("""COMPUTED_VALUE"""),91.0)</f>
        <v>91</v>
      </c>
      <c r="K449" s="29">
        <f>IFERROR(__xludf.DUMMYFUNCTION("""COMPUTED_VALUE"""),31.5)</f>
        <v>31.5</v>
      </c>
      <c r="L449" s="31" t="str">
        <f>IFERROR(__xludf.DUMMYFUNCTION("""COMPUTED_VALUE"""),"Racing")</f>
        <v>Racing</v>
      </c>
    </row>
    <row r="450" hidden="1">
      <c r="A450" s="278" t="str">
        <f>IFERROR(__xludf.DUMMYFUNCTION("""COMPUTED_VALUE"""),"Undertale")</f>
        <v>Undertale</v>
      </c>
      <c r="B450" s="20" t="str">
        <f>IFERROR(__xludf.DUMMYFUNCTION("""COMPUTED_VALUE"""),"Xbox / PC")</f>
        <v>Xbox / PC</v>
      </c>
      <c r="C450" s="20" t="str">
        <f>IFERROR(__xludf.DUMMYFUNCTION("""COMPUTED_VALUE"""),"Yes")</f>
        <v>Yes</v>
      </c>
      <c r="D450" s="21" t="str">
        <f>IFERROR(__xludf.DUMMYFUNCTION("""COMPUTED_VALUE"""),"Removed")</f>
        <v>Removed</v>
      </c>
      <c r="E450" s="279">
        <f>IFERROR(__xludf.DUMMYFUNCTION("""COMPUTED_VALUE"""),43650.0)</f>
        <v>43650</v>
      </c>
      <c r="F450" s="276">
        <f>IFERROR(__xludf.DUMMYFUNCTION("""COMPUTED_VALUE"""),45000.0)</f>
        <v>45000</v>
      </c>
      <c r="G450" s="27">
        <f>IFERROR(__xludf.DUMMYFUNCTION("""COMPUTED_VALUE"""),44.36666666666667)</f>
        <v>44.36666667</v>
      </c>
      <c r="H450" s="128">
        <f>IFERROR(__xludf.DUMMYFUNCTION("""COMPUTED_VALUE"""),42262.0)</f>
        <v>42262</v>
      </c>
      <c r="I450" s="27">
        <f>IFERROR(__xludf.DUMMYFUNCTION("""COMPUTED_VALUE"""),3.8027777777777776)</f>
        <v>3.802777778</v>
      </c>
      <c r="J450" s="277">
        <f>IFERROR(__xludf.DUMMYFUNCTION("""COMPUTED_VALUE"""),92.0)</f>
        <v>92</v>
      </c>
      <c r="K450" s="29">
        <f>IFERROR(__xludf.DUMMYFUNCTION("""COMPUTED_VALUE"""),6.5)</f>
        <v>6.5</v>
      </c>
      <c r="L450" s="275" t="str">
        <f>IFERROR(__xludf.DUMMYFUNCTION("""COMPUTED_VALUE"""),"RPG")</f>
        <v>RPG</v>
      </c>
    </row>
    <row r="451" hidden="1">
      <c r="A451" s="17" t="str">
        <f>IFERROR(__xludf.DUMMYFUNCTION("""COMPUTED_VALUE"""),"Lightning Returns: Final Fantasy XIII")</f>
        <v>Lightning Returns: Final Fantasy XIII</v>
      </c>
      <c r="B451" s="20" t="str">
        <f>IFERROR(__xludf.DUMMYFUNCTION("""COMPUTED_VALUE"""),"Xbox / PC")</f>
        <v>Xbox / PC</v>
      </c>
      <c r="C451" s="20"/>
      <c r="D451" s="21" t="str">
        <f>IFERROR(__xludf.DUMMYFUNCTION("""COMPUTED_VALUE"""),"Removed")</f>
        <v>Removed</v>
      </c>
      <c r="E451" s="127">
        <f>IFERROR(__xludf.DUMMYFUNCTION("""COMPUTED_VALUE"""),44623.0)</f>
        <v>44623</v>
      </c>
      <c r="F451" s="276">
        <f>IFERROR(__xludf.DUMMYFUNCTION("""COMPUTED_VALUE"""),44985.0)</f>
        <v>44985</v>
      </c>
      <c r="G451" s="27">
        <f>IFERROR(__xludf.DUMMYFUNCTION("""COMPUTED_VALUE"""),11.833333333333334)</f>
        <v>11.83333333</v>
      </c>
      <c r="H451" s="128">
        <f>IFERROR(__xludf.DUMMYFUNCTION("""COMPUTED_VALUE"""),41599.0)</f>
        <v>41599</v>
      </c>
      <c r="I451" s="27">
        <f>IFERROR(__xludf.DUMMYFUNCTION("""COMPUTED_VALUE"""),8.283333333333333)</f>
        <v>8.283333333</v>
      </c>
      <c r="J451" s="277">
        <f>IFERROR(__xludf.DUMMYFUNCTION("""COMPUTED_VALUE"""),67.5)</f>
        <v>67.5</v>
      </c>
      <c r="K451" s="29">
        <f>IFERROR(__xludf.DUMMYFUNCTION("""COMPUTED_VALUE"""),33.5)</f>
        <v>33.5</v>
      </c>
      <c r="L451" s="31" t="str">
        <f>IFERROR(__xludf.DUMMYFUNCTION("""COMPUTED_VALUE"""),"RPG")</f>
        <v>RPG</v>
      </c>
    </row>
    <row r="452" hidden="1">
      <c r="A452" s="278" t="str">
        <f>IFERROR(__xludf.DUMMYFUNCTION("""COMPUTED_VALUE"""),"FAR: Changing Tides")</f>
        <v>FAR: Changing Tides</v>
      </c>
      <c r="B452" s="20" t="str">
        <f>IFERROR(__xludf.DUMMYFUNCTION("""COMPUTED_VALUE"""),"Xbox / PC")</f>
        <v>Xbox / PC</v>
      </c>
      <c r="C452" s="20" t="str">
        <f>IFERROR(__xludf.DUMMYFUNCTION("""COMPUTED_VALUE"""),"Touch Controls")</f>
        <v>Touch Controls</v>
      </c>
      <c r="D452" s="21" t="str">
        <f>IFERROR(__xludf.DUMMYFUNCTION("""COMPUTED_VALUE"""),"Removed")</f>
        <v>Removed</v>
      </c>
      <c r="E452" s="279">
        <f>IFERROR(__xludf.DUMMYFUNCTION("""COMPUTED_VALUE"""),44621.0)</f>
        <v>44621</v>
      </c>
      <c r="F452" s="24">
        <f>IFERROR(__xludf.DUMMYFUNCTION("""COMPUTED_VALUE"""),44985.0)</f>
        <v>44985</v>
      </c>
      <c r="G452" s="27">
        <f>IFERROR(__xludf.DUMMYFUNCTION("""COMPUTED_VALUE"""),11.9)</f>
        <v>11.9</v>
      </c>
      <c r="H452" s="128">
        <f>IFERROR(__xludf.DUMMYFUNCTION("""COMPUTED_VALUE"""),44621.0)</f>
        <v>44621</v>
      </c>
      <c r="I452" s="27">
        <f>IFERROR(__xludf.DUMMYFUNCTION("""COMPUTED_VALUE"""),0.0)</f>
        <v>0</v>
      </c>
      <c r="J452" s="277">
        <f>IFERROR(__xludf.DUMMYFUNCTION("""COMPUTED_VALUE"""),76.5)</f>
        <v>76.5</v>
      </c>
      <c r="K452" s="29">
        <f>IFERROR(__xludf.DUMMYFUNCTION("""COMPUTED_VALUE"""),5.0)</f>
        <v>5</v>
      </c>
      <c r="L452" s="275" t="str">
        <f>IFERROR(__xludf.DUMMYFUNCTION("""COMPUTED_VALUE"""),"Adventure")</f>
        <v>Adventure</v>
      </c>
    </row>
    <row r="453" hidden="1">
      <c r="A453" s="17" t="str">
        <f>IFERROR(__xludf.DUMMYFUNCTION("""COMPUTED_VALUE"""),"Dragon Ball FighterZ")</f>
        <v>Dragon Ball FighterZ</v>
      </c>
      <c r="B453" s="20" t="str">
        <f>IFERROR(__xludf.DUMMYFUNCTION("""COMPUTED_VALUE"""),"Xbox / PC")</f>
        <v>Xbox / PC</v>
      </c>
      <c r="C453" s="20" t="str">
        <f>IFERROR(__xludf.DUMMYFUNCTION("""COMPUTED_VALUE"""),"Yes")</f>
        <v>Yes</v>
      </c>
      <c r="D453" s="21" t="str">
        <f>IFERROR(__xludf.DUMMYFUNCTION("""COMPUTED_VALUE"""),"Removed")</f>
        <v>Removed</v>
      </c>
      <c r="E453" s="128">
        <f>IFERROR(__xludf.DUMMYFUNCTION("""COMPUTED_VALUE"""),44490.0)</f>
        <v>44490</v>
      </c>
      <c r="F453" s="276">
        <f>IFERROR(__xludf.DUMMYFUNCTION("""COMPUTED_VALUE"""),44985.0)</f>
        <v>44985</v>
      </c>
      <c r="G453" s="27">
        <f>IFERROR(__xludf.DUMMYFUNCTION("""COMPUTED_VALUE"""),16.233333333333334)</f>
        <v>16.23333333</v>
      </c>
      <c r="H453" s="128">
        <f>IFERROR(__xludf.DUMMYFUNCTION("""COMPUTED_VALUE"""),43126.0)</f>
        <v>43126</v>
      </c>
      <c r="I453" s="27">
        <f>IFERROR(__xludf.DUMMYFUNCTION("""COMPUTED_VALUE"""),3.736111111111111)</f>
        <v>3.736111111</v>
      </c>
      <c r="J453" s="29">
        <f>IFERROR(__xludf.DUMMYFUNCTION("""COMPUTED_VALUE"""),85.5)</f>
        <v>85.5</v>
      </c>
      <c r="K453" s="29">
        <f>IFERROR(__xludf.DUMMYFUNCTION("""COMPUTED_VALUE"""),12.0)</f>
        <v>12</v>
      </c>
      <c r="L453" s="31" t="str">
        <f>IFERROR(__xludf.DUMMYFUNCTION("""COMPUTED_VALUE"""),"Fighting")</f>
        <v>Fighting</v>
      </c>
    </row>
    <row r="454" hidden="1">
      <c r="A454" s="17" t="str">
        <f>IFERROR(__xludf.DUMMYFUNCTION("""COMPUTED_VALUE"""),"Crown Trick")</f>
        <v>Crown Trick</v>
      </c>
      <c r="B454" s="20" t="str">
        <f>IFERROR(__xludf.DUMMYFUNCTION("""COMPUTED_VALUE"""),"Xbox / PC")</f>
        <v>Xbox / PC</v>
      </c>
      <c r="C454" s="20" t="str">
        <f>IFERROR(__xludf.DUMMYFUNCTION("""COMPUTED_VALUE"""),"Touch Controls")</f>
        <v>Touch Controls</v>
      </c>
      <c r="D454" s="21" t="str">
        <f>IFERROR(__xludf.DUMMYFUNCTION("""COMPUTED_VALUE"""),"Removed")</f>
        <v>Removed</v>
      </c>
      <c r="E454" s="128">
        <f>IFERROR(__xludf.DUMMYFUNCTION("""COMPUTED_VALUE"""),44446.0)</f>
        <v>44446</v>
      </c>
      <c r="F454" s="24">
        <f>IFERROR(__xludf.DUMMYFUNCTION("""COMPUTED_VALUE"""),44985.0)</f>
        <v>44985</v>
      </c>
      <c r="G454" s="27">
        <f>IFERROR(__xludf.DUMMYFUNCTION("""COMPUTED_VALUE"""),17.700000000000003)</f>
        <v>17.7</v>
      </c>
      <c r="H454" s="128">
        <f>IFERROR(__xludf.DUMMYFUNCTION("""COMPUTED_VALUE"""),44120.0)</f>
        <v>44120</v>
      </c>
      <c r="I454" s="27">
        <f>IFERROR(__xludf.DUMMYFUNCTION("""COMPUTED_VALUE"""),0.8916666666666667)</f>
        <v>0.8916666667</v>
      </c>
      <c r="J454" s="29">
        <f>IFERROR(__xludf.DUMMYFUNCTION("""COMPUTED_VALUE"""),83.0)</f>
        <v>83</v>
      </c>
      <c r="K454" s="29">
        <f>IFERROR(__xludf.DUMMYFUNCTION("""COMPUTED_VALUE"""),17.0)</f>
        <v>17</v>
      </c>
      <c r="L454" s="31" t="str">
        <f>IFERROR(__xludf.DUMMYFUNCTION("""COMPUTED_VALUE"""),"RPG")</f>
        <v>RPG</v>
      </c>
    </row>
    <row r="455" hidden="1">
      <c r="A455" s="17" t="str">
        <f>IFERROR(__xludf.DUMMYFUNCTION("""COMPUTED_VALUE"""),"Madden NFL 21")</f>
        <v>Madden NFL 21</v>
      </c>
      <c r="B455" s="20" t="str">
        <f>IFERROR(__xludf.DUMMYFUNCTION("""COMPUTED_VALUE"""),"Xbox / PC")</f>
        <v>Xbox / PC</v>
      </c>
      <c r="C455" s="20"/>
      <c r="D455" s="21" t="str">
        <f>IFERROR(__xludf.DUMMYFUNCTION("""COMPUTED_VALUE"""),"Removed")</f>
        <v>Removed</v>
      </c>
      <c r="E455" s="128">
        <f>IFERROR(__xludf.DUMMYFUNCTION("""COMPUTED_VALUE"""),44257.0)</f>
        <v>44257</v>
      </c>
      <c r="F455" s="276">
        <f>IFERROR(__xludf.DUMMYFUNCTION("""COMPUTED_VALUE"""),44985.0)</f>
        <v>44985</v>
      </c>
      <c r="G455" s="27">
        <f>IFERROR(__xludf.DUMMYFUNCTION("""COMPUTED_VALUE"""),23.866666666666667)</f>
        <v>23.86666667</v>
      </c>
      <c r="H455" s="128">
        <f>IFERROR(__xludf.DUMMYFUNCTION("""COMPUTED_VALUE"""),44071.0)</f>
        <v>44071</v>
      </c>
      <c r="I455" s="27">
        <f>IFERROR(__xludf.DUMMYFUNCTION("""COMPUTED_VALUE"""),0.5111111111111111)</f>
        <v>0.5111111111</v>
      </c>
      <c r="J455" s="29">
        <f>IFERROR(__xludf.DUMMYFUNCTION("""COMPUTED_VALUE"""),66.0)</f>
        <v>66</v>
      </c>
      <c r="K455" s="29">
        <f>IFERROR(__xludf.DUMMYFUNCTION("""COMPUTED_VALUE"""),21.5)</f>
        <v>21.5</v>
      </c>
      <c r="L455" s="31" t="str">
        <f>IFERROR(__xludf.DUMMYFUNCTION("""COMPUTED_VALUE"""),"Sports")</f>
        <v>Sports</v>
      </c>
    </row>
    <row r="456" hidden="1">
      <c r="A456" s="278" t="str">
        <f>IFERROR(__xludf.DUMMYFUNCTION("""COMPUTED_VALUE"""),"Alien: Isolation")</f>
        <v>Alien: Isolation</v>
      </c>
      <c r="B456" s="20" t="str">
        <f>IFERROR(__xludf.DUMMYFUNCTION("""COMPUTED_VALUE"""),"Xbox / PC")</f>
        <v>Xbox / PC</v>
      </c>
      <c r="C456" s="21"/>
      <c r="D456" s="21" t="str">
        <f>IFERROR(__xludf.DUMMYFUNCTION("""COMPUTED_VALUE"""),"Removed")</f>
        <v>Removed</v>
      </c>
      <c r="E456" s="279">
        <f>IFERROR(__xludf.DUMMYFUNCTION("""COMPUTED_VALUE"""),43524.0)</f>
        <v>43524</v>
      </c>
      <c r="F456" s="276">
        <f>IFERROR(__xludf.DUMMYFUNCTION("""COMPUTED_VALUE"""),44985.0)</f>
        <v>44985</v>
      </c>
      <c r="G456" s="27">
        <f>IFERROR(__xludf.DUMMYFUNCTION("""COMPUTED_VALUE"""),48.0)</f>
        <v>48</v>
      </c>
      <c r="H456" s="128">
        <f>IFERROR(__xludf.DUMMYFUNCTION("""COMPUTED_VALUE"""),41919.0)</f>
        <v>41919</v>
      </c>
      <c r="I456" s="27">
        <f>IFERROR(__xludf.DUMMYFUNCTION("""COMPUTED_VALUE"""),4.391666666666667)</f>
        <v>4.391666667</v>
      </c>
      <c r="J456" s="277">
        <f>IFERROR(__xludf.DUMMYFUNCTION("""COMPUTED_VALUE"""),78.0)</f>
        <v>78</v>
      </c>
      <c r="K456" s="29">
        <f>IFERROR(__xludf.DUMMYFUNCTION("""COMPUTED_VALUE"""),18.5)</f>
        <v>18.5</v>
      </c>
      <c r="L456" s="275" t="str">
        <f>IFERROR(__xludf.DUMMYFUNCTION("""COMPUTED_VALUE"""),"Action-Adventure")</f>
        <v>Action-Adventure</v>
      </c>
    </row>
    <row r="457" hidden="1">
      <c r="A457" s="17" t="str">
        <f>IFERROR(__xludf.DUMMYFUNCTION("""COMPUTED_VALUE"""),"Infernax")</f>
        <v>Infernax</v>
      </c>
      <c r="B457" s="20" t="str">
        <f>IFERROR(__xludf.DUMMYFUNCTION("""COMPUTED_VALUE"""),"Xbox / PC")</f>
        <v>Xbox / PC</v>
      </c>
      <c r="C457" s="20" t="str">
        <f>IFERROR(__xludf.DUMMYFUNCTION("""COMPUTED_VALUE"""),"Yes")</f>
        <v>Yes</v>
      </c>
      <c r="D457" s="21" t="str">
        <f>IFERROR(__xludf.DUMMYFUNCTION("""COMPUTED_VALUE"""),"Removed")</f>
        <v>Removed</v>
      </c>
      <c r="E457" s="128">
        <f>IFERROR(__xludf.DUMMYFUNCTION("""COMPUTED_VALUE"""),44604.0)</f>
        <v>44604</v>
      </c>
      <c r="F457" s="276">
        <f>IFERROR(__xludf.DUMMYFUNCTION("""COMPUTED_VALUE"""),44972.0)</f>
        <v>44972</v>
      </c>
      <c r="G457" s="27">
        <f>IFERROR(__xludf.DUMMYFUNCTION("""COMPUTED_VALUE"""),12.1)</f>
        <v>12.1</v>
      </c>
      <c r="H457" s="128">
        <f>IFERROR(__xludf.DUMMYFUNCTION("""COMPUTED_VALUE"""),44604.0)</f>
        <v>44604</v>
      </c>
      <c r="I457" s="27">
        <f>IFERROR(__xludf.DUMMYFUNCTION("""COMPUTED_VALUE"""),0.0)</f>
        <v>0</v>
      </c>
      <c r="J457" s="29">
        <f>IFERROR(__xludf.DUMMYFUNCTION("""COMPUTED_VALUE"""),84.5)</f>
        <v>84.5</v>
      </c>
      <c r="K457" s="29">
        <f>IFERROR(__xludf.DUMMYFUNCTION("""COMPUTED_VALUE"""),7.0)</f>
        <v>7</v>
      </c>
      <c r="L457" s="31" t="str">
        <f>IFERROR(__xludf.DUMMYFUNCTION("""COMPUTED_VALUE"""),"Action-Adventure")</f>
        <v>Action-Adventure</v>
      </c>
    </row>
    <row r="458" hidden="1">
      <c r="A458" s="278" t="str">
        <f>IFERROR(__xludf.DUMMYFUNCTION("""COMPUTED_VALUE"""),"CrossfireX")</f>
        <v>CrossfireX</v>
      </c>
      <c r="B458" s="20" t="str">
        <f>IFERROR(__xludf.DUMMYFUNCTION("""COMPUTED_VALUE"""),"Xbox")</f>
        <v>Xbox</v>
      </c>
      <c r="C458" s="21" t="str">
        <f>IFERROR(__xludf.DUMMYFUNCTION("""COMPUTED_VALUE"""),"Yes")</f>
        <v>Yes</v>
      </c>
      <c r="D458" s="21" t="str">
        <f>IFERROR(__xludf.DUMMYFUNCTION("""COMPUTED_VALUE"""),"Removed")</f>
        <v>Removed</v>
      </c>
      <c r="E458" s="279">
        <f>IFERROR(__xludf.DUMMYFUNCTION("""COMPUTED_VALUE"""),44602.0)</f>
        <v>44602</v>
      </c>
      <c r="F458" s="276">
        <f>IFERROR(__xludf.DUMMYFUNCTION("""COMPUTED_VALUE"""),44972.0)</f>
        <v>44972</v>
      </c>
      <c r="G458" s="27">
        <f>IFERROR(__xludf.DUMMYFUNCTION("""COMPUTED_VALUE"""),12.166666666666666)</f>
        <v>12.16666667</v>
      </c>
      <c r="H458" s="128">
        <f>IFERROR(__xludf.DUMMYFUNCTION("""COMPUTED_VALUE"""),44602.0)</f>
        <v>44602</v>
      </c>
      <c r="I458" s="27">
        <f>IFERROR(__xludf.DUMMYFUNCTION("""COMPUTED_VALUE"""),0.0)</f>
        <v>0</v>
      </c>
      <c r="J458" s="277">
        <f>IFERROR(__xludf.DUMMYFUNCTION("""COMPUTED_VALUE"""),43.0)</f>
        <v>43</v>
      </c>
      <c r="K458" s="277">
        <f>IFERROR(__xludf.DUMMYFUNCTION("""COMPUTED_VALUE"""),3.0)</f>
        <v>3</v>
      </c>
      <c r="L458" s="275" t="str">
        <f>IFERROR(__xludf.DUMMYFUNCTION("""COMPUTED_VALUE"""),"Shooter")</f>
        <v>Shooter</v>
      </c>
    </row>
    <row r="459" hidden="1">
      <c r="A459" s="17" t="str">
        <f>IFERROR(__xludf.DUMMYFUNCTION("""COMPUTED_VALUE"""),"Skul: The Hero Slayer")</f>
        <v>Skul: The Hero Slayer</v>
      </c>
      <c r="B459" s="20" t="str">
        <f>IFERROR(__xludf.DUMMYFUNCTION("""COMPUTED_VALUE"""),"Xbox / PC")</f>
        <v>Xbox / PC</v>
      </c>
      <c r="C459" s="20" t="str">
        <f>IFERROR(__xludf.DUMMYFUNCTION("""COMPUTED_VALUE"""),"Yes")</f>
        <v>Yes</v>
      </c>
      <c r="D459" s="21" t="str">
        <f>IFERROR(__xludf.DUMMYFUNCTION("""COMPUTED_VALUE"""),"Removed")</f>
        <v>Removed</v>
      </c>
      <c r="E459" s="279">
        <f>IFERROR(__xludf.DUMMYFUNCTION("""COMPUTED_VALUE"""),44602.0)</f>
        <v>44602</v>
      </c>
      <c r="F459" s="24">
        <f>IFERROR(__xludf.DUMMYFUNCTION("""COMPUTED_VALUE"""),44972.0)</f>
        <v>44972</v>
      </c>
      <c r="G459" s="27">
        <f>IFERROR(__xludf.DUMMYFUNCTION("""COMPUTED_VALUE"""),12.166666666666666)</f>
        <v>12.16666667</v>
      </c>
      <c r="H459" s="128">
        <f>IFERROR(__xludf.DUMMYFUNCTION("""COMPUTED_VALUE"""),43880.0)</f>
        <v>43880</v>
      </c>
      <c r="I459" s="27">
        <f>IFERROR(__xludf.DUMMYFUNCTION("""COMPUTED_VALUE"""),1.975)</f>
        <v>1.975</v>
      </c>
      <c r="J459" s="29">
        <f>IFERROR(__xludf.DUMMYFUNCTION("""COMPUTED_VALUE"""),80.0)</f>
        <v>80</v>
      </c>
      <c r="K459" s="29">
        <f>IFERROR(__xludf.DUMMYFUNCTION("""COMPUTED_VALUE"""),21.5)</f>
        <v>21.5</v>
      </c>
      <c r="L459" s="275" t="str">
        <f>IFERROR(__xludf.DUMMYFUNCTION("""COMPUTED_VALUE"""),"Platformer")</f>
        <v>Platformer</v>
      </c>
    </row>
    <row r="460" hidden="1">
      <c r="A460" s="17" t="str">
        <f>IFERROR(__xludf.DUMMYFUNCTION("""COMPUTED_VALUE"""),"The Last Kids on Earth and the Staff of Doom")</f>
        <v>The Last Kids on Earth and the Staff of Doom</v>
      </c>
      <c r="B460" s="20" t="str">
        <f>IFERROR(__xludf.DUMMYFUNCTION("""COMPUTED_VALUE"""),"Xbox / PC")</f>
        <v>Xbox / PC</v>
      </c>
      <c r="C460" s="21" t="str">
        <f>IFERROR(__xludf.DUMMYFUNCTION("""COMPUTED_VALUE"""),"Touch Controls")</f>
        <v>Touch Controls</v>
      </c>
      <c r="D460" s="21" t="str">
        <f>IFERROR(__xludf.DUMMYFUNCTION("""COMPUTED_VALUE"""),"Removed")</f>
        <v>Removed</v>
      </c>
      <c r="E460" s="23">
        <f>IFERROR(__xludf.DUMMYFUNCTION("""COMPUTED_VALUE"""),44602.0)</f>
        <v>44602</v>
      </c>
      <c r="F460" s="276">
        <f>IFERROR(__xludf.DUMMYFUNCTION("""COMPUTED_VALUE"""),44972.0)</f>
        <v>44972</v>
      </c>
      <c r="G460" s="27">
        <f>IFERROR(__xludf.DUMMYFUNCTION("""COMPUTED_VALUE"""),12.166666666666666)</f>
        <v>12.16666667</v>
      </c>
      <c r="H460" s="128">
        <f>IFERROR(__xludf.DUMMYFUNCTION("""COMPUTED_VALUE"""),44351.0)</f>
        <v>44351</v>
      </c>
      <c r="I460" s="27">
        <f>IFERROR(__xludf.DUMMYFUNCTION("""COMPUTED_VALUE"""),0.6833333333333333)</f>
        <v>0.6833333333</v>
      </c>
      <c r="J460" s="277">
        <f>IFERROR(__xludf.DUMMYFUNCTION("""COMPUTED_VALUE"""),60.0)</f>
        <v>60</v>
      </c>
      <c r="K460" s="277">
        <f>IFERROR(__xludf.DUMMYFUNCTION("""COMPUTED_VALUE"""),6.0)</f>
        <v>6</v>
      </c>
      <c r="L460" s="275" t="str">
        <f>IFERROR(__xludf.DUMMYFUNCTION("""COMPUTED_VALUE"""),"RPG")</f>
        <v>RPG</v>
      </c>
    </row>
    <row r="461" hidden="1">
      <c r="A461" s="278" t="str">
        <f>IFERROR(__xludf.DUMMYFUNCTION("""COMPUTED_VALUE"""),"Recompile")</f>
        <v>Recompile</v>
      </c>
      <c r="B461" s="21" t="str">
        <f>IFERROR(__xludf.DUMMYFUNCTION("""COMPUTED_VALUE"""),"Xbox / PC")</f>
        <v>Xbox / PC</v>
      </c>
      <c r="C461" s="21" t="str">
        <f>IFERROR(__xludf.DUMMYFUNCTION("""COMPUTED_VALUE"""),"Yes")</f>
        <v>Yes</v>
      </c>
      <c r="D461" s="21" t="str">
        <f>IFERROR(__xludf.DUMMYFUNCTION("""COMPUTED_VALUE"""),"Removed")</f>
        <v>Removed</v>
      </c>
      <c r="E461" s="279">
        <f>IFERROR(__xludf.DUMMYFUNCTION("""COMPUTED_VALUE"""),44427.0)</f>
        <v>44427</v>
      </c>
      <c r="F461" s="276">
        <f>IFERROR(__xludf.DUMMYFUNCTION("""COMPUTED_VALUE"""),44972.0)</f>
        <v>44972</v>
      </c>
      <c r="G461" s="27">
        <f>IFERROR(__xludf.DUMMYFUNCTION("""COMPUTED_VALUE"""),17.866666666666667)</f>
        <v>17.86666667</v>
      </c>
      <c r="H461" s="128">
        <f>IFERROR(__xludf.DUMMYFUNCTION("""COMPUTED_VALUE"""),44427.0)</f>
        <v>44427</v>
      </c>
      <c r="I461" s="27">
        <f>IFERROR(__xludf.DUMMYFUNCTION("""COMPUTED_VALUE"""),0.0)</f>
        <v>0</v>
      </c>
      <c r="J461" s="277">
        <f>IFERROR(__xludf.DUMMYFUNCTION("""COMPUTED_VALUE"""),63.5)</f>
        <v>63.5</v>
      </c>
      <c r="K461" s="277">
        <f>IFERROR(__xludf.DUMMYFUNCTION("""COMPUTED_VALUE"""),4.5)</f>
        <v>4.5</v>
      </c>
      <c r="L461" s="275" t="str">
        <f>IFERROR(__xludf.DUMMYFUNCTION("""COMPUTED_VALUE"""),"Action-Adventure")</f>
        <v>Action-Adventure</v>
      </c>
    </row>
    <row r="462" hidden="1">
      <c r="A462" s="17" t="str">
        <f>IFERROR(__xludf.DUMMYFUNCTION("""COMPUTED_VALUE"""),"Telling Lies")</f>
        <v>Telling Lies</v>
      </c>
      <c r="B462" s="20" t="str">
        <f>IFERROR(__xludf.DUMMYFUNCTION("""COMPUTED_VALUE"""),"Xbox / PC")</f>
        <v>Xbox / PC</v>
      </c>
      <c r="C462" s="21" t="str">
        <f>IFERROR(__xludf.DUMMYFUNCTION("""COMPUTED_VALUE"""),"Touch Controls")</f>
        <v>Touch Controls</v>
      </c>
      <c r="D462" s="21" t="str">
        <f>IFERROR(__xludf.DUMMYFUNCTION("""COMPUTED_VALUE"""),"Removed")</f>
        <v>Removed</v>
      </c>
      <c r="E462" s="23">
        <f>IFERROR(__xludf.DUMMYFUNCTION("""COMPUTED_VALUE"""),44595.0)</f>
        <v>44595</v>
      </c>
      <c r="F462" s="276">
        <f>IFERROR(__xludf.DUMMYFUNCTION("""COMPUTED_VALUE"""),44957.0)</f>
        <v>44957</v>
      </c>
      <c r="G462" s="27">
        <f>IFERROR(__xludf.DUMMYFUNCTION("""COMPUTED_VALUE"""),11.9)</f>
        <v>11.9</v>
      </c>
      <c r="H462" s="128">
        <f>IFERROR(__xludf.DUMMYFUNCTION("""COMPUTED_VALUE"""),43700.0)</f>
        <v>43700</v>
      </c>
      <c r="I462" s="27">
        <f>IFERROR(__xludf.DUMMYFUNCTION("""COMPUTED_VALUE"""),2.4444444444444446)</f>
        <v>2.444444444</v>
      </c>
      <c r="J462" s="277">
        <f>IFERROR(__xludf.DUMMYFUNCTION("""COMPUTED_VALUE"""),82.0)</f>
        <v>82</v>
      </c>
      <c r="K462" s="29">
        <f>IFERROR(__xludf.DUMMYFUNCTION("""COMPUTED_VALUE"""),4.0)</f>
        <v>4</v>
      </c>
      <c r="L462" s="275" t="str">
        <f>IFERROR(__xludf.DUMMYFUNCTION("""COMPUTED_VALUE"""),"Adventure")</f>
        <v>Adventure</v>
      </c>
    </row>
    <row r="463" hidden="1">
      <c r="A463" s="278" t="str">
        <f>IFERROR(__xludf.DUMMYFUNCTION("""COMPUTED_VALUE"""),"Taiko no Tatsujin: The Drum Master")</f>
        <v>Taiko no Tatsujin: The Drum Master</v>
      </c>
      <c r="B463" s="20" t="str">
        <f>IFERROR(__xludf.DUMMYFUNCTION("""COMPUTED_VALUE"""),"Xbox / PC")</f>
        <v>Xbox / PC</v>
      </c>
      <c r="C463" s="20"/>
      <c r="D463" s="21" t="str">
        <f>IFERROR(__xludf.DUMMYFUNCTION("""COMPUTED_VALUE"""),"Removed")</f>
        <v>Removed</v>
      </c>
      <c r="E463" s="279">
        <f>IFERROR(__xludf.DUMMYFUNCTION("""COMPUTED_VALUE"""),44588.0)</f>
        <v>44588</v>
      </c>
      <c r="F463" s="24">
        <f>IFERROR(__xludf.DUMMYFUNCTION("""COMPUTED_VALUE"""),44957.0)</f>
        <v>44957</v>
      </c>
      <c r="G463" s="27">
        <f>IFERROR(__xludf.DUMMYFUNCTION("""COMPUTED_VALUE"""),12.1)</f>
        <v>12.1</v>
      </c>
      <c r="H463" s="128">
        <f>IFERROR(__xludf.DUMMYFUNCTION("""COMPUTED_VALUE"""),44581.0)</f>
        <v>44581</v>
      </c>
      <c r="I463" s="27">
        <f>IFERROR(__xludf.DUMMYFUNCTION("""COMPUTED_VALUE"""),0.019444444444444445)</f>
        <v>0.01944444444</v>
      </c>
      <c r="J463" s="277">
        <f>IFERROR(__xludf.DUMMYFUNCTION("""COMPUTED_VALUE"""),80.0)</f>
        <v>80</v>
      </c>
      <c r="K463" s="29">
        <f>IFERROR(__xludf.DUMMYFUNCTION("""COMPUTED_VALUE"""),2.5)</f>
        <v>2.5</v>
      </c>
      <c r="L463" s="275" t="str">
        <f>IFERROR(__xludf.DUMMYFUNCTION("""COMPUTED_VALUE"""),"Music/Rhythm")</f>
        <v>Music/Rhythm</v>
      </c>
    </row>
    <row r="464" hidden="1">
      <c r="A464" s="278" t="str">
        <f>IFERROR(__xludf.DUMMYFUNCTION("""COMPUTED_VALUE"""),"Worms W.M.D")</f>
        <v>Worms W.M.D</v>
      </c>
      <c r="B464" s="20" t="str">
        <f>IFERROR(__xludf.DUMMYFUNCTION("""COMPUTED_VALUE"""),"Xbox / PC")</f>
        <v>Xbox / PC</v>
      </c>
      <c r="C464" s="20" t="str">
        <f>IFERROR(__xludf.DUMMYFUNCTION("""COMPUTED_VALUE"""),"Yes")</f>
        <v>Yes</v>
      </c>
      <c r="D464" s="21" t="str">
        <f>IFERROR(__xludf.DUMMYFUNCTION("""COMPUTED_VALUE"""),"Removed")</f>
        <v>Removed</v>
      </c>
      <c r="E464" s="279">
        <f>IFERROR(__xludf.DUMMYFUNCTION("""COMPUTED_VALUE"""),43669.0)</f>
        <v>43669</v>
      </c>
      <c r="F464" s="24">
        <f>IFERROR(__xludf.DUMMYFUNCTION("""COMPUTED_VALUE"""),44957.0)</f>
        <v>44957</v>
      </c>
      <c r="G464" s="27">
        <f>IFERROR(__xludf.DUMMYFUNCTION("""COMPUTED_VALUE"""),42.233333333333334)</f>
        <v>42.23333333</v>
      </c>
      <c r="H464" s="128">
        <f>IFERROR(__xludf.DUMMYFUNCTION("""COMPUTED_VALUE"""),42605.0)</f>
        <v>42605</v>
      </c>
      <c r="I464" s="27">
        <f>IFERROR(__xludf.DUMMYFUNCTION("""COMPUTED_VALUE"""),2.9166666666666665)</f>
        <v>2.916666667</v>
      </c>
      <c r="J464" s="277">
        <f>IFERROR(__xludf.DUMMYFUNCTION("""COMPUTED_VALUE"""),75.0)</f>
        <v>75</v>
      </c>
      <c r="K464" s="29">
        <f>IFERROR(__xludf.DUMMYFUNCTION("""COMPUTED_VALUE"""),13.0)</f>
        <v>13</v>
      </c>
      <c r="L464" s="275" t="str">
        <f>IFERROR(__xludf.DUMMYFUNCTION("""COMPUTED_VALUE"""),"Action")</f>
        <v>Action</v>
      </c>
    </row>
    <row r="465" hidden="1">
      <c r="A465" s="17" t="str">
        <f>IFERROR(__xludf.DUMMYFUNCTION("""COMPUTED_VALUE"""),"Pupperazzi")</f>
        <v>Pupperazzi</v>
      </c>
      <c r="B465" s="20" t="str">
        <f>IFERROR(__xludf.DUMMYFUNCTION("""COMPUTED_VALUE"""),"Xbox / PC")</f>
        <v>Xbox / PC</v>
      </c>
      <c r="C465" s="21" t="str">
        <f>IFERROR(__xludf.DUMMYFUNCTION("""COMPUTED_VALUE"""),"Touch Controls")</f>
        <v>Touch Controls</v>
      </c>
      <c r="D465" s="21" t="str">
        <f>IFERROR(__xludf.DUMMYFUNCTION("""COMPUTED_VALUE"""),"Removed")</f>
        <v>Removed</v>
      </c>
      <c r="E465" s="23">
        <f>IFERROR(__xludf.DUMMYFUNCTION("""COMPUTED_VALUE"""),44581.0)</f>
        <v>44581</v>
      </c>
      <c r="F465" s="276">
        <f>IFERROR(__xludf.DUMMYFUNCTION("""COMPUTED_VALUE"""),44941.0)</f>
        <v>44941</v>
      </c>
      <c r="G465" s="27">
        <f>IFERROR(__xludf.DUMMYFUNCTION("""COMPUTED_VALUE"""),11.833333333333334)</f>
        <v>11.83333333</v>
      </c>
      <c r="H465" s="128">
        <f>IFERROR(__xludf.DUMMYFUNCTION("""COMPUTED_VALUE"""),44581.0)</f>
        <v>44581</v>
      </c>
      <c r="I465" s="27">
        <f>IFERROR(__xludf.DUMMYFUNCTION("""COMPUTED_VALUE"""),0.0)</f>
        <v>0</v>
      </c>
      <c r="J465" s="29">
        <f>IFERROR(__xludf.DUMMYFUNCTION("""COMPUTED_VALUE"""),68.0)</f>
        <v>68</v>
      </c>
      <c r="K465" s="29">
        <f>IFERROR(__xludf.DUMMYFUNCTION("""COMPUTED_VALUE"""),1.5)</f>
        <v>1.5</v>
      </c>
      <c r="L465" s="31" t="str">
        <f>IFERROR(__xludf.DUMMYFUNCTION("""COMPUTED_VALUE"""),"Adventure")</f>
        <v>Adventure</v>
      </c>
    </row>
    <row r="466" hidden="1">
      <c r="A466" s="278" t="str">
        <f>IFERROR(__xludf.DUMMYFUNCTION("""COMPUTED_VALUE"""),"Windjammers 2")</f>
        <v>Windjammers 2</v>
      </c>
      <c r="B466" s="20" t="str">
        <f>IFERROR(__xludf.DUMMYFUNCTION("""COMPUTED_VALUE"""),"Xbox / PC")</f>
        <v>Xbox / PC</v>
      </c>
      <c r="C466" s="20" t="str">
        <f>IFERROR(__xludf.DUMMYFUNCTION("""COMPUTED_VALUE"""),"Touch Controls")</f>
        <v>Touch Controls</v>
      </c>
      <c r="D466" s="21" t="str">
        <f>IFERROR(__xludf.DUMMYFUNCTION("""COMPUTED_VALUE"""),"Removed")</f>
        <v>Removed</v>
      </c>
      <c r="E466" s="279">
        <f>IFERROR(__xludf.DUMMYFUNCTION("""COMPUTED_VALUE"""),44581.0)</f>
        <v>44581</v>
      </c>
      <c r="F466" s="24">
        <f>IFERROR(__xludf.DUMMYFUNCTION("""COMPUTED_VALUE"""),44941.0)</f>
        <v>44941</v>
      </c>
      <c r="G466" s="27">
        <f>IFERROR(__xludf.DUMMYFUNCTION("""COMPUTED_VALUE"""),11.833333333333334)</f>
        <v>11.83333333</v>
      </c>
      <c r="H466" s="128">
        <f>IFERROR(__xludf.DUMMYFUNCTION("""COMPUTED_VALUE"""),44581.0)</f>
        <v>44581</v>
      </c>
      <c r="I466" s="27">
        <f>IFERROR(__xludf.DUMMYFUNCTION("""COMPUTED_VALUE"""),0.0)</f>
        <v>0</v>
      </c>
      <c r="J466" s="277">
        <f>IFERROR(__xludf.DUMMYFUNCTION("""COMPUTED_VALUE"""),73.5)</f>
        <v>73.5</v>
      </c>
      <c r="K466" s="29">
        <f>IFERROR(__xludf.DUMMYFUNCTION("""COMPUTED_VALUE"""),1.0)</f>
        <v>1</v>
      </c>
      <c r="L466" s="31" t="str">
        <f>IFERROR(__xludf.DUMMYFUNCTION("""COMPUTED_VALUE"""),"Sports")</f>
        <v>Sports</v>
      </c>
    </row>
    <row r="467" hidden="1">
      <c r="A467" s="278" t="str">
        <f>IFERROR(__xludf.DUMMYFUNCTION("""COMPUTED_VALUE"""),"Danganronpa: Trigger Happy Havoc - Anniversary Edition")</f>
        <v>Danganronpa: Trigger Happy Havoc - Anniversary Edition</v>
      </c>
      <c r="B467" s="20" t="str">
        <f>IFERROR(__xludf.DUMMYFUNCTION("""COMPUTED_VALUE"""),"Xbox / PC")</f>
        <v>Xbox / PC</v>
      </c>
      <c r="C467" s="20" t="str">
        <f>IFERROR(__xludf.DUMMYFUNCTION("""COMPUTED_VALUE"""),"Touch Controls")</f>
        <v>Touch Controls</v>
      </c>
      <c r="D467" s="21" t="str">
        <f>IFERROR(__xludf.DUMMYFUNCTION("""COMPUTED_VALUE"""),"Removed")</f>
        <v>Removed</v>
      </c>
      <c r="E467" s="279">
        <f>IFERROR(__xludf.DUMMYFUNCTION("""COMPUTED_VALUE"""),44579.0)</f>
        <v>44579</v>
      </c>
      <c r="F467" s="276">
        <f>IFERROR(__xludf.DUMMYFUNCTION("""COMPUTED_VALUE"""),44941.0)</f>
        <v>44941</v>
      </c>
      <c r="G467" s="27">
        <f>IFERROR(__xludf.DUMMYFUNCTION("""COMPUTED_VALUE"""),11.9)</f>
        <v>11.9</v>
      </c>
      <c r="H467" s="128">
        <f>IFERROR(__xludf.DUMMYFUNCTION("""COMPUTED_VALUE"""),40507.0)</f>
        <v>40507</v>
      </c>
      <c r="I467" s="27">
        <f>IFERROR(__xludf.DUMMYFUNCTION("""COMPUTED_VALUE"""),11.147222222222222)</f>
        <v>11.14722222</v>
      </c>
      <c r="J467" s="277">
        <f>IFERROR(__xludf.DUMMYFUNCTION("""COMPUTED_VALUE"""),82.0)</f>
        <v>82</v>
      </c>
      <c r="K467" s="29">
        <f>IFERROR(__xludf.DUMMYFUNCTION("""COMPUTED_VALUE"""),25.0)</f>
        <v>25</v>
      </c>
      <c r="L467" s="275" t="str">
        <f>IFERROR(__xludf.DUMMYFUNCTION("""COMPUTED_VALUE"""),"Shooter")</f>
        <v>Shooter</v>
      </c>
    </row>
    <row r="468" hidden="1">
      <c r="A468" s="17" t="str">
        <f>IFERROR(__xludf.DUMMYFUNCTION("""COMPUTED_VALUE"""),"Nobody Saves the World")</f>
        <v>Nobody Saves the World</v>
      </c>
      <c r="B468" s="20" t="str">
        <f>IFERROR(__xludf.DUMMYFUNCTION("""COMPUTED_VALUE"""),"Xbox / PC")</f>
        <v>Xbox / PC</v>
      </c>
      <c r="C468" s="21" t="str">
        <f>IFERROR(__xludf.DUMMYFUNCTION("""COMPUTED_VALUE"""),"Yes")</f>
        <v>Yes</v>
      </c>
      <c r="D468" s="21" t="str">
        <f>IFERROR(__xludf.DUMMYFUNCTION("""COMPUTED_VALUE"""),"Removed")</f>
        <v>Removed</v>
      </c>
      <c r="E468" s="279">
        <f>IFERROR(__xludf.DUMMYFUNCTION("""COMPUTED_VALUE"""),44579.0)</f>
        <v>44579</v>
      </c>
      <c r="F468" s="276">
        <f>IFERROR(__xludf.DUMMYFUNCTION("""COMPUTED_VALUE"""),44941.0)</f>
        <v>44941</v>
      </c>
      <c r="G468" s="27">
        <f>IFERROR(__xludf.DUMMYFUNCTION("""COMPUTED_VALUE"""),11.9)</f>
        <v>11.9</v>
      </c>
      <c r="H468" s="128">
        <f>IFERROR(__xludf.DUMMYFUNCTION("""COMPUTED_VALUE"""),44579.0)</f>
        <v>44579</v>
      </c>
      <c r="I468" s="27">
        <f>IFERROR(__xludf.DUMMYFUNCTION("""COMPUTED_VALUE"""),0.0)</f>
        <v>0</v>
      </c>
      <c r="J468" s="29">
        <f>IFERROR(__xludf.DUMMYFUNCTION("""COMPUTED_VALUE"""),78.5)</f>
        <v>78.5</v>
      </c>
      <c r="K468" s="29">
        <f>IFERROR(__xludf.DUMMYFUNCTION("""COMPUTED_VALUE"""),13.5)</f>
        <v>13.5</v>
      </c>
      <c r="L468" s="275" t="str">
        <f>IFERROR(__xludf.DUMMYFUNCTION("""COMPUTED_VALUE"""),"RPG")</f>
        <v>RPG</v>
      </c>
    </row>
    <row r="469" hidden="1">
      <c r="A469" s="278" t="str">
        <f>IFERROR(__xludf.DUMMYFUNCTION("""COMPUTED_VALUE"""),"The Anacrusis (Game Preview)")</f>
        <v>The Anacrusis (Game Preview)</v>
      </c>
      <c r="B469" s="20" t="str">
        <f>IFERROR(__xludf.DUMMYFUNCTION("""COMPUTED_VALUE"""),"Xbox / PC")</f>
        <v>Xbox / PC</v>
      </c>
      <c r="C469" s="20" t="str">
        <f>IFERROR(__xludf.DUMMYFUNCTION("""COMPUTED_VALUE"""),"Yes")</f>
        <v>Yes</v>
      </c>
      <c r="D469" s="21" t="str">
        <f>IFERROR(__xludf.DUMMYFUNCTION("""COMPUTED_VALUE"""),"Removed")</f>
        <v>Removed</v>
      </c>
      <c r="E469" s="279">
        <f>IFERROR(__xludf.DUMMYFUNCTION("""COMPUTED_VALUE"""),44574.0)</f>
        <v>44574</v>
      </c>
      <c r="F469" s="24">
        <f>IFERROR(__xludf.DUMMYFUNCTION("""COMPUTED_VALUE"""),44941.0)</f>
        <v>44941</v>
      </c>
      <c r="G469" s="27">
        <f>IFERROR(__xludf.DUMMYFUNCTION("""COMPUTED_VALUE"""),12.066666666666666)</f>
        <v>12.06666667</v>
      </c>
      <c r="H469" s="128">
        <f>IFERROR(__xludf.DUMMYFUNCTION("""COMPUTED_VALUE"""),44574.0)</f>
        <v>44574</v>
      </c>
      <c r="I469" s="27">
        <f>IFERROR(__xludf.DUMMYFUNCTION("""COMPUTED_VALUE"""),0.0)</f>
        <v>0</v>
      </c>
      <c r="J469" s="277">
        <f>IFERROR(__xludf.DUMMYFUNCTION("""COMPUTED_VALUE"""),55.0)</f>
        <v>55</v>
      </c>
      <c r="K469" s="277">
        <f>IFERROR(__xludf.DUMMYFUNCTION("""COMPUTED_VALUE"""),5.5)</f>
        <v>5.5</v>
      </c>
      <c r="L469" s="275" t="str">
        <f>IFERROR(__xludf.DUMMYFUNCTION("""COMPUTED_VALUE"""),"Shooter")</f>
        <v>Shooter</v>
      </c>
    </row>
    <row r="470" hidden="1">
      <c r="A470" s="17" t="str">
        <f>IFERROR(__xludf.DUMMYFUNCTION("""COMPUTED_VALUE"""),"Embr")</f>
        <v>Embr</v>
      </c>
      <c r="B470" s="20" t="str">
        <f>IFERROR(__xludf.DUMMYFUNCTION("""COMPUTED_VALUE"""),"Xbox / PC")</f>
        <v>Xbox / PC</v>
      </c>
      <c r="C470" s="20" t="str">
        <f>IFERROR(__xludf.DUMMYFUNCTION("""COMPUTED_VALUE"""),"Yes")</f>
        <v>Yes</v>
      </c>
      <c r="D470" s="21" t="str">
        <f>IFERROR(__xludf.DUMMYFUNCTION("""COMPUTED_VALUE"""),"Removed")</f>
        <v>Removed</v>
      </c>
      <c r="E470" s="127">
        <f>IFERROR(__xludf.DUMMYFUNCTION("""COMPUTED_VALUE"""),44567.0)</f>
        <v>44567</v>
      </c>
      <c r="F470" s="276">
        <f>IFERROR(__xludf.DUMMYFUNCTION("""COMPUTED_VALUE"""),44926.0)</f>
        <v>44926</v>
      </c>
      <c r="G470" s="27">
        <f>IFERROR(__xludf.DUMMYFUNCTION("""COMPUTED_VALUE"""),11.799999999999999)</f>
        <v>11.8</v>
      </c>
      <c r="H470" s="128">
        <f>IFERROR(__xludf.DUMMYFUNCTION("""COMPUTED_VALUE"""),43972.0)</f>
        <v>43972</v>
      </c>
      <c r="I470" s="27">
        <f>IFERROR(__xludf.DUMMYFUNCTION("""COMPUTED_VALUE"""),1.625)</f>
        <v>1.625</v>
      </c>
      <c r="J470" s="29">
        <f>IFERROR(__xludf.DUMMYFUNCTION("""COMPUTED_VALUE"""),72.0)</f>
        <v>72</v>
      </c>
      <c r="K470" s="29">
        <f>IFERROR(__xludf.DUMMYFUNCTION("""COMPUTED_VALUE"""),7.5)</f>
        <v>7.5</v>
      </c>
      <c r="L470" s="31" t="str">
        <f>IFERROR(__xludf.DUMMYFUNCTION("""COMPUTED_VALUE"""),"Action")</f>
        <v>Action</v>
      </c>
    </row>
    <row r="471" hidden="1">
      <c r="A471" s="17" t="str">
        <f>IFERROR(__xludf.DUMMYFUNCTION("""COMPUTED_VALUE"""),"Outer Wilds")</f>
        <v>Outer Wilds</v>
      </c>
      <c r="B471" s="20" t="str">
        <f>IFERROR(__xludf.DUMMYFUNCTION("""COMPUTED_VALUE"""),"Xbox / PC")</f>
        <v>Xbox / PC</v>
      </c>
      <c r="C471" s="21" t="str">
        <f>IFERROR(__xludf.DUMMYFUNCTION("""COMPUTED_VALUE"""),"Yes")</f>
        <v>Yes</v>
      </c>
      <c r="D471" s="21" t="str">
        <f>IFERROR(__xludf.DUMMYFUNCTION("""COMPUTED_VALUE"""),"Removed")</f>
        <v>Removed</v>
      </c>
      <c r="E471" s="23">
        <f>IFERROR(__xludf.DUMMYFUNCTION("""COMPUTED_VALUE"""),44567.0)</f>
        <v>44567</v>
      </c>
      <c r="F471" s="276">
        <f>IFERROR(__xludf.DUMMYFUNCTION("""COMPUTED_VALUE"""),44926.0)</f>
        <v>44926</v>
      </c>
      <c r="G471" s="27">
        <f>IFERROR(__xludf.DUMMYFUNCTION("""COMPUTED_VALUE"""),11.799999999999999)</f>
        <v>11.8</v>
      </c>
      <c r="H471" s="128">
        <f>IFERROR(__xludf.DUMMYFUNCTION("""COMPUTED_VALUE"""),43614.0)</f>
        <v>43614</v>
      </c>
      <c r="I471" s="27">
        <f>IFERROR(__xludf.DUMMYFUNCTION("""COMPUTED_VALUE"""),2.602777777777778)</f>
        <v>2.602777778</v>
      </c>
      <c r="J471" s="29">
        <f>IFERROR(__xludf.DUMMYFUNCTION("""COMPUTED_VALUE"""),85.0)</f>
        <v>85</v>
      </c>
      <c r="K471" s="29">
        <f>IFERROR(__xludf.DUMMYFUNCTION("""COMPUTED_VALUE"""),15.0)</f>
        <v>15</v>
      </c>
      <c r="L471" s="31" t="str">
        <f>IFERROR(__xludf.DUMMYFUNCTION("""COMPUTED_VALUE"""),"Adventure")</f>
        <v>Adventure</v>
      </c>
    </row>
    <row r="472" hidden="1">
      <c r="A472" s="17" t="str">
        <f>IFERROR(__xludf.DUMMYFUNCTION("""COMPUTED_VALUE"""),"Gorogoa")</f>
        <v>Gorogoa</v>
      </c>
      <c r="B472" s="20" t="str">
        <f>IFERROR(__xludf.DUMMYFUNCTION("""COMPUTED_VALUE"""),"Xbox / PC")</f>
        <v>Xbox / PC</v>
      </c>
      <c r="C472" s="20" t="str">
        <f>IFERROR(__xludf.DUMMYFUNCTION("""COMPUTED_VALUE"""),"Yes")</f>
        <v>Yes</v>
      </c>
      <c r="D472" s="21" t="str">
        <f>IFERROR(__xludf.DUMMYFUNCTION("""COMPUTED_VALUE"""),"Removed")</f>
        <v>Removed</v>
      </c>
      <c r="E472" s="23">
        <f>IFERROR(__xludf.DUMMYFUNCTION("""COMPUTED_VALUE"""),44565.0)</f>
        <v>44565</v>
      </c>
      <c r="F472" s="276">
        <f>IFERROR(__xludf.DUMMYFUNCTION("""COMPUTED_VALUE"""),44926.0)</f>
        <v>44926</v>
      </c>
      <c r="G472" s="18">
        <f>IFERROR(__xludf.DUMMYFUNCTION("""COMPUTED_VALUE"""),11.866666666666667)</f>
        <v>11.86666667</v>
      </c>
      <c r="H472" s="128">
        <f>IFERROR(__xludf.DUMMYFUNCTION("""COMPUTED_VALUE"""),43083.0)</f>
        <v>43083</v>
      </c>
      <c r="I472" s="27">
        <f>IFERROR(__xludf.DUMMYFUNCTION("""COMPUTED_VALUE"""),4.055555555555555)</f>
        <v>4.055555556</v>
      </c>
      <c r="J472" s="29">
        <f>IFERROR(__xludf.DUMMYFUNCTION("""COMPUTED_VALUE"""),82.0)</f>
        <v>82</v>
      </c>
      <c r="K472" s="29">
        <f>IFERROR(__xludf.DUMMYFUNCTION("""COMPUTED_VALUE"""),2.0)</f>
        <v>2</v>
      </c>
      <c r="L472" s="31" t="str">
        <f>IFERROR(__xludf.DUMMYFUNCTION("""COMPUTED_VALUE"""),"Puzzle")</f>
        <v>Puzzle</v>
      </c>
    </row>
    <row r="473" hidden="1">
      <c r="A473" s="278" t="str">
        <f>IFERROR(__xludf.DUMMYFUNCTION("""COMPUTED_VALUE"""),"The Pedestrian")</f>
        <v>The Pedestrian</v>
      </c>
      <c r="B473" s="20" t="str">
        <f>IFERROR(__xludf.DUMMYFUNCTION("""COMPUTED_VALUE"""),"Xbox / PC")</f>
        <v>Xbox / PC</v>
      </c>
      <c r="C473" s="20" t="str">
        <f>IFERROR(__xludf.DUMMYFUNCTION("""COMPUTED_VALUE"""),"Touch Controls")</f>
        <v>Touch Controls</v>
      </c>
      <c r="D473" s="21" t="str">
        <f>IFERROR(__xludf.DUMMYFUNCTION("""COMPUTED_VALUE"""),"Removed")</f>
        <v>Removed</v>
      </c>
      <c r="E473" s="279">
        <f>IFERROR(__xludf.DUMMYFUNCTION("""COMPUTED_VALUE"""),44565.0)</f>
        <v>44565</v>
      </c>
      <c r="F473" s="24">
        <f>IFERROR(__xludf.DUMMYFUNCTION("""COMPUTED_VALUE"""),44926.0)</f>
        <v>44926</v>
      </c>
      <c r="G473" s="27">
        <f>IFERROR(__xludf.DUMMYFUNCTION("""COMPUTED_VALUE"""),11.866666666666667)</f>
        <v>11.86666667</v>
      </c>
      <c r="H473" s="128">
        <f>IFERROR(__xludf.DUMMYFUNCTION("""COMPUTED_VALUE"""),43859.0)</f>
        <v>43859</v>
      </c>
      <c r="I473" s="27">
        <f>IFERROR(__xludf.DUMMYFUNCTION("""COMPUTED_VALUE"""),1.9305555555555556)</f>
        <v>1.930555556</v>
      </c>
      <c r="J473" s="277">
        <f>IFERROR(__xludf.DUMMYFUNCTION("""COMPUTED_VALUE"""),81.0)</f>
        <v>81</v>
      </c>
      <c r="K473" s="29">
        <f>IFERROR(__xludf.DUMMYFUNCTION("""COMPUTED_VALUE"""),4.0)</f>
        <v>4</v>
      </c>
      <c r="L473" s="275" t="str">
        <f>IFERROR(__xludf.DUMMYFUNCTION("""COMPUTED_VALUE"""),"Platformer")</f>
        <v>Platformer</v>
      </c>
    </row>
    <row r="474" hidden="1">
      <c r="A474" s="278" t="str">
        <f>IFERROR(__xludf.DUMMYFUNCTION("""COMPUTED_VALUE"""),"Scarlet Nexus")</f>
        <v>Scarlet Nexus</v>
      </c>
      <c r="B474" s="20" t="str">
        <f>IFERROR(__xludf.DUMMYFUNCTION("""COMPUTED_VALUE"""),"Xbox / PC")</f>
        <v>Xbox / PC</v>
      </c>
      <c r="C474" s="20" t="str">
        <f>IFERROR(__xludf.DUMMYFUNCTION("""COMPUTED_VALUE"""),"Yes")</f>
        <v>Yes</v>
      </c>
      <c r="D474" s="21" t="str">
        <f>IFERROR(__xludf.DUMMYFUNCTION("""COMPUTED_VALUE"""),"Removed")</f>
        <v>Removed</v>
      </c>
      <c r="E474" s="279">
        <f>IFERROR(__xludf.DUMMYFUNCTION("""COMPUTED_VALUE"""),44469.0)</f>
        <v>44469</v>
      </c>
      <c r="F474" s="24">
        <f>IFERROR(__xludf.DUMMYFUNCTION("""COMPUTED_VALUE"""),44926.0)</f>
        <v>44926</v>
      </c>
      <c r="G474" s="27">
        <f>IFERROR(__xludf.DUMMYFUNCTION("""COMPUTED_VALUE"""),15.0)</f>
        <v>15</v>
      </c>
      <c r="H474" s="128">
        <f>IFERROR(__xludf.DUMMYFUNCTION("""COMPUTED_VALUE"""),44372.0)</f>
        <v>44372</v>
      </c>
      <c r="I474" s="27">
        <f>IFERROR(__xludf.DUMMYFUNCTION("""COMPUTED_VALUE"""),0.2638888888888889)</f>
        <v>0.2638888889</v>
      </c>
      <c r="J474" s="277">
        <f>IFERROR(__xludf.DUMMYFUNCTION("""COMPUTED_VALUE"""),78.0)</f>
        <v>78</v>
      </c>
      <c r="K474" s="29">
        <f>IFERROR(__xludf.DUMMYFUNCTION("""COMPUTED_VALUE"""),25.0)</f>
        <v>25</v>
      </c>
      <c r="L474" s="275" t="str">
        <f>IFERROR(__xludf.DUMMYFUNCTION("""COMPUTED_VALUE"""),"RPG")</f>
        <v>RPG</v>
      </c>
    </row>
    <row r="475" hidden="1">
      <c r="A475" s="278" t="str">
        <f>IFERROR(__xludf.DUMMYFUNCTION("""COMPUTED_VALUE"""),"Immortal Realms: Vampire Wars")</f>
        <v>Immortal Realms: Vampire Wars</v>
      </c>
      <c r="B475" s="20" t="str">
        <f>IFERROR(__xludf.DUMMYFUNCTION("""COMPUTED_VALUE"""),"Xbox / PC")</f>
        <v>Xbox / PC</v>
      </c>
      <c r="C475" s="20" t="str">
        <f>IFERROR(__xludf.DUMMYFUNCTION("""COMPUTED_VALUE"""),"Yes")</f>
        <v>Yes</v>
      </c>
      <c r="D475" s="21" t="str">
        <f>IFERROR(__xludf.DUMMYFUNCTION("""COMPUTED_VALUE"""),"Removed")</f>
        <v>Removed</v>
      </c>
      <c r="E475" s="279">
        <f>IFERROR(__xludf.DUMMYFUNCTION("""COMPUTED_VALUE"""),44378.0)</f>
        <v>44378</v>
      </c>
      <c r="F475" s="24">
        <f>IFERROR(__xludf.DUMMYFUNCTION("""COMPUTED_VALUE"""),44926.0)</f>
        <v>44926</v>
      </c>
      <c r="G475" s="27">
        <f>IFERROR(__xludf.DUMMYFUNCTION("""COMPUTED_VALUE"""),17.96666666666667)</f>
        <v>17.96666667</v>
      </c>
      <c r="H475" s="128">
        <f>IFERROR(__xludf.DUMMYFUNCTION("""COMPUTED_VALUE"""),43749.0)</f>
        <v>43749</v>
      </c>
      <c r="I475" s="27">
        <f>IFERROR(__xludf.DUMMYFUNCTION("""COMPUTED_VALUE"""),1.7222222222222223)</f>
        <v>1.722222222</v>
      </c>
      <c r="J475" s="277">
        <f>IFERROR(__xludf.DUMMYFUNCTION("""COMPUTED_VALUE"""),68.5)</f>
        <v>68.5</v>
      </c>
      <c r="K475" s="277">
        <f>IFERROR(__xludf.DUMMYFUNCTION("""COMPUTED_VALUE"""),20.5)</f>
        <v>20.5</v>
      </c>
      <c r="L475" s="275" t="str">
        <f>IFERROR(__xludf.DUMMYFUNCTION("""COMPUTED_VALUE"""),"Strategy")</f>
        <v>Strategy</v>
      </c>
    </row>
    <row r="476" hidden="1">
      <c r="A476" s="17" t="str">
        <f>IFERROR(__xludf.DUMMYFUNCTION("""COMPUTED_VALUE"""),"Iron Harvest")</f>
        <v>Iron Harvest</v>
      </c>
      <c r="B476" s="20" t="str">
        <f>IFERROR(__xludf.DUMMYFUNCTION("""COMPUTED_VALUE"""),"PC")</f>
        <v>PC</v>
      </c>
      <c r="C476" s="20"/>
      <c r="D476" s="21" t="str">
        <f>IFERROR(__xludf.DUMMYFUNCTION("""COMPUTED_VALUE"""),"Removed")</f>
        <v>Removed</v>
      </c>
      <c r="E476" s="127">
        <f>IFERROR(__xludf.DUMMYFUNCTION("""COMPUTED_VALUE"""),44371.0)</f>
        <v>44371</v>
      </c>
      <c r="F476" s="24">
        <f>IFERROR(__xludf.DUMMYFUNCTION("""COMPUTED_VALUE"""),44926.0)</f>
        <v>44926</v>
      </c>
      <c r="G476" s="27">
        <f>IFERROR(__xludf.DUMMYFUNCTION("""COMPUTED_VALUE"""),18.2)</f>
        <v>18.2</v>
      </c>
      <c r="H476" s="128">
        <f>IFERROR(__xludf.DUMMYFUNCTION("""COMPUTED_VALUE"""),44075.0)</f>
        <v>44075</v>
      </c>
      <c r="I476" s="27">
        <f>IFERROR(__xludf.DUMMYFUNCTION("""COMPUTED_VALUE"""),0.8138888888888889)</f>
        <v>0.8138888889</v>
      </c>
      <c r="J476" s="29">
        <f>IFERROR(__xludf.DUMMYFUNCTION("""COMPUTED_VALUE"""),75.0)</f>
        <v>75</v>
      </c>
      <c r="K476" s="29">
        <f>IFERROR(__xludf.DUMMYFUNCTION("""COMPUTED_VALUE"""),23.0)</f>
        <v>23</v>
      </c>
      <c r="L476" s="31" t="str">
        <f>IFERROR(__xludf.DUMMYFUNCTION("""COMPUTED_VALUE"""),"Real-Time Strategy")</f>
        <v>Real-Time Strategy</v>
      </c>
    </row>
    <row r="477" hidden="1">
      <c r="A477" s="17" t="str">
        <f>IFERROR(__xludf.DUMMYFUNCTION("""COMPUTED_VALUE"""),"Tropico 6")</f>
        <v>Tropico 6</v>
      </c>
      <c r="B477" s="20" t="str">
        <f>IFERROR(__xludf.DUMMYFUNCTION("""COMPUTED_VALUE"""),"Xbox / PC")</f>
        <v>Xbox / PC</v>
      </c>
      <c r="C477" s="20" t="str">
        <f>IFERROR(__xludf.DUMMYFUNCTION("""COMPUTED_VALUE"""),"Touch Controls")</f>
        <v>Touch Controls</v>
      </c>
      <c r="D477" s="21" t="str">
        <f>IFERROR(__xludf.DUMMYFUNCTION("""COMPUTED_VALUE"""),"Removed")</f>
        <v>Removed</v>
      </c>
      <c r="E477" s="127">
        <f>IFERROR(__xludf.DUMMYFUNCTION("""COMPUTED_VALUE"""),44273.0)</f>
        <v>44273</v>
      </c>
      <c r="F477" s="24">
        <f>IFERROR(__xludf.DUMMYFUNCTION("""COMPUTED_VALUE"""),44926.0)</f>
        <v>44926</v>
      </c>
      <c r="G477" s="27">
        <f>IFERROR(__xludf.DUMMYFUNCTION("""COMPUTED_VALUE"""),21.400000000000002)</f>
        <v>21.4</v>
      </c>
      <c r="H477" s="128">
        <f>IFERROR(__xludf.DUMMYFUNCTION("""COMPUTED_VALUE"""),43553.0)</f>
        <v>43553</v>
      </c>
      <c r="I477" s="27">
        <f>IFERROR(__xludf.DUMMYFUNCTION("""COMPUTED_VALUE"""),1.9694444444444446)</f>
        <v>1.969444444</v>
      </c>
      <c r="J477" s="29">
        <f>IFERROR(__xludf.DUMMYFUNCTION("""COMPUTED_VALUE"""),78.0)</f>
        <v>78</v>
      </c>
      <c r="K477" s="29">
        <f>IFERROR(__xludf.DUMMYFUNCTION("""COMPUTED_VALUE"""),27.0)</f>
        <v>27</v>
      </c>
      <c r="L477" s="31" t="str">
        <f>IFERROR(__xludf.DUMMYFUNCTION("""COMPUTED_VALUE"""),"Simulation")</f>
        <v>Simulation</v>
      </c>
    </row>
    <row r="478" hidden="1">
      <c r="A478" s="17" t="str">
        <f>IFERROR(__xludf.DUMMYFUNCTION("""COMPUTED_VALUE"""),"Secret Neighbor")</f>
        <v>Secret Neighbor</v>
      </c>
      <c r="B478" s="20" t="str">
        <f>IFERROR(__xludf.DUMMYFUNCTION("""COMPUTED_VALUE"""),"Xbox / PC")</f>
        <v>Xbox / PC</v>
      </c>
      <c r="C478" s="20" t="str">
        <f>IFERROR(__xludf.DUMMYFUNCTION("""COMPUTED_VALUE"""),"Yes")</f>
        <v>Yes</v>
      </c>
      <c r="D478" s="21" t="str">
        <f>IFERROR(__xludf.DUMMYFUNCTION("""COMPUTED_VALUE"""),"Removed")</f>
        <v>Removed</v>
      </c>
      <c r="E478" s="279">
        <f>IFERROR(__xludf.DUMMYFUNCTION("""COMPUTED_VALUE"""),43761.0)</f>
        <v>43761</v>
      </c>
      <c r="F478" s="24">
        <f>IFERROR(__xludf.DUMMYFUNCTION("""COMPUTED_VALUE"""),44926.0)</f>
        <v>44926</v>
      </c>
      <c r="G478" s="27">
        <f>IFERROR(__xludf.DUMMYFUNCTION("""COMPUTED_VALUE"""),38.233333333333334)</f>
        <v>38.23333333</v>
      </c>
      <c r="H478" s="128">
        <f>IFERROR(__xludf.DUMMYFUNCTION("""COMPUTED_VALUE"""),43761.0)</f>
        <v>43761</v>
      </c>
      <c r="I478" s="27">
        <f>IFERROR(__xludf.DUMMYFUNCTION("""COMPUTED_VALUE"""),0.0)</f>
        <v>0</v>
      </c>
      <c r="J478" s="277">
        <f>IFERROR(__xludf.DUMMYFUNCTION("""COMPUTED_VALUE"""),70.0)</f>
        <v>70</v>
      </c>
      <c r="K478" s="29">
        <f>IFERROR(__xludf.DUMMYFUNCTION("""COMPUTED_VALUE"""),3.0)</f>
        <v>3</v>
      </c>
      <c r="L478" s="275" t="str">
        <f>IFERROR(__xludf.DUMMYFUNCTION("""COMPUTED_VALUE"""),"Action")</f>
        <v>Action</v>
      </c>
    </row>
    <row r="479" hidden="1">
      <c r="A479" s="278" t="str">
        <f>IFERROR(__xludf.DUMMYFUNCTION("""COMPUTED_VALUE"""),"Lake")</f>
        <v>Lake</v>
      </c>
      <c r="B479" s="20" t="str">
        <f>IFERROR(__xludf.DUMMYFUNCTION("""COMPUTED_VALUE"""),"Xbox / PC")</f>
        <v>Xbox / PC</v>
      </c>
      <c r="C479" s="20" t="str">
        <f>IFERROR(__xludf.DUMMYFUNCTION("""COMPUTED_VALUE"""),"Touch Controls")</f>
        <v>Touch Controls</v>
      </c>
      <c r="D479" s="21" t="str">
        <f>IFERROR(__xludf.DUMMYFUNCTION("""COMPUTED_VALUE"""),"Removed")</f>
        <v>Removed</v>
      </c>
      <c r="E479" s="279">
        <f>IFERROR(__xludf.DUMMYFUNCTION("""COMPUTED_VALUE"""),44546.0)</f>
        <v>44546</v>
      </c>
      <c r="F479" s="24">
        <f>IFERROR(__xludf.DUMMYFUNCTION("""COMPUTED_VALUE"""),44910.0)</f>
        <v>44910</v>
      </c>
      <c r="G479" s="27">
        <f>IFERROR(__xludf.DUMMYFUNCTION("""COMPUTED_VALUE"""),11.966666666666667)</f>
        <v>11.96666667</v>
      </c>
      <c r="H479" s="128">
        <f>IFERROR(__xludf.DUMMYFUNCTION("""COMPUTED_VALUE"""),44440.0)</f>
        <v>44440</v>
      </c>
      <c r="I479" s="27">
        <f>IFERROR(__xludf.DUMMYFUNCTION("""COMPUTED_VALUE"""),0.2916666666666667)</f>
        <v>0.2916666667</v>
      </c>
      <c r="J479" s="277">
        <f>IFERROR(__xludf.DUMMYFUNCTION("""COMPUTED_VALUE"""),72.5)</f>
        <v>72.5</v>
      </c>
      <c r="K479" s="277">
        <f>IFERROR(__xludf.DUMMYFUNCTION("""COMPUTED_VALUE"""),6.5)</f>
        <v>6.5</v>
      </c>
      <c r="L479" s="275" t="str">
        <f>IFERROR(__xludf.DUMMYFUNCTION("""COMPUTED_VALUE"""),"Adventure")</f>
        <v>Adventure</v>
      </c>
    </row>
    <row r="480" hidden="1">
      <c r="A480" s="278" t="str">
        <f>IFERROR(__xludf.DUMMYFUNCTION("""COMPUTED_VALUE"""),"Race With Ryan")</f>
        <v>Race With Ryan</v>
      </c>
      <c r="B480" s="20" t="str">
        <f>IFERROR(__xludf.DUMMYFUNCTION("""COMPUTED_VALUE"""),"Xbox / PC")</f>
        <v>Xbox / PC</v>
      </c>
      <c r="C480" s="21" t="str">
        <f>IFERROR(__xludf.DUMMYFUNCTION("""COMPUTED_VALUE"""),"Touch Controls")</f>
        <v>Touch Controls</v>
      </c>
      <c r="D480" s="21" t="str">
        <f>IFERROR(__xludf.DUMMYFUNCTION("""COMPUTED_VALUE"""),"Removed")</f>
        <v>Removed</v>
      </c>
      <c r="E480" s="279">
        <f>IFERROR(__xludf.DUMMYFUNCTION("""COMPUTED_VALUE"""),44546.0)</f>
        <v>44546</v>
      </c>
      <c r="F480" s="24">
        <f>IFERROR(__xludf.DUMMYFUNCTION("""COMPUTED_VALUE"""),44910.0)</f>
        <v>44910</v>
      </c>
      <c r="G480" s="27">
        <f>IFERROR(__xludf.DUMMYFUNCTION("""COMPUTED_VALUE"""),11.966666666666667)</f>
        <v>11.96666667</v>
      </c>
      <c r="H480" s="128">
        <f>IFERROR(__xludf.DUMMYFUNCTION("""COMPUTED_VALUE"""),43770.0)</f>
        <v>43770</v>
      </c>
      <c r="I480" s="27">
        <f>IFERROR(__xludf.DUMMYFUNCTION("""COMPUTED_VALUE"""),2.125)</f>
        <v>2.125</v>
      </c>
      <c r="J480" s="277">
        <f>IFERROR(__xludf.DUMMYFUNCTION("""COMPUTED_VALUE"""),51.0)</f>
        <v>51</v>
      </c>
      <c r="K480" s="29">
        <f>IFERROR(__xludf.DUMMYFUNCTION("""COMPUTED_VALUE"""),1.0)</f>
        <v>1</v>
      </c>
      <c r="L480" s="275" t="str">
        <f>IFERROR(__xludf.DUMMYFUNCTION("""COMPUTED_VALUE"""),"Racing")</f>
        <v>Racing</v>
      </c>
    </row>
    <row r="481" hidden="1">
      <c r="A481" s="278" t="str">
        <f>IFERROR(__xludf.DUMMYFUNCTION("""COMPUTED_VALUE"""),"Record of Lodoss War: Deedlit in Wonder Labyrinth")</f>
        <v>Record of Lodoss War: Deedlit in Wonder Labyrinth</v>
      </c>
      <c r="B481" s="20" t="str">
        <f>IFERROR(__xludf.DUMMYFUNCTION("""COMPUTED_VALUE"""),"Xbox / PC")</f>
        <v>Xbox / PC</v>
      </c>
      <c r="C481" s="21" t="str">
        <f>IFERROR(__xludf.DUMMYFUNCTION("""COMPUTED_VALUE"""),"Yes")</f>
        <v>Yes</v>
      </c>
      <c r="D481" s="21" t="str">
        <f>IFERROR(__xludf.DUMMYFUNCTION("""COMPUTED_VALUE"""),"Removed")</f>
        <v>Removed</v>
      </c>
      <c r="E481" s="279">
        <f>IFERROR(__xludf.DUMMYFUNCTION("""COMPUTED_VALUE"""),44546.0)</f>
        <v>44546</v>
      </c>
      <c r="F481" s="24">
        <f>IFERROR(__xludf.DUMMYFUNCTION("""COMPUTED_VALUE"""),44910.0)</f>
        <v>44910</v>
      </c>
      <c r="G481" s="27">
        <f>IFERROR(__xludf.DUMMYFUNCTION("""COMPUTED_VALUE"""),11.966666666666667)</f>
        <v>11.96666667</v>
      </c>
      <c r="H481" s="128">
        <f>IFERROR(__xludf.DUMMYFUNCTION("""COMPUTED_VALUE"""),43903.0)</f>
        <v>43903</v>
      </c>
      <c r="I481" s="27">
        <f>IFERROR(__xludf.DUMMYFUNCTION("""COMPUTED_VALUE"""),1.7583333333333333)</f>
        <v>1.758333333</v>
      </c>
      <c r="J481" s="277">
        <f>IFERROR(__xludf.DUMMYFUNCTION("""COMPUTED_VALUE"""),73.0)</f>
        <v>73</v>
      </c>
      <c r="K481" s="29">
        <f>IFERROR(__xludf.DUMMYFUNCTION("""COMPUTED_VALUE"""),5.5)</f>
        <v>5.5</v>
      </c>
      <c r="L481" s="275" t="str">
        <f>IFERROR(__xludf.DUMMYFUNCTION("""COMPUTED_VALUE"""),"Platformer")</f>
        <v>Platformer</v>
      </c>
    </row>
    <row r="482" hidden="1">
      <c r="A482" s="278" t="str">
        <f>IFERROR(__xludf.DUMMYFUNCTION("""COMPUTED_VALUE"""),"Transformers: Battlegrounds")</f>
        <v>Transformers: Battlegrounds</v>
      </c>
      <c r="B482" s="20" t="str">
        <f>IFERROR(__xludf.DUMMYFUNCTION("""COMPUTED_VALUE"""),"Xbox / PC")</f>
        <v>Xbox / PC</v>
      </c>
      <c r="C482" s="20" t="str">
        <f>IFERROR(__xludf.DUMMYFUNCTION("""COMPUTED_VALUE"""),"Touch Controls")</f>
        <v>Touch Controls</v>
      </c>
      <c r="D482" s="21" t="str">
        <f>IFERROR(__xludf.DUMMYFUNCTION("""COMPUTED_VALUE"""),"Removed")</f>
        <v>Removed</v>
      </c>
      <c r="E482" s="279">
        <f>IFERROR(__xludf.DUMMYFUNCTION("""COMPUTED_VALUE"""),44546.0)</f>
        <v>44546</v>
      </c>
      <c r="F482" s="276">
        <f>IFERROR(__xludf.DUMMYFUNCTION("""COMPUTED_VALUE"""),44910.0)</f>
        <v>44910</v>
      </c>
      <c r="G482" s="27">
        <f>IFERROR(__xludf.DUMMYFUNCTION("""COMPUTED_VALUE"""),11.966666666666667)</f>
        <v>11.96666667</v>
      </c>
      <c r="H482" s="128">
        <f>IFERROR(__xludf.DUMMYFUNCTION("""COMPUTED_VALUE"""),44127.0)</f>
        <v>44127</v>
      </c>
      <c r="I482" s="27">
        <f>IFERROR(__xludf.DUMMYFUNCTION("""COMPUTED_VALUE"""),1.1472222222222221)</f>
        <v>1.147222222</v>
      </c>
      <c r="J482" s="277">
        <f>IFERROR(__xludf.DUMMYFUNCTION("""COMPUTED_VALUE"""),71.0)</f>
        <v>71</v>
      </c>
      <c r="K482" s="29">
        <f>IFERROR(__xludf.DUMMYFUNCTION("""COMPUTED_VALUE"""),9.0)</f>
        <v>9</v>
      </c>
      <c r="L482" s="275" t="str">
        <f>IFERROR(__xludf.DUMMYFUNCTION("""COMPUTED_VALUE"""),"Strategy")</f>
        <v>Strategy</v>
      </c>
    </row>
    <row r="483" hidden="1">
      <c r="A483" s="278" t="str">
        <f>IFERROR(__xludf.DUMMYFUNCTION("""COMPUTED_VALUE"""),"One Piece: Pirate Warriors 4")</f>
        <v>One Piece: Pirate Warriors 4</v>
      </c>
      <c r="B483" s="20" t="str">
        <f>IFERROR(__xludf.DUMMYFUNCTION("""COMPUTED_VALUE"""),"Xbox / PC")</f>
        <v>Xbox / PC</v>
      </c>
      <c r="C483" s="21" t="str">
        <f>IFERROR(__xludf.DUMMYFUNCTION("""COMPUTED_VALUE"""),"Touch Controls")</f>
        <v>Touch Controls</v>
      </c>
      <c r="D483" s="21" t="str">
        <f>IFERROR(__xludf.DUMMYFUNCTION("""COMPUTED_VALUE"""),"Removed")</f>
        <v>Removed</v>
      </c>
      <c r="E483" s="279">
        <f>IFERROR(__xludf.DUMMYFUNCTION("""COMPUTED_VALUE"""),44539.0)</f>
        <v>44539</v>
      </c>
      <c r="F483" s="24">
        <f>IFERROR(__xludf.DUMMYFUNCTION("""COMPUTED_VALUE"""),44910.0)</f>
        <v>44910</v>
      </c>
      <c r="G483" s="27">
        <f>IFERROR(__xludf.DUMMYFUNCTION("""COMPUTED_VALUE"""),12.2)</f>
        <v>12.2</v>
      </c>
      <c r="H483" s="128">
        <f>IFERROR(__xludf.DUMMYFUNCTION("""COMPUTED_VALUE"""),43916.0)</f>
        <v>43916</v>
      </c>
      <c r="I483" s="27">
        <f>IFERROR(__xludf.DUMMYFUNCTION("""COMPUTED_VALUE"""),1.7027777777777777)</f>
        <v>1.702777778</v>
      </c>
      <c r="J483" s="277">
        <f>IFERROR(__xludf.DUMMYFUNCTION("""COMPUTED_VALUE"""),76.0)</f>
        <v>76</v>
      </c>
      <c r="K483" s="277">
        <f>IFERROR(__xludf.DUMMYFUNCTION("""COMPUTED_VALUE"""),16.0)</f>
        <v>16</v>
      </c>
      <c r="L483" s="275" t="str">
        <f>IFERROR(__xludf.DUMMYFUNCTION("""COMPUTED_VALUE"""),"Brawler")</f>
        <v>Brawler</v>
      </c>
    </row>
    <row r="484" hidden="1">
      <c r="A484" s="278" t="str">
        <f>IFERROR(__xludf.DUMMYFUNCTION("""COMPUTED_VALUE"""),"Breathedge")</f>
        <v>Breathedge</v>
      </c>
      <c r="B484" s="20" t="str">
        <f>IFERROR(__xludf.DUMMYFUNCTION("""COMPUTED_VALUE"""),"Xbox / PC")</f>
        <v>Xbox / PC</v>
      </c>
      <c r="C484" s="20" t="str">
        <f>IFERROR(__xludf.DUMMYFUNCTION("""COMPUTED_VALUE"""),"Yes")</f>
        <v>Yes</v>
      </c>
      <c r="D484" s="21" t="str">
        <f>IFERROR(__xludf.DUMMYFUNCTION("""COMPUTED_VALUE"""),"Removed")</f>
        <v>Removed</v>
      </c>
      <c r="E484" s="279">
        <f>IFERROR(__xludf.DUMMYFUNCTION("""COMPUTED_VALUE"""),44448.0)</f>
        <v>44448</v>
      </c>
      <c r="F484" s="24">
        <f>IFERROR(__xludf.DUMMYFUNCTION("""COMPUTED_VALUE"""),44910.0)</f>
        <v>44910</v>
      </c>
      <c r="G484" s="27">
        <f>IFERROR(__xludf.DUMMYFUNCTION("""COMPUTED_VALUE"""),15.2)</f>
        <v>15.2</v>
      </c>
      <c r="H484" s="128">
        <f>IFERROR(__xludf.DUMMYFUNCTION("""COMPUTED_VALUE"""),43356.0)</f>
        <v>43356</v>
      </c>
      <c r="I484" s="27">
        <f>IFERROR(__xludf.DUMMYFUNCTION("""COMPUTED_VALUE"""),2.988888888888889)</f>
        <v>2.988888889</v>
      </c>
      <c r="J484" s="277">
        <f>IFERROR(__xludf.DUMMYFUNCTION("""COMPUTED_VALUE"""),71.0)</f>
        <v>71</v>
      </c>
      <c r="K484" s="277">
        <f>IFERROR(__xludf.DUMMYFUNCTION("""COMPUTED_VALUE"""),5.5)</f>
        <v>5.5</v>
      </c>
      <c r="L484" s="275" t="str">
        <f>IFERROR(__xludf.DUMMYFUNCTION("""COMPUTED_VALUE"""),"Adventure")</f>
        <v>Adventure</v>
      </c>
    </row>
    <row r="485" hidden="1">
      <c r="A485" s="278" t="str">
        <f>IFERROR(__xludf.DUMMYFUNCTION("""COMPUTED_VALUE"""),"Neoverse")</f>
        <v>Neoverse</v>
      </c>
      <c r="B485" s="20" t="str">
        <f>IFERROR(__xludf.DUMMYFUNCTION("""COMPUTED_VALUE"""),"Xbox / PC")</f>
        <v>Xbox / PC</v>
      </c>
      <c r="C485" s="20" t="str">
        <f>IFERROR(__xludf.DUMMYFUNCTION("""COMPUTED_VALUE"""),"Touch Controls")</f>
        <v>Touch Controls</v>
      </c>
      <c r="D485" s="21" t="str">
        <f>IFERROR(__xludf.DUMMYFUNCTION("""COMPUTED_VALUE"""),"Removed")</f>
        <v>Removed</v>
      </c>
      <c r="E485" s="279">
        <f>IFERROR(__xludf.DUMMYFUNCTION("""COMPUTED_VALUE"""),44182.0)</f>
        <v>44182</v>
      </c>
      <c r="F485" s="24">
        <f>IFERROR(__xludf.DUMMYFUNCTION("""COMPUTED_VALUE"""),44910.0)</f>
        <v>44910</v>
      </c>
      <c r="G485" s="27">
        <f>IFERROR(__xludf.DUMMYFUNCTION("""COMPUTED_VALUE"""),23.933333333333334)</f>
        <v>23.93333333</v>
      </c>
      <c r="H485" s="128">
        <f>IFERROR(__xludf.DUMMYFUNCTION("""COMPUTED_VALUE"""),43474.0)</f>
        <v>43474</v>
      </c>
      <c r="I485" s="27">
        <f>IFERROR(__xludf.DUMMYFUNCTION("""COMPUTED_VALUE"""),1.9388888888888889)</f>
        <v>1.938888889</v>
      </c>
      <c r="J485" s="29">
        <f>IFERROR(__xludf.DUMMYFUNCTION("""COMPUTED_VALUE"""),68.0)</f>
        <v>68</v>
      </c>
      <c r="K485" s="29">
        <f>IFERROR(__xludf.DUMMYFUNCTION("""COMPUTED_VALUE"""),3.0)</f>
        <v>3</v>
      </c>
      <c r="L485" s="275" t="str">
        <f>IFERROR(__xludf.DUMMYFUNCTION("""COMPUTED_VALUE"""),"RPG")</f>
        <v>RPG</v>
      </c>
    </row>
    <row r="486" hidden="1">
      <c r="A486" s="278" t="str">
        <f>IFERROR(__xludf.DUMMYFUNCTION("""COMPUTED_VALUE"""),"Dragon Quest XI S: Echoes of an Elusive Age - Definitive Edition")</f>
        <v>Dragon Quest XI S: Echoes of an Elusive Age - Definitive Edition</v>
      </c>
      <c r="B486" s="20" t="str">
        <f>IFERROR(__xludf.DUMMYFUNCTION("""COMPUTED_VALUE"""),"Xbox / PC")</f>
        <v>Xbox / PC</v>
      </c>
      <c r="C486" s="21" t="str">
        <f>IFERROR(__xludf.DUMMYFUNCTION("""COMPUTED_VALUE"""),"Touch Controls")</f>
        <v>Touch Controls</v>
      </c>
      <c r="D486" s="21" t="str">
        <f>IFERROR(__xludf.DUMMYFUNCTION("""COMPUTED_VALUE"""),"Removed")</f>
        <v>Removed</v>
      </c>
      <c r="E486" s="279">
        <f>IFERROR(__xludf.DUMMYFUNCTION("""COMPUTED_VALUE"""),44169.0)</f>
        <v>44169</v>
      </c>
      <c r="F486" s="24">
        <f>IFERROR(__xludf.DUMMYFUNCTION("""COMPUTED_VALUE"""),44910.0)</f>
        <v>44910</v>
      </c>
      <c r="G486" s="27">
        <f>IFERROR(__xludf.DUMMYFUNCTION("""COMPUTED_VALUE"""),24.366666666666667)</f>
        <v>24.36666667</v>
      </c>
      <c r="H486" s="128">
        <f>IFERROR(__xludf.DUMMYFUNCTION("""COMPUTED_VALUE"""),42945.0)</f>
        <v>42945</v>
      </c>
      <c r="I486" s="27">
        <f>IFERROR(__xludf.DUMMYFUNCTION("""COMPUTED_VALUE"""),3.3472222222222223)</f>
        <v>3.347222222</v>
      </c>
      <c r="J486" s="277">
        <f>IFERROR(__xludf.DUMMYFUNCTION("""COMPUTED_VALUE"""),91.0)</f>
        <v>91</v>
      </c>
      <c r="K486" s="29">
        <f>IFERROR(__xludf.DUMMYFUNCTION("""COMPUTED_VALUE"""),56.0)</f>
        <v>56</v>
      </c>
      <c r="L486" s="275" t="str">
        <f>IFERROR(__xludf.DUMMYFUNCTION("""COMPUTED_VALUE"""),"RPG")</f>
        <v>RPG</v>
      </c>
    </row>
    <row r="487" hidden="1">
      <c r="A487" s="278" t="str">
        <f>IFERROR(__xludf.DUMMYFUNCTION("""COMPUTED_VALUE"""),"Rory McIlroy PGA Tour")</f>
        <v>Rory McIlroy PGA Tour</v>
      </c>
      <c r="B487" s="20" t="str">
        <f>IFERROR(__xludf.DUMMYFUNCTION("""COMPUTED_VALUE"""),"Xbox")</f>
        <v>Xbox</v>
      </c>
      <c r="C487" s="20"/>
      <c r="D487" s="21" t="str">
        <f>IFERROR(__xludf.DUMMYFUNCTION("""COMPUTED_VALUE"""),"Removed")</f>
        <v>Removed</v>
      </c>
      <c r="E487" s="279">
        <f>IFERROR(__xludf.DUMMYFUNCTION("""COMPUTED_VALUE"""),44145.0)</f>
        <v>44145</v>
      </c>
      <c r="F487" s="24">
        <f>IFERROR(__xludf.DUMMYFUNCTION("""COMPUTED_VALUE"""),44910.0)</f>
        <v>44910</v>
      </c>
      <c r="G487" s="27">
        <f>IFERROR(__xludf.DUMMYFUNCTION("""COMPUTED_VALUE"""),25.166666666666668)</f>
        <v>25.16666667</v>
      </c>
      <c r="H487" s="128">
        <f>IFERROR(__xludf.DUMMYFUNCTION("""COMPUTED_VALUE"""),42199.0)</f>
        <v>42199</v>
      </c>
      <c r="I487" s="27">
        <f>IFERROR(__xludf.DUMMYFUNCTION("""COMPUTED_VALUE"""),5.322222222222222)</f>
        <v>5.322222222</v>
      </c>
      <c r="J487" s="277">
        <f>IFERROR(__xludf.DUMMYFUNCTION("""COMPUTED_VALUE"""),60.0)</f>
        <v>60</v>
      </c>
      <c r="K487" s="277">
        <f>IFERROR(__xludf.DUMMYFUNCTION("""COMPUTED_VALUE"""),40.0)</f>
        <v>40</v>
      </c>
      <c r="L487" s="275" t="str">
        <f>IFERROR(__xludf.DUMMYFUNCTION("""COMPUTED_VALUE"""),"Sports")</f>
        <v>Sports</v>
      </c>
    </row>
    <row r="488" hidden="1">
      <c r="A488" s="278" t="str">
        <f>IFERROR(__xludf.DUMMYFUNCTION("""COMPUTED_VALUE"""),"Space Warlord Organ Trading Simulator")</f>
        <v>Space Warlord Organ Trading Simulator</v>
      </c>
      <c r="B488" s="20" t="str">
        <f>IFERROR(__xludf.DUMMYFUNCTION("""COMPUTED_VALUE"""),"Xbox / PC")</f>
        <v>Xbox / PC</v>
      </c>
      <c r="C488" s="20" t="str">
        <f>IFERROR(__xludf.DUMMYFUNCTION("""COMPUTED_VALUE"""),"Touch Controls")</f>
        <v>Touch Controls</v>
      </c>
      <c r="D488" s="21" t="str">
        <f>IFERROR(__xludf.DUMMYFUNCTION("""COMPUTED_VALUE"""),"Removed")</f>
        <v>Removed</v>
      </c>
      <c r="E488" s="279">
        <f>IFERROR(__xludf.DUMMYFUNCTION("""COMPUTED_VALUE"""),44537.0)</f>
        <v>44537</v>
      </c>
      <c r="F488" s="24">
        <f>IFERROR(__xludf.DUMMYFUNCTION("""COMPUTED_VALUE"""),44895.0)</f>
        <v>44895</v>
      </c>
      <c r="G488" s="27">
        <f>IFERROR(__xludf.DUMMYFUNCTION("""COMPUTED_VALUE"""),11.766666666666666)</f>
        <v>11.76666667</v>
      </c>
      <c r="H488" s="128">
        <f>IFERROR(__xludf.DUMMYFUNCTION("""COMPUTED_VALUE"""),44537.0)</f>
        <v>44537</v>
      </c>
      <c r="I488" s="27">
        <f>IFERROR(__xludf.DUMMYFUNCTION("""COMPUTED_VALUE"""),0.0)</f>
        <v>0</v>
      </c>
      <c r="J488" s="277">
        <f>IFERROR(__xludf.DUMMYFUNCTION("""COMPUTED_VALUE"""),70.0)</f>
        <v>70</v>
      </c>
      <c r="K488" s="29">
        <f>IFERROR(__xludf.DUMMYFUNCTION("""COMPUTED_VALUE"""),2.0)</f>
        <v>2</v>
      </c>
      <c r="L488" s="275" t="str">
        <f>IFERROR(__xludf.DUMMYFUNCTION("""COMPUTED_VALUE"""),"Simulation")</f>
        <v>Simulation</v>
      </c>
    </row>
    <row r="489" hidden="1">
      <c r="A489" s="278" t="str">
        <f>IFERROR(__xludf.DUMMYFUNCTION("""COMPUTED_VALUE"""),"Archvale")</f>
        <v>Archvale</v>
      </c>
      <c r="B489" s="20" t="str">
        <f>IFERROR(__xludf.DUMMYFUNCTION("""COMPUTED_VALUE"""),"Xbox / PC")</f>
        <v>Xbox / PC</v>
      </c>
      <c r="C489" s="21" t="str">
        <f>IFERROR(__xludf.DUMMYFUNCTION("""COMPUTED_VALUE"""),"Touch Controls")</f>
        <v>Touch Controls</v>
      </c>
      <c r="D489" s="21" t="str">
        <f>IFERROR(__xludf.DUMMYFUNCTION("""COMPUTED_VALUE"""),"Removed")</f>
        <v>Removed</v>
      </c>
      <c r="E489" s="279">
        <f>IFERROR(__xludf.DUMMYFUNCTION("""COMPUTED_VALUE"""),44532.0)</f>
        <v>44532</v>
      </c>
      <c r="F489" s="24">
        <f>IFERROR(__xludf.DUMMYFUNCTION("""COMPUTED_VALUE"""),44895.0)</f>
        <v>44895</v>
      </c>
      <c r="G489" s="27">
        <f>IFERROR(__xludf.DUMMYFUNCTION("""COMPUTED_VALUE"""),11.933333333333334)</f>
        <v>11.93333333</v>
      </c>
      <c r="H489" s="128">
        <f>IFERROR(__xludf.DUMMYFUNCTION("""COMPUTED_VALUE"""),44532.0)</f>
        <v>44532</v>
      </c>
      <c r="I489" s="27">
        <f>IFERROR(__xludf.DUMMYFUNCTION("""COMPUTED_VALUE"""),0.0)</f>
        <v>0</v>
      </c>
      <c r="J489" s="277">
        <f>IFERROR(__xludf.DUMMYFUNCTION("""COMPUTED_VALUE"""),84.0)</f>
        <v>84</v>
      </c>
      <c r="K489" s="277">
        <f>IFERROR(__xludf.DUMMYFUNCTION("""COMPUTED_VALUE"""),9.0)</f>
        <v>9</v>
      </c>
      <c r="L489" s="275" t="str">
        <f>IFERROR(__xludf.DUMMYFUNCTION("""COMPUTED_VALUE"""),"Shooter")</f>
        <v>Shooter</v>
      </c>
    </row>
    <row r="490" hidden="1">
      <c r="A490" s="278" t="str">
        <f>IFERROR(__xludf.DUMMYFUNCTION("""COMPUTED_VALUE"""),"Final Fantasy XIII-2")</f>
        <v>Final Fantasy XIII-2</v>
      </c>
      <c r="B490" s="20" t="str">
        <f>IFERROR(__xludf.DUMMYFUNCTION("""COMPUTED_VALUE"""),"Xbox / PC")</f>
        <v>Xbox / PC</v>
      </c>
      <c r="C490" s="20"/>
      <c r="D490" s="21" t="str">
        <f>IFERROR(__xludf.DUMMYFUNCTION("""COMPUTED_VALUE"""),"Removed")</f>
        <v>Removed</v>
      </c>
      <c r="E490" s="279">
        <f>IFERROR(__xludf.DUMMYFUNCTION("""COMPUTED_VALUE"""),44532.0)</f>
        <v>44532</v>
      </c>
      <c r="F490" s="24">
        <f>IFERROR(__xludf.DUMMYFUNCTION("""COMPUTED_VALUE"""),44895.0)</f>
        <v>44895</v>
      </c>
      <c r="G490" s="27">
        <f>IFERROR(__xludf.DUMMYFUNCTION("""COMPUTED_VALUE"""),11.933333333333334)</f>
        <v>11.93333333</v>
      </c>
      <c r="H490" s="128">
        <f>IFERROR(__xludf.DUMMYFUNCTION("""COMPUTED_VALUE"""),40892.0)</f>
        <v>40892</v>
      </c>
      <c r="I490" s="27">
        <f>IFERROR(__xludf.DUMMYFUNCTION("""COMPUTED_VALUE"""),9.963888888888889)</f>
        <v>9.963888889</v>
      </c>
      <c r="J490" s="277">
        <f>IFERROR(__xludf.DUMMYFUNCTION("""COMPUTED_VALUE"""),78.5)</f>
        <v>78.5</v>
      </c>
      <c r="K490" s="29">
        <f>IFERROR(__xludf.DUMMYFUNCTION("""COMPUTED_VALUE"""),28.0)</f>
        <v>28</v>
      </c>
      <c r="L490" s="275" t="str">
        <f>IFERROR(__xludf.DUMMYFUNCTION("""COMPUTED_VALUE"""),"RPG")</f>
        <v>RPG</v>
      </c>
    </row>
    <row r="491" hidden="1">
      <c r="A491" s="17" t="str">
        <f>IFERROR(__xludf.DUMMYFUNCTION("""COMPUTED_VALUE"""),"Warhammer 40,000: Battlesector")</f>
        <v>Warhammer 40,000: Battlesector</v>
      </c>
      <c r="B491" s="20" t="str">
        <f>IFERROR(__xludf.DUMMYFUNCTION("""COMPUTED_VALUE"""),"Xbox / PC")</f>
        <v>Xbox / PC</v>
      </c>
      <c r="C491" s="20" t="str">
        <f>IFERROR(__xludf.DUMMYFUNCTION("""COMPUTED_VALUE"""),"Yes")</f>
        <v>Yes</v>
      </c>
      <c r="D491" s="21" t="str">
        <f>IFERROR(__xludf.DUMMYFUNCTION("""COMPUTED_VALUE"""),"Removed")</f>
        <v>Removed</v>
      </c>
      <c r="E491" s="128">
        <f>IFERROR(__xludf.DUMMYFUNCTION("""COMPUTED_VALUE"""),44532.0)</f>
        <v>44532</v>
      </c>
      <c r="F491" s="24">
        <f>IFERROR(__xludf.DUMMYFUNCTION("""COMPUTED_VALUE"""),44895.0)</f>
        <v>44895</v>
      </c>
      <c r="G491" s="27">
        <f>IFERROR(__xludf.DUMMYFUNCTION("""COMPUTED_VALUE"""),11.933333333333334)</f>
        <v>11.93333333</v>
      </c>
      <c r="H491" s="128">
        <f>IFERROR(__xludf.DUMMYFUNCTION("""COMPUTED_VALUE"""),44392.0)</f>
        <v>44392</v>
      </c>
      <c r="I491" s="27">
        <f>IFERROR(__xludf.DUMMYFUNCTION("""COMPUTED_VALUE"""),0.38055555555555554)</f>
        <v>0.3805555556</v>
      </c>
      <c r="J491" s="29">
        <f>IFERROR(__xludf.DUMMYFUNCTION("""COMPUTED_VALUE"""),74.0)</f>
        <v>74</v>
      </c>
      <c r="K491" s="29">
        <f>IFERROR(__xludf.DUMMYFUNCTION("""COMPUTED_VALUE"""),19.5)</f>
        <v>19.5</v>
      </c>
      <c r="L491" s="31" t="str">
        <f>IFERROR(__xludf.DUMMYFUNCTION("""COMPUTED_VALUE"""),"Strategy")</f>
        <v>Strategy</v>
      </c>
    </row>
    <row r="492" hidden="1">
      <c r="A492" s="278" t="str">
        <f>IFERROR(__xludf.DUMMYFUNCTION("""COMPUTED_VALUE"""),"Mind Scanners")</f>
        <v>Mind Scanners</v>
      </c>
      <c r="B492" s="20" t="str">
        <f>IFERROR(__xludf.DUMMYFUNCTION("""COMPUTED_VALUE"""),"Xbox / PC")</f>
        <v>Xbox / PC</v>
      </c>
      <c r="C492" s="20" t="str">
        <f>IFERROR(__xludf.DUMMYFUNCTION("""COMPUTED_VALUE"""),"Yes")</f>
        <v>Yes</v>
      </c>
      <c r="D492" s="21" t="str">
        <f>IFERROR(__xludf.DUMMYFUNCTION("""COMPUTED_VALUE"""),"Removed")</f>
        <v>Removed</v>
      </c>
      <c r="E492" s="279">
        <f>IFERROR(__xludf.DUMMYFUNCTION("""COMPUTED_VALUE"""),44531.0)</f>
        <v>44531</v>
      </c>
      <c r="F492" s="24">
        <f>IFERROR(__xludf.DUMMYFUNCTION("""COMPUTED_VALUE"""),44895.0)</f>
        <v>44895</v>
      </c>
      <c r="G492" s="27">
        <f>IFERROR(__xludf.DUMMYFUNCTION("""COMPUTED_VALUE"""),11.966666666666667)</f>
        <v>11.96666667</v>
      </c>
      <c r="H492" s="128">
        <f>IFERROR(__xludf.DUMMYFUNCTION("""COMPUTED_VALUE"""),44336.0)</f>
        <v>44336</v>
      </c>
      <c r="I492" s="27">
        <f>IFERROR(__xludf.DUMMYFUNCTION("""COMPUTED_VALUE"""),0.5305555555555556)</f>
        <v>0.5305555556</v>
      </c>
      <c r="J492" s="277">
        <f>IFERROR(__xludf.DUMMYFUNCTION("""COMPUTED_VALUE"""),75.0)</f>
        <v>75</v>
      </c>
      <c r="K492" s="29">
        <f>IFERROR(__xludf.DUMMYFUNCTION("""COMPUTED_VALUE"""),2.5)</f>
        <v>2.5</v>
      </c>
      <c r="L492" s="275" t="str">
        <f>IFERROR(__xludf.DUMMYFUNCTION("""COMPUTED_VALUE"""),"RPG")</f>
        <v>RPG</v>
      </c>
    </row>
    <row r="493" hidden="1">
      <c r="A493" s="17" t="str">
        <f>IFERROR(__xludf.DUMMYFUNCTION("""COMPUTED_VALUE"""),"DEEEER Simulator")</f>
        <v>DEEEER Simulator</v>
      </c>
      <c r="B493" s="20" t="str">
        <f>IFERROR(__xludf.DUMMYFUNCTION("""COMPUTED_VALUE"""),"Xbox / PC")</f>
        <v>Xbox / PC</v>
      </c>
      <c r="C493" s="20" t="str">
        <f>IFERROR(__xludf.DUMMYFUNCTION("""COMPUTED_VALUE"""),"Yes")</f>
        <v>Yes</v>
      </c>
      <c r="D493" s="21" t="str">
        <f>IFERROR(__xludf.DUMMYFUNCTION("""COMPUTED_VALUE"""),"Removed")</f>
        <v>Removed</v>
      </c>
      <c r="E493" s="279">
        <f>IFERROR(__xludf.DUMMYFUNCTION("""COMPUTED_VALUE"""),44523.0)</f>
        <v>44523</v>
      </c>
      <c r="F493" s="24">
        <f>IFERROR(__xludf.DUMMYFUNCTION("""COMPUTED_VALUE"""),44895.0)</f>
        <v>44895</v>
      </c>
      <c r="G493" s="27">
        <f>IFERROR(__xludf.DUMMYFUNCTION("""COMPUTED_VALUE"""),12.233333333333333)</f>
        <v>12.23333333</v>
      </c>
      <c r="H493" s="128">
        <f>IFERROR(__xludf.DUMMYFUNCTION("""COMPUTED_VALUE"""),43851.0)</f>
        <v>43851</v>
      </c>
      <c r="I493" s="27">
        <f>IFERROR(__xludf.DUMMYFUNCTION("""COMPUTED_VALUE"""),1.8388888888888888)</f>
        <v>1.838888889</v>
      </c>
      <c r="J493" s="277">
        <f>IFERROR(__xludf.DUMMYFUNCTION("""COMPUTED_VALUE"""),46.666666666666664)</f>
        <v>46.66666667</v>
      </c>
      <c r="K493" s="29">
        <f>IFERROR(__xludf.DUMMYFUNCTION("""COMPUTED_VALUE"""),1.0)</f>
        <v>1</v>
      </c>
      <c r="L493" s="275" t="str">
        <f>IFERROR(__xludf.DUMMYFUNCTION("""COMPUTED_VALUE"""),"Action")</f>
        <v>Action</v>
      </c>
    </row>
    <row r="494" hidden="1">
      <c r="A494" s="278" t="str">
        <f>IFERROR(__xludf.DUMMYFUNCTION("""COMPUTED_VALUE"""),"Undungeon")</f>
        <v>Undungeon</v>
      </c>
      <c r="B494" s="20" t="str">
        <f>IFERROR(__xludf.DUMMYFUNCTION("""COMPUTED_VALUE"""),"Xbox / PC")</f>
        <v>Xbox / PC</v>
      </c>
      <c r="C494" s="20" t="str">
        <f>IFERROR(__xludf.DUMMYFUNCTION("""COMPUTED_VALUE"""),"Touch Controls")</f>
        <v>Touch Controls</v>
      </c>
      <c r="D494" s="21" t="str">
        <f>IFERROR(__xludf.DUMMYFUNCTION("""COMPUTED_VALUE"""),"Removed")</f>
        <v>Removed</v>
      </c>
      <c r="E494" s="279">
        <f>IFERROR(__xludf.DUMMYFUNCTION("""COMPUTED_VALUE"""),44518.0)</f>
        <v>44518</v>
      </c>
      <c r="F494" s="24">
        <f>IFERROR(__xludf.DUMMYFUNCTION("""COMPUTED_VALUE"""),44895.0)</f>
        <v>44895</v>
      </c>
      <c r="G494" s="27">
        <f>IFERROR(__xludf.DUMMYFUNCTION("""COMPUTED_VALUE"""),12.400000000000002)</f>
        <v>12.4</v>
      </c>
      <c r="H494" s="128">
        <f>IFERROR(__xludf.DUMMYFUNCTION("""COMPUTED_VALUE"""),44518.0)</f>
        <v>44518</v>
      </c>
      <c r="I494" s="27">
        <f>IFERROR(__xludf.DUMMYFUNCTION("""COMPUTED_VALUE"""),0.0)</f>
        <v>0</v>
      </c>
      <c r="J494" s="277">
        <f>IFERROR(__xludf.DUMMYFUNCTION("""COMPUTED_VALUE"""),69.83333333333333)</f>
        <v>69.83333333</v>
      </c>
      <c r="K494" s="277">
        <f>IFERROR(__xludf.DUMMYFUNCTION("""COMPUTED_VALUE"""),4.0)</f>
        <v>4</v>
      </c>
      <c r="L494" s="275" t="str">
        <f>IFERROR(__xludf.DUMMYFUNCTION("""COMPUTED_VALUE"""),"RPG")</f>
        <v>RPG</v>
      </c>
    </row>
    <row r="495" hidden="1">
      <c r="A495" s="278" t="str">
        <f>IFERROR(__xludf.DUMMYFUNCTION("""COMPUTED_VALUE"""),"Fae Tactics")</f>
        <v>Fae Tactics</v>
      </c>
      <c r="B495" s="20" t="str">
        <f>IFERROR(__xludf.DUMMYFUNCTION("""COMPUTED_VALUE"""),"Xbox / PC")</f>
        <v>Xbox / PC</v>
      </c>
      <c r="C495" s="20" t="str">
        <f>IFERROR(__xludf.DUMMYFUNCTION("""COMPUTED_VALUE"""),"Touch Controls")</f>
        <v>Touch Controls</v>
      </c>
      <c r="D495" s="21" t="str">
        <f>IFERROR(__xludf.DUMMYFUNCTION("""COMPUTED_VALUE"""),"Removed")</f>
        <v>Removed</v>
      </c>
      <c r="E495" s="279">
        <f>IFERROR(__xludf.DUMMYFUNCTION("""COMPUTED_VALUE"""),44518.0)</f>
        <v>44518</v>
      </c>
      <c r="F495" s="24">
        <f>IFERROR(__xludf.DUMMYFUNCTION("""COMPUTED_VALUE"""),44880.0)</f>
        <v>44880</v>
      </c>
      <c r="G495" s="27">
        <f>IFERROR(__xludf.DUMMYFUNCTION("""COMPUTED_VALUE"""),11.9)</f>
        <v>11.9</v>
      </c>
      <c r="H495" s="128">
        <f>IFERROR(__xludf.DUMMYFUNCTION("""COMPUTED_VALUE"""),44043.0)</f>
        <v>44043</v>
      </c>
      <c r="I495" s="27">
        <f>IFERROR(__xludf.DUMMYFUNCTION("""COMPUTED_VALUE"""),1.3)</f>
        <v>1.3</v>
      </c>
      <c r="J495" s="29">
        <f>IFERROR(__xludf.DUMMYFUNCTION("""COMPUTED_VALUE"""),77.0)</f>
        <v>77</v>
      </c>
      <c r="K495" s="29">
        <f>IFERROR(__xludf.DUMMYFUNCTION("""COMPUTED_VALUE"""),32.5)</f>
        <v>32.5</v>
      </c>
      <c r="L495" s="275" t="str">
        <f>IFERROR(__xludf.DUMMYFUNCTION("""COMPUTED_VALUE"""),"RPG")</f>
        <v>RPG</v>
      </c>
    </row>
    <row r="496" hidden="1">
      <c r="A496" s="278" t="str">
        <f>IFERROR(__xludf.DUMMYFUNCTION("""COMPUTED_VALUE"""),"Next Space Rebels")</f>
        <v>Next Space Rebels</v>
      </c>
      <c r="B496" s="21" t="str">
        <f>IFERROR(__xludf.DUMMYFUNCTION("""COMPUTED_VALUE"""),"Xbox / PC")</f>
        <v>Xbox / PC</v>
      </c>
      <c r="C496" s="21" t="str">
        <f>IFERROR(__xludf.DUMMYFUNCTION("""COMPUTED_VALUE"""),"Yes")</f>
        <v>Yes</v>
      </c>
      <c r="D496" s="21" t="str">
        <f>IFERROR(__xludf.DUMMYFUNCTION("""COMPUTED_VALUE"""),"Removed")</f>
        <v>Removed</v>
      </c>
      <c r="E496" s="279">
        <f>IFERROR(__xludf.DUMMYFUNCTION("""COMPUTED_VALUE"""),44517.0)</f>
        <v>44517</v>
      </c>
      <c r="F496" s="24">
        <f>IFERROR(__xludf.DUMMYFUNCTION("""COMPUTED_VALUE"""),44880.0)</f>
        <v>44880</v>
      </c>
      <c r="G496" s="27">
        <f>IFERROR(__xludf.DUMMYFUNCTION("""COMPUTED_VALUE"""),11.933333333333334)</f>
        <v>11.93333333</v>
      </c>
      <c r="H496" s="128">
        <f>IFERROR(__xludf.DUMMYFUNCTION("""COMPUTED_VALUE"""),44517.0)</f>
        <v>44517</v>
      </c>
      <c r="I496" s="27">
        <f>IFERROR(__xludf.DUMMYFUNCTION("""COMPUTED_VALUE"""),0.0)</f>
        <v>0</v>
      </c>
      <c r="J496" s="277">
        <f>IFERROR(__xludf.DUMMYFUNCTION("""COMPUTED_VALUE"""),71.66666666666667)</f>
        <v>71.66666667</v>
      </c>
      <c r="K496" s="29">
        <f>IFERROR(__xludf.DUMMYFUNCTION("""COMPUTED_VALUE"""),18.0)</f>
        <v>18</v>
      </c>
      <c r="L496" s="275" t="str">
        <f>IFERROR(__xludf.DUMMYFUNCTION("""COMPUTED_VALUE"""),"Simulation")</f>
        <v>Simulation</v>
      </c>
    </row>
    <row r="497" hidden="1">
      <c r="A497" s="278" t="str">
        <f>IFERROR(__xludf.DUMMYFUNCTION("""COMPUTED_VALUE"""),"One Step from Eden")</f>
        <v>One Step from Eden</v>
      </c>
      <c r="B497" s="20" t="str">
        <f>IFERROR(__xludf.DUMMYFUNCTION("""COMPUTED_VALUE"""),"Xbox / PC")</f>
        <v>Xbox / PC</v>
      </c>
      <c r="C497" s="21" t="str">
        <f>IFERROR(__xludf.DUMMYFUNCTION("""COMPUTED_VALUE"""),"Touch Controls")</f>
        <v>Touch Controls</v>
      </c>
      <c r="D497" s="21" t="str">
        <f>IFERROR(__xludf.DUMMYFUNCTION("""COMPUTED_VALUE"""),"Removed")</f>
        <v>Removed</v>
      </c>
      <c r="E497" s="279">
        <f>IFERROR(__xludf.DUMMYFUNCTION("""COMPUTED_VALUE"""),44511.0)</f>
        <v>44511</v>
      </c>
      <c r="F497" s="24">
        <f>IFERROR(__xludf.DUMMYFUNCTION("""COMPUTED_VALUE"""),44880.0)</f>
        <v>44880</v>
      </c>
      <c r="G497" s="27">
        <f>IFERROR(__xludf.DUMMYFUNCTION("""COMPUTED_VALUE"""),12.133333333333333)</f>
        <v>12.13333333</v>
      </c>
      <c r="H497" s="128">
        <f>IFERROR(__xludf.DUMMYFUNCTION("""COMPUTED_VALUE"""),43916.0)</f>
        <v>43916</v>
      </c>
      <c r="I497" s="27">
        <f>IFERROR(__xludf.DUMMYFUNCTION("""COMPUTED_VALUE"""),1.625)</f>
        <v>1.625</v>
      </c>
      <c r="J497" s="277">
        <f>IFERROR(__xludf.DUMMYFUNCTION("""COMPUTED_VALUE"""),82.0)</f>
        <v>82</v>
      </c>
      <c r="K497" s="29">
        <f>IFERROR(__xludf.DUMMYFUNCTION("""COMPUTED_VALUE"""),7.5)</f>
        <v>7.5</v>
      </c>
      <c r="L497" s="275" t="str">
        <f>IFERROR(__xludf.DUMMYFUNCTION("""COMPUTED_VALUE"""),"Action")</f>
        <v>Action</v>
      </c>
    </row>
    <row r="498" hidden="1">
      <c r="A498" s="278" t="str">
        <f>IFERROR(__xludf.DUMMYFUNCTION("""COMPUTED_VALUE"""),"art of rally")</f>
        <v>art of rally</v>
      </c>
      <c r="B498" s="21" t="str">
        <f>IFERROR(__xludf.DUMMYFUNCTION("""COMPUTED_VALUE"""),"Xbox / PC")</f>
        <v>Xbox / PC</v>
      </c>
      <c r="C498" s="21" t="str">
        <f>IFERROR(__xludf.DUMMYFUNCTION("""COMPUTED_VALUE"""),"Touch Controls")</f>
        <v>Touch Controls</v>
      </c>
      <c r="D498" s="21" t="str">
        <f>IFERROR(__xludf.DUMMYFUNCTION("""COMPUTED_VALUE"""),"Removed")</f>
        <v>Removed</v>
      </c>
      <c r="E498" s="279">
        <f>IFERROR(__xludf.DUMMYFUNCTION("""COMPUTED_VALUE"""),44420.0)</f>
        <v>44420</v>
      </c>
      <c r="F498" s="279">
        <f>IFERROR(__xludf.DUMMYFUNCTION("""COMPUTED_VALUE"""),44880.0)</f>
        <v>44880</v>
      </c>
      <c r="G498" s="27">
        <f>IFERROR(__xludf.DUMMYFUNCTION("""COMPUTED_VALUE"""),15.1)</f>
        <v>15.1</v>
      </c>
      <c r="H498" s="128">
        <f>IFERROR(__xludf.DUMMYFUNCTION("""COMPUTED_VALUE"""),44097.0)</f>
        <v>44097</v>
      </c>
      <c r="I498" s="27">
        <f>IFERROR(__xludf.DUMMYFUNCTION("""COMPUTED_VALUE"""),0.8861111111111111)</f>
        <v>0.8861111111</v>
      </c>
      <c r="J498" s="29">
        <f>IFERROR(__xludf.DUMMYFUNCTION("""COMPUTED_VALUE"""),80.0)</f>
        <v>80</v>
      </c>
      <c r="K498" s="29">
        <f>IFERROR(__xludf.DUMMYFUNCTION("""COMPUTED_VALUE"""),16.5)</f>
        <v>16.5</v>
      </c>
      <c r="L498" s="275" t="str">
        <f>IFERROR(__xludf.DUMMYFUNCTION("""COMPUTED_VALUE"""),"Racing")</f>
        <v>Racing</v>
      </c>
    </row>
    <row r="499" hidden="1">
      <c r="A499" s="278" t="str">
        <f>IFERROR(__xludf.DUMMYFUNCTION("""COMPUTED_VALUE"""),"Supraland")</f>
        <v>Supraland</v>
      </c>
      <c r="B499" s="20" t="str">
        <f>IFERROR(__xludf.DUMMYFUNCTION("""COMPUTED_VALUE"""),"Xbox / PC")</f>
        <v>Xbox / PC</v>
      </c>
      <c r="C499" s="20"/>
      <c r="D499" s="21" t="str">
        <f>IFERROR(__xludf.DUMMYFUNCTION("""COMPUTED_VALUE"""),"Removed")</f>
        <v>Removed</v>
      </c>
      <c r="E499" s="279">
        <f>IFERROR(__xludf.DUMMYFUNCTION("""COMPUTED_VALUE"""),44126.0)</f>
        <v>44126</v>
      </c>
      <c r="F499" s="24">
        <f>IFERROR(__xludf.DUMMYFUNCTION("""COMPUTED_VALUE"""),44880.0)</f>
        <v>44880</v>
      </c>
      <c r="G499" s="27">
        <f>IFERROR(__xludf.DUMMYFUNCTION("""COMPUTED_VALUE"""),24.76666666666667)</f>
        <v>24.76666667</v>
      </c>
      <c r="H499" s="128">
        <f>IFERROR(__xludf.DUMMYFUNCTION("""COMPUTED_VALUE"""),43560.0)</f>
        <v>43560</v>
      </c>
      <c r="I499" s="27">
        <f>IFERROR(__xludf.DUMMYFUNCTION("""COMPUTED_VALUE"""),1.5472222222222223)</f>
        <v>1.547222222</v>
      </c>
      <c r="J499" s="277">
        <f>IFERROR(__xludf.DUMMYFUNCTION("""COMPUTED_VALUE"""),82.0)</f>
        <v>82</v>
      </c>
      <c r="K499" s="277">
        <f>IFERROR(__xludf.DUMMYFUNCTION("""COMPUTED_VALUE"""),13.0)</f>
        <v>13</v>
      </c>
      <c r="L499" s="275" t="str">
        <f>IFERROR(__xludf.DUMMYFUNCTION("""COMPUTED_VALUE"""),"Action-Adventure")</f>
        <v>Action-Adventure</v>
      </c>
    </row>
    <row r="500" hidden="1">
      <c r="A500" s="278" t="str">
        <f>IFERROR(__xludf.DUMMYFUNCTION("""COMPUTED_VALUE"""),"Subnautica")</f>
        <v>Subnautica</v>
      </c>
      <c r="B500" s="20" t="str">
        <f>IFERROR(__xludf.DUMMYFUNCTION("""COMPUTED_VALUE"""),"Xbox / PC")</f>
        <v>Xbox / PC</v>
      </c>
      <c r="C500" s="21" t="str">
        <f>IFERROR(__xludf.DUMMYFUNCTION("""COMPUTED_VALUE"""),"Yes")</f>
        <v>Yes</v>
      </c>
      <c r="D500" s="21" t="str">
        <f>IFERROR(__xludf.DUMMYFUNCTION("""COMPUTED_VALUE"""),"Removed")</f>
        <v>Removed</v>
      </c>
      <c r="E500" s="279">
        <f>IFERROR(__xludf.DUMMYFUNCTION("""COMPUTED_VALUE"""),43776.0)</f>
        <v>43776</v>
      </c>
      <c r="F500" s="24">
        <f>IFERROR(__xludf.DUMMYFUNCTION("""COMPUTED_VALUE"""),44880.0)</f>
        <v>44880</v>
      </c>
      <c r="G500" s="27">
        <f>IFERROR(__xludf.DUMMYFUNCTION("""COMPUTED_VALUE"""),36.266666666666666)</f>
        <v>36.26666667</v>
      </c>
      <c r="H500" s="128">
        <f>IFERROR(__xludf.DUMMYFUNCTION("""COMPUTED_VALUE"""),43123.0)</f>
        <v>43123</v>
      </c>
      <c r="I500" s="27">
        <f>IFERROR(__xludf.DUMMYFUNCTION("""COMPUTED_VALUE"""),1.788888888888889)</f>
        <v>1.788888889</v>
      </c>
      <c r="J500" s="277">
        <f>IFERROR(__xludf.DUMMYFUNCTION("""COMPUTED_VALUE"""),81.0)</f>
        <v>81</v>
      </c>
      <c r="K500" s="277">
        <f>IFERROR(__xludf.DUMMYFUNCTION("""COMPUTED_VALUE"""),27.0)</f>
        <v>27</v>
      </c>
      <c r="L500" s="275" t="str">
        <f>IFERROR(__xludf.DUMMYFUNCTION("""COMPUTED_VALUE"""),"Adventure")</f>
        <v>Adventure</v>
      </c>
    </row>
    <row r="501" hidden="1">
      <c r="A501" s="278" t="str">
        <f>IFERROR(__xludf.DUMMYFUNCTION("""COMPUTED_VALUE"""),"Football Manager 2022")</f>
        <v>Football Manager 2022</v>
      </c>
      <c r="B501" s="20" t="str">
        <f>IFERROR(__xludf.DUMMYFUNCTION("""COMPUTED_VALUE"""),"Xbox / PC")</f>
        <v>Xbox / PC</v>
      </c>
      <c r="C501" s="20" t="str">
        <f>IFERROR(__xludf.DUMMYFUNCTION("""COMPUTED_VALUE"""),"Touch Controls")</f>
        <v>Touch Controls</v>
      </c>
      <c r="D501" s="21" t="str">
        <f>IFERROR(__xludf.DUMMYFUNCTION("""COMPUTED_VALUE"""),"Removed")</f>
        <v>Removed</v>
      </c>
      <c r="E501" s="279">
        <f>IFERROR(__xludf.DUMMYFUNCTION("""COMPUTED_VALUE"""),44509.0)</f>
        <v>44509</v>
      </c>
      <c r="F501" s="24">
        <f>IFERROR(__xludf.DUMMYFUNCTION("""COMPUTED_VALUE"""),44873.0)</f>
        <v>44873</v>
      </c>
      <c r="G501" s="27">
        <f>IFERROR(__xludf.DUMMYFUNCTION("""COMPUTED_VALUE"""),11.966666666666667)</f>
        <v>11.96666667</v>
      </c>
      <c r="H501" s="128">
        <f>IFERROR(__xludf.DUMMYFUNCTION("""COMPUTED_VALUE"""),44509.0)</f>
        <v>44509</v>
      </c>
      <c r="I501" s="27">
        <f>IFERROR(__xludf.DUMMYFUNCTION("""COMPUTED_VALUE"""),0.0)</f>
        <v>0</v>
      </c>
      <c r="J501" s="29">
        <f>IFERROR(__xludf.DUMMYFUNCTION("""COMPUTED_VALUE"""),86.0)</f>
        <v>86</v>
      </c>
      <c r="K501" s="29">
        <f>IFERROR(__xludf.DUMMYFUNCTION("""COMPUTED_VALUE"""),85.0)</f>
        <v>85</v>
      </c>
      <c r="L501" s="275" t="str">
        <f>IFERROR(__xludf.DUMMYFUNCTION("""COMPUTED_VALUE"""),"Sports")</f>
        <v>Sports</v>
      </c>
    </row>
    <row r="502" hidden="1">
      <c r="A502" s="278" t="str">
        <f>IFERROR(__xludf.DUMMYFUNCTION("""COMPUTED_VALUE"""),"Alan Wake's American Nightmare")</f>
        <v>Alan Wake's American Nightmare</v>
      </c>
      <c r="B502" s="20" t="str">
        <f>IFERROR(__xludf.DUMMYFUNCTION("""COMPUTED_VALUE"""),"Xbox / PC")</f>
        <v>Xbox / PC</v>
      </c>
      <c r="C502" s="21"/>
      <c r="D502" s="21" t="str">
        <f>IFERROR(__xludf.DUMMYFUNCTION("""COMPUTED_VALUE"""),"Removed")</f>
        <v>Removed</v>
      </c>
      <c r="E502" s="279">
        <f>IFERROR(__xludf.DUMMYFUNCTION("""COMPUTED_VALUE"""),44497.0)</f>
        <v>44497</v>
      </c>
      <c r="F502" s="24">
        <f>IFERROR(__xludf.DUMMYFUNCTION("""COMPUTED_VALUE"""),44865.0)</f>
        <v>44865</v>
      </c>
      <c r="G502" s="27">
        <f>IFERROR(__xludf.DUMMYFUNCTION("""COMPUTED_VALUE"""),12.066666666666666)</f>
        <v>12.06666667</v>
      </c>
      <c r="H502" s="128">
        <f>IFERROR(__xludf.DUMMYFUNCTION("""COMPUTED_VALUE"""),40961.0)</f>
        <v>40961</v>
      </c>
      <c r="I502" s="27">
        <f>IFERROR(__xludf.DUMMYFUNCTION("""COMPUTED_VALUE"""),9.683333333333334)</f>
        <v>9.683333333</v>
      </c>
      <c r="J502" s="277">
        <f>IFERROR(__xludf.DUMMYFUNCTION("""COMPUTED_VALUE"""),75.0)</f>
        <v>75</v>
      </c>
      <c r="K502" s="29">
        <f>IFERROR(__xludf.DUMMYFUNCTION("""COMPUTED_VALUE"""),3.5)</f>
        <v>3.5</v>
      </c>
      <c r="L502" s="275" t="str">
        <f>IFERROR(__xludf.DUMMYFUNCTION("""COMPUTED_VALUE"""),"Shooter")</f>
        <v>Shooter</v>
      </c>
    </row>
    <row r="503" hidden="1">
      <c r="A503" s="278" t="str">
        <f>IFERROR(__xludf.DUMMYFUNCTION("""COMPUTED_VALUE"""),"Bassmaster Fishing 2022")</f>
        <v>Bassmaster Fishing 2022</v>
      </c>
      <c r="B503" s="20" t="str">
        <f>IFERROR(__xludf.DUMMYFUNCTION("""COMPUTED_VALUE"""),"Xbox / PC")</f>
        <v>Xbox / PC</v>
      </c>
      <c r="C503" s="20" t="str">
        <f>IFERROR(__xludf.DUMMYFUNCTION("""COMPUTED_VALUE"""),"Yes")</f>
        <v>Yes</v>
      </c>
      <c r="D503" s="21" t="str">
        <f>IFERROR(__xludf.DUMMYFUNCTION("""COMPUTED_VALUE"""),"Removed")</f>
        <v>Removed</v>
      </c>
      <c r="E503" s="279">
        <f>IFERROR(__xludf.DUMMYFUNCTION("""COMPUTED_VALUE"""),44497.0)</f>
        <v>44497</v>
      </c>
      <c r="F503" s="24">
        <f>IFERROR(__xludf.DUMMYFUNCTION("""COMPUTED_VALUE"""),44865.0)</f>
        <v>44865</v>
      </c>
      <c r="G503" s="27">
        <f>IFERROR(__xludf.DUMMYFUNCTION("""COMPUTED_VALUE"""),12.066666666666666)</f>
        <v>12.06666667</v>
      </c>
      <c r="H503" s="128">
        <f>IFERROR(__xludf.DUMMYFUNCTION("""COMPUTED_VALUE"""),44497.0)</f>
        <v>44497</v>
      </c>
      <c r="I503" s="27">
        <f>IFERROR(__xludf.DUMMYFUNCTION("""COMPUTED_VALUE"""),0.0)</f>
        <v>0</v>
      </c>
      <c r="J503" s="277">
        <f>IFERROR(__xludf.DUMMYFUNCTION("""COMPUTED_VALUE"""),75.0)</f>
        <v>75</v>
      </c>
      <c r="K503" s="29"/>
      <c r="L503" s="275" t="str">
        <f>IFERROR(__xludf.DUMMYFUNCTION("""COMPUTED_VALUE"""),"Sports")</f>
        <v>Sports</v>
      </c>
    </row>
    <row r="504" hidden="1">
      <c r="A504" s="278" t="str">
        <f>IFERROR(__xludf.DUMMYFUNCTION("""COMPUTED_VALUE"""),"Nongunz: Doppelganger Edition")</f>
        <v>Nongunz: Doppelganger Edition</v>
      </c>
      <c r="B504" s="20" t="str">
        <f>IFERROR(__xludf.DUMMYFUNCTION("""COMPUTED_VALUE"""),"Xbox / PC")</f>
        <v>Xbox / PC</v>
      </c>
      <c r="C504" s="20" t="str">
        <f>IFERROR(__xludf.DUMMYFUNCTION("""COMPUTED_VALUE"""),"Yes")</f>
        <v>Yes</v>
      </c>
      <c r="D504" s="21" t="str">
        <f>IFERROR(__xludf.DUMMYFUNCTION("""COMPUTED_VALUE"""),"Removed")</f>
        <v>Removed</v>
      </c>
      <c r="E504" s="279">
        <f>IFERROR(__xludf.DUMMYFUNCTION("""COMPUTED_VALUE"""),44497.0)</f>
        <v>44497</v>
      </c>
      <c r="F504" s="24">
        <f>IFERROR(__xludf.DUMMYFUNCTION("""COMPUTED_VALUE"""),44865.0)</f>
        <v>44865</v>
      </c>
      <c r="G504" s="27">
        <f>IFERROR(__xludf.DUMMYFUNCTION("""COMPUTED_VALUE"""),12.066666666666666)</f>
        <v>12.06666667</v>
      </c>
      <c r="H504" s="128">
        <f>IFERROR(__xludf.DUMMYFUNCTION("""COMPUTED_VALUE"""),44321.0)</f>
        <v>44321</v>
      </c>
      <c r="I504" s="27">
        <f>IFERROR(__xludf.DUMMYFUNCTION("""COMPUTED_VALUE"""),0.48055555555555557)</f>
        <v>0.4805555556</v>
      </c>
      <c r="J504" s="277">
        <f>IFERROR(__xludf.DUMMYFUNCTION("""COMPUTED_VALUE"""),77.5)</f>
        <v>77.5</v>
      </c>
      <c r="K504" s="29">
        <f>IFERROR(__xludf.DUMMYFUNCTION("""COMPUTED_VALUE"""),20.0)</f>
        <v>20</v>
      </c>
      <c r="L504" s="275" t="str">
        <f>IFERROR(__xludf.DUMMYFUNCTION("""COMPUTED_VALUE"""),"Action")</f>
        <v>Action</v>
      </c>
    </row>
    <row r="505" hidden="1">
      <c r="A505" s="17" t="str">
        <f>IFERROR(__xludf.DUMMYFUNCTION("""COMPUTED_VALUE"""),"The Forgotten City")</f>
        <v>The Forgotten City</v>
      </c>
      <c r="B505" s="20" t="str">
        <f>IFERROR(__xludf.DUMMYFUNCTION("""COMPUTED_VALUE"""),"Xbox / PC")</f>
        <v>Xbox / PC</v>
      </c>
      <c r="C505" s="20" t="str">
        <f>IFERROR(__xludf.DUMMYFUNCTION("""COMPUTED_VALUE"""),"Touch Controls")</f>
        <v>Touch Controls</v>
      </c>
      <c r="D505" s="21" t="str">
        <f>IFERROR(__xludf.DUMMYFUNCTION("""COMPUTED_VALUE"""),"Removed")</f>
        <v>Removed</v>
      </c>
      <c r="E505" s="279">
        <f>IFERROR(__xludf.DUMMYFUNCTION("""COMPUTED_VALUE"""),44497.0)</f>
        <v>44497</v>
      </c>
      <c r="F505" s="24">
        <f>IFERROR(__xludf.DUMMYFUNCTION("""COMPUTED_VALUE"""),44865.0)</f>
        <v>44865</v>
      </c>
      <c r="G505" s="27">
        <f>IFERROR(__xludf.DUMMYFUNCTION("""COMPUTED_VALUE"""),12.066666666666666)</f>
        <v>12.06666667</v>
      </c>
      <c r="H505" s="128">
        <f>IFERROR(__xludf.DUMMYFUNCTION("""COMPUTED_VALUE"""),44405.0)</f>
        <v>44405</v>
      </c>
      <c r="I505" s="27">
        <f>IFERROR(__xludf.DUMMYFUNCTION("""COMPUTED_VALUE"""),0.25)</f>
        <v>0.25</v>
      </c>
      <c r="J505" s="29">
        <f>IFERROR(__xludf.DUMMYFUNCTION("""COMPUTED_VALUE"""),85.5)</f>
        <v>85.5</v>
      </c>
      <c r="K505" s="29">
        <f>IFERROR(__xludf.DUMMYFUNCTION("""COMPUTED_VALUE"""),5.0)</f>
        <v>5</v>
      </c>
      <c r="L505" s="275" t="str">
        <f>IFERROR(__xludf.DUMMYFUNCTION("""COMPUTED_VALUE"""),"RPG")</f>
        <v>RPG</v>
      </c>
    </row>
    <row r="506" hidden="1">
      <c r="A506" s="278" t="str">
        <f>IFERROR(__xludf.DUMMYFUNCTION("""COMPUTED_VALUE"""),"Project Wingman")</f>
        <v>Project Wingman</v>
      </c>
      <c r="B506" s="20" t="str">
        <f>IFERROR(__xludf.DUMMYFUNCTION("""COMPUTED_VALUE"""),"Xbox / PC")</f>
        <v>Xbox / PC</v>
      </c>
      <c r="C506" s="20" t="str">
        <f>IFERROR(__xludf.DUMMYFUNCTION("""COMPUTED_VALUE"""),"Yes")</f>
        <v>Yes</v>
      </c>
      <c r="D506" s="21" t="str">
        <f>IFERROR(__xludf.DUMMYFUNCTION("""COMPUTED_VALUE"""),"Removed")</f>
        <v>Removed</v>
      </c>
      <c r="E506" s="279">
        <f>IFERROR(__xludf.DUMMYFUNCTION("""COMPUTED_VALUE"""),44406.0)</f>
        <v>44406</v>
      </c>
      <c r="F506" s="24">
        <f>IFERROR(__xludf.DUMMYFUNCTION("""COMPUTED_VALUE"""),44865.0)</f>
        <v>44865</v>
      </c>
      <c r="G506" s="27">
        <f>IFERROR(__xludf.DUMMYFUNCTION("""COMPUTED_VALUE"""),15.033333333333333)</f>
        <v>15.03333333</v>
      </c>
      <c r="H506" s="128">
        <f>IFERROR(__xludf.DUMMYFUNCTION("""COMPUTED_VALUE"""),44166.0)</f>
        <v>44166</v>
      </c>
      <c r="I506" s="27">
        <f>IFERROR(__xludf.DUMMYFUNCTION("""COMPUTED_VALUE"""),0.6611111111111111)</f>
        <v>0.6611111111</v>
      </c>
      <c r="J506" s="29">
        <f>IFERROR(__xludf.DUMMYFUNCTION("""COMPUTED_VALUE"""),75.0)</f>
        <v>75</v>
      </c>
      <c r="K506" s="29">
        <f>IFERROR(__xludf.DUMMYFUNCTION("""COMPUTED_VALUE"""),11.0)</f>
        <v>11</v>
      </c>
      <c r="L506" s="275" t="str">
        <f>IFERROR(__xludf.DUMMYFUNCTION("""COMPUTED_VALUE"""),"Flight")</f>
        <v>Flight</v>
      </c>
    </row>
    <row r="507" hidden="1">
      <c r="A507" s="278" t="str">
        <f>IFERROR(__xludf.DUMMYFUNCTION("""COMPUTED_VALUE"""),"Backbone")</f>
        <v>Backbone</v>
      </c>
      <c r="B507" s="20" t="str">
        <f>IFERROR(__xludf.DUMMYFUNCTION("""COMPUTED_VALUE"""),"Xbox / PC")</f>
        <v>Xbox / PC</v>
      </c>
      <c r="C507" s="20" t="str">
        <f>IFERROR(__xludf.DUMMYFUNCTION("""COMPUTED_VALUE"""),"Yes")</f>
        <v>Yes</v>
      </c>
      <c r="D507" s="21" t="str">
        <f>IFERROR(__xludf.DUMMYFUNCTION("""COMPUTED_VALUE"""),"Removed")</f>
        <v>Removed</v>
      </c>
      <c r="E507" s="279">
        <f>IFERROR(__xludf.DUMMYFUNCTION("""COMPUTED_VALUE"""),44355.0)</f>
        <v>44355</v>
      </c>
      <c r="F507" s="24">
        <f>IFERROR(__xludf.DUMMYFUNCTION("""COMPUTED_VALUE"""),44865.0)</f>
        <v>44865</v>
      </c>
      <c r="G507" s="27">
        <f>IFERROR(__xludf.DUMMYFUNCTION("""COMPUTED_VALUE"""),16.733333333333334)</f>
        <v>16.73333333</v>
      </c>
      <c r="H507" s="128">
        <f>IFERROR(__xludf.DUMMYFUNCTION("""COMPUTED_VALUE"""),44355.0)</f>
        <v>44355</v>
      </c>
      <c r="I507" s="27">
        <f>IFERROR(__xludf.DUMMYFUNCTION("""COMPUTED_VALUE"""),0.0)</f>
        <v>0</v>
      </c>
      <c r="J507" s="277">
        <f>IFERROR(__xludf.DUMMYFUNCTION("""COMPUTED_VALUE"""),73.0)</f>
        <v>73</v>
      </c>
      <c r="K507" s="29">
        <f>IFERROR(__xludf.DUMMYFUNCTION("""COMPUTED_VALUE"""),4.5)</f>
        <v>4.5</v>
      </c>
      <c r="L507" s="275" t="str">
        <f>IFERROR(__xludf.DUMMYFUNCTION("""COMPUTED_VALUE"""),"RPG")</f>
        <v>RPG</v>
      </c>
    </row>
    <row r="508" hidden="1">
      <c r="A508" s="278" t="str">
        <f>IFERROR(__xludf.DUMMYFUNCTION("""COMPUTED_VALUE"""),"Second Extinction (Game Preview)")</f>
        <v>Second Extinction (Game Preview)</v>
      </c>
      <c r="B508" s="20" t="str">
        <f>IFERROR(__xludf.DUMMYFUNCTION("""COMPUTED_VALUE"""),"Xbox / PC")</f>
        <v>Xbox / PC</v>
      </c>
      <c r="C508" s="20" t="str">
        <f>IFERROR(__xludf.DUMMYFUNCTION("""COMPUTED_VALUE"""),"Yes")</f>
        <v>Yes</v>
      </c>
      <c r="D508" s="21" t="str">
        <f>IFERROR(__xludf.DUMMYFUNCTION("""COMPUTED_VALUE"""),"Removed")</f>
        <v>Removed</v>
      </c>
      <c r="E508" s="279">
        <f>IFERROR(__xludf.DUMMYFUNCTION("""COMPUTED_VALUE"""),44314.0)</f>
        <v>44314</v>
      </c>
      <c r="F508" s="24">
        <f>IFERROR(__xludf.DUMMYFUNCTION("""COMPUTED_VALUE"""),44865.0)</f>
        <v>44865</v>
      </c>
      <c r="G508" s="27">
        <f>IFERROR(__xludf.DUMMYFUNCTION("""COMPUTED_VALUE"""),18.066666666666666)</f>
        <v>18.06666667</v>
      </c>
      <c r="H508" s="128">
        <f>IFERROR(__xludf.DUMMYFUNCTION("""COMPUTED_VALUE"""),44117.0)</f>
        <v>44117</v>
      </c>
      <c r="I508" s="27">
        <f>IFERROR(__xludf.DUMMYFUNCTION("""COMPUTED_VALUE"""),0.5416666666666666)</f>
        <v>0.5416666667</v>
      </c>
      <c r="J508" s="277">
        <f>IFERROR(__xludf.DUMMYFUNCTION("""COMPUTED_VALUE"""),68.75)</f>
        <v>68.75</v>
      </c>
      <c r="K508" s="29">
        <f>IFERROR(__xludf.DUMMYFUNCTION("""COMPUTED_VALUE"""),5.5)</f>
        <v>5.5</v>
      </c>
      <c r="L508" s="275" t="str">
        <f>IFERROR(__xludf.DUMMYFUNCTION("""COMPUTED_VALUE"""),"Shooter")</f>
        <v>Shooter</v>
      </c>
    </row>
    <row r="509" hidden="1">
      <c r="A509" s="278" t="str">
        <f>IFERROR(__xludf.DUMMYFUNCTION("""COMPUTED_VALUE"""),"Sniper Elite 4")</f>
        <v>Sniper Elite 4</v>
      </c>
      <c r="B509" s="20" t="str">
        <f>IFERROR(__xludf.DUMMYFUNCTION("""COMPUTED_VALUE"""),"Xbox")</f>
        <v>Xbox</v>
      </c>
      <c r="C509" s="20" t="str">
        <f>IFERROR(__xludf.DUMMYFUNCTION("""COMPUTED_VALUE"""),"Yes")</f>
        <v>Yes</v>
      </c>
      <c r="D509" s="21" t="str">
        <f>IFERROR(__xludf.DUMMYFUNCTION("""COMPUTED_VALUE"""),"Removed")</f>
        <v>Removed</v>
      </c>
      <c r="E509" s="279">
        <f>IFERROR(__xludf.DUMMYFUNCTION("""COMPUTED_VALUE"""),43405.0)</f>
        <v>43405</v>
      </c>
      <c r="F509" s="24">
        <f>IFERROR(__xludf.DUMMYFUNCTION("""COMPUTED_VALUE"""),44865.0)</f>
        <v>44865</v>
      </c>
      <c r="G509" s="27">
        <f>IFERROR(__xludf.DUMMYFUNCTION("""COMPUTED_VALUE"""),47.96666666666667)</f>
        <v>47.96666667</v>
      </c>
      <c r="H509" s="128">
        <f>IFERROR(__xludf.DUMMYFUNCTION("""COMPUTED_VALUE"""),42780.0)</f>
        <v>42780</v>
      </c>
      <c r="I509" s="27">
        <f>IFERROR(__xludf.DUMMYFUNCTION("""COMPUTED_VALUE"""),1.7138888888888888)</f>
        <v>1.713888889</v>
      </c>
      <c r="J509" s="277">
        <f>IFERROR(__xludf.DUMMYFUNCTION("""COMPUTED_VALUE"""),81.0)</f>
        <v>81</v>
      </c>
      <c r="K509" s="29">
        <f>IFERROR(__xludf.DUMMYFUNCTION("""COMPUTED_VALUE"""),10.0)</f>
        <v>10</v>
      </c>
      <c r="L509" s="275" t="str">
        <f>IFERROR(__xludf.DUMMYFUNCTION("""COMPUTED_VALUE"""),"Shooter")</f>
        <v>Shooter</v>
      </c>
    </row>
    <row r="510" hidden="1">
      <c r="A510" s="278" t="str">
        <f>IFERROR(__xludf.DUMMYFUNCTION("""COMPUTED_VALUE"""),"Echo Generation")</f>
        <v>Echo Generation</v>
      </c>
      <c r="B510" s="20" t="str">
        <f>IFERROR(__xludf.DUMMYFUNCTION("""COMPUTED_VALUE"""),"Xbox / PC")</f>
        <v>Xbox / PC</v>
      </c>
      <c r="C510" s="20" t="str">
        <f>IFERROR(__xludf.DUMMYFUNCTION("""COMPUTED_VALUE"""),"Touch Controls")</f>
        <v>Touch Controls</v>
      </c>
      <c r="D510" s="21" t="str">
        <f>IFERROR(__xludf.DUMMYFUNCTION("""COMPUTED_VALUE"""),"Removed")</f>
        <v>Removed</v>
      </c>
      <c r="E510" s="279">
        <f>IFERROR(__xludf.DUMMYFUNCTION("""COMPUTED_VALUE"""),44490.0)</f>
        <v>44490</v>
      </c>
      <c r="F510" s="24">
        <f>IFERROR(__xludf.DUMMYFUNCTION("""COMPUTED_VALUE"""),44849.0)</f>
        <v>44849</v>
      </c>
      <c r="G510" s="27">
        <f>IFERROR(__xludf.DUMMYFUNCTION("""COMPUTED_VALUE"""),11.799999999999999)</f>
        <v>11.8</v>
      </c>
      <c r="H510" s="128">
        <f>IFERROR(__xludf.DUMMYFUNCTION("""COMPUTED_VALUE"""),44490.0)</f>
        <v>44490</v>
      </c>
      <c r="I510" s="27">
        <f>IFERROR(__xludf.DUMMYFUNCTION("""COMPUTED_VALUE"""),0.0)</f>
        <v>0</v>
      </c>
      <c r="J510" s="277">
        <f>IFERROR(__xludf.DUMMYFUNCTION("""COMPUTED_VALUE"""),75.5)</f>
        <v>75.5</v>
      </c>
      <c r="K510" s="277">
        <f>IFERROR(__xludf.DUMMYFUNCTION("""COMPUTED_VALUE"""),7.0)</f>
        <v>7</v>
      </c>
      <c r="L510" s="275" t="str">
        <f>IFERROR(__xludf.DUMMYFUNCTION("""COMPUTED_VALUE"""),"Adventure")</f>
        <v>Adventure</v>
      </c>
    </row>
    <row r="511" hidden="1">
      <c r="A511" s="278" t="str">
        <f>IFERROR(__xludf.DUMMYFUNCTION("""COMPUTED_VALUE"""),"Into the Pit")</f>
        <v>Into the Pit</v>
      </c>
      <c r="B511" s="20" t="str">
        <f>IFERROR(__xludf.DUMMYFUNCTION("""COMPUTED_VALUE"""),"Xbox / PC")</f>
        <v>Xbox / PC</v>
      </c>
      <c r="C511" s="20" t="str">
        <f>IFERROR(__xludf.DUMMYFUNCTION("""COMPUTED_VALUE"""),"Yes")</f>
        <v>Yes</v>
      </c>
      <c r="D511" s="21" t="str">
        <f>IFERROR(__xludf.DUMMYFUNCTION("""COMPUTED_VALUE"""),"Removed")</f>
        <v>Removed</v>
      </c>
      <c r="E511" s="279">
        <f>IFERROR(__xludf.DUMMYFUNCTION("""COMPUTED_VALUE"""),44488.0)</f>
        <v>44488</v>
      </c>
      <c r="F511" s="279">
        <f>IFERROR(__xludf.DUMMYFUNCTION("""COMPUTED_VALUE"""),44849.0)</f>
        <v>44849</v>
      </c>
      <c r="G511" s="27">
        <f>IFERROR(__xludf.DUMMYFUNCTION("""COMPUTED_VALUE"""),11.866666666666667)</f>
        <v>11.86666667</v>
      </c>
      <c r="H511" s="128">
        <f>IFERROR(__xludf.DUMMYFUNCTION("""COMPUTED_VALUE"""),44488.0)</f>
        <v>44488</v>
      </c>
      <c r="I511" s="27">
        <f>IFERROR(__xludf.DUMMYFUNCTION("""COMPUTED_VALUE"""),0.0)</f>
        <v>0</v>
      </c>
      <c r="J511" s="29">
        <f>IFERROR(__xludf.DUMMYFUNCTION("""COMPUTED_VALUE"""),70.5)</f>
        <v>70.5</v>
      </c>
      <c r="K511" s="29">
        <f>IFERROR(__xludf.DUMMYFUNCTION("""COMPUTED_VALUE"""),4.0)</f>
        <v>4</v>
      </c>
      <c r="L511" s="275" t="str">
        <f>IFERROR(__xludf.DUMMYFUNCTION("""COMPUTED_VALUE"""),"Shooter")</f>
        <v>Shooter</v>
      </c>
    </row>
    <row r="512" hidden="1">
      <c r="A512" s="278" t="str">
        <f>IFERROR(__xludf.DUMMYFUNCTION("""COMPUTED_VALUE"""),"The Good Life")</f>
        <v>The Good Life</v>
      </c>
      <c r="B512" s="20" t="str">
        <f>IFERROR(__xludf.DUMMYFUNCTION("""COMPUTED_VALUE"""),"Xbox / PC")</f>
        <v>Xbox / PC</v>
      </c>
      <c r="C512" s="20" t="str">
        <f>IFERROR(__xludf.DUMMYFUNCTION("""COMPUTED_VALUE"""),"Touch Controls")</f>
        <v>Touch Controls</v>
      </c>
      <c r="D512" s="21" t="str">
        <f>IFERROR(__xludf.DUMMYFUNCTION("""COMPUTED_VALUE"""),"Removed")</f>
        <v>Removed</v>
      </c>
      <c r="E512" s="279">
        <f>IFERROR(__xludf.DUMMYFUNCTION("""COMPUTED_VALUE"""),44484.0)</f>
        <v>44484</v>
      </c>
      <c r="F512" s="24">
        <f>IFERROR(__xludf.DUMMYFUNCTION("""COMPUTED_VALUE"""),44849.0)</f>
        <v>44849</v>
      </c>
      <c r="G512" s="27">
        <f>IFERROR(__xludf.DUMMYFUNCTION("""COMPUTED_VALUE"""),12.0)</f>
        <v>12</v>
      </c>
      <c r="H512" s="128">
        <f>IFERROR(__xludf.DUMMYFUNCTION("""COMPUTED_VALUE"""),44484.0)</f>
        <v>44484</v>
      </c>
      <c r="I512" s="27">
        <f>IFERROR(__xludf.DUMMYFUNCTION("""COMPUTED_VALUE"""),0.0)</f>
        <v>0</v>
      </c>
      <c r="J512" s="277">
        <f>IFERROR(__xludf.DUMMYFUNCTION("""COMPUTED_VALUE"""),61.0)</f>
        <v>61</v>
      </c>
      <c r="K512" s="277">
        <f>IFERROR(__xludf.DUMMYFUNCTION("""COMPUTED_VALUE"""),19.5)</f>
        <v>19.5</v>
      </c>
      <c r="L512" s="275" t="str">
        <f>IFERROR(__xludf.DUMMYFUNCTION("""COMPUTED_VALUE"""),"RPG")</f>
        <v>RPG</v>
      </c>
    </row>
    <row r="513" hidden="1">
      <c r="A513" s="17" t="str">
        <f>IFERROR(__xludf.DUMMYFUNCTION("""COMPUTED_VALUE"""),"Ring of Pain")</f>
        <v>Ring of Pain</v>
      </c>
      <c r="B513" s="20" t="str">
        <f>IFERROR(__xludf.DUMMYFUNCTION("""COMPUTED_VALUE"""),"Xbox / PC")</f>
        <v>Xbox / PC</v>
      </c>
      <c r="C513" s="21" t="str">
        <f>IFERROR(__xludf.DUMMYFUNCTION("""COMPUTED_VALUE"""),"Touch Controls")</f>
        <v>Touch Controls</v>
      </c>
      <c r="D513" s="21" t="str">
        <f>IFERROR(__xludf.DUMMYFUNCTION("""COMPUTED_VALUE"""),"Removed")</f>
        <v>Removed</v>
      </c>
      <c r="E513" s="279">
        <f>IFERROR(__xludf.DUMMYFUNCTION("""COMPUTED_VALUE"""),44483.0)</f>
        <v>44483</v>
      </c>
      <c r="F513" s="279">
        <f>IFERROR(__xludf.DUMMYFUNCTION("""COMPUTED_VALUE"""),44849.0)</f>
        <v>44849</v>
      </c>
      <c r="G513" s="27">
        <f>IFERROR(__xludf.DUMMYFUNCTION("""COMPUTED_VALUE"""),12.033333333333333)</f>
        <v>12.03333333</v>
      </c>
      <c r="H513" s="128">
        <f>IFERROR(__xludf.DUMMYFUNCTION("""COMPUTED_VALUE"""),44119.0)</f>
        <v>44119</v>
      </c>
      <c r="I513" s="27">
        <f>IFERROR(__xludf.DUMMYFUNCTION("""COMPUTED_VALUE"""),0.9972222222222222)</f>
        <v>0.9972222222</v>
      </c>
      <c r="J513" s="29">
        <f>IFERROR(__xludf.DUMMYFUNCTION("""COMPUTED_VALUE"""),74.0)</f>
        <v>74</v>
      </c>
      <c r="K513" s="29">
        <f>IFERROR(__xludf.DUMMYFUNCTION("""COMPUTED_VALUE"""),7.5)</f>
        <v>7.5</v>
      </c>
      <c r="L513" s="275" t="str">
        <f>IFERROR(__xludf.DUMMYFUNCTION("""COMPUTED_VALUE"""),"Strategy")</f>
        <v>Strategy</v>
      </c>
    </row>
    <row r="514" hidden="1">
      <c r="A514" s="278" t="str">
        <f>IFERROR(__xludf.DUMMYFUNCTION("""COMPUTED_VALUE"""),"Sable")</f>
        <v>Sable</v>
      </c>
      <c r="B514" s="20" t="str">
        <f>IFERROR(__xludf.DUMMYFUNCTION("""COMPUTED_VALUE"""),"Xbox / PC")</f>
        <v>Xbox / PC</v>
      </c>
      <c r="C514" s="20" t="str">
        <f>IFERROR(__xludf.DUMMYFUNCTION("""COMPUTED_VALUE"""),"Touch Controls")</f>
        <v>Touch Controls</v>
      </c>
      <c r="D514" s="21" t="str">
        <f>IFERROR(__xludf.DUMMYFUNCTION("""COMPUTED_VALUE"""),"Removed")</f>
        <v>Removed</v>
      </c>
      <c r="E514" s="279">
        <f>IFERROR(__xludf.DUMMYFUNCTION("""COMPUTED_VALUE"""),44462.0)</f>
        <v>44462</v>
      </c>
      <c r="F514" s="24">
        <f>IFERROR(__xludf.DUMMYFUNCTION("""COMPUTED_VALUE"""),44849.0)</f>
        <v>44849</v>
      </c>
      <c r="G514" s="27">
        <f>IFERROR(__xludf.DUMMYFUNCTION("""COMPUTED_VALUE"""),12.733333333333334)</f>
        <v>12.73333333</v>
      </c>
      <c r="H514" s="128">
        <f>IFERROR(__xludf.DUMMYFUNCTION("""COMPUTED_VALUE"""),44462.0)</f>
        <v>44462</v>
      </c>
      <c r="I514" s="27">
        <f>IFERROR(__xludf.DUMMYFUNCTION("""COMPUTED_VALUE"""),0.0)</f>
        <v>0</v>
      </c>
      <c r="J514" s="29">
        <f>IFERROR(__xludf.DUMMYFUNCTION("""COMPUTED_VALUE"""),73.5)</f>
        <v>73.5</v>
      </c>
      <c r="K514" s="29">
        <f>IFERROR(__xludf.DUMMYFUNCTION("""COMPUTED_VALUE"""),7.0)</f>
        <v>7</v>
      </c>
      <c r="L514" s="275" t="str">
        <f>IFERROR(__xludf.DUMMYFUNCTION("""COMPUTED_VALUE"""),"Adventure")</f>
        <v>Adventure</v>
      </c>
    </row>
    <row r="515" hidden="1">
      <c r="A515" s="278" t="str">
        <f>IFERROR(__xludf.DUMMYFUNCTION("""COMPUTED_VALUE"""),"Bloodroots")</f>
        <v>Bloodroots</v>
      </c>
      <c r="B515" s="20" t="str">
        <f>IFERROR(__xludf.DUMMYFUNCTION("""COMPUTED_VALUE"""),"Xbox / PC")</f>
        <v>Xbox / PC</v>
      </c>
      <c r="C515" s="21" t="str">
        <f>IFERROR(__xludf.DUMMYFUNCTION("""COMPUTED_VALUE"""),"Touch Controls")</f>
        <v>Touch Controls</v>
      </c>
      <c r="D515" s="21" t="str">
        <f>IFERROR(__xludf.DUMMYFUNCTION("""COMPUTED_VALUE"""),"Removed")</f>
        <v>Removed</v>
      </c>
      <c r="E515" s="279">
        <f>IFERROR(__xludf.DUMMYFUNCTION("""COMPUTED_VALUE"""),44392.0)</f>
        <v>44392</v>
      </c>
      <c r="F515" s="279">
        <f>IFERROR(__xludf.DUMMYFUNCTION("""COMPUTED_VALUE"""),44849.0)</f>
        <v>44849</v>
      </c>
      <c r="G515" s="27">
        <f>IFERROR(__xludf.DUMMYFUNCTION("""COMPUTED_VALUE"""),15.0)</f>
        <v>15</v>
      </c>
      <c r="H515" s="128">
        <f>IFERROR(__xludf.DUMMYFUNCTION("""COMPUTED_VALUE"""),43889.0)</f>
        <v>43889</v>
      </c>
      <c r="I515" s="27">
        <f>IFERROR(__xludf.DUMMYFUNCTION("""COMPUTED_VALUE"""),1.3805555555555555)</f>
        <v>1.380555556</v>
      </c>
      <c r="J515" s="277">
        <f>IFERROR(__xludf.DUMMYFUNCTION("""COMPUTED_VALUE"""),76.0)</f>
        <v>76</v>
      </c>
      <c r="K515" s="29">
        <f>IFERROR(__xludf.DUMMYFUNCTION("""COMPUTED_VALUE"""),5.5)</f>
        <v>5.5</v>
      </c>
      <c r="L515" s="275" t="str">
        <f>IFERROR(__xludf.DUMMYFUNCTION("""COMPUTED_VALUE"""),"Action")</f>
        <v>Action</v>
      </c>
    </row>
    <row r="516" hidden="1">
      <c r="A516" s="278" t="str">
        <f>IFERROR(__xludf.DUMMYFUNCTION("""COMPUTED_VALUE"""),"DiRT 4")</f>
        <v>DiRT 4</v>
      </c>
      <c r="B516" s="20" t="str">
        <f>IFERROR(__xludf.DUMMYFUNCTION("""COMPUTED_VALUE"""),"Xbox")</f>
        <v>Xbox</v>
      </c>
      <c r="C516" s="20"/>
      <c r="D516" s="21" t="str">
        <f>IFERROR(__xludf.DUMMYFUNCTION("""COMPUTED_VALUE"""),"Removed")</f>
        <v>Removed</v>
      </c>
      <c r="E516" s="279">
        <f>IFERROR(__xludf.DUMMYFUNCTION("""COMPUTED_VALUE"""),44418.0)</f>
        <v>44418</v>
      </c>
      <c r="F516" s="24">
        <f>IFERROR(__xludf.DUMMYFUNCTION("""COMPUTED_VALUE"""),44837.0)</f>
        <v>44837</v>
      </c>
      <c r="G516" s="27">
        <f>IFERROR(__xludf.DUMMYFUNCTION("""COMPUTED_VALUE"""),13.766666666666666)</f>
        <v>13.76666667</v>
      </c>
      <c r="H516" s="128">
        <f>IFERROR(__xludf.DUMMYFUNCTION("""COMPUTED_VALUE"""),42892.0)</f>
        <v>42892</v>
      </c>
      <c r="I516" s="27">
        <f>IFERROR(__xludf.DUMMYFUNCTION("""COMPUTED_VALUE"""),4.177777777777778)</f>
        <v>4.177777778</v>
      </c>
      <c r="J516" s="277">
        <f>IFERROR(__xludf.DUMMYFUNCTION("""COMPUTED_VALUE"""),86.0)</f>
        <v>86</v>
      </c>
      <c r="K516" s="29">
        <f>IFERROR(__xludf.DUMMYFUNCTION("""COMPUTED_VALUE"""),31.0)</f>
        <v>31</v>
      </c>
      <c r="L516" s="275" t="str">
        <f>IFERROR(__xludf.DUMMYFUNCTION("""COMPUTED_VALUE"""),"Racing")</f>
        <v>Racing</v>
      </c>
    </row>
    <row r="517" hidden="1">
      <c r="A517" s="17" t="str">
        <f>IFERROR(__xludf.DUMMYFUNCTION("""COMPUTED_VALUE"""),"DiRT Rally")</f>
        <v>DiRT Rally</v>
      </c>
      <c r="B517" s="20" t="str">
        <f>IFERROR(__xludf.DUMMYFUNCTION("""COMPUTED_VALUE"""),"Xbox")</f>
        <v>Xbox</v>
      </c>
      <c r="C517" s="21"/>
      <c r="D517" s="21" t="str">
        <f>IFERROR(__xludf.DUMMYFUNCTION("""COMPUTED_VALUE"""),"Removed")</f>
        <v>Removed</v>
      </c>
      <c r="E517" s="23">
        <f>IFERROR(__xludf.DUMMYFUNCTION("""COMPUTED_VALUE"""),44418.0)</f>
        <v>44418</v>
      </c>
      <c r="F517" s="24">
        <f>IFERROR(__xludf.DUMMYFUNCTION("""COMPUTED_VALUE"""),44837.0)</f>
        <v>44837</v>
      </c>
      <c r="G517" s="27">
        <f>IFERROR(__xludf.DUMMYFUNCTION("""COMPUTED_VALUE"""),13.766666666666666)</f>
        <v>13.76666667</v>
      </c>
      <c r="H517" s="128">
        <f>IFERROR(__xludf.DUMMYFUNCTION("""COMPUTED_VALUE"""),42345.0)</f>
        <v>42345</v>
      </c>
      <c r="I517" s="27">
        <f>IFERROR(__xludf.DUMMYFUNCTION("""COMPUTED_VALUE"""),5.675)</f>
        <v>5.675</v>
      </c>
      <c r="J517" s="277">
        <f>IFERROR(__xludf.DUMMYFUNCTION("""COMPUTED_VALUE"""),86.0)</f>
        <v>86</v>
      </c>
      <c r="K517" s="29">
        <f>IFERROR(__xludf.DUMMYFUNCTION("""COMPUTED_VALUE"""),27.5)</f>
        <v>27.5</v>
      </c>
      <c r="L517" s="31" t="str">
        <f>IFERROR(__xludf.DUMMYFUNCTION("""COMPUTED_VALUE"""),"Racing")</f>
        <v>Racing</v>
      </c>
    </row>
    <row r="518" hidden="1">
      <c r="A518" s="278" t="str">
        <f>IFERROR(__xludf.DUMMYFUNCTION("""COMPUTED_VALUE"""),"The Procession to Calvary")</f>
        <v>The Procession to Calvary</v>
      </c>
      <c r="B518" s="20" t="str">
        <f>IFERROR(__xludf.DUMMYFUNCTION("""COMPUTED_VALUE"""),"Xbox / PC")</f>
        <v>Xbox / PC</v>
      </c>
      <c r="C518" s="20" t="str">
        <f>IFERROR(__xludf.DUMMYFUNCTION("""COMPUTED_VALUE"""),"Touch Controls")</f>
        <v>Touch Controls</v>
      </c>
      <c r="D518" s="21" t="str">
        <f>IFERROR(__xludf.DUMMYFUNCTION("""COMPUTED_VALUE"""),"Removed")</f>
        <v>Removed</v>
      </c>
      <c r="E518" s="279">
        <f>IFERROR(__xludf.DUMMYFUNCTION("""COMPUTED_VALUE"""),44476.0)</f>
        <v>44476</v>
      </c>
      <c r="F518" s="24">
        <f>IFERROR(__xludf.DUMMYFUNCTION("""COMPUTED_VALUE"""),44834.0)</f>
        <v>44834</v>
      </c>
      <c r="G518" s="27">
        <f>IFERROR(__xludf.DUMMYFUNCTION("""COMPUTED_VALUE"""),11.766666666666666)</f>
        <v>11.76666667</v>
      </c>
      <c r="H518" s="128">
        <f>IFERROR(__xludf.DUMMYFUNCTION("""COMPUTED_VALUE"""),43930.0)</f>
        <v>43930</v>
      </c>
      <c r="I518" s="27">
        <f>IFERROR(__xludf.DUMMYFUNCTION("""COMPUTED_VALUE"""),1.4944444444444445)</f>
        <v>1.494444444</v>
      </c>
      <c r="J518" s="277">
        <f>IFERROR(__xludf.DUMMYFUNCTION("""COMPUTED_VALUE"""),78.0)</f>
        <v>78</v>
      </c>
      <c r="K518" s="277">
        <f>IFERROR(__xludf.DUMMYFUNCTION("""COMPUTED_VALUE"""),3.0)</f>
        <v>3</v>
      </c>
      <c r="L518" s="275" t="str">
        <f>IFERROR(__xludf.DUMMYFUNCTION("""COMPUTED_VALUE"""),"Adventure")</f>
        <v>Adventure</v>
      </c>
    </row>
    <row r="519" hidden="1">
      <c r="A519" s="278" t="str">
        <f>IFERROR(__xludf.DUMMYFUNCTION("""COMPUTED_VALUE"""),"Visage")</f>
        <v>Visage</v>
      </c>
      <c r="B519" s="20" t="str">
        <f>IFERROR(__xludf.DUMMYFUNCTION("""COMPUTED_VALUE"""),"Xbox / PC")</f>
        <v>Xbox / PC</v>
      </c>
      <c r="C519" s="21" t="str">
        <f>IFERROR(__xludf.DUMMYFUNCTION("""COMPUTED_VALUE"""),"Touch Controls")</f>
        <v>Touch Controls</v>
      </c>
      <c r="D519" s="21" t="str">
        <f>IFERROR(__xludf.DUMMYFUNCTION("""COMPUTED_VALUE"""),"Removed")</f>
        <v>Removed</v>
      </c>
      <c r="E519" s="279">
        <f>IFERROR(__xludf.DUMMYFUNCTION("""COMPUTED_VALUE"""),44476.0)</f>
        <v>44476</v>
      </c>
      <c r="F519" s="24">
        <f>IFERROR(__xludf.DUMMYFUNCTION("""COMPUTED_VALUE"""),44834.0)</f>
        <v>44834</v>
      </c>
      <c r="G519" s="27">
        <f>IFERROR(__xludf.DUMMYFUNCTION("""COMPUTED_VALUE"""),11.766666666666666)</f>
        <v>11.76666667</v>
      </c>
      <c r="H519" s="128">
        <f>IFERROR(__xludf.DUMMYFUNCTION("""COMPUTED_VALUE"""),43375.0)</f>
        <v>43375</v>
      </c>
      <c r="I519" s="27">
        <f>IFERROR(__xludf.DUMMYFUNCTION("""COMPUTED_VALUE"""),3.013888888888889)</f>
        <v>3.013888889</v>
      </c>
      <c r="J519" s="277">
        <f>IFERROR(__xludf.DUMMYFUNCTION("""COMPUTED_VALUE"""),79.5)</f>
        <v>79.5</v>
      </c>
      <c r="K519" s="277">
        <f>IFERROR(__xludf.DUMMYFUNCTION("""COMPUTED_VALUE"""),6.0)</f>
        <v>6</v>
      </c>
      <c r="L519" s="275" t="str">
        <f>IFERROR(__xludf.DUMMYFUNCTION("""COMPUTED_VALUE"""),"Adventure")</f>
        <v>Adventure</v>
      </c>
    </row>
    <row r="520" hidden="1">
      <c r="A520" s="278" t="str">
        <f>IFERROR(__xludf.DUMMYFUNCTION("""COMPUTED_VALUE"""),"AI: The Somnium Files")</f>
        <v>AI: The Somnium Files</v>
      </c>
      <c r="B520" s="20" t="str">
        <f>IFERROR(__xludf.DUMMYFUNCTION("""COMPUTED_VALUE"""),"Xbox / PC")</f>
        <v>Xbox / PC</v>
      </c>
      <c r="C520" s="21" t="str">
        <f>IFERROR(__xludf.DUMMYFUNCTION("""COMPUTED_VALUE"""),"Yes")</f>
        <v>Yes</v>
      </c>
      <c r="D520" s="21" t="str">
        <f>IFERROR(__xludf.DUMMYFUNCTION("""COMPUTED_VALUE"""),"Removed")</f>
        <v>Removed</v>
      </c>
      <c r="E520" s="279">
        <f>IFERROR(__xludf.DUMMYFUNCTION("""COMPUTED_VALUE"""),44469.0)</f>
        <v>44469</v>
      </c>
      <c r="F520" s="24">
        <f>IFERROR(__xludf.DUMMYFUNCTION("""COMPUTED_VALUE"""),44834.0)</f>
        <v>44834</v>
      </c>
      <c r="G520" s="27">
        <f>IFERROR(__xludf.DUMMYFUNCTION("""COMPUTED_VALUE"""),12.0)</f>
        <v>12</v>
      </c>
      <c r="H520" s="128">
        <f>IFERROR(__xludf.DUMMYFUNCTION("""COMPUTED_VALUE"""),43725.0)</f>
        <v>43725</v>
      </c>
      <c r="I520" s="27">
        <f>IFERROR(__xludf.DUMMYFUNCTION("""COMPUTED_VALUE"""),2.036111111111111)</f>
        <v>2.036111111</v>
      </c>
      <c r="J520" s="29">
        <f>IFERROR(__xludf.DUMMYFUNCTION("""COMPUTED_VALUE"""),86.0)</f>
        <v>86</v>
      </c>
      <c r="K520" s="29">
        <f>IFERROR(__xludf.DUMMYFUNCTION("""COMPUTED_VALUE"""),23.5)</f>
        <v>23.5</v>
      </c>
      <c r="L520" s="275" t="str">
        <f>IFERROR(__xludf.DUMMYFUNCTION("""COMPUTED_VALUE"""),"Adventure")</f>
        <v>Adventure</v>
      </c>
    </row>
    <row r="521" hidden="1">
      <c r="A521" s="17" t="str">
        <f>IFERROR(__xludf.DUMMYFUNCTION("""COMPUTED_VALUE"""),"Astria Ascending")</f>
        <v>Astria Ascending</v>
      </c>
      <c r="B521" s="20" t="str">
        <f>IFERROR(__xludf.DUMMYFUNCTION("""COMPUTED_VALUE"""),"Xbox / PC")</f>
        <v>Xbox / PC</v>
      </c>
      <c r="C521" s="20" t="str">
        <f>IFERROR(__xludf.DUMMYFUNCTION("""COMPUTED_VALUE"""),"Touch Controls")</f>
        <v>Touch Controls</v>
      </c>
      <c r="D521" s="21" t="str">
        <f>IFERROR(__xludf.DUMMYFUNCTION("""COMPUTED_VALUE"""),"Removed")</f>
        <v>Removed</v>
      </c>
      <c r="E521" s="23">
        <f>IFERROR(__xludf.DUMMYFUNCTION("""COMPUTED_VALUE"""),44469.0)</f>
        <v>44469</v>
      </c>
      <c r="F521" s="24">
        <f>IFERROR(__xludf.DUMMYFUNCTION("""COMPUTED_VALUE"""),44834.0)</f>
        <v>44834</v>
      </c>
      <c r="G521" s="27">
        <f>IFERROR(__xludf.DUMMYFUNCTION("""COMPUTED_VALUE"""),12.0)</f>
        <v>12</v>
      </c>
      <c r="H521" s="128">
        <f>IFERROR(__xludf.DUMMYFUNCTION("""COMPUTED_VALUE"""),44469.0)</f>
        <v>44469</v>
      </c>
      <c r="I521" s="27">
        <f>IFERROR(__xludf.DUMMYFUNCTION("""COMPUTED_VALUE"""),0.0)</f>
        <v>0</v>
      </c>
      <c r="J521" s="29">
        <f>IFERROR(__xludf.DUMMYFUNCTION("""COMPUTED_VALUE"""),68.0)</f>
        <v>68</v>
      </c>
      <c r="K521" s="29">
        <f>IFERROR(__xludf.DUMMYFUNCTION("""COMPUTED_VALUE"""),30.0)</f>
        <v>30</v>
      </c>
      <c r="L521" s="31" t="str">
        <f>IFERROR(__xludf.DUMMYFUNCTION("""COMPUTED_VALUE"""),"RPG")</f>
        <v>RPG</v>
      </c>
    </row>
    <row r="522" hidden="1">
      <c r="A522" s="278" t="str">
        <f>IFERROR(__xludf.DUMMYFUNCTION("""COMPUTED_VALUE"""),"Unsighted")</f>
        <v>Unsighted</v>
      </c>
      <c r="B522" s="20" t="str">
        <f>IFERROR(__xludf.DUMMYFUNCTION("""COMPUTED_VALUE"""),"Xbox / PC")</f>
        <v>Xbox / PC</v>
      </c>
      <c r="C522" s="20"/>
      <c r="D522" s="21" t="str">
        <f>IFERROR(__xludf.DUMMYFUNCTION("""COMPUTED_VALUE"""),"Removed")</f>
        <v>Removed</v>
      </c>
      <c r="E522" s="279">
        <f>IFERROR(__xludf.DUMMYFUNCTION("""COMPUTED_VALUE"""),44469.0)</f>
        <v>44469</v>
      </c>
      <c r="F522" s="24">
        <f>IFERROR(__xludf.DUMMYFUNCTION("""COMPUTED_VALUE"""),44834.0)</f>
        <v>44834</v>
      </c>
      <c r="G522" s="27">
        <f>IFERROR(__xludf.DUMMYFUNCTION("""COMPUTED_VALUE"""),12.0)</f>
        <v>12</v>
      </c>
      <c r="H522" s="128">
        <f>IFERROR(__xludf.DUMMYFUNCTION("""COMPUTED_VALUE"""),44469.0)</f>
        <v>44469</v>
      </c>
      <c r="I522" s="27">
        <f>IFERROR(__xludf.DUMMYFUNCTION("""COMPUTED_VALUE"""),0.0)</f>
        <v>0</v>
      </c>
      <c r="J522" s="277">
        <f>IFERROR(__xludf.DUMMYFUNCTION("""COMPUTED_VALUE"""),80.0)</f>
        <v>80</v>
      </c>
      <c r="K522" s="29">
        <f>IFERROR(__xludf.DUMMYFUNCTION("""COMPUTED_VALUE"""),8.0)</f>
        <v>8</v>
      </c>
      <c r="L522" s="275" t="str">
        <f>IFERROR(__xludf.DUMMYFUNCTION("""COMPUTED_VALUE"""),"Action-Adventure")</f>
        <v>Action-Adventure</v>
      </c>
    </row>
    <row r="523" hidden="1">
      <c r="A523" s="278" t="str">
        <f>IFERROR(__xludf.DUMMYFUNCTION("""COMPUTED_VALUE"""),"Dandy Ace")</f>
        <v>Dandy Ace</v>
      </c>
      <c r="B523" s="20" t="str">
        <f>IFERROR(__xludf.DUMMYFUNCTION("""COMPUTED_VALUE"""),"Xbox / PC")</f>
        <v>Xbox / PC</v>
      </c>
      <c r="C523" s="20" t="str">
        <f>IFERROR(__xludf.DUMMYFUNCTION("""COMPUTED_VALUE"""),"Touch Controls")</f>
        <v>Touch Controls</v>
      </c>
      <c r="D523" s="21" t="str">
        <f>IFERROR(__xludf.DUMMYFUNCTION("""COMPUTED_VALUE"""),"Removed")</f>
        <v>Removed</v>
      </c>
      <c r="E523" s="279">
        <f>IFERROR(__xludf.DUMMYFUNCTION("""COMPUTED_VALUE"""),44467.0)</f>
        <v>44467</v>
      </c>
      <c r="F523" s="279">
        <f>IFERROR(__xludf.DUMMYFUNCTION("""COMPUTED_VALUE"""),44834.0)</f>
        <v>44834</v>
      </c>
      <c r="G523" s="27">
        <f>IFERROR(__xludf.DUMMYFUNCTION("""COMPUTED_VALUE"""),12.066666666666666)</f>
        <v>12.06666667</v>
      </c>
      <c r="H523" s="128">
        <f>IFERROR(__xludf.DUMMYFUNCTION("""COMPUTED_VALUE"""),44280.0)</f>
        <v>44280</v>
      </c>
      <c r="I523" s="27">
        <f>IFERROR(__xludf.DUMMYFUNCTION("""COMPUTED_VALUE"""),0.5083333333333333)</f>
        <v>0.5083333333</v>
      </c>
      <c r="J523" s="277">
        <f>IFERROR(__xludf.DUMMYFUNCTION("""COMPUTED_VALUE"""),80.0)</f>
        <v>80</v>
      </c>
      <c r="K523" s="29">
        <f>IFERROR(__xludf.DUMMYFUNCTION("""COMPUTED_VALUE"""),8.0)</f>
        <v>8</v>
      </c>
      <c r="L523" s="275" t="str">
        <f>IFERROR(__xludf.DUMMYFUNCTION("""COMPUTED_VALUE"""),"Action")</f>
        <v>Action</v>
      </c>
    </row>
    <row r="524" hidden="1">
      <c r="A524" s="17" t="str">
        <f>IFERROR(__xludf.DUMMYFUNCTION("""COMPUTED_VALUE"""),"Lemnis Gate")</f>
        <v>Lemnis Gate</v>
      </c>
      <c r="B524" s="20" t="str">
        <f>IFERROR(__xludf.DUMMYFUNCTION("""COMPUTED_VALUE"""),"Xbox / PC")</f>
        <v>Xbox / PC</v>
      </c>
      <c r="C524" s="20"/>
      <c r="D524" s="21" t="str">
        <f>IFERROR(__xludf.DUMMYFUNCTION("""COMPUTED_VALUE"""),"Removed")</f>
        <v>Removed</v>
      </c>
      <c r="E524" s="127">
        <f>IFERROR(__xludf.DUMMYFUNCTION("""COMPUTED_VALUE"""),44467.0)</f>
        <v>44467</v>
      </c>
      <c r="F524" s="276">
        <f>IFERROR(__xludf.DUMMYFUNCTION("""COMPUTED_VALUE"""),44834.0)</f>
        <v>44834</v>
      </c>
      <c r="G524" s="27">
        <f>IFERROR(__xludf.DUMMYFUNCTION("""COMPUTED_VALUE"""),12.066666666666666)</f>
        <v>12.06666667</v>
      </c>
      <c r="H524" s="128">
        <f>IFERROR(__xludf.DUMMYFUNCTION("""COMPUTED_VALUE"""),44467.0)</f>
        <v>44467</v>
      </c>
      <c r="I524" s="27">
        <f>IFERROR(__xludf.DUMMYFUNCTION("""COMPUTED_VALUE"""),0.0)</f>
        <v>0</v>
      </c>
      <c r="J524" s="29">
        <f>IFERROR(__xludf.DUMMYFUNCTION("""COMPUTED_VALUE"""),78.0)</f>
        <v>78</v>
      </c>
      <c r="K524" s="29">
        <f>IFERROR(__xludf.DUMMYFUNCTION("""COMPUTED_VALUE"""),60.0)</f>
        <v>60</v>
      </c>
      <c r="L524" s="31" t="str">
        <f>IFERROR(__xludf.DUMMYFUNCTION("""COMPUTED_VALUE"""),"Shooter")</f>
        <v>Shooter</v>
      </c>
    </row>
    <row r="525" hidden="1">
      <c r="A525" s="278" t="str">
        <f>IFERROR(__xludf.DUMMYFUNCTION("""COMPUTED_VALUE"""),"Subnautica: Below Zero")</f>
        <v>Subnautica: Below Zero</v>
      </c>
      <c r="B525" s="20" t="str">
        <f>IFERROR(__xludf.DUMMYFUNCTION("""COMPUTED_VALUE"""),"Xbox / PC")</f>
        <v>Xbox / PC</v>
      </c>
      <c r="C525" s="20" t="str">
        <f>IFERROR(__xludf.DUMMYFUNCTION("""COMPUTED_VALUE"""),"Yes")</f>
        <v>Yes</v>
      </c>
      <c r="D525" s="21" t="str">
        <f>IFERROR(__xludf.DUMMYFUNCTION("""COMPUTED_VALUE"""),"Removed")</f>
        <v>Removed</v>
      </c>
      <c r="E525" s="279">
        <f>IFERROR(__xludf.DUMMYFUNCTION("""COMPUTED_VALUE"""),44462.0)</f>
        <v>44462</v>
      </c>
      <c r="F525" s="24">
        <f>IFERROR(__xludf.DUMMYFUNCTION("""COMPUTED_VALUE"""),44834.0)</f>
        <v>44834</v>
      </c>
      <c r="G525" s="27">
        <f>IFERROR(__xludf.DUMMYFUNCTION("""COMPUTED_VALUE"""),12.233333333333333)</f>
        <v>12.23333333</v>
      </c>
      <c r="H525" s="128">
        <f>IFERROR(__xludf.DUMMYFUNCTION("""COMPUTED_VALUE"""),43495.0)</f>
        <v>43495</v>
      </c>
      <c r="I525" s="27">
        <f>IFERROR(__xludf.DUMMYFUNCTION("""COMPUTED_VALUE"""),2.647222222222222)</f>
        <v>2.647222222</v>
      </c>
      <c r="J525" s="277">
        <f>IFERROR(__xludf.DUMMYFUNCTION("""COMPUTED_VALUE"""),82.5)</f>
        <v>82.5</v>
      </c>
      <c r="K525" s="277">
        <f>IFERROR(__xludf.DUMMYFUNCTION("""COMPUTED_VALUE"""),20.0)</f>
        <v>20</v>
      </c>
      <c r="L525" s="275" t="str">
        <f>IFERROR(__xludf.DUMMYFUNCTION("""COMPUTED_VALUE"""),"Adventure")</f>
        <v>Adventure</v>
      </c>
    </row>
    <row r="526" hidden="1">
      <c r="A526" s="278" t="str">
        <f>IFERROR(__xludf.DUMMYFUNCTION("""COMPUTED_VALUE"""),"Going Under")</f>
        <v>Going Under</v>
      </c>
      <c r="B526" s="20" t="str">
        <f>IFERROR(__xludf.DUMMYFUNCTION("""COMPUTED_VALUE"""),"Xbox / PC")</f>
        <v>Xbox / PC</v>
      </c>
      <c r="C526" s="20" t="str">
        <f>IFERROR(__xludf.DUMMYFUNCTION("""COMPUTED_VALUE"""),"Touch Controls")</f>
        <v>Touch Controls</v>
      </c>
      <c r="D526" s="21" t="str">
        <f>IFERROR(__xludf.DUMMYFUNCTION("""COMPUTED_VALUE"""),"Removed")</f>
        <v>Removed</v>
      </c>
      <c r="E526" s="279">
        <f>IFERROR(__xludf.DUMMYFUNCTION("""COMPUTED_VALUE"""),44376.0)</f>
        <v>44376</v>
      </c>
      <c r="F526" s="24">
        <f>IFERROR(__xludf.DUMMYFUNCTION("""COMPUTED_VALUE"""),44834.0)</f>
        <v>44834</v>
      </c>
      <c r="G526" s="27">
        <f>IFERROR(__xludf.DUMMYFUNCTION("""COMPUTED_VALUE"""),15.033333333333333)</f>
        <v>15.03333333</v>
      </c>
      <c r="H526" s="128">
        <f>IFERROR(__xludf.DUMMYFUNCTION("""COMPUTED_VALUE"""),44098.0)</f>
        <v>44098</v>
      </c>
      <c r="I526" s="27">
        <f>IFERROR(__xludf.DUMMYFUNCTION("""COMPUTED_VALUE"""),0.7638888888888888)</f>
        <v>0.7638888889</v>
      </c>
      <c r="J526" s="277">
        <f>IFERROR(__xludf.DUMMYFUNCTION("""COMPUTED_VALUE"""),75.5)</f>
        <v>75.5</v>
      </c>
      <c r="K526" s="29">
        <f>IFERROR(__xludf.DUMMYFUNCTION("""COMPUTED_VALUE"""),8.0)</f>
        <v>8</v>
      </c>
      <c r="L526" s="275" t="str">
        <f>IFERROR(__xludf.DUMMYFUNCTION("""COMPUTED_VALUE"""),"Action")</f>
        <v>Action</v>
      </c>
    </row>
    <row r="527" hidden="1">
      <c r="A527" s="278" t="str">
        <f>IFERROR(__xludf.DUMMYFUNCTION("""COMPUTED_VALUE"""),"Slime Rancher")</f>
        <v>Slime Rancher</v>
      </c>
      <c r="B527" s="20" t="str">
        <f>IFERROR(__xludf.DUMMYFUNCTION("""COMPUTED_VALUE"""),"Xbox / PC")</f>
        <v>Xbox / PC</v>
      </c>
      <c r="C527" s="20" t="str">
        <f>IFERROR(__xludf.DUMMYFUNCTION("""COMPUTED_VALUE"""),"Yes")</f>
        <v>Yes</v>
      </c>
      <c r="D527" s="21" t="str">
        <f>IFERROR(__xludf.DUMMYFUNCTION("""COMPUTED_VALUE"""),"Removed")</f>
        <v>Removed</v>
      </c>
      <c r="E527" s="279">
        <f>IFERROR(__xludf.DUMMYFUNCTION("""COMPUTED_VALUE"""),44168.0)</f>
        <v>44168</v>
      </c>
      <c r="F527" s="24">
        <f>IFERROR(__xludf.DUMMYFUNCTION("""COMPUTED_VALUE"""),44834.0)</f>
        <v>44834</v>
      </c>
      <c r="G527" s="27">
        <f>IFERROR(__xludf.DUMMYFUNCTION("""COMPUTED_VALUE"""),21.9)</f>
        <v>21.9</v>
      </c>
      <c r="H527" s="128">
        <f>IFERROR(__xludf.DUMMYFUNCTION("""COMPUTED_VALUE"""),42948.0)</f>
        <v>42948</v>
      </c>
      <c r="I527" s="27">
        <f>IFERROR(__xludf.DUMMYFUNCTION("""COMPUTED_VALUE"""),3.338888888888889)</f>
        <v>3.338888889</v>
      </c>
      <c r="J527" s="277">
        <f>IFERROR(__xludf.DUMMYFUNCTION("""COMPUTED_VALUE"""),80.0)</f>
        <v>80</v>
      </c>
      <c r="K527" s="29">
        <f>IFERROR(__xludf.DUMMYFUNCTION("""COMPUTED_VALUE"""),15.0)</f>
        <v>15</v>
      </c>
      <c r="L527" s="275" t="str">
        <f>IFERROR(__xludf.DUMMYFUNCTION("""COMPUTED_VALUE"""),"Shooter")</f>
        <v>Shooter</v>
      </c>
    </row>
    <row r="528" hidden="1">
      <c r="A528" s="278" t="str">
        <f>IFERROR(__xludf.DUMMYFUNCTION("""COMPUTED_VALUE"""),"Mighty Goose")</f>
        <v>Mighty Goose</v>
      </c>
      <c r="B528" s="20" t="str">
        <f>IFERROR(__xludf.DUMMYFUNCTION("""COMPUTED_VALUE"""),"Xbox / PC")</f>
        <v>Xbox / PC</v>
      </c>
      <c r="C528" s="20" t="str">
        <f>IFERROR(__xludf.DUMMYFUNCTION("""COMPUTED_VALUE"""),"Touch Controls")</f>
        <v>Touch Controls</v>
      </c>
      <c r="D528" s="21" t="str">
        <f>IFERROR(__xludf.DUMMYFUNCTION("""COMPUTED_VALUE"""),"Removed")</f>
        <v>Removed</v>
      </c>
      <c r="E528" s="279">
        <f>IFERROR(__xludf.DUMMYFUNCTION("""COMPUTED_VALUE"""),44469.0)</f>
        <v>44469</v>
      </c>
      <c r="F528" s="24">
        <f>IFERROR(__xludf.DUMMYFUNCTION("""COMPUTED_VALUE"""),44819.0)</f>
        <v>44819</v>
      </c>
      <c r="G528" s="27">
        <f>IFERROR(__xludf.DUMMYFUNCTION("""COMPUTED_VALUE"""),11.5)</f>
        <v>11.5</v>
      </c>
      <c r="H528" s="128">
        <f>IFERROR(__xludf.DUMMYFUNCTION("""COMPUTED_VALUE"""),44352.0)</f>
        <v>44352</v>
      </c>
      <c r="I528" s="27">
        <f>IFERROR(__xludf.DUMMYFUNCTION("""COMPUTED_VALUE"""),0.3194444444444444)</f>
        <v>0.3194444444</v>
      </c>
      <c r="J528" s="277">
        <f>IFERROR(__xludf.DUMMYFUNCTION("""COMPUTED_VALUE"""),71.0)</f>
        <v>71</v>
      </c>
      <c r="K528" s="29">
        <f>IFERROR(__xludf.DUMMYFUNCTION("""COMPUTED_VALUE"""),2.0)</f>
        <v>2</v>
      </c>
      <c r="L528" s="275" t="str">
        <f>IFERROR(__xludf.DUMMYFUNCTION("""COMPUTED_VALUE"""),"Shooter")</f>
        <v>Shooter</v>
      </c>
    </row>
    <row r="529" hidden="1">
      <c r="A529" s="278" t="str">
        <f>IFERROR(__xludf.DUMMYFUNCTION("""COMPUTED_VALUE"""),"Lost Words: Beyond the Page")</f>
        <v>Lost Words: Beyond the Page</v>
      </c>
      <c r="B529" s="20" t="str">
        <f>IFERROR(__xludf.DUMMYFUNCTION("""COMPUTED_VALUE"""),"Xbox / PC")</f>
        <v>Xbox / PC</v>
      </c>
      <c r="C529" s="20" t="str">
        <f>IFERROR(__xludf.DUMMYFUNCTION("""COMPUTED_VALUE"""),"Touch Controls")</f>
        <v>Touch Controls</v>
      </c>
      <c r="D529" s="21" t="str">
        <f>IFERROR(__xludf.DUMMYFUNCTION("""COMPUTED_VALUE"""),"Removed")</f>
        <v>Removed</v>
      </c>
      <c r="E529" s="279">
        <f>IFERROR(__xludf.DUMMYFUNCTION("""COMPUTED_VALUE"""),44462.0)</f>
        <v>44462</v>
      </c>
      <c r="F529" s="24">
        <f>IFERROR(__xludf.DUMMYFUNCTION("""COMPUTED_VALUE"""),44819.0)</f>
        <v>44819</v>
      </c>
      <c r="G529" s="27">
        <f>IFERROR(__xludf.DUMMYFUNCTION("""COMPUTED_VALUE"""),11.733333333333333)</f>
        <v>11.73333333</v>
      </c>
      <c r="H529" s="128">
        <f>IFERROR(__xludf.DUMMYFUNCTION("""COMPUTED_VALUE"""),43917.0)</f>
        <v>43917</v>
      </c>
      <c r="I529" s="27">
        <f>IFERROR(__xludf.DUMMYFUNCTION("""COMPUTED_VALUE"""),1.488888888888889)</f>
        <v>1.488888889</v>
      </c>
      <c r="J529" s="277">
        <f>IFERROR(__xludf.DUMMYFUNCTION("""COMPUTED_VALUE"""),77.0)</f>
        <v>77</v>
      </c>
      <c r="K529" s="29">
        <f>IFERROR(__xludf.DUMMYFUNCTION("""COMPUTED_VALUE"""),4.5)</f>
        <v>4.5</v>
      </c>
      <c r="L529" s="275" t="str">
        <f>IFERROR(__xludf.DUMMYFUNCTION("""COMPUTED_VALUE"""),"Platformer")</f>
        <v>Platformer</v>
      </c>
    </row>
    <row r="530" hidden="1">
      <c r="A530" s="17" t="str">
        <f>IFERROR(__xludf.DUMMYFUNCTION("""COMPUTED_VALUE"""),"I Am Fish")</f>
        <v>I Am Fish</v>
      </c>
      <c r="B530" s="20" t="str">
        <f>IFERROR(__xludf.DUMMYFUNCTION("""COMPUTED_VALUE"""),"Xbox / PC")</f>
        <v>Xbox / PC</v>
      </c>
      <c r="C530" s="20" t="str">
        <f>IFERROR(__xludf.DUMMYFUNCTION("""COMPUTED_VALUE"""),"Touch Controls")</f>
        <v>Touch Controls</v>
      </c>
      <c r="D530" s="21" t="str">
        <f>IFERROR(__xludf.DUMMYFUNCTION("""COMPUTED_VALUE"""),"Removed")</f>
        <v>Removed</v>
      </c>
      <c r="E530" s="279">
        <f>IFERROR(__xludf.DUMMYFUNCTION("""COMPUTED_VALUE"""),44455.0)</f>
        <v>44455</v>
      </c>
      <c r="F530" s="24">
        <f>IFERROR(__xludf.DUMMYFUNCTION("""COMPUTED_VALUE"""),44819.0)</f>
        <v>44819</v>
      </c>
      <c r="G530" s="27">
        <f>IFERROR(__xludf.DUMMYFUNCTION("""COMPUTED_VALUE"""),11.966666666666667)</f>
        <v>11.96666667</v>
      </c>
      <c r="H530" s="128">
        <f>IFERROR(__xludf.DUMMYFUNCTION("""COMPUTED_VALUE"""),44455.0)</f>
        <v>44455</v>
      </c>
      <c r="I530" s="27">
        <f>IFERROR(__xludf.DUMMYFUNCTION("""COMPUTED_VALUE"""),0.0)</f>
        <v>0</v>
      </c>
      <c r="J530" s="277">
        <f>IFERROR(__xludf.DUMMYFUNCTION("""COMPUTED_VALUE"""),68.5)</f>
        <v>68.5</v>
      </c>
      <c r="K530" s="29">
        <f>IFERROR(__xludf.DUMMYFUNCTION("""COMPUTED_VALUE"""),5.0)</f>
        <v>5</v>
      </c>
      <c r="L530" s="275" t="str">
        <f>IFERROR(__xludf.DUMMYFUNCTION("""COMPUTED_VALUE"""),"Action-Adventure")</f>
        <v>Action-Adventure</v>
      </c>
    </row>
    <row r="531" hidden="1">
      <c r="A531" s="278" t="str">
        <f>IFERROR(__xludf.DUMMYFUNCTION("""COMPUTED_VALUE"""),"SkateBird")</f>
        <v>SkateBird</v>
      </c>
      <c r="B531" s="20" t="str">
        <f>IFERROR(__xludf.DUMMYFUNCTION("""COMPUTED_VALUE"""),"Xbox / PC")</f>
        <v>Xbox / PC</v>
      </c>
      <c r="C531" s="20" t="str">
        <f>IFERROR(__xludf.DUMMYFUNCTION("""COMPUTED_VALUE"""),"Touch Controls")</f>
        <v>Touch Controls</v>
      </c>
      <c r="D531" s="21" t="str">
        <f>IFERROR(__xludf.DUMMYFUNCTION("""COMPUTED_VALUE"""),"Removed")</f>
        <v>Removed</v>
      </c>
      <c r="E531" s="279">
        <f>IFERROR(__xludf.DUMMYFUNCTION("""COMPUTED_VALUE"""),44455.0)</f>
        <v>44455</v>
      </c>
      <c r="F531" s="24">
        <f>IFERROR(__xludf.DUMMYFUNCTION("""COMPUTED_VALUE"""),44819.0)</f>
        <v>44819</v>
      </c>
      <c r="G531" s="27">
        <f>IFERROR(__xludf.DUMMYFUNCTION("""COMPUTED_VALUE"""),11.966666666666667)</f>
        <v>11.96666667</v>
      </c>
      <c r="H531" s="128">
        <f>IFERROR(__xludf.DUMMYFUNCTION("""COMPUTED_VALUE"""),44455.0)</f>
        <v>44455</v>
      </c>
      <c r="I531" s="27">
        <f>IFERROR(__xludf.DUMMYFUNCTION("""COMPUTED_VALUE"""),0.0)</f>
        <v>0</v>
      </c>
      <c r="J531" s="277">
        <f>IFERROR(__xludf.DUMMYFUNCTION("""COMPUTED_VALUE"""),62.0)</f>
        <v>62</v>
      </c>
      <c r="K531" s="277">
        <f>IFERROR(__xludf.DUMMYFUNCTION("""COMPUTED_VALUE"""),5.5)</f>
        <v>5.5</v>
      </c>
      <c r="L531" s="275" t="str">
        <f>IFERROR(__xludf.DUMMYFUNCTION("""COMPUTED_VALUE"""),"Skateboarding")</f>
        <v>Skateboarding</v>
      </c>
    </row>
    <row r="532" hidden="1">
      <c r="A532" s="278" t="str">
        <f>IFERROR(__xludf.DUMMYFUNCTION("""COMPUTED_VALUE"""),"Flynn: Son of Crimson")</f>
        <v>Flynn: Son of Crimson</v>
      </c>
      <c r="B532" s="20" t="str">
        <f>IFERROR(__xludf.DUMMYFUNCTION("""COMPUTED_VALUE"""),"Xbox / PC")</f>
        <v>Xbox / PC</v>
      </c>
      <c r="C532" s="20" t="str">
        <f>IFERROR(__xludf.DUMMYFUNCTION("""COMPUTED_VALUE"""),"Touch Controls")</f>
        <v>Touch Controls</v>
      </c>
      <c r="D532" s="21" t="str">
        <f>IFERROR(__xludf.DUMMYFUNCTION("""COMPUTED_VALUE"""),"Removed")</f>
        <v>Removed</v>
      </c>
      <c r="E532" s="279">
        <f>IFERROR(__xludf.DUMMYFUNCTION("""COMPUTED_VALUE"""),44454.0)</f>
        <v>44454</v>
      </c>
      <c r="F532" s="276">
        <f>IFERROR(__xludf.DUMMYFUNCTION("""COMPUTED_VALUE"""),44819.0)</f>
        <v>44819</v>
      </c>
      <c r="G532" s="27">
        <f>IFERROR(__xludf.DUMMYFUNCTION("""COMPUTED_VALUE"""),12.0)</f>
        <v>12</v>
      </c>
      <c r="H532" s="128">
        <f>IFERROR(__xludf.DUMMYFUNCTION("""COMPUTED_VALUE"""),44454.0)</f>
        <v>44454</v>
      </c>
      <c r="I532" s="27">
        <f>IFERROR(__xludf.DUMMYFUNCTION("""COMPUTED_VALUE"""),0.0)</f>
        <v>0</v>
      </c>
      <c r="J532" s="29">
        <f>IFERROR(__xludf.DUMMYFUNCTION("""COMPUTED_VALUE"""),85.0)</f>
        <v>85</v>
      </c>
      <c r="K532" s="29">
        <f>IFERROR(__xludf.DUMMYFUNCTION("""COMPUTED_VALUE"""),6.0)</f>
        <v>6</v>
      </c>
      <c r="L532" s="275" t="str">
        <f>IFERROR(__xludf.DUMMYFUNCTION("""COMPUTED_VALUE"""),"Platformer")</f>
        <v>Platformer</v>
      </c>
    </row>
    <row r="533" hidden="1">
      <c r="A533" s="278" t="str">
        <f>IFERROR(__xludf.DUMMYFUNCTION("""COMPUTED_VALUE"""),"The Artful Escape")</f>
        <v>The Artful Escape</v>
      </c>
      <c r="B533" s="21" t="str">
        <f>IFERROR(__xludf.DUMMYFUNCTION("""COMPUTED_VALUE"""),"Xbox / PC")</f>
        <v>Xbox / PC</v>
      </c>
      <c r="C533" s="21" t="str">
        <f>IFERROR(__xludf.DUMMYFUNCTION("""COMPUTED_VALUE"""),"Touch Controls")</f>
        <v>Touch Controls</v>
      </c>
      <c r="D533" s="21" t="str">
        <f>IFERROR(__xludf.DUMMYFUNCTION("""COMPUTED_VALUE"""),"Removed")</f>
        <v>Removed</v>
      </c>
      <c r="E533" s="279">
        <f>IFERROR(__xludf.DUMMYFUNCTION("""COMPUTED_VALUE"""),44448.0)</f>
        <v>44448</v>
      </c>
      <c r="F533" s="24">
        <f>IFERROR(__xludf.DUMMYFUNCTION("""COMPUTED_VALUE"""),44819.0)</f>
        <v>44819</v>
      </c>
      <c r="G533" s="27">
        <f>IFERROR(__xludf.DUMMYFUNCTION("""COMPUTED_VALUE"""),12.2)</f>
        <v>12.2</v>
      </c>
      <c r="H533" s="128">
        <f>IFERROR(__xludf.DUMMYFUNCTION("""COMPUTED_VALUE"""),44448.0)</f>
        <v>44448</v>
      </c>
      <c r="I533" s="27">
        <f>IFERROR(__xludf.DUMMYFUNCTION("""COMPUTED_VALUE"""),0.0)</f>
        <v>0</v>
      </c>
      <c r="J533" s="277">
        <f>IFERROR(__xludf.DUMMYFUNCTION("""COMPUTED_VALUE"""),81.0)</f>
        <v>81</v>
      </c>
      <c r="K533" s="29">
        <f>IFERROR(__xludf.DUMMYFUNCTION("""COMPUTED_VALUE"""),4.5)</f>
        <v>4.5</v>
      </c>
      <c r="L533" s="31" t="str">
        <f>IFERROR(__xludf.DUMMYFUNCTION("""COMPUTED_VALUE"""),"Platformer")</f>
        <v>Platformer</v>
      </c>
    </row>
    <row r="534" hidden="1">
      <c r="A534" s="17" t="str">
        <f>IFERROR(__xludf.DUMMYFUNCTION("""COMPUTED_VALUE"""),"Craftopia")</f>
        <v>Craftopia</v>
      </c>
      <c r="B534" s="20" t="str">
        <f>IFERROR(__xludf.DUMMYFUNCTION("""COMPUTED_VALUE"""),"Xbox / PC")</f>
        <v>Xbox / PC</v>
      </c>
      <c r="C534" s="20" t="str">
        <f>IFERROR(__xludf.DUMMYFUNCTION("""COMPUTED_VALUE"""),"Yes")</f>
        <v>Yes</v>
      </c>
      <c r="D534" s="21" t="str">
        <f>IFERROR(__xludf.DUMMYFUNCTION("""COMPUTED_VALUE"""),"Removed")</f>
        <v>Removed</v>
      </c>
      <c r="E534" s="127">
        <f>IFERROR(__xludf.DUMMYFUNCTION("""COMPUTED_VALUE"""),44441.0)</f>
        <v>44441</v>
      </c>
      <c r="F534" s="276">
        <f>IFERROR(__xludf.DUMMYFUNCTION("""COMPUTED_VALUE"""),44819.0)</f>
        <v>44819</v>
      </c>
      <c r="G534" s="27">
        <f>IFERROR(__xludf.DUMMYFUNCTION("""COMPUTED_VALUE"""),12.433333333333334)</f>
        <v>12.43333333</v>
      </c>
      <c r="H534" s="128">
        <f>IFERROR(__xludf.DUMMYFUNCTION("""COMPUTED_VALUE"""),44078.0)</f>
        <v>44078</v>
      </c>
      <c r="I534" s="27">
        <f>IFERROR(__xludf.DUMMYFUNCTION("""COMPUTED_VALUE"""),0.9944444444444445)</f>
        <v>0.9944444444</v>
      </c>
      <c r="J534" s="29">
        <f>IFERROR(__xludf.DUMMYFUNCTION("""COMPUTED_VALUE"""),70.0)</f>
        <v>70</v>
      </c>
      <c r="K534" s="29">
        <f>IFERROR(__xludf.DUMMYFUNCTION("""COMPUTED_VALUE"""),27.0)</f>
        <v>27</v>
      </c>
      <c r="L534" s="31" t="str">
        <f>IFERROR(__xludf.DUMMYFUNCTION("""COMPUTED_VALUE"""),"Action-Adventure")</f>
        <v>Action-Adventure</v>
      </c>
    </row>
    <row r="535" hidden="1">
      <c r="A535" s="278" t="str">
        <f>IFERROR(__xludf.DUMMYFUNCTION("""COMPUTED_VALUE"""),"Final Fantasy XIII")</f>
        <v>Final Fantasy XIII</v>
      </c>
      <c r="B535" s="20" t="str">
        <f>IFERROR(__xludf.DUMMYFUNCTION("""COMPUTED_VALUE"""),"Xbox / PC")</f>
        <v>Xbox / PC</v>
      </c>
      <c r="C535" s="21"/>
      <c r="D535" s="21" t="str">
        <f>IFERROR(__xludf.DUMMYFUNCTION("""COMPUTED_VALUE"""),"Removed")</f>
        <v>Removed</v>
      </c>
      <c r="E535" s="279">
        <f>IFERROR(__xludf.DUMMYFUNCTION("""COMPUTED_VALUE"""),44441.0)</f>
        <v>44441</v>
      </c>
      <c r="F535" s="276">
        <f>IFERROR(__xludf.DUMMYFUNCTION("""COMPUTED_VALUE"""),44819.0)</f>
        <v>44819</v>
      </c>
      <c r="G535" s="27">
        <f>IFERROR(__xludf.DUMMYFUNCTION("""COMPUTED_VALUE"""),12.433333333333334)</f>
        <v>12.43333333</v>
      </c>
      <c r="H535" s="128">
        <f>IFERROR(__xludf.DUMMYFUNCTION("""COMPUTED_VALUE"""),40246.0)</f>
        <v>40246</v>
      </c>
      <c r="I535" s="27">
        <f>IFERROR(__xludf.DUMMYFUNCTION("""COMPUTED_VALUE"""),11.480555555555556)</f>
        <v>11.48055556</v>
      </c>
      <c r="J535" s="277">
        <f>IFERROR(__xludf.DUMMYFUNCTION("""COMPUTED_VALUE"""),73.5)</f>
        <v>73.5</v>
      </c>
      <c r="K535" s="29">
        <f>IFERROR(__xludf.DUMMYFUNCTION("""COMPUTED_VALUE"""),48.5)</f>
        <v>48.5</v>
      </c>
      <c r="L535" s="275" t="str">
        <f>IFERROR(__xludf.DUMMYFUNCTION("""COMPUTED_VALUE"""),"RPG")</f>
        <v>RPG</v>
      </c>
    </row>
    <row r="536" hidden="1">
      <c r="A536" s="17" t="str">
        <f>IFERROR(__xludf.DUMMYFUNCTION("""COMPUTED_VALUE"""),"Bug Fables: The Everlasting Sapling")</f>
        <v>Bug Fables: The Everlasting Sapling</v>
      </c>
      <c r="B536" s="20" t="str">
        <f>IFERROR(__xludf.DUMMYFUNCTION("""COMPUTED_VALUE"""),"Xbox / PC")</f>
        <v>Xbox / PC</v>
      </c>
      <c r="C536" s="20" t="str">
        <f>IFERROR(__xludf.DUMMYFUNCTION("""COMPUTED_VALUE"""),"Touch Controls")</f>
        <v>Touch Controls</v>
      </c>
      <c r="D536" s="21" t="str">
        <f>IFERROR(__xludf.DUMMYFUNCTION("""COMPUTED_VALUE"""),"Removed")</f>
        <v>Removed</v>
      </c>
      <c r="E536" s="127">
        <f>IFERROR(__xludf.DUMMYFUNCTION("""COMPUTED_VALUE"""),44378.0)</f>
        <v>44378</v>
      </c>
      <c r="F536" s="24">
        <f>IFERROR(__xludf.DUMMYFUNCTION("""COMPUTED_VALUE"""),44819.0)</f>
        <v>44819</v>
      </c>
      <c r="G536" s="27">
        <f>IFERROR(__xludf.DUMMYFUNCTION("""COMPUTED_VALUE"""),14.466666666666665)</f>
        <v>14.46666667</v>
      </c>
      <c r="H536" s="128">
        <f>IFERROR(__xludf.DUMMYFUNCTION("""COMPUTED_VALUE"""),43790.0)</f>
        <v>43790</v>
      </c>
      <c r="I536" s="27">
        <f>IFERROR(__xludf.DUMMYFUNCTION("""COMPUTED_VALUE"""),1.6111111111111112)</f>
        <v>1.611111111</v>
      </c>
      <c r="J536" s="29">
        <f>IFERROR(__xludf.DUMMYFUNCTION("""COMPUTED_VALUE"""),86.0)</f>
        <v>86</v>
      </c>
      <c r="K536" s="29">
        <f>IFERROR(__xludf.DUMMYFUNCTION("""COMPUTED_VALUE"""),25.5)</f>
        <v>25.5</v>
      </c>
      <c r="L536" s="31" t="str">
        <f>IFERROR(__xludf.DUMMYFUNCTION("""COMPUTED_VALUE"""),"RPG")</f>
        <v>RPG</v>
      </c>
    </row>
    <row r="537" hidden="1">
      <c r="A537" s="17" t="str">
        <f>IFERROR(__xludf.DUMMYFUNCTION("""COMPUTED_VALUE"""),"A Plague Tale: Innocence")</f>
        <v>A Plague Tale: Innocence</v>
      </c>
      <c r="B537" s="20" t="str">
        <f>IFERROR(__xludf.DUMMYFUNCTION("""COMPUTED_VALUE"""),"Xbox / PC")</f>
        <v>Xbox / PC</v>
      </c>
      <c r="C537" s="20" t="str">
        <f>IFERROR(__xludf.DUMMYFUNCTION("""COMPUTED_VALUE"""),"Yes")</f>
        <v>Yes</v>
      </c>
      <c r="D537" s="21" t="str">
        <f>IFERROR(__xludf.DUMMYFUNCTION("""COMPUTED_VALUE"""),"Removed")</f>
        <v>Removed</v>
      </c>
      <c r="E537" s="23">
        <f>IFERROR(__xludf.DUMMYFUNCTION("""COMPUTED_VALUE"""),43853.0)</f>
        <v>43853</v>
      </c>
      <c r="F537" s="24">
        <f>IFERROR(__xludf.DUMMYFUNCTION("""COMPUTED_VALUE"""),44819.0)</f>
        <v>44819</v>
      </c>
      <c r="G537" s="27">
        <f>IFERROR(__xludf.DUMMYFUNCTION("""COMPUTED_VALUE"""),31.733333333333334)</f>
        <v>31.73333333</v>
      </c>
      <c r="H537" s="128">
        <f>IFERROR(__xludf.DUMMYFUNCTION("""COMPUTED_VALUE"""),43599.0)</f>
        <v>43599</v>
      </c>
      <c r="I537" s="27">
        <f>IFERROR(__xludf.DUMMYFUNCTION("""COMPUTED_VALUE"""),0.6916666666666667)</f>
        <v>0.6916666667</v>
      </c>
      <c r="J537" s="277">
        <f>IFERROR(__xludf.DUMMYFUNCTION("""COMPUTED_VALUE"""),83.0)</f>
        <v>83</v>
      </c>
      <c r="K537" s="29">
        <f>IFERROR(__xludf.DUMMYFUNCTION("""COMPUTED_VALUE"""),10.5)</f>
        <v>10.5</v>
      </c>
      <c r="L537" s="275" t="str">
        <f>IFERROR(__xludf.DUMMYFUNCTION("""COMPUTED_VALUE"""),"Action-Adventure")</f>
        <v>Action-Adventure</v>
      </c>
    </row>
    <row r="538" hidden="1">
      <c r="A538" s="278" t="str">
        <f>IFERROR(__xludf.DUMMYFUNCTION("""COMPUTED_VALUE"""),"NBA 2K22")</f>
        <v>NBA 2K22</v>
      </c>
      <c r="B538" s="20" t="str">
        <f>IFERROR(__xludf.DUMMYFUNCTION("""COMPUTED_VALUE"""),"Xbox")</f>
        <v>Xbox</v>
      </c>
      <c r="C538" s="21" t="str">
        <f>IFERROR(__xludf.DUMMYFUNCTION("""COMPUTED_VALUE"""),"Yes")</f>
        <v>Yes</v>
      </c>
      <c r="D538" s="21" t="str">
        <f>IFERROR(__xludf.DUMMYFUNCTION("""COMPUTED_VALUE"""),"Removed")</f>
        <v>Removed</v>
      </c>
      <c r="E538" s="279">
        <f>IFERROR(__xludf.DUMMYFUNCTION("""COMPUTED_VALUE"""),44679.0)</f>
        <v>44679</v>
      </c>
      <c r="F538" s="24">
        <f>IFERROR(__xludf.DUMMYFUNCTION("""COMPUTED_VALUE"""),44804.0)</f>
        <v>44804</v>
      </c>
      <c r="G538" s="27">
        <f>IFERROR(__xludf.DUMMYFUNCTION("""COMPUTED_VALUE"""),4.066666666666666)</f>
        <v>4.066666667</v>
      </c>
      <c r="H538" s="128">
        <f>IFERROR(__xludf.DUMMYFUNCTION("""COMPUTED_VALUE"""),44449.0)</f>
        <v>44449</v>
      </c>
      <c r="I538" s="27">
        <f>IFERROR(__xludf.DUMMYFUNCTION("""COMPUTED_VALUE"""),0.6333333333333333)</f>
        <v>0.6333333333</v>
      </c>
      <c r="J538" s="277">
        <f>IFERROR(__xludf.DUMMYFUNCTION("""COMPUTED_VALUE"""),76.0)</f>
        <v>76</v>
      </c>
      <c r="K538" s="29">
        <f>IFERROR(__xludf.DUMMYFUNCTION("""COMPUTED_VALUE"""),125.0)</f>
        <v>125</v>
      </c>
      <c r="L538" s="275" t="str">
        <f>IFERROR(__xludf.DUMMYFUNCTION("""COMPUTED_VALUE"""),"Sports")</f>
        <v>Sports</v>
      </c>
    </row>
    <row r="539" hidden="1">
      <c r="A539" s="278" t="str">
        <f>IFERROR(__xludf.DUMMYFUNCTION("""COMPUTED_VALUE"""),"Signs of the Sojourner")</f>
        <v>Signs of the Sojourner</v>
      </c>
      <c r="B539" s="20" t="str">
        <f>IFERROR(__xludf.DUMMYFUNCTION("""COMPUTED_VALUE"""),"Xbox / PC")</f>
        <v>Xbox / PC</v>
      </c>
      <c r="C539" s="20" t="str">
        <f>IFERROR(__xludf.DUMMYFUNCTION("""COMPUTED_VALUE"""),"Touch Controls")</f>
        <v>Touch Controls</v>
      </c>
      <c r="D539" s="21" t="str">
        <f>IFERROR(__xludf.DUMMYFUNCTION("""COMPUTED_VALUE"""),"Removed")</f>
        <v>Removed</v>
      </c>
      <c r="E539" s="279">
        <f>IFERROR(__xludf.DUMMYFUNCTION("""COMPUTED_VALUE"""),44441.0)</f>
        <v>44441</v>
      </c>
      <c r="F539" s="24">
        <f>IFERROR(__xludf.DUMMYFUNCTION("""COMPUTED_VALUE"""),44804.0)</f>
        <v>44804</v>
      </c>
      <c r="G539" s="27">
        <f>IFERROR(__xludf.DUMMYFUNCTION("""COMPUTED_VALUE"""),11.933333333333334)</f>
        <v>11.93333333</v>
      </c>
      <c r="H539" s="128">
        <f>IFERROR(__xludf.DUMMYFUNCTION("""COMPUTED_VALUE"""),43965.0)</f>
        <v>43965</v>
      </c>
      <c r="I539" s="27">
        <f>IFERROR(__xludf.DUMMYFUNCTION("""COMPUTED_VALUE"""),1.3)</f>
        <v>1.3</v>
      </c>
      <c r="J539" s="277">
        <f>IFERROR(__xludf.DUMMYFUNCTION("""COMPUTED_VALUE"""),77.0)</f>
        <v>77</v>
      </c>
      <c r="K539" s="29">
        <f>IFERROR(__xludf.DUMMYFUNCTION("""COMPUTED_VALUE"""),4.0)</f>
        <v>4</v>
      </c>
      <c r="L539" s="275" t="str">
        <f>IFERROR(__xludf.DUMMYFUNCTION("""COMPUTED_VALUE"""),"Card Game")</f>
        <v>Card Game</v>
      </c>
    </row>
    <row r="540" hidden="1">
      <c r="A540" s="17" t="str">
        <f>IFERROR(__xludf.DUMMYFUNCTION("""COMPUTED_VALUE"""),"Myst (2021)")</f>
        <v>Myst (2021)</v>
      </c>
      <c r="B540" s="20" t="str">
        <f>IFERROR(__xludf.DUMMYFUNCTION("""COMPUTED_VALUE"""),"Xbox / PC")</f>
        <v>Xbox / PC</v>
      </c>
      <c r="C540" s="20" t="str">
        <f>IFERROR(__xludf.DUMMYFUNCTION("""COMPUTED_VALUE"""),"Yes")</f>
        <v>Yes</v>
      </c>
      <c r="D540" s="21" t="str">
        <f>IFERROR(__xludf.DUMMYFUNCTION("""COMPUTED_VALUE"""),"Removed")</f>
        <v>Removed</v>
      </c>
      <c r="E540" s="127">
        <f>IFERROR(__xludf.DUMMYFUNCTION("""COMPUTED_VALUE"""),44434.0)</f>
        <v>44434</v>
      </c>
      <c r="F540" s="276">
        <f>IFERROR(__xludf.DUMMYFUNCTION("""COMPUTED_VALUE"""),44804.0)</f>
        <v>44804</v>
      </c>
      <c r="G540" s="27">
        <f>IFERROR(__xludf.DUMMYFUNCTION("""COMPUTED_VALUE"""),12.133333333333333)</f>
        <v>12.13333333</v>
      </c>
      <c r="H540" s="128">
        <f>IFERROR(__xludf.DUMMYFUNCTION("""COMPUTED_VALUE"""),44434.0)</f>
        <v>44434</v>
      </c>
      <c r="I540" s="27">
        <f>IFERROR(__xludf.DUMMYFUNCTION("""COMPUTED_VALUE"""),0.0)</f>
        <v>0</v>
      </c>
      <c r="J540" s="29">
        <f>IFERROR(__xludf.DUMMYFUNCTION("""COMPUTED_VALUE"""),79.0)</f>
        <v>79</v>
      </c>
      <c r="K540" s="29">
        <f>IFERROR(__xludf.DUMMYFUNCTION("""COMPUTED_VALUE"""),5.5)</f>
        <v>5.5</v>
      </c>
      <c r="L540" s="31" t="str">
        <f>IFERROR(__xludf.DUMMYFUNCTION("""COMPUTED_VALUE"""),"Adventure")</f>
        <v>Adventure</v>
      </c>
    </row>
    <row r="541" hidden="1">
      <c r="A541" s="17" t="str">
        <f>IFERROR(__xludf.DUMMYFUNCTION("""COMPUTED_VALUE"""),"Twelve Minutes")</f>
        <v>Twelve Minutes</v>
      </c>
      <c r="B541" s="20" t="str">
        <f>IFERROR(__xludf.DUMMYFUNCTION("""COMPUTED_VALUE"""),"Xbox / PC")</f>
        <v>Xbox / PC</v>
      </c>
      <c r="C541" s="21" t="str">
        <f>IFERROR(__xludf.DUMMYFUNCTION("""COMPUTED_VALUE"""),"Yes")</f>
        <v>Yes</v>
      </c>
      <c r="D541" s="21" t="str">
        <f>IFERROR(__xludf.DUMMYFUNCTION("""COMPUTED_VALUE"""),"Removed")</f>
        <v>Removed</v>
      </c>
      <c r="E541" s="23">
        <f>IFERROR(__xludf.DUMMYFUNCTION("""COMPUTED_VALUE"""),44427.0)</f>
        <v>44427</v>
      </c>
      <c r="F541" s="24">
        <f>IFERROR(__xludf.DUMMYFUNCTION("""COMPUTED_VALUE"""),44804.0)</f>
        <v>44804</v>
      </c>
      <c r="G541" s="27">
        <f>IFERROR(__xludf.DUMMYFUNCTION("""COMPUTED_VALUE"""),12.366666666666665)</f>
        <v>12.36666667</v>
      </c>
      <c r="H541" s="128">
        <f>IFERROR(__xludf.DUMMYFUNCTION("""COMPUTED_VALUE"""),44427.0)</f>
        <v>44427</v>
      </c>
      <c r="I541" s="27">
        <f>IFERROR(__xludf.DUMMYFUNCTION("""COMPUTED_VALUE"""),0.0)</f>
        <v>0</v>
      </c>
      <c r="J541" s="29">
        <f>IFERROR(__xludf.DUMMYFUNCTION("""COMPUTED_VALUE"""),74.0)</f>
        <v>74</v>
      </c>
      <c r="K541" s="29">
        <f>IFERROR(__xludf.DUMMYFUNCTION("""COMPUTED_VALUE"""),4.5)</f>
        <v>4.5</v>
      </c>
      <c r="L541" s="31" t="str">
        <f>IFERROR(__xludf.DUMMYFUNCTION("""COMPUTED_VALUE"""),"Adventure")</f>
        <v>Adventure</v>
      </c>
    </row>
    <row r="542" hidden="1">
      <c r="A542" s="278" t="str">
        <f>IFERROR(__xludf.DUMMYFUNCTION("""COMPUTED_VALUE"""),"Two Point Hospital")</f>
        <v>Two Point Hospital</v>
      </c>
      <c r="B542" s="20" t="str">
        <f>IFERROR(__xludf.DUMMYFUNCTION("""COMPUTED_VALUE"""),"Xbox / PC")</f>
        <v>Xbox / PC</v>
      </c>
      <c r="C542" s="20" t="str">
        <f>IFERROR(__xludf.DUMMYFUNCTION("""COMPUTED_VALUE"""),"Touch Controls")</f>
        <v>Touch Controls</v>
      </c>
      <c r="D542" s="21" t="str">
        <f>IFERROR(__xludf.DUMMYFUNCTION("""COMPUTED_VALUE"""),"Removed")</f>
        <v>Removed</v>
      </c>
      <c r="E542" s="279">
        <f>IFERROR(__xludf.DUMMYFUNCTION("""COMPUTED_VALUE"""),43886.0)</f>
        <v>43886</v>
      </c>
      <c r="F542" s="24">
        <f>IFERROR(__xludf.DUMMYFUNCTION("""COMPUTED_VALUE"""),44804.0)</f>
        <v>44804</v>
      </c>
      <c r="G542" s="27">
        <f>IFERROR(__xludf.DUMMYFUNCTION("""COMPUTED_VALUE"""),30.166666666666664)</f>
        <v>30.16666667</v>
      </c>
      <c r="H542" s="128">
        <f>IFERROR(__xludf.DUMMYFUNCTION("""COMPUTED_VALUE"""),43220.0)</f>
        <v>43220</v>
      </c>
      <c r="I542" s="27">
        <f>IFERROR(__xludf.DUMMYFUNCTION("""COMPUTED_VALUE"""),1.8194444444444444)</f>
        <v>1.819444444</v>
      </c>
      <c r="J542" s="277">
        <f>IFERROR(__xludf.DUMMYFUNCTION("""COMPUTED_VALUE"""),83.0)</f>
        <v>83</v>
      </c>
      <c r="K542" s="29">
        <f>IFERROR(__xludf.DUMMYFUNCTION("""COMPUTED_VALUE"""),30.5)</f>
        <v>30.5</v>
      </c>
      <c r="L542" s="275" t="str">
        <f>IFERROR(__xludf.DUMMYFUNCTION("""COMPUTED_VALUE"""),"Simulation")</f>
        <v>Simulation</v>
      </c>
    </row>
    <row r="543" hidden="1">
      <c r="A543" s="278" t="str">
        <f>IFERROR(__xludf.DUMMYFUNCTION("""COMPUTED_VALUE"""),"What Remains of Edith Finch")</f>
        <v>What Remains of Edith Finch</v>
      </c>
      <c r="B543" s="20" t="str">
        <f>IFERROR(__xludf.DUMMYFUNCTION("""COMPUTED_VALUE"""),"Xbox / PC")</f>
        <v>Xbox / PC</v>
      </c>
      <c r="C543" s="20" t="str">
        <f>IFERROR(__xludf.DUMMYFUNCTION("""COMPUTED_VALUE"""),"Touch Controls")</f>
        <v>Touch Controls</v>
      </c>
      <c r="D543" s="21" t="str">
        <f>IFERROR(__xludf.DUMMYFUNCTION("""COMPUTED_VALUE"""),"Removed")</f>
        <v>Removed</v>
      </c>
      <c r="E543" s="279">
        <f>IFERROR(__xludf.DUMMYFUNCTION("""COMPUTED_VALUE"""),43545.0)</f>
        <v>43545</v>
      </c>
      <c r="F543" s="279">
        <f>IFERROR(__xludf.DUMMYFUNCTION("""COMPUTED_VALUE"""),44804.0)</f>
        <v>44804</v>
      </c>
      <c r="G543" s="27">
        <f>IFERROR(__xludf.DUMMYFUNCTION("""COMPUTED_VALUE"""),41.300000000000004)</f>
        <v>41.3</v>
      </c>
      <c r="H543" s="128">
        <f>IFERROR(__xludf.DUMMYFUNCTION("""COMPUTED_VALUE"""),42850.0)</f>
        <v>42850</v>
      </c>
      <c r="I543" s="27">
        <f>IFERROR(__xludf.DUMMYFUNCTION("""COMPUTED_VALUE"""),1.9055555555555554)</f>
        <v>1.905555556</v>
      </c>
      <c r="J543" s="29">
        <f>IFERROR(__xludf.DUMMYFUNCTION("""COMPUTED_VALUE"""),92.0)</f>
        <v>92</v>
      </c>
      <c r="K543" s="29">
        <f>IFERROR(__xludf.DUMMYFUNCTION("""COMPUTED_VALUE"""),2.0)</f>
        <v>2</v>
      </c>
      <c r="L543" s="275" t="str">
        <f>IFERROR(__xludf.DUMMYFUNCTION("""COMPUTED_VALUE"""),"Adventure")</f>
        <v>Adventure</v>
      </c>
    </row>
    <row r="544" hidden="1">
      <c r="A544" s="17" t="str">
        <f>IFERROR(__xludf.DUMMYFUNCTION("""COMPUTED_VALUE"""),"Train Sim World 2")</f>
        <v>Train Sim World 2</v>
      </c>
      <c r="B544" s="20" t="str">
        <f>IFERROR(__xludf.DUMMYFUNCTION("""COMPUTED_VALUE"""),"Xbox / PC")</f>
        <v>Xbox / PC</v>
      </c>
      <c r="C544" s="20" t="str">
        <f>IFERROR(__xludf.DUMMYFUNCTION("""COMPUTED_VALUE"""),"Touch Controls")</f>
        <v>Touch Controls</v>
      </c>
      <c r="D544" s="21" t="str">
        <f>IFERROR(__xludf.DUMMYFUNCTION("""COMPUTED_VALUE"""),"Removed")</f>
        <v>Removed</v>
      </c>
      <c r="E544" s="127">
        <f>IFERROR(__xludf.DUMMYFUNCTION("""COMPUTED_VALUE"""),44427.0)</f>
        <v>44427</v>
      </c>
      <c r="F544" s="24">
        <f>IFERROR(__xludf.DUMMYFUNCTION("""COMPUTED_VALUE"""),44788.0)</f>
        <v>44788</v>
      </c>
      <c r="G544" s="27">
        <f>IFERROR(__xludf.DUMMYFUNCTION("""COMPUTED_VALUE"""),11.866666666666667)</f>
        <v>11.86666667</v>
      </c>
      <c r="H544" s="128">
        <f>IFERROR(__xludf.DUMMYFUNCTION("""COMPUTED_VALUE"""),44063.0)</f>
        <v>44063</v>
      </c>
      <c r="I544" s="27">
        <f>IFERROR(__xludf.DUMMYFUNCTION("""COMPUTED_VALUE"""),0.9972222222222222)</f>
        <v>0.9972222222</v>
      </c>
      <c r="J544" s="29">
        <f>IFERROR(__xludf.DUMMYFUNCTION("""COMPUTED_VALUE"""),80.0)</f>
        <v>80</v>
      </c>
      <c r="K544" s="29">
        <f>IFERROR(__xludf.DUMMYFUNCTION("""COMPUTED_VALUE"""),18.0)</f>
        <v>18</v>
      </c>
      <c r="L544" s="31" t="str">
        <f>IFERROR(__xludf.DUMMYFUNCTION("""COMPUTED_VALUE"""),"Simulation")</f>
        <v>Simulation</v>
      </c>
    </row>
    <row r="545" hidden="1">
      <c r="A545" s="278" t="str">
        <f>IFERROR(__xludf.DUMMYFUNCTION("""COMPUTED_VALUE"""),"Boyfriend Dungeon")</f>
        <v>Boyfriend Dungeon</v>
      </c>
      <c r="B545" s="20" t="str">
        <f>IFERROR(__xludf.DUMMYFUNCTION("""COMPUTED_VALUE"""),"Xbox / PC")</f>
        <v>Xbox / PC</v>
      </c>
      <c r="C545" s="20" t="str">
        <f>IFERROR(__xludf.DUMMYFUNCTION("""COMPUTED_VALUE"""),"Touch Controls")</f>
        <v>Touch Controls</v>
      </c>
      <c r="D545" s="21" t="str">
        <f>IFERROR(__xludf.DUMMYFUNCTION("""COMPUTED_VALUE"""),"Removed")</f>
        <v>Removed</v>
      </c>
      <c r="E545" s="279">
        <f>IFERROR(__xludf.DUMMYFUNCTION("""COMPUTED_VALUE"""),44419.0)</f>
        <v>44419</v>
      </c>
      <c r="F545" s="24">
        <f>IFERROR(__xludf.DUMMYFUNCTION("""COMPUTED_VALUE"""),44788.0)</f>
        <v>44788</v>
      </c>
      <c r="G545" s="27">
        <f>IFERROR(__xludf.DUMMYFUNCTION("""COMPUTED_VALUE"""),12.133333333333333)</f>
        <v>12.13333333</v>
      </c>
      <c r="H545" s="128">
        <f>IFERROR(__xludf.DUMMYFUNCTION("""COMPUTED_VALUE"""),44419.0)</f>
        <v>44419</v>
      </c>
      <c r="I545" s="27">
        <f>IFERROR(__xludf.DUMMYFUNCTION("""COMPUTED_VALUE"""),0.0)</f>
        <v>0</v>
      </c>
      <c r="J545" s="277">
        <f>IFERROR(__xludf.DUMMYFUNCTION("""COMPUTED_VALUE"""),71.5)</f>
        <v>71.5</v>
      </c>
      <c r="K545" s="277">
        <f>IFERROR(__xludf.DUMMYFUNCTION("""COMPUTED_VALUE"""),5.0)</f>
        <v>5</v>
      </c>
      <c r="L545" s="275" t="str">
        <f>IFERROR(__xludf.DUMMYFUNCTION("""COMPUTED_VALUE"""),"Action")</f>
        <v>Action</v>
      </c>
    </row>
    <row r="546" hidden="1">
      <c r="A546" s="278" t="str">
        <f>IFERROR(__xludf.DUMMYFUNCTION("""COMPUTED_VALUE"""),"Library of Ruina")</f>
        <v>Library of Ruina</v>
      </c>
      <c r="B546" s="20" t="str">
        <f>IFERROR(__xludf.DUMMYFUNCTION("""COMPUTED_VALUE"""),"Xbox / PC")</f>
        <v>Xbox / PC</v>
      </c>
      <c r="C546" s="21" t="str">
        <f>IFERROR(__xludf.DUMMYFUNCTION("""COMPUTED_VALUE"""),"Yes")</f>
        <v>Yes</v>
      </c>
      <c r="D546" s="21" t="str">
        <f>IFERROR(__xludf.DUMMYFUNCTION("""COMPUTED_VALUE"""),"Removed")</f>
        <v>Removed</v>
      </c>
      <c r="E546" s="279">
        <f>IFERROR(__xludf.DUMMYFUNCTION("""COMPUTED_VALUE"""),44419.0)</f>
        <v>44419</v>
      </c>
      <c r="F546" s="24">
        <f>IFERROR(__xludf.DUMMYFUNCTION("""COMPUTED_VALUE"""),44788.0)</f>
        <v>44788</v>
      </c>
      <c r="G546" s="27">
        <f>IFERROR(__xludf.DUMMYFUNCTION("""COMPUTED_VALUE"""),12.133333333333333)</f>
        <v>12.13333333</v>
      </c>
      <c r="H546" s="128">
        <f>IFERROR(__xludf.DUMMYFUNCTION("""COMPUTED_VALUE"""),43966.0)</f>
        <v>43966</v>
      </c>
      <c r="I546" s="27">
        <f>IFERROR(__xludf.DUMMYFUNCTION("""COMPUTED_VALUE"""),1.238888888888889)</f>
        <v>1.238888889</v>
      </c>
      <c r="J546" s="277">
        <f>IFERROR(__xludf.DUMMYFUNCTION("""COMPUTED_VALUE"""),95.0)</f>
        <v>95</v>
      </c>
      <c r="K546" s="29">
        <f>IFERROR(__xludf.DUMMYFUNCTION("""COMPUTED_VALUE"""),96.5)</f>
        <v>96.5</v>
      </c>
      <c r="L546" s="275" t="str">
        <f>IFERROR(__xludf.DUMMYFUNCTION("""COMPUTED_VALUE"""),"RPG")</f>
        <v>RPG</v>
      </c>
    </row>
    <row r="547" hidden="1">
      <c r="A547" s="17" t="str">
        <f>IFERROR(__xludf.DUMMYFUNCTION("""COMPUTED_VALUE"""),"Curse of the Dead Gods")</f>
        <v>Curse of the Dead Gods</v>
      </c>
      <c r="B547" s="20" t="str">
        <f>IFERROR(__xludf.DUMMYFUNCTION("""COMPUTED_VALUE"""),"Xbox / PC")</f>
        <v>Xbox / PC</v>
      </c>
      <c r="C547" s="20" t="str">
        <f>IFERROR(__xludf.DUMMYFUNCTION("""COMPUTED_VALUE"""),"Touch Controls")</f>
        <v>Touch Controls</v>
      </c>
      <c r="D547" s="21" t="str">
        <f>IFERROR(__xludf.DUMMYFUNCTION("""COMPUTED_VALUE"""),"Removed")</f>
        <v>Removed</v>
      </c>
      <c r="E547" s="128">
        <f>IFERROR(__xludf.DUMMYFUNCTION("""COMPUTED_VALUE"""),44413.0)</f>
        <v>44413</v>
      </c>
      <c r="F547" s="24">
        <f>IFERROR(__xludf.DUMMYFUNCTION("""COMPUTED_VALUE"""),44788.0)</f>
        <v>44788</v>
      </c>
      <c r="G547" s="27">
        <f>IFERROR(__xludf.DUMMYFUNCTION("""COMPUTED_VALUE"""),12.333333333333332)</f>
        <v>12.33333333</v>
      </c>
      <c r="H547" s="128">
        <f>IFERROR(__xludf.DUMMYFUNCTION("""COMPUTED_VALUE"""),44249.0)</f>
        <v>44249</v>
      </c>
      <c r="I547" s="27">
        <f>IFERROR(__xludf.DUMMYFUNCTION("""COMPUTED_VALUE"""),0.4527777777777778)</f>
        <v>0.4527777778</v>
      </c>
      <c r="J547" s="29">
        <f>IFERROR(__xludf.DUMMYFUNCTION("""COMPUTED_VALUE"""),84.0)</f>
        <v>84</v>
      </c>
      <c r="K547" s="29">
        <f>IFERROR(__xludf.DUMMYFUNCTION("""COMPUTED_VALUE"""),25.0)</f>
        <v>25</v>
      </c>
      <c r="L547" s="31" t="str">
        <f>IFERROR(__xludf.DUMMYFUNCTION("""COMPUTED_VALUE"""),"Action-Adventure")</f>
        <v>Action-Adventure</v>
      </c>
    </row>
    <row r="548" hidden="1">
      <c r="A548" s="17" t="str">
        <f>IFERROR(__xludf.DUMMYFUNCTION("""COMPUTED_VALUE"""),"Starmancer (Game Preview)")</f>
        <v>Starmancer (Game Preview)</v>
      </c>
      <c r="B548" s="20" t="str">
        <f>IFERROR(__xludf.DUMMYFUNCTION("""COMPUTED_VALUE"""),"Xbox / PC")</f>
        <v>Xbox / PC</v>
      </c>
      <c r="C548" s="21" t="str">
        <f>IFERROR(__xludf.DUMMYFUNCTION("""COMPUTED_VALUE"""),"Yes")</f>
        <v>Yes</v>
      </c>
      <c r="D548" s="21" t="str">
        <f>IFERROR(__xludf.DUMMYFUNCTION("""COMPUTED_VALUE"""),"Removed")</f>
        <v>Removed</v>
      </c>
      <c r="E548" s="23">
        <f>IFERROR(__xludf.DUMMYFUNCTION("""COMPUTED_VALUE"""),44413.0)</f>
        <v>44413</v>
      </c>
      <c r="F548" s="24">
        <f>IFERROR(__xludf.DUMMYFUNCTION("""COMPUTED_VALUE"""),44788.0)</f>
        <v>44788</v>
      </c>
      <c r="G548" s="27">
        <f>IFERROR(__xludf.DUMMYFUNCTION("""COMPUTED_VALUE"""),12.333333333333332)</f>
        <v>12.33333333</v>
      </c>
      <c r="H548" s="128">
        <f>IFERROR(__xludf.DUMMYFUNCTION("""COMPUTED_VALUE"""),44413.0)</f>
        <v>44413</v>
      </c>
      <c r="I548" s="27">
        <f>IFERROR(__xludf.DUMMYFUNCTION("""COMPUTED_VALUE"""),0.0)</f>
        <v>0</v>
      </c>
      <c r="J548" s="29">
        <f>IFERROR(__xludf.DUMMYFUNCTION("""COMPUTED_VALUE"""),62.0)</f>
        <v>62</v>
      </c>
      <c r="K548" s="29"/>
      <c r="L548" s="31" t="str">
        <f>IFERROR(__xludf.DUMMYFUNCTION("""COMPUTED_VALUE"""),"Simulation")</f>
        <v>Simulation</v>
      </c>
    </row>
    <row r="549" hidden="1">
      <c r="A549" s="17" t="str">
        <f>IFERROR(__xludf.DUMMYFUNCTION("""COMPUTED_VALUE"""),"Dodgeball Academia")</f>
        <v>Dodgeball Academia</v>
      </c>
      <c r="B549" s="20" t="str">
        <f>IFERROR(__xludf.DUMMYFUNCTION("""COMPUTED_VALUE"""),"Xbox / PC")</f>
        <v>Xbox / PC</v>
      </c>
      <c r="C549" s="20" t="str">
        <f>IFERROR(__xludf.DUMMYFUNCTION("""COMPUTED_VALUE"""),"Yes")</f>
        <v>Yes</v>
      </c>
      <c r="D549" s="21" t="str">
        <f>IFERROR(__xludf.DUMMYFUNCTION("""COMPUTED_VALUE"""),"Removed")</f>
        <v>Removed</v>
      </c>
      <c r="E549" s="127">
        <f>IFERROR(__xludf.DUMMYFUNCTION("""COMPUTED_VALUE"""),44413.0)</f>
        <v>44413</v>
      </c>
      <c r="F549" s="24">
        <f>IFERROR(__xludf.DUMMYFUNCTION("""COMPUTED_VALUE"""),44773.0)</f>
        <v>44773</v>
      </c>
      <c r="G549" s="27">
        <f>IFERROR(__xludf.DUMMYFUNCTION("""COMPUTED_VALUE"""),11.833333333333334)</f>
        <v>11.83333333</v>
      </c>
      <c r="H549" s="128">
        <f>IFERROR(__xludf.DUMMYFUNCTION("""COMPUTED_VALUE"""),44413.0)</f>
        <v>44413</v>
      </c>
      <c r="I549" s="27">
        <f>IFERROR(__xludf.DUMMYFUNCTION("""COMPUTED_VALUE"""),0.0)</f>
        <v>0</v>
      </c>
      <c r="J549" s="29">
        <f>IFERROR(__xludf.DUMMYFUNCTION("""COMPUTED_VALUE"""),77.0)</f>
        <v>77</v>
      </c>
      <c r="K549" s="29">
        <f>IFERROR(__xludf.DUMMYFUNCTION("""COMPUTED_VALUE"""),8.0)</f>
        <v>8</v>
      </c>
      <c r="L549" s="31" t="str">
        <f>IFERROR(__xludf.DUMMYFUNCTION("""COMPUTED_VALUE"""),"Sports")</f>
        <v>Sports</v>
      </c>
    </row>
    <row r="550" hidden="1">
      <c r="A550" s="17" t="str">
        <f>IFERROR(__xludf.DUMMYFUNCTION("""COMPUTED_VALUE"""),"Katamari Damacy Reroll")</f>
        <v>Katamari Damacy Reroll</v>
      </c>
      <c r="B550" s="20" t="str">
        <f>IFERROR(__xludf.DUMMYFUNCTION("""COMPUTED_VALUE"""),"Xbox / PC")</f>
        <v>Xbox / PC</v>
      </c>
      <c r="C550" s="20" t="str">
        <f>IFERROR(__xludf.DUMMYFUNCTION("""COMPUTED_VALUE"""),"Touch Controls")</f>
        <v>Touch Controls</v>
      </c>
      <c r="D550" s="21" t="str">
        <f>IFERROR(__xludf.DUMMYFUNCTION("""COMPUTED_VALUE"""),"Removed")</f>
        <v>Removed</v>
      </c>
      <c r="E550" s="23">
        <f>IFERROR(__xludf.DUMMYFUNCTION("""COMPUTED_VALUE"""),44413.0)</f>
        <v>44413</v>
      </c>
      <c r="F550" s="24">
        <f>IFERROR(__xludf.DUMMYFUNCTION("""COMPUTED_VALUE"""),44773.0)</f>
        <v>44773</v>
      </c>
      <c r="G550" s="27">
        <f>IFERROR(__xludf.DUMMYFUNCTION("""COMPUTED_VALUE"""),11.833333333333334)</f>
        <v>11.83333333</v>
      </c>
      <c r="H550" s="128">
        <f>IFERROR(__xludf.DUMMYFUNCTION("""COMPUTED_VALUE"""),43441.0)</f>
        <v>43441</v>
      </c>
      <c r="I550" s="27">
        <f>IFERROR(__xludf.DUMMYFUNCTION("""COMPUTED_VALUE"""),2.661111111111111)</f>
        <v>2.661111111</v>
      </c>
      <c r="J550" s="29">
        <f>IFERROR(__xludf.DUMMYFUNCTION("""COMPUTED_VALUE"""),77.0)</f>
        <v>77</v>
      </c>
      <c r="K550" s="29">
        <f>IFERROR(__xludf.DUMMYFUNCTION("""COMPUTED_VALUE"""),4.5)</f>
        <v>4.5</v>
      </c>
      <c r="L550" s="31" t="str">
        <f>IFERROR(__xludf.DUMMYFUNCTION("""COMPUTED_VALUE"""),"Action")</f>
        <v>Action</v>
      </c>
    </row>
    <row r="551" hidden="1">
      <c r="A551" s="278" t="str">
        <f>IFERROR(__xludf.DUMMYFUNCTION("""COMPUTED_VALUE"""),"Lumines: Remastered")</f>
        <v>Lumines: Remastered</v>
      </c>
      <c r="B551" s="21" t="str">
        <f>IFERROR(__xludf.DUMMYFUNCTION("""COMPUTED_VALUE"""),"Xbox / PC")</f>
        <v>Xbox / PC</v>
      </c>
      <c r="C551" s="20" t="str">
        <f>IFERROR(__xludf.DUMMYFUNCTION("""COMPUTED_VALUE"""),"Touch Controls")</f>
        <v>Touch Controls</v>
      </c>
      <c r="D551" s="21" t="str">
        <f>IFERROR(__xludf.DUMMYFUNCTION("""COMPUTED_VALUE"""),"Removed")</f>
        <v>Removed</v>
      </c>
      <c r="E551" s="279">
        <f>IFERROR(__xludf.DUMMYFUNCTION("""COMPUTED_VALUE"""),44413.0)</f>
        <v>44413</v>
      </c>
      <c r="F551" s="276">
        <f>IFERROR(__xludf.DUMMYFUNCTION("""COMPUTED_VALUE"""),44773.0)</f>
        <v>44773</v>
      </c>
      <c r="G551" s="27">
        <f>IFERROR(__xludf.DUMMYFUNCTION("""COMPUTED_VALUE"""),11.833333333333334)</f>
        <v>11.83333333</v>
      </c>
      <c r="H551" s="128">
        <f>IFERROR(__xludf.DUMMYFUNCTION("""COMPUTED_VALUE"""),43277.0)</f>
        <v>43277</v>
      </c>
      <c r="I551" s="27">
        <f>IFERROR(__xludf.DUMMYFUNCTION("""COMPUTED_VALUE"""),3.1083333333333334)</f>
        <v>3.108333333</v>
      </c>
      <c r="J551" s="29">
        <f>IFERROR(__xludf.DUMMYFUNCTION("""COMPUTED_VALUE"""),81.0)</f>
        <v>81</v>
      </c>
      <c r="K551" s="29">
        <f>IFERROR(__xludf.DUMMYFUNCTION("""COMPUTED_VALUE"""),5.0)</f>
        <v>5</v>
      </c>
      <c r="L551" s="275" t="str">
        <f>IFERROR(__xludf.DUMMYFUNCTION("""COMPUTED_VALUE"""),"Puzzle")</f>
        <v>Puzzle</v>
      </c>
    </row>
    <row r="552" hidden="1">
      <c r="A552" s="278" t="str">
        <f>IFERROR(__xludf.DUMMYFUNCTION("""COMPUTED_VALUE"""),"OMNO")</f>
        <v>OMNO</v>
      </c>
      <c r="B552" s="20" t="str">
        <f>IFERROR(__xludf.DUMMYFUNCTION("""COMPUTED_VALUE"""),"Xbox / PC")</f>
        <v>Xbox / PC</v>
      </c>
      <c r="C552" s="21" t="str">
        <f>IFERROR(__xludf.DUMMYFUNCTION("""COMPUTED_VALUE"""),"Touch Controls")</f>
        <v>Touch Controls</v>
      </c>
      <c r="D552" s="21" t="str">
        <f>IFERROR(__xludf.DUMMYFUNCTION("""COMPUTED_VALUE"""),"Removed")</f>
        <v>Removed</v>
      </c>
      <c r="E552" s="279">
        <f>IFERROR(__xludf.DUMMYFUNCTION("""COMPUTED_VALUE"""),44406.0)</f>
        <v>44406</v>
      </c>
      <c r="F552" s="24">
        <f>IFERROR(__xludf.DUMMYFUNCTION("""COMPUTED_VALUE"""),44773.0)</f>
        <v>44773</v>
      </c>
      <c r="G552" s="27">
        <f>IFERROR(__xludf.DUMMYFUNCTION("""COMPUTED_VALUE"""),12.033333333333333)</f>
        <v>12.03333333</v>
      </c>
      <c r="H552" s="128">
        <f>IFERROR(__xludf.DUMMYFUNCTION("""COMPUTED_VALUE"""),43430.0)</f>
        <v>43430</v>
      </c>
      <c r="I552" s="27">
        <f>IFERROR(__xludf.DUMMYFUNCTION("""COMPUTED_VALUE"""),2.675)</f>
        <v>2.675</v>
      </c>
      <c r="J552" s="277">
        <f>IFERROR(__xludf.DUMMYFUNCTION("""COMPUTED_VALUE"""),77.0)</f>
        <v>77</v>
      </c>
      <c r="K552" s="29">
        <f>IFERROR(__xludf.DUMMYFUNCTION("""COMPUTED_VALUE"""),3.0)</f>
        <v>3</v>
      </c>
      <c r="L552" s="275" t="str">
        <f>IFERROR(__xludf.DUMMYFUNCTION("""COMPUTED_VALUE"""),"Platformer")</f>
        <v>Platformer</v>
      </c>
    </row>
    <row r="553" hidden="1">
      <c r="A553" s="17" t="str">
        <f>IFERROR(__xludf.DUMMYFUNCTION("""COMPUTED_VALUE"""),"Raji: An Ancient Epic")</f>
        <v>Raji: An Ancient Epic</v>
      </c>
      <c r="B553" s="20" t="str">
        <f>IFERROR(__xludf.DUMMYFUNCTION("""COMPUTED_VALUE"""),"Xbox / PC")</f>
        <v>Xbox / PC</v>
      </c>
      <c r="C553" s="20" t="str">
        <f>IFERROR(__xludf.DUMMYFUNCTION("""COMPUTED_VALUE"""),"Touch Controls")</f>
        <v>Touch Controls</v>
      </c>
      <c r="D553" s="21" t="str">
        <f>IFERROR(__xludf.DUMMYFUNCTION("""COMPUTED_VALUE"""),"Removed")</f>
        <v>Removed</v>
      </c>
      <c r="E553" s="127">
        <f>IFERROR(__xludf.DUMMYFUNCTION("""COMPUTED_VALUE"""),44399.0)</f>
        <v>44399</v>
      </c>
      <c r="F553" s="276">
        <f>IFERROR(__xludf.DUMMYFUNCTION("""COMPUTED_VALUE"""),44773.0)</f>
        <v>44773</v>
      </c>
      <c r="G553" s="27">
        <f>IFERROR(__xludf.DUMMYFUNCTION("""COMPUTED_VALUE"""),12.266666666666666)</f>
        <v>12.26666667</v>
      </c>
      <c r="H553" s="128">
        <f>IFERROR(__xludf.DUMMYFUNCTION("""COMPUTED_VALUE"""),44119.0)</f>
        <v>44119</v>
      </c>
      <c r="I553" s="27">
        <f>IFERROR(__xludf.DUMMYFUNCTION("""COMPUTED_VALUE"""),0.7694444444444445)</f>
        <v>0.7694444444</v>
      </c>
      <c r="J553" s="29">
        <f>IFERROR(__xludf.DUMMYFUNCTION("""COMPUTED_VALUE"""),70.0)</f>
        <v>70</v>
      </c>
      <c r="K553" s="29">
        <f>IFERROR(__xludf.DUMMYFUNCTION("""COMPUTED_VALUE"""),5.0)</f>
        <v>5</v>
      </c>
      <c r="L553" s="31" t="str">
        <f>IFERROR(__xludf.DUMMYFUNCTION("""COMPUTED_VALUE"""),"Action-Adventure")</f>
        <v>Action-Adventure</v>
      </c>
    </row>
    <row r="554" hidden="1">
      <c r="A554" s="278" t="str">
        <f>IFERROR(__xludf.DUMMYFUNCTION("""COMPUTED_VALUE"""),"Lethal League Blaze")</f>
        <v>Lethal League Blaze</v>
      </c>
      <c r="B554" s="20" t="str">
        <f>IFERROR(__xludf.DUMMYFUNCTION("""COMPUTED_VALUE"""),"Xbox / PC")</f>
        <v>Xbox / PC</v>
      </c>
      <c r="C554" s="20" t="str">
        <f>IFERROR(__xludf.DUMMYFUNCTION("""COMPUTED_VALUE"""),"Touch Controls")</f>
        <v>Touch Controls</v>
      </c>
      <c r="D554" s="21" t="str">
        <f>IFERROR(__xludf.DUMMYFUNCTION("""COMPUTED_VALUE"""),"Removed")</f>
        <v>Removed</v>
      </c>
      <c r="E554" s="279">
        <f>IFERROR(__xludf.DUMMYFUNCTION("""COMPUTED_VALUE"""),44406.0)</f>
        <v>44406</v>
      </c>
      <c r="F554" s="24">
        <f>IFERROR(__xludf.DUMMYFUNCTION("""COMPUTED_VALUE"""),44757.0)</f>
        <v>44757</v>
      </c>
      <c r="G554" s="27">
        <f>IFERROR(__xludf.DUMMYFUNCTION("""COMPUTED_VALUE"""),11.533333333333333)</f>
        <v>11.53333333</v>
      </c>
      <c r="H554" s="128">
        <f>IFERROR(__xludf.DUMMYFUNCTION("""COMPUTED_VALUE"""),43397.0)</f>
        <v>43397</v>
      </c>
      <c r="I554" s="27">
        <f>IFERROR(__xludf.DUMMYFUNCTION("""COMPUTED_VALUE"""),2.763888888888889)</f>
        <v>2.763888889</v>
      </c>
      <c r="J554" s="277">
        <f>IFERROR(__xludf.DUMMYFUNCTION("""COMPUTED_VALUE"""),82.0)</f>
        <v>82</v>
      </c>
      <c r="K554" s="277">
        <f>IFERROR(__xludf.DUMMYFUNCTION("""COMPUTED_VALUE"""),2.0)</f>
        <v>2</v>
      </c>
      <c r="L554" s="275" t="str">
        <f>IFERROR(__xludf.DUMMYFUNCTION("""COMPUTED_VALUE"""),"Fighting")</f>
        <v>Fighting</v>
      </c>
    </row>
    <row r="555" hidden="1">
      <c r="A555" s="278" t="str">
        <f>IFERROR(__xludf.DUMMYFUNCTION("""COMPUTED_VALUE"""),"Atomicrops")</f>
        <v>Atomicrops</v>
      </c>
      <c r="B555" s="20" t="str">
        <f>IFERROR(__xludf.DUMMYFUNCTION("""COMPUTED_VALUE"""),"Xbox / PC")</f>
        <v>Xbox / PC</v>
      </c>
      <c r="C555" s="20" t="str">
        <f>IFERROR(__xludf.DUMMYFUNCTION("""COMPUTED_VALUE"""),"Yes")</f>
        <v>Yes</v>
      </c>
      <c r="D555" s="21" t="str">
        <f>IFERROR(__xludf.DUMMYFUNCTION("""COMPUTED_VALUE"""),"Removed")</f>
        <v>Removed</v>
      </c>
      <c r="E555" s="279">
        <f>IFERROR(__xludf.DUMMYFUNCTION("""COMPUTED_VALUE"""),44399.0)</f>
        <v>44399</v>
      </c>
      <c r="F555" s="24">
        <f>IFERROR(__xludf.DUMMYFUNCTION("""COMPUTED_VALUE"""),44757.0)</f>
        <v>44757</v>
      </c>
      <c r="G555" s="27">
        <f>IFERROR(__xludf.DUMMYFUNCTION("""COMPUTED_VALUE"""),11.766666666666666)</f>
        <v>11.76666667</v>
      </c>
      <c r="H555" s="128">
        <f>IFERROR(__xludf.DUMMYFUNCTION("""COMPUTED_VALUE"""),43713.0)</f>
        <v>43713</v>
      </c>
      <c r="I555" s="27">
        <f>IFERROR(__xludf.DUMMYFUNCTION("""COMPUTED_VALUE"""),1.8805555555555555)</f>
        <v>1.880555556</v>
      </c>
      <c r="J555" s="277">
        <f>IFERROR(__xludf.DUMMYFUNCTION("""COMPUTED_VALUE"""),78.0)</f>
        <v>78</v>
      </c>
      <c r="K555" s="277">
        <f>IFERROR(__xludf.DUMMYFUNCTION("""COMPUTED_VALUE"""),7.0)</f>
        <v>7</v>
      </c>
      <c r="L555" s="31" t="str">
        <f>IFERROR(__xludf.DUMMYFUNCTION("""COMPUTED_VALUE"""),"Action")</f>
        <v>Action</v>
      </c>
    </row>
    <row r="556" hidden="1">
      <c r="A556" s="17" t="str">
        <f>IFERROR(__xludf.DUMMYFUNCTION("""COMPUTED_VALUE"""),"Cris Tales")</f>
        <v>Cris Tales</v>
      </c>
      <c r="B556" s="20" t="str">
        <f>IFERROR(__xludf.DUMMYFUNCTION("""COMPUTED_VALUE"""),"Xbox / PC")</f>
        <v>Xbox / PC</v>
      </c>
      <c r="C556" s="21" t="str">
        <f>IFERROR(__xludf.DUMMYFUNCTION("""COMPUTED_VALUE"""),"Touch Controls")</f>
        <v>Touch Controls</v>
      </c>
      <c r="D556" s="21" t="str">
        <f>IFERROR(__xludf.DUMMYFUNCTION("""COMPUTED_VALUE"""),"Removed")</f>
        <v>Removed</v>
      </c>
      <c r="E556" s="23">
        <f>IFERROR(__xludf.DUMMYFUNCTION("""COMPUTED_VALUE"""),44397.0)</f>
        <v>44397</v>
      </c>
      <c r="F556" s="24">
        <f>IFERROR(__xludf.DUMMYFUNCTION("""COMPUTED_VALUE"""),44757.0)</f>
        <v>44757</v>
      </c>
      <c r="G556" s="27">
        <f>IFERROR(__xludf.DUMMYFUNCTION("""COMPUTED_VALUE"""),11.833333333333334)</f>
        <v>11.83333333</v>
      </c>
      <c r="H556" s="128">
        <f>IFERROR(__xludf.DUMMYFUNCTION("""COMPUTED_VALUE"""),44397.0)</f>
        <v>44397</v>
      </c>
      <c r="I556" s="27">
        <f>IFERROR(__xludf.DUMMYFUNCTION("""COMPUTED_VALUE"""),0.0)</f>
        <v>0</v>
      </c>
      <c r="J556" s="29">
        <f>IFERROR(__xludf.DUMMYFUNCTION("""COMPUTED_VALUE"""),75.0)</f>
        <v>75</v>
      </c>
      <c r="K556" s="29">
        <f>IFERROR(__xludf.DUMMYFUNCTION("""COMPUTED_VALUE"""),21.0)</f>
        <v>21</v>
      </c>
      <c r="L556" s="31" t="str">
        <f>IFERROR(__xludf.DUMMYFUNCTION("""COMPUTED_VALUE"""),"RPG")</f>
        <v>RPG</v>
      </c>
    </row>
    <row r="557" hidden="1">
      <c r="A557" s="278" t="str">
        <f>IFERROR(__xludf.DUMMYFUNCTION("""COMPUTED_VALUE"""),"Children of Morta")</f>
        <v>Children of Morta</v>
      </c>
      <c r="B557" s="20" t="str">
        <f>IFERROR(__xludf.DUMMYFUNCTION("""COMPUTED_VALUE"""),"Xbox / PC")</f>
        <v>Xbox / PC</v>
      </c>
      <c r="C557" s="20" t="str">
        <f>IFERROR(__xludf.DUMMYFUNCTION("""COMPUTED_VALUE"""),"Yes")</f>
        <v>Yes</v>
      </c>
      <c r="D557" s="21" t="str">
        <f>IFERROR(__xludf.DUMMYFUNCTION("""COMPUTED_VALUE"""),"Removed")</f>
        <v>Removed</v>
      </c>
      <c r="E557" s="23">
        <f>IFERROR(__xludf.DUMMYFUNCTION("""COMPUTED_VALUE"""),43846.0)</f>
        <v>43846</v>
      </c>
      <c r="F557" s="279">
        <f>IFERROR(__xludf.DUMMYFUNCTION("""COMPUTED_VALUE"""),44757.0)</f>
        <v>44757</v>
      </c>
      <c r="G557" s="27">
        <f>IFERROR(__xludf.DUMMYFUNCTION("""COMPUTED_VALUE"""),29.96666666666667)</f>
        <v>29.96666667</v>
      </c>
      <c r="H557" s="128">
        <f>IFERROR(__xludf.DUMMYFUNCTION("""COMPUTED_VALUE"""),43711.0)</f>
        <v>43711</v>
      </c>
      <c r="I557" s="27">
        <f>IFERROR(__xludf.DUMMYFUNCTION("""COMPUTED_VALUE"""),0.36944444444444446)</f>
        <v>0.3694444444</v>
      </c>
      <c r="J557" s="29">
        <f>IFERROR(__xludf.DUMMYFUNCTION("""COMPUTED_VALUE"""),77.0)</f>
        <v>77</v>
      </c>
      <c r="K557" s="29">
        <f>IFERROR(__xludf.DUMMYFUNCTION("""COMPUTED_VALUE"""),13.5)</f>
        <v>13.5</v>
      </c>
      <c r="L557" s="275" t="str">
        <f>IFERROR(__xludf.DUMMYFUNCTION("""COMPUTED_VALUE"""),"RPG")</f>
        <v>RPG</v>
      </c>
    </row>
    <row r="558" hidden="1">
      <c r="A558" s="17" t="str">
        <f>IFERROR(__xludf.DUMMYFUNCTION("""COMPUTED_VALUE"""),"FIFA 20")</f>
        <v>FIFA 20</v>
      </c>
      <c r="B558" s="20" t="str">
        <f>IFERROR(__xludf.DUMMYFUNCTION("""COMPUTED_VALUE"""),"Xbox / PC")</f>
        <v>Xbox / PC</v>
      </c>
      <c r="C558" s="20"/>
      <c r="D558" s="21" t="str">
        <f>IFERROR(__xludf.DUMMYFUNCTION("""COMPUTED_VALUE"""),"Removed")</f>
        <v>Removed</v>
      </c>
      <c r="E558" s="128">
        <f>IFERROR(__xludf.DUMMYFUNCTION("""COMPUTED_VALUE"""),44145.0)</f>
        <v>44145</v>
      </c>
      <c r="F558" s="24">
        <f>IFERROR(__xludf.DUMMYFUNCTION("""COMPUTED_VALUE"""),44743.0)</f>
        <v>44743</v>
      </c>
      <c r="G558" s="27">
        <f>IFERROR(__xludf.DUMMYFUNCTION("""COMPUTED_VALUE"""),19.7)</f>
        <v>19.7</v>
      </c>
      <c r="H558" s="128">
        <f>IFERROR(__xludf.DUMMYFUNCTION("""COMPUTED_VALUE"""),43735.0)</f>
        <v>43735</v>
      </c>
      <c r="I558" s="27">
        <f>IFERROR(__xludf.DUMMYFUNCTION("""COMPUTED_VALUE"""),1.1194444444444445)</f>
        <v>1.119444444</v>
      </c>
      <c r="J558" s="29">
        <f>IFERROR(__xludf.DUMMYFUNCTION("""COMPUTED_VALUE"""),79.0)</f>
        <v>79</v>
      </c>
      <c r="K558" s="29">
        <f>IFERROR(__xludf.DUMMYFUNCTION("""COMPUTED_VALUE"""),23.5)</f>
        <v>23.5</v>
      </c>
      <c r="L558" s="31" t="str">
        <f>IFERROR(__xludf.DUMMYFUNCTION("""COMPUTED_VALUE"""),"Sports")</f>
        <v>Sports</v>
      </c>
    </row>
    <row r="559" hidden="1">
      <c r="A559" s="17" t="str">
        <f>IFERROR(__xludf.DUMMYFUNCTION("""COMPUTED_VALUE"""),"Last Stop")</f>
        <v>Last Stop</v>
      </c>
      <c r="B559" s="20" t="str">
        <f>IFERROR(__xludf.DUMMYFUNCTION("""COMPUTED_VALUE"""),"Xbox / PC")</f>
        <v>Xbox / PC</v>
      </c>
      <c r="C559" s="20" t="str">
        <f>IFERROR(__xludf.DUMMYFUNCTION("""COMPUTED_VALUE"""),"Touch Controls")</f>
        <v>Touch Controls</v>
      </c>
      <c r="D559" s="21" t="str">
        <f>IFERROR(__xludf.DUMMYFUNCTION("""COMPUTED_VALUE"""),"Removed")</f>
        <v>Removed</v>
      </c>
      <c r="E559" s="128">
        <f>IFERROR(__xludf.DUMMYFUNCTION("""COMPUTED_VALUE"""),44399.0)</f>
        <v>44399</v>
      </c>
      <c r="F559" s="24">
        <f>IFERROR(__xludf.DUMMYFUNCTION("""COMPUTED_VALUE"""),44742.0)</f>
        <v>44742</v>
      </c>
      <c r="G559" s="27">
        <f>IFERROR(__xludf.DUMMYFUNCTION("""COMPUTED_VALUE"""),11.266666666666666)</f>
        <v>11.26666667</v>
      </c>
      <c r="H559" s="128">
        <f>IFERROR(__xludf.DUMMYFUNCTION("""COMPUTED_VALUE"""),44399.0)</f>
        <v>44399</v>
      </c>
      <c r="I559" s="27">
        <f>IFERROR(__xludf.DUMMYFUNCTION("""COMPUTED_VALUE"""),0.0)</f>
        <v>0</v>
      </c>
      <c r="J559" s="29">
        <f>IFERROR(__xludf.DUMMYFUNCTION("""COMPUTED_VALUE"""),67.0)</f>
        <v>67</v>
      </c>
      <c r="K559" s="29">
        <f>IFERROR(__xludf.DUMMYFUNCTION("""COMPUTED_VALUE"""),6.0)</f>
        <v>6</v>
      </c>
      <c r="L559" s="31" t="str">
        <f>IFERROR(__xludf.DUMMYFUNCTION("""COMPUTED_VALUE"""),"Adventure")</f>
        <v>Adventure</v>
      </c>
    </row>
    <row r="560" hidden="1">
      <c r="A560" s="17" t="str">
        <f>IFERROR(__xludf.DUMMYFUNCTION("""COMPUTED_VALUE"""),"Jurassic World Evolution")</f>
        <v>Jurassic World Evolution</v>
      </c>
      <c r="B560" s="20" t="str">
        <f>IFERROR(__xludf.DUMMYFUNCTION("""COMPUTED_VALUE"""),"Xbox")</f>
        <v>Xbox</v>
      </c>
      <c r="C560" s="20" t="str">
        <f>IFERROR(__xludf.DUMMYFUNCTION("""COMPUTED_VALUE"""),"Yes")</f>
        <v>Yes</v>
      </c>
      <c r="D560" s="21" t="str">
        <f>IFERROR(__xludf.DUMMYFUNCTION("""COMPUTED_VALUE"""),"Removed")</f>
        <v>Removed</v>
      </c>
      <c r="E560" s="128">
        <f>IFERROR(__xludf.DUMMYFUNCTION("""COMPUTED_VALUE"""),44238.0)</f>
        <v>44238</v>
      </c>
      <c r="F560" s="24">
        <f>IFERROR(__xludf.DUMMYFUNCTION("""COMPUTED_VALUE"""),44742.0)</f>
        <v>44742</v>
      </c>
      <c r="G560" s="27">
        <f>IFERROR(__xludf.DUMMYFUNCTION("""COMPUTED_VALUE"""),16.633333333333333)</f>
        <v>16.63333333</v>
      </c>
      <c r="H560" s="128">
        <f>IFERROR(__xludf.DUMMYFUNCTION("""COMPUTED_VALUE"""),43263.0)</f>
        <v>43263</v>
      </c>
      <c r="I560" s="27">
        <f>IFERROR(__xludf.DUMMYFUNCTION("""COMPUTED_VALUE"""),2.6638888888888888)</f>
        <v>2.663888889</v>
      </c>
      <c r="J560" s="29">
        <f>IFERROR(__xludf.DUMMYFUNCTION("""COMPUTED_VALUE"""),76.0)</f>
        <v>76</v>
      </c>
      <c r="K560" s="29">
        <f>IFERROR(__xludf.DUMMYFUNCTION("""COMPUTED_VALUE"""),24.5)</f>
        <v>24.5</v>
      </c>
      <c r="L560" s="31" t="str">
        <f>IFERROR(__xludf.DUMMYFUNCTION("""COMPUTED_VALUE"""),"Simulation")</f>
        <v>Simulation</v>
      </c>
    </row>
    <row r="561" hidden="1">
      <c r="A561" s="278" t="str">
        <f>IFERROR(__xludf.DUMMYFUNCTION("""COMPUTED_VALUE"""),"MotoGP 20")</f>
        <v>MotoGP 20</v>
      </c>
      <c r="B561" s="20" t="str">
        <f>IFERROR(__xludf.DUMMYFUNCTION("""COMPUTED_VALUE"""),"Xbox / PC")</f>
        <v>Xbox / PC</v>
      </c>
      <c r="C561" s="21" t="str">
        <f>IFERROR(__xludf.DUMMYFUNCTION("""COMPUTED_VALUE"""),"Yes")</f>
        <v>Yes</v>
      </c>
      <c r="D561" s="21" t="str">
        <f>IFERROR(__xludf.DUMMYFUNCTION("""COMPUTED_VALUE"""),"Removed")</f>
        <v>Removed</v>
      </c>
      <c r="E561" s="279">
        <f>IFERROR(__xludf.DUMMYFUNCTION("""COMPUTED_VALUE"""),44182.0)</f>
        <v>44182</v>
      </c>
      <c r="F561" s="24">
        <f>IFERROR(__xludf.DUMMYFUNCTION("""COMPUTED_VALUE"""),44742.0)</f>
        <v>44742</v>
      </c>
      <c r="G561" s="27">
        <f>IFERROR(__xludf.DUMMYFUNCTION("""COMPUTED_VALUE"""),18.433333333333334)</f>
        <v>18.43333333</v>
      </c>
      <c r="H561" s="128">
        <f>IFERROR(__xludf.DUMMYFUNCTION("""COMPUTED_VALUE"""),43944.0)</f>
        <v>43944</v>
      </c>
      <c r="I561" s="27">
        <f>IFERROR(__xludf.DUMMYFUNCTION("""COMPUTED_VALUE"""),0.65)</f>
        <v>0.65</v>
      </c>
      <c r="J561" s="29">
        <f>IFERROR(__xludf.DUMMYFUNCTION("""COMPUTED_VALUE"""),81.5)</f>
        <v>81.5</v>
      </c>
      <c r="K561" s="29">
        <f>IFERROR(__xludf.DUMMYFUNCTION("""COMPUTED_VALUE"""),61.5)</f>
        <v>61.5</v>
      </c>
      <c r="L561" s="275" t="str">
        <f>IFERROR(__xludf.DUMMYFUNCTION("""COMPUTED_VALUE"""),"Racing")</f>
        <v>Racing</v>
      </c>
    </row>
    <row r="562" hidden="1">
      <c r="A562" s="278" t="str">
        <f>IFERROR(__xludf.DUMMYFUNCTION("""COMPUTED_VALUE"""),"Worms Rumble")</f>
        <v>Worms Rumble</v>
      </c>
      <c r="B562" s="20" t="str">
        <f>IFERROR(__xludf.DUMMYFUNCTION("""COMPUTED_VALUE"""),"Xbox / PC")</f>
        <v>Xbox / PC</v>
      </c>
      <c r="C562" s="20" t="str">
        <f>IFERROR(__xludf.DUMMYFUNCTION("""COMPUTED_VALUE"""),"Yes")</f>
        <v>Yes</v>
      </c>
      <c r="D562" s="21" t="str">
        <f>IFERROR(__xludf.DUMMYFUNCTION("""COMPUTED_VALUE"""),"Removed")</f>
        <v>Removed</v>
      </c>
      <c r="E562" s="279">
        <f>IFERROR(__xludf.DUMMYFUNCTION("""COMPUTED_VALUE"""),44370.0)</f>
        <v>44370</v>
      </c>
      <c r="F562" s="24">
        <f>IFERROR(__xludf.DUMMYFUNCTION("""COMPUTED_VALUE"""),44727.0)</f>
        <v>44727</v>
      </c>
      <c r="G562" s="27">
        <f>IFERROR(__xludf.DUMMYFUNCTION("""COMPUTED_VALUE"""),11.733333333333333)</f>
        <v>11.73333333</v>
      </c>
      <c r="H562" s="128">
        <f>IFERROR(__xludf.DUMMYFUNCTION("""COMPUTED_VALUE"""),44166.0)</f>
        <v>44166</v>
      </c>
      <c r="I562" s="27">
        <f>IFERROR(__xludf.DUMMYFUNCTION("""COMPUTED_VALUE"""),0.5611111111111111)</f>
        <v>0.5611111111</v>
      </c>
      <c r="J562" s="277">
        <f>IFERROR(__xludf.DUMMYFUNCTION("""COMPUTED_VALUE"""),68.0)</f>
        <v>68</v>
      </c>
      <c r="K562" s="29">
        <f>IFERROR(__xludf.DUMMYFUNCTION("""COMPUTED_VALUE"""),10.5)</f>
        <v>10.5</v>
      </c>
      <c r="L562" s="275" t="str">
        <f>IFERROR(__xludf.DUMMYFUNCTION("""COMPUTED_VALUE"""),"Action")</f>
        <v>Action</v>
      </c>
    </row>
    <row r="563" hidden="1">
      <c r="A563" s="278" t="str">
        <f>IFERROR(__xludf.DUMMYFUNCTION("""COMPUTED_VALUE"""),"Dungeons &amp; Dragons: Dark Alliance")</f>
        <v>Dungeons &amp; Dragons: Dark Alliance</v>
      </c>
      <c r="B563" s="20" t="str">
        <f>IFERROR(__xludf.DUMMYFUNCTION("""COMPUTED_VALUE"""),"Xbox / PC")</f>
        <v>Xbox / PC</v>
      </c>
      <c r="C563" s="20" t="str">
        <f>IFERROR(__xludf.DUMMYFUNCTION("""COMPUTED_VALUE"""),"Yes")</f>
        <v>Yes</v>
      </c>
      <c r="D563" s="21" t="str">
        <f>IFERROR(__xludf.DUMMYFUNCTION("""COMPUTED_VALUE"""),"Removed")</f>
        <v>Removed</v>
      </c>
      <c r="E563" s="279">
        <f>IFERROR(__xludf.DUMMYFUNCTION("""COMPUTED_VALUE"""),44369.0)</f>
        <v>44369</v>
      </c>
      <c r="F563" s="24">
        <f>IFERROR(__xludf.DUMMYFUNCTION("""COMPUTED_VALUE"""),44727.0)</f>
        <v>44727</v>
      </c>
      <c r="G563" s="27">
        <f>IFERROR(__xludf.DUMMYFUNCTION("""COMPUTED_VALUE"""),11.766666666666666)</f>
        <v>11.76666667</v>
      </c>
      <c r="H563" s="128">
        <f>IFERROR(__xludf.DUMMYFUNCTION("""COMPUTED_VALUE"""),44369.0)</f>
        <v>44369</v>
      </c>
      <c r="I563" s="27">
        <f>IFERROR(__xludf.DUMMYFUNCTION("""COMPUTED_VALUE"""),0.0)</f>
        <v>0</v>
      </c>
      <c r="J563" s="277">
        <f>IFERROR(__xludf.DUMMYFUNCTION("""COMPUTED_VALUE"""),55.5)</f>
        <v>55.5</v>
      </c>
      <c r="K563" s="29">
        <f>IFERROR(__xludf.DUMMYFUNCTION("""COMPUTED_VALUE"""),10.5)</f>
        <v>10.5</v>
      </c>
      <c r="L563" s="275" t="str">
        <f>IFERROR(__xludf.DUMMYFUNCTION("""COMPUTED_VALUE"""),"RPG")</f>
        <v>RPG</v>
      </c>
    </row>
    <row r="564" hidden="1">
      <c r="A564" s="17" t="str">
        <f>IFERROR(__xludf.DUMMYFUNCTION("""COMPUTED_VALUE"""),"GreedFall")</f>
        <v>GreedFall</v>
      </c>
      <c r="B564" s="20" t="str">
        <f>IFERROR(__xludf.DUMMYFUNCTION("""COMPUTED_VALUE"""),"Xbox / PC")</f>
        <v>Xbox / PC</v>
      </c>
      <c r="C564" s="20" t="str">
        <f>IFERROR(__xludf.DUMMYFUNCTION("""COMPUTED_VALUE"""),"Yes")</f>
        <v>Yes</v>
      </c>
      <c r="D564" s="21" t="str">
        <f>IFERROR(__xludf.DUMMYFUNCTION("""COMPUTED_VALUE"""),"Removed")</f>
        <v>Removed</v>
      </c>
      <c r="E564" s="127">
        <f>IFERROR(__xludf.DUMMYFUNCTION("""COMPUTED_VALUE"""),44175.0)</f>
        <v>44175</v>
      </c>
      <c r="F564" s="276">
        <f>IFERROR(__xludf.DUMMYFUNCTION("""COMPUTED_VALUE"""),44727.0)</f>
        <v>44727</v>
      </c>
      <c r="G564" s="27">
        <f>IFERROR(__xludf.DUMMYFUNCTION("""COMPUTED_VALUE"""),18.166666666666664)</f>
        <v>18.16666667</v>
      </c>
      <c r="H564" s="128">
        <f>IFERROR(__xludf.DUMMYFUNCTION("""COMPUTED_VALUE"""),43718.0)</f>
        <v>43718</v>
      </c>
      <c r="I564" s="27">
        <f>IFERROR(__xludf.DUMMYFUNCTION("""COMPUTED_VALUE"""),1.25)</f>
        <v>1.25</v>
      </c>
      <c r="J564" s="29">
        <f>IFERROR(__xludf.DUMMYFUNCTION("""COMPUTED_VALUE"""),78.0)</f>
        <v>78</v>
      </c>
      <c r="K564" s="29">
        <f>IFERROR(__xludf.DUMMYFUNCTION("""COMPUTED_VALUE"""),22.0)</f>
        <v>22</v>
      </c>
      <c r="L564" s="31" t="str">
        <f>IFERROR(__xludf.DUMMYFUNCTION("""COMPUTED_VALUE"""),"RPG")</f>
        <v>RPG</v>
      </c>
    </row>
    <row r="565" hidden="1">
      <c r="A565" s="17" t="str">
        <f>IFERROR(__xludf.DUMMYFUNCTION("""COMPUTED_VALUE"""),"Capsized")</f>
        <v>Capsized</v>
      </c>
      <c r="B565" s="20" t="str">
        <f>IFERROR(__xludf.DUMMYFUNCTION("""COMPUTED_VALUE"""),"PC")</f>
        <v>PC</v>
      </c>
      <c r="C565" s="20"/>
      <c r="D565" s="21" t="str">
        <f>IFERROR(__xludf.DUMMYFUNCTION("""COMPUTED_VALUE"""),"Removed")</f>
        <v>Removed</v>
      </c>
      <c r="E565" s="128">
        <f>IFERROR(__xludf.DUMMYFUNCTION("""COMPUTED_VALUE"""),44273.0)</f>
        <v>44273</v>
      </c>
      <c r="F565" s="24">
        <f>IFERROR(__xludf.DUMMYFUNCTION("""COMPUTED_VALUE"""),44725.0)</f>
        <v>44725</v>
      </c>
      <c r="G565" s="27">
        <f>IFERROR(__xludf.DUMMYFUNCTION("""COMPUTED_VALUE"""),14.833333333333334)</f>
        <v>14.83333333</v>
      </c>
      <c r="H565" s="128">
        <f>IFERROR(__xludf.DUMMYFUNCTION("""COMPUTED_VALUE"""),40662.0)</f>
        <v>40662</v>
      </c>
      <c r="I565" s="27">
        <f>IFERROR(__xludf.DUMMYFUNCTION("""COMPUTED_VALUE"""),9.886111111111111)</f>
        <v>9.886111111</v>
      </c>
      <c r="J565" s="29">
        <f>IFERROR(__xludf.DUMMYFUNCTION("""COMPUTED_VALUE"""),80.0)</f>
        <v>80</v>
      </c>
      <c r="K565" s="29">
        <f>IFERROR(__xludf.DUMMYFUNCTION("""COMPUTED_VALUE"""),4.0)</f>
        <v>4</v>
      </c>
      <c r="L565" s="31" t="str">
        <f>IFERROR(__xludf.DUMMYFUNCTION("""COMPUTED_VALUE"""),"Platformer")</f>
        <v>Platformer</v>
      </c>
    </row>
    <row r="566" hidden="1">
      <c r="A566" s="278" t="str">
        <f>IFERROR(__xludf.DUMMYFUNCTION("""COMPUTED_VALUE"""),"Cryptark")</f>
        <v>Cryptark</v>
      </c>
      <c r="B566" s="20" t="str">
        <f>IFERROR(__xludf.DUMMYFUNCTION("""COMPUTED_VALUE"""),"PC")</f>
        <v>PC</v>
      </c>
      <c r="C566" s="20"/>
      <c r="D566" s="21" t="str">
        <f>IFERROR(__xludf.DUMMYFUNCTION("""COMPUTED_VALUE"""),"Removed")</f>
        <v>Removed</v>
      </c>
      <c r="E566" s="279">
        <f>IFERROR(__xludf.DUMMYFUNCTION("""COMPUTED_VALUE"""),44273.0)</f>
        <v>44273</v>
      </c>
      <c r="F566" s="24">
        <f>IFERROR(__xludf.DUMMYFUNCTION("""COMPUTED_VALUE"""),44725.0)</f>
        <v>44725</v>
      </c>
      <c r="G566" s="27">
        <f>IFERROR(__xludf.DUMMYFUNCTION("""COMPUTED_VALUE"""),14.833333333333334)</f>
        <v>14.83333333</v>
      </c>
      <c r="H566" s="128">
        <f>IFERROR(__xludf.DUMMYFUNCTION("""COMPUTED_VALUE"""),42906.0)</f>
        <v>42906</v>
      </c>
      <c r="I566" s="27">
        <f>IFERROR(__xludf.DUMMYFUNCTION("""COMPUTED_VALUE"""),3.7444444444444445)</f>
        <v>3.744444444</v>
      </c>
      <c r="J566" s="277">
        <f>IFERROR(__xludf.DUMMYFUNCTION("""COMPUTED_VALUE"""),80.0)</f>
        <v>80</v>
      </c>
      <c r="K566" s="29">
        <f>IFERROR(__xludf.DUMMYFUNCTION("""COMPUTED_VALUE"""),4.5)</f>
        <v>4.5</v>
      </c>
      <c r="L566" s="31" t="str">
        <f>IFERROR(__xludf.DUMMYFUNCTION("""COMPUTED_VALUE"""),"Shooter")</f>
        <v>Shooter</v>
      </c>
    </row>
    <row r="567" hidden="1">
      <c r="A567" s="278" t="str">
        <f>IFERROR(__xludf.DUMMYFUNCTION("""COMPUTED_VALUE"""),"Diluvion: Resubmerged")</f>
        <v>Diluvion: Resubmerged</v>
      </c>
      <c r="B567" s="20" t="str">
        <f>IFERROR(__xludf.DUMMYFUNCTION("""COMPUTED_VALUE"""),"PC")</f>
        <v>PC</v>
      </c>
      <c r="C567" s="20"/>
      <c r="D567" s="21" t="str">
        <f>IFERROR(__xludf.DUMMYFUNCTION("""COMPUTED_VALUE"""),"Removed")</f>
        <v>Removed</v>
      </c>
      <c r="E567" s="279">
        <f>IFERROR(__xludf.DUMMYFUNCTION("""COMPUTED_VALUE"""),44273.0)</f>
        <v>44273</v>
      </c>
      <c r="F567" s="24">
        <f>IFERROR(__xludf.DUMMYFUNCTION("""COMPUTED_VALUE"""),44725.0)</f>
        <v>44725</v>
      </c>
      <c r="G567" s="27">
        <f>IFERROR(__xludf.DUMMYFUNCTION("""COMPUTED_VALUE"""),14.833333333333334)</f>
        <v>14.83333333</v>
      </c>
      <c r="H567" s="128">
        <f>IFERROR(__xludf.DUMMYFUNCTION("""COMPUTED_VALUE"""),42747.0)</f>
        <v>42747</v>
      </c>
      <c r="I567" s="27">
        <f>IFERROR(__xludf.DUMMYFUNCTION("""COMPUTED_VALUE"""),4.183333333333334)</f>
        <v>4.183333333</v>
      </c>
      <c r="J567" s="277">
        <f>IFERROR(__xludf.DUMMYFUNCTION("""COMPUTED_VALUE"""),66.0)</f>
        <v>66</v>
      </c>
      <c r="K567" s="29">
        <f>IFERROR(__xludf.DUMMYFUNCTION("""COMPUTED_VALUE"""),13.0)</f>
        <v>13</v>
      </c>
      <c r="L567" s="275" t="str">
        <f>IFERROR(__xludf.DUMMYFUNCTION("""COMPUTED_VALUE"""),"Action-Adventure")</f>
        <v>Action-Adventure</v>
      </c>
    </row>
    <row r="568" hidden="1">
      <c r="A568" s="278" t="str">
        <f>IFERROR(__xludf.DUMMYFUNCTION("""COMPUTED_VALUE"""),"Dungeons of Dredmor: Complete")</f>
        <v>Dungeons of Dredmor: Complete</v>
      </c>
      <c r="B568" s="21" t="str">
        <f>IFERROR(__xludf.DUMMYFUNCTION("""COMPUTED_VALUE"""),"PC")</f>
        <v>PC</v>
      </c>
      <c r="C568" s="21"/>
      <c r="D568" s="21" t="str">
        <f>IFERROR(__xludf.DUMMYFUNCTION("""COMPUTED_VALUE"""),"Removed")</f>
        <v>Removed</v>
      </c>
      <c r="E568" s="279">
        <f>IFERROR(__xludf.DUMMYFUNCTION("""COMPUTED_VALUE"""),44273.0)</f>
        <v>44273</v>
      </c>
      <c r="F568" s="276">
        <f>IFERROR(__xludf.DUMMYFUNCTION("""COMPUTED_VALUE"""),44725.0)</f>
        <v>44725</v>
      </c>
      <c r="G568" s="27">
        <f>IFERROR(__xludf.DUMMYFUNCTION("""COMPUTED_VALUE"""),14.833333333333334)</f>
        <v>14.83333333</v>
      </c>
      <c r="H568" s="128">
        <f>IFERROR(__xludf.DUMMYFUNCTION("""COMPUTED_VALUE"""),40737.0)</f>
        <v>40737</v>
      </c>
      <c r="I568" s="27">
        <f>IFERROR(__xludf.DUMMYFUNCTION("""COMPUTED_VALUE"""),9.680555555555555)</f>
        <v>9.680555556</v>
      </c>
      <c r="J568" s="277">
        <f>IFERROR(__xludf.DUMMYFUNCTION("""COMPUTED_VALUE"""),79.0)</f>
        <v>79</v>
      </c>
      <c r="K568" s="29">
        <f>IFERROR(__xludf.DUMMYFUNCTION("""COMPUTED_VALUE"""),17.0)</f>
        <v>17</v>
      </c>
      <c r="L568" s="275" t="str">
        <f>IFERROR(__xludf.DUMMYFUNCTION("""COMPUTED_VALUE"""),"RPG")</f>
        <v>RPG</v>
      </c>
    </row>
    <row r="569" hidden="1">
      <c r="A569" s="17" t="str">
        <f>IFERROR(__xludf.DUMMYFUNCTION("""COMPUTED_VALUE"""),"Epistory: Typing Chronicles")</f>
        <v>Epistory: Typing Chronicles</v>
      </c>
      <c r="B569" s="20" t="str">
        <f>IFERROR(__xludf.DUMMYFUNCTION("""COMPUTED_VALUE"""),"PC")</f>
        <v>PC</v>
      </c>
      <c r="C569" s="20"/>
      <c r="D569" s="21" t="str">
        <f>IFERROR(__xludf.DUMMYFUNCTION("""COMPUTED_VALUE"""),"Removed")</f>
        <v>Removed</v>
      </c>
      <c r="E569" s="23">
        <f>IFERROR(__xludf.DUMMYFUNCTION("""COMPUTED_VALUE"""),44273.0)</f>
        <v>44273</v>
      </c>
      <c r="F569" s="24">
        <f>IFERROR(__xludf.DUMMYFUNCTION("""COMPUTED_VALUE"""),44725.0)</f>
        <v>44725</v>
      </c>
      <c r="G569" s="27">
        <f>IFERROR(__xludf.DUMMYFUNCTION("""COMPUTED_VALUE"""),14.833333333333334)</f>
        <v>14.83333333</v>
      </c>
      <c r="H569" s="128">
        <f>IFERROR(__xludf.DUMMYFUNCTION("""COMPUTED_VALUE"""),42459.0)</f>
        <v>42459</v>
      </c>
      <c r="I569" s="27">
        <f>IFERROR(__xludf.DUMMYFUNCTION("""COMPUTED_VALUE"""),4.966666666666667)</f>
        <v>4.966666667</v>
      </c>
      <c r="J569" s="29">
        <f>IFERROR(__xludf.DUMMYFUNCTION("""COMPUTED_VALUE"""),74.0)</f>
        <v>74</v>
      </c>
      <c r="K569" s="29">
        <f>IFERROR(__xludf.DUMMYFUNCTION("""COMPUTED_VALUE"""),5.5)</f>
        <v>5.5</v>
      </c>
      <c r="L569" s="31" t="str">
        <f>IFERROR(__xludf.DUMMYFUNCTION("""COMPUTED_VALUE"""),"Adventure")</f>
        <v>Adventure</v>
      </c>
    </row>
    <row r="570" hidden="1">
      <c r="A570" s="278" t="str">
        <f>IFERROR(__xludf.DUMMYFUNCTION("""COMPUTED_VALUE"""),"HIVESWAP: Act 1")</f>
        <v>HIVESWAP: Act 1</v>
      </c>
      <c r="B570" s="20" t="str">
        <f>IFERROR(__xludf.DUMMYFUNCTION("""COMPUTED_VALUE"""),"PC")</f>
        <v>PC</v>
      </c>
      <c r="C570" s="20"/>
      <c r="D570" s="21" t="str">
        <f>IFERROR(__xludf.DUMMYFUNCTION("""COMPUTED_VALUE"""),"Removed")</f>
        <v>Removed</v>
      </c>
      <c r="E570" s="23">
        <f>IFERROR(__xludf.DUMMYFUNCTION("""COMPUTED_VALUE"""),44273.0)</f>
        <v>44273</v>
      </c>
      <c r="F570" s="24">
        <f>IFERROR(__xludf.DUMMYFUNCTION("""COMPUTED_VALUE"""),44725.0)</f>
        <v>44725</v>
      </c>
      <c r="G570" s="27">
        <f>IFERROR(__xludf.DUMMYFUNCTION("""COMPUTED_VALUE"""),14.833333333333334)</f>
        <v>14.83333333</v>
      </c>
      <c r="H570" s="128">
        <f>IFERROR(__xludf.DUMMYFUNCTION("""COMPUTED_VALUE"""),42992.0)</f>
        <v>42992</v>
      </c>
      <c r="I570" s="27">
        <f>IFERROR(__xludf.DUMMYFUNCTION("""COMPUTED_VALUE"""),3.511111111111111)</f>
        <v>3.511111111</v>
      </c>
      <c r="J570" s="277">
        <f>IFERROR(__xludf.DUMMYFUNCTION("""COMPUTED_VALUE"""),77.5)</f>
        <v>77.5</v>
      </c>
      <c r="K570" s="29">
        <f>IFERROR(__xludf.DUMMYFUNCTION("""COMPUTED_VALUE"""),2.5)</f>
        <v>2.5</v>
      </c>
      <c r="L570" s="31" t="str">
        <f>IFERROR(__xludf.DUMMYFUNCTION("""COMPUTED_VALUE"""),"Adventure")</f>
        <v>Adventure</v>
      </c>
    </row>
    <row r="571" hidden="1">
      <c r="A571" s="17" t="str">
        <f>IFERROR(__xludf.DUMMYFUNCTION("""COMPUTED_VALUE"""),"Stealth Bastard Deluxe")</f>
        <v>Stealth Bastard Deluxe</v>
      </c>
      <c r="B571" s="20" t="str">
        <f>IFERROR(__xludf.DUMMYFUNCTION("""COMPUTED_VALUE"""),"PC")</f>
        <v>PC</v>
      </c>
      <c r="C571" s="20"/>
      <c r="D571" s="21" t="str">
        <f>IFERROR(__xludf.DUMMYFUNCTION("""COMPUTED_VALUE"""),"Removed")</f>
        <v>Removed</v>
      </c>
      <c r="E571" s="128">
        <f>IFERROR(__xludf.DUMMYFUNCTION("""COMPUTED_VALUE"""),44273.0)</f>
        <v>44273</v>
      </c>
      <c r="F571" s="24">
        <f>IFERROR(__xludf.DUMMYFUNCTION("""COMPUTED_VALUE"""),44725.0)</f>
        <v>44725</v>
      </c>
      <c r="G571" s="27">
        <f>IFERROR(__xludf.DUMMYFUNCTION("""COMPUTED_VALUE"""),14.833333333333334)</f>
        <v>14.83333333</v>
      </c>
      <c r="H571" s="128">
        <f>IFERROR(__xludf.DUMMYFUNCTION("""COMPUTED_VALUE"""),41241.0)</f>
        <v>41241</v>
      </c>
      <c r="I571" s="27">
        <f>IFERROR(__xludf.DUMMYFUNCTION("""COMPUTED_VALUE"""),8.305555555555555)</f>
        <v>8.305555556</v>
      </c>
      <c r="J571" s="29">
        <f>IFERROR(__xludf.DUMMYFUNCTION("""COMPUTED_VALUE"""),80.0)</f>
        <v>80</v>
      </c>
      <c r="K571" s="29">
        <f>IFERROR(__xludf.DUMMYFUNCTION("""COMPUTED_VALUE"""),6.0)</f>
        <v>6</v>
      </c>
      <c r="L571" s="31" t="str">
        <f>IFERROR(__xludf.DUMMYFUNCTION("""COMPUTED_VALUE"""),"Platformer")</f>
        <v>Platformer</v>
      </c>
    </row>
    <row r="572" hidden="1">
      <c r="A572" s="17" t="str">
        <f>IFERROR(__xludf.DUMMYFUNCTION("""COMPUTED_VALUE"""),"Farming Simulator 19")</f>
        <v>Farming Simulator 19</v>
      </c>
      <c r="B572" s="21" t="str">
        <f>IFERROR(__xludf.DUMMYFUNCTION("""COMPUTED_VALUE"""),"Xbox / PC")</f>
        <v>Xbox / PC</v>
      </c>
      <c r="C572" s="21" t="str">
        <f>IFERROR(__xludf.DUMMYFUNCTION("""COMPUTED_VALUE"""),"Touch Controls")</f>
        <v>Touch Controls</v>
      </c>
      <c r="D572" s="21" t="str">
        <f>IFERROR(__xludf.DUMMYFUNCTION("""COMPUTED_VALUE"""),"Removed")</f>
        <v>Removed</v>
      </c>
      <c r="E572" s="279">
        <f>IFERROR(__xludf.DUMMYFUNCTION("""COMPUTED_VALUE"""),44392.0)</f>
        <v>44392</v>
      </c>
      <c r="F572" s="24">
        <f>IFERROR(__xludf.DUMMYFUNCTION("""COMPUTED_VALUE"""),44712.0)</f>
        <v>44712</v>
      </c>
      <c r="G572" s="27">
        <f>IFERROR(__xludf.DUMMYFUNCTION("""COMPUTED_VALUE"""),10.5)</f>
        <v>10.5</v>
      </c>
      <c r="H572" s="128">
        <f>IFERROR(__xludf.DUMMYFUNCTION("""COMPUTED_VALUE"""),43424.0)</f>
        <v>43424</v>
      </c>
      <c r="I572" s="27">
        <f>IFERROR(__xludf.DUMMYFUNCTION("""COMPUTED_VALUE"""),2.6527777777777777)</f>
        <v>2.652777778</v>
      </c>
      <c r="J572" s="277">
        <f>IFERROR(__xludf.DUMMYFUNCTION("""COMPUTED_VALUE"""),75.0)</f>
        <v>75</v>
      </c>
      <c r="K572" s="29">
        <f>IFERROR(__xludf.DUMMYFUNCTION("""COMPUTED_VALUE"""),159.0)</f>
        <v>159</v>
      </c>
      <c r="L572" s="275" t="str">
        <f>IFERROR(__xludf.DUMMYFUNCTION("""COMPUTED_VALUE"""),"Simulation")</f>
        <v>Simulation</v>
      </c>
    </row>
    <row r="573" hidden="1">
      <c r="A573" s="17" t="str">
        <f>IFERROR(__xludf.DUMMYFUNCTION("""COMPUTED_VALUE"""),"SpellForce 3: Soul Harvest")</f>
        <v>SpellForce 3: Soul Harvest</v>
      </c>
      <c r="B573" s="20" t="str">
        <f>IFERROR(__xludf.DUMMYFUNCTION("""COMPUTED_VALUE"""),"PC")</f>
        <v>PC</v>
      </c>
      <c r="C573" s="21"/>
      <c r="D573" s="21" t="str">
        <f>IFERROR(__xludf.DUMMYFUNCTION("""COMPUTED_VALUE"""),"Removed")</f>
        <v>Removed</v>
      </c>
      <c r="E573" s="279">
        <f>IFERROR(__xludf.DUMMYFUNCTION("""COMPUTED_VALUE"""),44343.0)</f>
        <v>44343</v>
      </c>
      <c r="F573" s="23">
        <f>IFERROR(__xludf.DUMMYFUNCTION("""COMPUTED_VALUE"""),44712.0)</f>
        <v>44712</v>
      </c>
      <c r="G573" s="27">
        <f>IFERROR(__xludf.DUMMYFUNCTION("""COMPUTED_VALUE"""),12.1)</f>
        <v>12.1</v>
      </c>
      <c r="H573" s="128">
        <f>IFERROR(__xludf.DUMMYFUNCTION("""COMPUTED_VALUE"""),43613.0)</f>
        <v>43613</v>
      </c>
      <c r="I573" s="27">
        <f>IFERROR(__xludf.DUMMYFUNCTION("""COMPUTED_VALUE"""),1.9972222222222222)</f>
        <v>1.997222222</v>
      </c>
      <c r="J573" s="29">
        <f>IFERROR(__xludf.DUMMYFUNCTION("""COMPUTED_VALUE"""),75.0)</f>
        <v>75</v>
      </c>
      <c r="K573" s="29">
        <f>IFERROR(__xludf.DUMMYFUNCTION("""COMPUTED_VALUE"""),21.5)</f>
        <v>21.5</v>
      </c>
      <c r="L573" s="31" t="str">
        <f>IFERROR(__xludf.DUMMYFUNCTION("""COMPUTED_VALUE"""),"RPG")</f>
        <v>RPG</v>
      </c>
    </row>
    <row r="574" hidden="1">
      <c r="A574" s="17" t="str">
        <f>IFERROR(__xludf.DUMMYFUNCTION("""COMPUTED_VALUE"""),"Knockout City")</f>
        <v>Knockout City</v>
      </c>
      <c r="B574" s="20" t="str">
        <f>IFERROR(__xludf.DUMMYFUNCTION("""COMPUTED_VALUE"""),"Xbox / PC")</f>
        <v>Xbox / PC</v>
      </c>
      <c r="C574" s="21"/>
      <c r="D574" s="21" t="str">
        <f>IFERROR(__xludf.DUMMYFUNCTION("""COMPUTED_VALUE"""),"Removed")</f>
        <v>Removed</v>
      </c>
      <c r="E574" s="23">
        <f>IFERROR(__xludf.DUMMYFUNCTION("""COMPUTED_VALUE"""),44337.0)</f>
        <v>44337</v>
      </c>
      <c r="F574" s="24">
        <f>IFERROR(__xludf.DUMMYFUNCTION("""COMPUTED_VALUE"""),44712.0)</f>
        <v>44712</v>
      </c>
      <c r="G574" s="27">
        <f>IFERROR(__xludf.DUMMYFUNCTION("""COMPUTED_VALUE"""),12.299999999999999)</f>
        <v>12.3</v>
      </c>
      <c r="H574" s="128">
        <f>IFERROR(__xludf.DUMMYFUNCTION("""COMPUTED_VALUE"""),44337.0)</f>
        <v>44337</v>
      </c>
      <c r="I574" s="27">
        <f>IFERROR(__xludf.DUMMYFUNCTION("""COMPUTED_VALUE"""),0.0)</f>
        <v>0</v>
      </c>
      <c r="J574" s="29">
        <f>IFERROR(__xludf.DUMMYFUNCTION("""COMPUTED_VALUE"""),81.66666666666667)</f>
        <v>81.66666667</v>
      </c>
      <c r="K574" s="29">
        <f>IFERROR(__xludf.DUMMYFUNCTION("""COMPUTED_VALUE"""),33.5)</f>
        <v>33.5</v>
      </c>
      <c r="L574" s="31" t="str">
        <f>IFERROR(__xludf.DUMMYFUNCTION("""COMPUTED_VALUE"""),"Sports")</f>
        <v>Sports</v>
      </c>
    </row>
    <row r="575" hidden="1">
      <c r="A575" s="278" t="str">
        <f>IFERROR(__xludf.DUMMYFUNCTION("""COMPUTED_VALUE"""),"Yes, Your Grace")</f>
        <v>Yes, Your Grace</v>
      </c>
      <c r="B575" s="20" t="str">
        <f>IFERROR(__xludf.DUMMYFUNCTION("""COMPUTED_VALUE"""),"Xbox / PC")</f>
        <v>Xbox / PC</v>
      </c>
      <c r="C575" s="20" t="str">
        <f>IFERROR(__xludf.DUMMYFUNCTION("""COMPUTED_VALUE"""),"Touch Controls")</f>
        <v>Touch Controls</v>
      </c>
      <c r="D575" s="21" t="str">
        <f>IFERROR(__xludf.DUMMYFUNCTION("""COMPUTED_VALUE"""),"Removed")</f>
        <v>Removed</v>
      </c>
      <c r="E575" s="279">
        <f>IFERROR(__xludf.DUMMYFUNCTION("""COMPUTED_VALUE"""),44168.0)</f>
        <v>44168</v>
      </c>
      <c r="F575" s="24">
        <f>IFERROR(__xludf.DUMMYFUNCTION("""COMPUTED_VALUE"""),44712.0)</f>
        <v>44712</v>
      </c>
      <c r="G575" s="27">
        <f>IFERROR(__xludf.DUMMYFUNCTION("""COMPUTED_VALUE"""),17.9)</f>
        <v>17.9</v>
      </c>
      <c r="H575" s="128">
        <f>IFERROR(__xludf.DUMMYFUNCTION("""COMPUTED_VALUE"""),43896.0)</f>
        <v>43896</v>
      </c>
      <c r="I575" s="27">
        <f>IFERROR(__xludf.DUMMYFUNCTION("""COMPUTED_VALUE"""),0.7416666666666667)</f>
        <v>0.7416666667</v>
      </c>
      <c r="J575" s="277">
        <f>IFERROR(__xludf.DUMMYFUNCTION("""COMPUTED_VALUE"""),75.0)</f>
        <v>75</v>
      </c>
      <c r="K575" s="29">
        <f>IFERROR(__xludf.DUMMYFUNCTION("""COMPUTED_VALUE"""),5.5)</f>
        <v>5.5</v>
      </c>
      <c r="L575" s="31" t="str">
        <f>IFERROR(__xludf.DUMMYFUNCTION("""COMPUTED_VALUE"""),"RPG")</f>
        <v>RPG</v>
      </c>
    </row>
    <row r="576" hidden="1">
      <c r="A576" s="278" t="str">
        <f>IFERROR(__xludf.DUMMYFUNCTION("""COMPUTED_VALUE"""),"NHL 20")</f>
        <v>NHL 20</v>
      </c>
      <c r="B576" s="20" t="str">
        <f>IFERROR(__xludf.DUMMYFUNCTION("""COMPUTED_VALUE"""),"Xbox")</f>
        <v>Xbox</v>
      </c>
      <c r="C576" s="20"/>
      <c r="D576" s="21" t="str">
        <f>IFERROR(__xludf.DUMMYFUNCTION("""COMPUTED_VALUE"""),"Removed")</f>
        <v>Removed</v>
      </c>
      <c r="E576" s="279">
        <f>IFERROR(__xludf.DUMMYFUNCTION("""COMPUTED_VALUE"""),44145.0)</f>
        <v>44145</v>
      </c>
      <c r="F576" s="24">
        <f>IFERROR(__xludf.DUMMYFUNCTION("""COMPUTED_VALUE"""),44712.0)</f>
        <v>44712</v>
      </c>
      <c r="G576" s="27">
        <f>IFERROR(__xludf.DUMMYFUNCTION("""COMPUTED_VALUE"""),18.666666666666668)</f>
        <v>18.66666667</v>
      </c>
      <c r="H576" s="128">
        <f>IFERROR(__xludf.DUMMYFUNCTION("""COMPUTED_VALUE"""),43721.0)</f>
        <v>43721</v>
      </c>
      <c r="I576" s="27">
        <f>IFERROR(__xludf.DUMMYFUNCTION("""COMPUTED_VALUE"""),1.1583333333333334)</f>
        <v>1.158333333</v>
      </c>
      <c r="J576" s="277">
        <f>IFERROR(__xludf.DUMMYFUNCTION("""COMPUTED_VALUE"""),85.0)</f>
        <v>85</v>
      </c>
      <c r="K576" s="29">
        <f>IFERROR(__xludf.DUMMYFUNCTION("""COMPUTED_VALUE"""),44.5)</f>
        <v>44.5</v>
      </c>
      <c r="L576" s="275" t="str">
        <f>IFERROR(__xludf.DUMMYFUNCTION("""COMPUTED_VALUE"""),"Sports")</f>
        <v>Sports</v>
      </c>
    </row>
    <row r="577" hidden="1">
      <c r="A577" s="278" t="str">
        <f>IFERROR(__xludf.DUMMYFUNCTION("""COMPUTED_VALUE"""),"The Catch: Carp &amp; Coarse Fishing")</f>
        <v>The Catch: Carp &amp; Coarse Fishing</v>
      </c>
      <c r="B577" s="20" t="str">
        <f>IFERROR(__xludf.DUMMYFUNCTION("""COMPUTED_VALUE"""),"Xbox / PC")</f>
        <v>Xbox / PC</v>
      </c>
      <c r="C577" s="20" t="str">
        <f>IFERROR(__xludf.DUMMYFUNCTION("""COMPUTED_VALUE"""),"Yes")</f>
        <v>Yes</v>
      </c>
      <c r="D577" s="21" t="str">
        <f>IFERROR(__xludf.DUMMYFUNCTION("""COMPUTED_VALUE"""),"Removed")</f>
        <v>Removed</v>
      </c>
      <c r="E577" s="279">
        <f>IFERROR(__xludf.DUMMYFUNCTION("""COMPUTED_VALUE"""),44336.0)</f>
        <v>44336</v>
      </c>
      <c r="F577" s="24">
        <f>IFERROR(__xludf.DUMMYFUNCTION("""COMPUTED_VALUE"""),44696.0)</f>
        <v>44696</v>
      </c>
      <c r="G577" s="27">
        <f>IFERROR(__xludf.DUMMYFUNCTION("""COMPUTED_VALUE"""),11.833333333333334)</f>
        <v>11.83333333</v>
      </c>
      <c r="H577" s="128">
        <f>IFERROR(__xludf.DUMMYFUNCTION("""COMPUTED_VALUE"""),44012.0)</f>
        <v>44012</v>
      </c>
      <c r="I577" s="27">
        <f>IFERROR(__xludf.DUMMYFUNCTION("""COMPUTED_VALUE"""),0.8888888888888888)</f>
        <v>0.8888888889</v>
      </c>
      <c r="J577" s="277">
        <f>IFERROR(__xludf.DUMMYFUNCTION("""COMPUTED_VALUE"""),90.0)</f>
        <v>90</v>
      </c>
      <c r="K577" s="277"/>
      <c r="L577" s="275" t="str">
        <f>IFERROR(__xludf.DUMMYFUNCTION("""COMPUTED_VALUE"""),"Sports")</f>
        <v>Sports</v>
      </c>
    </row>
    <row r="578" hidden="1">
      <c r="A578" s="278" t="str">
        <f>IFERROR(__xludf.DUMMYFUNCTION("""COMPUTED_VALUE"""),"The Wild at Heart")</f>
        <v>The Wild at Heart</v>
      </c>
      <c r="B578" s="21" t="str">
        <f>IFERROR(__xludf.DUMMYFUNCTION("""COMPUTED_VALUE"""),"Xbox / PC")</f>
        <v>Xbox / PC</v>
      </c>
      <c r="C578" s="21" t="str">
        <f>IFERROR(__xludf.DUMMYFUNCTION("""COMPUTED_VALUE"""),"Touch Controls")</f>
        <v>Touch Controls</v>
      </c>
      <c r="D578" s="21" t="str">
        <f>IFERROR(__xludf.DUMMYFUNCTION("""COMPUTED_VALUE"""),"Removed")</f>
        <v>Removed</v>
      </c>
      <c r="E578" s="279">
        <f>IFERROR(__xludf.DUMMYFUNCTION("""COMPUTED_VALUE"""),44336.0)</f>
        <v>44336</v>
      </c>
      <c r="F578" s="24">
        <f>IFERROR(__xludf.DUMMYFUNCTION("""COMPUTED_VALUE"""),44696.0)</f>
        <v>44696</v>
      </c>
      <c r="G578" s="27">
        <f>IFERROR(__xludf.DUMMYFUNCTION("""COMPUTED_VALUE"""),11.833333333333334)</f>
        <v>11.83333333</v>
      </c>
      <c r="H578" s="128">
        <f>IFERROR(__xludf.DUMMYFUNCTION("""COMPUTED_VALUE"""),44336.0)</f>
        <v>44336</v>
      </c>
      <c r="I578" s="27">
        <f>IFERROR(__xludf.DUMMYFUNCTION("""COMPUTED_VALUE"""),0.0)</f>
        <v>0</v>
      </c>
      <c r="J578" s="277">
        <f>IFERROR(__xludf.DUMMYFUNCTION("""COMPUTED_VALUE"""),76.0)</f>
        <v>76</v>
      </c>
      <c r="K578" s="29">
        <f>IFERROR(__xludf.DUMMYFUNCTION("""COMPUTED_VALUE"""),11.5)</f>
        <v>11.5</v>
      </c>
      <c r="L578" s="275" t="str">
        <f>IFERROR(__xludf.DUMMYFUNCTION("""COMPUTED_VALUE"""),"Action-Adventure")</f>
        <v>Action-Adventure</v>
      </c>
    </row>
    <row r="579" hidden="1">
      <c r="A579" s="278" t="str">
        <f>IFERROR(__xludf.DUMMYFUNCTION("""COMPUTED_VALUE"""),"Final Fantasy X/X-2 HD Remaster")</f>
        <v>Final Fantasy X/X-2 HD Remaster</v>
      </c>
      <c r="B579" s="20" t="str">
        <f>IFERROR(__xludf.DUMMYFUNCTION("""COMPUTED_VALUE"""),"Xbox / PC")</f>
        <v>Xbox / PC</v>
      </c>
      <c r="C579" s="20"/>
      <c r="D579" s="21" t="str">
        <f>IFERROR(__xludf.DUMMYFUNCTION("""COMPUTED_VALUE"""),"Removed")</f>
        <v>Removed</v>
      </c>
      <c r="E579" s="279">
        <f>IFERROR(__xludf.DUMMYFUNCTION("""COMPUTED_VALUE"""),44329.0)</f>
        <v>44329</v>
      </c>
      <c r="F579" s="24">
        <f>IFERROR(__xludf.DUMMYFUNCTION("""COMPUTED_VALUE"""),44696.0)</f>
        <v>44696</v>
      </c>
      <c r="G579" s="27">
        <f>IFERROR(__xludf.DUMMYFUNCTION("""COMPUTED_VALUE"""),12.066666666666666)</f>
        <v>12.06666667</v>
      </c>
      <c r="H579" s="128">
        <f>IFERROR(__xludf.DUMMYFUNCTION("""COMPUTED_VALUE"""),41634.0)</f>
        <v>41634</v>
      </c>
      <c r="I579" s="27">
        <f>IFERROR(__xludf.DUMMYFUNCTION("""COMPUTED_VALUE"""),7.3805555555555555)</f>
        <v>7.380555556</v>
      </c>
      <c r="J579" s="277">
        <f>IFERROR(__xludf.DUMMYFUNCTION("""COMPUTED_VALUE"""),84.0)</f>
        <v>84</v>
      </c>
      <c r="K579" s="29">
        <f>IFERROR(__xludf.DUMMYFUNCTION("""COMPUTED_VALUE"""),78.5)</f>
        <v>78.5</v>
      </c>
      <c r="L579" s="275" t="str">
        <f>IFERROR(__xludf.DUMMYFUNCTION("""COMPUTED_VALUE"""),"RPG")</f>
        <v>RPG</v>
      </c>
    </row>
    <row r="580" hidden="1">
      <c r="A580" s="278" t="str">
        <f>IFERROR(__xludf.DUMMYFUNCTION("""COMPUTED_VALUE"""),"Grand Theft Auto: San Andreas - The Definitive Edition")</f>
        <v>Grand Theft Auto: San Andreas - The Definitive Edition</v>
      </c>
      <c r="B580" s="20" t="str">
        <f>IFERROR(__xludf.DUMMYFUNCTION("""COMPUTED_VALUE"""),"Xbox")</f>
        <v>Xbox</v>
      </c>
      <c r="C580" s="20" t="str">
        <f>IFERROR(__xludf.DUMMYFUNCTION("""COMPUTED_VALUE"""),"Yes")</f>
        <v>Yes</v>
      </c>
      <c r="D580" s="21" t="str">
        <f>IFERROR(__xludf.DUMMYFUNCTION("""COMPUTED_VALUE"""),"Removed")</f>
        <v>Removed</v>
      </c>
      <c r="E580" s="279">
        <f>IFERROR(__xludf.DUMMYFUNCTION("""COMPUTED_VALUE"""),44511.0)</f>
        <v>44511</v>
      </c>
      <c r="F580" s="24">
        <f>IFERROR(__xludf.DUMMYFUNCTION("""COMPUTED_VALUE"""),44691.0)</f>
        <v>44691</v>
      </c>
      <c r="G580" s="27">
        <f>IFERROR(__xludf.DUMMYFUNCTION("""COMPUTED_VALUE"""),5.966666666666667)</f>
        <v>5.966666667</v>
      </c>
      <c r="H580" s="128">
        <f>IFERROR(__xludf.DUMMYFUNCTION("""COMPUTED_VALUE"""),44511.0)</f>
        <v>44511</v>
      </c>
      <c r="I580" s="27">
        <f>IFERROR(__xludf.DUMMYFUNCTION("""COMPUTED_VALUE"""),0.0)</f>
        <v>0</v>
      </c>
      <c r="J580" s="277">
        <f>IFERROR(__xludf.DUMMYFUNCTION("""COMPUTED_VALUE"""),52.5)</f>
        <v>52.5</v>
      </c>
      <c r="K580" s="277">
        <f>IFERROR(__xludf.DUMMYFUNCTION("""COMPUTED_VALUE"""),31.0)</f>
        <v>31</v>
      </c>
      <c r="L580" s="275" t="str">
        <f>IFERROR(__xludf.DUMMYFUNCTION("""COMPUTED_VALUE"""),"Racing")</f>
        <v>Racing</v>
      </c>
    </row>
    <row r="581" hidden="1">
      <c r="A581" s="278" t="str">
        <f>IFERROR(__xludf.DUMMYFUNCTION("""COMPUTED_VALUE"""),"Outlast 2")</f>
        <v>Outlast 2</v>
      </c>
      <c r="B581" s="20" t="str">
        <f>IFERROR(__xludf.DUMMYFUNCTION("""COMPUTED_VALUE"""),"Xbox / PC")</f>
        <v>Xbox / PC</v>
      </c>
      <c r="C581" s="21" t="str">
        <f>IFERROR(__xludf.DUMMYFUNCTION("""COMPUTED_VALUE"""),"Touch Controls")</f>
        <v>Touch Controls</v>
      </c>
      <c r="D581" s="21" t="str">
        <f>IFERROR(__xludf.DUMMYFUNCTION("""COMPUTED_VALUE"""),"Removed")</f>
        <v>Removed</v>
      </c>
      <c r="E581" s="279">
        <f>IFERROR(__xludf.DUMMYFUNCTION("""COMPUTED_VALUE"""),44322.0)</f>
        <v>44322</v>
      </c>
      <c r="F581" s="24">
        <f>IFERROR(__xludf.DUMMYFUNCTION("""COMPUTED_VALUE"""),44681.0)</f>
        <v>44681</v>
      </c>
      <c r="G581" s="27">
        <f>IFERROR(__xludf.DUMMYFUNCTION("""COMPUTED_VALUE"""),11.799999999999999)</f>
        <v>11.8</v>
      </c>
      <c r="H581" s="128">
        <f>IFERROR(__xludf.DUMMYFUNCTION("""COMPUTED_VALUE"""),42850.0)</f>
        <v>42850</v>
      </c>
      <c r="I581" s="27">
        <f>IFERROR(__xludf.DUMMYFUNCTION("""COMPUTED_VALUE"""),4.030555555555556)</f>
        <v>4.030555556</v>
      </c>
      <c r="J581" s="277">
        <f>IFERROR(__xludf.DUMMYFUNCTION("""COMPUTED_VALUE"""),76.0)</f>
        <v>76</v>
      </c>
      <c r="K581" s="277">
        <f>IFERROR(__xludf.DUMMYFUNCTION("""COMPUTED_VALUE"""),7.5)</f>
        <v>7.5</v>
      </c>
      <c r="L581" s="275" t="str">
        <f>IFERROR(__xludf.DUMMYFUNCTION("""COMPUTED_VALUE"""),"Adventure")</f>
        <v>Adventure</v>
      </c>
    </row>
    <row r="582" hidden="1">
      <c r="A582" s="17" t="str">
        <f>IFERROR(__xludf.DUMMYFUNCTION("""COMPUTED_VALUE"""),"Cricket 19")</f>
        <v>Cricket 19</v>
      </c>
      <c r="B582" s="20" t="str">
        <f>IFERROR(__xludf.DUMMYFUNCTION("""COMPUTED_VALUE"""),"Xbox / PC")</f>
        <v>Xbox / PC</v>
      </c>
      <c r="C582" s="20" t="str">
        <f>IFERROR(__xludf.DUMMYFUNCTION("""COMPUTED_VALUE"""),"Yes")</f>
        <v>Yes</v>
      </c>
      <c r="D582" s="21" t="str">
        <f>IFERROR(__xludf.DUMMYFUNCTION("""COMPUTED_VALUE"""),"Removed")</f>
        <v>Removed</v>
      </c>
      <c r="E582" s="279">
        <f>IFERROR(__xludf.DUMMYFUNCTION("""COMPUTED_VALUE"""),44126.0)</f>
        <v>44126</v>
      </c>
      <c r="F582" s="24">
        <f>IFERROR(__xludf.DUMMYFUNCTION("""COMPUTED_VALUE"""),44681.0)</f>
        <v>44681</v>
      </c>
      <c r="G582" s="27">
        <f>IFERROR(__xludf.DUMMYFUNCTION("""COMPUTED_VALUE"""),18.266666666666666)</f>
        <v>18.26666667</v>
      </c>
      <c r="H582" s="128">
        <f>IFERROR(__xludf.DUMMYFUNCTION("""COMPUTED_VALUE"""),43613.0)</f>
        <v>43613</v>
      </c>
      <c r="I582" s="27">
        <f>IFERROR(__xludf.DUMMYFUNCTION("""COMPUTED_VALUE"""),1.4)</f>
        <v>1.4</v>
      </c>
      <c r="J582" s="29">
        <f>IFERROR(__xludf.DUMMYFUNCTION("""COMPUTED_VALUE"""),73.0)</f>
        <v>73</v>
      </c>
      <c r="K582" s="29">
        <f>IFERROR(__xludf.DUMMYFUNCTION("""COMPUTED_VALUE"""),20.0)</f>
        <v>20</v>
      </c>
      <c r="L582" s="31" t="str">
        <f>IFERROR(__xludf.DUMMYFUNCTION("""COMPUTED_VALUE"""),"Sports")</f>
        <v>Sports</v>
      </c>
    </row>
    <row r="583" hidden="1">
      <c r="A583" s="278" t="str">
        <f>IFERROR(__xludf.DUMMYFUNCTION("""COMPUTED_VALUE"""),"Streets of Rage 4")</f>
        <v>Streets of Rage 4</v>
      </c>
      <c r="B583" s="20" t="str">
        <f>IFERROR(__xludf.DUMMYFUNCTION("""COMPUTED_VALUE"""),"Xbox / PC")</f>
        <v>Xbox / PC</v>
      </c>
      <c r="C583" s="20" t="str">
        <f>IFERROR(__xludf.DUMMYFUNCTION("""COMPUTED_VALUE"""),"Touch Controls")</f>
        <v>Touch Controls</v>
      </c>
      <c r="D583" s="21" t="str">
        <f>IFERROR(__xludf.DUMMYFUNCTION("""COMPUTED_VALUE"""),"Removed")</f>
        <v>Removed</v>
      </c>
      <c r="E583" s="279">
        <f>IFERROR(__xludf.DUMMYFUNCTION("""COMPUTED_VALUE"""),43951.0)</f>
        <v>43951</v>
      </c>
      <c r="F583" s="276">
        <f>IFERROR(__xludf.DUMMYFUNCTION("""COMPUTED_VALUE"""),44681.0)</f>
        <v>44681</v>
      </c>
      <c r="G583" s="27">
        <f>IFERROR(__xludf.DUMMYFUNCTION("""COMPUTED_VALUE"""),24.0)</f>
        <v>24</v>
      </c>
      <c r="H583" s="128">
        <f>IFERROR(__xludf.DUMMYFUNCTION("""COMPUTED_VALUE"""),43951.0)</f>
        <v>43951</v>
      </c>
      <c r="I583" s="27">
        <f>IFERROR(__xludf.DUMMYFUNCTION("""COMPUTED_VALUE"""),0.0)</f>
        <v>0</v>
      </c>
      <c r="J583" s="29">
        <f>IFERROR(__xludf.DUMMYFUNCTION("""COMPUTED_VALUE"""),81.0)</f>
        <v>81</v>
      </c>
      <c r="K583" s="29">
        <f>IFERROR(__xludf.DUMMYFUNCTION("""COMPUTED_VALUE"""),3.0)</f>
        <v>3</v>
      </c>
      <c r="L583" s="275" t="str">
        <f>IFERROR(__xludf.DUMMYFUNCTION("""COMPUTED_VALUE"""),"Brawler")</f>
        <v>Brawler</v>
      </c>
    </row>
    <row r="584" hidden="1">
      <c r="A584" s="278" t="str">
        <f>IFERROR(__xludf.DUMMYFUNCTION("""COMPUTED_VALUE"""),"F1 2019")</f>
        <v>F1 2019</v>
      </c>
      <c r="B584" s="20" t="str">
        <f>IFERROR(__xludf.DUMMYFUNCTION("""COMPUTED_VALUE"""),"Xbox / PC")</f>
        <v>Xbox / PC</v>
      </c>
      <c r="C584" s="20" t="str">
        <f>IFERROR(__xludf.DUMMYFUNCTION("""COMPUTED_VALUE"""),"Yes")</f>
        <v>Yes</v>
      </c>
      <c r="D584" s="21" t="str">
        <f>IFERROR(__xludf.DUMMYFUNCTION("""COMPUTED_VALUE"""),"Removed")</f>
        <v>Removed</v>
      </c>
      <c r="E584" s="279">
        <f>IFERROR(__xludf.DUMMYFUNCTION("""COMPUTED_VALUE"""),44042.0)</f>
        <v>44042</v>
      </c>
      <c r="F584" s="24">
        <f>IFERROR(__xludf.DUMMYFUNCTION("""COMPUTED_VALUE"""),44669.0)</f>
        <v>44669</v>
      </c>
      <c r="G584" s="27">
        <f>IFERROR(__xludf.DUMMYFUNCTION("""COMPUTED_VALUE"""),20.599999999999998)</f>
        <v>20.6</v>
      </c>
      <c r="H584" s="128">
        <f>IFERROR(__xludf.DUMMYFUNCTION("""COMPUTED_VALUE"""),43644.0)</f>
        <v>43644</v>
      </c>
      <c r="I584" s="27">
        <f>IFERROR(__xludf.DUMMYFUNCTION("""COMPUTED_VALUE"""),1.0888888888888888)</f>
        <v>1.088888889</v>
      </c>
      <c r="J584" s="277">
        <f>IFERROR(__xludf.DUMMYFUNCTION("""COMPUTED_VALUE"""),88.0)</f>
        <v>88</v>
      </c>
      <c r="K584" s="29">
        <f>IFERROR(__xludf.DUMMYFUNCTION("""COMPUTED_VALUE"""),15.0)</f>
        <v>15</v>
      </c>
      <c r="L584" s="275" t="str">
        <f>IFERROR(__xludf.DUMMYFUNCTION("""COMPUTED_VALUE"""),"Racing")</f>
        <v>Racing</v>
      </c>
    </row>
    <row r="585" hidden="1">
      <c r="A585" s="278" t="str">
        <f>IFERROR(__xludf.DUMMYFUNCTION("""COMPUTED_VALUE"""),"MLB The Show 21")</f>
        <v>MLB The Show 21</v>
      </c>
      <c r="B585" s="21" t="str">
        <f>IFERROR(__xludf.DUMMYFUNCTION("""COMPUTED_VALUE"""),"Xbox")</f>
        <v>Xbox</v>
      </c>
      <c r="C585" s="21" t="str">
        <f>IFERROR(__xludf.DUMMYFUNCTION("""COMPUTED_VALUE"""),"Yes")</f>
        <v>Yes</v>
      </c>
      <c r="D585" s="21" t="str">
        <f>IFERROR(__xludf.DUMMYFUNCTION("""COMPUTED_VALUE"""),"Removed")</f>
        <v>Removed</v>
      </c>
      <c r="E585" s="279">
        <f>IFERROR(__xludf.DUMMYFUNCTION("""COMPUTED_VALUE"""),44306.0)</f>
        <v>44306</v>
      </c>
      <c r="F585" s="24">
        <f>IFERROR(__xludf.DUMMYFUNCTION("""COMPUTED_VALUE"""),44666.0)</f>
        <v>44666</v>
      </c>
      <c r="G585" s="27">
        <f>IFERROR(__xludf.DUMMYFUNCTION("""COMPUTED_VALUE"""),11.833333333333334)</f>
        <v>11.83333333</v>
      </c>
      <c r="H585" s="128">
        <f>IFERROR(__xludf.DUMMYFUNCTION("""COMPUTED_VALUE"""),44306.0)</f>
        <v>44306</v>
      </c>
      <c r="I585" s="27">
        <f>IFERROR(__xludf.DUMMYFUNCTION("""COMPUTED_VALUE"""),0.0)</f>
        <v>0</v>
      </c>
      <c r="J585" s="277">
        <f>IFERROR(__xludf.DUMMYFUNCTION("""COMPUTED_VALUE"""),80.0)</f>
        <v>80</v>
      </c>
      <c r="K585" s="29">
        <f>IFERROR(__xludf.DUMMYFUNCTION("""COMPUTED_VALUE"""),80.0)</f>
        <v>80</v>
      </c>
      <c r="L585" s="275" t="str">
        <f>IFERROR(__xludf.DUMMYFUNCTION("""COMPUTED_VALUE"""),"Sports")</f>
        <v>Sports</v>
      </c>
    </row>
    <row r="586" hidden="1">
      <c r="A586" s="17" t="str">
        <f>IFERROR(__xludf.DUMMYFUNCTION("""COMPUTED_VALUE"""),"Pathway")</f>
        <v>Pathway</v>
      </c>
      <c r="B586" s="20" t="str">
        <f>IFERROR(__xludf.DUMMYFUNCTION("""COMPUTED_VALUE"""),"PC")</f>
        <v>PC</v>
      </c>
      <c r="C586" s="20"/>
      <c r="D586" s="21" t="str">
        <f>IFERROR(__xludf.DUMMYFUNCTION("""COMPUTED_VALUE"""),"Removed")</f>
        <v>Removed</v>
      </c>
      <c r="E586" s="23">
        <f>IFERROR(__xludf.DUMMYFUNCTION("""COMPUTED_VALUE"""),44301.0)</f>
        <v>44301</v>
      </c>
      <c r="F586" s="24">
        <f>IFERROR(__xludf.DUMMYFUNCTION("""COMPUTED_VALUE"""),44666.0)</f>
        <v>44666</v>
      </c>
      <c r="G586" s="27">
        <f>IFERROR(__xludf.DUMMYFUNCTION("""COMPUTED_VALUE"""),12.0)</f>
        <v>12</v>
      </c>
      <c r="H586" s="128">
        <f>IFERROR(__xludf.DUMMYFUNCTION("""COMPUTED_VALUE"""),43566.0)</f>
        <v>43566</v>
      </c>
      <c r="I586" s="27">
        <f>IFERROR(__xludf.DUMMYFUNCTION("""COMPUTED_VALUE"""),2.011111111111111)</f>
        <v>2.011111111</v>
      </c>
      <c r="J586" s="29">
        <f>IFERROR(__xludf.DUMMYFUNCTION("""COMPUTED_VALUE"""),68.0)</f>
        <v>68</v>
      </c>
      <c r="K586" s="29">
        <f>IFERROR(__xludf.DUMMYFUNCTION("""COMPUTED_VALUE"""),10.0)</f>
        <v>10</v>
      </c>
      <c r="L586" s="31" t="str">
        <f>IFERROR(__xludf.DUMMYFUNCTION("""COMPUTED_VALUE"""),"RPG")</f>
        <v>RPG</v>
      </c>
    </row>
    <row r="587" hidden="1">
      <c r="A587" s="17" t="str">
        <f>IFERROR(__xludf.DUMMYFUNCTION("""COMPUTED_VALUE"""),"Rain on Your Parade")</f>
        <v>Rain on Your Parade</v>
      </c>
      <c r="B587" s="20" t="str">
        <f>IFERROR(__xludf.DUMMYFUNCTION("""COMPUTED_VALUE"""),"Xbox / PC")</f>
        <v>Xbox / PC</v>
      </c>
      <c r="C587" s="20" t="str">
        <f>IFERROR(__xludf.DUMMYFUNCTION("""COMPUTED_VALUE"""),"Touch Controls")</f>
        <v>Touch Controls</v>
      </c>
      <c r="D587" s="21" t="str">
        <f>IFERROR(__xludf.DUMMYFUNCTION("""COMPUTED_VALUE"""),"Removed")</f>
        <v>Removed</v>
      </c>
      <c r="E587" s="279">
        <f>IFERROR(__xludf.DUMMYFUNCTION("""COMPUTED_VALUE"""),44301.0)</f>
        <v>44301</v>
      </c>
      <c r="F587" s="24">
        <f>IFERROR(__xludf.DUMMYFUNCTION("""COMPUTED_VALUE"""),44666.0)</f>
        <v>44666</v>
      </c>
      <c r="G587" s="27">
        <f>IFERROR(__xludf.DUMMYFUNCTION("""COMPUTED_VALUE"""),12.0)</f>
        <v>12</v>
      </c>
      <c r="H587" s="128">
        <f>IFERROR(__xludf.DUMMYFUNCTION("""COMPUTED_VALUE"""),44301.0)</f>
        <v>44301</v>
      </c>
      <c r="I587" s="27">
        <f>IFERROR(__xludf.DUMMYFUNCTION("""COMPUTED_VALUE"""),0.0)</f>
        <v>0</v>
      </c>
      <c r="J587" s="29">
        <f>IFERROR(__xludf.DUMMYFUNCTION("""COMPUTED_VALUE"""),78.0)</f>
        <v>78</v>
      </c>
      <c r="K587" s="29">
        <f>IFERROR(__xludf.DUMMYFUNCTION("""COMPUTED_VALUE"""),2.5)</f>
        <v>2.5</v>
      </c>
      <c r="L587" s="31" t="str">
        <f>IFERROR(__xludf.DUMMYFUNCTION("""COMPUTED_VALUE"""),"Adventure")</f>
        <v>Adventure</v>
      </c>
    </row>
    <row r="588" hidden="1">
      <c r="A588" s="17" t="str">
        <f>IFERROR(__xludf.DUMMYFUNCTION("""COMPUTED_VALUE"""),"Destiny 2: Forsaken, Shadowkeep, Beyond Light")</f>
        <v>Destiny 2: Forsaken, Shadowkeep, Beyond Light</v>
      </c>
      <c r="B588" s="20" t="str">
        <f>IFERROR(__xludf.DUMMYFUNCTION("""COMPUTED_VALUE"""),"PC")</f>
        <v>PC</v>
      </c>
      <c r="C588" s="21"/>
      <c r="D588" s="21" t="str">
        <f>IFERROR(__xludf.DUMMYFUNCTION("""COMPUTED_VALUE"""),"Removed")</f>
        <v>Removed</v>
      </c>
      <c r="E588" s="23">
        <f>IFERROR(__xludf.DUMMYFUNCTION("""COMPUTED_VALUE"""),44096.0)</f>
        <v>44096</v>
      </c>
      <c r="F588" s="24">
        <f>IFERROR(__xludf.DUMMYFUNCTION("""COMPUTED_VALUE"""),44662.0)</f>
        <v>44662</v>
      </c>
      <c r="G588" s="27">
        <f>IFERROR(__xludf.DUMMYFUNCTION("""COMPUTED_VALUE"""),18.633333333333333)</f>
        <v>18.63333333</v>
      </c>
      <c r="H588" s="23">
        <f>IFERROR(__xludf.DUMMYFUNCTION("""COMPUTED_VALUE"""),42984.0)</f>
        <v>42984</v>
      </c>
      <c r="I588" s="27">
        <f>IFERROR(__xludf.DUMMYFUNCTION("""COMPUTED_VALUE"""),3.0444444444444443)</f>
        <v>3.044444444</v>
      </c>
      <c r="J588" s="29">
        <f>IFERROR(__xludf.DUMMYFUNCTION("""COMPUTED_VALUE"""),87.0)</f>
        <v>87</v>
      </c>
      <c r="K588" s="29">
        <f>IFERROR(__xludf.DUMMYFUNCTION("""COMPUTED_VALUE"""),12.0)</f>
        <v>12</v>
      </c>
      <c r="L588" s="31" t="str">
        <f>IFERROR(__xludf.DUMMYFUNCTION("""COMPUTED_VALUE"""),"Shooter")</f>
        <v>Shooter</v>
      </c>
    </row>
    <row r="589" hidden="1">
      <c r="A589" s="278" t="str">
        <f>IFERROR(__xludf.DUMMYFUNCTION("""COMPUTED_VALUE"""),"Narita Boy")</f>
        <v>Narita Boy</v>
      </c>
      <c r="B589" s="20" t="str">
        <f>IFERROR(__xludf.DUMMYFUNCTION("""COMPUTED_VALUE"""),"Xbox / PC")</f>
        <v>Xbox / PC</v>
      </c>
      <c r="C589" s="20" t="str">
        <f>IFERROR(__xludf.DUMMYFUNCTION("""COMPUTED_VALUE"""),"Touch Controls")</f>
        <v>Touch Controls</v>
      </c>
      <c r="D589" s="21" t="str">
        <f>IFERROR(__xludf.DUMMYFUNCTION("""COMPUTED_VALUE"""),"Removed")</f>
        <v>Removed</v>
      </c>
      <c r="E589" s="279">
        <f>IFERROR(__xludf.DUMMYFUNCTION("""COMPUTED_VALUE"""),44285.0)</f>
        <v>44285</v>
      </c>
      <c r="F589" s="276">
        <f>IFERROR(__xludf.DUMMYFUNCTION("""COMPUTED_VALUE"""),44651.0)</f>
        <v>44651</v>
      </c>
      <c r="G589" s="27">
        <f>IFERROR(__xludf.DUMMYFUNCTION("""COMPUTED_VALUE"""),12.0)</f>
        <v>12</v>
      </c>
      <c r="H589" s="128">
        <f>IFERROR(__xludf.DUMMYFUNCTION("""COMPUTED_VALUE"""),44285.0)</f>
        <v>44285</v>
      </c>
      <c r="I589" s="27">
        <f>IFERROR(__xludf.DUMMYFUNCTION("""COMPUTED_VALUE"""),0.0)</f>
        <v>0</v>
      </c>
      <c r="J589" s="277">
        <f>IFERROR(__xludf.DUMMYFUNCTION("""COMPUTED_VALUE"""),73.0)</f>
        <v>73</v>
      </c>
      <c r="K589" s="277">
        <f>IFERROR(__xludf.DUMMYFUNCTION("""COMPUTED_VALUE"""),7.0)</f>
        <v>7</v>
      </c>
      <c r="L589" s="31" t="str">
        <f>IFERROR(__xludf.DUMMYFUNCTION("""COMPUTED_VALUE"""),"Platformer")</f>
        <v>Platformer</v>
      </c>
    </row>
    <row r="590" hidden="1">
      <c r="A590" s="278" t="str">
        <f>IFERROR(__xludf.DUMMYFUNCTION("""COMPUTED_VALUE"""),"Madden NFL 20")</f>
        <v>Madden NFL 20</v>
      </c>
      <c r="B590" s="20" t="str">
        <f>IFERROR(__xludf.DUMMYFUNCTION("""COMPUTED_VALUE"""),"Xbox / PC")</f>
        <v>Xbox / PC</v>
      </c>
      <c r="C590" s="20" t="str">
        <f>IFERROR(__xludf.DUMMYFUNCTION("""COMPUTED_VALUE"""),"Yes")</f>
        <v>Yes</v>
      </c>
      <c r="D590" s="21" t="str">
        <f>IFERROR(__xludf.DUMMYFUNCTION("""COMPUTED_VALUE"""),"Removed")</f>
        <v>Removed</v>
      </c>
      <c r="E590" s="279">
        <f>IFERROR(__xludf.DUMMYFUNCTION("""COMPUTED_VALUE"""),44145.0)</f>
        <v>44145</v>
      </c>
      <c r="F590" s="24">
        <f>IFERROR(__xludf.DUMMYFUNCTION("""COMPUTED_VALUE"""),44651.0)</f>
        <v>44651</v>
      </c>
      <c r="G590" s="27">
        <f>IFERROR(__xludf.DUMMYFUNCTION("""COMPUTED_VALUE"""),16.666666666666664)</f>
        <v>16.66666667</v>
      </c>
      <c r="H590" s="128">
        <f>IFERROR(__xludf.DUMMYFUNCTION("""COMPUTED_VALUE"""),43676.0)</f>
        <v>43676</v>
      </c>
      <c r="I590" s="27">
        <f>IFERROR(__xludf.DUMMYFUNCTION("""COMPUTED_VALUE"""),1.2777777777777777)</f>
        <v>1.277777778</v>
      </c>
      <c r="J590" s="277">
        <f>IFERROR(__xludf.DUMMYFUNCTION("""COMPUTED_VALUE"""),79.0)</f>
        <v>79</v>
      </c>
      <c r="K590" s="29">
        <f>IFERROR(__xludf.DUMMYFUNCTION("""COMPUTED_VALUE"""),53.5)</f>
        <v>53.5</v>
      </c>
      <c r="L590" s="275" t="str">
        <f>IFERROR(__xludf.DUMMYFUNCTION("""COMPUTED_VALUE"""),"Sports")</f>
        <v>Sports</v>
      </c>
    </row>
    <row r="591" hidden="1">
      <c r="A591" s="278" t="str">
        <f>IFERROR(__xludf.DUMMYFUNCTION("""COMPUTED_VALUE"""),"Shadow Warrior 2")</f>
        <v>Shadow Warrior 2</v>
      </c>
      <c r="B591" s="20" t="str">
        <f>IFERROR(__xludf.DUMMYFUNCTION("""COMPUTED_VALUE"""),"Xbox / PC")</f>
        <v>Xbox / PC</v>
      </c>
      <c r="C591" s="20" t="str">
        <f>IFERROR(__xludf.DUMMYFUNCTION("""COMPUTED_VALUE"""),"Yes")</f>
        <v>Yes</v>
      </c>
      <c r="D591" s="21" t="str">
        <f>IFERROR(__xludf.DUMMYFUNCTION("""COMPUTED_VALUE"""),"Removed")</f>
        <v>Removed</v>
      </c>
      <c r="E591" s="279">
        <f>IFERROR(__xludf.DUMMYFUNCTION("""COMPUTED_VALUE"""),43454.0)</f>
        <v>43454</v>
      </c>
      <c r="F591" s="24">
        <f>IFERROR(__xludf.DUMMYFUNCTION("""COMPUTED_VALUE"""),44651.0)</f>
        <v>44651</v>
      </c>
      <c r="G591" s="27">
        <f>IFERROR(__xludf.DUMMYFUNCTION("""COMPUTED_VALUE"""),39.33333333333333)</f>
        <v>39.33333333</v>
      </c>
      <c r="H591" s="128">
        <f>IFERROR(__xludf.DUMMYFUNCTION("""COMPUTED_VALUE"""),42656.0)</f>
        <v>42656</v>
      </c>
      <c r="I591" s="27">
        <f>IFERROR(__xludf.DUMMYFUNCTION("""COMPUTED_VALUE"""),2.186111111111111)</f>
        <v>2.186111111</v>
      </c>
      <c r="J591" s="277">
        <f>IFERROR(__xludf.DUMMYFUNCTION("""COMPUTED_VALUE"""),78.0)</f>
        <v>78</v>
      </c>
      <c r="K591" s="277">
        <f>IFERROR(__xludf.DUMMYFUNCTION("""COMPUTED_VALUE"""),7.5)</f>
        <v>7.5</v>
      </c>
      <c r="L591" s="275" t="str">
        <f>IFERROR(__xludf.DUMMYFUNCTION("""COMPUTED_VALUE"""),"Shooter")</f>
        <v>Shooter</v>
      </c>
    </row>
    <row r="592" hidden="1">
      <c r="A592" s="278" t="str">
        <f>IFERROR(__xludf.DUMMYFUNCTION("""COMPUTED_VALUE"""),"Aragami")</f>
        <v>Aragami</v>
      </c>
      <c r="B592" s="20" t="str">
        <f>IFERROR(__xludf.DUMMYFUNCTION("""COMPUTED_VALUE"""),"PC")</f>
        <v>PC</v>
      </c>
      <c r="C592" s="20"/>
      <c r="D592" s="21" t="str">
        <f>IFERROR(__xludf.DUMMYFUNCTION("""COMPUTED_VALUE"""),"Removed")</f>
        <v>Removed</v>
      </c>
      <c r="E592" s="279">
        <f>IFERROR(__xludf.DUMMYFUNCTION("""COMPUTED_VALUE"""),44273.0)</f>
        <v>44273</v>
      </c>
      <c r="F592" s="24">
        <f>IFERROR(__xludf.DUMMYFUNCTION("""COMPUTED_VALUE"""),44648.0)</f>
        <v>44648</v>
      </c>
      <c r="G592" s="27">
        <f>IFERROR(__xludf.DUMMYFUNCTION("""COMPUTED_VALUE"""),12.333333333333332)</f>
        <v>12.33333333</v>
      </c>
      <c r="H592" s="128">
        <f>IFERROR(__xludf.DUMMYFUNCTION("""COMPUTED_VALUE"""),42647.0)</f>
        <v>42647</v>
      </c>
      <c r="I592" s="27">
        <f>IFERROR(__xludf.DUMMYFUNCTION("""COMPUTED_VALUE"""),4.455555555555556)</f>
        <v>4.455555556</v>
      </c>
      <c r="J592" s="277">
        <f>IFERROR(__xludf.DUMMYFUNCTION("""COMPUTED_VALUE"""),71.0)</f>
        <v>71</v>
      </c>
      <c r="K592" s="29">
        <f>IFERROR(__xludf.DUMMYFUNCTION("""COMPUTED_VALUE"""),6.5)</f>
        <v>6.5</v>
      </c>
      <c r="L592" s="275" t="str">
        <f>IFERROR(__xludf.DUMMYFUNCTION("""COMPUTED_VALUE"""),"Action")</f>
        <v>Action</v>
      </c>
    </row>
    <row r="593" hidden="1">
      <c r="A593" s="17" t="str">
        <f>IFERROR(__xludf.DUMMYFUNCTION("""COMPUTED_VALUE"""),"Lost Castle")</f>
        <v>Lost Castle</v>
      </c>
      <c r="B593" s="20" t="str">
        <f>IFERROR(__xludf.DUMMYFUNCTION("""COMPUTED_VALUE"""),"PC")</f>
        <v>PC</v>
      </c>
      <c r="C593" s="20"/>
      <c r="D593" s="21" t="str">
        <f>IFERROR(__xludf.DUMMYFUNCTION("""COMPUTED_VALUE"""),"Removed")</f>
        <v>Removed</v>
      </c>
      <c r="E593" s="23">
        <f>IFERROR(__xludf.DUMMYFUNCTION("""COMPUTED_VALUE"""),44273.0)</f>
        <v>44273</v>
      </c>
      <c r="F593" s="24">
        <f>IFERROR(__xludf.DUMMYFUNCTION("""COMPUTED_VALUE"""),44648.0)</f>
        <v>44648</v>
      </c>
      <c r="G593" s="27">
        <f>IFERROR(__xludf.DUMMYFUNCTION("""COMPUTED_VALUE"""),12.333333333333332)</f>
        <v>12.33333333</v>
      </c>
      <c r="H593" s="128">
        <f>IFERROR(__xludf.DUMMYFUNCTION("""COMPUTED_VALUE"""),43124.0)</f>
        <v>43124</v>
      </c>
      <c r="I593" s="27">
        <f>IFERROR(__xludf.DUMMYFUNCTION("""COMPUTED_VALUE"""),3.15)</f>
        <v>3.15</v>
      </c>
      <c r="J593" s="29">
        <f>IFERROR(__xludf.DUMMYFUNCTION("""COMPUTED_VALUE"""),65.0)</f>
        <v>65</v>
      </c>
      <c r="K593" s="29">
        <f>IFERROR(__xludf.DUMMYFUNCTION("""COMPUTED_VALUE"""),12.0)</f>
        <v>12</v>
      </c>
      <c r="L593" s="31" t="str">
        <f>IFERROR(__xludf.DUMMYFUNCTION("""COMPUTED_VALUE"""),"RPG")</f>
        <v>RPG</v>
      </c>
    </row>
    <row r="594" hidden="1">
      <c r="A594" s="17" t="str">
        <f>IFERROR(__xludf.DUMMYFUNCTION("""COMPUTED_VALUE"""),"The Sexy Brutale")</f>
        <v>The Sexy Brutale</v>
      </c>
      <c r="B594" s="20" t="str">
        <f>IFERROR(__xludf.DUMMYFUNCTION("""COMPUTED_VALUE"""),"PC")</f>
        <v>PC</v>
      </c>
      <c r="C594" s="20"/>
      <c r="D594" s="21" t="str">
        <f>IFERROR(__xludf.DUMMYFUNCTION("""COMPUTED_VALUE"""),"Removed")</f>
        <v>Removed</v>
      </c>
      <c r="E594" s="23">
        <f>IFERROR(__xludf.DUMMYFUNCTION("""COMPUTED_VALUE"""),44273.0)</f>
        <v>44273</v>
      </c>
      <c r="F594" s="24">
        <f>IFERROR(__xludf.DUMMYFUNCTION("""COMPUTED_VALUE"""),44648.0)</f>
        <v>44648</v>
      </c>
      <c r="G594" s="27">
        <f>IFERROR(__xludf.DUMMYFUNCTION("""COMPUTED_VALUE"""),12.333333333333332)</f>
        <v>12.33333333</v>
      </c>
      <c r="H594" s="128">
        <f>IFERROR(__xludf.DUMMYFUNCTION("""COMPUTED_VALUE"""),42836.0)</f>
        <v>42836</v>
      </c>
      <c r="I594" s="27">
        <f>IFERROR(__xludf.DUMMYFUNCTION("""COMPUTED_VALUE"""),3.936111111111111)</f>
        <v>3.936111111</v>
      </c>
      <c r="J594" s="29">
        <f>IFERROR(__xludf.DUMMYFUNCTION("""COMPUTED_VALUE"""),83.0)</f>
        <v>83</v>
      </c>
      <c r="K594" s="29">
        <f>IFERROR(__xludf.DUMMYFUNCTION("""COMPUTED_VALUE"""),6.0)</f>
        <v>6</v>
      </c>
      <c r="L594" s="31" t="str">
        <f>IFERROR(__xludf.DUMMYFUNCTION("""COMPUTED_VALUE"""),"Adventure")</f>
        <v>Adventure</v>
      </c>
    </row>
    <row r="595" hidden="1">
      <c r="A595" s="278" t="str">
        <f>IFERROR(__xludf.DUMMYFUNCTION("""COMPUTED_VALUE"""),"Torchlight III")</f>
        <v>Torchlight III</v>
      </c>
      <c r="B595" s="20" t="str">
        <f>IFERROR(__xludf.DUMMYFUNCTION("""COMPUTED_VALUE"""),"Xbox / PC")</f>
        <v>Xbox / PC</v>
      </c>
      <c r="C595" s="21" t="str">
        <f>IFERROR(__xludf.DUMMYFUNCTION("""COMPUTED_VALUE"""),"Touch Controls")</f>
        <v>Touch Controls</v>
      </c>
      <c r="D595" s="21" t="str">
        <f>IFERROR(__xludf.DUMMYFUNCTION("""COMPUTED_VALUE"""),"Removed")</f>
        <v>Removed</v>
      </c>
      <c r="E595" s="279">
        <f>IFERROR(__xludf.DUMMYFUNCTION("""COMPUTED_VALUE"""),44210.0)</f>
        <v>44210</v>
      </c>
      <c r="F595" s="24">
        <f>IFERROR(__xludf.DUMMYFUNCTION("""COMPUTED_VALUE"""),44635.0)</f>
        <v>44635</v>
      </c>
      <c r="G595" s="27">
        <f>IFERROR(__xludf.DUMMYFUNCTION("""COMPUTED_VALUE"""),14.033333333333335)</f>
        <v>14.03333333</v>
      </c>
      <c r="H595" s="128">
        <f>IFERROR(__xludf.DUMMYFUNCTION("""COMPUTED_VALUE"""),43995.0)</f>
        <v>43995</v>
      </c>
      <c r="I595" s="27">
        <f>IFERROR(__xludf.DUMMYFUNCTION("""COMPUTED_VALUE"""),0.5861111111111111)</f>
        <v>0.5861111111</v>
      </c>
      <c r="J595" s="277">
        <f>IFERROR(__xludf.DUMMYFUNCTION("""COMPUTED_VALUE"""),66.5)</f>
        <v>66.5</v>
      </c>
      <c r="K595" s="29">
        <f>IFERROR(__xludf.DUMMYFUNCTION("""COMPUTED_VALUE"""),15.5)</f>
        <v>15.5</v>
      </c>
      <c r="L595" s="275" t="str">
        <f>IFERROR(__xludf.DUMMYFUNCTION("""COMPUTED_VALUE"""),"RPG")</f>
        <v>RPG</v>
      </c>
    </row>
    <row r="596" hidden="1">
      <c r="A596" s="278" t="str">
        <f>IFERROR(__xludf.DUMMYFUNCTION("""COMPUTED_VALUE"""),"PHOGS!")</f>
        <v>PHOGS!</v>
      </c>
      <c r="B596" s="21" t="str">
        <f>IFERROR(__xludf.DUMMYFUNCTION("""COMPUTED_VALUE"""),"Xbox / PC")</f>
        <v>Xbox / PC</v>
      </c>
      <c r="C596" s="21" t="str">
        <f>IFERROR(__xludf.DUMMYFUNCTION("""COMPUTED_VALUE"""),"Yes")</f>
        <v>Yes</v>
      </c>
      <c r="D596" s="21" t="str">
        <f>IFERROR(__xludf.DUMMYFUNCTION("""COMPUTED_VALUE"""),"Removed")</f>
        <v>Removed</v>
      </c>
      <c r="E596" s="279">
        <f>IFERROR(__xludf.DUMMYFUNCTION("""COMPUTED_VALUE"""),44168.0)</f>
        <v>44168</v>
      </c>
      <c r="F596" s="24">
        <f>IFERROR(__xludf.DUMMYFUNCTION("""COMPUTED_VALUE"""),44635.0)</f>
        <v>44635</v>
      </c>
      <c r="G596" s="27">
        <f>IFERROR(__xludf.DUMMYFUNCTION("""COMPUTED_VALUE"""),15.400000000000002)</f>
        <v>15.4</v>
      </c>
      <c r="H596" s="128">
        <f>IFERROR(__xludf.DUMMYFUNCTION("""COMPUTED_VALUE"""),44168.0)</f>
        <v>44168</v>
      </c>
      <c r="I596" s="27">
        <f>IFERROR(__xludf.DUMMYFUNCTION("""COMPUTED_VALUE"""),0.0)</f>
        <v>0</v>
      </c>
      <c r="J596" s="29">
        <f>IFERROR(__xludf.DUMMYFUNCTION("""COMPUTED_VALUE"""),81.0)</f>
        <v>81</v>
      </c>
      <c r="K596" s="29">
        <f>IFERROR(__xludf.DUMMYFUNCTION("""COMPUTED_VALUE"""),7.5)</f>
        <v>7.5</v>
      </c>
      <c r="L596" s="31" t="str">
        <f>IFERROR(__xludf.DUMMYFUNCTION("""COMPUTED_VALUE"""),"Puzzle")</f>
        <v>Puzzle</v>
      </c>
    </row>
    <row r="597" hidden="1">
      <c r="A597" s="17" t="str">
        <f>IFERROR(__xludf.DUMMYFUNCTION("""COMPUTED_VALUE"""),"NieR Automata: Become as Gods Edition")</f>
        <v>NieR Automata: Become as Gods Edition</v>
      </c>
      <c r="B597" s="20" t="str">
        <f>IFERROR(__xludf.DUMMYFUNCTION("""COMPUTED_VALUE"""),"Xbox / PC")</f>
        <v>Xbox / PC</v>
      </c>
      <c r="C597" s="20" t="str">
        <f>IFERROR(__xludf.DUMMYFUNCTION("""COMPUTED_VALUE"""),"Touch Controls")</f>
        <v>Touch Controls</v>
      </c>
      <c r="D597" s="21" t="str">
        <f>IFERROR(__xludf.DUMMYFUNCTION("""COMPUTED_VALUE"""),"Removed")</f>
        <v>Removed</v>
      </c>
      <c r="E597" s="23">
        <f>IFERROR(__xludf.DUMMYFUNCTION("""COMPUTED_VALUE"""),43923.0)</f>
        <v>43923</v>
      </c>
      <c r="F597" s="24">
        <f>IFERROR(__xludf.DUMMYFUNCTION("""COMPUTED_VALUE"""),44635.0)</f>
        <v>44635</v>
      </c>
      <c r="G597" s="27">
        <f>IFERROR(__xludf.DUMMYFUNCTION("""COMPUTED_VALUE"""),23.433333333333334)</f>
        <v>23.43333333</v>
      </c>
      <c r="H597" s="128">
        <f>IFERROR(__xludf.DUMMYFUNCTION("""COMPUTED_VALUE"""),42789.0)</f>
        <v>42789</v>
      </c>
      <c r="I597" s="27">
        <f>IFERROR(__xludf.DUMMYFUNCTION("""COMPUTED_VALUE"""),3.1083333333333334)</f>
        <v>3.108333333</v>
      </c>
      <c r="J597" s="29">
        <f>IFERROR(__xludf.DUMMYFUNCTION("""COMPUTED_VALUE"""),90.0)</f>
        <v>90</v>
      </c>
      <c r="K597" s="29">
        <f>IFERROR(__xludf.DUMMYFUNCTION("""COMPUTED_VALUE"""),20.5)</f>
        <v>20.5</v>
      </c>
      <c r="L597" s="31" t="str">
        <f>IFERROR(__xludf.DUMMYFUNCTION("""COMPUTED_VALUE"""),"RPG")</f>
        <v>RPG</v>
      </c>
    </row>
    <row r="598" hidden="1">
      <c r="A598" s="17" t="str">
        <f>IFERROR(__xludf.DUMMYFUNCTION("""COMPUTED_VALUE"""),"The Surge 2")</f>
        <v>The Surge 2</v>
      </c>
      <c r="B598" s="20" t="str">
        <f>IFERROR(__xludf.DUMMYFUNCTION("""COMPUTED_VALUE"""),"Xbox / PC")</f>
        <v>Xbox / PC</v>
      </c>
      <c r="C598" s="20" t="str">
        <f>IFERROR(__xludf.DUMMYFUNCTION("""COMPUTED_VALUE"""),"Yes")</f>
        <v>Yes</v>
      </c>
      <c r="D598" s="21" t="str">
        <f>IFERROR(__xludf.DUMMYFUNCTION("""COMPUTED_VALUE"""),"Removed")</f>
        <v>Removed</v>
      </c>
      <c r="E598" s="23">
        <f>IFERROR(__xludf.DUMMYFUNCTION("""COMPUTED_VALUE"""),43909.0)</f>
        <v>43909</v>
      </c>
      <c r="F598" s="24">
        <f>IFERROR(__xludf.DUMMYFUNCTION("""COMPUTED_VALUE"""),44635.0)</f>
        <v>44635</v>
      </c>
      <c r="G598" s="27">
        <f>IFERROR(__xludf.DUMMYFUNCTION("""COMPUTED_VALUE"""),23.866666666666667)</f>
        <v>23.86666667</v>
      </c>
      <c r="H598" s="23">
        <f>IFERROR(__xludf.DUMMYFUNCTION("""COMPUTED_VALUE"""),43732.0)</f>
        <v>43732</v>
      </c>
      <c r="I598" s="27">
        <f>IFERROR(__xludf.DUMMYFUNCTION("""COMPUTED_VALUE"""),0.4861111111111111)</f>
        <v>0.4861111111</v>
      </c>
      <c r="J598" s="29">
        <f>IFERROR(__xludf.DUMMYFUNCTION("""COMPUTED_VALUE"""),78.0)</f>
        <v>78</v>
      </c>
      <c r="K598" s="29">
        <f>IFERROR(__xludf.DUMMYFUNCTION("""COMPUTED_VALUE"""),21.5)</f>
        <v>21.5</v>
      </c>
      <c r="L598" s="31" t="str">
        <f>IFERROR(__xludf.DUMMYFUNCTION("""COMPUTED_VALUE"""),"RPG")</f>
        <v>RPG</v>
      </c>
    </row>
    <row r="599" hidden="1">
      <c r="A599" s="278" t="str">
        <f>IFERROR(__xludf.DUMMYFUNCTION("""COMPUTED_VALUE"""),"Titanfall: Deluxe Edition")</f>
        <v>Titanfall: Deluxe Edition</v>
      </c>
      <c r="B599" s="20" t="str">
        <f>IFERROR(__xludf.DUMMYFUNCTION("""COMPUTED_VALUE"""),"Xbox / PC")</f>
        <v>Xbox / PC</v>
      </c>
      <c r="C599" s="20"/>
      <c r="D599" s="21" t="str">
        <f>IFERROR(__xludf.DUMMYFUNCTION("""COMPUTED_VALUE"""),"Removed")</f>
        <v>Removed</v>
      </c>
      <c r="E599" s="279">
        <f>IFERROR(__xludf.DUMMYFUNCTION("""COMPUTED_VALUE"""),44145.0)</f>
        <v>44145</v>
      </c>
      <c r="F599" s="24">
        <f>IFERROR(__xludf.DUMMYFUNCTION("""COMPUTED_VALUE"""),44621.0)</f>
        <v>44621</v>
      </c>
      <c r="G599" s="27">
        <f>IFERROR(__xludf.DUMMYFUNCTION("""COMPUTED_VALUE"""),15.7)</f>
        <v>15.7</v>
      </c>
      <c r="H599" s="128">
        <f>IFERROR(__xludf.DUMMYFUNCTION("""COMPUTED_VALUE"""),41709.0)</f>
        <v>41709</v>
      </c>
      <c r="I599" s="27">
        <f>IFERROR(__xludf.DUMMYFUNCTION("""COMPUTED_VALUE"""),6.663888888888889)</f>
        <v>6.663888889</v>
      </c>
      <c r="J599" s="277">
        <f>IFERROR(__xludf.DUMMYFUNCTION("""COMPUTED_VALUE"""),83.0)</f>
        <v>83</v>
      </c>
      <c r="K599" s="29">
        <f>IFERROR(__xludf.DUMMYFUNCTION("""COMPUTED_VALUE"""),12.0)</f>
        <v>12</v>
      </c>
      <c r="L599" s="275" t="str">
        <f>IFERROR(__xludf.DUMMYFUNCTION("""COMPUTED_VALUE"""),"Shooter")</f>
        <v>Shooter</v>
      </c>
    </row>
    <row r="600" hidden="1">
      <c r="A600" s="17" t="str">
        <f>IFERROR(__xludf.DUMMYFUNCTION("""COMPUTED_VALUE"""),"Killer Queen Black")</f>
        <v>Killer Queen Black</v>
      </c>
      <c r="B600" s="20" t="str">
        <f>IFERROR(__xludf.DUMMYFUNCTION("""COMPUTED_VALUE"""),"Xbox")</f>
        <v>Xbox</v>
      </c>
      <c r="C600" s="20" t="str">
        <f>IFERROR(__xludf.DUMMYFUNCTION("""COMPUTED_VALUE"""),"Touch Controls")</f>
        <v>Touch Controls</v>
      </c>
      <c r="D600" s="21" t="str">
        <f>IFERROR(__xludf.DUMMYFUNCTION("""COMPUTED_VALUE"""),"Removed")</f>
        <v>Removed</v>
      </c>
      <c r="E600" s="23">
        <f>IFERROR(__xludf.DUMMYFUNCTION("""COMPUTED_VALUE"""),44250.0)</f>
        <v>44250</v>
      </c>
      <c r="F600" s="24">
        <f>IFERROR(__xludf.DUMMYFUNCTION("""COMPUTED_VALUE"""),44620.0)</f>
        <v>44620</v>
      </c>
      <c r="G600" s="27">
        <f>IFERROR(__xludf.DUMMYFUNCTION("""COMPUTED_VALUE"""),12.166666666666666)</f>
        <v>12.16666667</v>
      </c>
      <c r="H600" s="128">
        <f>IFERROR(__xludf.DUMMYFUNCTION("""COMPUTED_VALUE"""),43749.0)</f>
        <v>43749</v>
      </c>
      <c r="I600" s="27">
        <f>IFERROR(__xludf.DUMMYFUNCTION("""COMPUTED_VALUE"""),1.3666666666666667)</f>
        <v>1.366666667</v>
      </c>
      <c r="J600" s="29">
        <f>IFERROR(__xludf.DUMMYFUNCTION("""COMPUTED_VALUE"""),83.0)</f>
        <v>83</v>
      </c>
      <c r="K600" s="29">
        <f>IFERROR(__xludf.DUMMYFUNCTION("""COMPUTED_VALUE"""),9.0)</f>
        <v>9</v>
      </c>
      <c r="L600" s="31" t="str">
        <f>IFERROR(__xludf.DUMMYFUNCTION("""COMPUTED_VALUE"""),"Platformer")</f>
        <v>Platformer</v>
      </c>
    </row>
    <row r="601" hidden="1">
      <c r="A601" s="17" t="str">
        <f>IFERROR(__xludf.DUMMYFUNCTION("""COMPUTED_VALUE"""),"Touhou Luna Nights")</f>
        <v>Touhou Luna Nights</v>
      </c>
      <c r="B601" s="20" t="str">
        <f>IFERROR(__xludf.DUMMYFUNCTION("""COMPUTED_VALUE"""),"Xbox / PC")</f>
        <v>Xbox / PC</v>
      </c>
      <c r="C601" s="20" t="str">
        <f>IFERROR(__xludf.DUMMYFUNCTION("""COMPUTED_VALUE"""),"Touch Controls")</f>
        <v>Touch Controls</v>
      </c>
      <c r="D601" s="21" t="str">
        <f>IFERROR(__xludf.DUMMYFUNCTION("""COMPUTED_VALUE"""),"Removed")</f>
        <v>Removed</v>
      </c>
      <c r="E601" s="128">
        <f>IFERROR(__xludf.DUMMYFUNCTION("""COMPUTED_VALUE"""),44077.0)</f>
        <v>44077</v>
      </c>
      <c r="F601" s="24">
        <f>IFERROR(__xludf.DUMMYFUNCTION("""COMPUTED_VALUE"""),44620.0)</f>
        <v>44620</v>
      </c>
      <c r="G601" s="27">
        <f>IFERROR(__xludf.DUMMYFUNCTION("""COMPUTED_VALUE"""),17.833333333333336)</f>
        <v>17.83333333</v>
      </c>
      <c r="H601" s="128">
        <f>IFERROR(__xludf.DUMMYFUNCTION("""COMPUTED_VALUE"""),43522.0)</f>
        <v>43522</v>
      </c>
      <c r="I601" s="27">
        <f>IFERROR(__xludf.DUMMYFUNCTION("""COMPUTED_VALUE"""),1.5194444444444444)</f>
        <v>1.519444444</v>
      </c>
      <c r="J601" s="29">
        <f>IFERROR(__xludf.DUMMYFUNCTION("""COMPUTED_VALUE"""),77.0)</f>
        <v>77</v>
      </c>
      <c r="K601" s="29">
        <f>IFERROR(__xludf.DUMMYFUNCTION("""COMPUTED_VALUE"""),5.0)</f>
        <v>5</v>
      </c>
      <c r="L601" s="31" t="str">
        <f>IFERROR(__xludf.DUMMYFUNCTION("""COMPUTED_VALUE"""),"Action")</f>
        <v>Action</v>
      </c>
    </row>
    <row r="602" hidden="1">
      <c r="A602" s="278" t="str">
        <f>IFERROR(__xludf.DUMMYFUNCTION("""COMPUTED_VALUE"""),"Kingdom Hearts III")</f>
        <v>Kingdom Hearts III</v>
      </c>
      <c r="B602" s="21" t="str">
        <f>IFERROR(__xludf.DUMMYFUNCTION("""COMPUTED_VALUE"""),"Xbox")</f>
        <v>Xbox</v>
      </c>
      <c r="C602" s="21"/>
      <c r="D602" s="21" t="str">
        <f>IFERROR(__xludf.DUMMYFUNCTION("""COMPUTED_VALUE"""),"Removed")</f>
        <v>Removed</v>
      </c>
      <c r="E602" s="279">
        <f>IFERROR(__xludf.DUMMYFUNCTION("""COMPUTED_VALUE"""),43886.0)</f>
        <v>43886</v>
      </c>
      <c r="F602" s="24">
        <f>IFERROR(__xludf.DUMMYFUNCTION("""COMPUTED_VALUE"""),44620.0)</f>
        <v>44620</v>
      </c>
      <c r="G602" s="27">
        <f>IFERROR(__xludf.DUMMYFUNCTION("""COMPUTED_VALUE"""),24.1)</f>
        <v>24.1</v>
      </c>
      <c r="H602" s="128">
        <f>IFERROR(__xludf.DUMMYFUNCTION("""COMPUTED_VALUE"""),43490.0)</f>
        <v>43490</v>
      </c>
      <c r="I602" s="27">
        <f>IFERROR(__xludf.DUMMYFUNCTION("""COMPUTED_VALUE"""),1.0833333333333333)</f>
        <v>1.083333333</v>
      </c>
      <c r="J602" s="277">
        <f>IFERROR(__xludf.DUMMYFUNCTION("""COMPUTED_VALUE"""),80.0)</f>
        <v>80</v>
      </c>
      <c r="K602" s="277">
        <f>IFERROR(__xludf.DUMMYFUNCTION("""COMPUTED_VALUE"""),29.0)</f>
        <v>29</v>
      </c>
      <c r="L602" s="275" t="str">
        <f>IFERROR(__xludf.DUMMYFUNCTION("""COMPUTED_VALUE"""),"RPG")</f>
        <v>RPG</v>
      </c>
    </row>
    <row r="603" hidden="1">
      <c r="A603" s="17" t="str">
        <f>IFERROR(__xludf.DUMMYFUNCTION("""COMPUTED_VALUE"""),"Stealth Inc 2: A Game of Clones")</f>
        <v>Stealth Inc 2: A Game of Clones</v>
      </c>
      <c r="B603" s="20" t="str">
        <f>IFERROR(__xludf.DUMMYFUNCTION("""COMPUTED_VALUE"""),"Xbox")</f>
        <v>Xbox</v>
      </c>
      <c r="C603" s="20" t="str">
        <f>IFERROR(__xludf.DUMMYFUNCTION("""COMPUTED_VALUE"""),"Yes")</f>
        <v>Yes</v>
      </c>
      <c r="D603" s="21" t="str">
        <f>IFERROR(__xludf.DUMMYFUNCTION("""COMPUTED_VALUE"""),"Removed")</f>
        <v>Removed</v>
      </c>
      <c r="E603" s="128">
        <f>IFERROR(__xludf.DUMMYFUNCTION("""COMPUTED_VALUE"""),43625.0)</f>
        <v>43625</v>
      </c>
      <c r="F603" s="24">
        <f>IFERROR(__xludf.DUMMYFUNCTION("""COMPUTED_VALUE"""),44620.0)</f>
        <v>44620</v>
      </c>
      <c r="G603" s="27">
        <f>IFERROR(__xludf.DUMMYFUNCTION("""COMPUTED_VALUE"""),32.63333333333333)</f>
        <v>32.63333333</v>
      </c>
      <c r="H603" s="128">
        <f>IFERROR(__xludf.DUMMYFUNCTION("""COMPUTED_VALUE"""),41942.0)</f>
        <v>41942</v>
      </c>
      <c r="I603" s="27">
        <f>IFERROR(__xludf.DUMMYFUNCTION("""COMPUTED_VALUE"""),4.608333333333333)</f>
        <v>4.608333333</v>
      </c>
      <c r="J603" s="29">
        <f>IFERROR(__xludf.DUMMYFUNCTION("""COMPUTED_VALUE"""),77.0)</f>
        <v>77</v>
      </c>
      <c r="K603" s="29">
        <f>IFERROR(__xludf.DUMMYFUNCTION("""COMPUTED_VALUE"""),9.0)</f>
        <v>9</v>
      </c>
      <c r="L603" s="31" t="str">
        <f>IFERROR(__xludf.DUMMYFUNCTION("""COMPUTED_VALUE"""),"Platformer")</f>
        <v>Platformer</v>
      </c>
    </row>
    <row r="604" hidden="1">
      <c r="A604" s="17" t="str">
        <f>IFERROR(__xludf.DUMMYFUNCTION("""COMPUTED_VALUE"""),"Final Fantasy XII: The Zodiac Age")</f>
        <v>Final Fantasy XII: The Zodiac Age</v>
      </c>
      <c r="B604" s="20" t="str">
        <f>IFERROR(__xludf.DUMMYFUNCTION("""COMPUTED_VALUE"""),"Xbox / PC")</f>
        <v>Xbox / PC</v>
      </c>
      <c r="C604" s="20"/>
      <c r="D604" s="21" t="str">
        <f>IFERROR(__xludf.DUMMYFUNCTION("""COMPUTED_VALUE"""),"Removed")</f>
        <v>Removed</v>
      </c>
      <c r="E604" s="128">
        <f>IFERROR(__xludf.DUMMYFUNCTION("""COMPUTED_VALUE"""),44238.0)</f>
        <v>44238</v>
      </c>
      <c r="F604" s="24">
        <f>IFERROR(__xludf.DUMMYFUNCTION("""COMPUTED_VALUE"""),44607.0)</f>
        <v>44607</v>
      </c>
      <c r="G604" s="27">
        <f>IFERROR(__xludf.DUMMYFUNCTION("""COMPUTED_VALUE"""),12.133333333333333)</f>
        <v>12.13333333</v>
      </c>
      <c r="H604" s="128">
        <f>IFERROR(__xludf.DUMMYFUNCTION("""COMPUTED_VALUE"""),42927.0)</f>
        <v>42927</v>
      </c>
      <c r="I604" s="27">
        <f>IFERROR(__xludf.DUMMYFUNCTION("""COMPUTED_VALUE"""),3.5833333333333335)</f>
        <v>3.583333333</v>
      </c>
      <c r="J604" s="29">
        <f>IFERROR(__xludf.DUMMYFUNCTION("""COMPUTED_VALUE"""),81.5)</f>
        <v>81.5</v>
      </c>
      <c r="K604" s="29">
        <f>IFERROR(__xludf.DUMMYFUNCTION("""COMPUTED_VALUE"""),40.5)</f>
        <v>40.5</v>
      </c>
      <c r="L604" s="31" t="str">
        <f>IFERROR(__xludf.DUMMYFUNCTION("""COMPUTED_VALUE"""),"RPG")</f>
        <v>RPG</v>
      </c>
    </row>
    <row r="605" hidden="1">
      <c r="A605" s="278" t="str">
        <f>IFERROR(__xludf.DUMMYFUNCTION("""COMPUTED_VALUE"""),"Project Winter")</f>
        <v>Project Winter</v>
      </c>
      <c r="B605" s="20" t="str">
        <f>IFERROR(__xludf.DUMMYFUNCTION("""COMPUTED_VALUE"""),"Xbox / PC")</f>
        <v>Xbox / PC</v>
      </c>
      <c r="C605" s="20" t="str">
        <f>IFERROR(__xludf.DUMMYFUNCTION("""COMPUTED_VALUE"""),"Touch Controls")</f>
        <v>Touch Controls</v>
      </c>
      <c r="D605" s="21" t="str">
        <f>IFERROR(__xludf.DUMMYFUNCTION("""COMPUTED_VALUE"""),"Removed")</f>
        <v>Removed</v>
      </c>
      <c r="E605" s="279">
        <f>IFERROR(__xludf.DUMMYFUNCTION("""COMPUTED_VALUE"""),44231.0)</f>
        <v>44231</v>
      </c>
      <c r="F605" s="24">
        <f>IFERROR(__xludf.DUMMYFUNCTION("""COMPUTED_VALUE"""),44607.0)</f>
        <v>44607</v>
      </c>
      <c r="G605" s="27">
        <f>IFERROR(__xludf.DUMMYFUNCTION("""COMPUTED_VALUE"""),12.366666666666665)</f>
        <v>12.36666667</v>
      </c>
      <c r="H605" s="128">
        <f>IFERROR(__xludf.DUMMYFUNCTION("""COMPUTED_VALUE"""),43503.0)</f>
        <v>43503</v>
      </c>
      <c r="I605" s="27">
        <f>IFERROR(__xludf.DUMMYFUNCTION("""COMPUTED_VALUE"""),1.9916666666666667)</f>
        <v>1.991666667</v>
      </c>
      <c r="J605" s="277">
        <f>IFERROR(__xludf.DUMMYFUNCTION("""COMPUTED_VALUE"""),75.0)</f>
        <v>75</v>
      </c>
      <c r="K605" s="29">
        <f>IFERROR(__xludf.DUMMYFUNCTION("""COMPUTED_VALUE"""),9.5)</f>
        <v>9.5</v>
      </c>
      <c r="L605" s="275" t="str">
        <f>IFERROR(__xludf.DUMMYFUNCTION("""COMPUTED_VALUE"""),"Strategy")</f>
        <v>Strategy</v>
      </c>
    </row>
    <row r="606" hidden="1">
      <c r="A606" s="278" t="str">
        <f>IFERROR(__xludf.DUMMYFUNCTION("""COMPUTED_VALUE"""),"The Falconeer")</f>
        <v>The Falconeer</v>
      </c>
      <c r="B606" s="20" t="str">
        <f>IFERROR(__xludf.DUMMYFUNCTION("""COMPUTED_VALUE"""),"Xbox / PC")</f>
        <v>Xbox / PC</v>
      </c>
      <c r="C606" s="20" t="str">
        <f>IFERROR(__xludf.DUMMYFUNCTION("""COMPUTED_VALUE"""),"Yes")</f>
        <v>Yes</v>
      </c>
      <c r="D606" s="21" t="str">
        <f>IFERROR(__xludf.DUMMYFUNCTION("""COMPUTED_VALUE"""),"Removed")</f>
        <v>Removed</v>
      </c>
      <c r="E606" s="279">
        <f>IFERROR(__xludf.DUMMYFUNCTION("""COMPUTED_VALUE"""),44231.0)</f>
        <v>44231</v>
      </c>
      <c r="F606" s="24">
        <f>IFERROR(__xludf.DUMMYFUNCTION("""COMPUTED_VALUE"""),44607.0)</f>
        <v>44607</v>
      </c>
      <c r="G606" s="27">
        <f>IFERROR(__xludf.DUMMYFUNCTION("""COMPUTED_VALUE"""),12.366666666666665)</f>
        <v>12.36666667</v>
      </c>
      <c r="H606" s="128">
        <f>IFERROR(__xludf.DUMMYFUNCTION("""COMPUTED_VALUE"""),44145.0)</f>
        <v>44145</v>
      </c>
      <c r="I606" s="27">
        <f>IFERROR(__xludf.DUMMYFUNCTION("""COMPUTED_VALUE"""),0.23333333333333334)</f>
        <v>0.2333333333</v>
      </c>
      <c r="J606" s="277">
        <f>IFERROR(__xludf.DUMMYFUNCTION("""COMPUTED_VALUE"""),64.5)</f>
        <v>64.5</v>
      </c>
      <c r="K606" s="29">
        <f>IFERROR(__xludf.DUMMYFUNCTION("""COMPUTED_VALUE"""),10.0)</f>
        <v>10</v>
      </c>
      <c r="L606" s="275" t="str">
        <f>IFERROR(__xludf.DUMMYFUNCTION("""COMPUTED_VALUE"""),"Action-Adventure")</f>
        <v>Action-Adventure</v>
      </c>
    </row>
    <row r="607" hidden="1">
      <c r="A607" s="278" t="str">
        <f>IFERROR(__xludf.DUMMYFUNCTION("""COMPUTED_VALUE"""),"The Medium")</f>
        <v>The Medium</v>
      </c>
      <c r="B607" s="20" t="str">
        <f>IFERROR(__xludf.DUMMYFUNCTION("""COMPUTED_VALUE"""),"Xbox / PC")</f>
        <v>Xbox / PC</v>
      </c>
      <c r="C607" s="20" t="str">
        <f>IFERROR(__xludf.DUMMYFUNCTION("""COMPUTED_VALUE"""),"Touch Controls")</f>
        <v>Touch Controls</v>
      </c>
      <c r="D607" s="21" t="str">
        <f>IFERROR(__xludf.DUMMYFUNCTION("""COMPUTED_VALUE"""),"Removed")</f>
        <v>Removed</v>
      </c>
      <c r="E607" s="279">
        <f>IFERROR(__xludf.DUMMYFUNCTION("""COMPUTED_VALUE"""),44224.0)</f>
        <v>44224</v>
      </c>
      <c r="F607" s="24">
        <f>IFERROR(__xludf.DUMMYFUNCTION("""COMPUTED_VALUE"""),44607.0)</f>
        <v>44607</v>
      </c>
      <c r="G607" s="27">
        <f>IFERROR(__xludf.DUMMYFUNCTION("""COMPUTED_VALUE"""),12.566666666666666)</f>
        <v>12.56666667</v>
      </c>
      <c r="H607" s="128">
        <f>IFERROR(__xludf.DUMMYFUNCTION("""COMPUTED_VALUE"""),44224.0)</f>
        <v>44224</v>
      </c>
      <c r="I607" s="27">
        <f>IFERROR(__xludf.DUMMYFUNCTION("""COMPUTED_VALUE"""),0.0)</f>
        <v>0</v>
      </c>
      <c r="J607" s="277">
        <f>IFERROR(__xludf.DUMMYFUNCTION("""COMPUTED_VALUE"""),73.5)</f>
        <v>73.5</v>
      </c>
      <c r="K607" s="29">
        <f>IFERROR(__xludf.DUMMYFUNCTION("""COMPUTED_VALUE"""),7.5)</f>
        <v>7.5</v>
      </c>
      <c r="L607" s="275" t="str">
        <f>IFERROR(__xludf.DUMMYFUNCTION("""COMPUTED_VALUE"""),"Adventure")</f>
        <v>Adventure</v>
      </c>
    </row>
    <row r="608" hidden="1">
      <c r="A608" s="278" t="str">
        <f>IFERROR(__xludf.DUMMYFUNCTION("""COMPUTED_VALUE"""),"Code Vein")</f>
        <v>Code Vein</v>
      </c>
      <c r="B608" s="20" t="str">
        <f>IFERROR(__xludf.DUMMYFUNCTION("""COMPUTED_VALUE"""),"Xbox / PC")</f>
        <v>Xbox / PC</v>
      </c>
      <c r="C608" s="21" t="str">
        <f>IFERROR(__xludf.DUMMYFUNCTION("""COMPUTED_VALUE"""),"Yes")</f>
        <v>Yes</v>
      </c>
      <c r="D608" s="21" t="str">
        <f>IFERROR(__xludf.DUMMYFUNCTION("""COMPUTED_VALUE"""),"Removed")</f>
        <v>Removed</v>
      </c>
      <c r="E608" s="279">
        <f>IFERROR(__xludf.DUMMYFUNCTION("""COMPUTED_VALUE"""),44182.0)</f>
        <v>44182</v>
      </c>
      <c r="F608" s="24">
        <f>IFERROR(__xludf.DUMMYFUNCTION("""COMPUTED_VALUE"""),44607.0)</f>
        <v>44607</v>
      </c>
      <c r="G608" s="27">
        <f>IFERROR(__xludf.DUMMYFUNCTION("""COMPUTED_VALUE"""),13.933333333333334)</f>
        <v>13.93333333</v>
      </c>
      <c r="H608" s="128">
        <f>IFERROR(__xludf.DUMMYFUNCTION("""COMPUTED_VALUE"""),43734.0)</f>
        <v>43734</v>
      </c>
      <c r="I608" s="27">
        <f>IFERROR(__xludf.DUMMYFUNCTION("""COMPUTED_VALUE"""),1.225)</f>
        <v>1.225</v>
      </c>
      <c r="J608" s="277">
        <f>IFERROR(__xludf.DUMMYFUNCTION("""COMPUTED_VALUE"""),75.0)</f>
        <v>75</v>
      </c>
      <c r="K608" s="29">
        <f>IFERROR(__xludf.DUMMYFUNCTION("""COMPUTED_VALUE"""),25.0)</f>
        <v>25</v>
      </c>
      <c r="L608" s="275" t="str">
        <f>IFERROR(__xludf.DUMMYFUNCTION("""COMPUTED_VALUE"""),"RPG")</f>
        <v>RPG</v>
      </c>
    </row>
    <row r="609" hidden="1">
      <c r="A609" s="17" t="str">
        <f>IFERROR(__xludf.DUMMYFUNCTION("""COMPUTED_VALUE"""),"Control")</f>
        <v>Control</v>
      </c>
      <c r="B609" s="20" t="str">
        <f>IFERROR(__xludf.DUMMYFUNCTION("""COMPUTED_VALUE"""),"Xbox / PC")</f>
        <v>Xbox / PC</v>
      </c>
      <c r="C609" s="20" t="str">
        <f>IFERROR(__xludf.DUMMYFUNCTION("""COMPUTED_VALUE"""),"Yes")</f>
        <v>Yes</v>
      </c>
      <c r="D609" s="21" t="str">
        <f>IFERROR(__xludf.DUMMYFUNCTION("""COMPUTED_VALUE"""),"Removed")</f>
        <v>Removed</v>
      </c>
      <c r="E609" s="128">
        <f>IFERROR(__xludf.DUMMYFUNCTION("""COMPUTED_VALUE"""),44168.0)</f>
        <v>44168</v>
      </c>
      <c r="F609" s="24">
        <f>IFERROR(__xludf.DUMMYFUNCTION("""COMPUTED_VALUE"""),44607.0)</f>
        <v>44607</v>
      </c>
      <c r="G609" s="27">
        <f>IFERROR(__xludf.DUMMYFUNCTION("""COMPUTED_VALUE"""),14.399999999999999)</f>
        <v>14.4</v>
      </c>
      <c r="H609" s="128">
        <f>IFERROR(__xludf.DUMMYFUNCTION("""COMPUTED_VALUE"""),43704.0)</f>
        <v>43704</v>
      </c>
      <c r="I609" s="27">
        <f>IFERROR(__xludf.DUMMYFUNCTION("""COMPUTED_VALUE"""),1.2666666666666666)</f>
        <v>1.266666667</v>
      </c>
      <c r="J609" s="29">
        <f>IFERROR(__xludf.DUMMYFUNCTION("""COMPUTED_VALUE"""),84.0)</f>
        <v>84</v>
      </c>
      <c r="K609" s="29">
        <f>IFERROR(__xludf.DUMMYFUNCTION("""COMPUTED_VALUE"""),11.5)</f>
        <v>11.5</v>
      </c>
      <c r="L609" s="31" t="str">
        <f>IFERROR(__xludf.DUMMYFUNCTION("""COMPUTED_VALUE"""),"Shooter")</f>
        <v>Shooter</v>
      </c>
    </row>
    <row r="610" hidden="1">
      <c r="A610" s="278" t="str">
        <f>IFERROR(__xludf.DUMMYFUNCTION("""COMPUTED_VALUE"""),"Furi")</f>
        <v>Furi</v>
      </c>
      <c r="B610" s="20" t="str">
        <f>IFERROR(__xludf.DUMMYFUNCTION("""COMPUTED_VALUE"""),"PC")</f>
        <v>PC</v>
      </c>
      <c r="C610" s="20"/>
      <c r="D610" s="21" t="str">
        <f>IFERROR(__xludf.DUMMYFUNCTION("""COMPUTED_VALUE"""),"Removed")</f>
        <v>Removed</v>
      </c>
      <c r="E610" s="279">
        <f>IFERROR(__xludf.DUMMYFUNCTION("""COMPUTED_VALUE"""),44273.0)</f>
        <v>44273</v>
      </c>
      <c r="F610" s="24">
        <f>IFERROR(__xludf.DUMMYFUNCTION("""COMPUTED_VALUE"""),44602.0)</f>
        <v>44602</v>
      </c>
      <c r="G610" s="27">
        <f>IFERROR(__xludf.DUMMYFUNCTION("""COMPUTED_VALUE"""),10.733333333333334)</f>
        <v>10.73333333</v>
      </c>
      <c r="H610" s="128">
        <f>IFERROR(__xludf.DUMMYFUNCTION("""COMPUTED_VALUE"""),42556.0)</f>
        <v>42556</v>
      </c>
      <c r="I610" s="27">
        <f>IFERROR(__xludf.DUMMYFUNCTION("""COMPUTED_VALUE"""),4.7027777777777775)</f>
        <v>4.702777778</v>
      </c>
      <c r="J610" s="277">
        <f>IFERROR(__xludf.DUMMYFUNCTION("""COMPUTED_VALUE"""),76.0)</f>
        <v>76</v>
      </c>
      <c r="K610" s="29">
        <f>IFERROR(__xludf.DUMMYFUNCTION("""COMPUTED_VALUE"""),5.5)</f>
        <v>5.5</v>
      </c>
      <c r="L610" s="275" t="str">
        <f>IFERROR(__xludf.DUMMYFUNCTION("""COMPUTED_VALUE"""),"Shooter")</f>
        <v>Shooter</v>
      </c>
    </row>
    <row r="611" hidden="1">
      <c r="A611" s="17" t="str">
        <f>IFERROR(__xludf.DUMMYFUNCTION("""COMPUTED_VALUE"""),"Prison Architect")</f>
        <v>Prison Architect</v>
      </c>
      <c r="B611" s="20" t="str">
        <f>IFERROR(__xludf.DUMMYFUNCTION("""COMPUTED_VALUE"""),"PC")</f>
        <v>PC</v>
      </c>
      <c r="C611" s="20"/>
      <c r="D611" s="21" t="str">
        <f>IFERROR(__xludf.DUMMYFUNCTION("""COMPUTED_VALUE"""),"Removed")</f>
        <v>Removed</v>
      </c>
      <c r="E611" s="23">
        <f>IFERROR(__xludf.DUMMYFUNCTION("""COMPUTED_VALUE"""),44224.0)</f>
        <v>44224</v>
      </c>
      <c r="F611" s="24">
        <f>IFERROR(__xludf.DUMMYFUNCTION("""COMPUTED_VALUE"""),44592.0)</f>
        <v>44592</v>
      </c>
      <c r="G611" s="27">
        <f>IFERROR(__xludf.DUMMYFUNCTION("""COMPUTED_VALUE"""),12.066666666666666)</f>
        <v>12.06666667</v>
      </c>
      <c r="H611" s="128">
        <f>IFERROR(__xludf.DUMMYFUNCTION("""COMPUTED_VALUE"""),42283.0)</f>
        <v>42283</v>
      </c>
      <c r="I611" s="27">
        <f>IFERROR(__xludf.DUMMYFUNCTION("""COMPUTED_VALUE"""),5.311111111111111)</f>
        <v>5.311111111</v>
      </c>
      <c r="J611" s="29">
        <f>IFERROR(__xludf.DUMMYFUNCTION("""COMPUTED_VALUE"""),83.0)</f>
        <v>83</v>
      </c>
      <c r="K611" s="29">
        <f>IFERROR(__xludf.DUMMYFUNCTION("""COMPUTED_VALUE"""),15.5)</f>
        <v>15.5</v>
      </c>
      <c r="L611" s="275" t="str">
        <f>IFERROR(__xludf.DUMMYFUNCTION("""COMPUTED_VALUE"""),"Simulation")</f>
        <v>Simulation</v>
      </c>
    </row>
    <row r="612" hidden="1">
      <c r="A612" s="278" t="str">
        <f>IFERROR(__xludf.DUMMYFUNCTION("""COMPUTED_VALUE"""),"Cyber Shadow")</f>
        <v>Cyber Shadow</v>
      </c>
      <c r="B612" s="20" t="str">
        <f>IFERROR(__xludf.DUMMYFUNCTION("""COMPUTED_VALUE"""),"Xbox / PC")</f>
        <v>Xbox / PC</v>
      </c>
      <c r="C612" s="20" t="str">
        <f>IFERROR(__xludf.DUMMYFUNCTION("""COMPUTED_VALUE"""),"Yes")</f>
        <v>Yes</v>
      </c>
      <c r="D612" s="21" t="str">
        <f>IFERROR(__xludf.DUMMYFUNCTION("""COMPUTED_VALUE"""),"Removed")</f>
        <v>Removed</v>
      </c>
      <c r="E612" s="279">
        <f>IFERROR(__xludf.DUMMYFUNCTION("""COMPUTED_VALUE"""),44222.0)</f>
        <v>44222</v>
      </c>
      <c r="F612" s="24">
        <f>IFERROR(__xludf.DUMMYFUNCTION("""COMPUTED_VALUE"""),44592.0)</f>
        <v>44592</v>
      </c>
      <c r="G612" s="27">
        <f>IFERROR(__xludf.DUMMYFUNCTION("""COMPUTED_VALUE"""),12.133333333333333)</f>
        <v>12.13333333</v>
      </c>
      <c r="H612" s="128">
        <f>IFERROR(__xludf.DUMMYFUNCTION("""COMPUTED_VALUE"""),44222.0)</f>
        <v>44222</v>
      </c>
      <c r="I612" s="27">
        <f>IFERROR(__xludf.DUMMYFUNCTION("""COMPUTED_VALUE"""),0.0)</f>
        <v>0</v>
      </c>
      <c r="J612" s="277">
        <f>IFERROR(__xludf.DUMMYFUNCTION("""COMPUTED_VALUE"""),82.5)</f>
        <v>82.5</v>
      </c>
      <c r="K612" s="29">
        <f>IFERROR(__xludf.DUMMYFUNCTION("""COMPUTED_VALUE"""),7.5)</f>
        <v>7.5</v>
      </c>
      <c r="L612" s="275" t="str">
        <f>IFERROR(__xludf.DUMMYFUNCTION("""COMPUTED_VALUE"""),"Platformer")</f>
        <v>Platformer</v>
      </c>
    </row>
    <row r="613" hidden="1">
      <c r="A613" s="278" t="str">
        <f>IFERROR(__xludf.DUMMYFUNCTION("""COMPUTED_VALUE"""),"Xeno Crisis")</f>
        <v>Xeno Crisis</v>
      </c>
      <c r="B613" s="20" t="str">
        <f>IFERROR(__xludf.DUMMYFUNCTION("""COMPUTED_VALUE"""),"Xbox / PC")</f>
        <v>Xbox / PC</v>
      </c>
      <c r="C613" s="20" t="str">
        <f>IFERROR(__xludf.DUMMYFUNCTION("""COMPUTED_VALUE"""),"Touch Controls")</f>
        <v>Touch Controls</v>
      </c>
      <c r="D613" s="21" t="str">
        <f>IFERROR(__xludf.DUMMYFUNCTION("""COMPUTED_VALUE"""),"Removed")</f>
        <v>Removed</v>
      </c>
      <c r="E613" s="279">
        <f>IFERROR(__xludf.DUMMYFUNCTION("""COMPUTED_VALUE"""),44049.0)</f>
        <v>44049</v>
      </c>
      <c r="F613" s="24">
        <f>IFERROR(__xludf.DUMMYFUNCTION("""COMPUTED_VALUE"""),44592.0)</f>
        <v>44592</v>
      </c>
      <c r="G613" s="27">
        <f>IFERROR(__xludf.DUMMYFUNCTION("""COMPUTED_VALUE"""),17.8)</f>
        <v>17.8</v>
      </c>
      <c r="H613" s="128">
        <f>IFERROR(__xludf.DUMMYFUNCTION("""COMPUTED_VALUE"""),43766.0)</f>
        <v>43766</v>
      </c>
      <c r="I613" s="27">
        <f>IFERROR(__xludf.DUMMYFUNCTION("""COMPUTED_VALUE"""),0.7722222222222223)</f>
        <v>0.7722222222</v>
      </c>
      <c r="J613" s="277">
        <f>IFERROR(__xludf.DUMMYFUNCTION("""COMPUTED_VALUE"""),74.0)</f>
        <v>74</v>
      </c>
      <c r="K613" s="29">
        <f>IFERROR(__xludf.DUMMYFUNCTION("""COMPUTED_VALUE"""),5.0)</f>
        <v>5</v>
      </c>
      <c r="L613" s="275" t="str">
        <f>IFERROR(__xludf.DUMMYFUNCTION("""COMPUTED_VALUE"""),"Shooter")</f>
        <v>Shooter</v>
      </c>
    </row>
    <row r="614" hidden="1">
      <c r="A614" s="17" t="str">
        <f>IFERROR(__xludf.DUMMYFUNCTION("""COMPUTED_VALUE"""),"Nowhere Prophet")</f>
        <v>Nowhere Prophet</v>
      </c>
      <c r="B614" s="20" t="str">
        <f>IFERROR(__xludf.DUMMYFUNCTION("""COMPUTED_VALUE"""),"Xbox / PC")</f>
        <v>Xbox / PC</v>
      </c>
      <c r="C614" s="20" t="str">
        <f>IFERROR(__xludf.DUMMYFUNCTION("""COMPUTED_VALUE"""),"Touch Controls")</f>
        <v>Touch Controls</v>
      </c>
      <c r="D614" s="21" t="str">
        <f>IFERROR(__xludf.DUMMYFUNCTION("""COMPUTED_VALUE"""),"Removed")</f>
        <v>Removed</v>
      </c>
      <c r="E614" s="127">
        <f>IFERROR(__xludf.DUMMYFUNCTION("""COMPUTED_VALUE"""),44041.0)</f>
        <v>44041</v>
      </c>
      <c r="F614" s="24">
        <f>IFERROR(__xludf.DUMMYFUNCTION("""COMPUTED_VALUE"""),44592.0)</f>
        <v>44592</v>
      </c>
      <c r="G614" s="27">
        <f>IFERROR(__xludf.DUMMYFUNCTION("""COMPUTED_VALUE"""),18.03333333333333)</f>
        <v>18.03333333</v>
      </c>
      <c r="H614" s="128">
        <f>IFERROR(__xludf.DUMMYFUNCTION("""COMPUTED_VALUE"""),43018.0)</f>
        <v>43018</v>
      </c>
      <c r="I614" s="27">
        <f>IFERROR(__xludf.DUMMYFUNCTION("""COMPUTED_VALUE"""),2.8027777777777776)</f>
        <v>2.802777778</v>
      </c>
      <c r="J614" s="29">
        <f>IFERROR(__xludf.DUMMYFUNCTION("""COMPUTED_VALUE"""),73.0)</f>
        <v>73</v>
      </c>
      <c r="K614" s="29">
        <f>IFERROR(__xludf.DUMMYFUNCTION("""COMPUTED_VALUE"""),12.0)</f>
        <v>12</v>
      </c>
      <c r="L614" s="31" t="str">
        <f>IFERROR(__xludf.DUMMYFUNCTION("""COMPUTED_VALUE"""),"Strategy")</f>
        <v>Strategy</v>
      </c>
    </row>
    <row r="615" hidden="1">
      <c r="A615" s="17" t="str">
        <f>IFERROR(__xludf.DUMMYFUNCTION("""COMPUTED_VALUE"""),"LEGRAND LEGACY: Tale of the Fatebounds")</f>
        <v>LEGRAND LEGACY: Tale of the Fatebounds</v>
      </c>
      <c r="B615" s="20" t="str">
        <f>IFERROR(__xludf.DUMMYFUNCTION("""COMPUTED_VALUE"""),"PC")</f>
        <v>PC</v>
      </c>
      <c r="C615" s="20"/>
      <c r="D615" s="21" t="str">
        <f>IFERROR(__xludf.DUMMYFUNCTION("""COMPUTED_VALUE"""),"Removed")</f>
        <v>Removed</v>
      </c>
      <c r="E615" s="279">
        <f>IFERROR(__xludf.DUMMYFUNCTION("""COMPUTED_VALUE"""),44273.0)</f>
        <v>44273</v>
      </c>
      <c r="F615" s="24">
        <f>IFERROR(__xludf.DUMMYFUNCTION("""COMPUTED_VALUE"""),44578.0)</f>
        <v>44578</v>
      </c>
      <c r="G615" s="27">
        <f>IFERROR(__xludf.DUMMYFUNCTION("""COMPUTED_VALUE"""),9.966666666666667)</f>
        <v>9.966666667</v>
      </c>
      <c r="H615" s="128">
        <f>IFERROR(__xludf.DUMMYFUNCTION("""COMPUTED_VALUE"""),43124.0)</f>
        <v>43124</v>
      </c>
      <c r="I615" s="27">
        <f>IFERROR(__xludf.DUMMYFUNCTION("""COMPUTED_VALUE"""),3.15)</f>
        <v>3.15</v>
      </c>
      <c r="J615" s="29">
        <f>IFERROR(__xludf.DUMMYFUNCTION("""COMPUTED_VALUE"""),67.0)</f>
        <v>67</v>
      </c>
      <c r="K615" s="29">
        <f>IFERROR(__xludf.DUMMYFUNCTION("""COMPUTED_VALUE"""),43.5)</f>
        <v>43.5</v>
      </c>
      <c r="L615" s="275" t="str">
        <f>IFERROR(__xludf.DUMMYFUNCTION("""COMPUTED_VALUE"""),"RPG")</f>
        <v>RPG</v>
      </c>
    </row>
    <row r="616" hidden="1">
      <c r="A616" s="17" t="str">
        <f>IFERROR(__xludf.DUMMYFUNCTION("""COMPUTED_VALUE"""),"This War of Mine")</f>
        <v>This War of Mine</v>
      </c>
      <c r="B616" s="20" t="str">
        <f>IFERROR(__xludf.DUMMYFUNCTION("""COMPUTED_VALUE"""),"PC")</f>
        <v>PC</v>
      </c>
      <c r="C616" s="20"/>
      <c r="D616" s="21" t="str">
        <f>IFERROR(__xludf.DUMMYFUNCTION("""COMPUTED_VALUE"""),"Removed")</f>
        <v>Removed</v>
      </c>
      <c r="E616" s="128">
        <f>IFERROR(__xludf.DUMMYFUNCTION("""COMPUTED_VALUE"""),44273.0)</f>
        <v>44273</v>
      </c>
      <c r="F616" s="24">
        <f>IFERROR(__xludf.DUMMYFUNCTION("""COMPUTED_VALUE"""),44578.0)</f>
        <v>44578</v>
      </c>
      <c r="G616" s="27">
        <f>IFERROR(__xludf.DUMMYFUNCTION("""COMPUTED_VALUE"""),9.966666666666667)</f>
        <v>9.966666667</v>
      </c>
      <c r="H616" s="128">
        <f>IFERROR(__xludf.DUMMYFUNCTION("""COMPUTED_VALUE"""),41957.0)</f>
        <v>41957</v>
      </c>
      <c r="I616" s="27">
        <f>IFERROR(__xludf.DUMMYFUNCTION("""COMPUTED_VALUE"""),6.344444444444444)</f>
        <v>6.344444444</v>
      </c>
      <c r="J616" s="29">
        <f>IFERROR(__xludf.DUMMYFUNCTION("""COMPUTED_VALUE"""),83.0)</f>
        <v>83</v>
      </c>
      <c r="K616" s="29">
        <f>IFERROR(__xludf.DUMMYFUNCTION("""COMPUTED_VALUE"""),10.5)</f>
        <v>10.5</v>
      </c>
      <c r="L616" s="31" t="str">
        <f>IFERROR(__xludf.DUMMYFUNCTION("""COMPUTED_VALUE"""),"Simulation")</f>
        <v>Simulation</v>
      </c>
    </row>
    <row r="617" hidden="1">
      <c r="A617" s="17" t="str">
        <f>IFERROR(__xludf.DUMMYFUNCTION("""COMPUTED_VALUE"""),"Torchlight II")</f>
        <v>Torchlight II</v>
      </c>
      <c r="B617" s="20" t="str">
        <f>IFERROR(__xludf.DUMMYFUNCTION("""COMPUTED_VALUE"""),"PC")</f>
        <v>PC</v>
      </c>
      <c r="C617" s="20"/>
      <c r="D617" s="21" t="str">
        <f>IFERROR(__xludf.DUMMYFUNCTION("""COMPUTED_VALUE"""),"Removed")</f>
        <v>Removed</v>
      </c>
      <c r="E617" s="128">
        <f>IFERROR(__xludf.DUMMYFUNCTION("""COMPUTED_VALUE"""),44273.0)</f>
        <v>44273</v>
      </c>
      <c r="F617" s="24">
        <f>IFERROR(__xludf.DUMMYFUNCTION("""COMPUTED_VALUE"""),44578.0)</f>
        <v>44578</v>
      </c>
      <c r="G617" s="27">
        <f>IFERROR(__xludf.DUMMYFUNCTION("""COMPUTED_VALUE"""),9.966666666666667)</f>
        <v>9.966666667</v>
      </c>
      <c r="H617" s="128">
        <f>IFERROR(__xludf.DUMMYFUNCTION("""COMPUTED_VALUE"""),41172.0)</f>
        <v>41172</v>
      </c>
      <c r="I617" s="27">
        <f>IFERROR(__xludf.DUMMYFUNCTION("""COMPUTED_VALUE"""),8.494444444444444)</f>
        <v>8.494444444</v>
      </c>
      <c r="J617" s="29">
        <f>IFERROR(__xludf.DUMMYFUNCTION("""COMPUTED_VALUE"""),88.0)</f>
        <v>88</v>
      </c>
      <c r="K617" s="29">
        <f>IFERROR(__xludf.DUMMYFUNCTION("""COMPUTED_VALUE"""),20.5)</f>
        <v>20.5</v>
      </c>
      <c r="L617" s="31" t="str">
        <f>IFERROR(__xludf.DUMMYFUNCTION("""COMPUTED_VALUE"""),"RPG")</f>
        <v>RPG</v>
      </c>
    </row>
    <row r="618" hidden="1">
      <c r="A618" s="17" t="str">
        <f>IFERROR(__xludf.DUMMYFUNCTION("""COMPUTED_VALUE"""),"Trine 2: Complete Story")</f>
        <v>Trine 2: Complete Story</v>
      </c>
      <c r="B618" s="20" t="str">
        <f>IFERROR(__xludf.DUMMYFUNCTION("""COMPUTED_VALUE"""),"PC")</f>
        <v>PC</v>
      </c>
      <c r="C618" s="21"/>
      <c r="D618" s="21" t="str">
        <f>IFERROR(__xludf.DUMMYFUNCTION("""COMPUTED_VALUE"""),"Removed")</f>
        <v>Removed</v>
      </c>
      <c r="E618" s="23">
        <f>IFERROR(__xludf.DUMMYFUNCTION("""COMPUTED_VALUE"""),44273.0)</f>
        <v>44273</v>
      </c>
      <c r="F618" s="24">
        <f>IFERROR(__xludf.DUMMYFUNCTION("""COMPUTED_VALUE"""),44578.0)</f>
        <v>44578</v>
      </c>
      <c r="G618" s="27">
        <f>IFERROR(__xludf.DUMMYFUNCTION("""COMPUTED_VALUE"""),9.966666666666667)</f>
        <v>9.966666667</v>
      </c>
      <c r="H618" s="128">
        <f>IFERROR(__xludf.DUMMYFUNCTION("""COMPUTED_VALUE"""),40884.0)</f>
        <v>40884</v>
      </c>
      <c r="I618" s="27">
        <f>IFERROR(__xludf.DUMMYFUNCTION("""COMPUTED_VALUE"""),9.280555555555555)</f>
        <v>9.280555556</v>
      </c>
      <c r="J618" s="29">
        <f>IFERROR(__xludf.DUMMYFUNCTION("""COMPUTED_VALUE"""),84.0)</f>
        <v>84</v>
      </c>
      <c r="K618" s="29">
        <f>IFERROR(__xludf.DUMMYFUNCTION("""COMPUTED_VALUE"""),9.0)</f>
        <v>9</v>
      </c>
      <c r="L618" s="275" t="str">
        <f>IFERROR(__xludf.DUMMYFUNCTION("""COMPUTED_VALUE"""),"Platformer")</f>
        <v>Platformer</v>
      </c>
    </row>
    <row r="619" hidden="1">
      <c r="A619" s="278" t="str">
        <f>IFERROR(__xludf.DUMMYFUNCTION("""COMPUTED_VALUE"""),"Trine: Enchanted Edition")</f>
        <v>Trine: Enchanted Edition</v>
      </c>
      <c r="B619" s="20" t="str">
        <f>IFERROR(__xludf.DUMMYFUNCTION("""COMPUTED_VALUE"""),"PC")</f>
        <v>PC</v>
      </c>
      <c r="C619" s="20"/>
      <c r="D619" s="21" t="str">
        <f>IFERROR(__xludf.DUMMYFUNCTION("""COMPUTED_VALUE"""),"Removed")</f>
        <v>Removed</v>
      </c>
      <c r="E619" s="279">
        <f>IFERROR(__xludf.DUMMYFUNCTION("""COMPUTED_VALUE"""),44273.0)</f>
        <v>44273</v>
      </c>
      <c r="F619" s="24">
        <f>IFERROR(__xludf.DUMMYFUNCTION("""COMPUTED_VALUE"""),44578.0)</f>
        <v>44578</v>
      </c>
      <c r="G619" s="27">
        <f>IFERROR(__xludf.DUMMYFUNCTION("""COMPUTED_VALUE"""),9.966666666666667)</f>
        <v>9.966666667</v>
      </c>
      <c r="H619" s="128">
        <f>IFERROR(__xludf.DUMMYFUNCTION("""COMPUTED_VALUE"""),43070.0)</f>
        <v>43070</v>
      </c>
      <c r="I619" s="27">
        <f>IFERROR(__xludf.DUMMYFUNCTION("""COMPUTED_VALUE"""),3.297222222222222)</f>
        <v>3.297222222</v>
      </c>
      <c r="J619" s="277">
        <f>IFERROR(__xludf.DUMMYFUNCTION("""COMPUTED_VALUE"""),80.0)</f>
        <v>80</v>
      </c>
      <c r="K619" s="29">
        <f>IFERROR(__xludf.DUMMYFUNCTION("""COMPUTED_VALUE"""),4.5)</f>
        <v>4.5</v>
      </c>
      <c r="L619" s="275" t="str">
        <f>IFERROR(__xludf.DUMMYFUNCTION("""COMPUTED_VALUE"""),"RPG")</f>
        <v>RPG</v>
      </c>
    </row>
    <row r="620" hidden="1">
      <c r="A620" s="278" t="str">
        <f>IFERROR(__xludf.DUMMYFUNCTION("""COMPUTED_VALUE"""),"Ghost of a Tale")</f>
        <v>Ghost of a Tale</v>
      </c>
      <c r="B620" s="20" t="str">
        <f>IFERROR(__xludf.DUMMYFUNCTION("""COMPUTED_VALUE"""),"PC")</f>
        <v>PC</v>
      </c>
      <c r="C620" s="20"/>
      <c r="D620" s="21" t="str">
        <f>IFERROR(__xludf.DUMMYFUNCTION("""COMPUTED_VALUE"""),"Removed")</f>
        <v>Removed</v>
      </c>
      <c r="E620" s="279">
        <f>IFERROR(__xludf.DUMMYFUNCTION("""COMPUTED_VALUE"""),44231.0)</f>
        <v>44231</v>
      </c>
      <c r="F620" s="24">
        <f>IFERROR(__xludf.DUMMYFUNCTION("""COMPUTED_VALUE"""),44576.0)</f>
        <v>44576</v>
      </c>
      <c r="G620" s="27">
        <f>IFERROR(__xludf.DUMMYFUNCTION("""COMPUTED_VALUE"""),11.366666666666667)</f>
        <v>11.36666667</v>
      </c>
      <c r="H620" s="128">
        <f>IFERROR(__xludf.DUMMYFUNCTION("""COMPUTED_VALUE"""),43172.0)</f>
        <v>43172</v>
      </c>
      <c r="I620" s="27">
        <f>IFERROR(__xludf.DUMMYFUNCTION("""COMPUTED_VALUE"""),2.8916666666666666)</f>
        <v>2.891666667</v>
      </c>
      <c r="J620" s="277">
        <f>IFERROR(__xludf.DUMMYFUNCTION("""COMPUTED_VALUE"""),75.0)</f>
        <v>75</v>
      </c>
      <c r="K620" s="29">
        <f>IFERROR(__xludf.DUMMYFUNCTION("""COMPUTED_VALUE"""),10.5)</f>
        <v>10.5</v>
      </c>
      <c r="L620" s="275" t="str">
        <f>IFERROR(__xludf.DUMMYFUNCTION("""COMPUTED_VALUE"""),"RPG")</f>
        <v>RPG</v>
      </c>
    </row>
    <row r="621" hidden="1">
      <c r="A621" s="17" t="str">
        <f>IFERROR(__xludf.DUMMYFUNCTION("""COMPUTED_VALUE"""),"Desperados III")</f>
        <v>Desperados III</v>
      </c>
      <c r="B621" s="20" t="str">
        <f>IFERROR(__xludf.DUMMYFUNCTION("""COMPUTED_VALUE"""),"Xbox / PC")</f>
        <v>Xbox / PC</v>
      </c>
      <c r="C621" s="20" t="str">
        <f>IFERROR(__xludf.DUMMYFUNCTION("""COMPUTED_VALUE"""),"Touch Controls")</f>
        <v>Touch Controls</v>
      </c>
      <c r="D621" s="21" t="str">
        <f>IFERROR(__xludf.DUMMYFUNCTION("""COMPUTED_VALUE"""),"Removed")</f>
        <v>Removed</v>
      </c>
      <c r="E621" s="128">
        <f>IFERROR(__xludf.DUMMYFUNCTION("""COMPUTED_VALUE"""),44217.0)</f>
        <v>44217</v>
      </c>
      <c r="F621" s="24">
        <f>IFERROR(__xludf.DUMMYFUNCTION("""COMPUTED_VALUE"""),44576.0)</f>
        <v>44576</v>
      </c>
      <c r="G621" s="27">
        <f>IFERROR(__xludf.DUMMYFUNCTION("""COMPUTED_VALUE"""),11.799999999999999)</f>
        <v>11.8</v>
      </c>
      <c r="H621" s="128">
        <f>IFERROR(__xludf.DUMMYFUNCTION("""COMPUTED_VALUE"""),43998.0)</f>
        <v>43998</v>
      </c>
      <c r="I621" s="27">
        <f>IFERROR(__xludf.DUMMYFUNCTION("""COMPUTED_VALUE"""),0.5972222222222222)</f>
        <v>0.5972222222</v>
      </c>
      <c r="J621" s="29">
        <f>IFERROR(__xludf.DUMMYFUNCTION("""COMPUTED_VALUE"""),85.5)</f>
        <v>85.5</v>
      </c>
      <c r="K621" s="29">
        <f>IFERROR(__xludf.DUMMYFUNCTION("""COMPUTED_VALUE"""),26.5)</f>
        <v>26.5</v>
      </c>
      <c r="L621" s="31" t="str">
        <f>IFERROR(__xludf.DUMMYFUNCTION("""COMPUTED_VALUE"""),"Strategy")</f>
        <v>Strategy</v>
      </c>
    </row>
    <row r="622" hidden="1">
      <c r="A622" s="17" t="str">
        <f>IFERROR(__xludf.DUMMYFUNCTION("""COMPUTED_VALUE"""),"YIIK: A Postmodern RPG")</f>
        <v>YIIK: A Postmodern RPG</v>
      </c>
      <c r="B622" s="20" t="str">
        <f>IFERROR(__xludf.DUMMYFUNCTION("""COMPUTED_VALUE"""),"PC")</f>
        <v>PC</v>
      </c>
      <c r="C622" s="20"/>
      <c r="D622" s="21" t="str">
        <f>IFERROR(__xludf.DUMMYFUNCTION("""COMPUTED_VALUE"""),"Removed")</f>
        <v>Removed</v>
      </c>
      <c r="E622" s="127">
        <f>IFERROR(__xludf.DUMMYFUNCTION("""COMPUTED_VALUE"""),44210.0)</f>
        <v>44210</v>
      </c>
      <c r="F622" s="24">
        <f>IFERROR(__xludf.DUMMYFUNCTION("""COMPUTED_VALUE"""),44576.0)</f>
        <v>44576</v>
      </c>
      <c r="G622" s="27">
        <f>IFERROR(__xludf.DUMMYFUNCTION("""COMPUTED_VALUE"""),12.033333333333333)</f>
        <v>12.03333333</v>
      </c>
      <c r="H622" s="128">
        <f>IFERROR(__xludf.DUMMYFUNCTION("""COMPUTED_VALUE"""),43482.0)</f>
        <v>43482</v>
      </c>
      <c r="I622" s="27">
        <f>IFERROR(__xludf.DUMMYFUNCTION("""COMPUTED_VALUE"""),1.9916666666666667)</f>
        <v>1.991666667</v>
      </c>
      <c r="J622" s="29">
        <f>IFERROR(__xludf.DUMMYFUNCTION("""COMPUTED_VALUE"""),64.0)</f>
        <v>64</v>
      </c>
      <c r="K622" s="29">
        <f>IFERROR(__xludf.DUMMYFUNCTION("""COMPUTED_VALUE"""),56.0)</f>
        <v>56</v>
      </c>
      <c r="L622" s="31" t="str">
        <f>IFERROR(__xludf.DUMMYFUNCTION("""COMPUTED_VALUE"""),"RPG")</f>
        <v>RPG</v>
      </c>
    </row>
    <row r="623" hidden="1">
      <c r="A623" s="278" t="str">
        <f>IFERROR(__xludf.DUMMYFUNCTION("""COMPUTED_VALUE"""),"Mount &amp; Blade: Warband")</f>
        <v>Mount &amp; Blade: Warband</v>
      </c>
      <c r="B623" s="21" t="str">
        <f>IFERROR(__xludf.DUMMYFUNCTION("""COMPUTED_VALUE"""),"Xbox / PC")</f>
        <v>Xbox / PC</v>
      </c>
      <c r="C623" s="21" t="str">
        <f>IFERROR(__xludf.DUMMYFUNCTION("""COMPUTED_VALUE"""),"Yes")</f>
        <v>Yes</v>
      </c>
      <c r="D623" s="21" t="str">
        <f>IFERROR(__xludf.DUMMYFUNCTION("""COMPUTED_VALUE"""),"Removed")</f>
        <v>Removed</v>
      </c>
      <c r="E623" s="279">
        <f>IFERROR(__xludf.DUMMYFUNCTION("""COMPUTED_VALUE"""),44028.0)</f>
        <v>44028</v>
      </c>
      <c r="F623" s="24">
        <f>IFERROR(__xludf.DUMMYFUNCTION("""COMPUTED_VALUE"""),44576.0)</f>
        <v>44576</v>
      </c>
      <c r="G623" s="27">
        <f>IFERROR(__xludf.DUMMYFUNCTION("""COMPUTED_VALUE"""),17.96666666666667)</f>
        <v>17.96666667</v>
      </c>
      <c r="H623" s="128">
        <f>IFERROR(__xludf.DUMMYFUNCTION("""COMPUTED_VALUE"""),40267.0)</f>
        <v>40267</v>
      </c>
      <c r="I623" s="27">
        <f>IFERROR(__xludf.DUMMYFUNCTION("""COMPUTED_VALUE"""),10.294444444444444)</f>
        <v>10.29444444</v>
      </c>
      <c r="J623" s="277">
        <f>IFERROR(__xludf.DUMMYFUNCTION("""COMPUTED_VALUE"""),59.0)</f>
        <v>59</v>
      </c>
      <c r="K623" s="29">
        <f>IFERROR(__xludf.DUMMYFUNCTION("""COMPUTED_VALUE"""),120.0)</f>
        <v>120</v>
      </c>
      <c r="L623" s="275" t="str">
        <f>IFERROR(__xludf.DUMMYFUNCTION("""COMPUTED_VALUE"""),"RPG")</f>
        <v>RPG</v>
      </c>
    </row>
    <row r="624" hidden="1">
      <c r="A624" s="17" t="str">
        <f>IFERROR(__xludf.DUMMYFUNCTION("""COMPUTED_VALUE"""),"Pandemic: The Board Game")</f>
        <v>Pandemic: The Board Game</v>
      </c>
      <c r="B624" s="20" t="str">
        <f>IFERROR(__xludf.DUMMYFUNCTION("""COMPUTED_VALUE"""),"Xbox / PC")</f>
        <v>Xbox / PC</v>
      </c>
      <c r="C624" s="20"/>
      <c r="D624" s="21" t="str">
        <f>IFERROR(__xludf.DUMMYFUNCTION("""COMPUTED_VALUE"""),"Removed")</f>
        <v>Removed</v>
      </c>
      <c r="E624" s="127">
        <f>IFERROR(__xludf.DUMMYFUNCTION("""COMPUTED_VALUE"""),43678.0)</f>
        <v>43678</v>
      </c>
      <c r="F624" s="24">
        <f>IFERROR(__xludf.DUMMYFUNCTION("""COMPUTED_VALUE"""),44576.0)</f>
        <v>44576</v>
      </c>
      <c r="G624" s="27">
        <f>IFERROR(__xludf.DUMMYFUNCTION("""COMPUTED_VALUE"""),29.46666666666667)</f>
        <v>29.46666667</v>
      </c>
      <c r="H624" s="128">
        <f>IFERROR(__xludf.DUMMYFUNCTION("""COMPUTED_VALUE"""),43336.0)</f>
        <v>43336</v>
      </c>
      <c r="I624" s="27">
        <f>IFERROR(__xludf.DUMMYFUNCTION("""COMPUTED_VALUE"""),0.9361111111111111)</f>
        <v>0.9361111111</v>
      </c>
      <c r="J624" s="29">
        <f>IFERROR(__xludf.DUMMYFUNCTION("""COMPUTED_VALUE"""),60.0)</f>
        <v>60</v>
      </c>
      <c r="K624" s="29">
        <f>IFERROR(__xludf.DUMMYFUNCTION("""COMPUTED_VALUE"""),1.0)</f>
        <v>1</v>
      </c>
      <c r="L624" s="31" t="str">
        <f>IFERROR(__xludf.DUMMYFUNCTION("""COMPUTED_VALUE"""),"Trivia/Board Game")</f>
        <v>Trivia/Board Game</v>
      </c>
    </row>
    <row r="625" hidden="1">
      <c r="A625" s="17" t="str">
        <f>IFERROR(__xludf.DUMMYFUNCTION("""COMPUTED_VALUE"""),"PlayerUnknown's Battlegrounds")</f>
        <v>PlayerUnknown's Battlegrounds</v>
      </c>
      <c r="B625" s="20" t="str">
        <f>IFERROR(__xludf.DUMMYFUNCTION("""COMPUTED_VALUE"""),"Xbox")</f>
        <v>Xbox</v>
      </c>
      <c r="C625" s="20" t="str">
        <f>IFERROR(__xludf.DUMMYFUNCTION("""COMPUTED_VALUE"""),"Yes")</f>
        <v>Yes</v>
      </c>
      <c r="D625" s="21" t="str">
        <f>IFERROR(__xludf.DUMMYFUNCTION("""COMPUTED_VALUE"""),"Removed")</f>
        <v>Removed</v>
      </c>
      <c r="E625" s="279">
        <f>IFERROR(__xludf.DUMMYFUNCTION("""COMPUTED_VALUE"""),43416.0)</f>
        <v>43416</v>
      </c>
      <c r="F625" s="24">
        <f>IFERROR(__xludf.DUMMYFUNCTION("""COMPUTED_VALUE"""),44571.0)</f>
        <v>44571</v>
      </c>
      <c r="G625" s="27">
        <f>IFERROR(__xludf.DUMMYFUNCTION("""COMPUTED_VALUE"""),37.93333333333333)</f>
        <v>37.93333333</v>
      </c>
      <c r="H625" s="128">
        <f>IFERROR(__xludf.DUMMYFUNCTION("""COMPUTED_VALUE"""),42817.0)</f>
        <v>42817</v>
      </c>
      <c r="I625" s="27">
        <f>IFERROR(__xludf.DUMMYFUNCTION("""COMPUTED_VALUE"""),1.636111111111111)</f>
        <v>1.636111111</v>
      </c>
      <c r="J625" s="29">
        <f>IFERROR(__xludf.DUMMYFUNCTION("""COMPUTED_VALUE"""),85.0)</f>
        <v>85</v>
      </c>
      <c r="K625" s="29">
        <f>IFERROR(__xludf.DUMMYFUNCTION("""COMPUTED_VALUE"""),142.0)</f>
        <v>142</v>
      </c>
      <c r="L625" s="275" t="str">
        <f>IFERROR(__xludf.DUMMYFUNCTION("""COMPUTED_VALUE"""),"Shooter")</f>
        <v>Shooter</v>
      </c>
    </row>
    <row r="626" hidden="1">
      <c r="A626" s="278" t="str">
        <f>IFERROR(__xludf.DUMMYFUNCTION("""COMPUTED_VALUE"""),"eFootball PES 2021")</f>
        <v>eFootball PES 2021</v>
      </c>
      <c r="B626" s="21" t="str">
        <f>IFERROR(__xludf.DUMMYFUNCTION("""COMPUTED_VALUE"""),"Xbox")</f>
        <v>Xbox</v>
      </c>
      <c r="C626" s="21" t="str">
        <f>IFERROR(__xludf.DUMMYFUNCTION("""COMPUTED_VALUE"""),"Yes")</f>
        <v>Yes</v>
      </c>
      <c r="D626" s="21" t="str">
        <f>IFERROR(__xludf.DUMMYFUNCTION("""COMPUTED_VALUE"""),"Removed")</f>
        <v>Removed</v>
      </c>
      <c r="E626" s="279">
        <f>IFERROR(__xludf.DUMMYFUNCTION("""COMPUTED_VALUE"""),44203.0)</f>
        <v>44203</v>
      </c>
      <c r="F626" s="24">
        <f>IFERROR(__xludf.DUMMYFUNCTION("""COMPUTED_VALUE"""),44561.0)</f>
        <v>44561</v>
      </c>
      <c r="G626" s="27">
        <f>IFERROR(__xludf.DUMMYFUNCTION("""COMPUTED_VALUE"""),11.766666666666666)</f>
        <v>11.76666667</v>
      </c>
      <c r="H626" s="128">
        <f>IFERROR(__xludf.DUMMYFUNCTION("""COMPUTED_VALUE"""),44089.0)</f>
        <v>44089</v>
      </c>
      <c r="I626" s="27">
        <f>IFERROR(__xludf.DUMMYFUNCTION("""COMPUTED_VALUE"""),0.3111111111111111)</f>
        <v>0.3111111111</v>
      </c>
      <c r="J626" s="277">
        <f>IFERROR(__xludf.DUMMYFUNCTION("""COMPUTED_VALUE"""),73.0)</f>
        <v>73</v>
      </c>
      <c r="K626" s="29">
        <f>IFERROR(__xludf.DUMMYFUNCTION("""COMPUTED_VALUE"""),15.0)</f>
        <v>15</v>
      </c>
      <c r="L626" s="275" t="str">
        <f>IFERROR(__xludf.DUMMYFUNCTION("""COMPUTED_VALUE"""),"Soccer")</f>
        <v>Soccer</v>
      </c>
    </row>
    <row r="627" hidden="1">
      <c r="A627" s="17" t="str">
        <f>IFERROR(__xludf.DUMMYFUNCTION("""COMPUTED_VALUE"""),"The Little Acre")</f>
        <v>The Little Acre</v>
      </c>
      <c r="B627" s="20" t="str">
        <f>IFERROR(__xludf.DUMMYFUNCTION("""COMPUTED_VALUE"""),"Xbox")</f>
        <v>Xbox</v>
      </c>
      <c r="C627" s="20" t="str">
        <f>IFERROR(__xludf.DUMMYFUNCTION("""COMPUTED_VALUE"""),"Touch Controls")</f>
        <v>Touch Controls</v>
      </c>
      <c r="D627" s="21" t="str">
        <f>IFERROR(__xludf.DUMMYFUNCTION("""COMPUTED_VALUE"""),"Removed")</f>
        <v>Removed</v>
      </c>
      <c r="E627" s="127">
        <f>IFERROR(__xludf.DUMMYFUNCTION("""COMPUTED_VALUE"""),44203.0)</f>
        <v>44203</v>
      </c>
      <c r="F627" s="24">
        <f>IFERROR(__xludf.DUMMYFUNCTION("""COMPUTED_VALUE"""),44561.0)</f>
        <v>44561</v>
      </c>
      <c r="G627" s="27">
        <f>IFERROR(__xludf.DUMMYFUNCTION("""COMPUTED_VALUE"""),11.766666666666666)</f>
        <v>11.76666667</v>
      </c>
      <c r="H627" s="128">
        <f>IFERROR(__xludf.DUMMYFUNCTION("""COMPUTED_VALUE"""),42717.0)</f>
        <v>42717</v>
      </c>
      <c r="I627" s="27">
        <f>IFERROR(__xludf.DUMMYFUNCTION("""COMPUTED_VALUE"""),4.066666666666666)</f>
        <v>4.066666667</v>
      </c>
      <c r="J627" s="29">
        <f>IFERROR(__xludf.DUMMYFUNCTION("""COMPUTED_VALUE"""),75.0)</f>
        <v>75</v>
      </c>
      <c r="K627" s="29">
        <f>IFERROR(__xludf.DUMMYFUNCTION("""COMPUTED_VALUE"""),2.0)</f>
        <v>2</v>
      </c>
      <c r="L627" s="31" t="str">
        <f>IFERROR(__xludf.DUMMYFUNCTION("""COMPUTED_VALUE"""),"Adventure")</f>
        <v>Adventure</v>
      </c>
    </row>
    <row r="628" hidden="1">
      <c r="A628" s="17" t="str">
        <f>IFERROR(__xludf.DUMMYFUNCTION("""COMPUTED_VALUE"""),"Beholder: Complete Edition")</f>
        <v>Beholder: Complete Edition</v>
      </c>
      <c r="B628" s="20" t="str">
        <f>IFERROR(__xludf.DUMMYFUNCTION("""COMPUTED_VALUE"""),"Xbox / PC")</f>
        <v>Xbox / PC</v>
      </c>
      <c r="C628" s="20" t="str">
        <f>IFERROR(__xludf.DUMMYFUNCTION("""COMPUTED_VALUE"""),"Touch Controls")</f>
        <v>Touch Controls</v>
      </c>
      <c r="D628" s="21" t="str">
        <f>IFERROR(__xludf.DUMMYFUNCTION("""COMPUTED_VALUE"""),"Removed")</f>
        <v>Removed</v>
      </c>
      <c r="E628" s="23">
        <f>IFERROR(__xludf.DUMMYFUNCTION("""COMPUTED_VALUE"""),44182.0)</f>
        <v>44182</v>
      </c>
      <c r="F628" s="24">
        <f>IFERROR(__xludf.DUMMYFUNCTION("""COMPUTED_VALUE"""),44545.0)</f>
        <v>44545</v>
      </c>
      <c r="G628" s="27">
        <f>IFERROR(__xludf.DUMMYFUNCTION("""COMPUTED_VALUE"""),11.933333333333334)</f>
        <v>11.93333333</v>
      </c>
      <c r="H628" s="23">
        <f>IFERROR(__xludf.DUMMYFUNCTION("""COMPUTED_VALUE"""),43116.0)</f>
        <v>43116</v>
      </c>
      <c r="I628" s="27">
        <f>IFERROR(__xludf.DUMMYFUNCTION("""COMPUTED_VALUE"""),2.9194444444444443)</f>
        <v>2.919444444</v>
      </c>
      <c r="J628" s="29">
        <f>IFERROR(__xludf.DUMMYFUNCTION("""COMPUTED_VALUE"""),74.0)</f>
        <v>74</v>
      </c>
      <c r="K628" s="29">
        <f>IFERROR(__xludf.DUMMYFUNCTION("""COMPUTED_VALUE"""),5.5)</f>
        <v>5.5</v>
      </c>
      <c r="L628" s="31" t="str">
        <f>IFERROR(__xludf.DUMMYFUNCTION("""COMPUTED_VALUE"""),"Simulation")</f>
        <v>Simulation</v>
      </c>
    </row>
    <row r="629" hidden="1">
      <c r="A629" s="278" t="str">
        <f>IFERROR(__xludf.DUMMYFUNCTION("""COMPUTED_VALUE"""),"Wilmot's Warehouse")</f>
        <v>Wilmot's Warehouse</v>
      </c>
      <c r="B629" s="20" t="str">
        <f>IFERROR(__xludf.DUMMYFUNCTION("""COMPUTED_VALUE"""),"Xbox / PC")</f>
        <v>Xbox / PC</v>
      </c>
      <c r="C629" s="20"/>
      <c r="D629" s="21" t="str">
        <f>IFERROR(__xludf.DUMMYFUNCTION("""COMPUTED_VALUE"""),"Removed")</f>
        <v>Removed</v>
      </c>
      <c r="E629" s="279">
        <f>IFERROR(__xludf.DUMMYFUNCTION("""COMPUTED_VALUE"""),44182.0)</f>
        <v>44182</v>
      </c>
      <c r="F629" s="276">
        <f>IFERROR(__xludf.DUMMYFUNCTION("""COMPUTED_VALUE"""),44545.0)</f>
        <v>44545</v>
      </c>
      <c r="G629" s="27">
        <f>IFERROR(__xludf.DUMMYFUNCTION("""COMPUTED_VALUE"""),11.933333333333334)</f>
        <v>11.93333333</v>
      </c>
      <c r="H629" s="128">
        <f>IFERROR(__xludf.DUMMYFUNCTION("""COMPUTED_VALUE"""),43706.0)</f>
        <v>43706</v>
      </c>
      <c r="I629" s="27">
        <f>IFERROR(__xludf.DUMMYFUNCTION("""COMPUTED_VALUE"""),1.3)</f>
        <v>1.3</v>
      </c>
      <c r="J629" s="277">
        <f>IFERROR(__xludf.DUMMYFUNCTION("""COMPUTED_VALUE"""),85.0)</f>
        <v>85</v>
      </c>
      <c r="K629" s="277">
        <f>IFERROR(__xludf.DUMMYFUNCTION("""COMPUTED_VALUE"""),8.5)</f>
        <v>8.5</v>
      </c>
      <c r="L629" s="31" t="str">
        <f>IFERROR(__xludf.DUMMYFUNCTION("""COMPUTED_VALUE"""),"Puzzle")</f>
        <v>Puzzle</v>
      </c>
    </row>
    <row r="630" hidden="1">
      <c r="A630" s="278" t="str">
        <f>IFERROR(__xludf.DUMMYFUNCTION("""COMPUTED_VALUE"""),"Yooka-Laylee and the Impossible Lair")</f>
        <v>Yooka-Laylee and the Impossible Lair</v>
      </c>
      <c r="B630" s="20" t="str">
        <f>IFERROR(__xludf.DUMMYFUNCTION("""COMPUTED_VALUE"""),"Xbox / PC")</f>
        <v>Xbox / PC</v>
      </c>
      <c r="C630" s="20" t="str">
        <f>IFERROR(__xludf.DUMMYFUNCTION("""COMPUTED_VALUE"""),"Touch Controls")</f>
        <v>Touch Controls</v>
      </c>
      <c r="D630" s="21" t="str">
        <f>IFERROR(__xludf.DUMMYFUNCTION("""COMPUTED_VALUE"""),"Removed")</f>
        <v>Removed</v>
      </c>
      <c r="E630" s="279">
        <f>IFERROR(__xludf.DUMMYFUNCTION("""COMPUTED_VALUE"""),44175.0)</f>
        <v>44175</v>
      </c>
      <c r="F630" s="24">
        <f>IFERROR(__xludf.DUMMYFUNCTION("""COMPUTED_VALUE"""),44545.0)</f>
        <v>44545</v>
      </c>
      <c r="G630" s="27">
        <f>IFERROR(__xludf.DUMMYFUNCTION("""COMPUTED_VALUE"""),12.166666666666666)</f>
        <v>12.16666667</v>
      </c>
      <c r="H630" s="128">
        <f>IFERROR(__xludf.DUMMYFUNCTION("""COMPUTED_VALUE"""),43746.0)</f>
        <v>43746</v>
      </c>
      <c r="I630" s="27">
        <f>IFERROR(__xludf.DUMMYFUNCTION("""COMPUTED_VALUE"""),1.1722222222222223)</f>
        <v>1.172222222</v>
      </c>
      <c r="J630" s="277">
        <f>IFERROR(__xludf.DUMMYFUNCTION("""COMPUTED_VALUE"""),82.5)</f>
        <v>82.5</v>
      </c>
      <c r="K630" s="29">
        <f>IFERROR(__xludf.DUMMYFUNCTION("""COMPUTED_VALUE"""),13.0)</f>
        <v>13</v>
      </c>
      <c r="L630" s="275" t="str">
        <f>IFERROR(__xludf.DUMMYFUNCTION("""COMPUTED_VALUE"""),"Platformer")</f>
        <v>Platformer</v>
      </c>
    </row>
    <row r="631" hidden="1">
      <c r="A631" s="17" t="str">
        <f>IFERROR(__xludf.DUMMYFUNCTION("""COMPUTED_VALUE"""),"Unto the End")</f>
        <v>Unto the End</v>
      </c>
      <c r="B631" s="20" t="str">
        <f>IFERROR(__xludf.DUMMYFUNCTION("""COMPUTED_VALUE"""),"Xbox / PC")</f>
        <v>Xbox / PC</v>
      </c>
      <c r="C631" s="20"/>
      <c r="D631" s="21" t="str">
        <f>IFERROR(__xludf.DUMMYFUNCTION("""COMPUTED_VALUE"""),"Removed")</f>
        <v>Removed</v>
      </c>
      <c r="E631" s="128">
        <f>IFERROR(__xludf.DUMMYFUNCTION("""COMPUTED_VALUE"""),44174.0)</f>
        <v>44174</v>
      </c>
      <c r="F631" s="24">
        <f>IFERROR(__xludf.DUMMYFUNCTION("""COMPUTED_VALUE"""),44545.0)</f>
        <v>44545</v>
      </c>
      <c r="G631" s="27">
        <f>IFERROR(__xludf.DUMMYFUNCTION("""COMPUTED_VALUE"""),12.2)</f>
        <v>12.2</v>
      </c>
      <c r="H631" s="128">
        <f>IFERROR(__xludf.DUMMYFUNCTION("""COMPUTED_VALUE"""),44174.0)</f>
        <v>44174</v>
      </c>
      <c r="I631" s="27">
        <f>IFERROR(__xludf.DUMMYFUNCTION("""COMPUTED_VALUE"""),0.0)</f>
        <v>0</v>
      </c>
      <c r="J631" s="29">
        <f>IFERROR(__xludf.DUMMYFUNCTION("""COMPUTED_VALUE"""),65.5)</f>
        <v>65.5</v>
      </c>
      <c r="K631" s="29">
        <f>IFERROR(__xludf.DUMMYFUNCTION("""COMPUTED_VALUE"""),4.5)</f>
        <v>4.5</v>
      </c>
      <c r="L631" s="31" t="str">
        <f>IFERROR(__xludf.DUMMYFUNCTION("""COMPUTED_VALUE"""),"Action-Adventure")</f>
        <v>Action-Adventure</v>
      </c>
    </row>
    <row r="632" hidden="1">
      <c r="A632" s="17" t="str">
        <f>IFERROR(__xludf.DUMMYFUNCTION("""COMPUTED_VALUE"""),"The Dark Pictures Anthology: Man Of Medan")</f>
        <v>The Dark Pictures Anthology: Man Of Medan</v>
      </c>
      <c r="B632" s="20" t="str">
        <f>IFERROR(__xludf.DUMMYFUNCTION("""COMPUTED_VALUE"""),"Xbox / PC")</f>
        <v>Xbox / PC</v>
      </c>
      <c r="C632" s="20"/>
      <c r="D632" s="21" t="str">
        <f>IFERROR(__xludf.DUMMYFUNCTION("""COMPUTED_VALUE"""),"Removed")</f>
        <v>Removed</v>
      </c>
      <c r="E632" s="128">
        <f>IFERROR(__xludf.DUMMYFUNCTION("""COMPUTED_VALUE"""),44049.0)</f>
        <v>44049</v>
      </c>
      <c r="F632" s="24">
        <f>IFERROR(__xludf.DUMMYFUNCTION("""COMPUTED_VALUE"""),44545.0)</f>
        <v>44545</v>
      </c>
      <c r="G632" s="27">
        <f>IFERROR(__xludf.DUMMYFUNCTION("""COMPUTED_VALUE"""),16.3)</f>
        <v>16.3</v>
      </c>
      <c r="H632" s="128">
        <f>IFERROR(__xludf.DUMMYFUNCTION("""COMPUTED_VALUE"""),43707.0)</f>
        <v>43707</v>
      </c>
      <c r="I632" s="27">
        <f>IFERROR(__xludf.DUMMYFUNCTION("""COMPUTED_VALUE"""),0.9333333333333333)</f>
        <v>0.9333333333</v>
      </c>
      <c r="J632" s="29">
        <f>IFERROR(__xludf.DUMMYFUNCTION("""COMPUTED_VALUE"""),69.0)</f>
        <v>69</v>
      </c>
      <c r="K632" s="29">
        <f>IFERROR(__xludf.DUMMYFUNCTION("""COMPUTED_VALUE"""),4.0)</f>
        <v>4</v>
      </c>
      <c r="L632" s="31" t="str">
        <f>IFERROR(__xludf.DUMMYFUNCTION("""COMPUTED_VALUE"""),"Adventure")</f>
        <v>Adventure</v>
      </c>
    </row>
    <row r="633" hidden="1">
      <c r="A633" s="17" t="str">
        <f>IFERROR(__xludf.DUMMYFUNCTION("""COMPUTED_VALUE"""),"Guacamelee! 2")</f>
        <v>Guacamelee! 2</v>
      </c>
      <c r="B633" s="20" t="str">
        <f>IFERROR(__xludf.DUMMYFUNCTION("""COMPUTED_VALUE"""),"Xbox / PC")</f>
        <v>Xbox / PC</v>
      </c>
      <c r="C633" s="20" t="str">
        <f>IFERROR(__xludf.DUMMYFUNCTION("""COMPUTED_VALUE"""),"Touch Controls")</f>
        <v>Touch Controls</v>
      </c>
      <c r="D633" s="21" t="str">
        <f>IFERROR(__xludf.DUMMYFUNCTION("""COMPUTED_VALUE"""),"Removed")</f>
        <v>Removed</v>
      </c>
      <c r="E633" s="23">
        <f>IFERROR(__xludf.DUMMYFUNCTION("""COMPUTED_VALUE"""),43625.0)</f>
        <v>43625</v>
      </c>
      <c r="F633" s="24">
        <f>IFERROR(__xludf.DUMMYFUNCTION("""COMPUTED_VALUE"""),44545.0)</f>
        <v>44545</v>
      </c>
      <c r="G633" s="27">
        <f>IFERROR(__xludf.DUMMYFUNCTION("""COMPUTED_VALUE"""),30.2)</f>
        <v>30.2</v>
      </c>
      <c r="H633" s="128">
        <f>IFERROR(__xludf.DUMMYFUNCTION("""COMPUTED_VALUE"""),43333.0)</f>
        <v>43333</v>
      </c>
      <c r="I633" s="27">
        <f>IFERROR(__xludf.DUMMYFUNCTION("""COMPUTED_VALUE"""),0.8)</f>
        <v>0.8</v>
      </c>
      <c r="J633" s="29">
        <f>IFERROR(__xludf.DUMMYFUNCTION("""COMPUTED_VALUE"""),85.0)</f>
        <v>85</v>
      </c>
      <c r="K633" s="29">
        <f>IFERROR(__xludf.DUMMYFUNCTION("""COMPUTED_VALUE"""),8.5)</f>
        <v>8.5</v>
      </c>
      <c r="L633" s="31" t="str">
        <f>IFERROR(__xludf.DUMMYFUNCTION("""COMPUTED_VALUE"""),"Platformer")</f>
        <v>Platformer</v>
      </c>
    </row>
    <row r="634" hidden="1">
      <c r="A634" s="17" t="str">
        <f>IFERROR(__xludf.DUMMYFUNCTION("""COMPUTED_VALUE"""),"SUPERHOT")</f>
        <v>SUPERHOT</v>
      </c>
      <c r="B634" s="20" t="str">
        <f>IFERROR(__xludf.DUMMYFUNCTION("""COMPUTED_VALUE"""),"PC")</f>
        <v>PC</v>
      </c>
      <c r="C634" s="20"/>
      <c r="D634" s="21" t="str">
        <f>IFERROR(__xludf.DUMMYFUNCTION("""COMPUTED_VALUE"""),"Removed")</f>
        <v>Removed</v>
      </c>
      <c r="E634" s="128">
        <f>IFERROR(__xludf.DUMMYFUNCTION("""COMPUTED_VALUE"""),43622.0)</f>
        <v>43622</v>
      </c>
      <c r="F634" s="24">
        <f>IFERROR(__xludf.DUMMYFUNCTION("""COMPUTED_VALUE"""),44540.0)</f>
        <v>44540</v>
      </c>
      <c r="G634" s="27">
        <f>IFERROR(__xludf.DUMMYFUNCTION("""COMPUTED_VALUE"""),30.133333333333333)</f>
        <v>30.13333333</v>
      </c>
      <c r="H634" s="128">
        <f>IFERROR(__xludf.DUMMYFUNCTION("""COMPUTED_VALUE"""),42425.0)</f>
        <v>42425</v>
      </c>
      <c r="I634" s="27">
        <f>IFERROR(__xludf.DUMMYFUNCTION("""COMPUTED_VALUE"""),3.2805555555555554)</f>
        <v>3.280555556</v>
      </c>
      <c r="J634" s="29">
        <f>IFERROR(__xludf.DUMMYFUNCTION("""COMPUTED_VALUE"""),83.0)</f>
        <v>83</v>
      </c>
      <c r="K634" s="29">
        <f>IFERROR(__xludf.DUMMYFUNCTION("""COMPUTED_VALUE"""),2.5)</f>
        <v>2.5</v>
      </c>
      <c r="L634" s="31" t="str">
        <f>IFERROR(__xludf.DUMMYFUNCTION("""COMPUTED_VALUE"""),"Shooter")</f>
        <v>Shooter</v>
      </c>
    </row>
    <row r="635" hidden="1">
      <c r="A635" s="17" t="str">
        <f>IFERROR(__xludf.DUMMYFUNCTION("""COMPUTED_VALUE"""),"Football Manager 2021")</f>
        <v>Football Manager 2021</v>
      </c>
      <c r="B635" s="21" t="str">
        <f>IFERROR(__xludf.DUMMYFUNCTION("""COMPUTED_VALUE"""),"Xbox / PC")</f>
        <v>Xbox / PC</v>
      </c>
      <c r="C635" s="21" t="str">
        <f>IFERROR(__xludf.DUMMYFUNCTION("""COMPUTED_VALUE"""),"Yes")</f>
        <v>Yes</v>
      </c>
      <c r="D635" s="21" t="str">
        <f>IFERROR(__xludf.DUMMYFUNCTION("""COMPUTED_VALUE"""),"Removed")</f>
        <v>Removed</v>
      </c>
      <c r="E635" s="279">
        <f>IFERROR(__xludf.DUMMYFUNCTION("""COMPUTED_VALUE"""),44259.0)</f>
        <v>44259</v>
      </c>
      <c r="F635" s="24">
        <f>IFERROR(__xludf.DUMMYFUNCTION("""COMPUTED_VALUE"""),44530.0)</f>
        <v>44530</v>
      </c>
      <c r="G635" s="27">
        <f>IFERROR(__xludf.DUMMYFUNCTION("""COMPUTED_VALUE"""),8.866666666666667)</f>
        <v>8.866666667</v>
      </c>
      <c r="H635" s="128">
        <f>IFERROR(__xludf.DUMMYFUNCTION("""COMPUTED_VALUE"""),44159.0)</f>
        <v>44159</v>
      </c>
      <c r="I635" s="27">
        <f>IFERROR(__xludf.DUMMYFUNCTION("""COMPUTED_VALUE"""),0.2777777777777778)</f>
        <v>0.2777777778</v>
      </c>
      <c r="J635" s="29">
        <f>IFERROR(__xludf.DUMMYFUNCTION("""COMPUTED_VALUE"""),81.5)</f>
        <v>81.5</v>
      </c>
      <c r="K635" s="29">
        <f>IFERROR(__xludf.DUMMYFUNCTION("""COMPUTED_VALUE"""),117.0)</f>
        <v>117</v>
      </c>
      <c r="L635" s="275" t="str">
        <f>IFERROR(__xludf.DUMMYFUNCTION("""COMPUTED_VALUE"""),"Simulation")</f>
        <v>Simulation</v>
      </c>
    </row>
    <row r="636" hidden="1">
      <c r="A636" s="17" t="str">
        <f>IFERROR(__xludf.DUMMYFUNCTION("""COMPUTED_VALUE"""),"Mørkredd")</f>
        <v>Mørkredd</v>
      </c>
      <c r="B636" s="20" t="str">
        <f>IFERROR(__xludf.DUMMYFUNCTION("""COMPUTED_VALUE"""),"Xbox / PC")</f>
        <v>Xbox / PC</v>
      </c>
      <c r="C636" s="20" t="str">
        <f>IFERROR(__xludf.DUMMYFUNCTION("""COMPUTED_VALUE"""),"Touch Controls")</f>
        <v>Touch Controls</v>
      </c>
      <c r="D636" s="21" t="str">
        <f>IFERROR(__xludf.DUMMYFUNCTION("""COMPUTED_VALUE"""),"Removed")</f>
        <v>Removed</v>
      </c>
      <c r="E636" s="128">
        <f>IFERROR(__xludf.DUMMYFUNCTION("""COMPUTED_VALUE"""),44176.0)</f>
        <v>44176</v>
      </c>
      <c r="F636" s="24">
        <f>IFERROR(__xludf.DUMMYFUNCTION("""COMPUTED_VALUE"""),44530.0)</f>
        <v>44530</v>
      </c>
      <c r="G636" s="27">
        <f>IFERROR(__xludf.DUMMYFUNCTION("""COMPUTED_VALUE"""),11.633333333333333)</f>
        <v>11.63333333</v>
      </c>
      <c r="H636" s="128">
        <f>IFERROR(__xludf.DUMMYFUNCTION("""COMPUTED_VALUE"""),44176.0)</f>
        <v>44176</v>
      </c>
      <c r="I636" s="27">
        <f>IFERROR(__xludf.DUMMYFUNCTION("""COMPUTED_VALUE"""),0.0)</f>
        <v>0</v>
      </c>
      <c r="J636" s="29">
        <f>IFERROR(__xludf.DUMMYFUNCTION("""COMPUTED_VALUE"""),66.5)</f>
        <v>66.5</v>
      </c>
      <c r="K636" s="29">
        <f>IFERROR(__xludf.DUMMYFUNCTION("""COMPUTED_VALUE"""),2.5)</f>
        <v>2.5</v>
      </c>
      <c r="L636" s="31" t="str">
        <f>IFERROR(__xludf.DUMMYFUNCTION("""COMPUTED_VALUE"""),"Puzzle")</f>
        <v>Puzzle</v>
      </c>
    </row>
    <row r="637" hidden="1">
      <c r="A637" s="17" t="str">
        <f>IFERROR(__xludf.DUMMYFUNCTION("""COMPUTED_VALUE"""),"Call of the Sea")</f>
        <v>Call of the Sea</v>
      </c>
      <c r="B637" s="20" t="str">
        <f>IFERROR(__xludf.DUMMYFUNCTION("""COMPUTED_VALUE"""),"Xbox / PC")</f>
        <v>Xbox / PC</v>
      </c>
      <c r="C637" s="20" t="str">
        <f>IFERROR(__xludf.DUMMYFUNCTION("""COMPUTED_VALUE"""),"Touch Controls")</f>
        <v>Touch Controls</v>
      </c>
      <c r="D637" s="21" t="str">
        <f>IFERROR(__xludf.DUMMYFUNCTION("""COMPUTED_VALUE"""),"Removed")</f>
        <v>Removed</v>
      </c>
      <c r="E637" s="23">
        <f>IFERROR(__xludf.DUMMYFUNCTION("""COMPUTED_VALUE"""),44173.0)</f>
        <v>44173</v>
      </c>
      <c r="F637" s="24">
        <f>IFERROR(__xludf.DUMMYFUNCTION("""COMPUTED_VALUE"""),44530.0)</f>
        <v>44530</v>
      </c>
      <c r="G637" s="27">
        <f>IFERROR(__xludf.DUMMYFUNCTION("""COMPUTED_VALUE"""),11.733333333333333)</f>
        <v>11.73333333</v>
      </c>
      <c r="H637" s="128">
        <f>IFERROR(__xludf.DUMMYFUNCTION("""COMPUTED_VALUE"""),44173.0)</f>
        <v>44173</v>
      </c>
      <c r="I637" s="27">
        <f>IFERROR(__xludf.DUMMYFUNCTION("""COMPUTED_VALUE"""),0.0)</f>
        <v>0</v>
      </c>
      <c r="J637" s="29">
        <f>IFERROR(__xludf.DUMMYFUNCTION("""COMPUTED_VALUE"""),78.66666666666667)</f>
        <v>78.66666667</v>
      </c>
      <c r="K637" s="29">
        <f>IFERROR(__xludf.DUMMYFUNCTION("""COMPUTED_VALUE"""),6.0)</f>
        <v>6</v>
      </c>
      <c r="L637" s="31" t="str">
        <f>IFERROR(__xludf.DUMMYFUNCTION("""COMPUTED_VALUE"""),"RPG")</f>
        <v>RPG</v>
      </c>
    </row>
    <row r="638" hidden="1">
      <c r="A638" s="17" t="str">
        <f>IFERROR(__xludf.DUMMYFUNCTION("""COMPUTED_VALUE"""),"Haven")</f>
        <v>Haven</v>
      </c>
      <c r="B638" s="20" t="str">
        <f>IFERROR(__xludf.DUMMYFUNCTION("""COMPUTED_VALUE"""),"Xbox / PC")</f>
        <v>Xbox / PC</v>
      </c>
      <c r="C638" s="20" t="str">
        <f>IFERROR(__xludf.DUMMYFUNCTION("""COMPUTED_VALUE"""),"Touch Controls")</f>
        <v>Touch Controls</v>
      </c>
      <c r="D638" s="21" t="str">
        <f>IFERROR(__xludf.DUMMYFUNCTION("""COMPUTED_VALUE"""),"Removed")</f>
        <v>Removed</v>
      </c>
      <c r="E638" s="127">
        <f>IFERROR(__xludf.DUMMYFUNCTION("""COMPUTED_VALUE"""),44168.0)</f>
        <v>44168</v>
      </c>
      <c r="F638" s="276">
        <f>IFERROR(__xludf.DUMMYFUNCTION("""COMPUTED_VALUE"""),44530.0)</f>
        <v>44530</v>
      </c>
      <c r="G638" s="27">
        <f>IFERROR(__xludf.DUMMYFUNCTION("""COMPUTED_VALUE"""),11.9)</f>
        <v>11.9</v>
      </c>
      <c r="H638" s="128">
        <f>IFERROR(__xludf.DUMMYFUNCTION("""COMPUTED_VALUE"""),44168.0)</f>
        <v>44168</v>
      </c>
      <c r="I638" s="27">
        <f>IFERROR(__xludf.DUMMYFUNCTION("""COMPUTED_VALUE"""),0.0)</f>
        <v>0</v>
      </c>
      <c r="J638" s="29">
        <f>IFERROR(__xludf.DUMMYFUNCTION("""COMPUTED_VALUE"""),75.0)</f>
        <v>75</v>
      </c>
      <c r="K638" s="29">
        <f>IFERROR(__xludf.DUMMYFUNCTION("""COMPUTED_VALUE"""),10.0)</f>
        <v>10</v>
      </c>
      <c r="L638" s="31" t="str">
        <f>IFERROR(__xludf.DUMMYFUNCTION("""COMPUTED_VALUE"""),"RPG")</f>
        <v>RPG</v>
      </c>
    </row>
    <row r="639" hidden="1">
      <c r="A639" s="17" t="str">
        <f>IFERROR(__xludf.DUMMYFUNCTION("""COMPUTED_VALUE"""),"Va-11 Hall-A: Cyberpunk Bartender Action")</f>
        <v>Va-11 Hall-A: Cyberpunk Bartender Action</v>
      </c>
      <c r="B639" s="20" t="str">
        <f>IFERROR(__xludf.DUMMYFUNCTION("""COMPUTED_VALUE"""),"PC")</f>
        <v>PC</v>
      </c>
      <c r="C639" s="21"/>
      <c r="D639" s="21" t="str">
        <f>IFERROR(__xludf.DUMMYFUNCTION("""COMPUTED_VALUE"""),"Removed")</f>
        <v>Removed</v>
      </c>
      <c r="E639" s="23">
        <f>IFERROR(__xludf.DUMMYFUNCTION("""COMPUTED_VALUE"""),44168.0)</f>
        <v>44168</v>
      </c>
      <c r="F639" s="24">
        <f>IFERROR(__xludf.DUMMYFUNCTION("""COMPUTED_VALUE"""),44530.0)</f>
        <v>44530</v>
      </c>
      <c r="G639" s="27">
        <f>IFERROR(__xludf.DUMMYFUNCTION("""COMPUTED_VALUE"""),11.9)</f>
        <v>11.9</v>
      </c>
      <c r="H639" s="128">
        <f>IFERROR(__xludf.DUMMYFUNCTION("""COMPUTED_VALUE"""),42542.0)</f>
        <v>42542</v>
      </c>
      <c r="I639" s="27">
        <f>IFERROR(__xludf.DUMMYFUNCTION("""COMPUTED_VALUE"""),4.45)</f>
        <v>4.45</v>
      </c>
      <c r="J639" s="29">
        <f>IFERROR(__xludf.DUMMYFUNCTION("""COMPUTED_VALUE"""),77.0)</f>
        <v>77</v>
      </c>
      <c r="K639" s="29">
        <f>IFERROR(__xludf.DUMMYFUNCTION("""COMPUTED_VALUE"""),11.0)</f>
        <v>11</v>
      </c>
      <c r="L639" s="31" t="str">
        <f>IFERROR(__xludf.DUMMYFUNCTION("""COMPUTED_VALUE"""),"Adventure")</f>
        <v>Adventure</v>
      </c>
    </row>
    <row r="640" hidden="1">
      <c r="A640" s="17" t="str">
        <f>IFERROR(__xludf.DUMMYFUNCTION("""COMPUTED_VALUE"""),"FIFA 19")</f>
        <v>FIFA 19</v>
      </c>
      <c r="B640" s="20" t="str">
        <f>IFERROR(__xludf.DUMMYFUNCTION("""COMPUTED_VALUE"""),"Xbox / PC")</f>
        <v>Xbox / PC</v>
      </c>
      <c r="C640" s="20"/>
      <c r="D640" s="21" t="str">
        <f>IFERROR(__xludf.DUMMYFUNCTION("""COMPUTED_VALUE"""),"Removed")</f>
        <v>Removed</v>
      </c>
      <c r="E640" s="23">
        <f>IFERROR(__xludf.DUMMYFUNCTION("""COMPUTED_VALUE"""),44145.0)</f>
        <v>44145</v>
      </c>
      <c r="F640" s="24">
        <f>IFERROR(__xludf.DUMMYFUNCTION("""COMPUTED_VALUE"""),44530.0)</f>
        <v>44530</v>
      </c>
      <c r="G640" s="27">
        <f>IFERROR(__xludf.DUMMYFUNCTION("""COMPUTED_VALUE"""),12.666666666666668)</f>
        <v>12.66666667</v>
      </c>
      <c r="H640" s="128">
        <f>IFERROR(__xludf.DUMMYFUNCTION("""COMPUTED_VALUE"""),43371.0)</f>
        <v>43371</v>
      </c>
      <c r="I640" s="27">
        <f>IFERROR(__xludf.DUMMYFUNCTION("""COMPUTED_VALUE"""),2.1166666666666667)</f>
        <v>2.116666667</v>
      </c>
      <c r="J640" s="29">
        <f>IFERROR(__xludf.DUMMYFUNCTION("""COMPUTED_VALUE"""),83.0)</f>
        <v>83</v>
      </c>
      <c r="K640" s="29">
        <f>IFERROR(__xludf.DUMMYFUNCTION("""COMPUTED_VALUE"""),48.5)</f>
        <v>48.5</v>
      </c>
      <c r="L640" s="31" t="str">
        <f>IFERROR(__xludf.DUMMYFUNCTION("""COMPUTED_VALUE"""),"Sports")</f>
        <v>Sports</v>
      </c>
    </row>
    <row r="641" hidden="1">
      <c r="A641" s="17" t="str">
        <f>IFERROR(__xludf.DUMMYFUNCTION("""COMPUTED_VALUE"""),"Hello Neighbor")</f>
        <v>Hello Neighbor</v>
      </c>
      <c r="B641" s="20" t="str">
        <f>IFERROR(__xludf.DUMMYFUNCTION("""COMPUTED_VALUE"""),"Xbox / PC")</f>
        <v>Xbox / PC</v>
      </c>
      <c r="C641" s="20" t="str">
        <f>IFERROR(__xludf.DUMMYFUNCTION("""COMPUTED_VALUE"""),"Touch Controls")</f>
        <v>Touch Controls</v>
      </c>
      <c r="D641" s="21" t="str">
        <f>IFERROR(__xludf.DUMMYFUNCTION("""COMPUTED_VALUE"""),"Removed")</f>
        <v>Removed</v>
      </c>
      <c r="E641" s="128">
        <f>IFERROR(__xludf.DUMMYFUNCTION("""COMPUTED_VALUE"""),43394.0)</f>
        <v>43394</v>
      </c>
      <c r="F641" s="24">
        <f>IFERROR(__xludf.DUMMYFUNCTION("""COMPUTED_VALUE"""),44530.0)</f>
        <v>44530</v>
      </c>
      <c r="G641" s="27">
        <f>IFERROR(__xludf.DUMMYFUNCTION("""COMPUTED_VALUE"""),37.3)</f>
        <v>37.3</v>
      </c>
      <c r="H641" s="128">
        <f>IFERROR(__xludf.DUMMYFUNCTION("""COMPUTED_VALUE"""),43077.0)</f>
        <v>43077</v>
      </c>
      <c r="I641" s="27">
        <f>IFERROR(__xludf.DUMMYFUNCTION("""COMPUTED_VALUE"""),0.8694444444444445)</f>
        <v>0.8694444444</v>
      </c>
      <c r="J641" s="29">
        <f>IFERROR(__xludf.DUMMYFUNCTION("""COMPUTED_VALUE"""),42.0)</f>
        <v>42</v>
      </c>
      <c r="K641" s="29">
        <f>IFERROR(__xludf.DUMMYFUNCTION("""COMPUTED_VALUE"""),9.0)</f>
        <v>9</v>
      </c>
      <c r="L641" s="31" t="str">
        <f>IFERROR(__xludf.DUMMYFUNCTION("""COMPUTED_VALUE"""),"Action-Adventure")</f>
        <v>Action-Adventure</v>
      </c>
    </row>
    <row r="642" hidden="1">
      <c r="A642" s="278" t="str">
        <f>IFERROR(__xludf.DUMMYFUNCTION("""COMPUTED_VALUE"""),"SINNER: Sacrifice for Redemption")</f>
        <v>SINNER: Sacrifice for Redemption</v>
      </c>
      <c r="B642" s="20" t="str">
        <f>IFERROR(__xludf.DUMMYFUNCTION("""COMPUTED_VALUE"""),"PC")</f>
        <v>PC</v>
      </c>
      <c r="C642" s="21"/>
      <c r="D642" s="21" t="str">
        <f>IFERROR(__xludf.DUMMYFUNCTION("""COMPUTED_VALUE"""),"Removed")</f>
        <v>Removed</v>
      </c>
      <c r="E642" s="279">
        <f>IFERROR(__xludf.DUMMYFUNCTION("""COMPUTED_VALUE"""),43391.0)</f>
        <v>43391</v>
      </c>
      <c r="F642" s="24">
        <f>IFERROR(__xludf.DUMMYFUNCTION("""COMPUTED_VALUE"""),44522.0)</f>
        <v>44522</v>
      </c>
      <c r="G642" s="27">
        <f>IFERROR(__xludf.DUMMYFUNCTION("""COMPUTED_VALUE"""),37.13333333333333)</f>
        <v>37.13333333</v>
      </c>
      <c r="H642" s="128">
        <f>IFERROR(__xludf.DUMMYFUNCTION("""COMPUTED_VALUE"""),43391.0)</f>
        <v>43391</v>
      </c>
      <c r="I642" s="27">
        <f>IFERROR(__xludf.DUMMYFUNCTION("""COMPUTED_VALUE"""),0.0)</f>
        <v>0</v>
      </c>
      <c r="J642" s="277">
        <f>IFERROR(__xludf.DUMMYFUNCTION("""COMPUTED_VALUE"""),63.0)</f>
        <v>63</v>
      </c>
      <c r="K642" s="29">
        <f>IFERROR(__xludf.DUMMYFUNCTION("""COMPUTED_VALUE"""),4.5)</f>
        <v>4.5</v>
      </c>
      <c r="L642" s="275" t="str">
        <f>IFERROR(__xludf.DUMMYFUNCTION("""COMPUTED_VALUE"""),"RPG")</f>
        <v>RPG</v>
      </c>
    </row>
    <row r="643" hidden="1">
      <c r="A643" s="17" t="str">
        <f>IFERROR(__xludf.DUMMYFUNCTION("""COMPUTED_VALUE"""),"Oxenfree")</f>
        <v>Oxenfree</v>
      </c>
      <c r="B643" s="20" t="str">
        <f>IFERROR(__xludf.DUMMYFUNCTION("""COMPUTED_VALUE"""),"PC")</f>
        <v>PC</v>
      </c>
      <c r="C643" s="20" t="str">
        <f>IFERROR(__xludf.DUMMYFUNCTION("""COMPUTED_VALUE"""),"Yes")</f>
        <v>Yes</v>
      </c>
      <c r="D643" s="21" t="str">
        <f>IFERROR(__xludf.DUMMYFUNCTION("""COMPUTED_VALUE"""),"Removed")</f>
        <v>Removed</v>
      </c>
      <c r="E643" s="128">
        <f>IFERROR(__xludf.DUMMYFUNCTION("""COMPUTED_VALUE"""),43160.0)</f>
        <v>43160</v>
      </c>
      <c r="F643" s="24">
        <f>IFERROR(__xludf.DUMMYFUNCTION("""COMPUTED_VALUE"""),44522.0)</f>
        <v>44522</v>
      </c>
      <c r="G643" s="27">
        <f>IFERROR(__xludf.DUMMYFUNCTION("""COMPUTED_VALUE"""),44.7)</f>
        <v>44.7</v>
      </c>
      <c r="H643" s="128">
        <f>IFERROR(__xludf.DUMMYFUNCTION("""COMPUTED_VALUE"""),42384.0)</f>
        <v>42384</v>
      </c>
      <c r="I643" s="27">
        <f>IFERROR(__xludf.DUMMYFUNCTION("""COMPUTED_VALUE"""),2.1277777777777778)</f>
        <v>2.127777778</v>
      </c>
      <c r="J643" s="29">
        <f>IFERROR(__xludf.DUMMYFUNCTION("""COMPUTED_VALUE"""),78.0)</f>
        <v>78</v>
      </c>
      <c r="K643" s="29">
        <f>IFERROR(__xludf.DUMMYFUNCTION("""COMPUTED_VALUE"""),4.5)</f>
        <v>4.5</v>
      </c>
      <c r="L643" s="31" t="str">
        <f>IFERROR(__xludf.DUMMYFUNCTION("""COMPUTED_VALUE"""),"Adventure")</f>
        <v>Adventure</v>
      </c>
    </row>
    <row r="644" hidden="1">
      <c r="A644" s="17" t="str">
        <f>IFERROR(__xludf.DUMMYFUNCTION("""COMPUTED_VALUE"""),"River City Girls")</f>
        <v>River City Girls</v>
      </c>
      <c r="B644" s="20" t="str">
        <f>IFERROR(__xludf.DUMMYFUNCTION("""COMPUTED_VALUE"""),"Xbox / PC")</f>
        <v>Xbox / PC</v>
      </c>
      <c r="C644" s="20" t="str">
        <f>IFERROR(__xludf.DUMMYFUNCTION("""COMPUTED_VALUE"""),"Touch Controls")</f>
        <v>Touch Controls</v>
      </c>
      <c r="D644" s="21" t="str">
        <f>IFERROR(__xludf.DUMMYFUNCTION("""COMPUTED_VALUE"""),"Removed")</f>
        <v>Removed</v>
      </c>
      <c r="E644" s="23">
        <f>IFERROR(__xludf.DUMMYFUNCTION("""COMPUTED_VALUE"""),44154.0)</f>
        <v>44154</v>
      </c>
      <c r="F644" s="24">
        <f>IFERROR(__xludf.DUMMYFUNCTION("""COMPUTED_VALUE"""),44515.0)</f>
        <v>44515</v>
      </c>
      <c r="G644" s="27">
        <f>IFERROR(__xludf.DUMMYFUNCTION("""COMPUTED_VALUE"""),11.866666666666667)</f>
        <v>11.86666667</v>
      </c>
      <c r="H644" s="128">
        <f>IFERROR(__xludf.DUMMYFUNCTION("""COMPUTED_VALUE"""),43713.0)</f>
        <v>43713</v>
      </c>
      <c r="I644" s="27">
        <f>IFERROR(__xludf.DUMMYFUNCTION("""COMPUTED_VALUE"""),1.2055555555555555)</f>
        <v>1.205555556</v>
      </c>
      <c r="J644" s="29">
        <f>IFERROR(__xludf.DUMMYFUNCTION("""COMPUTED_VALUE"""),80.0)</f>
        <v>80</v>
      </c>
      <c r="K644" s="29">
        <f>IFERROR(__xludf.DUMMYFUNCTION("""COMPUTED_VALUE"""),7.0)</f>
        <v>7</v>
      </c>
      <c r="L644" s="31" t="str">
        <f>IFERROR(__xludf.DUMMYFUNCTION("""COMPUTED_VALUE"""),"Brawler")</f>
        <v>Brawler</v>
      </c>
    </row>
    <row r="645" hidden="1">
      <c r="A645" s="17" t="str">
        <f>IFERROR(__xludf.DUMMYFUNCTION("""COMPUTED_VALUE"""),"Star Renegades")</f>
        <v>Star Renegades</v>
      </c>
      <c r="B645" s="20" t="str">
        <f>IFERROR(__xludf.DUMMYFUNCTION("""COMPUTED_VALUE"""),"Xbox / PC")</f>
        <v>Xbox / PC</v>
      </c>
      <c r="C645" s="20" t="str">
        <f>IFERROR(__xludf.DUMMYFUNCTION("""COMPUTED_VALUE"""),"Touch Controls")</f>
        <v>Touch Controls</v>
      </c>
      <c r="D645" s="21" t="str">
        <f>IFERROR(__xludf.DUMMYFUNCTION("""COMPUTED_VALUE"""),"Removed")</f>
        <v>Removed</v>
      </c>
      <c r="E645" s="279">
        <f>IFERROR(__xludf.DUMMYFUNCTION("""COMPUTED_VALUE"""),44154.0)</f>
        <v>44154</v>
      </c>
      <c r="F645" s="24">
        <f>IFERROR(__xludf.DUMMYFUNCTION("""COMPUTED_VALUE"""),44515.0)</f>
        <v>44515</v>
      </c>
      <c r="G645" s="27">
        <f>IFERROR(__xludf.DUMMYFUNCTION("""COMPUTED_VALUE"""),11.866666666666667)</f>
        <v>11.86666667</v>
      </c>
      <c r="H645" s="128">
        <f>IFERROR(__xludf.DUMMYFUNCTION("""COMPUTED_VALUE"""),44082.0)</f>
        <v>44082</v>
      </c>
      <c r="I645" s="27">
        <f>IFERROR(__xludf.DUMMYFUNCTION("""COMPUTED_VALUE"""),0.19722222222222222)</f>
        <v>0.1972222222</v>
      </c>
      <c r="J645" s="277">
        <f>IFERROR(__xludf.DUMMYFUNCTION("""COMPUTED_VALUE"""),79.0)</f>
        <v>79</v>
      </c>
      <c r="K645" s="29">
        <f>IFERROR(__xludf.DUMMYFUNCTION("""COMPUTED_VALUE"""),8.5)</f>
        <v>8.5</v>
      </c>
      <c r="L645" s="275" t="str">
        <f>IFERROR(__xludf.DUMMYFUNCTION("""COMPUTED_VALUE"""),"RPG")</f>
        <v>RPG</v>
      </c>
    </row>
    <row r="646" hidden="1">
      <c r="A646" s="278" t="str">
        <f>IFERROR(__xludf.DUMMYFUNCTION("""COMPUTED_VALUE"""),"Final Fantasy VIII: Remastered")</f>
        <v>Final Fantasy VIII: Remastered</v>
      </c>
      <c r="B646" s="20" t="str">
        <f>IFERROR(__xludf.DUMMYFUNCTION("""COMPUTED_VALUE"""),"Xbox / PC")</f>
        <v>Xbox / PC</v>
      </c>
      <c r="C646" s="20"/>
      <c r="D646" s="21" t="str">
        <f>IFERROR(__xludf.DUMMYFUNCTION("""COMPUTED_VALUE"""),"Removed")</f>
        <v>Removed</v>
      </c>
      <c r="E646" s="279">
        <f>IFERROR(__xludf.DUMMYFUNCTION("""COMPUTED_VALUE"""),44147.0)</f>
        <v>44147</v>
      </c>
      <c r="F646" s="24">
        <f>IFERROR(__xludf.DUMMYFUNCTION("""COMPUTED_VALUE"""),44515.0)</f>
        <v>44515</v>
      </c>
      <c r="G646" s="27">
        <f>IFERROR(__xludf.DUMMYFUNCTION("""COMPUTED_VALUE"""),12.1)</f>
        <v>12.1</v>
      </c>
      <c r="H646" s="128">
        <f>IFERROR(__xludf.DUMMYFUNCTION("""COMPUTED_VALUE"""),43711.0)</f>
        <v>43711</v>
      </c>
      <c r="I646" s="27">
        <f>IFERROR(__xludf.DUMMYFUNCTION("""COMPUTED_VALUE"""),1.1916666666666667)</f>
        <v>1.191666667</v>
      </c>
      <c r="J646" s="29">
        <f>IFERROR(__xludf.DUMMYFUNCTION("""COMPUTED_VALUE"""),77.5)</f>
        <v>77.5</v>
      </c>
      <c r="K646" s="29">
        <f>IFERROR(__xludf.DUMMYFUNCTION("""COMPUTED_VALUE"""),41.5)</f>
        <v>41.5</v>
      </c>
      <c r="L646" s="275" t="str">
        <f>IFERROR(__xludf.DUMMYFUNCTION("""COMPUTED_VALUE"""),"RPG")</f>
        <v>RPG</v>
      </c>
    </row>
    <row r="647" hidden="1">
      <c r="A647" s="278" t="str">
        <f>IFERROR(__xludf.DUMMYFUNCTION("""COMPUTED_VALUE"""),"Planet Coaster")</f>
        <v>Planet Coaster</v>
      </c>
      <c r="B647" s="20" t="str">
        <f>IFERROR(__xludf.DUMMYFUNCTION("""COMPUTED_VALUE"""),"Xbox")</f>
        <v>Xbox</v>
      </c>
      <c r="C647" s="20" t="str">
        <f>IFERROR(__xludf.DUMMYFUNCTION("""COMPUTED_VALUE"""),"Yes")</f>
        <v>Yes</v>
      </c>
      <c r="D647" s="21" t="str">
        <f>IFERROR(__xludf.DUMMYFUNCTION("""COMPUTED_VALUE"""),"Removed")</f>
        <v>Removed</v>
      </c>
      <c r="E647" s="279">
        <f>IFERROR(__xludf.DUMMYFUNCTION("""COMPUTED_VALUE"""),44145.0)</f>
        <v>44145</v>
      </c>
      <c r="F647" s="24">
        <f>IFERROR(__xludf.DUMMYFUNCTION("""COMPUTED_VALUE"""),44515.0)</f>
        <v>44515</v>
      </c>
      <c r="G647" s="27">
        <f>IFERROR(__xludf.DUMMYFUNCTION("""COMPUTED_VALUE"""),12.166666666666666)</f>
        <v>12.16666667</v>
      </c>
      <c r="H647" s="128">
        <f>IFERROR(__xludf.DUMMYFUNCTION("""COMPUTED_VALUE"""),42691.0)</f>
        <v>42691</v>
      </c>
      <c r="I647" s="27">
        <f>IFERROR(__xludf.DUMMYFUNCTION("""COMPUTED_VALUE"""),3.9805555555555556)</f>
        <v>3.980555556</v>
      </c>
      <c r="J647" s="277">
        <f>IFERROR(__xludf.DUMMYFUNCTION("""COMPUTED_VALUE"""),85.0)</f>
        <v>85</v>
      </c>
      <c r="K647" s="29">
        <f>IFERROR(__xludf.DUMMYFUNCTION("""COMPUTED_VALUE"""),25.0)</f>
        <v>25</v>
      </c>
      <c r="L647" s="275" t="str">
        <f>IFERROR(__xludf.DUMMYFUNCTION("""COMPUTED_VALUE"""),"Simulation")</f>
        <v>Simulation</v>
      </c>
    </row>
    <row r="648" hidden="1">
      <c r="A648" s="17" t="str">
        <f>IFERROR(__xludf.DUMMYFUNCTION("""COMPUTED_VALUE"""),"Streets of Rogue")</f>
        <v>Streets of Rogue</v>
      </c>
      <c r="B648" s="20" t="str">
        <f>IFERROR(__xludf.DUMMYFUNCTION("""COMPUTED_VALUE"""),"Xbox / PC")</f>
        <v>Xbox / PC</v>
      </c>
      <c r="C648" s="20" t="str">
        <f>IFERROR(__xludf.DUMMYFUNCTION("""COMPUTED_VALUE"""),"Yes")</f>
        <v>Yes</v>
      </c>
      <c r="D648" s="21" t="str">
        <f>IFERROR(__xludf.DUMMYFUNCTION("""COMPUTED_VALUE"""),"Removed")</f>
        <v>Removed</v>
      </c>
      <c r="E648" s="128">
        <f>IFERROR(__xludf.DUMMYFUNCTION("""COMPUTED_VALUE"""),44007.0)</f>
        <v>44007</v>
      </c>
      <c r="F648" s="24">
        <f>IFERROR(__xludf.DUMMYFUNCTION("""COMPUTED_VALUE"""),44515.0)</f>
        <v>44515</v>
      </c>
      <c r="G648" s="27">
        <f>IFERROR(__xludf.DUMMYFUNCTION("""COMPUTED_VALUE"""),16.666666666666664)</f>
        <v>16.66666667</v>
      </c>
      <c r="H648" s="128">
        <f>IFERROR(__xludf.DUMMYFUNCTION("""COMPUTED_VALUE"""),43658.0)</f>
        <v>43658</v>
      </c>
      <c r="I648" s="27">
        <f>IFERROR(__xludf.DUMMYFUNCTION("""COMPUTED_VALUE"""),0.9527777777777777)</f>
        <v>0.9527777778</v>
      </c>
      <c r="J648" s="29">
        <f>IFERROR(__xludf.DUMMYFUNCTION("""COMPUTED_VALUE"""),82.0)</f>
        <v>82</v>
      </c>
      <c r="K648" s="29">
        <f>IFERROR(__xludf.DUMMYFUNCTION("""COMPUTED_VALUE"""),12.0)</f>
        <v>12</v>
      </c>
      <c r="L648" s="31" t="str">
        <f>IFERROR(__xludf.DUMMYFUNCTION("""COMPUTED_VALUE"""),"Shooter")</f>
        <v>Shooter</v>
      </c>
    </row>
    <row r="649" hidden="1">
      <c r="A649" s="17" t="str">
        <f>IFERROR(__xludf.DUMMYFUNCTION("""COMPUTED_VALUE"""),"The Gardens Between")</f>
        <v>The Gardens Between</v>
      </c>
      <c r="B649" s="20" t="str">
        <f>IFERROR(__xludf.DUMMYFUNCTION("""COMPUTED_VALUE"""),"Xbox / PC")</f>
        <v>Xbox / PC</v>
      </c>
      <c r="C649" s="20" t="str">
        <f>IFERROR(__xludf.DUMMYFUNCTION("""COMPUTED_VALUE"""),"Yes")</f>
        <v>Yes</v>
      </c>
      <c r="D649" s="21" t="str">
        <f>IFERROR(__xludf.DUMMYFUNCTION("""COMPUTED_VALUE"""),"Removed")</f>
        <v>Removed</v>
      </c>
      <c r="E649" s="23">
        <f>IFERROR(__xludf.DUMMYFUNCTION("""COMPUTED_VALUE"""),43433.0)</f>
        <v>43433</v>
      </c>
      <c r="F649" s="24">
        <f>IFERROR(__xludf.DUMMYFUNCTION("""COMPUTED_VALUE"""),44515.0)</f>
        <v>44515</v>
      </c>
      <c r="G649" s="27">
        <f>IFERROR(__xludf.DUMMYFUNCTION("""COMPUTED_VALUE"""),35.53333333333333)</f>
        <v>35.53333333</v>
      </c>
      <c r="H649" s="128">
        <f>IFERROR(__xludf.DUMMYFUNCTION("""COMPUTED_VALUE"""),43363.0)</f>
        <v>43363</v>
      </c>
      <c r="I649" s="27">
        <f>IFERROR(__xludf.DUMMYFUNCTION("""COMPUTED_VALUE"""),0.19166666666666668)</f>
        <v>0.1916666667</v>
      </c>
      <c r="J649" s="29">
        <f>IFERROR(__xludf.DUMMYFUNCTION("""COMPUTED_VALUE"""),82.0)</f>
        <v>82</v>
      </c>
      <c r="K649" s="29">
        <f>IFERROR(__xludf.DUMMYFUNCTION("""COMPUTED_VALUE"""),2.5)</f>
        <v>2.5</v>
      </c>
      <c r="L649" s="31" t="str">
        <f>IFERROR(__xludf.DUMMYFUNCTION("""COMPUTED_VALUE"""),"Puzzle")</f>
        <v>Puzzle</v>
      </c>
    </row>
    <row r="650" hidden="1">
      <c r="A650" s="17" t="str">
        <f>IFERROR(__xludf.DUMMYFUNCTION("""COMPUTED_VALUE"""),"Comanche")</f>
        <v>Comanche</v>
      </c>
      <c r="B650" s="20" t="str">
        <f>IFERROR(__xludf.DUMMYFUNCTION("""COMPUTED_VALUE"""),"PC")</f>
        <v>PC</v>
      </c>
      <c r="C650" s="20"/>
      <c r="D650" s="21" t="str">
        <f>IFERROR(__xludf.DUMMYFUNCTION("""COMPUTED_VALUE"""),"Removed")</f>
        <v>Removed</v>
      </c>
      <c r="E650" s="128">
        <f>IFERROR(__xludf.DUMMYFUNCTION("""COMPUTED_VALUE"""),44140.0)</f>
        <v>44140</v>
      </c>
      <c r="F650" s="24">
        <f>IFERROR(__xludf.DUMMYFUNCTION("""COMPUTED_VALUE"""),44500.0)</f>
        <v>44500</v>
      </c>
      <c r="G650" s="27">
        <f>IFERROR(__xludf.DUMMYFUNCTION("""COMPUTED_VALUE"""),11.833333333333334)</f>
        <v>11.83333333</v>
      </c>
      <c r="H650" s="128">
        <f>IFERROR(__xludf.DUMMYFUNCTION("""COMPUTED_VALUE"""),43902.0)</f>
        <v>43902</v>
      </c>
      <c r="I650" s="27">
        <f>IFERROR(__xludf.DUMMYFUNCTION("""COMPUTED_VALUE"""),0.6472222222222223)</f>
        <v>0.6472222222</v>
      </c>
      <c r="J650" s="29">
        <f>IFERROR(__xludf.DUMMYFUNCTION("""COMPUTED_VALUE"""),45.0)</f>
        <v>45</v>
      </c>
      <c r="K650" s="29">
        <f>IFERROR(__xludf.DUMMYFUNCTION("""COMPUTED_VALUE"""),5.0)</f>
        <v>5</v>
      </c>
      <c r="L650" s="31" t="str">
        <f>IFERROR(__xludf.DUMMYFUNCTION("""COMPUTED_VALUE"""),"Shooter")</f>
        <v>Shooter</v>
      </c>
    </row>
    <row r="651" hidden="1">
      <c r="A651" s="17" t="str">
        <f>IFERROR(__xludf.DUMMYFUNCTION("""COMPUTED_VALUE"""),"Eastshade")</f>
        <v>Eastshade</v>
      </c>
      <c r="B651" s="20" t="str">
        <f>IFERROR(__xludf.DUMMYFUNCTION("""COMPUTED_VALUE"""),"Xbox / PC")</f>
        <v>Xbox / PC</v>
      </c>
      <c r="C651" s="20" t="str">
        <f>IFERROR(__xludf.DUMMYFUNCTION("""COMPUTED_VALUE"""),"Touch Controls")</f>
        <v>Touch Controls</v>
      </c>
      <c r="D651" s="21" t="str">
        <f>IFERROR(__xludf.DUMMYFUNCTION("""COMPUTED_VALUE"""),"Removed")</f>
        <v>Removed</v>
      </c>
      <c r="E651" s="23">
        <f>IFERROR(__xludf.DUMMYFUNCTION("""COMPUTED_VALUE"""),44140.0)</f>
        <v>44140</v>
      </c>
      <c r="F651" s="24">
        <f>IFERROR(__xludf.DUMMYFUNCTION("""COMPUTED_VALUE"""),44500.0)</f>
        <v>44500</v>
      </c>
      <c r="G651" s="27">
        <f>IFERROR(__xludf.DUMMYFUNCTION("""COMPUTED_VALUE"""),11.833333333333334)</f>
        <v>11.83333333</v>
      </c>
      <c r="H651" s="128">
        <f>IFERROR(__xludf.DUMMYFUNCTION("""COMPUTED_VALUE"""),43509.0)</f>
        <v>43509</v>
      </c>
      <c r="I651" s="27">
        <f>IFERROR(__xludf.DUMMYFUNCTION("""COMPUTED_VALUE"""),1.7277777777777779)</f>
        <v>1.727777778</v>
      </c>
      <c r="J651" s="29">
        <f>IFERROR(__xludf.DUMMYFUNCTION("""COMPUTED_VALUE"""),78.0)</f>
        <v>78</v>
      </c>
      <c r="K651" s="29">
        <f>IFERROR(__xludf.DUMMYFUNCTION("""COMPUTED_VALUE"""),11.5)</f>
        <v>11.5</v>
      </c>
      <c r="L651" s="31" t="str">
        <f>IFERROR(__xludf.DUMMYFUNCTION("""COMPUTED_VALUE"""),"Adventure")</f>
        <v>Adventure</v>
      </c>
    </row>
    <row r="652" hidden="1">
      <c r="A652" s="17" t="str">
        <f>IFERROR(__xludf.DUMMYFUNCTION("""COMPUTED_VALUE"""),"Knights and Bikes")</f>
        <v>Knights and Bikes</v>
      </c>
      <c r="B652" s="20" t="str">
        <f>IFERROR(__xludf.DUMMYFUNCTION("""COMPUTED_VALUE"""),"Xbox / PC")</f>
        <v>Xbox / PC</v>
      </c>
      <c r="C652" s="20"/>
      <c r="D652" s="21" t="str">
        <f>IFERROR(__xludf.DUMMYFUNCTION("""COMPUTED_VALUE"""),"Removed")</f>
        <v>Removed</v>
      </c>
      <c r="E652" s="128">
        <f>IFERROR(__xludf.DUMMYFUNCTION("""COMPUTED_VALUE"""),44140.0)</f>
        <v>44140</v>
      </c>
      <c r="F652" s="24">
        <f>IFERROR(__xludf.DUMMYFUNCTION("""COMPUTED_VALUE"""),44500.0)</f>
        <v>44500</v>
      </c>
      <c r="G652" s="27">
        <f>IFERROR(__xludf.DUMMYFUNCTION("""COMPUTED_VALUE"""),11.833333333333334)</f>
        <v>11.83333333</v>
      </c>
      <c r="H652" s="128">
        <f>IFERROR(__xludf.DUMMYFUNCTION("""COMPUTED_VALUE"""),43704.0)</f>
        <v>43704</v>
      </c>
      <c r="I652" s="27">
        <f>IFERROR(__xludf.DUMMYFUNCTION("""COMPUTED_VALUE"""),1.1888888888888889)</f>
        <v>1.188888889</v>
      </c>
      <c r="J652" s="29">
        <f>IFERROR(__xludf.DUMMYFUNCTION("""COMPUTED_VALUE"""),79.0)</f>
        <v>79</v>
      </c>
      <c r="K652" s="29">
        <f>IFERROR(__xludf.DUMMYFUNCTION("""COMPUTED_VALUE"""),7.5)</f>
        <v>7.5</v>
      </c>
      <c r="L652" s="31" t="str">
        <f>IFERROR(__xludf.DUMMYFUNCTION("""COMPUTED_VALUE"""),"RPG")</f>
        <v>RPG</v>
      </c>
    </row>
    <row r="653" hidden="1">
      <c r="A653" s="17" t="str">
        <f>IFERROR(__xludf.DUMMYFUNCTION("""COMPUTED_VALUE"""),"Five Nights at Freddy's")</f>
        <v>Five Nights at Freddy's</v>
      </c>
      <c r="B653" s="20" t="str">
        <f>IFERROR(__xludf.DUMMYFUNCTION("""COMPUTED_VALUE"""),"Xbox / PC")</f>
        <v>Xbox / PC</v>
      </c>
      <c r="C653" s="20" t="str">
        <f>IFERROR(__xludf.DUMMYFUNCTION("""COMPUTED_VALUE"""),"Yes")</f>
        <v>Yes</v>
      </c>
      <c r="D653" s="21" t="str">
        <f>IFERROR(__xludf.DUMMYFUNCTION("""COMPUTED_VALUE"""),"Removed")</f>
        <v>Removed</v>
      </c>
      <c r="E653" s="128">
        <f>IFERROR(__xludf.DUMMYFUNCTION("""COMPUTED_VALUE"""),44133.0)</f>
        <v>44133</v>
      </c>
      <c r="F653" s="24">
        <f>IFERROR(__xludf.DUMMYFUNCTION("""COMPUTED_VALUE"""),44500.0)</f>
        <v>44500</v>
      </c>
      <c r="G653" s="27">
        <f>IFERROR(__xludf.DUMMYFUNCTION("""COMPUTED_VALUE"""),12.033333333333333)</f>
        <v>12.03333333</v>
      </c>
      <c r="H653" s="128">
        <f>IFERROR(__xludf.DUMMYFUNCTION("""COMPUTED_VALUE"""),41869.0)</f>
        <v>41869</v>
      </c>
      <c r="I653" s="27">
        <f>IFERROR(__xludf.DUMMYFUNCTION("""COMPUTED_VALUE"""),6.197222222222222)</f>
        <v>6.197222222</v>
      </c>
      <c r="J653" s="29">
        <f>IFERROR(__xludf.DUMMYFUNCTION("""COMPUTED_VALUE"""),78.0)</f>
        <v>78</v>
      </c>
      <c r="K653" s="29">
        <f>IFERROR(__xludf.DUMMYFUNCTION("""COMPUTED_VALUE"""),2.0)</f>
        <v>2</v>
      </c>
      <c r="L653" s="31" t="str">
        <f>IFERROR(__xludf.DUMMYFUNCTION("""COMPUTED_VALUE"""),"Strategy")</f>
        <v>Strategy</v>
      </c>
    </row>
    <row r="654" hidden="1">
      <c r="A654" s="17" t="str">
        <f>IFERROR(__xludf.DUMMYFUNCTION("""COMPUTED_VALUE"""),"Five Nights at Freddy's 2")</f>
        <v>Five Nights at Freddy's 2</v>
      </c>
      <c r="B654" s="20" t="str">
        <f>IFERROR(__xludf.DUMMYFUNCTION("""COMPUTED_VALUE"""),"Xbox / PC")</f>
        <v>Xbox / PC</v>
      </c>
      <c r="C654" s="20" t="str">
        <f>IFERROR(__xludf.DUMMYFUNCTION("""COMPUTED_VALUE"""),"Yes")</f>
        <v>Yes</v>
      </c>
      <c r="D654" s="21" t="str">
        <f>IFERROR(__xludf.DUMMYFUNCTION("""COMPUTED_VALUE"""),"Removed")</f>
        <v>Removed</v>
      </c>
      <c r="E654" s="128">
        <f>IFERROR(__xludf.DUMMYFUNCTION("""COMPUTED_VALUE"""),44133.0)</f>
        <v>44133</v>
      </c>
      <c r="F654" s="24">
        <f>IFERROR(__xludf.DUMMYFUNCTION("""COMPUTED_VALUE"""),44500.0)</f>
        <v>44500</v>
      </c>
      <c r="G654" s="27">
        <f>IFERROR(__xludf.DUMMYFUNCTION("""COMPUTED_VALUE"""),12.033333333333333)</f>
        <v>12.03333333</v>
      </c>
      <c r="H654" s="128">
        <f>IFERROR(__xludf.DUMMYFUNCTION("""COMPUTED_VALUE"""),41953.0)</f>
        <v>41953</v>
      </c>
      <c r="I654" s="27">
        <f>IFERROR(__xludf.DUMMYFUNCTION("""COMPUTED_VALUE"""),5.969444444444444)</f>
        <v>5.969444444</v>
      </c>
      <c r="J654" s="29">
        <f>IFERROR(__xludf.DUMMYFUNCTION("""COMPUTED_VALUE"""),62.0)</f>
        <v>62</v>
      </c>
      <c r="K654" s="29">
        <f>IFERROR(__xludf.DUMMYFUNCTION("""COMPUTED_VALUE"""),2.5)</f>
        <v>2.5</v>
      </c>
      <c r="L654" s="31" t="str">
        <f>IFERROR(__xludf.DUMMYFUNCTION("""COMPUTED_VALUE"""),"Strategy")</f>
        <v>Strategy</v>
      </c>
    </row>
    <row r="655" hidden="1">
      <c r="A655" s="17" t="str">
        <f>IFERROR(__xludf.DUMMYFUNCTION("""COMPUTED_VALUE"""),"Five Nights at Freddy's 3")</f>
        <v>Five Nights at Freddy's 3</v>
      </c>
      <c r="B655" s="20" t="str">
        <f>IFERROR(__xludf.DUMMYFUNCTION("""COMPUTED_VALUE"""),"Xbox / PC")</f>
        <v>Xbox / PC</v>
      </c>
      <c r="C655" s="20" t="str">
        <f>IFERROR(__xludf.DUMMYFUNCTION("""COMPUTED_VALUE"""),"Yes")</f>
        <v>Yes</v>
      </c>
      <c r="D655" s="21" t="str">
        <f>IFERROR(__xludf.DUMMYFUNCTION("""COMPUTED_VALUE"""),"Removed")</f>
        <v>Removed</v>
      </c>
      <c r="E655" s="127">
        <f>IFERROR(__xludf.DUMMYFUNCTION("""COMPUTED_VALUE"""),44133.0)</f>
        <v>44133</v>
      </c>
      <c r="F655" s="24">
        <f>IFERROR(__xludf.DUMMYFUNCTION("""COMPUTED_VALUE"""),44500.0)</f>
        <v>44500</v>
      </c>
      <c r="G655" s="27">
        <f>IFERROR(__xludf.DUMMYFUNCTION("""COMPUTED_VALUE"""),12.033333333333333)</f>
        <v>12.03333333</v>
      </c>
      <c r="H655" s="128">
        <f>IFERROR(__xludf.DUMMYFUNCTION("""COMPUTED_VALUE"""),42065.0)</f>
        <v>42065</v>
      </c>
      <c r="I655" s="27">
        <f>IFERROR(__xludf.DUMMYFUNCTION("""COMPUTED_VALUE"""),5.658333333333333)</f>
        <v>5.658333333</v>
      </c>
      <c r="J655" s="29">
        <f>IFERROR(__xludf.DUMMYFUNCTION("""COMPUTED_VALUE"""),68.0)</f>
        <v>68</v>
      </c>
      <c r="K655" s="29">
        <f>IFERROR(__xludf.DUMMYFUNCTION("""COMPUTED_VALUE"""),2.0)</f>
        <v>2</v>
      </c>
      <c r="L655" s="31" t="str">
        <f>IFERROR(__xludf.DUMMYFUNCTION("""COMPUTED_VALUE"""),"Adventure")</f>
        <v>Adventure</v>
      </c>
    </row>
    <row r="656" hidden="1">
      <c r="A656" s="278" t="str">
        <f>IFERROR(__xludf.DUMMYFUNCTION("""COMPUTED_VALUE"""),"Five Nights at Freddy's 4")</f>
        <v>Five Nights at Freddy's 4</v>
      </c>
      <c r="B656" s="20" t="str">
        <f>IFERROR(__xludf.DUMMYFUNCTION("""COMPUTED_VALUE"""),"Xbox / PC")</f>
        <v>Xbox / PC</v>
      </c>
      <c r="C656" s="20" t="str">
        <f>IFERROR(__xludf.DUMMYFUNCTION("""COMPUTED_VALUE"""),"Yes")</f>
        <v>Yes</v>
      </c>
      <c r="D656" s="21" t="str">
        <f>IFERROR(__xludf.DUMMYFUNCTION("""COMPUTED_VALUE"""),"Removed")</f>
        <v>Removed</v>
      </c>
      <c r="E656" s="279">
        <f>IFERROR(__xludf.DUMMYFUNCTION("""COMPUTED_VALUE"""),44133.0)</f>
        <v>44133</v>
      </c>
      <c r="F656" s="24">
        <f>IFERROR(__xludf.DUMMYFUNCTION("""COMPUTED_VALUE"""),44500.0)</f>
        <v>44500</v>
      </c>
      <c r="G656" s="27">
        <f>IFERROR(__xludf.DUMMYFUNCTION("""COMPUTED_VALUE"""),12.033333333333333)</f>
        <v>12.03333333</v>
      </c>
      <c r="H656" s="128">
        <f>IFERROR(__xludf.DUMMYFUNCTION("""COMPUTED_VALUE"""),42208.0)</f>
        <v>42208</v>
      </c>
      <c r="I656" s="27">
        <f>IFERROR(__xludf.DUMMYFUNCTION("""COMPUTED_VALUE"""),5.266666666666667)</f>
        <v>5.266666667</v>
      </c>
      <c r="J656" s="277">
        <f>IFERROR(__xludf.DUMMYFUNCTION("""COMPUTED_VALUE"""),51.0)</f>
        <v>51</v>
      </c>
      <c r="K656" s="29">
        <f>IFERROR(__xludf.DUMMYFUNCTION("""COMPUTED_VALUE"""),2.0)</f>
        <v>2</v>
      </c>
      <c r="L656" s="275" t="str">
        <f>IFERROR(__xludf.DUMMYFUNCTION("""COMPUTED_VALUE"""),"Adventure")</f>
        <v>Adventure</v>
      </c>
    </row>
    <row r="657" hidden="1">
      <c r="A657" s="278" t="str">
        <f>IFERROR(__xludf.DUMMYFUNCTION("""COMPUTED_VALUE"""),"Unruly Heroes")</f>
        <v>Unruly Heroes</v>
      </c>
      <c r="B657" s="20" t="str">
        <f>IFERROR(__xludf.DUMMYFUNCTION("""COMPUTED_VALUE"""),"Xbox / PC")</f>
        <v>Xbox / PC</v>
      </c>
      <c r="C657" s="20" t="str">
        <f>IFERROR(__xludf.DUMMYFUNCTION("""COMPUTED_VALUE"""),"Yes")</f>
        <v>Yes</v>
      </c>
      <c r="D657" s="21" t="str">
        <f>IFERROR(__xludf.DUMMYFUNCTION("""COMPUTED_VALUE"""),"Removed")</f>
        <v>Removed</v>
      </c>
      <c r="E657" s="279">
        <f>IFERROR(__xludf.DUMMYFUNCTION("""COMPUTED_VALUE"""),44133.0)</f>
        <v>44133</v>
      </c>
      <c r="F657" s="24">
        <f>IFERROR(__xludf.DUMMYFUNCTION("""COMPUTED_VALUE"""),44500.0)</f>
        <v>44500</v>
      </c>
      <c r="G657" s="27">
        <f>IFERROR(__xludf.DUMMYFUNCTION("""COMPUTED_VALUE"""),12.033333333333333)</f>
        <v>12.03333333</v>
      </c>
      <c r="H657" s="128">
        <f>IFERROR(__xludf.DUMMYFUNCTION("""COMPUTED_VALUE"""),43488.0)</f>
        <v>43488</v>
      </c>
      <c r="I657" s="27">
        <f>IFERROR(__xludf.DUMMYFUNCTION("""COMPUTED_VALUE"""),1.7666666666666666)</f>
        <v>1.766666667</v>
      </c>
      <c r="J657" s="277">
        <f>IFERROR(__xludf.DUMMYFUNCTION("""COMPUTED_VALUE"""),79.0)</f>
        <v>79</v>
      </c>
      <c r="K657" s="29">
        <f>IFERROR(__xludf.DUMMYFUNCTION("""COMPUTED_VALUE"""),8.0)</f>
        <v>8</v>
      </c>
      <c r="L657" s="275" t="str">
        <f>IFERROR(__xludf.DUMMYFUNCTION("""COMPUTED_VALUE"""),"Platformer")</f>
        <v>Platformer</v>
      </c>
    </row>
    <row r="658" hidden="1">
      <c r="A658" s="278" t="str">
        <f>IFERROR(__xludf.DUMMYFUNCTION("""COMPUTED_VALUE"""),"Carto")</f>
        <v>Carto</v>
      </c>
      <c r="B658" s="20" t="str">
        <f>IFERROR(__xludf.DUMMYFUNCTION("""COMPUTED_VALUE"""),"Xbox / PC")</f>
        <v>Xbox / PC</v>
      </c>
      <c r="C658" s="20"/>
      <c r="D658" s="21" t="str">
        <f>IFERROR(__xludf.DUMMYFUNCTION("""COMPUTED_VALUE"""),"Removed")</f>
        <v>Removed</v>
      </c>
      <c r="E658" s="279">
        <f>IFERROR(__xludf.DUMMYFUNCTION("""COMPUTED_VALUE"""),44131.0)</f>
        <v>44131</v>
      </c>
      <c r="F658" s="24">
        <f>IFERROR(__xludf.DUMMYFUNCTION("""COMPUTED_VALUE"""),44500.0)</f>
        <v>44500</v>
      </c>
      <c r="G658" s="27">
        <f>IFERROR(__xludf.DUMMYFUNCTION("""COMPUTED_VALUE"""),12.1)</f>
        <v>12.1</v>
      </c>
      <c r="H658" s="128">
        <f>IFERROR(__xludf.DUMMYFUNCTION("""COMPUTED_VALUE"""),44131.0)</f>
        <v>44131</v>
      </c>
      <c r="I658" s="27">
        <f>IFERROR(__xludf.DUMMYFUNCTION("""COMPUTED_VALUE"""),0.0)</f>
        <v>0</v>
      </c>
      <c r="J658" s="29">
        <f>IFERROR(__xludf.DUMMYFUNCTION("""COMPUTED_VALUE"""),73.0)</f>
        <v>73</v>
      </c>
      <c r="K658" s="29">
        <f>IFERROR(__xludf.DUMMYFUNCTION("""COMPUTED_VALUE"""),6.0)</f>
        <v>6</v>
      </c>
      <c r="L658" s="275" t="str">
        <f>IFERROR(__xludf.DUMMYFUNCTION("""COMPUTED_VALUE"""),"Puzzle")</f>
        <v>Puzzle</v>
      </c>
    </row>
    <row r="659" hidden="1">
      <c r="A659" s="278" t="str">
        <f>IFERROR(__xludf.DUMMYFUNCTION("""COMPUTED_VALUE"""),"Home Behind")</f>
        <v>Home Behind</v>
      </c>
      <c r="B659" s="20" t="str">
        <f>IFERROR(__xludf.DUMMYFUNCTION("""COMPUTED_VALUE"""),"PC")</f>
        <v>PC</v>
      </c>
      <c r="C659" s="20"/>
      <c r="D659" s="21" t="str">
        <f>IFERROR(__xludf.DUMMYFUNCTION("""COMPUTED_VALUE"""),"Removed")</f>
        <v>Removed</v>
      </c>
      <c r="E659" s="23">
        <f>IFERROR(__xludf.DUMMYFUNCTION("""COMPUTED_VALUE"""),44273.0)</f>
        <v>44273</v>
      </c>
      <c r="F659" s="24">
        <f>IFERROR(__xludf.DUMMYFUNCTION("""COMPUTED_VALUE"""),44492.0)</f>
        <v>44492</v>
      </c>
      <c r="G659" s="27">
        <f>IFERROR(__xludf.DUMMYFUNCTION("""COMPUTED_VALUE"""),7.166666666666666)</f>
        <v>7.166666667</v>
      </c>
      <c r="H659" s="128">
        <f>IFERROR(__xludf.DUMMYFUNCTION("""COMPUTED_VALUE"""),42992.0)</f>
        <v>42992</v>
      </c>
      <c r="I659" s="27">
        <f>IFERROR(__xludf.DUMMYFUNCTION("""COMPUTED_VALUE"""),3.511111111111111)</f>
        <v>3.511111111</v>
      </c>
      <c r="J659" s="29">
        <f>IFERROR(__xludf.DUMMYFUNCTION("""COMPUTED_VALUE"""),83.0)</f>
        <v>83</v>
      </c>
      <c r="K659" s="29">
        <f>IFERROR(__xludf.DUMMYFUNCTION("""COMPUTED_VALUE"""),7.5)</f>
        <v>7.5</v>
      </c>
      <c r="L659" s="275" t="str">
        <f>IFERROR(__xludf.DUMMYFUNCTION("""COMPUTED_VALUE"""),"Adventure")</f>
        <v>Adventure</v>
      </c>
    </row>
    <row r="660" hidden="1">
      <c r="A660" s="17" t="str">
        <f>IFERROR(__xludf.DUMMYFUNCTION("""COMPUTED_VALUE"""),"Shio")</f>
        <v>Shio</v>
      </c>
      <c r="B660" s="20" t="str">
        <f>IFERROR(__xludf.DUMMYFUNCTION("""COMPUTED_VALUE"""),"PC")</f>
        <v>PC</v>
      </c>
      <c r="C660" s="21"/>
      <c r="D660" s="21" t="str">
        <f>IFERROR(__xludf.DUMMYFUNCTION("""COMPUTED_VALUE"""),"Removed")</f>
        <v>Removed</v>
      </c>
      <c r="E660" s="23">
        <f>IFERROR(__xludf.DUMMYFUNCTION("""COMPUTED_VALUE"""),44273.0)</f>
        <v>44273</v>
      </c>
      <c r="F660" s="24">
        <f>IFERROR(__xludf.DUMMYFUNCTION("""COMPUTED_VALUE"""),44492.0)</f>
        <v>44492</v>
      </c>
      <c r="G660" s="27">
        <f>IFERROR(__xludf.DUMMYFUNCTION("""COMPUTED_VALUE"""),7.166666666666666)</f>
        <v>7.166666667</v>
      </c>
      <c r="H660" s="128">
        <f>IFERROR(__xludf.DUMMYFUNCTION("""COMPUTED_VALUE"""),43242.0)</f>
        <v>43242</v>
      </c>
      <c r="I660" s="27">
        <f>IFERROR(__xludf.DUMMYFUNCTION("""COMPUTED_VALUE"""),2.8222222222222224)</f>
        <v>2.822222222</v>
      </c>
      <c r="J660" s="29">
        <f>IFERROR(__xludf.DUMMYFUNCTION("""COMPUTED_VALUE"""),73.0)</f>
        <v>73</v>
      </c>
      <c r="K660" s="29">
        <f>IFERROR(__xludf.DUMMYFUNCTION("""COMPUTED_VALUE"""),4.0)</f>
        <v>4</v>
      </c>
      <c r="L660" s="31" t="str">
        <f>IFERROR(__xludf.DUMMYFUNCTION("""COMPUTED_VALUE"""),"Platformer")</f>
        <v>Platformer</v>
      </c>
    </row>
    <row r="661" hidden="1">
      <c r="A661" s="17" t="str">
        <f>IFERROR(__xludf.DUMMYFUNCTION("""COMPUTED_VALUE"""),"Shantae: Half-Genie Hero")</f>
        <v>Shantae: Half-Genie Hero</v>
      </c>
      <c r="B661" s="20" t="str">
        <f>IFERROR(__xludf.DUMMYFUNCTION("""COMPUTED_VALUE"""),"PC")</f>
        <v>PC</v>
      </c>
      <c r="C661" s="20"/>
      <c r="D661" s="21" t="str">
        <f>IFERROR(__xludf.DUMMYFUNCTION("""COMPUTED_VALUE"""),"Removed")</f>
        <v>Removed</v>
      </c>
      <c r="E661" s="23">
        <f>IFERROR(__xludf.DUMMYFUNCTION("""COMPUTED_VALUE"""),43374.0)</f>
        <v>43374</v>
      </c>
      <c r="F661" s="24">
        <f>IFERROR(__xludf.DUMMYFUNCTION("""COMPUTED_VALUE"""),44492.0)</f>
        <v>44492</v>
      </c>
      <c r="G661" s="27">
        <f>IFERROR(__xludf.DUMMYFUNCTION("""COMPUTED_VALUE"""),36.733333333333334)</f>
        <v>36.73333333</v>
      </c>
      <c r="H661" s="128">
        <f>IFERROR(__xludf.DUMMYFUNCTION("""COMPUTED_VALUE"""),42724.0)</f>
        <v>42724</v>
      </c>
      <c r="I661" s="27">
        <f>IFERROR(__xludf.DUMMYFUNCTION("""COMPUTED_VALUE"""),1.7805555555555554)</f>
        <v>1.780555556</v>
      </c>
      <c r="J661" s="29">
        <f>IFERROR(__xludf.DUMMYFUNCTION("""COMPUTED_VALUE"""),76.0)</f>
        <v>76</v>
      </c>
      <c r="K661" s="29">
        <f>IFERROR(__xludf.DUMMYFUNCTION("""COMPUTED_VALUE"""),6.0)</f>
        <v>6</v>
      </c>
      <c r="L661" s="31" t="str">
        <f>IFERROR(__xludf.DUMMYFUNCTION("""COMPUTED_VALUE"""),"Platformer")</f>
        <v>Platformer</v>
      </c>
    </row>
    <row r="662" hidden="1">
      <c r="A662" s="17" t="str">
        <f>IFERROR(__xludf.DUMMYFUNCTION("""COMPUTED_VALUE"""),"GoNNER2")</f>
        <v>GoNNER2</v>
      </c>
      <c r="B662" s="20" t="str">
        <f>IFERROR(__xludf.DUMMYFUNCTION("""COMPUTED_VALUE"""),"Xbox / PC")</f>
        <v>Xbox / PC</v>
      </c>
      <c r="C662" s="20" t="str">
        <f>IFERROR(__xludf.DUMMYFUNCTION("""COMPUTED_VALUE"""),"Touch Controls")</f>
        <v>Touch Controls</v>
      </c>
      <c r="D662" s="21" t="str">
        <f>IFERROR(__xludf.DUMMYFUNCTION("""COMPUTED_VALUE"""),"Removed")</f>
        <v>Removed</v>
      </c>
      <c r="E662" s="127">
        <f>IFERROR(__xludf.DUMMYFUNCTION("""COMPUTED_VALUE"""),44127.0)</f>
        <v>44127</v>
      </c>
      <c r="F662" s="276">
        <f>IFERROR(__xludf.DUMMYFUNCTION("""COMPUTED_VALUE"""),44484.0)</f>
        <v>44484</v>
      </c>
      <c r="G662" s="27">
        <f>IFERROR(__xludf.DUMMYFUNCTION("""COMPUTED_VALUE"""),11.733333333333333)</f>
        <v>11.73333333</v>
      </c>
      <c r="H662" s="128">
        <f>IFERROR(__xludf.DUMMYFUNCTION("""COMPUTED_VALUE"""),44126.0)</f>
        <v>44126</v>
      </c>
      <c r="I662" s="27">
        <f>IFERROR(__xludf.DUMMYFUNCTION("""COMPUTED_VALUE"""),0.002777777777777778)</f>
        <v>0.002777777778</v>
      </c>
      <c r="J662" s="29">
        <f>IFERROR(__xludf.DUMMYFUNCTION("""COMPUTED_VALUE"""),75.0)</f>
        <v>75</v>
      </c>
      <c r="K662" s="29">
        <f>IFERROR(__xludf.DUMMYFUNCTION("""COMPUTED_VALUE"""),7.0)</f>
        <v>7</v>
      </c>
      <c r="L662" s="31" t="str">
        <f>IFERROR(__xludf.DUMMYFUNCTION("""COMPUTED_VALUE"""),"Platformer")</f>
        <v>Platformer</v>
      </c>
    </row>
    <row r="663" hidden="1">
      <c r="A663" s="17" t="str">
        <f>IFERROR(__xludf.DUMMYFUNCTION("""COMPUTED_VALUE"""),"Heave Ho")</f>
        <v>Heave Ho</v>
      </c>
      <c r="B663" s="20" t="str">
        <f>IFERROR(__xludf.DUMMYFUNCTION("""COMPUTED_VALUE"""),"PC")</f>
        <v>PC</v>
      </c>
      <c r="C663" s="20"/>
      <c r="D663" s="21" t="str">
        <f>IFERROR(__xludf.DUMMYFUNCTION("""COMPUTED_VALUE"""),"Removed")</f>
        <v>Removed</v>
      </c>
      <c r="E663" s="23">
        <f>IFERROR(__xludf.DUMMYFUNCTION("""COMPUTED_VALUE"""),44119.0)</f>
        <v>44119</v>
      </c>
      <c r="F663" s="24">
        <f>IFERROR(__xludf.DUMMYFUNCTION("""COMPUTED_VALUE"""),44484.0)</f>
        <v>44484</v>
      </c>
      <c r="G663" s="27">
        <f>IFERROR(__xludf.DUMMYFUNCTION("""COMPUTED_VALUE"""),12.0)</f>
        <v>12</v>
      </c>
      <c r="H663" s="128">
        <f>IFERROR(__xludf.DUMMYFUNCTION("""COMPUTED_VALUE"""),43706.0)</f>
        <v>43706</v>
      </c>
      <c r="I663" s="27">
        <f>IFERROR(__xludf.DUMMYFUNCTION("""COMPUTED_VALUE"""),1.1277777777777778)</f>
        <v>1.127777778</v>
      </c>
      <c r="J663" s="29">
        <f>IFERROR(__xludf.DUMMYFUNCTION("""COMPUTED_VALUE"""),76.0)</f>
        <v>76</v>
      </c>
      <c r="K663" s="29">
        <f>IFERROR(__xludf.DUMMYFUNCTION("""COMPUTED_VALUE"""),3.5)</f>
        <v>3.5</v>
      </c>
      <c r="L663" s="31" t="str">
        <f>IFERROR(__xludf.DUMMYFUNCTION("""COMPUTED_VALUE"""),"Platformer")</f>
        <v>Platformer</v>
      </c>
    </row>
    <row r="664" hidden="1">
      <c r="A664" s="17" t="str">
        <f>IFERROR(__xludf.DUMMYFUNCTION("""COMPUTED_VALUE"""),"Katana Zero")</f>
        <v>Katana Zero</v>
      </c>
      <c r="B664" s="20" t="str">
        <f>IFERROR(__xludf.DUMMYFUNCTION("""COMPUTED_VALUE"""),"Xbox / PC")</f>
        <v>Xbox / PC</v>
      </c>
      <c r="C664" s="20" t="str">
        <f>IFERROR(__xludf.DUMMYFUNCTION("""COMPUTED_VALUE"""),"Yes")</f>
        <v>Yes</v>
      </c>
      <c r="D664" s="21" t="str">
        <f>IFERROR(__xludf.DUMMYFUNCTION("""COMPUTED_VALUE"""),"Removed")</f>
        <v>Removed</v>
      </c>
      <c r="E664" s="23">
        <f>IFERROR(__xludf.DUMMYFUNCTION("""COMPUTED_VALUE"""),44119.0)</f>
        <v>44119</v>
      </c>
      <c r="F664" s="24">
        <f>IFERROR(__xludf.DUMMYFUNCTION("""COMPUTED_VALUE"""),44484.0)</f>
        <v>44484</v>
      </c>
      <c r="G664" s="27">
        <f>IFERROR(__xludf.DUMMYFUNCTION("""COMPUTED_VALUE"""),12.0)</f>
        <v>12</v>
      </c>
      <c r="H664" s="128">
        <f>IFERROR(__xludf.DUMMYFUNCTION("""COMPUTED_VALUE"""),43572.0)</f>
        <v>43572</v>
      </c>
      <c r="I664" s="27">
        <f>IFERROR(__xludf.DUMMYFUNCTION("""COMPUTED_VALUE"""),1.4944444444444445)</f>
        <v>1.494444444</v>
      </c>
      <c r="J664" s="29">
        <f>IFERROR(__xludf.DUMMYFUNCTION("""COMPUTED_VALUE"""),83.0)</f>
        <v>83</v>
      </c>
      <c r="K664" s="29">
        <f>IFERROR(__xludf.DUMMYFUNCTION("""COMPUTED_VALUE"""),4.5)</f>
        <v>4.5</v>
      </c>
      <c r="L664" s="31" t="str">
        <f>IFERROR(__xludf.DUMMYFUNCTION("""COMPUTED_VALUE"""),"Platformer")</f>
        <v>Platformer</v>
      </c>
    </row>
    <row r="665" hidden="1">
      <c r="A665" s="17" t="str">
        <f>IFERROR(__xludf.DUMMYFUNCTION("""COMPUTED_VALUE"""),"Tales of Vesperia: Definitive Edition")</f>
        <v>Tales of Vesperia: Definitive Edition</v>
      </c>
      <c r="B665" s="20" t="str">
        <f>IFERROR(__xludf.DUMMYFUNCTION("""COMPUTED_VALUE"""),"Xbox / PC")</f>
        <v>Xbox / PC</v>
      </c>
      <c r="C665" s="20"/>
      <c r="D665" s="21" t="str">
        <f>IFERROR(__xludf.DUMMYFUNCTION("""COMPUTED_VALUE"""),"Removed")</f>
        <v>Removed</v>
      </c>
      <c r="E665" s="23">
        <f>IFERROR(__xludf.DUMMYFUNCTION("""COMPUTED_VALUE"""),44119.0)</f>
        <v>44119</v>
      </c>
      <c r="F665" s="24">
        <f>IFERROR(__xludf.DUMMYFUNCTION("""COMPUTED_VALUE"""),44484.0)</f>
        <v>44484</v>
      </c>
      <c r="G665" s="27">
        <f>IFERROR(__xludf.DUMMYFUNCTION("""COMPUTED_VALUE"""),12.0)</f>
        <v>12</v>
      </c>
      <c r="H665" s="128">
        <f>IFERROR(__xludf.DUMMYFUNCTION("""COMPUTED_VALUE"""),43476.0)</f>
        <v>43476</v>
      </c>
      <c r="I665" s="27">
        <f>IFERROR(__xludf.DUMMYFUNCTION("""COMPUTED_VALUE"""),1.761111111111111)</f>
        <v>1.761111111</v>
      </c>
      <c r="J665" s="29">
        <f>IFERROR(__xludf.DUMMYFUNCTION("""COMPUTED_VALUE"""),80.0)</f>
        <v>80</v>
      </c>
      <c r="K665" s="29">
        <f>IFERROR(__xludf.DUMMYFUNCTION("""COMPUTED_VALUE"""),46.0)</f>
        <v>46</v>
      </c>
      <c r="L665" s="275" t="str">
        <f>IFERROR(__xludf.DUMMYFUNCTION("""COMPUTED_VALUE"""),"RPG")</f>
        <v>RPG</v>
      </c>
    </row>
    <row r="666" hidden="1">
      <c r="A666" s="17" t="str">
        <f>IFERROR(__xludf.DUMMYFUNCTION("""COMPUTED_VALUE"""),"The Swords of Ditto: Mormo's Curse")</f>
        <v>The Swords of Ditto: Mormo's Curse</v>
      </c>
      <c r="B666" s="20" t="str">
        <f>IFERROR(__xludf.DUMMYFUNCTION("""COMPUTED_VALUE"""),"PC")</f>
        <v>PC</v>
      </c>
      <c r="C666" s="20"/>
      <c r="D666" s="21" t="str">
        <f>IFERROR(__xludf.DUMMYFUNCTION("""COMPUTED_VALUE"""),"Removed")</f>
        <v>Removed</v>
      </c>
      <c r="E666" s="128">
        <f>IFERROR(__xludf.DUMMYFUNCTION("""COMPUTED_VALUE"""),44119.0)</f>
        <v>44119</v>
      </c>
      <c r="F666" s="24">
        <f>IFERROR(__xludf.DUMMYFUNCTION("""COMPUTED_VALUE"""),44484.0)</f>
        <v>44484</v>
      </c>
      <c r="G666" s="27">
        <f>IFERROR(__xludf.DUMMYFUNCTION("""COMPUTED_VALUE"""),12.0)</f>
        <v>12</v>
      </c>
      <c r="H666" s="128">
        <f>IFERROR(__xludf.DUMMYFUNCTION("""COMPUTED_VALUE"""),43214.0)</f>
        <v>43214</v>
      </c>
      <c r="I666" s="27">
        <f>IFERROR(__xludf.DUMMYFUNCTION("""COMPUTED_VALUE"""),2.475)</f>
        <v>2.475</v>
      </c>
      <c r="J666" s="29">
        <f>IFERROR(__xludf.DUMMYFUNCTION("""COMPUTED_VALUE"""),76.0)</f>
        <v>76</v>
      </c>
      <c r="K666" s="29">
        <f>IFERROR(__xludf.DUMMYFUNCTION("""COMPUTED_VALUE"""),7.0)</f>
        <v>7</v>
      </c>
      <c r="L666" s="31" t="str">
        <f>IFERROR(__xludf.DUMMYFUNCTION("""COMPUTED_VALUE"""),"RPG")</f>
        <v>RPG</v>
      </c>
    </row>
    <row r="667" hidden="1">
      <c r="A667" s="17" t="str">
        <f>IFERROR(__xludf.DUMMYFUNCTION("""COMPUTED_VALUE"""),"ScourgeBringer")</f>
        <v>ScourgeBringer</v>
      </c>
      <c r="B667" s="20" t="str">
        <f>IFERROR(__xludf.DUMMYFUNCTION("""COMPUTED_VALUE"""),"Xbox / PC")</f>
        <v>Xbox / PC</v>
      </c>
      <c r="C667" s="20" t="str">
        <f>IFERROR(__xludf.DUMMYFUNCTION("""COMPUTED_VALUE"""),"Touch Controls")</f>
        <v>Touch Controls</v>
      </c>
      <c r="D667" s="21" t="str">
        <f>IFERROR(__xludf.DUMMYFUNCTION("""COMPUTED_VALUE"""),"Removed")</f>
        <v>Removed</v>
      </c>
      <c r="E667" s="128">
        <f>IFERROR(__xludf.DUMMYFUNCTION("""COMPUTED_VALUE"""),43867.0)</f>
        <v>43867</v>
      </c>
      <c r="F667" s="24">
        <f>IFERROR(__xludf.DUMMYFUNCTION("""COMPUTED_VALUE"""),44484.0)</f>
        <v>44484</v>
      </c>
      <c r="G667" s="27">
        <f>IFERROR(__xludf.DUMMYFUNCTION("""COMPUTED_VALUE"""),20.3)</f>
        <v>20.3</v>
      </c>
      <c r="H667" s="128">
        <f>IFERROR(__xludf.DUMMYFUNCTION("""COMPUTED_VALUE"""),43867.0)</f>
        <v>43867</v>
      </c>
      <c r="I667" s="27">
        <f>IFERROR(__xludf.DUMMYFUNCTION("""COMPUTED_VALUE"""),0.0)</f>
        <v>0</v>
      </c>
      <c r="J667" s="29">
        <f>IFERROR(__xludf.DUMMYFUNCTION("""COMPUTED_VALUE"""),75.5)</f>
        <v>75.5</v>
      </c>
      <c r="K667" s="29">
        <f>IFERROR(__xludf.DUMMYFUNCTION("""COMPUTED_VALUE"""),2.0)</f>
        <v>2</v>
      </c>
      <c r="L667" s="31" t="str">
        <f>IFERROR(__xludf.DUMMYFUNCTION("""COMPUTED_VALUE"""),"Platformer")</f>
        <v>Platformer</v>
      </c>
    </row>
    <row r="668" hidden="1">
      <c r="A668" s="17" t="str">
        <f>IFERROR(__xludf.DUMMYFUNCTION("""COMPUTED_VALUE"""),"Ikenfell")</f>
        <v>Ikenfell</v>
      </c>
      <c r="B668" s="20" t="str">
        <f>IFERROR(__xludf.DUMMYFUNCTION("""COMPUTED_VALUE"""),"Xbox / PC")</f>
        <v>Xbox / PC</v>
      </c>
      <c r="C668" s="20" t="str">
        <f>IFERROR(__xludf.DUMMYFUNCTION("""COMPUTED_VALUE"""),"Touch Controls")</f>
        <v>Touch Controls</v>
      </c>
      <c r="D668" s="21" t="str">
        <f>IFERROR(__xludf.DUMMYFUNCTION("""COMPUTED_VALUE"""),"Removed")</f>
        <v>Removed</v>
      </c>
      <c r="E668" s="128">
        <f>IFERROR(__xludf.DUMMYFUNCTION("""COMPUTED_VALUE"""),44112.0)</f>
        <v>44112</v>
      </c>
      <c r="F668" s="24">
        <f>IFERROR(__xludf.DUMMYFUNCTION("""COMPUTED_VALUE"""),44469.0)</f>
        <v>44469</v>
      </c>
      <c r="G668" s="27">
        <f>IFERROR(__xludf.DUMMYFUNCTION("""COMPUTED_VALUE"""),11.733333333333333)</f>
        <v>11.73333333</v>
      </c>
      <c r="H668" s="128">
        <f>IFERROR(__xludf.DUMMYFUNCTION("""COMPUTED_VALUE"""),44112.0)</f>
        <v>44112</v>
      </c>
      <c r="I668" s="27">
        <f>IFERROR(__xludf.DUMMYFUNCTION("""COMPUTED_VALUE"""),0.0)</f>
        <v>0</v>
      </c>
      <c r="J668" s="29">
        <f>IFERROR(__xludf.DUMMYFUNCTION("""COMPUTED_VALUE"""),74.0)</f>
        <v>74</v>
      </c>
      <c r="K668" s="29">
        <f>IFERROR(__xludf.DUMMYFUNCTION("""COMPUTED_VALUE"""),19.0)</f>
        <v>19</v>
      </c>
      <c r="L668" s="31" t="str">
        <f>IFERROR(__xludf.DUMMYFUNCTION("""COMPUTED_VALUE"""),"RPG")</f>
        <v>RPG</v>
      </c>
    </row>
    <row r="669" hidden="1">
      <c r="A669" s="17" t="str">
        <f>IFERROR(__xludf.DUMMYFUNCTION("""COMPUTED_VALUE"""),"Kathy Rain")</f>
        <v>Kathy Rain</v>
      </c>
      <c r="B669" s="20" t="str">
        <f>IFERROR(__xludf.DUMMYFUNCTION("""COMPUTED_VALUE"""),"PC")</f>
        <v>PC</v>
      </c>
      <c r="C669" s="20"/>
      <c r="D669" s="21" t="str">
        <f>IFERROR(__xludf.DUMMYFUNCTION("""COMPUTED_VALUE"""),"Removed")</f>
        <v>Removed</v>
      </c>
      <c r="E669" s="127">
        <f>IFERROR(__xludf.DUMMYFUNCTION("""COMPUTED_VALUE"""),44098.0)</f>
        <v>44098</v>
      </c>
      <c r="F669" s="24">
        <f>IFERROR(__xludf.DUMMYFUNCTION("""COMPUTED_VALUE"""),44469.0)</f>
        <v>44469</v>
      </c>
      <c r="G669" s="27">
        <f>IFERROR(__xludf.DUMMYFUNCTION("""COMPUTED_VALUE"""),12.2)</f>
        <v>12.2</v>
      </c>
      <c r="H669" s="128">
        <f>IFERROR(__xludf.DUMMYFUNCTION("""COMPUTED_VALUE"""),42495.0)</f>
        <v>42495</v>
      </c>
      <c r="I669" s="27">
        <f>IFERROR(__xludf.DUMMYFUNCTION("""COMPUTED_VALUE"""),4.386111111111111)</f>
        <v>4.386111111</v>
      </c>
      <c r="J669" s="29">
        <f>IFERROR(__xludf.DUMMYFUNCTION("""COMPUTED_VALUE"""),77.0)</f>
        <v>77</v>
      </c>
      <c r="K669" s="29">
        <f>IFERROR(__xludf.DUMMYFUNCTION("""COMPUTED_VALUE"""),5.5)</f>
        <v>5.5</v>
      </c>
      <c r="L669" s="31" t="str">
        <f>IFERROR(__xludf.DUMMYFUNCTION("""COMPUTED_VALUE"""),"Adventure")</f>
        <v>Adventure</v>
      </c>
    </row>
    <row r="670" hidden="1">
      <c r="A670" s="17" t="str">
        <f>IFERROR(__xludf.DUMMYFUNCTION("""COMPUTED_VALUE"""),"Night in the Woods")</f>
        <v>Night in the Woods</v>
      </c>
      <c r="B670" s="20" t="str">
        <f>IFERROR(__xludf.DUMMYFUNCTION("""COMPUTED_VALUE"""),"Xbox / PC")</f>
        <v>Xbox / PC</v>
      </c>
      <c r="C670" s="21" t="str">
        <f>IFERROR(__xludf.DUMMYFUNCTION("""COMPUTED_VALUE"""),"Yes")</f>
        <v>Yes</v>
      </c>
      <c r="D670" s="21" t="str">
        <f>IFERROR(__xludf.DUMMYFUNCTION("""COMPUTED_VALUE"""),"Removed")</f>
        <v>Removed</v>
      </c>
      <c r="E670" s="23">
        <f>IFERROR(__xludf.DUMMYFUNCTION("""COMPUTED_VALUE"""),44098.0)</f>
        <v>44098</v>
      </c>
      <c r="F670" s="24">
        <f>IFERROR(__xludf.DUMMYFUNCTION("""COMPUTED_VALUE"""),44469.0)</f>
        <v>44469</v>
      </c>
      <c r="G670" s="27">
        <f>IFERROR(__xludf.DUMMYFUNCTION("""COMPUTED_VALUE"""),12.2)</f>
        <v>12.2</v>
      </c>
      <c r="H670" s="128">
        <f>IFERROR(__xludf.DUMMYFUNCTION("""COMPUTED_VALUE"""),42787.0)</f>
        <v>42787</v>
      </c>
      <c r="I670" s="27">
        <f>IFERROR(__xludf.DUMMYFUNCTION("""COMPUTED_VALUE"""),3.591666666666667)</f>
        <v>3.591666667</v>
      </c>
      <c r="J670" s="29">
        <f>IFERROR(__xludf.DUMMYFUNCTION("""COMPUTED_VALUE"""),81.5)</f>
        <v>81.5</v>
      </c>
      <c r="K670" s="29">
        <f>IFERROR(__xludf.DUMMYFUNCTION("""COMPUTED_VALUE"""),8.5)</f>
        <v>8.5</v>
      </c>
      <c r="L670" s="31" t="str">
        <f>IFERROR(__xludf.DUMMYFUNCTION("""COMPUTED_VALUE"""),"Platformer")</f>
        <v>Platformer</v>
      </c>
    </row>
    <row r="671" hidden="1">
      <c r="A671" s="17" t="str">
        <f>IFERROR(__xludf.DUMMYFUNCTION("""COMPUTED_VALUE"""),"Drake Hollow")</f>
        <v>Drake Hollow</v>
      </c>
      <c r="B671" s="20" t="str">
        <f>IFERROR(__xludf.DUMMYFUNCTION("""COMPUTED_VALUE"""),"Xbox / PC")</f>
        <v>Xbox / PC</v>
      </c>
      <c r="C671" s="20" t="str">
        <f>IFERROR(__xludf.DUMMYFUNCTION("""COMPUTED_VALUE"""),"Yes")</f>
        <v>Yes</v>
      </c>
      <c r="D671" s="21" t="str">
        <f>IFERROR(__xludf.DUMMYFUNCTION("""COMPUTED_VALUE"""),"Removed")</f>
        <v>Removed</v>
      </c>
      <c r="E671" s="128">
        <f>IFERROR(__xludf.DUMMYFUNCTION("""COMPUTED_VALUE"""),44071.0)</f>
        <v>44071</v>
      </c>
      <c r="F671" s="24">
        <f>IFERROR(__xludf.DUMMYFUNCTION("""COMPUTED_VALUE"""),44469.0)</f>
        <v>44469</v>
      </c>
      <c r="G671" s="27">
        <f>IFERROR(__xludf.DUMMYFUNCTION("""COMPUTED_VALUE"""),13.066666666666666)</f>
        <v>13.06666667</v>
      </c>
      <c r="H671" s="128">
        <f>IFERROR(__xludf.DUMMYFUNCTION("""COMPUTED_VALUE"""),44071.0)</f>
        <v>44071</v>
      </c>
      <c r="I671" s="27">
        <f>IFERROR(__xludf.DUMMYFUNCTION("""COMPUTED_VALUE"""),0.0)</f>
        <v>0</v>
      </c>
      <c r="J671" s="29">
        <f>IFERROR(__xludf.DUMMYFUNCTION("""COMPUTED_VALUE"""),78.0)</f>
        <v>78</v>
      </c>
      <c r="K671" s="29">
        <f>IFERROR(__xludf.DUMMYFUNCTION("""COMPUTED_VALUE"""),10.0)</f>
        <v>10</v>
      </c>
      <c r="L671" s="31" t="str">
        <f>IFERROR(__xludf.DUMMYFUNCTION("""COMPUTED_VALUE"""),"Action-Adventure")</f>
        <v>Action-Adventure</v>
      </c>
    </row>
    <row r="672" hidden="1">
      <c r="A672" s="17" t="str">
        <f>IFERROR(__xludf.DUMMYFUNCTION("""COMPUTED_VALUE"""),"Forza Motorsport 7")</f>
        <v>Forza Motorsport 7</v>
      </c>
      <c r="B672" s="20" t="str">
        <f>IFERROR(__xludf.DUMMYFUNCTION("""COMPUTED_VALUE"""),"Xbox / PC")</f>
        <v>Xbox / PC</v>
      </c>
      <c r="C672" s="21" t="str">
        <f>IFERROR(__xludf.DUMMYFUNCTION("""COMPUTED_VALUE"""),"Yes")</f>
        <v>Yes</v>
      </c>
      <c r="D672" s="21" t="str">
        <f>IFERROR(__xludf.DUMMYFUNCTION("""COMPUTED_VALUE"""),"Removed")</f>
        <v>Removed</v>
      </c>
      <c r="E672" s="23">
        <f>IFERROR(__xludf.DUMMYFUNCTION("""COMPUTED_VALUE"""),44112.0)</f>
        <v>44112</v>
      </c>
      <c r="F672" s="24">
        <f>IFERROR(__xludf.DUMMYFUNCTION("""COMPUTED_VALUE"""),44454.0)</f>
        <v>44454</v>
      </c>
      <c r="G672" s="27">
        <f>IFERROR(__xludf.DUMMYFUNCTION("""COMPUTED_VALUE"""),11.233333333333334)</f>
        <v>11.23333333</v>
      </c>
      <c r="H672" s="128">
        <f>IFERROR(__xludf.DUMMYFUNCTION("""COMPUTED_VALUE"""),43021.0)</f>
        <v>43021</v>
      </c>
      <c r="I672" s="27">
        <f>IFERROR(__xludf.DUMMYFUNCTION("""COMPUTED_VALUE"""),2.986111111111111)</f>
        <v>2.986111111</v>
      </c>
      <c r="J672" s="29">
        <f>IFERROR(__xludf.DUMMYFUNCTION("""COMPUTED_VALUE"""),84.0)</f>
        <v>84</v>
      </c>
      <c r="K672" s="29">
        <f>IFERROR(__xludf.DUMMYFUNCTION("""COMPUTED_VALUE"""),29.5)</f>
        <v>29.5</v>
      </c>
      <c r="L672" s="31" t="str">
        <f>IFERROR(__xludf.DUMMYFUNCTION("""COMPUTED_VALUE"""),"Racing")</f>
        <v>Racing</v>
      </c>
    </row>
    <row r="673" hidden="1">
      <c r="A673" s="17" t="str">
        <f>IFERROR(__xludf.DUMMYFUNCTION("""COMPUTED_VALUE"""),"Company of Heroes 2: Complete Edition")</f>
        <v>Company of Heroes 2: Complete Edition</v>
      </c>
      <c r="B673" s="20" t="str">
        <f>IFERROR(__xludf.DUMMYFUNCTION("""COMPUTED_VALUE"""),"PC")</f>
        <v>PC</v>
      </c>
      <c r="C673" s="21"/>
      <c r="D673" s="21" t="str">
        <f>IFERROR(__xludf.DUMMYFUNCTION("""COMPUTED_VALUE"""),"Removed")</f>
        <v>Removed</v>
      </c>
      <c r="E673" s="23">
        <f>IFERROR(__xludf.DUMMYFUNCTION("""COMPUTED_VALUE"""),44091.0)</f>
        <v>44091</v>
      </c>
      <c r="F673" s="24">
        <f>IFERROR(__xludf.DUMMYFUNCTION("""COMPUTED_VALUE"""),44454.0)</f>
        <v>44454</v>
      </c>
      <c r="G673" s="27">
        <f>IFERROR(__xludf.DUMMYFUNCTION("""COMPUTED_VALUE"""),11.933333333333334)</f>
        <v>11.93333333</v>
      </c>
      <c r="H673" s="128">
        <f>IFERROR(__xludf.DUMMYFUNCTION("""COMPUTED_VALUE"""),41450.0)</f>
        <v>41450</v>
      </c>
      <c r="I673" s="27">
        <f>IFERROR(__xludf.DUMMYFUNCTION("""COMPUTED_VALUE"""),7.227777777777778)</f>
        <v>7.227777778</v>
      </c>
      <c r="J673" s="29">
        <f>IFERROR(__xludf.DUMMYFUNCTION("""COMPUTED_VALUE"""),80.0)</f>
        <v>80</v>
      </c>
      <c r="K673" s="29">
        <f>IFERROR(__xludf.DUMMYFUNCTION("""COMPUTED_VALUE"""),15.0)</f>
        <v>15</v>
      </c>
      <c r="L673" s="275" t="str">
        <f>IFERROR(__xludf.DUMMYFUNCTION("""COMPUTED_VALUE"""),"Real-Time Strategy")</f>
        <v>Real-Time Strategy</v>
      </c>
    </row>
    <row r="674" hidden="1">
      <c r="A674" s="17" t="str">
        <f>IFERROR(__xludf.DUMMYFUNCTION("""COMPUTED_VALUE"""),"Disgaea 4 Complete+")</f>
        <v>Disgaea 4 Complete+</v>
      </c>
      <c r="B674" s="20" t="str">
        <f>IFERROR(__xludf.DUMMYFUNCTION("""COMPUTED_VALUE"""),"PC")</f>
        <v>PC</v>
      </c>
      <c r="C674" s="20"/>
      <c r="D674" s="21" t="str">
        <f>IFERROR(__xludf.DUMMYFUNCTION("""COMPUTED_VALUE"""),"Removed")</f>
        <v>Removed</v>
      </c>
      <c r="E674" s="23">
        <f>IFERROR(__xludf.DUMMYFUNCTION("""COMPUTED_VALUE"""),44084.0)</f>
        <v>44084</v>
      </c>
      <c r="F674" s="24">
        <f>IFERROR(__xludf.DUMMYFUNCTION("""COMPUTED_VALUE"""),44454.0)</f>
        <v>44454</v>
      </c>
      <c r="G674" s="27">
        <f>IFERROR(__xludf.DUMMYFUNCTION("""COMPUTED_VALUE"""),12.166666666666666)</f>
        <v>12.16666667</v>
      </c>
      <c r="H674" s="128">
        <f>IFERROR(__xludf.DUMMYFUNCTION("""COMPUTED_VALUE"""),43767.0)</f>
        <v>43767</v>
      </c>
      <c r="I674" s="27">
        <f>IFERROR(__xludf.DUMMYFUNCTION("""COMPUTED_VALUE"""),0.8638888888888889)</f>
        <v>0.8638888889</v>
      </c>
      <c r="J674" s="29">
        <f>IFERROR(__xludf.DUMMYFUNCTION("""COMPUTED_VALUE"""),84.0)</f>
        <v>84</v>
      </c>
      <c r="K674" s="29">
        <f>IFERROR(__xludf.DUMMYFUNCTION("""COMPUTED_VALUE"""),35.5)</f>
        <v>35.5</v>
      </c>
      <c r="L674" s="31" t="str">
        <f>IFERROR(__xludf.DUMMYFUNCTION("""COMPUTED_VALUE"""),"RPG")</f>
        <v>RPG</v>
      </c>
    </row>
    <row r="675" hidden="1">
      <c r="A675" s="17" t="str">
        <f>IFERROR(__xludf.DUMMYFUNCTION("""COMPUTED_VALUE"""),"Hotshot Racing")</f>
        <v>Hotshot Racing</v>
      </c>
      <c r="B675" s="20" t="str">
        <f>IFERROR(__xludf.DUMMYFUNCTION("""COMPUTED_VALUE"""),"Xbox")</f>
        <v>Xbox</v>
      </c>
      <c r="C675" s="20" t="str">
        <f>IFERROR(__xludf.DUMMYFUNCTION("""COMPUTED_VALUE"""),"Touch Controls")</f>
        <v>Touch Controls</v>
      </c>
      <c r="D675" s="21" t="str">
        <f>IFERROR(__xludf.DUMMYFUNCTION("""COMPUTED_VALUE"""),"Removed")</f>
        <v>Removed</v>
      </c>
      <c r="E675" s="23">
        <f>IFERROR(__xludf.DUMMYFUNCTION("""COMPUTED_VALUE"""),44084.0)</f>
        <v>44084</v>
      </c>
      <c r="F675" s="24">
        <f>IFERROR(__xludf.DUMMYFUNCTION("""COMPUTED_VALUE"""),44454.0)</f>
        <v>44454</v>
      </c>
      <c r="G675" s="27">
        <f>IFERROR(__xludf.DUMMYFUNCTION("""COMPUTED_VALUE"""),12.166666666666666)</f>
        <v>12.16666667</v>
      </c>
      <c r="H675" s="128">
        <f>IFERROR(__xludf.DUMMYFUNCTION("""COMPUTED_VALUE"""),44084.0)</f>
        <v>44084</v>
      </c>
      <c r="I675" s="27">
        <f>IFERROR(__xludf.DUMMYFUNCTION("""COMPUTED_VALUE"""),0.0)</f>
        <v>0</v>
      </c>
      <c r="J675" s="29">
        <f>IFERROR(__xludf.DUMMYFUNCTION("""COMPUTED_VALUE"""),77.0)</f>
        <v>77</v>
      </c>
      <c r="K675" s="29">
        <f>IFERROR(__xludf.DUMMYFUNCTION("""COMPUTED_VALUE"""),1.0)</f>
        <v>1</v>
      </c>
      <c r="L675" s="31" t="str">
        <f>IFERROR(__xludf.DUMMYFUNCTION("""COMPUTED_VALUE"""),"Racing")</f>
        <v>Racing</v>
      </c>
    </row>
    <row r="676" hidden="1">
      <c r="A676" s="17" t="str">
        <f>IFERROR(__xludf.DUMMYFUNCTION("""COMPUTED_VALUE"""),"The Dark Crystal: Age of Resistance Tactics")</f>
        <v>The Dark Crystal: Age of Resistance Tactics</v>
      </c>
      <c r="B676" s="20" t="str">
        <f>IFERROR(__xludf.DUMMYFUNCTION("""COMPUTED_VALUE"""),"Xbox / PC")</f>
        <v>Xbox / PC</v>
      </c>
      <c r="C676" s="20" t="str">
        <f>IFERROR(__xludf.DUMMYFUNCTION("""COMPUTED_VALUE"""),"Touch Controls")</f>
        <v>Touch Controls</v>
      </c>
      <c r="D676" s="21" t="str">
        <f>IFERROR(__xludf.DUMMYFUNCTION("""COMPUTED_VALUE"""),"Removed")</f>
        <v>Removed</v>
      </c>
      <c r="E676" s="128">
        <f>IFERROR(__xludf.DUMMYFUNCTION("""COMPUTED_VALUE"""),44084.0)</f>
        <v>44084</v>
      </c>
      <c r="F676" s="24">
        <f>IFERROR(__xludf.DUMMYFUNCTION("""COMPUTED_VALUE"""),44454.0)</f>
        <v>44454</v>
      </c>
      <c r="G676" s="27">
        <f>IFERROR(__xludf.DUMMYFUNCTION("""COMPUTED_VALUE"""),12.166666666666666)</f>
        <v>12.16666667</v>
      </c>
      <c r="H676" s="128">
        <f>IFERROR(__xludf.DUMMYFUNCTION("""COMPUTED_VALUE"""),43865.0)</f>
        <v>43865</v>
      </c>
      <c r="I676" s="27">
        <f>IFERROR(__xludf.DUMMYFUNCTION("""COMPUTED_VALUE"""),0.6)</f>
        <v>0.6</v>
      </c>
      <c r="J676" s="29">
        <f>IFERROR(__xludf.DUMMYFUNCTION("""COMPUTED_VALUE"""),62.5)</f>
        <v>62.5</v>
      </c>
      <c r="K676" s="29">
        <f>IFERROR(__xludf.DUMMYFUNCTION("""COMPUTED_VALUE"""),19.0)</f>
        <v>19</v>
      </c>
      <c r="L676" s="31" t="str">
        <f>IFERROR(__xludf.DUMMYFUNCTION("""COMPUTED_VALUE"""),"Strategy")</f>
        <v>Strategy</v>
      </c>
    </row>
    <row r="677" hidden="1">
      <c r="A677" s="17" t="str">
        <f>IFERROR(__xludf.DUMMYFUNCTION("""COMPUTED_VALUE"""),"Thronebreaker: The Witcher Tales")</f>
        <v>Thronebreaker: The Witcher Tales</v>
      </c>
      <c r="B677" s="20" t="str">
        <f>IFERROR(__xludf.DUMMYFUNCTION("""COMPUTED_VALUE"""),"Xbox")</f>
        <v>Xbox</v>
      </c>
      <c r="C677" s="20" t="str">
        <f>IFERROR(__xludf.DUMMYFUNCTION("""COMPUTED_VALUE"""),"Yes")</f>
        <v>Yes</v>
      </c>
      <c r="D677" s="21" t="str">
        <f>IFERROR(__xludf.DUMMYFUNCTION("""COMPUTED_VALUE"""),"Removed")</f>
        <v>Removed</v>
      </c>
      <c r="E677" s="127">
        <f>IFERROR(__xludf.DUMMYFUNCTION("""COMPUTED_VALUE"""),44000.0)</f>
        <v>44000</v>
      </c>
      <c r="F677" s="24">
        <f>IFERROR(__xludf.DUMMYFUNCTION("""COMPUTED_VALUE"""),44454.0)</f>
        <v>44454</v>
      </c>
      <c r="G677" s="27">
        <f>IFERROR(__xludf.DUMMYFUNCTION("""COMPUTED_VALUE"""),14.9)</f>
        <v>14.9</v>
      </c>
      <c r="H677" s="128">
        <f>IFERROR(__xludf.DUMMYFUNCTION("""COMPUTED_VALUE"""),43396.0)</f>
        <v>43396</v>
      </c>
      <c r="I677" s="27">
        <f>IFERROR(__xludf.DUMMYFUNCTION("""COMPUTED_VALUE"""),1.6527777777777777)</f>
        <v>1.652777778</v>
      </c>
      <c r="J677" s="29">
        <f>IFERROR(__xludf.DUMMYFUNCTION("""COMPUTED_VALUE"""),85.0)</f>
        <v>85</v>
      </c>
      <c r="K677" s="29">
        <f>IFERROR(__xludf.DUMMYFUNCTION("""COMPUTED_VALUE"""),26.0)</f>
        <v>26</v>
      </c>
      <c r="L677" s="31" t="str">
        <f>IFERROR(__xludf.DUMMYFUNCTION("""COMPUTED_VALUE"""),"Card Game")</f>
        <v>Card Game</v>
      </c>
    </row>
    <row r="678" hidden="1">
      <c r="A678" s="17" t="str">
        <f>IFERROR(__xludf.DUMMYFUNCTION("""COMPUTED_VALUE"""),"Red Dead Online")</f>
        <v>Red Dead Online</v>
      </c>
      <c r="B678" s="20" t="str">
        <f>IFERROR(__xludf.DUMMYFUNCTION("""COMPUTED_VALUE"""),"Xbox")</f>
        <v>Xbox</v>
      </c>
      <c r="C678" s="20" t="str">
        <f>IFERROR(__xludf.DUMMYFUNCTION("""COMPUTED_VALUE"""),"Yes")</f>
        <v>Yes</v>
      </c>
      <c r="D678" s="21" t="str">
        <f>IFERROR(__xludf.DUMMYFUNCTION("""COMPUTED_VALUE"""),"Removed")</f>
        <v>Removed</v>
      </c>
      <c r="E678" s="23">
        <f>IFERROR(__xludf.DUMMYFUNCTION("""COMPUTED_VALUE"""),44329.0)</f>
        <v>44329</v>
      </c>
      <c r="F678" s="24">
        <f>IFERROR(__xludf.DUMMYFUNCTION("""COMPUTED_VALUE"""),44452.0)</f>
        <v>44452</v>
      </c>
      <c r="G678" s="27">
        <f>IFERROR(__xludf.DUMMYFUNCTION("""COMPUTED_VALUE"""),4.0)</f>
        <v>4</v>
      </c>
      <c r="H678" s="128">
        <f>IFERROR(__xludf.DUMMYFUNCTION("""COMPUTED_VALUE"""),43431.0)</f>
        <v>43431</v>
      </c>
      <c r="I678" s="27">
        <f>IFERROR(__xludf.DUMMYFUNCTION("""COMPUTED_VALUE"""),2.4611111111111112)</f>
        <v>2.461111111</v>
      </c>
      <c r="J678" s="29">
        <f>IFERROR(__xludf.DUMMYFUNCTION("""COMPUTED_VALUE"""),85.0)</f>
        <v>85</v>
      </c>
      <c r="K678" s="29">
        <f>IFERROR(__xludf.DUMMYFUNCTION("""COMPUTED_VALUE"""),8.0)</f>
        <v>8</v>
      </c>
      <c r="L678" s="31" t="str">
        <f>IFERROR(__xludf.DUMMYFUNCTION("""COMPUTED_VALUE"""),"Action-Adventure")</f>
        <v>Action-Adventure</v>
      </c>
    </row>
    <row r="679" hidden="1">
      <c r="A679" s="17" t="str">
        <f>IFERROR(__xludf.DUMMYFUNCTION("""COMPUTED_VALUE"""),"Star Wars Battlefront (Classic)")</f>
        <v>Star Wars Battlefront (Classic)</v>
      </c>
      <c r="B679" s="20" t="str">
        <f>IFERROR(__xludf.DUMMYFUNCTION("""COMPUTED_VALUE"""),"PC")</f>
        <v>PC</v>
      </c>
      <c r="C679" s="20"/>
      <c r="D679" s="21" t="str">
        <f>IFERROR(__xludf.DUMMYFUNCTION("""COMPUTED_VALUE"""),"Removed")</f>
        <v>Removed</v>
      </c>
      <c r="E679" s="128">
        <f>IFERROR(__xludf.DUMMYFUNCTION("""COMPUTED_VALUE"""),44273.0)</f>
        <v>44273</v>
      </c>
      <c r="F679" s="24">
        <f>IFERROR(__xludf.DUMMYFUNCTION("""COMPUTED_VALUE"""),44448.0)</f>
        <v>44448</v>
      </c>
      <c r="G679" s="27">
        <f>IFERROR(__xludf.DUMMYFUNCTION("""COMPUTED_VALUE"""),5.699999999999999)</f>
        <v>5.7</v>
      </c>
      <c r="H679" s="128">
        <f>IFERROR(__xludf.DUMMYFUNCTION("""COMPUTED_VALUE"""),43056.0)</f>
        <v>43056</v>
      </c>
      <c r="I679" s="27">
        <f>IFERROR(__xludf.DUMMYFUNCTION("""COMPUTED_VALUE"""),3.3361111111111112)</f>
        <v>3.336111111</v>
      </c>
      <c r="J679" s="29">
        <f>IFERROR(__xludf.DUMMYFUNCTION("""COMPUTED_VALUE"""),76.0)</f>
        <v>76</v>
      </c>
      <c r="K679" s="29">
        <f>IFERROR(__xludf.DUMMYFUNCTION("""COMPUTED_VALUE"""),9.5)</f>
        <v>9.5</v>
      </c>
      <c r="L679" s="31" t="str">
        <f>IFERROR(__xludf.DUMMYFUNCTION("""COMPUTED_VALUE"""),"Shooter")</f>
        <v>Shooter</v>
      </c>
    </row>
    <row r="680" hidden="1">
      <c r="A680" s="17" t="str">
        <f>IFERROR(__xludf.DUMMYFUNCTION("""COMPUTED_VALUE"""),"Star Wars Battlefront II (Classic)")</f>
        <v>Star Wars Battlefront II (Classic)</v>
      </c>
      <c r="B680" s="20" t="str">
        <f>IFERROR(__xludf.DUMMYFUNCTION("""COMPUTED_VALUE"""),"PC")</f>
        <v>PC</v>
      </c>
      <c r="C680" s="20"/>
      <c r="D680" s="21" t="str">
        <f>IFERROR(__xludf.DUMMYFUNCTION("""COMPUTED_VALUE"""),"Removed")</f>
        <v>Removed</v>
      </c>
      <c r="E680" s="128">
        <f>IFERROR(__xludf.DUMMYFUNCTION("""COMPUTED_VALUE"""),44273.0)</f>
        <v>44273</v>
      </c>
      <c r="F680" s="24">
        <f>IFERROR(__xludf.DUMMYFUNCTION("""COMPUTED_VALUE"""),44448.0)</f>
        <v>44448</v>
      </c>
      <c r="G680" s="27">
        <f>IFERROR(__xludf.DUMMYFUNCTION("""COMPUTED_VALUE"""),5.699999999999999)</f>
        <v>5.7</v>
      </c>
      <c r="H680" s="128">
        <f>IFERROR(__xludf.DUMMYFUNCTION("""COMPUTED_VALUE"""),38657.0)</f>
        <v>38657</v>
      </c>
      <c r="I680" s="27">
        <f>IFERROR(__xludf.DUMMYFUNCTION("""COMPUTED_VALUE"""),15.380555555555556)</f>
        <v>15.38055556</v>
      </c>
      <c r="J680" s="29">
        <f>IFERROR(__xludf.DUMMYFUNCTION("""COMPUTED_VALUE"""),78.0)</f>
        <v>78</v>
      </c>
      <c r="K680" s="29">
        <f>IFERROR(__xludf.DUMMYFUNCTION("""COMPUTED_VALUE"""),7.5)</f>
        <v>7.5</v>
      </c>
      <c r="L680" s="31" t="str">
        <f>IFERROR(__xludf.DUMMYFUNCTION("""COMPUTED_VALUE"""),"Shooter")</f>
        <v>Shooter</v>
      </c>
    </row>
    <row r="681" hidden="1">
      <c r="A681" s="17" t="str">
        <f>IFERROR(__xludf.DUMMYFUNCTION("""COMPUTED_VALUE"""),"Star Wars Republic Commando")</f>
        <v>Star Wars Republic Commando</v>
      </c>
      <c r="B681" s="20" t="str">
        <f>IFERROR(__xludf.DUMMYFUNCTION("""COMPUTED_VALUE"""),"PC")</f>
        <v>PC</v>
      </c>
      <c r="C681" s="20"/>
      <c r="D681" s="21" t="str">
        <f>IFERROR(__xludf.DUMMYFUNCTION("""COMPUTED_VALUE"""),"Removed")</f>
        <v>Removed</v>
      </c>
      <c r="E681" s="127">
        <f>IFERROR(__xludf.DUMMYFUNCTION("""COMPUTED_VALUE"""),44273.0)</f>
        <v>44273</v>
      </c>
      <c r="F681" s="276">
        <f>IFERROR(__xludf.DUMMYFUNCTION("""COMPUTED_VALUE"""),44448.0)</f>
        <v>44448</v>
      </c>
      <c r="G681" s="27">
        <f>IFERROR(__xludf.DUMMYFUNCTION("""COMPUTED_VALUE"""),5.699999999999999)</f>
        <v>5.7</v>
      </c>
      <c r="H681" s="128">
        <f>IFERROR(__xludf.DUMMYFUNCTION("""COMPUTED_VALUE"""),38411.0)</f>
        <v>38411</v>
      </c>
      <c r="I681" s="27">
        <f>IFERROR(__xludf.DUMMYFUNCTION("""COMPUTED_VALUE"""),16.055555555555557)</f>
        <v>16.05555556</v>
      </c>
      <c r="J681" s="277">
        <f>IFERROR(__xludf.DUMMYFUNCTION("""COMPUTED_VALUE"""),78.0)</f>
        <v>78</v>
      </c>
      <c r="K681" s="29">
        <f>IFERROR(__xludf.DUMMYFUNCTION("""COMPUTED_VALUE"""),9.0)</f>
        <v>9</v>
      </c>
      <c r="L681" s="31" t="str">
        <f>IFERROR(__xludf.DUMMYFUNCTION("""COMPUTED_VALUE"""),"Shooter")</f>
        <v>Shooter</v>
      </c>
    </row>
    <row r="682" hidden="1">
      <c r="A682" s="17" t="str">
        <f>IFERROR(__xludf.DUMMYFUNCTION("""COMPUTED_VALUE"""),"The Escapists 2")</f>
        <v>The Escapists 2</v>
      </c>
      <c r="B682" s="20" t="str">
        <f>IFERROR(__xludf.DUMMYFUNCTION("""COMPUTED_VALUE"""),"PC")</f>
        <v>PC</v>
      </c>
      <c r="C682" s="20" t="str">
        <f>IFERROR(__xludf.DUMMYFUNCTION("""COMPUTED_VALUE"""),"Yes")</f>
        <v>Yes</v>
      </c>
      <c r="D682" s="21" t="str">
        <f>IFERROR(__xludf.DUMMYFUNCTION("""COMPUTED_VALUE"""),"Removed")</f>
        <v>Removed</v>
      </c>
      <c r="E682" s="23">
        <f>IFERROR(__xludf.DUMMYFUNCTION("""COMPUTED_VALUE"""),43795.0)</f>
        <v>43795</v>
      </c>
      <c r="F682" s="24">
        <f>IFERROR(__xludf.DUMMYFUNCTION("""COMPUTED_VALUE"""),44448.0)</f>
        <v>44448</v>
      </c>
      <c r="G682" s="27">
        <f>IFERROR(__xludf.DUMMYFUNCTION("""COMPUTED_VALUE"""),21.433333333333334)</f>
        <v>21.43333333</v>
      </c>
      <c r="H682" s="128">
        <f>IFERROR(__xludf.DUMMYFUNCTION("""COMPUTED_VALUE"""),42968.0)</f>
        <v>42968</v>
      </c>
      <c r="I682" s="27">
        <f>IFERROR(__xludf.DUMMYFUNCTION("""COMPUTED_VALUE"""),2.263888888888889)</f>
        <v>2.263888889</v>
      </c>
      <c r="J682" s="29">
        <f>IFERROR(__xludf.DUMMYFUNCTION("""COMPUTED_VALUE"""),75.0)</f>
        <v>75</v>
      </c>
      <c r="K682" s="29">
        <f>IFERROR(__xludf.DUMMYFUNCTION("""COMPUTED_VALUE"""),33.0)</f>
        <v>33</v>
      </c>
      <c r="L682" s="31" t="str">
        <f>IFERROR(__xludf.DUMMYFUNCTION("""COMPUTED_VALUE"""),"Strategy")</f>
        <v>Strategy</v>
      </c>
    </row>
    <row r="683" hidden="1">
      <c r="A683" s="17" t="str">
        <f>IFERROR(__xludf.DUMMYFUNCTION("""COMPUTED_VALUE"""),"Vambrace: Cold Soul")</f>
        <v>Vambrace: Cold Soul</v>
      </c>
      <c r="B683" s="20" t="str">
        <f>IFERROR(__xludf.DUMMYFUNCTION("""COMPUTED_VALUE"""),"PC")</f>
        <v>PC</v>
      </c>
      <c r="C683" s="20" t="str">
        <f>IFERROR(__xludf.DUMMYFUNCTION("""COMPUTED_VALUE"""),"Yes")</f>
        <v>Yes</v>
      </c>
      <c r="D683" s="21" t="str">
        <f>IFERROR(__xludf.DUMMYFUNCTION("""COMPUTED_VALUE"""),"Removed")</f>
        <v>Removed</v>
      </c>
      <c r="E683" s="128">
        <f>IFERROR(__xludf.DUMMYFUNCTION("""COMPUTED_VALUE"""),43790.0)</f>
        <v>43790</v>
      </c>
      <c r="F683" s="24">
        <f>IFERROR(__xludf.DUMMYFUNCTION("""COMPUTED_VALUE"""),44448.0)</f>
        <v>44448</v>
      </c>
      <c r="G683" s="27">
        <f>IFERROR(__xludf.DUMMYFUNCTION("""COMPUTED_VALUE"""),21.6)</f>
        <v>21.6</v>
      </c>
      <c r="H683" s="128">
        <f>IFERROR(__xludf.DUMMYFUNCTION("""COMPUTED_VALUE"""),43613.0)</f>
        <v>43613</v>
      </c>
      <c r="I683" s="27">
        <f>IFERROR(__xludf.DUMMYFUNCTION("""COMPUTED_VALUE"""),0.48055555555555557)</f>
        <v>0.4805555556</v>
      </c>
      <c r="J683" s="29">
        <f>IFERROR(__xludf.DUMMYFUNCTION("""COMPUTED_VALUE"""),66.0)</f>
        <v>66</v>
      </c>
      <c r="K683" s="29">
        <f>IFERROR(__xludf.DUMMYFUNCTION("""COMPUTED_VALUE"""),19.0)</f>
        <v>19</v>
      </c>
      <c r="L683" s="31" t="str">
        <f>IFERROR(__xludf.DUMMYFUNCTION("""COMPUTED_VALUE"""),"Action-Adventure")</f>
        <v>Action-Adventure</v>
      </c>
    </row>
    <row r="684" hidden="1">
      <c r="A684" s="17" t="str">
        <f>IFERROR(__xludf.DUMMYFUNCTION("""COMPUTED_VALUE"""),"Yooka-Laylee")</f>
        <v>Yooka-Laylee</v>
      </c>
      <c r="B684" s="20" t="str">
        <f>IFERROR(__xludf.DUMMYFUNCTION("""COMPUTED_VALUE"""),"PC")</f>
        <v>PC</v>
      </c>
      <c r="C684" s="20"/>
      <c r="D684" s="21" t="str">
        <f>IFERROR(__xludf.DUMMYFUNCTION("""COMPUTED_VALUE"""),"Removed")</f>
        <v>Removed</v>
      </c>
      <c r="E684" s="23">
        <f>IFERROR(__xludf.DUMMYFUNCTION("""COMPUTED_VALUE"""),43748.0)</f>
        <v>43748</v>
      </c>
      <c r="F684" s="24">
        <f>IFERROR(__xludf.DUMMYFUNCTION("""COMPUTED_VALUE"""),44448.0)</f>
        <v>44448</v>
      </c>
      <c r="G684" s="27">
        <f>IFERROR(__xludf.DUMMYFUNCTION("""COMPUTED_VALUE"""),22.96666666666667)</f>
        <v>22.96666667</v>
      </c>
      <c r="H684" s="128">
        <f>IFERROR(__xludf.DUMMYFUNCTION("""COMPUTED_VALUE"""),42836.0)</f>
        <v>42836</v>
      </c>
      <c r="I684" s="27">
        <f>IFERROR(__xludf.DUMMYFUNCTION("""COMPUTED_VALUE"""),2.4972222222222222)</f>
        <v>2.497222222</v>
      </c>
      <c r="J684" s="29">
        <f>IFERROR(__xludf.DUMMYFUNCTION("""COMPUTED_VALUE"""),75.0)</f>
        <v>75</v>
      </c>
      <c r="K684" s="29">
        <f>IFERROR(__xludf.DUMMYFUNCTION("""COMPUTED_VALUE"""),15.0)</f>
        <v>15</v>
      </c>
      <c r="L684" s="31" t="str">
        <f>IFERROR(__xludf.DUMMYFUNCTION("""COMPUTED_VALUE"""),"Platformer")</f>
        <v>Platformer</v>
      </c>
    </row>
    <row r="685" hidden="1">
      <c r="A685" s="17" t="str">
        <f>IFERROR(__xludf.DUMMYFUNCTION("""COMPUTED_VALUE"""),"NBA 2K21")</f>
        <v>NBA 2K21</v>
      </c>
      <c r="B685" s="20" t="str">
        <f>IFERROR(__xludf.DUMMYFUNCTION("""COMPUTED_VALUE"""),"Xbox")</f>
        <v>Xbox</v>
      </c>
      <c r="C685" s="20" t="str">
        <f>IFERROR(__xludf.DUMMYFUNCTION("""COMPUTED_VALUE"""),"Yes")</f>
        <v>Yes</v>
      </c>
      <c r="D685" s="21" t="str">
        <f>IFERROR(__xludf.DUMMYFUNCTION("""COMPUTED_VALUE"""),"Removed")</f>
        <v>Removed</v>
      </c>
      <c r="E685" s="23">
        <f>IFERROR(__xludf.DUMMYFUNCTION("""COMPUTED_VALUE"""),44259.0)</f>
        <v>44259</v>
      </c>
      <c r="F685" s="24">
        <f>IFERROR(__xludf.DUMMYFUNCTION("""COMPUTED_VALUE"""),44439.0)</f>
        <v>44439</v>
      </c>
      <c r="G685" s="27">
        <f>IFERROR(__xludf.DUMMYFUNCTION("""COMPUTED_VALUE"""),5.866666666666666)</f>
        <v>5.866666667</v>
      </c>
      <c r="H685" s="128">
        <f>IFERROR(__xludf.DUMMYFUNCTION("""COMPUTED_VALUE"""),44078.0)</f>
        <v>44078</v>
      </c>
      <c r="I685" s="27">
        <f>IFERROR(__xludf.DUMMYFUNCTION("""COMPUTED_VALUE"""),0.5)</f>
        <v>0.5</v>
      </c>
      <c r="J685" s="29">
        <f>IFERROR(__xludf.DUMMYFUNCTION("""COMPUTED_VALUE"""),73.5)</f>
        <v>73.5</v>
      </c>
      <c r="K685" s="29">
        <f>IFERROR(__xludf.DUMMYFUNCTION("""COMPUTED_VALUE"""),50.5)</f>
        <v>50.5</v>
      </c>
      <c r="L685" s="31" t="str">
        <f>IFERROR(__xludf.DUMMYFUNCTION("""COMPUTED_VALUE"""),"Sports")</f>
        <v>Sports</v>
      </c>
    </row>
    <row r="686" hidden="1">
      <c r="A686" s="17" t="str">
        <f>IFERROR(__xludf.DUMMYFUNCTION("""COMPUTED_VALUE"""),"Double Kick Heroes")</f>
        <v>Double Kick Heroes</v>
      </c>
      <c r="B686" s="20" t="str">
        <f>IFERROR(__xludf.DUMMYFUNCTION("""COMPUTED_VALUE"""),"Xbox / PC")</f>
        <v>Xbox / PC</v>
      </c>
      <c r="C686" s="20" t="str">
        <f>IFERROR(__xludf.DUMMYFUNCTION("""COMPUTED_VALUE"""),"Touch Controls")</f>
        <v>Touch Controls</v>
      </c>
      <c r="D686" s="21" t="str">
        <f>IFERROR(__xludf.DUMMYFUNCTION("""COMPUTED_VALUE"""),"Removed")</f>
        <v>Removed</v>
      </c>
      <c r="E686" s="128">
        <f>IFERROR(__xludf.DUMMYFUNCTION("""COMPUTED_VALUE"""),44070.0)</f>
        <v>44070</v>
      </c>
      <c r="F686" s="24">
        <f>IFERROR(__xludf.DUMMYFUNCTION("""COMPUTED_VALUE"""),44439.0)</f>
        <v>44439</v>
      </c>
      <c r="G686" s="27">
        <f>IFERROR(__xludf.DUMMYFUNCTION("""COMPUTED_VALUE"""),12.1)</f>
        <v>12.1</v>
      </c>
      <c r="H686" s="128">
        <f>IFERROR(__xludf.DUMMYFUNCTION("""COMPUTED_VALUE"""),44056.0)</f>
        <v>44056</v>
      </c>
      <c r="I686" s="27">
        <f>IFERROR(__xludf.DUMMYFUNCTION("""COMPUTED_VALUE"""),0.03888888888888889)</f>
        <v>0.03888888889</v>
      </c>
      <c r="J686" s="29">
        <f>IFERROR(__xludf.DUMMYFUNCTION("""COMPUTED_VALUE"""),76.0)</f>
        <v>76</v>
      </c>
      <c r="K686" s="29">
        <f>IFERROR(__xludf.DUMMYFUNCTION("""COMPUTED_VALUE"""),3.0)</f>
        <v>3</v>
      </c>
      <c r="L686" s="31" t="str">
        <f>IFERROR(__xludf.DUMMYFUNCTION("""COMPUTED_VALUE"""),"Shooter")</f>
        <v>Shooter</v>
      </c>
    </row>
    <row r="687" hidden="1">
      <c r="A687" s="17" t="str">
        <f>IFERROR(__xludf.DUMMYFUNCTION("""COMPUTED_VALUE"""),"Stranger Things 3: The Game")</f>
        <v>Stranger Things 3: The Game</v>
      </c>
      <c r="B687" s="20" t="str">
        <f>IFERROR(__xludf.DUMMYFUNCTION("""COMPUTED_VALUE"""),"Xbox / PC")</f>
        <v>Xbox / PC</v>
      </c>
      <c r="C687" s="20" t="str">
        <f>IFERROR(__xludf.DUMMYFUNCTION("""COMPUTED_VALUE"""),"Touch Controls")</f>
        <v>Touch Controls</v>
      </c>
      <c r="D687" s="21" t="str">
        <f>IFERROR(__xludf.DUMMYFUNCTION("""COMPUTED_VALUE"""),"Removed")</f>
        <v>Removed</v>
      </c>
      <c r="E687" s="23">
        <f>IFERROR(__xludf.DUMMYFUNCTION("""COMPUTED_VALUE"""),43928.0)</f>
        <v>43928</v>
      </c>
      <c r="F687" s="24">
        <f>IFERROR(__xludf.DUMMYFUNCTION("""COMPUTED_VALUE"""),44439.0)</f>
        <v>44439</v>
      </c>
      <c r="G687" s="27">
        <f>IFERROR(__xludf.DUMMYFUNCTION("""COMPUTED_VALUE"""),16.766666666666666)</f>
        <v>16.76666667</v>
      </c>
      <c r="H687" s="128">
        <f>IFERROR(__xludf.DUMMYFUNCTION("""COMPUTED_VALUE"""),43650.0)</f>
        <v>43650</v>
      </c>
      <c r="I687" s="27">
        <f>IFERROR(__xludf.DUMMYFUNCTION("""COMPUTED_VALUE"""),0.7583333333333333)</f>
        <v>0.7583333333</v>
      </c>
      <c r="J687" s="29">
        <f>IFERROR(__xludf.DUMMYFUNCTION("""COMPUTED_VALUE"""),62.0)</f>
        <v>62</v>
      </c>
      <c r="K687" s="29">
        <f>IFERROR(__xludf.DUMMYFUNCTION("""COMPUTED_VALUE"""),8.5)</f>
        <v>8.5</v>
      </c>
      <c r="L687" s="31" t="str">
        <f>IFERROR(__xludf.DUMMYFUNCTION("""COMPUTED_VALUE"""),"Action-Adventure")</f>
        <v>Action-Adventure</v>
      </c>
    </row>
    <row r="688" hidden="1">
      <c r="A688" s="17" t="str">
        <f>IFERROR(__xludf.DUMMYFUNCTION("""COMPUTED_VALUE"""),"Blair Witch")</f>
        <v>Blair Witch</v>
      </c>
      <c r="B688" s="20" t="str">
        <f>IFERROR(__xludf.DUMMYFUNCTION("""COMPUTED_VALUE"""),"Xbox / PC")</f>
        <v>Xbox / PC</v>
      </c>
      <c r="C688" s="20" t="str">
        <f>IFERROR(__xludf.DUMMYFUNCTION("""COMPUTED_VALUE"""),"Yes")</f>
        <v>Yes</v>
      </c>
      <c r="D688" s="21" t="str">
        <f>IFERROR(__xludf.DUMMYFUNCTION("""COMPUTED_VALUE"""),"Removed")</f>
        <v>Removed</v>
      </c>
      <c r="E688" s="127">
        <f>IFERROR(__xludf.DUMMYFUNCTION("""COMPUTED_VALUE"""),43707.0)</f>
        <v>43707</v>
      </c>
      <c r="F688" s="276">
        <f>IFERROR(__xludf.DUMMYFUNCTION("""COMPUTED_VALUE"""),44439.0)</f>
        <v>44439</v>
      </c>
      <c r="G688" s="27">
        <f>IFERROR(__xludf.DUMMYFUNCTION("""COMPUTED_VALUE"""),24.0)</f>
        <v>24</v>
      </c>
      <c r="H688" s="128">
        <f>IFERROR(__xludf.DUMMYFUNCTION("""COMPUTED_VALUE"""),43707.0)</f>
        <v>43707</v>
      </c>
      <c r="I688" s="27">
        <f>IFERROR(__xludf.DUMMYFUNCTION("""COMPUTED_VALUE"""),0.0)</f>
        <v>0</v>
      </c>
      <c r="J688" s="29">
        <f>IFERROR(__xludf.DUMMYFUNCTION("""COMPUTED_VALUE"""),66.0)</f>
        <v>66</v>
      </c>
      <c r="K688" s="29">
        <f>IFERROR(__xludf.DUMMYFUNCTION("""COMPUTED_VALUE"""),5.0)</f>
        <v>5</v>
      </c>
      <c r="L688" s="31" t="str">
        <f>IFERROR(__xludf.DUMMYFUNCTION("""COMPUTED_VALUE"""),"Adventure")</f>
        <v>Adventure</v>
      </c>
    </row>
    <row r="689" hidden="1">
      <c r="A689" s="17" t="str">
        <f>IFERROR(__xludf.DUMMYFUNCTION("""COMPUTED_VALUE"""),"Pyre")</f>
        <v>Pyre</v>
      </c>
      <c r="B689" s="20" t="str">
        <f>IFERROR(__xludf.DUMMYFUNCTION("""COMPUTED_VALUE"""),"PC")</f>
        <v>PC</v>
      </c>
      <c r="C689" s="20"/>
      <c r="D689" s="21" t="str">
        <f>IFERROR(__xludf.DUMMYFUNCTION("""COMPUTED_VALUE"""),"Removed")</f>
        <v>Removed</v>
      </c>
      <c r="E689" s="23">
        <f>IFERROR(__xludf.DUMMYFUNCTION("""COMPUTED_VALUE"""),44273.0)</f>
        <v>44273</v>
      </c>
      <c r="F689" s="24">
        <f>IFERROR(__xludf.DUMMYFUNCTION("""COMPUTED_VALUE"""),44428.0)</f>
        <v>44428</v>
      </c>
      <c r="G689" s="27">
        <f>IFERROR(__xludf.DUMMYFUNCTION("""COMPUTED_VALUE"""),5.066666666666666)</f>
        <v>5.066666667</v>
      </c>
      <c r="H689" s="128">
        <f>IFERROR(__xludf.DUMMYFUNCTION("""COMPUTED_VALUE"""),42941.0)</f>
        <v>42941</v>
      </c>
      <c r="I689" s="27">
        <f>IFERROR(__xludf.DUMMYFUNCTION("""COMPUTED_VALUE"""),3.647222222222222)</f>
        <v>3.647222222</v>
      </c>
      <c r="J689" s="29">
        <f>IFERROR(__xludf.DUMMYFUNCTION("""COMPUTED_VALUE"""),82.0)</f>
        <v>82</v>
      </c>
      <c r="K689" s="29">
        <f>IFERROR(__xludf.DUMMYFUNCTION("""COMPUTED_VALUE"""),11.0)</f>
        <v>11</v>
      </c>
      <c r="L689" s="31" t="str">
        <f>IFERROR(__xludf.DUMMYFUNCTION("""COMPUTED_VALUE"""),"RPG")</f>
        <v>RPG</v>
      </c>
    </row>
    <row r="690" hidden="1">
      <c r="A690" s="17" t="str">
        <f>IFERROR(__xludf.DUMMYFUNCTION("""COMPUTED_VALUE"""),"Dear Esther: Landmark Edition")</f>
        <v>Dear Esther: Landmark Edition</v>
      </c>
      <c r="B690" s="20" t="str">
        <f>IFERROR(__xludf.DUMMYFUNCTION("""COMPUTED_VALUE"""),"PC")</f>
        <v>PC</v>
      </c>
      <c r="C690" s="20"/>
      <c r="D690" s="21" t="str">
        <f>IFERROR(__xludf.DUMMYFUNCTION("""COMPUTED_VALUE"""),"Removed")</f>
        <v>Removed</v>
      </c>
      <c r="E690" s="128">
        <f>IFERROR(__xludf.DUMMYFUNCTION("""COMPUTED_VALUE"""),44273.0)</f>
        <v>44273</v>
      </c>
      <c r="F690" s="24">
        <f>IFERROR(__xludf.DUMMYFUNCTION("""COMPUTED_VALUE"""),44428.0)</f>
        <v>44428</v>
      </c>
      <c r="G690" s="27">
        <f>IFERROR(__xludf.DUMMYFUNCTION("""COMPUTED_VALUE"""),5.066666666666666)</f>
        <v>5.066666667</v>
      </c>
      <c r="H690" s="128">
        <f>IFERROR(__xludf.DUMMYFUNCTION("""COMPUTED_VALUE"""),40953.0)</f>
        <v>40953</v>
      </c>
      <c r="I690" s="27">
        <f>IFERROR(__xludf.DUMMYFUNCTION("""COMPUTED_VALUE"""),9.094444444444445)</f>
        <v>9.094444444</v>
      </c>
      <c r="J690" s="29">
        <f>IFERROR(__xludf.DUMMYFUNCTION("""COMPUTED_VALUE"""),68.0)</f>
        <v>68</v>
      </c>
      <c r="K690" s="29">
        <f>IFERROR(__xludf.DUMMYFUNCTION("""COMPUTED_VALUE"""),1.5)</f>
        <v>1.5</v>
      </c>
      <c r="L690" s="31" t="str">
        <f>IFERROR(__xludf.DUMMYFUNCTION("""COMPUTED_VALUE"""),"Adventure")</f>
        <v>Adventure</v>
      </c>
    </row>
    <row r="691" hidden="1">
      <c r="A691" s="17" t="str">
        <f>IFERROR(__xludf.DUMMYFUNCTION("""COMPUTED_VALUE"""),"Mugsters")</f>
        <v>Mugsters</v>
      </c>
      <c r="B691" s="20" t="str">
        <f>IFERROR(__xludf.DUMMYFUNCTION("""COMPUTED_VALUE"""),"PC")</f>
        <v>PC</v>
      </c>
      <c r="C691" s="20"/>
      <c r="D691" s="21" t="str">
        <f>IFERROR(__xludf.DUMMYFUNCTION("""COMPUTED_VALUE"""),"Removed")</f>
        <v>Removed</v>
      </c>
      <c r="E691" s="23">
        <f>IFERROR(__xludf.DUMMYFUNCTION("""COMPUTED_VALUE"""),44273.0)</f>
        <v>44273</v>
      </c>
      <c r="F691" s="24">
        <f>IFERROR(__xludf.DUMMYFUNCTION("""COMPUTED_VALUE"""),44428.0)</f>
        <v>44428</v>
      </c>
      <c r="G691" s="27">
        <f>IFERROR(__xludf.DUMMYFUNCTION("""COMPUTED_VALUE"""),5.066666666666666)</f>
        <v>5.066666667</v>
      </c>
      <c r="H691" s="128">
        <f>IFERROR(__xludf.DUMMYFUNCTION("""COMPUTED_VALUE"""),43298.0)</f>
        <v>43298</v>
      </c>
      <c r="I691" s="27">
        <f>IFERROR(__xludf.DUMMYFUNCTION("""COMPUTED_VALUE"""),2.6694444444444443)</f>
        <v>2.669444444</v>
      </c>
      <c r="J691" s="29">
        <f>IFERROR(__xludf.DUMMYFUNCTION("""COMPUTED_VALUE"""),75.0)</f>
        <v>75</v>
      </c>
      <c r="K691" s="29">
        <f>IFERROR(__xludf.DUMMYFUNCTION("""COMPUTED_VALUE"""),15.0)</f>
        <v>15</v>
      </c>
      <c r="L691" s="31" t="str">
        <f>IFERROR(__xludf.DUMMYFUNCTION("""COMPUTED_VALUE"""),"Platformer")</f>
        <v>Platformer</v>
      </c>
    </row>
    <row r="692" hidden="1">
      <c r="A692" s="17" t="str">
        <f>IFERROR(__xludf.DUMMYFUNCTION("""COMPUTED_VALUE"""),"Nex Machina")</f>
        <v>Nex Machina</v>
      </c>
      <c r="B692" s="20" t="str">
        <f>IFERROR(__xludf.DUMMYFUNCTION("""COMPUTED_VALUE"""),"PC")</f>
        <v>PC</v>
      </c>
      <c r="C692" s="20"/>
      <c r="D692" s="21" t="str">
        <f>IFERROR(__xludf.DUMMYFUNCTION("""COMPUTED_VALUE"""),"Removed")</f>
        <v>Removed</v>
      </c>
      <c r="E692" s="127">
        <f>IFERROR(__xludf.DUMMYFUNCTION("""COMPUTED_VALUE"""),44273.0)</f>
        <v>44273</v>
      </c>
      <c r="F692" s="24">
        <f>IFERROR(__xludf.DUMMYFUNCTION("""COMPUTED_VALUE"""),44428.0)</f>
        <v>44428</v>
      </c>
      <c r="G692" s="27">
        <f>IFERROR(__xludf.DUMMYFUNCTION("""COMPUTED_VALUE"""),5.066666666666666)</f>
        <v>5.066666667</v>
      </c>
      <c r="H692" s="128">
        <f>IFERROR(__xludf.DUMMYFUNCTION("""COMPUTED_VALUE"""),42906.0)</f>
        <v>42906</v>
      </c>
      <c r="I692" s="27">
        <f>IFERROR(__xludf.DUMMYFUNCTION("""COMPUTED_VALUE"""),3.7444444444444445)</f>
        <v>3.744444444</v>
      </c>
      <c r="J692" s="29">
        <f>IFERROR(__xludf.DUMMYFUNCTION("""COMPUTED_VALUE"""),84.0)</f>
        <v>84</v>
      </c>
      <c r="K692" s="29">
        <f>IFERROR(__xludf.DUMMYFUNCTION("""COMPUTED_VALUE"""),1.5)</f>
        <v>1.5</v>
      </c>
      <c r="L692" s="31" t="str">
        <f>IFERROR(__xludf.DUMMYFUNCTION("""COMPUTED_VALUE"""),"Shoot 'Em Up")</f>
        <v>Shoot 'Em Up</v>
      </c>
    </row>
    <row r="693" hidden="1">
      <c r="A693" s="17" t="str">
        <f>IFERROR(__xludf.DUMMYFUNCTION("""COMPUTED_VALUE"""),"Overcooked: Gourmet Edition")</f>
        <v>Overcooked: Gourmet Edition</v>
      </c>
      <c r="B693" s="20" t="str">
        <f>IFERROR(__xludf.DUMMYFUNCTION("""COMPUTED_VALUE"""),"PC")</f>
        <v>PC</v>
      </c>
      <c r="C693" s="21"/>
      <c r="D693" s="21" t="str">
        <f>IFERROR(__xludf.DUMMYFUNCTION("""COMPUTED_VALUE"""),"Removed")</f>
        <v>Removed</v>
      </c>
      <c r="E693" s="23">
        <f>IFERROR(__xludf.DUMMYFUNCTION("""COMPUTED_VALUE"""),44273.0)</f>
        <v>44273</v>
      </c>
      <c r="F693" s="24">
        <f>IFERROR(__xludf.DUMMYFUNCTION("""COMPUTED_VALUE"""),44428.0)</f>
        <v>44428</v>
      </c>
      <c r="G693" s="27">
        <f>IFERROR(__xludf.DUMMYFUNCTION("""COMPUTED_VALUE"""),5.066666666666666)</f>
        <v>5.066666667</v>
      </c>
      <c r="H693" s="128">
        <f>IFERROR(__xludf.DUMMYFUNCTION("""COMPUTED_VALUE"""),42906.0)</f>
        <v>42906</v>
      </c>
      <c r="I693" s="27">
        <f>IFERROR(__xludf.DUMMYFUNCTION("""COMPUTED_VALUE"""),3.7444444444444445)</f>
        <v>3.744444444</v>
      </c>
      <c r="J693" s="29">
        <f>IFERROR(__xludf.DUMMYFUNCTION("""COMPUTED_VALUE"""),81.0)</f>
        <v>81</v>
      </c>
      <c r="K693" s="29">
        <f>IFERROR(__xludf.DUMMYFUNCTION("""COMPUTED_VALUE"""),8.0)</f>
        <v>8</v>
      </c>
      <c r="L693" s="31" t="str">
        <f>IFERROR(__xludf.DUMMYFUNCTION("""COMPUTED_VALUE"""),"Shoot 'Em Up")</f>
        <v>Shoot 'Em Up</v>
      </c>
    </row>
    <row r="694" hidden="1">
      <c r="A694" s="17" t="str">
        <f>IFERROR(__xludf.DUMMYFUNCTION("""COMPUTED_VALUE"""),"Renowned Explorers: International Society")</f>
        <v>Renowned Explorers: International Society</v>
      </c>
      <c r="B694" s="20" t="str">
        <f>IFERROR(__xludf.DUMMYFUNCTION("""COMPUTED_VALUE"""),"PC")</f>
        <v>PC</v>
      </c>
      <c r="C694" s="20"/>
      <c r="D694" s="21" t="str">
        <f>IFERROR(__xludf.DUMMYFUNCTION("""COMPUTED_VALUE"""),"Removed")</f>
        <v>Removed</v>
      </c>
      <c r="E694" s="127">
        <f>IFERROR(__xludf.DUMMYFUNCTION("""COMPUTED_VALUE"""),44273.0)</f>
        <v>44273</v>
      </c>
      <c r="F694" s="24">
        <f>IFERROR(__xludf.DUMMYFUNCTION("""COMPUTED_VALUE"""),44428.0)</f>
        <v>44428</v>
      </c>
      <c r="G694" s="27">
        <f>IFERROR(__xludf.DUMMYFUNCTION("""COMPUTED_VALUE"""),5.066666666666666)</f>
        <v>5.066666667</v>
      </c>
      <c r="H694" s="128">
        <f>IFERROR(__xludf.DUMMYFUNCTION("""COMPUTED_VALUE"""),42249.0)</f>
        <v>42249</v>
      </c>
      <c r="I694" s="27">
        <f>IFERROR(__xludf.DUMMYFUNCTION("""COMPUTED_VALUE"""),5.544444444444444)</f>
        <v>5.544444444</v>
      </c>
      <c r="J694" s="29">
        <f>IFERROR(__xludf.DUMMYFUNCTION("""COMPUTED_VALUE"""),72.0)</f>
        <v>72</v>
      </c>
      <c r="K694" s="29">
        <f>IFERROR(__xludf.DUMMYFUNCTION("""COMPUTED_VALUE"""),5.5)</f>
        <v>5.5</v>
      </c>
      <c r="L694" s="31" t="str">
        <f>IFERROR(__xludf.DUMMYFUNCTION("""COMPUTED_VALUE"""),"Strategy")</f>
        <v>Strategy</v>
      </c>
    </row>
    <row r="695" hidden="1">
      <c r="A695" s="17" t="str">
        <f>IFERROR(__xludf.DUMMYFUNCTION("""COMPUTED_VALUE"""),"The Escapists")</f>
        <v>The Escapists</v>
      </c>
      <c r="B695" s="20" t="str">
        <f>IFERROR(__xludf.DUMMYFUNCTION("""COMPUTED_VALUE"""),"PC")</f>
        <v>PC</v>
      </c>
      <c r="C695" s="20"/>
      <c r="D695" s="21" t="str">
        <f>IFERROR(__xludf.DUMMYFUNCTION("""COMPUTED_VALUE"""),"Removed")</f>
        <v>Removed</v>
      </c>
      <c r="E695" s="128">
        <f>IFERROR(__xludf.DUMMYFUNCTION("""COMPUTED_VALUE"""),44273.0)</f>
        <v>44273</v>
      </c>
      <c r="F695" s="24">
        <f>IFERROR(__xludf.DUMMYFUNCTION("""COMPUTED_VALUE"""),44428.0)</f>
        <v>44428</v>
      </c>
      <c r="G695" s="27">
        <f>IFERROR(__xludf.DUMMYFUNCTION("""COMPUTED_VALUE"""),5.066666666666666)</f>
        <v>5.066666667</v>
      </c>
      <c r="H695" s="128">
        <f>IFERROR(__xludf.DUMMYFUNCTION("""COMPUTED_VALUE"""),42048.0)</f>
        <v>42048</v>
      </c>
      <c r="I695" s="27">
        <f>IFERROR(__xludf.DUMMYFUNCTION("""COMPUTED_VALUE"""),6.097222222222222)</f>
        <v>6.097222222</v>
      </c>
      <c r="J695" s="29">
        <f>IFERROR(__xludf.DUMMYFUNCTION("""COMPUTED_VALUE"""),71.0)</f>
        <v>71</v>
      </c>
      <c r="K695" s="29">
        <f>IFERROR(__xludf.DUMMYFUNCTION("""COMPUTED_VALUE"""),19.0)</f>
        <v>19</v>
      </c>
      <c r="L695" s="31" t="str">
        <f>IFERROR(__xludf.DUMMYFUNCTION("""COMPUTED_VALUE"""),"Strategy")</f>
        <v>Strategy</v>
      </c>
    </row>
    <row r="696" hidden="1">
      <c r="A696" s="17" t="str">
        <f>IFERROR(__xludf.DUMMYFUNCTION("""COMPUTED_VALUE"""),"Madden NFL 19")</f>
        <v>Madden NFL 19</v>
      </c>
      <c r="B696" s="20" t="str">
        <f>IFERROR(__xludf.DUMMYFUNCTION("""COMPUTED_VALUE"""),"Xbox / PC")</f>
        <v>Xbox / PC</v>
      </c>
      <c r="C696" s="20"/>
      <c r="D696" s="21" t="str">
        <f>IFERROR(__xludf.DUMMYFUNCTION("""COMPUTED_VALUE"""),"Removed")</f>
        <v>Removed</v>
      </c>
      <c r="E696" s="127">
        <f>IFERROR(__xludf.DUMMYFUNCTION("""COMPUTED_VALUE"""),44145.0)</f>
        <v>44145</v>
      </c>
      <c r="F696" s="24">
        <f>IFERROR(__xludf.DUMMYFUNCTION("""COMPUTED_VALUE"""),44428.0)</f>
        <v>44428</v>
      </c>
      <c r="G696" s="27">
        <f>IFERROR(__xludf.DUMMYFUNCTION("""COMPUTED_VALUE"""),9.333333333333334)</f>
        <v>9.333333333</v>
      </c>
      <c r="H696" s="128">
        <f>IFERROR(__xludf.DUMMYFUNCTION("""COMPUTED_VALUE"""),43319.0)</f>
        <v>43319</v>
      </c>
      <c r="I696" s="27">
        <f>IFERROR(__xludf.DUMMYFUNCTION("""COMPUTED_VALUE"""),2.2583333333333333)</f>
        <v>2.258333333</v>
      </c>
      <c r="J696" s="29">
        <f>IFERROR(__xludf.DUMMYFUNCTION("""COMPUTED_VALUE"""),81.0)</f>
        <v>81</v>
      </c>
      <c r="K696" s="29">
        <f>IFERROR(__xludf.DUMMYFUNCTION("""COMPUTED_VALUE"""),12.5)</f>
        <v>12.5</v>
      </c>
      <c r="L696" s="31" t="str">
        <f>IFERROR(__xludf.DUMMYFUNCTION("""COMPUTED_VALUE"""),"Sports")</f>
        <v>Sports</v>
      </c>
    </row>
    <row r="697" hidden="1">
      <c r="A697" s="17" t="str">
        <f>IFERROR(__xludf.DUMMYFUNCTION("""COMPUTED_VALUE"""),"Yoku's Island Express")</f>
        <v>Yoku's Island Express</v>
      </c>
      <c r="B697" s="20" t="str">
        <f>IFERROR(__xludf.DUMMYFUNCTION("""COMPUTED_VALUE"""),"PC")</f>
        <v>PC</v>
      </c>
      <c r="C697" s="20"/>
      <c r="D697" s="21" t="str">
        <f>IFERROR(__xludf.DUMMYFUNCTION("""COMPUTED_VALUE"""),"Removed")</f>
        <v>Removed</v>
      </c>
      <c r="E697" s="128">
        <f>IFERROR(__xludf.DUMMYFUNCTION("""COMPUTED_VALUE"""),43692.0)</f>
        <v>43692</v>
      </c>
      <c r="F697" s="24">
        <f>IFERROR(__xludf.DUMMYFUNCTION("""COMPUTED_VALUE"""),44428.0)</f>
        <v>44428</v>
      </c>
      <c r="G697" s="27">
        <f>IFERROR(__xludf.DUMMYFUNCTION("""COMPUTED_VALUE"""),24.166666666666664)</f>
        <v>24.16666667</v>
      </c>
      <c r="H697" s="128">
        <f>IFERROR(__xludf.DUMMYFUNCTION("""COMPUTED_VALUE"""),43249.0)</f>
        <v>43249</v>
      </c>
      <c r="I697" s="27">
        <f>IFERROR(__xludf.DUMMYFUNCTION("""COMPUTED_VALUE"""),1.211111111111111)</f>
        <v>1.211111111</v>
      </c>
      <c r="J697" s="29">
        <f>IFERROR(__xludf.DUMMYFUNCTION("""COMPUTED_VALUE"""),83.0)</f>
        <v>83</v>
      </c>
      <c r="K697" s="29">
        <f>IFERROR(__xludf.DUMMYFUNCTION("""COMPUTED_VALUE"""),5.5)</f>
        <v>5.5</v>
      </c>
      <c r="L697" s="31" t="str">
        <f>IFERROR(__xludf.DUMMYFUNCTION("""COMPUTED_VALUE"""),"Platformer")</f>
        <v>Platformer</v>
      </c>
    </row>
    <row r="698" hidden="1">
      <c r="A698" s="17" t="str">
        <f>IFERROR(__xludf.DUMMYFUNCTION("""COMPUTED_VALUE"""),"Vampyr")</f>
        <v>Vampyr</v>
      </c>
      <c r="B698" s="20" t="str">
        <f>IFERROR(__xludf.DUMMYFUNCTION("""COMPUTED_VALUE"""),"PC")</f>
        <v>PC</v>
      </c>
      <c r="C698" s="20"/>
      <c r="D698" s="21" t="str">
        <f>IFERROR(__xludf.DUMMYFUNCTION("""COMPUTED_VALUE"""),"Removed")</f>
        <v>Removed</v>
      </c>
      <c r="E698" s="128">
        <f>IFERROR(__xludf.DUMMYFUNCTION("""COMPUTED_VALUE"""),43552.0)</f>
        <v>43552</v>
      </c>
      <c r="F698" s="24">
        <f>IFERROR(__xludf.DUMMYFUNCTION("""COMPUTED_VALUE"""),44428.0)</f>
        <v>44428</v>
      </c>
      <c r="G698" s="27">
        <f>IFERROR(__xludf.DUMMYFUNCTION("""COMPUTED_VALUE"""),28.733333333333334)</f>
        <v>28.73333333</v>
      </c>
      <c r="H698" s="128">
        <f>IFERROR(__xludf.DUMMYFUNCTION("""COMPUTED_VALUE"""),43256.0)</f>
        <v>43256</v>
      </c>
      <c r="I698" s="27">
        <f>IFERROR(__xludf.DUMMYFUNCTION("""COMPUTED_VALUE"""),0.8138888888888889)</f>
        <v>0.8138888889</v>
      </c>
      <c r="J698" s="29">
        <f>IFERROR(__xludf.DUMMYFUNCTION("""COMPUTED_VALUE"""),71.0)</f>
        <v>71</v>
      </c>
      <c r="K698" s="29">
        <f>IFERROR(__xludf.DUMMYFUNCTION("""COMPUTED_VALUE"""),16.5)</f>
        <v>16.5</v>
      </c>
      <c r="L698" s="31" t="str">
        <f>IFERROR(__xludf.DUMMYFUNCTION("""COMPUTED_VALUE"""),"RPG")</f>
        <v>RPG</v>
      </c>
    </row>
    <row r="699" hidden="1">
      <c r="A699" s="17" t="str">
        <f>IFERROR(__xludf.DUMMYFUNCTION("""COMPUTED_VALUE"""),"Don't Starve: Giant Edition")</f>
        <v>Don't Starve: Giant Edition</v>
      </c>
      <c r="B699" s="20" t="str">
        <f>IFERROR(__xludf.DUMMYFUNCTION("""COMPUTED_VALUE"""),"Xbox / PC")</f>
        <v>Xbox / PC</v>
      </c>
      <c r="C699" s="20" t="str">
        <f>IFERROR(__xludf.DUMMYFUNCTION("""COMPUTED_VALUE"""),"Touch Controls")</f>
        <v>Touch Controls</v>
      </c>
      <c r="D699" s="21" t="str">
        <f>IFERROR(__xludf.DUMMYFUNCTION("""COMPUTED_VALUE"""),"Removed")</f>
        <v>Removed</v>
      </c>
      <c r="E699" s="127">
        <f>IFERROR(__xludf.DUMMYFUNCTION("""COMPUTED_VALUE"""),44063.0)</f>
        <v>44063</v>
      </c>
      <c r="F699" s="24">
        <f>IFERROR(__xludf.DUMMYFUNCTION("""COMPUTED_VALUE"""),44423.0)</f>
        <v>44423</v>
      </c>
      <c r="G699" s="27">
        <f>IFERROR(__xludf.DUMMYFUNCTION("""COMPUTED_VALUE"""),11.833333333333334)</f>
        <v>11.83333333</v>
      </c>
      <c r="H699" s="128">
        <f>IFERROR(__xludf.DUMMYFUNCTION("""COMPUTED_VALUE"""),41884.0)</f>
        <v>41884</v>
      </c>
      <c r="I699" s="27">
        <f>IFERROR(__xludf.DUMMYFUNCTION("""COMPUTED_VALUE"""),5.966666666666667)</f>
        <v>5.966666667</v>
      </c>
      <c r="J699" s="29">
        <f>IFERROR(__xludf.DUMMYFUNCTION("""COMPUTED_VALUE"""),75.0)</f>
        <v>75</v>
      </c>
      <c r="K699" s="29">
        <f>IFERROR(__xludf.DUMMYFUNCTION("""COMPUTED_VALUE"""),35.5)</f>
        <v>35.5</v>
      </c>
      <c r="L699" s="31" t="str">
        <f>IFERROR(__xludf.DUMMYFUNCTION("""COMPUTED_VALUE"""),"Simulation")</f>
        <v>Simulation</v>
      </c>
    </row>
    <row r="700" hidden="1">
      <c r="A700" s="17" t="str">
        <f>IFERROR(__xludf.DUMMYFUNCTION("""COMPUTED_VALUE"""),"Crossing Souls")</f>
        <v>Crossing Souls</v>
      </c>
      <c r="B700" s="20" t="str">
        <f>IFERROR(__xludf.DUMMYFUNCTION("""COMPUTED_VALUE"""),"PC")</f>
        <v>PC</v>
      </c>
      <c r="C700" s="20"/>
      <c r="D700" s="21" t="str">
        <f>IFERROR(__xludf.DUMMYFUNCTION("""COMPUTED_VALUE"""),"Removed")</f>
        <v>Removed</v>
      </c>
      <c r="E700" s="23">
        <f>IFERROR(__xludf.DUMMYFUNCTION("""COMPUTED_VALUE"""),44063.0)</f>
        <v>44063</v>
      </c>
      <c r="F700" s="24">
        <f>IFERROR(__xludf.DUMMYFUNCTION("""COMPUTED_VALUE"""),44423.0)</f>
        <v>44423</v>
      </c>
      <c r="G700" s="27">
        <f>IFERROR(__xludf.DUMMYFUNCTION("""COMPUTED_VALUE"""),11.833333333333334)</f>
        <v>11.83333333</v>
      </c>
      <c r="H700" s="23">
        <f>IFERROR(__xludf.DUMMYFUNCTION("""COMPUTED_VALUE"""),43144.0)</f>
        <v>43144</v>
      </c>
      <c r="I700" s="27">
        <f>IFERROR(__xludf.DUMMYFUNCTION("""COMPUTED_VALUE"""),2.5194444444444444)</f>
        <v>2.519444444</v>
      </c>
      <c r="J700" s="29">
        <f>IFERROR(__xludf.DUMMYFUNCTION("""COMPUTED_VALUE"""),70.0)</f>
        <v>70</v>
      </c>
      <c r="K700" s="29">
        <f>IFERROR(__xludf.DUMMYFUNCTION("""COMPUTED_VALUE"""),9.0)</f>
        <v>9</v>
      </c>
      <c r="L700" s="31" t="str">
        <f>IFERROR(__xludf.DUMMYFUNCTION("""COMPUTED_VALUE"""),"Action-Adventure")</f>
        <v>Action-Adventure</v>
      </c>
    </row>
    <row r="701" hidden="1">
      <c r="A701" s="17" t="str">
        <f>IFERROR(__xludf.DUMMYFUNCTION("""COMPUTED_VALUE"""),"Final Fantasy VII")</f>
        <v>Final Fantasy VII</v>
      </c>
      <c r="B701" s="20" t="str">
        <f>IFERROR(__xludf.DUMMYFUNCTION("""COMPUTED_VALUE"""),"Xbox / PC")</f>
        <v>Xbox / PC</v>
      </c>
      <c r="C701" s="20"/>
      <c r="D701" s="21" t="str">
        <f>IFERROR(__xludf.DUMMYFUNCTION("""COMPUTED_VALUE"""),"Removed")</f>
        <v>Removed</v>
      </c>
      <c r="E701" s="23">
        <f>IFERROR(__xludf.DUMMYFUNCTION("""COMPUTED_VALUE"""),44056.0)</f>
        <v>44056</v>
      </c>
      <c r="F701" s="24">
        <f>IFERROR(__xludf.DUMMYFUNCTION("""COMPUTED_VALUE"""),44423.0)</f>
        <v>44423</v>
      </c>
      <c r="G701" s="27">
        <f>IFERROR(__xludf.DUMMYFUNCTION("""COMPUTED_VALUE"""),12.066666666666666)</f>
        <v>12.06666667</v>
      </c>
      <c r="H701" s="23">
        <f>IFERROR(__xludf.DUMMYFUNCTION("""COMPUTED_VALUE"""),35461.0)</f>
        <v>35461</v>
      </c>
      <c r="I701" s="27">
        <f>IFERROR(__xludf.DUMMYFUNCTION("""COMPUTED_VALUE"""),23.53611111111111)</f>
        <v>23.53611111</v>
      </c>
      <c r="J701" s="29">
        <f>IFERROR(__xludf.DUMMYFUNCTION("""COMPUTED_VALUE"""),92.0)</f>
        <v>92</v>
      </c>
      <c r="K701" s="29">
        <f>IFERROR(__xludf.DUMMYFUNCTION("""COMPUTED_VALUE"""),37.5)</f>
        <v>37.5</v>
      </c>
      <c r="L701" s="31" t="str">
        <f>IFERROR(__xludf.DUMMYFUNCTION("""COMPUTED_VALUE"""),"RPG")</f>
        <v>RPG</v>
      </c>
    </row>
    <row r="702" hidden="1">
      <c r="A702" s="17" t="str">
        <f>IFERROR(__xludf.DUMMYFUNCTION("""COMPUTED_VALUE"""),"Darksiders Genesis")</f>
        <v>Darksiders Genesis</v>
      </c>
      <c r="B702" s="20" t="str">
        <f>IFERROR(__xludf.DUMMYFUNCTION("""COMPUTED_VALUE"""),"Xbox / PC")</f>
        <v>Xbox / PC</v>
      </c>
      <c r="C702" s="20" t="str">
        <f>IFERROR(__xludf.DUMMYFUNCTION("""COMPUTED_VALUE"""),"Yes")</f>
        <v>Yes</v>
      </c>
      <c r="D702" s="21" t="str">
        <f>IFERROR(__xludf.DUMMYFUNCTION("""COMPUTED_VALUE"""),"Removed")</f>
        <v>Removed</v>
      </c>
      <c r="E702" s="127">
        <f>IFERROR(__xludf.DUMMYFUNCTION("""COMPUTED_VALUE"""),44049.0)</f>
        <v>44049</v>
      </c>
      <c r="F702" s="24">
        <f>IFERROR(__xludf.DUMMYFUNCTION("""COMPUTED_VALUE"""),44423.0)</f>
        <v>44423</v>
      </c>
      <c r="G702" s="27">
        <f>IFERROR(__xludf.DUMMYFUNCTION("""COMPUTED_VALUE"""),12.299999999999999)</f>
        <v>12.3</v>
      </c>
      <c r="H702" s="128">
        <f>IFERROR(__xludf.DUMMYFUNCTION("""COMPUTED_VALUE"""),43804.0)</f>
        <v>43804</v>
      </c>
      <c r="I702" s="27">
        <f>IFERROR(__xludf.DUMMYFUNCTION("""COMPUTED_VALUE"""),0.6694444444444444)</f>
        <v>0.6694444444</v>
      </c>
      <c r="J702" s="29">
        <f>IFERROR(__xludf.DUMMYFUNCTION("""COMPUTED_VALUE"""),77.0)</f>
        <v>77</v>
      </c>
      <c r="K702" s="29">
        <f>IFERROR(__xludf.DUMMYFUNCTION("""COMPUTED_VALUE"""),14.0)</f>
        <v>14</v>
      </c>
      <c r="L702" s="31" t="str">
        <f>IFERROR(__xludf.DUMMYFUNCTION("""COMPUTED_VALUE"""),"RPG")</f>
        <v>RPG</v>
      </c>
    </row>
    <row r="703" hidden="1">
      <c r="A703" s="17" t="str">
        <f>IFERROR(__xludf.DUMMYFUNCTION("""COMPUTED_VALUE"""),"Train Sim World 2020")</f>
        <v>Train Sim World 2020</v>
      </c>
      <c r="B703" s="20" t="str">
        <f>IFERROR(__xludf.DUMMYFUNCTION("""COMPUTED_VALUE"""),"Xbox / PC")</f>
        <v>Xbox / PC</v>
      </c>
      <c r="C703" s="20" t="str">
        <f>IFERROR(__xludf.DUMMYFUNCTION("""COMPUTED_VALUE"""),"Yes")</f>
        <v>Yes</v>
      </c>
      <c r="D703" s="21" t="str">
        <f>IFERROR(__xludf.DUMMYFUNCTION("""COMPUTED_VALUE"""),"Removed")</f>
        <v>Removed</v>
      </c>
      <c r="E703" s="128">
        <f>IFERROR(__xludf.DUMMYFUNCTION("""COMPUTED_VALUE"""),43895.0)</f>
        <v>43895</v>
      </c>
      <c r="F703" s="24">
        <f>IFERROR(__xludf.DUMMYFUNCTION("""COMPUTED_VALUE"""),44423.0)</f>
        <v>44423</v>
      </c>
      <c r="G703" s="27">
        <f>IFERROR(__xludf.DUMMYFUNCTION("""COMPUTED_VALUE"""),17.333333333333332)</f>
        <v>17.33333333</v>
      </c>
      <c r="H703" s="128">
        <f>IFERROR(__xludf.DUMMYFUNCTION("""COMPUTED_VALUE"""),43305.0)</f>
        <v>43305</v>
      </c>
      <c r="I703" s="27">
        <f>IFERROR(__xludf.DUMMYFUNCTION("""COMPUTED_VALUE"""),1.613888888888889)</f>
        <v>1.613888889</v>
      </c>
      <c r="J703" s="29">
        <f>IFERROR(__xludf.DUMMYFUNCTION("""COMPUTED_VALUE"""),76.0)</f>
        <v>76</v>
      </c>
      <c r="K703" s="29">
        <f>IFERROR(__xludf.DUMMYFUNCTION("""COMPUTED_VALUE"""),13.0)</f>
        <v>13</v>
      </c>
      <c r="L703" s="31" t="str">
        <f>IFERROR(__xludf.DUMMYFUNCTION("""COMPUTED_VALUE"""),"Simulation")</f>
        <v>Simulation</v>
      </c>
    </row>
    <row r="704" hidden="1">
      <c r="A704" s="17" t="str">
        <f>IFERROR(__xludf.DUMMYFUNCTION("""COMPUTED_VALUE"""),"Ape Out")</f>
        <v>Ape Out</v>
      </c>
      <c r="B704" s="20" t="str">
        <f>IFERROR(__xludf.DUMMYFUNCTION("""COMPUTED_VALUE"""),"PC")</f>
        <v>PC</v>
      </c>
      <c r="C704" s="21"/>
      <c r="D704" s="21" t="str">
        <f>IFERROR(__xludf.DUMMYFUNCTION("""COMPUTED_VALUE"""),"Removed")</f>
        <v>Removed</v>
      </c>
      <c r="E704" s="128">
        <f>IFERROR(__xludf.DUMMYFUNCTION("""COMPUTED_VALUE"""),43699.0)</f>
        <v>43699</v>
      </c>
      <c r="F704" s="24">
        <f>IFERROR(__xludf.DUMMYFUNCTION("""COMPUTED_VALUE"""),44423.0)</f>
        <v>44423</v>
      </c>
      <c r="G704" s="27">
        <f>IFERROR(__xludf.DUMMYFUNCTION("""COMPUTED_VALUE"""),23.766666666666666)</f>
        <v>23.76666667</v>
      </c>
      <c r="H704" s="128">
        <f>IFERROR(__xludf.DUMMYFUNCTION("""COMPUTED_VALUE"""),43524.0)</f>
        <v>43524</v>
      </c>
      <c r="I704" s="27">
        <f>IFERROR(__xludf.DUMMYFUNCTION("""COMPUTED_VALUE"""),0.48333333333333334)</f>
        <v>0.4833333333</v>
      </c>
      <c r="J704" s="29">
        <f>IFERROR(__xludf.DUMMYFUNCTION("""COMPUTED_VALUE"""),83.0)</f>
        <v>83</v>
      </c>
      <c r="K704" s="29">
        <f>IFERROR(__xludf.DUMMYFUNCTION("""COMPUTED_VALUE"""),2.5)</f>
        <v>2.5</v>
      </c>
      <c r="L704" s="31" t="str">
        <f>IFERROR(__xludf.DUMMYFUNCTION("""COMPUTED_VALUE"""),"Action")</f>
        <v>Action</v>
      </c>
    </row>
    <row r="705" hidden="1">
      <c r="A705" s="17" t="str">
        <f>IFERROR(__xludf.DUMMYFUNCTION("""COMPUTED_VALUE"""),"It Lurks Below")</f>
        <v>It Lurks Below</v>
      </c>
      <c r="B705" s="20" t="str">
        <f>IFERROR(__xludf.DUMMYFUNCTION("""COMPUTED_VALUE"""),"Xbox / PC")</f>
        <v>Xbox / PC</v>
      </c>
      <c r="C705" s="20"/>
      <c r="D705" s="21" t="str">
        <f>IFERROR(__xludf.DUMMYFUNCTION("""COMPUTED_VALUE"""),"Removed")</f>
        <v>Removed</v>
      </c>
      <c r="E705" s="128">
        <f>IFERROR(__xludf.DUMMYFUNCTION("""COMPUTED_VALUE"""),44049.0)</f>
        <v>44049</v>
      </c>
      <c r="F705" s="24">
        <f>IFERROR(__xludf.DUMMYFUNCTION("""COMPUTED_VALUE"""),44408.0)</f>
        <v>44408</v>
      </c>
      <c r="G705" s="27">
        <f>IFERROR(__xludf.DUMMYFUNCTION("""COMPUTED_VALUE"""),11.799999999999999)</f>
        <v>11.8</v>
      </c>
      <c r="H705" s="128">
        <f>IFERROR(__xludf.DUMMYFUNCTION("""COMPUTED_VALUE"""),43614.0)</f>
        <v>43614</v>
      </c>
      <c r="I705" s="27">
        <f>IFERROR(__xludf.DUMMYFUNCTION("""COMPUTED_VALUE"""),1.1861111111111111)</f>
        <v>1.186111111</v>
      </c>
      <c r="J705" s="29">
        <f>IFERROR(__xludf.DUMMYFUNCTION("""COMPUTED_VALUE"""),45.0)</f>
        <v>45</v>
      </c>
      <c r="K705" s="29">
        <f>IFERROR(__xludf.DUMMYFUNCTION("""COMPUTED_VALUE"""),8.0)</f>
        <v>8</v>
      </c>
      <c r="L705" s="31" t="str">
        <f>IFERROR(__xludf.DUMMYFUNCTION("""COMPUTED_VALUE"""),"RPG")</f>
        <v>RPG</v>
      </c>
    </row>
    <row r="706" hidden="1">
      <c r="A706" s="17" t="str">
        <f>IFERROR(__xludf.DUMMYFUNCTION("""COMPUTED_VALUE"""),"UnderMine")</f>
        <v>UnderMine</v>
      </c>
      <c r="B706" s="20" t="str">
        <f>IFERROR(__xludf.DUMMYFUNCTION("""COMPUTED_VALUE"""),"Xbox / PC")</f>
        <v>Xbox / PC</v>
      </c>
      <c r="C706" s="20" t="str">
        <f>IFERROR(__xludf.DUMMYFUNCTION("""COMPUTED_VALUE"""),"Touch Controls")</f>
        <v>Touch Controls</v>
      </c>
      <c r="D706" s="21" t="str">
        <f>IFERROR(__xludf.DUMMYFUNCTION("""COMPUTED_VALUE"""),"Removed")</f>
        <v>Removed</v>
      </c>
      <c r="E706" s="128">
        <f>IFERROR(__xludf.DUMMYFUNCTION("""COMPUTED_VALUE"""),44049.0)</f>
        <v>44049</v>
      </c>
      <c r="F706" s="24">
        <f>IFERROR(__xludf.DUMMYFUNCTION("""COMPUTED_VALUE"""),44408.0)</f>
        <v>44408</v>
      </c>
      <c r="G706" s="27">
        <f>IFERROR(__xludf.DUMMYFUNCTION("""COMPUTED_VALUE"""),11.799999999999999)</f>
        <v>11.8</v>
      </c>
      <c r="H706" s="128">
        <f>IFERROR(__xludf.DUMMYFUNCTION("""COMPUTED_VALUE"""),43697.0)</f>
        <v>43697</v>
      </c>
      <c r="I706" s="27">
        <f>IFERROR(__xludf.DUMMYFUNCTION("""COMPUTED_VALUE"""),0.9611111111111111)</f>
        <v>0.9611111111</v>
      </c>
      <c r="J706" s="29">
        <f>IFERROR(__xludf.DUMMYFUNCTION("""COMPUTED_VALUE"""),80.0)</f>
        <v>80</v>
      </c>
      <c r="K706" s="29">
        <f>IFERROR(__xludf.DUMMYFUNCTION("""COMPUTED_VALUE"""),4.5)</f>
        <v>4.5</v>
      </c>
      <c r="L706" s="31" t="str">
        <f>IFERROR(__xludf.DUMMYFUNCTION("""COMPUTED_VALUE"""),"RPG")</f>
        <v>RPG</v>
      </c>
    </row>
    <row r="707" hidden="1">
      <c r="A707" s="17" t="str">
        <f>IFERROR(__xludf.DUMMYFUNCTION("""COMPUTED_VALUE"""),"The Touryst")</f>
        <v>The Touryst</v>
      </c>
      <c r="B707" s="20" t="str">
        <f>IFERROR(__xludf.DUMMYFUNCTION("""COMPUTED_VALUE"""),"Xbox / PC")</f>
        <v>Xbox / PC</v>
      </c>
      <c r="C707" s="20" t="str">
        <f>IFERROR(__xludf.DUMMYFUNCTION("""COMPUTED_VALUE"""),"Touch Controls")</f>
        <v>Touch Controls</v>
      </c>
      <c r="D707" s="21" t="str">
        <f>IFERROR(__xludf.DUMMYFUNCTION("""COMPUTED_VALUE"""),"Removed")</f>
        <v>Removed</v>
      </c>
      <c r="E707" s="128">
        <f>IFERROR(__xludf.DUMMYFUNCTION("""COMPUTED_VALUE"""),44042.0)</f>
        <v>44042</v>
      </c>
      <c r="F707" s="24">
        <f>IFERROR(__xludf.DUMMYFUNCTION("""COMPUTED_VALUE"""),44408.0)</f>
        <v>44408</v>
      </c>
      <c r="G707" s="27">
        <f>IFERROR(__xludf.DUMMYFUNCTION("""COMPUTED_VALUE"""),12.0)</f>
        <v>12</v>
      </c>
      <c r="H707" s="128">
        <f>IFERROR(__xludf.DUMMYFUNCTION("""COMPUTED_VALUE"""),43790.0)</f>
        <v>43790</v>
      </c>
      <c r="I707" s="27">
        <f>IFERROR(__xludf.DUMMYFUNCTION("""COMPUTED_VALUE"""),0.6916666666666667)</f>
        <v>0.6916666667</v>
      </c>
      <c r="J707" s="29">
        <f>IFERROR(__xludf.DUMMYFUNCTION("""COMPUTED_VALUE"""),79.0)</f>
        <v>79</v>
      </c>
      <c r="K707" s="29">
        <f>IFERROR(__xludf.DUMMYFUNCTION("""COMPUTED_VALUE"""),5.0)</f>
        <v>5</v>
      </c>
      <c r="L707" s="31" t="str">
        <f>IFERROR(__xludf.DUMMYFUNCTION("""COMPUTED_VALUE"""),"Action-Adventure")</f>
        <v>Action-Adventure</v>
      </c>
    </row>
    <row r="708" hidden="1">
      <c r="A708" s="17" t="str">
        <f>IFERROR(__xludf.DUMMYFUNCTION("""COMPUTED_VALUE"""),"Endless Space 2: Deluxe Edition")</f>
        <v>Endless Space 2: Deluxe Edition</v>
      </c>
      <c r="B708" s="20" t="str">
        <f>IFERROR(__xludf.DUMMYFUNCTION("""COMPUTED_VALUE"""),"PC")</f>
        <v>PC</v>
      </c>
      <c r="C708" s="20"/>
      <c r="D708" s="21" t="str">
        <f>IFERROR(__xludf.DUMMYFUNCTION("""COMPUTED_VALUE"""),"Removed")</f>
        <v>Removed</v>
      </c>
      <c r="E708" s="128">
        <f>IFERROR(__xludf.DUMMYFUNCTION("""COMPUTED_VALUE"""),44021.0)</f>
        <v>44021</v>
      </c>
      <c r="F708" s="24">
        <f>IFERROR(__xludf.DUMMYFUNCTION("""COMPUTED_VALUE"""),44392.0)</f>
        <v>44392</v>
      </c>
      <c r="G708" s="27">
        <f>IFERROR(__xludf.DUMMYFUNCTION("""COMPUTED_VALUE"""),12.2)</f>
        <v>12.2</v>
      </c>
      <c r="H708" s="128">
        <f>IFERROR(__xludf.DUMMYFUNCTION("""COMPUTED_VALUE"""),42874.0)</f>
        <v>42874</v>
      </c>
      <c r="I708" s="27">
        <f>IFERROR(__xludf.DUMMYFUNCTION("""COMPUTED_VALUE"""),3.138888888888889)</f>
        <v>3.138888889</v>
      </c>
      <c r="J708" s="29">
        <f>IFERROR(__xludf.DUMMYFUNCTION("""COMPUTED_VALUE"""),80.0)</f>
        <v>80</v>
      </c>
      <c r="K708" s="29">
        <f>IFERROR(__xludf.DUMMYFUNCTION("""COMPUTED_VALUE"""),13.0)</f>
        <v>13</v>
      </c>
      <c r="L708" s="31" t="str">
        <f>IFERROR(__xludf.DUMMYFUNCTION("""COMPUTED_VALUE"""),"Strategy")</f>
        <v>Strategy</v>
      </c>
    </row>
    <row r="709" hidden="1">
      <c r="A709" s="17" t="str">
        <f>IFERROR(__xludf.DUMMYFUNCTION("""COMPUTED_VALUE"""),"Downwell")</f>
        <v>Downwell</v>
      </c>
      <c r="B709" s="20" t="str">
        <f>IFERROR(__xludf.DUMMYFUNCTION("""COMPUTED_VALUE"""),"PC")</f>
        <v>PC</v>
      </c>
      <c r="C709" s="20"/>
      <c r="D709" s="21" t="str">
        <f>IFERROR(__xludf.DUMMYFUNCTION("""COMPUTED_VALUE"""),"Removed")</f>
        <v>Removed</v>
      </c>
      <c r="E709" s="127">
        <f>IFERROR(__xludf.DUMMYFUNCTION("""COMPUTED_VALUE"""),43678.0)</f>
        <v>43678</v>
      </c>
      <c r="F709" s="24">
        <f>IFERROR(__xludf.DUMMYFUNCTION("""COMPUTED_VALUE"""),44392.0)</f>
        <v>44392</v>
      </c>
      <c r="G709" s="27">
        <f>IFERROR(__xludf.DUMMYFUNCTION("""COMPUTED_VALUE"""),23.466666666666665)</f>
        <v>23.46666667</v>
      </c>
      <c r="H709" s="128">
        <f>IFERROR(__xludf.DUMMYFUNCTION("""COMPUTED_VALUE"""),42292.0)</f>
        <v>42292</v>
      </c>
      <c r="I709" s="27">
        <f>IFERROR(__xludf.DUMMYFUNCTION("""COMPUTED_VALUE"""),3.7944444444444443)</f>
        <v>3.794444444</v>
      </c>
      <c r="J709" s="29">
        <f>IFERROR(__xludf.DUMMYFUNCTION("""COMPUTED_VALUE"""),81.0)</f>
        <v>81</v>
      </c>
      <c r="K709" s="29">
        <f>IFERROR(__xludf.DUMMYFUNCTION("""COMPUTED_VALUE"""),7.5)</f>
        <v>7.5</v>
      </c>
      <c r="L709" s="275" t="str">
        <f>IFERROR(__xludf.DUMMYFUNCTION("""COMPUTED_VALUE"""),"Platformer")</f>
        <v>Platformer</v>
      </c>
    </row>
    <row r="710" hidden="1">
      <c r="A710" s="17" t="str">
        <f>IFERROR(__xludf.DUMMYFUNCTION("""COMPUTED_VALUE"""),"CrossCode")</f>
        <v>CrossCode</v>
      </c>
      <c r="B710" s="20" t="str">
        <f>IFERROR(__xludf.DUMMYFUNCTION("""COMPUTED_VALUE"""),"Xbox / PC")</f>
        <v>Xbox / PC</v>
      </c>
      <c r="C710" s="20"/>
      <c r="D710" s="21" t="str">
        <f>IFERROR(__xludf.DUMMYFUNCTION("""COMPUTED_VALUE"""),"Removed")</f>
        <v>Removed</v>
      </c>
      <c r="E710" s="128">
        <f>IFERROR(__xludf.DUMMYFUNCTION("""COMPUTED_VALUE"""),43626.0)</f>
        <v>43626</v>
      </c>
      <c r="F710" s="24">
        <f>IFERROR(__xludf.DUMMYFUNCTION("""COMPUTED_VALUE"""),44392.0)</f>
        <v>44392</v>
      </c>
      <c r="G710" s="27">
        <f>IFERROR(__xludf.DUMMYFUNCTION("""COMPUTED_VALUE"""),25.166666666666668)</f>
        <v>25.16666667</v>
      </c>
      <c r="H710" s="128">
        <f>IFERROR(__xludf.DUMMYFUNCTION("""COMPUTED_VALUE"""),42139.0)</f>
        <v>42139</v>
      </c>
      <c r="I710" s="27">
        <f>IFERROR(__xludf.DUMMYFUNCTION("""COMPUTED_VALUE"""),4.069444444444445)</f>
        <v>4.069444444</v>
      </c>
      <c r="J710" s="29">
        <f>IFERROR(__xludf.DUMMYFUNCTION("""COMPUTED_VALUE"""),86.0)</f>
        <v>86</v>
      </c>
      <c r="K710" s="29">
        <f>IFERROR(__xludf.DUMMYFUNCTION("""COMPUTED_VALUE"""),31.5)</f>
        <v>31.5</v>
      </c>
      <c r="L710" s="31" t="str">
        <f>IFERROR(__xludf.DUMMYFUNCTION("""COMPUTED_VALUE"""),"Shooter")</f>
        <v>Shooter</v>
      </c>
    </row>
    <row r="711" hidden="1">
      <c r="A711" s="17" t="str">
        <f>IFERROR(__xludf.DUMMYFUNCTION("""COMPUTED_VALUE"""),"EA Sports UFC")</f>
        <v>EA Sports UFC</v>
      </c>
      <c r="B711" s="20" t="str">
        <f>IFERROR(__xludf.DUMMYFUNCTION("""COMPUTED_VALUE"""),"Xbox")</f>
        <v>Xbox</v>
      </c>
      <c r="C711" s="20"/>
      <c r="D711" s="21" t="str">
        <f>IFERROR(__xludf.DUMMYFUNCTION("""COMPUTED_VALUE"""),"Removed")</f>
        <v>Removed</v>
      </c>
      <c r="E711" s="128">
        <f>IFERROR(__xludf.DUMMYFUNCTION("""COMPUTED_VALUE"""),44145.0)</f>
        <v>44145</v>
      </c>
      <c r="F711" s="24">
        <f>IFERROR(__xludf.DUMMYFUNCTION("""COMPUTED_VALUE"""),44391.0)</f>
        <v>44391</v>
      </c>
      <c r="G711" s="27">
        <f>IFERROR(__xludf.DUMMYFUNCTION("""COMPUTED_VALUE"""),8.133333333333333)</f>
        <v>8.133333333</v>
      </c>
      <c r="H711" s="128">
        <f>IFERROR(__xludf.DUMMYFUNCTION("""COMPUTED_VALUE"""),41807.0)</f>
        <v>41807</v>
      </c>
      <c r="I711" s="27">
        <f>IFERROR(__xludf.DUMMYFUNCTION("""COMPUTED_VALUE"""),6.397222222222222)</f>
        <v>6.397222222</v>
      </c>
      <c r="J711" s="29">
        <f>IFERROR(__xludf.DUMMYFUNCTION("""COMPUTED_VALUE"""),70.0)</f>
        <v>70</v>
      </c>
      <c r="K711" s="29">
        <f>IFERROR(__xludf.DUMMYFUNCTION("""COMPUTED_VALUE"""),11.0)</f>
        <v>11</v>
      </c>
      <c r="L711" s="31" t="str">
        <f>IFERROR(__xludf.DUMMYFUNCTION("""COMPUTED_VALUE"""),"Sports")</f>
        <v>Sports</v>
      </c>
    </row>
    <row r="712" hidden="1">
      <c r="A712" s="17" t="str">
        <f>IFERROR(__xludf.DUMMYFUNCTION("""COMPUTED_VALUE"""),"EA Sports UFC 2")</f>
        <v>EA Sports UFC 2</v>
      </c>
      <c r="B712" s="20" t="str">
        <f>IFERROR(__xludf.DUMMYFUNCTION("""COMPUTED_VALUE"""),"Xbox")</f>
        <v>Xbox</v>
      </c>
      <c r="C712" s="20"/>
      <c r="D712" s="21" t="str">
        <f>IFERROR(__xludf.DUMMYFUNCTION("""COMPUTED_VALUE"""),"Removed")</f>
        <v>Removed</v>
      </c>
      <c r="E712" s="127">
        <f>IFERROR(__xludf.DUMMYFUNCTION("""COMPUTED_VALUE"""),44145.0)</f>
        <v>44145</v>
      </c>
      <c r="F712" s="24">
        <f>IFERROR(__xludf.DUMMYFUNCTION("""COMPUTED_VALUE"""),44391.0)</f>
        <v>44391</v>
      </c>
      <c r="G712" s="27">
        <f>IFERROR(__xludf.DUMMYFUNCTION("""COMPUTED_VALUE"""),8.133333333333333)</f>
        <v>8.133333333</v>
      </c>
      <c r="H712" s="128">
        <f>IFERROR(__xludf.DUMMYFUNCTION("""COMPUTED_VALUE"""),42444.0)</f>
        <v>42444</v>
      </c>
      <c r="I712" s="27">
        <f>IFERROR(__xludf.DUMMYFUNCTION("""COMPUTED_VALUE"""),4.652777777777778)</f>
        <v>4.652777778</v>
      </c>
      <c r="J712" s="29">
        <f>IFERROR(__xludf.DUMMYFUNCTION("""COMPUTED_VALUE"""),76.0)</f>
        <v>76</v>
      </c>
      <c r="K712" s="29">
        <f>IFERROR(__xludf.DUMMYFUNCTION("""COMPUTED_VALUE"""),6.0)</f>
        <v>6</v>
      </c>
      <c r="L712" s="31" t="str">
        <f>IFERROR(__xludf.DUMMYFUNCTION("""COMPUTED_VALUE"""),"Sports")</f>
        <v>Sports</v>
      </c>
    </row>
    <row r="713" hidden="1">
      <c r="A713" s="17" t="str">
        <f>IFERROR(__xludf.DUMMYFUNCTION("""COMPUTED_VALUE"""),"Out of the Park Baseball 21")</f>
        <v>Out of the Park Baseball 21</v>
      </c>
      <c r="B713" s="20" t="str">
        <f>IFERROR(__xludf.DUMMYFUNCTION("""COMPUTED_VALUE"""),"PC")</f>
        <v>PC</v>
      </c>
      <c r="C713" s="20"/>
      <c r="D713" s="21" t="str">
        <f>IFERROR(__xludf.DUMMYFUNCTION("""COMPUTED_VALUE"""),"Removed")</f>
        <v>Removed</v>
      </c>
      <c r="E713" s="127">
        <f>IFERROR(__xludf.DUMMYFUNCTION("""COMPUTED_VALUE"""),44013.0)</f>
        <v>44013</v>
      </c>
      <c r="F713" s="24">
        <f>IFERROR(__xludf.DUMMYFUNCTION("""COMPUTED_VALUE"""),44377.0)</f>
        <v>44377</v>
      </c>
      <c r="G713" s="27">
        <f>IFERROR(__xludf.DUMMYFUNCTION("""COMPUTED_VALUE"""),11.966666666666667)</f>
        <v>11.96666667</v>
      </c>
      <c r="H713" s="128">
        <f>IFERROR(__xludf.DUMMYFUNCTION("""COMPUTED_VALUE"""),43910.0)</f>
        <v>43910</v>
      </c>
      <c r="I713" s="27">
        <f>IFERROR(__xludf.DUMMYFUNCTION("""COMPUTED_VALUE"""),0.28055555555555556)</f>
        <v>0.2805555556</v>
      </c>
      <c r="J713" s="29">
        <f>IFERROR(__xludf.DUMMYFUNCTION("""COMPUTED_VALUE"""),87.0)</f>
        <v>87</v>
      </c>
      <c r="K713" s="29">
        <f>IFERROR(__xludf.DUMMYFUNCTION("""COMPUTED_VALUE"""),34.0)</f>
        <v>34</v>
      </c>
      <c r="L713" s="31" t="str">
        <f>IFERROR(__xludf.DUMMYFUNCTION("""COMPUTED_VALUE"""),"Sports")</f>
        <v>Sports</v>
      </c>
    </row>
    <row r="714" hidden="1">
      <c r="A714" s="17" t="str">
        <f>IFERROR(__xludf.DUMMYFUNCTION("""COMPUTED_VALUE"""),"SoulCalibur VI")</f>
        <v>SoulCalibur VI</v>
      </c>
      <c r="B714" s="20" t="str">
        <f>IFERROR(__xludf.DUMMYFUNCTION("""COMPUTED_VALUE"""),"Xbox")</f>
        <v>Xbox</v>
      </c>
      <c r="C714" s="20"/>
      <c r="D714" s="21" t="str">
        <f>IFERROR(__xludf.DUMMYFUNCTION("""COMPUTED_VALUE"""),"Removed")</f>
        <v>Removed</v>
      </c>
      <c r="E714" s="127">
        <f>IFERROR(__xludf.DUMMYFUNCTION("""COMPUTED_VALUE"""),44013.0)</f>
        <v>44013</v>
      </c>
      <c r="F714" s="24">
        <f>IFERROR(__xludf.DUMMYFUNCTION("""COMPUTED_VALUE"""),44377.0)</f>
        <v>44377</v>
      </c>
      <c r="G714" s="27">
        <f>IFERROR(__xludf.DUMMYFUNCTION("""COMPUTED_VALUE"""),11.966666666666667)</f>
        <v>11.96666667</v>
      </c>
      <c r="H714" s="128">
        <f>IFERROR(__xludf.DUMMYFUNCTION("""COMPUTED_VALUE"""),43392.0)</f>
        <v>43392</v>
      </c>
      <c r="I714" s="27">
        <f>IFERROR(__xludf.DUMMYFUNCTION("""COMPUTED_VALUE"""),1.7)</f>
        <v>1.7</v>
      </c>
      <c r="J714" s="29">
        <f>IFERROR(__xludf.DUMMYFUNCTION("""COMPUTED_VALUE"""),84.0)</f>
        <v>84</v>
      </c>
      <c r="K714" s="29">
        <f>IFERROR(__xludf.DUMMYFUNCTION("""COMPUTED_VALUE"""),7.0)</f>
        <v>7</v>
      </c>
      <c r="L714" s="31" t="str">
        <f>IFERROR(__xludf.DUMMYFUNCTION("""COMPUTED_VALUE"""),"Fighting")</f>
        <v>Fighting</v>
      </c>
    </row>
    <row r="715" hidden="1">
      <c r="A715" s="17" t="str">
        <f>IFERROR(__xludf.DUMMYFUNCTION("""COMPUTED_VALUE"""),"MISTOVER")</f>
        <v>MISTOVER</v>
      </c>
      <c r="B715" s="20" t="str">
        <f>IFERROR(__xludf.DUMMYFUNCTION("""COMPUTED_VALUE"""),"PC")</f>
        <v>PC</v>
      </c>
      <c r="C715" s="20"/>
      <c r="D715" s="21" t="str">
        <f>IFERROR(__xludf.DUMMYFUNCTION("""COMPUTED_VALUE"""),"Removed")</f>
        <v>Removed</v>
      </c>
      <c r="E715" s="127">
        <f>IFERROR(__xludf.DUMMYFUNCTION("""COMPUTED_VALUE"""),43930.0)</f>
        <v>43930</v>
      </c>
      <c r="F715" s="24">
        <f>IFERROR(__xludf.DUMMYFUNCTION("""COMPUTED_VALUE"""),44377.0)</f>
        <v>44377</v>
      </c>
      <c r="G715" s="27">
        <f>IFERROR(__xludf.DUMMYFUNCTION("""COMPUTED_VALUE"""),14.700000000000001)</f>
        <v>14.7</v>
      </c>
      <c r="H715" s="128">
        <f>IFERROR(__xludf.DUMMYFUNCTION("""COMPUTED_VALUE"""),43748.0)</f>
        <v>43748</v>
      </c>
      <c r="I715" s="27">
        <f>IFERROR(__xludf.DUMMYFUNCTION("""COMPUTED_VALUE"""),0.49722222222222223)</f>
        <v>0.4972222222</v>
      </c>
      <c r="J715" s="29">
        <f>IFERROR(__xludf.DUMMYFUNCTION("""COMPUTED_VALUE"""),60.0)</f>
        <v>60</v>
      </c>
      <c r="K715" s="29">
        <f>IFERROR(__xludf.DUMMYFUNCTION("""COMPUTED_VALUE"""),33.5)</f>
        <v>33.5</v>
      </c>
      <c r="L715" s="31" t="str">
        <f>IFERROR(__xludf.DUMMYFUNCTION("""COMPUTED_VALUE"""),"RPG")</f>
        <v>RPG</v>
      </c>
    </row>
    <row r="716" hidden="1">
      <c r="A716" s="17" t="str">
        <f>IFERROR(__xludf.DUMMYFUNCTION("""COMPUTED_VALUE"""),"Battle Chasers: Nightwar")</f>
        <v>Battle Chasers: Nightwar</v>
      </c>
      <c r="B716" s="20" t="str">
        <f>IFERROR(__xludf.DUMMYFUNCTION("""COMPUTED_VALUE"""),"Xbox / PC")</f>
        <v>Xbox / PC</v>
      </c>
      <c r="C716" s="20" t="str">
        <f>IFERROR(__xludf.DUMMYFUNCTION("""COMPUTED_VALUE"""),"Yes")</f>
        <v>Yes</v>
      </c>
      <c r="D716" s="21" t="str">
        <f>IFERROR(__xludf.DUMMYFUNCTION("""COMPUTED_VALUE"""),"Removed")</f>
        <v>Removed</v>
      </c>
      <c r="E716" s="127">
        <f>IFERROR(__xludf.DUMMYFUNCTION("""COMPUTED_VALUE"""),43625.0)</f>
        <v>43625</v>
      </c>
      <c r="F716" s="24">
        <f>IFERROR(__xludf.DUMMYFUNCTION("""COMPUTED_VALUE"""),44377.0)</f>
        <v>44377</v>
      </c>
      <c r="G716" s="27">
        <f>IFERROR(__xludf.DUMMYFUNCTION("""COMPUTED_VALUE"""),24.699999999999996)</f>
        <v>24.7</v>
      </c>
      <c r="H716" s="128">
        <f>IFERROR(__xludf.DUMMYFUNCTION("""COMPUTED_VALUE"""),43011.0)</f>
        <v>43011</v>
      </c>
      <c r="I716" s="27">
        <f>IFERROR(__xludf.DUMMYFUNCTION("""COMPUTED_VALUE"""),1.6833333333333333)</f>
        <v>1.683333333</v>
      </c>
      <c r="J716" s="29">
        <f>IFERROR(__xludf.DUMMYFUNCTION("""COMPUTED_VALUE"""),84.0)</f>
        <v>84</v>
      </c>
      <c r="K716" s="29">
        <f>IFERROR(__xludf.DUMMYFUNCTION("""COMPUTED_VALUE"""),28.5)</f>
        <v>28.5</v>
      </c>
      <c r="L716" s="31" t="str">
        <f>IFERROR(__xludf.DUMMYFUNCTION("""COMPUTED_VALUE"""),"RPG")</f>
        <v>RPG</v>
      </c>
    </row>
    <row r="717" hidden="1">
      <c r="A717" s="17" t="str">
        <f>IFERROR(__xludf.DUMMYFUNCTION("""COMPUTED_VALUE"""),"The Messenger")</f>
        <v>The Messenger</v>
      </c>
      <c r="B717" s="20" t="str">
        <f>IFERROR(__xludf.DUMMYFUNCTION("""COMPUTED_VALUE"""),"Xbox / PC")</f>
        <v>Xbox / PC</v>
      </c>
      <c r="C717" s="20" t="str">
        <f>IFERROR(__xludf.DUMMYFUNCTION("""COMPUTED_VALUE"""),"Yes")</f>
        <v>Yes</v>
      </c>
      <c r="D717" s="21" t="str">
        <f>IFERROR(__xludf.DUMMYFUNCTION("""COMPUTED_VALUE"""),"Removed")</f>
        <v>Removed</v>
      </c>
      <c r="E717" s="127">
        <f>IFERROR(__xludf.DUMMYFUNCTION("""COMPUTED_VALUE"""),43625.0)</f>
        <v>43625</v>
      </c>
      <c r="F717" s="24">
        <f>IFERROR(__xludf.DUMMYFUNCTION("""COMPUTED_VALUE"""),44377.0)</f>
        <v>44377</v>
      </c>
      <c r="G717" s="27">
        <f>IFERROR(__xludf.DUMMYFUNCTION("""COMPUTED_VALUE"""),24.699999999999996)</f>
        <v>24.7</v>
      </c>
      <c r="H717" s="128">
        <f>IFERROR(__xludf.DUMMYFUNCTION("""COMPUTED_VALUE"""),43342.0)</f>
        <v>43342</v>
      </c>
      <c r="I717" s="27">
        <f>IFERROR(__xludf.DUMMYFUNCTION("""COMPUTED_VALUE"""),0.775)</f>
        <v>0.775</v>
      </c>
      <c r="J717" s="29">
        <f>IFERROR(__xludf.DUMMYFUNCTION("""COMPUTED_VALUE"""),83.0)</f>
        <v>83</v>
      </c>
      <c r="K717" s="29">
        <f>IFERROR(__xludf.DUMMYFUNCTION("""COMPUTED_VALUE"""),11.0)</f>
        <v>11</v>
      </c>
      <c r="L717" s="31" t="str">
        <f>IFERROR(__xludf.DUMMYFUNCTION("""COMPUTED_VALUE"""),"Platformer")</f>
        <v>Platformer</v>
      </c>
    </row>
    <row r="718" hidden="1">
      <c r="A718" s="17" t="str">
        <f>IFERROR(__xludf.DUMMYFUNCTION("""COMPUTED_VALUE"""),"Monster Hunter: World")</f>
        <v>Monster Hunter: World</v>
      </c>
      <c r="B718" s="20" t="str">
        <f>IFERROR(__xludf.DUMMYFUNCTION("""COMPUTED_VALUE"""),"Xbox")</f>
        <v>Xbox</v>
      </c>
      <c r="C718" s="20" t="str">
        <f>IFERROR(__xludf.DUMMYFUNCTION("""COMPUTED_VALUE"""),"Yes")</f>
        <v>Yes</v>
      </c>
      <c r="D718" s="21" t="str">
        <f>IFERROR(__xludf.DUMMYFUNCTION("""COMPUTED_VALUE"""),"Removed")</f>
        <v>Removed</v>
      </c>
      <c r="E718" s="127">
        <f>IFERROR(__xludf.DUMMYFUNCTION("""COMPUTED_VALUE"""),43573.0)</f>
        <v>43573</v>
      </c>
      <c r="F718" s="24">
        <f>IFERROR(__xludf.DUMMYFUNCTION("""COMPUTED_VALUE"""),44377.0)</f>
        <v>44377</v>
      </c>
      <c r="G718" s="27">
        <f>IFERROR(__xludf.DUMMYFUNCTION("""COMPUTED_VALUE"""),26.400000000000002)</f>
        <v>26.4</v>
      </c>
      <c r="H718" s="128">
        <f>IFERROR(__xludf.DUMMYFUNCTION("""COMPUTED_VALUE"""),43126.0)</f>
        <v>43126</v>
      </c>
      <c r="I718" s="27">
        <f>IFERROR(__xludf.DUMMYFUNCTION("""COMPUTED_VALUE"""),1.2277777777777779)</f>
        <v>1.227777778</v>
      </c>
      <c r="J718" s="29">
        <f>IFERROR(__xludf.DUMMYFUNCTION("""COMPUTED_VALUE"""),90.0)</f>
        <v>90</v>
      </c>
      <c r="K718" s="29">
        <f>IFERROR(__xludf.DUMMYFUNCTION("""COMPUTED_VALUE"""),49.0)</f>
        <v>49</v>
      </c>
      <c r="L718" s="31" t="str">
        <f>IFERROR(__xludf.DUMMYFUNCTION("""COMPUTED_VALUE"""),"RPG")</f>
        <v>RPG</v>
      </c>
    </row>
    <row r="719" hidden="1">
      <c r="A719" s="17" t="str">
        <f>IFERROR(__xludf.DUMMYFUNCTION("""COMPUTED_VALUE"""),"Marvel vs. Capcom: Infinite")</f>
        <v>Marvel vs. Capcom: Infinite</v>
      </c>
      <c r="B719" s="20" t="str">
        <f>IFERROR(__xludf.DUMMYFUNCTION("""COMPUTED_VALUE"""),"Xbox / PC")</f>
        <v>Xbox / PC</v>
      </c>
      <c r="C719" s="20" t="str">
        <f>IFERROR(__xludf.DUMMYFUNCTION("""COMPUTED_VALUE"""),"Yes")</f>
        <v>Yes</v>
      </c>
      <c r="D719" s="21" t="str">
        <f>IFERROR(__xludf.DUMMYFUNCTION("""COMPUTED_VALUE"""),"Removed")</f>
        <v>Removed</v>
      </c>
      <c r="E719" s="127">
        <f>IFERROR(__xludf.DUMMYFUNCTION("""COMPUTED_VALUE"""),43556.0)</f>
        <v>43556</v>
      </c>
      <c r="F719" s="24">
        <f>IFERROR(__xludf.DUMMYFUNCTION("""COMPUTED_VALUE"""),44377.0)</f>
        <v>44377</v>
      </c>
      <c r="G719" s="27">
        <f>IFERROR(__xludf.DUMMYFUNCTION("""COMPUTED_VALUE"""),26.96666666666667)</f>
        <v>26.96666667</v>
      </c>
      <c r="H719" s="128">
        <f>IFERROR(__xludf.DUMMYFUNCTION("""COMPUTED_VALUE"""),42997.0)</f>
        <v>42997</v>
      </c>
      <c r="I719" s="27">
        <f>IFERROR(__xludf.DUMMYFUNCTION("""COMPUTED_VALUE"""),1.5333333333333334)</f>
        <v>1.533333333</v>
      </c>
      <c r="J719" s="29">
        <f>IFERROR(__xludf.DUMMYFUNCTION("""COMPUTED_VALUE"""),77.0)</f>
        <v>77</v>
      </c>
      <c r="K719" s="29">
        <f>IFERROR(__xludf.DUMMYFUNCTION("""COMPUTED_VALUE"""),3.5)</f>
        <v>3.5</v>
      </c>
      <c r="L719" s="31" t="str">
        <f>IFERROR(__xludf.DUMMYFUNCTION("""COMPUTED_VALUE"""),"Fighting")</f>
        <v>Fighting</v>
      </c>
    </row>
    <row r="720" hidden="1">
      <c r="A720" s="17" t="str">
        <f>IFERROR(__xludf.DUMMYFUNCTION("""COMPUTED_VALUE"""),"Observation")</f>
        <v>Observation</v>
      </c>
      <c r="B720" s="20" t="str">
        <f>IFERROR(__xludf.DUMMYFUNCTION("""COMPUTED_VALUE"""),"Xbox / PC")</f>
        <v>Xbox / PC</v>
      </c>
      <c r="C720" s="20" t="str">
        <f>IFERROR(__xludf.DUMMYFUNCTION("""COMPUTED_VALUE"""),"Yes")</f>
        <v>Yes</v>
      </c>
      <c r="D720" s="21" t="str">
        <f>IFERROR(__xludf.DUMMYFUNCTION("""COMPUTED_VALUE"""),"Removed")</f>
        <v>Removed</v>
      </c>
      <c r="E720" s="127">
        <f>IFERROR(__xludf.DUMMYFUNCTION("""COMPUTED_VALUE"""),44007.0)</f>
        <v>44007</v>
      </c>
      <c r="F720" s="24">
        <f>IFERROR(__xludf.DUMMYFUNCTION("""COMPUTED_VALUE"""),44362.0)</f>
        <v>44362</v>
      </c>
      <c r="G720" s="27">
        <f>IFERROR(__xludf.DUMMYFUNCTION("""COMPUTED_VALUE"""),11.666666666666666)</f>
        <v>11.66666667</v>
      </c>
      <c r="H720" s="128">
        <f>IFERROR(__xludf.DUMMYFUNCTION("""COMPUTED_VALUE"""),43606.0)</f>
        <v>43606</v>
      </c>
      <c r="I720" s="27">
        <f>IFERROR(__xludf.DUMMYFUNCTION("""COMPUTED_VALUE"""),1.0944444444444446)</f>
        <v>1.094444444</v>
      </c>
      <c r="J720" s="29">
        <f>IFERROR(__xludf.DUMMYFUNCTION("""COMPUTED_VALUE"""),79.0)</f>
        <v>79</v>
      </c>
      <c r="K720" s="29">
        <f>IFERROR(__xludf.DUMMYFUNCTION("""COMPUTED_VALUE"""),6.0)</f>
        <v>6</v>
      </c>
      <c r="L720" s="31" t="str">
        <f>IFERROR(__xludf.DUMMYFUNCTION("""COMPUTED_VALUE"""),"Action-Adventure")</f>
        <v>Action-Adventure</v>
      </c>
    </row>
    <row r="721" hidden="1">
      <c r="A721" s="17" t="str">
        <f>IFERROR(__xludf.DUMMYFUNCTION("""COMPUTED_VALUE"""),"West of Dead")</f>
        <v>West of Dead</v>
      </c>
      <c r="B721" s="20" t="str">
        <f>IFERROR(__xludf.DUMMYFUNCTION("""COMPUTED_VALUE"""),"Xbox / PC")</f>
        <v>Xbox / PC</v>
      </c>
      <c r="C721" s="20" t="str">
        <f>IFERROR(__xludf.DUMMYFUNCTION("""COMPUTED_VALUE"""),"Yes")</f>
        <v>Yes</v>
      </c>
      <c r="D721" s="21" t="str">
        <f>IFERROR(__xludf.DUMMYFUNCTION("""COMPUTED_VALUE"""),"Removed")</f>
        <v>Removed</v>
      </c>
      <c r="E721" s="127">
        <f>IFERROR(__xludf.DUMMYFUNCTION("""COMPUTED_VALUE"""),44000.0)</f>
        <v>44000</v>
      </c>
      <c r="F721" s="24">
        <f>IFERROR(__xludf.DUMMYFUNCTION("""COMPUTED_VALUE"""),44362.0)</f>
        <v>44362</v>
      </c>
      <c r="G721" s="27">
        <f>IFERROR(__xludf.DUMMYFUNCTION("""COMPUTED_VALUE"""),11.9)</f>
        <v>11.9</v>
      </c>
      <c r="H721" s="128">
        <f>IFERROR(__xludf.DUMMYFUNCTION("""COMPUTED_VALUE"""),44000.0)</f>
        <v>44000</v>
      </c>
      <c r="I721" s="27">
        <f>IFERROR(__xludf.DUMMYFUNCTION("""COMPUTED_VALUE"""),0.0)</f>
        <v>0</v>
      </c>
      <c r="J721" s="29">
        <f>IFERROR(__xludf.DUMMYFUNCTION("""COMPUTED_VALUE"""),71.0)</f>
        <v>71</v>
      </c>
      <c r="K721" s="29">
        <f>IFERROR(__xludf.DUMMYFUNCTION("""COMPUTED_VALUE"""),11.5)</f>
        <v>11.5</v>
      </c>
      <c r="L721" s="31" t="str">
        <f>IFERROR(__xludf.DUMMYFUNCTION("""COMPUTED_VALUE"""),"Shooter")</f>
        <v>Shooter</v>
      </c>
    </row>
    <row r="722" hidden="1">
      <c r="A722" s="17" t="str">
        <f>IFERROR(__xludf.DUMMYFUNCTION("""COMPUTED_VALUE"""),"Ace Combat 7: Skies Unknown")</f>
        <v>Ace Combat 7: Skies Unknown</v>
      </c>
      <c r="B722" s="20" t="str">
        <f>IFERROR(__xludf.DUMMYFUNCTION("""COMPUTED_VALUE"""),"Xbox")</f>
        <v>Xbox</v>
      </c>
      <c r="C722" s="20"/>
      <c r="D722" s="21" t="str">
        <f>IFERROR(__xludf.DUMMYFUNCTION("""COMPUTED_VALUE"""),"Removed")</f>
        <v>Removed</v>
      </c>
      <c r="E722" s="127">
        <f>IFERROR(__xludf.DUMMYFUNCTION("""COMPUTED_VALUE"""),43909.0)</f>
        <v>43909</v>
      </c>
      <c r="F722" s="276">
        <f>IFERROR(__xludf.DUMMYFUNCTION("""COMPUTED_VALUE"""),44362.0)</f>
        <v>44362</v>
      </c>
      <c r="G722" s="27">
        <f>IFERROR(__xludf.DUMMYFUNCTION("""COMPUTED_VALUE"""),14.866666666666667)</f>
        <v>14.86666667</v>
      </c>
      <c r="H722" s="128">
        <f>IFERROR(__xludf.DUMMYFUNCTION("""COMPUTED_VALUE"""),43480.0)</f>
        <v>43480</v>
      </c>
      <c r="I722" s="27">
        <f>IFERROR(__xludf.DUMMYFUNCTION("""COMPUTED_VALUE"""),1.1777777777777778)</f>
        <v>1.177777778</v>
      </c>
      <c r="J722" s="29">
        <f>IFERROR(__xludf.DUMMYFUNCTION("""COMPUTED_VALUE"""),79.0)</f>
        <v>79</v>
      </c>
      <c r="K722" s="29">
        <f>IFERROR(__xludf.DUMMYFUNCTION("""COMPUTED_VALUE"""),10.5)</f>
        <v>10.5</v>
      </c>
      <c r="L722" s="31" t="str">
        <f>IFERROR(__xludf.DUMMYFUNCTION("""COMPUTED_VALUE"""),"Flight Simulator")</f>
        <v>Flight Simulator</v>
      </c>
    </row>
    <row r="723" hidden="1">
      <c r="A723" s="17" t="str">
        <f>IFERROR(__xludf.DUMMYFUNCTION("""COMPUTED_VALUE"""),"Night Call")</f>
        <v>Night Call</v>
      </c>
      <c r="B723" s="20" t="str">
        <f>IFERROR(__xludf.DUMMYFUNCTION("""COMPUTED_VALUE"""),"Xbox / PC")</f>
        <v>Xbox / PC</v>
      </c>
      <c r="C723" s="20" t="str">
        <f>IFERROR(__xludf.DUMMYFUNCTION("""COMPUTED_VALUE"""),"Yes")</f>
        <v>Yes</v>
      </c>
      <c r="D723" s="21" t="str">
        <f>IFERROR(__xludf.DUMMYFUNCTION("""COMPUTED_VALUE"""),"Removed")</f>
        <v>Removed</v>
      </c>
      <c r="E723" s="127">
        <f>IFERROR(__xludf.DUMMYFUNCTION("""COMPUTED_VALUE"""),43663.0)</f>
        <v>43663</v>
      </c>
      <c r="F723" s="24">
        <f>IFERROR(__xludf.DUMMYFUNCTION("""COMPUTED_VALUE"""),44362.0)</f>
        <v>44362</v>
      </c>
      <c r="G723" s="27">
        <f>IFERROR(__xludf.DUMMYFUNCTION("""COMPUTED_VALUE"""),22.933333333333334)</f>
        <v>22.93333333</v>
      </c>
      <c r="H723" s="128">
        <f>IFERROR(__xludf.DUMMYFUNCTION("""COMPUTED_VALUE"""),43663.0)</f>
        <v>43663</v>
      </c>
      <c r="I723" s="27">
        <f>IFERROR(__xludf.DUMMYFUNCTION("""COMPUTED_VALUE"""),0.0)</f>
        <v>0</v>
      </c>
      <c r="J723" s="29">
        <f>IFERROR(__xludf.DUMMYFUNCTION("""COMPUTED_VALUE"""),68.0)</f>
        <v>68</v>
      </c>
      <c r="K723" s="29">
        <f>IFERROR(__xludf.DUMMYFUNCTION("""COMPUTED_VALUE"""),4.0)</f>
        <v>4</v>
      </c>
      <c r="L723" s="31" t="str">
        <f>IFERROR(__xludf.DUMMYFUNCTION("""COMPUTED_VALUE"""),"Adventure")</f>
        <v>Adventure</v>
      </c>
    </row>
    <row r="724" hidden="1">
      <c r="A724" s="17" t="str">
        <f>IFERROR(__xludf.DUMMYFUNCTION("""COMPUTED_VALUE"""),"Wizard of Legend")</f>
        <v>Wizard of Legend</v>
      </c>
      <c r="B724" s="20" t="str">
        <f>IFERROR(__xludf.DUMMYFUNCTION("""COMPUTED_VALUE"""),"Xbox / PC")</f>
        <v>Xbox / PC</v>
      </c>
      <c r="C724" s="20" t="str">
        <f>IFERROR(__xludf.DUMMYFUNCTION("""COMPUTED_VALUE"""),"Yes")</f>
        <v>Yes</v>
      </c>
      <c r="D724" s="21" t="str">
        <f>IFERROR(__xludf.DUMMYFUNCTION("""COMPUTED_VALUE"""),"Removed")</f>
        <v>Removed</v>
      </c>
      <c r="E724" s="128">
        <f>IFERROR(__xludf.DUMMYFUNCTION("""COMPUTED_VALUE"""),43625.0)</f>
        <v>43625</v>
      </c>
      <c r="F724" s="24">
        <f>IFERROR(__xludf.DUMMYFUNCTION("""COMPUTED_VALUE"""),44362.0)</f>
        <v>44362</v>
      </c>
      <c r="G724" s="27">
        <f>IFERROR(__xludf.DUMMYFUNCTION("""COMPUTED_VALUE"""),24.2)</f>
        <v>24.2</v>
      </c>
      <c r="H724" s="128">
        <f>IFERROR(__xludf.DUMMYFUNCTION("""COMPUTED_VALUE"""),43235.0)</f>
        <v>43235</v>
      </c>
      <c r="I724" s="27">
        <f>IFERROR(__xludf.DUMMYFUNCTION("""COMPUTED_VALUE"""),1.0666666666666667)</f>
        <v>1.066666667</v>
      </c>
      <c r="J724" s="29">
        <f>IFERROR(__xludf.DUMMYFUNCTION("""COMPUTED_VALUE"""),79.0)</f>
        <v>79</v>
      </c>
      <c r="K724" s="29">
        <f>IFERROR(__xludf.DUMMYFUNCTION("""COMPUTED_VALUE"""),6.0)</f>
        <v>6</v>
      </c>
      <c r="L724" s="31" t="str">
        <f>IFERROR(__xludf.DUMMYFUNCTION("""COMPUTED_VALUE"""),"RPG")</f>
        <v>RPG</v>
      </c>
    </row>
    <row r="725" hidden="1">
      <c r="A725" s="17" t="str">
        <f>IFERROR(__xludf.DUMMYFUNCTION("""COMPUTED_VALUE"""),"Kingdom Hearts HD I.5 + II.5 ReMix")</f>
        <v>Kingdom Hearts HD I.5 + II.5 ReMix</v>
      </c>
      <c r="B725" s="20" t="str">
        <f>IFERROR(__xludf.DUMMYFUNCTION("""COMPUTED_VALUE"""),"Xbox")</f>
        <v>Xbox</v>
      </c>
      <c r="C725" s="20"/>
      <c r="D725" s="21" t="str">
        <f>IFERROR(__xludf.DUMMYFUNCTION("""COMPUTED_VALUE"""),"Removed")</f>
        <v>Removed</v>
      </c>
      <c r="E725" s="127">
        <f>IFERROR(__xludf.DUMMYFUNCTION("""COMPUTED_VALUE"""),43993.0)</f>
        <v>43993</v>
      </c>
      <c r="F725" s="24">
        <f>IFERROR(__xludf.DUMMYFUNCTION("""COMPUTED_VALUE"""),44347.0)</f>
        <v>44347</v>
      </c>
      <c r="G725" s="27">
        <f>IFERROR(__xludf.DUMMYFUNCTION("""COMPUTED_VALUE"""),11.633333333333333)</f>
        <v>11.63333333</v>
      </c>
      <c r="H725" s="128">
        <f>IFERROR(__xludf.DUMMYFUNCTION("""COMPUTED_VALUE"""),42803.0)</f>
        <v>42803</v>
      </c>
      <c r="I725" s="27">
        <f>IFERROR(__xludf.DUMMYFUNCTION("""COMPUTED_VALUE"""),3.2555555555555555)</f>
        <v>3.255555556</v>
      </c>
      <c r="J725" s="29">
        <f>IFERROR(__xludf.DUMMYFUNCTION("""COMPUTED_VALUE"""),88.0)</f>
        <v>88</v>
      </c>
      <c r="K725" s="29">
        <f>IFERROR(__xludf.DUMMYFUNCTION("""COMPUTED_VALUE"""),115.0)</f>
        <v>115</v>
      </c>
      <c r="L725" s="31" t="str">
        <f>IFERROR(__xludf.DUMMYFUNCTION("""COMPUTED_VALUE"""),"RPG")</f>
        <v>RPG</v>
      </c>
    </row>
    <row r="726" hidden="1">
      <c r="A726" s="17" t="str">
        <f>IFERROR(__xludf.DUMMYFUNCTION("""COMPUTED_VALUE"""),"Kingdom Hearts HD II.8 Final Chapter Prologue")</f>
        <v>Kingdom Hearts HD II.8 Final Chapter Prologue</v>
      </c>
      <c r="B726" s="20" t="str">
        <f>IFERROR(__xludf.DUMMYFUNCTION("""COMPUTED_VALUE"""),"Xbox")</f>
        <v>Xbox</v>
      </c>
      <c r="C726" s="20"/>
      <c r="D726" s="21" t="str">
        <f>IFERROR(__xludf.DUMMYFUNCTION("""COMPUTED_VALUE"""),"Removed")</f>
        <v>Removed</v>
      </c>
      <c r="E726" s="128">
        <f>IFERROR(__xludf.DUMMYFUNCTION("""COMPUTED_VALUE"""),43993.0)</f>
        <v>43993</v>
      </c>
      <c r="F726" s="24">
        <f>IFERROR(__xludf.DUMMYFUNCTION("""COMPUTED_VALUE"""),44347.0)</f>
        <v>44347</v>
      </c>
      <c r="G726" s="27">
        <f>IFERROR(__xludf.DUMMYFUNCTION("""COMPUTED_VALUE"""),11.633333333333333)</f>
        <v>11.63333333</v>
      </c>
      <c r="H726" s="128">
        <f>IFERROR(__xludf.DUMMYFUNCTION("""COMPUTED_VALUE"""),42759.0)</f>
        <v>42759</v>
      </c>
      <c r="I726" s="27">
        <f>IFERROR(__xludf.DUMMYFUNCTION("""COMPUTED_VALUE"""),3.3805555555555555)</f>
        <v>3.380555556</v>
      </c>
      <c r="J726" s="29">
        <f>IFERROR(__xludf.DUMMYFUNCTION("""COMPUTED_VALUE"""),82.0)</f>
        <v>82</v>
      </c>
      <c r="K726" s="29">
        <f>IFERROR(__xludf.DUMMYFUNCTION("""COMPUTED_VALUE"""),17.0)</f>
        <v>17</v>
      </c>
      <c r="L726" s="31" t="str">
        <f>IFERROR(__xludf.DUMMYFUNCTION("""COMPUTED_VALUE"""),"RPG")</f>
        <v>RPG</v>
      </c>
    </row>
    <row r="727" hidden="1">
      <c r="A727" s="17" t="str">
        <f>IFERROR(__xludf.DUMMYFUNCTION("""COMPUTED_VALUE"""),"Broforce")</f>
        <v>Broforce</v>
      </c>
      <c r="B727" s="20" t="str">
        <f>IFERROR(__xludf.DUMMYFUNCTION("""COMPUTED_VALUE"""),"PC")</f>
        <v>PC</v>
      </c>
      <c r="C727" s="20"/>
      <c r="D727" s="21" t="str">
        <f>IFERROR(__xludf.DUMMYFUNCTION("""COMPUTED_VALUE"""),"Removed")</f>
        <v>Removed</v>
      </c>
      <c r="E727" s="128">
        <f>IFERROR(__xludf.DUMMYFUNCTION("""COMPUTED_VALUE"""),43625.0)</f>
        <v>43625</v>
      </c>
      <c r="F727" s="24">
        <f>IFERROR(__xludf.DUMMYFUNCTION("""COMPUTED_VALUE"""),44347.0)</f>
        <v>44347</v>
      </c>
      <c r="G727" s="27">
        <f>IFERROR(__xludf.DUMMYFUNCTION("""COMPUTED_VALUE"""),23.700000000000003)</f>
        <v>23.7</v>
      </c>
      <c r="H727" s="128">
        <f>IFERROR(__xludf.DUMMYFUNCTION("""COMPUTED_VALUE"""),42292.0)</f>
        <v>42292</v>
      </c>
      <c r="I727" s="27">
        <f>IFERROR(__xludf.DUMMYFUNCTION("""COMPUTED_VALUE"""),3.65)</f>
        <v>3.65</v>
      </c>
      <c r="J727" s="29">
        <f>IFERROR(__xludf.DUMMYFUNCTION("""COMPUTED_VALUE"""),83.0)</f>
        <v>83</v>
      </c>
      <c r="K727" s="29">
        <f>IFERROR(__xludf.DUMMYFUNCTION("""COMPUTED_VALUE"""),6.5)</f>
        <v>6.5</v>
      </c>
      <c r="L727" s="31" t="str">
        <f>IFERROR(__xludf.DUMMYFUNCTION("""COMPUTED_VALUE"""),"Shooter")</f>
        <v>Shooter</v>
      </c>
    </row>
    <row r="728" hidden="1">
      <c r="A728" s="17" t="str">
        <f>IFERROR(__xludf.DUMMYFUNCTION("""COMPUTED_VALUE"""),"Void Bastards")</f>
        <v>Void Bastards</v>
      </c>
      <c r="B728" s="20" t="str">
        <f>IFERROR(__xludf.DUMMYFUNCTION("""COMPUTED_VALUE"""),"Xbox / PC")</f>
        <v>Xbox / PC</v>
      </c>
      <c r="C728" s="20" t="str">
        <f>IFERROR(__xludf.DUMMYFUNCTION("""COMPUTED_VALUE"""),"Yes")</f>
        <v>Yes</v>
      </c>
      <c r="D728" s="21" t="str">
        <f>IFERROR(__xludf.DUMMYFUNCTION("""COMPUTED_VALUE"""),"Removed")</f>
        <v>Removed</v>
      </c>
      <c r="E728" s="127">
        <f>IFERROR(__xludf.DUMMYFUNCTION("""COMPUTED_VALUE"""),43614.0)</f>
        <v>43614</v>
      </c>
      <c r="F728" s="276">
        <f>IFERROR(__xludf.DUMMYFUNCTION("""COMPUTED_VALUE"""),44347.0)</f>
        <v>44347</v>
      </c>
      <c r="G728" s="27">
        <f>IFERROR(__xludf.DUMMYFUNCTION("""COMPUTED_VALUE"""),24.03333333333333)</f>
        <v>24.03333333</v>
      </c>
      <c r="H728" s="128">
        <f>IFERROR(__xludf.DUMMYFUNCTION("""COMPUTED_VALUE"""),43614.0)</f>
        <v>43614</v>
      </c>
      <c r="I728" s="27">
        <f>IFERROR(__xludf.DUMMYFUNCTION("""COMPUTED_VALUE"""),0.0)</f>
        <v>0</v>
      </c>
      <c r="J728" s="29">
        <f>IFERROR(__xludf.DUMMYFUNCTION("""COMPUTED_VALUE"""),75.0)</f>
        <v>75</v>
      </c>
      <c r="K728" s="29">
        <f>IFERROR(__xludf.DUMMYFUNCTION("""COMPUTED_VALUE"""),8.0)</f>
        <v>8</v>
      </c>
      <c r="L728" s="31" t="str">
        <f>IFERROR(__xludf.DUMMYFUNCTION("""COMPUTED_VALUE"""),"Shooter")</f>
        <v>Shooter</v>
      </c>
    </row>
    <row r="729" hidden="1">
      <c r="A729" s="17" t="str">
        <f>IFERROR(__xludf.DUMMYFUNCTION("""COMPUTED_VALUE"""),"Surviving Mars")</f>
        <v>Surviving Mars</v>
      </c>
      <c r="B729" s="20" t="str">
        <f>IFERROR(__xludf.DUMMYFUNCTION("""COMPUTED_VALUE"""),"Xbox / PC")</f>
        <v>Xbox / PC</v>
      </c>
      <c r="C729" s="20" t="str">
        <f>IFERROR(__xludf.DUMMYFUNCTION("""COMPUTED_VALUE"""),"Yes")</f>
        <v>Yes</v>
      </c>
      <c r="D729" s="21" t="str">
        <f>IFERROR(__xludf.DUMMYFUNCTION("""COMPUTED_VALUE"""),"Removed")</f>
        <v>Removed</v>
      </c>
      <c r="E729" s="127">
        <f>IFERROR(__xludf.DUMMYFUNCTION("""COMPUTED_VALUE"""),43594.0)</f>
        <v>43594</v>
      </c>
      <c r="F729" s="24">
        <f>IFERROR(__xludf.DUMMYFUNCTION("""COMPUTED_VALUE"""),44347.0)</f>
        <v>44347</v>
      </c>
      <c r="G729" s="27">
        <f>IFERROR(__xludf.DUMMYFUNCTION("""COMPUTED_VALUE"""),24.699999999999996)</f>
        <v>24.7</v>
      </c>
      <c r="H729" s="128">
        <f>IFERROR(__xludf.DUMMYFUNCTION("""COMPUTED_VALUE"""),43174.0)</f>
        <v>43174</v>
      </c>
      <c r="I729" s="27">
        <f>IFERROR(__xludf.DUMMYFUNCTION("""COMPUTED_VALUE"""),1.15)</f>
        <v>1.15</v>
      </c>
      <c r="J729" s="29">
        <f>IFERROR(__xludf.DUMMYFUNCTION("""COMPUTED_VALUE"""),76.0)</f>
        <v>76</v>
      </c>
      <c r="K729" s="29">
        <f>IFERROR(__xludf.DUMMYFUNCTION("""COMPUTED_VALUE"""),18.5)</f>
        <v>18.5</v>
      </c>
      <c r="L729" s="31" t="str">
        <f>IFERROR(__xludf.DUMMYFUNCTION("""COMPUTED_VALUE"""),"Simulation")</f>
        <v>Simulation</v>
      </c>
    </row>
    <row r="730" hidden="1">
      <c r="A730" s="17" t="str">
        <f>IFERROR(__xludf.DUMMYFUNCTION("""COMPUTED_VALUE"""),"Assetto Corsa")</f>
        <v>Assetto Corsa</v>
      </c>
      <c r="B730" s="20" t="str">
        <f>IFERROR(__xludf.DUMMYFUNCTION("""COMPUTED_VALUE"""),"Xbox")</f>
        <v>Xbox</v>
      </c>
      <c r="C730" s="20" t="str">
        <f>IFERROR(__xludf.DUMMYFUNCTION("""COMPUTED_VALUE"""),"Yes")</f>
        <v>Yes</v>
      </c>
      <c r="D730" s="21" t="str">
        <f>IFERROR(__xludf.DUMMYFUNCTION("""COMPUTED_VALUE"""),"Removed")</f>
        <v>Removed</v>
      </c>
      <c r="E730" s="127">
        <f>IFERROR(__xludf.DUMMYFUNCTION("""COMPUTED_VALUE"""),44175.0)</f>
        <v>44175</v>
      </c>
      <c r="F730" s="276">
        <f>IFERROR(__xludf.DUMMYFUNCTION("""COMPUTED_VALUE"""),44346.0)</f>
        <v>44346</v>
      </c>
      <c r="G730" s="27">
        <f>IFERROR(__xludf.DUMMYFUNCTION("""COMPUTED_VALUE"""),5.666666666666666)</f>
        <v>5.666666667</v>
      </c>
      <c r="H730" s="128">
        <f>IFERROR(__xludf.DUMMYFUNCTION("""COMPUTED_VALUE"""),41992.0)</f>
        <v>41992</v>
      </c>
      <c r="I730" s="27">
        <f>IFERROR(__xludf.DUMMYFUNCTION("""COMPUTED_VALUE"""),5.975)</f>
        <v>5.975</v>
      </c>
      <c r="J730" s="29">
        <f>IFERROR(__xludf.DUMMYFUNCTION("""COMPUTED_VALUE"""),63.0)</f>
        <v>63</v>
      </c>
      <c r="K730" s="29">
        <f>IFERROR(__xludf.DUMMYFUNCTION("""COMPUTED_VALUE"""),40.5)</f>
        <v>40.5</v>
      </c>
      <c r="L730" s="31" t="str">
        <f>IFERROR(__xludf.DUMMYFUNCTION("""COMPUTED_VALUE"""),"Racing")</f>
        <v>Racing</v>
      </c>
    </row>
    <row r="731" hidden="1">
      <c r="A731" s="17" t="str">
        <f>IFERROR(__xludf.DUMMYFUNCTION("""COMPUTED_VALUE"""),"Detention")</f>
        <v>Detention</v>
      </c>
      <c r="B731" s="20" t="str">
        <f>IFERROR(__xludf.DUMMYFUNCTION("""COMPUTED_VALUE"""),"PC")</f>
        <v>PC</v>
      </c>
      <c r="C731" s="20"/>
      <c r="D731" s="21" t="str">
        <f>IFERROR(__xludf.DUMMYFUNCTION("""COMPUTED_VALUE"""),"Removed")</f>
        <v>Removed</v>
      </c>
      <c r="E731" s="127">
        <f>IFERROR(__xludf.DUMMYFUNCTION("""COMPUTED_VALUE"""),44273.0)</f>
        <v>44273</v>
      </c>
      <c r="F731" s="24">
        <f>IFERROR(__xludf.DUMMYFUNCTION("""COMPUTED_VALUE"""),44336.0)</f>
        <v>44336</v>
      </c>
      <c r="G731" s="27">
        <f>IFERROR(__xludf.DUMMYFUNCTION("""COMPUTED_VALUE"""),2.0666666666666664)</f>
        <v>2.066666667</v>
      </c>
      <c r="H731" s="128">
        <f>IFERROR(__xludf.DUMMYFUNCTION("""COMPUTED_VALUE"""),42747.0)</f>
        <v>42747</v>
      </c>
      <c r="I731" s="27">
        <f>IFERROR(__xludf.DUMMYFUNCTION("""COMPUTED_VALUE"""),4.183333333333334)</f>
        <v>4.183333333</v>
      </c>
      <c r="J731" s="29">
        <f>IFERROR(__xludf.DUMMYFUNCTION("""COMPUTED_VALUE"""),83.0)</f>
        <v>83</v>
      </c>
      <c r="K731" s="29">
        <f>IFERROR(__xludf.DUMMYFUNCTION("""COMPUTED_VALUE"""),3.0)</f>
        <v>3</v>
      </c>
      <c r="L731" s="31" t="str">
        <f>IFERROR(__xludf.DUMMYFUNCTION("""COMPUTED_VALUE"""),"Adventure")</f>
        <v>Adventure</v>
      </c>
    </row>
    <row r="732" hidden="1">
      <c r="A732" s="17" t="str">
        <f>IFERROR(__xludf.DUMMYFUNCTION("""COMPUTED_VALUE"""),"Battlefleet Gothic: Armada II")</f>
        <v>Battlefleet Gothic: Armada II</v>
      </c>
      <c r="B732" s="20" t="str">
        <f>IFERROR(__xludf.DUMMYFUNCTION("""COMPUTED_VALUE"""),"PC")</f>
        <v>PC</v>
      </c>
      <c r="C732" s="20"/>
      <c r="D732" s="21" t="str">
        <f>IFERROR(__xludf.DUMMYFUNCTION("""COMPUTED_VALUE"""),"Removed")</f>
        <v>Removed</v>
      </c>
      <c r="E732" s="128">
        <f>IFERROR(__xludf.DUMMYFUNCTION("""COMPUTED_VALUE"""),43993.0)</f>
        <v>43993</v>
      </c>
      <c r="F732" s="24">
        <f>IFERROR(__xludf.DUMMYFUNCTION("""COMPUTED_VALUE"""),44331.0)</f>
        <v>44331</v>
      </c>
      <c r="G732" s="27">
        <f>IFERROR(__xludf.DUMMYFUNCTION("""COMPUTED_VALUE"""),11.133333333333333)</f>
        <v>11.13333333</v>
      </c>
      <c r="H732" s="128">
        <f>IFERROR(__xludf.DUMMYFUNCTION("""COMPUTED_VALUE"""),43489.0)</f>
        <v>43489</v>
      </c>
      <c r="I732" s="27">
        <f>IFERROR(__xludf.DUMMYFUNCTION("""COMPUTED_VALUE"""),1.3805555555555555)</f>
        <v>1.380555556</v>
      </c>
      <c r="J732" s="29">
        <f>IFERROR(__xludf.DUMMYFUNCTION("""COMPUTED_VALUE"""),77.0)</f>
        <v>77</v>
      </c>
      <c r="K732" s="29">
        <f>IFERROR(__xludf.DUMMYFUNCTION("""COMPUTED_VALUE"""),120.0)</f>
        <v>120</v>
      </c>
      <c r="L732" s="31" t="str">
        <f>IFERROR(__xludf.DUMMYFUNCTION("""COMPUTED_VALUE"""),"Real-Time Strategy")</f>
        <v>Real-Time Strategy</v>
      </c>
    </row>
    <row r="733" hidden="1">
      <c r="A733" s="17" t="str">
        <f>IFERROR(__xludf.DUMMYFUNCTION("""COMPUTED_VALUE"""),"Dungeon of the Endless")</f>
        <v>Dungeon of the Endless</v>
      </c>
      <c r="B733" s="20" t="str">
        <f>IFERROR(__xludf.DUMMYFUNCTION("""COMPUTED_VALUE"""),"Xbox / PC")</f>
        <v>Xbox / PC</v>
      </c>
      <c r="C733" s="20" t="str">
        <f>IFERROR(__xludf.DUMMYFUNCTION("""COMPUTED_VALUE"""),"Yes")</f>
        <v>Yes</v>
      </c>
      <c r="D733" s="21" t="str">
        <f>IFERROR(__xludf.DUMMYFUNCTION("""COMPUTED_VALUE"""),"Removed")</f>
        <v>Removed</v>
      </c>
      <c r="E733" s="23">
        <f>IFERROR(__xludf.DUMMYFUNCTION("""COMPUTED_VALUE"""),43993.0)</f>
        <v>43993</v>
      </c>
      <c r="F733" s="24">
        <f>IFERROR(__xludf.DUMMYFUNCTION("""COMPUTED_VALUE"""),44331.0)</f>
        <v>44331</v>
      </c>
      <c r="G733" s="27">
        <f>IFERROR(__xludf.DUMMYFUNCTION("""COMPUTED_VALUE"""),11.133333333333333)</f>
        <v>11.13333333</v>
      </c>
      <c r="H733" s="128">
        <f>IFERROR(__xludf.DUMMYFUNCTION("""COMPUTED_VALUE"""),41939.0)</f>
        <v>41939</v>
      </c>
      <c r="I733" s="27">
        <f>IFERROR(__xludf.DUMMYFUNCTION("""COMPUTED_VALUE"""),5.622222222222222)</f>
        <v>5.622222222</v>
      </c>
      <c r="J733" s="29">
        <f>IFERROR(__xludf.DUMMYFUNCTION("""COMPUTED_VALUE"""),78.5)</f>
        <v>78.5</v>
      </c>
      <c r="K733" s="29">
        <f>IFERROR(__xludf.DUMMYFUNCTION("""COMPUTED_VALUE"""),7.0)</f>
        <v>7</v>
      </c>
      <c r="L733" s="31" t="str">
        <f>IFERROR(__xludf.DUMMYFUNCTION("""COMPUTED_VALUE"""),"RPG")</f>
        <v>RPG</v>
      </c>
    </row>
    <row r="734" hidden="1">
      <c r="A734" s="17" t="str">
        <f>IFERROR(__xludf.DUMMYFUNCTION("""COMPUTED_VALUE"""),"Plebby Quest: The Crusades")</f>
        <v>Plebby Quest: The Crusades</v>
      </c>
      <c r="B734" s="20" t="str">
        <f>IFERROR(__xludf.DUMMYFUNCTION("""COMPUTED_VALUE"""),"PC")</f>
        <v>PC</v>
      </c>
      <c r="C734" s="20"/>
      <c r="D734" s="21" t="str">
        <f>IFERROR(__xludf.DUMMYFUNCTION("""COMPUTED_VALUE"""),"Removed")</f>
        <v>Removed</v>
      </c>
      <c r="E734" s="127">
        <f>IFERROR(__xludf.DUMMYFUNCTION("""COMPUTED_VALUE"""),43977.0)</f>
        <v>43977</v>
      </c>
      <c r="F734" s="24">
        <f>IFERROR(__xludf.DUMMYFUNCTION("""COMPUTED_VALUE"""),44331.0)</f>
        <v>44331</v>
      </c>
      <c r="G734" s="27">
        <f>IFERROR(__xludf.DUMMYFUNCTION("""COMPUTED_VALUE"""),11.633333333333333)</f>
        <v>11.63333333</v>
      </c>
      <c r="H734" s="128">
        <f>IFERROR(__xludf.DUMMYFUNCTION("""COMPUTED_VALUE"""),43929.0)</f>
        <v>43929</v>
      </c>
      <c r="I734" s="27">
        <f>IFERROR(__xludf.DUMMYFUNCTION("""COMPUTED_VALUE"""),0.13333333333333333)</f>
        <v>0.1333333333</v>
      </c>
      <c r="J734" s="29">
        <f>IFERROR(__xludf.DUMMYFUNCTION("""COMPUTED_VALUE"""),84.0)</f>
        <v>84</v>
      </c>
      <c r="K734" s="29">
        <f>IFERROR(__xludf.DUMMYFUNCTION("""COMPUTED_VALUE"""),5.0)</f>
        <v>5</v>
      </c>
      <c r="L734" s="31" t="str">
        <f>IFERROR(__xludf.DUMMYFUNCTION("""COMPUTED_VALUE"""),"RPG")</f>
        <v>RPG</v>
      </c>
    </row>
    <row r="735" hidden="1">
      <c r="A735" s="17" t="str">
        <f>IFERROR(__xludf.DUMMYFUNCTION("""COMPUTED_VALUE"""),"Alan Wake")</f>
        <v>Alan Wake</v>
      </c>
      <c r="B735" s="20" t="str">
        <f>IFERROR(__xludf.DUMMYFUNCTION("""COMPUTED_VALUE"""),"Xbox / PC")</f>
        <v>Xbox / PC</v>
      </c>
      <c r="C735" s="20"/>
      <c r="D735" s="21" t="str">
        <f>IFERROR(__xludf.DUMMYFUNCTION("""COMPUTED_VALUE"""),"Removed")</f>
        <v>Removed</v>
      </c>
      <c r="E735" s="128">
        <f>IFERROR(__xludf.DUMMYFUNCTION("""COMPUTED_VALUE"""),43972.0)</f>
        <v>43972</v>
      </c>
      <c r="F735" s="24">
        <f>IFERROR(__xludf.DUMMYFUNCTION("""COMPUTED_VALUE"""),44331.0)</f>
        <v>44331</v>
      </c>
      <c r="G735" s="27">
        <f>IFERROR(__xludf.DUMMYFUNCTION("""COMPUTED_VALUE"""),11.799999999999999)</f>
        <v>11.8</v>
      </c>
      <c r="H735" s="128">
        <f>IFERROR(__xludf.DUMMYFUNCTION("""COMPUTED_VALUE"""),40312.0)</f>
        <v>40312</v>
      </c>
      <c r="I735" s="27">
        <f>IFERROR(__xludf.DUMMYFUNCTION("""COMPUTED_VALUE"""),10.019444444444444)</f>
        <v>10.01944444</v>
      </c>
      <c r="J735" s="29">
        <f>IFERROR(__xludf.DUMMYFUNCTION("""COMPUTED_VALUE"""),83.0)</f>
        <v>83</v>
      </c>
      <c r="K735" s="29">
        <f>IFERROR(__xludf.DUMMYFUNCTION("""COMPUTED_VALUE"""),11.0)</f>
        <v>11</v>
      </c>
      <c r="L735" s="31" t="str">
        <f>IFERROR(__xludf.DUMMYFUNCTION("""COMPUTED_VALUE"""),"Shooter")</f>
        <v>Shooter</v>
      </c>
    </row>
    <row r="736" hidden="1">
      <c r="A736" s="17" t="str">
        <f>IFERROR(__xludf.DUMMYFUNCTION("""COMPUTED_VALUE"""),"Final Fantasy IX")</f>
        <v>Final Fantasy IX</v>
      </c>
      <c r="B736" s="20" t="str">
        <f>IFERROR(__xludf.DUMMYFUNCTION("""COMPUTED_VALUE"""),"Xbox / PC")</f>
        <v>Xbox / PC</v>
      </c>
      <c r="C736" s="20"/>
      <c r="D736" s="21" t="str">
        <f>IFERROR(__xludf.DUMMYFUNCTION("""COMPUTED_VALUE"""),"Removed")</f>
        <v>Removed</v>
      </c>
      <c r="E736" s="128">
        <f>IFERROR(__xludf.DUMMYFUNCTION("""COMPUTED_VALUE"""),43965.0)</f>
        <v>43965</v>
      </c>
      <c r="F736" s="24">
        <f>IFERROR(__xludf.DUMMYFUNCTION("""COMPUTED_VALUE"""),44331.0)</f>
        <v>44331</v>
      </c>
      <c r="G736" s="27">
        <f>IFERROR(__xludf.DUMMYFUNCTION("""COMPUTED_VALUE"""),12.033333333333333)</f>
        <v>12.03333333</v>
      </c>
      <c r="H736" s="128">
        <f>IFERROR(__xludf.DUMMYFUNCTION("""COMPUTED_VALUE"""),36714.0)</f>
        <v>36714</v>
      </c>
      <c r="I736" s="27">
        <f>IFERROR(__xludf.DUMMYFUNCTION("""COMPUTED_VALUE"""),19.852777777777778)</f>
        <v>19.85277778</v>
      </c>
      <c r="J736" s="29">
        <f>IFERROR(__xludf.DUMMYFUNCTION("""COMPUTED_VALUE"""),85.0)</f>
        <v>85</v>
      </c>
      <c r="K736" s="29">
        <f>IFERROR(__xludf.DUMMYFUNCTION("""COMPUTED_VALUE"""),40.0)</f>
        <v>40</v>
      </c>
      <c r="L736" s="31" t="str">
        <f>IFERROR(__xludf.DUMMYFUNCTION("""COMPUTED_VALUE"""),"RPG")</f>
        <v>RPG</v>
      </c>
    </row>
    <row r="737" hidden="1">
      <c r="A737" s="17" t="str">
        <f>IFERROR(__xludf.DUMMYFUNCTION("""COMPUTED_VALUE"""),"Hotline Miami")</f>
        <v>Hotline Miami</v>
      </c>
      <c r="B737" s="20" t="str">
        <f>IFERROR(__xludf.DUMMYFUNCTION("""COMPUTED_VALUE"""),"PC")</f>
        <v>PC</v>
      </c>
      <c r="C737" s="20"/>
      <c r="D737" s="21" t="str">
        <f>IFERROR(__xludf.DUMMYFUNCTION("""COMPUTED_VALUE"""),"Removed")</f>
        <v>Removed</v>
      </c>
      <c r="E737" s="128">
        <f>IFERROR(__xludf.DUMMYFUNCTION("""COMPUTED_VALUE"""),43625.0)</f>
        <v>43625</v>
      </c>
      <c r="F737" s="24">
        <f>IFERROR(__xludf.DUMMYFUNCTION("""COMPUTED_VALUE"""),44331.0)</f>
        <v>44331</v>
      </c>
      <c r="G737" s="27">
        <f>IFERROR(__xludf.DUMMYFUNCTION("""COMPUTED_VALUE"""),23.2)</f>
        <v>23.2</v>
      </c>
      <c r="H737" s="128">
        <f>IFERROR(__xludf.DUMMYFUNCTION("""COMPUTED_VALUE"""),41205.0)</f>
        <v>41205</v>
      </c>
      <c r="I737" s="27">
        <f>IFERROR(__xludf.DUMMYFUNCTION("""COMPUTED_VALUE"""),6.627777777777778)</f>
        <v>6.627777778</v>
      </c>
      <c r="J737" s="29">
        <f>IFERROR(__xludf.DUMMYFUNCTION("""COMPUTED_VALUE"""),85.0)</f>
        <v>85</v>
      </c>
      <c r="K737" s="29">
        <f>IFERROR(__xludf.DUMMYFUNCTION("""COMPUTED_VALUE"""),5.0)</f>
        <v>5</v>
      </c>
      <c r="L737" s="31" t="str">
        <f>IFERROR(__xludf.DUMMYFUNCTION("""COMPUTED_VALUE"""),"Action")</f>
        <v>Action</v>
      </c>
    </row>
    <row r="738" hidden="1">
      <c r="A738" s="17" t="str">
        <f>IFERROR(__xludf.DUMMYFUNCTION("""COMPUTED_VALUE"""),"FIFA 15")</f>
        <v>FIFA 15</v>
      </c>
      <c r="B738" s="20" t="str">
        <f>IFERROR(__xludf.DUMMYFUNCTION("""COMPUTED_VALUE"""),"Xbox / PC")</f>
        <v>Xbox / PC</v>
      </c>
      <c r="C738" s="20"/>
      <c r="D738" s="21" t="str">
        <f>IFERROR(__xludf.DUMMYFUNCTION("""COMPUTED_VALUE"""),"Removed")</f>
        <v>Removed</v>
      </c>
      <c r="E738" s="128">
        <f>IFERROR(__xludf.DUMMYFUNCTION("""COMPUTED_VALUE"""),44145.0)</f>
        <v>44145</v>
      </c>
      <c r="F738" s="24">
        <f>IFERROR(__xludf.DUMMYFUNCTION("""COMPUTED_VALUE"""),44322.0)</f>
        <v>44322</v>
      </c>
      <c r="G738" s="27">
        <f>IFERROR(__xludf.DUMMYFUNCTION("""COMPUTED_VALUE"""),5.866666666666666)</f>
        <v>5.866666667</v>
      </c>
      <c r="H738" s="128">
        <f>IFERROR(__xludf.DUMMYFUNCTION("""COMPUTED_VALUE"""),41905.0)</f>
        <v>41905</v>
      </c>
      <c r="I738" s="27">
        <f>IFERROR(__xludf.DUMMYFUNCTION("""COMPUTED_VALUE"""),6.1305555555555555)</f>
        <v>6.130555556</v>
      </c>
      <c r="J738" s="29">
        <f>IFERROR(__xludf.DUMMYFUNCTION("""COMPUTED_VALUE"""),82.0)</f>
        <v>82</v>
      </c>
      <c r="K738" s="29">
        <f>IFERROR(__xludf.DUMMYFUNCTION("""COMPUTED_VALUE"""),128.0)</f>
        <v>128</v>
      </c>
      <c r="L738" s="31" t="str">
        <f>IFERROR(__xludf.DUMMYFUNCTION("""COMPUTED_VALUE"""),"Sports")</f>
        <v>Sports</v>
      </c>
    </row>
    <row r="739" hidden="1">
      <c r="A739" s="17" t="str">
        <f>IFERROR(__xludf.DUMMYFUNCTION("""COMPUTED_VALUE"""),"FIFA 16")</f>
        <v>FIFA 16</v>
      </c>
      <c r="B739" s="20" t="str">
        <f>IFERROR(__xludf.DUMMYFUNCTION("""COMPUTED_VALUE"""),"Xbox / PC")</f>
        <v>Xbox / PC</v>
      </c>
      <c r="C739" s="20"/>
      <c r="D739" s="21" t="str">
        <f>IFERROR(__xludf.DUMMYFUNCTION("""COMPUTED_VALUE"""),"Removed")</f>
        <v>Removed</v>
      </c>
      <c r="E739" s="128">
        <f>IFERROR(__xludf.DUMMYFUNCTION("""COMPUTED_VALUE"""),44145.0)</f>
        <v>44145</v>
      </c>
      <c r="F739" s="24">
        <f>IFERROR(__xludf.DUMMYFUNCTION("""COMPUTED_VALUE"""),44322.0)</f>
        <v>44322</v>
      </c>
      <c r="G739" s="27">
        <f>IFERROR(__xludf.DUMMYFUNCTION("""COMPUTED_VALUE"""),5.866666666666666)</f>
        <v>5.866666667</v>
      </c>
      <c r="H739" s="128">
        <f>IFERROR(__xludf.DUMMYFUNCTION("""COMPUTED_VALUE"""),42269.0)</f>
        <v>42269</v>
      </c>
      <c r="I739" s="27">
        <f>IFERROR(__xludf.DUMMYFUNCTION("""COMPUTED_VALUE"""),5.133333333333334)</f>
        <v>5.133333333</v>
      </c>
      <c r="J739" s="29">
        <f>IFERROR(__xludf.DUMMYFUNCTION("""COMPUTED_VALUE"""),84.0)</f>
        <v>84</v>
      </c>
      <c r="K739" s="29">
        <f>IFERROR(__xludf.DUMMYFUNCTION("""COMPUTED_VALUE"""),108.0)</f>
        <v>108</v>
      </c>
      <c r="L739" s="31" t="str">
        <f>IFERROR(__xludf.DUMMYFUNCTION("""COMPUTED_VALUE"""),"Sports")</f>
        <v>Sports</v>
      </c>
    </row>
    <row r="740" hidden="1">
      <c r="A740" s="17" t="str">
        <f>IFERROR(__xludf.DUMMYFUNCTION("""COMPUTED_VALUE"""),"FIFA 17")</f>
        <v>FIFA 17</v>
      </c>
      <c r="B740" s="20" t="str">
        <f>IFERROR(__xludf.DUMMYFUNCTION("""COMPUTED_VALUE"""),"Xbox / PC")</f>
        <v>Xbox / PC</v>
      </c>
      <c r="C740" s="20"/>
      <c r="D740" s="21" t="str">
        <f>IFERROR(__xludf.DUMMYFUNCTION("""COMPUTED_VALUE"""),"Removed")</f>
        <v>Removed</v>
      </c>
      <c r="E740" s="128">
        <f>IFERROR(__xludf.DUMMYFUNCTION("""COMPUTED_VALUE"""),44145.0)</f>
        <v>44145</v>
      </c>
      <c r="F740" s="24">
        <f>IFERROR(__xludf.DUMMYFUNCTION("""COMPUTED_VALUE"""),44322.0)</f>
        <v>44322</v>
      </c>
      <c r="G740" s="27">
        <f>IFERROR(__xludf.DUMMYFUNCTION("""COMPUTED_VALUE"""),5.866666666666666)</f>
        <v>5.866666667</v>
      </c>
      <c r="H740" s="128">
        <f>IFERROR(__xludf.DUMMYFUNCTION("""COMPUTED_VALUE"""),42640.0)</f>
        <v>42640</v>
      </c>
      <c r="I740" s="27">
        <f>IFERROR(__xludf.DUMMYFUNCTION("""COMPUTED_VALUE"""),4.1194444444444445)</f>
        <v>4.119444444</v>
      </c>
      <c r="J740" s="29">
        <f>IFERROR(__xludf.DUMMYFUNCTION("""COMPUTED_VALUE"""),84.0)</f>
        <v>84</v>
      </c>
      <c r="K740" s="29">
        <f>IFERROR(__xludf.DUMMYFUNCTION("""COMPUTED_VALUE"""),52.0)</f>
        <v>52</v>
      </c>
      <c r="L740" s="31" t="str">
        <f>IFERROR(__xludf.DUMMYFUNCTION("""COMPUTED_VALUE"""),"Sports")</f>
        <v>Sports</v>
      </c>
    </row>
    <row r="741" hidden="1">
      <c r="A741" s="17" t="str">
        <f>IFERROR(__xludf.DUMMYFUNCTION("""COMPUTED_VALUE"""),"FIFA 18")</f>
        <v>FIFA 18</v>
      </c>
      <c r="B741" s="20" t="str">
        <f>IFERROR(__xludf.DUMMYFUNCTION("""COMPUTED_VALUE"""),"Xbox / PC")</f>
        <v>Xbox / PC</v>
      </c>
      <c r="C741" s="20"/>
      <c r="D741" s="21" t="str">
        <f>IFERROR(__xludf.DUMMYFUNCTION("""COMPUTED_VALUE"""),"Removed")</f>
        <v>Removed</v>
      </c>
      <c r="E741" s="128">
        <f>IFERROR(__xludf.DUMMYFUNCTION("""COMPUTED_VALUE"""),44145.0)</f>
        <v>44145</v>
      </c>
      <c r="F741" s="24">
        <f>IFERROR(__xludf.DUMMYFUNCTION("""COMPUTED_VALUE"""),44322.0)</f>
        <v>44322</v>
      </c>
      <c r="G741" s="27">
        <f>IFERROR(__xludf.DUMMYFUNCTION("""COMPUTED_VALUE"""),5.866666666666666)</f>
        <v>5.866666667</v>
      </c>
      <c r="H741" s="128">
        <f>IFERROR(__xludf.DUMMYFUNCTION("""COMPUTED_VALUE"""),43007.0)</f>
        <v>43007</v>
      </c>
      <c r="I741" s="27">
        <f>IFERROR(__xludf.DUMMYFUNCTION("""COMPUTED_VALUE"""),3.113888888888889)</f>
        <v>3.113888889</v>
      </c>
      <c r="J741" s="29">
        <f>IFERROR(__xludf.DUMMYFUNCTION("""COMPUTED_VALUE"""),83.0)</f>
        <v>83</v>
      </c>
      <c r="K741" s="29">
        <f>IFERROR(__xludf.DUMMYFUNCTION("""COMPUTED_VALUE"""),36.5)</f>
        <v>36.5</v>
      </c>
      <c r="L741" s="31" t="str">
        <f>IFERROR(__xludf.DUMMYFUNCTION("""COMPUTED_VALUE"""),"Sports")</f>
        <v>Sports</v>
      </c>
    </row>
    <row r="742" hidden="1">
      <c r="A742" s="17" t="str">
        <f>IFERROR(__xludf.DUMMYFUNCTION("""COMPUTED_VALUE"""),"NBA LIVE 15")</f>
        <v>NBA LIVE 15</v>
      </c>
      <c r="B742" s="20" t="str">
        <f>IFERROR(__xludf.DUMMYFUNCTION("""COMPUTED_VALUE"""),"Xbox")</f>
        <v>Xbox</v>
      </c>
      <c r="C742" s="20"/>
      <c r="D742" s="21" t="str">
        <f>IFERROR(__xludf.DUMMYFUNCTION("""COMPUTED_VALUE"""),"Removed")</f>
        <v>Removed</v>
      </c>
      <c r="E742" s="128">
        <f>IFERROR(__xludf.DUMMYFUNCTION("""COMPUTED_VALUE"""),44145.0)</f>
        <v>44145</v>
      </c>
      <c r="F742" s="24">
        <f>IFERROR(__xludf.DUMMYFUNCTION("""COMPUTED_VALUE"""),44322.0)</f>
        <v>44322</v>
      </c>
      <c r="G742" s="27">
        <f>IFERROR(__xludf.DUMMYFUNCTION("""COMPUTED_VALUE"""),5.866666666666666)</f>
        <v>5.866666667</v>
      </c>
      <c r="H742" s="128">
        <f>IFERROR(__xludf.DUMMYFUNCTION("""COMPUTED_VALUE"""),41940.0)</f>
        <v>41940</v>
      </c>
      <c r="I742" s="27">
        <f>IFERROR(__xludf.DUMMYFUNCTION("""COMPUTED_VALUE"""),6.033333333333333)</f>
        <v>6.033333333</v>
      </c>
      <c r="J742" s="29">
        <f>IFERROR(__xludf.DUMMYFUNCTION("""COMPUTED_VALUE"""),53.0)</f>
        <v>53</v>
      </c>
      <c r="K742" s="29">
        <f>IFERROR(__xludf.DUMMYFUNCTION("""COMPUTED_VALUE"""),39.0)</f>
        <v>39</v>
      </c>
      <c r="L742" s="31" t="str">
        <f>IFERROR(__xludf.DUMMYFUNCTION("""COMPUTED_VALUE"""),"Sports")</f>
        <v>Sports</v>
      </c>
    </row>
    <row r="743" hidden="1">
      <c r="A743" s="17" t="str">
        <f>IFERROR(__xludf.DUMMYFUNCTION("""COMPUTED_VALUE"""),"NBA LIVE 18: The One Edition")</f>
        <v>NBA LIVE 18: The One Edition</v>
      </c>
      <c r="B743" s="20" t="str">
        <f>IFERROR(__xludf.DUMMYFUNCTION("""COMPUTED_VALUE"""),"Xbox")</f>
        <v>Xbox</v>
      </c>
      <c r="C743" s="21"/>
      <c r="D743" s="21" t="str">
        <f>IFERROR(__xludf.DUMMYFUNCTION("""COMPUTED_VALUE"""),"Removed")</f>
        <v>Removed</v>
      </c>
      <c r="E743" s="23">
        <f>IFERROR(__xludf.DUMMYFUNCTION("""COMPUTED_VALUE"""),44145.0)</f>
        <v>44145</v>
      </c>
      <c r="F743" s="24">
        <f>IFERROR(__xludf.DUMMYFUNCTION("""COMPUTED_VALUE"""),44322.0)</f>
        <v>44322</v>
      </c>
      <c r="G743" s="27">
        <f>IFERROR(__xludf.DUMMYFUNCTION("""COMPUTED_VALUE"""),5.866666666666666)</f>
        <v>5.866666667</v>
      </c>
      <c r="H743" s="128">
        <f>IFERROR(__xludf.DUMMYFUNCTION("""COMPUTED_VALUE"""),42993.0)</f>
        <v>42993</v>
      </c>
      <c r="I743" s="27">
        <f>IFERROR(__xludf.DUMMYFUNCTION("""COMPUTED_VALUE"""),3.1527777777777777)</f>
        <v>3.152777778</v>
      </c>
      <c r="J743" s="29">
        <f>IFERROR(__xludf.DUMMYFUNCTION("""COMPUTED_VALUE"""),72.0)</f>
        <v>72</v>
      </c>
      <c r="K743" s="29">
        <f>IFERROR(__xludf.DUMMYFUNCTION("""COMPUTED_VALUE"""),158.0)</f>
        <v>158</v>
      </c>
      <c r="L743" s="31" t="str">
        <f>IFERROR(__xludf.DUMMYFUNCTION("""COMPUTED_VALUE"""),"Sports")</f>
        <v>Sports</v>
      </c>
    </row>
    <row r="744" hidden="1">
      <c r="A744" s="17" t="str">
        <f>IFERROR(__xludf.DUMMYFUNCTION("""COMPUTED_VALUE"""),"Fractured Minds")</f>
        <v>Fractured Minds</v>
      </c>
      <c r="B744" s="20" t="str">
        <f>IFERROR(__xludf.DUMMYFUNCTION("""COMPUTED_VALUE"""),"Xbox")</f>
        <v>Xbox</v>
      </c>
      <c r="C744" s="20" t="str">
        <f>IFERROR(__xludf.DUMMYFUNCTION("""COMPUTED_VALUE"""),"Yes")</f>
        <v>Yes</v>
      </c>
      <c r="D744" s="21" t="str">
        <f>IFERROR(__xludf.DUMMYFUNCTION("""COMPUTED_VALUE"""),"Removed")</f>
        <v>Removed</v>
      </c>
      <c r="E744" s="128">
        <f>IFERROR(__xludf.DUMMYFUNCTION("""COMPUTED_VALUE"""),43970.0)</f>
        <v>43970</v>
      </c>
      <c r="F744" s="24">
        <f>IFERROR(__xludf.DUMMYFUNCTION("""COMPUTED_VALUE"""),44316.0)</f>
        <v>44316</v>
      </c>
      <c r="G744" s="27">
        <f>IFERROR(__xludf.DUMMYFUNCTION("""COMPUTED_VALUE"""),11.366666666666667)</f>
        <v>11.36666667</v>
      </c>
      <c r="H744" s="128">
        <f>IFERROR(__xludf.DUMMYFUNCTION("""COMPUTED_VALUE"""),43783.0)</f>
        <v>43783</v>
      </c>
      <c r="I744" s="27">
        <f>IFERROR(__xludf.DUMMYFUNCTION("""COMPUTED_VALUE"""),0.5138888888888888)</f>
        <v>0.5138888889</v>
      </c>
      <c r="J744" s="29">
        <f>IFERROR(__xludf.DUMMYFUNCTION("""COMPUTED_VALUE"""),86.0)</f>
        <v>86</v>
      </c>
      <c r="K744" s="29">
        <f>IFERROR(__xludf.DUMMYFUNCTION("""COMPUTED_VALUE"""),0.5)</f>
        <v>0.5</v>
      </c>
      <c r="L744" s="31" t="str">
        <f>IFERROR(__xludf.DUMMYFUNCTION("""COMPUTED_VALUE"""),"Adventure")</f>
        <v>Adventure</v>
      </c>
    </row>
    <row r="745" hidden="1">
      <c r="A745" s="17" t="str">
        <f>IFERROR(__xludf.DUMMYFUNCTION("""COMPUTED_VALUE"""),"Endless Legend")</f>
        <v>Endless Legend</v>
      </c>
      <c r="B745" s="20" t="str">
        <f>IFERROR(__xludf.DUMMYFUNCTION("""COMPUTED_VALUE"""),"PC")</f>
        <v>PC</v>
      </c>
      <c r="C745" s="20"/>
      <c r="D745" s="21" t="str">
        <f>IFERROR(__xludf.DUMMYFUNCTION("""COMPUTED_VALUE"""),"Removed")</f>
        <v>Removed</v>
      </c>
      <c r="E745" s="128">
        <f>IFERROR(__xludf.DUMMYFUNCTION("""COMPUTED_VALUE"""),43965.0)</f>
        <v>43965</v>
      </c>
      <c r="F745" s="24">
        <f>IFERROR(__xludf.DUMMYFUNCTION("""COMPUTED_VALUE"""),44316.0)</f>
        <v>44316</v>
      </c>
      <c r="G745" s="27">
        <f>IFERROR(__xludf.DUMMYFUNCTION("""COMPUTED_VALUE"""),11.533333333333333)</f>
        <v>11.53333333</v>
      </c>
      <c r="H745" s="128">
        <f>IFERROR(__xludf.DUMMYFUNCTION("""COMPUTED_VALUE"""),41900.0)</f>
        <v>41900</v>
      </c>
      <c r="I745" s="27">
        <f>IFERROR(__xludf.DUMMYFUNCTION("""COMPUTED_VALUE"""),5.655555555555556)</f>
        <v>5.655555556</v>
      </c>
      <c r="J745" s="29">
        <f>IFERROR(__xludf.DUMMYFUNCTION("""COMPUTED_VALUE"""),82.0)</f>
        <v>82</v>
      </c>
      <c r="K745" s="29">
        <f>IFERROR(__xludf.DUMMYFUNCTION("""COMPUTED_VALUE"""),14.0)</f>
        <v>14</v>
      </c>
      <c r="L745" s="31" t="str">
        <f>IFERROR(__xludf.DUMMYFUNCTION("""COMPUTED_VALUE"""),"Strategy")</f>
        <v>Strategy</v>
      </c>
    </row>
    <row r="746" hidden="1">
      <c r="A746" s="17" t="str">
        <f>IFERROR(__xludf.DUMMYFUNCTION("""COMPUTED_VALUE"""),"Levelhead")</f>
        <v>Levelhead</v>
      </c>
      <c r="B746" s="20" t="str">
        <f>IFERROR(__xludf.DUMMYFUNCTION("""COMPUTED_VALUE"""),"Xbox / PC")</f>
        <v>Xbox / PC</v>
      </c>
      <c r="C746" s="20" t="str">
        <f>IFERROR(__xludf.DUMMYFUNCTION("""COMPUTED_VALUE"""),"Yes")</f>
        <v>Yes</v>
      </c>
      <c r="D746" s="21" t="str">
        <f>IFERROR(__xludf.DUMMYFUNCTION("""COMPUTED_VALUE"""),"Removed")</f>
        <v>Removed</v>
      </c>
      <c r="E746" s="127">
        <f>IFERROR(__xludf.DUMMYFUNCTION("""COMPUTED_VALUE"""),43951.0)</f>
        <v>43951</v>
      </c>
      <c r="F746" s="276">
        <f>IFERROR(__xludf.DUMMYFUNCTION("""COMPUTED_VALUE"""),44316.0)</f>
        <v>44316</v>
      </c>
      <c r="G746" s="27">
        <f>IFERROR(__xludf.DUMMYFUNCTION("""COMPUTED_VALUE"""),12.0)</f>
        <v>12</v>
      </c>
      <c r="H746" s="128">
        <f>IFERROR(__xludf.DUMMYFUNCTION("""COMPUTED_VALUE"""),43573.0)</f>
        <v>43573</v>
      </c>
      <c r="I746" s="27">
        <f>IFERROR(__xludf.DUMMYFUNCTION("""COMPUTED_VALUE"""),1.0333333333333334)</f>
        <v>1.033333333</v>
      </c>
      <c r="J746" s="29">
        <f>IFERROR(__xludf.DUMMYFUNCTION("""COMPUTED_VALUE"""),82.0)</f>
        <v>82</v>
      </c>
      <c r="K746" s="29">
        <f>IFERROR(__xludf.DUMMYFUNCTION("""COMPUTED_VALUE"""),66.0)</f>
        <v>66</v>
      </c>
      <c r="L746" s="31" t="str">
        <f>IFERROR(__xludf.DUMMYFUNCTION("""COMPUTED_VALUE"""),"Platformer")</f>
        <v>Platformer</v>
      </c>
    </row>
    <row r="747" hidden="1">
      <c r="A747" s="17" t="str">
        <f>IFERROR(__xludf.DUMMYFUNCTION("""COMPUTED_VALUE"""),"Moving Out")</f>
        <v>Moving Out</v>
      </c>
      <c r="B747" s="20" t="str">
        <f>IFERROR(__xludf.DUMMYFUNCTION("""COMPUTED_VALUE"""),"Xbox / PC")</f>
        <v>Xbox / PC</v>
      </c>
      <c r="C747" s="20" t="str">
        <f>IFERROR(__xludf.DUMMYFUNCTION("""COMPUTED_VALUE"""),"Yes")</f>
        <v>Yes</v>
      </c>
      <c r="D747" s="21" t="str">
        <f>IFERROR(__xludf.DUMMYFUNCTION("""COMPUTED_VALUE"""),"Removed")</f>
        <v>Removed</v>
      </c>
      <c r="E747" s="128">
        <f>IFERROR(__xludf.DUMMYFUNCTION("""COMPUTED_VALUE"""),43949.0)</f>
        <v>43949</v>
      </c>
      <c r="F747" s="24">
        <f>IFERROR(__xludf.DUMMYFUNCTION("""COMPUTED_VALUE"""),44316.0)</f>
        <v>44316</v>
      </c>
      <c r="G747" s="27">
        <f>IFERROR(__xludf.DUMMYFUNCTION("""COMPUTED_VALUE"""),12.066666666666666)</f>
        <v>12.06666667</v>
      </c>
      <c r="H747" s="128">
        <f>IFERROR(__xludf.DUMMYFUNCTION("""COMPUTED_VALUE"""),43941.0)</f>
        <v>43941</v>
      </c>
      <c r="I747" s="27">
        <f>IFERROR(__xludf.DUMMYFUNCTION("""COMPUTED_VALUE"""),0.022222222222222223)</f>
        <v>0.02222222222</v>
      </c>
      <c r="J747" s="29">
        <f>IFERROR(__xludf.DUMMYFUNCTION("""COMPUTED_VALUE"""),78.0)</f>
        <v>78</v>
      </c>
      <c r="K747" s="29">
        <f>IFERROR(__xludf.DUMMYFUNCTION("""COMPUTED_VALUE"""),4.0)</f>
        <v>4</v>
      </c>
      <c r="L747" s="31" t="str">
        <f>IFERROR(__xludf.DUMMYFUNCTION("""COMPUTED_VALUE"""),"Action")</f>
        <v>Action</v>
      </c>
    </row>
    <row r="748" hidden="1">
      <c r="A748" s="17" t="str">
        <f>IFERROR(__xludf.DUMMYFUNCTION("""COMPUTED_VALUE"""),"Thumper")</f>
        <v>Thumper</v>
      </c>
      <c r="B748" s="20" t="str">
        <f>IFERROR(__xludf.DUMMYFUNCTION("""COMPUTED_VALUE"""),"PC")</f>
        <v>PC</v>
      </c>
      <c r="C748" s="20"/>
      <c r="D748" s="21" t="str">
        <f>IFERROR(__xludf.DUMMYFUNCTION("""COMPUTED_VALUE"""),"Removed")</f>
        <v>Removed</v>
      </c>
      <c r="E748" s="127">
        <f>IFERROR(__xludf.DUMMYFUNCTION("""COMPUTED_VALUE"""),43625.0)</f>
        <v>43625</v>
      </c>
      <c r="F748" s="24">
        <f>IFERROR(__xludf.DUMMYFUNCTION("""COMPUTED_VALUE"""),44316.0)</f>
        <v>44316</v>
      </c>
      <c r="G748" s="27">
        <f>IFERROR(__xludf.DUMMYFUNCTION("""COMPUTED_VALUE"""),22.7)</f>
        <v>22.7</v>
      </c>
      <c r="H748" s="128">
        <f>IFERROR(__xludf.DUMMYFUNCTION("""COMPUTED_VALUE"""),42653.0)</f>
        <v>42653</v>
      </c>
      <c r="I748" s="27">
        <f>IFERROR(__xludf.DUMMYFUNCTION("""COMPUTED_VALUE"""),2.6638888888888888)</f>
        <v>2.663888889</v>
      </c>
      <c r="J748" s="29">
        <f>IFERROR(__xludf.DUMMYFUNCTION("""COMPUTED_VALUE"""),86.0)</f>
        <v>86</v>
      </c>
      <c r="K748" s="29">
        <f>IFERROR(__xludf.DUMMYFUNCTION("""COMPUTED_VALUE"""),7.5)</f>
        <v>7.5</v>
      </c>
      <c r="L748" s="31" t="str">
        <f>IFERROR(__xludf.DUMMYFUNCTION("""COMPUTED_VALUE"""),"Music/Rhythm")</f>
        <v>Music/Rhythm</v>
      </c>
    </row>
    <row r="749" hidden="1">
      <c r="A749" s="17" t="str">
        <f>IFERROR(__xludf.DUMMYFUNCTION("""COMPUTED_VALUE"""),"For The King")</f>
        <v>For The King</v>
      </c>
      <c r="B749" s="20" t="str">
        <f>IFERROR(__xludf.DUMMYFUNCTION("""COMPUTED_VALUE"""),"Xbox / PC")</f>
        <v>Xbox / PC</v>
      </c>
      <c r="C749" s="20" t="str">
        <f>IFERROR(__xludf.DUMMYFUNCTION("""COMPUTED_VALUE"""),"Yes")</f>
        <v>Yes</v>
      </c>
      <c r="D749" s="21" t="str">
        <f>IFERROR(__xludf.DUMMYFUNCTION("""COMPUTED_VALUE"""),"Removed")</f>
        <v>Removed</v>
      </c>
      <c r="E749" s="127">
        <f>IFERROR(__xludf.DUMMYFUNCTION("""COMPUTED_VALUE"""),43595.0)</f>
        <v>43595</v>
      </c>
      <c r="F749" s="276">
        <f>IFERROR(__xludf.DUMMYFUNCTION("""COMPUTED_VALUE"""),44316.0)</f>
        <v>44316</v>
      </c>
      <c r="G749" s="27">
        <f>IFERROR(__xludf.DUMMYFUNCTION("""COMPUTED_VALUE"""),23.666666666666668)</f>
        <v>23.66666667</v>
      </c>
      <c r="H749" s="128">
        <f>IFERROR(__xludf.DUMMYFUNCTION("""COMPUTED_VALUE"""),43158.0)</f>
        <v>43158</v>
      </c>
      <c r="I749" s="27">
        <f>IFERROR(__xludf.DUMMYFUNCTION("""COMPUTED_VALUE"""),1.2027777777777777)</f>
        <v>1.202777778</v>
      </c>
      <c r="J749" s="277">
        <f>IFERROR(__xludf.DUMMYFUNCTION("""COMPUTED_VALUE"""),87.0)</f>
        <v>87</v>
      </c>
      <c r="K749" s="29">
        <f>IFERROR(__xludf.DUMMYFUNCTION("""COMPUTED_VALUE"""),10.0)</f>
        <v>10</v>
      </c>
      <c r="L749" s="31" t="str">
        <f>IFERROR(__xludf.DUMMYFUNCTION("""COMPUTED_VALUE"""),"RPG")</f>
        <v>RPG</v>
      </c>
    </row>
    <row r="750" hidden="1">
      <c r="A750" s="17" t="str">
        <f>IFERROR(__xludf.DUMMYFUNCTION("""COMPUTED_VALUE"""),"Bomber Crew")</f>
        <v>Bomber Crew</v>
      </c>
      <c r="B750" s="20" t="str">
        <f>IFERROR(__xludf.DUMMYFUNCTION("""COMPUTED_VALUE"""),"Xbox / PC")</f>
        <v>Xbox / PC</v>
      </c>
      <c r="C750" s="20"/>
      <c r="D750" s="21" t="str">
        <f>IFERROR(__xludf.DUMMYFUNCTION("""COMPUTED_VALUE"""),"Removed")</f>
        <v>Removed</v>
      </c>
      <c r="E750" s="128">
        <f>IFERROR(__xludf.DUMMYFUNCTION("""COMPUTED_VALUE"""),43291.0)</f>
        <v>43291</v>
      </c>
      <c r="F750" s="24">
        <f>IFERROR(__xludf.DUMMYFUNCTION("""COMPUTED_VALUE"""),44316.0)</f>
        <v>44316</v>
      </c>
      <c r="G750" s="27">
        <f>IFERROR(__xludf.DUMMYFUNCTION("""COMPUTED_VALUE"""),33.666666666666664)</f>
        <v>33.66666667</v>
      </c>
      <c r="H750" s="128">
        <f>IFERROR(__xludf.DUMMYFUNCTION("""COMPUTED_VALUE"""),43027.0)</f>
        <v>43027</v>
      </c>
      <c r="I750" s="27">
        <f>IFERROR(__xludf.DUMMYFUNCTION("""COMPUTED_VALUE"""),0.725)</f>
        <v>0.725</v>
      </c>
      <c r="J750" s="29">
        <f>IFERROR(__xludf.DUMMYFUNCTION("""COMPUTED_VALUE"""),75.0)</f>
        <v>75</v>
      </c>
      <c r="K750" s="29">
        <f>IFERROR(__xludf.DUMMYFUNCTION("""COMPUTED_VALUE"""),17.0)</f>
        <v>17</v>
      </c>
      <c r="L750" s="31" t="str">
        <f>IFERROR(__xludf.DUMMYFUNCTION("""COMPUTED_VALUE"""),"Strategy")</f>
        <v>Strategy</v>
      </c>
    </row>
    <row r="751" hidden="1">
      <c r="A751" s="17" t="str">
        <f>IFERROR(__xludf.DUMMYFUNCTION("""COMPUTED_VALUE"""),"Madden NFL 15")</f>
        <v>Madden NFL 15</v>
      </c>
      <c r="B751" s="20" t="str">
        <f>IFERROR(__xludf.DUMMYFUNCTION("""COMPUTED_VALUE"""),"Xbox")</f>
        <v>Xbox</v>
      </c>
      <c r="C751" s="20"/>
      <c r="D751" s="21" t="str">
        <f>IFERROR(__xludf.DUMMYFUNCTION("""COMPUTED_VALUE"""),"Removed")</f>
        <v>Removed</v>
      </c>
      <c r="E751" s="128">
        <f>IFERROR(__xludf.DUMMYFUNCTION("""COMPUTED_VALUE"""),44145.0)</f>
        <v>44145</v>
      </c>
      <c r="F751" s="24">
        <f>IFERROR(__xludf.DUMMYFUNCTION("""COMPUTED_VALUE"""),44302.0)</f>
        <v>44302</v>
      </c>
      <c r="G751" s="27">
        <f>IFERROR(__xludf.DUMMYFUNCTION("""COMPUTED_VALUE"""),5.2)</f>
        <v>5.2</v>
      </c>
      <c r="H751" s="128">
        <f>IFERROR(__xludf.DUMMYFUNCTION("""COMPUTED_VALUE"""),41877.0)</f>
        <v>41877</v>
      </c>
      <c r="I751" s="27">
        <f>IFERROR(__xludf.DUMMYFUNCTION("""COMPUTED_VALUE"""),6.205555555555556)</f>
        <v>6.205555556</v>
      </c>
      <c r="J751" s="29">
        <f>IFERROR(__xludf.DUMMYFUNCTION("""COMPUTED_VALUE"""),80.0)</f>
        <v>80</v>
      </c>
      <c r="K751" s="29">
        <f>IFERROR(__xludf.DUMMYFUNCTION("""COMPUTED_VALUE"""),41.0)</f>
        <v>41</v>
      </c>
      <c r="L751" s="31" t="str">
        <f>IFERROR(__xludf.DUMMYFUNCTION("""COMPUTED_VALUE"""),"Sports")</f>
        <v>Sports</v>
      </c>
    </row>
    <row r="752" hidden="1">
      <c r="A752" s="17" t="str">
        <f>IFERROR(__xludf.DUMMYFUNCTION("""COMPUTED_VALUE"""),"Madden NFL 16")</f>
        <v>Madden NFL 16</v>
      </c>
      <c r="B752" s="20" t="str">
        <f>IFERROR(__xludf.DUMMYFUNCTION("""COMPUTED_VALUE"""),"Xbox")</f>
        <v>Xbox</v>
      </c>
      <c r="C752" s="20"/>
      <c r="D752" s="21" t="str">
        <f>IFERROR(__xludf.DUMMYFUNCTION("""COMPUTED_VALUE"""),"Removed")</f>
        <v>Removed</v>
      </c>
      <c r="E752" s="128">
        <f>IFERROR(__xludf.DUMMYFUNCTION("""COMPUTED_VALUE"""),44145.0)</f>
        <v>44145</v>
      </c>
      <c r="F752" s="24">
        <f>IFERROR(__xludf.DUMMYFUNCTION("""COMPUTED_VALUE"""),44302.0)</f>
        <v>44302</v>
      </c>
      <c r="G752" s="27">
        <f>IFERROR(__xludf.DUMMYFUNCTION("""COMPUTED_VALUE"""),5.2)</f>
        <v>5.2</v>
      </c>
      <c r="H752" s="128">
        <f>IFERROR(__xludf.DUMMYFUNCTION("""COMPUTED_VALUE"""),42241.0)</f>
        <v>42241</v>
      </c>
      <c r="I752" s="27">
        <f>IFERROR(__xludf.DUMMYFUNCTION("""COMPUTED_VALUE"""),5.208333333333333)</f>
        <v>5.208333333</v>
      </c>
      <c r="J752" s="29">
        <f>IFERROR(__xludf.DUMMYFUNCTION("""COMPUTED_VALUE"""),84.0)</f>
        <v>84</v>
      </c>
      <c r="K752" s="29">
        <f>IFERROR(__xludf.DUMMYFUNCTION("""COMPUTED_VALUE"""),43.0)</f>
        <v>43</v>
      </c>
      <c r="L752" s="31" t="str">
        <f>IFERROR(__xludf.DUMMYFUNCTION("""COMPUTED_VALUE"""),"Sports")</f>
        <v>Sports</v>
      </c>
    </row>
    <row r="753" hidden="1">
      <c r="A753" s="17" t="str">
        <f>IFERROR(__xludf.DUMMYFUNCTION("""COMPUTED_VALUE"""),"Madden NFL 17")</f>
        <v>Madden NFL 17</v>
      </c>
      <c r="B753" s="20" t="str">
        <f>IFERROR(__xludf.DUMMYFUNCTION("""COMPUTED_VALUE"""),"Xbox")</f>
        <v>Xbox</v>
      </c>
      <c r="C753" s="20"/>
      <c r="D753" s="21" t="str">
        <f>IFERROR(__xludf.DUMMYFUNCTION("""COMPUTED_VALUE"""),"Removed")</f>
        <v>Removed</v>
      </c>
      <c r="E753" s="128">
        <f>IFERROR(__xludf.DUMMYFUNCTION("""COMPUTED_VALUE"""),44145.0)</f>
        <v>44145</v>
      </c>
      <c r="F753" s="24">
        <f>IFERROR(__xludf.DUMMYFUNCTION("""COMPUTED_VALUE"""),44302.0)</f>
        <v>44302</v>
      </c>
      <c r="G753" s="27">
        <f>IFERROR(__xludf.DUMMYFUNCTION("""COMPUTED_VALUE"""),5.2)</f>
        <v>5.2</v>
      </c>
      <c r="H753" s="128">
        <f>IFERROR(__xludf.DUMMYFUNCTION("""COMPUTED_VALUE"""),42605.0)</f>
        <v>42605</v>
      </c>
      <c r="I753" s="27">
        <f>IFERROR(__xludf.DUMMYFUNCTION("""COMPUTED_VALUE"""),4.213888888888889)</f>
        <v>4.213888889</v>
      </c>
      <c r="J753" s="29">
        <f>IFERROR(__xludf.DUMMYFUNCTION("""COMPUTED_VALUE"""),83.0)</f>
        <v>83</v>
      </c>
      <c r="K753" s="29">
        <f>IFERROR(__xludf.DUMMYFUNCTION("""COMPUTED_VALUE"""),40.5)</f>
        <v>40.5</v>
      </c>
      <c r="L753" s="31" t="str">
        <f>IFERROR(__xludf.DUMMYFUNCTION("""COMPUTED_VALUE"""),"Sports")</f>
        <v>Sports</v>
      </c>
    </row>
    <row r="754" hidden="1">
      <c r="A754" s="17" t="str">
        <f>IFERROR(__xludf.DUMMYFUNCTION("""COMPUTED_VALUE"""),"Madden NFL 18")</f>
        <v>Madden NFL 18</v>
      </c>
      <c r="B754" s="20" t="str">
        <f>IFERROR(__xludf.DUMMYFUNCTION("""COMPUTED_VALUE"""),"Xbox")</f>
        <v>Xbox</v>
      </c>
      <c r="C754" s="20"/>
      <c r="D754" s="21" t="str">
        <f>IFERROR(__xludf.DUMMYFUNCTION("""COMPUTED_VALUE"""),"Removed")</f>
        <v>Removed</v>
      </c>
      <c r="E754" s="128">
        <f>IFERROR(__xludf.DUMMYFUNCTION("""COMPUTED_VALUE"""),44145.0)</f>
        <v>44145</v>
      </c>
      <c r="F754" s="24">
        <f>IFERROR(__xludf.DUMMYFUNCTION("""COMPUTED_VALUE"""),44302.0)</f>
        <v>44302</v>
      </c>
      <c r="G754" s="27">
        <f>IFERROR(__xludf.DUMMYFUNCTION("""COMPUTED_VALUE"""),5.2)</f>
        <v>5.2</v>
      </c>
      <c r="H754" s="128">
        <f>IFERROR(__xludf.DUMMYFUNCTION("""COMPUTED_VALUE"""),42972.0)</f>
        <v>42972</v>
      </c>
      <c r="I754" s="27">
        <f>IFERROR(__xludf.DUMMYFUNCTION("""COMPUTED_VALUE"""),3.2083333333333335)</f>
        <v>3.208333333</v>
      </c>
      <c r="J754" s="29">
        <f>IFERROR(__xludf.DUMMYFUNCTION("""COMPUTED_VALUE"""),82.0)</f>
        <v>82</v>
      </c>
      <c r="K754" s="29">
        <f>IFERROR(__xludf.DUMMYFUNCTION("""COMPUTED_VALUE"""),15.5)</f>
        <v>15.5</v>
      </c>
      <c r="L754" s="31" t="str">
        <f>IFERROR(__xludf.DUMMYFUNCTION("""COMPUTED_VALUE"""),"Sports")</f>
        <v>Sports</v>
      </c>
    </row>
    <row r="755" hidden="1">
      <c r="A755" s="17" t="str">
        <f>IFERROR(__xludf.DUMMYFUNCTION("""COMPUTED_VALUE"""),"Madden NFL 25")</f>
        <v>Madden NFL 25</v>
      </c>
      <c r="B755" s="20" t="str">
        <f>IFERROR(__xludf.DUMMYFUNCTION("""COMPUTED_VALUE"""),"Xbox")</f>
        <v>Xbox</v>
      </c>
      <c r="C755" s="20"/>
      <c r="D755" s="21" t="str">
        <f>IFERROR(__xludf.DUMMYFUNCTION("""COMPUTED_VALUE"""),"Removed")</f>
        <v>Removed</v>
      </c>
      <c r="E755" s="128">
        <f>IFERROR(__xludf.DUMMYFUNCTION("""COMPUTED_VALUE"""),44145.0)</f>
        <v>44145</v>
      </c>
      <c r="F755" s="24">
        <f>IFERROR(__xludf.DUMMYFUNCTION("""COMPUTED_VALUE"""),44302.0)</f>
        <v>44302</v>
      </c>
      <c r="G755" s="27">
        <f>IFERROR(__xludf.DUMMYFUNCTION("""COMPUTED_VALUE"""),5.2)</f>
        <v>5.2</v>
      </c>
      <c r="H755" s="128">
        <f>IFERROR(__xludf.DUMMYFUNCTION("""COMPUTED_VALUE"""),41513.0)</f>
        <v>41513</v>
      </c>
      <c r="I755" s="27">
        <f>IFERROR(__xludf.DUMMYFUNCTION("""COMPUTED_VALUE"""),7.2027777777777775)</f>
        <v>7.202777778</v>
      </c>
      <c r="J755" s="29">
        <f>IFERROR(__xludf.DUMMYFUNCTION("""COMPUTED_VALUE"""),73.0)</f>
        <v>73</v>
      </c>
      <c r="K755" s="29">
        <f>IFERROR(__xludf.DUMMYFUNCTION("""COMPUTED_VALUE"""),45.0)</f>
        <v>45</v>
      </c>
      <c r="L755" s="31" t="str">
        <f>IFERROR(__xludf.DUMMYFUNCTION("""COMPUTED_VALUE"""),"Sports")</f>
        <v>Sports</v>
      </c>
    </row>
    <row r="756" hidden="1">
      <c r="A756" s="17" t="str">
        <f>IFERROR(__xludf.DUMMYFUNCTION("""COMPUTED_VALUE"""),"NHL 18")</f>
        <v>NHL 18</v>
      </c>
      <c r="B756" s="20" t="str">
        <f>IFERROR(__xludf.DUMMYFUNCTION("""COMPUTED_VALUE"""),"Xbox")</f>
        <v>Xbox</v>
      </c>
      <c r="C756" s="20"/>
      <c r="D756" s="21" t="str">
        <f>IFERROR(__xludf.DUMMYFUNCTION("""COMPUTED_VALUE"""),"Removed")</f>
        <v>Removed</v>
      </c>
      <c r="E756" s="127">
        <f>IFERROR(__xludf.DUMMYFUNCTION("""COMPUTED_VALUE"""),44145.0)</f>
        <v>44145</v>
      </c>
      <c r="F756" s="276">
        <f>IFERROR(__xludf.DUMMYFUNCTION("""COMPUTED_VALUE"""),44302.0)</f>
        <v>44302</v>
      </c>
      <c r="G756" s="27">
        <f>IFERROR(__xludf.DUMMYFUNCTION("""COMPUTED_VALUE"""),5.2)</f>
        <v>5.2</v>
      </c>
      <c r="H756" s="128">
        <f>IFERROR(__xludf.DUMMYFUNCTION("""COMPUTED_VALUE"""),42993.0)</f>
        <v>42993</v>
      </c>
      <c r="I756" s="27">
        <f>IFERROR(__xludf.DUMMYFUNCTION("""COMPUTED_VALUE"""),3.1527777777777777)</f>
        <v>3.152777778</v>
      </c>
      <c r="J756" s="29">
        <f>IFERROR(__xludf.DUMMYFUNCTION("""COMPUTED_VALUE"""),77.0)</f>
        <v>77</v>
      </c>
      <c r="K756" s="29">
        <f>IFERROR(__xludf.DUMMYFUNCTION("""COMPUTED_VALUE"""),40.0)</f>
        <v>40</v>
      </c>
      <c r="L756" s="31" t="str">
        <f>IFERROR(__xludf.DUMMYFUNCTION("""COMPUTED_VALUE"""),"Sports")</f>
        <v>Sports</v>
      </c>
    </row>
    <row r="757" hidden="1">
      <c r="A757" s="17" t="str">
        <f>IFERROR(__xludf.DUMMYFUNCTION("""COMPUTED_VALUE"""),"NHL 19")</f>
        <v>NHL 19</v>
      </c>
      <c r="B757" s="20" t="str">
        <f>IFERROR(__xludf.DUMMYFUNCTION("""COMPUTED_VALUE"""),"Xbox")</f>
        <v>Xbox</v>
      </c>
      <c r="C757" s="20"/>
      <c r="D757" s="21" t="str">
        <f>IFERROR(__xludf.DUMMYFUNCTION("""COMPUTED_VALUE"""),"Removed")</f>
        <v>Removed</v>
      </c>
      <c r="E757" s="128">
        <f>IFERROR(__xludf.DUMMYFUNCTION("""COMPUTED_VALUE"""),44145.0)</f>
        <v>44145</v>
      </c>
      <c r="F757" s="24">
        <f>IFERROR(__xludf.DUMMYFUNCTION("""COMPUTED_VALUE"""),44302.0)</f>
        <v>44302</v>
      </c>
      <c r="G757" s="27">
        <f>IFERROR(__xludf.DUMMYFUNCTION("""COMPUTED_VALUE"""),5.2)</f>
        <v>5.2</v>
      </c>
      <c r="H757" s="128">
        <f>IFERROR(__xludf.DUMMYFUNCTION("""COMPUTED_VALUE"""),43357.0)</f>
        <v>43357</v>
      </c>
      <c r="I757" s="27">
        <f>IFERROR(__xludf.DUMMYFUNCTION("""COMPUTED_VALUE"""),2.1555555555555554)</f>
        <v>2.155555556</v>
      </c>
      <c r="J757" s="29">
        <f>IFERROR(__xludf.DUMMYFUNCTION("""COMPUTED_VALUE"""),82.0)</f>
        <v>82</v>
      </c>
      <c r="K757" s="29">
        <f>IFERROR(__xludf.DUMMYFUNCTION("""COMPUTED_VALUE"""),39.5)</f>
        <v>39.5</v>
      </c>
      <c r="L757" s="31" t="str">
        <f>IFERROR(__xludf.DUMMYFUNCTION("""COMPUTED_VALUE"""),"Sports")</f>
        <v>Sports</v>
      </c>
    </row>
    <row r="758" hidden="1">
      <c r="A758" s="17" t="str">
        <f>IFERROR(__xludf.DUMMYFUNCTION("""COMPUTED_VALUE"""),"Deliver Us the Moon")</f>
        <v>Deliver Us the Moon</v>
      </c>
      <c r="B758" s="20" t="str">
        <f>IFERROR(__xludf.DUMMYFUNCTION("""COMPUTED_VALUE"""),"Xbox / PC")</f>
        <v>Xbox / PC</v>
      </c>
      <c r="C758" s="20" t="str">
        <f>IFERROR(__xludf.DUMMYFUNCTION("""COMPUTED_VALUE"""),"Yes")</f>
        <v>Yes</v>
      </c>
      <c r="D758" s="21" t="str">
        <f>IFERROR(__xludf.DUMMYFUNCTION("""COMPUTED_VALUE"""),"Removed")</f>
        <v>Removed</v>
      </c>
      <c r="E758" s="128">
        <f>IFERROR(__xludf.DUMMYFUNCTION("""COMPUTED_VALUE"""),43944.0)</f>
        <v>43944</v>
      </c>
      <c r="F758" s="24">
        <f>IFERROR(__xludf.DUMMYFUNCTION("""COMPUTED_VALUE"""),44301.0)</f>
        <v>44301</v>
      </c>
      <c r="G758" s="27">
        <f>IFERROR(__xludf.DUMMYFUNCTION("""COMPUTED_VALUE"""),11.733333333333333)</f>
        <v>11.73333333</v>
      </c>
      <c r="H758" s="128">
        <f>IFERROR(__xludf.DUMMYFUNCTION("""COMPUTED_VALUE"""),43748.0)</f>
        <v>43748</v>
      </c>
      <c r="I758" s="27">
        <f>IFERROR(__xludf.DUMMYFUNCTION("""COMPUTED_VALUE"""),0.5361111111111111)</f>
        <v>0.5361111111</v>
      </c>
      <c r="J758" s="29">
        <f>IFERROR(__xludf.DUMMYFUNCTION("""COMPUTED_VALUE"""),75.0)</f>
        <v>75</v>
      </c>
      <c r="K758" s="29">
        <f>IFERROR(__xludf.DUMMYFUNCTION("""COMPUTED_VALUE"""),5.0)</f>
        <v>5</v>
      </c>
      <c r="L758" s="31" t="str">
        <f>IFERROR(__xludf.DUMMYFUNCTION("""COMPUTED_VALUE"""),"Action-Adventure")</f>
        <v>Action-Adventure</v>
      </c>
    </row>
    <row r="759" hidden="1">
      <c r="A759" s="17" t="str">
        <f>IFERROR(__xludf.DUMMYFUNCTION("""COMPUTED_VALUE"""),"Gato Roboto")</f>
        <v>Gato Roboto</v>
      </c>
      <c r="B759" s="20" t="str">
        <f>IFERROR(__xludf.DUMMYFUNCTION("""COMPUTED_VALUE"""),"Xbox / PC")</f>
        <v>Xbox / PC</v>
      </c>
      <c r="C759" s="20" t="str">
        <f>IFERROR(__xludf.DUMMYFUNCTION("""COMPUTED_VALUE"""),"Yes")</f>
        <v>Yes</v>
      </c>
      <c r="D759" s="21" t="str">
        <f>IFERROR(__xludf.DUMMYFUNCTION("""COMPUTED_VALUE"""),"Removed")</f>
        <v>Removed</v>
      </c>
      <c r="E759" s="127">
        <f>IFERROR(__xludf.DUMMYFUNCTION("""COMPUTED_VALUE"""),43942.0)</f>
        <v>43942</v>
      </c>
      <c r="F759" s="276">
        <f>IFERROR(__xludf.DUMMYFUNCTION("""COMPUTED_VALUE"""),44301.0)</f>
        <v>44301</v>
      </c>
      <c r="G759" s="27">
        <f>IFERROR(__xludf.DUMMYFUNCTION("""COMPUTED_VALUE"""),11.799999999999999)</f>
        <v>11.8</v>
      </c>
      <c r="H759" s="128">
        <f>IFERROR(__xludf.DUMMYFUNCTION("""COMPUTED_VALUE"""),43615.0)</f>
        <v>43615</v>
      </c>
      <c r="I759" s="27">
        <f>IFERROR(__xludf.DUMMYFUNCTION("""COMPUTED_VALUE"""),0.8916666666666667)</f>
        <v>0.8916666667</v>
      </c>
      <c r="J759" s="277">
        <f>IFERROR(__xludf.DUMMYFUNCTION("""COMPUTED_VALUE"""),79.0)</f>
        <v>79</v>
      </c>
      <c r="K759" s="29">
        <f>IFERROR(__xludf.DUMMYFUNCTION("""COMPUTED_VALUE"""),3.0)</f>
        <v>3</v>
      </c>
      <c r="L759" s="31" t="str">
        <f>IFERROR(__xludf.DUMMYFUNCTION("""COMPUTED_VALUE"""),"Platformer")</f>
        <v>Platformer</v>
      </c>
    </row>
    <row r="760" hidden="1">
      <c r="A760" s="17" t="str">
        <f>IFERROR(__xludf.DUMMYFUNCTION("""COMPUTED_VALUE"""),"Wargroove")</f>
        <v>Wargroove</v>
      </c>
      <c r="B760" s="20" t="str">
        <f>IFERROR(__xludf.DUMMYFUNCTION("""COMPUTED_VALUE"""),"Xbox / PC")</f>
        <v>Xbox / PC</v>
      </c>
      <c r="C760" s="20"/>
      <c r="D760" s="21" t="str">
        <f>IFERROR(__xludf.DUMMYFUNCTION("""COMPUTED_VALUE"""),"Removed")</f>
        <v>Removed</v>
      </c>
      <c r="E760" s="127">
        <f>IFERROR(__xludf.DUMMYFUNCTION("""COMPUTED_VALUE"""),43587.0)</f>
        <v>43587</v>
      </c>
      <c r="F760" s="276">
        <f>IFERROR(__xludf.DUMMYFUNCTION("""COMPUTED_VALUE"""),44301.0)</f>
        <v>44301</v>
      </c>
      <c r="G760" s="27">
        <f>IFERROR(__xludf.DUMMYFUNCTION("""COMPUTED_VALUE"""),23.433333333333334)</f>
        <v>23.43333333</v>
      </c>
      <c r="H760" s="128">
        <f>IFERROR(__xludf.DUMMYFUNCTION("""COMPUTED_VALUE"""),43497.0)</f>
        <v>43497</v>
      </c>
      <c r="I760" s="27">
        <f>IFERROR(__xludf.DUMMYFUNCTION("""COMPUTED_VALUE"""),0.25277777777777777)</f>
        <v>0.2527777778</v>
      </c>
      <c r="J760" s="29">
        <f>IFERROR(__xludf.DUMMYFUNCTION("""COMPUTED_VALUE"""),81.0)</f>
        <v>81</v>
      </c>
      <c r="K760" s="29">
        <f>IFERROR(__xludf.DUMMYFUNCTION("""COMPUTED_VALUE"""),20.5)</f>
        <v>20.5</v>
      </c>
      <c r="L760" s="31" t="str">
        <f>IFERROR(__xludf.DUMMYFUNCTION("""COMPUTED_VALUE"""),"Strategy")</f>
        <v>Strategy</v>
      </c>
    </row>
    <row r="761" hidden="1">
      <c r="A761" s="17" t="str">
        <f>IFERROR(__xludf.DUMMYFUNCTION("""COMPUTED_VALUE"""),"HyperDot")</f>
        <v>HyperDot</v>
      </c>
      <c r="B761" s="20" t="str">
        <f>IFERROR(__xludf.DUMMYFUNCTION("""COMPUTED_VALUE"""),"Xbox / PC")</f>
        <v>Xbox / PC</v>
      </c>
      <c r="C761" s="20" t="str">
        <f>IFERROR(__xludf.DUMMYFUNCTION("""COMPUTED_VALUE"""),"Yes")</f>
        <v>Yes</v>
      </c>
      <c r="D761" s="21" t="str">
        <f>IFERROR(__xludf.DUMMYFUNCTION("""COMPUTED_VALUE"""),"Removed")</f>
        <v>Removed</v>
      </c>
      <c r="E761" s="127">
        <f>IFERROR(__xludf.DUMMYFUNCTION("""COMPUTED_VALUE"""),43951.0)</f>
        <v>43951</v>
      </c>
      <c r="F761" s="24">
        <f>IFERROR(__xludf.DUMMYFUNCTION("""COMPUTED_VALUE"""),44286.0)</f>
        <v>44286</v>
      </c>
      <c r="G761" s="27">
        <f>IFERROR(__xludf.DUMMYFUNCTION("""COMPUTED_VALUE"""),11.0)</f>
        <v>11</v>
      </c>
      <c r="H761" s="128">
        <f>IFERROR(__xludf.DUMMYFUNCTION("""COMPUTED_VALUE"""),43861.0)</f>
        <v>43861</v>
      </c>
      <c r="I761" s="27">
        <f>IFERROR(__xludf.DUMMYFUNCTION("""COMPUTED_VALUE"""),0.25)</f>
        <v>0.25</v>
      </c>
      <c r="J761" s="29">
        <f>IFERROR(__xludf.DUMMYFUNCTION("""COMPUTED_VALUE"""),73.0)</f>
        <v>73</v>
      </c>
      <c r="K761" s="29">
        <f>IFERROR(__xludf.DUMMYFUNCTION("""COMPUTED_VALUE"""),2.0)</f>
        <v>2</v>
      </c>
      <c r="L761" s="31" t="str">
        <f>IFERROR(__xludf.DUMMYFUNCTION("""COMPUTED_VALUE"""),"Action")</f>
        <v>Action</v>
      </c>
    </row>
    <row r="762" hidden="1">
      <c r="A762" s="17" t="str">
        <f>IFERROR(__xludf.DUMMYFUNCTION("""COMPUTED_VALUE"""),"Machinarium")</f>
        <v>Machinarium</v>
      </c>
      <c r="B762" s="20" t="str">
        <f>IFERROR(__xludf.DUMMYFUNCTION("""COMPUTED_VALUE"""),"PC")</f>
        <v>PC</v>
      </c>
      <c r="C762" s="20"/>
      <c r="D762" s="21" t="str">
        <f>IFERROR(__xludf.DUMMYFUNCTION("""COMPUTED_VALUE"""),"Removed")</f>
        <v>Removed</v>
      </c>
      <c r="E762" s="128">
        <f>IFERROR(__xludf.DUMMYFUNCTION("""COMPUTED_VALUE"""),43938.0)</f>
        <v>43938</v>
      </c>
      <c r="F762" s="24">
        <f>IFERROR(__xludf.DUMMYFUNCTION("""COMPUTED_VALUE"""),44286.0)</f>
        <v>44286</v>
      </c>
      <c r="G762" s="27">
        <f>IFERROR(__xludf.DUMMYFUNCTION("""COMPUTED_VALUE"""),11.433333333333334)</f>
        <v>11.43333333</v>
      </c>
      <c r="H762" s="128">
        <f>IFERROR(__xludf.DUMMYFUNCTION("""COMPUTED_VALUE"""),40102.0)</f>
        <v>40102</v>
      </c>
      <c r="I762" s="27">
        <f>IFERROR(__xludf.DUMMYFUNCTION("""COMPUTED_VALUE"""),10.502777777777778)</f>
        <v>10.50277778</v>
      </c>
      <c r="J762" s="29">
        <f>IFERROR(__xludf.DUMMYFUNCTION("""COMPUTED_VALUE"""),85.0)</f>
        <v>85</v>
      </c>
      <c r="K762" s="29">
        <f>IFERROR(__xludf.DUMMYFUNCTION("""COMPUTED_VALUE"""),5.0)</f>
        <v>5</v>
      </c>
      <c r="L762" s="31" t="str">
        <f>IFERROR(__xludf.DUMMYFUNCTION("""COMPUTED_VALUE"""),"Adventure")</f>
        <v>Adventure</v>
      </c>
    </row>
    <row r="763" hidden="1">
      <c r="A763" s="17" t="str">
        <f>IFERROR(__xludf.DUMMYFUNCTION("""COMPUTED_VALUE"""),"Apotheon")</f>
        <v>Apotheon</v>
      </c>
      <c r="B763" s="20" t="str">
        <f>IFERROR(__xludf.DUMMYFUNCTION("""COMPUTED_VALUE"""),"PC")</f>
        <v>PC</v>
      </c>
      <c r="C763" s="20"/>
      <c r="D763" s="21" t="str">
        <f>IFERROR(__xludf.DUMMYFUNCTION("""COMPUTED_VALUE"""),"Removed")</f>
        <v>Removed</v>
      </c>
      <c r="E763" s="128">
        <f>IFERROR(__xludf.DUMMYFUNCTION("""COMPUTED_VALUE"""),44273.0)</f>
        <v>44273</v>
      </c>
      <c r="F763" s="24">
        <f>IFERROR(__xludf.DUMMYFUNCTION("""COMPUTED_VALUE"""),44284.0)</f>
        <v>44284</v>
      </c>
      <c r="G763" s="27">
        <f>IFERROR(__xludf.DUMMYFUNCTION("""COMPUTED_VALUE"""),0.36666666666666664)</f>
        <v>0.3666666667</v>
      </c>
      <c r="H763" s="128">
        <f>IFERROR(__xludf.DUMMYFUNCTION("""COMPUTED_VALUE"""),42038.0)</f>
        <v>42038</v>
      </c>
      <c r="I763" s="27">
        <f>IFERROR(__xludf.DUMMYFUNCTION("""COMPUTED_VALUE"""),6.125)</f>
        <v>6.125</v>
      </c>
      <c r="J763" s="29">
        <f>IFERROR(__xludf.DUMMYFUNCTION("""COMPUTED_VALUE"""),78.0)</f>
        <v>78</v>
      </c>
      <c r="K763" s="29">
        <f>IFERROR(__xludf.DUMMYFUNCTION("""COMPUTED_VALUE"""),8.0)</f>
        <v>8</v>
      </c>
      <c r="L763" s="31" t="str">
        <f>IFERROR(__xludf.DUMMYFUNCTION("""COMPUTED_VALUE"""),"Platformer")</f>
        <v>Platformer</v>
      </c>
    </row>
    <row r="764" hidden="1">
      <c r="A764" s="17" t="str">
        <f>IFERROR(__xludf.DUMMYFUNCTION("""COMPUTED_VALUE"""),"Mutant Year Zero: Road to Eden")</f>
        <v>Mutant Year Zero: Road to Eden</v>
      </c>
      <c r="B764" s="20" t="str">
        <f>IFERROR(__xludf.DUMMYFUNCTION("""COMPUTED_VALUE"""),"PC")</f>
        <v>PC</v>
      </c>
      <c r="C764" s="20"/>
      <c r="D764" s="21" t="str">
        <f>IFERROR(__xludf.DUMMYFUNCTION("""COMPUTED_VALUE"""),"Removed")</f>
        <v>Removed</v>
      </c>
      <c r="E764" s="127">
        <f>IFERROR(__xludf.DUMMYFUNCTION("""COMPUTED_VALUE"""),44273.0)</f>
        <v>44273</v>
      </c>
      <c r="F764" s="276">
        <f>IFERROR(__xludf.DUMMYFUNCTION("""COMPUTED_VALUE"""),44284.0)</f>
        <v>44284</v>
      </c>
      <c r="G764" s="27">
        <f>IFERROR(__xludf.DUMMYFUNCTION("""COMPUTED_VALUE"""),0.36666666666666664)</f>
        <v>0.3666666667</v>
      </c>
      <c r="H764" s="128">
        <f>IFERROR(__xludf.DUMMYFUNCTION("""COMPUTED_VALUE"""),43438.0)</f>
        <v>43438</v>
      </c>
      <c r="I764" s="27">
        <f>IFERROR(__xludf.DUMMYFUNCTION("""COMPUTED_VALUE"""),2.2888888888888888)</f>
        <v>2.288888889</v>
      </c>
      <c r="J764" s="29">
        <f>IFERROR(__xludf.DUMMYFUNCTION("""COMPUTED_VALUE"""),78.0)</f>
        <v>78</v>
      </c>
      <c r="K764" s="29">
        <f>IFERROR(__xludf.DUMMYFUNCTION("""COMPUTED_VALUE"""),13.0)</f>
        <v>13</v>
      </c>
      <c r="L764" s="31" t="str">
        <f>IFERROR(__xludf.DUMMYFUNCTION("""COMPUTED_VALUE"""),"Strategy")</f>
        <v>Strategy</v>
      </c>
    </row>
    <row r="765" hidden="1">
      <c r="A765" s="17" t="str">
        <f>IFERROR(__xludf.DUMMYFUNCTION("""COMPUTED_VALUE"""),"Shift Quantum")</f>
        <v>Shift Quantum</v>
      </c>
      <c r="B765" s="20" t="str">
        <f>IFERROR(__xludf.DUMMYFUNCTION("""COMPUTED_VALUE"""),"PC")</f>
        <v>PC</v>
      </c>
      <c r="C765" s="20"/>
      <c r="D765" s="21" t="str">
        <f>IFERROR(__xludf.DUMMYFUNCTION("""COMPUTED_VALUE"""),"Removed")</f>
        <v>Removed</v>
      </c>
      <c r="E765" s="128">
        <f>IFERROR(__xludf.DUMMYFUNCTION("""COMPUTED_VALUE"""),44273.0)</f>
        <v>44273</v>
      </c>
      <c r="F765" s="24">
        <f>IFERROR(__xludf.DUMMYFUNCTION("""COMPUTED_VALUE"""),44284.0)</f>
        <v>44284</v>
      </c>
      <c r="G765" s="27">
        <f>IFERROR(__xludf.DUMMYFUNCTION("""COMPUTED_VALUE"""),0.36666666666666664)</f>
        <v>0.3666666667</v>
      </c>
      <c r="H765" s="128">
        <f>IFERROR(__xludf.DUMMYFUNCTION("""COMPUTED_VALUE"""),43249.0)</f>
        <v>43249</v>
      </c>
      <c r="I765" s="27">
        <f>IFERROR(__xludf.DUMMYFUNCTION("""COMPUTED_VALUE"""),2.8027777777777776)</f>
        <v>2.802777778</v>
      </c>
      <c r="J765" s="29">
        <f>IFERROR(__xludf.DUMMYFUNCTION("""COMPUTED_VALUE"""),78.0)</f>
        <v>78</v>
      </c>
      <c r="K765" s="29">
        <f>IFERROR(__xludf.DUMMYFUNCTION("""COMPUTED_VALUE"""),8.0)</f>
        <v>8</v>
      </c>
      <c r="L765" s="31" t="str">
        <f>IFERROR(__xludf.DUMMYFUNCTION("""COMPUTED_VALUE"""),"Platformer")</f>
        <v>Platformer</v>
      </c>
    </row>
    <row r="766" hidden="1">
      <c r="A766" s="17" t="str">
        <f>IFERROR(__xludf.DUMMYFUNCTION("""COMPUTED_VALUE"""),"Star Wars Episode I: Racer")</f>
        <v>Star Wars Episode I: Racer</v>
      </c>
      <c r="B766" s="20" t="str">
        <f>IFERROR(__xludf.DUMMYFUNCTION("""COMPUTED_VALUE"""),"PC")</f>
        <v>PC</v>
      </c>
      <c r="C766" s="20"/>
      <c r="D766" s="21" t="str">
        <f>IFERROR(__xludf.DUMMYFUNCTION("""COMPUTED_VALUE"""),"Removed")</f>
        <v>Removed</v>
      </c>
      <c r="E766" s="128">
        <f>IFERROR(__xludf.DUMMYFUNCTION("""COMPUTED_VALUE"""),44273.0)</f>
        <v>44273</v>
      </c>
      <c r="F766" s="24">
        <f>IFERROR(__xludf.DUMMYFUNCTION("""COMPUTED_VALUE"""),44284.0)</f>
        <v>44284</v>
      </c>
      <c r="G766" s="27">
        <f>IFERROR(__xludf.DUMMYFUNCTION("""COMPUTED_VALUE"""),0.36666666666666664)</f>
        <v>0.3666666667</v>
      </c>
      <c r="H766" s="128">
        <f>IFERROR(__xludf.DUMMYFUNCTION("""COMPUTED_VALUE"""),36280.0)</f>
        <v>36280</v>
      </c>
      <c r="I766" s="27">
        <f>IFERROR(__xludf.DUMMYFUNCTION("""COMPUTED_VALUE"""),21.883333333333333)</f>
        <v>21.88333333</v>
      </c>
      <c r="J766" s="29">
        <f>IFERROR(__xludf.DUMMYFUNCTION("""COMPUTED_VALUE"""),63.0)</f>
        <v>63</v>
      </c>
      <c r="K766" s="29">
        <f>IFERROR(__xludf.DUMMYFUNCTION("""COMPUTED_VALUE"""),6.0)</f>
        <v>6</v>
      </c>
      <c r="L766" s="31" t="str">
        <f>IFERROR(__xludf.DUMMYFUNCTION("""COMPUTED_VALUE"""),"Racing")</f>
        <v>Racing</v>
      </c>
    </row>
    <row r="767" hidden="1">
      <c r="A767" s="17" t="str">
        <f>IFERROR(__xludf.DUMMYFUNCTION("""COMPUTED_VALUE"""),"Star Wars Galactic Battlegrounds: Saga")</f>
        <v>Star Wars Galactic Battlegrounds: Saga</v>
      </c>
      <c r="B767" s="20" t="str">
        <f>IFERROR(__xludf.DUMMYFUNCTION("""COMPUTED_VALUE"""),"PC")</f>
        <v>PC</v>
      </c>
      <c r="C767" s="20"/>
      <c r="D767" s="21" t="str">
        <f>IFERROR(__xludf.DUMMYFUNCTION("""COMPUTED_VALUE"""),"Removed")</f>
        <v>Removed</v>
      </c>
      <c r="E767" s="128">
        <f>IFERROR(__xludf.DUMMYFUNCTION("""COMPUTED_VALUE"""),44273.0)</f>
        <v>44273</v>
      </c>
      <c r="F767" s="24">
        <f>IFERROR(__xludf.DUMMYFUNCTION("""COMPUTED_VALUE"""),44284.0)</f>
        <v>44284</v>
      </c>
      <c r="G767" s="27">
        <f>IFERROR(__xludf.DUMMYFUNCTION("""COMPUTED_VALUE"""),0.36666666666666664)</f>
        <v>0.3666666667</v>
      </c>
      <c r="H767" s="128">
        <f>IFERROR(__xludf.DUMMYFUNCTION("""COMPUTED_VALUE"""),37206.0)</f>
        <v>37206</v>
      </c>
      <c r="I767" s="27">
        <f>IFERROR(__xludf.DUMMYFUNCTION("""COMPUTED_VALUE"""),19.352777777777778)</f>
        <v>19.35277778</v>
      </c>
      <c r="J767" s="29">
        <f>IFERROR(__xludf.DUMMYFUNCTION("""COMPUTED_VALUE"""),82.33333333333333)</f>
        <v>82.33333333</v>
      </c>
      <c r="K767" s="29">
        <f>IFERROR(__xludf.DUMMYFUNCTION("""COMPUTED_VALUE"""),34.0)</f>
        <v>34</v>
      </c>
      <c r="L767" s="31" t="str">
        <f>IFERROR(__xludf.DUMMYFUNCTION("""COMPUTED_VALUE"""),"Strategy")</f>
        <v>Strategy</v>
      </c>
    </row>
    <row r="768" hidden="1">
      <c r="A768" s="17" t="str">
        <f>IFERROR(__xludf.DUMMYFUNCTION("""COMPUTED_VALUE"""),"Star Wars Jedi Knight: Mysteries of the Sith")</f>
        <v>Star Wars Jedi Knight: Mysteries of the Sith</v>
      </c>
      <c r="B768" s="20" t="str">
        <f>IFERROR(__xludf.DUMMYFUNCTION("""COMPUTED_VALUE"""),"PC")</f>
        <v>PC</v>
      </c>
      <c r="C768" s="20"/>
      <c r="D768" s="21" t="str">
        <f>IFERROR(__xludf.DUMMYFUNCTION("""COMPUTED_VALUE"""),"Removed")</f>
        <v>Removed</v>
      </c>
      <c r="E768" s="127">
        <f>IFERROR(__xludf.DUMMYFUNCTION("""COMPUTED_VALUE"""),44273.0)</f>
        <v>44273</v>
      </c>
      <c r="F768" s="276">
        <f>IFERROR(__xludf.DUMMYFUNCTION("""COMPUTED_VALUE"""),44284.0)</f>
        <v>44284</v>
      </c>
      <c r="G768" s="27">
        <f>IFERROR(__xludf.DUMMYFUNCTION("""COMPUTED_VALUE"""),0.36666666666666664)</f>
        <v>0.3666666667</v>
      </c>
      <c r="H768" s="128">
        <f>IFERROR(__xludf.DUMMYFUNCTION("""COMPUTED_VALUE"""),35850.0)</f>
        <v>35850</v>
      </c>
      <c r="I768" s="27">
        <f>IFERROR(__xludf.DUMMYFUNCTION("""COMPUTED_VALUE"""),23.066666666666666)</f>
        <v>23.06666667</v>
      </c>
      <c r="J768" s="277">
        <f>IFERROR(__xludf.DUMMYFUNCTION("""COMPUTED_VALUE"""),83.0)</f>
        <v>83</v>
      </c>
      <c r="K768" s="29">
        <f>IFERROR(__xludf.DUMMYFUNCTION("""COMPUTED_VALUE"""),8.5)</f>
        <v>8.5</v>
      </c>
      <c r="L768" s="31" t="str">
        <f>IFERROR(__xludf.DUMMYFUNCTION("""COMPUTED_VALUE"""),"Shooter")</f>
        <v>Shooter</v>
      </c>
    </row>
    <row r="769" hidden="1">
      <c r="A769" s="17" t="str">
        <f>IFERROR(__xludf.DUMMYFUNCTION("""COMPUTED_VALUE"""),"Star Wars Rebellion")</f>
        <v>Star Wars Rebellion</v>
      </c>
      <c r="B769" s="20" t="str">
        <f>IFERROR(__xludf.DUMMYFUNCTION("""COMPUTED_VALUE"""),"PC")</f>
        <v>PC</v>
      </c>
      <c r="C769" s="20"/>
      <c r="D769" s="21" t="str">
        <f>IFERROR(__xludf.DUMMYFUNCTION("""COMPUTED_VALUE"""),"Removed")</f>
        <v>Removed</v>
      </c>
      <c r="E769" s="128">
        <f>IFERROR(__xludf.DUMMYFUNCTION("""COMPUTED_VALUE"""),44273.0)</f>
        <v>44273</v>
      </c>
      <c r="F769" s="24">
        <f>IFERROR(__xludf.DUMMYFUNCTION("""COMPUTED_VALUE"""),44284.0)</f>
        <v>44284</v>
      </c>
      <c r="G769" s="27">
        <f>IFERROR(__xludf.DUMMYFUNCTION("""COMPUTED_VALUE"""),0.36666666666666664)</f>
        <v>0.3666666667</v>
      </c>
      <c r="H769" s="128">
        <f>IFERROR(__xludf.DUMMYFUNCTION("""COMPUTED_VALUE"""),35854.0)</f>
        <v>35854</v>
      </c>
      <c r="I769" s="27">
        <f>IFERROR(__xludf.DUMMYFUNCTION("""COMPUTED_VALUE"""),23.055555555555557)</f>
        <v>23.05555556</v>
      </c>
      <c r="J769" s="29">
        <f>IFERROR(__xludf.DUMMYFUNCTION("""COMPUTED_VALUE"""),87.0)</f>
        <v>87</v>
      </c>
      <c r="K769" s="29">
        <f>IFERROR(__xludf.DUMMYFUNCTION("""COMPUTED_VALUE"""),17.0)</f>
        <v>17</v>
      </c>
      <c r="L769" s="31" t="str">
        <f>IFERROR(__xludf.DUMMYFUNCTION("""COMPUTED_VALUE"""),"Strategy")</f>
        <v>Strategy</v>
      </c>
    </row>
    <row r="770" hidden="1">
      <c r="A770" s="17" t="str">
        <f>IFERROR(__xludf.DUMMYFUNCTION("""COMPUTED_VALUE"""),"Star Wars Rogue Squadron 3D")</f>
        <v>Star Wars Rogue Squadron 3D</v>
      </c>
      <c r="B770" s="20" t="str">
        <f>IFERROR(__xludf.DUMMYFUNCTION("""COMPUTED_VALUE"""),"PC")</f>
        <v>PC</v>
      </c>
      <c r="C770" s="20"/>
      <c r="D770" s="21" t="str">
        <f>IFERROR(__xludf.DUMMYFUNCTION("""COMPUTED_VALUE"""),"Removed")</f>
        <v>Removed</v>
      </c>
      <c r="E770" s="127">
        <f>IFERROR(__xludf.DUMMYFUNCTION("""COMPUTED_VALUE"""),44273.0)</f>
        <v>44273</v>
      </c>
      <c r="F770" s="24">
        <f>IFERROR(__xludf.DUMMYFUNCTION("""COMPUTED_VALUE"""),44284.0)</f>
        <v>44284</v>
      </c>
      <c r="G770" s="27">
        <f>IFERROR(__xludf.DUMMYFUNCTION("""COMPUTED_VALUE"""),0.36666666666666664)</f>
        <v>0.3666666667</v>
      </c>
      <c r="H770" s="128">
        <f>IFERROR(__xludf.DUMMYFUNCTION("""COMPUTED_VALUE"""),36132.0)</f>
        <v>36132</v>
      </c>
      <c r="I770" s="27">
        <f>IFERROR(__xludf.DUMMYFUNCTION("""COMPUTED_VALUE"""),22.291666666666668)</f>
        <v>22.29166667</v>
      </c>
      <c r="J770" s="29">
        <f>IFERROR(__xludf.DUMMYFUNCTION("""COMPUTED_VALUE"""),76.0)</f>
        <v>76</v>
      </c>
      <c r="K770" s="29">
        <f>IFERROR(__xludf.DUMMYFUNCTION("""COMPUTED_VALUE"""),9.0)</f>
        <v>9</v>
      </c>
      <c r="L770" s="31" t="str">
        <f>IFERROR(__xludf.DUMMYFUNCTION("""COMPUTED_VALUE"""),"Shooter")</f>
        <v>Shooter</v>
      </c>
    </row>
    <row r="771" hidden="1">
      <c r="A771" s="17" t="str">
        <f>IFERROR(__xludf.DUMMYFUNCTION("""COMPUTED_VALUE"""),"Star Wars Shadows of the Empire")</f>
        <v>Star Wars Shadows of the Empire</v>
      </c>
      <c r="B771" s="20" t="str">
        <f>IFERROR(__xludf.DUMMYFUNCTION("""COMPUTED_VALUE"""),"PC")</f>
        <v>PC</v>
      </c>
      <c r="C771" s="20"/>
      <c r="D771" s="21" t="str">
        <f>IFERROR(__xludf.DUMMYFUNCTION("""COMPUTED_VALUE"""),"Removed")</f>
        <v>Removed</v>
      </c>
      <c r="E771" s="128">
        <f>IFERROR(__xludf.DUMMYFUNCTION("""COMPUTED_VALUE"""),44273.0)</f>
        <v>44273</v>
      </c>
      <c r="F771" s="24">
        <f>IFERROR(__xludf.DUMMYFUNCTION("""COMPUTED_VALUE"""),44284.0)</f>
        <v>44284</v>
      </c>
      <c r="G771" s="27">
        <f>IFERROR(__xludf.DUMMYFUNCTION("""COMPUTED_VALUE"""),0.36666666666666664)</f>
        <v>0.3666666667</v>
      </c>
      <c r="H771" s="128">
        <f>IFERROR(__xludf.DUMMYFUNCTION("""COMPUTED_VALUE"""),35402.0)</f>
        <v>35402</v>
      </c>
      <c r="I771" s="27">
        <f>IFERROR(__xludf.DUMMYFUNCTION("""COMPUTED_VALUE"""),24.291666666666668)</f>
        <v>24.29166667</v>
      </c>
      <c r="J771" s="29">
        <f>IFERROR(__xludf.DUMMYFUNCTION("""COMPUTED_VALUE"""),78.0)</f>
        <v>78</v>
      </c>
      <c r="K771" s="29">
        <f>IFERROR(__xludf.DUMMYFUNCTION("""COMPUTED_VALUE"""),5.0)</f>
        <v>5</v>
      </c>
      <c r="L771" s="31" t="str">
        <f>IFERROR(__xludf.DUMMYFUNCTION("""COMPUTED_VALUE"""),"Shooter")</f>
        <v>Shooter</v>
      </c>
    </row>
    <row r="772" hidden="1">
      <c r="A772" s="17" t="str">
        <f>IFERROR(__xludf.DUMMYFUNCTION("""COMPUTED_VALUE"""),"Star Wars Starfighter")</f>
        <v>Star Wars Starfighter</v>
      </c>
      <c r="B772" s="20" t="str">
        <f>IFERROR(__xludf.DUMMYFUNCTION("""COMPUTED_VALUE"""),"PC")</f>
        <v>PC</v>
      </c>
      <c r="C772" s="20"/>
      <c r="D772" s="21" t="str">
        <f>IFERROR(__xludf.DUMMYFUNCTION("""COMPUTED_VALUE"""),"Removed")</f>
        <v>Removed</v>
      </c>
      <c r="E772" s="128">
        <f>IFERROR(__xludf.DUMMYFUNCTION("""COMPUTED_VALUE"""),44273.0)</f>
        <v>44273</v>
      </c>
      <c r="F772" s="24">
        <f>IFERROR(__xludf.DUMMYFUNCTION("""COMPUTED_VALUE"""),44284.0)</f>
        <v>44284</v>
      </c>
      <c r="G772" s="27">
        <f>IFERROR(__xludf.DUMMYFUNCTION("""COMPUTED_VALUE"""),0.36666666666666664)</f>
        <v>0.3666666667</v>
      </c>
      <c r="H772" s="128">
        <f>IFERROR(__xludf.DUMMYFUNCTION("""COMPUTED_VALUE"""),36942.0)</f>
        <v>36942</v>
      </c>
      <c r="I772" s="27">
        <f>IFERROR(__xludf.DUMMYFUNCTION("""COMPUTED_VALUE"""),20.07777777777778)</f>
        <v>20.07777778</v>
      </c>
      <c r="J772" s="29">
        <f>IFERROR(__xludf.DUMMYFUNCTION("""COMPUTED_VALUE"""),71.0)</f>
        <v>71</v>
      </c>
      <c r="K772" s="29">
        <f>IFERROR(__xludf.DUMMYFUNCTION("""COMPUTED_VALUE"""),4.5)</f>
        <v>4.5</v>
      </c>
      <c r="L772" s="31" t="str">
        <f>IFERROR(__xludf.DUMMYFUNCTION("""COMPUTED_VALUE"""),"Flight")</f>
        <v>Flight</v>
      </c>
    </row>
    <row r="773" hidden="1">
      <c r="A773" s="17" t="str">
        <f>IFERROR(__xludf.DUMMYFUNCTION("""COMPUTED_VALUE"""),"Star Wars X-Wing Alliance")</f>
        <v>Star Wars X-Wing Alliance</v>
      </c>
      <c r="B773" s="20" t="str">
        <f>IFERROR(__xludf.DUMMYFUNCTION("""COMPUTED_VALUE"""),"PC")</f>
        <v>PC</v>
      </c>
      <c r="C773" s="20"/>
      <c r="D773" s="21" t="str">
        <f>IFERROR(__xludf.DUMMYFUNCTION("""COMPUTED_VALUE"""),"Removed")</f>
        <v>Removed</v>
      </c>
      <c r="E773" s="128">
        <f>IFERROR(__xludf.DUMMYFUNCTION("""COMPUTED_VALUE"""),44273.0)</f>
        <v>44273</v>
      </c>
      <c r="F773" s="24">
        <f>IFERROR(__xludf.DUMMYFUNCTION("""COMPUTED_VALUE"""),44284.0)</f>
        <v>44284</v>
      </c>
      <c r="G773" s="27">
        <f>IFERROR(__xludf.DUMMYFUNCTION("""COMPUTED_VALUE"""),0.36666666666666664)</f>
        <v>0.3666666667</v>
      </c>
      <c r="H773" s="128">
        <f>IFERROR(__xludf.DUMMYFUNCTION("""COMPUTED_VALUE"""),36219.0)</f>
        <v>36219</v>
      </c>
      <c r="I773" s="27">
        <f>IFERROR(__xludf.DUMMYFUNCTION("""COMPUTED_VALUE"""),22.055555555555557)</f>
        <v>22.05555556</v>
      </c>
      <c r="J773" s="29">
        <f>IFERROR(__xludf.DUMMYFUNCTION("""COMPUTED_VALUE"""),83.0)</f>
        <v>83</v>
      </c>
      <c r="K773" s="29">
        <f>IFERROR(__xludf.DUMMYFUNCTION("""COMPUTED_VALUE"""),20.0)</f>
        <v>20</v>
      </c>
      <c r="L773" s="31" t="str">
        <f>IFERROR(__xludf.DUMMYFUNCTION("""COMPUTED_VALUE"""),"Shooter")</f>
        <v>Shooter</v>
      </c>
    </row>
    <row r="774" hidden="1">
      <c r="A774" s="17" t="str">
        <f>IFERROR(__xludf.DUMMYFUNCTION("""COMPUTED_VALUE"""),"Star Wars Dark Forces")</f>
        <v>Star Wars Dark Forces</v>
      </c>
      <c r="B774" s="20" t="str">
        <f>IFERROR(__xludf.DUMMYFUNCTION("""COMPUTED_VALUE"""),"PC")</f>
        <v>PC</v>
      </c>
      <c r="C774" s="20"/>
      <c r="D774" s="21" t="str">
        <f>IFERROR(__xludf.DUMMYFUNCTION("""COMPUTED_VALUE"""),"Removed")</f>
        <v>Removed</v>
      </c>
      <c r="E774" s="127">
        <f>IFERROR(__xludf.DUMMYFUNCTION("""COMPUTED_VALUE"""),44273.0)</f>
        <v>44273</v>
      </c>
      <c r="F774" s="24">
        <f>IFERROR(__xludf.DUMMYFUNCTION("""COMPUTED_VALUE"""),44284.0)</f>
        <v>44284</v>
      </c>
      <c r="G774" s="27">
        <f>IFERROR(__xludf.DUMMYFUNCTION("""COMPUTED_VALUE"""),0.36666666666666664)</f>
        <v>0.3666666667</v>
      </c>
      <c r="H774" s="127">
        <f>IFERROR(__xludf.DUMMYFUNCTION("""COMPUTED_VALUE"""),34745.0)</f>
        <v>34745</v>
      </c>
      <c r="I774" s="27">
        <f>IFERROR(__xludf.DUMMYFUNCTION("""COMPUTED_VALUE"""),26.091666666666665)</f>
        <v>26.09166667</v>
      </c>
      <c r="J774" s="29">
        <f>IFERROR(__xludf.DUMMYFUNCTION("""COMPUTED_VALUE"""),75.0)</f>
        <v>75</v>
      </c>
      <c r="K774" s="29">
        <f>IFERROR(__xludf.DUMMYFUNCTION("""COMPUTED_VALUE"""),9.0)</f>
        <v>9</v>
      </c>
      <c r="L774" s="31" t="str">
        <f>IFERROR(__xludf.DUMMYFUNCTION("""COMPUTED_VALUE"""),"Shooter")</f>
        <v>Shooter</v>
      </c>
    </row>
    <row r="775" hidden="1">
      <c r="A775" s="17" t="str">
        <f>IFERROR(__xludf.DUMMYFUNCTION("""COMPUTED_VALUE"""),"Into the Breach")</f>
        <v>Into the Breach</v>
      </c>
      <c r="B775" s="20" t="str">
        <f>IFERROR(__xludf.DUMMYFUNCTION("""COMPUTED_VALUE"""),"PC")</f>
        <v>PC</v>
      </c>
      <c r="C775" s="20"/>
      <c r="D775" s="21" t="str">
        <f>IFERROR(__xludf.DUMMYFUNCTION("""COMPUTED_VALUE"""),"Removed")</f>
        <v>Removed</v>
      </c>
      <c r="E775" s="127">
        <f>IFERROR(__xludf.DUMMYFUNCTION("""COMPUTED_VALUE"""),43625.0)</f>
        <v>43625</v>
      </c>
      <c r="F775" s="24">
        <f>IFERROR(__xludf.DUMMYFUNCTION("""COMPUTED_VALUE"""),44284.0)</f>
        <v>44284</v>
      </c>
      <c r="G775" s="27">
        <f>IFERROR(__xludf.DUMMYFUNCTION("""COMPUTED_VALUE"""),21.666666666666668)</f>
        <v>21.66666667</v>
      </c>
      <c r="H775" s="127">
        <f>IFERROR(__xludf.DUMMYFUNCTION("""COMPUTED_VALUE"""),43158.0)</f>
        <v>43158</v>
      </c>
      <c r="I775" s="27">
        <f>IFERROR(__xludf.DUMMYFUNCTION("""COMPUTED_VALUE"""),1.2833333333333334)</f>
        <v>1.283333333</v>
      </c>
      <c r="J775" s="29">
        <f>IFERROR(__xludf.DUMMYFUNCTION("""COMPUTED_VALUE"""),90.0)</f>
        <v>90</v>
      </c>
      <c r="K775" s="29">
        <f>IFERROR(__xludf.DUMMYFUNCTION("""COMPUTED_VALUE"""),5.0)</f>
        <v>5</v>
      </c>
      <c r="L775" s="31" t="str">
        <f>IFERROR(__xludf.DUMMYFUNCTION("""COMPUTED_VALUE"""),"Strategy")</f>
        <v>Strategy</v>
      </c>
    </row>
    <row r="776" hidden="1">
      <c r="A776" s="17" t="str">
        <f>IFERROR(__xludf.DUMMYFUNCTION("""COMPUTED_VALUE"""),"Snake Pass")</f>
        <v>Snake Pass</v>
      </c>
      <c r="B776" s="20" t="str">
        <f>IFERROR(__xludf.DUMMYFUNCTION("""COMPUTED_VALUE"""),"PC")</f>
        <v>PC</v>
      </c>
      <c r="C776" s="20"/>
      <c r="D776" s="21" t="str">
        <f>IFERROR(__xludf.DUMMYFUNCTION("""COMPUTED_VALUE"""),"Removed")</f>
        <v>Removed</v>
      </c>
      <c r="E776" s="128">
        <f>IFERROR(__xludf.DUMMYFUNCTION("""COMPUTED_VALUE"""),43344.0)</f>
        <v>43344</v>
      </c>
      <c r="F776" s="24">
        <f>IFERROR(__xludf.DUMMYFUNCTION("""COMPUTED_VALUE"""),44284.0)</f>
        <v>44284</v>
      </c>
      <c r="G776" s="27">
        <f>IFERROR(__xludf.DUMMYFUNCTION("""COMPUTED_VALUE"""),30.933333333333337)</f>
        <v>30.93333333</v>
      </c>
      <c r="H776" s="128">
        <f>IFERROR(__xludf.DUMMYFUNCTION("""COMPUTED_VALUE"""),42822.0)</f>
        <v>42822</v>
      </c>
      <c r="I776" s="27">
        <f>IFERROR(__xludf.DUMMYFUNCTION("""COMPUTED_VALUE"""),1.425)</f>
        <v>1.425</v>
      </c>
      <c r="J776" s="29">
        <f>IFERROR(__xludf.DUMMYFUNCTION("""COMPUTED_VALUE"""),74.0)</f>
        <v>74</v>
      </c>
      <c r="K776" s="29">
        <f>IFERROR(__xludf.DUMMYFUNCTION("""COMPUTED_VALUE"""),5.0)</f>
        <v>5</v>
      </c>
      <c r="L776" s="31" t="str">
        <f>IFERROR(__xludf.DUMMYFUNCTION("""COMPUTED_VALUE"""),"Platformer")</f>
        <v>Platformer</v>
      </c>
    </row>
    <row r="777" hidden="1">
      <c r="A777" s="17" t="str">
        <f>IFERROR(__xludf.DUMMYFUNCTION("""COMPUTED_VALUE"""),"Hue")</f>
        <v>Hue</v>
      </c>
      <c r="B777" s="20" t="str">
        <f>IFERROR(__xludf.DUMMYFUNCTION("""COMPUTED_VALUE"""),"PC")</f>
        <v>PC</v>
      </c>
      <c r="C777" s="20"/>
      <c r="D777" s="21" t="str">
        <f>IFERROR(__xludf.DUMMYFUNCTION("""COMPUTED_VALUE"""),"Removed")</f>
        <v>Removed</v>
      </c>
      <c r="E777" s="23">
        <f>IFERROR(__xludf.DUMMYFUNCTION("""COMPUTED_VALUE"""),42979.0)</f>
        <v>42979</v>
      </c>
      <c r="F777" s="24">
        <f>IFERROR(__xludf.DUMMYFUNCTION("""COMPUTED_VALUE"""),44284.0)</f>
        <v>44284</v>
      </c>
      <c r="G777" s="27">
        <f>IFERROR(__xludf.DUMMYFUNCTION("""COMPUTED_VALUE"""),42.93333333333334)</f>
        <v>42.93333333</v>
      </c>
      <c r="H777" s="128">
        <f>IFERROR(__xludf.DUMMYFUNCTION("""COMPUTED_VALUE"""),42612.0)</f>
        <v>42612</v>
      </c>
      <c r="I777" s="27">
        <f>IFERROR(__xludf.DUMMYFUNCTION("""COMPUTED_VALUE"""),1.0027777777777778)</f>
        <v>1.002777778</v>
      </c>
      <c r="J777" s="29">
        <f>IFERROR(__xludf.DUMMYFUNCTION("""COMPUTED_VALUE"""),79.0)</f>
        <v>79</v>
      </c>
      <c r="K777" s="29">
        <f>IFERROR(__xludf.DUMMYFUNCTION("""COMPUTED_VALUE"""),4.5)</f>
        <v>4.5</v>
      </c>
      <c r="L777" s="31" t="str">
        <f>IFERROR(__xludf.DUMMYFUNCTION("""COMPUTED_VALUE"""),"Platformer")</f>
        <v>Platformer</v>
      </c>
    </row>
    <row r="778" hidden="1">
      <c r="A778" s="17" t="str">
        <f>IFERROR(__xludf.DUMMYFUNCTION("""COMPUTED_VALUE"""),"Alvastia Chronicles")</f>
        <v>Alvastia Chronicles</v>
      </c>
      <c r="B778" s="20" t="str">
        <f>IFERROR(__xludf.DUMMYFUNCTION("""COMPUTED_VALUE"""),"Xbox / PC")</f>
        <v>Xbox / PC</v>
      </c>
      <c r="C778" s="20"/>
      <c r="D778" s="21" t="str">
        <f>IFERROR(__xludf.DUMMYFUNCTION("""COMPUTED_VALUE"""),"Removed")</f>
        <v>Removed</v>
      </c>
      <c r="E778" s="128">
        <f>IFERROR(__xludf.DUMMYFUNCTION("""COMPUTED_VALUE"""),43930.0)</f>
        <v>43930</v>
      </c>
      <c r="F778" s="24">
        <f>IFERROR(__xludf.DUMMYFUNCTION("""COMPUTED_VALUE"""),44270.0)</f>
        <v>44270</v>
      </c>
      <c r="G778" s="27">
        <f>IFERROR(__xludf.DUMMYFUNCTION("""COMPUTED_VALUE"""),11.2)</f>
        <v>11.2</v>
      </c>
      <c r="H778" s="128">
        <f>IFERROR(__xludf.DUMMYFUNCTION("""COMPUTED_VALUE"""),43508.0)</f>
        <v>43508</v>
      </c>
      <c r="I778" s="27">
        <f>IFERROR(__xludf.DUMMYFUNCTION("""COMPUTED_VALUE"""),1.1583333333333334)</f>
        <v>1.158333333</v>
      </c>
      <c r="J778" s="29">
        <f>IFERROR(__xludf.DUMMYFUNCTION("""COMPUTED_VALUE"""),80.0)</f>
        <v>80</v>
      </c>
      <c r="K778" s="29">
        <f>IFERROR(__xludf.DUMMYFUNCTION("""COMPUTED_VALUE"""),7.0)</f>
        <v>7</v>
      </c>
      <c r="L778" s="31" t="str">
        <f>IFERROR(__xludf.DUMMYFUNCTION("""COMPUTED_VALUE"""),"RPG")</f>
        <v>RPG</v>
      </c>
    </row>
    <row r="779" hidden="1">
      <c r="A779" s="17" t="str">
        <f>IFERROR(__xludf.DUMMYFUNCTION("""COMPUTED_VALUE"""),"Astrologaster")</f>
        <v>Astrologaster</v>
      </c>
      <c r="B779" s="20" t="str">
        <f>IFERROR(__xludf.DUMMYFUNCTION("""COMPUTED_VALUE"""),"PC")</f>
        <v>PC</v>
      </c>
      <c r="C779" s="20"/>
      <c r="D779" s="21" t="str">
        <f>IFERROR(__xludf.DUMMYFUNCTION("""COMPUTED_VALUE"""),"Removed")</f>
        <v>Removed</v>
      </c>
      <c r="E779" s="127">
        <f>IFERROR(__xludf.DUMMYFUNCTION("""COMPUTED_VALUE"""),43916.0)</f>
        <v>43916</v>
      </c>
      <c r="F779" s="24">
        <f>IFERROR(__xludf.DUMMYFUNCTION("""COMPUTED_VALUE"""),44270.0)</f>
        <v>44270</v>
      </c>
      <c r="G779" s="27">
        <f>IFERROR(__xludf.DUMMYFUNCTION("""COMPUTED_VALUE"""),11.633333333333333)</f>
        <v>11.63333333</v>
      </c>
      <c r="H779" s="128">
        <f>IFERROR(__xludf.DUMMYFUNCTION("""COMPUTED_VALUE"""),43587.0)</f>
        <v>43587</v>
      </c>
      <c r="I779" s="27">
        <f>IFERROR(__xludf.DUMMYFUNCTION("""COMPUTED_VALUE"""),0.9)</f>
        <v>0.9</v>
      </c>
      <c r="J779" s="29">
        <f>IFERROR(__xludf.DUMMYFUNCTION("""COMPUTED_VALUE"""),74.0)</f>
        <v>74</v>
      </c>
      <c r="K779" s="29">
        <f>IFERROR(__xludf.DUMMYFUNCTION("""COMPUTED_VALUE"""),7.5)</f>
        <v>7.5</v>
      </c>
      <c r="L779" s="31" t="str">
        <f>IFERROR(__xludf.DUMMYFUNCTION("""COMPUTED_VALUE"""),"Adventure")</f>
        <v>Adventure</v>
      </c>
    </row>
    <row r="780" hidden="1">
      <c r="A780" s="17" t="str">
        <f>IFERROR(__xludf.DUMMYFUNCTION("""COMPUTED_VALUE"""),"The Witcher 3: Wild Hunt")</f>
        <v>The Witcher 3: Wild Hunt</v>
      </c>
      <c r="B780" s="20" t="str">
        <f>IFERROR(__xludf.DUMMYFUNCTION("""COMPUTED_VALUE"""),"Xbox")</f>
        <v>Xbox</v>
      </c>
      <c r="C780" s="20" t="str">
        <f>IFERROR(__xludf.DUMMYFUNCTION("""COMPUTED_VALUE"""),"Yes")</f>
        <v>Yes</v>
      </c>
      <c r="D780" s="21" t="str">
        <f>IFERROR(__xludf.DUMMYFUNCTION("""COMPUTED_VALUE"""),"Removed")</f>
        <v>Removed</v>
      </c>
      <c r="E780" s="128">
        <f>IFERROR(__xludf.DUMMYFUNCTION("""COMPUTED_VALUE"""),43818.0)</f>
        <v>43818</v>
      </c>
      <c r="F780" s="24">
        <f>IFERROR(__xludf.DUMMYFUNCTION("""COMPUTED_VALUE"""),44270.0)</f>
        <v>44270</v>
      </c>
      <c r="G780" s="27">
        <f>IFERROR(__xludf.DUMMYFUNCTION("""COMPUTED_VALUE"""),14.866666666666667)</f>
        <v>14.86666667</v>
      </c>
      <c r="H780" s="128">
        <f>IFERROR(__xludf.DUMMYFUNCTION("""COMPUTED_VALUE"""),42143.0)</f>
        <v>42143</v>
      </c>
      <c r="I780" s="27">
        <f>IFERROR(__xludf.DUMMYFUNCTION("""COMPUTED_VALUE"""),4.583333333333333)</f>
        <v>4.583333333</v>
      </c>
      <c r="J780" s="29">
        <f>IFERROR(__xludf.DUMMYFUNCTION("""COMPUTED_VALUE"""),91.0)</f>
        <v>91</v>
      </c>
      <c r="K780" s="29">
        <f>IFERROR(__xludf.DUMMYFUNCTION("""COMPUTED_VALUE"""),51.0)</f>
        <v>51</v>
      </c>
      <c r="L780" s="31" t="str">
        <f>IFERROR(__xludf.DUMMYFUNCTION("""COMPUTED_VALUE"""),"RPG")</f>
        <v>RPG</v>
      </c>
    </row>
    <row r="781" hidden="1">
      <c r="A781" s="17" t="str">
        <f>IFERROR(__xludf.DUMMYFUNCTION("""COMPUTED_VALUE"""),"The Jackbox Party Pack 4")</f>
        <v>The Jackbox Party Pack 4</v>
      </c>
      <c r="B781" s="20" t="str">
        <f>IFERROR(__xludf.DUMMYFUNCTION("""COMPUTED_VALUE"""),"Xbox")</f>
        <v>Xbox</v>
      </c>
      <c r="C781" s="20" t="str">
        <f>IFERROR(__xludf.DUMMYFUNCTION("""COMPUTED_VALUE"""),"Yes")</f>
        <v>Yes</v>
      </c>
      <c r="D781" s="21" t="str">
        <f>IFERROR(__xludf.DUMMYFUNCTION("""COMPUTED_VALUE"""),"Removed")</f>
        <v>Removed</v>
      </c>
      <c r="E781" s="128">
        <f>IFERROR(__xludf.DUMMYFUNCTION("""COMPUTED_VALUE"""),44077.0)</f>
        <v>44077</v>
      </c>
      <c r="F781" s="24">
        <f>IFERROR(__xludf.DUMMYFUNCTION("""COMPUTED_VALUE"""),44255.0)</f>
        <v>44255</v>
      </c>
      <c r="G781" s="27">
        <f>IFERROR(__xludf.DUMMYFUNCTION("""COMPUTED_VALUE"""),5.833333333333333)</f>
        <v>5.833333333</v>
      </c>
      <c r="H781" s="128">
        <f>IFERROR(__xludf.DUMMYFUNCTION("""COMPUTED_VALUE"""),43025.0)</f>
        <v>43025</v>
      </c>
      <c r="I781" s="27">
        <f>IFERROR(__xludf.DUMMYFUNCTION("""COMPUTED_VALUE"""),2.8777777777777778)</f>
        <v>2.877777778</v>
      </c>
      <c r="J781" s="29">
        <f>IFERROR(__xludf.DUMMYFUNCTION("""COMPUTED_VALUE"""),84.0)</f>
        <v>84</v>
      </c>
      <c r="K781" s="29">
        <f>IFERROR(__xludf.DUMMYFUNCTION("""COMPUTED_VALUE"""),16.0)</f>
        <v>16</v>
      </c>
      <c r="L781" s="31" t="str">
        <f>IFERROR(__xludf.DUMMYFUNCTION("""COMPUTED_VALUE"""),"Party")</f>
        <v>Party</v>
      </c>
    </row>
    <row r="782" hidden="1">
      <c r="A782" s="17" t="str">
        <f>IFERROR(__xludf.DUMMYFUNCTION("""COMPUTED_VALUE"""),"Mother Russia Bleeds")</f>
        <v>Mother Russia Bleeds</v>
      </c>
      <c r="B782" s="20" t="str">
        <f>IFERROR(__xludf.DUMMYFUNCTION("""COMPUTED_VALUE"""),"PC")</f>
        <v>PC</v>
      </c>
      <c r="C782" s="20"/>
      <c r="D782" s="21" t="str">
        <f>IFERROR(__xludf.DUMMYFUNCTION("""COMPUTED_VALUE"""),"Removed")</f>
        <v>Removed</v>
      </c>
      <c r="E782" s="127">
        <f>IFERROR(__xludf.DUMMYFUNCTION("""COMPUTED_VALUE"""),43894.0)</f>
        <v>43894</v>
      </c>
      <c r="F782" s="276">
        <f>IFERROR(__xludf.DUMMYFUNCTION("""COMPUTED_VALUE"""),44255.0)</f>
        <v>44255</v>
      </c>
      <c r="G782" s="27">
        <f>IFERROR(__xludf.DUMMYFUNCTION("""COMPUTED_VALUE"""),11.799999999999999)</f>
        <v>11.8</v>
      </c>
      <c r="H782" s="128">
        <f>IFERROR(__xludf.DUMMYFUNCTION("""COMPUTED_VALUE"""),42618.0)</f>
        <v>42618</v>
      </c>
      <c r="I782" s="27">
        <f>IFERROR(__xludf.DUMMYFUNCTION("""COMPUTED_VALUE"""),3.4972222222222222)</f>
        <v>3.497222222</v>
      </c>
      <c r="J782" s="29">
        <f>IFERROR(__xludf.DUMMYFUNCTION("""COMPUTED_VALUE"""),70.0)</f>
        <v>70</v>
      </c>
      <c r="K782" s="29">
        <f>IFERROR(__xludf.DUMMYFUNCTION("""COMPUTED_VALUE"""),4.0)</f>
        <v>4</v>
      </c>
      <c r="L782" s="31" t="str">
        <f>IFERROR(__xludf.DUMMYFUNCTION("""COMPUTED_VALUE"""),"Brawler")</f>
        <v>Brawler</v>
      </c>
    </row>
    <row r="783" hidden="1">
      <c r="A783" s="17" t="str">
        <f>IFERROR(__xludf.DUMMYFUNCTION("""COMPUTED_VALUE"""),"Momodora: Reverie Under the Moonlight")</f>
        <v>Momodora: Reverie Under the Moonlight</v>
      </c>
      <c r="B783" s="20" t="str">
        <f>IFERROR(__xludf.DUMMYFUNCTION("""COMPUTED_VALUE"""),"Xbox / PC")</f>
        <v>Xbox / PC</v>
      </c>
      <c r="C783" s="20" t="str">
        <f>IFERROR(__xludf.DUMMYFUNCTION("""COMPUTED_VALUE"""),"Yes")</f>
        <v>Yes</v>
      </c>
      <c r="D783" s="21" t="str">
        <f>IFERROR(__xludf.DUMMYFUNCTION("""COMPUTED_VALUE"""),"Removed")</f>
        <v>Removed</v>
      </c>
      <c r="E783" s="23">
        <f>IFERROR(__xludf.DUMMYFUNCTION("""COMPUTED_VALUE"""),43625.0)</f>
        <v>43625</v>
      </c>
      <c r="F783" s="24">
        <f>IFERROR(__xludf.DUMMYFUNCTION("""COMPUTED_VALUE"""),44255.0)</f>
        <v>44255</v>
      </c>
      <c r="G783" s="27">
        <f>IFERROR(__xludf.DUMMYFUNCTION("""COMPUTED_VALUE"""),20.633333333333333)</f>
        <v>20.63333333</v>
      </c>
      <c r="H783" s="128">
        <f>IFERROR(__xludf.DUMMYFUNCTION("""COMPUTED_VALUE"""),42433.0)</f>
        <v>42433</v>
      </c>
      <c r="I783" s="27">
        <f>IFERROR(__xludf.DUMMYFUNCTION("""COMPUTED_VALUE"""),3.263888888888889)</f>
        <v>3.263888889</v>
      </c>
      <c r="J783" s="29">
        <f>IFERROR(__xludf.DUMMYFUNCTION("""COMPUTED_VALUE"""),77.0)</f>
        <v>77</v>
      </c>
      <c r="K783" s="29">
        <f>IFERROR(__xludf.DUMMYFUNCTION("""COMPUTED_VALUE"""),4.0)</f>
        <v>4</v>
      </c>
      <c r="L783" s="31" t="str">
        <f>IFERROR(__xludf.DUMMYFUNCTION("""COMPUTED_VALUE"""),"Platformer")</f>
        <v>Platformer</v>
      </c>
    </row>
    <row r="784" hidden="1">
      <c r="A784" s="17" t="str">
        <f>IFERROR(__xludf.DUMMYFUNCTION("""COMPUTED_VALUE"""),"Shadows of the Damned")</f>
        <v>Shadows of the Damned</v>
      </c>
      <c r="B784" s="20" t="str">
        <f>IFERROR(__xludf.DUMMYFUNCTION("""COMPUTED_VALUE"""),"Xbox")</f>
        <v>Xbox</v>
      </c>
      <c r="C784" s="20"/>
      <c r="D784" s="21" t="str">
        <f>IFERROR(__xludf.DUMMYFUNCTION("""COMPUTED_VALUE"""),"Removed")</f>
        <v>Removed</v>
      </c>
      <c r="E784" s="128">
        <f>IFERROR(__xludf.DUMMYFUNCTION("""COMPUTED_VALUE"""),44145.0)</f>
        <v>44145</v>
      </c>
      <c r="F784" s="24">
        <f>IFERROR(__xludf.DUMMYFUNCTION("""COMPUTED_VALUE"""),44246.0)</f>
        <v>44246</v>
      </c>
      <c r="G784" s="27">
        <f>IFERROR(__xludf.DUMMYFUNCTION("""COMPUTED_VALUE"""),3.3000000000000003)</f>
        <v>3.3</v>
      </c>
      <c r="H784" s="128">
        <f>IFERROR(__xludf.DUMMYFUNCTION("""COMPUTED_VALUE"""),40715.0)</f>
        <v>40715</v>
      </c>
      <c r="I784" s="27">
        <f>IFERROR(__xludf.DUMMYFUNCTION("""COMPUTED_VALUE"""),9.386111111111111)</f>
        <v>9.386111111</v>
      </c>
      <c r="J784" s="29">
        <f>IFERROR(__xludf.DUMMYFUNCTION("""COMPUTED_VALUE"""),76.0)</f>
        <v>76</v>
      </c>
      <c r="K784" s="29">
        <f>IFERROR(__xludf.DUMMYFUNCTION("""COMPUTED_VALUE"""),8.5)</f>
        <v>8.5</v>
      </c>
      <c r="L784" s="31" t="str">
        <f>IFERROR(__xludf.DUMMYFUNCTION("""COMPUTED_VALUE"""),"Shooter")</f>
        <v>Shooter</v>
      </c>
    </row>
    <row r="785" hidden="1">
      <c r="A785" s="17" t="str">
        <f>IFERROR(__xludf.DUMMYFUNCTION("""COMPUTED_VALUE"""),"Ninja Gaiden II")</f>
        <v>Ninja Gaiden II</v>
      </c>
      <c r="B785" s="20" t="str">
        <f>IFERROR(__xludf.DUMMYFUNCTION("""COMPUTED_VALUE"""),"Xbox")</f>
        <v>Xbox</v>
      </c>
      <c r="C785" s="20"/>
      <c r="D785" s="21" t="str">
        <f>IFERROR(__xludf.DUMMYFUNCTION("""COMPUTED_VALUE"""),"Removed")</f>
        <v>Removed</v>
      </c>
      <c r="E785" s="23">
        <f>IFERROR(__xludf.DUMMYFUNCTION("""COMPUTED_VALUE"""),43881.0)</f>
        <v>43881</v>
      </c>
      <c r="F785" s="24">
        <f>IFERROR(__xludf.DUMMYFUNCTION("""COMPUTED_VALUE"""),44242.0)</f>
        <v>44242</v>
      </c>
      <c r="G785" s="27">
        <f>IFERROR(__xludf.DUMMYFUNCTION("""COMPUTED_VALUE"""),11.833333333333334)</f>
        <v>11.83333333</v>
      </c>
      <c r="H785" s="128">
        <f>IFERROR(__xludf.DUMMYFUNCTION("""COMPUTED_VALUE"""),39602.0)</f>
        <v>39602</v>
      </c>
      <c r="I785" s="27">
        <f>IFERROR(__xludf.DUMMYFUNCTION("""COMPUTED_VALUE"""),11.713888888888889)</f>
        <v>11.71388889</v>
      </c>
      <c r="J785" s="29">
        <f>IFERROR(__xludf.DUMMYFUNCTION("""COMPUTED_VALUE"""),81.0)</f>
        <v>81</v>
      </c>
      <c r="K785" s="29">
        <f>IFERROR(__xludf.DUMMYFUNCTION("""COMPUTED_VALUE"""),14.0)</f>
        <v>14</v>
      </c>
      <c r="L785" s="31" t="str">
        <f>IFERROR(__xludf.DUMMYFUNCTION("""COMPUTED_VALUE"""),"Action")</f>
        <v>Action</v>
      </c>
    </row>
    <row r="786" hidden="1">
      <c r="A786" s="17" t="str">
        <f>IFERROR(__xludf.DUMMYFUNCTION("""COMPUTED_VALUE"""),"World of Horror (Game Preview)")</f>
        <v>World of Horror (Game Preview)</v>
      </c>
      <c r="B786" s="20" t="str">
        <f>IFERROR(__xludf.DUMMYFUNCTION("""COMPUTED_VALUE"""),"PC")</f>
        <v>PC</v>
      </c>
      <c r="C786" s="20"/>
      <c r="D786" s="21" t="str">
        <f>IFERROR(__xludf.DUMMYFUNCTION("""COMPUTED_VALUE"""),"Removed")</f>
        <v>Removed</v>
      </c>
      <c r="E786" s="23">
        <f>IFERROR(__xludf.DUMMYFUNCTION("""COMPUTED_VALUE"""),43881.0)</f>
        <v>43881</v>
      </c>
      <c r="F786" s="24">
        <f>IFERROR(__xludf.DUMMYFUNCTION("""COMPUTED_VALUE"""),44242.0)</f>
        <v>44242</v>
      </c>
      <c r="G786" s="27">
        <f>IFERROR(__xludf.DUMMYFUNCTION("""COMPUTED_VALUE"""),11.833333333333334)</f>
        <v>11.83333333</v>
      </c>
      <c r="H786" s="128">
        <f>IFERROR(__xludf.DUMMYFUNCTION("""COMPUTED_VALUE"""),43881.0)</f>
        <v>43881</v>
      </c>
      <c r="I786" s="27">
        <f>IFERROR(__xludf.DUMMYFUNCTION("""COMPUTED_VALUE"""),0.0)</f>
        <v>0</v>
      </c>
      <c r="J786" s="29">
        <f>IFERROR(__xludf.DUMMYFUNCTION("""COMPUTED_VALUE"""),80.0)</f>
        <v>80</v>
      </c>
      <c r="K786" s="29">
        <f>IFERROR(__xludf.DUMMYFUNCTION("""COMPUTED_VALUE"""),2.5)</f>
        <v>2.5</v>
      </c>
      <c r="L786" s="31" t="str">
        <f>IFERROR(__xludf.DUMMYFUNCTION("""COMPUTED_VALUE"""),"RPG")</f>
        <v>RPG</v>
      </c>
    </row>
    <row r="787" hidden="1">
      <c r="A787" s="17" t="str">
        <f>IFERROR(__xludf.DUMMYFUNCTION("""COMPUTED_VALUE"""),"de Blob")</f>
        <v>de Blob</v>
      </c>
      <c r="B787" s="20" t="str">
        <f>IFERROR(__xludf.DUMMYFUNCTION("""COMPUTED_VALUE"""),"Xbox")</f>
        <v>Xbox</v>
      </c>
      <c r="C787" s="20"/>
      <c r="D787" s="21" t="str">
        <f>IFERROR(__xludf.DUMMYFUNCTION("""COMPUTED_VALUE"""),"Removed")</f>
        <v>Removed</v>
      </c>
      <c r="E787" s="127">
        <f>IFERROR(__xludf.DUMMYFUNCTION("""COMPUTED_VALUE"""),43510.0)</f>
        <v>43510</v>
      </c>
      <c r="F787" s="24">
        <f>IFERROR(__xludf.DUMMYFUNCTION("""COMPUTED_VALUE"""),44242.0)</f>
        <v>44242</v>
      </c>
      <c r="G787" s="27">
        <f>IFERROR(__xludf.DUMMYFUNCTION("""COMPUTED_VALUE"""),24.03333333333333)</f>
        <v>24.03333333</v>
      </c>
      <c r="H787" s="128">
        <f>IFERROR(__xludf.DUMMYFUNCTION("""COMPUTED_VALUE"""),39713.0)</f>
        <v>39713</v>
      </c>
      <c r="I787" s="27">
        <f>IFERROR(__xludf.DUMMYFUNCTION("""COMPUTED_VALUE"""),10.394444444444444)</f>
        <v>10.39444444</v>
      </c>
      <c r="J787" s="29">
        <f>IFERROR(__xludf.DUMMYFUNCTION("""COMPUTED_VALUE"""),72.0)</f>
        <v>72</v>
      </c>
      <c r="K787" s="29">
        <f>IFERROR(__xludf.DUMMYFUNCTION("""COMPUTED_VALUE"""),8.0)</f>
        <v>8</v>
      </c>
      <c r="L787" s="31" t="str">
        <f>IFERROR(__xludf.DUMMYFUNCTION("""COMPUTED_VALUE"""),"Platformer")</f>
        <v>Platformer</v>
      </c>
    </row>
    <row r="788" hidden="1">
      <c r="A788" s="17" t="str">
        <f>IFERROR(__xludf.DUMMYFUNCTION("""COMPUTED_VALUE"""),"Reigns: Game of Thrones")</f>
        <v>Reigns: Game of Thrones</v>
      </c>
      <c r="B788" s="20" t="str">
        <f>IFERROR(__xludf.DUMMYFUNCTION("""COMPUTED_VALUE"""),"PC")</f>
        <v>PC</v>
      </c>
      <c r="C788" s="20"/>
      <c r="D788" s="21" t="str">
        <f>IFERROR(__xludf.DUMMYFUNCTION("""COMPUTED_VALUE"""),"Removed")</f>
        <v>Removed</v>
      </c>
      <c r="E788" s="23">
        <f>IFERROR(__xludf.DUMMYFUNCTION("""COMPUTED_VALUE"""),43881.0)</f>
        <v>43881</v>
      </c>
      <c r="F788" s="24">
        <f>IFERROR(__xludf.DUMMYFUNCTION("""COMPUTED_VALUE"""),44225.0)</f>
        <v>44225</v>
      </c>
      <c r="G788" s="27">
        <f>IFERROR(__xludf.DUMMYFUNCTION("""COMPUTED_VALUE"""),11.3)</f>
        <v>11.3</v>
      </c>
      <c r="H788" s="128">
        <f>IFERROR(__xludf.DUMMYFUNCTION("""COMPUTED_VALUE"""),43391.0)</f>
        <v>43391</v>
      </c>
      <c r="I788" s="27">
        <f>IFERROR(__xludf.DUMMYFUNCTION("""COMPUTED_VALUE"""),1.3388888888888888)</f>
        <v>1.338888889</v>
      </c>
      <c r="J788" s="29">
        <f>IFERROR(__xludf.DUMMYFUNCTION("""COMPUTED_VALUE"""),84.0)</f>
        <v>84</v>
      </c>
      <c r="K788" s="29">
        <f>IFERROR(__xludf.DUMMYFUNCTION("""COMPUTED_VALUE"""),2.0)</f>
        <v>2</v>
      </c>
      <c r="L788" s="31" t="str">
        <f>IFERROR(__xludf.DUMMYFUNCTION("""COMPUTED_VALUE"""),"Simulation")</f>
        <v>Simulation</v>
      </c>
    </row>
    <row r="789" hidden="1">
      <c r="A789" s="17" t="str">
        <f>IFERROR(__xludf.DUMMYFUNCTION("""COMPUTED_VALUE"""),"Death Squared")</f>
        <v>Death Squared</v>
      </c>
      <c r="B789" s="20" t="str">
        <f>IFERROR(__xludf.DUMMYFUNCTION("""COMPUTED_VALUE"""),"Xbox")</f>
        <v>Xbox</v>
      </c>
      <c r="C789" s="20" t="str">
        <f>IFERROR(__xludf.DUMMYFUNCTION("""COMPUTED_VALUE"""),"Yes")</f>
        <v>Yes</v>
      </c>
      <c r="D789" s="21" t="str">
        <f>IFERROR(__xludf.DUMMYFUNCTION("""COMPUTED_VALUE"""),"Removed")</f>
        <v>Removed</v>
      </c>
      <c r="E789" s="127">
        <f>IFERROR(__xludf.DUMMYFUNCTION("""COMPUTED_VALUE"""),43874.0)</f>
        <v>43874</v>
      </c>
      <c r="F789" s="24">
        <f>IFERROR(__xludf.DUMMYFUNCTION("""COMPUTED_VALUE"""),44225.0)</f>
        <v>44225</v>
      </c>
      <c r="G789" s="27">
        <f>IFERROR(__xludf.DUMMYFUNCTION("""COMPUTED_VALUE"""),11.533333333333333)</f>
        <v>11.53333333</v>
      </c>
      <c r="H789" s="128">
        <f>IFERROR(__xludf.DUMMYFUNCTION("""COMPUTED_VALUE"""),42808.0)</f>
        <v>42808</v>
      </c>
      <c r="I789" s="27">
        <f>IFERROR(__xludf.DUMMYFUNCTION("""COMPUTED_VALUE"""),2.9138888888888888)</f>
        <v>2.913888889</v>
      </c>
      <c r="J789" s="29">
        <f>IFERROR(__xludf.DUMMYFUNCTION("""COMPUTED_VALUE"""),80.0)</f>
        <v>80</v>
      </c>
      <c r="K789" s="29">
        <f>IFERROR(__xludf.DUMMYFUNCTION("""COMPUTED_VALUE"""),6.0)</f>
        <v>6</v>
      </c>
      <c r="L789" s="31" t="str">
        <f>IFERROR(__xludf.DUMMYFUNCTION("""COMPUTED_VALUE"""),"Platformer")</f>
        <v>Platformer</v>
      </c>
    </row>
    <row r="790" hidden="1">
      <c r="A790" s="17" t="str">
        <f>IFERROR(__xludf.DUMMYFUNCTION("""COMPUTED_VALUE"""),"Death's Gambit")</f>
        <v>Death's Gambit</v>
      </c>
      <c r="B790" s="20" t="str">
        <f>IFERROR(__xludf.DUMMYFUNCTION("""COMPUTED_VALUE"""),"PC")</f>
        <v>PC</v>
      </c>
      <c r="C790" s="20"/>
      <c r="D790" s="21" t="str">
        <f>IFERROR(__xludf.DUMMYFUNCTION("""COMPUTED_VALUE"""),"Removed")</f>
        <v>Removed</v>
      </c>
      <c r="E790" s="127">
        <f>IFERROR(__xludf.DUMMYFUNCTION("""COMPUTED_VALUE"""),43874.0)</f>
        <v>43874</v>
      </c>
      <c r="F790" s="24">
        <f>IFERROR(__xludf.DUMMYFUNCTION("""COMPUTED_VALUE"""),44225.0)</f>
        <v>44225</v>
      </c>
      <c r="G790" s="27">
        <f>IFERROR(__xludf.DUMMYFUNCTION("""COMPUTED_VALUE"""),11.533333333333333)</f>
        <v>11.53333333</v>
      </c>
      <c r="H790" s="128">
        <f>IFERROR(__xludf.DUMMYFUNCTION("""COMPUTED_VALUE"""),43326.0)</f>
        <v>43326</v>
      </c>
      <c r="I790" s="27">
        <f>IFERROR(__xludf.DUMMYFUNCTION("""COMPUTED_VALUE"""),1.4972222222222222)</f>
        <v>1.497222222</v>
      </c>
      <c r="J790" s="29">
        <f>IFERROR(__xludf.DUMMYFUNCTION("""COMPUTED_VALUE"""),71.0)</f>
        <v>71</v>
      </c>
      <c r="K790" s="29">
        <f>IFERROR(__xludf.DUMMYFUNCTION("""COMPUTED_VALUE"""),10.0)</f>
        <v>10</v>
      </c>
      <c r="L790" s="31" t="str">
        <f>IFERROR(__xludf.DUMMYFUNCTION("""COMPUTED_VALUE"""),"RPG")</f>
        <v>RPG</v>
      </c>
    </row>
    <row r="791" hidden="1">
      <c r="A791" s="17" t="str">
        <f>IFERROR(__xludf.DUMMYFUNCTION("""COMPUTED_VALUE"""),"Final Fantasy XV")</f>
        <v>Final Fantasy XV</v>
      </c>
      <c r="B791" s="20" t="str">
        <f>IFERROR(__xludf.DUMMYFUNCTION("""COMPUTED_VALUE"""),"Xbox / PC")</f>
        <v>Xbox / PC</v>
      </c>
      <c r="C791" s="20"/>
      <c r="D791" s="21" t="str">
        <f>IFERROR(__xludf.DUMMYFUNCTION("""COMPUTED_VALUE"""),"Removed")</f>
        <v>Removed</v>
      </c>
      <c r="E791" s="127">
        <f>IFERROR(__xludf.DUMMYFUNCTION("""COMPUTED_VALUE"""),43867.0)</f>
        <v>43867</v>
      </c>
      <c r="F791" s="24">
        <f>IFERROR(__xludf.DUMMYFUNCTION("""COMPUTED_VALUE"""),44225.0)</f>
        <v>44225</v>
      </c>
      <c r="G791" s="27">
        <f>IFERROR(__xludf.DUMMYFUNCTION("""COMPUTED_VALUE"""),11.766666666666666)</f>
        <v>11.76666667</v>
      </c>
      <c r="H791" s="128">
        <f>IFERROR(__xludf.DUMMYFUNCTION("""COMPUTED_VALUE"""),42703.0)</f>
        <v>42703</v>
      </c>
      <c r="I791" s="27">
        <f>IFERROR(__xludf.DUMMYFUNCTION("""COMPUTED_VALUE"""),3.186111111111111)</f>
        <v>3.186111111</v>
      </c>
      <c r="J791" s="29">
        <f>IFERROR(__xludf.DUMMYFUNCTION("""COMPUTED_VALUE"""),83.0)</f>
        <v>83</v>
      </c>
      <c r="K791" s="29">
        <f>IFERROR(__xludf.DUMMYFUNCTION("""COMPUTED_VALUE"""),28.0)</f>
        <v>28</v>
      </c>
      <c r="L791" s="31" t="str">
        <f>IFERROR(__xludf.DUMMYFUNCTION("""COMPUTED_VALUE"""),"RPG")</f>
        <v>RPG</v>
      </c>
    </row>
    <row r="792" hidden="1">
      <c r="A792" s="17" t="str">
        <f>IFERROR(__xludf.DUMMYFUNCTION("""COMPUTED_VALUE"""),"Fishing Sim World: Pro Tour")</f>
        <v>Fishing Sim World: Pro Tour</v>
      </c>
      <c r="B792" s="20" t="str">
        <f>IFERROR(__xludf.DUMMYFUNCTION("""COMPUTED_VALUE"""),"Xbox / PC")</f>
        <v>Xbox / PC</v>
      </c>
      <c r="C792" s="20" t="str">
        <f>IFERROR(__xludf.DUMMYFUNCTION("""COMPUTED_VALUE"""),"Yes")</f>
        <v>Yes</v>
      </c>
      <c r="D792" s="21" t="str">
        <f>IFERROR(__xludf.DUMMYFUNCTION("""COMPUTED_VALUE"""),"Removed")</f>
        <v>Removed</v>
      </c>
      <c r="E792" s="127">
        <f>IFERROR(__xludf.DUMMYFUNCTION("""COMPUTED_VALUE"""),43860.0)</f>
        <v>43860</v>
      </c>
      <c r="F792" s="24">
        <f>IFERROR(__xludf.DUMMYFUNCTION("""COMPUTED_VALUE"""),44225.0)</f>
        <v>44225</v>
      </c>
      <c r="G792" s="27">
        <f>IFERROR(__xludf.DUMMYFUNCTION("""COMPUTED_VALUE"""),11.966666666666667)</f>
        <v>11.96666667</v>
      </c>
      <c r="H792" s="128">
        <f>IFERROR(__xludf.DUMMYFUNCTION("""COMPUTED_VALUE"""),43361.0)</f>
        <v>43361</v>
      </c>
      <c r="I792" s="27">
        <f>IFERROR(__xludf.DUMMYFUNCTION("""COMPUTED_VALUE"""),1.3666666666666667)</f>
        <v>1.366666667</v>
      </c>
      <c r="J792" s="29">
        <f>IFERROR(__xludf.DUMMYFUNCTION("""COMPUTED_VALUE"""),70.0)</f>
        <v>70</v>
      </c>
      <c r="K792" s="29">
        <f>IFERROR(__xludf.DUMMYFUNCTION("""COMPUTED_VALUE"""),19.0)</f>
        <v>19</v>
      </c>
      <c r="L792" s="31" t="str">
        <f>IFERROR(__xludf.DUMMYFUNCTION("""COMPUTED_VALUE"""),"Fishing")</f>
        <v>Fishing</v>
      </c>
    </row>
    <row r="793" hidden="1">
      <c r="A793" s="17" t="str">
        <f>IFERROR(__xludf.DUMMYFUNCTION("""COMPUTED_VALUE"""),"Sea Salt")</f>
        <v>Sea Salt</v>
      </c>
      <c r="B793" s="20" t="str">
        <f>IFERROR(__xludf.DUMMYFUNCTION("""COMPUTED_VALUE"""),"Xbox / PC")</f>
        <v>Xbox / PC</v>
      </c>
      <c r="C793" s="20" t="str">
        <f>IFERROR(__xludf.DUMMYFUNCTION("""COMPUTED_VALUE"""),"Yes")</f>
        <v>Yes</v>
      </c>
      <c r="D793" s="21" t="str">
        <f>IFERROR(__xludf.DUMMYFUNCTION("""COMPUTED_VALUE"""),"Removed")</f>
        <v>Removed</v>
      </c>
      <c r="E793" s="127">
        <f>IFERROR(__xludf.DUMMYFUNCTION("""COMPUTED_VALUE"""),43860.0)</f>
        <v>43860</v>
      </c>
      <c r="F793" s="276">
        <f>IFERROR(__xludf.DUMMYFUNCTION("""COMPUTED_VALUE"""),44225.0)</f>
        <v>44225</v>
      </c>
      <c r="G793" s="27">
        <f>IFERROR(__xludf.DUMMYFUNCTION("""COMPUTED_VALUE"""),11.966666666666667)</f>
        <v>11.96666667</v>
      </c>
      <c r="H793" s="128">
        <f>IFERROR(__xludf.DUMMYFUNCTION("""COMPUTED_VALUE"""),43755.0)</f>
        <v>43755</v>
      </c>
      <c r="I793" s="27">
        <f>IFERROR(__xludf.DUMMYFUNCTION("""COMPUTED_VALUE"""),0.2861111111111111)</f>
        <v>0.2861111111</v>
      </c>
      <c r="J793" s="29">
        <f>IFERROR(__xludf.DUMMYFUNCTION("""COMPUTED_VALUE"""),68.0)</f>
        <v>68</v>
      </c>
      <c r="K793" s="29">
        <f>IFERROR(__xludf.DUMMYFUNCTION("""COMPUTED_VALUE"""),4.0)</f>
        <v>4</v>
      </c>
      <c r="L793" s="31" t="str">
        <f>IFERROR(__xludf.DUMMYFUNCTION("""COMPUTED_VALUE"""),"Action")</f>
        <v>Action</v>
      </c>
    </row>
    <row r="794" hidden="1">
      <c r="A794" s="17" t="str">
        <f>IFERROR(__xludf.DUMMYFUNCTION("""COMPUTED_VALUE"""),"Tekken 7")</f>
        <v>Tekken 7</v>
      </c>
      <c r="B794" s="20" t="str">
        <f>IFERROR(__xludf.DUMMYFUNCTION("""COMPUTED_VALUE"""),"Xbox")</f>
        <v>Xbox</v>
      </c>
      <c r="C794" s="20"/>
      <c r="D794" s="21" t="str">
        <f>IFERROR(__xludf.DUMMYFUNCTION("""COMPUTED_VALUE"""),"Removed")</f>
        <v>Removed</v>
      </c>
      <c r="E794" s="127">
        <f>IFERROR(__xludf.DUMMYFUNCTION("""COMPUTED_VALUE"""),43846.0)</f>
        <v>43846</v>
      </c>
      <c r="F794" s="24">
        <f>IFERROR(__xludf.DUMMYFUNCTION("""COMPUTED_VALUE"""),44211.0)</f>
        <v>44211</v>
      </c>
      <c r="G794" s="27">
        <f>IFERROR(__xludf.DUMMYFUNCTION("""COMPUTED_VALUE"""),11.966666666666667)</f>
        <v>11.96666667</v>
      </c>
      <c r="H794" s="128">
        <f>IFERROR(__xludf.DUMMYFUNCTION("""COMPUTED_VALUE"""),42081.0)</f>
        <v>42081</v>
      </c>
      <c r="I794" s="27">
        <f>IFERROR(__xludf.DUMMYFUNCTION("""COMPUTED_VALUE"""),4.8277777777777775)</f>
        <v>4.827777778</v>
      </c>
      <c r="J794" s="29">
        <f>IFERROR(__xludf.DUMMYFUNCTION("""COMPUTED_VALUE"""),81.0)</f>
        <v>81</v>
      </c>
      <c r="K794" s="29">
        <f>IFERROR(__xludf.DUMMYFUNCTION("""COMPUTED_VALUE"""),3.5)</f>
        <v>3.5</v>
      </c>
      <c r="L794" s="31" t="str">
        <f>IFERROR(__xludf.DUMMYFUNCTION("""COMPUTED_VALUE"""),"Fighting")</f>
        <v>Fighting</v>
      </c>
    </row>
    <row r="795" hidden="1">
      <c r="A795" s="17" t="str">
        <f>IFERROR(__xludf.DUMMYFUNCTION("""COMPUTED_VALUE"""),"Sword Art Online: Fatal Bullet")</f>
        <v>Sword Art Online: Fatal Bullet</v>
      </c>
      <c r="B795" s="20" t="str">
        <f>IFERROR(__xludf.DUMMYFUNCTION("""COMPUTED_VALUE"""),"Xbox")</f>
        <v>Xbox</v>
      </c>
      <c r="C795" s="20"/>
      <c r="D795" s="21" t="str">
        <f>IFERROR(__xludf.DUMMYFUNCTION("""COMPUTED_VALUE"""),"Removed")</f>
        <v>Removed</v>
      </c>
      <c r="E795" s="127">
        <f>IFERROR(__xludf.DUMMYFUNCTION("""COMPUTED_VALUE"""),43839.0)</f>
        <v>43839</v>
      </c>
      <c r="F795" s="24">
        <f>IFERROR(__xludf.DUMMYFUNCTION("""COMPUTED_VALUE"""),44211.0)</f>
        <v>44211</v>
      </c>
      <c r="G795" s="27">
        <f>IFERROR(__xludf.DUMMYFUNCTION("""COMPUTED_VALUE"""),12.2)</f>
        <v>12.2</v>
      </c>
      <c r="H795" s="128">
        <f>IFERROR(__xludf.DUMMYFUNCTION("""COMPUTED_VALUE"""),43139.0)</f>
        <v>43139</v>
      </c>
      <c r="I795" s="27">
        <f>IFERROR(__xludf.DUMMYFUNCTION("""COMPUTED_VALUE"""),1.9194444444444445)</f>
        <v>1.919444444</v>
      </c>
      <c r="J795" s="29">
        <f>IFERROR(__xludf.DUMMYFUNCTION("""COMPUTED_VALUE"""),72.0)</f>
        <v>72</v>
      </c>
      <c r="K795" s="29">
        <f>IFERROR(__xludf.DUMMYFUNCTION("""COMPUTED_VALUE"""),27.0)</f>
        <v>27</v>
      </c>
      <c r="L795" s="31" t="str">
        <f>IFERROR(__xludf.DUMMYFUNCTION("""COMPUTED_VALUE"""),"Shooter")</f>
        <v>Shooter</v>
      </c>
    </row>
    <row r="796" hidden="1">
      <c r="A796" s="17" t="str">
        <f>IFERROR(__xludf.DUMMYFUNCTION("""COMPUTED_VALUE"""),"FTL: Faster Than Light")</f>
        <v>FTL: Faster Than Light</v>
      </c>
      <c r="B796" s="20" t="str">
        <f>IFERROR(__xludf.DUMMYFUNCTION("""COMPUTED_VALUE"""),"PC")</f>
        <v>PC</v>
      </c>
      <c r="C796" s="20"/>
      <c r="D796" s="21" t="str">
        <f>IFERROR(__xludf.DUMMYFUNCTION("""COMPUTED_VALUE"""),"Removed")</f>
        <v>Removed</v>
      </c>
      <c r="E796" s="127">
        <f>IFERROR(__xludf.DUMMYFUNCTION("""COMPUTED_VALUE"""),43837.0)</f>
        <v>43837</v>
      </c>
      <c r="F796" s="276">
        <f>IFERROR(__xludf.DUMMYFUNCTION("""COMPUTED_VALUE"""),44211.0)</f>
        <v>44211</v>
      </c>
      <c r="G796" s="27">
        <f>IFERROR(__xludf.DUMMYFUNCTION("""COMPUTED_VALUE"""),12.266666666666666)</f>
        <v>12.26666667</v>
      </c>
      <c r="H796" s="128">
        <f>IFERROR(__xludf.DUMMYFUNCTION("""COMPUTED_VALUE"""),41166.0)</f>
        <v>41166</v>
      </c>
      <c r="I796" s="27">
        <f>IFERROR(__xludf.DUMMYFUNCTION("""COMPUTED_VALUE"""),7.313888888888889)</f>
        <v>7.313888889</v>
      </c>
      <c r="J796" s="277">
        <f>IFERROR(__xludf.DUMMYFUNCTION("""COMPUTED_VALUE"""),84.0)</f>
        <v>84</v>
      </c>
      <c r="K796" s="29">
        <f>IFERROR(__xludf.DUMMYFUNCTION("""COMPUTED_VALUE"""),11.5)</f>
        <v>11.5</v>
      </c>
      <c r="L796" s="31" t="str">
        <f>IFERROR(__xludf.DUMMYFUNCTION("""COMPUTED_VALUE"""),"RPG")</f>
        <v>RPG</v>
      </c>
    </row>
    <row r="797" hidden="1">
      <c r="A797" s="17" t="str">
        <f>IFERROR(__xludf.DUMMYFUNCTION("""COMPUTED_VALUE"""),"Football Manager 2020")</f>
        <v>Football Manager 2020</v>
      </c>
      <c r="B797" s="20" t="str">
        <f>IFERROR(__xludf.DUMMYFUNCTION("""COMPUTED_VALUE"""),"PC")</f>
        <v>PC</v>
      </c>
      <c r="C797" s="20"/>
      <c r="D797" s="21" t="str">
        <f>IFERROR(__xludf.DUMMYFUNCTION("""COMPUTED_VALUE"""),"Removed")</f>
        <v>Removed</v>
      </c>
      <c r="E797" s="23">
        <f>IFERROR(__xludf.DUMMYFUNCTION("""COMPUTED_VALUE"""),43931.0)</f>
        <v>43931</v>
      </c>
      <c r="F797" s="24">
        <f>IFERROR(__xludf.DUMMYFUNCTION("""COMPUTED_VALUE"""),44195.0)</f>
        <v>44195</v>
      </c>
      <c r="G797" s="27">
        <f>IFERROR(__xludf.DUMMYFUNCTION("""COMPUTED_VALUE"""),8.666666666666666)</f>
        <v>8.666666667</v>
      </c>
      <c r="H797" s="23">
        <f>IFERROR(__xludf.DUMMYFUNCTION("""COMPUTED_VALUE"""),43787.0)</f>
        <v>43787</v>
      </c>
      <c r="I797" s="27">
        <f>IFERROR(__xludf.DUMMYFUNCTION("""COMPUTED_VALUE"""),0.39444444444444443)</f>
        <v>0.3944444444</v>
      </c>
      <c r="J797" s="29">
        <f>IFERROR(__xludf.DUMMYFUNCTION("""COMPUTED_VALUE"""),84.0)</f>
        <v>84</v>
      </c>
      <c r="K797" s="29">
        <f>IFERROR(__xludf.DUMMYFUNCTION("""COMPUTED_VALUE"""),580.0)</f>
        <v>580</v>
      </c>
      <c r="L797" s="31" t="str">
        <f>IFERROR(__xludf.DUMMYFUNCTION("""COMPUTED_VALUE"""),"Sports")</f>
        <v>Sports</v>
      </c>
    </row>
    <row r="798" hidden="1">
      <c r="A798" s="17" t="str">
        <f>IFERROR(__xludf.DUMMYFUNCTION("""COMPUTED_VALUE"""),"Farming Simulator 17")</f>
        <v>Farming Simulator 17</v>
      </c>
      <c r="B798" s="20" t="str">
        <f>IFERROR(__xludf.DUMMYFUNCTION("""COMPUTED_VALUE"""),"Xbox / PC")</f>
        <v>Xbox / PC</v>
      </c>
      <c r="C798" s="20" t="str">
        <f>IFERROR(__xludf.DUMMYFUNCTION("""COMPUTED_VALUE"""),"Yes")</f>
        <v>Yes</v>
      </c>
      <c r="D798" s="21" t="str">
        <f>IFERROR(__xludf.DUMMYFUNCTION("""COMPUTED_VALUE"""),"Removed")</f>
        <v>Removed</v>
      </c>
      <c r="E798" s="127">
        <f>IFERROR(__xludf.DUMMYFUNCTION("""COMPUTED_VALUE"""),43468.0)</f>
        <v>43468</v>
      </c>
      <c r="F798" s="24">
        <f>IFERROR(__xludf.DUMMYFUNCTION("""COMPUTED_VALUE"""),44195.0)</f>
        <v>44195</v>
      </c>
      <c r="G798" s="27">
        <f>IFERROR(__xludf.DUMMYFUNCTION("""COMPUTED_VALUE"""),23.9)</f>
        <v>23.9</v>
      </c>
      <c r="H798" s="128">
        <f>IFERROR(__xludf.DUMMYFUNCTION("""COMPUTED_VALUE"""),42667.0)</f>
        <v>42667</v>
      </c>
      <c r="I798" s="27">
        <f>IFERROR(__xludf.DUMMYFUNCTION("""COMPUTED_VALUE"""),2.191666666666667)</f>
        <v>2.191666667</v>
      </c>
      <c r="J798" s="29">
        <f>IFERROR(__xludf.DUMMYFUNCTION("""COMPUTED_VALUE"""),65.0)</f>
        <v>65</v>
      </c>
      <c r="K798" s="29">
        <f>IFERROR(__xludf.DUMMYFUNCTION("""COMPUTED_VALUE"""),37.0)</f>
        <v>37</v>
      </c>
      <c r="L798" s="31" t="str">
        <f>IFERROR(__xludf.DUMMYFUNCTION("""COMPUTED_VALUE"""),"Simulation")</f>
        <v>Simulation</v>
      </c>
    </row>
    <row r="799" hidden="1">
      <c r="A799" s="17" t="str">
        <f>IFERROR(__xludf.DUMMYFUNCTION("""COMPUTED_VALUE"""),"Mortal Kombat X")</f>
        <v>Mortal Kombat X</v>
      </c>
      <c r="B799" s="20" t="str">
        <f>IFERROR(__xludf.DUMMYFUNCTION("""COMPUTED_VALUE"""),"Xbox")</f>
        <v>Xbox</v>
      </c>
      <c r="C799" s="20" t="str">
        <f>IFERROR(__xludf.DUMMYFUNCTION("""COMPUTED_VALUE"""),"Yes")</f>
        <v>Yes</v>
      </c>
      <c r="D799" s="21" t="str">
        <f>IFERROR(__xludf.DUMMYFUNCTION("""COMPUTED_VALUE"""),"Removed")</f>
        <v>Removed</v>
      </c>
      <c r="E799" s="127">
        <f>IFERROR(__xludf.DUMMYFUNCTION("""COMPUTED_VALUE"""),43441.0)</f>
        <v>43441</v>
      </c>
      <c r="F799" s="24">
        <f>IFERROR(__xludf.DUMMYFUNCTION("""COMPUTED_VALUE"""),44195.0)</f>
        <v>44195</v>
      </c>
      <c r="G799" s="27">
        <f>IFERROR(__xludf.DUMMYFUNCTION("""COMPUTED_VALUE"""),24.76666666666667)</f>
        <v>24.76666667</v>
      </c>
      <c r="H799" s="128">
        <f>IFERROR(__xludf.DUMMYFUNCTION("""COMPUTED_VALUE"""),42108.0)</f>
        <v>42108</v>
      </c>
      <c r="I799" s="27">
        <f>IFERROR(__xludf.DUMMYFUNCTION("""COMPUTED_VALUE"""),3.647222222222222)</f>
        <v>3.647222222</v>
      </c>
      <c r="J799" s="29">
        <f>IFERROR(__xludf.DUMMYFUNCTION("""COMPUTED_VALUE"""),86.0)</f>
        <v>86</v>
      </c>
      <c r="K799" s="29">
        <f>IFERROR(__xludf.DUMMYFUNCTION("""COMPUTED_VALUE"""),5.5)</f>
        <v>5.5</v>
      </c>
      <c r="L799" s="31" t="str">
        <f>IFERROR(__xludf.DUMMYFUNCTION("""COMPUTED_VALUE"""),"Fighting")</f>
        <v>Fighting</v>
      </c>
    </row>
    <row r="800" hidden="1">
      <c r="A800" s="17" t="str">
        <f>IFERROR(__xludf.DUMMYFUNCTION("""COMPUTED_VALUE"""),"Infinifactory")</f>
        <v>Infinifactory</v>
      </c>
      <c r="B800" s="20" t="str">
        <f>IFERROR(__xludf.DUMMYFUNCTION("""COMPUTED_VALUE"""),"PC")</f>
        <v>PC</v>
      </c>
      <c r="C800" s="20"/>
      <c r="D800" s="21" t="str">
        <f>IFERROR(__xludf.DUMMYFUNCTION("""COMPUTED_VALUE"""),"Removed")</f>
        <v>Removed</v>
      </c>
      <c r="E800" s="127">
        <f>IFERROR(__xludf.DUMMYFUNCTION("""COMPUTED_VALUE"""),43818.0)</f>
        <v>43818</v>
      </c>
      <c r="F800" s="276">
        <f>IFERROR(__xludf.DUMMYFUNCTION("""COMPUTED_VALUE"""),44180.0)</f>
        <v>44180</v>
      </c>
      <c r="G800" s="27">
        <f>IFERROR(__xludf.DUMMYFUNCTION("""COMPUTED_VALUE"""),11.866666666666667)</f>
        <v>11.86666667</v>
      </c>
      <c r="H800" s="128">
        <f>IFERROR(__xludf.DUMMYFUNCTION("""COMPUTED_VALUE"""),42185.0)</f>
        <v>42185</v>
      </c>
      <c r="I800" s="27">
        <f>IFERROR(__xludf.DUMMYFUNCTION("""COMPUTED_VALUE"""),4.469444444444444)</f>
        <v>4.469444444</v>
      </c>
      <c r="J800" s="29">
        <f>IFERROR(__xludf.DUMMYFUNCTION("""COMPUTED_VALUE"""),85.0)</f>
        <v>85</v>
      </c>
      <c r="K800" s="29">
        <f>IFERROR(__xludf.DUMMYFUNCTION("""COMPUTED_VALUE"""),38.0)</f>
        <v>38</v>
      </c>
      <c r="L800" s="31" t="str">
        <f>IFERROR(__xludf.DUMMYFUNCTION("""COMPUTED_VALUE"""),"Puzzle")</f>
        <v>Puzzle</v>
      </c>
    </row>
    <row r="801" hidden="1">
      <c r="A801" s="17" t="str">
        <f>IFERROR(__xludf.DUMMYFUNCTION("""COMPUTED_VALUE"""),"Untitled Goose Game")</f>
        <v>Untitled Goose Game</v>
      </c>
      <c r="B801" s="20" t="str">
        <f>IFERROR(__xludf.DUMMYFUNCTION("""COMPUTED_VALUE"""),"Xbox")</f>
        <v>Xbox</v>
      </c>
      <c r="C801" s="20" t="str">
        <f>IFERROR(__xludf.DUMMYFUNCTION("""COMPUTED_VALUE"""),"Yes")</f>
        <v>Yes</v>
      </c>
      <c r="D801" s="21" t="str">
        <f>IFERROR(__xludf.DUMMYFUNCTION("""COMPUTED_VALUE"""),"Removed")</f>
        <v>Removed</v>
      </c>
      <c r="E801" s="127">
        <f>IFERROR(__xludf.DUMMYFUNCTION("""COMPUTED_VALUE"""),43816.0)</f>
        <v>43816</v>
      </c>
      <c r="F801" s="24">
        <f>IFERROR(__xludf.DUMMYFUNCTION("""COMPUTED_VALUE"""),44180.0)</f>
        <v>44180</v>
      </c>
      <c r="G801" s="27">
        <f>IFERROR(__xludf.DUMMYFUNCTION("""COMPUTED_VALUE"""),11.933333333333334)</f>
        <v>11.93333333</v>
      </c>
      <c r="H801" s="128">
        <f>IFERROR(__xludf.DUMMYFUNCTION("""COMPUTED_VALUE"""),43728.0)</f>
        <v>43728</v>
      </c>
      <c r="I801" s="27">
        <f>IFERROR(__xludf.DUMMYFUNCTION("""COMPUTED_VALUE"""),0.24166666666666667)</f>
        <v>0.2416666667</v>
      </c>
      <c r="J801" s="29">
        <f>IFERROR(__xludf.DUMMYFUNCTION("""COMPUTED_VALUE"""),81.0)</f>
        <v>81</v>
      </c>
      <c r="K801" s="29">
        <f>IFERROR(__xludf.DUMMYFUNCTION("""COMPUTED_VALUE"""),3.0)</f>
        <v>3</v>
      </c>
      <c r="L801" s="31" t="str">
        <f>IFERROR(__xludf.DUMMYFUNCTION("""COMPUTED_VALUE"""),"Action")</f>
        <v>Action</v>
      </c>
    </row>
    <row r="802" hidden="1">
      <c r="A802" s="17" t="str">
        <f>IFERROR(__xludf.DUMMYFUNCTION("""COMPUTED_VALUE"""),"Pathologic 2")</f>
        <v>Pathologic 2</v>
      </c>
      <c r="B802" s="20" t="str">
        <f>IFERROR(__xludf.DUMMYFUNCTION("""COMPUTED_VALUE"""),"Xbox / PC")</f>
        <v>Xbox / PC</v>
      </c>
      <c r="C802" s="20" t="str">
        <f>IFERROR(__xludf.DUMMYFUNCTION("""COMPUTED_VALUE"""),"Yes")</f>
        <v>Yes</v>
      </c>
      <c r="D802" s="21" t="str">
        <f>IFERROR(__xludf.DUMMYFUNCTION("""COMPUTED_VALUE"""),"Removed")</f>
        <v>Removed</v>
      </c>
      <c r="E802" s="127">
        <f>IFERROR(__xludf.DUMMYFUNCTION("""COMPUTED_VALUE"""),43811.0)</f>
        <v>43811</v>
      </c>
      <c r="F802" s="24">
        <f>IFERROR(__xludf.DUMMYFUNCTION("""COMPUTED_VALUE"""),44180.0)</f>
        <v>44180</v>
      </c>
      <c r="G802" s="27">
        <f>IFERROR(__xludf.DUMMYFUNCTION("""COMPUTED_VALUE"""),12.1)</f>
        <v>12.1</v>
      </c>
      <c r="H802" s="128">
        <f>IFERROR(__xludf.DUMMYFUNCTION("""COMPUTED_VALUE"""),43608.0)</f>
        <v>43608</v>
      </c>
      <c r="I802" s="27">
        <f>IFERROR(__xludf.DUMMYFUNCTION("""COMPUTED_VALUE"""),0.5527777777777778)</f>
        <v>0.5527777778</v>
      </c>
      <c r="J802" s="29">
        <f>IFERROR(__xludf.DUMMYFUNCTION("""COMPUTED_VALUE"""),67.0)</f>
        <v>67</v>
      </c>
      <c r="K802" s="29">
        <f>IFERROR(__xludf.DUMMYFUNCTION("""COMPUTED_VALUE"""),19.0)</f>
        <v>19</v>
      </c>
      <c r="L802" s="31" t="str">
        <f>IFERROR(__xludf.DUMMYFUNCTION("""COMPUTED_VALUE"""),"RPG")</f>
        <v>RPG</v>
      </c>
    </row>
    <row r="803" hidden="1">
      <c r="A803" s="17" t="str">
        <f>IFERROR(__xludf.DUMMYFUNCTION("""COMPUTED_VALUE"""),"Ticket to Ride")</f>
        <v>Ticket to Ride</v>
      </c>
      <c r="B803" s="20" t="str">
        <f>IFERROR(__xludf.DUMMYFUNCTION("""COMPUTED_VALUE"""),"Xbox / PC")</f>
        <v>Xbox / PC</v>
      </c>
      <c r="C803" s="20"/>
      <c r="D803" s="21" t="str">
        <f>IFERROR(__xludf.DUMMYFUNCTION("""COMPUTED_VALUE"""),"Removed")</f>
        <v>Removed</v>
      </c>
      <c r="E803" s="127">
        <f>IFERROR(__xludf.DUMMYFUNCTION("""COMPUTED_VALUE"""),43809.0)</f>
        <v>43809</v>
      </c>
      <c r="F803" s="24">
        <f>IFERROR(__xludf.DUMMYFUNCTION("""COMPUTED_VALUE"""),44180.0)</f>
        <v>44180</v>
      </c>
      <c r="G803" s="27">
        <f>IFERROR(__xludf.DUMMYFUNCTION("""COMPUTED_VALUE"""),12.166666666666666)</f>
        <v>12.16666667</v>
      </c>
      <c r="H803" s="128">
        <f>IFERROR(__xludf.DUMMYFUNCTION("""COMPUTED_VALUE"""),39624.0)</f>
        <v>39624</v>
      </c>
      <c r="I803" s="27">
        <f>IFERROR(__xludf.DUMMYFUNCTION("""COMPUTED_VALUE"""),11.458333333333334)</f>
        <v>11.45833333</v>
      </c>
      <c r="J803" s="29">
        <f>IFERROR(__xludf.DUMMYFUNCTION("""COMPUTED_VALUE"""),70.0)</f>
        <v>70</v>
      </c>
      <c r="K803" s="29">
        <f>IFERROR(__xludf.DUMMYFUNCTION("""COMPUTED_VALUE"""),0.5)</f>
        <v>0.5</v>
      </c>
      <c r="L803" s="275" t="str">
        <f>IFERROR(__xludf.DUMMYFUNCTION("""COMPUTED_VALUE"""),"Strategy")</f>
        <v>Strategy</v>
      </c>
    </row>
    <row r="804" hidden="1">
      <c r="A804" s="17" t="str">
        <f>IFERROR(__xludf.DUMMYFUNCTION("""COMPUTED_VALUE"""),"Naruto to Boruto: Shinobi Striker")</f>
        <v>Naruto to Boruto: Shinobi Striker</v>
      </c>
      <c r="B804" s="20" t="str">
        <f>IFERROR(__xludf.DUMMYFUNCTION("""COMPUTED_VALUE"""),"Xbox")</f>
        <v>Xbox</v>
      </c>
      <c r="C804" s="20"/>
      <c r="D804" s="21" t="str">
        <f>IFERROR(__xludf.DUMMYFUNCTION("""COMPUTED_VALUE"""),"Removed")</f>
        <v>Removed</v>
      </c>
      <c r="E804" s="127">
        <f>IFERROR(__xludf.DUMMYFUNCTION("""COMPUTED_VALUE"""),43804.0)</f>
        <v>43804</v>
      </c>
      <c r="F804" s="24">
        <f>IFERROR(__xludf.DUMMYFUNCTION("""COMPUTED_VALUE"""),44180.0)</f>
        <v>44180</v>
      </c>
      <c r="G804" s="27">
        <f>IFERROR(__xludf.DUMMYFUNCTION("""COMPUTED_VALUE"""),12.333333333333332)</f>
        <v>12.33333333</v>
      </c>
      <c r="H804" s="128">
        <f>IFERROR(__xludf.DUMMYFUNCTION("""COMPUTED_VALUE"""),43343.0)</f>
        <v>43343</v>
      </c>
      <c r="I804" s="27">
        <f>IFERROR(__xludf.DUMMYFUNCTION("""COMPUTED_VALUE"""),1.2638888888888888)</f>
        <v>1.263888889</v>
      </c>
      <c r="J804" s="29">
        <f>IFERROR(__xludf.DUMMYFUNCTION("""COMPUTED_VALUE"""),60.0)</f>
        <v>60</v>
      </c>
      <c r="K804" s="29">
        <f>IFERROR(__xludf.DUMMYFUNCTION("""COMPUTED_VALUE"""),7.0)</f>
        <v>7</v>
      </c>
      <c r="L804" s="31" t="str">
        <f>IFERROR(__xludf.DUMMYFUNCTION("""COMPUTED_VALUE"""),"Fighting")</f>
        <v>Fighting</v>
      </c>
    </row>
    <row r="805" hidden="1">
      <c r="A805" s="17" t="str">
        <f>IFERROR(__xludf.DUMMYFUNCTION("""COMPUTED_VALUE"""),"Age of Wonders: Planetfall")</f>
        <v>Age of Wonders: Planetfall</v>
      </c>
      <c r="B805" s="20" t="str">
        <f>IFERROR(__xludf.DUMMYFUNCTION("""COMPUTED_VALUE"""),"Xbox / PC")</f>
        <v>Xbox / PC</v>
      </c>
      <c r="C805" s="20" t="str">
        <f>IFERROR(__xludf.DUMMYFUNCTION("""COMPUTED_VALUE"""),"Yes")</f>
        <v>Yes</v>
      </c>
      <c r="D805" s="21" t="str">
        <f>IFERROR(__xludf.DUMMYFUNCTION("""COMPUTED_VALUE"""),"Removed")</f>
        <v>Removed</v>
      </c>
      <c r="E805" s="127">
        <f>IFERROR(__xludf.DUMMYFUNCTION("""COMPUTED_VALUE"""),43783.0)</f>
        <v>43783</v>
      </c>
      <c r="F805" s="24">
        <f>IFERROR(__xludf.DUMMYFUNCTION("""COMPUTED_VALUE"""),44180.0)</f>
        <v>44180</v>
      </c>
      <c r="G805" s="27">
        <f>IFERROR(__xludf.DUMMYFUNCTION("""COMPUTED_VALUE"""),13.033333333333331)</f>
        <v>13.03333333</v>
      </c>
      <c r="H805" s="128">
        <f>IFERROR(__xludf.DUMMYFUNCTION("""COMPUTED_VALUE"""),43683.0)</f>
        <v>43683</v>
      </c>
      <c r="I805" s="27">
        <f>IFERROR(__xludf.DUMMYFUNCTION("""COMPUTED_VALUE"""),0.2722222222222222)</f>
        <v>0.2722222222</v>
      </c>
      <c r="J805" s="29">
        <f>IFERROR(__xludf.DUMMYFUNCTION("""COMPUTED_VALUE"""),85.0)</f>
        <v>85</v>
      </c>
      <c r="K805" s="29">
        <f>IFERROR(__xludf.DUMMYFUNCTION("""COMPUTED_VALUE"""),48.0)</f>
        <v>48</v>
      </c>
      <c r="L805" s="31" t="str">
        <f>IFERROR(__xludf.DUMMYFUNCTION("""COMPUTED_VALUE"""),"Strategy")</f>
        <v>Strategy</v>
      </c>
    </row>
    <row r="806" hidden="1">
      <c r="A806" s="17" t="str">
        <f>IFERROR(__xludf.DUMMYFUNCTION("""COMPUTED_VALUE"""),"The Turing Test")</f>
        <v>The Turing Test</v>
      </c>
      <c r="B806" s="20" t="str">
        <f>IFERROR(__xludf.DUMMYFUNCTION("""COMPUTED_VALUE"""),"Xbox / PC")</f>
        <v>Xbox / PC</v>
      </c>
      <c r="C806" s="20" t="str">
        <f>IFERROR(__xludf.DUMMYFUNCTION("""COMPUTED_VALUE"""),"Yes")</f>
        <v>Yes</v>
      </c>
      <c r="D806" s="21" t="str">
        <f>IFERROR(__xludf.DUMMYFUNCTION("""COMPUTED_VALUE"""),"Removed")</f>
        <v>Removed</v>
      </c>
      <c r="E806" s="127">
        <f>IFERROR(__xludf.DUMMYFUNCTION("""COMPUTED_VALUE"""),43625.0)</f>
        <v>43625</v>
      </c>
      <c r="F806" s="276">
        <f>IFERROR(__xludf.DUMMYFUNCTION("""COMPUTED_VALUE"""),44180.0)</f>
        <v>44180</v>
      </c>
      <c r="G806" s="27">
        <f>IFERROR(__xludf.DUMMYFUNCTION("""COMPUTED_VALUE"""),18.2)</f>
        <v>18.2</v>
      </c>
      <c r="H806" s="128">
        <f>IFERROR(__xludf.DUMMYFUNCTION("""COMPUTED_VALUE"""),42598.0)</f>
        <v>42598</v>
      </c>
      <c r="I806" s="27">
        <f>IFERROR(__xludf.DUMMYFUNCTION("""COMPUTED_VALUE"""),2.813888888888889)</f>
        <v>2.813888889</v>
      </c>
      <c r="J806" s="29">
        <f>IFERROR(__xludf.DUMMYFUNCTION("""COMPUTED_VALUE"""),80.0)</f>
        <v>80</v>
      </c>
      <c r="K806" s="29">
        <f>IFERROR(__xludf.DUMMYFUNCTION("""COMPUTED_VALUE"""),5.0)</f>
        <v>5</v>
      </c>
      <c r="L806" s="31" t="str">
        <f>IFERROR(__xludf.DUMMYFUNCTION("""COMPUTED_VALUE"""),"Puzzle")</f>
        <v>Puzzle</v>
      </c>
    </row>
    <row r="807" hidden="1">
      <c r="A807" s="17" t="str">
        <f>IFERROR(__xludf.DUMMYFUNCTION("""COMPUTED_VALUE"""),"MudRunner")</f>
        <v>MudRunner</v>
      </c>
      <c r="B807" s="20" t="str">
        <f>IFERROR(__xludf.DUMMYFUNCTION("""COMPUTED_VALUE"""),"Xbox / PC")</f>
        <v>Xbox / PC</v>
      </c>
      <c r="C807" s="20" t="str">
        <f>IFERROR(__xludf.DUMMYFUNCTION("""COMPUTED_VALUE"""),"Yes")</f>
        <v>Yes</v>
      </c>
      <c r="D807" s="21" t="str">
        <f>IFERROR(__xludf.DUMMYFUNCTION("""COMPUTED_VALUE"""),"Removed")</f>
        <v>Removed</v>
      </c>
      <c r="E807" s="127">
        <f>IFERROR(__xludf.DUMMYFUNCTION("""COMPUTED_VALUE"""),43447.0)</f>
        <v>43447</v>
      </c>
      <c r="F807" s="24">
        <f>IFERROR(__xludf.DUMMYFUNCTION("""COMPUTED_VALUE"""),44180.0)</f>
        <v>44180</v>
      </c>
      <c r="G807" s="27">
        <f>IFERROR(__xludf.DUMMYFUNCTION("""COMPUTED_VALUE"""),24.066666666666666)</f>
        <v>24.06666667</v>
      </c>
      <c r="H807" s="128">
        <f>IFERROR(__xludf.DUMMYFUNCTION("""COMPUTED_VALUE"""),43039.0)</f>
        <v>43039</v>
      </c>
      <c r="I807" s="27">
        <f>IFERROR(__xludf.DUMMYFUNCTION("""COMPUTED_VALUE"""),1.1194444444444445)</f>
        <v>1.119444444</v>
      </c>
      <c r="J807" s="29">
        <f>IFERROR(__xludf.DUMMYFUNCTION("""COMPUTED_VALUE"""),72.0)</f>
        <v>72</v>
      </c>
      <c r="K807" s="29">
        <f>IFERROR(__xludf.DUMMYFUNCTION("""COMPUTED_VALUE"""),16.5)</f>
        <v>16.5</v>
      </c>
      <c r="L807" s="31" t="str">
        <f>IFERROR(__xludf.DUMMYFUNCTION("""COMPUTED_VALUE"""),"Racing")</f>
        <v>Racing</v>
      </c>
    </row>
    <row r="808" hidden="1">
      <c r="A808" s="17" t="str">
        <f>IFERROR(__xludf.DUMMYFUNCTION("""COMPUTED_VALUE"""),"Metro: Last Light Redux")</f>
        <v>Metro: Last Light Redux</v>
      </c>
      <c r="B808" s="20" t="str">
        <f>IFERROR(__xludf.DUMMYFUNCTION("""COMPUTED_VALUE"""),"PC")</f>
        <v>PC</v>
      </c>
      <c r="C808" s="20"/>
      <c r="D808" s="21" t="str">
        <f>IFERROR(__xludf.DUMMYFUNCTION("""COMPUTED_VALUE"""),"Removed")</f>
        <v>Removed</v>
      </c>
      <c r="E808" s="127">
        <f>IFERROR(__xludf.DUMMYFUNCTION("""COMPUTED_VALUE"""),42979.0)</f>
        <v>42979</v>
      </c>
      <c r="F808" s="24">
        <f>IFERROR(__xludf.DUMMYFUNCTION("""COMPUTED_VALUE"""),44180.0)</f>
        <v>44180</v>
      </c>
      <c r="G808" s="27">
        <f>IFERROR(__xludf.DUMMYFUNCTION("""COMPUTED_VALUE"""),39.46666666666667)</f>
        <v>39.46666667</v>
      </c>
      <c r="H808" s="128">
        <f>IFERROR(__xludf.DUMMYFUNCTION("""COMPUTED_VALUE"""),41877.0)</f>
        <v>41877</v>
      </c>
      <c r="I808" s="27">
        <f>IFERROR(__xludf.DUMMYFUNCTION("""COMPUTED_VALUE"""),3.013888888888889)</f>
        <v>3.013888889</v>
      </c>
      <c r="J808" s="29">
        <f>IFERROR(__xludf.DUMMYFUNCTION("""COMPUTED_VALUE"""),88.0)</f>
        <v>88</v>
      </c>
      <c r="K808" s="29">
        <f>IFERROR(__xludf.DUMMYFUNCTION("""COMPUTED_VALUE"""),10.0)</f>
        <v>10</v>
      </c>
      <c r="L808" s="31" t="str">
        <f>IFERROR(__xludf.DUMMYFUNCTION("""COMPUTED_VALUE"""),"Adventure")</f>
        <v>Adventure</v>
      </c>
    </row>
    <row r="809" hidden="1">
      <c r="A809" s="17" t="str">
        <f>IFERROR(__xludf.DUMMYFUNCTION("""COMPUTED_VALUE"""),"eFootball PES 2020")</f>
        <v>eFootball PES 2020</v>
      </c>
      <c r="B809" s="20" t="str">
        <f>IFERROR(__xludf.DUMMYFUNCTION("""COMPUTED_VALUE"""),"Xbox")</f>
        <v>Xbox</v>
      </c>
      <c r="C809" s="20"/>
      <c r="D809" s="21" t="str">
        <f>IFERROR(__xludf.DUMMYFUNCTION("""COMPUTED_VALUE"""),"Removed")</f>
        <v>Removed</v>
      </c>
      <c r="E809" s="127">
        <f>IFERROR(__xludf.DUMMYFUNCTION("""COMPUTED_VALUE"""),43811.0)</f>
        <v>43811</v>
      </c>
      <c r="F809" s="276">
        <f>IFERROR(__xludf.DUMMYFUNCTION("""COMPUTED_VALUE"""),44176.0)</f>
        <v>44176</v>
      </c>
      <c r="G809" s="27">
        <f>IFERROR(__xludf.DUMMYFUNCTION("""COMPUTED_VALUE"""),11.966666666666667)</f>
        <v>11.96666667</v>
      </c>
      <c r="H809" s="128">
        <f>IFERROR(__xludf.DUMMYFUNCTION("""COMPUTED_VALUE"""),43718.0)</f>
        <v>43718</v>
      </c>
      <c r="I809" s="27">
        <f>IFERROR(__xludf.DUMMYFUNCTION("""COMPUTED_VALUE"""),0.25555555555555554)</f>
        <v>0.2555555556</v>
      </c>
      <c r="J809" s="277">
        <f>IFERROR(__xludf.DUMMYFUNCTION("""COMPUTED_VALUE"""),82.0)</f>
        <v>82</v>
      </c>
      <c r="K809" s="29">
        <f>IFERROR(__xludf.DUMMYFUNCTION("""COMPUTED_VALUE"""),5.5)</f>
        <v>5.5</v>
      </c>
      <c r="L809" s="31" t="str">
        <f>IFERROR(__xludf.DUMMYFUNCTION("""COMPUTED_VALUE"""),"Soccer")</f>
        <v>Soccer</v>
      </c>
    </row>
    <row r="810" hidden="1">
      <c r="A810" s="17" t="str">
        <f>IFERROR(__xludf.DUMMYFUNCTION("""COMPUTED_VALUE"""),"Demon's Tilt")</f>
        <v>Demon's Tilt</v>
      </c>
      <c r="B810" s="20" t="str">
        <f>IFERROR(__xludf.DUMMYFUNCTION("""COMPUTED_VALUE"""),"Xbox / PC")</f>
        <v>Xbox / PC</v>
      </c>
      <c r="C810" s="20" t="str">
        <f>IFERROR(__xludf.DUMMYFUNCTION("""COMPUTED_VALUE"""),"Yes")</f>
        <v>Yes</v>
      </c>
      <c r="D810" s="21" t="str">
        <f>IFERROR(__xludf.DUMMYFUNCTION("""COMPUTED_VALUE"""),"Removed")</f>
        <v>Removed</v>
      </c>
      <c r="E810" s="127">
        <f>IFERROR(__xludf.DUMMYFUNCTION("""COMPUTED_VALUE"""),43805.0)</f>
        <v>43805</v>
      </c>
      <c r="F810" s="24">
        <f>IFERROR(__xludf.DUMMYFUNCTION("""COMPUTED_VALUE"""),44166.0)</f>
        <v>44166</v>
      </c>
      <c r="G810" s="27">
        <f>IFERROR(__xludf.DUMMYFUNCTION("""COMPUTED_VALUE"""),11.833333333333334)</f>
        <v>11.83333333</v>
      </c>
      <c r="H810" s="128">
        <f>IFERROR(__xludf.DUMMYFUNCTION("""COMPUTED_VALUE"""),43487.0)</f>
        <v>43487</v>
      </c>
      <c r="I810" s="27">
        <f>IFERROR(__xludf.DUMMYFUNCTION("""COMPUTED_VALUE"""),0.8722222222222222)</f>
        <v>0.8722222222</v>
      </c>
      <c r="J810" s="29">
        <f>IFERROR(__xludf.DUMMYFUNCTION("""COMPUTED_VALUE"""),69.5)</f>
        <v>69.5</v>
      </c>
      <c r="K810" s="29">
        <f>IFERROR(__xludf.DUMMYFUNCTION("""COMPUTED_VALUE"""),7.0)</f>
        <v>7</v>
      </c>
      <c r="L810" s="31" t="str">
        <f>IFERROR(__xludf.DUMMYFUNCTION("""COMPUTED_VALUE"""),"Pinball")</f>
        <v>Pinball</v>
      </c>
    </row>
    <row r="811" hidden="1">
      <c r="A811" s="17" t="str">
        <f>IFERROR(__xludf.DUMMYFUNCTION("""COMPUTED_VALUE"""),"Wandersong")</f>
        <v>Wandersong</v>
      </c>
      <c r="B811" s="20" t="str">
        <f>IFERROR(__xludf.DUMMYFUNCTION("""COMPUTED_VALUE"""),"Xbox / PC")</f>
        <v>Xbox / PC</v>
      </c>
      <c r="C811" s="20" t="str">
        <f>IFERROR(__xludf.DUMMYFUNCTION("""COMPUTED_VALUE"""),"Yes")</f>
        <v>Yes</v>
      </c>
      <c r="D811" s="21" t="str">
        <f>IFERROR(__xludf.DUMMYFUNCTION("""COMPUTED_VALUE"""),"Removed")</f>
        <v>Removed</v>
      </c>
      <c r="E811" s="127">
        <f>IFERROR(__xludf.DUMMYFUNCTION("""COMPUTED_VALUE"""),43805.0)</f>
        <v>43805</v>
      </c>
      <c r="F811" s="24">
        <f>IFERROR(__xludf.DUMMYFUNCTION("""COMPUTED_VALUE"""),44166.0)</f>
        <v>44166</v>
      </c>
      <c r="G811" s="27">
        <f>IFERROR(__xludf.DUMMYFUNCTION("""COMPUTED_VALUE"""),11.833333333333334)</f>
        <v>11.83333333</v>
      </c>
      <c r="H811" s="128">
        <f>IFERROR(__xludf.DUMMYFUNCTION("""COMPUTED_VALUE"""),43370.0)</f>
        <v>43370</v>
      </c>
      <c r="I811" s="27">
        <f>IFERROR(__xludf.DUMMYFUNCTION("""COMPUTED_VALUE"""),1.1916666666666667)</f>
        <v>1.191666667</v>
      </c>
      <c r="J811" s="29">
        <f>IFERROR(__xludf.DUMMYFUNCTION("""COMPUTED_VALUE"""),82.0)</f>
        <v>82</v>
      </c>
      <c r="K811" s="29">
        <f>IFERROR(__xludf.DUMMYFUNCTION("""COMPUTED_VALUE"""),9.0)</f>
        <v>9</v>
      </c>
      <c r="L811" s="31" t="str">
        <f>IFERROR(__xludf.DUMMYFUNCTION("""COMPUTED_VALUE"""),"Adventure")</f>
        <v>Adventure</v>
      </c>
    </row>
    <row r="812" hidden="1">
      <c r="A812" s="17" t="str">
        <f>IFERROR(__xludf.DUMMYFUNCTION("""COMPUTED_VALUE"""),"Faeria")</f>
        <v>Faeria</v>
      </c>
      <c r="B812" s="20" t="str">
        <f>IFERROR(__xludf.DUMMYFUNCTION("""COMPUTED_VALUE"""),"PC")</f>
        <v>PC</v>
      </c>
      <c r="C812" s="20"/>
      <c r="D812" s="21" t="str">
        <f>IFERROR(__xludf.DUMMYFUNCTION("""COMPUTED_VALUE"""),"Removed")</f>
        <v>Removed</v>
      </c>
      <c r="E812" s="127">
        <f>IFERROR(__xludf.DUMMYFUNCTION("""COMPUTED_VALUE"""),43804.0)</f>
        <v>43804</v>
      </c>
      <c r="F812" s="276">
        <f>IFERROR(__xludf.DUMMYFUNCTION("""COMPUTED_VALUE"""),44166.0)</f>
        <v>44166</v>
      </c>
      <c r="G812" s="27">
        <f>IFERROR(__xludf.DUMMYFUNCTION("""COMPUTED_VALUE"""),11.866666666666667)</f>
        <v>11.86666667</v>
      </c>
      <c r="H812" s="128">
        <f>IFERROR(__xludf.DUMMYFUNCTION("""COMPUTED_VALUE"""),42429.0)</f>
        <v>42429</v>
      </c>
      <c r="I812" s="27">
        <f>IFERROR(__xludf.DUMMYFUNCTION("""COMPUTED_VALUE"""),3.7666666666666666)</f>
        <v>3.766666667</v>
      </c>
      <c r="J812" s="29">
        <f>IFERROR(__xludf.DUMMYFUNCTION("""COMPUTED_VALUE"""),81.0)</f>
        <v>81</v>
      </c>
      <c r="K812" s="29">
        <f>IFERROR(__xludf.DUMMYFUNCTION("""COMPUTED_VALUE"""),115.0)</f>
        <v>115</v>
      </c>
      <c r="L812" s="31" t="str">
        <f>IFERROR(__xludf.DUMMYFUNCTION("""COMPUTED_VALUE"""),"Strategy")</f>
        <v>Strategy</v>
      </c>
    </row>
    <row r="813" hidden="1">
      <c r="A813" s="17" t="str">
        <f>IFERROR(__xludf.DUMMYFUNCTION("""COMPUTED_VALUE"""),"Hatoful Boyfriend")</f>
        <v>Hatoful Boyfriend</v>
      </c>
      <c r="B813" s="20" t="str">
        <f>IFERROR(__xludf.DUMMYFUNCTION("""COMPUTED_VALUE"""),"PC")</f>
        <v>PC</v>
      </c>
      <c r="C813" s="20"/>
      <c r="D813" s="21" t="str">
        <f>IFERROR(__xludf.DUMMYFUNCTION("""COMPUTED_VALUE"""),"Removed")</f>
        <v>Removed</v>
      </c>
      <c r="E813" s="127">
        <f>IFERROR(__xludf.DUMMYFUNCTION("""COMPUTED_VALUE"""),43625.0)</f>
        <v>43625</v>
      </c>
      <c r="F813" s="24">
        <f>IFERROR(__xludf.DUMMYFUNCTION("""COMPUTED_VALUE"""),44166.0)</f>
        <v>44166</v>
      </c>
      <c r="G813" s="27">
        <f>IFERROR(__xludf.DUMMYFUNCTION("""COMPUTED_VALUE"""),17.733333333333334)</f>
        <v>17.73333333</v>
      </c>
      <c r="H813" s="128">
        <f>IFERROR(__xludf.DUMMYFUNCTION("""COMPUTED_VALUE"""),40755.0)</f>
        <v>40755</v>
      </c>
      <c r="I813" s="27">
        <f>IFERROR(__xludf.DUMMYFUNCTION("""COMPUTED_VALUE"""),7.858333333333333)</f>
        <v>7.858333333</v>
      </c>
      <c r="J813" s="29">
        <f>IFERROR(__xludf.DUMMYFUNCTION("""COMPUTED_VALUE"""),68.0)</f>
        <v>68</v>
      </c>
      <c r="K813" s="29">
        <f>IFERROR(__xludf.DUMMYFUNCTION("""COMPUTED_VALUE"""),1.5)</f>
        <v>1.5</v>
      </c>
      <c r="L813" s="31" t="str">
        <f>IFERROR(__xludf.DUMMYFUNCTION("""COMPUTED_VALUE"""),"Adventure")</f>
        <v>Adventure</v>
      </c>
    </row>
    <row r="814" hidden="1">
      <c r="A814" s="17" t="str">
        <f>IFERROR(__xludf.DUMMYFUNCTION("""COMPUTED_VALUE"""),"Absolver")</f>
        <v>Absolver</v>
      </c>
      <c r="B814" s="20" t="str">
        <f>IFERROR(__xludf.DUMMYFUNCTION("""COMPUTED_VALUE"""),"Xbox")</f>
        <v>Xbox</v>
      </c>
      <c r="C814" s="20" t="str">
        <f>IFERROR(__xludf.DUMMYFUNCTION("""COMPUTED_VALUE"""),"Yes")</f>
        <v>Yes</v>
      </c>
      <c r="D814" s="21" t="str">
        <f>IFERROR(__xludf.DUMMYFUNCTION("""COMPUTED_VALUE"""),"Removed")</f>
        <v>Removed</v>
      </c>
      <c r="E814" s="127">
        <f>IFERROR(__xludf.DUMMYFUNCTION("""COMPUTED_VALUE"""),43468.0)</f>
        <v>43468</v>
      </c>
      <c r="F814" s="24">
        <f>IFERROR(__xludf.DUMMYFUNCTION("""COMPUTED_VALUE"""),44166.0)</f>
        <v>44166</v>
      </c>
      <c r="G814" s="27">
        <f>IFERROR(__xludf.DUMMYFUNCTION("""COMPUTED_VALUE"""),22.933333333333334)</f>
        <v>22.93333333</v>
      </c>
      <c r="H814" s="128">
        <f>IFERROR(__xludf.DUMMYFUNCTION("""COMPUTED_VALUE"""),42976.0)</f>
        <v>42976</v>
      </c>
      <c r="I814" s="27">
        <f>IFERROR(__xludf.DUMMYFUNCTION("""COMPUTED_VALUE"""),1.3444444444444446)</f>
        <v>1.344444444</v>
      </c>
      <c r="J814" s="29">
        <f>IFERROR(__xludf.DUMMYFUNCTION("""COMPUTED_VALUE"""),62.0)</f>
        <v>62</v>
      </c>
      <c r="K814" s="29">
        <f>IFERROR(__xludf.DUMMYFUNCTION("""COMPUTED_VALUE"""),5.5)</f>
        <v>5.5</v>
      </c>
      <c r="L814" s="31" t="str">
        <f>IFERROR(__xludf.DUMMYFUNCTION("""COMPUTED_VALUE"""),"RPG")</f>
        <v>RPG</v>
      </c>
    </row>
    <row r="815" hidden="1">
      <c r="A815" s="17" t="str">
        <f>IFERROR(__xludf.DUMMYFUNCTION("""COMPUTED_VALUE"""),"Dead Island: Definitive Edition")</f>
        <v>Dead Island: Definitive Edition</v>
      </c>
      <c r="B815" s="20" t="str">
        <f>IFERROR(__xludf.DUMMYFUNCTION("""COMPUTED_VALUE"""),"Xbox")</f>
        <v>Xbox</v>
      </c>
      <c r="C815" s="20" t="str">
        <f>IFERROR(__xludf.DUMMYFUNCTION("""COMPUTED_VALUE"""),"Yes")</f>
        <v>Yes</v>
      </c>
      <c r="D815" s="21" t="str">
        <f>IFERROR(__xludf.DUMMYFUNCTION("""COMPUTED_VALUE"""),"Removed")</f>
        <v>Removed</v>
      </c>
      <c r="E815" s="127">
        <f>IFERROR(__xludf.DUMMYFUNCTION("""COMPUTED_VALUE"""),42917.0)</f>
        <v>42917</v>
      </c>
      <c r="F815" s="24">
        <f>IFERROR(__xludf.DUMMYFUNCTION("""COMPUTED_VALUE"""),44166.0)</f>
        <v>44166</v>
      </c>
      <c r="G815" s="27">
        <f>IFERROR(__xludf.DUMMYFUNCTION("""COMPUTED_VALUE"""),41.0)</f>
        <v>41</v>
      </c>
      <c r="H815" s="128">
        <f>IFERROR(__xludf.DUMMYFUNCTION("""COMPUTED_VALUE"""),42521.0)</f>
        <v>42521</v>
      </c>
      <c r="I815" s="27">
        <f>IFERROR(__xludf.DUMMYFUNCTION("""COMPUTED_VALUE"""),1.086111111111111)</f>
        <v>1.086111111</v>
      </c>
      <c r="J815" s="29">
        <f>IFERROR(__xludf.DUMMYFUNCTION("""COMPUTED_VALUE"""),67.0)</f>
        <v>67</v>
      </c>
      <c r="K815" s="29">
        <f>IFERROR(__xludf.DUMMYFUNCTION("""COMPUTED_VALUE"""),21.0)</f>
        <v>21</v>
      </c>
      <c r="L815" s="31" t="str">
        <f>IFERROR(__xludf.DUMMYFUNCTION("""COMPUTED_VALUE"""),"Adventure")</f>
        <v>Adventure</v>
      </c>
    </row>
    <row r="816" hidden="1">
      <c r="A816" s="17" t="str">
        <f>IFERROR(__xludf.DUMMYFUNCTION("""COMPUTED_VALUE"""),"Darksiders III")</f>
        <v>Darksiders III</v>
      </c>
      <c r="B816" s="20" t="str">
        <f>IFERROR(__xludf.DUMMYFUNCTION("""COMPUTED_VALUE"""),"Xbox / PC")</f>
        <v>Xbox / PC</v>
      </c>
      <c r="C816" s="20" t="str">
        <f>IFERROR(__xludf.DUMMYFUNCTION("""COMPUTED_VALUE"""),"Yes")</f>
        <v>Yes</v>
      </c>
      <c r="D816" s="21" t="str">
        <f>IFERROR(__xludf.DUMMYFUNCTION("""COMPUTED_VALUE"""),"Removed")</f>
        <v>Removed</v>
      </c>
      <c r="E816" s="127">
        <f>IFERROR(__xludf.DUMMYFUNCTION("""COMPUTED_VALUE"""),43790.0)</f>
        <v>43790</v>
      </c>
      <c r="F816" s="24">
        <f>IFERROR(__xludf.DUMMYFUNCTION("""COMPUTED_VALUE"""),44151.0)</f>
        <v>44151</v>
      </c>
      <c r="G816" s="27">
        <f>IFERROR(__xludf.DUMMYFUNCTION("""COMPUTED_VALUE"""),11.833333333333334)</f>
        <v>11.83333333</v>
      </c>
      <c r="H816" s="128">
        <f>IFERROR(__xludf.DUMMYFUNCTION("""COMPUTED_VALUE"""),43431.0)</f>
        <v>43431</v>
      </c>
      <c r="I816" s="27">
        <f>IFERROR(__xludf.DUMMYFUNCTION("""COMPUTED_VALUE"""),0.9833333333333333)</f>
        <v>0.9833333333</v>
      </c>
      <c r="J816" s="29">
        <f>IFERROR(__xludf.DUMMYFUNCTION("""COMPUTED_VALUE"""),69.0)</f>
        <v>69</v>
      </c>
      <c r="K816" s="29">
        <f>IFERROR(__xludf.DUMMYFUNCTION("""COMPUTED_VALUE"""),14.0)</f>
        <v>14</v>
      </c>
      <c r="L816" s="31" t="str">
        <f>IFERROR(__xludf.DUMMYFUNCTION("""COMPUTED_VALUE"""),"RPG")</f>
        <v>RPG</v>
      </c>
    </row>
    <row r="817" hidden="1">
      <c r="A817" s="17" t="str">
        <f>IFERROR(__xludf.DUMMYFUNCTION("""COMPUTED_VALUE"""),"Munchkin: Quacked Quest")</f>
        <v>Munchkin: Quacked Quest</v>
      </c>
      <c r="B817" s="20" t="str">
        <f>IFERROR(__xludf.DUMMYFUNCTION("""COMPUTED_VALUE"""),"Xbox / PC")</f>
        <v>Xbox / PC</v>
      </c>
      <c r="C817" s="20" t="str">
        <f>IFERROR(__xludf.DUMMYFUNCTION("""COMPUTED_VALUE"""),"Yes")</f>
        <v>Yes</v>
      </c>
      <c r="D817" s="21" t="str">
        <f>IFERROR(__xludf.DUMMYFUNCTION("""COMPUTED_VALUE"""),"Removed")</f>
        <v>Removed</v>
      </c>
      <c r="E817" s="127">
        <f>IFERROR(__xludf.DUMMYFUNCTION("""COMPUTED_VALUE"""),43790.0)</f>
        <v>43790</v>
      </c>
      <c r="F817" s="24">
        <f>IFERROR(__xludf.DUMMYFUNCTION("""COMPUTED_VALUE"""),44151.0)</f>
        <v>44151</v>
      </c>
      <c r="G817" s="27">
        <f>IFERROR(__xludf.DUMMYFUNCTION("""COMPUTED_VALUE"""),11.833333333333334)</f>
        <v>11.83333333</v>
      </c>
      <c r="H817" s="128">
        <f>IFERROR(__xludf.DUMMYFUNCTION("""COMPUTED_VALUE"""),43788.0)</f>
        <v>43788</v>
      </c>
      <c r="I817" s="27">
        <f>IFERROR(__xludf.DUMMYFUNCTION("""COMPUTED_VALUE"""),0.005555555555555556)</f>
        <v>0.005555555556</v>
      </c>
      <c r="J817" s="29">
        <f>IFERROR(__xludf.DUMMYFUNCTION("""COMPUTED_VALUE"""),40.0)</f>
        <v>40</v>
      </c>
      <c r="K817" s="29">
        <f>IFERROR(__xludf.DUMMYFUNCTION("""COMPUTED_VALUE"""),1.0)</f>
        <v>1</v>
      </c>
      <c r="L817" s="31" t="str">
        <f>IFERROR(__xludf.DUMMYFUNCTION("""COMPUTED_VALUE"""),"Action")</f>
        <v>Action</v>
      </c>
    </row>
    <row r="818" hidden="1">
      <c r="A818" s="17" t="str">
        <f>IFERROR(__xludf.DUMMYFUNCTION("""COMPUTED_VALUE"""),"Tracks: The Train Set Game")</f>
        <v>Tracks: The Train Set Game</v>
      </c>
      <c r="B818" s="20" t="str">
        <f>IFERROR(__xludf.DUMMYFUNCTION("""COMPUTED_VALUE"""),"Xbox / PC")</f>
        <v>Xbox / PC</v>
      </c>
      <c r="C818" s="20" t="str">
        <f>IFERROR(__xludf.DUMMYFUNCTION("""COMPUTED_VALUE"""),"Yes")</f>
        <v>Yes</v>
      </c>
      <c r="D818" s="21" t="str">
        <f>IFERROR(__xludf.DUMMYFUNCTION("""COMPUTED_VALUE"""),"Removed")</f>
        <v>Removed</v>
      </c>
      <c r="E818" s="127">
        <f>IFERROR(__xludf.DUMMYFUNCTION("""COMPUTED_VALUE"""),43784.0)</f>
        <v>43784</v>
      </c>
      <c r="F818" s="24">
        <f>IFERROR(__xludf.DUMMYFUNCTION("""COMPUTED_VALUE"""),44151.0)</f>
        <v>44151</v>
      </c>
      <c r="G818" s="27">
        <f>IFERROR(__xludf.DUMMYFUNCTION("""COMPUTED_VALUE"""),12.033333333333333)</f>
        <v>12.03333333</v>
      </c>
      <c r="H818" s="128">
        <f>IFERROR(__xludf.DUMMYFUNCTION("""COMPUTED_VALUE"""),43005.0)</f>
        <v>43005</v>
      </c>
      <c r="I818" s="27">
        <f>IFERROR(__xludf.DUMMYFUNCTION("""COMPUTED_VALUE"""),2.1333333333333333)</f>
        <v>2.133333333</v>
      </c>
      <c r="J818" s="29">
        <f>IFERROR(__xludf.DUMMYFUNCTION("""COMPUTED_VALUE"""),69.0)</f>
        <v>69</v>
      </c>
      <c r="K818" s="29">
        <f>IFERROR(__xludf.DUMMYFUNCTION("""COMPUTED_VALUE"""),0.5)</f>
        <v>0.5</v>
      </c>
      <c r="L818" s="31" t="str">
        <f>IFERROR(__xludf.DUMMYFUNCTION("""COMPUTED_VALUE"""),"Simulation")</f>
        <v>Simulation</v>
      </c>
    </row>
    <row r="819" hidden="1">
      <c r="A819" s="17" t="str">
        <f>IFERROR(__xludf.DUMMYFUNCTION("""COMPUTED_VALUE"""),"The Talos Principle")</f>
        <v>The Talos Principle</v>
      </c>
      <c r="B819" s="20" t="str">
        <f>IFERROR(__xludf.DUMMYFUNCTION("""COMPUTED_VALUE"""),"Xbox / PC")</f>
        <v>Xbox / PC</v>
      </c>
      <c r="C819" s="20" t="str">
        <f>IFERROR(__xludf.DUMMYFUNCTION("""COMPUTED_VALUE"""),"Yes")</f>
        <v>Yes</v>
      </c>
      <c r="D819" s="21" t="str">
        <f>IFERROR(__xludf.DUMMYFUNCTION("""COMPUTED_VALUE"""),"Removed")</f>
        <v>Removed</v>
      </c>
      <c r="E819" s="127">
        <f>IFERROR(__xludf.DUMMYFUNCTION("""COMPUTED_VALUE"""),43783.0)</f>
        <v>43783</v>
      </c>
      <c r="F819" s="276">
        <f>IFERROR(__xludf.DUMMYFUNCTION("""COMPUTED_VALUE"""),44151.0)</f>
        <v>44151</v>
      </c>
      <c r="G819" s="27">
        <f>IFERROR(__xludf.DUMMYFUNCTION("""COMPUTED_VALUE"""),12.066666666666666)</f>
        <v>12.06666667</v>
      </c>
      <c r="H819" s="128">
        <f>IFERROR(__xludf.DUMMYFUNCTION("""COMPUTED_VALUE"""),41984.0)</f>
        <v>41984</v>
      </c>
      <c r="I819" s="27">
        <f>IFERROR(__xludf.DUMMYFUNCTION("""COMPUTED_VALUE"""),4.925)</f>
        <v>4.925</v>
      </c>
      <c r="J819" s="29">
        <f>IFERROR(__xludf.DUMMYFUNCTION("""COMPUTED_VALUE"""),72.0)</f>
        <v>72</v>
      </c>
      <c r="K819" s="29">
        <f>IFERROR(__xludf.DUMMYFUNCTION("""COMPUTED_VALUE"""),16.0)</f>
        <v>16</v>
      </c>
      <c r="L819" s="31" t="str">
        <f>IFERROR(__xludf.DUMMYFUNCTION("""COMPUTED_VALUE"""),"Puzzle")</f>
        <v>Puzzle</v>
      </c>
    </row>
    <row r="820" hidden="1">
      <c r="A820" s="17" t="str">
        <f>IFERROR(__xludf.DUMMYFUNCTION("""COMPUTED_VALUE"""),"The Lord of the Rings: Adventure Card Game")</f>
        <v>The Lord of the Rings: Adventure Card Game</v>
      </c>
      <c r="B820" s="20" t="str">
        <f>IFERROR(__xludf.DUMMYFUNCTION("""COMPUTED_VALUE"""),"Xbox / PC")</f>
        <v>Xbox / PC</v>
      </c>
      <c r="C820" s="20" t="str">
        <f>IFERROR(__xludf.DUMMYFUNCTION("""COMPUTED_VALUE"""),"Yes")</f>
        <v>Yes</v>
      </c>
      <c r="D820" s="21" t="str">
        <f>IFERROR(__xludf.DUMMYFUNCTION("""COMPUTED_VALUE"""),"Removed")</f>
        <v>Removed</v>
      </c>
      <c r="E820" s="127">
        <f>IFERROR(__xludf.DUMMYFUNCTION("""COMPUTED_VALUE"""),43774.0)</f>
        <v>43774</v>
      </c>
      <c r="F820" s="24">
        <f>IFERROR(__xludf.DUMMYFUNCTION("""COMPUTED_VALUE"""),44135.0)</f>
        <v>44135</v>
      </c>
      <c r="G820" s="27">
        <f>IFERROR(__xludf.DUMMYFUNCTION("""COMPUTED_VALUE"""),11.833333333333334)</f>
        <v>11.83333333</v>
      </c>
      <c r="H820" s="128">
        <f>IFERROR(__xludf.DUMMYFUNCTION("""COMPUTED_VALUE"""),43340.0)</f>
        <v>43340</v>
      </c>
      <c r="I820" s="27">
        <f>IFERROR(__xludf.DUMMYFUNCTION("""COMPUTED_VALUE"""),1.1861111111111111)</f>
        <v>1.186111111</v>
      </c>
      <c r="J820" s="29">
        <f>IFERROR(__xludf.DUMMYFUNCTION("""COMPUTED_VALUE"""),60.0)</f>
        <v>60</v>
      </c>
      <c r="K820" s="29">
        <f>IFERROR(__xludf.DUMMYFUNCTION("""COMPUTED_VALUE"""),10.0)</f>
        <v>10</v>
      </c>
      <c r="L820" s="31" t="str">
        <f>IFERROR(__xludf.DUMMYFUNCTION("""COMPUTED_VALUE"""),"Card Game")</f>
        <v>Card Game</v>
      </c>
    </row>
    <row r="821" hidden="1">
      <c r="A821" s="17" t="str">
        <f>IFERROR(__xludf.DUMMYFUNCTION("""COMPUTED_VALUE"""),"Lego Star Wars III: The Clone Wars")</f>
        <v>Lego Star Wars III: The Clone Wars</v>
      </c>
      <c r="B821" s="20" t="str">
        <f>IFERROR(__xludf.DUMMYFUNCTION("""COMPUTED_VALUE"""),"Xbox")</f>
        <v>Xbox</v>
      </c>
      <c r="C821" s="20"/>
      <c r="D821" s="21" t="str">
        <f>IFERROR(__xludf.DUMMYFUNCTION("""COMPUTED_VALUE"""),"Removed")</f>
        <v>Removed</v>
      </c>
      <c r="E821" s="127">
        <f>IFERROR(__xludf.DUMMYFUNCTION("""COMPUTED_VALUE"""),43769.0)</f>
        <v>43769</v>
      </c>
      <c r="F821" s="276">
        <f>IFERROR(__xludf.DUMMYFUNCTION("""COMPUTED_VALUE"""),44135.0)</f>
        <v>44135</v>
      </c>
      <c r="G821" s="27">
        <f>IFERROR(__xludf.DUMMYFUNCTION("""COMPUTED_VALUE"""),12.0)</f>
        <v>12</v>
      </c>
      <c r="H821" s="128">
        <f>IFERROR(__xludf.DUMMYFUNCTION("""COMPUTED_VALUE"""),40624.0)</f>
        <v>40624</v>
      </c>
      <c r="I821" s="27">
        <f>IFERROR(__xludf.DUMMYFUNCTION("""COMPUTED_VALUE"""),8.605555555555556)</f>
        <v>8.605555556</v>
      </c>
      <c r="J821" s="29">
        <f>IFERROR(__xludf.DUMMYFUNCTION("""COMPUTED_VALUE"""),75.0)</f>
        <v>75</v>
      </c>
      <c r="K821" s="29">
        <f>IFERROR(__xludf.DUMMYFUNCTION("""COMPUTED_VALUE"""),9.0)</f>
        <v>9</v>
      </c>
      <c r="L821" s="31" t="str">
        <f>IFERROR(__xludf.DUMMYFUNCTION("""COMPUTED_VALUE"""),"Platformer")</f>
        <v>Platformer</v>
      </c>
    </row>
    <row r="822" hidden="1">
      <c r="A822" s="17" t="str">
        <f>IFERROR(__xludf.DUMMYFUNCTION("""COMPUTED_VALUE"""),"Afterparty")</f>
        <v>Afterparty</v>
      </c>
      <c r="B822" s="20" t="str">
        <f>IFERROR(__xludf.DUMMYFUNCTION("""COMPUTED_VALUE"""),"Xbox")</f>
        <v>Xbox</v>
      </c>
      <c r="C822" s="20" t="str">
        <f>IFERROR(__xludf.DUMMYFUNCTION("""COMPUTED_VALUE"""),"Yes")</f>
        <v>Yes</v>
      </c>
      <c r="D822" s="21" t="str">
        <f>IFERROR(__xludf.DUMMYFUNCTION("""COMPUTED_VALUE"""),"Removed")</f>
        <v>Removed</v>
      </c>
      <c r="E822" s="127">
        <f>IFERROR(__xludf.DUMMYFUNCTION("""COMPUTED_VALUE"""),43767.0)</f>
        <v>43767</v>
      </c>
      <c r="F822" s="24">
        <f>IFERROR(__xludf.DUMMYFUNCTION("""COMPUTED_VALUE"""),44135.0)</f>
        <v>44135</v>
      </c>
      <c r="G822" s="27">
        <f>IFERROR(__xludf.DUMMYFUNCTION("""COMPUTED_VALUE"""),12.033333333333333)</f>
        <v>12.03333333</v>
      </c>
      <c r="H822" s="128">
        <f>IFERROR(__xludf.DUMMYFUNCTION("""COMPUTED_VALUE"""),43767.0)</f>
        <v>43767</v>
      </c>
      <c r="I822" s="27">
        <f>IFERROR(__xludf.DUMMYFUNCTION("""COMPUTED_VALUE"""),0.0)</f>
        <v>0</v>
      </c>
      <c r="J822" s="29">
        <f>IFERROR(__xludf.DUMMYFUNCTION("""COMPUTED_VALUE"""),73.0)</f>
        <v>73</v>
      </c>
      <c r="K822" s="29">
        <f>IFERROR(__xludf.DUMMYFUNCTION("""COMPUTED_VALUE"""),5.5)</f>
        <v>5.5</v>
      </c>
      <c r="L822" s="31" t="str">
        <f>IFERROR(__xludf.DUMMYFUNCTION("""COMPUTED_VALUE"""),"Adventure")</f>
        <v>Adventure</v>
      </c>
    </row>
    <row r="823" hidden="1">
      <c r="A823" s="17" t="str">
        <f>IFERROR(__xludf.DUMMYFUNCTION("""COMPUTED_VALUE"""),"The Red Strings Club")</f>
        <v>The Red Strings Club</v>
      </c>
      <c r="B823" s="20" t="str">
        <f>IFERROR(__xludf.DUMMYFUNCTION("""COMPUTED_VALUE"""),"PC")</f>
        <v>PC</v>
      </c>
      <c r="C823" s="20"/>
      <c r="D823" s="21" t="str">
        <f>IFERROR(__xludf.DUMMYFUNCTION("""COMPUTED_VALUE"""),"Removed")</f>
        <v>Removed</v>
      </c>
      <c r="E823" s="127">
        <f>IFERROR(__xludf.DUMMYFUNCTION("""COMPUTED_VALUE"""),43735.0)</f>
        <v>43735</v>
      </c>
      <c r="F823" s="276">
        <f>IFERROR(__xludf.DUMMYFUNCTION("""COMPUTED_VALUE"""),44135.0)</f>
        <v>44135</v>
      </c>
      <c r="G823" s="27">
        <f>IFERROR(__xludf.DUMMYFUNCTION("""COMPUTED_VALUE"""),13.099999999999998)</f>
        <v>13.1</v>
      </c>
      <c r="H823" s="128">
        <f>IFERROR(__xludf.DUMMYFUNCTION("""COMPUTED_VALUE"""),43122.0)</f>
        <v>43122</v>
      </c>
      <c r="I823" s="27">
        <f>IFERROR(__xludf.DUMMYFUNCTION("""COMPUTED_VALUE"""),1.6805555555555556)</f>
        <v>1.680555556</v>
      </c>
      <c r="J823" s="29">
        <f>IFERROR(__xludf.DUMMYFUNCTION("""COMPUTED_VALUE"""),80.0)</f>
        <v>80</v>
      </c>
      <c r="K823" s="29">
        <f>IFERROR(__xludf.DUMMYFUNCTION("""COMPUTED_VALUE"""),4.0)</f>
        <v>4</v>
      </c>
      <c r="L823" s="31" t="str">
        <f>IFERROR(__xludf.DUMMYFUNCTION("""COMPUTED_VALUE"""),"Adventure")</f>
        <v>Adventure</v>
      </c>
    </row>
    <row r="824" hidden="1">
      <c r="A824" s="17" t="str">
        <f>IFERROR(__xludf.DUMMYFUNCTION("""COMPUTED_VALUE"""),"Tacoma")</f>
        <v>Tacoma</v>
      </c>
      <c r="B824" s="20" t="str">
        <f>IFERROR(__xludf.DUMMYFUNCTION("""COMPUTED_VALUE"""),"PC")</f>
        <v>PC</v>
      </c>
      <c r="C824" s="20" t="str">
        <f>IFERROR(__xludf.DUMMYFUNCTION("""COMPUTED_VALUE"""),"Yes")</f>
        <v>Yes</v>
      </c>
      <c r="D824" s="21" t="str">
        <f>IFERROR(__xludf.DUMMYFUNCTION("""COMPUTED_VALUE"""),"Removed")</f>
        <v>Removed</v>
      </c>
      <c r="E824" s="127">
        <f>IFERROR(__xludf.DUMMYFUNCTION("""COMPUTED_VALUE"""),43594.0)</f>
        <v>43594</v>
      </c>
      <c r="F824" s="24">
        <f>IFERROR(__xludf.DUMMYFUNCTION("""COMPUTED_VALUE"""),44135.0)</f>
        <v>44135</v>
      </c>
      <c r="G824" s="27">
        <f>IFERROR(__xludf.DUMMYFUNCTION("""COMPUTED_VALUE"""),17.700000000000003)</f>
        <v>17.7</v>
      </c>
      <c r="H824" s="128">
        <f>IFERROR(__xludf.DUMMYFUNCTION("""COMPUTED_VALUE"""),42948.0)</f>
        <v>42948</v>
      </c>
      <c r="I824" s="27">
        <f>IFERROR(__xludf.DUMMYFUNCTION("""COMPUTED_VALUE"""),1.7722222222222221)</f>
        <v>1.772222222</v>
      </c>
      <c r="J824" s="29">
        <f>IFERROR(__xludf.DUMMYFUNCTION("""COMPUTED_VALUE"""),79.0)</f>
        <v>79</v>
      </c>
      <c r="K824" s="29">
        <f>IFERROR(__xludf.DUMMYFUNCTION("""COMPUTED_VALUE"""),2.5)</f>
        <v>2.5</v>
      </c>
      <c r="L824" s="31" t="str">
        <f>IFERROR(__xludf.DUMMYFUNCTION("""COMPUTED_VALUE"""),"Adventure")</f>
        <v>Adventure</v>
      </c>
    </row>
    <row r="825" hidden="1">
      <c r="A825" s="17" t="str">
        <f>IFERROR(__xludf.DUMMYFUNCTION("""COMPUTED_VALUE"""),"Rise &amp; Shine")</f>
        <v>Rise &amp; Shine</v>
      </c>
      <c r="B825" s="20" t="str">
        <f>IFERROR(__xludf.DUMMYFUNCTION("""COMPUTED_VALUE"""),"Xbox")</f>
        <v>Xbox</v>
      </c>
      <c r="C825" s="20" t="str">
        <f>IFERROR(__xludf.DUMMYFUNCTION("""COMPUTED_VALUE"""),"Yes")</f>
        <v>Yes</v>
      </c>
      <c r="D825" s="21" t="str">
        <f>IFERROR(__xludf.DUMMYFUNCTION("""COMPUTED_VALUE"""),"Removed")</f>
        <v>Removed</v>
      </c>
      <c r="E825" s="127">
        <f>IFERROR(__xludf.DUMMYFUNCTION("""COMPUTED_VALUE"""),43405.0)</f>
        <v>43405</v>
      </c>
      <c r="F825" s="276">
        <f>IFERROR(__xludf.DUMMYFUNCTION("""COMPUTED_VALUE"""),44135.0)</f>
        <v>44135</v>
      </c>
      <c r="G825" s="27">
        <f>IFERROR(__xludf.DUMMYFUNCTION("""COMPUTED_VALUE"""),23.96666666666667)</f>
        <v>23.96666667</v>
      </c>
      <c r="H825" s="128">
        <f>IFERROR(__xludf.DUMMYFUNCTION("""COMPUTED_VALUE"""),42860.0)</f>
        <v>42860</v>
      </c>
      <c r="I825" s="27">
        <f>IFERROR(__xludf.DUMMYFUNCTION("""COMPUTED_VALUE"""),1.488888888888889)</f>
        <v>1.488888889</v>
      </c>
      <c r="J825" s="29">
        <f>IFERROR(__xludf.DUMMYFUNCTION("""COMPUTED_VALUE"""),66.0)</f>
        <v>66</v>
      </c>
      <c r="K825" s="29">
        <f>IFERROR(__xludf.DUMMYFUNCTION("""COMPUTED_VALUE"""),2.5)</f>
        <v>2.5</v>
      </c>
      <c r="L825" s="31" t="str">
        <f>IFERROR(__xludf.DUMMYFUNCTION("""COMPUTED_VALUE"""),"MMORPG")</f>
        <v>MMORPG</v>
      </c>
    </row>
    <row r="826" hidden="1">
      <c r="A826" s="17" t="str">
        <f>IFERROR(__xludf.DUMMYFUNCTION("""COMPUTED_VALUE"""),"State of Mind")</f>
        <v>State of Mind</v>
      </c>
      <c r="B826" s="20" t="str">
        <f>IFERROR(__xludf.DUMMYFUNCTION("""COMPUTED_VALUE"""),"PC")</f>
        <v>PC</v>
      </c>
      <c r="C826" s="20"/>
      <c r="D826" s="21" t="str">
        <f>IFERROR(__xludf.DUMMYFUNCTION("""COMPUTED_VALUE"""),"Removed")</f>
        <v>Removed</v>
      </c>
      <c r="E826" s="127">
        <f>IFERROR(__xludf.DUMMYFUNCTION("""COMPUTED_VALUE"""),43762.0)</f>
        <v>43762</v>
      </c>
      <c r="F826" s="24">
        <f>IFERROR(__xludf.DUMMYFUNCTION("""COMPUTED_VALUE"""),44119.0)</f>
        <v>44119</v>
      </c>
      <c r="G826" s="27">
        <f>IFERROR(__xludf.DUMMYFUNCTION("""COMPUTED_VALUE"""),11.7)</f>
        <v>11.7</v>
      </c>
      <c r="H826" s="128">
        <f>IFERROR(__xludf.DUMMYFUNCTION("""COMPUTED_VALUE"""),43327.0)</f>
        <v>43327</v>
      </c>
      <c r="I826" s="27">
        <f>IFERROR(__xludf.DUMMYFUNCTION("""COMPUTED_VALUE"""),1.1916666666666667)</f>
        <v>1.191666667</v>
      </c>
      <c r="J826" s="29">
        <f>IFERROR(__xludf.DUMMYFUNCTION("""COMPUTED_VALUE"""),69.0)</f>
        <v>69</v>
      </c>
      <c r="K826" s="29">
        <f>IFERROR(__xludf.DUMMYFUNCTION("""COMPUTED_VALUE"""),9.5)</f>
        <v>9.5</v>
      </c>
      <c r="L826" s="31" t="str">
        <f>IFERROR(__xludf.DUMMYFUNCTION("""COMPUTED_VALUE"""),"Adventure")</f>
        <v>Adventure</v>
      </c>
    </row>
    <row r="827" hidden="1">
      <c r="A827" s="17" t="str">
        <f>IFERROR(__xludf.DUMMYFUNCTION("""COMPUTED_VALUE"""),"Minit")</f>
        <v>Minit</v>
      </c>
      <c r="B827" s="20" t="str">
        <f>IFERROR(__xludf.DUMMYFUNCTION("""COMPUTED_VALUE"""),"Xbox / PC")</f>
        <v>Xbox / PC</v>
      </c>
      <c r="C827" s="20" t="str">
        <f>IFERROR(__xludf.DUMMYFUNCTION("""COMPUTED_VALUE"""),"Yes")</f>
        <v>Yes</v>
      </c>
      <c r="D827" s="21" t="str">
        <f>IFERROR(__xludf.DUMMYFUNCTION("""COMPUTED_VALUE"""),"Removed")</f>
        <v>Removed</v>
      </c>
      <c r="E827" s="127">
        <f>IFERROR(__xludf.DUMMYFUNCTION("""COMPUTED_VALUE"""),43760.0)</f>
        <v>43760</v>
      </c>
      <c r="F827" s="24">
        <f>IFERROR(__xludf.DUMMYFUNCTION("""COMPUTED_VALUE"""),44119.0)</f>
        <v>44119</v>
      </c>
      <c r="G827" s="27">
        <f>IFERROR(__xludf.DUMMYFUNCTION("""COMPUTED_VALUE"""),11.766666666666666)</f>
        <v>11.76666667</v>
      </c>
      <c r="H827" s="128">
        <f>IFERROR(__xludf.DUMMYFUNCTION("""COMPUTED_VALUE"""),43193.0)</f>
        <v>43193</v>
      </c>
      <c r="I827" s="27">
        <f>IFERROR(__xludf.DUMMYFUNCTION("""COMPUTED_VALUE"""),1.5527777777777778)</f>
        <v>1.552777778</v>
      </c>
      <c r="J827" s="29">
        <f>IFERROR(__xludf.DUMMYFUNCTION("""COMPUTED_VALUE"""),74.0)</f>
        <v>74</v>
      </c>
      <c r="K827" s="29">
        <f>IFERROR(__xludf.DUMMYFUNCTION("""COMPUTED_VALUE"""),1.5)</f>
        <v>1.5</v>
      </c>
      <c r="L827" s="31" t="str">
        <f>IFERROR(__xludf.DUMMYFUNCTION("""COMPUTED_VALUE"""),"Action-Adventure")</f>
        <v>Action-Adventure</v>
      </c>
    </row>
    <row r="828" hidden="1">
      <c r="A828" s="17" t="str">
        <f>IFERROR(__xludf.DUMMYFUNCTION("""COMPUTED_VALUE"""),"Felix the Reaper")</f>
        <v>Felix the Reaper</v>
      </c>
      <c r="B828" s="20" t="str">
        <f>IFERROR(__xludf.DUMMYFUNCTION("""COMPUTED_VALUE"""),"Xbox / PC")</f>
        <v>Xbox / PC</v>
      </c>
      <c r="C828" s="20" t="str">
        <f>IFERROR(__xludf.DUMMYFUNCTION("""COMPUTED_VALUE"""),"Yes")</f>
        <v>Yes</v>
      </c>
      <c r="D828" s="21" t="str">
        <f>IFERROR(__xludf.DUMMYFUNCTION("""COMPUTED_VALUE"""),"Removed")</f>
        <v>Removed</v>
      </c>
      <c r="E828" s="127">
        <f>IFERROR(__xludf.DUMMYFUNCTION("""COMPUTED_VALUE"""),43755.0)</f>
        <v>43755</v>
      </c>
      <c r="F828" s="276">
        <f>IFERROR(__xludf.DUMMYFUNCTION("""COMPUTED_VALUE"""),44119.0)</f>
        <v>44119</v>
      </c>
      <c r="G828" s="27">
        <f>IFERROR(__xludf.DUMMYFUNCTION("""COMPUTED_VALUE"""),11.933333333333334)</f>
        <v>11.93333333</v>
      </c>
      <c r="H828" s="128">
        <f>IFERROR(__xludf.DUMMYFUNCTION("""COMPUTED_VALUE"""),43755.0)</f>
        <v>43755</v>
      </c>
      <c r="I828" s="27">
        <f>IFERROR(__xludf.DUMMYFUNCTION("""COMPUTED_VALUE"""),0.0)</f>
        <v>0</v>
      </c>
      <c r="J828" s="277">
        <f>IFERROR(__xludf.DUMMYFUNCTION("""COMPUTED_VALUE"""),69.0)</f>
        <v>69</v>
      </c>
      <c r="K828" s="29">
        <f>IFERROR(__xludf.DUMMYFUNCTION("""COMPUTED_VALUE"""),4.5)</f>
        <v>4.5</v>
      </c>
      <c r="L828" s="31" t="str">
        <f>IFERROR(__xludf.DUMMYFUNCTION("""COMPUTED_VALUE"""),"Puzzle")</f>
        <v>Puzzle</v>
      </c>
    </row>
    <row r="829" hidden="1">
      <c r="A829" s="17" t="str">
        <f>IFERROR(__xludf.DUMMYFUNCTION("""COMPUTED_VALUE"""),"GRIP: Combat Racing")</f>
        <v>GRIP: Combat Racing</v>
      </c>
      <c r="B829" s="20" t="str">
        <f>IFERROR(__xludf.DUMMYFUNCTION("""COMPUTED_VALUE"""),"Xbox / PC")</f>
        <v>Xbox / PC</v>
      </c>
      <c r="C829" s="20" t="str">
        <f>IFERROR(__xludf.DUMMYFUNCTION("""COMPUTED_VALUE"""),"Yes")</f>
        <v>Yes</v>
      </c>
      <c r="D829" s="21" t="str">
        <f>IFERROR(__xludf.DUMMYFUNCTION("""COMPUTED_VALUE"""),"Removed")</f>
        <v>Removed</v>
      </c>
      <c r="E829" s="127">
        <f>IFERROR(__xludf.DUMMYFUNCTION("""COMPUTED_VALUE"""),43410.0)</f>
        <v>43410</v>
      </c>
      <c r="F829" s="276">
        <f>IFERROR(__xludf.DUMMYFUNCTION("""COMPUTED_VALUE"""),44119.0)</f>
        <v>44119</v>
      </c>
      <c r="G829" s="27">
        <f>IFERROR(__xludf.DUMMYFUNCTION("""COMPUTED_VALUE"""),23.3)</f>
        <v>23.3</v>
      </c>
      <c r="H829" s="128">
        <f>IFERROR(__xludf.DUMMYFUNCTION("""COMPUTED_VALUE"""),43410.0)</f>
        <v>43410</v>
      </c>
      <c r="I829" s="27">
        <f>IFERROR(__xludf.DUMMYFUNCTION("""COMPUTED_VALUE"""),0.0)</f>
        <v>0</v>
      </c>
      <c r="J829" s="29">
        <f>IFERROR(__xludf.DUMMYFUNCTION("""COMPUTED_VALUE"""),71.0)</f>
        <v>71</v>
      </c>
      <c r="K829" s="29">
        <f>IFERROR(__xludf.DUMMYFUNCTION("""COMPUTED_VALUE"""),14.0)</f>
        <v>14</v>
      </c>
      <c r="L829" s="31" t="str">
        <f>IFERROR(__xludf.DUMMYFUNCTION("""COMPUTED_VALUE"""),"Racing")</f>
        <v>Racing</v>
      </c>
    </row>
    <row r="830" hidden="1">
      <c r="A830" s="17" t="str">
        <f>IFERROR(__xludf.DUMMYFUNCTION("""COMPUTED_VALUE"""),"Metro 2033 Redux")</f>
        <v>Metro 2033 Redux</v>
      </c>
      <c r="B830" s="20" t="str">
        <f>IFERROR(__xludf.DUMMYFUNCTION("""COMPUTED_VALUE"""),"Xbox / PC")</f>
        <v>Xbox / PC</v>
      </c>
      <c r="C830" s="20" t="str">
        <f>IFERROR(__xludf.DUMMYFUNCTION("""COMPUTED_VALUE"""),"Yes")</f>
        <v>Yes</v>
      </c>
      <c r="D830" s="21" t="str">
        <f>IFERROR(__xludf.DUMMYFUNCTION("""COMPUTED_VALUE"""),"Removed")</f>
        <v>Removed</v>
      </c>
      <c r="E830" s="127">
        <f>IFERROR(__xludf.DUMMYFUNCTION("""COMPUTED_VALUE"""),43374.0)</f>
        <v>43374</v>
      </c>
      <c r="F830" s="276">
        <f>IFERROR(__xludf.DUMMYFUNCTION("""COMPUTED_VALUE"""),44119.0)</f>
        <v>44119</v>
      </c>
      <c r="G830" s="27">
        <f>IFERROR(__xludf.DUMMYFUNCTION("""COMPUTED_VALUE"""),24.466666666666665)</f>
        <v>24.46666667</v>
      </c>
      <c r="H830" s="128">
        <f>IFERROR(__xludf.DUMMYFUNCTION("""COMPUTED_VALUE"""),41877.0)</f>
        <v>41877</v>
      </c>
      <c r="I830" s="27">
        <f>IFERROR(__xludf.DUMMYFUNCTION("""COMPUTED_VALUE"""),4.097222222222222)</f>
        <v>4.097222222</v>
      </c>
      <c r="J830" s="29">
        <f>IFERROR(__xludf.DUMMYFUNCTION("""COMPUTED_VALUE"""),84.0)</f>
        <v>84</v>
      </c>
      <c r="K830" s="29">
        <f>IFERROR(__xludf.DUMMYFUNCTION("""COMPUTED_VALUE"""),9.0)</f>
        <v>9</v>
      </c>
      <c r="L830" s="31" t="str">
        <f>IFERROR(__xludf.DUMMYFUNCTION("""COMPUTED_VALUE"""),"Shooter")</f>
        <v>Shooter</v>
      </c>
    </row>
    <row r="831" hidden="1">
      <c r="A831" s="17" t="str">
        <f>IFERROR(__xludf.DUMMYFUNCTION("""COMPUTED_VALUE"""),"Saints Row IV: Re-Elected")</f>
        <v>Saints Row IV: Re-Elected</v>
      </c>
      <c r="B831" s="20" t="str">
        <f>IFERROR(__xludf.DUMMYFUNCTION("""COMPUTED_VALUE"""),"PC")</f>
        <v>PC</v>
      </c>
      <c r="C831" s="20"/>
      <c r="D831" s="21" t="str">
        <f>IFERROR(__xludf.DUMMYFUNCTION("""COMPUTED_VALUE"""),"Removed")</f>
        <v>Removed</v>
      </c>
      <c r="E831" s="127">
        <f>IFERROR(__xludf.DUMMYFUNCTION("""COMPUTED_VALUE"""),42887.0)</f>
        <v>42887</v>
      </c>
      <c r="F831" s="24">
        <f>IFERROR(__xludf.DUMMYFUNCTION("""COMPUTED_VALUE"""),44119.0)</f>
        <v>44119</v>
      </c>
      <c r="G831" s="27">
        <f>IFERROR(__xludf.DUMMYFUNCTION("""COMPUTED_VALUE"""),40.46666666666667)</f>
        <v>40.46666667</v>
      </c>
      <c r="H831" s="128">
        <f>IFERROR(__xludf.DUMMYFUNCTION("""COMPUTED_VALUE"""),41506.0)</f>
        <v>41506</v>
      </c>
      <c r="I831" s="27">
        <f>IFERROR(__xludf.DUMMYFUNCTION("""COMPUTED_VALUE"""),3.7805555555555554)</f>
        <v>3.780555556</v>
      </c>
      <c r="J831" s="29">
        <f>IFERROR(__xludf.DUMMYFUNCTION("""COMPUTED_VALUE"""),73.0)</f>
        <v>73</v>
      </c>
      <c r="K831" s="29">
        <f>IFERROR(__xludf.DUMMYFUNCTION("""COMPUTED_VALUE"""),14.5)</f>
        <v>14.5</v>
      </c>
      <c r="L831" s="31" t="str">
        <f>IFERROR(__xludf.DUMMYFUNCTION("""COMPUTED_VALUE"""),"Shooter")</f>
        <v>Shooter</v>
      </c>
    </row>
    <row r="832" hidden="1">
      <c r="A832" s="17" t="str">
        <f>IFERROR(__xludf.DUMMYFUNCTION("""COMPUTED_VALUE"""),"NHL 17")</f>
        <v>NHL 17</v>
      </c>
      <c r="B832" s="20" t="str">
        <f>IFERROR(__xludf.DUMMYFUNCTION("""COMPUTED_VALUE"""),"Xbox")</f>
        <v>Xbox</v>
      </c>
      <c r="C832" s="20"/>
      <c r="D832" s="21" t="str">
        <f>IFERROR(__xludf.DUMMYFUNCTION("""COMPUTED_VALUE"""),"Removed")</f>
        <v>Removed</v>
      </c>
      <c r="E832" s="127">
        <f>IFERROR(__xludf.DUMMYFUNCTION("""COMPUTED_VALUE"""),42822.0)</f>
        <v>42822</v>
      </c>
      <c r="F832" s="276">
        <f>IFERROR(__xludf.DUMMYFUNCTION("""COMPUTED_VALUE"""),44117.0)</f>
        <v>44117</v>
      </c>
      <c r="G832" s="27">
        <f>IFERROR(__xludf.DUMMYFUNCTION("""COMPUTED_VALUE"""),42.5)</f>
        <v>42.5</v>
      </c>
      <c r="H832" s="128">
        <f>IFERROR(__xludf.DUMMYFUNCTION("""COMPUTED_VALUE"""),42626.0)</f>
        <v>42626</v>
      </c>
      <c r="I832" s="27">
        <f>IFERROR(__xludf.DUMMYFUNCTION("""COMPUTED_VALUE"""),0.5416666666666666)</f>
        <v>0.5416666667</v>
      </c>
      <c r="J832" s="29">
        <f>IFERROR(__xludf.DUMMYFUNCTION("""COMPUTED_VALUE"""),77.0)</f>
        <v>77</v>
      </c>
      <c r="K832" s="29">
        <f>IFERROR(__xludf.DUMMYFUNCTION("""COMPUTED_VALUE"""),42.0)</f>
        <v>42</v>
      </c>
      <c r="L832" s="31" t="str">
        <f>IFERROR(__xludf.DUMMYFUNCTION("""COMPUTED_VALUE"""),"Sports")</f>
        <v>Sports</v>
      </c>
    </row>
    <row r="833" hidden="1">
      <c r="A833" s="17" t="str">
        <f>IFERROR(__xludf.DUMMYFUNCTION("""COMPUTED_VALUE"""),"NBA LIVE 16")</f>
        <v>NBA LIVE 16</v>
      </c>
      <c r="B833" s="20" t="str">
        <f>IFERROR(__xludf.DUMMYFUNCTION("""COMPUTED_VALUE"""),"Xbox")</f>
        <v>Xbox</v>
      </c>
      <c r="C833" s="20"/>
      <c r="D833" s="21" t="str">
        <f>IFERROR(__xludf.DUMMYFUNCTION("""COMPUTED_VALUE"""),"Removed")</f>
        <v>Removed</v>
      </c>
      <c r="E833" s="127">
        <f>IFERROR(__xludf.DUMMYFUNCTION("""COMPUTED_VALUE"""),42515.0)</f>
        <v>42515</v>
      </c>
      <c r="F833" s="276">
        <f>IFERROR(__xludf.DUMMYFUNCTION("""COMPUTED_VALUE"""),44123.0)</f>
        <v>44123</v>
      </c>
      <c r="G833" s="27">
        <f>IFERROR(__xludf.DUMMYFUNCTION("""COMPUTED_VALUE"""),52.800000000000004)</f>
        <v>52.8</v>
      </c>
      <c r="H833" s="128">
        <f>IFERROR(__xludf.DUMMYFUNCTION("""COMPUTED_VALUE"""),42276.0)</f>
        <v>42276</v>
      </c>
      <c r="I833" s="27">
        <f>IFERROR(__xludf.DUMMYFUNCTION("""COMPUTED_VALUE"""),0.6555555555555556)</f>
        <v>0.6555555556</v>
      </c>
      <c r="J833" s="29">
        <f>IFERROR(__xludf.DUMMYFUNCTION("""COMPUTED_VALUE"""),60.0)</f>
        <v>60</v>
      </c>
      <c r="K833" s="29">
        <f>IFERROR(__xludf.DUMMYFUNCTION("""COMPUTED_VALUE"""),55.0)</f>
        <v>55</v>
      </c>
      <c r="L833" s="31" t="str">
        <f>IFERROR(__xludf.DUMMYFUNCTION("""COMPUTED_VALUE"""),"Sports")</f>
        <v>Sports</v>
      </c>
    </row>
    <row r="834" hidden="1">
      <c r="A834" s="17" t="str">
        <f>IFERROR(__xludf.DUMMYFUNCTION("""COMPUTED_VALUE"""),"Panzer Dragoon Orta")</f>
        <v>Panzer Dragoon Orta</v>
      </c>
      <c r="B834" s="20" t="str">
        <f>IFERROR(__xludf.DUMMYFUNCTION("""COMPUTED_VALUE"""),"Xbox")</f>
        <v>Xbox</v>
      </c>
      <c r="C834" s="20"/>
      <c r="D834" s="21" t="str">
        <f>IFERROR(__xludf.DUMMYFUNCTION("""COMPUTED_VALUE"""),"Removed")</f>
        <v>Removed</v>
      </c>
      <c r="E834" s="127">
        <f>IFERROR(__xludf.DUMMYFUNCTION("""COMPUTED_VALUE"""),43739.0)</f>
        <v>43739</v>
      </c>
      <c r="F834" s="276">
        <f>IFERROR(__xludf.DUMMYFUNCTION("""COMPUTED_VALUE"""),44104.0)</f>
        <v>44104</v>
      </c>
      <c r="G834" s="27">
        <f>IFERROR(__xludf.DUMMYFUNCTION("""COMPUTED_VALUE"""),11.966666666666667)</f>
        <v>11.96666667</v>
      </c>
      <c r="H834" s="128">
        <f>IFERROR(__xludf.DUMMYFUNCTION("""COMPUTED_VALUE"""),37635.0)</f>
        <v>37635</v>
      </c>
      <c r="I834" s="27">
        <f>IFERROR(__xludf.DUMMYFUNCTION("""COMPUTED_VALUE"""),16.71388888888889)</f>
        <v>16.71388889</v>
      </c>
      <c r="J834" s="29">
        <f>IFERROR(__xludf.DUMMYFUNCTION("""COMPUTED_VALUE"""),90.0)</f>
        <v>90</v>
      </c>
      <c r="K834" s="29">
        <f>IFERROR(__xludf.DUMMYFUNCTION("""COMPUTED_VALUE"""),4.0)</f>
        <v>4</v>
      </c>
      <c r="L834" s="31" t="str">
        <f>IFERROR(__xludf.DUMMYFUNCTION("""COMPUTED_VALUE"""),"Shooter")</f>
        <v>Shooter</v>
      </c>
    </row>
    <row r="835" hidden="1">
      <c r="A835" s="17" t="str">
        <f>IFERROR(__xludf.DUMMYFUNCTION("""COMPUTED_VALUE"""),"Bad North: Jotunn Edition")</f>
        <v>Bad North: Jotunn Edition</v>
      </c>
      <c r="B835" s="20" t="str">
        <f>IFERROR(__xludf.DUMMYFUNCTION("""COMPUTED_VALUE"""),"Xbox / PC")</f>
        <v>Xbox / PC</v>
      </c>
      <c r="C835" s="20"/>
      <c r="D835" s="21" t="str">
        <f>IFERROR(__xludf.DUMMYFUNCTION("""COMPUTED_VALUE"""),"Removed")</f>
        <v>Removed</v>
      </c>
      <c r="E835" s="127">
        <f>IFERROR(__xludf.DUMMYFUNCTION("""COMPUTED_VALUE"""),43734.0)</f>
        <v>43734</v>
      </c>
      <c r="F835" s="276">
        <f>IFERROR(__xludf.DUMMYFUNCTION("""COMPUTED_VALUE"""),44104.0)</f>
        <v>44104</v>
      </c>
      <c r="G835" s="27">
        <f>IFERROR(__xludf.DUMMYFUNCTION("""COMPUTED_VALUE"""),12.133333333333333)</f>
        <v>12.13333333</v>
      </c>
      <c r="H835" s="128">
        <f>IFERROR(__xludf.DUMMYFUNCTION("""COMPUTED_VALUE"""),43332.0)</f>
        <v>43332</v>
      </c>
      <c r="I835" s="27">
        <f>IFERROR(__xludf.DUMMYFUNCTION("""COMPUTED_VALUE"""),1.1)</f>
        <v>1.1</v>
      </c>
      <c r="J835" s="277">
        <f>IFERROR(__xludf.DUMMYFUNCTION("""COMPUTED_VALUE"""),65.0)</f>
        <v>65</v>
      </c>
      <c r="K835" s="29">
        <f>IFERROR(__xludf.DUMMYFUNCTION("""COMPUTED_VALUE"""),5.5)</f>
        <v>5.5</v>
      </c>
      <c r="L835" s="31" t="str">
        <f>IFERROR(__xludf.DUMMYFUNCTION("""COMPUTED_VALUE"""),"Real-Time Strategy")</f>
        <v>Real-Time Strategy</v>
      </c>
    </row>
    <row r="836" hidden="1">
      <c r="A836" s="17" t="str">
        <f>IFERROR(__xludf.DUMMYFUNCTION("""COMPUTED_VALUE"""),"Westerado: Double Barreled")</f>
        <v>Westerado: Double Barreled</v>
      </c>
      <c r="B836" s="20" t="str">
        <f>IFERROR(__xludf.DUMMYFUNCTION("""COMPUTED_VALUE"""),"Xbox")</f>
        <v>Xbox</v>
      </c>
      <c r="C836" s="20"/>
      <c r="D836" s="21" t="str">
        <f>IFERROR(__xludf.DUMMYFUNCTION("""COMPUTED_VALUE"""),"Removed")</f>
        <v>Removed</v>
      </c>
      <c r="E836" s="127">
        <f>IFERROR(__xludf.DUMMYFUNCTION("""COMPUTED_VALUE"""),43374.0)</f>
        <v>43374</v>
      </c>
      <c r="F836" s="276">
        <f>IFERROR(__xludf.DUMMYFUNCTION("""COMPUTED_VALUE"""),44104.0)</f>
        <v>44104</v>
      </c>
      <c r="G836" s="27">
        <f>IFERROR(__xludf.DUMMYFUNCTION("""COMPUTED_VALUE"""),23.96666666666667)</f>
        <v>23.96666667</v>
      </c>
      <c r="H836" s="128">
        <f>IFERROR(__xludf.DUMMYFUNCTION("""COMPUTED_VALUE"""),42110.0)</f>
        <v>42110</v>
      </c>
      <c r="I836" s="27">
        <f>IFERROR(__xludf.DUMMYFUNCTION("""COMPUTED_VALUE"""),3.4583333333333335)</f>
        <v>3.458333333</v>
      </c>
      <c r="J836" s="29">
        <f>IFERROR(__xludf.DUMMYFUNCTION("""COMPUTED_VALUE"""),80.0)</f>
        <v>80</v>
      </c>
      <c r="K836" s="29">
        <f>IFERROR(__xludf.DUMMYFUNCTION("""COMPUTED_VALUE"""),2.5)</f>
        <v>2.5</v>
      </c>
      <c r="L836" s="31" t="str">
        <f>IFERROR(__xludf.DUMMYFUNCTION("""COMPUTED_VALUE"""),"Action-Adventure")</f>
        <v>Action-Adventure</v>
      </c>
    </row>
    <row r="837" hidden="1">
      <c r="A837" s="17" t="str">
        <f>IFERROR(__xludf.DUMMYFUNCTION("""COMPUTED_VALUE"""),"Rocket League")</f>
        <v>Rocket League</v>
      </c>
      <c r="B837" s="20" t="str">
        <f>IFERROR(__xludf.DUMMYFUNCTION("""COMPUTED_VALUE"""),"Xbox")</f>
        <v>Xbox</v>
      </c>
      <c r="C837" s="20"/>
      <c r="D837" s="21" t="str">
        <f>IFERROR(__xludf.DUMMYFUNCTION("""COMPUTED_VALUE"""),"Removed")</f>
        <v>Removed</v>
      </c>
      <c r="E837" s="127">
        <f>IFERROR(__xludf.DUMMYFUNCTION("""COMPUTED_VALUE"""),43292.0)</f>
        <v>43292</v>
      </c>
      <c r="F837" s="24">
        <f>IFERROR(__xludf.DUMMYFUNCTION("""COMPUTED_VALUE"""),44096.0)</f>
        <v>44096</v>
      </c>
      <c r="G837" s="27">
        <f>IFERROR(__xludf.DUMMYFUNCTION("""COMPUTED_VALUE"""),26.366666666666667)</f>
        <v>26.36666667</v>
      </c>
      <c r="H837" s="128">
        <f>IFERROR(__xludf.DUMMYFUNCTION("""COMPUTED_VALUE"""),42192.0)</f>
        <v>42192</v>
      </c>
      <c r="I837" s="27">
        <f>IFERROR(__xludf.DUMMYFUNCTION("""COMPUTED_VALUE"""),3.011111111111111)</f>
        <v>3.011111111</v>
      </c>
      <c r="J837" s="29">
        <f>IFERROR(__xludf.DUMMYFUNCTION("""COMPUTED_VALUE"""),87.0)</f>
        <v>87</v>
      </c>
      <c r="K837" s="29">
        <f>IFERROR(__xludf.DUMMYFUNCTION("""COMPUTED_VALUE"""),4.0)</f>
        <v>4</v>
      </c>
      <c r="L837" s="31" t="str">
        <f>IFERROR(__xludf.DUMMYFUNCTION("""COMPUTED_VALUE"""),"Racing")</f>
        <v>Racing</v>
      </c>
    </row>
    <row r="838" hidden="1">
      <c r="A838" s="17" t="str">
        <f>IFERROR(__xludf.DUMMYFUNCTION("""COMPUTED_VALUE"""),"NBA 2K20")</f>
        <v>NBA 2K20</v>
      </c>
      <c r="B838" s="20" t="str">
        <f>IFERROR(__xludf.DUMMYFUNCTION("""COMPUTED_VALUE"""),"Xbox")</f>
        <v>Xbox</v>
      </c>
      <c r="C838" s="20"/>
      <c r="D838" s="21" t="str">
        <f>IFERROR(__xludf.DUMMYFUNCTION("""COMPUTED_VALUE"""),"Removed")</f>
        <v>Removed</v>
      </c>
      <c r="E838" s="127">
        <f>IFERROR(__xludf.DUMMYFUNCTION("""COMPUTED_VALUE"""),43895.0)</f>
        <v>43895</v>
      </c>
      <c r="F838" s="276">
        <f>IFERROR(__xludf.DUMMYFUNCTION("""COMPUTED_VALUE"""),44089.0)</f>
        <v>44089</v>
      </c>
      <c r="G838" s="27">
        <f>IFERROR(__xludf.DUMMYFUNCTION("""COMPUTED_VALUE"""),6.333333333333334)</f>
        <v>6.333333333</v>
      </c>
      <c r="H838" s="128">
        <f>IFERROR(__xludf.DUMMYFUNCTION("""COMPUTED_VALUE"""),43714.0)</f>
        <v>43714</v>
      </c>
      <c r="I838" s="27">
        <f>IFERROR(__xludf.DUMMYFUNCTION("""COMPUTED_VALUE"""),0.49722222222222223)</f>
        <v>0.4972222222</v>
      </c>
      <c r="J838" s="29">
        <f>IFERROR(__xludf.DUMMYFUNCTION("""COMPUTED_VALUE"""),80.0)</f>
        <v>80</v>
      </c>
      <c r="K838" s="29">
        <f>IFERROR(__xludf.DUMMYFUNCTION("""COMPUTED_VALUE"""),53.0)</f>
        <v>53</v>
      </c>
      <c r="L838" s="31" t="str">
        <f>IFERROR(__xludf.DUMMYFUNCTION("""COMPUTED_VALUE"""),"Sports")</f>
        <v>Sports</v>
      </c>
    </row>
    <row r="839" hidden="1">
      <c r="A839" s="17" t="str">
        <f>IFERROR(__xludf.DUMMYFUNCTION("""COMPUTED_VALUE"""),"Jump Force")</f>
        <v>Jump Force</v>
      </c>
      <c r="B839" s="20" t="str">
        <f>IFERROR(__xludf.DUMMYFUNCTION("""COMPUTED_VALUE"""),"Xbox")</f>
        <v>Xbox</v>
      </c>
      <c r="C839" s="20"/>
      <c r="D839" s="21" t="str">
        <f>IFERROR(__xludf.DUMMYFUNCTION("""COMPUTED_VALUE"""),"Removed")</f>
        <v>Removed</v>
      </c>
      <c r="E839" s="127">
        <f>IFERROR(__xludf.DUMMYFUNCTION("""COMPUTED_VALUE"""),43727.0)</f>
        <v>43727</v>
      </c>
      <c r="F839" s="276">
        <f>IFERROR(__xludf.DUMMYFUNCTION("""COMPUTED_VALUE"""),44089.0)</f>
        <v>44089</v>
      </c>
      <c r="G839" s="27">
        <f>IFERROR(__xludf.DUMMYFUNCTION("""COMPUTED_VALUE"""),11.866666666666667)</f>
        <v>11.86666667</v>
      </c>
      <c r="H839" s="128">
        <f>IFERROR(__xludf.DUMMYFUNCTION("""COMPUTED_VALUE"""),43508.0)</f>
        <v>43508</v>
      </c>
      <c r="I839" s="27">
        <f>IFERROR(__xludf.DUMMYFUNCTION("""COMPUTED_VALUE"""),0.6027777777777777)</f>
        <v>0.6027777778</v>
      </c>
      <c r="J839" s="277">
        <f>IFERROR(__xludf.DUMMYFUNCTION("""COMPUTED_VALUE"""),61.0)</f>
        <v>61</v>
      </c>
      <c r="K839" s="29">
        <f>IFERROR(__xludf.DUMMYFUNCTION("""COMPUTED_VALUE"""),12.5)</f>
        <v>12.5</v>
      </c>
      <c r="L839" s="31" t="str">
        <f>IFERROR(__xludf.DUMMYFUNCTION("""COMPUTED_VALUE"""),"Fighting")</f>
        <v>Fighting</v>
      </c>
    </row>
    <row r="840" hidden="1">
      <c r="A840" s="17" t="str">
        <f>IFERROR(__xludf.DUMMYFUNCTION("""COMPUTED_VALUE"""),"GoNNER: Blueberry Edition")</f>
        <v>GoNNER: Blueberry Edition</v>
      </c>
      <c r="B840" s="20" t="str">
        <f>IFERROR(__xludf.DUMMYFUNCTION("""COMPUTED_VALUE"""),"Xbox / PC")</f>
        <v>Xbox / PC</v>
      </c>
      <c r="C840" s="20"/>
      <c r="D840" s="21" t="str">
        <f>IFERROR(__xludf.DUMMYFUNCTION("""COMPUTED_VALUE"""),"Removed")</f>
        <v>Removed</v>
      </c>
      <c r="E840" s="127">
        <f>IFERROR(__xludf.DUMMYFUNCTION("""COMPUTED_VALUE"""),43720.0)</f>
        <v>43720</v>
      </c>
      <c r="F840" s="276">
        <f>IFERROR(__xludf.DUMMYFUNCTION("""COMPUTED_VALUE"""),44089.0)</f>
        <v>44089</v>
      </c>
      <c r="G840" s="27">
        <f>IFERROR(__xludf.DUMMYFUNCTION("""COMPUTED_VALUE"""),12.1)</f>
        <v>12.1</v>
      </c>
      <c r="H840" s="128">
        <f>IFERROR(__xludf.DUMMYFUNCTION("""COMPUTED_VALUE"""),43157.0)</f>
        <v>43157</v>
      </c>
      <c r="I840" s="27">
        <f>IFERROR(__xludf.DUMMYFUNCTION("""COMPUTED_VALUE"""),1.5444444444444445)</f>
        <v>1.544444444</v>
      </c>
      <c r="J840" s="277">
        <f>IFERROR(__xludf.DUMMYFUNCTION("""COMPUTED_VALUE"""),60.0)</f>
        <v>60</v>
      </c>
      <c r="K840" s="29">
        <f>IFERROR(__xludf.DUMMYFUNCTION("""COMPUTED_VALUE"""),8.0)</f>
        <v>8</v>
      </c>
      <c r="L840" s="31" t="str">
        <f>IFERROR(__xludf.DUMMYFUNCTION("""COMPUTED_VALUE"""),"Action")</f>
        <v>Action</v>
      </c>
    </row>
    <row r="841" hidden="1">
      <c r="A841" s="17" t="str">
        <f>IFERROR(__xludf.DUMMYFUNCTION("""COMPUTED_VALUE"""),"Red Dead Redemption 2")</f>
        <v>Red Dead Redemption 2</v>
      </c>
      <c r="B841" s="20" t="str">
        <f>IFERROR(__xludf.DUMMYFUNCTION("""COMPUTED_VALUE"""),"Xbox")</f>
        <v>Xbox</v>
      </c>
      <c r="C841" s="20"/>
      <c r="D841" s="21" t="str">
        <f>IFERROR(__xludf.DUMMYFUNCTION("""COMPUTED_VALUE"""),"Removed")</f>
        <v>Removed</v>
      </c>
      <c r="E841" s="127">
        <f>IFERROR(__xludf.DUMMYFUNCTION("""COMPUTED_VALUE"""),43958.0)</f>
        <v>43958</v>
      </c>
      <c r="F841" s="24">
        <f>IFERROR(__xludf.DUMMYFUNCTION("""COMPUTED_VALUE"""),44081.0)</f>
        <v>44081</v>
      </c>
      <c r="G841" s="27">
        <f>IFERROR(__xludf.DUMMYFUNCTION("""COMPUTED_VALUE"""),4.0)</f>
        <v>4</v>
      </c>
      <c r="H841" s="128">
        <f>IFERROR(__xludf.DUMMYFUNCTION("""COMPUTED_VALUE"""),43399.0)</f>
        <v>43399</v>
      </c>
      <c r="I841" s="27">
        <f>IFERROR(__xludf.DUMMYFUNCTION("""COMPUTED_VALUE"""),1.5305555555555554)</f>
        <v>1.530555556</v>
      </c>
      <c r="J841" s="29">
        <f>IFERROR(__xludf.DUMMYFUNCTION("""COMPUTED_VALUE"""),97.0)</f>
        <v>97</v>
      </c>
      <c r="K841" s="29">
        <f>IFERROR(__xludf.DUMMYFUNCTION("""COMPUTED_VALUE"""),47.5)</f>
        <v>47.5</v>
      </c>
      <c r="L841" s="31" t="str">
        <f>IFERROR(__xludf.DUMMYFUNCTION("""COMPUTED_VALUE"""),"Action-Adventure")</f>
        <v>Action-Adventure</v>
      </c>
    </row>
    <row r="842" hidden="1">
      <c r="A842" s="17" t="str">
        <f>IFERROR(__xludf.DUMMYFUNCTION("""COMPUTED_VALUE"""),"The Jackbox Party Pack 3")</f>
        <v>The Jackbox Party Pack 3</v>
      </c>
      <c r="B842" s="20" t="str">
        <f>IFERROR(__xludf.DUMMYFUNCTION("""COMPUTED_VALUE"""),"Xbox")</f>
        <v>Xbox</v>
      </c>
      <c r="C842" s="20"/>
      <c r="D842" s="21" t="str">
        <f>IFERROR(__xludf.DUMMYFUNCTION("""COMPUTED_VALUE"""),"Removed")</f>
        <v>Removed</v>
      </c>
      <c r="E842" s="127">
        <f>IFERROR(__xludf.DUMMYFUNCTION("""COMPUTED_VALUE"""),43888.0)</f>
        <v>43888</v>
      </c>
      <c r="F842" s="276">
        <f>IFERROR(__xludf.DUMMYFUNCTION("""COMPUTED_VALUE"""),44074.0)</f>
        <v>44074</v>
      </c>
      <c r="G842" s="27">
        <f>IFERROR(__xludf.DUMMYFUNCTION("""COMPUTED_VALUE"""),6.1)</f>
        <v>6.1</v>
      </c>
      <c r="H842" s="128">
        <f>IFERROR(__xludf.DUMMYFUNCTION("""COMPUTED_VALUE"""),42660.0)</f>
        <v>42660</v>
      </c>
      <c r="I842" s="27">
        <f>IFERROR(__xludf.DUMMYFUNCTION("""COMPUTED_VALUE"""),3.361111111111111)</f>
        <v>3.361111111</v>
      </c>
      <c r="J842" s="29">
        <f>IFERROR(__xludf.DUMMYFUNCTION("""COMPUTED_VALUE"""),80.0)</f>
        <v>80</v>
      </c>
      <c r="K842" s="29">
        <f>IFERROR(__xludf.DUMMYFUNCTION("""COMPUTED_VALUE"""),2.5)</f>
        <v>2.5</v>
      </c>
      <c r="L842" s="31" t="str">
        <f>IFERROR(__xludf.DUMMYFUNCTION("""COMPUTED_VALUE"""),"Party")</f>
        <v>Party</v>
      </c>
    </row>
    <row r="843" hidden="1">
      <c r="A843" s="17" t="str">
        <f>IFERROR(__xludf.DUMMYFUNCTION("""COMPUTED_VALUE"""),"Creature in the Well")</f>
        <v>Creature in the Well</v>
      </c>
      <c r="B843" s="20" t="str">
        <f>IFERROR(__xludf.DUMMYFUNCTION("""COMPUTED_VALUE"""),"Xbox / PC")</f>
        <v>Xbox / PC</v>
      </c>
      <c r="C843" s="20"/>
      <c r="D843" s="21" t="str">
        <f>IFERROR(__xludf.DUMMYFUNCTION("""COMPUTED_VALUE"""),"Removed")</f>
        <v>Removed</v>
      </c>
      <c r="E843" s="127">
        <f>IFERROR(__xludf.DUMMYFUNCTION("""COMPUTED_VALUE"""),43714.0)</f>
        <v>43714</v>
      </c>
      <c r="F843" s="276">
        <f>IFERROR(__xludf.DUMMYFUNCTION("""COMPUTED_VALUE"""),44074.0)</f>
        <v>44074</v>
      </c>
      <c r="G843" s="27">
        <f>IFERROR(__xludf.DUMMYFUNCTION("""COMPUTED_VALUE"""),11.799999999999999)</f>
        <v>11.8</v>
      </c>
      <c r="H843" s="128">
        <f>IFERROR(__xludf.DUMMYFUNCTION("""COMPUTED_VALUE"""),43714.0)</f>
        <v>43714</v>
      </c>
      <c r="I843" s="27">
        <f>IFERROR(__xludf.DUMMYFUNCTION("""COMPUTED_VALUE"""),0.0)</f>
        <v>0</v>
      </c>
      <c r="J843" s="29">
        <f>IFERROR(__xludf.DUMMYFUNCTION("""COMPUTED_VALUE"""),78.0)</f>
        <v>78</v>
      </c>
      <c r="K843" s="29">
        <f>IFERROR(__xludf.DUMMYFUNCTION("""COMPUTED_VALUE"""),4.0)</f>
        <v>4</v>
      </c>
      <c r="L843" s="31" t="str">
        <f>IFERROR(__xludf.DUMMYFUNCTION("""COMPUTED_VALUE"""),"Action-Adventure")</f>
        <v>Action-Adventure</v>
      </c>
    </row>
    <row r="844" hidden="1">
      <c r="A844" s="17" t="str">
        <f>IFERROR(__xludf.DUMMYFUNCTION("""COMPUTED_VALUE"""),"Metal Gear Solid HD Edition: 2 &amp; 3")</f>
        <v>Metal Gear Solid HD Edition: 2 &amp; 3</v>
      </c>
      <c r="B844" s="20" t="str">
        <f>IFERROR(__xludf.DUMMYFUNCTION("""COMPUTED_VALUE"""),"Xbox")</f>
        <v>Xbox</v>
      </c>
      <c r="C844" s="20"/>
      <c r="D844" s="21" t="str">
        <f>IFERROR(__xludf.DUMMYFUNCTION("""COMPUTED_VALUE"""),"Removed")</f>
        <v>Removed</v>
      </c>
      <c r="E844" s="127">
        <f>IFERROR(__xludf.DUMMYFUNCTION("""COMPUTED_VALUE"""),43713.0)</f>
        <v>43713</v>
      </c>
      <c r="F844" s="276">
        <f>IFERROR(__xludf.DUMMYFUNCTION("""COMPUTED_VALUE"""),44074.0)</f>
        <v>44074</v>
      </c>
      <c r="G844" s="27">
        <f>IFERROR(__xludf.DUMMYFUNCTION("""COMPUTED_VALUE"""),11.833333333333334)</f>
        <v>11.83333333</v>
      </c>
      <c r="H844" s="128">
        <f>IFERROR(__xludf.DUMMYFUNCTION("""COMPUTED_VALUE"""),40855.0)</f>
        <v>40855</v>
      </c>
      <c r="I844" s="27">
        <f>IFERROR(__xludf.DUMMYFUNCTION("""COMPUTED_VALUE"""),7.825)</f>
        <v>7.825</v>
      </c>
      <c r="J844" s="29">
        <f>IFERROR(__xludf.DUMMYFUNCTION("""COMPUTED_VALUE"""),90.0)</f>
        <v>90</v>
      </c>
      <c r="K844" s="29">
        <f>IFERROR(__xludf.DUMMYFUNCTION("""COMPUTED_VALUE"""),53.5)</f>
        <v>53.5</v>
      </c>
      <c r="L844" s="31" t="str">
        <f>IFERROR(__xludf.DUMMYFUNCTION("""COMPUTED_VALUE"""),"Action-Adventure")</f>
        <v>Action-Adventure</v>
      </c>
    </row>
    <row r="845" hidden="1">
      <c r="A845" s="17" t="str">
        <f>IFERROR(__xludf.DUMMYFUNCTION("""COMPUTED_VALUE"""),"Giana Sisters: Twisted Dreams - Director's Cut")</f>
        <v>Giana Sisters: Twisted Dreams - Director's Cut</v>
      </c>
      <c r="B845" s="20" t="str">
        <f>IFERROR(__xludf.DUMMYFUNCTION("""COMPUTED_VALUE"""),"Xbox")</f>
        <v>Xbox</v>
      </c>
      <c r="C845" s="20"/>
      <c r="D845" s="21" t="str">
        <f>IFERROR(__xludf.DUMMYFUNCTION("""COMPUTED_VALUE"""),"Removed")</f>
        <v>Removed</v>
      </c>
      <c r="E845" s="127">
        <f>IFERROR(__xludf.DUMMYFUNCTION("""COMPUTED_VALUE"""),43344.0)</f>
        <v>43344</v>
      </c>
      <c r="F845" s="276">
        <f>IFERROR(__xludf.DUMMYFUNCTION("""COMPUTED_VALUE"""),44074.0)</f>
        <v>44074</v>
      </c>
      <c r="G845" s="27">
        <f>IFERROR(__xludf.DUMMYFUNCTION("""COMPUTED_VALUE"""),23.96666666666667)</f>
        <v>23.96666667</v>
      </c>
      <c r="H845" s="128">
        <f>IFERROR(__xludf.DUMMYFUNCTION("""COMPUTED_VALUE"""),41205.0)</f>
        <v>41205</v>
      </c>
      <c r="I845" s="27">
        <f>IFERROR(__xludf.DUMMYFUNCTION("""COMPUTED_VALUE"""),5.855555555555555)</f>
        <v>5.855555556</v>
      </c>
      <c r="J845" s="29">
        <f>IFERROR(__xludf.DUMMYFUNCTION("""COMPUTED_VALUE"""),80.0)</f>
        <v>80</v>
      </c>
      <c r="K845" s="29">
        <f>IFERROR(__xludf.DUMMYFUNCTION("""COMPUTED_VALUE"""),7.0)</f>
        <v>7</v>
      </c>
      <c r="L845" s="31" t="str">
        <f>IFERROR(__xludf.DUMMYFUNCTION("""COMPUTED_VALUE"""),"Platformer")</f>
        <v>Platformer</v>
      </c>
    </row>
    <row r="846" hidden="1">
      <c r="A846" s="17" t="str">
        <f>IFERROR(__xludf.DUMMYFUNCTION("""COMPUTED_VALUE"""),"Devil May Cry 5")</f>
        <v>Devil May Cry 5</v>
      </c>
      <c r="B846" s="20" t="str">
        <f>IFERROR(__xludf.DUMMYFUNCTION("""COMPUTED_VALUE"""),"Xbox")</f>
        <v>Xbox</v>
      </c>
      <c r="C846" s="20"/>
      <c r="D846" s="21" t="str">
        <f>IFERROR(__xludf.DUMMYFUNCTION("""COMPUTED_VALUE"""),"Removed")</f>
        <v>Removed</v>
      </c>
      <c r="E846" s="127">
        <f>IFERROR(__xludf.DUMMYFUNCTION("""COMPUTED_VALUE"""),43696.0)</f>
        <v>43696</v>
      </c>
      <c r="F846" s="24">
        <f>IFERROR(__xludf.DUMMYFUNCTION("""COMPUTED_VALUE"""),44057.0)</f>
        <v>44057</v>
      </c>
      <c r="G846" s="27">
        <f>IFERROR(__xludf.DUMMYFUNCTION("""COMPUTED_VALUE"""),11.833333333333334)</f>
        <v>11.83333333</v>
      </c>
      <c r="H846" s="128">
        <f>IFERROR(__xludf.DUMMYFUNCTION("""COMPUTED_VALUE"""),43532.0)</f>
        <v>43532</v>
      </c>
      <c r="I846" s="27">
        <f>IFERROR(__xludf.DUMMYFUNCTION("""COMPUTED_VALUE"""),0.44722222222222224)</f>
        <v>0.4472222222</v>
      </c>
      <c r="J846" s="29">
        <f>IFERROR(__xludf.DUMMYFUNCTION("""COMPUTED_VALUE"""),87.0)</f>
        <v>87</v>
      </c>
      <c r="K846" s="29">
        <f>IFERROR(__xludf.DUMMYFUNCTION("""COMPUTED_VALUE"""),11.0)</f>
        <v>11</v>
      </c>
      <c r="L846" s="31" t="str">
        <f>IFERROR(__xludf.DUMMYFUNCTION("""COMPUTED_VALUE"""),"Action")</f>
        <v>Action</v>
      </c>
    </row>
    <row r="847" hidden="1">
      <c r="A847" s="17" t="str">
        <f>IFERROR(__xludf.DUMMYFUNCTION("""COMPUTED_VALUE"""),"Space Hulk: Tactics")</f>
        <v>Space Hulk: Tactics</v>
      </c>
      <c r="B847" s="20" t="str">
        <f>IFERROR(__xludf.DUMMYFUNCTION("""COMPUTED_VALUE"""),"PC")</f>
        <v>PC</v>
      </c>
      <c r="C847" s="20"/>
      <c r="D847" s="21" t="str">
        <f>IFERROR(__xludf.DUMMYFUNCTION("""COMPUTED_VALUE"""),"Removed")</f>
        <v>Removed</v>
      </c>
      <c r="E847" s="127">
        <f>IFERROR(__xludf.DUMMYFUNCTION("""COMPUTED_VALUE"""),43685.0)</f>
        <v>43685</v>
      </c>
      <c r="F847" s="24">
        <f>IFERROR(__xludf.DUMMYFUNCTION("""COMPUTED_VALUE"""),44057.0)</f>
        <v>44057</v>
      </c>
      <c r="G847" s="27">
        <f>IFERROR(__xludf.DUMMYFUNCTION("""COMPUTED_VALUE"""),12.2)</f>
        <v>12.2</v>
      </c>
      <c r="H847" s="128">
        <f>IFERROR(__xludf.DUMMYFUNCTION("""COMPUTED_VALUE"""),43382.0)</f>
        <v>43382</v>
      </c>
      <c r="I847" s="27">
        <f>IFERROR(__xludf.DUMMYFUNCTION("""COMPUTED_VALUE"""),0.8305555555555556)</f>
        <v>0.8305555556</v>
      </c>
      <c r="J847" s="29">
        <f>IFERROR(__xludf.DUMMYFUNCTION("""COMPUTED_VALUE"""),73.0)</f>
        <v>73</v>
      </c>
      <c r="K847" s="29">
        <f>IFERROR(__xludf.DUMMYFUNCTION("""COMPUTED_VALUE"""),21.0)</f>
        <v>21</v>
      </c>
      <c r="L847" s="31" t="str">
        <f>IFERROR(__xludf.DUMMYFUNCTION("""COMPUTED_VALUE"""),"Strategy")</f>
        <v>Strategy</v>
      </c>
    </row>
    <row r="848" hidden="1">
      <c r="A848" s="17" t="str">
        <f>IFERROR(__xludf.DUMMYFUNCTION("""COMPUTED_VALUE"""),"Where The Water Tastes Like Wine")</f>
        <v>Where The Water Tastes Like Wine</v>
      </c>
      <c r="B848" s="20" t="str">
        <f>IFERROR(__xludf.DUMMYFUNCTION("""COMPUTED_VALUE"""),"PC")</f>
        <v>PC</v>
      </c>
      <c r="C848" s="20"/>
      <c r="D848" s="21" t="str">
        <f>IFERROR(__xludf.DUMMYFUNCTION("""COMPUTED_VALUE"""),"Removed")</f>
        <v>Removed</v>
      </c>
      <c r="E848" s="127">
        <f>IFERROR(__xludf.DUMMYFUNCTION("""COMPUTED_VALUE"""),43685.0)</f>
        <v>43685</v>
      </c>
      <c r="F848" s="24">
        <f>IFERROR(__xludf.DUMMYFUNCTION("""COMPUTED_VALUE"""),44057.0)</f>
        <v>44057</v>
      </c>
      <c r="G848" s="27">
        <f>IFERROR(__xludf.DUMMYFUNCTION("""COMPUTED_VALUE"""),12.2)</f>
        <v>12.2</v>
      </c>
      <c r="H848" s="128">
        <f>IFERROR(__xludf.DUMMYFUNCTION("""COMPUTED_VALUE"""),43159.0)</f>
        <v>43159</v>
      </c>
      <c r="I848" s="27">
        <f>IFERROR(__xludf.DUMMYFUNCTION("""COMPUTED_VALUE"""),1.4444444444444444)</f>
        <v>1.444444444</v>
      </c>
      <c r="J848" s="29">
        <f>IFERROR(__xludf.DUMMYFUNCTION("""COMPUTED_VALUE"""),74.0)</f>
        <v>74</v>
      </c>
      <c r="K848" s="29">
        <f>IFERROR(__xludf.DUMMYFUNCTION("""COMPUTED_VALUE"""),17.5)</f>
        <v>17.5</v>
      </c>
      <c r="L848" s="31" t="str">
        <f>IFERROR(__xludf.DUMMYFUNCTION("""COMPUTED_VALUE"""),"Adventure")</f>
        <v>Adventure</v>
      </c>
    </row>
    <row r="849" hidden="1">
      <c r="A849" s="17" t="str">
        <f>IFERROR(__xludf.DUMMYFUNCTION("""COMPUTED_VALUE"""),"F1 2018")</f>
        <v>F1 2018</v>
      </c>
      <c r="B849" s="20" t="str">
        <f>IFERROR(__xludf.DUMMYFUNCTION("""COMPUTED_VALUE"""),"Xbox / PC")</f>
        <v>Xbox / PC</v>
      </c>
      <c r="C849" s="20"/>
      <c r="D849" s="21" t="str">
        <f>IFERROR(__xludf.DUMMYFUNCTION("""COMPUTED_VALUE"""),"Removed")</f>
        <v>Removed</v>
      </c>
      <c r="E849" s="127">
        <f>IFERROR(__xludf.DUMMYFUNCTION("""COMPUTED_VALUE"""),43538.0)</f>
        <v>43538</v>
      </c>
      <c r="F849" s="276">
        <f>IFERROR(__xludf.DUMMYFUNCTION("""COMPUTED_VALUE"""),44044.0)</f>
        <v>44044</v>
      </c>
      <c r="G849" s="27">
        <f>IFERROR(__xludf.DUMMYFUNCTION("""COMPUTED_VALUE"""),16.566666666666666)</f>
        <v>16.56666667</v>
      </c>
      <c r="H849" s="128">
        <f>IFERROR(__xludf.DUMMYFUNCTION("""COMPUTED_VALUE"""),43336.0)</f>
        <v>43336</v>
      </c>
      <c r="I849" s="27">
        <f>IFERROR(__xludf.DUMMYFUNCTION("""COMPUTED_VALUE"""),0.5555555555555556)</f>
        <v>0.5555555556</v>
      </c>
      <c r="J849" s="277">
        <f>IFERROR(__xludf.DUMMYFUNCTION("""COMPUTED_VALUE"""),84.0)</f>
        <v>84</v>
      </c>
      <c r="K849" s="29">
        <f>IFERROR(__xludf.DUMMYFUNCTION("""COMPUTED_VALUE"""),25.5)</f>
        <v>25.5</v>
      </c>
      <c r="L849" s="31" t="str">
        <f>IFERROR(__xludf.DUMMYFUNCTION("""COMPUTED_VALUE"""),"Racing")</f>
        <v>Racing</v>
      </c>
    </row>
    <row r="850" hidden="1">
      <c r="A850" s="17" t="str">
        <f>IFERROR(__xludf.DUMMYFUNCTION("""COMPUTED_VALUE"""),"Ashes Cricket")</f>
        <v>Ashes Cricket</v>
      </c>
      <c r="B850" s="20" t="str">
        <f>IFERROR(__xludf.DUMMYFUNCTION("""COMPUTED_VALUE"""),"Xbox")</f>
        <v>Xbox</v>
      </c>
      <c r="C850" s="20"/>
      <c r="D850" s="21" t="str">
        <f>IFERROR(__xludf.DUMMYFUNCTION("""COMPUTED_VALUE"""),"Removed")</f>
        <v>Removed</v>
      </c>
      <c r="E850" s="127">
        <f>IFERROR(__xludf.DUMMYFUNCTION("""COMPUTED_VALUE"""),43678.0)</f>
        <v>43678</v>
      </c>
      <c r="F850" s="24">
        <f>IFERROR(__xludf.DUMMYFUNCTION("""COMPUTED_VALUE"""),44043.0)</f>
        <v>44043</v>
      </c>
      <c r="G850" s="27">
        <f>IFERROR(__xludf.DUMMYFUNCTION("""COMPUTED_VALUE"""),11.966666666666667)</f>
        <v>11.96666667</v>
      </c>
      <c r="H850" s="128">
        <f>IFERROR(__xludf.DUMMYFUNCTION("""COMPUTED_VALUE"""),43085.0)</f>
        <v>43085</v>
      </c>
      <c r="I850" s="27">
        <f>IFERROR(__xludf.DUMMYFUNCTION("""COMPUTED_VALUE"""),1.625)</f>
        <v>1.625</v>
      </c>
      <c r="J850" s="29">
        <f>IFERROR(__xludf.DUMMYFUNCTION("""COMPUTED_VALUE"""),79.0)</f>
        <v>79</v>
      </c>
      <c r="K850" s="29">
        <f>IFERROR(__xludf.DUMMYFUNCTION("""COMPUTED_VALUE"""),23.0)</f>
        <v>23</v>
      </c>
      <c r="L850" s="31" t="str">
        <f>IFERROR(__xludf.DUMMYFUNCTION("""COMPUTED_VALUE"""),"Sports")</f>
        <v>Sports</v>
      </c>
    </row>
    <row r="851" hidden="1">
      <c r="A851" s="17" t="str">
        <f>IFERROR(__xludf.DUMMYFUNCTION("""COMPUTED_VALUE"""),"The Banner Saga 3")</f>
        <v>The Banner Saga 3</v>
      </c>
      <c r="B851" s="20" t="str">
        <f>IFERROR(__xludf.DUMMYFUNCTION("""COMPUTED_VALUE"""),"Xbox / PC")</f>
        <v>Xbox / PC</v>
      </c>
      <c r="C851" s="20"/>
      <c r="D851" s="21" t="str">
        <f>IFERROR(__xludf.DUMMYFUNCTION("""COMPUTED_VALUE"""),"Removed")</f>
        <v>Removed</v>
      </c>
      <c r="E851" s="127">
        <f>IFERROR(__xludf.DUMMYFUNCTION("""COMPUTED_VALUE"""),43664.0)</f>
        <v>43664</v>
      </c>
      <c r="F851" s="24">
        <f>IFERROR(__xludf.DUMMYFUNCTION("""COMPUTED_VALUE"""),44043.0)</f>
        <v>44043</v>
      </c>
      <c r="G851" s="27">
        <f>IFERROR(__xludf.DUMMYFUNCTION("""COMPUTED_VALUE"""),12.400000000000002)</f>
        <v>12.4</v>
      </c>
      <c r="H851" s="128">
        <f>IFERROR(__xludf.DUMMYFUNCTION("""COMPUTED_VALUE"""),43305.0)</f>
        <v>43305</v>
      </c>
      <c r="I851" s="27">
        <f>IFERROR(__xludf.DUMMYFUNCTION("""COMPUTED_VALUE"""),0.9833333333333333)</f>
        <v>0.9833333333</v>
      </c>
      <c r="J851" s="29">
        <f>IFERROR(__xludf.DUMMYFUNCTION("""COMPUTED_VALUE"""),88.0)</f>
        <v>88</v>
      </c>
      <c r="K851" s="29">
        <f>IFERROR(__xludf.DUMMYFUNCTION("""COMPUTED_VALUE"""),9.0)</f>
        <v>9</v>
      </c>
      <c r="L851" s="31" t="str">
        <f>IFERROR(__xludf.DUMMYFUNCTION("""COMPUTED_VALUE"""),"Strategy")</f>
        <v>Strategy</v>
      </c>
    </row>
    <row r="852" hidden="1">
      <c r="A852" s="17" t="str">
        <f>IFERROR(__xludf.DUMMYFUNCTION("""COMPUTED_VALUE"""),"RiME")</f>
        <v>RiME</v>
      </c>
      <c r="B852" s="20" t="str">
        <f>IFERROR(__xludf.DUMMYFUNCTION("""COMPUTED_VALUE"""),"Xbox / PC")</f>
        <v>Xbox / PC</v>
      </c>
      <c r="C852" s="20"/>
      <c r="D852" s="21" t="str">
        <f>IFERROR(__xludf.DUMMYFUNCTION("""COMPUTED_VALUE"""),"Removed")</f>
        <v>Removed</v>
      </c>
      <c r="E852" s="127">
        <f>IFERROR(__xludf.DUMMYFUNCTION("""COMPUTED_VALUE"""),43132.0)</f>
        <v>43132</v>
      </c>
      <c r="F852" s="24">
        <f>IFERROR(__xludf.DUMMYFUNCTION("""COMPUTED_VALUE"""),44043.0)</f>
        <v>44043</v>
      </c>
      <c r="G852" s="27">
        <f>IFERROR(__xludf.DUMMYFUNCTION("""COMPUTED_VALUE"""),29.96666666666667)</f>
        <v>29.96666667</v>
      </c>
      <c r="H852" s="128">
        <f>IFERROR(__xludf.DUMMYFUNCTION("""COMPUTED_VALUE"""),42881.0)</f>
        <v>42881</v>
      </c>
      <c r="I852" s="27">
        <f>IFERROR(__xludf.DUMMYFUNCTION("""COMPUTED_VALUE"""),0.6805555555555556)</f>
        <v>0.6805555556</v>
      </c>
      <c r="J852" s="29">
        <f>IFERROR(__xludf.DUMMYFUNCTION("""COMPUTED_VALUE"""),82.0)</f>
        <v>82</v>
      </c>
      <c r="K852" s="29">
        <f>IFERROR(__xludf.DUMMYFUNCTION("""COMPUTED_VALUE"""),5.5)</f>
        <v>5.5</v>
      </c>
      <c r="L852" s="31" t="str">
        <f>IFERROR(__xludf.DUMMYFUNCTION("""COMPUTED_VALUE"""),"Platformer")</f>
        <v>Platformer</v>
      </c>
    </row>
    <row r="853" hidden="1">
      <c r="A853" s="17" t="str">
        <f>IFERROR(__xludf.DUMMYFUNCTION("""COMPUTED_VALUE"""),"Metal Gear Solid V: The Phantom Pain")</f>
        <v>Metal Gear Solid V: The Phantom Pain</v>
      </c>
      <c r="B853" s="20" t="str">
        <f>IFERROR(__xludf.DUMMYFUNCTION("""COMPUTED_VALUE"""),"Xbox")</f>
        <v>Xbox</v>
      </c>
      <c r="C853" s="20"/>
      <c r="D853" s="21" t="str">
        <f>IFERROR(__xludf.DUMMYFUNCTION("""COMPUTED_VALUE"""),"Removed")</f>
        <v>Removed</v>
      </c>
      <c r="E853" s="127">
        <f>IFERROR(__xludf.DUMMYFUNCTION("""COMPUTED_VALUE"""),43664.0)</f>
        <v>43664</v>
      </c>
      <c r="F853" s="276">
        <f>IFERROR(__xludf.DUMMYFUNCTION("""COMPUTED_VALUE"""),44027.0)</f>
        <v>44027</v>
      </c>
      <c r="G853" s="27">
        <f>IFERROR(__xludf.DUMMYFUNCTION("""COMPUTED_VALUE"""),11.9)</f>
        <v>11.9</v>
      </c>
      <c r="H853" s="128">
        <f>IFERROR(__xludf.DUMMYFUNCTION("""COMPUTED_VALUE"""),42248.0)</f>
        <v>42248</v>
      </c>
      <c r="I853" s="27">
        <f>IFERROR(__xludf.DUMMYFUNCTION("""COMPUTED_VALUE"""),3.8805555555555555)</f>
        <v>3.880555556</v>
      </c>
      <c r="J853" s="29">
        <f>IFERROR(__xludf.DUMMYFUNCTION("""COMPUTED_VALUE"""),95.0)</f>
        <v>95</v>
      </c>
      <c r="K853" s="29">
        <f>IFERROR(__xludf.DUMMYFUNCTION("""COMPUTED_VALUE"""),46.0)</f>
        <v>46</v>
      </c>
      <c r="L853" s="31" t="str">
        <f>IFERROR(__xludf.DUMMYFUNCTION("""COMPUTED_VALUE"""),"Shooter")</f>
        <v>Shooter</v>
      </c>
    </row>
    <row r="854" hidden="1">
      <c r="A854" s="17" t="str">
        <f>IFERROR(__xludf.DUMMYFUNCTION("""COMPUTED_VALUE"""),"Blazing Chrome")</f>
        <v>Blazing Chrome</v>
      </c>
      <c r="B854" s="20" t="str">
        <f>IFERROR(__xludf.DUMMYFUNCTION("""COMPUTED_VALUE"""),"Xbox / PC")</f>
        <v>Xbox / PC</v>
      </c>
      <c r="C854" s="20"/>
      <c r="D854" s="21" t="str">
        <f>IFERROR(__xludf.DUMMYFUNCTION("""COMPUTED_VALUE"""),"Removed")</f>
        <v>Removed</v>
      </c>
      <c r="E854" s="127">
        <f>IFERROR(__xludf.DUMMYFUNCTION("""COMPUTED_VALUE"""),43657.0)</f>
        <v>43657</v>
      </c>
      <c r="F854" s="276">
        <f>IFERROR(__xludf.DUMMYFUNCTION("""COMPUTED_VALUE"""),44027.0)</f>
        <v>44027</v>
      </c>
      <c r="G854" s="27">
        <f>IFERROR(__xludf.DUMMYFUNCTION("""COMPUTED_VALUE"""),12.133333333333333)</f>
        <v>12.13333333</v>
      </c>
      <c r="H854" s="128">
        <f>IFERROR(__xludf.DUMMYFUNCTION("""COMPUTED_VALUE"""),43657.0)</f>
        <v>43657</v>
      </c>
      <c r="I854" s="27">
        <f>IFERROR(__xludf.DUMMYFUNCTION("""COMPUTED_VALUE"""),0.0)</f>
        <v>0</v>
      </c>
      <c r="J854" s="277">
        <f>IFERROR(__xludf.DUMMYFUNCTION("""COMPUTED_VALUE"""),82.0)</f>
        <v>82</v>
      </c>
      <c r="K854" s="29">
        <f>IFERROR(__xludf.DUMMYFUNCTION("""COMPUTED_VALUE"""),2.0)</f>
        <v>2</v>
      </c>
      <c r="L854" s="31" t="str">
        <f>IFERROR(__xludf.DUMMYFUNCTION("""COMPUTED_VALUE"""),"Action")</f>
        <v>Action</v>
      </c>
    </row>
    <row r="855" hidden="1">
      <c r="A855" s="17" t="str">
        <f>IFERROR(__xludf.DUMMYFUNCTION("""COMPUTED_VALUE"""),"Dead Rising 4")</f>
        <v>Dead Rising 4</v>
      </c>
      <c r="B855" s="20" t="str">
        <f>IFERROR(__xludf.DUMMYFUNCTION("""COMPUTED_VALUE"""),"Xbox / PC")</f>
        <v>Xbox / PC</v>
      </c>
      <c r="C855" s="20"/>
      <c r="D855" s="21" t="str">
        <f>IFERROR(__xludf.DUMMYFUNCTION("""COMPUTED_VALUE"""),"Removed")</f>
        <v>Removed</v>
      </c>
      <c r="E855" s="127">
        <f>IFERROR(__xludf.DUMMYFUNCTION("""COMPUTED_VALUE"""),43657.0)</f>
        <v>43657</v>
      </c>
      <c r="F855" s="276">
        <f>IFERROR(__xludf.DUMMYFUNCTION("""COMPUTED_VALUE"""),44027.0)</f>
        <v>44027</v>
      </c>
      <c r="G855" s="27">
        <f>IFERROR(__xludf.DUMMYFUNCTION("""COMPUTED_VALUE"""),12.133333333333333)</f>
        <v>12.13333333</v>
      </c>
      <c r="H855" s="128">
        <f>IFERROR(__xludf.DUMMYFUNCTION("""COMPUTED_VALUE"""),42710.0)</f>
        <v>42710</v>
      </c>
      <c r="I855" s="27">
        <f>IFERROR(__xludf.DUMMYFUNCTION("""COMPUTED_VALUE"""),2.5972222222222223)</f>
        <v>2.597222222</v>
      </c>
      <c r="J855" s="29">
        <f>IFERROR(__xludf.DUMMYFUNCTION("""COMPUTED_VALUE"""),72.0)</f>
        <v>72</v>
      </c>
      <c r="K855" s="29">
        <f>IFERROR(__xludf.DUMMYFUNCTION("""COMPUTED_VALUE"""),10.5)</f>
        <v>10.5</v>
      </c>
      <c r="L855" s="31" t="str">
        <f>IFERROR(__xludf.DUMMYFUNCTION("""COMPUTED_VALUE"""),"Action-Adventure")</f>
        <v>Action-Adventure</v>
      </c>
    </row>
    <row r="856" hidden="1">
      <c r="A856" s="17" t="str">
        <f>IFERROR(__xludf.DUMMYFUNCTION("""COMPUTED_VALUE"""),"Timespinner")</f>
        <v>Timespinner</v>
      </c>
      <c r="B856" s="20" t="str">
        <f>IFERROR(__xludf.DUMMYFUNCTION("""COMPUTED_VALUE"""),"Xbox / PC")</f>
        <v>Xbox / PC</v>
      </c>
      <c r="C856" s="20"/>
      <c r="D856" s="21" t="str">
        <f>IFERROR(__xludf.DUMMYFUNCTION("""COMPUTED_VALUE"""),"Removed")</f>
        <v>Removed</v>
      </c>
      <c r="E856" s="127">
        <f>IFERROR(__xludf.DUMMYFUNCTION("""COMPUTED_VALUE"""),43657.0)</f>
        <v>43657</v>
      </c>
      <c r="F856" s="24">
        <f>IFERROR(__xludf.DUMMYFUNCTION("""COMPUTED_VALUE"""),44027.0)</f>
        <v>44027</v>
      </c>
      <c r="G856" s="27">
        <f>IFERROR(__xludf.DUMMYFUNCTION("""COMPUTED_VALUE"""),12.133333333333333)</f>
        <v>12.13333333</v>
      </c>
      <c r="H856" s="128">
        <f>IFERROR(__xludf.DUMMYFUNCTION("""COMPUTED_VALUE"""),43368.0)</f>
        <v>43368</v>
      </c>
      <c r="I856" s="27">
        <f>IFERROR(__xludf.DUMMYFUNCTION("""COMPUTED_VALUE"""),0.7944444444444444)</f>
        <v>0.7944444444</v>
      </c>
      <c r="J856" s="29">
        <f>IFERROR(__xludf.DUMMYFUNCTION("""COMPUTED_VALUE"""),74.0)</f>
        <v>74</v>
      </c>
      <c r="K856" s="29">
        <f>IFERROR(__xludf.DUMMYFUNCTION("""COMPUTED_VALUE"""),6.0)</f>
        <v>6</v>
      </c>
      <c r="L856" s="31" t="str">
        <f>IFERROR(__xludf.DUMMYFUNCTION("""COMPUTED_VALUE"""),"Platformer")</f>
        <v>Platformer</v>
      </c>
    </row>
    <row r="857" hidden="1">
      <c r="A857" s="17" t="str">
        <f>IFERROR(__xludf.DUMMYFUNCTION("""COMPUTED_VALUE"""),"Unavowed")</f>
        <v>Unavowed</v>
      </c>
      <c r="B857" s="20" t="str">
        <f>IFERROR(__xludf.DUMMYFUNCTION("""COMPUTED_VALUE"""),"PC")</f>
        <v>PC</v>
      </c>
      <c r="C857" s="20"/>
      <c r="D857" s="21" t="str">
        <f>IFERROR(__xludf.DUMMYFUNCTION("""COMPUTED_VALUE"""),"Removed")</f>
        <v>Removed</v>
      </c>
      <c r="E857" s="127">
        <f>IFERROR(__xludf.DUMMYFUNCTION("""COMPUTED_VALUE"""),43657.0)</f>
        <v>43657</v>
      </c>
      <c r="F857" s="276">
        <f>IFERROR(__xludf.DUMMYFUNCTION("""COMPUTED_VALUE"""),44027.0)</f>
        <v>44027</v>
      </c>
      <c r="G857" s="27">
        <f>IFERROR(__xludf.DUMMYFUNCTION("""COMPUTED_VALUE"""),12.133333333333333)</f>
        <v>12.13333333</v>
      </c>
      <c r="H857" s="128">
        <f>IFERROR(__xludf.DUMMYFUNCTION("""COMPUTED_VALUE"""),43320.0)</f>
        <v>43320</v>
      </c>
      <c r="I857" s="27">
        <f>IFERROR(__xludf.DUMMYFUNCTION("""COMPUTED_VALUE"""),0.925)</f>
        <v>0.925</v>
      </c>
      <c r="J857" s="29">
        <f>IFERROR(__xludf.DUMMYFUNCTION("""COMPUTED_VALUE"""),87.0)</f>
        <v>87</v>
      </c>
      <c r="K857" s="29">
        <f>IFERROR(__xludf.DUMMYFUNCTION("""COMPUTED_VALUE"""),9.0)</f>
        <v>9</v>
      </c>
      <c r="L857" s="31" t="str">
        <f>IFERROR(__xludf.DUMMYFUNCTION("""COMPUTED_VALUE"""),"RPG")</f>
        <v>RPG</v>
      </c>
    </row>
    <row r="858" hidden="1">
      <c r="A858" s="17" t="str">
        <f>IFERROR(__xludf.DUMMYFUNCTION("""COMPUTED_VALUE"""),"Battlefleet Gothic: Armada")</f>
        <v>Battlefleet Gothic: Armada</v>
      </c>
      <c r="B858" s="20" t="str">
        <f>IFERROR(__xludf.DUMMYFUNCTION("""COMPUTED_VALUE"""),"PC")</f>
        <v>PC</v>
      </c>
      <c r="C858" s="20"/>
      <c r="D858" s="21" t="str">
        <f>IFERROR(__xludf.DUMMYFUNCTION("""COMPUTED_VALUE"""),"Removed")</f>
        <v>Removed</v>
      </c>
      <c r="E858" s="127">
        <f>IFERROR(__xludf.DUMMYFUNCTION("""COMPUTED_VALUE"""),43625.0)</f>
        <v>43625</v>
      </c>
      <c r="F858" s="24">
        <f>IFERROR(__xludf.DUMMYFUNCTION("""COMPUTED_VALUE"""),44012.0)</f>
        <v>44012</v>
      </c>
      <c r="G858" s="27">
        <f>IFERROR(__xludf.DUMMYFUNCTION("""COMPUTED_VALUE"""),12.7)</f>
        <v>12.7</v>
      </c>
      <c r="H858" s="128">
        <f>IFERROR(__xludf.DUMMYFUNCTION("""COMPUTED_VALUE"""),42481.0)</f>
        <v>42481</v>
      </c>
      <c r="I858" s="27">
        <f>IFERROR(__xludf.DUMMYFUNCTION("""COMPUTED_VALUE"""),3.1333333333333333)</f>
        <v>3.133333333</v>
      </c>
      <c r="J858" s="29">
        <f>IFERROR(__xludf.DUMMYFUNCTION("""COMPUTED_VALUE"""),77.0)</f>
        <v>77</v>
      </c>
      <c r="K858" s="29">
        <f>IFERROR(__xludf.DUMMYFUNCTION("""COMPUTED_VALUE"""),19.5)</f>
        <v>19.5</v>
      </c>
      <c r="L858" s="31" t="str">
        <f>IFERROR(__xludf.DUMMYFUNCTION("""COMPUTED_VALUE"""),"Strategy")</f>
        <v>Strategy</v>
      </c>
    </row>
    <row r="859" hidden="1">
      <c r="A859" s="17" t="str">
        <f>IFERROR(__xludf.DUMMYFUNCTION("""COMPUTED_VALUE"""),"ACA NeoGeo Metal Slug X")</f>
        <v>ACA NeoGeo Metal Slug X</v>
      </c>
      <c r="B859" s="20" t="str">
        <f>IFERROR(__xludf.DUMMYFUNCTION("""COMPUTED_VALUE"""),"Xbox / PC")</f>
        <v>Xbox / PC</v>
      </c>
      <c r="C859" s="20"/>
      <c r="D859" s="21" t="str">
        <f>IFERROR(__xludf.DUMMYFUNCTION("""COMPUTED_VALUE"""),"Removed")</f>
        <v>Removed</v>
      </c>
      <c r="E859" s="127">
        <f>IFERROR(__xludf.DUMMYFUNCTION("""COMPUTED_VALUE"""),43625.0)</f>
        <v>43625</v>
      </c>
      <c r="F859" s="276">
        <f>IFERROR(__xludf.DUMMYFUNCTION("""COMPUTED_VALUE"""),44012.0)</f>
        <v>44012</v>
      </c>
      <c r="G859" s="27">
        <f>IFERROR(__xludf.DUMMYFUNCTION("""COMPUTED_VALUE"""),12.7)</f>
        <v>12.7</v>
      </c>
      <c r="H859" s="128">
        <f>IFERROR(__xludf.DUMMYFUNCTION("""COMPUTED_VALUE"""),36237.0)</f>
        <v>36237</v>
      </c>
      <c r="I859" s="27">
        <f>IFERROR(__xludf.DUMMYFUNCTION("""COMPUTED_VALUE"""),20.225)</f>
        <v>20.225</v>
      </c>
      <c r="J859" s="29">
        <f>IFERROR(__xludf.DUMMYFUNCTION("""COMPUTED_VALUE"""),61.0)</f>
        <v>61</v>
      </c>
      <c r="K859" s="29">
        <f>IFERROR(__xludf.DUMMYFUNCTION("""COMPUTED_VALUE"""),1.0)</f>
        <v>1</v>
      </c>
      <c r="L859" s="31" t="str">
        <f>IFERROR(__xludf.DUMMYFUNCTION("""COMPUTED_VALUE"""),"Shooter")</f>
        <v>Shooter</v>
      </c>
    </row>
    <row r="860" hidden="1">
      <c r="A860" s="17" t="str">
        <f>IFERROR(__xludf.DUMMYFUNCTION("""COMPUTED_VALUE"""),"Metro Exodus")</f>
        <v>Metro Exodus</v>
      </c>
      <c r="B860" s="20" t="str">
        <f>IFERROR(__xludf.DUMMYFUNCTION("""COMPUTED_VALUE"""),"Xbox / PC")</f>
        <v>Xbox / PC</v>
      </c>
      <c r="C860" s="20"/>
      <c r="D860" s="21" t="str">
        <f>IFERROR(__xludf.DUMMYFUNCTION("""COMPUTED_VALUE"""),"Removed")</f>
        <v>Removed</v>
      </c>
      <c r="E860" s="127">
        <f>IFERROR(__xludf.DUMMYFUNCTION("""COMPUTED_VALUE"""),43625.0)</f>
        <v>43625</v>
      </c>
      <c r="F860" s="276">
        <f>IFERROR(__xludf.DUMMYFUNCTION("""COMPUTED_VALUE"""),44012.0)</f>
        <v>44012</v>
      </c>
      <c r="G860" s="27">
        <f>IFERROR(__xludf.DUMMYFUNCTION("""COMPUTED_VALUE"""),12.7)</f>
        <v>12.7</v>
      </c>
      <c r="H860" s="128">
        <f>IFERROR(__xludf.DUMMYFUNCTION("""COMPUTED_VALUE"""),43511.0)</f>
        <v>43511</v>
      </c>
      <c r="I860" s="27">
        <f>IFERROR(__xludf.DUMMYFUNCTION("""COMPUTED_VALUE"""),0.31666666666666665)</f>
        <v>0.3166666667</v>
      </c>
      <c r="J860" s="277">
        <f>IFERROR(__xludf.DUMMYFUNCTION("""COMPUTED_VALUE"""),82.0)</f>
        <v>82</v>
      </c>
      <c r="K860" s="29">
        <f>IFERROR(__xludf.DUMMYFUNCTION("""COMPUTED_VALUE"""),14.0)</f>
        <v>14</v>
      </c>
      <c r="L860" s="31" t="str">
        <f>IFERROR(__xludf.DUMMYFUNCTION("""COMPUTED_VALUE"""),"Shooter")</f>
        <v>Shooter</v>
      </c>
    </row>
    <row r="861" hidden="1">
      <c r="A861" s="17" t="str">
        <f>IFERROR(__xludf.DUMMYFUNCTION("""COMPUTED_VALUE"""),"Neon Chrome")</f>
        <v>Neon Chrome</v>
      </c>
      <c r="B861" s="20" t="str">
        <f>IFERROR(__xludf.DUMMYFUNCTION("""COMPUTED_VALUE"""),"Xbox / PC")</f>
        <v>Xbox / PC</v>
      </c>
      <c r="C861" s="20"/>
      <c r="D861" s="21" t="str">
        <f>IFERROR(__xludf.DUMMYFUNCTION("""COMPUTED_VALUE"""),"Removed")</f>
        <v>Removed</v>
      </c>
      <c r="E861" s="127">
        <f>IFERROR(__xludf.DUMMYFUNCTION("""COMPUTED_VALUE"""),43625.0)</f>
        <v>43625</v>
      </c>
      <c r="F861" s="24">
        <f>IFERROR(__xludf.DUMMYFUNCTION("""COMPUTED_VALUE"""),44012.0)</f>
        <v>44012</v>
      </c>
      <c r="G861" s="27">
        <f>IFERROR(__xludf.DUMMYFUNCTION("""COMPUTED_VALUE"""),12.7)</f>
        <v>12.7</v>
      </c>
      <c r="H861" s="128">
        <f>IFERROR(__xludf.DUMMYFUNCTION("""COMPUTED_VALUE"""),42488.0)</f>
        <v>42488</v>
      </c>
      <c r="I861" s="27">
        <f>IFERROR(__xludf.DUMMYFUNCTION("""COMPUTED_VALUE"""),3.113888888888889)</f>
        <v>3.113888889</v>
      </c>
      <c r="J861" s="29">
        <f>IFERROR(__xludf.DUMMYFUNCTION("""COMPUTED_VALUE"""),72.0)</f>
        <v>72</v>
      </c>
      <c r="K861" s="29">
        <f>IFERROR(__xludf.DUMMYFUNCTION("""COMPUTED_VALUE"""),5.0)</f>
        <v>5</v>
      </c>
      <c r="L861" s="31" t="str">
        <f>IFERROR(__xludf.DUMMYFUNCTION("""COMPUTED_VALUE"""),"Shooter")</f>
        <v>Shooter</v>
      </c>
    </row>
    <row r="862" hidden="1">
      <c r="A862" s="17" t="str">
        <f>IFERROR(__xludf.DUMMYFUNCTION("""COMPUTED_VALUE"""),"Shadow Tactics: Blades of the Shogun")</f>
        <v>Shadow Tactics: Blades of the Shogun</v>
      </c>
      <c r="B862" s="20" t="str">
        <f>IFERROR(__xludf.DUMMYFUNCTION("""COMPUTED_VALUE"""),"Xbox")</f>
        <v>Xbox</v>
      </c>
      <c r="C862" s="20"/>
      <c r="D862" s="21" t="str">
        <f>IFERROR(__xludf.DUMMYFUNCTION("""COMPUTED_VALUE"""),"Removed")</f>
        <v>Removed</v>
      </c>
      <c r="E862" s="127">
        <f>IFERROR(__xludf.DUMMYFUNCTION("""COMPUTED_VALUE"""),43625.0)</f>
        <v>43625</v>
      </c>
      <c r="F862" s="276">
        <f>IFERROR(__xludf.DUMMYFUNCTION("""COMPUTED_VALUE"""),44012.0)</f>
        <v>44012</v>
      </c>
      <c r="G862" s="27">
        <f>IFERROR(__xludf.DUMMYFUNCTION("""COMPUTED_VALUE"""),12.7)</f>
        <v>12.7</v>
      </c>
      <c r="H862" s="128">
        <f>IFERROR(__xludf.DUMMYFUNCTION("""COMPUTED_VALUE"""),42710.0)</f>
        <v>42710</v>
      </c>
      <c r="I862" s="27">
        <f>IFERROR(__xludf.DUMMYFUNCTION("""COMPUTED_VALUE"""),2.5083333333333333)</f>
        <v>2.508333333</v>
      </c>
      <c r="J862" s="29">
        <f>IFERROR(__xludf.DUMMYFUNCTION("""COMPUTED_VALUE"""),85.0)</f>
        <v>85</v>
      </c>
      <c r="K862" s="29">
        <f>IFERROR(__xludf.DUMMYFUNCTION("""COMPUTED_VALUE"""),24.5)</f>
        <v>24.5</v>
      </c>
      <c r="L862" s="31" t="str">
        <f>IFERROR(__xludf.DUMMYFUNCTION("""COMPUTED_VALUE"""),"Strategy")</f>
        <v>Strategy</v>
      </c>
    </row>
    <row r="863" hidden="1">
      <c r="A863" s="17" t="str">
        <f>IFERROR(__xludf.DUMMYFUNCTION("""COMPUTED_VALUE"""),"Life is Strange 2")</f>
        <v>Life is Strange 2</v>
      </c>
      <c r="B863" s="20" t="str">
        <f>IFERROR(__xludf.DUMMYFUNCTION("""COMPUTED_VALUE"""),"Xbox")</f>
        <v>Xbox</v>
      </c>
      <c r="C863" s="20"/>
      <c r="D863" s="21" t="str">
        <f>IFERROR(__xludf.DUMMYFUNCTION("""COMPUTED_VALUE"""),"Removed")</f>
        <v>Removed</v>
      </c>
      <c r="E863" s="127">
        <f>IFERROR(__xludf.DUMMYFUNCTION("""COMPUTED_VALUE"""),43468.0)</f>
        <v>43468</v>
      </c>
      <c r="F863" s="24">
        <f>IFERROR(__xludf.DUMMYFUNCTION("""COMPUTED_VALUE"""),44012.0)</f>
        <v>44012</v>
      </c>
      <c r="G863" s="27">
        <f>IFERROR(__xludf.DUMMYFUNCTION("""COMPUTED_VALUE"""),17.9)</f>
        <v>17.9</v>
      </c>
      <c r="H863" s="128">
        <f>IFERROR(__xludf.DUMMYFUNCTION("""COMPUTED_VALUE"""),43370.0)</f>
        <v>43370</v>
      </c>
      <c r="I863" s="27">
        <f>IFERROR(__xludf.DUMMYFUNCTION("""COMPUTED_VALUE"""),0.26666666666666666)</f>
        <v>0.2666666667</v>
      </c>
      <c r="J863" s="29">
        <f>IFERROR(__xludf.DUMMYFUNCTION("""COMPUTED_VALUE"""),75.0)</f>
        <v>75</v>
      </c>
      <c r="K863" s="29">
        <f>IFERROR(__xludf.DUMMYFUNCTION("""COMPUTED_VALUE"""),16.0)</f>
        <v>16</v>
      </c>
      <c r="L863" s="31" t="str">
        <f>IFERROR(__xludf.DUMMYFUNCTION("""COMPUTED_VALUE"""),"Adventure")</f>
        <v>Adventure</v>
      </c>
    </row>
    <row r="864">
      <c r="A864" s="12" t="str">
        <f>IFERROR(__xludf.DUMMYFUNCTION("""COMPUTED_VALUE"""),"Die for Valhalla!")</f>
        <v>Die for Valhalla!</v>
      </c>
      <c r="B864" s="13" t="str">
        <f>IFERROR(__xludf.DUMMYFUNCTION("""COMPUTED_VALUE"""),"PC")</f>
        <v>PC</v>
      </c>
      <c r="C864" s="14"/>
      <c r="D864" s="14" t="str">
        <f>IFERROR(__xludf.DUMMYFUNCTION("""COMPUTED_VALUE"""),"Removed")</f>
        <v>Removed</v>
      </c>
      <c r="E864" s="294">
        <f>IFERROR(__xludf.DUMMYFUNCTION("""COMPUTED_VALUE"""),43249.0)</f>
        <v>43249</v>
      </c>
      <c r="F864" s="15">
        <f>IFERROR(__xludf.DUMMYFUNCTION("""COMPUTED_VALUE"""),44012.0)</f>
        <v>44012</v>
      </c>
      <c r="G864" s="18">
        <f>IFERROR(__xludf.DUMMYFUNCTION("""COMPUTED_VALUE"""),25.033333333333335)</f>
        <v>25.03333333</v>
      </c>
      <c r="H864" s="131">
        <f>IFERROR(__xludf.DUMMYFUNCTION("""COMPUTED_VALUE"""),43249.0)</f>
        <v>43249</v>
      </c>
      <c r="I864" s="18">
        <f>IFERROR(__xludf.DUMMYFUNCTION("""COMPUTED_VALUE"""),0.0)</f>
        <v>0</v>
      </c>
      <c r="J864" s="22">
        <f>IFERROR(__xludf.DUMMYFUNCTION("""COMPUTED_VALUE"""),70.0)</f>
        <v>70</v>
      </c>
      <c r="K864" s="22">
        <f>IFERROR(__xludf.DUMMYFUNCTION("""COMPUTED_VALUE"""),7.0)</f>
        <v>7</v>
      </c>
      <c r="L864" s="26" t="str">
        <f>IFERROR(__xludf.DUMMYFUNCTION("""COMPUTED_VALUE"""),"Action")</f>
        <v>Action</v>
      </c>
    </row>
    <row r="865">
      <c r="A865" s="12" t="str">
        <f>IFERROR(__xludf.DUMMYFUNCTION("""COMPUTED_VALUE"""),"The Flame in the Flood")</f>
        <v>The Flame in the Flood</v>
      </c>
      <c r="B865" s="13" t="str">
        <f>IFERROR(__xludf.DUMMYFUNCTION("""COMPUTED_VALUE"""),"Xbox / PC")</f>
        <v>Xbox / PC</v>
      </c>
      <c r="C865" s="14"/>
      <c r="D865" s="14" t="str">
        <f>IFERROR(__xludf.DUMMYFUNCTION("""COMPUTED_VALUE"""),"Removed")</f>
        <v>Removed</v>
      </c>
      <c r="E865" s="294">
        <f>IFERROR(__xludf.DUMMYFUNCTION("""COMPUTED_VALUE"""),42917.0)</f>
        <v>42917</v>
      </c>
      <c r="F865" s="15">
        <f>IFERROR(__xludf.DUMMYFUNCTION("""COMPUTED_VALUE"""),44012.0)</f>
        <v>44012</v>
      </c>
      <c r="G865" s="18">
        <f>IFERROR(__xludf.DUMMYFUNCTION("""COMPUTED_VALUE"""),35.96666666666667)</f>
        <v>35.96666667</v>
      </c>
      <c r="H865" s="131">
        <f>IFERROR(__xludf.DUMMYFUNCTION("""COMPUTED_VALUE"""),42424.0)</f>
        <v>42424</v>
      </c>
      <c r="I865" s="18">
        <f>IFERROR(__xludf.DUMMYFUNCTION("""COMPUTED_VALUE"""),1.3527777777777779)</f>
        <v>1.352777778</v>
      </c>
      <c r="J865" s="22">
        <f>IFERROR(__xludf.DUMMYFUNCTION("""COMPUTED_VALUE"""),74.0)</f>
        <v>74</v>
      </c>
      <c r="K865" s="22">
        <f>IFERROR(__xludf.DUMMYFUNCTION("""COMPUTED_VALUE"""),9.0)</f>
        <v>9</v>
      </c>
      <c r="L865" s="26" t="str">
        <f>IFERROR(__xludf.DUMMYFUNCTION("""COMPUTED_VALUE"""),"Adventure")</f>
        <v>Adventure</v>
      </c>
    </row>
    <row r="866">
      <c r="A866" s="12" t="str">
        <f>IFERROR(__xludf.DUMMYFUNCTION("""COMPUTED_VALUE"""),"Resident Evil: Revelations")</f>
        <v>Resident Evil: Revelations</v>
      </c>
      <c r="B866" s="13" t="str">
        <f>IFERROR(__xludf.DUMMYFUNCTION("""COMPUTED_VALUE"""),"Xbox")</f>
        <v>Xbox</v>
      </c>
      <c r="C866" s="14"/>
      <c r="D866" s="14" t="str">
        <f>IFERROR(__xludf.DUMMYFUNCTION("""COMPUTED_VALUE"""),"Removed")</f>
        <v>Removed</v>
      </c>
      <c r="E866" s="294">
        <f>IFERROR(__xludf.DUMMYFUNCTION("""COMPUTED_VALUE"""),43636.0)</f>
        <v>43636</v>
      </c>
      <c r="F866" s="15">
        <f>IFERROR(__xludf.DUMMYFUNCTION("""COMPUTED_VALUE"""),43997.0)</f>
        <v>43997</v>
      </c>
      <c r="G866" s="18">
        <f>IFERROR(__xludf.DUMMYFUNCTION("""COMPUTED_VALUE"""),11.833333333333334)</f>
        <v>11.83333333</v>
      </c>
      <c r="H866" s="131">
        <f>IFERROR(__xludf.DUMMYFUNCTION("""COMPUTED_VALUE"""),40934.0)</f>
        <v>40934</v>
      </c>
      <c r="I866" s="18">
        <f>IFERROR(__xludf.DUMMYFUNCTION("""COMPUTED_VALUE"""),7.4)</f>
        <v>7.4</v>
      </c>
      <c r="J866" s="22">
        <f>IFERROR(__xludf.DUMMYFUNCTION("""COMPUTED_VALUE"""),78.0)</f>
        <v>78</v>
      </c>
      <c r="K866" s="22">
        <f>IFERROR(__xludf.DUMMYFUNCTION("""COMPUTED_VALUE"""),9.0)</f>
        <v>9</v>
      </c>
      <c r="L866" s="26" t="str">
        <f>IFERROR(__xludf.DUMMYFUNCTION("""COMPUTED_VALUE"""),"Shooter")</f>
        <v>Shooter</v>
      </c>
    </row>
    <row r="867">
      <c r="A867" s="12" t="str">
        <f>IFERROR(__xludf.DUMMYFUNCTION("""COMPUTED_VALUE"""),"Book of Demons")</f>
        <v>Book of Demons</v>
      </c>
      <c r="B867" s="13" t="str">
        <f>IFERROR(__xludf.DUMMYFUNCTION("""COMPUTED_VALUE"""),"PC")</f>
        <v>PC</v>
      </c>
      <c r="C867" s="14"/>
      <c r="D867" s="14" t="str">
        <f>IFERROR(__xludf.DUMMYFUNCTION("""COMPUTED_VALUE"""),"Removed")</f>
        <v>Removed</v>
      </c>
      <c r="E867" s="294">
        <f>IFERROR(__xludf.DUMMYFUNCTION("""COMPUTED_VALUE"""),43625.0)</f>
        <v>43625</v>
      </c>
      <c r="F867" s="15">
        <f>IFERROR(__xludf.DUMMYFUNCTION("""COMPUTED_VALUE"""),43997.0)</f>
        <v>43997</v>
      </c>
      <c r="G867" s="18">
        <f>IFERROR(__xludf.DUMMYFUNCTION("""COMPUTED_VALUE"""),12.2)</f>
        <v>12.2</v>
      </c>
      <c r="H867" s="131">
        <f>IFERROR(__xludf.DUMMYFUNCTION("""COMPUTED_VALUE"""),43447.0)</f>
        <v>43447</v>
      </c>
      <c r="I867" s="18">
        <f>IFERROR(__xludf.DUMMYFUNCTION("""COMPUTED_VALUE"""),0.4888888888888889)</f>
        <v>0.4888888889</v>
      </c>
      <c r="J867" s="22">
        <f>IFERROR(__xludf.DUMMYFUNCTION("""COMPUTED_VALUE"""),73.0)</f>
        <v>73</v>
      </c>
      <c r="K867" s="22">
        <f>IFERROR(__xludf.DUMMYFUNCTION("""COMPUTED_VALUE"""),9.5)</f>
        <v>9.5</v>
      </c>
      <c r="L867" s="26" t="str">
        <f>IFERROR(__xludf.DUMMYFUNCTION("""COMPUTED_VALUE"""),"RPG")</f>
        <v>RPG</v>
      </c>
    </row>
    <row r="868">
      <c r="A868" s="12" t="str">
        <f>IFERROR(__xludf.DUMMYFUNCTION("""COMPUTED_VALUE"""),"Everspace")</f>
        <v>Everspace</v>
      </c>
      <c r="B868" s="13" t="str">
        <f>IFERROR(__xludf.DUMMYFUNCTION("""COMPUTED_VALUE"""),"Xbox / PC")</f>
        <v>Xbox / PC</v>
      </c>
      <c r="C868" s="14"/>
      <c r="D868" s="14" t="str">
        <f>IFERROR(__xludf.DUMMYFUNCTION("""COMPUTED_VALUE"""),"Removed")</f>
        <v>Removed</v>
      </c>
      <c r="E868" s="294">
        <f>IFERROR(__xludf.DUMMYFUNCTION("""COMPUTED_VALUE"""),43625.0)</f>
        <v>43625</v>
      </c>
      <c r="F868" s="15">
        <f>IFERROR(__xludf.DUMMYFUNCTION("""COMPUTED_VALUE"""),43997.0)</f>
        <v>43997</v>
      </c>
      <c r="G868" s="18">
        <f>IFERROR(__xludf.DUMMYFUNCTION("""COMPUTED_VALUE"""),12.2)</f>
        <v>12.2</v>
      </c>
      <c r="H868" s="131">
        <f>IFERROR(__xludf.DUMMYFUNCTION("""COMPUTED_VALUE"""),42627.0)</f>
        <v>42627</v>
      </c>
      <c r="I868" s="18">
        <f>IFERROR(__xludf.DUMMYFUNCTION("""COMPUTED_VALUE"""),2.736111111111111)</f>
        <v>2.736111111</v>
      </c>
      <c r="J868" s="22">
        <f>IFERROR(__xludf.DUMMYFUNCTION("""COMPUTED_VALUE"""),84.0)</f>
        <v>84</v>
      </c>
      <c r="K868" s="22">
        <f>IFERROR(__xludf.DUMMYFUNCTION("""COMPUTED_VALUE"""),18.0)</f>
        <v>18</v>
      </c>
      <c r="L868" s="26" t="str">
        <f>IFERROR(__xludf.DUMMYFUNCTION("""COMPUTED_VALUE"""),"Shooter")</f>
        <v>Shooter</v>
      </c>
    </row>
    <row r="869">
      <c r="A869" s="12" t="str">
        <f>IFERROR(__xludf.DUMMYFUNCTION("""COMPUTED_VALUE"""),"Riverbond")</f>
        <v>Riverbond</v>
      </c>
      <c r="B869" s="13" t="str">
        <f>IFERROR(__xludf.DUMMYFUNCTION("""COMPUTED_VALUE"""),"Xbox / PC")</f>
        <v>Xbox / PC</v>
      </c>
      <c r="C869" s="14"/>
      <c r="D869" s="14" t="str">
        <f>IFERROR(__xludf.DUMMYFUNCTION("""COMPUTED_VALUE"""),"Removed")</f>
        <v>Removed</v>
      </c>
      <c r="E869" s="294">
        <f>IFERROR(__xludf.DUMMYFUNCTION("""COMPUTED_VALUE"""),43625.0)</f>
        <v>43625</v>
      </c>
      <c r="F869" s="15">
        <f>IFERROR(__xludf.DUMMYFUNCTION("""COMPUTED_VALUE"""),43997.0)</f>
        <v>43997</v>
      </c>
      <c r="G869" s="18">
        <f>IFERROR(__xludf.DUMMYFUNCTION("""COMPUTED_VALUE"""),12.2)</f>
        <v>12.2</v>
      </c>
      <c r="H869" s="131">
        <f>IFERROR(__xludf.DUMMYFUNCTION("""COMPUTED_VALUE"""),43625.0)</f>
        <v>43625</v>
      </c>
      <c r="I869" s="18">
        <f>IFERROR(__xludf.DUMMYFUNCTION("""COMPUTED_VALUE"""),0.0)</f>
        <v>0</v>
      </c>
      <c r="J869" s="22">
        <f>IFERROR(__xludf.DUMMYFUNCTION("""COMPUTED_VALUE"""),67.0)</f>
        <v>67</v>
      </c>
      <c r="K869" s="22">
        <f>IFERROR(__xludf.DUMMYFUNCTION("""COMPUTED_VALUE"""),4.5)</f>
        <v>4.5</v>
      </c>
      <c r="L869" s="26" t="str">
        <f>IFERROR(__xludf.DUMMYFUNCTION("""COMPUTED_VALUE"""),"Action-Adventure")</f>
        <v>Action-Adventure</v>
      </c>
    </row>
    <row r="870">
      <c r="A870" s="12" t="str">
        <f>IFERROR(__xludf.DUMMYFUNCTION("""COMPUTED_VALUE"""),"Samorost 3")</f>
        <v>Samorost 3</v>
      </c>
      <c r="B870" s="13" t="str">
        <f>IFERROR(__xludf.DUMMYFUNCTION("""COMPUTED_VALUE"""),"PC")</f>
        <v>PC</v>
      </c>
      <c r="C870" s="14"/>
      <c r="D870" s="14" t="str">
        <f>IFERROR(__xludf.DUMMYFUNCTION("""COMPUTED_VALUE"""),"Removed")</f>
        <v>Removed</v>
      </c>
      <c r="E870" s="294">
        <f>IFERROR(__xludf.DUMMYFUNCTION("""COMPUTED_VALUE"""),43625.0)</f>
        <v>43625</v>
      </c>
      <c r="F870" s="15">
        <f>IFERROR(__xludf.DUMMYFUNCTION("""COMPUTED_VALUE"""),43997.0)</f>
        <v>43997</v>
      </c>
      <c r="G870" s="18">
        <f>IFERROR(__xludf.DUMMYFUNCTION("""COMPUTED_VALUE"""),12.2)</f>
        <v>12.2</v>
      </c>
      <c r="H870" s="131">
        <f>IFERROR(__xludf.DUMMYFUNCTION("""COMPUTED_VALUE"""),42453.0)</f>
        <v>42453</v>
      </c>
      <c r="I870" s="18">
        <f>IFERROR(__xludf.DUMMYFUNCTION("""COMPUTED_VALUE"""),3.2083333333333335)</f>
        <v>3.208333333</v>
      </c>
      <c r="J870" s="22">
        <f>IFERROR(__xludf.DUMMYFUNCTION("""COMPUTED_VALUE"""),80.0)</f>
        <v>80</v>
      </c>
      <c r="K870" s="22">
        <f>IFERROR(__xludf.DUMMYFUNCTION("""COMPUTED_VALUE"""),5.0)</f>
        <v>5</v>
      </c>
      <c r="L870" s="26" t="str">
        <f>IFERROR(__xludf.DUMMYFUNCTION("""COMPUTED_VALUE"""),"Adventure")</f>
        <v>Adventure</v>
      </c>
    </row>
    <row r="871">
      <c r="A871" s="12" t="str">
        <f>IFERROR(__xludf.DUMMYFUNCTION("""COMPUTED_VALUE"""),"Supermarket Shriek")</f>
        <v>Supermarket Shriek</v>
      </c>
      <c r="B871" s="13" t="str">
        <f>IFERROR(__xludf.DUMMYFUNCTION("""COMPUTED_VALUE"""),"Xbox / PC")</f>
        <v>Xbox / PC</v>
      </c>
      <c r="C871" s="14"/>
      <c r="D871" s="14" t="str">
        <f>IFERROR(__xludf.DUMMYFUNCTION("""COMPUTED_VALUE"""),"Removed")</f>
        <v>Removed</v>
      </c>
      <c r="E871" s="294">
        <f>IFERROR(__xludf.DUMMYFUNCTION("""COMPUTED_VALUE"""),43625.0)</f>
        <v>43625</v>
      </c>
      <c r="F871" s="15">
        <f>IFERROR(__xludf.DUMMYFUNCTION("""COMPUTED_VALUE"""),43997.0)</f>
        <v>43997</v>
      </c>
      <c r="G871" s="18">
        <f>IFERROR(__xludf.DUMMYFUNCTION("""COMPUTED_VALUE"""),12.2)</f>
        <v>12.2</v>
      </c>
      <c r="H871" s="131">
        <f>IFERROR(__xludf.DUMMYFUNCTION("""COMPUTED_VALUE"""),43625.0)</f>
        <v>43625</v>
      </c>
      <c r="I871" s="18">
        <f>IFERROR(__xludf.DUMMYFUNCTION("""COMPUTED_VALUE"""),0.0)</f>
        <v>0</v>
      </c>
      <c r="J871" s="22">
        <f>IFERROR(__xludf.DUMMYFUNCTION("""COMPUTED_VALUE"""),76.0)</f>
        <v>76</v>
      </c>
      <c r="K871" s="22">
        <f>IFERROR(__xludf.DUMMYFUNCTION("""COMPUTED_VALUE"""),6.5)</f>
        <v>6.5</v>
      </c>
      <c r="L871" s="26" t="str">
        <f>IFERROR(__xludf.DUMMYFUNCTION("""COMPUTED_VALUE"""),"Racing")</f>
        <v>Racing</v>
      </c>
    </row>
    <row r="872">
      <c r="A872" s="12" t="str">
        <f>IFERROR(__xludf.DUMMYFUNCTION("""COMPUTED_VALUE"""),"The Last Door: Season 2 - Collector's Edition")</f>
        <v>The Last Door: Season 2 - Collector's Edition</v>
      </c>
      <c r="B872" s="13" t="str">
        <f>IFERROR(__xludf.DUMMYFUNCTION("""COMPUTED_VALUE"""),"PC")</f>
        <v>PC</v>
      </c>
      <c r="C872" s="14"/>
      <c r="D872" s="14" t="str">
        <f>IFERROR(__xludf.DUMMYFUNCTION("""COMPUTED_VALUE"""),"Removed")</f>
        <v>Removed</v>
      </c>
      <c r="E872" s="294">
        <f>IFERROR(__xludf.DUMMYFUNCTION("""COMPUTED_VALUE"""),43625.0)</f>
        <v>43625</v>
      </c>
      <c r="F872" s="15">
        <f>IFERROR(__xludf.DUMMYFUNCTION("""COMPUTED_VALUE"""),43997.0)</f>
        <v>43997</v>
      </c>
      <c r="G872" s="18">
        <f>IFERROR(__xludf.DUMMYFUNCTION("""COMPUTED_VALUE"""),12.2)</f>
        <v>12.2</v>
      </c>
      <c r="H872" s="131">
        <f>IFERROR(__xludf.DUMMYFUNCTION("""COMPUTED_VALUE"""),42458.0)</f>
        <v>42458</v>
      </c>
      <c r="I872" s="18">
        <f>IFERROR(__xludf.DUMMYFUNCTION("""COMPUTED_VALUE"""),3.1944444444444446)</f>
        <v>3.194444444</v>
      </c>
      <c r="J872" s="22">
        <f>IFERROR(__xludf.DUMMYFUNCTION("""COMPUTED_VALUE"""),85.0)</f>
        <v>85</v>
      </c>
      <c r="K872" s="22">
        <f>IFERROR(__xludf.DUMMYFUNCTION("""COMPUTED_VALUE"""),6.0)</f>
        <v>6</v>
      </c>
      <c r="L872" s="26" t="str">
        <f>IFERROR(__xludf.DUMMYFUNCTION("""COMPUTED_VALUE"""),"Adventure")</f>
        <v>Adventure</v>
      </c>
    </row>
    <row r="873">
      <c r="A873" s="12" t="str">
        <f>IFERROR(__xludf.DUMMYFUNCTION("""COMPUTED_VALUE"""),"The Stillness of the Wind")</f>
        <v>The Stillness of the Wind</v>
      </c>
      <c r="B873" s="13" t="str">
        <f>IFERROR(__xludf.DUMMYFUNCTION("""COMPUTED_VALUE"""),"PC")</f>
        <v>PC</v>
      </c>
      <c r="C873" s="14"/>
      <c r="D873" s="14" t="str">
        <f>IFERROR(__xludf.DUMMYFUNCTION("""COMPUTED_VALUE"""),"Removed")</f>
        <v>Removed</v>
      </c>
      <c r="E873" s="294">
        <f>IFERROR(__xludf.DUMMYFUNCTION("""COMPUTED_VALUE"""),43625.0)</f>
        <v>43625</v>
      </c>
      <c r="F873" s="15">
        <f>IFERROR(__xludf.DUMMYFUNCTION("""COMPUTED_VALUE"""),43997.0)</f>
        <v>43997</v>
      </c>
      <c r="G873" s="18">
        <f>IFERROR(__xludf.DUMMYFUNCTION("""COMPUTED_VALUE"""),12.2)</f>
        <v>12.2</v>
      </c>
      <c r="H873" s="131">
        <f>IFERROR(__xludf.DUMMYFUNCTION("""COMPUTED_VALUE"""),43503.0)</f>
        <v>43503</v>
      </c>
      <c r="I873" s="18">
        <f>IFERROR(__xludf.DUMMYFUNCTION("""COMPUTED_VALUE"""),0.3388888888888889)</f>
        <v>0.3388888889</v>
      </c>
      <c r="J873" s="22">
        <f>IFERROR(__xludf.DUMMYFUNCTION("""COMPUTED_VALUE"""),76.0)</f>
        <v>76</v>
      </c>
      <c r="K873" s="22">
        <f>IFERROR(__xludf.DUMMYFUNCTION("""COMPUTED_VALUE"""),3.5)</f>
        <v>3.5</v>
      </c>
      <c r="L873" s="26" t="str">
        <f>IFERROR(__xludf.DUMMYFUNCTION("""COMPUTED_VALUE"""),"Adventure")</f>
        <v>Adventure</v>
      </c>
    </row>
    <row r="874">
      <c r="A874" s="12" t="str">
        <f>IFERROR(__xludf.DUMMYFUNCTION("""COMPUTED_VALUE"""),"Riptide GP: Renegade")</f>
        <v>Riptide GP: Renegade</v>
      </c>
      <c r="B874" s="13" t="str">
        <f>IFERROR(__xludf.DUMMYFUNCTION("""COMPUTED_VALUE"""),"Xbox / PC")</f>
        <v>Xbox / PC</v>
      </c>
      <c r="C874" s="14"/>
      <c r="D874" s="14" t="str">
        <f>IFERROR(__xludf.DUMMYFUNCTION("""COMPUTED_VALUE"""),"Removed")</f>
        <v>Removed</v>
      </c>
      <c r="E874" s="294">
        <f>IFERROR(__xludf.DUMMYFUNCTION("""COMPUTED_VALUE"""),43132.0)</f>
        <v>43132</v>
      </c>
      <c r="F874" s="15">
        <f>IFERROR(__xludf.DUMMYFUNCTION("""COMPUTED_VALUE"""),43997.0)</f>
        <v>43997</v>
      </c>
      <c r="G874" s="18">
        <f>IFERROR(__xludf.DUMMYFUNCTION("""COMPUTED_VALUE"""),28.46666666666667)</f>
        <v>28.46666667</v>
      </c>
      <c r="H874" s="131">
        <f>IFERROR(__xludf.DUMMYFUNCTION("""COMPUTED_VALUE"""),42577.0)</f>
        <v>42577</v>
      </c>
      <c r="I874" s="18">
        <f>IFERROR(__xludf.DUMMYFUNCTION("""COMPUTED_VALUE"""),1.5138888888888888)</f>
        <v>1.513888889</v>
      </c>
      <c r="J874" s="22">
        <f>IFERROR(__xludf.DUMMYFUNCTION("""COMPUTED_VALUE"""),75.0)</f>
        <v>75</v>
      </c>
      <c r="K874" s="22">
        <f>IFERROR(__xludf.DUMMYFUNCTION("""COMPUTED_VALUE"""),6.0)</f>
        <v>6</v>
      </c>
      <c r="L874" s="26" t="str">
        <f>IFERROR(__xludf.DUMMYFUNCTION("""COMPUTED_VALUE"""),"Racing")</f>
        <v>Racing</v>
      </c>
    </row>
    <row r="875">
      <c r="A875" s="12" t="str">
        <f>IFERROR(__xludf.DUMMYFUNCTION("""COMPUTED_VALUE"""),"Old Man's Journey")</f>
        <v>Old Man's Journey</v>
      </c>
      <c r="B875" s="13" t="str">
        <f>IFERROR(__xludf.DUMMYFUNCTION("""COMPUTED_VALUE"""),"Xbox / PC")</f>
        <v>Xbox / PC</v>
      </c>
      <c r="C875" s="14"/>
      <c r="D875" s="14" t="str">
        <f>IFERROR(__xludf.DUMMYFUNCTION("""COMPUTED_VALUE"""),"Removed")</f>
        <v>Removed</v>
      </c>
      <c r="E875" s="294">
        <f>IFERROR(__xludf.DUMMYFUNCTION("""COMPUTED_VALUE"""),43625.0)</f>
        <v>43625</v>
      </c>
      <c r="F875" s="15">
        <f>IFERROR(__xludf.DUMMYFUNCTION("""COMPUTED_VALUE"""),43982.0)</f>
        <v>43982</v>
      </c>
      <c r="G875" s="18">
        <f>IFERROR(__xludf.DUMMYFUNCTION("""COMPUTED_VALUE"""),11.7)</f>
        <v>11.7</v>
      </c>
      <c r="H875" s="131">
        <f>IFERROR(__xludf.DUMMYFUNCTION("""COMPUTED_VALUE"""),42872.0)</f>
        <v>42872</v>
      </c>
      <c r="I875" s="18">
        <f>IFERROR(__xludf.DUMMYFUNCTION("""COMPUTED_VALUE"""),2.061111111111111)</f>
        <v>2.061111111</v>
      </c>
      <c r="J875" s="22">
        <f>IFERROR(__xludf.DUMMYFUNCTION("""COMPUTED_VALUE"""),76.0)</f>
        <v>76</v>
      </c>
      <c r="K875" s="22">
        <f>IFERROR(__xludf.DUMMYFUNCTION("""COMPUTED_VALUE"""),1.5)</f>
        <v>1.5</v>
      </c>
      <c r="L875" s="26" t="str">
        <f>IFERROR(__xludf.DUMMYFUNCTION("""COMPUTED_VALUE"""),"Adventure")</f>
        <v>Adventure</v>
      </c>
    </row>
    <row r="876">
      <c r="A876" s="12" t="str">
        <f>IFERROR(__xludf.DUMMYFUNCTION("""COMPUTED_VALUE"""),"Hydro Thunder: Hurricane")</f>
        <v>Hydro Thunder: Hurricane</v>
      </c>
      <c r="B876" s="13" t="str">
        <f>IFERROR(__xludf.DUMMYFUNCTION("""COMPUTED_VALUE"""),"Xbox / PC")</f>
        <v>Xbox / PC</v>
      </c>
      <c r="C876" s="14"/>
      <c r="D876" s="14" t="str">
        <f>IFERROR(__xludf.DUMMYFUNCTION("""COMPUTED_VALUE"""),"Removed")</f>
        <v>Removed</v>
      </c>
      <c r="E876" s="294">
        <f>IFERROR(__xludf.DUMMYFUNCTION("""COMPUTED_VALUE"""),43252.0)</f>
        <v>43252</v>
      </c>
      <c r="F876" s="15">
        <f>IFERROR(__xludf.DUMMYFUNCTION("""COMPUTED_VALUE"""),43982.0)</f>
        <v>43982</v>
      </c>
      <c r="G876" s="18">
        <f>IFERROR(__xludf.DUMMYFUNCTION("""COMPUTED_VALUE"""),23.96666666666667)</f>
        <v>23.96666667</v>
      </c>
      <c r="H876" s="131">
        <f>IFERROR(__xludf.DUMMYFUNCTION("""COMPUTED_VALUE"""),40387.0)</f>
        <v>40387</v>
      </c>
      <c r="I876" s="18">
        <f>IFERROR(__xludf.DUMMYFUNCTION("""COMPUTED_VALUE"""),7.841666666666667)</f>
        <v>7.841666667</v>
      </c>
      <c r="J876" s="22">
        <f>IFERROR(__xludf.DUMMYFUNCTION("""COMPUTED_VALUE"""),75.0)</f>
        <v>75</v>
      </c>
      <c r="K876" s="22">
        <f>IFERROR(__xludf.DUMMYFUNCTION("""COMPUTED_VALUE"""),5.5)</f>
        <v>5.5</v>
      </c>
      <c r="L876" s="26" t="str">
        <f>IFERROR(__xludf.DUMMYFUNCTION("""COMPUTED_VALUE"""),"Racing")</f>
        <v>Racing</v>
      </c>
    </row>
    <row r="877">
      <c r="A877" s="12" t="str">
        <f>IFERROR(__xludf.DUMMYFUNCTION("""COMPUTED_VALUE"""),"#IDARB")</f>
        <v>#IDARB</v>
      </c>
      <c r="B877" s="13" t="str">
        <f>IFERROR(__xludf.DUMMYFUNCTION("""COMPUTED_VALUE"""),"Xbox")</f>
        <v>Xbox</v>
      </c>
      <c r="C877" s="14"/>
      <c r="D877" s="14" t="str">
        <f>IFERROR(__xludf.DUMMYFUNCTION("""COMPUTED_VALUE"""),"Removed")</f>
        <v>Removed</v>
      </c>
      <c r="E877" s="294">
        <f>IFERROR(__xludf.DUMMYFUNCTION("""COMPUTED_VALUE"""),42887.0)</f>
        <v>42887</v>
      </c>
      <c r="F877" s="15">
        <f>IFERROR(__xludf.DUMMYFUNCTION("""COMPUTED_VALUE"""),43982.0)</f>
        <v>43982</v>
      </c>
      <c r="G877" s="18">
        <f>IFERROR(__xludf.DUMMYFUNCTION("""COMPUTED_VALUE"""),35.96666666666667)</f>
        <v>35.96666667</v>
      </c>
      <c r="H877" s="131">
        <f>IFERROR(__xludf.DUMMYFUNCTION("""COMPUTED_VALUE"""),42005.0)</f>
        <v>42005</v>
      </c>
      <c r="I877" s="18">
        <f>IFERROR(__xludf.DUMMYFUNCTION("""COMPUTED_VALUE"""),2.4166666666666665)</f>
        <v>2.416666667</v>
      </c>
      <c r="J877" s="22">
        <f>IFERROR(__xludf.DUMMYFUNCTION("""COMPUTED_VALUE"""),77.0)</f>
        <v>77</v>
      </c>
      <c r="K877" s="22">
        <f>IFERROR(__xludf.DUMMYFUNCTION("""COMPUTED_VALUE"""),2.5)</f>
        <v>2.5</v>
      </c>
      <c r="L877" s="26" t="str">
        <f>IFERROR(__xludf.DUMMYFUNCTION("""COMPUTED_VALUE"""),"Adventure")</f>
        <v>Adventure</v>
      </c>
    </row>
    <row r="878">
      <c r="A878" s="12" t="str">
        <f>IFERROR(__xludf.DUMMYFUNCTION("""COMPUTED_VALUE"""),"The King of Fighters '98 Ultimate Match (KOF98UM)")</f>
        <v>The King of Fighters '98 Ultimate Match (KOF98UM)</v>
      </c>
      <c r="B878" s="13" t="str">
        <f>IFERROR(__xludf.DUMMYFUNCTION("""COMPUTED_VALUE"""),"Xbox")</f>
        <v>Xbox</v>
      </c>
      <c r="C878" s="14"/>
      <c r="D878" s="14" t="str">
        <f>IFERROR(__xludf.DUMMYFUNCTION("""COMPUTED_VALUE"""),"Removed")</f>
        <v>Removed</v>
      </c>
      <c r="E878" s="294">
        <f>IFERROR(__xludf.DUMMYFUNCTION("""COMPUTED_VALUE"""),42887.0)</f>
        <v>42887</v>
      </c>
      <c r="F878" s="15">
        <f>IFERROR(__xludf.DUMMYFUNCTION("""COMPUTED_VALUE"""),43982.0)</f>
        <v>43982</v>
      </c>
      <c r="G878" s="18">
        <f>IFERROR(__xludf.DUMMYFUNCTION("""COMPUTED_VALUE"""),35.96666666666667)</f>
        <v>35.96666667</v>
      </c>
      <c r="H878" s="131">
        <f>IFERROR(__xludf.DUMMYFUNCTION("""COMPUTED_VALUE"""),39525.0)</f>
        <v>39525</v>
      </c>
      <c r="I878" s="18">
        <f>IFERROR(__xludf.DUMMYFUNCTION("""COMPUTED_VALUE"""),9.202777777777778)</f>
        <v>9.202777778</v>
      </c>
      <c r="J878" s="22">
        <f>IFERROR(__xludf.DUMMYFUNCTION("""COMPUTED_VALUE"""),73.0)</f>
        <v>73</v>
      </c>
      <c r="K878" s="22">
        <f>IFERROR(__xludf.DUMMYFUNCTION("""COMPUTED_VALUE"""),1.0)</f>
        <v>1</v>
      </c>
      <c r="L878" s="26" t="str">
        <f>IFERROR(__xludf.DUMMYFUNCTION("""COMPUTED_VALUE"""),"Fighting")</f>
        <v>Fighting</v>
      </c>
    </row>
    <row r="879">
      <c r="A879" s="12" t="str">
        <f>IFERROR(__xludf.DUMMYFUNCTION("""COMPUTED_VALUE"""),"The Lego Ninjago Movie Video Game")</f>
        <v>The Lego Ninjago Movie Video Game</v>
      </c>
      <c r="B879" s="13" t="str">
        <f>IFERROR(__xludf.DUMMYFUNCTION("""COMPUTED_VALUE"""),"Xbox")</f>
        <v>Xbox</v>
      </c>
      <c r="C879" s="14"/>
      <c r="D879" s="14" t="str">
        <f>IFERROR(__xludf.DUMMYFUNCTION("""COMPUTED_VALUE"""),"Removed")</f>
        <v>Removed</v>
      </c>
      <c r="E879" s="294">
        <f>IFERROR(__xludf.DUMMYFUNCTION("""COMPUTED_VALUE"""),43783.0)</f>
        <v>43783</v>
      </c>
      <c r="F879" s="15">
        <f>IFERROR(__xludf.DUMMYFUNCTION("""COMPUTED_VALUE"""),43966.0)</f>
        <v>43966</v>
      </c>
      <c r="G879" s="18">
        <f>IFERROR(__xludf.DUMMYFUNCTION("""COMPUTED_VALUE"""),6.033333333333333)</f>
        <v>6.033333333</v>
      </c>
      <c r="H879" s="131">
        <f>IFERROR(__xludf.DUMMYFUNCTION("""COMPUTED_VALUE"""),43000.0)</f>
        <v>43000</v>
      </c>
      <c r="I879" s="18">
        <f>IFERROR(__xludf.DUMMYFUNCTION("""COMPUTED_VALUE"""),2.1444444444444444)</f>
        <v>2.144444444</v>
      </c>
      <c r="J879" s="22">
        <f>IFERROR(__xludf.DUMMYFUNCTION("""COMPUTED_VALUE"""),76.0)</f>
        <v>76</v>
      </c>
      <c r="K879" s="22">
        <f>IFERROR(__xludf.DUMMYFUNCTION("""COMPUTED_VALUE"""),6.0)</f>
        <v>6</v>
      </c>
      <c r="L879" s="26" t="str">
        <f>IFERROR(__xludf.DUMMYFUNCTION("""COMPUTED_VALUE"""),"Action-Adventure")</f>
        <v>Action-Adventure</v>
      </c>
    </row>
    <row r="880">
      <c r="A880" s="12" t="str">
        <f>IFERROR(__xludf.DUMMYFUNCTION("""COMPUTED_VALUE"""),"Imperator: Rome")</f>
        <v>Imperator: Rome</v>
      </c>
      <c r="B880" s="13" t="str">
        <f>IFERROR(__xludf.DUMMYFUNCTION("""COMPUTED_VALUE"""),"PC")</f>
        <v>PC</v>
      </c>
      <c r="C880" s="14"/>
      <c r="D880" s="14" t="str">
        <f>IFERROR(__xludf.DUMMYFUNCTION("""COMPUTED_VALUE"""),"Removed")</f>
        <v>Removed</v>
      </c>
      <c r="E880" s="294">
        <f>IFERROR(__xludf.DUMMYFUNCTION("""COMPUTED_VALUE"""),43625.0)</f>
        <v>43625</v>
      </c>
      <c r="F880" s="15">
        <f>IFERROR(__xludf.DUMMYFUNCTION("""COMPUTED_VALUE"""),43966.0)</f>
        <v>43966</v>
      </c>
      <c r="G880" s="18">
        <f>IFERROR(__xludf.DUMMYFUNCTION("""COMPUTED_VALUE"""),11.2)</f>
        <v>11.2</v>
      </c>
      <c r="H880" s="131">
        <f>IFERROR(__xludf.DUMMYFUNCTION("""COMPUTED_VALUE"""),43580.0)</f>
        <v>43580</v>
      </c>
      <c r="I880" s="18">
        <f>IFERROR(__xludf.DUMMYFUNCTION("""COMPUTED_VALUE"""),0.12222222222222222)</f>
        <v>0.1222222222</v>
      </c>
      <c r="J880" s="22">
        <f>IFERROR(__xludf.DUMMYFUNCTION("""COMPUTED_VALUE"""),76.0)</f>
        <v>76</v>
      </c>
      <c r="K880" s="22">
        <f>IFERROR(__xludf.DUMMYFUNCTION("""COMPUTED_VALUE"""),17.0)</f>
        <v>17</v>
      </c>
      <c r="L880" s="26" t="str">
        <f>IFERROR(__xludf.DUMMYFUNCTION("""COMPUTED_VALUE"""),"Strategy")</f>
        <v>Strategy</v>
      </c>
    </row>
    <row r="881">
      <c r="A881" s="12" t="str">
        <f>IFERROR(__xludf.DUMMYFUNCTION("""COMPUTED_VALUE"""),"West of Loathing")</f>
        <v>West of Loathing</v>
      </c>
      <c r="B881" s="13" t="str">
        <f>IFERROR(__xludf.DUMMYFUNCTION("""COMPUTED_VALUE"""),"PC")</f>
        <v>PC</v>
      </c>
      <c r="C881" s="14"/>
      <c r="D881" s="14" t="str">
        <f>IFERROR(__xludf.DUMMYFUNCTION("""COMPUTED_VALUE"""),"Removed")</f>
        <v>Removed</v>
      </c>
      <c r="E881" s="294">
        <f>IFERROR(__xludf.DUMMYFUNCTION("""COMPUTED_VALUE"""),43625.0)</f>
        <v>43625</v>
      </c>
      <c r="F881" s="15">
        <f>IFERROR(__xludf.DUMMYFUNCTION("""COMPUTED_VALUE"""),43966.0)</f>
        <v>43966</v>
      </c>
      <c r="G881" s="18">
        <f>IFERROR(__xludf.DUMMYFUNCTION("""COMPUTED_VALUE"""),11.2)</f>
        <v>11.2</v>
      </c>
      <c r="H881" s="131">
        <f>IFERROR(__xludf.DUMMYFUNCTION("""COMPUTED_VALUE"""),42957.0)</f>
        <v>42957</v>
      </c>
      <c r="I881" s="18">
        <f>IFERROR(__xludf.DUMMYFUNCTION("""COMPUTED_VALUE"""),1.8305555555555555)</f>
        <v>1.830555556</v>
      </c>
      <c r="J881" s="22">
        <f>IFERROR(__xludf.DUMMYFUNCTION("""COMPUTED_VALUE"""),87.0)</f>
        <v>87</v>
      </c>
      <c r="K881" s="22">
        <f>IFERROR(__xludf.DUMMYFUNCTION("""COMPUTED_VALUE"""),7.0)</f>
        <v>7</v>
      </c>
      <c r="L881" s="26" t="str">
        <f>IFERROR(__xludf.DUMMYFUNCTION("""COMPUTED_VALUE"""),"RPG")</f>
        <v>RPG</v>
      </c>
    </row>
    <row r="882">
      <c r="A882" s="12" t="str">
        <f>IFERROR(__xludf.DUMMYFUNCTION("""COMPUTED_VALUE"""),"Metal Gear Survive")</f>
        <v>Metal Gear Survive</v>
      </c>
      <c r="B882" s="13" t="str">
        <f>IFERROR(__xludf.DUMMYFUNCTION("""COMPUTED_VALUE"""),"Xbox")</f>
        <v>Xbox</v>
      </c>
      <c r="C882" s="14"/>
      <c r="D882" s="14" t="str">
        <f>IFERROR(__xludf.DUMMYFUNCTION("""COMPUTED_VALUE"""),"Removed")</f>
        <v>Removed</v>
      </c>
      <c r="E882" s="294">
        <f>IFERROR(__xludf.DUMMYFUNCTION("""COMPUTED_VALUE"""),43608.0)</f>
        <v>43608</v>
      </c>
      <c r="F882" s="15">
        <f>IFERROR(__xludf.DUMMYFUNCTION("""COMPUTED_VALUE"""),43966.0)</f>
        <v>43966</v>
      </c>
      <c r="G882" s="18">
        <f>IFERROR(__xludf.DUMMYFUNCTION("""COMPUTED_VALUE"""),11.733333333333333)</f>
        <v>11.73333333</v>
      </c>
      <c r="H882" s="131">
        <f>IFERROR(__xludf.DUMMYFUNCTION("""COMPUTED_VALUE"""),43151.0)</f>
        <v>43151</v>
      </c>
      <c r="I882" s="18">
        <f>IFERROR(__xludf.DUMMYFUNCTION("""COMPUTED_VALUE"""),1.2583333333333333)</f>
        <v>1.258333333</v>
      </c>
      <c r="J882" s="22">
        <f>IFERROR(__xludf.DUMMYFUNCTION("""COMPUTED_VALUE"""),62.0)</f>
        <v>62</v>
      </c>
      <c r="K882" s="22">
        <f>IFERROR(__xludf.DUMMYFUNCTION("""COMPUTED_VALUE"""),22.0)</f>
        <v>22</v>
      </c>
      <c r="L882" s="26" t="str">
        <f>IFERROR(__xludf.DUMMYFUNCTION("""COMPUTED_VALUE"""),"Shooter")</f>
        <v>Shooter</v>
      </c>
    </row>
    <row r="883">
      <c r="A883" s="12" t="str">
        <f>IFERROR(__xludf.DUMMYFUNCTION("""COMPUTED_VALUE"""),"The Banner Saga")</f>
        <v>The Banner Saga</v>
      </c>
      <c r="B883" s="13" t="str">
        <f>IFERROR(__xludf.DUMMYFUNCTION("""COMPUTED_VALUE"""),"Xbox / PC")</f>
        <v>Xbox / PC</v>
      </c>
      <c r="C883" s="14"/>
      <c r="D883" s="14" t="str">
        <f>IFERROR(__xludf.DUMMYFUNCTION("""COMPUTED_VALUE"""),"Removed")</f>
        <v>Removed</v>
      </c>
      <c r="E883" s="294">
        <f>IFERROR(__xludf.DUMMYFUNCTION("""COMPUTED_VALUE"""),43608.0)</f>
        <v>43608</v>
      </c>
      <c r="F883" s="15">
        <f>IFERROR(__xludf.DUMMYFUNCTION("""COMPUTED_VALUE"""),43966.0)</f>
        <v>43966</v>
      </c>
      <c r="G883" s="18">
        <f>IFERROR(__xludf.DUMMYFUNCTION("""COMPUTED_VALUE"""),11.733333333333333)</f>
        <v>11.73333333</v>
      </c>
      <c r="H883" s="131">
        <f>IFERROR(__xludf.DUMMYFUNCTION("""COMPUTED_VALUE"""),41653.0)</f>
        <v>41653</v>
      </c>
      <c r="I883" s="18">
        <f>IFERROR(__xludf.DUMMYFUNCTION("""COMPUTED_VALUE"""),5.358333333333333)</f>
        <v>5.358333333</v>
      </c>
      <c r="J883" s="22">
        <f>IFERROR(__xludf.DUMMYFUNCTION("""COMPUTED_VALUE"""),76.0)</f>
        <v>76</v>
      </c>
      <c r="K883" s="22">
        <f>IFERROR(__xludf.DUMMYFUNCTION("""COMPUTED_VALUE"""),10.5)</f>
        <v>10.5</v>
      </c>
      <c r="L883" s="26" t="str">
        <f>IFERROR(__xludf.DUMMYFUNCTION("""COMPUTED_VALUE"""),"RPG")</f>
        <v>RPG</v>
      </c>
    </row>
    <row r="884">
      <c r="A884" s="12" t="str">
        <f>IFERROR(__xludf.DUMMYFUNCTION("""COMPUTED_VALUE"""),"Mega Man Legacy Collection 2")</f>
        <v>Mega Man Legacy Collection 2</v>
      </c>
      <c r="B884" s="13" t="str">
        <f>IFERROR(__xludf.DUMMYFUNCTION("""COMPUTED_VALUE"""),"Xbox")</f>
        <v>Xbox</v>
      </c>
      <c r="C884" s="14"/>
      <c r="D884" s="14" t="str">
        <f>IFERROR(__xludf.DUMMYFUNCTION("""COMPUTED_VALUE"""),"Removed")</f>
        <v>Removed</v>
      </c>
      <c r="E884" s="294">
        <f>IFERROR(__xludf.DUMMYFUNCTION("""COMPUTED_VALUE"""),43252.0)</f>
        <v>43252</v>
      </c>
      <c r="F884" s="15">
        <f>IFERROR(__xludf.DUMMYFUNCTION("""COMPUTED_VALUE"""),43966.0)</f>
        <v>43966</v>
      </c>
      <c r="G884" s="18">
        <f>IFERROR(__xludf.DUMMYFUNCTION("""COMPUTED_VALUE"""),23.466666666666665)</f>
        <v>23.46666667</v>
      </c>
      <c r="H884" s="131">
        <f>IFERROR(__xludf.DUMMYFUNCTION("""COMPUTED_VALUE"""),42955.0)</f>
        <v>42955</v>
      </c>
      <c r="I884" s="18">
        <f>IFERROR(__xludf.DUMMYFUNCTION("""COMPUTED_VALUE"""),0.8138888888888889)</f>
        <v>0.8138888889</v>
      </c>
      <c r="J884" s="22">
        <f>IFERROR(__xludf.DUMMYFUNCTION("""COMPUTED_VALUE"""),72.0)</f>
        <v>72</v>
      </c>
      <c r="K884" s="22">
        <f>IFERROR(__xludf.DUMMYFUNCTION("""COMPUTED_VALUE"""),14.5)</f>
        <v>14.5</v>
      </c>
      <c r="L884" s="26" t="str">
        <f>IFERROR(__xludf.DUMMYFUNCTION("""COMPUTED_VALUE"""),"Platformer")</f>
        <v>Platformer</v>
      </c>
    </row>
    <row r="885">
      <c r="A885" s="12" t="str">
        <f>IFERROR(__xludf.DUMMYFUNCTION("""COMPUTED_VALUE"""),"Silence: The Whispered World 2")</f>
        <v>Silence: The Whispered World 2</v>
      </c>
      <c r="B885" s="13" t="str">
        <f>IFERROR(__xludf.DUMMYFUNCTION("""COMPUTED_VALUE"""),"Xbox")</f>
        <v>Xbox</v>
      </c>
      <c r="C885" s="14"/>
      <c r="D885" s="14" t="str">
        <f>IFERROR(__xludf.DUMMYFUNCTION("""COMPUTED_VALUE"""),"Removed")</f>
        <v>Removed</v>
      </c>
      <c r="E885" s="294">
        <f>IFERROR(__xludf.DUMMYFUNCTION("""COMPUTED_VALUE"""),43625.0)</f>
        <v>43625</v>
      </c>
      <c r="F885" s="15">
        <f>IFERROR(__xludf.DUMMYFUNCTION("""COMPUTED_VALUE"""),43951.0)</f>
        <v>43951</v>
      </c>
      <c r="G885" s="18">
        <f>IFERROR(__xludf.DUMMYFUNCTION("""COMPUTED_VALUE"""),10.700000000000001)</f>
        <v>10.7</v>
      </c>
      <c r="H885" s="131">
        <f>IFERROR(__xludf.DUMMYFUNCTION("""COMPUTED_VALUE"""),40291.0)</f>
        <v>40291</v>
      </c>
      <c r="I885" s="18">
        <f>IFERROR(__xludf.DUMMYFUNCTION("""COMPUTED_VALUE"""),9.127777777777778)</f>
        <v>9.127777778</v>
      </c>
      <c r="J885" s="22">
        <f>IFERROR(__xludf.DUMMYFUNCTION("""COMPUTED_VALUE"""),66.0)</f>
        <v>66</v>
      </c>
      <c r="K885" s="22">
        <f>IFERROR(__xludf.DUMMYFUNCTION("""COMPUTED_VALUE"""),5.5)</f>
        <v>5.5</v>
      </c>
      <c r="L885" s="26" t="str">
        <f>IFERROR(__xludf.DUMMYFUNCTION("""COMPUTED_VALUE"""),"Adventure")</f>
        <v>Adventure</v>
      </c>
    </row>
    <row r="886">
      <c r="A886" s="12" t="str">
        <f>IFERROR(__xludf.DUMMYFUNCTION("""COMPUTED_VALUE"""),"Smoke and Sacrifice")</f>
        <v>Smoke and Sacrifice</v>
      </c>
      <c r="B886" s="13" t="str">
        <f>IFERROR(__xludf.DUMMYFUNCTION("""COMPUTED_VALUE"""),"Xbox / PC")</f>
        <v>Xbox / PC</v>
      </c>
      <c r="C886" s="14"/>
      <c r="D886" s="14" t="str">
        <f>IFERROR(__xludf.DUMMYFUNCTION("""COMPUTED_VALUE"""),"Removed")</f>
        <v>Removed</v>
      </c>
      <c r="E886" s="294">
        <f>IFERROR(__xludf.DUMMYFUNCTION("""COMPUTED_VALUE"""),43625.0)</f>
        <v>43625</v>
      </c>
      <c r="F886" s="15">
        <f>IFERROR(__xludf.DUMMYFUNCTION("""COMPUTED_VALUE"""),43951.0)</f>
        <v>43951</v>
      </c>
      <c r="G886" s="18">
        <f>IFERROR(__xludf.DUMMYFUNCTION("""COMPUTED_VALUE"""),10.700000000000001)</f>
        <v>10.7</v>
      </c>
      <c r="H886" s="131">
        <f>IFERROR(__xludf.DUMMYFUNCTION("""COMPUTED_VALUE"""),43251.0)</f>
        <v>43251</v>
      </c>
      <c r="I886" s="18">
        <f>IFERROR(__xludf.DUMMYFUNCTION("""COMPUTED_VALUE"""),1.025)</f>
        <v>1.025</v>
      </c>
      <c r="J886" s="22">
        <f>IFERROR(__xludf.DUMMYFUNCTION("""COMPUTED_VALUE"""),68.0)</f>
        <v>68</v>
      </c>
      <c r="K886" s="22">
        <f>IFERROR(__xludf.DUMMYFUNCTION("""COMPUTED_VALUE"""),10.5)</f>
        <v>10.5</v>
      </c>
      <c r="L886" s="26" t="str">
        <f>IFERROR(__xludf.DUMMYFUNCTION("""COMPUTED_VALUE"""),"RPG")</f>
        <v>RPG</v>
      </c>
    </row>
    <row r="887">
      <c r="A887" s="12" t="str">
        <f>IFERROR(__xludf.DUMMYFUNCTION("""COMPUTED_VALUE"""),"Full Metal Furies")</f>
        <v>Full Metal Furies</v>
      </c>
      <c r="B887" s="13" t="str">
        <f>IFERROR(__xludf.DUMMYFUNCTION("""COMPUTED_VALUE"""),"Xbox / PC")</f>
        <v>Xbox / PC</v>
      </c>
      <c r="C887" s="14"/>
      <c r="D887" s="14" t="str">
        <f>IFERROR(__xludf.DUMMYFUNCTION("""COMPUTED_VALUE"""),"Removed")</f>
        <v>Removed</v>
      </c>
      <c r="E887" s="294">
        <f>IFERROR(__xludf.DUMMYFUNCTION("""COMPUTED_VALUE"""),43622.0)</f>
        <v>43622</v>
      </c>
      <c r="F887" s="15">
        <f>IFERROR(__xludf.DUMMYFUNCTION("""COMPUTED_VALUE"""),43951.0)</f>
        <v>43951</v>
      </c>
      <c r="G887" s="18">
        <f>IFERROR(__xludf.DUMMYFUNCTION("""COMPUTED_VALUE"""),10.8)</f>
        <v>10.8</v>
      </c>
      <c r="H887" s="131">
        <f>IFERROR(__xludf.DUMMYFUNCTION("""COMPUTED_VALUE"""),43117.0)</f>
        <v>43117</v>
      </c>
      <c r="I887" s="18">
        <f>IFERROR(__xludf.DUMMYFUNCTION("""COMPUTED_VALUE"""),1.386111111111111)</f>
        <v>1.386111111</v>
      </c>
      <c r="J887" s="22">
        <f>IFERROR(__xludf.DUMMYFUNCTION("""COMPUTED_VALUE"""),80.0)</f>
        <v>80</v>
      </c>
      <c r="K887" s="22">
        <f>IFERROR(__xludf.DUMMYFUNCTION("""COMPUTED_VALUE"""),10.5)</f>
        <v>10.5</v>
      </c>
      <c r="L887" s="26" t="str">
        <f>IFERROR(__xludf.DUMMYFUNCTION("""COMPUTED_VALUE"""),"RPG")</f>
        <v>RPG</v>
      </c>
    </row>
    <row r="888">
      <c r="A888" s="12" t="str">
        <f>IFERROR(__xludf.DUMMYFUNCTION("""COMPUTED_VALUE"""),"The Banner Saga 2")</f>
        <v>The Banner Saga 2</v>
      </c>
      <c r="B888" s="13" t="str">
        <f>IFERROR(__xludf.DUMMYFUNCTION("""COMPUTED_VALUE"""),"Xbox / PC")</f>
        <v>Xbox / PC</v>
      </c>
      <c r="C888" s="14"/>
      <c r="D888" s="14" t="str">
        <f>IFERROR(__xludf.DUMMYFUNCTION("""COMPUTED_VALUE"""),"Removed")</f>
        <v>Removed</v>
      </c>
      <c r="E888" s="294">
        <f>IFERROR(__xludf.DUMMYFUNCTION("""COMPUTED_VALUE"""),43622.0)</f>
        <v>43622</v>
      </c>
      <c r="F888" s="15">
        <f>IFERROR(__xludf.DUMMYFUNCTION("""COMPUTED_VALUE"""),43951.0)</f>
        <v>43951</v>
      </c>
      <c r="G888" s="18">
        <f>IFERROR(__xludf.DUMMYFUNCTION("""COMPUTED_VALUE"""),10.8)</f>
        <v>10.8</v>
      </c>
      <c r="H888" s="131">
        <f>IFERROR(__xludf.DUMMYFUNCTION("""COMPUTED_VALUE"""),42479.0)</f>
        <v>42479</v>
      </c>
      <c r="I888" s="18">
        <f>IFERROR(__xludf.DUMMYFUNCTION("""COMPUTED_VALUE"""),3.1305555555555555)</f>
        <v>3.130555556</v>
      </c>
      <c r="J888" s="22">
        <f>IFERROR(__xludf.DUMMYFUNCTION("""COMPUTED_VALUE"""),84.0)</f>
        <v>84</v>
      </c>
      <c r="K888" s="22">
        <f>IFERROR(__xludf.DUMMYFUNCTION("""COMPUTED_VALUE"""),11.5)</f>
        <v>11.5</v>
      </c>
      <c r="L888" s="26" t="str">
        <f>IFERROR(__xludf.DUMMYFUNCTION("""COMPUTED_VALUE"""),"Strategy")</f>
        <v>Strategy</v>
      </c>
    </row>
    <row r="889">
      <c r="A889" s="12" t="str">
        <f>IFERROR(__xludf.DUMMYFUNCTION("""COMPUTED_VALUE"""),"RUINER")</f>
        <v>RUINER</v>
      </c>
      <c r="B889" s="13" t="str">
        <f>IFERROR(__xludf.DUMMYFUNCTION("""COMPUTED_VALUE"""),"Xbox / PC")</f>
        <v>Xbox / PC</v>
      </c>
      <c r="C889" s="14"/>
      <c r="D889" s="14" t="str">
        <f>IFERROR(__xludf.DUMMYFUNCTION("""COMPUTED_VALUE"""),"Removed")</f>
        <v>Removed</v>
      </c>
      <c r="E889" s="294">
        <f>IFERROR(__xludf.DUMMYFUNCTION("""COMPUTED_VALUE"""),43313.0)</f>
        <v>43313</v>
      </c>
      <c r="F889" s="15">
        <f>IFERROR(__xludf.DUMMYFUNCTION("""COMPUTED_VALUE"""),43951.0)</f>
        <v>43951</v>
      </c>
      <c r="G889" s="18">
        <f>IFERROR(__xludf.DUMMYFUNCTION("""COMPUTED_VALUE"""),20.96666666666667)</f>
        <v>20.96666667</v>
      </c>
      <c r="H889" s="131">
        <f>IFERROR(__xludf.DUMMYFUNCTION("""COMPUTED_VALUE"""),43003.0)</f>
        <v>43003</v>
      </c>
      <c r="I889" s="18">
        <f>IFERROR(__xludf.DUMMYFUNCTION("""COMPUTED_VALUE"""),0.85)</f>
        <v>0.85</v>
      </c>
      <c r="J889" s="22">
        <f>IFERROR(__xludf.DUMMYFUNCTION("""COMPUTED_VALUE"""),77.0)</f>
        <v>77</v>
      </c>
      <c r="K889" s="22">
        <f>IFERROR(__xludf.DUMMYFUNCTION("""COMPUTED_VALUE"""),5.5)</f>
        <v>5.5</v>
      </c>
      <c r="L889" s="26" t="str">
        <f>IFERROR(__xludf.DUMMYFUNCTION("""COMPUTED_VALUE"""),"Shooter")</f>
        <v>Shooter</v>
      </c>
    </row>
    <row r="890">
      <c r="A890" s="12" t="str">
        <f>IFERROR(__xludf.DUMMYFUNCTION("""COMPUTED_VALUE"""),"Braid")</f>
        <v>Braid</v>
      </c>
      <c r="B890" s="13" t="str">
        <f>IFERROR(__xludf.DUMMYFUNCTION("""COMPUTED_VALUE"""),"Xbox")</f>
        <v>Xbox</v>
      </c>
      <c r="C890" s="14"/>
      <c r="D890" s="14" t="str">
        <f>IFERROR(__xludf.DUMMYFUNCTION("""COMPUTED_VALUE"""),"Removed")</f>
        <v>Removed</v>
      </c>
      <c r="E890" s="294">
        <f>IFERROR(__xludf.DUMMYFUNCTION("""COMPUTED_VALUE"""),42887.0)</f>
        <v>42887</v>
      </c>
      <c r="F890" s="15">
        <f>IFERROR(__xludf.DUMMYFUNCTION("""COMPUTED_VALUE"""),43951.0)</f>
        <v>43951</v>
      </c>
      <c r="G890" s="18">
        <f>IFERROR(__xludf.DUMMYFUNCTION("""COMPUTED_VALUE"""),34.96666666666667)</f>
        <v>34.96666667</v>
      </c>
      <c r="H890" s="131">
        <f>IFERROR(__xludf.DUMMYFUNCTION("""COMPUTED_VALUE"""),39666.0)</f>
        <v>39666</v>
      </c>
      <c r="I890" s="18">
        <f>IFERROR(__xludf.DUMMYFUNCTION("""COMPUTED_VALUE"""),8.819444444444445)</f>
        <v>8.819444444</v>
      </c>
      <c r="J890" s="22">
        <f>IFERROR(__xludf.DUMMYFUNCTION("""COMPUTED_VALUE"""),93.0)</f>
        <v>93</v>
      </c>
      <c r="K890" s="22">
        <f>IFERROR(__xludf.DUMMYFUNCTION("""COMPUTED_VALUE"""),5.0)</f>
        <v>5</v>
      </c>
      <c r="L890" s="26" t="str">
        <f>IFERROR(__xludf.DUMMYFUNCTION("""COMPUTED_VALUE"""),"Platformer")</f>
        <v>Platformer</v>
      </c>
    </row>
    <row r="891">
      <c r="A891" s="12" t="str">
        <f>IFERROR(__xludf.DUMMYFUNCTION("""COMPUTED_VALUE"""),"Metal Slug 3")</f>
        <v>Metal Slug 3</v>
      </c>
      <c r="B891" s="13" t="str">
        <f>IFERROR(__xludf.DUMMYFUNCTION("""COMPUTED_VALUE"""),"Xbox")</f>
        <v>Xbox</v>
      </c>
      <c r="C891" s="14"/>
      <c r="D891" s="14" t="str">
        <f>IFERROR(__xludf.DUMMYFUNCTION("""COMPUTED_VALUE"""),"Removed")</f>
        <v>Removed</v>
      </c>
      <c r="E891" s="294">
        <f>IFERROR(__xludf.DUMMYFUNCTION("""COMPUTED_VALUE"""),42887.0)</f>
        <v>42887</v>
      </c>
      <c r="F891" s="15">
        <f>IFERROR(__xludf.DUMMYFUNCTION("""COMPUTED_VALUE"""),43951.0)</f>
        <v>43951</v>
      </c>
      <c r="G891" s="18">
        <f>IFERROR(__xludf.DUMMYFUNCTION("""COMPUTED_VALUE"""),34.96666666666667)</f>
        <v>34.96666667</v>
      </c>
      <c r="H891" s="131">
        <f>IFERROR(__xludf.DUMMYFUNCTION("""COMPUTED_VALUE"""),36678.0)</f>
        <v>36678</v>
      </c>
      <c r="I891" s="18">
        <f>IFERROR(__xludf.DUMMYFUNCTION("""COMPUTED_VALUE"""),17.0)</f>
        <v>17</v>
      </c>
      <c r="J891" s="22">
        <f>IFERROR(__xludf.DUMMYFUNCTION("""COMPUTED_VALUE"""),76.0)</f>
        <v>76</v>
      </c>
      <c r="K891" s="22">
        <f>IFERROR(__xludf.DUMMYFUNCTION("""COMPUTED_VALUE"""),1.5)</f>
        <v>1.5</v>
      </c>
      <c r="L891" s="26" t="str">
        <f>IFERROR(__xludf.DUMMYFUNCTION("""COMPUTED_VALUE"""),"Shooter")</f>
        <v>Shooter</v>
      </c>
    </row>
    <row r="892">
      <c r="A892" s="12" t="str">
        <f>IFERROR(__xludf.DUMMYFUNCTION("""COMPUTED_VALUE"""),"The Book of Unwritten Tales 2")</f>
        <v>The Book of Unwritten Tales 2</v>
      </c>
      <c r="B892" s="13" t="str">
        <f>IFERROR(__xludf.DUMMYFUNCTION("""COMPUTED_VALUE"""),"Xbox")</f>
        <v>Xbox</v>
      </c>
      <c r="C892" s="14"/>
      <c r="D892" s="14" t="str">
        <f>IFERROR(__xludf.DUMMYFUNCTION("""COMPUTED_VALUE"""),"Removed")</f>
        <v>Removed</v>
      </c>
      <c r="E892" s="294">
        <f>IFERROR(__xludf.DUMMYFUNCTION("""COMPUTED_VALUE"""),42887.0)</f>
        <v>42887</v>
      </c>
      <c r="F892" s="15">
        <f>IFERROR(__xludf.DUMMYFUNCTION("""COMPUTED_VALUE"""),43936.0)</f>
        <v>43936</v>
      </c>
      <c r="G892" s="18">
        <f>IFERROR(__xludf.DUMMYFUNCTION("""COMPUTED_VALUE"""),34.46666666666667)</f>
        <v>34.46666667</v>
      </c>
      <c r="H892" s="131">
        <f>IFERROR(__xludf.DUMMYFUNCTION("""COMPUTED_VALUE"""),42054.0)</f>
        <v>42054</v>
      </c>
      <c r="I892" s="18">
        <f>IFERROR(__xludf.DUMMYFUNCTION("""COMPUTED_VALUE"""),2.283333333333333)</f>
        <v>2.283333333</v>
      </c>
      <c r="J892" s="22">
        <f>IFERROR(__xludf.DUMMYFUNCTION("""COMPUTED_VALUE"""),79.0)</f>
        <v>79</v>
      </c>
      <c r="K892" s="22">
        <f>IFERROR(__xludf.DUMMYFUNCTION("""COMPUTED_VALUE"""),20.0)</f>
        <v>20</v>
      </c>
      <c r="L892" s="26" t="str">
        <f>IFERROR(__xludf.DUMMYFUNCTION("""COMPUTED_VALUE"""),"Adventure")</f>
        <v>Adventure</v>
      </c>
    </row>
    <row r="893">
      <c r="A893" s="12" t="str">
        <f>IFERROR(__xludf.DUMMYFUNCTION("""COMPUTED_VALUE"""),"FEZ")</f>
        <v>FEZ</v>
      </c>
      <c r="B893" s="13" t="str">
        <f>IFERROR(__xludf.DUMMYFUNCTION("""COMPUTED_VALUE"""),"PC")</f>
        <v>PC</v>
      </c>
      <c r="C893" s="14"/>
      <c r="D893" s="14" t="str">
        <f>IFERROR(__xludf.DUMMYFUNCTION("""COMPUTED_VALUE"""),"Removed")</f>
        <v>Removed</v>
      </c>
      <c r="E893" s="294">
        <f>IFERROR(__xludf.DUMMYFUNCTION("""COMPUTED_VALUE"""),43625.0)</f>
        <v>43625</v>
      </c>
      <c r="F893" s="15">
        <f>IFERROR(__xludf.DUMMYFUNCTION("""COMPUTED_VALUE"""),43922.0)</f>
        <v>43922</v>
      </c>
      <c r="G893" s="18">
        <f>IFERROR(__xludf.DUMMYFUNCTION("""COMPUTED_VALUE"""),9.733333333333334)</f>
        <v>9.733333333</v>
      </c>
      <c r="H893" s="131">
        <f>IFERROR(__xludf.DUMMYFUNCTION("""COMPUTED_VALUE"""),41012.0)</f>
        <v>41012</v>
      </c>
      <c r="I893" s="18">
        <f>IFERROR(__xludf.DUMMYFUNCTION("""COMPUTED_VALUE"""),7.155555555555556)</f>
        <v>7.155555556</v>
      </c>
      <c r="J893" s="22">
        <f>IFERROR(__xludf.DUMMYFUNCTION("""COMPUTED_VALUE"""),91.0)</f>
        <v>91</v>
      </c>
      <c r="K893" s="22">
        <f>IFERROR(__xludf.DUMMYFUNCTION("""COMPUTED_VALUE"""),6.0)</f>
        <v>6</v>
      </c>
      <c r="L893" s="26" t="str">
        <f>IFERROR(__xludf.DUMMYFUNCTION("""COMPUTED_VALUE"""),"Platformer")</f>
        <v>Platformer</v>
      </c>
    </row>
    <row r="894">
      <c r="A894" s="12" t="str">
        <f>IFERROR(__xludf.DUMMYFUNCTION("""COMPUTED_VALUE"""),"Valkyria Chronicles")</f>
        <v>Valkyria Chronicles</v>
      </c>
      <c r="B894" s="13" t="str">
        <f>IFERROR(__xludf.DUMMYFUNCTION("""COMPUTED_VALUE"""),"PC")</f>
        <v>PC</v>
      </c>
      <c r="C894" s="14"/>
      <c r="D894" s="14" t="str">
        <f>IFERROR(__xludf.DUMMYFUNCTION("""COMPUTED_VALUE"""),"Removed")</f>
        <v>Removed</v>
      </c>
      <c r="E894" s="294">
        <f>IFERROR(__xludf.DUMMYFUNCTION("""COMPUTED_VALUE"""),43625.0)</f>
        <v>43625</v>
      </c>
      <c r="F894" s="15">
        <f>IFERROR(__xludf.DUMMYFUNCTION("""COMPUTED_VALUE"""),43922.0)</f>
        <v>43922</v>
      </c>
      <c r="G894" s="18">
        <f>IFERROR(__xludf.DUMMYFUNCTION("""COMPUTED_VALUE"""),9.733333333333334)</f>
        <v>9.733333333</v>
      </c>
      <c r="H894" s="131">
        <f>IFERROR(__xludf.DUMMYFUNCTION("""COMPUTED_VALUE"""),39560.0)</f>
        <v>39560</v>
      </c>
      <c r="I894" s="18">
        <f>IFERROR(__xludf.DUMMYFUNCTION("""COMPUTED_VALUE"""),11.130555555555556)</f>
        <v>11.13055556</v>
      </c>
      <c r="J894" s="22">
        <f>IFERROR(__xludf.DUMMYFUNCTION("""COMPUTED_VALUE"""),85.0)</f>
        <v>85</v>
      </c>
      <c r="K894" s="22">
        <f>IFERROR(__xludf.DUMMYFUNCTION("""COMPUTED_VALUE"""),31.0)</f>
        <v>31</v>
      </c>
      <c r="L894" s="26" t="str">
        <f>IFERROR(__xludf.DUMMYFUNCTION("""COMPUTED_VALUE"""),"RPG")</f>
        <v>RPG</v>
      </c>
    </row>
    <row r="895">
      <c r="A895" s="12" t="str">
        <f>IFERROR(__xludf.DUMMYFUNCTION("""COMPUTED_VALUE"""),"Guacamelee! Super Turbo Championship Edition")</f>
        <v>Guacamelee! Super Turbo Championship Edition</v>
      </c>
      <c r="B895" s="13" t="str">
        <f>IFERROR(__xludf.DUMMYFUNCTION("""COMPUTED_VALUE"""),"Xbox")</f>
        <v>Xbox</v>
      </c>
      <c r="C895" s="14"/>
      <c r="D895" s="14" t="str">
        <f>IFERROR(__xludf.DUMMYFUNCTION("""COMPUTED_VALUE"""),"Removed")</f>
        <v>Removed</v>
      </c>
      <c r="E895" s="294">
        <f>IFERROR(__xludf.DUMMYFUNCTION("""COMPUTED_VALUE"""),42917.0)</f>
        <v>42917</v>
      </c>
      <c r="F895" s="15">
        <f>IFERROR(__xludf.DUMMYFUNCTION("""COMPUTED_VALUE"""),43922.0)</f>
        <v>43922</v>
      </c>
      <c r="G895" s="18">
        <f>IFERROR(__xludf.DUMMYFUNCTION("""COMPUTED_VALUE"""),33.0)</f>
        <v>33</v>
      </c>
      <c r="H895" s="131">
        <f>IFERROR(__xludf.DUMMYFUNCTION("""COMPUTED_VALUE"""),41822.0)</f>
        <v>41822</v>
      </c>
      <c r="I895" s="18">
        <f>IFERROR(__xludf.DUMMYFUNCTION("""COMPUTED_VALUE"""),2.9972222222222222)</f>
        <v>2.997222222</v>
      </c>
      <c r="J895" s="22">
        <f>IFERROR(__xludf.DUMMYFUNCTION("""COMPUTED_VALUE"""),88.0)</f>
        <v>88</v>
      </c>
      <c r="K895" s="22">
        <f>IFERROR(__xludf.DUMMYFUNCTION("""COMPUTED_VALUE"""),7.0)</f>
        <v>7</v>
      </c>
      <c r="L895" s="26" t="str">
        <f>IFERROR(__xludf.DUMMYFUNCTION("""COMPUTED_VALUE"""),"Platformer")</f>
        <v>Platformer</v>
      </c>
    </row>
    <row r="896">
      <c r="A896" s="12" t="str">
        <f>IFERROR(__xludf.DUMMYFUNCTION("""COMPUTED_VALUE"""),"MX vs. ATV: Reflex")</f>
        <v>MX vs. ATV: Reflex</v>
      </c>
      <c r="B896" s="13" t="str">
        <f>IFERROR(__xludf.DUMMYFUNCTION("""COMPUTED_VALUE"""),"Xbox")</f>
        <v>Xbox</v>
      </c>
      <c r="C896" s="14"/>
      <c r="D896" s="14" t="str">
        <f>IFERROR(__xludf.DUMMYFUNCTION("""COMPUTED_VALUE"""),"Removed")</f>
        <v>Removed</v>
      </c>
      <c r="E896" s="294">
        <f>IFERROR(__xludf.DUMMYFUNCTION("""COMPUTED_VALUE"""),42887.0)</f>
        <v>42887</v>
      </c>
      <c r="F896" s="15">
        <f>IFERROR(__xludf.DUMMYFUNCTION("""COMPUTED_VALUE"""),43922.0)</f>
        <v>43922</v>
      </c>
      <c r="G896" s="18">
        <f>IFERROR(__xludf.DUMMYFUNCTION("""COMPUTED_VALUE"""),34.0)</f>
        <v>34</v>
      </c>
      <c r="H896" s="131">
        <f>IFERROR(__xludf.DUMMYFUNCTION("""COMPUTED_VALUE"""),40148.0)</f>
        <v>40148</v>
      </c>
      <c r="I896" s="18">
        <f>IFERROR(__xludf.DUMMYFUNCTION("""COMPUTED_VALUE"""),7.5)</f>
        <v>7.5</v>
      </c>
      <c r="J896" s="22">
        <f>IFERROR(__xludf.DUMMYFUNCTION("""COMPUTED_VALUE"""),75.0)</f>
        <v>75</v>
      </c>
      <c r="K896" s="22">
        <f>IFERROR(__xludf.DUMMYFUNCTION("""COMPUTED_VALUE"""),19.0)</f>
        <v>19</v>
      </c>
      <c r="L896" s="26" t="str">
        <f>IFERROR(__xludf.DUMMYFUNCTION("""COMPUTED_VALUE"""),"Racing")</f>
        <v>Racing</v>
      </c>
    </row>
    <row r="897">
      <c r="A897" s="12" t="str">
        <f>IFERROR(__xludf.DUMMYFUNCTION("""COMPUTED_VALUE"""),"Samurai Shodown II")</f>
        <v>Samurai Shodown II</v>
      </c>
      <c r="B897" s="13" t="str">
        <f>IFERROR(__xludf.DUMMYFUNCTION("""COMPUTED_VALUE"""),"Xbox")</f>
        <v>Xbox</v>
      </c>
      <c r="C897" s="14"/>
      <c r="D897" s="14" t="str">
        <f>IFERROR(__xludf.DUMMYFUNCTION("""COMPUTED_VALUE"""),"Removed")</f>
        <v>Removed</v>
      </c>
      <c r="E897" s="294">
        <f>IFERROR(__xludf.DUMMYFUNCTION("""COMPUTED_VALUE"""),42887.0)</f>
        <v>42887</v>
      </c>
      <c r="F897" s="15">
        <f>IFERROR(__xludf.DUMMYFUNCTION("""COMPUTED_VALUE"""),43922.0)</f>
        <v>43922</v>
      </c>
      <c r="G897" s="18">
        <f>IFERROR(__xludf.DUMMYFUNCTION("""COMPUTED_VALUE"""),34.0)</f>
        <v>34</v>
      </c>
      <c r="H897" s="131">
        <f>IFERROR(__xludf.DUMMYFUNCTION("""COMPUTED_VALUE"""),34635.0)</f>
        <v>34635</v>
      </c>
      <c r="I897" s="18">
        <f>IFERROR(__xludf.DUMMYFUNCTION("""COMPUTED_VALUE"""),22.591666666666665)</f>
        <v>22.59166667</v>
      </c>
      <c r="J897" s="22">
        <f>IFERROR(__xludf.DUMMYFUNCTION("""COMPUTED_VALUE"""),73.0)</f>
        <v>73</v>
      </c>
      <c r="K897" s="22">
        <f>IFERROR(__xludf.DUMMYFUNCTION("""COMPUTED_VALUE"""),1.0)</f>
        <v>1</v>
      </c>
      <c r="L897" s="26" t="str">
        <f>IFERROR(__xludf.DUMMYFUNCTION("""COMPUTED_VALUE"""),"Action")</f>
        <v>Action</v>
      </c>
    </row>
    <row r="898">
      <c r="A898" s="12" t="str">
        <f>IFERROR(__xludf.DUMMYFUNCTION("""COMPUTED_VALUE"""),"LEGO Worlds")</f>
        <v>LEGO Worlds</v>
      </c>
      <c r="B898" s="13" t="str">
        <f>IFERROR(__xludf.DUMMYFUNCTION("""COMPUTED_VALUE"""),"Xbox")</f>
        <v>Xbox</v>
      </c>
      <c r="C898" s="14"/>
      <c r="D898" s="14" t="str">
        <f>IFERROR(__xludf.DUMMYFUNCTION("""COMPUTED_VALUE"""),"Removed")</f>
        <v>Removed</v>
      </c>
      <c r="E898" s="294">
        <f>IFERROR(__xludf.DUMMYFUNCTION("""COMPUTED_VALUE"""),43734.0)</f>
        <v>43734</v>
      </c>
      <c r="F898" s="15">
        <f>IFERROR(__xludf.DUMMYFUNCTION("""COMPUTED_VALUE"""),43891.0)</f>
        <v>43891</v>
      </c>
      <c r="G898" s="18">
        <f>IFERROR(__xludf.DUMMYFUNCTION("""COMPUTED_VALUE"""),5.166666666666667)</f>
        <v>5.166666667</v>
      </c>
      <c r="H898" s="131">
        <f>IFERROR(__xludf.DUMMYFUNCTION("""COMPUTED_VALUE"""),42801.0)</f>
        <v>42801</v>
      </c>
      <c r="I898" s="18">
        <f>IFERROR(__xludf.DUMMYFUNCTION("""COMPUTED_VALUE"""),2.5527777777777776)</f>
        <v>2.552777778</v>
      </c>
      <c r="J898" s="22">
        <f>IFERROR(__xludf.DUMMYFUNCTION("""COMPUTED_VALUE"""),69.0)</f>
        <v>69</v>
      </c>
      <c r="K898" s="22">
        <f>IFERROR(__xludf.DUMMYFUNCTION("""COMPUTED_VALUE"""),9.0)</f>
        <v>9</v>
      </c>
      <c r="L898" s="26" t="str">
        <f>IFERROR(__xludf.DUMMYFUNCTION("""COMPUTED_VALUE"""),"Action-Adventure")</f>
        <v>Action-Adventure</v>
      </c>
    </row>
    <row r="899">
      <c r="A899" s="12" t="str">
        <f>IFERROR(__xludf.DUMMYFUNCTION("""COMPUTED_VALUE"""),"Apocalipsis")</f>
        <v>Apocalipsis</v>
      </c>
      <c r="B899" s="13" t="str">
        <f>IFERROR(__xludf.DUMMYFUNCTION("""COMPUTED_VALUE"""),"PC")</f>
        <v>PC</v>
      </c>
      <c r="C899" s="14"/>
      <c r="D899" s="14" t="str">
        <f>IFERROR(__xludf.DUMMYFUNCTION("""COMPUTED_VALUE"""),"Removed")</f>
        <v>Removed</v>
      </c>
      <c r="E899" s="294">
        <f>IFERROR(__xludf.DUMMYFUNCTION("""COMPUTED_VALUE"""),43625.0)</f>
        <v>43625</v>
      </c>
      <c r="F899" s="15">
        <f>IFERROR(__xludf.DUMMYFUNCTION("""COMPUTED_VALUE"""),43891.0)</f>
        <v>43891</v>
      </c>
      <c r="G899" s="18">
        <f>IFERROR(__xludf.DUMMYFUNCTION("""COMPUTED_VALUE"""),8.733333333333333)</f>
        <v>8.733333333</v>
      </c>
      <c r="H899" s="131">
        <f>IFERROR(__xludf.DUMMYFUNCTION("""COMPUTED_VALUE"""),43159.0)</f>
        <v>43159</v>
      </c>
      <c r="I899" s="18">
        <f>IFERROR(__xludf.DUMMYFUNCTION("""COMPUTED_VALUE"""),1.2805555555555554)</f>
        <v>1.280555556</v>
      </c>
      <c r="J899" s="22">
        <f>IFERROR(__xludf.DUMMYFUNCTION("""COMPUTED_VALUE"""),73.0)</f>
        <v>73</v>
      </c>
      <c r="K899" s="22">
        <f>IFERROR(__xludf.DUMMYFUNCTION("""COMPUTED_VALUE"""),2.5)</f>
        <v>2.5</v>
      </c>
      <c r="L899" s="26" t="str">
        <f>IFERROR(__xludf.DUMMYFUNCTION("""COMPUTED_VALUE"""),"Adventure")</f>
        <v>Adventure</v>
      </c>
    </row>
    <row r="900">
      <c r="A900" s="12" t="str">
        <f>IFERROR(__xludf.DUMMYFUNCTION("""COMPUTED_VALUE"""),"Battle Chef Brigade")</f>
        <v>Battle Chef Brigade</v>
      </c>
      <c r="B900" s="13" t="str">
        <f>IFERROR(__xludf.DUMMYFUNCTION("""COMPUTED_VALUE"""),"PC")</f>
        <v>PC</v>
      </c>
      <c r="C900" s="14"/>
      <c r="D900" s="14" t="str">
        <f>IFERROR(__xludf.DUMMYFUNCTION("""COMPUTED_VALUE"""),"Removed")</f>
        <v>Removed</v>
      </c>
      <c r="E900" s="294">
        <f>IFERROR(__xludf.DUMMYFUNCTION("""COMPUTED_VALUE"""),43625.0)</f>
        <v>43625</v>
      </c>
      <c r="F900" s="15">
        <f>IFERROR(__xludf.DUMMYFUNCTION("""COMPUTED_VALUE"""),43891.0)</f>
        <v>43891</v>
      </c>
      <c r="G900" s="18">
        <f>IFERROR(__xludf.DUMMYFUNCTION("""COMPUTED_VALUE"""),8.733333333333333)</f>
        <v>8.733333333</v>
      </c>
      <c r="H900" s="131">
        <f>IFERROR(__xludf.DUMMYFUNCTION("""COMPUTED_VALUE"""),43059.0)</f>
        <v>43059</v>
      </c>
      <c r="I900" s="18">
        <f>IFERROR(__xludf.DUMMYFUNCTION("""COMPUTED_VALUE"""),1.5527777777777778)</f>
        <v>1.552777778</v>
      </c>
      <c r="J900" s="22">
        <f>IFERROR(__xludf.DUMMYFUNCTION("""COMPUTED_VALUE"""),80.0)</f>
        <v>80</v>
      </c>
      <c r="K900" s="22">
        <f>IFERROR(__xludf.DUMMYFUNCTION("""COMPUTED_VALUE"""),8.5)</f>
        <v>8.5</v>
      </c>
      <c r="L900" s="26" t="str">
        <f>IFERROR(__xludf.DUMMYFUNCTION("""COMPUTED_VALUE"""),"Action-Adventure")</f>
        <v>Action-Adventure</v>
      </c>
    </row>
    <row r="901">
      <c r="A901" s="12" t="str">
        <f>IFERROR(__xludf.DUMMYFUNCTION("""COMPUTED_VALUE"""),"Borderlands 2")</f>
        <v>Borderlands 2</v>
      </c>
      <c r="B901" s="13" t="str">
        <f>IFERROR(__xludf.DUMMYFUNCTION("""COMPUTED_VALUE"""),"Xbox")</f>
        <v>Xbox</v>
      </c>
      <c r="C901" s="14"/>
      <c r="D901" s="14" t="str">
        <f>IFERROR(__xludf.DUMMYFUNCTION("""COMPUTED_VALUE"""),"Removed")</f>
        <v>Removed</v>
      </c>
      <c r="E901" s="294">
        <f>IFERROR(__xludf.DUMMYFUNCTION("""COMPUTED_VALUE"""),43625.0)</f>
        <v>43625</v>
      </c>
      <c r="F901" s="15">
        <f>IFERROR(__xludf.DUMMYFUNCTION("""COMPUTED_VALUE"""),43891.0)</f>
        <v>43891</v>
      </c>
      <c r="G901" s="18">
        <f>IFERROR(__xludf.DUMMYFUNCTION("""COMPUTED_VALUE"""),8.733333333333333)</f>
        <v>8.733333333</v>
      </c>
      <c r="H901" s="131">
        <f>IFERROR(__xludf.DUMMYFUNCTION("""COMPUTED_VALUE"""),41170.0)</f>
        <v>41170</v>
      </c>
      <c r="I901" s="18">
        <f>IFERROR(__xludf.DUMMYFUNCTION("""COMPUTED_VALUE"""),6.725)</f>
        <v>6.725</v>
      </c>
      <c r="J901" s="22">
        <f>IFERROR(__xludf.DUMMYFUNCTION("""COMPUTED_VALUE"""),80.0)</f>
        <v>80</v>
      </c>
      <c r="K901" s="22">
        <f>IFERROR(__xludf.DUMMYFUNCTION("""COMPUTED_VALUE"""),30.5)</f>
        <v>30.5</v>
      </c>
      <c r="L901" s="26" t="str">
        <f>IFERROR(__xludf.DUMMYFUNCTION("""COMPUTED_VALUE"""),"Shooter")</f>
        <v>Shooter</v>
      </c>
    </row>
    <row r="902">
      <c r="A902" s="12" t="str">
        <f>IFERROR(__xludf.DUMMYFUNCTION("""COMPUTED_VALUE"""),"Borderlands: The Pre-Sequel!")</f>
        <v>Borderlands: The Pre-Sequel!</v>
      </c>
      <c r="B902" s="13" t="str">
        <f>IFERROR(__xludf.DUMMYFUNCTION("""COMPUTED_VALUE"""),"Xbox")</f>
        <v>Xbox</v>
      </c>
      <c r="C902" s="14"/>
      <c r="D902" s="14" t="str">
        <f>IFERROR(__xludf.DUMMYFUNCTION("""COMPUTED_VALUE"""),"Removed")</f>
        <v>Removed</v>
      </c>
      <c r="E902" s="294">
        <f>IFERROR(__xludf.DUMMYFUNCTION("""COMPUTED_VALUE"""),43625.0)</f>
        <v>43625</v>
      </c>
      <c r="F902" s="15">
        <f>IFERROR(__xludf.DUMMYFUNCTION("""COMPUTED_VALUE"""),43891.0)</f>
        <v>43891</v>
      </c>
      <c r="G902" s="18">
        <f>IFERROR(__xludf.DUMMYFUNCTION("""COMPUTED_VALUE"""),8.733333333333333)</f>
        <v>8.733333333</v>
      </c>
      <c r="H902" s="131">
        <f>IFERROR(__xludf.DUMMYFUNCTION("""COMPUTED_VALUE"""),41926.0)</f>
        <v>41926</v>
      </c>
      <c r="I902" s="18">
        <f>IFERROR(__xludf.DUMMYFUNCTION("""COMPUTED_VALUE"""),4.652777777777778)</f>
        <v>4.652777778</v>
      </c>
      <c r="J902" s="22">
        <f>IFERROR(__xludf.DUMMYFUNCTION("""COMPUTED_VALUE"""),80.0)</f>
        <v>80</v>
      </c>
      <c r="K902" s="22">
        <f>IFERROR(__xludf.DUMMYFUNCTION("""COMPUTED_VALUE"""),18.0)</f>
        <v>18</v>
      </c>
      <c r="L902" s="26" t="str">
        <f>IFERROR(__xludf.DUMMYFUNCTION("""COMPUTED_VALUE"""),"Shooter")</f>
        <v>Shooter</v>
      </c>
    </row>
    <row r="903">
      <c r="A903" s="12" t="str">
        <f>IFERROR(__xludf.DUMMYFUNCTION("""COMPUTED_VALUE"""),"Kingsway")</f>
        <v>Kingsway</v>
      </c>
      <c r="B903" s="13" t="str">
        <f>IFERROR(__xludf.DUMMYFUNCTION("""COMPUTED_VALUE"""),"PC")</f>
        <v>PC</v>
      </c>
      <c r="C903" s="14"/>
      <c r="D903" s="14" t="str">
        <f>IFERROR(__xludf.DUMMYFUNCTION("""COMPUTED_VALUE"""),"Removed")</f>
        <v>Removed</v>
      </c>
      <c r="E903" s="294">
        <f>IFERROR(__xludf.DUMMYFUNCTION("""COMPUTED_VALUE"""),43625.0)</f>
        <v>43625</v>
      </c>
      <c r="F903" s="15">
        <f>IFERROR(__xludf.DUMMYFUNCTION("""COMPUTED_VALUE"""),43891.0)</f>
        <v>43891</v>
      </c>
      <c r="G903" s="18">
        <f>IFERROR(__xludf.DUMMYFUNCTION("""COMPUTED_VALUE"""),8.733333333333333)</f>
        <v>8.733333333</v>
      </c>
      <c r="H903" s="131">
        <f>IFERROR(__xludf.DUMMYFUNCTION("""COMPUTED_VALUE"""),42934.0)</f>
        <v>42934</v>
      </c>
      <c r="I903" s="18">
        <f>IFERROR(__xludf.DUMMYFUNCTION("""COMPUTED_VALUE"""),1.8916666666666666)</f>
        <v>1.891666667</v>
      </c>
      <c r="J903" s="22">
        <f>IFERROR(__xludf.DUMMYFUNCTION("""COMPUTED_VALUE"""),80.0)</f>
        <v>80</v>
      </c>
      <c r="K903" s="22">
        <f>IFERROR(__xludf.DUMMYFUNCTION("""COMPUTED_VALUE"""),5.0)</f>
        <v>5</v>
      </c>
      <c r="L903" s="26" t="str">
        <f>IFERROR(__xludf.DUMMYFUNCTION("""COMPUTED_VALUE"""),"RPG")</f>
        <v>RPG</v>
      </c>
    </row>
    <row r="904">
      <c r="A904" s="12" t="str">
        <f>IFERROR(__xludf.DUMMYFUNCTION("""COMPUTED_VALUE"""),"Lichtspeer: Double Speer Edition")</f>
        <v>Lichtspeer: Double Speer Edition</v>
      </c>
      <c r="B904" s="13" t="str">
        <f>IFERROR(__xludf.DUMMYFUNCTION("""COMPUTED_VALUE"""),"Xbox / PC")</f>
        <v>Xbox / PC</v>
      </c>
      <c r="C904" s="14"/>
      <c r="D904" s="14" t="str">
        <f>IFERROR(__xludf.DUMMYFUNCTION("""COMPUTED_VALUE"""),"Removed")</f>
        <v>Removed</v>
      </c>
      <c r="E904" s="294">
        <f>IFERROR(__xludf.DUMMYFUNCTION("""COMPUTED_VALUE"""),43625.0)</f>
        <v>43625</v>
      </c>
      <c r="F904" s="15">
        <f>IFERROR(__xludf.DUMMYFUNCTION("""COMPUTED_VALUE"""),43891.0)</f>
        <v>43891</v>
      </c>
      <c r="G904" s="18">
        <f>IFERROR(__xludf.DUMMYFUNCTION("""COMPUTED_VALUE"""),8.733333333333333)</f>
        <v>8.733333333</v>
      </c>
      <c r="H904" s="131">
        <f>IFERROR(__xludf.DUMMYFUNCTION("""COMPUTED_VALUE"""),42640.0)</f>
        <v>42640</v>
      </c>
      <c r="I904" s="18">
        <f>IFERROR(__xludf.DUMMYFUNCTION("""COMPUTED_VALUE"""),2.7)</f>
        <v>2.7</v>
      </c>
      <c r="J904" s="22">
        <f>IFERROR(__xludf.DUMMYFUNCTION("""COMPUTED_VALUE"""),69.0)</f>
        <v>69</v>
      </c>
      <c r="K904" s="22">
        <f>IFERROR(__xludf.DUMMYFUNCTION("""COMPUTED_VALUE"""),4.0)</f>
        <v>4</v>
      </c>
      <c r="L904" s="26" t="str">
        <f>IFERROR(__xludf.DUMMYFUNCTION("""COMPUTED_VALUE"""),"Sports")</f>
        <v>Sports</v>
      </c>
    </row>
    <row r="905">
      <c r="A905" s="12" t="str">
        <f>IFERROR(__xludf.DUMMYFUNCTION("""COMPUTED_VALUE"""),"Orwell: Keeping an Eye on You")</f>
        <v>Orwell: Keeping an Eye on You</v>
      </c>
      <c r="B905" s="13" t="str">
        <f>IFERROR(__xludf.DUMMYFUNCTION("""COMPUTED_VALUE"""),"PC")</f>
        <v>PC</v>
      </c>
      <c r="C905" s="14"/>
      <c r="D905" s="14" t="str">
        <f>IFERROR(__xludf.DUMMYFUNCTION("""COMPUTED_VALUE"""),"Removed")</f>
        <v>Removed</v>
      </c>
      <c r="E905" s="294">
        <f>IFERROR(__xludf.DUMMYFUNCTION("""COMPUTED_VALUE"""),43625.0)</f>
        <v>43625</v>
      </c>
      <c r="F905" s="15">
        <f>IFERROR(__xludf.DUMMYFUNCTION("""COMPUTED_VALUE"""),43891.0)</f>
        <v>43891</v>
      </c>
      <c r="G905" s="18">
        <f>IFERROR(__xludf.DUMMYFUNCTION("""COMPUTED_VALUE"""),8.733333333333333)</f>
        <v>8.733333333</v>
      </c>
      <c r="H905" s="131">
        <f>IFERROR(__xludf.DUMMYFUNCTION("""COMPUTED_VALUE"""),42671.0)</f>
        <v>42671</v>
      </c>
      <c r="I905" s="18">
        <f>IFERROR(__xludf.DUMMYFUNCTION("""COMPUTED_VALUE"""),2.613888888888889)</f>
        <v>2.613888889</v>
      </c>
      <c r="J905" s="22">
        <f>IFERROR(__xludf.DUMMYFUNCTION("""COMPUTED_VALUE"""),77.0)</f>
        <v>77</v>
      </c>
      <c r="K905" s="22">
        <f>IFERROR(__xludf.DUMMYFUNCTION("""COMPUTED_VALUE"""),4.5)</f>
        <v>4.5</v>
      </c>
      <c r="L905" s="26" t="str">
        <f>IFERROR(__xludf.DUMMYFUNCTION("""COMPUTED_VALUE"""),"Adventure")</f>
        <v>Adventure</v>
      </c>
    </row>
    <row r="906">
      <c r="A906" s="12" t="str">
        <f>IFERROR(__xludf.DUMMYFUNCTION("""COMPUTED_VALUE"""),"Shenmue")</f>
        <v>Shenmue</v>
      </c>
      <c r="B906" s="13" t="str">
        <f>IFERROR(__xludf.DUMMYFUNCTION("""COMPUTED_VALUE"""),"Xbox / PC")</f>
        <v>Xbox / PC</v>
      </c>
      <c r="C906" s="14"/>
      <c r="D906" s="14" t="str">
        <f>IFERROR(__xludf.DUMMYFUNCTION("""COMPUTED_VALUE"""),"Removed")</f>
        <v>Removed</v>
      </c>
      <c r="E906" s="294">
        <f>IFERROR(__xludf.DUMMYFUNCTION("""COMPUTED_VALUE"""),43625.0)</f>
        <v>43625</v>
      </c>
      <c r="F906" s="15">
        <f>IFERROR(__xludf.DUMMYFUNCTION("""COMPUTED_VALUE"""),43891.0)</f>
        <v>43891</v>
      </c>
      <c r="G906" s="18">
        <f>IFERROR(__xludf.DUMMYFUNCTION("""COMPUTED_VALUE"""),8.733333333333333)</f>
        <v>8.733333333</v>
      </c>
      <c r="H906" s="131">
        <f>IFERROR(__xludf.DUMMYFUNCTION("""COMPUTED_VALUE"""),36523.0)</f>
        <v>36523</v>
      </c>
      <c r="I906" s="18">
        <f>IFERROR(__xludf.DUMMYFUNCTION("""COMPUTED_VALUE"""),19.444444444444443)</f>
        <v>19.44444444</v>
      </c>
      <c r="J906" s="22">
        <f>IFERROR(__xludf.DUMMYFUNCTION("""COMPUTED_VALUE"""),75.0)</f>
        <v>75</v>
      </c>
      <c r="K906" s="22">
        <f>IFERROR(__xludf.DUMMYFUNCTION("""COMPUTED_VALUE"""),19.5)</f>
        <v>19.5</v>
      </c>
      <c r="L906" s="26" t="str">
        <f>IFERROR(__xludf.DUMMYFUNCTION("""COMPUTED_VALUE"""),"RPG")</f>
        <v>RPG</v>
      </c>
    </row>
    <row r="907">
      <c r="A907" s="12" t="str">
        <f>IFERROR(__xludf.DUMMYFUNCTION("""COMPUTED_VALUE"""),"Shenmue II")</f>
        <v>Shenmue II</v>
      </c>
      <c r="B907" s="13" t="str">
        <f>IFERROR(__xludf.DUMMYFUNCTION("""COMPUTED_VALUE"""),"Xbox / PC")</f>
        <v>Xbox / PC</v>
      </c>
      <c r="C907" s="14"/>
      <c r="D907" s="14" t="str">
        <f>IFERROR(__xludf.DUMMYFUNCTION("""COMPUTED_VALUE"""),"Removed")</f>
        <v>Removed</v>
      </c>
      <c r="E907" s="294">
        <f>IFERROR(__xludf.DUMMYFUNCTION("""COMPUTED_VALUE"""),43625.0)</f>
        <v>43625</v>
      </c>
      <c r="F907" s="15">
        <f>IFERROR(__xludf.DUMMYFUNCTION("""COMPUTED_VALUE"""),43891.0)</f>
        <v>43891</v>
      </c>
      <c r="G907" s="18">
        <f>IFERROR(__xludf.DUMMYFUNCTION("""COMPUTED_VALUE"""),8.733333333333333)</f>
        <v>8.733333333</v>
      </c>
      <c r="H907" s="131">
        <f>IFERROR(__xludf.DUMMYFUNCTION("""COMPUTED_VALUE"""),37140.0)</f>
        <v>37140</v>
      </c>
      <c r="I907" s="18">
        <f>IFERROR(__xludf.DUMMYFUNCTION("""COMPUTED_VALUE"""),17.758333333333333)</f>
        <v>17.75833333</v>
      </c>
      <c r="J907" s="22">
        <f>IFERROR(__xludf.DUMMYFUNCTION("""COMPUTED_VALUE"""),75.0)</f>
        <v>75</v>
      </c>
      <c r="K907" s="22">
        <f>IFERROR(__xludf.DUMMYFUNCTION("""COMPUTED_VALUE"""),24.5)</f>
        <v>24.5</v>
      </c>
      <c r="L907" s="26" t="str">
        <f>IFERROR(__xludf.DUMMYFUNCTION("""COMPUTED_VALUE"""),"Action-Adventure")</f>
        <v>Action-Adventure</v>
      </c>
    </row>
    <row r="908">
      <c r="A908" s="12" t="str">
        <f>IFERROR(__xludf.DUMMYFUNCTION("""COMPUTED_VALUE"""),"Thimbleweed Park")</f>
        <v>Thimbleweed Park</v>
      </c>
      <c r="B908" s="13" t="str">
        <f>IFERROR(__xludf.DUMMYFUNCTION("""COMPUTED_VALUE"""),"Xbox / PC")</f>
        <v>Xbox / PC</v>
      </c>
      <c r="C908" s="14"/>
      <c r="D908" s="14" t="str">
        <f>IFERROR(__xludf.DUMMYFUNCTION("""COMPUTED_VALUE"""),"Removed")</f>
        <v>Removed</v>
      </c>
      <c r="E908" s="294">
        <f>IFERROR(__xludf.DUMMYFUNCTION("""COMPUTED_VALUE"""),43625.0)</f>
        <v>43625</v>
      </c>
      <c r="F908" s="15">
        <f>IFERROR(__xludf.DUMMYFUNCTION("""COMPUTED_VALUE"""),43891.0)</f>
        <v>43891</v>
      </c>
      <c r="G908" s="18">
        <f>IFERROR(__xludf.DUMMYFUNCTION("""COMPUTED_VALUE"""),8.733333333333333)</f>
        <v>8.733333333</v>
      </c>
      <c r="H908" s="131">
        <f>IFERROR(__xludf.DUMMYFUNCTION("""COMPUTED_VALUE"""),42824.0)</f>
        <v>42824</v>
      </c>
      <c r="I908" s="18">
        <f>IFERROR(__xludf.DUMMYFUNCTION("""COMPUTED_VALUE"""),2.191666666666667)</f>
        <v>2.191666667</v>
      </c>
      <c r="J908" s="22">
        <f>IFERROR(__xludf.DUMMYFUNCTION("""COMPUTED_VALUE"""),84.0)</f>
        <v>84</v>
      </c>
      <c r="K908" s="22">
        <f>IFERROR(__xludf.DUMMYFUNCTION("""COMPUTED_VALUE"""),10.5)</f>
        <v>10.5</v>
      </c>
      <c r="L908" s="26" t="str">
        <f>IFERROR(__xludf.DUMMYFUNCTION("""COMPUTED_VALUE"""),"Adventure")</f>
        <v>Adventure</v>
      </c>
    </row>
    <row r="909">
      <c r="A909" s="12" t="str">
        <f>IFERROR(__xludf.DUMMYFUNCTION("""COMPUTED_VALUE"""),"Titan-Quest: Anniversary Edition")</f>
        <v>Titan-Quest: Anniversary Edition</v>
      </c>
      <c r="B909" s="13" t="str">
        <f>IFERROR(__xludf.DUMMYFUNCTION("""COMPUTED_VALUE"""),"PC")</f>
        <v>PC</v>
      </c>
      <c r="C909" s="14"/>
      <c r="D909" s="14" t="str">
        <f>IFERROR(__xludf.DUMMYFUNCTION("""COMPUTED_VALUE"""),"Removed")</f>
        <v>Removed</v>
      </c>
      <c r="E909" s="294">
        <f>IFERROR(__xludf.DUMMYFUNCTION("""COMPUTED_VALUE"""),43625.0)</f>
        <v>43625</v>
      </c>
      <c r="F909" s="15">
        <f>IFERROR(__xludf.DUMMYFUNCTION("""COMPUTED_VALUE"""),43891.0)</f>
        <v>43891</v>
      </c>
      <c r="G909" s="18">
        <f>IFERROR(__xludf.DUMMYFUNCTION("""COMPUTED_VALUE"""),8.733333333333333)</f>
        <v>8.733333333</v>
      </c>
      <c r="H909" s="131">
        <f>IFERROR(__xludf.DUMMYFUNCTION("""COMPUTED_VALUE"""),42613.0)</f>
        <v>42613</v>
      </c>
      <c r="I909" s="18">
        <f>IFERROR(__xludf.DUMMYFUNCTION("""COMPUTED_VALUE"""),2.775)</f>
        <v>2.775</v>
      </c>
      <c r="J909" s="22">
        <f>IFERROR(__xludf.DUMMYFUNCTION("""COMPUTED_VALUE"""),77.0)</f>
        <v>77</v>
      </c>
      <c r="K909" s="22">
        <f>IFERROR(__xludf.DUMMYFUNCTION("""COMPUTED_VALUE"""),34.0)</f>
        <v>34</v>
      </c>
      <c r="L909" s="26" t="str">
        <f>IFERROR(__xludf.DUMMYFUNCTION("""COMPUTED_VALUE"""),"RPG")</f>
        <v>RPG</v>
      </c>
    </row>
    <row r="910">
      <c r="A910" s="12" t="str">
        <f>IFERROR(__xludf.DUMMYFUNCTION("""COMPUTED_VALUE"""),"The Golf Club 2")</f>
        <v>The Golf Club 2</v>
      </c>
      <c r="B910" s="13" t="str">
        <f>IFERROR(__xludf.DUMMYFUNCTION("""COMPUTED_VALUE"""),"Xbox")</f>
        <v>Xbox</v>
      </c>
      <c r="C910" s="14"/>
      <c r="D910" s="14" t="str">
        <f>IFERROR(__xludf.DUMMYFUNCTION("""COMPUTED_VALUE"""),"Removed")</f>
        <v>Removed</v>
      </c>
      <c r="E910" s="294">
        <f>IFERROR(__xludf.DUMMYFUNCTION("""COMPUTED_VALUE"""),43566.0)</f>
        <v>43566</v>
      </c>
      <c r="F910" s="15">
        <f>IFERROR(__xludf.DUMMYFUNCTION("""COMPUTED_VALUE"""),43891.0)</f>
        <v>43891</v>
      </c>
      <c r="G910" s="18">
        <f>IFERROR(__xludf.DUMMYFUNCTION("""COMPUTED_VALUE"""),10.666666666666666)</f>
        <v>10.66666667</v>
      </c>
      <c r="H910" s="131">
        <f>IFERROR(__xludf.DUMMYFUNCTION("""COMPUTED_VALUE"""),42913.0)</f>
        <v>42913</v>
      </c>
      <c r="I910" s="18">
        <f>IFERROR(__xludf.DUMMYFUNCTION("""COMPUTED_VALUE"""),1.788888888888889)</f>
        <v>1.788888889</v>
      </c>
      <c r="J910" s="22">
        <f>IFERROR(__xludf.DUMMYFUNCTION("""COMPUTED_VALUE"""),69.0)</f>
        <v>69</v>
      </c>
      <c r="K910" s="22">
        <f>IFERROR(__xludf.DUMMYFUNCTION("""COMPUTED_VALUE"""),125.0)</f>
        <v>125</v>
      </c>
      <c r="L910" s="26" t="str">
        <f>IFERROR(__xludf.DUMMYFUNCTION("""COMPUTED_VALUE"""),"Golf")</f>
        <v>Golf</v>
      </c>
    </row>
    <row r="911">
      <c r="A911" s="12" t="str">
        <f>IFERROR(__xludf.DUMMYFUNCTION("""COMPUTED_VALUE"""),"Operencia: The Stolen Sun")</f>
        <v>Operencia: The Stolen Sun</v>
      </c>
      <c r="B911" s="13" t="str">
        <f>IFERROR(__xludf.DUMMYFUNCTION("""COMPUTED_VALUE"""),"Xbox / PC")</f>
        <v>Xbox / PC</v>
      </c>
      <c r="C911" s="14"/>
      <c r="D911" s="14" t="str">
        <f>IFERROR(__xludf.DUMMYFUNCTION("""COMPUTED_VALUE"""),"Removed")</f>
        <v>Removed</v>
      </c>
      <c r="E911" s="294">
        <f>IFERROR(__xludf.DUMMYFUNCTION("""COMPUTED_VALUE"""),43553.0)</f>
        <v>43553</v>
      </c>
      <c r="F911" s="15">
        <f>IFERROR(__xludf.DUMMYFUNCTION("""COMPUTED_VALUE"""),43891.0)</f>
        <v>43891</v>
      </c>
      <c r="G911" s="18">
        <f>IFERROR(__xludf.DUMMYFUNCTION("""COMPUTED_VALUE"""),11.066666666666666)</f>
        <v>11.06666667</v>
      </c>
      <c r="H911" s="131">
        <f>IFERROR(__xludf.DUMMYFUNCTION("""COMPUTED_VALUE"""),43553.0)</f>
        <v>43553</v>
      </c>
      <c r="I911" s="18">
        <f>IFERROR(__xludf.DUMMYFUNCTION("""COMPUTED_VALUE"""),0.0)</f>
        <v>0</v>
      </c>
      <c r="J911" s="22">
        <f>IFERROR(__xludf.DUMMYFUNCTION("""COMPUTED_VALUE"""),80.0)</f>
        <v>80</v>
      </c>
      <c r="K911" s="22">
        <f>IFERROR(__xludf.DUMMYFUNCTION("""COMPUTED_VALUE"""),19.0)</f>
        <v>19</v>
      </c>
      <c r="L911" s="26" t="str">
        <f>IFERROR(__xludf.DUMMYFUNCTION("""COMPUTED_VALUE"""),"RPG")</f>
        <v>RPG</v>
      </c>
    </row>
    <row r="912">
      <c r="A912" s="12" t="str">
        <f>IFERROR(__xludf.DUMMYFUNCTION("""COMPUTED_VALUE"""),"Deus Ex: Mankind Divided")</f>
        <v>Deus Ex: Mankind Divided</v>
      </c>
      <c r="B912" s="13" t="str">
        <f>IFERROR(__xludf.DUMMYFUNCTION("""COMPUTED_VALUE"""),"Xbox")</f>
        <v>Xbox</v>
      </c>
      <c r="C912" s="14"/>
      <c r="D912" s="14" t="str">
        <f>IFERROR(__xludf.DUMMYFUNCTION("""COMPUTED_VALUE"""),"Removed")</f>
        <v>Removed</v>
      </c>
      <c r="E912" s="294">
        <f>IFERROR(__xludf.DUMMYFUNCTION("""COMPUTED_VALUE"""),43545.0)</f>
        <v>43545</v>
      </c>
      <c r="F912" s="15">
        <f>IFERROR(__xludf.DUMMYFUNCTION("""COMPUTED_VALUE"""),43891.0)</f>
        <v>43891</v>
      </c>
      <c r="G912" s="18">
        <f>IFERROR(__xludf.DUMMYFUNCTION("""COMPUTED_VALUE"""),11.333333333333332)</f>
        <v>11.33333333</v>
      </c>
      <c r="H912" s="131">
        <f>IFERROR(__xludf.DUMMYFUNCTION("""COMPUTED_VALUE"""),42605.0)</f>
        <v>42605</v>
      </c>
      <c r="I912" s="18">
        <f>IFERROR(__xludf.DUMMYFUNCTION("""COMPUTED_VALUE"""),2.577777777777778)</f>
        <v>2.577777778</v>
      </c>
      <c r="J912" s="22">
        <f>IFERROR(__xludf.DUMMYFUNCTION("""COMPUTED_VALUE"""),83.0)</f>
        <v>83</v>
      </c>
      <c r="K912" s="22">
        <f>IFERROR(__xludf.DUMMYFUNCTION("""COMPUTED_VALUE"""),15.5)</f>
        <v>15.5</v>
      </c>
      <c r="L912" s="26" t="str">
        <f>IFERROR(__xludf.DUMMYFUNCTION("""COMPUTED_VALUE"""),"Shooter")</f>
        <v>Shooter</v>
      </c>
    </row>
    <row r="913">
      <c r="A913" s="12" t="str">
        <f>IFERROR(__xludf.DUMMYFUNCTION("""COMPUTED_VALUE"""),"Disney Epic Mickey 2: The Power of Two")</f>
        <v>Disney Epic Mickey 2: The Power of Two</v>
      </c>
      <c r="B913" s="13" t="str">
        <f>IFERROR(__xludf.DUMMYFUNCTION("""COMPUTED_VALUE"""),"Xbox")</f>
        <v>Xbox</v>
      </c>
      <c r="C913" s="14"/>
      <c r="D913" s="14" t="str">
        <f>IFERROR(__xludf.DUMMYFUNCTION("""COMPUTED_VALUE"""),"Removed")</f>
        <v>Removed</v>
      </c>
      <c r="E913" s="294">
        <f>IFERROR(__xludf.DUMMYFUNCTION("""COMPUTED_VALUE"""),43517.0)</f>
        <v>43517</v>
      </c>
      <c r="F913" s="15">
        <f>IFERROR(__xludf.DUMMYFUNCTION("""COMPUTED_VALUE"""),43876.0)</f>
        <v>43876</v>
      </c>
      <c r="G913" s="18">
        <f>IFERROR(__xludf.DUMMYFUNCTION("""COMPUTED_VALUE"""),11.799999999999999)</f>
        <v>11.8</v>
      </c>
      <c r="H913" s="131">
        <f>IFERROR(__xludf.DUMMYFUNCTION("""COMPUTED_VALUE"""),41231.0)</f>
        <v>41231</v>
      </c>
      <c r="I913" s="18">
        <f>IFERROR(__xludf.DUMMYFUNCTION("""COMPUTED_VALUE"""),6.258333333333334)</f>
        <v>6.258333333</v>
      </c>
      <c r="J913" s="22">
        <f>IFERROR(__xludf.DUMMYFUNCTION("""COMPUTED_VALUE"""),59.0)</f>
        <v>59</v>
      </c>
      <c r="K913" s="22">
        <f>IFERROR(__xludf.DUMMYFUNCTION("""COMPUTED_VALUE"""),9.0)</f>
        <v>9</v>
      </c>
      <c r="L913" s="26" t="str">
        <f>IFERROR(__xludf.DUMMYFUNCTION("""COMPUTED_VALUE"""),"Platformer")</f>
        <v>Platformer</v>
      </c>
    </row>
    <row r="914">
      <c r="A914" s="12" t="str">
        <f>IFERROR(__xludf.DUMMYFUNCTION("""COMPUTED_VALUE"""),"Just Cause 4")</f>
        <v>Just Cause 4</v>
      </c>
      <c r="B914" s="13" t="str">
        <f>IFERROR(__xludf.DUMMYFUNCTION("""COMPUTED_VALUE"""),"Xbox")</f>
        <v>Xbox</v>
      </c>
      <c r="C914" s="14"/>
      <c r="D914" s="14" t="str">
        <f>IFERROR(__xludf.DUMMYFUNCTION("""COMPUTED_VALUE"""),"Removed")</f>
        <v>Removed</v>
      </c>
      <c r="E914" s="294">
        <f>IFERROR(__xludf.DUMMYFUNCTION("""COMPUTED_VALUE"""),43530.0)</f>
        <v>43530</v>
      </c>
      <c r="F914" s="15">
        <f>IFERROR(__xludf.DUMMYFUNCTION("""COMPUTED_VALUE"""),43863.0)</f>
        <v>43863</v>
      </c>
      <c r="G914" s="18">
        <f>IFERROR(__xludf.DUMMYFUNCTION("""COMPUTED_VALUE"""),10.866666666666667)</f>
        <v>10.86666667</v>
      </c>
      <c r="H914" s="131">
        <f>IFERROR(__xludf.DUMMYFUNCTION("""COMPUTED_VALUE"""),43438.0)</f>
        <v>43438</v>
      </c>
      <c r="I914" s="18">
        <f>IFERROR(__xludf.DUMMYFUNCTION("""COMPUTED_VALUE"""),0.25555555555555554)</f>
        <v>0.2555555556</v>
      </c>
      <c r="J914" s="22">
        <f>IFERROR(__xludf.DUMMYFUNCTION("""COMPUTED_VALUE"""),70.0)</f>
        <v>70</v>
      </c>
      <c r="K914" s="22">
        <f>IFERROR(__xludf.DUMMYFUNCTION("""COMPUTED_VALUE"""),16.0)</f>
        <v>16</v>
      </c>
      <c r="L914" s="26" t="str">
        <f>IFERROR(__xludf.DUMMYFUNCTION("""COMPUTED_VALUE"""),"Action-Adventure")</f>
        <v>Action-Adventure</v>
      </c>
    </row>
    <row r="915">
      <c r="A915" s="12" t="str">
        <f>IFERROR(__xludf.DUMMYFUNCTION("""COMPUTED_VALUE"""),"Batman: Arkham City")</f>
        <v>Batman: Arkham City</v>
      </c>
      <c r="B915" s="13" t="str">
        <f>IFERROR(__xludf.DUMMYFUNCTION("""COMPUTED_VALUE"""),"Xbox")</f>
        <v>Xbox</v>
      </c>
      <c r="C915" s="14"/>
      <c r="D915" s="14" t="str">
        <f>IFERROR(__xludf.DUMMYFUNCTION("""COMPUTED_VALUE"""),"Removed")</f>
        <v>Removed</v>
      </c>
      <c r="E915" s="294">
        <f>IFERROR(__xludf.DUMMYFUNCTION("""COMPUTED_VALUE"""),43517.0)</f>
        <v>43517</v>
      </c>
      <c r="F915" s="15">
        <f>IFERROR(__xludf.DUMMYFUNCTION("""COMPUTED_VALUE"""),43863.0)</f>
        <v>43863</v>
      </c>
      <c r="G915" s="18">
        <f>IFERROR(__xludf.DUMMYFUNCTION("""COMPUTED_VALUE"""),11.366666666666667)</f>
        <v>11.36666667</v>
      </c>
      <c r="H915" s="131">
        <f>IFERROR(__xludf.DUMMYFUNCTION("""COMPUTED_VALUE"""),40834.0)</f>
        <v>40834</v>
      </c>
      <c r="I915" s="18">
        <f>IFERROR(__xludf.DUMMYFUNCTION("""COMPUTED_VALUE"""),7.341666666666667)</f>
        <v>7.341666667</v>
      </c>
      <c r="J915" s="22">
        <f>IFERROR(__xludf.DUMMYFUNCTION("""COMPUTED_VALUE"""),77.0)</f>
        <v>77</v>
      </c>
      <c r="K915" s="22">
        <f>IFERROR(__xludf.DUMMYFUNCTION("""COMPUTED_VALUE"""),12.5)</f>
        <v>12.5</v>
      </c>
      <c r="L915" s="26" t="str">
        <f>IFERROR(__xludf.DUMMYFUNCTION("""COMPUTED_VALUE"""),"Action-Adventure")</f>
        <v>Action-Adventure</v>
      </c>
    </row>
    <row r="916">
      <c r="A916" s="12" t="str">
        <f>IFERROR(__xludf.DUMMYFUNCTION("""COMPUTED_VALUE"""),"The Jackbox Party Pack 2")</f>
        <v>The Jackbox Party Pack 2</v>
      </c>
      <c r="B916" s="13" t="str">
        <f>IFERROR(__xludf.DUMMYFUNCTION("""COMPUTED_VALUE"""),"Xbox")</f>
        <v>Xbox</v>
      </c>
      <c r="C916" s="14"/>
      <c r="D916" s="14" t="str">
        <f>IFERROR(__xludf.DUMMYFUNCTION("""COMPUTED_VALUE"""),"Removed")</f>
        <v>Removed</v>
      </c>
      <c r="E916" s="294">
        <f>IFERROR(__xludf.DUMMYFUNCTION("""COMPUTED_VALUE"""),43685.0)</f>
        <v>43685</v>
      </c>
      <c r="F916" s="15">
        <f>IFERROR(__xludf.DUMMYFUNCTION("""COMPUTED_VALUE"""),43862.0)</f>
        <v>43862</v>
      </c>
      <c r="G916" s="18">
        <f>IFERROR(__xludf.DUMMYFUNCTION("""COMPUTED_VALUE"""),5.766666666666667)</f>
        <v>5.766666667</v>
      </c>
      <c r="H916" s="131">
        <f>IFERROR(__xludf.DUMMYFUNCTION("""COMPUTED_VALUE"""),42290.0)</f>
        <v>42290</v>
      </c>
      <c r="I916" s="18">
        <f>IFERROR(__xludf.DUMMYFUNCTION("""COMPUTED_VALUE"""),3.8194444444444446)</f>
        <v>3.819444444</v>
      </c>
      <c r="J916" s="22">
        <f>IFERROR(__xludf.DUMMYFUNCTION("""COMPUTED_VALUE"""),80.0)</f>
        <v>80</v>
      </c>
      <c r="K916" s="22">
        <f>IFERROR(__xludf.DUMMYFUNCTION("""COMPUTED_VALUE"""),2.0)</f>
        <v>2</v>
      </c>
      <c r="L916" s="26" t="str">
        <f>IFERROR(__xludf.DUMMYFUNCTION("""COMPUTED_VALUE"""),"Party")</f>
        <v>Party</v>
      </c>
    </row>
    <row r="917">
      <c r="A917" s="12" t="str">
        <f>IFERROR(__xludf.DUMMYFUNCTION("""COMPUTED_VALUE"""),"Batman: Arkham Asylum")</f>
        <v>Batman: Arkham Asylum</v>
      </c>
      <c r="B917" s="13" t="str">
        <f>IFERROR(__xludf.DUMMYFUNCTION("""COMPUTED_VALUE"""),"Xbox")</f>
        <v>Xbox</v>
      </c>
      <c r="C917" s="14"/>
      <c r="D917" s="14" t="str">
        <f>IFERROR(__xludf.DUMMYFUNCTION("""COMPUTED_VALUE"""),"Removed")</f>
        <v>Removed</v>
      </c>
      <c r="E917" s="294">
        <f>IFERROR(__xludf.DUMMYFUNCTION("""COMPUTED_VALUE"""),43517.0)</f>
        <v>43517</v>
      </c>
      <c r="F917" s="15">
        <f>IFERROR(__xludf.DUMMYFUNCTION("""COMPUTED_VALUE"""),43862.0)</f>
        <v>43862</v>
      </c>
      <c r="G917" s="18">
        <f>IFERROR(__xludf.DUMMYFUNCTION("""COMPUTED_VALUE"""),11.333333333333332)</f>
        <v>11.33333333</v>
      </c>
      <c r="H917" s="131">
        <f>IFERROR(__xludf.DUMMYFUNCTION("""COMPUTED_VALUE"""),40050.0)</f>
        <v>40050</v>
      </c>
      <c r="I917" s="18">
        <f>IFERROR(__xludf.DUMMYFUNCTION("""COMPUTED_VALUE"""),9.488888888888889)</f>
        <v>9.488888889</v>
      </c>
      <c r="J917" s="22">
        <f>IFERROR(__xludf.DUMMYFUNCTION("""COMPUTED_VALUE"""),77.0)</f>
        <v>77</v>
      </c>
      <c r="K917" s="22">
        <f>IFERROR(__xludf.DUMMYFUNCTION("""COMPUTED_VALUE"""),12.0)</f>
        <v>12</v>
      </c>
      <c r="L917" s="26" t="str">
        <f>IFERROR(__xludf.DUMMYFUNCTION("""COMPUTED_VALUE"""),"Action-Adventure")</f>
        <v>Action-Adventure</v>
      </c>
    </row>
    <row r="918">
      <c r="A918" s="12" t="str">
        <f>IFERROR(__xludf.DUMMYFUNCTION("""COMPUTED_VALUE"""),"Pumped BMX Pro")</f>
        <v>Pumped BMX Pro</v>
      </c>
      <c r="B918" s="13" t="str">
        <f>IFERROR(__xludf.DUMMYFUNCTION("""COMPUTED_VALUE"""),"Xbox")</f>
        <v>Xbox</v>
      </c>
      <c r="C918" s="14"/>
      <c r="D918" s="14" t="str">
        <f>IFERROR(__xludf.DUMMYFUNCTION("""COMPUTED_VALUE"""),"Removed")</f>
        <v>Removed</v>
      </c>
      <c r="E918" s="294">
        <f>IFERROR(__xludf.DUMMYFUNCTION("""COMPUTED_VALUE"""),43503.0)</f>
        <v>43503</v>
      </c>
      <c r="F918" s="15">
        <f>IFERROR(__xludf.DUMMYFUNCTION("""COMPUTED_VALUE"""),43862.0)</f>
        <v>43862</v>
      </c>
      <c r="G918" s="18">
        <f>IFERROR(__xludf.DUMMYFUNCTION("""COMPUTED_VALUE"""),11.799999999999999)</f>
        <v>11.8</v>
      </c>
      <c r="H918" s="131">
        <f>IFERROR(__xludf.DUMMYFUNCTION("""COMPUTED_VALUE"""),43503.0)</f>
        <v>43503</v>
      </c>
      <c r="I918" s="18">
        <f>IFERROR(__xludf.DUMMYFUNCTION("""COMPUTED_VALUE"""),0.0)</f>
        <v>0</v>
      </c>
      <c r="J918" s="22">
        <f>IFERROR(__xludf.DUMMYFUNCTION("""COMPUTED_VALUE"""),53.0)</f>
        <v>53</v>
      </c>
      <c r="K918" s="22">
        <f>IFERROR(__xludf.DUMMYFUNCTION("""COMPUTED_VALUE"""),15.0)</f>
        <v>15</v>
      </c>
      <c r="L918" s="26" t="str">
        <f>IFERROR(__xludf.DUMMYFUNCTION("""COMPUTED_VALUE"""),"Sports")</f>
        <v>Sports</v>
      </c>
    </row>
    <row r="919">
      <c r="A919" s="12" t="str">
        <f>IFERROR(__xludf.DUMMYFUNCTION("""COMPUTED_VALUE"""),"Tom Clancy's The Division")</f>
        <v>Tom Clancy's The Division</v>
      </c>
      <c r="B919" s="13" t="str">
        <f>IFERROR(__xludf.DUMMYFUNCTION("""COMPUTED_VALUE"""),"Xbox")</f>
        <v>Xbox</v>
      </c>
      <c r="C919" s="14"/>
      <c r="D919" s="14" t="str">
        <f>IFERROR(__xludf.DUMMYFUNCTION("""COMPUTED_VALUE"""),"Removed")</f>
        <v>Removed</v>
      </c>
      <c r="E919" s="294">
        <f>IFERROR(__xludf.DUMMYFUNCTION("""COMPUTED_VALUE"""),43800.0)</f>
        <v>43800</v>
      </c>
      <c r="F919" s="15">
        <f>IFERROR(__xludf.DUMMYFUNCTION("""COMPUTED_VALUE"""),43831.0)</f>
        <v>43831</v>
      </c>
      <c r="G919" s="18">
        <f>IFERROR(__xludf.DUMMYFUNCTION("""COMPUTED_VALUE"""),1.0)</f>
        <v>1</v>
      </c>
      <c r="H919" s="131">
        <f>IFERROR(__xludf.DUMMYFUNCTION("""COMPUTED_VALUE"""),42437.0)</f>
        <v>42437</v>
      </c>
      <c r="I919" s="18">
        <f>IFERROR(__xludf.DUMMYFUNCTION("""COMPUTED_VALUE"""),3.7305555555555556)</f>
        <v>3.730555556</v>
      </c>
      <c r="J919" s="22">
        <f>IFERROR(__xludf.DUMMYFUNCTION("""COMPUTED_VALUE"""),80.0)</f>
        <v>80</v>
      </c>
      <c r="K919" s="22">
        <f>IFERROR(__xludf.DUMMYFUNCTION("""COMPUTED_VALUE"""),22.0)</f>
        <v>22</v>
      </c>
      <c r="L919" s="26" t="str">
        <f>IFERROR(__xludf.DUMMYFUNCTION("""COMPUTED_VALUE"""),"Shooter")</f>
        <v>Shooter</v>
      </c>
    </row>
    <row r="920">
      <c r="A920" s="12" t="str">
        <f>IFERROR(__xludf.DUMMYFUNCTION("""COMPUTED_VALUE"""),"LEGO City Undercover")</f>
        <v>LEGO City Undercover</v>
      </c>
      <c r="B920" s="13" t="str">
        <f>IFERROR(__xludf.DUMMYFUNCTION("""COMPUTED_VALUE"""),"Xbox")</f>
        <v>Xbox</v>
      </c>
      <c r="C920" s="14"/>
      <c r="D920" s="14" t="str">
        <f>IFERROR(__xludf.DUMMYFUNCTION("""COMPUTED_VALUE"""),"Removed")</f>
        <v>Removed</v>
      </c>
      <c r="E920" s="294">
        <f>IFERROR(__xludf.DUMMYFUNCTION("""COMPUTED_VALUE"""),43657.0)</f>
        <v>43657</v>
      </c>
      <c r="F920" s="15">
        <f>IFERROR(__xludf.DUMMYFUNCTION("""COMPUTED_VALUE"""),43831.0)</f>
        <v>43831</v>
      </c>
      <c r="G920" s="18">
        <f>IFERROR(__xludf.DUMMYFUNCTION("""COMPUTED_VALUE"""),5.666666666666666)</f>
        <v>5.666666667</v>
      </c>
      <c r="H920" s="131">
        <f>IFERROR(__xludf.DUMMYFUNCTION("""COMPUTED_VALUE"""),41351.0)</f>
        <v>41351</v>
      </c>
      <c r="I920" s="18">
        <f>IFERROR(__xludf.DUMMYFUNCTION("""COMPUTED_VALUE"""),6.313888888888889)</f>
        <v>6.313888889</v>
      </c>
      <c r="J920" s="22">
        <f>IFERROR(__xludf.DUMMYFUNCTION("""COMPUTED_VALUE"""),77.0)</f>
        <v>77</v>
      </c>
      <c r="K920" s="22">
        <f>IFERROR(__xludf.DUMMYFUNCTION("""COMPUTED_VALUE"""),15.5)</f>
        <v>15.5</v>
      </c>
      <c r="L920" s="26" t="str">
        <f>IFERROR(__xludf.DUMMYFUNCTION("""COMPUTED_VALUE"""),"Platformer")</f>
        <v>Platformer</v>
      </c>
    </row>
    <row r="921">
      <c r="A921" s="12" t="str">
        <f>IFERROR(__xludf.DUMMYFUNCTION("""COMPUTED_VALUE"""),"Resident Evil 4")</f>
        <v>Resident Evil 4</v>
      </c>
      <c r="B921" s="13" t="str">
        <f>IFERROR(__xludf.DUMMYFUNCTION("""COMPUTED_VALUE"""),"Xbox")</f>
        <v>Xbox</v>
      </c>
      <c r="C921" s="14"/>
      <c r="D921" s="14" t="str">
        <f>IFERROR(__xludf.DUMMYFUNCTION("""COMPUTED_VALUE"""),"Removed")</f>
        <v>Removed</v>
      </c>
      <c r="E921" s="294">
        <f>IFERROR(__xludf.DUMMYFUNCTION("""COMPUTED_VALUE"""),43647.0)</f>
        <v>43647</v>
      </c>
      <c r="F921" s="15">
        <f>IFERROR(__xludf.DUMMYFUNCTION("""COMPUTED_VALUE"""),43831.0)</f>
        <v>43831</v>
      </c>
      <c r="G921" s="18">
        <f>IFERROR(__xludf.DUMMYFUNCTION("""COMPUTED_VALUE"""),6.0)</f>
        <v>6</v>
      </c>
      <c r="H921" s="131">
        <f>IFERROR(__xludf.DUMMYFUNCTION("""COMPUTED_VALUE"""),38363.0)</f>
        <v>38363</v>
      </c>
      <c r="I921" s="18">
        <f>IFERROR(__xludf.DUMMYFUNCTION("""COMPUTED_VALUE"""),14.472222222222221)</f>
        <v>14.47222222</v>
      </c>
      <c r="J921" s="22">
        <f>IFERROR(__xludf.DUMMYFUNCTION("""COMPUTED_VALUE"""),76.0)</f>
        <v>76</v>
      </c>
      <c r="K921" s="22">
        <f>IFERROR(__xludf.DUMMYFUNCTION("""COMPUTED_VALUE"""),16.0)</f>
        <v>16</v>
      </c>
      <c r="L921" s="26" t="str">
        <f>IFERROR(__xludf.DUMMYFUNCTION("""COMPUTED_VALUE"""),"Shooter")</f>
        <v>Shooter</v>
      </c>
    </row>
    <row r="922">
      <c r="A922" s="12" t="str">
        <f>IFERROR(__xludf.DUMMYFUNCTION("""COMPUTED_VALUE"""),"Just Cause 3")</f>
        <v>Just Cause 3</v>
      </c>
      <c r="B922" s="13" t="str">
        <f>IFERROR(__xludf.DUMMYFUNCTION("""COMPUTED_VALUE"""),"Xbox")</f>
        <v>Xbox</v>
      </c>
      <c r="C922" s="14"/>
      <c r="D922" s="14" t="str">
        <f>IFERROR(__xludf.DUMMYFUNCTION("""COMPUTED_VALUE"""),"Removed")</f>
        <v>Removed</v>
      </c>
      <c r="E922" s="294">
        <f>IFERROR(__xludf.DUMMYFUNCTION("""COMPUTED_VALUE"""),43466.0)</f>
        <v>43466</v>
      </c>
      <c r="F922" s="15">
        <f>IFERROR(__xludf.DUMMYFUNCTION("""COMPUTED_VALUE"""),43831.0)</f>
        <v>43831</v>
      </c>
      <c r="G922" s="18">
        <f>IFERROR(__xludf.DUMMYFUNCTION("""COMPUTED_VALUE"""),12.0)</f>
        <v>12</v>
      </c>
      <c r="H922" s="131">
        <f>IFERROR(__xludf.DUMMYFUNCTION("""COMPUTED_VALUE"""),42339.0)</f>
        <v>42339</v>
      </c>
      <c r="I922" s="18">
        <f>IFERROR(__xludf.DUMMYFUNCTION("""COMPUTED_VALUE"""),3.0833333333333335)</f>
        <v>3.083333333</v>
      </c>
      <c r="J922" s="22">
        <f>IFERROR(__xludf.DUMMYFUNCTION("""COMPUTED_VALUE"""),71.0)</f>
        <v>71</v>
      </c>
      <c r="K922" s="22">
        <f>IFERROR(__xludf.DUMMYFUNCTION("""COMPUTED_VALUE"""),17.5)</f>
        <v>17.5</v>
      </c>
      <c r="L922" s="26" t="str">
        <f>IFERROR(__xludf.DUMMYFUNCTION("""COMPUTED_VALUE"""),"Action")</f>
        <v>Action</v>
      </c>
    </row>
    <row r="923">
      <c r="A923" s="12" t="str">
        <f>IFERROR(__xludf.DUMMYFUNCTION("""COMPUTED_VALUE"""),"Middle-earth: Shadow of Mordor - Game of the Year Edition")</f>
        <v>Middle-earth: Shadow of Mordor - Game of the Year Edition</v>
      </c>
      <c r="B923" s="13" t="str">
        <f>IFERROR(__xludf.DUMMYFUNCTION("""COMPUTED_VALUE"""),"Xbox")</f>
        <v>Xbox</v>
      </c>
      <c r="C923" s="14"/>
      <c r="D923" s="14" t="str">
        <f>IFERROR(__xludf.DUMMYFUNCTION("""COMPUTED_VALUE"""),"Removed")</f>
        <v>Removed</v>
      </c>
      <c r="E923" s="294">
        <f>IFERROR(__xludf.DUMMYFUNCTION("""COMPUTED_VALUE"""),43466.0)</f>
        <v>43466</v>
      </c>
      <c r="F923" s="15">
        <f>IFERROR(__xludf.DUMMYFUNCTION("""COMPUTED_VALUE"""),43831.0)</f>
        <v>43831</v>
      </c>
      <c r="G923" s="18">
        <f>IFERROR(__xludf.DUMMYFUNCTION("""COMPUTED_VALUE"""),12.0)</f>
        <v>12</v>
      </c>
      <c r="H923" s="131">
        <f>IFERROR(__xludf.DUMMYFUNCTION("""COMPUTED_VALUE"""),41912.0)</f>
        <v>41912</v>
      </c>
      <c r="I923" s="18">
        <f>IFERROR(__xludf.DUMMYFUNCTION("""COMPUTED_VALUE"""),4.252777777777778)</f>
        <v>4.252777778</v>
      </c>
      <c r="J923" s="22">
        <f>IFERROR(__xludf.DUMMYFUNCTION("""COMPUTED_VALUE"""),87.0)</f>
        <v>87</v>
      </c>
      <c r="K923" s="22">
        <f>IFERROR(__xludf.DUMMYFUNCTION("""COMPUTED_VALUE"""),17.5)</f>
        <v>17.5</v>
      </c>
      <c r="L923" s="26" t="str">
        <f>IFERROR(__xludf.DUMMYFUNCTION("""COMPUTED_VALUE"""),"Action-Adventure")</f>
        <v>Action-Adventure</v>
      </c>
    </row>
    <row r="924">
      <c r="A924" s="12" t="str">
        <f>IFERROR(__xludf.DUMMYFUNCTION("""COMPUTED_VALUE"""),"Saints Row: The Third")</f>
        <v>Saints Row: The Third</v>
      </c>
      <c r="B924" s="13" t="str">
        <f>IFERROR(__xludf.DUMMYFUNCTION("""COMPUTED_VALUE"""),"Xbox")</f>
        <v>Xbox</v>
      </c>
      <c r="C924" s="14"/>
      <c r="D924" s="14" t="str">
        <f>IFERROR(__xludf.DUMMYFUNCTION("""COMPUTED_VALUE"""),"Removed")</f>
        <v>Removed</v>
      </c>
      <c r="E924" s="294">
        <f>IFERROR(__xludf.DUMMYFUNCTION("""COMPUTED_VALUE"""),43466.0)</f>
        <v>43466</v>
      </c>
      <c r="F924" s="15">
        <f>IFERROR(__xludf.DUMMYFUNCTION("""COMPUTED_VALUE"""),43831.0)</f>
        <v>43831</v>
      </c>
      <c r="G924" s="18">
        <f>IFERROR(__xludf.DUMMYFUNCTION("""COMPUTED_VALUE"""),12.0)</f>
        <v>12</v>
      </c>
      <c r="H924" s="131">
        <f>IFERROR(__xludf.DUMMYFUNCTION("""COMPUTED_VALUE"""),40862.0)</f>
        <v>40862</v>
      </c>
      <c r="I924" s="18">
        <f>IFERROR(__xludf.DUMMYFUNCTION("""COMPUTED_VALUE"""),7.127777777777778)</f>
        <v>7.127777778</v>
      </c>
      <c r="J924" s="22">
        <f>IFERROR(__xludf.DUMMYFUNCTION("""COMPUTED_VALUE"""),84.0)</f>
        <v>84</v>
      </c>
      <c r="K924" s="22">
        <f>IFERROR(__xludf.DUMMYFUNCTION("""COMPUTED_VALUE"""),15.0)</f>
        <v>15</v>
      </c>
      <c r="L924" s="26" t="str">
        <f>IFERROR(__xludf.DUMMYFUNCTION("""COMPUTED_VALUE"""),"Shooter")</f>
        <v>Shooter</v>
      </c>
    </row>
    <row r="925">
      <c r="A925" s="12" t="str">
        <f>IFERROR(__xludf.DUMMYFUNCTION("""COMPUTED_VALUE"""),"Headlander")</f>
        <v>Headlander</v>
      </c>
      <c r="B925" s="13" t="str">
        <f>IFERROR(__xludf.DUMMYFUNCTION("""COMPUTED_VALUE"""),"Xbox")</f>
        <v>Xbox</v>
      </c>
      <c r="C925" s="14"/>
      <c r="D925" s="14" t="str">
        <f>IFERROR(__xludf.DUMMYFUNCTION("""COMPUTED_VALUE"""),"Removed")</f>
        <v>Removed</v>
      </c>
      <c r="E925" s="294">
        <f>IFERROR(__xludf.DUMMYFUNCTION("""COMPUTED_VALUE"""),43497.0)</f>
        <v>43497</v>
      </c>
      <c r="F925" s="15">
        <f>IFERROR(__xludf.DUMMYFUNCTION("""COMPUTED_VALUE"""),43800.0)</f>
        <v>43800</v>
      </c>
      <c r="G925" s="18">
        <f>IFERROR(__xludf.DUMMYFUNCTION("""COMPUTED_VALUE"""),10.0)</f>
        <v>10</v>
      </c>
      <c r="H925" s="131">
        <f>IFERROR(__xludf.DUMMYFUNCTION("""COMPUTED_VALUE"""),42577.0)</f>
        <v>42577</v>
      </c>
      <c r="I925" s="18">
        <f>IFERROR(__xludf.DUMMYFUNCTION("""COMPUTED_VALUE"""),2.513888888888889)</f>
        <v>2.513888889</v>
      </c>
      <c r="J925" s="22">
        <f>IFERROR(__xludf.DUMMYFUNCTION("""COMPUTED_VALUE"""),78.0)</f>
        <v>78</v>
      </c>
      <c r="K925" s="22">
        <f>IFERROR(__xludf.DUMMYFUNCTION("""COMPUTED_VALUE"""),5.5)</f>
        <v>5.5</v>
      </c>
      <c r="L925" s="26" t="str">
        <f>IFERROR(__xludf.DUMMYFUNCTION("""COMPUTED_VALUE"""),"Action-Adventure")</f>
        <v>Action-Adventure</v>
      </c>
    </row>
    <row r="926">
      <c r="A926" s="12" t="str">
        <f>IFERROR(__xludf.DUMMYFUNCTION("""COMPUTED_VALUE"""),"Life is Strange")</f>
        <v>Life is Strange</v>
      </c>
      <c r="B926" s="13" t="str">
        <f>IFERROR(__xludf.DUMMYFUNCTION("""COMPUTED_VALUE"""),"Xbox")</f>
        <v>Xbox</v>
      </c>
      <c r="C926" s="14"/>
      <c r="D926" s="14" t="str">
        <f>IFERROR(__xludf.DUMMYFUNCTION("""COMPUTED_VALUE"""),"Removed")</f>
        <v>Removed</v>
      </c>
      <c r="E926" s="294">
        <f>IFERROR(__xludf.DUMMYFUNCTION("""COMPUTED_VALUE"""),43466.0)</f>
        <v>43466</v>
      </c>
      <c r="F926" s="15">
        <f>IFERROR(__xludf.DUMMYFUNCTION("""COMPUTED_VALUE"""),43800.0)</f>
        <v>43800</v>
      </c>
      <c r="G926" s="18">
        <f>IFERROR(__xludf.DUMMYFUNCTION("""COMPUTED_VALUE"""),11.0)</f>
        <v>11</v>
      </c>
      <c r="H926" s="131">
        <f>IFERROR(__xludf.DUMMYFUNCTION("""COMPUTED_VALUE"""),42034.0)</f>
        <v>42034</v>
      </c>
      <c r="I926" s="18">
        <f>IFERROR(__xludf.DUMMYFUNCTION("""COMPUTED_VALUE"""),3.9194444444444443)</f>
        <v>3.919444444</v>
      </c>
      <c r="J926" s="22">
        <f>IFERROR(__xludf.DUMMYFUNCTION("""COMPUTED_VALUE"""),85.0)</f>
        <v>85</v>
      </c>
      <c r="K926" s="22">
        <f>IFERROR(__xludf.DUMMYFUNCTION("""COMPUTED_VALUE"""),14.0)</f>
        <v>14</v>
      </c>
      <c r="L926" s="26" t="str">
        <f>IFERROR(__xludf.DUMMYFUNCTION("""COMPUTED_VALUE"""),"Adventure")</f>
        <v>Adventure</v>
      </c>
    </row>
    <row r="927">
      <c r="A927" s="12" t="str">
        <f>IFERROR(__xludf.DUMMYFUNCTION("""COMPUTED_VALUE"""),"Life is Strange: Before the Storm")</f>
        <v>Life is Strange: Before the Storm</v>
      </c>
      <c r="B927" s="13" t="str">
        <f>IFERROR(__xludf.DUMMYFUNCTION("""COMPUTED_VALUE"""),"Xbox")</f>
        <v>Xbox</v>
      </c>
      <c r="C927" s="14"/>
      <c r="D927" s="14" t="str">
        <f>IFERROR(__xludf.DUMMYFUNCTION("""COMPUTED_VALUE"""),"Removed")</f>
        <v>Removed</v>
      </c>
      <c r="E927" s="294">
        <f>IFERROR(__xludf.DUMMYFUNCTION("""COMPUTED_VALUE"""),43466.0)</f>
        <v>43466</v>
      </c>
      <c r="F927" s="15">
        <f>IFERROR(__xludf.DUMMYFUNCTION("""COMPUTED_VALUE"""),43800.0)</f>
        <v>43800</v>
      </c>
      <c r="G927" s="18">
        <f>IFERROR(__xludf.DUMMYFUNCTION("""COMPUTED_VALUE"""),11.0)</f>
        <v>11</v>
      </c>
      <c r="H927" s="131">
        <f>IFERROR(__xludf.DUMMYFUNCTION("""COMPUTED_VALUE"""),42978.0)</f>
        <v>42978</v>
      </c>
      <c r="I927" s="18">
        <f>IFERROR(__xludf.DUMMYFUNCTION("""COMPUTED_VALUE"""),1.336111111111111)</f>
        <v>1.336111111</v>
      </c>
      <c r="J927" s="22">
        <f>IFERROR(__xludf.DUMMYFUNCTION("""COMPUTED_VALUE"""),82.0)</f>
        <v>82</v>
      </c>
      <c r="K927" s="22">
        <f>IFERROR(__xludf.DUMMYFUNCTION("""COMPUTED_VALUE"""),10.0)</f>
        <v>10</v>
      </c>
      <c r="L927" s="26" t="str">
        <f>IFERROR(__xludf.DUMMYFUNCTION("""COMPUTED_VALUE"""),"Adventure")</f>
        <v>Adventure</v>
      </c>
    </row>
    <row r="928">
      <c r="A928" s="12" t="str">
        <f>IFERROR(__xludf.DUMMYFUNCTION("""COMPUTED_VALUE"""),"Pro Evolution Soccer 2019")</f>
        <v>Pro Evolution Soccer 2019</v>
      </c>
      <c r="B928" s="13" t="str">
        <f>IFERROR(__xludf.DUMMYFUNCTION("""COMPUTED_VALUE"""),"Xbox")</f>
        <v>Xbox</v>
      </c>
      <c r="C928" s="14"/>
      <c r="D928" s="14" t="str">
        <f>IFERROR(__xludf.DUMMYFUNCTION("""COMPUTED_VALUE"""),"Removed")</f>
        <v>Removed</v>
      </c>
      <c r="E928" s="294">
        <f>IFERROR(__xludf.DUMMYFUNCTION("""COMPUTED_VALUE"""),43448.0)</f>
        <v>43448</v>
      </c>
      <c r="F928" s="15">
        <f>IFERROR(__xludf.DUMMYFUNCTION("""COMPUTED_VALUE"""),43800.0)</f>
        <v>43800</v>
      </c>
      <c r="G928" s="18">
        <f>IFERROR(__xludf.DUMMYFUNCTION("""COMPUTED_VALUE"""),11.566666666666666)</f>
        <v>11.56666667</v>
      </c>
      <c r="H928" s="131">
        <f>IFERROR(__xludf.DUMMYFUNCTION("""COMPUTED_VALUE"""),43340.0)</f>
        <v>43340</v>
      </c>
      <c r="I928" s="18">
        <f>IFERROR(__xludf.DUMMYFUNCTION("""COMPUTED_VALUE"""),0.29444444444444445)</f>
        <v>0.2944444444</v>
      </c>
      <c r="J928" s="22">
        <f>IFERROR(__xludf.DUMMYFUNCTION("""COMPUTED_VALUE"""),82.0)</f>
        <v>82</v>
      </c>
      <c r="K928" s="22">
        <f>IFERROR(__xludf.DUMMYFUNCTION("""COMPUTED_VALUE"""),27.0)</f>
        <v>27</v>
      </c>
      <c r="L928" s="26" t="str">
        <f>IFERROR(__xludf.DUMMYFUNCTION("""COMPUTED_VALUE"""),"Sports")</f>
        <v>Sports</v>
      </c>
    </row>
    <row r="929">
      <c r="A929" s="12" t="str">
        <f>IFERROR(__xludf.DUMMYFUNCTION("""COMPUTED_VALUE"""),"Tecmo Bowl: Throwback")</f>
        <v>Tecmo Bowl: Throwback</v>
      </c>
      <c r="B929" s="13" t="str">
        <f>IFERROR(__xludf.DUMMYFUNCTION("""COMPUTED_VALUE"""),"Xbox")</f>
        <v>Xbox</v>
      </c>
      <c r="C929" s="14"/>
      <c r="D929" s="14" t="str">
        <f>IFERROR(__xludf.DUMMYFUNCTION("""COMPUTED_VALUE"""),"Removed")</f>
        <v>Removed</v>
      </c>
      <c r="E929" s="294">
        <f>IFERROR(__xludf.DUMMYFUNCTION("""COMPUTED_VALUE"""),43101.0)</f>
        <v>43101</v>
      </c>
      <c r="F929" s="15">
        <f>IFERROR(__xludf.DUMMYFUNCTION("""COMPUTED_VALUE"""),43800.0)</f>
        <v>43800</v>
      </c>
      <c r="G929" s="18">
        <f>IFERROR(__xludf.DUMMYFUNCTION("""COMPUTED_VALUE"""),23.0)</f>
        <v>23</v>
      </c>
      <c r="H929" s="131">
        <f>IFERROR(__xludf.DUMMYFUNCTION("""COMPUTED_VALUE"""),40296.0)</f>
        <v>40296</v>
      </c>
      <c r="I929" s="18">
        <f>IFERROR(__xludf.DUMMYFUNCTION("""COMPUTED_VALUE"""),7.675)</f>
        <v>7.675</v>
      </c>
      <c r="J929" s="22">
        <f>IFERROR(__xludf.DUMMYFUNCTION("""COMPUTED_VALUE"""),67.0)</f>
        <v>67</v>
      </c>
      <c r="K929" s="22">
        <f>IFERROR(__xludf.DUMMYFUNCTION("""COMPUTED_VALUE"""),6.0)</f>
        <v>6</v>
      </c>
      <c r="L929" s="26" t="str">
        <f>IFERROR(__xludf.DUMMYFUNCTION("""COMPUTED_VALUE"""),"Football")</f>
        <v>Football</v>
      </c>
    </row>
    <row r="930">
      <c r="A930" s="12" t="str">
        <f>IFERROR(__xludf.DUMMYFUNCTION("""COMPUTED_VALUE"""),"Robocraft Infinity")</f>
        <v>Robocraft Infinity</v>
      </c>
      <c r="B930" s="13" t="str">
        <f>IFERROR(__xludf.DUMMYFUNCTION("""COMPUTED_VALUE"""),"Xbox")</f>
        <v>Xbox</v>
      </c>
      <c r="C930" s="14"/>
      <c r="D930" s="14" t="str">
        <f>IFERROR(__xludf.DUMMYFUNCTION("""COMPUTED_VALUE"""),"Removed")</f>
        <v>Removed</v>
      </c>
      <c r="E930" s="294">
        <f>IFERROR(__xludf.DUMMYFUNCTION("""COMPUTED_VALUE"""),43201.0)</f>
        <v>43201</v>
      </c>
      <c r="F930" s="15">
        <f>IFERROR(__xludf.DUMMYFUNCTION("""COMPUTED_VALUE"""),43799.0)</f>
        <v>43799</v>
      </c>
      <c r="G930" s="18">
        <f>IFERROR(__xludf.DUMMYFUNCTION("""COMPUTED_VALUE"""),19.633333333333333)</f>
        <v>19.63333333</v>
      </c>
      <c r="H930" s="131">
        <f>IFERROR(__xludf.DUMMYFUNCTION("""COMPUTED_VALUE"""),43201.0)</f>
        <v>43201</v>
      </c>
      <c r="I930" s="18">
        <f>IFERROR(__xludf.DUMMYFUNCTION("""COMPUTED_VALUE"""),0.0)</f>
        <v>0</v>
      </c>
      <c r="J930" s="22">
        <f>IFERROR(__xludf.DUMMYFUNCTION("""COMPUTED_VALUE"""),55.0)</f>
        <v>55</v>
      </c>
      <c r="K930" s="22">
        <f>IFERROR(__xludf.DUMMYFUNCTION("""COMPUTED_VALUE"""),35.0)</f>
        <v>35</v>
      </c>
      <c r="L930" s="26" t="str">
        <f>IFERROR(__xludf.DUMMYFUNCTION("""COMPUTED_VALUE"""),"Shooter")</f>
        <v>Shooter</v>
      </c>
    </row>
    <row r="931">
      <c r="A931" s="12" t="str">
        <f>IFERROR(__xludf.DUMMYFUNCTION("""COMPUTED_VALUE"""),"Pony Island")</f>
        <v>Pony Island</v>
      </c>
      <c r="B931" s="13" t="str">
        <f>IFERROR(__xludf.DUMMYFUNCTION("""COMPUTED_VALUE"""),"PC")</f>
        <v>PC</v>
      </c>
      <c r="C931" s="14"/>
      <c r="D931" s="14" t="str">
        <f>IFERROR(__xludf.DUMMYFUNCTION("""COMPUTED_VALUE"""),"Removed")</f>
        <v>Removed</v>
      </c>
      <c r="E931" s="294">
        <f>IFERROR(__xludf.DUMMYFUNCTION("""COMPUTED_VALUE"""),43625.0)</f>
        <v>43625</v>
      </c>
      <c r="F931" s="15">
        <f>IFERROR(__xludf.DUMMYFUNCTION("""COMPUTED_VALUE"""),43784.0)</f>
        <v>43784</v>
      </c>
      <c r="G931" s="18">
        <f>IFERROR(__xludf.DUMMYFUNCTION("""COMPUTED_VALUE"""),5.2)</f>
        <v>5.2</v>
      </c>
      <c r="H931" s="131">
        <f>IFERROR(__xludf.DUMMYFUNCTION("""COMPUTED_VALUE"""),42373.0)</f>
        <v>42373</v>
      </c>
      <c r="I931" s="18">
        <f>IFERROR(__xludf.DUMMYFUNCTION("""COMPUTED_VALUE"""),3.4305555555555554)</f>
        <v>3.430555556</v>
      </c>
      <c r="J931" s="22">
        <f>IFERROR(__xludf.DUMMYFUNCTION("""COMPUTED_VALUE"""),86.0)</f>
        <v>86</v>
      </c>
      <c r="K931" s="22">
        <f>IFERROR(__xludf.DUMMYFUNCTION("""COMPUTED_VALUE"""),2.5)</f>
        <v>2.5</v>
      </c>
      <c r="L931" s="26" t="str">
        <f>IFERROR(__xludf.DUMMYFUNCTION("""COMPUTED_VALUE"""),"Action")</f>
        <v>Action</v>
      </c>
    </row>
    <row r="932">
      <c r="A932" s="12" t="str">
        <f>IFERROR(__xludf.DUMMYFUNCTION("""COMPUTED_VALUE"""),"Tyranny: Gold Edition")</f>
        <v>Tyranny: Gold Edition</v>
      </c>
      <c r="B932" s="13" t="str">
        <f>IFERROR(__xludf.DUMMYFUNCTION("""COMPUTED_VALUE"""),"PC")</f>
        <v>PC</v>
      </c>
      <c r="C932" s="14"/>
      <c r="D932" s="14" t="str">
        <f>IFERROR(__xludf.DUMMYFUNCTION("""COMPUTED_VALUE"""),"Removed")</f>
        <v>Removed</v>
      </c>
      <c r="E932" s="294">
        <f>IFERROR(__xludf.DUMMYFUNCTION("""COMPUTED_VALUE"""),43625.0)</f>
        <v>43625</v>
      </c>
      <c r="F932" s="15">
        <f>IFERROR(__xludf.DUMMYFUNCTION("""COMPUTED_VALUE"""),43784.0)</f>
        <v>43784</v>
      </c>
      <c r="G932" s="18">
        <f>IFERROR(__xludf.DUMMYFUNCTION("""COMPUTED_VALUE"""),5.2)</f>
        <v>5.2</v>
      </c>
      <c r="H932" s="131">
        <f>IFERROR(__xludf.DUMMYFUNCTION("""COMPUTED_VALUE"""),42684.0)</f>
        <v>42684</v>
      </c>
      <c r="I932" s="18">
        <f>IFERROR(__xludf.DUMMYFUNCTION("""COMPUTED_VALUE"""),2.5805555555555557)</f>
        <v>2.580555556</v>
      </c>
      <c r="J932" s="22">
        <f>IFERROR(__xludf.DUMMYFUNCTION("""COMPUTED_VALUE"""),80.0)</f>
        <v>80</v>
      </c>
      <c r="K932" s="22">
        <f>IFERROR(__xludf.DUMMYFUNCTION("""COMPUTED_VALUE"""),20.0)</f>
        <v>20</v>
      </c>
      <c r="L932" s="26" t="str">
        <f>IFERROR(__xludf.DUMMYFUNCTION("""COMPUTED_VALUE"""),"RPG")</f>
        <v>RPG</v>
      </c>
    </row>
    <row r="933">
      <c r="A933" s="12" t="str">
        <f>IFERROR(__xludf.DUMMYFUNCTION("""COMPUTED_VALUE"""),"Football Manager 2019")</f>
        <v>Football Manager 2019</v>
      </c>
      <c r="B933" s="13" t="str">
        <f>IFERROR(__xludf.DUMMYFUNCTION("""COMPUTED_VALUE"""),"PC")</f>
        <v>PC</v>
      </c>
      <c r="C933" s="14"/>
      <c r="D933" s="14" t="str">
        <f>IFERROR(__xludf.DUMMYFUNCTION("""COMPUTED_VALUE"""),"Removed")</f>
        <v>Removed</v>
      </c>
      <c r="E933" s="294">
        <f>IFERROR(__xludf.DUMMYFUNCTION("""COMPUTED_VALUE"""),43625.0)</f>
        <v>43625</v>
      </c>
      <c r="F933" s="15">
        <f>IFERROR(__xludf.DUMMYFUNCTION("""COMPUTED_VALUE"""),43770.0)</f>
        <v>43770</v>
      </c>
      <c r="G933" s="18">
        <f>IFERROR(__xludf.DUMMYFUNCTION("""COMPUTED_VALUE"""),4.733333333333333)</f>
        <v>4.733333333</v>
      </c>
      <c r="H933" s="131">
        <f>IFERROR(__xludf.DUMMYFUNCTION("""COMPUTED_VALUE"""),43440.0)</f>
        <v>43440</v>
      </c>
      <c r="I933" s="18">
        <f>IFERROR(__xludf.DUMMYFUNCTION("""COMPUTED_VALUE"""),0.5083333333333333)</f>
        <v>0.5083333333</v>
      </c>
      <c r="J933" s="22">
        <f>IFERROR(__xludf.DUMMYFUNCTION("""COMPUTED_VALUE"""),86.0)</f>
        <v>86</v>
      </c>
      <c r="K933" s="22">
        <f>IFERROR(__xludf.DUMMYFUNCTION("""COMPUTED_VALUE"""),142.0)</f>
        <v>142</v>
      </c>
      <c r="L933" s="26" t="str">
        <f>IFERROR(__xludf.DUMMYFUNCTION("""COMPUTED_VALUE"""),"Sports")</f>
        <v>Sports</v>
      </c>
    </row>
    <row r="934">
      <c r="A934" s="12" t="str">
        <f>IFERROR(__xludf.DUMMYFUNCTION("""COMPUTED_VALUE"""),"LEGO Batman 3: Beyond Gotham")</f>
        <v>LEGO Batman 3: Beyond Gotham</v>
      </c>
      <c r="B934" s="13" t="str">
        <f>IFERROR(__xludf.DUMMYFUNCTION("""COMPUTED_VALUE"""),"Xbox")</f>
        <v>Xbox</v>
      </c>
      <c r="C934" s="14"/>
      <c r="D934" s="14" t="str">
        <f>IFERROR(__xludf.DUMMYFUNCTION("""COMPUTED_VALUE"""),"Removed")</f>
        <v>Removed</v>
      </c>
      <c r="E934" s="294">
        <f>IFERROR(__xludf.DUMMYFUNCTION("""COMPUTED_VALUE"""),43586.0)</f>
        <v>43586</v>
      </c>
      <c r="F934" s="15">
        <f>IFERROR(__xludf.DUMMYFUNCTION("""COMPUTED_VALUE"""),43770.0)</f>
        <v>43770</v>
      </c>
      <c r="G934" s="18">
        <f>IFERROR(__xludf.DUMMYFUNCTION("""COMPUTED_VALUE"""),6.0)</f>
        <v>6</v>
      </c>
      <c r="H934" s="131">
        <f>IFERROR(__xludf.DUMMYFUNCTION("""COMPUTED_VALUE"""),41954.0)</f>
        <v>41954</v>
      </c>
      <c r="I934" s="18">
        <f>IFERROR(__xludf.DUMMYFUNCTION("""COMPUTED_VALUE"""),4.472222222222222)</f>
        <v>4.472222222</v>
      </c>
      <c r="J934" s="22">
        <f>IFERROR(__xludf.DUMMYFUNCTION("""COMPUTED_VALUE"""),74.0)</f>
        <v>74</v>
      </c>
      <c r="K934" s="22">
        <f>IFERROR(__xludf.DUMMYFUNCTION("""COMPUTED_VALUE"""),10.5)</f>
        <v>10.5</v>
      </c>
      <c r="L934" s="26" t="str">
        <f>IFERROR(__xludf.DUMMYFUNCTION("""COMPUTED_VALUE"""),"Platformer")</f>
        <v>Platformer</v>
      </c>
    </row>
    <row r="935">
      <c r="A935" s="12" t="str">
        <f>IFERROR(__xludf.DUMMYFUNCTION("""COMPUTED_VALUE"""),"The Surge")</f>
        <v>The Surge</v>
      </c>
      <c r="B935" s="13" t="str">
        <f>IFERROR(__xludf.DUMMYFUNCTION("""COMPUTED_VALUE"""),"Xbox")</f>
        <v>Xbox</v>
      </c>
      <c r="C935" s="14"/>
      <c r="D935" s="14" t="str">
        <f>IFERROR(__xludf.DUMMYFUNCTION("""COMPUTED_VALUE"""),"Removed")</f>
        <v>Removed</v>
      </c>
      <c r="E935" s="294">
        <f>IFERROR(__xludf.DUMMYFUNCTION("""COMPUTED_VALUE"""),43586.0)</f>
        <v>43586</v>
      </c>
      <c r="F935" s="15">
        <f>IFERROR(__xludf.DUMMYFUNCTION("""COMPUTED_VALUE"""),43770.0)</f>
        <v>43770</v>
      </c>
      <c r="G935" s="18">
        <f>IFERROR(__xludf.DUMMYFUNCTION("""COMPUTED_VALUE"""),6.0)</f>
        <v>6</v>
      </c>
      <c r="H935" s="131">
        <f>IFERROR(__xludf.DUMMYFUNCTION("""COMPUTED_VALUE"""),42871.0)</f>
        <v>42871</v>
      </c>
      <c r="I935" s="18">
        <f>IFERROR(__xludf.DUMMYFUNCTION("""COMPUTED_VALUE"""),1.9583333333333333)</f>
        <v>1.958333333</v>
      </c>
      <c r="J935" s="22">
        <f>IFERROR(__xludf.DUMMYFUNCTION("""COMPUTED_VALUE"""),74.0)</f>
        <v>74</v>
      </c>
      <c r="K935" s="22">
        <f>IFERROR(__xludf.DUMMYFUNCTION("""COMPUTED_VALUE"""),20.5)</f>
        <v>20.5</v>
      </c>
      <c r="L935" s="26" t="str">
        <f>IFERROR(__xludf.DUMMYFUNCTION("""COMPUTED_VALUE"""),"RPG")</f>
        <v>RPG</v>
      </c>
    </row>
    <row r="936">
      <c r="A936" s="12" t="str">
        <f>IFERROR(__xludf.DUMMYFUNCTION("""COMPUTED_VALUE"""),"Below")</f>
        <v>Below</v>
      </c>
      <c r="B936" s="13" t="str">
        <f>IFERROR(__xludf.DUMMYFUNCTION("""COMPUTED_VALUE"""),"Xbox")</f>
        <v>Xbox</v>
      </c>
      <c r="C936" s="14"/>
      <c r="D936" s="14" t="str">
        <f>IFERROR(__xludf.DUMMYFUNCTION("""COMPUTED_VALUE"""),"Removed")</f>
        <v>Removed</v>
      </c>
      <c r="E936" s="294">
        <f>IFERROR(__xludf.DUMMYFUNCTION("""COMPUTED_VALUE"""),43448.0)</f>
        <v>43448</v>
      </c>
      <c r="F936" s="15">
        <f>IFERROR(__xludf.DUMMYFUNCTION("""COMPUTED_VALUE"""),43770.0)</f>
        <v>43770</v>
      </c>
      <c r="G936" s="18">
        <f>IFERROR(__xludf.DUMMYFUNCTION("""COMPUTED_VALUE"""),10.566666666666666)</f>
        <v>10.56666667</v>
      </c>
      <c r="H936" s="131">
        <f>IFERROR(__xludf.DUMMYFUNCTION("""COMPUTED_VALUE"""),43448.0)</f>
        <v>43448</v>
      </c>
      <c r="I936" s="18">
        <f>IFERROR(__xludf.DUMMYFUNCTION("""COMPUTED_VALUE"""),0.0)</f>
        <v>0</v>
      </c>
      <c r="J936" s="22">
        <f>IFERROR(__xludf.DUMMYFUNCTION("""COMPUTED_VALUE"""),70.0)</f>
        <v>70</v>
      </c>
      <c r="K936" s="22">
        <f>IFERROR(__xludf.DUMMYFUNCTION("""COMPUTED_VALUE"""),19.0)</f>
        <v>19</v>
      </c>
      <c r="L936" s="26" t="str">
        <f>IFERROR(__xludf.DUMMYFUNCTION("""COMPUTED_VALUE"""),"Action-Adventure")</f>
        <v>Action-Adventure</v>
      </c>
    </row>
    <row r="937">
      <c r="A937" s="12" t="str">
        <f>IFERROR(__xludf.DUMMYFUNCTION("""COMPUTED_VALUE"""),"Strange Brigade")</f>
        <v>Strange Brigade</v>
      </c>
      <c r="B937" s="13" t="str">
        <f>IFERROR(__xludf.DUMMYFUNCTION("""COMPUTED_VALUE"""),"Xbox")</f>
        <v>Xbox</v>
      </c>
      <c r="C937" s="14"/>
      <c r="D937" s="14" t="str">
        <f>IFERROR(__xludf.DUMMYFUNCTION("""COMPUTED_VALUE"""),"Removed")</f>
        <v>Removed</v>
      </c>
      <c r="E937" s="294">
        <f>IFERROR(__xludf.DUMMYFUNCTION("""COMPUTED_VALUE"""),43435.0)</f>
        <v>43435</v>
      </c>
      <c r="F937" s="15">
        <f>IFERROR(__xludf.DUMMYFUNCTION("""COMPUTED_VALUE"""),43770.0)</f>
        <v>43770</v>
      </c>
      <c r="G937" s="18">
        <f>IFERROR(__xludf.DUMMYFUNCTION("""COMPUTED_VALUE"""),11.0)</f>
        <v>11</v>
      </c>
      <c r="H937" s="131">
        <f>IFERROR(__xludf.DUMMYFUNCTION("""COMPUTED_VALUE"""),43340.0)</f>
        <v>43340</v>
      </c>
      <c r="I937" s="18">
        <f>IFERROR(__xludf.DUMMYFUNCTION("""COMPUTED_VALUE"""),0.25833333333333336)</f>
        <v>0.2583333333</v>
      </c>
      <c r="J937" s="22">
        <f>IFERROR(__xludf.DUMMYFUNCTION("""COMPUTED_VALUE"""),75.0)</f>
        <v>75</v>
      </c>
      <c r="K937" s="22">
        <f>IFERROR(__xludf.DUMMYFUNCTION("""COMPUTED_VALUE"""),7.5)</f>
        <v>7.5</v>
      </c>
      <c r="L937" s="26" t="str">
        <f>IFERROR(__xludf.DUMMYFUNCTION("""COMPUTED_VALUE"""),"Shooter")</f>
        <v>Shooter</v>
      </c>
    </row>
    <row r="938">
      <c r="A938" s="12" t="str">
        <f>IFERROR(__xludf.DUMMYFUNCTION("""COMPUTED_VALUE"""),"Agents of Mayhem")</f>
        <v>Agents of Mayhem</v>
      </c>
      <c r="B938" s="13" t="str">
        <f>IFERROR(__xludf.DUMMYFUNCTION("""COMPUTED_VALUE"""),"Xbox")</f>
        <v>Xbox</v>
      </c>
      <c r="C938" s="14"/>
      <c r="D938" s="14" t="str">
        <f>IFERROR(__xludf.DUMMYFUNCTION("""COMPUTED_VALUE"""),"Removed")</f>
        <v>Removed</v>
      </c>
      <c r="E938" s="294">
        <f>IFERROR(__xludf.DUMMYFUNCTION("""COMPUTED_VALUE"""),43426.0)</f>
        <v>43426</v>
      </c>
      <c r="F938" s="15">
        <f>IFERROR(__xludf.DUMMYFUNCTION("""COMPUTED_VALUE"""),43770.0)</f>
        <v>43770</v>
      </c>
      <c r="G938" s="18">
        <f>IFERROR(__xludf.DUMMYFUNCTION("""COMPUTED_VALUE"""),11.3)</f>
        <v>11.3</v>
      </c>
      <c r="H938" s="131">
        <f>IFERROR(__xludf.DUMMYFUNCTION("""COMPUTED_VALUE"""),42962.0)</f>
        <v>42962</v>
      </c>
      <c r="I938" s="18">
        <f>IFERROR(__xludf.DUMMYFUNCTION("""COMPUTED_VALUE"""),1.2694444444444444)</f>
        <v>1.269444444</v>
      </c>
      <c r="J938" s="22">
        <f>IFERROR(__xludf.DUMMYFUNCTION("""COMPUTED_VALUE"""),73.0)</f>
        <v>73</v>
      </c>
      <c r="K938" s="22">
        <f>IFERROR(__xludf.DUMMYFUNCTION("""COMPUTED_VALUE"""),17.0)</f>
        <v>17</v>
      </c>
      <c r="L938" s="26" t="str">
        <f>IFERROR(__xludf.DUMMYFUNCTION("""COMPUTED_VALUE"""),"Action-Adventure")</f>
        <v>Action-Adventure</v>
      </c>
    </row>
    <row r="939">
      <c r="A939" s="12" t="str">
        <f>IFERROR(__xludf.DUMMYFUNCTION("""COMPUTED_VALUE"""),"MXGP3")</f>
        <v>MXGP3</v>
      </c>
      <c r="B939" s="13" t="str">
        <f>IFERROR(__xludf.DUMMYFUNCTION("""COMPUTED_VALUE"""),"Xbox")</f>
        <v>Xbox</v>
      </c>
      <c r="C939" s="14"/>
      <c r="D939" s="14" t="str">
        <f>IFERROR(__xludf.DUMMYFUNCTION("""COMPUTED_VALUE"""),"Removed")</f>
        <v>Removed</v>
      </c>
      <c r="E939" s="294">
        <f>IFERROR(__xludf.DUMMYFUNCTION("""COMPUTED_VALUE"""),43426.0)</f>
        <v>43426</v>
      </c>
      <c r="F939" s="15">
        <f>IFERROR(__xludf.DUMMYFUNCTION("""COMPUTED_VALUE"""),43770.0)</f>
        <v>43770</v>
      </c>
      <c r="G939" s="18">
        <f>IFERROR(__xludf.DUMMYFUNCTION("""COMPUTED_VALUE"""),11.3)</f>
        <v>11.3</v>
      </c>
      <c r="H939" s="131">
        <f>IFERROR(__xludf.DUMMYFUNCTION("""COMPUTED_VALUE"""),42885.0)</f>
        <v>42885</v>
      </c>
      <c r="I939" s="18">
        <f>IFERROR(__xludf.DUMMYFUNCTION("""COMPUTED_VALUE"""),1.4777777777777779)</f>
        <v>1.477777778</v>
      </c>
      <c r="J939" s="22">
        <f>IFERROR(__xludf.DUMMYFUNCTION("""COMPUTED_VALUE"""),78.0)</f>
        <v>78</v>
      </c>
      <c r="K939" s="22">
        <f>IFERROR(__xludf.DUMMYFUNCTION("""COMPUTED_VALUE"""),8.0)</f>
        <v>8</v>
      </c>
      <c r="L939" s="26" t="str">
        <f>IFERROR(__xludf.DUMMYFUNCTION("""COMPUTED_VALUE"""),"Racing")</f>
        <v>Racing</v>
      </c>
    </row>
    <row r="940">
      <c r="A940" s="12" t="str">
        <f>IFERROR(__xludf.DUMMYFUNCTION("""COMPUTED_VALUE"""),"Thomas Was Alone")</f>
        <v>Thomas Was Alone</v>
      </c>
      <c r="B940" s="13" t="str">
        <f>IFERROR(__xludf.DUMMYFUNCTION("""COMPUTED_VALUE"""),"Xbox")</f>
        <v>Xbox</v>
      </c>
      <c r="C940" s="14"/>
      <c r="D940" s="14" t="str">
        <f>IFERROR(__xludf.DUMMYFUNCTION("""COMPUTED_VALUE"""),"Removed")</f>
        <v>Removed</v>
      </c>
      <c r="E940" s="294">
        <f>IFERROR(__xludf.DUMMYFUNCTION("""COMPUTED_VALUE"""),43426.0)</f>
        <v>43426</v>
      </c>
      <c r="F940" s="15">
        <f>IFERROR(__xludf.DUMMYFUNCTION("""COMPUTED_VALUE"""),43770.0)</f>
        <v>43770</v>
      </c>
      <c r="G940" s="18">
        <f>IFERROR(__xludf.DUMMYFUNCTION("""COMPUTED_VALUE"""),11.3)</f>
        <v>11.3</v>
      </c>
      <c r="H940" s="131">
        <f>IFERROR(__xludf.DUMMYFUNCTION("""COMPUTED_VALUE"""),41090.0)</f>
        <v>41090</v>
      </c>
      <c r="I940" s="18">
        <f>IFERROR(__xludf.DUMMYFUNCTION("""COMPUTED_VALUE"""),6.394444444444445)</f>
        <v>6.394444444</v>
      </c>
      <c r="J940" s="22">
        <f>IFERROR(__xludf.DUMMYFUNCTION("""COMPUTED_VALUE"""),80.0)</f>
        <v>80</v>
      </c>
      <c r="K940" s="22">
        <f>IFERROR(__xludf.DUMMYFUNCTION("""COMPUTED_VALUE"""),3.5)</f>
        <v>3.5</v>
      </c>
      <c r="L940" s="26" t="str">
        <f>IFERROR(__xludf.DUMMYFUNCTION("""COMPUTED_VALUE"""),"Platformer")</f>
        <v>Platformer</v>
      </c>
    </row>
    <row r="941">
      <c r="A941" s="12" t="str">
        <f>IFERROR(__xludf.DUMMYFUNCTION("""COMPUTED_VALUE"""),"ABZÛ")</f>
        <v>ABZÛ</v>
      </c>
      <c r="B941" s="13" t="str">
        <f>IFERROR(__xludf.DUMMYFUNCTION("""COMPUTED_VALUE"""),"Xbox / PC")</f>
        <v>Xbox / PC</v>
      </c>
      <c r="C941" s="14"/>
      <c r="D941" s="14" t="str">
        <f>IFERROR(__xludf.DUMMYFUNCTION("""COMPUTED_VALUE"""),"Removed")</f>
        <v>Removed</v>
      </c>
      <c r="E941" s="294">
        <f>IFERROR(__xludf.DUMMYFUNCTION("""COMPUTED_VALUE"""),43282.0)</f>
        <v>43282</v>
      </c>
      <c r="F941" s="15">
        <f>IFERROR(__xludf.DUMMYFUNCTION("""COMPUTED_VALUE"""),43770.0)</f>
        <v>43770</v>
      </c>
      <c r="G941" s="18">
        <f>IFERROR(__xludf.DUMMYFUNCTION("""COMPUTED_VALUE"""),16.0)</f>
        <v>16</v>
      </c>
      <c r="H941" s="131">
        <f>IFERROR(__xludf.DUMMYFUNCTION("""COMPUTED_VALUE"""),42584.0)</f>
        <v>42584</v>
      </c>
      <c r="I941" s="18">
        <f>IFERROR(__xludf.DUMMYFUNCTION("""COMPUTED_VALUE"""),1.913888888888889)</f>
        <v>1.913888889</v>
      </c>
      <c r="J941" s="22">
        <f>IFERROR(__xludf.DUMMYFUNCTION("""COMPUTED_VALUE"""),83.0)</f>
        <v>83</v>
      </c>
      <c r="K941" s="22">
        <f>IFERROR(__xludf.DUMMYFUNCTION("""COMPUTED_VALUE"""),2.0)</f>
        <v>2</v>
      </c>
      <c r="L941" s="26" t="str">
        <f>IFERROR(__xludf.DUMMYFUNCTION("""COMPUTED_VALUE"""),"Adventure")</f>
        <v>Adventure</v>
      </c>
    </row>
    <row r="942">
      <c r="A942" s="12" t="str">
        <f>IFERROR(__xludf.DUMMYFUNCTION("""COMPUTED_VALUE"""),"Darksiders II: Deathinitive Edition")</f>
        <v>Darksiders II: Deathinitive Edition</v>
      </c>
      <c r="B942" s="13" t="str">
        <f>IFERROR(__xludf.DUMMYFUNCTION("""COMPUTED_VALUE"""),"Xbox")</f>
        <v>Xbox</v>
      </c>
      <c r="C942" s="14"/>
      <c r="D942" s="14" t="str">
        <f>IFERROR(__xludf.DUMMYFUNCTION("""COMPUTED_VALUE"""),"Removed")</f>
        <v>Removed</v>
      </c>
      <c r="E942" s="294">
        <f>IFERROR(__xludf.DUMMYFUNCTION("""COMPUTED_VALUE"""),43132.0)</f>
        <v>43132</v>
      </c>
      <c r="F942" s="15">
        <f>IFERROR(__xludf.DUMMYFUNCTION("""COMPUTED_VALUE"""),43770.0)</f>
        <v>43770</v>
      </c>
      <c r="G942" s="18">
        <f>IFERROR(__xludf.DUMMYFUNCTION("""COMPUTED_VALUE"""),21.0)</f>
        <v>21</v>
      </c>
      <c r="H942" s="131">
        <f>IFERROR(__xludf.DUMMYFUNCTION("""COMPUTED_VALUE"""),41135.0)</f>
        <v>41135</v>
      </c>
      <c r="I942" s="18">
        <f>IFERROR(__xludf.DUMMYFUNCTION("""COMPUTED_VALUE"""),5.463888888888889)</f>
        <v>5.463888889</v>
      </c>
      <c r="J942" s="22">
        <f>IFERROR(__xludf.DUMMYFUNCTION("""COMPUTED_VALUE"""),75.0)</f>
        <v>75</v>
      </c>
      <c r="K942" s="22">
        <f>IFERROR(__xludf.DUMMYFUNCTION("""COMPUTED_VALUE"""),20.0)</f>
        <v>20</v>
      </c>
      <c r="L942" s="26" t="str">
        <f>IFERROR(__xludf.DUMMYFUNCTION("""COMPUTED_VALUE"""),"RPG")</f>
        <v>RPG</v>
      </c>
    </row>
    <row r="943">
      <c r="A943" s="12" t="str">
        <f>IFERROR(__xludf.DUMMYFUNCTION("""COMPUTED_VALUE"""),"Darksiders: Warmastered Edition")</f>
        <v>Darksiders: Warmastered Edition</v>
      </c>
      <c r="B943" s="13" t="str">
        <f>IFERROR(__xludf.DUMMYFUNCTION("""COMPUTED_VALUE"""),"Xbox")</f>
        <v>Xbox</v>
      </c>
      <c r="C943" s="14"/>
      <c r="D943" s="14" t="str">
        <f>IFERROR(__xludf.DUMMYFUNCTION("""COMPUTED_VALUE"""),"Removed")</f>
        <v>Removed</v>
      </c>
      <c r="E943" s="294">
        <f>IFERROR(__xludf.DUMMYFUNCTION("""COMPUTED_VALUE"""),43070.0)</f>
        <v>43070</v>
      </c>
      <c r="F943" s="15">
        <f>IFERROR(__xludf.DUMMYFUNCTION("""COMPUTED_VALUE"""),43770.0)</f>
        <v>43770</v>
      </c>
      <c r="G943" s="18">
        <f>IFERROR(__xludf.DUMMYFUNCTION("""COMPUTED_VALUE"""),23.0)</f>
        <v>23</v>
      </c>
      <c r="H943" s="131">
        <f>IFERROR(__xludf.DUMMYFUNCTION("""COMPUTED_VALUE"""),40183.0)</f>
        <v>40183</v>
      </c>
      <c r="I943" s="18">
        <f>IFERROR(__xludf.DUMMYFUNCTION("""COMPUTED_VALUE"""),7.905555555555556)</f>
        <v>7.905555556</v>
      </c>
      <c r="J943" s="22">
        <f>IFERROR(__xludf.DUMMYFUNCTION("""COMPUTED_VALUE"""),80.0)</f>
        <v>80</v>
      </c>
      <c r="K943" s="22">
        <f>IFERROR(__xludf.DUMMYFUNCTION("""COMPUTED_VALUE"""),17.0)</f>
        <v>17</v>
      </c>
      <c r="L943" s="26" t="str">
        <f>IFERROR(__xludf.DUMMYFUNCTION("""COMPUTED_VALUE"""),"Action-Adventure")</f>
        <v>Action-Adventure</v>
      </c>
    </row>
    <row r="944">
      <c r="A944" s="12" t="str">
        <f>IFERROR(__xludf.DUMMYFUNCTION("""COMPUTED_VALUE"""),"GRID 2")</f>
        <v>GRID 2</v>
      </c>
      <c r="B944" s="13" t="str">
        <f>IFERROR(__xludf.DUMMYFUNCTION("""COMPUTED_VALUE"""),"Xbox")</f>
        <v>Xbox</v>
      </c>
      <c r="C944" s="14"/>
      <c r="D944" s="14" t="str">
        <f>IFERROR(__xludf.DUMMYFUNCTION("""COMPUTED_VALUE"""),"Removed")</f>
        <v>Removed</v>
      </c>
      <c r="E944" s="294">
        <f>IFERROR(__xludf.DUMMYFUNCTION("""COMPUTED_VALUE"""),42887.0)</f>
        <v>42887</v>
      </c>
      <c r="F944" s="15">
        <f>IFERROR(__xludf.DUMMYFUNCTION("""COMPUTED_VALUE"""),43770.0)</f>
        <v>43770</v>
      </c>
      <c r="G944" s="18">
        <f>IFERROR(__xludf.DUMMYFUNCTION("""COMPUTED_VALUE"""),29.0)</f>
        <v>29</v>
      </c>
      <c r="H944" s="131">
        <f>IFERROR(__xludf.DUMMYFUNCTION("""COMPUTED_VALUE"""),41421.0)</f>
        <v>41421</v>
      </c>
      <c r="I944" s="18">
        <f>IFERROR(__xludf.DUMMYFUNCTION("""COMPUTED_VALUE"""),4.011111111111111)</f>
        <v>4.011111111</v>
      </c>
      <c r="J944" s="22">
        <f>IFERROR(__xludf.DUMMYFUNCTION("""COMPUTED_VALUE"""),78.0)</f>
        <v>78</v>
      </c>
      <c r="K944" s="22">
        <f>IFERROR(__xludf.DUMMYFUNCTION("""COMPUTED_VALUE"""),17.5)</f>
        <v>17.5</v>
      </c>
      <c r="L944" s="26" t="str">
        <f>IFERROR(__xludf.DUMMYFUNCTION("""COMPUTED_VALUE"""),"Racing")</f>
        <v>Racing</v>
      </c>
    </row>
    <row r="945">
      <c r="A945" s="12" t="str">
        <f>IFERROR(__xludf.DUMMYFUNCTION("""COMPUTED_VALUE"""),"Resident Evil 5")</f>
        <v>Resident Evil 5</v>
      </c>
      <c r="B945" s="13" t="str">
        <f>IFERROR(__xludf.DUMMYFUNCTION("""COMPUTED_VALUE"""),"Xbox")</f>
        <v>Xbox</v>
      </c>
      <c r="C945" s="14"/>
      <c r="D945" s="14" t="str">
        <f>IFERROR(__xludf.DUMMYFUNCTION("""COMPUTED_VALUE"""),"Removed")</f>
        <v>Removed</v>
      </c>
      <c r="E945" s="294">
        <f>IFERROR(__xludf.DUMMYFUNCTION("""COMPUTED_VALUE"""),43580.0)</f>
        <v>43580</v>
      </c>
      <c r="F945" s="15">
        <f>IFERROR(__xludf.DUMMYFUNCTION("""COMPUTED_VALUE"""),43739.0)</f>
        <v>43739</v>
      </c>
      <c r="G945" s="18">
        <f>IFERROR(__xludf.DUMMYFUNCTION("""COMPUTED_VALUE"""),5.2)</f>
        <v>5.2</v>
      </c>
      <c r="H945" s="131">
        <f>IFERROR(__xludf.DUMMYFUNCTION("""COMPUTED_VALUE"""),39877.0)</f>
        <v>39877</v>
      </c>
      <c r="I945" s="18">
        <f>IFERROR(__xludf.DUMMYFUNCTION("""COMPUTED_VALUE"""),10.13888888888889)</f>
        <v>10.13888889</v>
      </c>
      <c r="J945" s="22">
        <f>IFERROR(__xludf.DUMMYFUNCTION("""COMPUTED_VALUE"""),75.0)</f>
        <v>75</v>
      </c>
      <c r="K945" s="22">
        <f>IFERROR(__xludf.DUMMYFUNCTION("""COMPUTED_VALUE"""),12.0)</f>
        <v>12</v>
      </c>
      <c r="L945" s="26" t="str">
        <f>IFERROR(__xludf.DUMMYFUNCTION("""COMPUTED_VALUE"""),"Shooter")</f>
        <v>Shooter</v>
      </c>
    </row>
    <row r="946">
      <c r="A946" s="12" t="str">
        <f>IFERROR(__xludf.DUMMYFUNCTION("""COMPUTED_VALUE"""),"Dead Island: Riptide - Definitive Edition")</f>
        <v>Dead Island: Riptide - Definitive Edition</v>
      </c>
      <c r="B946" s="13" t="str">
        <f>IFERROR(__xludf.DUMMYFUNCTION("""COMPUTED_VALUE"""),"Xbox")</f>
        <v>Xbox</v>
      </c>
      <c r="C946" s="14"/>
      <c r="D946" s="14" t="str">
        <f>IFERROR(__xludf.DUMMYFUNCTION("""COMPUTED_VALUE"""),"Removed")</f>
        <v>Removed</v>
      </c>
      <c r="E946" s="294">
        <f>IFERROR(__xludf.DUMMYFUNCTION("""COMPUTED_VALUE"""),43374.0)</f>
        <v>43374</v>
      </c>
      <c r="F946" s="15">
        <f>IFERROR(__xludf.DUMMYFUNCTION("""COMPUTED_VALUE"""),43739.0)</f>
        <v>43739</v>
      </c>
      <c r="G946" s="18">
        <f>IFERROR(__xludf.DUMMYFUNCTION("""COMPUTED_VALUE"""),12.0)</f>
        <v>12</v>
      </c>
      <c r="H946" s="131">
        <f>IFERROR(__xludf.DUMMYFUNCTION("""COMPUTED_VALUE"""),42521.0)</f>
        <v>42521</v>
      </c>
      <c r="I946" s="18">
        <f>IFERROR(__xludf.DUMMYFUNCTION("""COMPUTED_VALUE"""),2.3361111111111112)</f>
        <v>2.336111111</v>
      </c>
      <c r="J946" s="22">
        <f>IFERROR(__xludf.DUMMYFUNCTION("""COMPUTED_VALUE"""),57.0)</f>
        <v>57</v>
      </c>
      <c r="K946" s="22">
        <f>IFERROR(__xludf.DUMMYFUNCTION("""COMPUTED_VALUE"""),10.5)</f>
        <v>10.5</v>
      </c>
      <c r="L946" s="26" t="str">
        <f>IFERROR(__xludf.DUMMYFUNCTION("""COMPUTED_VALUE"""),"Shooter")</f>
        <v>Shooter</v>
      </c>
    </row>
    <row r="947">
      <c r="A947" s="12" t="str">
        <f>IFERROR(__xludf.DUMMYFUNCTION("""COMPUTED_VALUE"""),"&gt;observer_")</f>
        <v>&gt;observer_</v>
      </c>
      <c r="B947" s="13" t="str">
        <f>IFERROR(__xludf.DUMMYFUNCTION("""COMPUTED_VALUE"""),"Xbox")</f>
        <v>Xbox</v>
      </c>
      <c r="C947" s="14"/>
      <c r="D947" s="14" t="str">
        <f>IFERROR(__xludf.DUMMYFUNCTION("""COMPUTED_VALUE"""),"Removed")</f>
        <v>Removed</v>
      </c>
      <c r="E947" s="294">
        <f>IFERROR(__xludf.DUMMYFUNCTION("""COMPUTED_VALUE"""),43343.0)</f>
        <v>43343</v>
      </c>
      <c r="F947" s="15">
        <f>IFERROR(__xludf.DUMMYFUNCTION("""COMPUTED_VALUE"""),43739.0)</f>
        <v>43739</v>
      </c>
      <c r="G947" s="18">
        <f>IFERROR(__xludf.DUMMYFUNCTION("""COMPUTED_VALUE"""),13.033333333333331)</f>
        <v>13.03333333</v>
      </c>
      <c r="H947" s="131">
        <f>IFERROR(__xludf.DUMMYFUNCTION("""COMPUTED_VALUE"""),42962.0)</f>
        <v>42962</v>
      </c>
      <c r="I947" s="18">
        <f>IFERROR(__xludf.DUMMYFUNCTION("""COMPUTED_VALUE"""),1.0416666666666667)</f>
        <v>1.041666667</v>
      </c>
      <c r="J947" s="22">
        <f>IFERROR(__xludf.DUMMYFUNCTION("""COMPUTED_VALUE"""),86.0)</f>
        <v>86</v>
      </c>
      <c r="K947" s="22">
        <f>IFERROR(__xludf.DUMMYFUNCTION("""COMPUTED_VALUE"""),7.0)</f>
        <v>7</v>
      </c>
      <c r="L947" s="26" t="str">
        <f>IFERROR(__xludf.DUMMYFUNCTION("""COMPUTED_VALUE"""),"Adventure")</f>
        <v>Adventure</v>
      </c>
    </row>
    <row r="948">
      <c r="A948" s="12" t="str">
        <f>IFERROR(__xludf.DUMMYFUNCTION("""COMPUTED_VALUE"""),"LEGO Batman 2: DC Super Heroes")</f>
        <v>LEGO Batman 2: DC Super Heroes</v>
      </c>
      <c r="B948" s="13" t="str">
        <f>IFERROR(__xludf.DUMMYFUNCTION("""COMPUTED_VALUE"""),"Xbox")</f>
        <v>Xbox</v>
      </c>
      <c r="C948" s="14"/>
      <c r="D948" s="14" t="str">
        <f>IFERROR(__xludf.DUMMYFUNCTION("""COMPUTED_VALUE"""),"Removed")</f>
        <v>Removed</v>
      </c>
      <c r="E948" s="294">
        <f>IFERROR(__xludf.DUMMYFUNCTION("""COMPUTED_VALUE"""),43525.0)</f>
        <v>43525</v>
      </c>
      <c r="F948" s="15">
        <f>IFERROR(__xludf.DUMMYFUNCTION("""COMPUTED_VALUE"""),43709.0)</f>
        <v>43709</v>
      </c>
      <c r="G948" s="18">
        <f>IFERROR(__xludf.DUMMYFUNCTION("""COMPUTED_VALUE"""),6.0)</f>
        <v>6</v>
      </c>
      <c r="H948" s="131">
        <f>IFERROR(__xludf.DUMMYFUNCTION("""COMPUTED_VALUE"""),41079.0)</f>
        <v>41079</v>
      </c>
      <c r="I948" s="18">
        <f>IFERROR(__xludf.DUMMYFUNCTION("""COMPUTED_VALUE"""),6.7)</f>
        <v>6.7</v>
      </c>
      <c r="J948" s="22">
        <f>IFERROR(__xludf.DUMMYFUNCTION("""COMPUTED_VALUE"""),79.0)</f>
        <v>79</v>
      </c>
      <c r="K948" s="22">
        <f>IFERROR(__xludf.DUMMYFUNCTION("""COMPUTED_VALUE"""),9.0)</f>
        <v>9</v>
      </c>
      <c r="L948" s="26" t="str">
        <f>IFERROR(__xludf.DUMMYFUNCTION("""COMPUTED_VALUE"""),"Action-Adventure")</f>
        <v>Action-Adventure</v>
      </c>
    </row>
    <row r="949">
      <c r="A949" s="12" t="str">
        <f>IFERROR(__xludf.DUMMYFUNCTION("""COMPUTED_VALUE"""),"LEGO Indiana Jones: The Original Adventures")</f>
        <v>LEGO Indiana Jones: The Original Adventures</v>
      </c>
      <c r="B949" s="13" t="str">
        <f>IFERROR(__xludf.DUMMYFUNCTION("""COMPUTED_VALUE"""),"Xbox")</f>
        <v>Xbox</v>
      </c>
      <c r="C949" s="14"/>
      <c r="D949" s="14" t="str">
        <f>IFERROR(__xludf.DUMMYFUNCTION("""COMPUTED_VALUE"""),"Removed")</f>
        <v>Removed</v>
      </c>
      <c r="E949" s="294">
        <f>IFERROR(__xludf.DUMMYFUNCTION("""COMPUTED_VALUE"""),43374.0)</f>
        <v>43374</v>
      </c>
      <c r="F949" s="15">
        <f>IFERROR(__xludf.DUMMYFUNCTION("""COMPUTED_VALUE"""),43709.0)</f>
        <v>43709</v>
      </c>
      <c r="G949" s="18">
        <f>IFERROR(__xludf.DUMMYFUNCTION("""COMPUTED_VALUE"""),11.0)</f>
        <v>11</v>
      </c>
      <c r="H949" s="131">
        <f>IFERROR(__xludf.DUMMYFUNCTION("""COMPUTED_VALUE"""),39602.0)</f>
        <v>39602</v>
      </c>
      <c r="I949" s="18">
        <f>IFERROR(__xludf.DUMMYFUNCTION("""COMPUTED_VALUE"""),10.327777777777778)</f>
        <v>10.32777778</v>
      </c>
      <c r="J949" s="22">
        <f>IFERROR(__xludf.DUMMYFUNCTION("""COMPUTED_VALUE"""),77.0)</f>
        <v>77</v>
      </c>
      <c r="K949" s="22">
        <f>IFERROR(__xludf.DUMMYFUNCTION("""COMPUTED_VALUE"""),10.0)</f>
        <v>10</v>
      </c>
      <c r="L949" s="26" t="str">
        <f>IFERROR(__xludf.DUMMYFUNCTION("""COMPUTED_VALUE"""),"Action-Adventure")</f>
        <v>Action-Adventure</v>
      </c>
    </row>
    <row r="950">
      <c r="A950" s="12" t="str">
        <f>IFERROR(__xludf.DUMMYFUNCTION("""COMPUTED_VALUE"""),"Split/Second")</f>
        <v>Split/Second</v>
      </c>
      <c r="B950" s="13" t="str">
        <f>IFERROR(__xludf.DUMMYFUNCTION("""COMPUTED_VALUE"""),"Xbox")</f>
        <v>Xbox</v>
      </c>
      <c r="C950" s="14"/>
      <c r="D950" s="14" t="str">
        <f>IFERROR(__xludf.DUMMYFUNCTION("""COMPUTED_VALUE"""),"Removed")</f>
        <v>Removed</v>
      </c>
      <c r="E950" s="294">
        <f>IFERROR(__xludf.DUMMYFUNCTION("""COMPUTED_VALUE"""),43374.0)</f>
        <v>43374</v>
      </c>
      <c r="F950" s="15">
        <f>IFERROR(__xludf.DUMMYFUNCTION("""COMPUTED_VALUE"""),43709.0)</f>
        <v>43709</v>
      </c>
      <c r="G950" s="18">
        <f>IFERROR(__xludf.DUMMYFUNCTION("""COMPUTED_VALUE"""),11.0)</f>
        <v>11</v>
      </c>
      <c r="H950" s="131">
        <f>IFERROR(__xludf.DUMMYFUNCTION("""COMPUTED_VALUE"""),40316.0)</f>
        <v>40316</v>
      </c>
      <c r="I950" s="18">
        <f>IFERROR(__xludf.DUMMYFUNCTION("""COMPUTED_VALUE"""),8.369444444444444)</f>
        <v>8.369444444</v>
      </c>
      <c r="J950" s="22">
        <f>IFERROR(__xludf.DUMMYFUNCTION("""COMPUTED_VALUE"""),82.0)</f>
        <v>82</v>
      </c>
      <c r="K950" s="22">
        <f>IFERROR(__xludf.DUMMYFUNCTION("""COMPUTED_VALUE"""),9.5)</f>
        <v>9.5</v>
      </c>
      <c r="L950" s="26" t="str">
        <f>IFERROR(__xludf.DUMMYFUNCTION("""COMPUTED_VALUE"""),"Racing")</f>
        <v>Racing</v>
      </c>
    </row>
    <row r="951">
      <c r="A951" s="12" t="str">
        <f>IFERROR(__xludf.DUMMYFUNCTION("""COMPUTED_VALUE"""),"Onrush")</f>
        <v>Onrush</v>
      </c>
      <c r="B951" s="13" t="str">
        <f>IFERROR(__xludf.DUMMYFUNCTION("""COMPUTED_VALUE"""),"Xbox")</f>
        <v>Xbox</v>
      </c>
      <c r="C951" s="14"/>
      <c r="D951" s="14" t="str">
        <f>IFERROR(__xludf.DUMMYFUNCTION("""COMPUTED_VALUE"""),"Removed")</f>
        <v>Removed</v>
      </c>
      <c r="E951" s="294">
        <f>IFERROR(__xludf.DUMMYFUNCTION("""COMPUTED_VALUE"""),43344.0)</f>
        <v>43344</v>
      </c>
      <c r="F951" s="15">
        <f>IFERROR(__xludf.DUMMYFUNCTION("""COMPUTED_VALUE"""),43709.0)</f>
        <v>43709</v>
      </c>
      <c r="G951" s="18">
        <f>IFERROR(__xludf.DUMMYFUNCTION("""COMPUTED_VALUE"""),12.0)</f>
        <v>12</v>
      </c>
      <c r="H951" s="131">
        <f>IFERROR(__xludf.DUMMYFUNCTION("""COMPUTED_VALUE"""),43256.0)</f>
        <v>43256</v>
      </c>
      <c r="I951" s="18">
        <f>IFERROR(__xludf.DUMMYFUNCTION("""COMPUTED_VALUE"""),0.2388888888888889)</f>
        <v>0.2388888889</v>
      </c>
      <c r="J951" s="22">
        <f>IFERROR(__xludf.DUMMYFUNCTION("""COMPUTED_VALUE"""),77.0)</f>
        <v>77</v>
      </c>
      <c r="K951" s="22">
        <f>IFERROR(__xludf.DUMMYFUNCTION("""COMPUTED_VALUE"""),12.0)</f>
        <v>12</v>
      </c>
      <c r="L951" s="26" t="str">
        <f>IFERROR(__xludf.DUMMYFUNCTION("""COMPUTED_VALUE"""),"Racing")</f>
        <v>Racing</v>
      </c>
    </row>
    <row r="952">
      <c r="A952" s="12" t="str">
        <f>IFERROR(__xludf.DUMMYFUNCTION("""COMPUTED_VALUE"""),"Ninja Gaiden Black")</f>
        <v>Ninja Gaiden Black</v>
      </c>
      <c r="B952" s="13" t="str">
        <f>IFERROR(__xludf.DUMMYFUNCTION("""COMPUTED_VALUE"""),"Xbox")</f>
        <v>Xbox</v>
      </c>
      <c r="C952" s="14"/>
      <c r="D952" s="14" t="str">
        <f>IFERROR(__xludf.DUMMYFUNCTION("""COMPUTED_VALUE"""),"Removed")</f>
        <v>Removed</v>
      </c>
      <c r="E952" s="294">
        <f>IFERROR(__xludf.DUMMYFUNCTION("""COMPUTED_VALUE"""),43040.0)</f>
        <v>43040</v>
      </c>
      <c r="F952" s="15">
        <f>IFERROR(__xludf.DUMMYFUNCTION("""COMPUTED_VALUE"""),43709.0)</f>
        <v>43709</v>
      </c>
      <c r="G952" s="18">
        <f>IFERROR(__xludf.DUMMYFUNCTION("""COMPUTED_VALUE"""),22.0)</f>
        <v>22</v>
      </c>
      <c r="H952" s="131">
        <f>IFERROR(__xludf.DUMMYFUNCTION("""COMPUTED_VALUE"""),38615.0)</f>
        <v>38615</v>
      </c>
      <c r="I952" s="18">
        <f>IFERROR(__xludf.DUMMYFUNCTION("""COMPUTED_VALUE"""),12.113888888888889)</f>
        <v>12.11388889</v>
      </c>
      <c r="J952" s="22">
        <f>IFERROR(__xludf.DUMMYFUNCTION("""COMPUTED_VALUE"""),94.0)</f>
        <v>94</v>
      </c>
      <c r="K952" s="22">
        <f>IFERROR(__xludf.DUMMYFUNCTION("""COMPUTED_VALUE"""),16.0)</f>
        <v>16</v>
      </c>
      <c r="L952" s="26" t="str">
        <f>IFERROR(__xludf.DUMMYFUNCTION("""COMPUTED_VALUE"""),"Action-Adventure")</f>
        <v>Action-Adventure</v>
      </c>
    </row>
    <row r="953">
      <c r="A953" s="12" t="str">
        <f>IFERROR(__xludf.DUMMYFUNCTION("""COMPUTED_VALUE"""),"Super Street Fighter IV: Arcade Edition")</f>
        <v>Super Street Fighter IV: Arcade Edition</v>
      </c>
      <c r="B953" s="13" t="str">
        <f>IFERROR(__xludf.DUMMYFUNCTION("""COMPUTED_VALUE"""),"Xbox")</f>
        <v>Xbox</v>
      </c>
      <c r="C953" s="14"/>
      <c r="D953" s="14" t="str">
        <f>IFERROR(__xludf.DUMMYFUNCTION("""COMPUTED_VALUE"""),"Removed")</f>
        <v>Removed</v>
      </c>
      <c r="E953" s="294">
        <f>IFERROR(__xludf.DUMMYFUNCTION("""COMPUTED_VALUE"""),43009.0)</f>
        <v>43009</v>
      </c>
      <c r="F953" s="15">
        <f>IFERROR(__xludf.DUMMYFUNCTION("""COMPUTED_VALUE"""),43709.0)</f>
        <v>43709</v>
      </c>
      <c r="G953" s="18">
        <f>IFERROR(__xludf.DUMMYFUNCTION("""COMPUTED_VALUE"""),23.0)</f>
        <v>23</v>
      </c>
      <c r="H953" s="131">
        <f>IFERROR(__xludf.DUMMYFUNCTION("""COMPUTED_VALUE"""),40235.0)</f>
        <v>40235</v>
      </c>
      <c r="I953" s="18">
        <f>IFERROR(__xludf.DUMMYFUNCTION("""COMPUTED_VALUE"""),7.597222222222222)</f>
        <v>7.597222222</v>
      </c>
      <c r="J953" s="22">
        <f>IFERROR(__xludf.DUMMYFUNCTION("""COMPUTED_VALUE"""),78.0)</f>
        <v>78</v>
      </c>
      <c r="K953" s="22">
        <f>IFERROR(__xludf.DUMMYFUNCTION("""COMPUTED_VALUE"""),3.0)</f>
        <v>3</v>
      </c>
      <c r="L953" s="26" t="str">
        <f>IFERROR(__xludf.DUMMYFUNCTION("""COMPUTED_VALUE"""),"Fighting")</f>
        <v>Fighting</v>
      </c>
    </row>
    <row r="954">
      <c r="A954" s="12" t="str">
        <f>IFERROR(__xludf.DUMMYFUNCTION("""COMPUTED_VALUE"""),"'Splosion Man")</f>
        <v>'Splosion Man</v>
      </c>
      <c r="B954" s="13" t="str">
        <f>IFERROR(__xludf.DUMMYFUNCTION("""COMPUTED_VALUE"""),"Xbox")</f>
        <v>Xbox</v>
      </c>
      <c r="C954" s="14"/>
      <c r="D954" s="14" t="str">
        <f>IFERROR(__xludf.DUMMYFUNCTION("""COMPUTED_VALUE"""),"Removed")</f>
        <v>Removed</v>
      </c>
      <c r="E954" s="294">
        <f>IFERROR(__xludf.DUMMYFUNCTION("""COMPUTED_VALUE"""),42887.0)</f>
        <v>42887</v>
      </c>
      <c r="F954" s="15">
        <f>IFERROR(__xludf.DUMMYFUNCTION("""COMPUTED_VALUE"""),43709.0)</f>
        <v>43709</v>
      </c>
      <c r="G954" s="18">
        <f>IFERROR(__xludf.DUMMYFUNCTION("""COMPUTED_VALUE"""),27.0)</f>
        <v>27</v>
      </c>
      <c r="H954" s="131">
        <f>IFERROR(__xludf.DUMMYFUNCTION("""COMPUTED_VALUE"""),40016.0)</f>
        <v>40016</v>
      </c>
      <c r="I954" s="18">
        <f>IFERROR(__xludf.DUMMYFUNCTION("""COMPUTED_VALUE"""),7.858333333333333)</f>
        <v>7.858333333</v>
      </c>
      <c r="J954" s="22">
        <f>IFERROR(__xludf.DUMMYFUNCTION("""COMPUTED_VALUE"""),84.0)</f>
        <v>84</v>
      </c>
      <c r="K954" s="22">
        <f>IFERROR(__xludf.DUMMYFUNCTION("""COMPUTED_VALUE"""),8.0)</f>
        <v>8</v>
      </c>
      <c r="L954" s="26" t="str">
        <f>IFERROR(__xludf.DUMMYFUNCTION("""COMPUTED_VALUE"""),"Platformer")</f>
        <v>Platformer</v>
      </c>
    </row>
    <row r="955">
      <c r="A955" s="12" t="str">
        <f>IFERROR(__xludf.DUMMYFUNCTION("""COMPUTED_VALUE"""),"The Maw")</f>
        <v>The Maw</v>
      </c>
      <c r="B955" s="13" t="str">
        <f>IFERROR(__xludf.DUMMYFUNCTION("""COMPUTED_VALUE"""),"Xbox")</f>
        <v>Xbox</v>
      </c>
      <c r="C955" s="14"/>
      <c r="D955" s="14" t="str">
        <f>IFERROR(__xludf.DUMMYFUNCTION("""COMPUTED_VALUE"""),"Removed")</f>
        <v>Removed</v>
      </c>
      <c r="E955" s="294">
        <f>IFERROR(__xludf.DUMMYFUNCTION("""COMPUTED_VALUE"""),42887.0)</f>
        <v>42887</v>
      </c>
      <c r="F955" s="15">
        <f>IFERROR(__xludf.DUMMYFUNCTION("""COMPUTED_VALUE"""),43709.0)</f>
        <v>43709</v>
      </c>
      <c r="G955" s="18">
        <f>IFERROR(__xludf.DUMMYFUNCTION("""COMPUTED_VALUE"""),27.0)</f>
        <v>27</v>
      </c>
      <c r="H955" s="131">
        <f>IFERROR(__xludf.DUMMYFUNCTION("""COMPUTED_VALUE"""),39834.0)</f>
        <v>39834</v>
      </c>
      <c r="I955" s="18">
        <f>IFERROR(__xludf.DUMMYFUNCTION("""COMPUTED_VALUE"""),8.36111111111111)</f>
        <v>8.361111111</v>
      </c>
      <c r="J955" s="22">
        <f>IFERROR(__xludf.DUMMYFUNCTION("""COMPUTED_VALUE"""),75.0)</f>
        <v>75</v>
      </c>
      <c r="K955" s="22">
        <f>IFERROR(__xludf.DUMMYFUNCTION("""COMPUTED_VALUE"""),3.0)</f>
        <v>3</v>
      </c>
      <c r="L955" s="26" t="str">
        <f>IFERROR(__xludf.DUMMYFUNCTION("""COMPUTED_VALUE"""),"Platformer")</f>
        <v>Platformer</v>
      </c>
    </row>
    <row r="956">
      <c r="A956" s="12" t="str">
        <f>IFERROR(__xludf.DUMMYFUNCTION("""COMPUTED_VALUE"""),"InnerSpace")</f>
        <v>InnerSpace</v>
      </c>
      <c r="B956" s="13" t="str">
        <f>IFERROR(__xludf.DUMMYFUNCTION("""COMPUTED_VALUE"""),"Xbox")</f>
        <v>Xbox</v>
      </c>
      <c r="C956" s="14"/>
      <c r="D956" s="14" t="str">
        <f>IFERROR(__xludf.DUMMYFUNCTION("""COMPUTED_VALUE"""),"Removed")</f>
        <v>Removed</v>
      </c>
      <c r="E956" s="294">
        <f>IFERROR(__xludf.DUMMYFUNCTION("""COMPUTED_VALUE"""),43344.0)</f>
        <v>43344</v>
      </c>
      <c r="F956" s="15">
        <f>IFERROR(__xludf.DUMMYFUNCTION("""COMPUTED_VALUE"""),43678.0)</f>
        <v>43678</v>
      </c>
      <c r="G956" s="18">
        <f>IFERROR(__xludf.DUMMYFUNCTION("""COMPUTED_VALUE"""),11.0)</f>
        <v>11</v>
      </c>
      <c r="H956" s="131">
        <f>IFERROR(__xludf.DUMMYFUNCTION("""COMPUTED_VALUE"""),43116.0)</f>
        <v>43116</v>
      </c>
      <c r="I956" s="18">
        <f>IFERROR(__xludf.DUMMYFUNCTION("""COMPUTED_VALUE"""),0.625)</f>
        <v>0.625</v>
      </c>
      <c r="J956" s="22">
        <f>IFERROR(__xludf.DUMMYFUNCTION("""COMPUTED_VALUE"""),64.0)</f>
        <v>64</v>
      </c>
      <c r="K956" s="22">
        <f>IFERROR(__xludf.DUMMYFUNCTION("""COMPUTED_VALUE"""),4.5)</f>
        <v>4.5</v>
      </c>
      <c r="L956" s="26" t="str">
        <f>IFERROR(__xludf.DUMMYFUNCTION("""COMPUTED_VALUE"""),"Flight")</f>
        <v>Flight</v>
      </c>
    </row>
    <row r="957">
      <c r="A957" s="12" t="str">
        <f>IFERROR(__xludf.DUMMYFUNCTION("""COMPUTED_VALUE"""),"Manual Samuel")</f>
        <v>Manual Samuel</v>
      </c>
      <c r="B957" s="13" t="str">
        <f>IFERROR(__xludf.DUMMYFUNCTION("""COMPUTED_VALUE"""),"Xbox")</f>
        <v>Xbox</v>
      </c>
      <c r="C957" s="14"/>
      <c r="D957" s="14" t="str">
        <f>IFERROR(__xludf.DUMMYFUNCTION("""COMPUTED_VALUE"""),"Removed")</f>
        <v>Removed</v>
      </c>
      <c r="E957" s="294">
        <f>IFERROR(__xludf.DUMMYFUNCTION("""COMPUTED_VALUE"""),43344.0)</f>
        <v>43344</v>
      </c>
      <c r="F957" s="15">
        <f>IFERROR(__xludf.DUMMYFUNCTION("""COMPUTED_VALUE"""),43678.0)</f>
        <v>43678</v>
      </c>
      <c r="G957" s="18">
        <f>IFERROR(__xludf.DUMMYFUNCTION("""COMPUTED_VALUE"""),11.0)</f>
        <v>11</v>
      </c>
      <c r="H957" s="131">
        <f>IFERROR(__xludf.DUMMYFUNCTION("""COMPUTED_VALUE"""),42654.0)</f>
        <v>42654</v>
      </c>
      <c r="I957" s="18">
        <f>IFERROR(__xludf.DUMMYFUNCTION("""COMPUTED_VALUE"""),1.8888888888888888)</f>
        <v>1.888888889</v>
      </c>
      <c r="J957" s="22">
        <f>IFERROR(__xludf.DUMMYFUNCTION("""COMPUTED_VALUE"""),66.0)</f>
        <v>66</v>
      </c>
      <c r="K957" s="22">
        <f>IFERROR(__xludf.DUMMYFUNCTION("""COMPUTED_VALUE"""),2.0)</f>
        <v>2</v>
      </c>
      <c r="L957" s="26" t="str">
        <f>IFERROR(__xludf.DUMMYFUNCTION("""COMPUTED_VALUE"""),"Adventure")</f>
        <v>Adventure</v>
      </c>
    </row>
    <row r="958">
      <c r="A958" s="12" t="str">
        <f>IFERROR(__xludf.DUMMYFUNCTION("""COMPUTED_VALUE"""),"Sky Force: Reloaded")</f>
        <v>Sky Force: Reloaded</v>
      </c>
      <c r="B958" s="13" t="str">
        <f>IFERROR(__xludf.DUMMYFUNCTION("""COMPUTED_VALUE"""),"Xbox")</f>
        <v>Xbox</v>
      </c>
      <c r="C958" s="14"/>
      <c r="D958" s="14" t="str">
        <f>IFERROR(__xludf.DUMMYFUNCTION("""COMPUTED_VALUE"""),"Removed")</f>
        <v>Removed</v>
      </c>
      <c r="E958" s="294">
        <f>IFERROR(__xludf.DUMMYFUNCTION("""COMPUTED_VALUE"""),43344.0)</f>
        <v>43344</v>
      </c>
      <c r="F958" s="15">
        <f>IFERROR(__xludf.DUMMYFUNCTION("""COMPUTED_VALUE"""),43678.0)</f>
        <v>43678</v>
      </c>
      <c r="G958" s="18">
        <f>IFERROR(__xludf.DUMMYFUNCTION("""COMPUTED_VALUE"""),11.0)</f>
        <v>11</v>
      </c>
      <c r="H958" s="131">
        <f>IFERROR(__xludf.DUMMYFUNCTION("""COMPUTED_VALUE"""),43132.0)</f>
        <v>43132</v>
      </c>
      <c r="I958" s="18">
        <f>IFERROR(__xludf.DUMMYFUNCTION("""COMPUTED_VALUE"""),0.5833333333333334)</f>
        <v>0.5833333333</v>
      </c>
      <c r="J958" s="22">
        <f>IFERROR(__xludf.DUMMYFUNCTION("""COMPUTED_VALUE"""),86.0)</f>
        <v>86</v>
      </c>
      <c r="K958" s="22">
        <f>IFERROR(__xludf.DUMMYFUNCTION("""COMPUTED_VALUE"""),16.0)</f>
        <v>16</v>
      </c>
      <c r="L958" s="26" t="str">
        <f>IFERROR(__xludf.DUMMYFUNCTION("""COMPUTED_VALUE"""),"Shoot 'Em Up")</f>
        <v>Shoot 'Em Up</v>
      </c>
    </row>
    <row r="959">
      <c r="A959" s="12" t="str">
        <f>IFERROR(__xludf.DUMMYFUNCTION("""COMPUTED_VALUE"""),"Graveyard Keeper")</f>
        <v>Graveyard Keeper</v>
      </c>
      <c r="B959" s="13" t="str">
        <f>IFERROR(__xludf.DUMMYFUNCTION("""COMPUTED_VALUE"""),"Xbox")</f>
        <v>Xbox</v>
      </c>
      <c r="C959" s="14"/>
      <c r="D959" s="14" t="str">
        <f>IFERROR(__xludf.DUMMYFUNCTION("""COMPUTED_VALUE"""),"Removed")</f>
        <v>Removed</v>
      </c>
      <c r="E959" s="294">
        <f>IFERROR(__xludf.DUMMYFUNCTION("""COMPUTED_VALUE"""),43327.0)</f>
        <v>43327</v>
      </c>
      <c r="F959" s="15">
        <f>IFERROR(__xludf.DUMMYFUNCTION("""COMPUTED_VALUE"""),43678.0)</f>
        <v>43678</v>
      </c>
      <c r="G959" s="18">
        <f>IFERROR(__xludf.DUMMYFUNCTION("""COMPUTED_VALUE"""),11.533333333333333)</f>
        <v>11.53333333</v>
      </c>
      <c r="H959" s="131">
        <f>IFERROR(__xludf.DUMMYFUNCTION("""COMPUTED_VALUE"""),43327.0)</f>
        <v>43327</v>
      </c>
      <c r="I959" s="18">
        <f>IFERROR(__xludf.DUMMYFUNCTION("""COMPUTED_VALUE"""),0.0)</f>
        <v>0</v>
      </c>
      <c r="J959" s="22">
        <f>IFERROR(__xludf.DUMMYFUNCTION("""COMPUTED_VALUE"""),70.0)</f>
        <v>70</v>
      </c>
      <c r="K959" s="22">
        <f>IFERROR(__xludf.DUMMYFUNCTION("""COMPUTED_VALUE"""),45.5)</f>
        <v>45.5</v>
      </c>
      <c r="L959" s="26" t="str">
        <f>IFERROR(__xludf.DUMMYFUNCTION("""COMPUTED_VALUE"""),"RPG")</f>
        <v>RPG</v>
      </c>
    </row>
    <row r="960">
      <c r="A960" s="12" t="str">
        <f>IFERROR(__xludf.DUMMYFUNCTION("""COMPUTED_VALUE"""),"Alien Hominid HD")</f>
        <v>Alien Hominid HD</v>
      </c>
      <c r="B960" s="13" t="str">
        <f>IFERROR(__xludf.DUMMYFUNCTION("""COMPUTED_VALUE"""),"Xbox")</f>
        <v>Xbox</v>
      </c>
      <c r="C960" s="14"/>
      <c r="D960" s="14" t="str">
        <f>IFERROR(__xludf.DUMMYFUNCTION("""COMPUTED_VALUE"""),"Removed")</f>
        <v>Removed</v>
      </c>
      <c r="E960" s="294">
        <f>IFERROR(__xludf.DUMMYFUNCTION("""COMPUTED_VALUE"""),43252.0)</f>
        <v>43252</v>
      </c>
      <c r="F960" s="15">
        <f>IFERROR(__xludf.DUMMYFUNCTION("""COMPUTED_VALUE"""),43678.0)</f>
        <v>43678</v>
      </c>
      <c r="G960" s="18">
        <f>IFERROR(__xludf.DUMMYFUNCTION("""COMPUTED_VALUE"""),14.0)</f>
        <v>14</v>
      </c>
      <c r="H960" s="131">
        <f>IFERROR(__xludf.DUMMYFUNCTION("""COMPUTED_VALUE"""),38309.0)</f>
        <v>38309</v>
      </c>
      <c r="I960" s="18">
        <f>IFERROR(__xludf.DUMMYFUNCTION("""COMPUTED_VALUE"""),13.536111111111111)</f>
        <v>13.53611111</v>
      </c>
      <c r="J960" s="22">
        <f>IFERROR(__xludf.DUMMYFUNCTION("""COMPUTED_VALUE"""),79.0)</f>
        <v>79</v>
      </c>
      <c r="K960" s="22">
        <f>IFERROR(__xludf.DUMMYFUNCTION("""COMPUTED_VALUE"""),5.0)</f>
        <v>5</v>
      </c>
      <c r="L960" s="26" t="str">
        <f>IFERROR(__xludf.DUMMYFUNCTION("""COMPUTED_VALUE"""),"Shooter")</f>
        <v>Shooter</v>
      </c>
    </row>
    <row r="961">
      <c r="A961" s="12" t="str">
        <f>IFERROR(__xludf.DUMMYFUNCTION("""COMPUTED_VALUE"""),"BattleBlock Theater")</f>
        <v>BattleBlock Theater</v>
      </c>
      <c r="B961" s="13" t="str">
        <f>IFERROR(__xludf.DUMMYFUNCTION("""COMPUTED_VALUE"""),"Xbox")</f>
        <v>Xbox</v>
      </c>
      <c r="C961" s="14"/>
      <c r="D961" s="14" t="str">
        <f>IFERROR(__xludf.DUMMYFUNCTION("""COMPUTED_VALUE"""),"Removed")</f>
        <v>Removed</v>
      </c>
      <c r="E961" s="294">
        <f>IFERROR(__xludf.DUMMYFUNCTION("""COMPUTED_VALUE"""),43252.0)</f>
        <v>43252</v>
      </c>
      <c r="F961" s="15">
        <f>IFERROR(__xludf.DUMMYFUNCTION("""COMPUTED_VALUE"""),43678.0)</f>
        <v>43678</v>
      </c>
      <c r="G961" s="18">
        <f>IFERROR(__xludf.DUMMYFUNCTION("""COMPUTED_VALUE"""),14.0)</f>
        <v>14</v>
      </c>
      <c r="H961" s="131">
        <f>IFERROR(__xludf.DUMMYFUNCTION("""COMPUTED_VALUE"""),41367.0)</f>
        <v>41367</v>
      </c>
      <c r="I961" s="18">
        <f>IFERROR(__xludf.DUMMYFUNCTION("""COMPUTED_VALUE"""),5.161111111111111)</f>
        <v>5.161111111</v>
      </c>
      <c r="J961" s="22">
        <f>IFERROR(__xludf.DUMMYFUNCTION("""COMPUTED_VALUE"""),85.0)</f>
        <v>85</v>
      </c>
      <c r="K961" s="22">
        <f>IFERROR(__xludf.DUMMYFUNCTION("""COMPUTED_VALUE"""),10.0)</f>
        <v>10</v>
      </c>
      <c r="L961" s="26" t="str">
        <f>IFERROR(__xludf.DUMMYFUNCTION("""COMPUTED_VALUE"""),"Platformer")</f>
        <v>Platformer</v>
      </c>
    </row>
    <row r="962">
      <c r="A962" s="12" t="str">
        <f>IFERROR(__xludf.DUMMYFUNCTION("""COMPUTED_VALUE"""),"Garou: Mark of the Wolves")</f>
        <v>Garou: Mark of the Wolves</v>
      </c>
      <c r="B962" s="13" t="str">
        <f>IFERROR(__xludf.DUMMYFUNCTION("""COMPUTED_VALUE"""),"Xbox")</f>
        <v>Xbox</v>
      </c>
      <c r="C962" s="14"/>
      <c r="D962" s="14" t="str">
        <f>IFERROR(__xludf.DUMMYFUNCTION("""COMPUTED_VALUE"""),"Removed")</f>
        <v>Removed</v>
      </c>
      <c r="E962" s="294">
        <f>IFERROR(__xludf.DUMMYFUNCTION("""COMPUTED_VALUE"""),42979.0)</f>
        <v>42979</v>
      </c>
      <c r="F962" s="15">
        <f>IFERROR(__xludf.DUMMYFUNCTION("""COMPUTED_VALUE"""),43678.0)</f>
        <v>43678</v>
      </c>
      <c r="G962" s="18">
        <f>IFERROR(__xludf.DUMMYFUNCTION("""COMPUTED_VALUE"""),23.0)</f>
        <v>23</v>
      </c>
      <c r="H962" s="131">
        <f>IFERROR(__xludf.DUMMYFUNCTION("""COMPUTED_VALUE"""),36490.0)</f>
        <v>36490</v>
      </c>
      <c r="I962" s="18">
        <f>IFERROR(__xludf.DUMMYFUNCTION("""COMPUTED_VALUE"""),17.76388888888889)</f>
        <v>17.76388889</v>
      </c>
      <c r="J962" s="22">
        <f>IFERROR(__xludf.DUMMYFUNCTION("""COMPUTED_VALUE"""),77.0)</f>
        <v>77</v>
      </c>
      <c r="K962" s="22">
        <f>IFERROR(__xludf.DUMMYFUNCTION("""COMPUTED_VALUE"""),1.5)</f>
        <v>1.5</v>
      </c>
      <c r="L962" s="26" t="str">
        <f>IFERROR(__xludf.DUMMYFUNCTION("""COMPUTED_VALUE"""),"Fighting")</f>
        <v>Fighting</v>
      </c>
    </row>
    <row r="963">
      <c r="A963" s="12" t="str">
        <f>IFERROR(__xludf.DUMMYFUNCTION("""COMPUTED_VALUE"""),"A Kingdom for Keflings")</f>
        <v>A Kingdom for Keflings</v>
      </c>
      <c r="B963" s="13" t="str">
        <f>IFERROR(__xludf.DUMMYFUNCTION("""COMPUTED_VALUE"""),"Xbox")</f>
        <v>Xbox</v>
      </c>
      <c r="C963" s="14"/>
      <c r="D963" s="14" t="str">
        <f>IFERROR(__xludf.DUMMYFUNCTION("""COMPUTED_VALUE"""),"Removed")</f>
        <v>Removed</v>
      </c>
      <c r="E963" s="294">
        <f>IFERROR(__xludf.DUMMYFUNCTION("""COMPUTED_VALUE"""),42887.0)</f>
        <v>42887</v>
      </c>
      <c r="F963" s="15">
        <f>IFERROR(__xludf.DUMMYFUNCTION("""COMPUTED_VALUE"""),43678.0)</f>
        <v>43678</v>
      </c>
      <c r="G963" s="18">
        <f>IFERROR(__xludf.DUMMYFUNCTION("""COMPUTED_VALUE"""),26.0)</f>
        <v>26</v>
      </c>
      <c r="H963" s="131">
        <f>IFERROR(__xludf.DUMMYFUNCTION("""COMPUTED_VALUE"""),39771.0)</f>
        <v>39771</v>
      </c>
      <c r="I963" s="18">
        <f>IFERROR(__xludf.DUMMYFUNCTION("""COMPUTED_VALUE"""),8.533333333333333)</f>
        <v>8.533333333</v>
      </c>
      <c r="J963" s="22">
        <f>IFERROR(__xludf.DUMMYFUNCTION("""COMPUTED_VALUE"""),78.0)</f>
        <v>78</v>
      </c>
      <c r="K963" s="22">
        <f>IFERROR(__xludf.DUMMYFUNCTION("""COMPUTED_VALUE"""),6.0)</f>
        <v>6</v>
      </c>
      <c r="L963" s="26" t="str">
        <f>IFERROR(__xludf.DUMMYFUNCTION("""COMPUTED_VALUE"""),"Strategy")</f>
        <v>Strategy</v>
      </c>
    </row>
    <row r="964">
      <c r="A964" s="12" t="str">
        <f>IFERROR(__xludf.DUMMYFUNCTION("""COMPUTED_VALUE"""),"A World of Keflings")</f>
        <v>A World of Keflings</v>
      </c>
      <c r="B964" s="13" t="str">
        <f>IFERROR(__xludf.DUMMYFUNCTION("""COMPUTED_VALUE"""),"Xbox")</f>
        <v>Xbox</v>
      </c>
      <c r="C964" s="14"/>
      <c r="D964" s="14" t="str">
        <f>IFERROR(__xludf.DUMMYFUNCTION("""COMPUTED_VALUE"""),"Removed")</f>
        <v>Removed</v>
      </c>
      <c r="E964" s="294">
        <f>IFERROR(__xludf.DUMMYFUNCTION("""COMPUTED_VALUE"""),42887.0)</f>
        <v>42887</v>
      </c>
      <c r="F964" s="15">
        <f>IFERROR(__xludf.DUMMYFUNCTION("""COMPUTED_VALUE"""),43678.0)</f>
        <v>43678</v>
      </c>
      <c r="G964" s="18">
        <f>IFERROR(__xludf.DUMMYFUNCTION("""COMPUTED_VALUE"""),26.0)</f>
        <v>26</v>
      </c>
      <c r="H964" s="131">
        <f>IFERROR(__xludf.DUMMYFUNCTION("""COMPUTED_VALUE"""),40534.0)</f>
        <v>40534</v>
      </c>
      <c r="I964" s="18">
        <f>IFERROR(__xludf.DUMMYFUNCTION("""COMPUTED_VALUE"""),6.441666666666666)</f>
        <v>6.441666667</v>
      </c>
      <c r="J964" s="22">
        <f>IFERROR(__xludf.DUMMYFUNCTION("""COMPUTED_VALUE"""),77.0)</f>
        <v>77</v>
      </c>
      <c r="K964" s="22">
        <f>IFERROR(__xludf.DUMMYFUNCTION("""COMPUTED_VALUE"""),7.0)</f>
        <v>7</v>
      </c>
      <c r="L964" s="26" t="str">
        <f>IFERROR(__xludf.DUMMYFUNCTION("""COMPUTED_VALUE"""),"Simulation")</f>
        <v>Simulation</v>
      </c>
    </row>
    <row r="965">
      <c r="A965" s="12" t="str">
        <f>IFERROR(__xludf.DUMMYFUNCTION("""COMPUTED_VALUE"""),"CastleStorm")</f>
        <v>CastleStorm</v>
      </c>
      <c r="B965" s="13" t="str">
        <f>IFERROR(__xludf.DUMMYFUNCTION("""COMPUTED_VALUE"""),"Xbox")</f>
        <v>Xbox</v>
      </c>
      <c r="C965" s="14"/>
      <c r="D965" s="14" t="str">
        <f>IFERROR(__xludf.DUMMYFUNCTION("""COMPUTED_VALUE"""),"Removed")</f>
        <v>Removed</v>
      </c>
      <c r="E965" s="294">
        <f>IFERROR(__xludf.DUMMYFUNCTION("""COMPUTED_VALUE"""),42887.0)</f>
        <v>42887</v>
      </c>
      <c r="F965" s="15">
        <f>IFERROR(__xludf.DUMMYFUNCTION("""COMPUTED_VALUE"""),43678.0)</f>
        <v>43678</v>
      </c>
      <c r="G965" s="18">
        <f>IFERROR(__xludf.DUMMYFUNCTION("""COMPUTED_VALUE"""),26.0)</f>
        <v>26</v>
      </c>
      <c r="H965" s="131">
        <f>IFERROR(__xludf.DUMMYFUNCTION("""COMPUTED_VALUE"""),41423.0)</f>
        <v>41423</v>
      </c>
      <c r="I965" s="18">
        <f>IFERROR(__xludf.DUMMYFUNCTION("""COMPUTED_VALUE"""),4.0055555555555555)</f>
        <v>4.005555556</v>
      </c>
      <c r="J965" s="22">
        <f>IFERROR(__xludf.DUMMYFUNCTION("""COMPUTED_VALUE"""),79.0)</f>
        <v>79</v>
      </c>
      <c r="K965" s="22">
        <f>IFERROR(__xludf.DUMMYFUNCTION("""COMPUTED_VALUE"""),7.0)</f>
        <v>7</v>
      </c>
      <c r="L965" s="26" t="str">
        <f>IFERROR(__xludf.DUMMYFUNCTION("""COMPUTED_VALUE"""),"Strategy")</f>
        <v>Strategy</v>
      </c>
    </row>
    <row r="966">
      <c r="A966" s="12" t="str">
        <f>IFERROR(__xludf.DUMMYFUNCTION("""COMPUTED_VALUE"""),"Joe Danger 2: The Movie")</f>
        <v>Joe Danger 2: The Movie</v>
      </c>
      <c r="B966" s="13" t="str">
        <f>IFERROR(__xludf.DUMMYFUNCTION("""COMPUTED_VALUE"""),"Xbox")</f>
        <v>Xbox</v>
      </c>
      <c r="C966" s="14"/>
      <c r="D966" s="14" t="str">
        <f>IFERROR(__xludf.DUMMYFUNCTION("""COMPUTED_VALUE"""),"Removed")</f>
        <v>Removed</v>
      </c>
      <c r="E966" s="294">
        <f>IFERROR(__xludf.DUMMYFUNCTION("""COMPUTED_VALUE"""),42887.0)</f>
        <v>42887</v>
      </c>
      <c r="F966" s="15">
        <f>IFERROR(__xludf.DUMMYFUNCTION("""COMPUTED_VALUE"""),43678.0)</f>
        <v>43678</v>
      </c>
      <c r="G966" s="18">
        <f>IFERROR(__xludf.DUMMYFUNCTION("""COMPUTED_VALUE"""),26.0)</f>
        <v>26</v>
      </c>
      <c r="H966" s="131">
        <f>IFERROR(__xludf.DUMMYFUNCTION("""COMPUTED_VALUE"""),41191.0)</f>
        <v>41191</v>
      </c>
      <c r="I966" s="18">
        <f>IFERROR(__xludf.DUMMYFUNCTION("""COMPUTED_VALUE"""),4.644444444444445)</f>
        <v>4.644444444</v>
      </c>
      <c r="J966" s="22">
        <f>IFERROR(__xludf.DUMMYFUNCTION("""COMPUTED_VALUE"""),82.0)</f>
        <v>82</v>
      </c>
      <c r="K966" s="22">
        <f>IFERROR(__xludf.DUMMYFUNCTION("""COMPUTED_VALUE"""),2.0)</f>
        <v>2</v>
      </c>
      <c r="L966" s="26" t="str">
        <f>IFERROR(__xludf.DUMMYFUNCTION("""COMPUTED_VALUE"""),"Platformer")</f>
        <v>Platformer</v>
      </c>
    </row>
    <row r="967">
      <c r="A967" s="12" t="str">
        <f>IFERROR(__xludf.DUMMYFUNCTION("""COMPUTED_VALUE"""),"Joe Danger: Special Edition")</f>
        <v>Joe Danger: Special Edition</v>
      </c>
      <c r="B967" s="13" t="str">
        <f>IFERROR(__xludf.DUMMYFUNCTION("""COMPUTED_VALUE"""),"Xbox")</f>
        <v>Xbox</v>
      </c>
      <c r="C967" s="14"/>
      <c r="D967" s="14" t="str">
        <f>IFERROR(__xludf.DUMMYFUNCTION("""COMPUTED_VALUE"""),"Removed")</f>
        <v>Removed</v>
      </c>
      <c r="E967" s="294">
        <f>IFERROR(__xludf.DUMMYFUNCTION("""COMPUTED_VALUE"""),42887.0)</f>
        <v>42887</v>
      </c>
      <c r="F967" s="15">
        <f>IFERROR(__xludf.DUMMYFUNCTION("""COMPUTED_VALUE"""),43678.0)</f>
        <v>43678</v>
      </c>
      <c r="G967" s="18">
        <f>IFERROR(__xludf.DUMMYFUNCTION("""COMPUTED_VALUE"""),26.0)</f>
        <v>26</v>
      </c>
      <c r="H967" s="131">
        <f>IFERROR(__xludf.DUMMYFUNCTION("""COMPUTED_VALUE"""),40337.0)</f>
        <v>40337</v>
      </c>
      <c r="I967" s="18">
        <f>IFERROR(__xludf.DUMMYFUNCTION("""COMPUTED_VALUE"""),6.980555555555555)</f>
        <v>6.980555556</v>
      </c>
      <c r="J967" s="22">
        <f>IFERROR(__xludf.DUMMYFUNCTION("""COMPUTED_VALUE"""),88.0)</f>
        <v>88</v>
      </c>
      <c r="K967" s="22">
        <f>IFERROR(__xludf.DUMMYFUNCTION("""COMPUTED_VALUE"""),6.0)</f>
        <v>6</v>
      </c>
      <c r="L967" s="26" t="str">
        <f>IFERROR(__xludf.DUMMYFUNCTION("""COMPUTED_VALUE"""),"Platformer")</f>
        <v>Platformer</v>
      </c>
    </row>
    <row r="968">
      <c r="A968" s="12" t="str">
        <f>IFERROR(__xludf.DUMMYFUNCTION("""COMPUTED_VALUE"""),"Monday Night Combat")</f>
        <v>Monday Night Combat</v>
      </c>
      <c r="B968" s="13" t="str">
        <f>IFERROR(__xludf.DUMMYFUNCTION("""COMPUTED_VALUE"""),"Xbox")</f>
        <v>Xbox</v>
      </c>
      <c r="C968" s="14"/>
      <c r="D968" s="14" t="str">
        <f>IFERROR(__xludf.DUMMYFUNCTION("""COMPUTED_VALUE"""),"Removed")</f>
        <v>Removed</v>
      </c>
      <c r="E968" s="294">
        <f>IFERROR(__xludf.DUMMYFUNCTION("""COMPUTED_VALUE"""),42887.0)</f>
        <v>42887</v>
      </c>
      <c r="F968" s="15">
        <f>IFERROR(__xludf.DUMMYFUNCTION("""COMPUTED_VALUE"""),43678.0)</f>
        <v>43678</v>
      </c>
      <c r="G968" s="18">
        <f>IFERROR(__xludf.DUMMYFUNCTION("""COMPUTED_VALUE"""),26.0)</f>
        <v>26</v>
      </c>
      <c r="H968" s="131">
        <f>IFERROR(__xludf.DUMMYFUNCTION("""COMPUTED_VALUE"""),40401.0)</f>
        <v>40401</v>
      </c>
      <c r="I968" s="18">
        <f>IFERROR(__xludf.DUMMYFUNCTION("""COMPUTED_VALUE"""),6.805555555555555)</f>
        <v>6.805555556</v>
      </c>
      <c r="J968" s="22">
        <f>IFERROR(__xludf.DUMMYFUNCTION("""COMPUTED_VALUE"""),79.0)</f>
        <v>79</v>
      </c>
      <c r="K968" s="22">
        <f>IFERROR(__xludf.DUMMYFUNCTION("""COMPUTED_VALUE"""),3.0)</f>
        <v>3</v>
      </c>
      <c r="L968" s="26" t="str">
        <f>IFERROR(__xludf.DUMMYFUNCTION("""COMPUTED_VALUE"""),"Shooter")</f>
        <v>Shooter</v>
      </c>
    </row>
    <row r="969">
      <c r="A969" s="12" t="str">
        <f>IFERROR(__xludf.DUMMYFUNCTION("""COMPUTED_VALUE"""),"N+")</f>
        <v>N+</v>
      </c>
      <c r="B969" s="13" t="str">
        <f>IFERROR(__xludf.DUMMYFUNCTION("""COMPUTED_VALUE"""),"Xbox")</f>
        <v>Xbox</v>
      </c>
      <c r="C969" s="14"/>
      <c r="D969" s="14" t="str">
        <f>IFERROR(__xludf.DUMMYFUNCTION("""COMPUTED_VALUE"""),"Removed")</f>
        <v>Removed</v>
      </c>
      <c r="E969" s="294">
        <f>IFERROR(__xludf.DUMMYFUNCTION("""COMPUTED_VALUE"""),42887.0)</f>
        <v>42887</v>
      </c>
      <c r="F969" s="15">
        <f>IFERROR(__xludf.DUMMYFUNCTION("""COMPUTED_VALUE"""),43678.0)</f>
        <v>43678</v>
      </c>
      <c r="G969" s="18">
        <f>IFERROR(__xludf.DUMMYFUNCTION("""COMPUTED_VALUE"""),26.0)</f>
        <v>26</v>
      </c>
      <c r="H969" s="131">
        <f>IFERROR(__xludf.DUMMYFUNCTION("""COMPUTED_VALUE"""),42213.0)</f>
        <v>42213</v>
      </c>
      <c r="I969" s="18">
        <f>IFERROR(__xludf.DUMMYFUNCTION("""COMPUTED_VALUE"""),1.8416666666666666)</f>
        <v>1.841666667</v>
      </c>
      <c r="J969" s="22">
        <f>IFERROR(__xludf.DUMMYFUNCTION("""COMPUTED_VALUE"""),83.0)</f>
        <v>83</v>
      </c>
      <c r="K969" s="22">
        <f>IFERROR(__xludf.DUMMYFUNCTION("""COMPUTED_VALUE"""),14.5)</f>
        <v>14.5</v>
      </c>
      <c r="L969" s="26" t="str">
        <f>IFERROR(__xludf.DUMMYFUNCTION("""COMPUTED_VALUE"""),"Platformer")</f>
        <v>Platformer</v>
      </c>
    </row>
    <row r="970">
      <c r="A970" s="12" t="str">
        <f>IFERROR(__xludf.DUMMYFUNCTION("""COMPUTED_VALUE"""),"Spelunky")</f>
        <v>Spelunky</v>
      </c>
      <c r="B970" s="13" t="str">
        <f>IFERROR(__xludf.DUMMYFUNCTION("""COMPUTED_VALUE"""),"Xbox")</f>
        <v>Xbox</v>
      </c>
      <c r="C970" s="14"/>
      <c r="D970" s="14" t="str">
        <f>IFERROR(__xludf.DUMMYFUNCTION("""COMPUTED_VALUE"""),"Removed")</f>
        <v>Removed</v>
      </c>
      <c r="E970" s="294">
        <f>IFERROR(__xludf.DUMMYFUNCTION("""COMPUTED_VALUE"""),42887.0)</f>
        <v>42887</v>
      </c>
      <c r="F970" s="15">
        <f>IFERROR(__xludf.DUMMYFUNCTION("""COMPUTED_VALUE"""),43678.0)</f>
        <v>43678</v>
      </c>
      <c r="G970" s="18">
        <f>IFERROR(__xludf.DUMMYFUNCTION("""COMPUTED_VALUE"""),26.0)</f>
        <v>26</v>
      </c>
      <c r="H970" s="131">
        <f>IFERROR(__xludf.DUMMYFUNCTION("""COMPUTED_VALUE"""),40057.0)</f>
        <v>40057</v>
      </c>
      <c r="I970" s="18">
        <f>IFERROR(__xludf.DUMMYFUNCTION("""COMPUTED_VALUE"""),7.75)</f>
        <v>7.75</v>
      </c>
      <c r="J970" s="22">
        <f>IFERROR(__xludf.DUMMYFUNCTION("""COMPUTED_VALUE"""),87.0)</f>
        <v>87</v>
      </c>
      <c r="K970" s="22">
        <f>IFERROR(__xludf.DUMMYFUNCTION("""COMPUTED_VALUE"""),17.5)</f>
        <v>17.5</v>
      </c>
      <c r="L970" s="26" t="str">
        <f>IFERROR(__xludf.DUMMYFUNCTION("""COMPUTED_VALUE"""),"Platformer")</f>
        <v>Platformer</v>
      </c>
    </row>
    <row r="971">
      <c r="A971" s="12" t="str">
        <f>IFERROR(__xludf.DUMMYFUNCTION("""COMPUTED_VALUE"""),"Toy Soldiers")</f>
        <v>Toy Soldiers</v>
      </c>
      <c r="B971" s="13" t="str">
        <f>IFERROR(__xludf.DUMMYFUNCTION("""COMPUTED_VALUE"""),"Xbox")</f>
        <v>Xbox</v>
      </c>
      <c r="C971" s="14"/>
      <c r="D971" s="14" t="str">
        <f>IFERROR(__xludf.DUMMYFUNCTION("""COMPUTED_VALUE"""),"Removed")</f>
        <v>Removed</v>
      </c>
      <c r="E971" s="294">
        <f>IFERROR(__xludf.DUMMYFUNCTION("""COMPUTED_VALUE"""),42887.0)</f>
        <v>42887</v>
      </c>
      <c r="F971" s="15">
        <f>IFERROR(__xludf.DUMMYFUNCTION("""COMPUTED_VALUE"""),43678.0)</f>
        <v>43678</v>
      </c>
      <c r="G971" s="18">
        <f>IFERROR(__xludf.DUMMYFUNCTION("""COMPUTED_VALUE"""),26.0)</f>
        <v>26</v>
      </c>
      <c r="H971" s="131">
        <f>IFERROR(__xludf.DUMMYFUNCTION("""COMPUTED_VALUE"""),40240.0)</f>
        <v>40240</v>
      </c>
      <c r="I971" s="18">
        <f>IFERROR(__xludf.DUMMYFUNCTION("""COMPUTED_VALUE"""),7.2444444444444445)</f>
        <v>7.244444444</v>
      </c>
      <c r="J971" s="22">
        <f>IFERROR(__xludf.DUMMYFUNCTION("""COMPUTED_VALUE"""),81.0)</f>
        <v>81</v>
      </c>
      <c r="K971" s="22">
        <f>IFERROR(__xludf.DUMMYFUNCTION("""COMPUTED_VALUE"""),6.0)</f>
        <v>6</v>
      </c>
      <c r="L971" s="26" t="str">
        <f>IFERROR(__xludf.DUMMYFUNCTION("""COMPUTED_VALUE"""),"Shooter")</f>
        <v>Shooter</v>
      </c>
    </row>
    <row r="972">
      <c r="A972" s="12" t="str">
        <f>IFERROR(__xludf.DUMMYFUNCTION("""COMPUTED_VALUE"""),"Toy Soldiers: Cold War")</f>
        <v>Toy Soldiers: Cold War</v>
      </c>
      <c r="B972" s="13" t="str">
        <f>IFERROR(__xludf.DUMMYFUNCTION("""COMPUTED_VALUE"""),"Xbox")</f>
        <v>Xbox</v>
      </c>
      <c r="C972" s="14"/>
      <c r="D972" s="14" t="str">
        <f>IFERROR(__xludf.DUMMYFUNCTION("""COMPUTED_VALUE"""),"Removed")</f>
        <v>Removed</v>
      </c>
      <c r="E972" s="294">
        <f>IFERROR(__xludf.DUMMYFUNCTION("""COMPUTED_VALUE"""),42887.0)</f>
        <v>42887</v>
      </c>
      <c r="F972" s="15">
        <f>IFERROR(__xludf.DUMMYFUNCTION("""COMPUTED_VALUE"""),43678.0)</f>
        <v>43678</v>
      </c>
      <c r="G972" s="18">
        <f>IFERROR(__xludf.DUMMYFUNCTION("""COMPUTED_VALUE"""),26.0)</f>
        <v>26</v>
      </c>
      <c r="H972" s="131">
        <f>IFERROR(__xludf.DUMMYFUNCTION("""COMPUTED_VALUE"""),40772.0)</f>
        <v>40772</v>
      </c>
      <c r="I972" s="18">
        <f>IFERROR(__xludf.DUMMYFUNCTION("""COMPUTED_VALUE"""),5.788888888888889)</f>
        <v>5.788888889</v>
      </c>
      <c r="J972" s="22">
        <f>IFERROR(__xludf.DUMMYFUNCTION("""COMPUTED_VALUE"""),81.0)</f>
        <v>81</v>
      </c>
      <c r="K972" s="22">
        <f>IFERROR(__xludf.DUMMYFUNCTION("""COMPUTED_VALUE"""),4.0)</f>
        <v>4</v>
      </c>
      <c r="L972" s="26" t="str">
        <f>IFERROR(__xludf.DUMMYFUNCTION("""COMPUTED_VALUE"""),"Shooter")</f>
        <v>Shooter</v>
      </c>
    </row>
    <row r="973">
      <c r="A973" s="12" t="str">
        <f>IFERROR(__xludf.DUMMYFUNCTION("""COMPUTED_VALUE"""),"Aftercharge")</f>
        <v>Aftercharge</v>
      </c>
      <c r="B973" s="13" t="str">
        <f>IFERROR(__xludf.DUMMYFUNCTION("""COMPUTED_VALUE"""),"Xbox")</f>
        <v>Xbox</v>
      </c>
      <c r="C973" s="14"/>
      <c r="D973" s="14" t="str">
        <f>IFERROR(__xludf.DUMMYFUNCTION("""COMPUTED_VALUE"""),"Removed")</f>
        <v>Removed</v>
      </c>
      <c r="E973" s="294">
        <f>IFERROR(__xludf.DUMMYFUNCTION("""COMPUTED_VALUE"""),43475.0)</f>
        <v>43475</v>
      </c>
      <c r="F973" s="15">
        <f>IFERROR(__xludf.DUMMYFUNCTION("""COMPUTED_VALUE"""),43647.0)</f>
        <v>43647</v>
      </c>
      <c r="G973" s="18">
        <f>IFERROR(__xludf.DUMMYFUNCTION("""COMPUTED_VALUE"""),5.699999999999999)</f>
        <v>5.7</v>
      </c>
      <c r="H973" s="131">
        <f>IFERROR(__xludf.DUMMYFUNCTION("""COMPUTED_VALUE"""),43475.0)</f>
        <v>43475</v>
      </c>
      <c r="I973" s="18">
        <f>IFERROR(__xludf.DUMMYFUNCTION("""COMPUTED_VALUE"""),0.0)</f>
        <v>0</v>
      </c>
      <c r="J973" s="22">
        <f>IFERROR(__xludf.DUMMYFUNCTION("""COMPUTED_VALUE"""),69.0)</f>
        <v>69</v>
      </c>
      <c r="K973" s="22"/>
      <c r="L973" s="26" t="str">
        <f>IFERROR(__xludf.DUMMYFUNCTION("""COMPUTED_VALUE"""),"Shooter")</f>
        <v>Shooter</v>
      </c>
    </row>
    <row r="974">
      <c r="A974" s="12" t="str">
        <f>IFERROR(__xludf.DUMMYFUNCTION("""COMPUTED_VALUE"""),"The LEGO Movie Videogame")</f>
        <v>The LEGO Movie Videogame</v>
      </c>
      <c r="B974" s="13" t="str">
        <f>IFERROR(__xludf.DUMMYFUNCTION("""COMPUTED_VALUE"""),"Xbox")</f>
        <v>Xbox</v>
      </c>
      <c r="C974" s="14"/>
      <c r="D974" s="14" t="str">
        <f>IFERROR(__xludf.DUMMYFUNCTION("""COMPUTED_VALUE"""),"Removed")</f>
        <v>Removed</v>
      </c>
      <c r="E974" s="294">
        <f>IFERROR(__xludf.DUMMYFUNCTION("""COMPUTED_VALUE"""),43466.0)</f>
        <v>43466</v>
      </c>
      <c r="F974" s="15">
        <f>IFERROR(__xludf.DUMMYFUNCTION("""COMPUTED_VALUE"""),43647.0)</f>
        <v>43647</v>
      </c>
      <c r="G974" s="18">
        <f>IFERROR(__xludf.DUMMYFUNCTION("""COMPUTED_VALUE"""),6.0)</f>
        <v>6</v>
      </c>
      <c r="H974" s="131">
        <f>IFERROR(__xludf.DUMMYFUNCTION("""COMPUTED_VALUE"""),41677.0)</f>
        <v>41677</v>
      </c>
      <c r="I974" s="18">
        <f>IFERROR(__xludf.DUMMYFUNCTION("""COMPUTED_VALUE"""),4.9)</f>
        <v>4.9</v>
      </c>
      <c r="J974" s="22">
        <f>IFERROR(__xludf.DUMMYFUNCTION("""COMPUTED_VALUE"""),69.0)</f>
        <v>69</v>
      </c>
      <c r="K974" s="22">
        <f>IFERROR(__xludf.DUMMYFUNCTION("""COMPUTED_VALUE"""),8.0)</f>
        <v>8</v>
      </c>
      <c r="L974" s="26" t="str">
        <f>IFERROR(__xludf.DUMMYFUNCTION("""COMPUTED_VALUE"""),"Action-Adventure")</f>
        <v>Action-Adventure</v>
      </c>
    </row>
    <row r="975">
      <c r="A975" s="12" t="str">
        <f>IFERROR(__xludf.DUMMYFUNCTION("""COMPUTED_VALUE"""),"Dandara")</f>
        <v>Dandara</v>
      </c>
      <c r="B975" s="13" t="str">
        <f>IFERROR(__xludf.DUMMYFUNCTION("""COMPUTED_VALUE"""),"Xbox")</f>
        <v>Xbox</v>
      </c>
      <c r="C975" s="14"/>
      <c r="D975" s="14" t="str">
        <f>IFERROR(__xludf.DUMMYFUNCTION("""COMPUTED_VALUE"""),"Removed")</f>
        <v>Removed</v>
      </c>
      <c r="E975" s="294">
        <f>IFERROR(__xludf.DUMMYFUNCTION("""COMPUTED_VALUE"""),43313.0)</f>
        <v>43313</v>
      </c>
      <c r="F975" s="15">
        <f>IFERROR(__xludf.DUMMYFUNCTION("""COMPUTED_VALUE"""),43647.0)</f>
        <v>43647</v>
      </c>
      <c r="G975" s="18">
        <f>IFERROR(__xludf.DUMMYFUNCTION("""COMPUTED_VALUE"""),11.0)</f>
        <v>11</v>
      </c>
      <c r="H975" s="131">
        <f>IFERROR(__xludf.DUMMYFUNCTION("""COMPUTED_VALUE"""),43137.0)</f>
        <v>43137</v>
      </c>
      <c r="I975" s="18">
        <f>IFERROR(__xludf.DUMMYFUNCTION("""COMPUTED_VALUE"""),0.4861111111111111)</f>
        <v>0.4861111111</v>
      </c>
      <c r="J975" s="22">
        <f>IFERROR(__xludf.DUMMYFUNCTION("""COMPUTED_VALUE"""),70.0)</f>
        <v>70</v>
      </c>
      <c r="K975" s="22">
        <f>IFERROR(__xludf.DUMMYFUNCTION("""COMPUTED_VALUE"""),6.5)</f>
        <v>6.5</v>
      </c>
      <c r="L975" s="26" t="str">
        <f>IFERROR(__xludf.DUMMYFUNCTION("""COMPUTED_VALUE"""),"Platformer")</f>
        <v>Platformer</v>
      </c>
    </row>
    <row r="976">
      <c r="A976" s="12" t="str">
        <f>IFERROR(__xludf.DUMMYFUNCTION("""COMPUTED_VALUE"""),"Dead Rising 2")</f>
        <v>Dead Rising 2</v>
      </c>
      <c r="B976" s="13" t="str">
        <f>IFERROR(__xludf.DUMMYFUNCTION("""COMPUTED_VALUE"""),"Xbox")</f>
        <v>Xbox</v>
      </c>
      <c r="C976" s="14"/>
      <c r="D976" s="14" t="str">
        <f>IFERROR(__xludf.DUMMYFUNCTION("""COMPUTED_VALUE"""),"Removed")</f>
        <v>Removed</v>
      </c>
      <c r="E976" s="294">
        <f>IFERROR(__xludf.DUMMYFUNCTION("""COMPUTED_VALUE"""),43313.0)</f>
        <v>43313</v>
      </c>
      <c r="F976" s="15">
        <f>IFERROR(__xludf.DUMMYFUNCTION("""COMPUTED_VALUE"""),43647.0)</f>
        <v>43647</v>
      </c>
      <c r="G976" s="18">
        <f>IFERROR(__xludf.DUMMYFUNCTION("""COMPUTED_VALUE"""),11.0)</f>
        <v>11</v>
      </c>
      <c r="H976" s="131">
        <f>IFERROR(__xludf.DUMMYFUNCTION("""COMPUTED_VALUE"""),40423.0)</f>
        <v>40423</v>
      </c>
      <c r="I976" s="18">
        <f>IFERROR(__xludf.DUMMYFUNCTION("""COMPUTED_VALUE"""),7.913888888888889)</f>
        <v>7.913888889</v>
      </c>
      <c r="J976" s="22">
        <f>IFERROR(__xludf.DUMMYFUNCTION("""COMPUTED_VALUE"""),79.0)</f>
        <v>79</v>
      </c>
      <c r="K976" s="22">
        <f>IFERROR(__xludf.DUMMYFUNCTION("""COMPUTED_VALUE"""),14.0)</f>
        <v>14</v>
      </c>
      <c r="L976" s="26" t="str">
        <f>IFERROR(__xludf.DUMMYFUNCTION("""COMPUTED_VALUE"""),"RPG")</f>
        <v>RPG</v>
      </c>
    </row>
    <row r="977">
      <c r="A977" s="12" t="str">
        <f>IFERROR(__xludf.DUMMYFUNCTION("""COMPUTED_VALUE"""),"HITMAN")</f>
        <v>HITMAN</v>
      </c>
      <c r="B977" s="13" t="str">
        <f>IFERROR(__xludf.DUMMYFUNCTION("""COMPUTED_VALUE"""),"Xbox")</f>
        <v>Xbox</v>
      </c>
      <c r="C977" s="14"/>
      <c r="D977" s="14" t="str">
        <f>IFERROR(__xludf.DUMMYFUNCTION("""COMPUTED_VALUE"""),"Removed")</f>
        <v>Removed</v>
      </c>
      <c r="E977" s="294">
        <f>IFERROR(__xludf.DUMMYFUNCTION("""COMPUTED_VALUE"""),43313.0)</f>
        <v>43313</v>
      </c>
      <c r="F977" s="15">
        <f>IFERROR(__xludf.DUMMYFUNCTION("""COMPUTED_VALUE"""),43647.0)</f>
        <v>43647</v>
      </c>
      <c r="G977" s="18">
        <f>IFERROR(__xludf.DUMMYFUNCTION("""COMPUTED_VALUE"""),11.0)</f>
        <v>11</v>
      </c>
      <c r="H977" s="131">
        <f>IFERROR(__xludf.DUMMYFUNCTION("""COMPUTED_VALUE"""),42440.0)</f>
        <v>42440</v>
      </c>
      <c r="I977" s="18">
        <f>IFERROR(__xludf.DUMMYFUNCTION("""COMPUTED_VALUE"""),2.388888888888889)</f>
        <v>2.388888889</v>
      </c>
      <c r="J977" s="22">
        <f>IFERROR(__xludf.DUMMYFUNCTION("""COMPUTED_VALUE"""),85.0)</f>
        <v>85</v>
      </c>
      <c r="K977" s="22">
        <f>IFERROR(__xludf.DUMMYFUNCTION("""COMPUTED_VALUE"""),10.5)</f>
        <v>10.5</v>
      </c>
      <c r="L977" s="26" t="str">
        <f>IFERROR(__xludf.DUMMYFUNCTION("""COMPUTED_VALUE"""),"Action-Adventure")</f>
        <v>Action-Adventure</v>
      </c>
    </row>
    <row r="978">
      <c r="A978" s="12" t="str">
        <f>IFERROR(__xludf.DUMMYFUNCTION("""COMPUTED_VALUE"""),"Metal Slug XX")</f>
        <v>Metal Slug XX</v>
      </c>
      <c r="B978" s="13" t="str">
        <f>IFERROR(__xludf.DUMMYFUNCTION("""COMPUTED_VALUE"""),"Xbox")</f>
        <v>Xbox</v>
      </c>
      <c r="C978" s="14"/>
      <c r="D978" s="14" t="str">
        <f>IFERROR(__xludf.DUMMYFUNCTION("""COMPUTED_VALUE"""),"Removed")</f>
        <v>Removed</v>
      </c>
      <c r="E978" s="294">
        <f>IFERROR(__xludf.DUMMYFUNCTION("""COMPUTED_VALUE"""),42948.0)</f>
        <v>42948</v>
      </c>
      <c r="F978" s="15">
        <f>IFERROR(__xludf.DUMMYFUNCTION("""COMPUTED_VALUE"""),43647.0)</f>
        <v>43647</v>
      </c>
      <c r="G978" s="18">
        <f>IFERROR(__xludf.DUMMYFUNCTION("""COMPUTED_VALUE"""),23.0)</f>
        <v>23</v>
      </c>
      <c r="H978" s="131">
        <f>IFERROR(__xludf.DUMMYFUNCTION("""COMPUTED_VALUE"""),40170.0)</f>
        <v>40170</v>
      </c>
      <c r="I978" s="18">
        <f>IFERROR(__xludf.DUMMYFUNCTION("""COMPUTED_VALUE"""),7.605555555555555)</f>
        <v>7.605555556</v>
      </c>
      <c r="J978" s="22">
        <f>IFERROR(__xludf.DUMMYFUNCTION("""COMPUTED_VALUE"""),61.0)</f>
        <v>61</v>
      </c>
      <c r="K978" s="22">
        <f>IFERROR(__xludf.DUMMYFUNCTION("""COMPUTED_VALUE"""),1.0)</f>
        <v>1</v>
      </c>
      <c r="L978" s="26" t="str">
        <f>IFERROR(__xludf.DUMMYFUNCTION("""COMPUTED_VALUE"""),"Shooter")</f>
        <v>Shooter</v>
      </c>
    </row>
    <row r="979">
      <c r="A979" s="12" t="str">
        <f>IFERROR(__xludf.DUMMYFUNCTION("""COMPUTED_VALUE"""),"Defense Grid: The Awakening")</f>
        <v>Defense Grid: The Awakening</v>
      </c>
      <c r="B979" s="13" t="str">
        <f>IFERROR(__xludf.DUMMYFUNCTION("""COMPUTED_VALUE"""),"Xbox")</f>
        <v>Xbox</v>
      </c>
      <c r="C979" s="14"/>
      <c r="D979" s="14" t="str">
        <f>IFERROR(__xludf.DUMMYFUNCTION("""COMPUTED_VALUE"""),"Removed")</f>
        <v>Removed</v>
      </c>
      <c r="E979" s="294">
        <f>IFERROR(__xludf.DUMMYFUNCTION("""COMPUTED_VALUE"""),42887.0)</f>
        <v>42887</v>
      </c>
      <c r="F979" s="15">
        <f>IFERROR(__xludf.DUMMYFUNCTION("""COMPUTED_VALUE"""),43647.0)</f>
        <v>43647</v>
      </c>
      <c r="G979" s="18">
        <f>IFERROR(__xludf.DUMMYFUNCTION("""COMPUTED_VALUE"""),25.0)</f>
        <v>25</v>
      </c>
      <c r="H979" s="131">
        <f>IFERROR(__xludf.DUMMYFUNCTION("""COMPUTED_VALUE"""),39790.0)</f>
        <v>39790</v>
      </c>
      <c r="I979" s="18">
        <f>IFERROR(__xludf.DUMMYFUNCTION("""COMPUTED_VALUE"""),8.480555555555556)</f>
        <v>8.480555556</v>
      </c>
      <c r="J979" s="22">
        <f>IFERROR(__xludf.DUMMYFUNCTION("""COMPUTED_VALUE"""),82.0)</f>
        <v>82</v>
      </c>
      <c r="K979" s="22">
        <f>IFERROR(__xludf.DUMMYFUNCTION("""COMPUTED_VALUE"""),11.0)</f>
        <v>11</v>
      </c>
      <c r="L979" s="26" t="str">
        <f>IFERROR(__xludf.DUMMYFUNCTION("""COMPUTED_VALUE"""),"Strategy")</f>
        <v>Strategy</v>
      </c>
    </row>
    <row r="980">
      <c r="A980" s="12" t="str">
        <f>IFERROR(__xludf.DUMMYFUNCTION("""COMPUTED_VALUE"""),"Hexic 2")</f>
        <v>Hexic 2</v>
      </c>
      <c r="B980" s="13" t="str">
        <f>IFERROR(__xludf.DUMMYFUNCTION("""COMPUTED_VALUE"""),"Xbox")</f>
        <v>Xbox</v>
      </c>
      <c r="C980" s="14"/>
      <c r="D980" s="14" t="str">
        <f>IFERROR(__xludf.DUMMYFUNCTION("""COMPUTED_VALUE"""),"Removed")</f>
        <v>Removed</v>
      </c>
      <c r="E980" s="294">
        <f>IFERROR(__xludf.DUMMYFUNCTION("""COMPUTED_VALUE"""),42887.0)</f>
        <v>42887</v>
      </c>
      <c r="F980" s="15">
        <f>IFERROR(__xludf.DUMMYFUNCTION("""COMPUTED_VALUE"""),43647.0)</f>
        <v>43647</v>
      </c>
      <c r="G980" s="18">
        <f>IFERROR(__xludf.DUMMYFUNCTION("""COMPUTED_VALUE"""),25.0)</f>
        <v>25</v>
      </c>
      <c r="H980" s="131">
        <f>IFERROR(__xludf.DUMMYFUNCTION("""COMPUTED_VALUE"""),39309.0)</f>
        <v>39309</v>
      </c>
      <c r="I980" s="18">
        <f>IFERROR(__xludf.DUMMYFUNCTION("""COMPUTED_VALUE"""),9.794444444444444)</f>
        <v>9.794444444</v>
      </c>
      <c r="J980" s="22">
        <f>IFERROR(__xludf.DUMMYFUNCTION("""COMPUTED_VALUE"""),72.0)</f>
        <v>72</v>
      </c>
      <c r="K980" s="22">
        <f>IFERROR(__xludf.DUMMYFUNCTION("""COMPUTED_VALUE"""),8.0)</f>
        <v>8</v>
      </c>
      <c r="L980" s="26" t="str">
        <f>IFERROR(__xludf.DUMMYFUNCTION("""COMPUTED_VALUE"""),"Puzzle")</f>
        <v>Puzzle</v>
      </c>
    </row>
    <row r="981">
      <c r="A981" s="12" t="str">
        <f>IFERROR(__xludf.DUMMYFUNCTION("""COMPUTED_VALUE"""),"Ultimate Marvel vs. Capcom 3")</f>
        <v>Ultimate Marvel vs. Capcom 3</v>
      </c>
      <c r="B981" s="13" t="str">
        <f>IFERROR(__xludf.DUMMYFUNCTION("""COMPUTED_VALUE"""),"Xbox")</f>
        <v>Xbox</v>
      </c>
      <c r="C981" s="14"/>
      <c r="D981" s="14" t="str">
        <f>IFERROR(__xludf.DUMMYFUNCTION("""COMPUTED_VALUE"""),"Removed")</f>
        <v>Removed</v>
      </c>
      <c r="E981" s="294">
        <f>IFERROR(__xludf.DUMMYFUNCTION("""COMPUTED_VALUE"""),43466.0)</f>
        <v>43466</v>
      </c>
      <c r="F981" s="15">
        <f>IFERROR(__xludf.DUMMYFUNCTION("""COMPUTED_VALUE"""),43617.0)</f>
        <v>43617</v>
      </c>
      <c r="G981" s="18">
        <f>IFERROR(__xludf.DUMMYFUNCTION("""COMPUTED_VALUE"""),5.0)</f>
        <v>5</v>
      </c>
      <c r="H981" s="131">
        <f>IFERROR(__xludf.DUMMYFUNCTION("""COMPUTED_VALUE"""),40862.0)</f>
        <v>40862</v>
      </c>
      <c r="I981" s="18">
        <f>IFERROR(__xludf.DUMMYFUNCTION("""COMPUTED_VALUE"""),7.127777777777778)</f>
        <v>7.127777778</v>
      </c>
      <c r="J981" s="22">
        <f>IFERROR(__xludf.DUMMYFUNCTION("""COMPUTED_VALUE"""),78.0)</f>
        <v>78</v>
      </c>
      <c r="K981" s="22">
        <f>IFERROR(__xludf.DUMMYFUNCTION("""COMPUTED_VALUE"""),1.0)</f>
        <v>1</v>
      </c>
      <c r="L981" s="26" t="str">
        <f>IFERROR(__xludf.DUMMYFUNCTION("""COMPUTED_VALUE"""),"Fighting")</f>
        <v>Fighting</v>
      </c>
    </row>
    <row r="982">
      <c r="A982" s="12" t="str">
        <f>IFERROR(__xludf.DUMMYFUNCTION("""COMPUTED_VALUE"""),"Shadow Complex: Remastered")</f>
        <v>Shadow Complex: Remastered</v>
      </c>
      <c r="B982" s="13" t="str">
        <f>IFERROR(__xludf.DUMMYFUNCTION("""COMPUTED_VALUE"""),"Xbox")</f>
        <v>Xbox</v>
      </c>
      <c r="C982" s="14"/>
      <c r="D982" s="14" t="str">
        <f>IFERROR(__xludf.DUMMYFUNCTION("""COMPUTED_VALUE"""),"Removed")</f>
        <v>Removed</v>
      </c>
      <c r="E982" s="294">
        <f>IFERROR(__xludf.DUMMYFUNCTION("""COMPUTED_VALUE"""),43282.0)</f>
        <v>43282</v>
      </c>
      <c r="F982" s="15">
        <f>IFERROR(__xludf.DUMMYFUNCTION("""COMPUTED_VALUE"""),43617.0)</f>
        <v>43617</v>
      </c>
      <c r="G982" s="18">
        <f>IFERROR(__xludf.DUMMYFUNCTION("""COMPUTED_VALUE"""),11.0)</f>
        <v>11</v>
      </c>
      <c r="H982" s="131">
        <f>IFERROR(__xludf.DUMMYFUNCTION("""COMPUTED_VALUE"""),40044.0)</f>
        <v>40044</v>
      </c>
      <c r="I982" s="18">
        <f>IFERROR(__xludf.DUMMYFUNCTION("""COMPUTED_VALUE"""),8.866666666666667)</f>
        <v>8.866666667</v>
      </c>
      <c r="J982" s="22">
        <f>IFERROR(__xludf.DUMMYFUNCTION("""COMPUTED_VALUE"""),80.0)</f>
        <v>80</v>
      </c>
      <c r="K982" s="22">
        <f>IFERROR(__xludf.DUMMYFUNCTION("""COMPUTED_VALUE"""),4.5)</f>
        <v>4.5</v>
      </c>
      <c r="L982" s="26" t="str">
        <f>IFERROR(__xludf.DUMMYFUNCTION("""COMPUTED_VALUE"""),"Shooter")</f>
        <v>Shooter</v>
      </c>
    </row>
    <row r="983">
      <c r="A983" s="12" t="str">
        <f>IFERROR(__xludf.DUMMYFUNCTION("""COMPUTED_VALUE"""),"Zombie Army Trilogy")</f>
        <v>Zombie Army Trilogy</v>
      </c>
      <c r="B983" s="13" t="str">
        <f>IFERROR(__xludf.DUMMYFUNCTION("""COMPUTED_VALUE"""),"Xbox")</f>
        <v>Xbox</v>
      </c>
      <c r="C983" s="14"/>
      <c r="D983" s="14" t="str">
        <f>IFERROR(__xludf.DUMMYFUNCTION("""COMPUTED_VALUE"""),"Removed")</f>
        <v>Removed</v>
      </c>
      <c r="E983" s="294">
        <f>IFERROR(__xludf.DUMMYFUNCTION("""COMPUTED_VALUE"""),43282.0)</f>
        <v>43282</v>
      </c>
      <c r="F983" s="15">
        <f>IFERROR(__xludf.DUMMYFUNCTION("""COMPUTED_VALUE"""),43617.0)</f>
        <v>43617</v>
      </c>
      <c r="G983" s="18">
        <f>IFERROR(__xludf.DUMMYFUNCTION("""COMPUTED_VALUE"""),11.0)</f>
        <v>11</v>
      </c>
      <c r="H983" s="131">
        <f>IFERROR(__xludf.DUMMYFUNCTION("""COMPUTED_VALUE"""),42069.0)</f>
        <v>42069</v>
      </c>
      <c r="I983" s="18">
        <f>IFERROR(__xludf.DUMMYFUNCTION("""COMPUTED_VALUE"""),3.3194444444444446)</f>
        <v>3.319444444</v>
      </c>
      <c r="J983" s="22">
        <f>IFERROR(__xludf.DUMMYFUNCTION("""COMPUTED_VALUE"""),62.0)</f>
        <v>62</v>
      </c>
      <c r="K983" s="22">
        <f>IFERROR(__xludf.DUMMYFUNCTION("""COMPUTED_VALUE"""),14.5)</f>
        <v>14.5</v>
      </c>
      <c r="L983" s="26" t="str">
        <f>IFERROR(__xludf.DUMMYFUNCTION("""COMPUTED_VALUE"""),"Shooter")</f>
        <v>Shooter</v>
      </c>
    </row>
    <row r="984">
      <c r="A984" s="12" t="str">
        <f>IFERROR(__xludf.DUMMYFUNCTION("""COMPUTED_VALUE"""),"Next Up Hero")</f>
        <v>Next Up Hero</v>
      </c>
      <c r="B984" s="13" t="str">
        <f>IFERROR(__xludf.DUMMYFUNCTION("""COMPUTED_VALUE"""),"Xbox")</f>
        <v>Xbox</v>
      </c>
      <c r="C984" s="14"/>
      <c r="D984" s="14" t="str">
        <f>IFERROR(__xludf.DUMMYFUNCTION("""COMPUTED_VALUE"""),"Removed")</f>
        <v>Removed</v>
      </c>
      <c r="E984" s="294">
        <f>IFERROR(__xludf.DUMMYFUNCTION("""COMPUTED_VALUE"""),43252.0)</f>
        <v>43252</v>
      </c>
      <c r="F984" s="15">
        <f>IFERROR(__xludf.DUMMYFUNCTION("""COMPUTED_VALUE"""),43617.0)</f>
        <v>43617</v>
      </c>
      <c r="G984" s="18">
        <f>IFERROR(__xludf.DUMMYFUNCTION("""COMPUTED_VALUE"""),12.0)</f>
        <v>12</v>
      </c>
      <c r="H984" s="131">
        <f>IFERROR(__xludf.DUMMYFUNCTION("""COMPUTED_VALUE"""),42923.0)</f>
        <v>42923</v>
      </c>
      <c r="I984" s="18">
        <f>IFERROR(__xludf.DUMMYFUNCTION("""COMPUTED_VALUE"""),0.9)</f>
        <v>0.9</v>
      </c>
      <c r="J984" s="22">
        <f>IFERROR(__xludf.DUMMYFUNCTION("""COMPUTED_VALUE"""),61.0)</f>
        <v>61</v>
      </c>
      <c r="K984" s="22">
        <f>IFERROR(__xludf.DUMMYFUNCTION("""COMPUTED_VALUE"""),15.0)</f>
        <v>15</v>
      </c>
      <c r="L984" s="26" t="str">
        <f>IFERROR(__xludf.DUMMYFUNCTION("""COMPUTED_VALUE"""),"Action-Adventure")</f>
        <v>Action-Adventure</v>
      </c>
    </row>
    <row r="985">
      <c r="A985" s="12" t="str">
        <f>IFERROR(__xludf.DUMMYFUNCTION("""COMPUTED_VALUE"""),"Devil May Cry 4: Special Edition")</f>
        <v>Devil May Cry 4: Special Edition</v>
      </c>
      <c r="B985" s="13" t="str">
        <f>IFERROR(__xludf.DUMMYFUNCTION("""COMPUTED_VALUE"""),"Xbox")</f>
        <v>Xbox</v>
      </c>
      <c r="C985" s="14"/>
      <c r="D985" s="14" t="str">
        <f>IFERROR(__xludf.DUMMYFUNCTION("""COMPUTED_VALUE"""),"Removed")</f>
        <v>Removed</v>
      </c>
      <c r="E985" s="294">
        <f>IFERROR(__xludf.DUMMYFUNCTION("""COMPUTED_VALUE"""),43101.0)</f>
        <v>43101</v>
      </c>
      <c r="F985" s="15">
        <f>IFERROR(__xludf.DUMMYFUNCTION("""COMPUTED_VALUE"""),43617.0)</f>
        <v>43617</v>
      </c>
      <c r="G985" s="18">
        <f>IFERROR(__xludf.DUMMYFUNCTION("""COMPUTED_VALUE"""),17.0)</f>
        <v>17</v>
      </c>
      <c r="H985" s="131">
        <f>IFERROR(__xludf.DUMMYFUNCTION("""COMPUTED_VALUE"""),42173.0)</f>
        <v>42173</v>
      </c>
      <c r="I985" s="18">
        <f>IFERROR(__xludf.DUMMYFUNCTION("""COMPUTED_VALUE"""),2.536111111111111)</f>
        <v>2.536111111</v>
      </c>
      <c r="J985" s="22">
        <f>IFERROR(__xludf.DUMMYFUNCTION("""COMPUTED_VALUE"""),76.0)</f>
        <v>76</v>
      </c>
      <c r="K985" s="22">
        <f>IFERROR(__xludf.DUMMYFUNCTION("""COMPUTED_VALUE"""),10.0)</f>
        <v>10</v>
      </c>
      <c r="L985" s="26" t="str">
        <f>IFERROR(__xludf.DUMMYFUNCTION("""COMPUTED_VALUE"""),"Action")</f>
        <v>Action</v>
      </c>
    </row>
    <row r="986">
      <c r="A986" s="12" t="str">
        <f>IFERROR(__xludf.DUMMYFUNCTION("""COMPUTED_VALUE"""),"LEGO Star Wars: The Complete Saga")</f>
        <v>LEGO Star Wars: The Complete Saga</v>
      </c>
      <c r="B986" s="13" t="str">
        <f>IFERROR(__xludf.DUMMYFUNCTION("""COMPUTED_VALUE"""),"Xbox")</f>
        <v>Xbox</v>
      </c>
      <c r="C986" s="14"/>
      <c r="D986" s="14" t="str">
        <f>IFERROR(__xludf.DUMMYFUNCTION("""COMPUTED_VALUE"""),"Removed")</f>
        <v>Removed</v>
      </c>
      <c r="E986" s="294">
        <f>IFERROR(__xludf.DUMMYFUNCTION("""COMPUTED_VALUE"""),43253.0)</f>
        <v>43253</v>
      </c>
      <c r="F986" s="15">
        <f>IFERROR(__xludf.DUMMYFUNCTION("""COMPUTED_VALUE"""),43586.0)</f>
        <v>43586</v>
      </c>
      <c r="G986" s="18">
        <f>IFERROR(__xludf.DUMMYFUNCTION("""COMPUTED_VALUE"""),10.966666666666667)</f>
        <v>10.96666667</v>
      </c>
      <c r="H986" s="131">
        <f>IFERROR(__xludf.DUMMYFUNCTION("""COMPUTED_VALUE"""),39392.0)</f>
        <v>39392</v>
      </c>
      <c r="I986" s="18">
        <f>IFERROR(__xludf.DUMMYFUNCTION("""COMPUTED_VALUE"""),10.572222222222223)</f>
        <v>10.57222222</v>
      </c>
      <c r="J986" s="22">
        <f>IFERROR(__xludf.DUMMYFUNCTION("""COMPUTED_VALUE"""),80.0)</f>
        <v>80</v>
      </c>
      <c r="K986" s="22">
        <f>IFERROR(__xludf.DUMMYFUNCTION("""COMPUTED_VALUE"""),14.0)</f>
        <v>14</v>
      </c>
      <c r="L986" s="26" t="str">
        <f>IFERROR(__xludf.DUMMYFUNCTION("""COMPUTED_VALUE"""),"Action-Adventure")</f>
        <v>Action-Adventure</v>
      </c>
    </row>
    <row r="987">
      <c r="A987" s="12" t="str">
        <f>IFERROR(__xludf.DUMMYFUNCTION("""COMPUTED_VALUE"""),"STAR WARS: Knights of the Old Republic")</f>
        <v>STAR WARS: Knights of the Old Republic</v>
      </c>
      <c r="B987" s="13" t="str">
        <f>IFERROR(__xludf.DUMMYFUNCTION("""COMPUTED_VALUE"""),"Xbox")</f>
        <v>Xbox</v>
      </c>
      <c r="C987" s="14"/>
      <c r="D987" s="14" t="str">
        <f>IFERROR(__xludf.DUMMYFUNCTION("""COMPUTED_VALUE"""),"Removed")</f>
        <v>Removed</v>
      </c>
      <c r="E987" s="294">
        <f>IFERROR(__xludf.DUMMYFUNCTION("""COMPUTED_VALUE"""),43253.0)</f>
        <v>43253</v>
      </c>
      <c r="F987" s="15">
        <f>IFERROR(__xludf.DUMMYFUNCTION("""COMPUTED_VALUE"""),43586.0)</f>
        <v>43586</v>
      </c>
      <c r="G987" s="18">
        <f>IFERROR(__xludf.DUMMYFUNCTION("""COMPUTED_VALUE"""),10.966666666666667)</f>
        <v>10.96666667</v>
      </c>
      <c r="H987" s="131">
        <f>IFERROR(__xludf.DUMMYFUNCTION("""COMPUTED_VALUE"""),37817.0)</f>
        <v>37817</v>
      </c>
      <c r="I987" s="18">
        <f>IFERROR(__xludf.DUMMYFUNCTION("""COMPUTED_VALUE"""),14.880555555555556)</f>
        <v>14.88055556</v>
      </c>
      <c r="J987" s="22">
        <f>IFERROR(__xludf.DUMMYFUNCTION("""COMPUTED_VALUE"""),94.0)</f>
        <v>94</v>
      </c>
      <c r="K987" s="22">
        <f>IFERROR(__xludf.DUMMYFUNCTION("""COMPUTED_VALUE"""),29.0)</f>
        <v>29</v>
      </c>
      <c r="L987" s="26" t="str">
        <f>IFERROR(__xludf.DUMMYFUNCTION("""COMPUTED_VALUE"""),"RPG")</f>
        <v>RPG</v>
      </c>
    </row>
    <row r="988">
      <c r="A988" s="12" t="str">
        <f>IFERROR(__xludf.DUMMYFUNCTION("""COMPUTED_VALUE"""),"MotoGP 17")</f>
        <v>MotoGP 17</v>
      </c>
      <c r="B988" s="13" t="str">
        <f>IFERROR(__xludf.DUMMYFUNCTION("""COMPUTED_VALUE"""),"Xbox")</f>
        <v>Xbox</v>
      </c>
      <c r="C988" s="14"/>
      <c r="D988" s="14" t="str">
        <f>IFERROR(__xludf.DUMMYFUNCTION("""COMPUTED_VALUE"""),"Removed")</f>
        <v>Removed</v>
      </c>
      <c r="E988" s="294">
        <f>IFERROR(__xludf.DUMMYFUNCTION("""COMPUTED_VALUE"""),43252.0)</f>
        <v>43252</v>
      </c>
      <c r="F988" s="15">
        <f>IFERROR(__xludf.DUMMYFUNCTION("""COMPUTED_VALUE"""),43586.0)</f>
        <v>43586</v>
      </c>
      <c r="G988" s="18">
        <f>IFERROR(__xludf.DUMMYFUNCTION("""COMPUTED_VALUE"""),11.0)</f>
        <v>11</v>
      </c>
      <c r="H988" s="131">
        <f>IFERROR(__xludf.DUMMYFUNCTION("""COMPUTED_VALUE"""),42927.0)</f>
        <v>42927</v>
      </c>
      <c r="I988" s="18">
        <f>IFERROR(__xludf.DUMMYFUNCTION("""COMPUTED_VALUE"""),0.8888888888888888)</f>
        <v>0.8888888889</v>
      </c>
      <c r="J988" s="22">
        <f>IFERROR(__xludf.DUMMYFUNCTION("""COMPUTED_VALUE"""),73.0)</f>
        <v>73</v>
      </c>
      <c r="K988" s="22">
        <f>IFERROR(__xludf.DUMMYFUNCTION("""COMPUTED_VALUE"""),50.5)</f>
        <v>50.5</v>
      </c>
      <c r="L988" s="26" t="str">
        <f>IFERROR(__xludf.DUMMYFUNCTION("""COMPUTED_VALUE"""),"Racing")</f>
        <v>Racing</v>
      </c>
    </row>
    <row r="989">
      <c r="A989" s="12" t="str">
        <f>IFERROR(__xludf.DUMMYFUNCTION("""COMPUTED_VALUE"""),"Star Wars: The Force Unleashed")</f>
        <v>Star Wars: The Force Unleashed</v>
      </c>
      <c r="B989" s="13" t="str">
        <f>IFERROR(__xludf.DUMMYFUNCTION("""COMPUTED_VALUE"""),"Xbox")</f>
        <v>Xbox</v>
      </c>
      <c r="C989" s="14"/>
      <c r="D989" s="14" t="str">
        <f>IFERROR(__xludf.DUMMYFUNCTION("""COMPUTED_VALUE"""),"Removed")</f>
        <v>Removed</v>
      </c>
      <c r="E989" s="294">
        <f>IFERROR(__xludf.DUMMYFUNCTION("""COMPUTED_VALUE"""),43252.0)</f>
        <v>43252</v>
      </c>
      <c r="F989" s="15">
        <f>IFERROR(__xludf.DUMMYFUNCTION("""COMPUTED_VALUE"""),43586.0)</f>
        <v>43586</v>
      </c>
      <c r="G989" s="18">
        <f>IFERROR(__xludf.DUMMYFUNCTION("""COMPUTED_VALUE"""),11.0)</f>
        <v>11</v>
      </c>
      <c r="H989" s="131">
        <f>IFERROR(__xludf.DUMMYFUNCTION("""COMPUTED_VALUE"""),39707.0)</f>
        <v>39707</v>
      </c>
      <c r="I989" s="18">
        <f>IFERROR(__xludf.DUMMYFUNCTION("""COMPUTED_VALUE"""),9.708333333333334)</f>
        <v>9.708333333</v>
      </c>
      <c r="J989" s="22">
        <f>IFERROR(__xludf.DUMMYFUNCTION("""COMPUTED_VALUE"""),73.0)</f>
        <v>73</v>
      </c>
      <c r="K989" s="22">
        <f>IFERROR(__xludf.DUMMYFUNCTION("""COMPUTED_VALUE"""),8.0)</f>
        <v>8</v>
      </c>
      <c r="L989" s="26" t="str">
        <f>IFERROR(__xludf.DUMMYFUNCTION("""COMPUTED_VALUE"""),"Action-Adventure")</f>
        <v>Action-Adventure</v>
      </c>
    </row>
    <row r="990">
      <c r="A990" s="12" t="str">
        <f>IFERROR(__xludf.DUMMYFUNCTION("""COMPUTED_VALUE"""),"Star Wars: The Force Unleashed II")</f>
        <v>Star Wars: The Force Unleashed II</v>
      </c>
      <c r="B990" s="13" t="str">
        <f>IFERROR(__xludf.DUMMYFUNCTION("""COMPUTED_VALUE"""),"Xbox")</f>
        <v>Xbox</v>
      </c>
      <c r="C990" s="14"/>
      <c r="D990" s="14" t="str">
        <f>IFERROR(__xludf.DUMMYFUNCTION("""COMPUTED_VALUE"""),"Removed")</f>
        <v>Removed</v>
      </c>
      <c r="E990" s="294">
        <f>IFERROR(__xludf.DUMMYFUNCTION("""COMPUTED_VALUE"""),43252.0)</f>
        <v>43252</v>
      </c>
      <c r="F990" s="15">
        <f>IFERROR(__xludf.DUMMYFUNCTION("""COMPUTED_VALUE"""),43586.0)</f>
        <v>43586</v>
      </c>
      <c r="G990" s="18">
        <f>IFERROR(__xludf.DUMMYFUNCTION("""COMPUTED_VALUE"""),11.0)</f>
        <v>11</v>
      </c>
      <c r="H990" s="131">
        <f>IFERROR(__xludf.DUMMYFUNCTION("""COMPUTED_VALUE"""),40477.0)</f>
        <v>40477</v>
      </c>
      <c r="I990" s="18">
        <f>IFERROR(__xludf.DUMMYFUNCTION("""COMPUTED_VALUE"""),7.597222222222222)</f>
        <v>7.597222222</v>
      </c>
      <c r="J990" s="22">
        <f>IFERROR(__xludf.DUMMYFUNCTION("""COMPUTED_VALUE"""),61.0)</f>
        <v>61</v>
      </c>
      <c r="K990" s="22">
        <f>IFERROR(__xludf.DUMMYFUNCTION("""COMPUTED_VALUE"""),5.5)</f>
        <v>5.5</v>
      </c>
      <c r="L990" s="26" t="str">
        <f>IFERROR(__xludf.DUMMYFUNCTION("""COMPUTED_VALUE"""),"Action-Adventure")</f>
        <v>Action-Adventure</v>
      </c>
    </row>
    <row r="991">
      <c r="A991" s="12" t="str">
        <f>IFERROR(__xludf.DUMMYFUNCTION("""COMPUTED_VALUE"""),"Laser League")</f>
        <v>Laser League</v>
      </c>
      <c r="B991" s="13" t="str">
        <f>IFERROR(__xludf.DUMMYFUNCTION("""COMPUTED_VALUE"""),"Xbox")</f>
        <v>Xbox</v>
      </c>
      <c r="C991" s="14"/>
      <c r="D991" s="14" t="str">
        <f>IFERROR(__xludf.DUMMYFUNCTION("""COMPUTED_VALUE"""),"Removed")</f>
        <v>Removed</v>
      </c>
      <c r="E991" s="294">
        <f>IFERROR(__xludf.DUMMYFUNCTION("""COMPUTED_VALUE"""),43230.0)</f>
        <v>43230</v>
      </c>
      <c r="F991" s="15">
        <f>IFERROR(__xludf.DUMMYFUNCTION("""COMPUTED_VALUE"""),43586.0)</f>
        <v>43586</v>
      </c>
      <c r="G991" s="18">
        <f>IFERROR(__xludf.DUMMYFUNCTION("""COMPUTED_VALUE"""),11.7)</f>
        <v>11.7</v>
      </c>
      <c r="H991" s="131">
        <f>IFERROR(__xludf.DUMMYFUNCTION("""COMPUTED_VALUE"""),43230.0)</f>
        <v>43230</v>
      </c>
      <c r="I991" s="18">
        <f>IFERROR(__xludf.DUMMYFUNCTION("""COMPUTED_VALUE"""),0.0)</f>
        <v>0</v>
      </c>
      <c r="J991" s="22">
        <f>IFERROR(__xludf.DUMMYFUNCTION("""COMPUTED_VALUE"""),81.0)</f>
        <v>81</v>
      </c>
      <c r="K991" s="22">
        <f>IFERROR(__xludf.DUMMYFUNCTION("""COMPUTED_VALUE"""),3.0)</f>
        <v>3</v>
      </c>
      <c r="L991" s="26" t="str">
        <f>IFERROR(__xludf.DUMMYFUNCTION("""COMPUTED_VALUE"""),"Sports")</f>
        <v>Sports</v>
      </c>
    </row>
    <row r="992">
      <c r="A992" s="12" t="str">
        <f>IFERROR(__xludf.DUMMYFUNCTION("""COMPUTED_VALUE"""),"Comic Jumper")</f>
        <v>Comic Jumper</v>
      </c>
      <c r="B992" s="13" t="str">
        <f>IFERROR(__xludf.DUMMYFUNCTION("""COMPUTED_VALUE"""),"Xbox")</f>
        <v>Xbox</v>
      </c>
      <c r="C992" s="14"/>
      <c r="D992" s="14" t="str">
        <f>IFERROR(__xludf.DUMMYFUNCTION("""COMPUTED_VALUE"""),"Removed")</f>
        <v>Removed</v>
      </c>
      <c r="E992" s="294">
        <f>IFERROR(__xludf.DUMMYFUNCTION("""COMPUTED_VALUE"""),42887.0)</f>
        <v>42887</v>
      </c>
      <c r="F992" s="15">
        <f>IFERROR(__xludf.DUMMYFUNCTION("""COMPUTED_VALUE"""),43586.0)</f>
        <v>43586</v>
      </c>
      <c r="G992" s="18">
        <f>IFERROR(__xludf.DUMMYFUNCTION("""COMPUTED_VALUE"""),23.0)</f>
        <v>23</v>
      </c>
      <c r="H992" s="131">
        <f>IFERROR(__xludf.DUMMYFUNCTION("""COMPUTED_VALUE"""),40457.0)</f>
        <v>40457</v>
      </c>
      <c r="I992" s="18">
        <f>IFERROR(__xludf.DUMMYFUNCTION("""COMPUTED_VALUE"""),6.652777777777778)</f>
        <v>6.652777778</v>
      </c>
      <c r="J992" s="22">
        <f>IFERROR(__xludf.DUMMYFUNCTION("""COMPUTED_VALUE"""),74.0)</f>
        <v>74</v>
      </c>
      <c r="K992" s="22">
        <f>IFERROR(__xludf.DUMMYFUNCTION("""COMPUTED_VALUE"""),5.5)</f>
        <v>5.5</v>
      </c>
      <c r="L992" s="26" t="str">
        <f>IFERROR(__xludf.DUMMYFUNCTION("""COMPUTED_VALUE"""),"Shooter")</f>
        <v>Shooter</v>
      </c>
    </row>
    <row r="993">
      <c r="A993" s="12" t="str">
        <f>IFERROR(__xludf.DUMMYFUNCTION("""COMPUTED_VALUE"""),"D4: Dark Dreams Don't Die")</f>
        <v>D4: Dark Dreams Don't Die</v>
      </c>
      <c r="B993" s="13" t="str">
        <f>IFERROR(__xludf.DUMMYFUNCTION("""COMPUTED_VALUE"""),"Xbox")</f>
        <v>Xbox</v>
      </c>
      <c r="C993" s="14"/>
      <c r="D993" s="14" t="str">
        <f>IFERROR(__xludf.DUMMYFUNCTION("""COMPUTED_VALUE"""),"Removed")</f>
        <v>Removed</v>
      </c>
      <c r="E993" s="294">
        <f>IFERROR(__xludf.DUMMYFUNCTION("""COMPUTED_VALUE"""),42887.0)</f>
        <v>42887</v>
      </c>
      <c r="F993" s="15">
        <f>IFERROR(__xludf.DUMMYFUNCTION("""COMPUTED_VALUE"""),43586.0)</f>
        <v>43586</v>
      </c>
      <c r="G993" s="18">
        <f>IFERROR(__xludf.DUMMYFUNCTION("""COMPUTED_VALUE"""),23.0)</f>
        <v>23</v>
      </c>
      <c r="H993" s="131">
        <f>IFERROR(__xludf.DUMMYFUNCTION("""COMPUTED_VALUE"""),41901.0)</f>
        <v>41901</v>
      </c>
      <c r="I993" s="18">
        <f>IFERROR(__xludf.DUMMYFUNCTION("""COMPUTED_VALUE"""),2.7)</f>
        <v>2.7</v>
      </c>
      <c r="J993" s="22">
        <f>IFERROR(__xludf.DUMMYFUNCTION("""COMPUTED_VALUE"""),76.0)</f>
        <v>76</v>
      </c>
      <c r="K993" s="22">
        <f>IFERROR(__xludf.DUMMYFUNCTION("""COMPUTED_VALUE"""),4.5)</f>
        <v>4.5</v>
      </c>
      <c r="L993" s="26" t="str">
        <f>IFERROR(__xludf.DUMMYFUNCTION("""COMPUTED_VALUE"""),"Adventure")</f>
        <v>Adventure</v>
      </c>
    </row>
    <row r="994">
      <c r="A994" s="12" t="str">
        <f>IFERROR(__xludf.DUMMYFUNCTION("""COMPUTED_VALUE"""),"DmC: Devil May Cry - Definitive Edition")</f>
        <v>DmC: Devil May Cry - Definitive Edition</v>
      </c>
      <c r="B994" s="13" t="str">
        <f>IFERROR(__xludf.DUMMYFUNCTION("""COMPUTED_VALUE"""),"Xbox")</f>
        <v>Xbox</v>
      </c>
      <c r="C994" s="14"/>
      <c r="D994" s="14" t="str">
        <f>IFERROR(__xludf.DUMMYFUNCTION("""COMPUTED_VALUE"""),"Removed")</f>
        <v>Removed</v>
      </c>
      <c r="E994" s="294">
        <f>IFERROR(__xludf.DUMMYFUNCTION("""COMPUTED_VALUE"""),42887.0)</f>
        <v>42887</v>
      </c>
      <c r="F994" s="15">
        <f>IFERROR(__xludf.DUMMYFUNCTION("""COMPUTED_VALUE"""),43586.0)</f>
        <v>43586</v>
      </c>
      <c r="G994" s="18">
        <f>IFERROR(__xludf.DUMMYFUNCTION("""COMPUTED_VALUE"""),23.0)</f>
        <v>23</v>
      </c>
      <c r="H994" s="131">
        <f>IFERROR(__xludf.DUMMYFUNCTION("""COMPUTED_VALUE"""),41289.0)</f>
        <v>41289</v>
      </c>
      <c r="I994" s="18">
        <f>IFERROR(__xludf.DUMMYFUNCTION("""COMPUTED_VALUE"""),4.377777777777778)</f>
        <v>4.377777778</v>
      </c>
      <c r="J994" s="22">
        <f>IFERROR(__xludf.DUMMYFUNCTION("""COMPUTED_VALUE"""),86.0)</f>
        <v>86</v>
      </c>
      <c r="K994" s="22">
        <f>IFERROR(__xludf.DUMMYFUNCTION("""COMPUTED_VALUE"""),9.0)</f>
        <v>9</v>
      </c>
      <c r="L994" s="26" t="str">
        <f>IFERROR(__xludf.DUMMYFUNCTION("""COMPUTED_VALUE"""),"Action-Adventure")</f>
        <v>Action-Adventure</v>
      </c>
    </row>
    <row r="995">
      <c r="A995" s="12" t="str">
        <f>IFERROR(__xludf.DUMMYFUNCTION("""COMPUTED_VALUE"""),"JumpJet Rex")</f>
        <v>JumpJet Rex</v>
      </c>
      <c r="B995" s="13" t="str">
        <f>IFERROR(__xludf.DUMMYFUNCTION("""COMPUTED_VALUE"""),"Xbox")</f>
        <v>Xbox</v>
      </c>
      <c r="C995" s="14"/>
      <c r="D995" s="14" t="str">
        <f>IFERROR(__xludf.DUMMYFUNCTION("""COMPUTED_VALUE"""),"Removed")</f>
        <v>Removed</v>
      </c>
      <c r="E995" s="294">
        <f>IFERROR(__xludf.DUMMYFUNCTION("""COMPUTED_VALUE"""),42887.0)</f>
        <v>42887</v>
      </c>
      <c r="F995" s="15">
        <f>IFERROR(__xludf.DUMMYFUNCTION("""COMPUTED_VALUE"""),43586.0)</f>
        <v>43586</v>
      </c>
      <c r="G995" s="18">
        <f>IFERROR(__xludf.DUMMYFUNCTION("""COMPUTED_VALUE"""),23.0)</f>
        <v>23</v>
      </c>
      <c r="H995" s="131">
        <f>IFERROR(__xludf.DUMMYFUNCTION("""COMPUTED_VALUE"""),42489.0)</f>
        <v>42489</v>
      </c>
      <c r="I995" s="18">
        <f>IFERROR(__xludf.DUMMYFUNCTION("""COMPUTED_VALUE"""),1.0888888888888888)</f>
        <v>1.088888889</v>
      </c>
      <c r="J995" s="22">
        <f>IFERROR(__xludf.DUMMYFUNCTION("""COMPUTED_VALUE"""),76.0)</f>
        <v>76</v>
      </c>
      <c r="K995" s="22">
        <f>IFERROR(__xludf.DUMMYFUNCTION("""COMPUTED_VALUE"""),3.0)</f>
        <v>3</v>
      </c>
      <c r="L995" s="26" t="str">
        <f>IFERROR(__xludf.DUMMYFUNCTION("""COMPUTED_VALUE"""),"Platformer")</f>
        <v>Platformer</v>
      </c>
    </row>
    <row r="996">
      <c r="A996" s="12" t="str">
        <f>IFERROR(__xludf.DUMMYFUNCTION("""COMPUTED_VALUE"""),"Knight Squad")</f>
        <v>Knight Squad</v>
      </c>
      <c r="B996" s="13" t="str">
        <f>IFERROR(__xludf.DUMMYFUNCTION("""COMPUTED_VALUE"""),"Xbox")</f>
        <v>Xbox</v>
      </c>
      <c r="C996" s="14"/>
      <c r="D996" s="14" t="str">
        <f>IFERROR(__xludf.DUMMYFUNCTION("""COMPUTED_VALUE"""),"Removed")</f>
        <v>Removed</v>
      </c>
      <c r="E996" s="294">
        <f>IFERROR(__xludf.DUMMYFUNCTION("""COMPUTED_VALUE"""),42887.0)</f>
        <v>42887</v>
      </c>
      <c r="F996" s="15">
        <f>IFERROR(__xludf.DUMMYFUNCTION("""COMPUTED_VALUE"""),43586.0)</f>
        <v>43586</v>
      </c>
      <c r="G996" s="18">
        <f>IFERROR(__xludf.DUMMYFUNCTION("""COMPUTED_VALUE"""),23.0)</f>
        <v>23</v>
      </c>
      <c r="H996" s="131">
        <f>IFERROR(__xludf.DUMMYFUNCTION("""COMPUTED_VALUE"""),42324.0)</f>
        <v>42324</v>
      </c>
      <c r="I996" s="18">
        <f>IFERROR(__xludf.DUMMYFUNCTION("""COMPUTED_VALUE"""),1.5416666666666667)</f>
        <v>1.541666667</v>
      </c>
      <c r="J996" s="22">
        <f>IFERROR(__xludf.DUMMYFUNCTION("""COMPUTED_VALUE"""),71.0)</f>
        <v>71</v>
      </c>
      <c r="K996" s="22">
        <f>IFERROR(__xludf.DUMMYFUNCTION("""COMPUTED_VALUE"""),1.0)</f>
        <v>1</v>
      </c>
      <c r="L996" s="26" t="str">
        <f>IFERROR(__xludf.DUMMYFUNCTION("""COMPUTED_VALUE"""),"Action")</f>
        <v>Action</v>
      </c>
    </row>
    <row r="997">
      <c r="A997" s="12" t="str">
        <f>IFERROR(__xludf.DUMMYFUNCTION("""COMPUTED_VALUE"""),"Layers of Fear")</f>
        <v>Layers of Fear</v>
      </c>
      <c r="B997" s="13" t="str">
        <f>IFERROR(__xludf.DUMMYFUNCTION("""COMPUTED_VALUE"""),"Xbox")</f>
        <v>Xbox</v>
      </c>
      <c r="C997" s="14"/>
      <c r="D997" s="14" t="str">
        <f>IFERROR(__xludf.DUMMYFUNCTION("""COMPUTED_VALUE"""),"Removed")</f>
        <v>Removed</v>
      </c>
      <c r="E997" s="294">
        <f>IFERROR(__xludf.DUMMYFUNCTION("""COMPUTED_VALUE"""),42887.0)</f>
        <v>42887</v>
      </c>
      <c r="F997" s="15">
        <f>IFERROR(__xludf.DUMMYFUNCTION("""COMPUTED_VALUE"""),43586.0)</f>
        <v>43586</v>
      </c>
      <c r="G997" s="18">
        <f>IFERROR(__xludf.DUMMYFUNCTION("""COMPUTED_VALUE"""),23.0)</f>
        <v>23</v>
      </c>
      <c r="H997" s="131">
        <f>IFERROR(__xludf.DUMMYFUNCTION("""COMPUTED_VALUE"""),42415.0)</f>
        <v>42415</v>
      </c>
      <c r="I997" s="18">
        <f>IFERROR(__xludf.DUMMYFUNCTION("""COMPUTED_VALUE"""),1.2944444444444445)</f>
        <v>1.294444444</v>
      </c>
      <c r="J997" s="22">
        <f>IFERROR(__xludf.DUMMYFUNCTION("""COMPUTED_VALUE"""),78.0)</f>
        <v>78</v>
      </c>
      <c r="K997" s="22">
        <f>IFERROR(__xludf.DUMMYFUNCTION("""COMPUTED_VALUE"""),3.5)</f>
        <v>3.5</v>
      </c>
      <c r="L997" s="26" t="str">
        <f>IFERROR(__xludf.DUMMYFUNCTION("""COMPUTED_VALUE"""),"Adventure")</f>
        <v>Adventure</v>
      </c>
    </row>
    <row r="998">
      <c r="A998" s="12" t="str">
        <f>IFERROR(__xludf.DUMMYFUNCTION("""COMPUTED_VALUE"""),"Mega Man Legacy Collection")</f>
        <v>Mega Man Legacy Collection</v>
      </c>
      <c r="B998" s="13" t="str">
        <f>IFERROR(__xludf.DUMMYFUNCTION("""COMPUTED_VALUE"""),"Xbox")</f>
        <v>Xbox</v>
      </c>
      <c r="C998" s="14"/>
      <c r="D998" s="14" t="str">
        <f>IFERROR(__xludf.DUMMYFUNCTION("""COMPUTED_VALUE"""),"Removed")</f>
        <v>Removed</v>
      </c>
      <c r="E998" s="294">
        <f>IFERROR(__xludf.DUMMYFUNCTION("""COMPUTED_VALUE"""),42887.0)</f>
        <v>42887</v>
      </c>
      <c r="F998" s="15">
        <f>IFERROR(__xludf.DUMMYFUNCTION("""COMPUTED_VALUE"""),43586.0)</f>
        <v>43586</v>
      </c>
      <c r="G998" s="18">
        <f>IFERROR(__xludf.DUMMYFUNCTION("""COMPUTED_VALUE"""),23.0)</f>
        <v>23</v>
      </c>
      <c r="H998" s="131">
        <f>IFERROR(__xludf.DUMMYFUNCTION("""COMPUTED_VALUE"""),42241.0)</f>
        <v>42241</v>
      </c>
      <c r="I998" s="18">
        <f>IFERROR(__xludf.DUMMYFUNCTION("""COMPUTED_VALUE"""),1.7666666666666666)</f>
        <v>1.766666667</v>
      </c>
      <c r="J998" s="22">
        <f>IFERROR(__xludf.DUMMYFUNCTION("""COMPUTED_VALUE"""),80.0)</f>
        <v>80</v>
      </c>
      <c r="K998" s="22">
        <f>IFERROR(__xludf.DUMMYFUNCTION("""COMPUTED_VALUE"""),20.0)</f>
        <v>20</v>
      </c>
      <c r="L998" s="26" t="str">
        <f>IFERROR(__xludf.DUMMYFUNCTION("""COMPUTED_VALUE"""),"Platformer")</f>
        <v>Platformer</v>
      </c>
    </row>
    <row r="999">
      <c r="A999" s="12" t="str">
        <f>IFERROR(__xludf.DUMMYFUNCTION("""COMPUTED_VALUE"""),"Ms. Splosion Man")</f>
        <v>Ms. Splosion Man</v>
      </c>
      <c r="B999" s="13" t="str">
        <f>IFERROR(__xludf.DUMMYFUNCTION("""COMPUTED_VALUE"""),"Xbox")</f>
        <v>Xbox</v>
      </c>
      <c r="C999" s="14"/>
      <c r="D999" s="14" t="str">
        <f>IFERROR(__xludf.DUMMYFUNCTION("""COMPUTED_VALUE"""),"Removed")</f>
        <v>Removed</v>
      </c>
      <c r="E999" s="294">
        <f>IFERROR(__xludf.DUMMYFUNCTION("""COMPUTED_VALUE"""),42887.0)</f>
        <v>42887</v>
      </c>
      <c r="F999" s="15">
        <f>IFERROR(__xludf.DUMMYFUNCTION("""COMPUTED_VALUE"""),43586.0)</f>
        <v>43586</v>
      </c>
      <c r="G999" s="18">
        <f>IFERROR(__xludf.DUMMYFUNCTION("""COMPUTED_VALUE"""),23.0)</f>
        <v>23</v>
      </c>
      <c r="H999" s="131">
        <f>IFERROR(__xludf.DUMMYFUNCTION("""COMPUTED_VALUE"""),40737.0)</f>
        <v>40737</v>
      </c>
      <c r="I999" s="18">
        <f>IFERROR(__xludf.DUMMYFUNCTION("""COMPUTED_VALUE"""),5.883333333333334)</f>
        <v>5.883333333</v>
      </c>
      <c r="J999" s="22">
        <f>IFERROR(__xludf.DUMMYFUNCTION("""COMPUTED_VALUE"""),83.0)</f>
        <v>83</v>
      </c>
      <c r="K999" s="22">
        <f>IFERROR(__xludf.DUMMYFUNCTION("""COMPUTED_VALUE"""),8.5)</f>
        <v>8.5</v>
      </c>
      <c r="L999" s="26" t="str">
        <f>IFERROR(__xludf.DUMMYFUNCTION("""COMPUTED_VALUE"""),"Platformer")</f>
        <v>Platformer</v>
      </c>
    </row>
    <row r="1000">
      <c r="A1000" s="12" t="str">
        <f>IFERROR(__xludf.DUMMYFUNCTION("""COMPUTED_VALUE"""),"Shantae and the Pirate's Curse")</f>
        <v>Shantae and the Pirate's Curse</v>
      </c>
      <c r="B1000" s="13" t="str">
        <f>IFERROR(__xludf.DUMMYFUNCTION("""COMPUTED_VALUE"""),"Xbox")</f>
        <v>Xbox</v>
      </c>
      <c r="C1000" s="14"/>
      <c r="D1000" s="14" t="str">
        <f>IFERROR(__xludf.DUMMYFUNCTION("""COMPUTED_VALUE"""),"Removed")</f>
        <v>Removed</v>
      </c>
      <c r="E1000" s="294">
        <f>IFERROR(__xludf.DUMMYFUNCTION("""COMPUTED_VALUE"""),42887.0)</f>
        <v>42887</v>
      </c>
      <c r="F1000" s="15">
        <f>IFERROR(__xludf.DUMMYFUNCTION("""COMPUTED_VALUE"""),43586.0)</f>
        <v>43586</v>
      </c>
      <c r="G1000" s="18">
        <f>IFERROR(__xludf.DUMMYFUNCTION("""COMPUTED_VALUE"""),23.0)</f>
        <v>23</v>
      </c>
      <c r="H1000" s="131">
        <f>IFERROR(__xludf.DUMMYFUNCTION("""COMPUTED_VALUE"""),41935.0)</f>
        <v>41935</v>
      </c>
      <c r="I1000" s="18">
        <f>IFERROR(__xludf.DUMMYFUNCTION("""COMPUTED_VALUE"""),2.6055555555555556)</f>
        <v>2.605555556</v>
      </c>
      <c r="J1000" s="22">
        <f>IFERROR(__xludf.DUMMYFUNCTION("""COMPUTED_VALUE"""),79.0)</f>
        <v>79</v>
      </c>
      <c r="K1000" s="22">
        <f>IFERROR(__xludf.DUMMYFUNCTION("""COMPUTED_VALUE"""),8.0)</f>
        <v>8</v>
      </c>
      <c r="L1000" s="26" t="str">
        <f>IFERROR(__xludf.DUMMYFUNCTION("""COMPUTED_VALUE"""),"Platformer")</f>
        <v>Platformer</v>
      </c>
    </row>
    <row r="1001">
      <c r="A1001" s="12" t="str">
        <f>IFERROR(__xludf.DUMMYFUNCTION("""COMPUTED_VALUE"""),"Super Mega Baseball: Extra Innings")</f>
        <v>Super Mega Baseball: Extra Innings</v>
      </c>
      <c r="B1001" s="13" t="str">
        <f>IFERROR(__xludf.DUMMYFUNCTION("""COMPUTED_VALUE"""),"Xbox")</f>
        <v>Xbox</v>
      </c>
      <c r="C1001" s="14"/>
      <c r="D1001" s="14" t="str">
        <f>IFERROR(__xludf.DUMMYFUNCTION("""COMPUTED_VALUE"""),"Removed")</f>
        <v>Removed</v>
      </c>
      <c r="E1001" s="294">
        <f>IFERROR(__xludf.DUMMYFUNCTION("""COMPUTED_VALUE"""),42887.0)</f>
        <v>42887</v>
      </c>
      <c r="F1001" s="15">
        <f>IFERROR(__xludf.DUMMYFUNCTION("""COMPUTED_VALUE"""),43586.0)</f>
        <v>43586</v>
      </c>
      <c r="G1001" s="18">
        <f>IFERROR(__xludf.DUMMYFUNCTION("""COMPUTED_VALUE"""),23.0)</f>
        <v>23</v>
      </c>
      <c r="H1001" s="131">
        <f>IFERROR(__xludf.DUMMYFUNCTION("""COMPUTED_VALUE"""),42230.0)</f>
        <v>42230</v>
      </c>
      <c r="I1001" s="18">
        <f>IFERROR(__xludf.DUMMYFUNCTION("""COMPUTED_VALUE"""),1.7972222222222223)</f>
        <v>1.797222222</v>
      </c>
      <c r="J1001" s="22">
        <f>IFERROR(__xludf.DUMMYFUNCTION("""COMPUTED_VALUE"""),80.0)</f>
        <v>80</v>
      </c>
      <c r="K1001" s="22">
        <f>IFERROR(__xludf.DUMMYFUNCTION("""COMPUTED_VALUE"""),10.5)</f>
        <v>10.5</v>
      </c>
      <c r="L1001" s="26" t="str">
        <f>IFERROR(__xludf.DUMMYFUNCTION("""COMPUTED_VALUE"""),"Baseball")</f>
        <v>Baseball</v>
      </c>
    </row>
    <row r="1002">
      <c r="A1002" s="12" t="str">
        <f>IFERROR(__xludf.DUMMYFUNCTION("""COMPUTED_VALUE"""),"Super Time Force")</f>
        <v>Super Time Force</v>
      </c>
      <c r="B1002" s="13" t="str">
        <f>IFERROR(__xludf.DUMMYFUNCTION("""COMPUTED_VALUE"""),"Xbox")</f>
        <v>Xbox</v>
      </c>
      <c r="C1002" s="14"/>
      <c r="D1002" s="14" t="str">
        <f>IFERROR(__xludf.DUMMYFUNCTION("""COMPUTED_VALUE"""),"Removed")</f>
        <v>Removed</v>
      </c>
      <c r="E1002" s="294">
        <f>IFERROR(__xludf.DUMMYFUNCTION("""COMPUTED_VALUE"""),42887.0)</f>
        <v>42887</v>
      </c>
      <c r="F1002" s="15">
        <f>IFERROR(__xludf.DUMMYFUNCTION("""COMPUTED_VALUE"""),43586.0)</f>
        <v>43586</v>
      </c>
      <c r="G1002" s="18">
        <f>IFERROR(__xludf.DUMMYFUNCTION("""COMPUTED_VALUE"""),23.0)</f>
        <v>23</v>
      </c>
      <c r="H1002" s="131">
        <f>IFERROR(__xludf.DUMMYFUNCTION("""COMPUTED_VALUE"""),41773.0)</f>
        <v>41773</v>
      </c>
      <c r="I1002" s="18">
        <f>IFERROR(__xludf.DUMMYFUNCTION("""COMPUTED_VALUE"""),3.047222222222222)</f>
        <v>3.047222222</v>
      </c>
      <c r="J1002" s="22">
        <f>IFERROR(__xludf.DUMMYFUNCTION("""COMPUTED_VALUE"""),80.0)</f>
        <v>80</v>
      </c>
      <c r="K1002" s="22">
        <f>IFERROR(__xludf.DUMMYFUNCTION("""COMPUTED_VALUE"""),4.0)</f>
        <v>4</v>
      </c>
      <c r="L1002" s="26" t="str">
        <f>IFERROR(__xludf.DUMMYFUNCTION("""COMPUTED_VALUE"""),"Platformer")</f>
        <v>Platformer</v>
      </c>
    </row>
    <row r="1003">
      <c r="A1003" s="12" t="str">
        <f>IFERROR(__xludf.DUMMYFUNCTION("""COMPUTED_VALUE"""),"OlliOlli2: XL Edition")</f>
        <v>OlliOlli2: XL Edition</v>
      </c>
      <c r="B1003" s="13" t="str">
        <f>IFERROR(__xludf.DUMMYFUNCTION("""COMPUTED_VALUE"""),"Xbox")</f>
        <v>Xbox</v>
      </c>
      <c r="C1003" s="14"/>
      <c r="D1003" s="14" t="str">
        <f>IFERROR(__xludf.DUMMYFUNCTION("""COMPUTED_VALUE"""),"Removed")</f>
        <v>Removed</v>
      </c>
      <c r="E1003" s="294">
        <f>IFERROR(__xludf.DUMMYFUNCTION("""COMPUTED_VALUE"""),43405.0)</f>
        <v>43405</v>
      </c>
      <c r="F1003" s="15">
        <f>IFERROR(__xludf.DUMMYFUNCTION("""COMPUTED_VALUE"""),43556.0)</f>
        <v>43556</v>
      </c>
      <c r="G1003" s="18">
        <f>IFERROR(__xludf.DUMMYFUNCTION("""COMPUTED_VALUE"""),5.0)</f>
        <v>5</v>
      </c>
      <c r="H1003" s="131">
        <f>IFERROR(__xludf.DUMMYFUNCTION("""COMPUTED_VALUE"""),42591.0)</f>
        <v>42591</v>
      </c>
      <c r="I1003" s="18">
        <f>IFERROR(__xludf.DUMMYFUNCTION("""COMPUTED_VALUE"""),2.227777777777778)</f>
        <v>2.227777778</v>
      </c>
      <c r="J1003" s="22">
        <f>IFERROR(__xludf.DUMMYFUNCTION("""COMPUTED_VALUE"""),83.0)</f>
        <v>83</v>
      </c>
      <c r="K1003" s="22">
        <f>IFERROR(__xludf.DUMMYFUNCTION("""COMPUTED_VALUE"""),3.0)</f>
        <v>3</v>
      </c>
      <c r="L1003" s="26" t="str">
        <f>IFERROR(__xludf.DUMMYFUNCTION("""COMPUTED_VALUE"""),"Skateboarding")</f>
        <v>Skateboarding</v>
      </c>
    </row>
    <row r="1004">
      <c r="A1004" s="12" t="str">
        <f>IFERROR(__xludf.DUMMYFUNCTION("""COMPUTED_VALUE"""),"Sheltered")</f>
        <v>Sheltered</v>
      </c>
      <c r="B1004" s="13" t="str">
        <f>IFERROR(__xludf.DUMMYFUNCTION("""COMPUTED_VALUE"""),"Xbox")</f>
        <v>Xbox</v>
      </c>
      <c r="C1004" s="14"/>
      <c r="D1004" s="14" t="str">
        <f>IFERROR(__xludf.DUMMYFUNCTION("""COMPUTED_VALUE"""),"Removed")</f>
        <v>Removed</v>
      </c>
      <c r="E1004" s="294">
        <f>IFERROR(__xludf.DUMMYFUNCTION("""COMPUTED_VALUE"""),43405.0)</f>
        <v>43405</v>
      </c>
      <c r="F1004" s="15">
        <f>IFERROR(__xludf.DUMMYFUNCTION("""COMPUTED_VALUE"""),43556.0)</f>
        <v>43556</v>
      </c>
      <c r="G1004" s="18">
        <f>IFERROR(__xludf.DUMMYFUNCTION("""COMPUTED_VALUE"""),5.0)</f>
        <v>5</v>
      </c>
      <c r="H1004" s="131">
        <f>IFERROR(__xludf.DUMMYFUNCTION("""COMPUTED_VALUE"""),42444.0)</f>
        <v>42444</v>
      </c>
      <c r="I1004" s="18">
        <f>IFERROR(__xludf.DUMMYFUNCTION("""COMPUTED_VALUE"""),2.6277777777777778)</f>
        <v>2.627777778</v>
      </c>
      <c r="J1004" s="22">
        <f>IFERROR(__xludf.DUMMYFUNCTION("""COMPUTED_VALUE"""),69.0)</f>
        <v>69</v>
      </c>
      <c r="K1004" s="22">
        <f>IFERROR(__xludf.DUMMYFUNCTION("""COMPUTED_VALUE"""),20.0)</f>
        <v>20</v>
      </c>
      <c r="L1004" s="26" t="str">
        <f>IFERROR(__xludf.DUMMYFUNCTION("""COMPUTED_VALUE"""),"RPG")</f>
        <v>RPG</v>
      </c>
    </row>
    <row r="1005">
      <c r="A1005" s="12" t="str">
        <f>IFERROR(__xludf.DUMMYFUNCTION("""COMPUTED_VALUE"""),"Outlast")</f>
        <v>Outlast</v>
      </c>
      <c r="B1005" s="13" t="str">
        <f>IFERROR(__xludf.DUMMYFUNCTION("""COMPUTED_VALUE"""),"Xbox")</f>
        <v>Xbox</v>
      </c>
      <c r="C1005" s="14"/>
      <c r="D1005" s="14" t="str">
        <f>IFERROR(__xludf.DUMMYFUNCTION("""COMPUTED_VALUE"""),"Removed")</f>
        <v>Removed</v>
      </c>
      <c r="E1005" s="294">
        <f>IFERROR(__xludf.DUMMYFUNCTION("""COMPUTED_VALUE"""),43374.0)</f>
        <v>43374</v>
      </c>
      <c r="F1005" s="15">
        <f>IFERROR(__xludf.DUMMYFUNCTION("""COMPUTED_VALUE"""),43556.0)</f>
        <v>43556</v>
      </c>
      <c r="G1005" s="18">
        <f>IFERROR(__xludf.DUMMYFUNCTION("""COMPUTED_VALUE"""),6.0)</f>
        <v>6</v>
      </c>
      <c r="H1005" s="131">
        <f>IFERROR(__xludf.DUMMYFUNCTION("""COMPUTED_VALUE"""),41521.0)</f>
        <v>41521</v>
      </c>
      <c r="I1005" s="18">
        <f>IFERROR(__xludf.DUMMYFUNCTION("""COMPUTED_VALUE"""),5.075)</f>
        <v>5.075</v>
      </c>
      <c r="J1005" s="22">
        <f>IFERROR(__xludf.DUMMYFUNCTION("""COMPUTED_VALUE"""),80.0)</f>
        <v>80</v>
      </c>
      <c r="K1005" s="22">
        <f>IFERROR(__xludf.DUMMYFUNCTION("""COMPUTED_VALUE"""),5.0)</f>
        <v>5</v>
      </c>
      <c r="L1005" s="26" t="str">
        <f>IFERROR(__xludf.DUMMYFUNCTION("""COMPUTED_VALUE"""),"Adventure")</f>
        <v>Adventure</v>
      </c>
    </row>
    <row r="1006">
      <c r="A1006" s="12" t="str">
        <f>IFERROR(__xludf.DUMMYFUNCTION("""COMPUTED_VALUE"""),"Homefront: The Revolution")</f>
        <v>Homefront: The Revolution</v>
      </c>
      <c r="B1006" s="13" t="str">
        <f>IFERROR(__xludf.DUMMYFUNCTION("""COMPUTED_VALUE"""),"Xbox")</f>
        <v>Xbox</v>
      </c>
      <c r="C1006" s="14"/>
      <c r="D1006" s="14" t="str">
        <f>IFERROR(__xludf.DUMMYFUNCTION("""COMPUTED_VALUE"""),"Removed")</f>
        <v>Removed</v>
      </c>
      <c r="E1006" s="294">
        <f>IFERROR(__xludf.DUMMYFUNCTION("""COMPUTED_VALUE"""),43221.0)</f>
        <v>43221</v>
      </c>
      <c r="F1006" s="15">
        <f>IFERROR(__xludf.DUMMYFUNCTION("""COMPUTED_VALUE"""),43556.0)</f>
        <v>43556</v>
      </c>
      <c r="G1006" s="18">
        <f>IFERROR(__xludf.DUMMYFUNCTION("""COMPUTED_VALUE"""),11.0)</f>
        <v>11</v>
      </c>
      <c r="H1006" s="131">
        <f>IFERROR(__xludf.DUMMYFUNCTION("""COMPUTED_VALUE"""),42507.0)</f>
        <v>42507</v>
      </c>
      <c r="I1006" s="18">
        <f>IFERROR(__xludf.DUMMYFUNCTION("""COMPUTED_VALUE"""),1.9555555555555555)</f>
        <v>1.955555556</v>
      </c>
      <c r="J1006" s="22">
        <f>IFERROR(__xludf.DUMMYFUNCTION("""COMPUTED_VALUE"""),49.0)</f>
        <v>49</v>
      </c>
      <c r="K1006" s="22">
        <f>IFERROR(__xludf.DUMMYFUNCTION("""COMPUTED_VALUE"""),12.0)</f>
        <v>12</v>
      </c>
      <c r="L1006" s="26" t="str">
        <f>IFERROR(__xludf.DUMMYFUNCTION("""COMPUTED_VALUE"""),"Shooter")</f>
        <v>Shooter</v>
      </c>
    </row>
    <row r="1007">
      <c r="A1007" s="12" t="str">
        <f>IFERROR(__xludf.DUMMYFUNCTION("""COMPUTED_VALUE"""),"Sonic &amp; Knuckles")</f>
        <v>Sonic &amp; Knuckles</v>
      </c>
      <c r="B1007" s="13" t="str">
        <f>IFERROR(__xludf.DUMMYFUNCTION("""COMPUTED_VALUE"""),"Xbox")</f>
        <v>Xbox</v>
      </c>
      <c r="C1007" s="14"/>
      <c r="D1007" s="14" t="str">
        <f>IFERROR(__xludf.DUMMYFUNCTION("""COMPUTED_VALUE"""),"Removed")</f>
        <v>Removed</v>
      </c>
      <c r="E1007" s="294">
        <f>IFERROR(__xludf.DUMMYFUNCTION("""COMPUTED_VALUE"""),43221.0)</f>
        <v>43221</v>
      </c>
      <c r="F1007" s="15">
        <f>IFERROR(__xludf.DUMMYFUNCTION("""COMPUTED_VALUE"""),43556.0)</f>
        <v>43556</v>
      </c>
      <c r="G1007" s="18">
        <f>IFERROR(__xludf.DUMMYFUNCTION("""COMPUTED_VALUE"""),11.0)</f>
        <v>11</v>
      </c>
      <c r="H1007" s="131">
        <f>IFERROR(__xludf.DUMMYFUNCTION("""COMPUTED_VALUE"""),42962.0)</f>
        <v>42962</v>
      </c>
      <c r="I1007" s="18">
        <f>IFERROR(__xludf.DUMMYFUNCTION("""COMPUTED_VALUE"""),0.7111111111111111)</f>
        <v>0.7111111111</v>
      </c>
      <c r="J1007" s="22">
        <f>IFERROR(__xludf.DUMMYFUNCTION("""COMPUTED_VALUE"""),69.0)</f>
        <v>69</v>
      </c>
      <c r="K1007" s="22">
        <f>IFERROR(__xludf.DUMMYFUNCTION("""COMPUTED_VALUE"""),3.0)</f>
        <v>3</v>
      </c>
      <c r="L1007" s="26" t="str">
        <f>IFERROR(__xludf.DUMMYFUNCTION("""COMPUTED_VALUE"""),"Platformer")</f>
        <v>Platformer</v>
      </c>
    </row>
    <row r="1008">
      <c r="A1008" s="12" t="str">
        <f>IFERROR(__xludf.DUMMYFUNCTION("""COMPUTED_VALUE"""),"Unmechanical: Extended Edition")</f>
        <v>Unmechanical: Extended Edition</v>
      </c>
      <c r="B1008" s="13" t="str">
        <f>IFERROR(__xludf.DUMMYFUNCTION("""COMPUTED_VALUE"""),"Xbox")</f>
        <v>Xbox</v>
      </c>
      <c r="C1008" s="14"/>
      <c r="D1008" s="14" t="str">
        <f>IFERROR(__xludf.DUMMYFUNCTION("""COMPUTED_VALUE"""),"Removed")</f>
        <v>Removed</v>
      </c>
      <c r="E1008" s="294">
        <f>IFERROR(__xludf.DUMMYFUNCTION("""COMPUTED_VALUE"""),43221.0)</f>
        <v>43221</v>
      </c>
      <c r="F1008" s="15">
        <f>IFERROR(__xludf.DUMMYFUNCTION("""COMPUTED_VALUE"""),43556.0)</f>
        <v>43556</v>
      </c>
      <c r="G1008" s="18">
        <f>IFERROR(__xludf.DUMMYFUNCTION("""COMPUTED_VALUE"""),11.0)</f>
        <v>11</v>
      </c>
      <c r="H1008" s="131">
        <f>IFERROR(__xludf.DUMMYFUNCTION("""COMPUTED_VALUE"""),41129.0)</f>
        <v>41129</v>
      </c>
      <c r="I1008" s="18">
        <f>IFERROR(__xludf.DUMMYFUNCTION("""COMPUTED_VALUE"""),5.730555555555555)</f>
        <v>5.730555556</v>
      </c>
      <c r="J1008" s="22">
        <f>IFERROR(__xludf.DUMMYFUNCTION("""COMPUTED_VALUE"""),66.0)</f>
        <v>66</v>
      </c>
      <c r="K1008" s="22">
        <f>IFERROR(__xludf.DUMMYFUNCTION("""COMPUTED_VALUE"""),2.5)</f>
        <v>2.5</v>
      </c>
      <c r="L1008" s="26" t="str">
        <f>IFERROR(__xludf.DUMMYFUNCTION("""COMPUTED_VALUE"""),"Puzzle")</f>
        <v>Puzzle</v>
      </c>
    </row>
    <row r="1009">
      <c r="A1009" s="12" t="str">
        <f>IFERROR(__xludf.DUMMYFUNCTION("""COMPUTED_VALUE"""),"OlliOlli")</f>
        <v>OlliOlli</v>
      </c>
      <c r="B1009" s="13" t="str">
        <f>IFERROR(__xludf.DUMMYFUNCTION("""COMPUTED_VALUE"""),"Xbox")</f>
        <v>Xbox</v>
      </c>
      <c r="C1009" s="14"/>
      <c r="D1009" s="14" t="str">
        <f>IFERROR(__xludf.DUMMYFUNCTION("""COMPUTED_VALUE"""),"Removed")</f>
        <v>Removed</v>
      </c>
      <c r="E1009" s="294">
        <f>IFERROR(__xludf.DUMMYFUNCTION("""COMPUTED_VALUE"""),42887.0)</f>
        <v>42887</v>
      </c>
      <c r="F1009" s="15">
        <f>IFERROR(__xludf.DUMMYFUNCTION("""COMPUTED_VALUE"""),43556.0)</f>
        <v>43556</v>
      </c>
      <c r="G1009" s="18">
        <f>IFERROR(__xludf.DUMMYFUNCTION("""COMPUTED_VALUE"""),22.0)</f>
        <v>22</v>
      </c>
      <c r="H1009" s="131">
        <f>IFERROR(__xludf.DUMMYFUNCTION("""COMPUTED_VALUE"""),41660.0)</f>
        <v>41660</v>
      </c>
      <c r="I1009" s="18">
        <f>IFERROR(__xludf.DUMMYFUNCTION("""COMPUTED_VALUE"""),3.361111111111111)</f>
        <v>3.361111111</v>
      </c>
      <c r="J1009" s="22">
        <f>IFERROR(__xludf.DUMMYFUNCTION("""COMPUTED_VALUE"""),78.0)</f>
        <v>78</v>
      </c>
      <c r="K1009" s="22">
        <f>IFERROR(__xludf.DUMMYFUNCTION("""COMPUTED_VALUE"""),4.0)</f>
        <v>4</v>
      </c>
      <c r="L1009" s="26" t="str">
        <f>IFERROR(__xludf.DUMMYFUNCTION("""COMPUTED_VALUE"""),"Skateboarding")</f>
        <v>Skateboarding</v>
      </c>
    </row>
    <row r="1010">
      <c r="A1010" s="12" t="str">
        <f>IFERROR(__xludf.DUMMYFUNCTION("""COMPUTED_VALUE"""),"Pumped BMX +")</f>
        <v>Pumped BMX +</v>
      </c>
      <c r="B1010" s="13" t="str">
        <f>IFERROR(__xludf.DUMMYFUNCTION("""COMPUTED_VALUE"""),"Xbox")</f>
        <v>Xbox</v>
      </c>
      <c r="C1010" s="14"/>
      <c r="D1010" s="14" t="str">
        <f>IFERROR(__xludf.DUMMYFUNCTION("""COMPUTED_VALUE"""),"Removed")</f>
        <v>Removed</v>
      </c>
      <c r="E1010" s="294">
        <f>IFERROR(__xludf.DUMMYFUNCTION("""COMPUTED_VALUE"""),42887.0)</f>
        <v>42887</v>
      </c>
      <c r="F1010" s="15">
        <f>IFERROR(__xludf.DUMMYFUNCTION("""COMPUTED_VALUE"""),43556.0)</f>
        <v>43556</v>
      </c>
      <c r="G1010" s="18">
        <f>IFERROR(__xludf.DUMMYFUNCTION("""COMPUTED_VALUE"""),22.0)</f>
        <v>22</v>
      </c>
      <c r="H1010" s="131">
        <f>IFERROR(__xludf.DUMMYFUNCTION("""COMPUTED_VALUE"""),42265.0)</f>
        <v>42265</v>
      </c>
      <c r="I1010" s="18">
        <f>IFERROR(__xludf.DUMMYFUNCTION("""COMPUTED_VALUE"""),1.7027777777777777)</f>
        <v>1.702777778</v>
      </c>
      <c r="J1010" s="22">
        <f>IFERROR(__xludf.DUMMYFUNCTION("""COMPUTED_VALUE"""),56.0)</f>
        <v>56</v>
      </c>
      <c r="K1010" s="22">
        <f>IFERROR(__xludf.DUMMYFUNCTION("""COMPUTED_VALUE"""),6.0)</f>
        <v>6</v>
      </c>
      <c r="L1010" s="26" t="str">
        <f>IFERROR(__xludf.DUMMYFUNCTION("""COMPUTED_VALUE"""),"Racing")</f>
        <v>Racing</v>
      </c>
    </row>
    <row r="1011">
      <c r="A1011" s="12" t="str">
        <f>IFERROR(__xludf.DUMMYFUNCTION("""COMPUTED_VALUE"""),"The Golf Club")</f>
        <v>The Golf Club</v>
      </c>
      <c r="B1011" s="13" t="str">
        <f>IFERROR(__xludf.DUMMYFUNCTION("""COMPUTED_VALUE"""),"Xbox")</f>
        <v>Xbox</v>
      </c>
      <c r="C1011" s="14"/>
      <c r="D1011" s="14" t="str">
        <f>IFERROR(__xludf.DUMMYFUNCTION("""COMPUTED_VALUE"""),"Removed")</f>
        <v>Removed</v>
      </c>
      <c r="E1011" s="294">
        <f>IFERROR(__xludf.DUMMYFUNCTION("""COMPUTED_VALUE"""),42887.0)</f>
        <v>42887</v>
      </c>
      <c r="F1011" s="15">
        <f>IFERROR(__xludf.DUMMYFUNCTION("""COMPUTED_VALUE"""),43556.0)</f>
        <v>43556</v>
      </c>
      <c r="G1011" s="18">
        <f>IFERROR(__xludf.DUMMYFUNCTION("""COMPUTED_VALUE"""),22.0)</f>
        <v>22</v>
      </c>
      <c r="H1011" s="131">
        <f>IFERROR(__xludf.DUMMYFUNCTION("""COMPUTED_VALUE"""),41870.0)</f>
        <v>41870</v>
      </c>
      <c r="I1011" s="18">
        <f>IFERROR(__xludf.DUMMYFUNCTION("""COMPUTED_VALUE"""),2.783333333333333)</f>
        <v>2.783333333</v>
      </c>
      <c r="J1011" s="22">
        <f>IFERROR(__xludf.DUMMYFUNCTION("""COMPUTED_VALUE"""),64.0)</f>
        <v>64</v>
      </c>
      <c r="K1011" s="22">
        <f>IFERROR(__xludf.DUMMYFUNCTION("""COMPUTED_VALUE"""),10.0)</f>
        <v>10</v>
      </c>
      <c r="L1011" s="26" t="str">
        <f>IFERROR(__xludf.DUMMYFUNCTION("""COMPUTED_VALUE"""),"Golf")</f>
        <v>Golf</v>
      </c>
    </row>
    <row r="1012">
      <c r="A1012" s="12" t="str">
        <f>IFERROR(__xludf.DUMMYFUNCTION("""COMPUTED_VALUE"""),"The Swapper")</f>
        <v>The Swapper</v>
      </c>
      <c r="B1012" s="13" t="str">
        <f>IFERROR(__xludf.DUMMYFUNCTION("""COMPUTED_VALUE"""),"Xbox")</f>
        <v>Xbox</v>
      </c>
      <c r="C1012" s="14"/>
      <c r="D1012" s="14" t="str">
        <f>IFERROR(__xludf.DUMMYFUNCTION("""COMPUTED_VALUE"""),"Removed")</f>
        <v>Removed</v>
      </c>
      <c r="E1012" s="294">
        <f>IFERROR(__xludf.DUMMYFUNCTION("""COMPUTED_VALUE"""),42887.0)</f>
        <v>42887</v>
      </c>
      <c r="F1012" s="15">
        <f>IFERROR(__xludf.DUMMYFUNCTION("""COMPUTED_VALUE"""),43556.0)</f>
        <v>43556</v>
      </c>
      <c r="G1012" s="18">
        <f>IFERROR(__xludf.DUMMYFUNCTION("""COMPUTED_VALUE"""),22.0)</f>
        <v>22</v>
      </c>
      <c r="H1012" s="131">
        <f>IFERROR(__xludf.DUMMYFUNCTION("""COMPUTED_VALUE"""),41424.0)</f>
        <v>41424</v>
      </c>
      <c r="I1012" s="18">
        <f>IFERROR(__xludf.DUMMYFUNCTION("""COMPUTED_VALUE"""),4.002777777777778)</f>
        <v>4.002777778</v>
      </c>
      <c r="J1012" s="22">
        <f>IFERROR(__xludf.DUMMYFUNCTION("""COMPUTED_VALUE"""),92.0)</f>
        <v>92</v>
      </c>
      <c r="K1012" s="22">
        <f>IFERROR(__xludf.DUMMYFUNCTION("""COMPUTED_VALUE"""),5.0)</f>
        <v>5</v>
      </c>
      <c r="L1012" s="26" t="str">
        <f>IFERROR(__xludf.DUMMYFUNCTION("""COMPUTED_VALUE"""),"Platformer")</f>
        <v>Platformer</v>
      </c>
    </row>
    <row r="1013">
      <c r="A1013" s="12" t="str">
        <f>IFERROR(__xludf.DUMMYFUNCTION("""COMPUTED_VALUE"""),"Kingdom: New Lands")</f>
        <v>Kingdom: New Lands</v>
      </c>
      <c r="B1013" s="13" t="str">
        <f>IFERROR(__xludf.DUMMYFUNCTION("""COMPUTED_VALUE"""),"Xbox")</f>
        <v>Xbox</v>
      </c>
      <c r="C1013" s="14"/>
      <c r="D1013" s="14" t="str">
        <f>IFERROR(__xludf.DUMMYFUNCTION("""COMPUTED_VALUE"""),"Removed")</f>
        <v>Removed</v>
      </c>
      <c r="E1013" s="294">
        <f>IFERROR(__xludf.DUMMYFUNCTION("""COMPUTED_VALUE"""),43191.0)</f>
        <v>43191</v>
      </c>
      <c r="F1013" s="15">
        <f>IFERROR(__xludf.DUMMYFUNCTION("""COMPUTED_VALUE"""),43525.0)</f>
        <v>43525</v>
      </c>
      <c r="G1013" s="18">
        <f>IFERROR(__xludf.DUMMYFUNCTION("""COMPUTED_VALUE"""),11.0)</f>
        <v>11</v>
      </c>
      <c r="H1013" s="131">
        <f>IFERROR(__xludf.DUMMYFUNCTION("""COMPUTED_VALUE"""),42298.0)</f>
        <v>42298</v>
      </c>
      <c r="I1013" s="18">
        <f>IFERROR(__xludf.DUMMYFUNCTION("""COMPUTED_VALUE"""),2.4444444444444446)</f>
        <v>2.444444444</v>
      </c>
      <c r="J1013" s="22">
        <f>IFERROR(__xludf.DUMMYFUNCTION("""COMPUTED_VALUE"""),87.0)</f>
        <v>87</v>
      </c>
      <c r="K1013" s="22">
        <f>IFERROR(__xludf.DUMMYFUNCTION("""COMPUTED_VALUE"""),8.0)</f>
        <v>8</v>
      </c>
      <c r="L1013" s="26" t="str">
        <f>IFERROR(__xludf.DUMMYFUNCTION("""COMPUTED_VALUE"""),"Strategy")</f>
        <v>Strategy</v>
      </c>
    </row>
    <row r="1014">
      <c r="A1014" s="12" t="str">
        <f>IFERROR(__xludf.DUMMYFUNCTION("""COMPUTED_VALUE"""),"Late Shift")</f>
        <v>Late Shift</v>
      </c>
      <c r="B1014" s="13" t="str">
        <f>IFERROR(__xludf.DUMMYFUNCTION("""COMPUTED_VALUE"""),"Xbox")</f>
        <v>Xbox</v>
      </c>
      <c r="C1014" s="14"/>
      <c r="D1014" s="14" t="str">
        <f>IFERROR(__xludf.DUMMYFUNCTION("""COMPUTED_VALUE"""),"Removed")</f>
        <v>Removed</v>
      </c>
      <c r="E1014" s="294">
        <f>IFERROR(__xludf.DUMMYFUNCTION("""COMPUTED_VALUE"""),43191.0)</f>
        <v>43191</v>
      </c>
      <c r="F1014" s="15">
        <f>IFERROR(__xludf.DUMMYFUNCTION("""COMPUTED_VALUE"""),43525.0)</f>
        <v>43525</v>
      </c>
      <c r="G1014" s="18">
        <f>IFERROR(__xludf.DUMMYFUNCTION("""COMPUTED_VALUE"""),11.0)</f>
        <v>11</v>
      </c>
      <c r="H1014" s="131">
        <f>IFERROR(__xludf.DUMMYFUNCTION("""COMPUTED_VALUE"""),42843.0)</f>
        <v>42843</v>
      </c>
      <c r="I1014" s="18">
        <f>IFERROR(__xludf.DUMMYFUNCTION("""COMPUTED_VALUE"""),0.9527777777777777)</f>
        <v>0.9527777778</v>
      </c>
      <c r="J1014" s="22">
        <f>IFERROR(__xludf.DUMMYFUNCTION("""COMPUTED_VALUE"""),72.0)</f>
        <v>72</v>
      </c>
      <c r="K1014" s="22">
        <f>IFERROR(__xludf.DUMMYFUNCTION("""COMPUTED_VALUE"""),1.5)</f>
        <v>1.5</v>
      </c>
      <c r="L1014" s="26" t="str">
        <f>IFERROR(__xludf.DUMMYFUNCTION("""COMPUTED_VALUE"""),"Adventure")</f>
        <v>Adventure</v>
      </c>
    </row>
    <row r="1015">
      <c r="A1015" s="12" t="str">
        <f>IFERROR(__xludf.DUMMYFUNCTION("""COMPUTED_VALUE"""),"Portal Knights")</f>
        <v>Portal Knights</v>
      </c>
      <c r="B1015" s="13" t="str">
        <f>IFERROR(__xludf.DUMMYFUNCTION("""COMPUTED_VALUE"""),"Xbox")</f>
        <v>Xbox</v>
      </c>
      <c r="C1015" s="14"/>
      <c r="D1015" s="14" t="str">
        <f>IFERROR(__xludf.DUMMYFUNCTION("""COMPUTED_VALUE"""),"Removed")</f>
        <v>Removed</v>
      </c>
      <c r="E1015" s="294">
        <f>IFERROR(__xludf.DUMMYFUNCTION("""COMPUTED_VALUE"""),43191.0)</f>
        <v>43191</v>
      </c>
      <c r="F1015" s="15">
        <f>IFERROR(__xludf.DUMMYFUNCTION("""COMPUTED_VALUE"""),43525.0)</f>
        <v>43525</v>
      </c>
      <c r="G1015" s="18">
        <f>IFERROR(__xludf.DUMMYFUNCTION("""COMPUTED_VALUE"""),11.0)</f>
        <v>11</v>
      </c>
      <c r="H1015" s="131">
        <f>IFERROR(__xludf.DUMMYFUNCTION("""COMPUTED_VALUE"""),42425.0)</f>
        <v>42425</v>
      </c>
      <c r="I1015" s="18">
        <f>IFERROR(__xludf.DUMMYFUNCTION("""COMPUTED_VALUE"""),2.1)</f>
        <v>2.1</v>
      </c>
      <c r="J1015" s="22">
        <f>IFERROR(__xludf.DUMMYFUNCTION("""COMPUTED_VALUE"""),77.0)</f>
        <v>77</v>
      </c>
      <c r="K1015" s="22">
        <f>IFERROR(__xludf.DUMMYFUNCTION("""COMPUTED_VALUE"""),26.0)</f>
        <v>26</v>
      </c>
      <c r="L1015" s="26" t="str">
        <f>IFERROR(__xludf.DUMMYFUNCTION("""COMPUTED_VALUE"""),"Action-Adventure")</f>
        <v>Action-Adventure</v>
      </c>
    </row>
    <row r="1016">
      <c r="A1016" s="12" t="str">
        <f>IFERROR(__xludf.DUMMYFUNCTION("""COMPUTED_VALUE"""),"Sacred Citadel")</f>
        <v>Sacred Citadel</v>
      </c>
      <c r="B1016" s="13" t="str">
        <f>IFERROR(__xludf.DUMMYFUNCTION("""COMPUTED_VALUE"""),"Xbox")</f>
        <v>Xbox</v>
      </c>
      <c r="C1016" s="14"/>
      <c r="D1016" s="14" t="str">
        <f>IFERROR(__xludf.DUMMYFUNCTION("""COMPUTED_VALUE"""),"Removed")</f>
        <v>Removed</v>
      </c>
      <c r="E1016" s="294">
        <f>IFERROR(__xludf.DUMMYFUNCTION("""COMPUTED_VALUE"""),43191.0)</f>
        <v>43191</v>
      </c>
      <c r="F1016" s="15">
        <f>IFERROR(__xludf.DUMMYFUNCTION("""COMPUTED_VALUE"""),43525.0)</f>
        <v>43525</v>
      </c>
      <c r="G1016" s="18">
        <f>IFERROR(__xludf.DUMMYFUNCTION("""COMPUTED_VALUE"""),11.0)</f>
        <v>11</v>
      </c>
      <c r="H1016" s="131">
        <f>IFERROR(__xludf.DUMMYFUNCTION("""COMPUTED_VALUE"""),41381.0)</f>
        <v>41381</v>
      </c>
      <c r="I1016" s="18">
        <f>IFERROR(__xludf.DUMMYFUNCTION("""COMPUTED_VALUE"""),4.955555555555556)</f>
        <v>4.955555556</v>
      </c>
      <c r="J1016" s="22">
        <f>IFERROR(__xludf.DUMMYFUNCTION("""COMPUTED_VALUE"""),63.0)</f>
        <v>63</v>
      </c>
      <c r="K1016" s="22">
        <f>IFERROR(__xludf.DUMMYFUNCTION("""COMPUTED_VALUE"""),5.0)</f>
        <v>5</v>
      </c>
      <c r="L1016" s="26" t="str">
        <f>IFERROR(__xludf.DUMMYFUNCTION("""COMPUTED_VALUE"""),"Action")</f>
        <v>Action</v>
      </c>
    </row>
    <row r="1017">
      <c r="A1017" s="12" t="str">
        <f>IFERROR(__xludf.DUMMYFUNCTION("""COMPUTED_VALUE"""),"F1 2015")</f>
        <v>F1 2015</v>
      </c>
      <c r="B1017" s="13" t="str">
        <f>IFERROR(__xludf.DUMMYFUNCTION("""COMPUTED_VALUE"""),"Xbox")</f>
        <v>Xbox</v>
      </c>
      <c r="C1017" s="14"/>
      <c r="D1017" s="14" t="str">
        <f>IFERROR(__xludf.DUMMYFUNCTION("""COMPUTED_VALUE"""),"Removed")</f>
        <v>Removed</v>
      </c>
      <c r="E1017" s="294">
        <f>IFERROR(__xludf.DUMMYFUNCTION("""COMPUTED_VALUE"""),42917.0)</f>
        <v>42917</v>
      </c>
      <c r="F1017" s="15">
        <f>IFERROR(__xludf.DUMMYFUNCTION("""COMPUTED_VALUE"""),43524.0)</f>
        <v>43524</v>
      </c>
      <c r="G1017" s="18">
        <f>IFERROR(__xludf.DUMMYFUNCTION("""COMPUTED_VALUE"""),19.900000000000002)</f>
        <v>19.9</v>
      </c>
      <c r="H1017" s="131">
        <f>IFERROR(__xludf.DUMMYFUNCTION("""COMPUTED_VALUE"""),42195.0)</f>
        <v>42195</v>
      </c>
      <c r="I1017" s="18">
        <f>IFERROR(__xludf.DUMMYFUNCTION("""COMPUTED_VALUE"""),1.975)</f>
        <v>1.975</v>
      </c>
      <c r="J1017" s="22">
        <f>IFERROR(__xludf.DUMMYFUNCTION("""COMPUTED_VALUE"""),64.0)</f>
        <v>64</v>
      </c>
      <c r="K1017" s="22">
        <f>IFERROR(__xludf.DUMMYFUNCTION("""COMPUTED_VALUE"""),11.0)</f>
        <v>11</v>
      </c>
      <c r="L1017" s="26" t="str">
        <f>IFERROR(__xludf.DUMMYFUNCTION("""COMPUTED_VALUE"""),"Racing")</f>
        <v>Racing</v>
      </c>
    </row>
    <row r="1018">
      <c r="A1018" s="12" t="str">
        <f>IFERROR(__xludf.DUMMYFUNCTION("""COMPUTED_VALUE"""),"Aven Colony")</f>
        <v>Aven Colony</v>
      </c>
      <c r="B1018" s="13" t="str">
        <f>IFERROR(__xludf.DUMMYFUNCTION("""COMPUTED_VALUE"""),"Xbox")</f>
        <v>Xbox</v>
      </c>
      <c r="C1018" s="14"/>
      <c r="D1018" s="14" t="str">
        <f>IFERROR(__xludf.DUMMYFUNCTION("""COMPUTED_VALUE"""),"Removed")</f>
        <v>Removed</v>
      </c>
      <c r="E1018" s="294">
        <f>IFERROR(__xludf.DUMMYFUNCTION("""COMPUTED_VALUE"""),43344.0)</f>
        <v>43344</v>
      </c>
      <c r="F1018" s="15">
        <f>IFERROR(__xludf.DUMMYFUNCTION("""COMPUTED_VALUE"""),43497.0)</f>
        <v>43497</v>
      </c>
      <c r="G1018" s="18">
        <f>IFERROR(__xludf.DUMMYFUNCTION("""COMPUTED_VALUE"""),5.0)</f>
        <v>5</v>
      </c>
      <c r="H1018" s="131">
        <f>IFERROR(__xludf.DUMMYFUNCTION("""COMPUTED_VALUE"""),42941.0)</f>
        <v>42941</v>
      </c>
      <c r="I1018" s="18">
        <f>IFERROR(__xludf.DUMMYFUNCTION("""COMPUTED_VALUE"""),1.1)</f>
        <v>1.1</v>
      </c>
      <c r="J1018" s="22">
        <f>IFERROR(__xludf.DUMMYFUNCTION("""COMPUTED_VALUE"""),77.0)</f>
        <v>77</v>
      </c>
      <c r="K1018" s="22">
        <f>IFERROR(__xludf.DUMMYFUNCTION("""COMPUTED_VALUE"""),30.0)</f>
        <v>30</v>
      </c>
      <c r="L1018" s="26" t="str">
        <f>IFERROR(__xludf.DUMMYFUNCTION("""COMPUTED_VALUE"""),"Simulation")</f>
        <v>Simulation</v>
      </c>
    </row>
    <row r="1019">
      <c r="A1019" s="12" t="str">
        <f>IFERROR(__xludf.DUMMYFUNCTION("""COMPUTED_VALUE"""),"Shadow Warrior")</f>
        <v>Shadow Warrior</v>
      </c>
      <c r="B1019" s="13" t="str">
        <f>IFERROR(__xludf.DUMMYFUNCTION("""COMPUTED_VALUE"""),"Xbox")</f>
        <v>Xbox</v>
      </c>
      <c r="C1019" s="14"/>
      <c r="D1019" s="14" t="str">
        <f>IFERROR(__xludf.DUMMYFUNCTION("""COMPUTED_VALUE"""),"Removed")</f>
        <v>Removed</v>
      </c>
      <c r="E1019" s="294">
        <f>IFERROR(__xludf.DUMMYFUNCTION("""COMPUTED_VALUE"""),43344.0)</f>
        <v>43344</v>
      </c>
      <c r="F1019" s="15">
        <f>IFERROR(__xludf.DUMMYFUNCTION("""COMPUTED_VALUE"""),43497.0)</f>
        <v>43497</v>
      </c>
      <c r="G1019" s="18">
        <f>IFERROR(__xludf.DUMMYFUNCTION("""COMPUTED_VALUE"""),5.0)</f>
        <v>5</v>
      </c>
      <c r="H1019" s="131">
        <f>IFERROR(__xludf.DUMMYFUNCTION("""COMPUTED_VALUE"""),41543.0)</f>
        <v>41543</v>
      </c>
      <c r="I1019" s="18">
        <f>IFERROR(__xludf.DUMMYFUNCTION("""COMPUTED_VALUE"""),4.930555555555555)</f>
        <v>4.930555556</v>
      </c>
      <c r="J1019" s="22">
        <f>IFERROR(__xludf.DUMMYFUNCTION("""COMPUTED_VALUE"""),74.0)</f>
        <v>74</v>
      </c>
      <c r="K1019" s="22">
        <f>IFERROR(__xludf.DUMMYFUNCTION("""COMPUTED_VALUE"""),12.5)</f>
        <v>12.5</v>
      </c>
      <c r="L1019" s="26" t="str">
        <f>IFERROR(__xludf.DUMMYFUNCTION("""COMPUTED_VALUE"""),"Shooter")</f>
        <v>Shooter</v>
      </c>
    </row>
    <row r="1020">
      <c r="A1020" s="12" t="str">
        <f>IFERROR(__xludf.DUMMYFUNCTION("""COMPUTED_VALUE"""),"Dovetail Games: Euro Fishing")</f>
        <v>Dovetail Games: Euro Fishing</v>
      </c>
      <c r="B1020" s="13" t="str">
        <f>IFERROR(__xludf.DUMMYFUNCTION("""COMPUTED_VALUE"""),"Xbox")</f>
        <v>Xbox</v>
      </c>
      <c r="C1020" s="14"/>
      <c r="D1020" s="14" t="str">
        <f>IFERROR(__xludf.DUMMYFUNCTION("""COMPUTED_VALUE"""),"Removed")</f>
        <v>Removed</v>
      </c>
      <c r="E1020" s="294">
        <f>IFERROR(__xludf.DUMMYFUNCTION("""COMPUTED_VALUE"""),43160.0)</f>
        <v>43160</v>
      </c>
      <c r="F1020" s="15">
        <f>IFERROR(__xludf.DUMMYFUNCTION("""COMPUTED_VALUE"""),43497.0)</f>
        <v>43497</v>
      </c>
      <c r="G1020" s="18">
        <f>IFERROR(__xludf.DUMMYFUNCTION("""COMPUTED_VALUE"""),11.0)</f>
        <v>11</v>
      </c>
      <c r="H1020" s="131">
        <f>IFERROR(__xludf.DUMMYFUNCTION("""COMPUTED_VALUE"""),42310.0)</f>
        <v>42310</v>
      </c>
      <c r="I1020" s="18">
        <f>IFERROR(__xludf.DUMMYFUNCTION("""COMPUTED_VALUE"""),2.3305555555555557)</f>
        <v>2.330555556</v>
      </c>
      <c r="J1020" s="22">
        <f>IFERROR(__xludf.DUMMYFUNCTION("""COMPUTED_VALUE"""),61.0)</f>
        <v>61</v>
      </c>
      <c r="K1020" s="22">
        <f>IFERROR(__xludf.DUMMYFUNCTION("""COMPUTED_VALUE"""),28.5)</f>
        <v>28.5</v>
      </c>
      <c r="L1020" s="26" t="str">
        <f>IFERROR(__xludf.DUMMYFUNCTION("""COMPUTED_VALUE"""),"Fishing")</f>
        <v>Fishing</v>
      </c>
    </row>
    <row r="1021">
      <c r="A1021" s="12" t="str">
        <f>IFERROR(__xludf.DUMMYFUNCTION("""COMPUTED_VALUE"""),"Resident Evil: Revelations 2")</f>
        <v>Resident Evil: Revelations 2</v>
      </c>
      <c r="B1021" s="13" t="str">
        <f>IFERROR(__xludf.DUMMYFUNCTION("""COMPUTED_VALUE"""),"Xbox")</f>
        <v>Xbox</v>
      </c>
      <c r="C1021" s="14"/>
      <c r="D1021" s="14" t="str">
        <f>IFERROR(__xludf.DUMMYFUNCTION("""COMPUTED_VALUE"""),"Removed")</f>
        <v>Removed</v>
      </c>
      <c r="E1021" s="294">
        <f>IFERROR(__xludf.DUMMYFUNCTION("""COMPUTED_VALUE"""),43160.0)</f>
        <v>43160</v>
      </c>
      <c r="F1021" s="15">
        <f>IFERROR(__xludf.DUMMYFUNCTION("""COMPUTED_VALUE"""),43497.0)</f>
        <v>43497</v>
      </c>
      <c r="G1021" s="18">
        <f>IFERROR(__xludf.DUMMYFUNCTION("""COMPUTED_VALUE"""),11.0)</f>
        <v>11</v>
      </c>
      <c r="H1021" s="131">
        <f>IFERROR(__xludf.DUMMYFUNCTION("""COMPUTED_VALUE"""),42059.0)</f>
        <v>42059</v>
      </c>
      <c r="I1021" s="18">
        <f>IFERROR(__xludf.DUMMYFUNCTION("""COMPUTED_VALUE"""),3.0194444444444444)</f>
        <v>3.019444444</v>
      </c>
      <c r="J1021" s="22">
        <f>IFERROR(__xludf.DUMMYFUNCTION("""COMPUTED_VALUE"""),75.0)</f>
        <v>75</v>
      </c>
      <c r="K1021" s="22">
        <f>IFERROR(__xludf.DUMMYFUNCTION("""COMPUTED_VALUE"""),10.0)</f>
        <v>10</v>
      </c>
      <c r="L1021" s="26" t="str">
        <f>IFERROR(__xludf.DUMMYFUNCTION("""COMPUTED_VALUE"""),"Shooter")</f>
        <v>Shooter</v>
      </c>
    </row>
    <row r="1022">
      <c r="A1022" s="12" t="str">
        <f>IFERROR(__xludf.DUMMYFUNCTION("""COMPUTED_VALUE"""),"Sonic CD")</f>
        <v>Sonic CD</v>
      </c>
      <c r="B1022" s="13" t="str">
        <f>IFERROR(__xludf.DUMMYFUNCTION("""COMPUTED_VALUE"""),"Xbox")</f>
        <v>Xbox</v>
      </c>
      <c r="C1022" s="14"/>
      <c r="D1022" s="14" t="str">
        <f>IFERROR(__xludf.DUMMYFUNCTION("""COMPUTED_VALUE"""),"Removed")</f>
        <v>Removed</v>
      </c>
      <c r="E1022" s="294">
        <f>IFERROR(__xludf.DUMMYFUNCTION("""COMPUTED_VALUE"""),43160.0)</f>
        <v>43160</v>
      </c>
      <c r="F1022" s="15">
        <f>IFERROR(__xludf.DUMMYFUNCTION("""COMPUTED_VALUE"""),43497.0)</f>
        <v>43497</v>
      </c>
      <c r="G1022" s="18">
        <f>IFERROR(__xludf.DUMMYFUNCTION("""COMPUTED_VALUE"""),11.0)</f>
        <v>11</v>
      </c>
      <c r="H1022" s="131">
        <f>IFERROR(__xludf.DUMMYFUNCTION("""COMPUTED_VALUE"""),34235.0)</f>
        <v>34235</v>
      </c>
      <c r="I1022" s="18">
        <f>IFERROR(__xludf.DUMMYFUNCTION("""COMPUTED_VALUE"""),24.43888888888889)</f>
        <v>24.43888889</v>
      </c>
      <c r="J1022" s="22">
        <f>IFERROR(__xludf.DUMMYFUNCTION("""COMPUTED_VALUE"""),82.0)</f>
        <v>82</v>
      </c>
      <c r="K1022" s="22">
        <f>IFERROR(__xludf.DUMMYFUNCTION("""COMPUTED_VALUE"""),2.0)</f>
        <v>2</v>
      </c>
      <c r="L1022" s="26" t="str">
        <f>IFERROR(__xludf.DUMMYFUNCTION("""COMPUTED_VALUE"""),"Platformer")</f>
        <v>Platformer</v>
      </c>
    </row>
    <row r="1023">
      <c r="A1023" s="12" t="str">
        <f>IFERROR(__xludf.DUMMYFUNCTION("""COMPUTED_VALUE"""),"The Final Station")</f>
        <v>The Final Station</v>
      </c>
      <c r="B1023" s="13" t="str">
        <f>IFERROR(__xludf.DUMMYFUNCTION("""COMPUTED_VALUE"""),"Xbox")</f>
        <v>Xbox</v>
      </c>
      <c r="C1023" s="14"/>
      <c r="D1023" s="14" t="str">
        <f>IFERROR(__xludf.DUMMYFUNCTION("""COMPUTED_VALUE"""),"Removed")</f>
        <v>Removed</v>
      </c>
      <c r="E1023" s="294">
        <f>IFERROR(__xludf.DUMMYFUNCTION("""COMPUTED_VALUE"""),43160.0)</f>
        <v>43160</v>
      </c>
      <c r="F1023" s="15">
        <f>IFERROR(__xludf.DUMMYFUNCTION("""COMPUTED_VALUE"""),43497.0)</f>
        <v>43497</v>
      </c>
      <c r="G1023" s="18">
        <f>IFERROR(__xludf.DUMMYFUNCTION("""COMPUTED_VALUE"""),11.0)</f>
        <v>11</v>
      </c>
      <c r="H1023" s="131">
        <f>IFERROR(__xludf.DUMMYFUNCTION("""COMPUTED_VALUE"""),42612.0)</f>
        <v>42612</v>
      </c>
      <c r="I1023" s="18">
        <f>IFERROR(__xludf.DUMMYFUNCTION("""COMPUTED_VALUE"""),1.5027777777777778)</f>
        <v>1.502777778</v>
      </c>
      <c r="J1023" s="22">
        <f>IFERROR(__xludf.DUMMYFUNCTION("""COMPUTED_VALUE"""),70.0)</f>
        <v>70</v>
      </c>
      <c r="K1023" s="22">
        <f>IFERROR(__xludf.DUMMYFUNCTION("""COMPUTED_VALUE"""),4.5)</f>
        <v>4.5</v>
      </c>
      <c r="L1023" s="26" t="str">
        <f>IFERROR(__xludf.DUMMYFUNCTION("""COMPUTED_VALUE"""),"Action-Adventure")</f>
        <v>Action-Adventure</v>
      </c>
    </row>
    <row r="1024">
      <c r="A1024" s="12" t="str">
        <f>IFERROR(__xludf.DUMMYFUNCTION("""COMPUTED_VALUE"""),"Kyub")</f>
        <v>Kyub</v>
      </c>
      <c r="B1024" s="13" t="str">
        <f>IFERROR(__xludf.DUMMYFUNCTION("""COMPUTED_VALUE"""),"Xbox")</f>
        <v>Xbox</v>
      </c>
      <c r="C1024" s="14"/>
      <c r="D1024" s="14" t="str">
        <f>IFERROR(__xludf.DUMMYFUNCTION("""COMPUTED_VALUE"""),"Removed")</f>
        <v>Removed</v>
      </c>
      <c r="E1024" s="294">
        <f>IFERROR(__xludf.DUMMYFUNCTION("""COMPUTED_VALUE"""),42887.0)</f>
        <v>42887</v>
      </c>
      <c r="F1024" s="15">
        <f>IFERROR(__xludf.DUMMYFUNCTION("""COMPUTED_VALUE"""),43497.0)</f>
        <v>43497</v>
      </c>
      <c r="G1024" s="18">
        <f>IFERROR(__xludf.DUMMYFUNCTION("""COMPUTED_VALUE"""),20.0)</f>
        <v>20</v>
      </c>
      <c r="H1024" s="131">
        <f>IFERROR(__xludf.DUMMYFUNCTION("""COMPUTED_VALUE"""),42564.0)</f>
        <v>42564</v>
      </c>
      <c r="I1024" s="18">
        <f>IFERROR(__xludf.DUMMYFUNCTION("""COMPUTED_VALUE"""),0.8833333333333333)</f>
        <v>0.8833333333</v>
      </c>
      <c r="J1024" s="22">
        <f>IFERROR(__xludf.DUMMYFUNCTION("""COMPUTED_VALUE"""),90.0)</f>
        <v>90</v>
      </c>
      <c r="K1024" s="22">
        <f>IFERROR(__xludf.DUMMYFUNCTION("""COMPUTED_VALUE"""),4.0)</f>
        <v>4</v>
      </c>
      <c r="L1024" s="26" t="str">
        <f>IFERROR(__xludf.DUMMYFUNCTION("""COMPUTED_VALUE"""),"Puzzle")</f>
        <v>Puzzle</v>
      </c>
    </row>
    <row r="1025">
      <c r="A1025" s="12" t="str">
        <f>IFERROR(__xludf.DUMMYFUNCTION("""COMPUTED_VALUE"""),"Mega Coin Squad")</f>
        <v>Mega Coin Squad</v>
      </c>
      <c r="B1025" s="13" t="str">
        <f>IFERROR(__xludf.DUMMYFUNCTION("""COMPUTED_VALUE"""),"Xbox")</f>
        <v>Xbox</v>
      </c>
      <c r="C1025" s="14"/>
      <c r="D1025" s="14" t="str">
        <f>IFERROR(__xludf.DUMMYFUNCTION("""COMPUTED_VALUE"""),"Removed")</f>
        <v>Removed</v>
      </c>
      <c r="E1025" s="294">
        <f>IFERROR(__xludf.DUMMYFUNCTION("""COMPUTED_VALUE"""),42887.0)</f>
        <v>42887</v>
      </c>
      <c r="F1025" s="15">
        <f>IFERROR(__xludf.DUMMYFUNCTION("""COMPUTED_VALUE"""),43497.0)</f>
        <v>43497</v>
      </c>
      <c r="G1025" s="18">
        <f>IFERROR(__xludf.DUMMYFUNCTION("""COMPUTED_VALUE"""),20.0)</f>
        <v>20</v>
      </c>
      <c r="H1025" s="131">
        <f>IFERROR(__xludf.DUMMYFUNCTION("""COMPUTED_VALUE"""),41866.0)</f>
        <v>41866</v>
      </c>
      <c r="I1025" s="18">
        <f>IFERROR(__xludf.DUMMYFUNCTION("""COMPUTED_VALUE"""),2.7944444444444443)</f>
        <v>2.794444444</v>
      </c>
      <c r="J1025" s="22">
        <f>IFERROR(__xludf.DUMMYFUNCTION("""COMPUTED_VALUE"""),74.0)</f>
        <v>74</v>
      </c>
      <c r="K1025" s="22">
        <f>IFERROR(__xludf.DUMMYFUNCTION("""COMPUTED_VALUE"""),1.0)</f>
        <v>1</v>
      </c>
      <c r="L1025" s="26" t="str">
        <f>IFERROR(__xludf.DUMMYFUNCTION("""COMPUTED_VALUE"""),"Platformer")</f>
        <v>Platformer</v>
      </c>
    </row>
    <row r="1026">
      <c r="A1026" s="12" t="str">
        <f>IFERROR(__xludf.DUMMYFUNCTION("""COMPUTED_VALUE"""),"The Escapists: The Walking Dead")</f>
        <v>The Escapists: The Walking Dead</v>
      </c>
      <c r="B1026" s="13" t="str">
        <f>IFERROR(__xludf.DUMMYFUNCTION("""COMPUTED_VALUE"""),"Xbox")</f>
        <v>Xbox</v>
      </c>
      <c r="C1026" s="14"/>
      <c r="D1026" s="14" t="str">
        <f>IFERROR(__xludf.DUMMYFUNCTION("""COMPUTED_VALUE"""),"Removed")</f>
        <v>Removed</v>
      </c>
      <c r="E1026" s="294">
        <f>IFERROR(__xludf.DUMMYFUNCTION("""COMPUTED_VALUE"""),43313.0)</f>
        <v>43313</v>
      </c>
      <c r="F1026" s="15">
        <f>IFERROR(__xludf.DUMMYFUNCTION("""COMPUTED_VALUE"""),43466.0)</f>
        <v>43466</v>
      </c>
      <c r="G1026" s="18">
        <f>IFERROR(__xludf.DUMMYFUNCTION("""COMPUTED_VALUE"""),5.0)</f>
        <v>5</v>
      </c>
      <c r="H1026" s="131">
        <f>IFERROR(__xludf.DUMMYFUNCTION("""COMPUTED_VALUE"""),42277.0)</f>
        <v>42277</v>
      </c>
      <c r="I1026" s="18">
        <f>IFERROR(__xludf.DUMMYFUNCTION("""COMPUTED_VALUE"""),2.8361111111111112)</f>
        <v>2.836111111</v>
      </c>
      <c r="J1026" s="22">
        <f>IFERROR(__xludf.DUMMYFUNCTION("""COMPUTED_VALUE"""),65.0)</f>
        <v>65</v>
      </c>
      <c r="K1026" s="22">
        <f>IFERROR(__xludf.DUMMYFUNCTION("""COMPUTED_VALUE"""),6.5)</f>
        <v>6.5</v>
      </c>
      <c r="L1026" s="26" t="str">
        <f>IFERROR(__xludf.DUMMYFUNCTION("""COMPUTED_VALUE"""),"Strategy")</f>
        <v>Strategy</v>
      </c>
    </row>
    <row r="1027">
      <c r="A1027" s="12" t="str">
        <f>IFERROR(__xludf.DUMMYFUNCTION("""COMPUTED_VALUE"""),"Letter Quest: Grimm's Journey - Remastered")</f>
        <v>Letter Quest: Grimm's Journey - Remastered</v>
      </c>
      <c r="B1027" s="13" t="str">
        <f>IFERROR(__xludf.DUMMYFUNCTION("""COMPUTED_VALUE"""),"Xbox")</f>
        <v>Xbox</v>
      </c>
      <c r="C1027" s="14"/>
      <c r="D1027" s="14" t="str">
        <f>IFERROR(__xludf.DUMMYFUNCTION("""COMPUTED_VALUE"""),"Removed")</f>
        <v>Removed</v>
      </c>
      <c r="E1027" s="294">
        <f>IFERROR(__xludf.DUMMYFUNCTION("""COMPUTED_VALUE"""),43132.0)</f>
        <v>43132</v>
      </c>
      <c r="F1027" s="15">
        <f>IFERROR(__xludf.DUMMYFUNCTION("""COMPUTED_VALUE"""),43466.0)</f>
        <v>43466</v>
      </c>
      <c r="G1027" s="18">
        <f>IFERROR(__xludf.DUMMYFUNCTION("""COMPUTED_VALUE"""),11.0)</f>
        <v>11</v>
      </c>
      <c r="H1027" s="131">
        <f>IFERROR(__xludf.DUMMYFUNCTION("""COMPUTED_VALUE"""),41842.0)</f>
        <v>41842</v>
      </c>
      <c r="I1027" s="18">
        <f>IFERROR(__xludf.DUMMYFUNCTION("""COMPUTED_VALUE"""),3.525)</f>
        <v>3.525</v>
      </c>
      <c r="J1027" s="22">
        <f>IFERROR(__xludf.DUMMYFUNCTION("""COMPUTED_VALUE"""),77.0)</f>
        <v>77</v>
      </c>
      <c r="K1027" s="22">
        <f>IFERROR(__xludf.DUMMYFUNCTION("""COMPUTED_VALUE"""),9.0)</f>
        <v>9</v>
      </c>
      <c r="L1027" s="26" t="str">
        <f>IFERROR(__xludf.DUMMYFUNCTION("""COMPUTED_VALUE"""),"Puzzle")</f>
        <v>Puzzle</v>
      </c>
    </row>
    <row r="1028">
      <c r="A1028" s="12" t="str">
        <f>IFERROR(__xludf.DUMMYFUNCTION("""COMPUTED_VALUE"""),"Dead Rising 3")</f>
        <v>Dead Rising 3</v>
      </c>
      <c r="B1028" s="13" t="str">
        <f>IFERROR(__xludf.DUMMYFUNCTION("""COMPUTED_VALUE"""),"Xbox")</f>
        <v>Xbox</v>
      </c>
      <c r="C1028" s="14"/>
      <c r="D1028" s="14" t="str">
        <f>IFERROR(__xludf.DUMMYFUNCTION("""COMPUTED_VALUE"""),"Removed")</f>
        <v>Removed</v>
      </c>
      <c r="E1028" s="294">
        <f>IFERROR(__xludf.DUMMYFUNCTION("""COMPUTED_VALUE"""),42948.0)</f>
        <v>42948</v>
      </c>
      <c r="F1028" s="15">
        <f>IFERROR(__xludf.DUMMYFUNCTION("""COMPUTED_VALUE"""),43466.0)</f>
        <v>43466</v>
      </c>
      <c r="G1028" s="18">
        <f>IFERROR(__xludf.DUMMYFUNCTION("""COMPUTED_VALUE"""),17.0)</f>
        <v>17</v>
      </c>
      <c r="H1028" s="131">
        <f>IFERROR(__xludf.DUMMYFUNCTION("""COMPUTED_VALUE"""),41600.0)</f>
        <v>41600</v>
      </c>
      <c r="I1028" s="18">
        <f>IFERROR(__xludf.DUMMYFUNCTION("""COMPUTED_VALUE"""),3.691666666666667)</f>
        <v>3.691666667</v>
      </c>
      <c r="J1028" s="22">
        <f>IFERROR(__xludf.DUMMYFUNCTION("""COMPUTED_VALUE"""),78.0)</f>
        <v>78</v>
      </c>
      <c r="K1028" s="22">
        <f>IFERROR(__xludf.DUMMYFUNCTION("""COMPUTED_VALUE"""),14.0)</f>
        <v>14</v>
      </c>
      <c r="L1028" s="26" t="str">
        <f>IFERROR(__xludf.DUMMYFUNCTION("""COMPUTED_VALUE"""),"RPG")</f>
        <v>RPG</v>
      </c>
    </row>
    <row r="1029">
      <c r="A1029" s="12" t="str">
        <f>IFERROR(__xludf.DUMMYFUNCTION("""COMPUTED_VALUE"""),"Electronic Super Joy")</f>
        <v>Electronic Super Joy</v>
      </c>
      <c r="B1029" s="13" t="str">
        <f>IFERROR(__xludf.DUMMYFUNCTION("""COMPUTED_VALUE"""),"Xbox")</f>
        <v>Xbox</v>
      </c>
      <c r="C1029" s="14"/>
      <c r="D1029" s="14" t="str">
        <f>IFERROR(__xludf.DUMMYFUNCTION("""COMPUTED_VALUE"""),"Removed")</f>
        <v>Removed</v>
      </c>
      <c r="E1029" s="294">
        <f>IFERROR(__xludf.DUMMYFUNCTION("""COMPUTED_VALUE"""),42887.0)</f>
        <v>42887</v>
      </c>
      <c r="F1029" s="15">
        <f>IFERROR(__xludf.DUMMYFUNCTION("""COMPUTED_VALUE"""),43466.0)</f>
        <v>43466</v>
      </c>
      <c r="G1029" s="18">
        <f>IFERROR(__xludf.DUMMYFUNCTION("""COMPUTED_VALUE"""),19.0)</f>
        <v>19</v>
      </c>
      <c r="H1029" s="131">
        <f>IFERROR(__xludf.DUMMYFUNCTION("""COMPUTED_VALUE"""),41509.0)</f>
        <v>41509</v>
      </c>
      <c r="I1029" s="18">
        <f>IFERROR(__xludf.DUMMYFUNCTION("""COMPUTED_VALUE"""),3.772222222222222)</f>
        <v>3.772222222</v>
      </c>
      <c r="J1029" s="22">
        <f>IFERROR(__xludf.DUMMYFUNCTION("""COMPUTED_VALUE"""),77.0)</f>
        <v>77</v>
      </c>
      <c r="K1029" s="22">
        <f>IFERROR(__xludf.DUMMYFUNCTION("""COMPUTED_VALUE"""),3.0)</f>
        <v>3</v>
      </c>
      <c r="L1029" s="26" t="str">
        <f>IFERROR(__xludf.DUMMYFUNCTION("""COMPUTED_VALUE"""),"Platformer")</f>
        <v>Platformer</v>
      </c>
    </row>
    <row r="1030">
      <c r="A1030" s="12" t="str">
        <f>IFERROR(__xludf.DUMMYFUNCTION("""COMPUTED_VALUE"""),"Roundabout")</f>
        <v>Roundabout</v>
      </c>
      <c r="B1030" s="13" t="str">
        <f>IFERROR(__xludf.DUMMYFUNCTION("""COMPUTED_VALUE"""),"Xbox")</f>
        <v>Xbox</v>
      </c>
      <c r="C1030" s="14"/>
      <c r="D1030" s="14" t="str">
        <f>IFERROR(__xludf.DUMMYFUNCTION("""COMPUTED_VALUE"""),"Removed")</f>
        <v>Removed</v>
      </c>
      <c r="E1030" s="294">
        <f>IFERROR(__xludf.DUMMYFUNCTION("""COMPUTED_VALUE"""),42887.0)</f>
        <v>42887</v>
      </c>
      <c r="F1030" s="15">
        <f>IFERROR(__xludf.DUMMYFUNCTION("""COMPUTED_VALUE"""),43466.0)</f>
        <v>43466</v>
      </c>
      <c r="G1030" s="18">
        <f>IFERROR(__xludf.DUMMYFUNCTION("""COMPUTED_VALUE"""),19.0)</f>
        <v>19</v>
      </c>
      <c r="H1030" s="131">
        <f>IFERROR(__xludf.DUMMYFUNCTION("""COMPUTED_VALUE"""),41900.0)</f>
        <v>41900</v>
      </c>
      <c r="I1030" s="18">
        <f>IFERROR(__xludf.DUMMYFUNCTION("""COMPUTED_VALUE"""),2.702777777777778)</f>
        <v>2.702777778</v>
      </c>
      <c r="J1030" s="22">
        <f>IFERROR(__xludf.DUMMYFUNCTION("""COMPUTED_VALUE"""),74.0)</f>
        <v>74</v>
      </c>
      <c r="K1030" s="22">
        <f>IFERROR(__xludf.DUMMYFUNCTION("""COMPUTED_VALUE"""),2.5)</f>
        <v>2.5</v>
      </c>
      <c r="L1030" s="26" t="str">
        <f>IFERROR(__xludf.DUMMYFUNCTION("""COMPUTED_VALUE"""),"Puzzle")</f>
        <v>Puzzle</v>
      </c>
    </row>
    <row r="1031">
      <c r="A1031" s="12" t="str">
        <f>IFERROR(__xludf.DUMMYFUNCTION("""COMPUTED_VALUE"""),"Steredenn")</f>
        <v>Steredenn</v>
      </c>
      <c r="B1031" s="13" t="str">
        <f>IFERROR(__xludf.DUMMYFUNCTION("""COMPUTED_VALUE"""),"Xbox")</f>
        <v>Xbox</v>
      </c>
      <c r="C1031" s="14"/>
      <c r="D1031" s="14" t="str">
        <f>IFERROR(__xludf.DUMMYFUNCTION("""COMPUTED_VALUE"""),"Removed")</f>
        <v>Removed</v>
      </c>
      <c r="E1031" s="294">
        <f>IFERROR(__xludf.DUMMYFUNCTION("""COMPUTED_VALUE"""),42887.0)</f>
        <v>42887</v>
      </c>
      <c r="F1031" s="15">
        <f>IFERROR(__xludf.DUMMYFUNCTION("""COMPUTED_VALUE"""),43466.0)</f>
        <v>43466</v>
      </c>
      <c r="G1031" s="18">
        <f>IFERROR(__xludf.DUMMYFUNCTION("""COMPUTED_VALUE"""),19.0)</f>
        <v>19</v>
      </c>
      <c r="H1031" s="131">
        <f>IFERROR(__xludf.DUMMYFUNCTION("""COMPUTED_VALUE"""),42142.0)</f>
        <v>42142</v>
      </c>
      <c r="I1031" s="18">
        <f>IFERROR(__xludf.DUMMYFUNCTION("""COMPUTED_VALUE"""),2.036111111111111)</f>
        <v>2.036111111</v>
      </c>
      <c r="J1031" s="22">
        <f>IFERROR(__xludf.DUMMYFUNCTION("""COMPUTED_VALUE"""),79.0)</f>
        <v>79</v>
      </c>
      <c r="K1031" s="22">
        <f>IFERROR(__xludf.DUMMYFUNCTION("""COMPUTED_VALUE"""),1.5)</f>
        <v>1.5</v>
      </c>
      <c r="L1031" s="26" t="str">
        <f>IFERROR(__xludf.DUMMYFUNCTION("""COMPUTED_VALUE"""),"Shoot 'Em Up")</f>
        <v>Shoot 'Em Up</v>
      </c>
    </row>
    <row r="1032">
      <c r="A1032" s="12" t="str">
        <f>IFERROR(__xludf.DUMMYFUNCTION("""COMPUTED_VALUE"""),"Bayonetta")</f>
        <v>Bayonetta</v>
      </c>
      <c r="B1032" s="13" t="str">
        <f>IFERROR(__xludf.DUMMYFUNCTION("""COMPUTED_VALUE"""),"Xbox")</f>
        <v>Xbox</v>
      </c>
      <c r="C1032" s="14"/>
      <c r="D1032" s="14" t="str">
        <f>IFERROR(__xludf.DUMMYFUNCTION("""COMPUTED_VALUE"""),"Removed")</f>
        <v>Removed</v>
      </c>
      <c r="E1032" s="294">
        <f>IFERROR(__xludf.DUMMYFUNCTION("""COMPUTED_VALUE"""),43101.0)</f>
        <v>43101</v>
      </c>
      <c r="F1032" s="15">
        <f>IFERROR(__xludf.DUMMYFUNCTION("""COMPUTED_VALUE"""),43435.0)</f>
        <v>43435</v>
      </c>
      <c r="G1032" s="18">
        <f>IFERROR(__xludf.DUMMYFUNCTION("""COMPUTED_VALUE"""),11.0)</f>
        <v>11</v>
      </c>
      <c r="H1032" s="131">
        <f>IFERROR(__xludf.DUMMYFUNCTION("""COMPUTED_VALUE"""),40115.0)</f>
        <v>40115</v>
      </c>
      <c r="I1032" s="18">
        <f>IFERROR(__xludf.DUMMYFUNCTION("""COMPUTED_VALUE"""),8.172222222222222)</f>
        <v>8.172222222</v>
      </c>
      <c r="J1032" s="22">
        <f>IFERROR(__xludf.DUMMYFUNCTION("""COMPUTED_VALUE"""),90.0)</f>
        <v>90</v>
      </c>
      <c r="K1032" s="22">
        <f>IFERROR(__xludf.DUMMYFUNCTION("""COMPUTED_VALUE"""),11.0)</f>
        <v>11</v>
      </c>
      <c r="L1032" s="26" t="str">
        <f>IFERROR(__xludf.DUMMYFUNCTION("""COMPUTED_VALUE"""),"Action")</f>
        <v>Action</v>
      </c>
    </row>
    <row r="1033">
      <c r="A1033" s="12" t="str">
        <f>IFERROR(__xludf.DUMMYFUNCTION("""COMPUTED_VALUE"""),"Deadlight: Director's Cut")</f>
        <v>Deadlight: Director's Cut</v>
      </c>
      <c r="B1033" s="13" t="str">
        <f>IFERROR(__xludf.DUMMYFUNCTION("""COMPUTED_VALUE"""),"Xbox")</f>
        <v>Xbox</v>
      </c>
      <c r="C1033" s="14"/>
      <c r="D1033" s="14" t="str">
        <f>IFERROR(__xludf.DUMMYFUNCTION("""COMPUTED_VALUE"""),"Removed")</f>
        <v>Removed</v>
      </c>
      <c r="E1033" s="294">
        <f>IFERROR(__xludf.DUMMYFUNCTION("""COMPUTED_VALUE"""),43101.0)</f>
        <v>43101</v>
      </c>
      <c r="F1033" s="15">
        <f>IFERROR(__xludf.DUMMYFUNCTION("""COMPUTED_VALUE"""),43435.0)</f>
        <v>43435</v>
      </c>
      <c r="G1033" s="18">
        <f>IFERROR(__xludf.DUMMYFUNCTION("""COMPUTED_VALUE"""),11.0)</f>
        <v>11</v>
      </c>
      <c r="H1033" s="131">
        <f>IFERROR(__xludf.DUMMYFUNCTION("""COMPUTED_VALUE"""),41900.0)</f>
        <v>41900</v>
      </c>
      <c r="I1033" s="18">
        <f>IFERROR(__xludf.DUMMYFUNCTION("""COMPUTED_VALUE"""),3.286111111111111)</f>
        <v>3.286111111</v>
      </c>
      <c r="J1033" s="22">
        <f>IFERROR(__xludf.DUMMYFUNCTION("""COMPUTED_VALUE"""),69.0)</f>
        <v>69</v>
      </c>
      <c r="K1033" s="22">
        <f>IFERROR(__xludf.DUMMYFUNCTION("""COMPUTED_VALUE"""),4.0)</f>
        <v>4</v>
      </c>
      <c r="L1033" s="26" t="str">
        <f>IFERROR(__xludf.DUMMYFUNCTION("""COMPUTED_VALUE"""),"RPG")</f>
        <v>RPG</v>
      </c>
    </row>
    <row r="1034">
      <c r="A1034" s="12" t="str">
        <f>IFERROR(__xludf.DUMMYFUNCTION("""COMPUTED_VALUE"""),"Injustice: Gods Among Us")</f>
        <v>Injustice: Gods Among Us</v>
      </c>
      <c r="B1034" s="13" t="str">
        <f>IFERROR(__xludf.DUMMYFUNCTION("""COMPUTED_VALUE"""),"Xbox")</f>
        <v>Xbox</v>
      </c>
      <c r="C1034" s="14"/>
      <c r="D1034" s="14" t="str">
        <f>IFERROR(__xludf.DUMMYFUNCTION("""COMPUTED_VALUE"""),"Removed")</f>
        <v>Removed</v>
      </c>
      <c r="E1034" s="294">
        <f>IFERROR(__xludf.DUMMYFUNCTION("""COMPUTED_VALUE"""),43101.0)</f>
        <v>43101</v>
      </c>
      <c r="F1034" s="15">
        <f>IFERROR(__xludf.DUMMYFUNCTION("""COMPUTED_VALUE"""),43435.0)</f>
        <v>43435</v>
      </c>
      <c r="G1034" s="18">
        <f>IFERROR(__xludf.DUMMYFUNCTION("""COMPUTED_VALUE"""),11.0)</f>
        <v>11</v>
      </c>
      <c r="H1034" s="131">
        <f>IFERROR(__xludf.DUMMYFUNCTION("""COMPUTED_VALUE"""),41380.0)</f>
        <v>41380</v>
      </c>
      <c r="I1034" s="18">
        <f>IFERROR(__xludf.DUMMYFUNCTION("""COMPUTED_VALUE"""),4.708333333333333)</f>
        <v>4.708333333</v>
      </c>
      <c r="J1034" s="22">
        <f>IFERROR(__xludf.DUMMYFUNCTION("""COMPUTED_VALUE"""),81.0)</f>
        <v>81</v>
      </c>
      <c r="K1034" s="22">
        <f>IFERROR(__xludf.DUMMYFUNCTION("""COMPUTED_VALUE"""),5.0)</f>
        <v>5</v>
      </c>
      <c r="L1034" s="26" t="str">
        <f>IFERROR(__xludf.DUMMYFUNCTION("""COMPUTED_VALUE"""),"Fighting")</f>
        <v>Fighting</v>
      </c>
    </row>
    <row r="1035">
      <c r="A1035" s="12" t="str">
        <f>IFERROR(__xludf.DUMMYFUNCTION("""COMPUTED_VALUE"""),"Metal Gear Solid V: Ground Zeroes")</f>
        <v>Metal Gear Solid V: Ground Zeroes</v>
      </c>
      <c r="B1035" s="13" t="str">
        <f>IFERROR(__xludf.DUMMYFUNCTION("""COMPUTED_VALUE"""),"Xbox")</f>
        <v>Xbox</v>
      </c>
      <c r="C1035" s="14"/>
      <c r="D1035" s="14" t="str">
        <f>IFERROR(__xludf.DUMMYFUNCTION("""COMPUTED_VALUE"""),"Removed")</f>
        <v>Removed</v>
      </c>
      <c r="E1035" s="294">
        <f>IFERROR(__xludf.DUMMYFUNCTION("""COMPUTED_VALUE"""),43101.0)</f>
        <v>43101</v>
      </c>
      <c r="F1035" s="15">
        <f>IFERROR(__xludf.DUMMYFUNCTION("""COMPUTED_VALUE"""),43435.0)</f>
        <v>43435</v>
      </c>
      <c r="G1035" s="18">
        <f>IFERROR(__xludf.DUMMYFUNCTION("""COMPUTED_VALUE"""),11.0)</f>
        <v>11</v>
      </c>
      <c r="H1035" s="131">
        <f>IFERROR(__xludf.DUMMYFUNCTION("""COMPUTED_VALUE"""),41716.0)</f>
        <v>41716</v>
      </c>
      <c r="I1035" s="18">
        <f>IFERROR(__xludf.DUMMYFUNCTION("""COMPUTED_VALUE"""),3.786111111111111)</f>
        <v>3.786111111</v>
      </c>
      <c r="J1035" s="22">
        <f>IFERROR(__xludf.DUMMYFUNCTION("""COMPUTED_VALUE"""),76.0)</f>
        <v>76</v>
      </c>
      <c r="K1035" s="22">
        <f>IFERROR(__xludf.DUMMYFUNCTION("""COMPUTED_VALUE"""),1.5)</f>
        <v>1.5</v>
      </c>
      <c r="L1035" s="26" t="str">
        <f>IFERROR(__xludf.DUMMYFUNCTION("""COMPUTED_VALUE"""),"Shooter")</f>
        <v>Shooter</v>
      </c>
    </row>
    <row r="1036">
      <c r="A1036" s="12" t="str">
        <f>IFERROR(__xludf.DUMMYFUNCTION("""COMPUTED_VALUE"""),"NBA Playgrounds")</f>
        <v>NBA Playgrounds</v>
      </c>
      <c r="B1036" s="13" t="str">
        <f>IFERROR(__xludf.DUMMYFUNCTION("""COMPUTED_VALUE"""),"Xbox")</f>
        <v>Xbox</v>
      </c>
      <c r="C1036" s="14"/>
      <c r="D1036" s="14" t="str">
        <f>IFERROR(__xludf.DUMMYFUNCTION("""COMPUTED_VALUE"""),"Removed")</f>
        <v>Removed</v>
      </c>
      <c r="E1036" s="294">
        <f>IFERROR(__xludf.DUMMYFUNCTION("""COMPUTED_VALUE"""),43101.0)</f>
        <v>43101</v>
      </c>
      <c r="F1036" s="15">
        <f>IFERROR(__xludf.DUMMYFUNCTION("""COMPUTED_VALUE"""),43435.0)</f>
        <v>43435</v>
      </c>
      <c r="G1036" s="18">
        <f>IFERROR(__xludf.DUMMYFUNCTION("""COMPUTED_VALUE"""),11.0)</f>
        <v>11</v>
      </c>
      <c r="H1036" s="131">
        <f>IFERROR(__xludf.DUMMYFUNCTION("""COMPUTED_VALUE"""),42863.0)</f>
        <v>42863</v>
      </c>
      <c r="I1036" s="18">
        <f>IFERROR(__xludf.DUMMYFUNCTION("""COMPUTED_VALUE"""),0.6472222222222223)</f>
        <v>0.6472222222</v>
      </c>
      <c r="J1036" s="22">
        <f>IFERROR(__xludf.DUMMYFUNCTION("""COMPUTED_VALUE"""),66.0)</f>
        <v>66</v>
      </c>
      <c r="K1036" s="22">
        <f>IFERROR(__xludf.DUMMYFUNCTION("""COMPUTED_VALUE"""),7.0)</f>
        <v>7</v>
      </c>
      <c r="L1036" s="26" t="str">
        <f>IFERROR(__xludf.DUMMYFUNCTION("""COMPUTED_VALUE"""),"Sports")</f>
        <v>Sports</v>
      </c>
    </row>
    <row r="1037">
      <c r="A1037" s="12" t="str">
        <f>IFERROR(__xludf.DUMMYFUNCTION("""COMPUTED_VALUE"""),"WRC 5: FIA World Rally Championships")</f>
        <v>WRC 5: FIA World Rally Championships</v>
      </c>
      <c r="B1037" s="13" t="str">
        <f>IFERROR(__xludf.DUMMYFUNCTION("""COMPUTED_VALUE"""),"Xbox")</f>
        <v>Xbox</v>
      </c>
      <c r="C1037" s="14"/>
      <c r="D1037" s="14" t="str">
        <f>IFERROR(__xludf.DUMMYFUNCTION("""COMPUTED_VALUE"""),"Removed")</f>
        <v>Removed</v>
      </c>
      <c r="E1037" s="294">
        <f>IFERROR(__xludf.DUMMYFUNCTION("""COMPUTED_VALUE"""),43101.0)</f>
        <v>43101</v>
      </c>
      <c r="F1037" s="15">
        <f>IFERROR(__xludf.DUMMYFUNCTION("""COMPUTED_VALUE"""),43435.0)</f>
        <v>43435</v>
      </c>
      <c r="G1037" s="18">
        <f>IFERROR(__xludf.DUMMYFUNCTION("""COMPUTED_VALUE"""),11.0)</f>
        <v>11</v>
      </c>
      <c r="H1037" s="131">
        <f>IFERROR(__xludf.DUMMYFUNCTION("""COMPUTED_VALUE"""),40459.0)</f>
        <v>40459</v>
      </c>
      <c r="I1037" s="18">
        <f>IFERROR(__xludf.DUMMYFUNCTION("""COMPUTED_VALUE"""),7.230555555555555)</f>
        <v>7.230555556</v>
      </c>
      <c r="J1037" s="22">
        <f>IFERROR(__xludf.DUMMYFUNCTION("""COMPUTED_VALUE"""),70.0)</f>
        <v>70</v>
      </c>
      <c r="K1037" s="22">
        <f>IFERROR(__xludf.DUMMYFUNCTION("""COMPUTED_VALUE"""),15.0)</f>
        <v>15</v>
      </c>
      <c r="L1037" s="26" t="str">
        <f>IFERROR(__xludf.DUMMYFUNCTION("""COMPUTED_VALUE"""),"Racing")</f>
        <v>Racing</v>
      </c>
    </row>
    <row r="1038">
      <c r="A1038" s="12" t="str">
        <f>IFERROR(__xludf.DUMMYFUNCTION("""COMPUTED_VALUE"""),"Farming Simulator 15")</f>
        <v>Farming Simulator 15</v>
      </c>
      <c r="B1038" s="13" t="str">
        <f>IFERROR(__xludf.DUMMYFUNCTION("""COMPUTED_VALUE"""),"Xbox")</f>
        <v>Xbox</v>
      </c>
      <c r="C1038" s="14"/>
      <c r="D1038" s="14" t="str">
        <f>IFERROR(__xludf.DUMMYFUNCTION("""COMPUTED_VALUE"""),"Removed")</f>
        <v>Removed</v>
      </c>
      <c r="E1038" s="294">
        <f>IFERROR(__xludf.DUMMYFUNCTION("""COMPUTED_VALUE"""),42887.0)</f>
        <v>42887</v>
      </c>
      <c r="F1038" s="15">
        <f>IFERROR(__xludf.DUMMYFUNCTION("""COMPUTED_VALUE"""),43435.0)</f>
        <v>43435</v>
      </c>
      <c r="G1038" s="18">
        <f>IFERROR(__xludf.DUMMYFUNCTION("""COMPUTED_VALUE"""),18.0)</f>
        <v>18</v>
      </c>
      <c r="H1038" s="131">
        <f>IFERROR(__xludf.DUMMYFUNCTION("""COMPUTED_VALUE"""),41942.0)</f>
        <v>41942</v>
      </c>
      <c r="I1038" s="18">
        <f>IFERROR(__xludf.DUMMYFUNCTION("""COMPUTED_VALUE"""),2.5861111111111112)</f>
        <v>2.586111111</v>
      </c>
      <c r="J1038" s="22">
        <f>IFERROR(__xludf.DUMMYFUNCTION("""COMPUTED_VALUE"""),54.0)</f>
        <v>54</v>
      </c>
      <c r="K1038" s="22">
        <f>IFERROR(__xludf.DUMMYFUNCTION("""COMPUTED_VALUE"""),60.5)</f>
        <v>60.5</v>
      </c>
      <c r="L1038" s="26" t="str">
        <f>IFERROR(__xludf.DUMMYFUNCTION("""COMPUTED_VALUE"""),"Simulation")</f>
        <v>Simulation</v>
      </c>
    </row>
    <row r="1039">
      <c r="A1039" s="12" t="str">
        <f>IFERROR(__xludf.DUMMYFUNCTION("""COMPUTED_VALUE"""),"The Technomancer")</f>
        <v>The Technomancer</v>
      </c>
      <c r="B1039" s="13" t="str">
        <f>IFERROR(__xludf.DUMMYFUNCTION("""COMPUTED_VALUE"""),"Xbox")</f>
        <v>Xbox</v>
      </c>
      <c r="C1039" s="14"/>
      <c r="D1039" s="14" t="str">
        <f>IFERROR(__xludf.DUMMYFUNCTION("""COMPUTED_VALUE"""),"Removed")</f>
        <v>Removed</v>
      </c>
      <c r="E1039" s="294">
        <f>IFERROR(__xludf.DUMMYFUNCTION("""COMPUTED_VALUE"""),43252.0)</f>
        <v>43252</v>
      </c>
      <c r="F1039" s="15">
        <f>IFERROR(__xludf.DUMMYFUNCTION("""COMPUTED_VALUE"""),43405.0)</f>
        <v>43405</v>
      </c>
      <c r="G1039" s="18">
        <f>IFERROR(__xludf.DUMMYFUNCTION("""COMPUTED_VALUE"""),5.0)</f>
        <v>5</v>
      </c>
      <c r="H1039" s="131">
        <f>IFERROR(__xludf.DUMMYFUNCTION("""COMPUTED_VALUE"""),42549.0)</f>
        <v>42549</v>
      </c>
      <c r="I1039" s="18">
        <f>IFERROR(__xludf.DUMMYFUNCTION("""COMPUTED_VALUE"""),1.925)</f>
        <v>1.925</v>
      </c>
      <c r="J1039" s="22">
        <f>IFERROR(__xludf.DUMMYFUNCTION("""COMPUTED_VALUE"""),68.0)</f>
        <v>68</v>
      </c>
      <c r="K1039" s="22">
        <f>IFERROR(__xludf.DUMMYFUNCTION("""COMPUTED_VALUE"""),20.5)</f>
        <v>20.5</v>
      </c>
      <c r="L1039" s="26" t="str">
        <f>IFERROR(__xludf.DUMMYFUNCTION("""COMPUTED_VALUE"""),"RPG")</f>
        <v>RPG</v>
      </c>
    </row>
    <row r="1040">
      <c r="A1040" s="12" t="str">
        <f>IFERROR(__xludf.DUMMYFUNCTION("""COMPUTED_VALUE"""),"Casey Powell Lacrosse 16")</f>
        <v>Casey Powell Lacrosse 16</v>
      </c>
      <c r="B1040" s="13" t="str">
        <f>IFERROR(__xludf.DUMMYFUNCTION("""COMPUTED_VALUE"""),"Xbox")</f>
        <v>Xbox</v>
      </c>
      <c r="C1040" s="14"/>
      <c r="D1040" s="14" t="str">
        <f>IFERROR(__xludf.DUMMYFUNCTION("""COMPUTED_VALUE"""),"Removed")</f>
        <v>Removed</v>
      </c>
      <c r="E1040" s="294">
        <f>IFERROR(__xludf.DUMMYFUNCTION("""COMPUTED_VALUE"""),43070.0)</f>
        <v>43070</v>
      </c>
      <c r="F1040" s="15">
        <f>IFERROR(__xludf.DUMMYFUNCTION("""COMPUTED_VALUE"""),43405.0)</f>
        <v>43405</v>
      </c>
      <c r="G1040" s="18">
        <f>IFERROR(__xludf.DUMMYFUNCTION("""COMPUTED_VALUE"""),11.0)</f>
        <v>11</v>
      </c>
      <c r="H1040" s="131">
        <f>IFERROR(__xludf.DUMMYFUNCTION("""COMPUTED_VALUE"""),42438.0)</f>
        <v>42438</v>
      </c>
      <c r="I1040" s="18">
        <f>IFERROR(__xludf.DUMMYFUNCTION("""COMPUTED_VALUE"""),1.7277777777777779)</f>
        <v>1.727777778</v>
      </c>
      <c r="J1040" s="22">
        <f>IFERROR(__xludf.DUMMYFUNCTION("""COMPUTED_VALUE"""),60.0)</f>
        <v>60</v>
      </c>
      <c r="K1040" s="22">
        <f>IFERROR(__xludf.DUMMYFUNCTION("""COMPUTED_VALUE"""),40.0)</f>
        <v>40</v>
      </c>
      <c r="L1040" s="26" t="str">
        <f>IFERROR(__xludf.DUMMYFUNCTION("""COMPUTED_VALUE"""),"Sports")</f>
        <v>Sports</v>
      </c>
    </row>
    <row r="1041">
      <c r="A1041" s="12" t="str">
        <f>IFERROR(__xludf.DUMMYFUNCTION("""COMPUTED_VALUE"""),"Mega Man 10")</f>
        <v>Mega Man 10</v>
      </c>
      <c r="B1041" s="13" t="str">
        <f>IFERROR(__xludf.DUMMYFUNCTION("""COMPUTED_VALUE"""),"Xbox")</f>
        <v>Xbox</v>
      </c>
      <c r="C1041" s="14"/>
      <c r="D1041" s="14" t="str">
        <f>IFERROR(__xludf.DUMMYFUNCTION("""COMPUTED_VALUE"""),"Removed")</f>
        <v>Removed</v>
      </c>
      <c r="E1041" s="294">
        <f>IFERROR(__xludf.DUMMYFUNCTION("""COMPUTED_VALUE"""),43070.0)</f>
        <v>43070</v>
      </c>
      <c r="F1041" s="15">
        <f>IFERROR(__xludf.DUMMYFUNCTION("""COMPUTED_VALUE"""),43405.0)</f>
        <v>43405</v>
      </c>
      <c r="G1041" s="18">
        <f>IFERROR(__xludf.DUMMYFUNCTION("""COMPUTED_VALUE"""),11.0)</f>
        <v>11</v>
      </c>
      <c r="H1041" s="131">
        <f>IFERROR(__xludf.DUMMYFUNCTION("""COMPUTED_VALUE"""),40238.0)</f>
        <v>40238</v>
      </c>
      <c r="I1041" s="18">
        <f>IFERROR(__xludf.DUMMYFUNCTION("""COMPUTED_VALUE"""),7.75)</f>
        <v>7.75</v>
      </c>
      <c r="J1041" s="22">
        <f>IFERROR(__xludf.DUMMYFUNCTION("""COMPUTED_VALUE"""),79.0)</f>
        <v>79</v>
      </c>
      <c r="K1041" s="22">
        <f>IFERROR(__xludf.DUMMYFUNCTION("""COMPUTED_VALUE"""),2.0)</f>
        <v>2</v>
      </c>
      <c r="L1041" s="26" t="str">
        <f>IFERROR(__xludf.DUMMYFUNCTION("""COMPUTED_VALUE"""),"Platformer")</f>
        <v>Platformer</v>
      </c>
    </row>
    <row r="1042">
      <c r="A1042" s="12" t="str">
        <f>IFERROR(__xludf.DUMMYFUNCTION("""COMPUTED_VALUE"""),"Sherlock Holmes: The Devil's Daughter")</f>
        <v>Sherlock Holmes: The Devil's Daughter</v>
      </c>
      <c r="B1042" s="13" t="str">
        <f>IFERROR(__xludf.DUMMYFUNCTION("""COMPUTED_VALUE"""),"Xbox")</f>
        <v>Xbox</v>
      </c>
      <c r="C1042" s="14"/>
      <c r="D1042" s="14" t="str">
        <f>IFERROR(__xludf.DUMMYFUNCTION("""COMPUTED_VALUE"""),"Removed")</f>
        <v>Removed</v>
      </c>
      <c r="E1042" s="294">
        <f>IFERROR(__xludf.DUMMYFUNCTION("""COMPUTED_VALUE"""),43070.0)</f>
        <v>43070</v>
      </c>
      <c r="F1042" s="15">
        <f>IFERROR(__xludf.DUMMYFUNCTION("""COMPUTED_VALUE"""),43405.0)</f>
        <v>43405</v>
      </c>
      <c r="G1042" s="18">
        <f>IFERROR(__xludf.DUMMYFUNCTION("""COMPUTED_VALUE"""),11.0)</f>
        <v>11</v>
      </c>
      <c r="H1042" s="131">
        <f>IFERROR(__xludf.DUMMYFUNCTION("""COMPUTED_VALUE"""),42531.0)</f>
        <v>42531</v>
      </c>
      <c r="I1042" s="18">
        <f>IFERROR(__xludf.DUMMYFUNCTION("""COMPUTED_VALUE"""),1.475)</f>
        <v>1.475</v>
      </c>
      <c r="J1042" s="22">
        <f>IFERROR(__xludf.DUMMYFUNCTION("""COMPUTED_VALUE"""),66.0)</f>
        <v>66</v>
      </c>
      <c r="K1042" s="22">
        <f>IFERROR(__xludf.DUMMYFUNCTION("""COMPUTED_VALUE"""),10.0)</f>
        <v>10</v>
      </c>
      <c r="L1042" s="26" t="str">
        <f>IFERROR(__xludf.DUMMYFUNCTION("""COMPUTED_VALUE"""),"Adventure")</f>
        <v>Adventure</v>
      </c>
    </row>
    <row r="1043">
      <c r="A1043" s="12" t="str">
        <f>IFERROR(__xludf.DUMMYFUNCTION("""COMPUTED_VALUE"""),"This War of Mine: The Little Ones")</f>
        <v>This War of Mine: The Little Ones</v>
      </c>
      <c r="B1043" s="13" t="str">
        <f>IFERROR(__xludf.DUMMYFUNCTION("""COMPUTED_VALUE"""),"Xbox")</f>
        <v>Xbox</v>
      </c>
      <c r="C1043" s="14"/>
      <c r="D1043" s="14" t="str">
        <f>IFERROR(__xludf.DUMMYFUNCTION("""COMPUTED_VALUE"""),"Removed")</f>
        <v>Removed</v>
      </c>
      <c r="E1043" s="294">
        <f>IFERROR(__xludf.DUMMYFUNCTION("""COMPUTED_VALUE"""),43070.0)</f>
        <v>43070</v>
      </c>
      <c r="F1043" s="15">
        <f>IFERROR(__xludf.DUMMYFUNCTION("""COMPUTED_VALUE"""),43405.0)</f>
        <v>43405</v>
      </c>
      <c r="G1043" s="18">
        <f>IFERROR(__xludf.DUMMYFUNCTION("""COMPUTED_VALUE"""),11.0)</f>
        <v>11</v>
      </c>
      <c r="H1043" s="131">
        <f>IFERROR(__xludf.DUMMYFUNCTION("""COMPUTED_VALUE"""),41957.0)</f>
        <v>41957</v>
      </c>
      <c r="I1043" s="18">
        <f>IFERROR(__xludf.DUMMYFUNCTION("""COMPUTED_VALUE"""),3.047222222222222)</f>
        <v>3.047222222</v>
      </c>
      <c r="J1043" s="22">
        <f>IFERROR(__xludf.DUMMYFUNCTION("""COMPUTED_VALUE"""),78.0)</f>
        <v>78</v>
      </c>
      <c r="K1043" s="22">
        <f>IFERROR(__xludf.DUMMYFUNCTION("""COMPUTED_VALUE"""),10.0)</f>
        <v>10</v>
      </c>
      <c r="L1043" s="26" t="str">
        <f>IFERROR(__xludf.DUMMYFUNCTION("""COMPUTED_VALUE"""),"Simulation")</f>
        <v>Simulation</v>
      </c>
    </row>
    <row r="1044">
      <c r="A1044" s="12" t="str">
        <f>IFERROR(__xludf.DUMMYFUNCTION("""COMPUTED_VALUE"""),"Resident Evil Zero")</f>
        <v>Resident Evil Zero</v>
      </c>
      <c r="B1044" s="13" t="str">
        <f>IFERROR(__xludf.DUMMYFUNCTION("""COMPUTED_VALUE"""),"Xbox")</f>
        <v>Xbox</v>
      </c>
      <c r="C1044" s="14"/>
      <c r="D1044" s="14" t="str">
        <f>IFERROR(__xludf.DUMMYFUNCTION("""COMPUTED_VALUE"""),"Removed")</f>
        <v>Removed</v>
      </c>
      <c r="E1044" s="294">
        <f>IFERROR(__xludf.DUMMYFUNCTION("""COMPUTED_VALUE"""),42887.0)</f>
        <v>42887</v>
      </c>
      <c r="F1044" s="15">
        <f>IFERROR(__xludf.DUMMYFUNCTION("""COMPUTED_VALUE"""),43405.0)</f>
        <v>43405</v>
      </c>
      <c r="G1044" s="18">
        <f>IFERROR(__xludf.DUMMYFUNCTION("""COMPUTED_VALUE"""),17.0)</f>
        <v>17</v>
      </c>
      <c r="H1044" s="131">
        <f>IFERROR(__xludf.DUMMYFUNCTION("""COMPUTED_VALUE"""),37570.0)</f>
        <v>37570</v>
      </c>
      <c r="I1044" s="18">
        <f>IFERROR(__xludf.DUMMYFUNCTION("""COMPUTED_VALUE"""),14.558333333333334)</f>
        <v>14.55833333</v>
      </c>
      <c r="J1044" s="22">
        <f>IFERROR(__xludf.DUMMYFUNCTION("""COMPUTED_VALUE"""),69.0)</f>
        <v>69</v>
      </c>
      <c r="K1044" s="22">
        <f>IFERROR(__xludf.DUMMYFUNCTION("""COMPUTED_VALUE"""),11.5)</f>
        <v>11.5</v>
      </c>
      <c r="L1044" s="26" t="str">
        <f>IFERROR(__xludf.DUMMYFUNCTION("""COMPUTED_VALUE"""),"Action-Adventure")</f>
        <v>Action-Adventure</v>
      </c>
    </row>
    <row r="1045">
      <c r="A1045" s="12" t="str">
        <f>IFERROR(__xludf.DUMMYFUNCTION("""COMPUTED_VALUE"""),"Oddworld: New 'n' Tasty")</f>
        <v>Oddworld: New 'n' Tasty</v>
      </c>
      <c r="B1045" s="13" t="str">
        <f>IFERROR(__xludf.DUMMYFUNCTION("""COMPUTED_VALUE"""),"Xbox")</f>
        <v>Xbox</v>
      </c>
      <c r="C1045" s="14"/>
      <c r="D1045" s="14" t="str">
        <f>IFERROR(__xludf.DUMMYFUNCTION("""COMPUTED_VALUE"""),"Removed")</f>
        <v>Removed</v>
      </c>
      <c r="E1045" s="294">
        <f>IFERROR(__xludf.DUMMYFUNCTION("""COMPUTED_VALUE"""),43041.0)</f>
        <v>43041</v>
      </c>
      <c r="F1045" s="15">
        <f>IFERROR(__xludf.DUMMYFUNCTION("""COMPUTED_VALUE"""),43374.0)</f>
        <v>43374</v>
      </c>
      <c r="G1045" s="18">
        <f>IFERROR(__xludf.DUMMYFUNCTION("""COMPUTED_VALUE"""),10.966666666666667)</f>
        <v>10.96666667</v>
      </c>
      <c r="H1045" s="131">
        <f>IFERROR(__xludf.DUMMYFUNCTION("""COMPUTED_VALUE"""),41842.0)</f>
        <v>41842</v>
      </c>
      <c r="I1045" s="18">
        <f>IFERROR(__xludf.DUMMYFUNCTION("""COMPUTED_VALUE"""),3.2777777777777777)</f>
        <v>3.277777778</v>
      </c>
      <c r="J1045" s="22">
        <f>IFERROR(__xludf.DUMMYFUNCTION("""COMPUTED_VALUE"""),86.0)</f>
        <v>86</v>
      </c>
      <c r="K1045" s="22">
        <f>IFERROR(__xludf.DUMMYFUNCTION("""COMPUTED_VALUE"""),7.5)</f>
        <v>7.5</v>
      </c>
      <c r="L1045" s="26" t="str">
        <f>IFERROR(__xludf.DUMMYFUNCTION("""COMPUTED_VALUE"""),"Platformer")</f>
        <v>Platformer</v>
      </c>
    </row>
    <row r="1046">
      <c r="A1046" s="12" t="str">
        <f>IFERROR(__xludf.DUMMYFUNCTION("""COMPUTED_VALUE"""),"Mega Man 9")</f>
        <v>Mega Man 9</v>
      </c>
      <c r="B1046" s="13" t="str">
        <f>IFERROR(__xludf.DUMMYFUNCTION("""COMPUTED_VALUE"""),"Xbox")</f>
        <v>Xbox</v>
      </c>
      <c r="C1046" s="14"/>
      <c r="D1046" s="14" t="str">
        <f>IFERROR(__xludf.DUMMYFUNCTION("""COMPUTED_VALUE"""),"Removed")</f>
        <v>Removed</v>
      </c>
      <c r="E1046" s="294">
        <f>IFERROR(__xludf.DUMMYFUNCTION("""COMPUTED_VALUE"""),43040.0)</f>
        <v>43040</v>
      </c>
      <c r="F1046" s="15">
        <f>IFERROR(__xludf.DUMMYFUNCTION("""COMPUTED_VALUE"""),43374.0)</f>
        <v>43374</v>
      </c>
      <c r="G1046" s="18">
        <f>IFERROR(__xludf.DUMMYFUNCTION("""COMPUTED_VALUE"""),11.0)</f>
        <v>11</v>
      </c>
      <c r="H1046" s="131">
        <f>IFERROR(__xludf.DUMMYFUNCTION("""COMPUTED_VALUE"""),39713.0)</f>
        <v>39713</v>
      </c>
      <c r="I1046" s="18">
        <f>IFERROR(__xludf.DUMMYFUNCTION("""COMPUTED_VALUE"""),9.108333333333333)</f>
        <v>9.108333333</v>
      </c>
      <c r="J1046" s="22">
        <f>IFERROR(__xludf.DUMMYFUNCTION("""COMPUTED_VALUE"""),82.0)</f>
        <v>82</v>
      </c>
      <c r="K1046" s="22">
        <f>IFERROR(__xludf.DUMMYFUNCTION("""COMPUTED_VALUE"""),3.5)</f>
        <v>3.5</v>
      </c>
      <c r="L1046" s="26" t="str">
        <f>IFERROR(__xludf.DUMMYFUNCTION("""COMPUTED_VALUE"""),"Platformer")</f>
        <v>Platformer</v>
      </c>
    </row>
    <row r="1047">
      <c r="A1047" s="12" t="str">
        <f>IFERROR(__xludf.DUMMYFUNCTION("""COMPUTED_VALUE"""),"Resident Evil")</f>
        <v>Resident Evil</v>
      </c>
      <c r="B1047" s="13" t="str">
        <f>IFERROR(__xludf.DUMMYFUNCTION("""COMPUTED_VALUE"""),"Xbox")</f>
        <v>Xbox</v>
      </c>
      <c r="C1047" s="14"/>
      <c r="D1047" s="14" t="str">
        <f>IFERROR(__xludf.DUMMYFUNCTION("""COMPUTED_VALUE"""),"Removed")</f>
        <v>Removed</v>
      </c>
      <c r="E1047" s="294">
        <f>IFERROR(__xludf.DUMMYFUNCTION("""COMPUTED_VALUE"""),43040.0)</f>
        <v>43040</v>
      </c>
      <c r="F1047" s="15">
        <f>IFERROR(__xludf.DUMMYFUNCTION("""COMPUTED_VALUE"""),43374.0)</f>
        <v>43374</v>
      </c>
      <c r="G1047" s="18">
        <f>IFERROR(__xludf.DUMMYFUNCTION("""COMPUTED_VALUE"""),11.0)</f>
        <v>11</v>
      </c>
      <c r="H1047" s="131">
        <f>IFERROR(__xludf.DUMMYFUNCTION("""COMPUTED_VALUE"""),37337.0)</f>
        <v>37337</v>
      </c>
      <c r="I1047" s="18">
        <f>IFERROR(__xludf.DUMMYFUNCTION("""COMPUTED_VALUE"""),15.608333333333333)</f>
        <v>15.60833333</v>
      </c>
      <c r="J1047" s="22">
        <f>IFERROR(__xludf.DUMMYFUNCTION("""COMPUTED_VALUE"""),82.0)</f>
        <v>82</v>
      </c>
      <c r="K1047" s="22">
        <f>IFERROR(__xludf.DUMMYFUNCTION("""COMPUTED_VALUE"""),11.0)</f>
        <v>11</v>
      </c>
      <c r="L1047" s="26" t="str">
        <f>IFERROR(__xludf.DUMMYFUNCTION("""COMPUTED_VALUE"""),"Action-Adventure")</f>
        <v>Action-Adventure</v>
      </c>
    </row>
    <row r="1048">
      <c r="A1048" s="12" t="str">
        <f>IFERROR(__xludf.DUMMYFUNCTION("""COMPUTED_VALUE"""),"Sky Force: Anniversary")</f>
        <v>Sky Force: Anniversary</v>
      </c>
      <c r="B1048" s="13" t="str">
        <f>IFERROR(__xludf.DUMMYFUNCTION("""COMPUTED_VALUE"""),"Xbox")</f>
        <v>Xbox</v>
      </c>
      <c r="C1048" s="14"/>
      <c r="D1048" s="14" t="str">
        <f>IFERROR(__xludf.DUMMYFUNCTION("""COMPUTED_VALUE"""),"Removed")</f>
        <v>Removed</v>
      </c>
      <c r="E1048" s="294">
        <f>IFERROR(__xludf.DUMMYFUNCTION("""COMPUTED_VALUE"""),43040.0)</f>
        <v>43040</v>
      </c>
      <c r="F1048" s="15">
        <f>IFERROR(__xludf.DUMMYFUNCTION("""COMPUTED_VALUE"""),43374.0)</f>
        <v>43374</v>
      </c>
      <c r="G1048" s="18">
        <f>IFERROR(__xludf.DUMMYFUNCTION("""COMPUTED_VALUE"""),11.0)</f>
        <v>11</v>
      </c>
      <c r="H1048" s="131">
        <f>IFERROR(__xludf.DUMMYFUNCTION("""COMPUTED_VALUE"""),42124.0)</f>
        <v>42124</v>
      </c>
      <c r="I1048" s="18">
        <f>IFERROR(__xludf.DUMMYFUNCTION("""COMPUTED_VALUE"""),2.5027777777777778)</f>
        <v>2.502777778</v>
      </c>
      <c r="J1048" s="22">
        <f>IFERROR(__xludf.DUMMYFUNCTION("""COMPUTED_VALUE"""),77.0)</f>
        <v>77</v>
      </c>
      <c r="K1048" s="22">
        <f>IFERROR(__xludf.DUMMYFUNCTION("""COMPUTED_VALUE"""),8.0)</f>
        <v>8</v>
      </c>
      <c r="L1048" s="26" t="str">
        <f>IFERROR(__xludf.DUMMYFUNCTION("""COMPUTED_VALUE"""),"Shooter")</f>
        <v>Shooter</v>
      </c>
    </row>
    <row r="1049">
      <c r="A1049" s="12" t="str">
        <f>IFERROR(__xludf.DUMMYFUNCTION("""COMPUTED_VALUE"""),"World of Van Helsing: Deathtrap")</f>
        <v>World of Van Helsing: Deathtrap</v>
      </c>
      <c r="B1049" s="13" t="str">
        <f>IFERROR(__xludf.DUMMYFUNCTION("""COMPUTED_VALUE"""),"Xbox")</f>
        <v>Xbox</v>
      </c>
      <c r="C1049" s="14"/>
      <c r="D1049" s="14" t="str">
        <f>IFERROR(__xludf.DUMMYFUNCTION("""COMPUTED_VALUE"""),"Removed")</f>
        <v>Removed</v>
      </c>
      <c r="E1049" s="294">
        <f>IFERROR(__xludf.DUMMYFUNCTION("""COMPUTED_VALUE"""),43040.0)</f>
        <v>43040</v>
      </c>
      <c r="F1049" s="15">
        <f>IFERROR(__xludf.DUMMYFUNCTION("""COMPUTED_VALUE"""),43374.0)</f>
        <v>43374</v>
      </c>
      <c r="G1049" s="18">
        <f>IFERROR(__xludf.DUMMYFUNCTION("""COMPUTED_VALUE"""),11.0)</f>
        <v>11</v>
      </c>
      <c r="H1049" s="131">
        <f>IFERROR(__xludf.DUMMYFUNCTION("""COMPUTED_VALUE"""),42038.0)</f>
        <v>42038</v>
      </c>
      <c r="I1049" s="18">
        <f>IFERROR(__xludf.DUMMYFUNCTION("""COMPUTED_VALUE"""),2.7444444444444445)</f>
        <v>2.744444444</v>
      </c>
      <c r="J1049" s="22">
        <f>IFERROR(__xludf.DUMMYFUNCTION("""COMPUTED_VALUE"""),80.0)</f>
        <v>80</v>
      </c>
      <c r="K1049" s="22">
        <f>IFERROR(__xludf.DUMMYFUNCTION("""COMPUTED_VALUE"""),7.0)</f>
        <v>7</v>
      </c>
      <c r="L1049" s="26" t="str">
        <f>IFERROR(__xludf.DUMMYFUNCTION("""COMPUTED_VALUE"""),"Strategy")</f>
        <v>Strategy</v>
      </c>
    </row>
    <row r="1050">
      <c r="A1050" s="12" t="str">
        <f>IFERROR(__xludf.DUMMYFUNCTION("""COMPUTED_VALUE"""),"Maldita Castilla EX: Cursed Castilla")</f>
        <v>Maldita Castilla EX: Cursed Castilla</v>
      </c>
      <c r="B1050" s="13" t="str">
        <f>IFERROR(__xludf.DUMMYFUNCTION("""COMPUTED_VALUE"""),"Xbox")</f>
        <v>Xbox</v>
      </c>
      <c r="C1050" s="14"/>
      <c r="D1050" s="14" t="str">
        <f>IFERROR(__xludf.DUMMYFUNCTION("""COMPUTED_VALUE"""),"Removed")</f>
        <v>Removed</v>
      </c>
      <c r="E1050" s="294">
        <f>IFERROR(__xludf.DUMMYFUNCTION("""COMPUTED_VALUE"""),43009.0)</f>
        <v>43009</v>
      </c>
      <c r="F1050" s="15">
        <f>IFERROR(__xludf.DUMMYFUNCTION("""COMPUTED_VALUE"""),43344.0)</f>
        <v>43344</v>
      </c>
      <c r="G1050" s="18">
        <f>IFERROR(__xludf.DUMMYFUNCTION("""COMPUTED_VALUE"""),11.0)</f>
        <v>11</v>
      </c>
      <c r="H1050" s="131">
        <f>IFERROR(__xludf.DUMMYFUNCTION("""COMPUTED_VALUE"""),41255.0)</f>
        <v>41255</v>
      </c>
      <c r="I1050" s="18">
        <f>IFERROR(__xludf.DUMMYFUNCTION("""COMPUTED_VALUE"""),4.802777777777778)</f>
        <v>4.802777778</v>
      </c>
      <c r="J1050" s="22">
        <f>IFERROR(__xludf.DUMMYFUNCTION("""COMPUTED_VALUE"""),81.0)</f>
        <v>81</v>
      </c>
      <c r="K1050" s="22">
        <f>IFERROR(__xludf.DUMMYFUNCTION("""COMPUTED_VALUE"""),5.5)</f>
        <v>5.5</v>
      </c>
      <c r="L1050" s="26" t="str">
        <f>IFERROR(__xludf.DUMMYFUNCTION("""COMPUTED_VALUE"""),"Platformer")</f>
        <v>Platformer</v>
      </c>
    </row>
    <row r="1051">
      <c r="A1051" s="12" t="str">
        <f>IFERROR(__xludf.DUMMYFUNCTION("""COMPUTED_VALUE"""),"Saints Row: Gat Out of Hell")</f>
        <v>Saints Row: Gat Out of Hell</v>
      </c>
      <c r="B1051" s="13" t="str">
        <f>IFERROR(__xludf.DUMMYFUNCTION("""COMPUTED_VALUE"""),"Xbox")</f>
        <v>Xbox</v>
      </c>
      <c r="C1051" s="14"/>
      <c r="D1051" s="14" t="str">
        <f>IFERROR(__xludf.DUMMYFUNCTION("""COMPUTED_VALUE"""),"Removed")</f>
        <v>Removed</v>
      </c>
      <c r="E1051" s="294">
        <f>IFERROR(__xludf.DUMMYFUNCTION("""COMPUTED_VALUE"""),43009.0)</f>
        <v>43009</v>
      </c>
      <c r="F1051" s="15">
        <f>IFERROR(__xludf.DUMMYFUNCTION("""COMPUTED_VALUE"""),43344.0)</f>
        <v>43344</v>
      </c>
      <c r="G1051" s="18">
        <f>IFERROR(__xludf.DUMMYFUNCTION("""COMPUTED_VALUE"""),11.0)</f>
        <v>11</v>
      </c>
      <c r="H1051" s="131">
        <f>IFERROR(__xludf.DUMMYFUNCTION("""COMPUTED_VALUE"""),42024.0)</f>
        <v>42024</v>
      </c>
      <c r="I1051" s="18">
        <f>IFERROR(__xludf.DUMMYFUNCTION("""COMPUTED_VALUE"""),2.6972222222222224)</f>
        <v>2.697222222</v>
      </c>
      <c r="J1051" s="22">
        <f>IFERROR(__xludf.DUMMYFUNCTION("""COMPUTED_VALUE"""),65.0)</f>
        <v>65</v>
      </c>
      <c r="K1051" s="22">
        <f>IFERROR(__xludf.DUMMYFUNCTION("""COMPUTED_VALUE"""),4.0)</f>
        <v>4</v>
      </c>
      <c r="L1051" s="26" t="str">
        <f>IFERROR(__xludf.DUMMYFUNCTION("""COMPUTED_VALUE"""),"Shooter")</f>
        <v>Shooter</v>
      </c>
    </row>
    <row r="1052">
      <c r="A1052" s="12" t="str">
        <f>IFERROR(__xludf.DUMMYFUNCTION("""COMPUTED_VALUE"""),"The Bug Butcher")</f>
        <v>The Bug Butcher</v>
      </c>
      <c r="B1052" s="13" t="str">
        <f>IFERROR(__xludf.DUMMYFUNCTION("""COMPUTED_VALUE"""),"Xbox")</f>
        <v>Xbox</v>
      </c>
      <c r="C1052" s="14"/>
      <c r="D1052" s="14" t="str">
        <f>IFERROR(__xludf.DUMMYFUNCTION("""COMPUTED_VALUE"""),"Removed")</f>
        <v>Removed</v>
      </c>
      <c r="E1052" s="294">
        <f>IFERROR(__xludf.DUMMYFUNCTION("""COMPUTED_VALUE"""),43009.0)</f>
        <v>43009</v>
      </c>
      <c r="F1052" s="15">
        <f>IFERROR(__xludf.DUMMYFUNCTION("""COMPUTED_VALUE"""),43344.0)</f>
        <v>43344</v>
      </c>
      <c r="G1052" s="18">
        <f>IFERROR(__xludf.DUMMYFUNCTION("""COMPUTED_VALUE"""),11.0)</f>
        <v>11</v>
      </c>
      <c r="H1052" s="131">
        <f>IFERROR(__xludf.DUMMYFUNCTION("""COMPUTED_VALUE"""),42388.0)</f>
        <v>42388</v>
      </c>
      <c r="I1052" s="18">
        <f>IFERROR(__xludf.DUMMYFUNCTION("""COMPUTED_VALUE"""),1.7)</f>
        <v>1.7</v>
      </c>
      <c r="J1052" s="22">
        <f>IFERROR(__xludf.DUMMYFUNCTION("""COMPUTED_VALUE"""),80.0)</f>
        <v>80</v>
      </c>
      <c r="K1052" s="22">
        <f>IFERROR(__xludf.DUMMYFUNCTION("""COMPUTED_VALUE"""),2.0)</f>
        <v>2</v>
      </c>
      <c r="L1052" s="26" t="str">
        <f>IFERROR(__xludf.DUMMYFUNCTION("""COMPUTED_VALUE"""),"Shooter")</f>
        <v>Shooter</v>
      </c>
    </row>
    <row r="1053">
      <c r="A1053" s="12" t="str">
        <f>IFERROR(__xludf.DUMMYFUNCTION("""COMPUTED_VALUE"""),"Tower of Guns")</f>
        <v>Tower of Guns</v>
      </c>
      <c r="B1053" s="13" t="str">
        <f>IFERROR(__xludf.DUMMYFUNCTION("""COMPUTED_VALUE"""),"Xbox")</f>
        <v>Xbox</v>
      </c>
      <c r="C1053" s="14"/>
      <c r="D1053" s="14" t="str">
        <f>IFERROR(__xludf.DUMMYFUNCTION("""COMPUTED_VALUE"""),"Removed")</f>
        <v>Removed</v>
      </c>
      <c r="E1053" s="294">
        <f>IFERROR(__xludf.DUMMYFUNCTION("""COMPUTED_VALUE"""),43009.0)</f>
        <v>43009</v>
      </c>
      <c r="F1053" s="15">
        <f>IFERROR(__xludf.DUMMYFUNCTION("""COMPUTED_VALUE"""),43344.0)</f>
        <v>43344</v>
      </c>
      <c r="G1053" s="18">
        <f>IFERROR(__xludf.DUMMYFUNCTION("""COMPUTED_VALUE"""),11.0)</f>
        <v>11</v>
      </c>
      <c r="H1053" s="131">
        <f>IFERROR(__xludf.DUMMYFUNCTION("""COMPUTED_VALUE"""),41702.0)</f>
        <v>41702</v>
      </c>
      <c r="I1053" s="18">
        <f>IFERROR(__xludf.DUMMYFUNCTION("""COMPUTED_VALUE"""),3.575)</f>
        <v>3.575</v>
      </c>
      <c r="J1053" s="22">
        <f>IFERROR(__xludf.DUMMYFUNCTION("""COMPUTED_VALUE"""),71.0)</f>
        <v>71</v>
      </c>
      <c r="K1053" s="22">
        <f>IFERROR(__xludf.DUMMYFUNCTION("""COMPUTED_VALUE"""),2.5)</f>
        <v>2.5</v>
      </c>
      <c r="L1053" s="26" t="str">
        <f>IFERROR(__xludf.DUMMYFUNCTION("""COMPUTED_VALUE"""),"Shooter")</f>
        <v>Shooter</v>
      </c>
    </row>
    <row r="1054">
      <c r="A1054" s="12" t="str">
        <f>IFERROR(__xludf.DUMMYFUNCTION("""COMPUTED_VALUE"""),"Pro Evolution Soccer 2018")</f>
        <v>Pro Evolution Soccer 2018</v>
      </c>
      <c r="B1054" s="13" t="str">
        <f>IFERROR(__xludf.DUMMYFUNCTION("""COMPUTED_VALUE"""),"Xbox")</f>
        <v>Xbox</v>
      </c>
      <c r="C1054" s="14"/>
      <c r="D1054" s="14" t="str">
        <f>IFERROR(__xludf.DUMMYFUNCTION("""COMPUTED_VALUE"""),"Removed")</f>
        <v>Removed</v>
      </c>
      <c r="E1054" s="294">
        <f>IFERROR(__xludf.DUMMYFUNCTION("""COMPUTED_VALUE"""),43221.0)</f>
        <v>43221</v>
      </c>
      <c r="F1054" s="15">
        <f>IFERROR(__xludf.DUMMYFUNCTION("""COMPUTED_VALUE"""),43313.0)</f>
        <v>43313</v>
      </c>
      <c r="G1054" s="18">
        <f>IFERROR(__xludf.DUMMYFUNCTION("""COMPUTED_VALUE"""),3.0)</f>
        <v>3</v>
      </c>
      <c r="H1054" s="131">
        <f>IFERROR(__xludf.DUMMYFUNCTION("""COMPUTED_VALUE"""),42990.0)</f>
        <v>42990</v>
      </c>
      <c r="I1054" s="18">
        <f>IFERROR(__xludf.DUMMYFUNCTION("""COMPUTED_VALUE"""),0.6361111111111111)</f>
        <v>0.6361111111</v>
      </c>
      <c r="J1054" s="22">
        <f>IFERROR(__xludf.DUMMYFUNCTION("""COMPUTED_VALUE"""),82.0)</f>
        <v>82</v>
      </c>
      <c r="K1054" s="22">
        <f>IFERROR(__xludf.DUMMYFUNCTION("""COMPUTED_VALUE"""),85.5)</f>
        <v>85.5</v>
      </c>
      <c r="L1054" s="26" t="str">
        <f>IFERROR(__xludf.DUMMYFUNCTION("""COMPUTED_VALUE"""),"Soccer")</f>
        <v>Soccer</v>
      </c>
    </row>
    <row r="1055">
      <c r="A1055" s="12" t="str">
        <f>IFERROR(__xludf.DUMMYFUNCTION("""COMPUTED_VALUE"""),"10 Second Ninja X")</f>
        <v>10 Second Ninja X</v>
      </c>
      <c r="B1055" s="13" t="str">
        <f>IFERROR(__xludf.DUMMYFUNCTION("""COMPUTED_VALUE"""),"Xbox")</f>
        <v>Xbox</v>
      </c>
      <c r="C1055" s="14"/>
      <c r="D1055" s="14" t="str">
        <f>IFERROR(__xludf.DUMMYFUNCTION("""COMPUTED_VALUE"""),"Removed")</f>
        <v>Removed</v>
      </c>
      <c r="E1055" s="294">
        <f>IFERROR(__xludf.DUMMYFUNCTION("""COMPUTED_VALUE"""),42979.0)</f>
        <v>42979</v>
      </c>
      <c r="F1055" s="15">
        <f>IFERROR(__xludf.DUMMYFUNCTION("""COMPUTED_VALUE"""),43313.0)</f>
        <v>43313</v>
      </c>
      <c r="G1055" s="18">
        <f>IFERROR(__xludf.DUMMYFUNCTION("""COMPUTED_VALUE"""),11.0)</f>
        <v>11</v>
      </c>
      <c r="H1055" s="131">
        <f>IFERROR(__xludf.DUMMYFUNCTION("""COMPUTED_VALUE"""),42570.0)</f>
        <v>42570</v>
      </c>
      <c r="I1055" s="18">
        <f>IFERROR(__xludf.DUMMYFUNCTION("""COMPUTED_VALUE"""),1.1166666666666667)</f>
        <v>1.116666667</v>
      </c>
      <c r="J1055" s="22">
        <f>IFERROR(__xludf.DUMMYFUNCTION("""COMPUTED_VALUE"""),82.0)</f>
        <v>82</v>
      </c>
      <c r="K1055" s="22">
        <f>IFERROR(__xludf.DUMMYFUNCTION("""COMPUTED_VALUE"""),2.0)</f>
        <v>2</v>
      </c>
      <c r="L1055" s="26" t="str">
        <f>IFERROR(__xludf.DUMMYFUNCTION("""COMPUTED_VALUE"""),"Platformer")</f>
        <v>Platformer</v>
      </c>
    </row>
    <row r="1056">
      <c r="A1056" s="12" t="str">
        <f>IFERROR(__xludf.DUMMYFUNCTION("""COMPUTED_VALUE"""),"The Bridge")</f>
        <v>The Bridge</v>
      </c>
      <c r="B1056" s="13" t="str">
        <f>IFERROR(__xludf.DUMMYFUNCTION("""COMPUTED_VALUE"""),"Xbox")</f>
        <v>Xbox</v>
      </c>
      <c r="C1056" s="14"/>
      <c r="D1056" s="14" t="str">
        <f>IFERROR(__xludf.DUMMYFUNCTION("""COMPUTED_VALUE"""),"Removed")</f>
        <v>Removed</v>
      </c>
      <c r="E1056" s="294">
        <f>IFERROR(__xludf.DUMMYFUNCTION("""COMPUTED_VALUE"""),42979.0)</f>
        <v>42979</v>
      </c>
      <c r="F1056" s="15">
        <f>IFERROR(__xludf.DUMMYFUNCTION("""COMPUTED_VALUE"""),43313.0)</f>
        <v>43313</v>
      </c>
      <c r="G1056" s="18">
        <f>IFERROR(__xludf.DUMMYFUNCTION("""COMPUTED_VALUE"""),11.0)</f>
        <v>11</v>
      </c>
      <c r="H1056" s="131">
        <f>IFERROR(__xludf.DUMMYFUNCTION("""COMPUTED_VALUE"""),41327.0)</f>
        <v>41327</v>
      </c>
      <c r="I1056" s="18">
        <f>IFERROR(__xludf.DUMMYFUNCTION("""COMPUTED_VALUE"""),4.525)</f>
        <v>4.525</v>
      </c>
      <c r="J1056" s="22">
        <f>IFERROR(__xludf.DUMMYFUNCTION("""COMPUTED_VALUE"""),72.0)</f>
        <v>72</v>
      </c>
      <c r="K1056" s="22">
        <f>IFERROR(__xludf.DUMMYFUNCTION("""COMPUTED_VALUE"""),4.0)</f>
        <v>4</v>
      </c>
      <c r="L1056" s="26" t="str">
        <f>IFERROR(__xludf.DUMMYFUNCTION("""COMPUTED_VALUE"""),"Platformer")</f>
        <v>Platformer</v>
      </c>
    </row>
    <row r="1057">
      <c r="A1057" s="12" t="str">
        <f>IFERROR(__xludf.DUMMYFUNCTION("""COMPUTED_VALUE"""),"Galaga Legions DX")</f>
        <v>Galaga Legions DX</v>
      </c>
      <c r="B1057" s="13" t="str">
        <f>IFERROR(__xludf.DUMMYFUNCTION("""COMPUTED_VALUE"""),"Xbox")</f>
        <v>Xbox</v>
      </c>
      <c r="C1057" s="14"/>
      <c r="D1057" s="14" t="str">
        <f>IFERROR(__xludf.DUMMYFUNCTION("""COMPUTED_VALUE"""),"Removed")</f>
        <v>Removed</v>
      </c>
      <c r="E1057" s="294">
        <f>IFERROR(__xludf.DUMMYFUNCTION("""COMPUTED_VALUE"""),42887.0)</f>
        <v>42887</v>
      </c>
      <c r="F1057" s="15">
        <f>IFERROR(__xludf.DUMMYFUNCTION("""COMPUTED_VALUE"""),43313.0)</f>
        <v>43313</v>
      </c>
      <c r="G1057" s="18">
        <f>IFERROR(__xludf.DUMMYFUNCTION("""COMPUTED_VALUE"""),14.0)</f>
        <v>14</v>
      </c>
      <c r="H1057" s="131">
        <f>IFERROR(__xludf.DUMMYFUNCTION("""COMPUTED_VALUE"""),40722.0)</f>
        <v>40722</v>
      </c>
      <c r="I1057" s="18">
        <f>IFERROR(__xludf.DUMMYFUNCTION("""COMPUTED_VALUE"""),5.925)</f>
        <v>5.925</v>
      </c>
      <c r="J1057" s="22">
        <f>IFERROR(__xludf.DUMMYFUNCTION("""COMPUTED_VALUE"""),74.0)</f>
        <v>74</v>
      </c>
      <c r="K1057" s="22">
        <f>IFERROR(__xludf.DUMMYFUNCTION("""COMPUTED_VALUE"""),1.5)</f>
        <v>1.5</v>
      </c>
      <c r="L1057" s="26" t="str">
        <f>IFERROR(__xludf.DUMMYFUNCTION("""COMPUTED_VALUE"""),"Shooter")</f>
        <v>Shooter</v>
      </c>
    </row>
    <row r="1058">
      <c r="A1058" s="12" t="str">
        <f>IFERROR(__xludf.DUMMYFUNCTION("""COMPUTED_VALUE"""),"Pac-Man Museum")</f>
        <v>Pac-Man Museum</v>
      </c>
      <c r="B1058" s="13" t="str">
        <f>IFERROR(__xludf.DUMMYFUNCTION("""COMPUTED_VALUE"""),"Xbox")</f>
        <v>Xbox</v>
      </c>
      <c r="C1058" s="14"/>
      <c r="D1058" s="14" t="str">
        <f>IFERROR(__xludf.DUMMYFUNCTION("""COMPUTED_VALUE"""),"Removed")</f>
        <v>Removed</v>
      </c>
      <c r="E1058" s="294">
        <f>IFERROR(__xludf.DUMMYFUNCTION("""COMPUTED_VALUE"""),42887.0)</f>
        <v>42887</v>
      </c>
      <c r="F1058" s="15">
        <f>IFERROR(__xludf.DUMMYFUNCTION("""COMPUTED_VALUE"""),43313.0)</f>
        <v>43313</v>
      </c>
      <c r="G1058" s="18">
        <f>IFERROR(__xludf.DUMMYFUNCTION("""COMPUTED_VALUE"""),14.0)</f>
        <v>14</v>
      </c>
      <c r="H1058" s="131">
        <f>IFERROR(__xludf.DUMMYFUNCTION("""COMPUTED_VALUE"""),41695.0)</f>
        <v>41695</v>
      </c>
      <c r="I1058" s="18">
        <f>IFERROR(__xludf.DUMMYFUNCTION("""COMPUTED_VALUE"""),3.2666666666666666)</f>
        <v>3.266666667</v>
      </c>
      <c r="J1058" s="22">
        <f>IFERROR(__xludf.DUMMYFUNCTION("""COMPUTED_VALUE"""),64.0)</f>
        <v>64</v>
      </c>
      <c r="K1058" s="22">
        <f>IFERROR(__xludf.DUMMYFUNCTION("""COMPUTED_VALUE"""),3.0)</f>
        <v>3</v>
      </c>
      <c r="L1058" s="26" t="str">
        <f>IFERROR(__xludf.DUMMYFUNCTION("""COMPUTED_VALUE"""),"Compilation")</f>
        <v>Compilation</v>
      </c>
    </row>
    <row r="1059">
      <c r="A1059" s="12" t="str">
        <f>IFERROR(__xludf.DUMMYFUNCTION("""COMPUTED_VALUE"""),"SoulCalibur II HD Online")</f>
        <v>SoulCalibur II HD Online</v>
      </c>
      <c r="B1059" s="13" t="str">
        <f>IFERROR(__xludf.DUMMYFUNCTION("""COMPUTED_VALUE"""),"Xbox")</f>
        <v>Xbox</v>
      </c>
      <c r="C1059" s="14"/>
      <c r="D1059" s="14" t="str">
        <f>IFERROR(__xludf.DUMMYFUNCTION("""COMPUTED_VALUE"""),"Removed")</f>
        <v>Removed</v>
      </c>
      <c r="E1059" s="294">
        <f>IFERROR(__xludf.DUMMYFUNCTION("""COMPUTED_VALUE"""),42887.0)</f>
        <v>42887</v>
      </c>
      <c r="F1059" s="15">
        <f>IFERROR(__xludf.DUMMYFUNCTION("""COMPUTED_VALUE"""),43313.0)</f>
        <v>43313</v>
      </c>
      <c r="G1059" s="18">
        <f>IFERROR(__xludf.DUMMYFUNCTION("""COMPUTED_VALUE"""),14.0)</f>
        <v>14</v>
      </c>
      <c r="H1059" s="131">
        <f>IFERROR(__xludf.DUMMYFUNCTION("""COMPUTED_VALUE"""),41597.0)</f>
        <v>41597</v>
      </c>
      <c r="I1059" s="18">
        <f>IFERROR(__xludf.DUMMYFUNCTION("""COMPUTED_VALUE"""),3.533333333333333)</f>
        <v>3.533333333</v>
      </c>
      <c r="J1059" s="22">
        <f>IFERROR(__xludf.DUMMYFUNCTION("""COMPUTED_VALUE"""),76.0)</f>
        <v>76</v>
      </c>
      <c r="K1059" s="22">
        <f>IFERROR(__xludf.DUMMYFUNCTION("""COMPUTED_VALUE"""),3.0)</f>
        <v>3</v>
      </c>
      <c r="L1059" s="26" t="str">
        <f>IFERROR(__xludf.DUMMYFUNCTION("""COMPUTED_VALUE"""),"Fighting")</f>
        <v>Fighting</v>
      </c>
    </row>
    <row r="1060">
      <c r="A1060" s="12" t="str">
        <f>IFERROR(__xludf.DUMMYFUNCTION("""COMPUTED_VALUE"""),"Tekken Tag Tournament 2")</f>
        <v>Tekken Tag Tournament 2</v>
      </c>
      <c r="B1060" s="13" t="str">
        <f>IFERROR(__xludf.DUMMYFUNCTION("""COMPUTED_VALUE"""),"Xbox")</f>
        <v>Xbox</v>
      </c>
      <c r="C1060" s="14"/>
      <c r="D1060" s="14" t="str">
        <f>IFERROR(__xludf.DUMMYFUNCTION("""COMPUTED_VALUE"""),"Removed")</f>
        <v>Removed</v>
      </c>
      <c r="E1060" s="294">
        <f>IFERROR(__xludf.DUMMYFUNCTION("""COMPUTED_VALUE"""),42887.0)</f>
        <v>42887</v>
      </c>
      <c r="F1060" s="15">
        <f>IFERROR(__xludf.DUMMYFUNCTION("""COMPUTED_VALUE"""),43313.0)</f>
        <v>43313</v>
      </c>
      <c r="G1060" s="18">
        <f>IFERROR(__xludf.DUMMYFUNCTION("""COMPUTED_VALUE"""),14.0)</f>
        <v>14</v>
      </c>
      <c r="H1060" s="131">
        <f>IFERROR(__xludf.DUMMYFUNCTION("""COMPUTED_VALUE"""),40797.0)</f>
        <v>40797</v>
      </c>
      <c r="I1060" s="18">
        <f>IFERROR(__xludf.DUMMYFUNCTION("""COMPUTED_VALUE"""),5.722222222222222)</f>
        <v>5.722222222</v>
      </c>
      <c r="J1060" s="22">
        <f>IFERROR(__xludf.DUMMYFUNCTION("""COMPUTED_VALUE"""),83.0)</f>
        <v>83</v>
      </c>
      <c r="K1060" s="22">
        <f>IFERROR(__xludf.DUMMYFUNCTION("""COMPUTED_VALUE"""),1.5)</f>
        <v>1.5</v>
      </c>
      <c r="L1060" s="26" t="str">
        <f>IFERROR(__xludf.DUMMYFUNCTION("""COMPUTED_VALUE"""),"Fighting")</f>
        <v>Fighting</v>
      </c>
    </row>
    <row r="1061">
      <c r="A1061" s="12" t="str">
        <f>IFERROR(__xludf.DUMMYFUNCTION("""COMPUTED_VALUE"""),"Overcooked!")</f>
        <v>Overcooked!</v>
      </c>
      <c r="B1061" s="13" t="str">
        <f>IFERROR(__xludf.DUMMYFUNCTION("""COMPUTED_VALUE"""),"Xbox")</f>
        <v>Xbox</v>
      </c>
      <c r="C1061" s="14"/>
      <c r="D1061" s="14" t="str">
        <f>IFERROR(__xludf.DUMMYFUNCTION("""COMPUTED_VALUE"""),"Removed")</f>
        <v>Removed</v>
      </c>
      <c r="E1061" s="294">
        <f>IFERROR(__xludf.DUMMYFUNCTION("""COMPUTED_VALUE"""),43221.0)</f>
        <v>43221</v>
      </c>
      <c r="F1061" s="15">
        <f>IFERROR(__xludf.DUMMYFUNCTION("""COMPUTED_VALUE"""),43282.0)</f>
        <v>43282</v>
      </c>
      <c r="G1061" s="18">
        <f>IFERROR(__xludf.DUMMYFUNCTION("""COMPUTED_VALUE"""),2.0)</f>
        <v>2</v>
      </c>
      <c r="H1061" s="131">
        <f>IFERROR(__xludf.DUMMYFUNCTION("""COMPUTED_VALUE"""),42585.0)</f>
        <v>42585</v>
      </c>
      <c r="I1061" s="18">
        <f>IFERROR(__xludf.DUMMYFUNCTION("""COMPUTED_VALUE"""),1.7444444444444445)</f>
        <v>1.744444444</v>
      </c>
      <c r="J1061" s="22">
        <f>IFERROR(__xludf.DUMMYFUNCTION("""COMPUTED_VALUE"""),80.0)</f>
        <v>80</v>
      </c>
      <c r="K1061" s="22">
        <f>IFERROR(__xludf.DUMMYFUNCTION("""COMPUTED_VALUE"""),8.0)</f>
        <v>8</v>
      </c>
      <c r="L1061" s="26" t="str">
        <f>IFERROR(__xludf.DUMMYFUNCTION("""COMPUTED_VALUE"""),"Simulation")</f>
        <v>Simulation</v>
      </c>
    </row>
    <row r="1062">
      <c r="A1062" s="12" t="str">
        <f>IFERROR(__xludf.DUMMYFUNCTION("""COMPUTED_VALUE"""),"Pharaonic")</f>
        <v>Pharaonic</v>
      </c>
      <c r="B1062" s="13" t="str">
        <f>IFERROR(__xludf.DUMMYFUNCTION("""COMPUTED_VALUE"""),"Xbox")</f>
        <v>Xbox</v>
      </c>
      <c r="C1062" s="14"/>
      <c r="D1062" s="14" t="str">
        <f>IFERROR(__xludf.DUMMYFUNCTION("""COMPUTED_VALUE"""),"Removed")</f>
        <v>Removed</v>
      </c>
      <c r="E1062" s="294">
        <f>IFERROR(__xludf.DUMMYFUNCTION("""COMPUTED_VALUE"""),42948.0)</f>
        <v>42948</v>
      </c>
      <c r="F1062" s="15">
        <f>IFERROR(__xludf.DUMMYFUNCTION("""COMPUTED_VALUE"""),43282.0)</f>
        <v>43282</v>
      </c>
      <c r="G1062" s="18">
        <f>IFERROR(__xludf.DUMMYFUNCTION("""COMPUTED_VALUE"""),11.0)</f>
        <v>11</v>
      </c>
      <c r="H1062" s="131">
        <f>IFERROR(__xludf.DUMMYFUNCTION("""COMPUTED_VALUE"""),42488.0)</f>
        <v>42488</v>
      </c>
      <c r="I1062" s="18">
        <f>IFERROR(__xludf.DUMMYFUNCTION("""COMPUTED_VALUE"""),1.2583333333333333)</f>
        <v>1.258333333</v>
      </c>
      <c r="J1062" s="22">
        <f>IFERROR(__xludf.DUMMYFUNCTION("""COMPUTED_VALUE"""),71.0)</f>
        <v>71</v>
      </c>
      <c r="K1062" s="22">
        <f>IFERROR(__xludf.DUMMYFUNCTION("""COMPUTED_VALUE"""),11.0)</f>
        <v>11</v>
      </c>
      <c r="L1062" s="26" t="str">
        <f>IFERROR(__xludf.DUMMYFUNCTION("""COMPUTED_VALUE"""),"RPG")</f>
        <v>RPG</v>
      </c>
    </row>
    <row r="1063">
      <c r="A1063" s="12" t="str">
        <f>IFERROR(__xludf.DUMMYFUNCTION("""COMPUTED_VALUE"""),"So Many Me")</f>
        <v>So Many Me</v>
      </c>
      <c r="B1063" s="13" t="str">
        <f>IFERROR(__xludf.DUMMYFUNCTION("""COMPUTED_VALUE"""),"Xbox")</f>
        <v>Xbox</v>
      </c>
      <c r="C1063" s="14"/>
      <c r="D1063" s="14" t="str">
        <f>IFERROR(__xludf.DUMMYFUNCTION("""COMPUTED_VALUE"""),"Removed")</f>
        <v>Removed</v>
      </c>
      <c r="E1063" s="294">
        <f>IFERROR(__xludf.DUMMYFUNCTION("""COMPUTED_VALUE"""),42948.0)</f>
        <v>42948</v>
      </c>
      <c r="F1063" s="15">
        <f>IFERROR(__xludf.DUMMYFUNCTION("""COMPUTED_VALUE"""),43282.0)</f>
        <v>43282</v>
      </c>
      <c r="G1063" s="18">
        <f>IFERROR(__xludf.DUMMYFUNCTION("""COMPUTED_VALUE"""),11.0)</f>
        <v>11</v>
      </c>
      <c r="H1063" s="131">
        <f>IFERROR(__xludf.DUMMYFUNCTION("""COMPUTED_VALUE"""),42201.0)</f>
        <v>42201</v>
      </c>
      <c r="I1063" s="18">
        <f>IFERROR(__xludf.DUMMYFUNCTION("""COMPUTED_VALUE"""),2.0416666666666665)</f>
        <v>2.041666667</v>
      </c>
      <c r="J1063" s="22">
        <f>IFERROR(__xludf.DUMMYFUNCTION("""COMPUTED_VALUE"""),82.0)</f>
        <v>82</v>
      </c>
      <c r="K1063" s="22">
        <f>IFERROR(__xludf.DUMMYFUNCTION("""COMPUTED_VALUE"""),10.0)</f>
        <v>10</v>
      </c>
      <c r="L1063" s="26" t="str">
        <f>IFERROR(__xludf.DUMMYFUNCTION("""COMPUTED_VALUE"""),"Platformer")</f>
        <v>Platformer</v>
      </c>
    </row>
    <row r="1064">
      <c r="A1064" s="12" t="str">
        <f>IFERROR(__xludf.DUMMYFUNCTION("""COMPUTED_VALUE"""),"Ultratron")</f>
        <v>Ultratron</v>
      </c>
      <c r="B1064" s="13" t="str">
        <f>IFERROR(__xludf.DUMMYFUNCTION("""COMPUTED_VALUE"""),"Xbox")</f>
        <v>Xbox</v>
      </c>
      <c r="C1064" s="14"/>
      <c r="D1064" s="14" t="str">
        <f>IFERROR(__xludf.DUMMYFUNCTION("""COMPUTED_VALUE"""),"Removed")</f>
        <v>Removed</v>
      </c>
      <c r="E1064" s="294">
        <f>IFERROR(__xludf.DUMMYFUNCTION("""COMPUTED_VALUE"""),42948.0)</f>
        <v>42948</v>
      </c>
      <c r="F1064" s="15">
        <f>IFERROR(__xludf.DUMMYFUNCTION("""COMPUTED_VALUE"""),43282.0)</f>
        <v>43282</v>
      </c>
      <c r="G1064" s="18">
        <f>IFERROR(__xludf.DUMMYFUNCTION("""COMPUTED_VALUE"""),11.0)</f>
        <v>11</v>
      </c>
      <c r="H1064" s="131">
        <f>IFERROR(__xludf.DUMMYFUNCTION("""COMPUTED_VALUE"""),41351.0)</f>
        <v>41351</v>
      </c>
      <c r="I1064" s="18">
        <f>IFERROR(__xludf.DUMMYFUNCTION("""COMPUTED_VALUE"""),4.3694444444444445)</f>
        <v>4.369444444</v>
      </c>
      <c r="J1064" s="22">
        <f>IFERROR(__xludf.DUMMYFUNCTION("""COMPUTED_VALUE"""),74.0)</f>
        <v>74</v>
      </c>
      <c r="K1064" s="22">
        <f>IFERROR(__xludf.DUMMYFUNCTION("""COMPUTED_VALUE"""),2.5)</f>
        <v>2.5</v>
      </c>
      <c r="L1064" s="26" t="str">
        <f>IFERROR(__xludf.DUMMYFUNCTION("""COMPUTED_VALUE"""),"Shooter")</f>
        <v>Shooter</v>
      </c>
    </row>
    <row r="1065">
      <c r="A1065" s="12" t="str">
        <f>IFERROR(__xludf.DUMMYFUNCTION("""COMPUTED_VALUE"""),"Bomberman Live: Battlefest")</f>
        <v>Bomberman Live: Battlefest</v>
      </c>
      <c r="B1065" s="13" t="str">
        <f>IFERROR(__xludf.DUMMYFUNCTION("""COMPUTED_VALUE"""),"Xbox")</f>
        <v>Xbox</v>
      </c>
      <c r="C1065" s="14"/>
      <c r="D1065" s="14" t="str">
        <f>IFERROR(__xludf.DUMMYFUNCTION("""COMPUTED_VALUE"""),"Removed")</f>
        <v>Removed</v>
      </c>
      <c r="E1065" s="294">
        <f>IFERROR(__xludf.DUMMYFUNCTION("""COMPUTED_VALUE"""),43206.0)</f>
        <v>43206</v>
      </c>
      <c r="F1065" s="15">
        <f>IFERROR(__xludf.DUMMYFUNCTION("""COMPUTED_VALUE"""),43252.0)</f>
        <v>43252</v>
      </c>
      <c r="G1065" s="18">
        <f>IFERROR(__xludf.DUMMYFUNCTION("""COMPUTED_VALUE"""),1.5)</f>
        <v>1.5</v>
      </c>
      <c r="H1065" s="131">
        <f>IFERROR(__xludf.DUMMYFUNCTION("""COMPUTED_VALUE"""),40520.0)</f>
        <v>40520</v>
      </c>
      <c r="I1065" s="18">
        <f>IFERROR(__xludf.DUMMYFUNCTION("""COMPUTED_VALUE"""),7.355555555555555)</f>
        <v>7.355555556</v>
      </c>
      <c r="J1065" s="22">
        <f>IFERROR(__xludf.DUMMYFUNCTION("""COMPUTED_VALUE"""),70.0)</f>
        <v>70</v>
      </c>
      <c r="K1065" s="22">
        <f>IFERROR(__xludf.DUMMYFUNCTION("""COMPUTED_VALUE"""),1.0)</f>
        <v>1</v>
      </c>
      <c r="L1065" s="26" t="str">
        <f>IFERROR(__xludf.DUMMYFUNCTION("""COMPUTED_VALUE"""),"Action")</f>
        <v>Action</v>
      </c>
    </row>
    <row r="1066">
      <c r="A1066" s="12" t="str">
        <f>IFERROR(__xludf.DUMMYFUNCTION("""COMPUTED_VALUE"""),"Bard's Gold")</f>
        <v>Bard's Gold</v>
      </c>
      <c r="B1066" s="13" t="str">
        <f>IFERROR(__xludf.DUMMYFUNCTION("""COMPUTED_VALUE"""),"Xbox")</f>
        <v>Xbox</v>
      </c>
      <c r="C1066" s="14"/>
      <c r="D1066" s="14" t="str">
        <f>IFERROR(__xludf.DUMMYFUNCTION("""COMPUTED_VALUE"""),"Removed")</f>
        <v>Removed</v>
      </c>
      <c r="E1066" s="294">
        <f>IFERROR(__xludf.DUMMYFUNCTION("""COMPUTED_VALUE"""),42917.0)</f>
        <v>42917</v>
      </c>
      <c r="F1066" s="15">
        <f>IFERROR(__xludf.DUMMYFUNCTION("""COMPUTED_VALUE"""),43252.0)</f>
        <v>43252</v>
      </c>
      <c r="G1066" s="18">
        <f>IFERROR(__xludf.DUMMYFUNCTION("""COMPUTED_VALUE"""),11.0)</f>
        <v>11</v>
      </c>
      <c r="H1066" s="131">
        <f>IFERROR(__xludf.DUMMYFUNCTION("""COMPUTED_VALUE"""),42230.0)</f>
        <v>42230</v>
      </c>
      <c r="I1066" s="18">
        <f>IFERROR(__xludf.DUMMYFUNCTION("""COMPUTED_VALUE"""),1.8805555555555555)</f>
        <v>1.880555556</v>
      </c>
      <c r="J1066" s="22">
        <f>IFERROR(__xludf.DUMMYFUNCTION("""COMPUTED_VALUE"""),63.0)</f>
        <v>63</v>
      </c>
      <c r="K1066" s="22">
        <f>IFERROR(__xludf.DUMMYFUNCTION("""COMPUTED_VALUE"""),5.0)</f>
        <v>5</v>
      </c>
      <c r="L1066" s="26" t="str">
        <f>IFERROR(__xludf.DUMMYFUNCTION("""COMPUTED_VALUE"""),"Platformer")</f>
        <v>Platformer</v>
      </c>
    </row>
    <row r="1067">
      <c r="A1067" s="12" t="str">
        <f>IFERROR(__xludf.DUMMYFUNCTION("""COMPUTED_VALUE"""),"Monaco: What's Yours is Mine")</f>
        <v>Monaco: What's Yours is Mine</v>
      </c>
      <c r="B1067" s="13" t="str">
        <f>IFERROR(__xludf.DUMMYFUNCTION("""COMPUTED_VALUE"""),"Xbox")</f>
        <v>Xbox</v>
      </c>
      <c r="C1067" s="14"/>
      <c r="D1067" s="14" t="str">
        <f>IFERROR(__xludf.DUMMYFUNCTION("""COMPUTED_VALUE"""),"Removed")</f>
        <v>Removed</v>
      </c>
      <c r="E1067" s="294">
        <f>IFERROR(__xludf.DUMMYFUNCTION("""COMPUTED_VALUE"""),42917.0)</f>
        <v>42917</v>
      </c>
      <c r="F1067" s="15">
        <f>IFERROR(__xludf.DUMMYFUNCTION("""COMPUTED_VALUE"""),43252.0)</f>
        <v>43252</v>
      </c>
      <c r="G1067" s="18">
        <f>IFERROR(__xludf.DUMMYFUNCTION("""COMPUTED_VALUE"""),11.0)</f>
        <v>11</v>
      </c>
      <c r="H1067" s="131">
        <f>IFERROR(__xludf.DUMMYFUNCTION("""COMPUTED_VALUE"""),41388.0)</f>
        <v>41388</v>
      </c>
      <c r="I1067" s="18">
        <f>IFERROR(__xludf.DUMMYFUNCTION("""COMPUTED_VALUE"""),4.186111111111111)</f>
        <v>4.186111111</v>
      </c>
      <c r="J1067" s="22">
        <f>IFERROR(__xludf.DUMMYFUNCTION("""COMPUTED_VALUE"""),81.0)</f>
        <v>81</v>
      </c>
      <c r="K1067" s="22">
        <f>IFERROR(__xludf.DUMMYFUNCTION("""COMPUTED_VALUE"""),8.0)</f>
        <v>8</v>
      </c>
      <c r="L1067" s="26" t="str">
        <f>IFERROR(__xludf.DUMMYFUNCTION("""COMPUTED_VALUE"""),"Action")</f>
        <v>Action</v>
      </c>
    </row>
    <row r="1068">
      <c r="A1068" s="12" t="str">
        <f>IFERROR(__xludf.DUMMYFUNCTION("""COMPUTED_VALUE"""),"Resident Evil 6")</f>
        <v>Resident Evil 6</v>
      </c>
      <c r="B1068" s="13" t="str">
        <f>IFERROR(__xludf.DUMMYFUNCTION("""COMPUTED_VALUE"""),"Xbox")</f>
        <v>Xbox</v>
      </c>
      <c r="C1068" s="14"/>
      <c r="D1068" s="14" t="str">
        <f>IFERROR(__xludf.DUMMYFUNCTION("""COMPUTED_VALUE"""),"Removed")</f>
        <v>Removed</v>
      </c>
      <c r="E1068" s="294">
        <f>IFERROR(__xludf.DUMMYFUNCTION("""COMPUTED_VALUE"""),42917.0)</f>
        <v>42917</v>
      </c>
      <c r="F1068" s="15">
        <f>IFERROR(__xludf.DUMMYFUNCTION("""COMPUTED_VALUE"""),43252.0)</f>
        <v>43252</v>
      </c>
      <c r="G1068" s="18">
        <f>IFERROR(__xludf.DUMMYFUNCTION("""COMPUTED_VALUE"""),11.0)</f>
        <v>11</v>
      </c>
      <c r="H1068" s="131">
        <f>IFERROR(__xludf.DUMMYFUNCTION("""COMPUTED_VALUE"""),41184.0)</f>
        <v>41184</v>
      </c>
      <c r="I1068" s="18">
        <f>IFERROR(__xludf.DUMMYFUNCTION("""COMPUTED_VALUE"""),4.747222222222222)</f>
        <v>4.747222222</v>
      </c>
      <c r="J1068" s="22">
        <f>IFERROR(__xludf.DUMMYFUNCTION("""COMPUTED_VALUE"""),63.0)</f>
        <v>63</v>
      </c>
      <c r="K1068" s="22">
        <f>IFERROR(__xludf.DUMMYFUNCTION("""COMPUTED_VALUE"""),21.5)</f>
        <v>21.5</v>
      </c>
      <c r="L1068" s="26" t="str">
        <f>IFERROR(__xludf.DUMMYFUNCTION("""COMPUTED_VALUE"""),"Shooter")</f>
        <v>Shooter</v>
      </c>
    </row>
    <row r="1069">
      <c r="A1069" s="12" t="str">
        <f>IFERROR(__xludf.DUMMYFUNCTION("""COMPUTED_VALUE"""),"BioShock Infinite")</f>
        <v>BioShock Infinite</v>
      </c>
      <c r="B1069" s="13" t="str">
        <f>IFERROR(__xludf.DUMMYFUNCTION("""COMPUTED_VALUE"""),"Xbox")</f>
        <v>Xbox</v>
      </c>
      <c r="C1069" s="14"/>
      <c r="D1069" s="14" t="str">
        <f>IFERROR(__xludf.DUMMYFUNCTION("""COMPUTED_VALUE"""),"Removed")</f>
        <v>Removed</v>
      </c>
      <c r="E1069" s="294">
        <f>IFERROR(__xludf.DUMMYFUNCTION("""COMPUTED_VALUE"""),42887.0)</f>
        <v>42887</v>
      </c>
      <c r="F1069" s="15">
        <f>IFERROR(__xludf.DUMMYFUNCTION("""COMPUTED_VALUE"""),43224.0)</f>
        <v>43224</v>
      </c>
      <c r="G1069" s="18">
        <f>IFERROR(__xludf.DUMMYFUNCTION("""COMPUTED_VALUE"""),11.100000000000001)</f>
        <v>11.1</v>
      </c>
      <c r="H1069" s="131">
        <f>IFERROR(__xludf.DUMMYFUNCTION("""COMPUTED_VALUE"""),41359.0)</f>
        <v>41359</v>
      </c>
      <c r="I1069" s="18">
        <f>IFERROR(__xludf.DUMMYFUNCTION("""COMPUTED_VALUE"""),4.180555555555555)</f>
        <v>4.180555556</v>
      </c>
      <c r="J1069" s="22">
        <f>IFERROR(__xludf.DUMMYFUNCTION("""COMPUTED_VALUE"""),93.0)</f>
        <v>93</v>
      </c>
      <c r="K1069" s="22">
        <f>IFERROR(__xludf.DUMMYFUNCTION("""COMPUTED_VALUE"""),11.5)</f>
        <v>11.5</v>
      </c>
      <c r="L1069" s="26" t="str">
        <f>IFERROR(__xludf.DUMMYFUNCTION("""COMPUTED_VALUE"""),"Shooter")</f>
        <v>Shooter</v>
      </c>
    </row>
    <row r="1070">
      <c r="A1070" s="12" t="str">
        <f>IFERROR(__xludf.DUMMYFUNCTION("""COMPUTED_VALUE"""),"BioShock 2")</f>
        <v>BioShock 2</v>
      </c>
      <c r="B1070" s="13" t="str">
        <f>IFERROR(__xludf.DUMMYFUNCTION("""COMPUTED_VALUE"""),"Xbox")</f>
        <v>Xbox</v>
      </c>
      <c r="C1070" s="14"/>
      <c r="D1070" s="14" t="str">
        <f>IFERROR(__xludf.DUMMYFUNCTION("""COMPUTED_VALUE"""),"Removed")</f>
        <v>Removed</v>
      </c>
      <c r="E1070" s="294">
        <f>IFERROR(__xludf.DUMMYFUNCTION("""COMPUTED_VALUE"""),42887.0)</f>
        <v>42887</v>
      </c>
      <c r="F1070" s="15">
        <f>IFERROR(__xludf.DUMMYFUNCTION("""COMPUTED_VALUE"""),43223.0)</f>
        <v>43223</v>
      </c>
      <c r="G1070" s="18">
        <f>IFERROR(__xludf.DUMMYFUNCTION("""COMPUTED_VALUE"""),11.066666666666666)</f>
        <v>11.06666667</v>
      </c>
      <c r="H1070" s="131">
        <f>IFERROR(__xludf.DUMMYFUNCTION("""COMPUTED_VALUE"""),40218.0)</f>
        <v>40218</v>
      </c>
      <c r="I1070" s="18">
        <f>IFERROR(__xludf.DUMMYFUNCTION("""COMPUTED_VALUE"""),7.311111111111111)</f>
        <v>7.311111111</v>
      </c>
      <c r="J1070" s="22">
        <f>IFERROR(__xludf.DUMMYFUNCTION("""COMPUTED_VALUE"""),88.0)</f>
        <v>88</v>
      </c>
      <c r="K1070" s="22">
        <f>IFERROR(__xludf.DUMMYFUNCTION("""COMPUTED_VALUE"""),11.0)</f>
        <v>11</v>
      </c>
      <c r="L1070" s="26" t="str">
        <f>IFERROR(__xludf.DUMMYFUNCTION("""COMPUTED_VALUE"""),"Shooter")</f>
        <v>Shooter</v>
      </c>
    </row>
    <row r="1071">
      <c r="A1071" s="12" t="str">
        <f>IFERROR(__xludf.DUMMYFUNCTION("""COMPUTED_VALUE"""),"BioShock")</f>
        <v>BioShock</v>
      </c>
      <c r="B1071" s="13" t="str">
        <f>IFERROR(__xludf.DUMMYFUNCTION("""COMPUTED_VALUE"""),"Xbox")</f>
        <v>Xbox</v>
      </c>
      <c r="C1071" s="14"/>
      <c r="D1071" s="14" t="str">
        <f>IFERROR(__xludf.DUMMYFUNCTION("""COMPUTED_VALUE"""),"Removed")</f>
        <v>Removed</v>
      </c>
      <c r="E1071" s="294">
        <f>IFERROR(__xludf.DUMMYFUNCTION("""COMPUTED_VALUE"""),42887.0)</f>
        <v>42887</v>
      </c>
      <c r="F1071" s="15">
        <f>IFERROR(__xludf.DUMMYFUNCTION("""COMPUTED_VALUE"""),43222.0)</f>
        <v>43222</v>
      </c>
      <c r="G1071" s="18">
        <f>IFERROR(__xludf.DUMMYFUNCTION("""COMPUTED_VALUE"""),11.033333333333333)</f>
        <v>11.03333333</v>
      </c>
      <c r="H1071" s="131">
        <f>IFERROR(__xludf.DUMMYFUNCTION("""COMPUTED_VALUE"""),39315.0)</f>
        <v>39315</v>
      </c>
      <c r="I1071" s="18">
        <f>IFERROR(__xludf.DUMMYFUNCTION("""COMPUTED_VALUE"""),9.777777777777779)</f>
        <v>9.777777778</v>
      </c>
      <c r="J1071" s="22">
        <f>IFERROR(__xludf.DUMMYFUNCTION("""COMPUTED_VALUE"""),96.0)</f>
        <v>96</v>
      </c>
      <c r="K1071" s="22">
        <f>IFERROR(__xludf.DUMMYFUNCTION("""COMPUTED_VALUE"""),12.0)</f>
        <v>12</v>
      </c>
      <c r="L1071" s="26" t="str">
        <f>IFERROR(__xludf.DUMMYFUNCTION("""COMPUTED_VALUE"""),"Shooter")</f>
        <v>Shooter</v>
      </c>
    </row>
    <row r="1072">
      <c r="A1072" s="12" t="str">
        <f>IFERROR(__xludf.DUMMYFUNCTION("""COMPUTED_VALUE"""),"Age of Booty")</f>
        <v>Age of Booty</v>
      </c>
      <c r="B1072" s="13" t="str">
        <f>IFERROR(__xludf.DUMMYFUNCTION("""COMPUTED_VALUE"""),"Xbox")</f>
        <v>Xbox</v>
      </c>
      <c r="C1072" s="14"/>
      <c r="D1072" s="14" t="str">
        <f>IFERROR(__xludf.DUMMYFUNCTION("""COMPUTED_VALUE"""),"Removed")</f>
        <v>Removed</v>
      </c>
      <c r="E1072" s="294">
        <f>IFERROR(__xludf.DUMMYFUNCTION("""COMPUTED_VALUE"""),42887.0)</f>
        <v>42887</v>
      </c>
      <c r="F1072" s="15">
        <f>IFERROR(__xludf.DUMMYFUNCTION("""COMPUTED_VALUE"""),43221.0)</f>
        <v>43221</v>
      </c>
      <c r="G1072" s="18">
        <f>IFERROR(__xludf.DUMMYFUNCTION("""COMPUTED_VALUE"""),11.0)</f>
        <v>11</v>
      </c>
      <c r="H1072" s="131">
        <f>IFERROR(__xludf.DUMMYFUNCTION("""COMPUTED_VALUE"""),39736.0)</f>
        <v>39736</v>
      </c>
      <c r="I1072" s="18">
        <f>IFERROR(__xludf.DUMMYFUNCTION("""COMPUTED_VALUE"""),8.627777777777778)</f>
        <v>8.627777778</v>
      </c>
      <c r="J1072" s="22">
        <f>IFERROR(__xludf.DUMMYFUNCTION("""COMPUTED_VALUE"""),76.0)</f>
        <v>76</v>
      </c>
      <c r="K1072" s="22">
        <f>IFERROR(__xludf.DUMMYFUNCTION("""COMPUTED_VALUE"""),8.0)</f>
        <v>8</v>
      </c>
      <c r="L1072" s="26" t="str">
        <f>IFERROR(__xludf.DUMMYFUNCTION("""COMPUTED_VALUE"""),"Real-Time Strategy")</f>
        <v>Real-Time Strategy</v>
      </c>
    </row>
    <row r="1073">
      <c r="A1073" s="12" t="str">
        <f>IFERROR(__xludf.DUMMYFUNCTION("""COMPUTED_VALUE"""),"Bionic Commando: Rearmed 2")</f>
        <v>Bionic Commando: Rearmed 2</v>
      </c>
      <c r="B1073" s="13" t="str">
        <f>IFERROR(__xludf.DUMMYFUNCTION("""COMPUTED_VALUE"""),"Xbox")</f>
        <v>Xbox</v>
      </c>
      <c r="C1073" s="14"/>
      <c r="D1073" s="14" t="str">
        <f>IFERROR(__xludf.DUMMYFUNCTION("""COMPUTED_VALUE"""),"Removed")</f>
        <v>Removed</v>
      </c>
      <c r="E1073" s="294">
        <f>IFERROR(__xludf.DUMMYFUNCTION("""COMPUTED_VALUE"""),42887.0)</f>
        <v>42887</v>
      </c>
      <c r="F1073" s="15">
        <f>IFERROR(__xludf.DUMMYFUNCTION("""COMPUTED_VALUE"""),43221.0)</f>
        <v>43221</v>
      </c>
      <c r="G1073" s="18">
        <f>IFERROR(__xludf.DUMMYFUNCTION("""COMPUTED_VALUE"""),11.0)</f>
        <v>11</v>
      </c>
      <c r="H1073" s="131">
        <f>IFERROR(__xludf.DUMMYFUNCTION("""COMPUTED_VALUE"""),40575.0)</f>
        <v>40575</v>
      </c>
      <c r="I1073" s="18">
        <f>IFERROR(__xludf.DUMMYFUNCTION("""COMPUTED_VALUE"""),6.333333333333333)</f>
        <v>6.333333333</v>
      </c>
      <c r="J1073" s="22">
        <f>IFERROR(__xludf.DUMMYFUNCTION("""COMPUTED_VALUE"""),62.0)</f>
        <v>62</v>
      </c>
      <c r="K1073" s="22">
        <f>IFERROR(__xludf.DUMMYFUNCTION("""COMPUTED_VALUE"""),5.5)</f>
        <v>5.5</v>
      </c>
      <c r="L1073" s="26" t="str">
        <f>IFERROR(__xludf.DUMMYFUNCTION("""COMPUTED_VALUE"""),"Platformer")</f>
        <v>Platformer</v>
      </c>
    </row>
    <row r="1074">
      <c r="A1074" s="12" t="str">
        <f>IFERROR(__xludf.DUMMYFUNCTION("""COMPUTED_VALUE"""),"Blood Bowl 2")</f>
        <v>Blood Bowl 2</v>
      </c>
      <c r="B1074" s="13" t="str">
        <f>IFERROR(__xludf.DUMMYFUNCTION("""COMPUTED_VALUE"""),"Xbox")</f>
        <v>Xbox</v>
      </c>
      <c r="C1074" s="14"/>
      <c r="D1074" s="14" t="str">
        <f>IFERROR(__xludf.DUMMYFUNCTION("""COMPUTED_VALUE"""),"Removed")</f>
        <v>Removed</v>
      </c>
      <c r="E1074" s="294">
        <f>IFERROR(__xludf.DUMMYFUNCTION("""COMPUTED_VALUE"""),42887.0)</f>
        <v>42887</v>
      </c>
      <c r="F1074" s="15">
        <f>IFERROR(__xludf.DUMMYFUNCTION("""COMPUTED_VALUE"""),43221.0)</f>
        <v>43221</v>
      </c>
      <c r="G1074" s="18">
        <f>IFERROR(__xludf.DUMMYFUNCTION("""COMPUTED_VALUE"""),11.0)</f>
        <v>11</v>
      </c>
      <c r="H1074" s="131">
        <f>IFERROR(__xludf.DUMMYFUNCTION("""COMPUTED_VALUE"""),42269.0)</f>
        <v>42269</v>
      </c>
      <c r="I1074" s="18">
        <f>IFERROR(__xludf.DUMMYFUNCTION("""COMPUTED_VALUE"""),1.6916666666666667)</f>
        <v>1.691666667</v>
      </c>
      <c r="J1074" s="22">
        <f>IFERROR(__xludf.DUMMYFUNCTION("""COMPUTED_VALUE"""),70.0)</f>
        <v>70</v>
      </c>
      <c r="K1074" s="22">
        <f>IFERROR(__xludf.DUMMYFUNCTION("""COMPUTED_VALUE"""),19.0)</f>
        <v>19</v>
      </c>
      <c r="L1074" s="26" t="str">
        <f>IFERROR(__xludf.DUMMYFUNCTION("""COMPUTED_VALUE"""),"RPG")</f>
        <v>RPG</v>
      </c>
    </row>
    <row r="1075">
      <c r="A1075" s="12" t="str">
        <f>IFERROR(__xludf.DUMMYFUNCTION("""COMPUTED_VALUE"""),"Borderlands")</f>
        <v>Borderlands</v>
      </c>
      <c r="B1075" s="13" t="str">
        <f>IFERROR(__xludf.DUMMYFUNCTION("""COMPUTED_VALUE"""),"Xbox")</f>
        <v>Xbox</v>
      </c>
      <c r="C1075" s="14"/>
      <c r="D1075" s="14" t="str">
        <f>IFERROR(__xludf.DUMMYFUNCTION("""COMPUTED_VALUE"""),"Removed")</f>
        <v>Removed</v>
      </c>
      <c r="E1075" s="294">
        <f>IFERROR(__xludf.DUMMYFUNCTION("""COMPUTED_VALUE"""),42887.0)</f>
        <v>42887</v>
      </c>
      <c r="F1075" s="15">
        <f>IFERROR(__xludf.DUMMYFUNCTION("""COMPUTED_VALUE"""),43221.0)</f>
        <v>43221</v>
      </c>
      <c r="G1075" s="18">
        <f>IFERROR(__xludf.DUMMYFUNCTION("""COMPUTED_VALUE"""),11.0)</f>
        <v>11</v>
      </c>
      <c r="H1075" s="131">
        <f>IFERROR(__xludf.DUMMYFUNCTION("""COMPUTED_VALUE"""),40106.0)</f>
        <v>40106</v>
      </c>
      <c r="I1075" s="18">
        <f>IFERROR(__xludf.DUMMYFUNCTION("""COMPUTED_VALUE"""),7.613888888888889)</f>
        <v>7.613888889</v>
      </c>
      <c r="J1075" s="22">
        <f>IFERROR(__xludf.DUMMYFUNCTION("""COMPUTED_VALUE"""),84.0)</f>
        <v>84</v>
      </c>
      <c r="K1075" s="22">
        <f>IFERROR(__xludf.DUMMYFUNCTION("""COMPUTED_VALUE"""),22.5)</f>
        <v>22.5</v>
      </c>
      <c r="L1075" s="26" t="str">
        <f>IFERROR(__xludf.DUMMYFUNCTION("""COMPUTED_VALUE"""),"Shooter")</f>
        <v>Shooter</v>
      </c>
    </row>
    <row r="1076">
      <c r="A1076" s="12" t="str">
        <f>IFERROR(__xludf.DUMMYFUNCTION("""COMPUTED_VALUE"""),"Bound by Flame")</f>
        <v>Bound by Flame</v>
      </c>
      <c r="B1076" s="13" t="str">
        <f>IFERROR(__xludf.DUMMYFUNCTION("""COMPUTED_VALUE"""),"Xbox")</f>
        <v>Xbox</v>
      </c>
      <c r="C1076" s="14"/>
      <c r="D1076" s="14" t="str">
        <f>IFERROR(__xludf.DUMMYFUNCTION("""COMPUTED_VALUE"""),"Removed")</f>
        <v>Removed</v>
      </c>
      <c r="E1076" s="294">
        <f>IFERROR(__xludf.DUMMYFUNCTION("""COMPUTED_VALUE"""),42887.0)</f>
        <v>42887</v>
      </c>
      <c r="F1076" s="15">
        <f>IFERROR(__xludf.DUMMYFUNCTION("""COMPUTED_VALUE"""),43221.0)</f>
        <v>43221</v>
      </c>
      <c r="G1076" s="18">
        <f>IFERROR(__xludf.DUMMYFUNCTION("""COMPUTED_VALUE"""),11.0)</f>
        <v>11</v>
      </c>
      <c r="H1076" s="131">
        <f>IFERROR(__xludf.DUMMYFUNCTION("""COMPUTED_VALUE"""),41768.0)</f>
        <v>41768</v>
      </c>
      <c r="I1076" s="18">
        <f>IFERROR(__xludf.DUMMYFUNCTION("""COMPUTED_VALUE"""),3.061111111111111)</f>
        <v>3.061111111</v>
      </c>
      <c r="J1076" s="22">
        <f>IFERROR(__xludf.DUMMYFUNCTION("""COMPUTED_VALUE"""),56.0)</f>
        <v>56</v>
      </c>
      <c r="K1076" s="22">
        <f>IFERROR(__xludf.DUMMYFUNCTION("""COMPUTED_VALUE"""),13.0)</f>
        <v>13</v>
      </c>
      <c r="L1076" s="26" t="str">
        <f>IFERROR(__xludf.DUMMYFUNCTION("""COMPUTED_VALUE"""),"RPG")</f>
        <v>RPG</v>
      </c>
    </row>
    <row r="1077">
      <c r="A1077" s="12" t="str">
        <f>IFERROR(__xludf.DUMMYFUNCTION("""COMPUTED_VALUE"""),"de Blob 2")</f>
        <v>de Blob 2</v>
      </c>
      <c r="B1077" s="13" t="str">
        <f>IFERROR(__xludf.DUMMYFUNCTION("""COMPUTED_VALUE"""),"Xbox")</f>
        <v>Xbox</v>
      </c>
      <c r="C1077" s="14"/>
      <c r="D1077" s="14" t="str">
        <f>IFERROR(__xludf.DUMMYFUNCTION("""COMPUTED_VALUE"""),"Removed")</f>
        <v>Removed</v>
      </c>
      <c r="E1077" s="294">
        <f>IFERROR(__xludf.DUMMYFUNCTION("""COMPUTED_VALUE"""),42887.0)</f>
        <v>42887</v>
      </c>
      <c r="F1077" s="15">
        <f>IFERROR(__xludf.DUMMYFUNCTION("""COMPUTED_VALUE"""),43221.0)</f>
        <v>43221</v>
      </c>
      <c r="G1077" s="18">
        <f>IFERROR(__xludf.DUMMYFUNCTION("""COMPUTED_VALUE"""),11.0)</f>
        <v>11</v>
      </c>
      <c r="H1077" s="131">
        <f>IFERROR(__xludf.DUMMYFUNCTION("""COMPUTED_VALUE"""),40596.0)</f>
        <v>40596</v>
      </c>
      <c r="I1077" s="18">
        <f>IFERROR(__xludf.DUMMYFUNCTION("""COMPUTED_VALUE"""),6.275)</f>
        <v>6.275</v>
      </c>
      <c r="J1077" s="22">
        <f>IFERROR(__xludf.DUMMYFUNCTION("""COMPUTED_VALUE"""),76.0)</f>
        <v>76</v>
      </c>
      <c r="K1077" s="22">
        <f>IFERROR(__xludf.DUMMYFUNCTION("""COMPUTED_VALUE"""),11.0)</f>
        <v>11</v>
      </c>
      <c r="L1077" s="26" t="str">
        <f>IFERROR(__xludf.DUMMYFUNCTION("""COMPUTED_VALUE"""),"Platformer")</f>
        <v>Platformer</v>
      </c>
    </row>
    <row r="1078">
      <c r="A1078" s="12" t="str">
        <f>IFERROR(__xludf.DUMMYFUNCTION("""COMPUTED_VALUE"""),"Dead Rising 2: Case Zero")</f>
        <v>Dead Rising 2: Case Zero</v>
      </c>
      <c r="B1078" s="13" t="str">
        <f>IFERROR(__xludf.DUMMYFUNCTION("""COMPUTED_VALUE"""),"Xbox")</f>
        <v>Xbox</v>
      </c>
      <c r="C1078" s="14"/>
      <c r="D1078" s="14" t="str">
        <f>IFERROR(__xludf.DUMMYFUNCTION("""COMPUTED_VALUE"""),"Removed")</f>
        <v>Removed</v>
      </c>
      <c r="E1078" s="294">
        <f>IFERROR(__xludf.DUMMYFUNCTION("""COMPUTED_VALUE"""),42887.0)</f>
        <v>42887</v>
      </c>
      <c r="F1078" s="15">
        <f>IFERROR(__xludf.DUMMYFUNCTION("""COMPUTED_VALUE"""),43221.0)</f>
        <v>43221</v>
      </c>
      <c r="G1078" s="18">
        <f>IFERROR(__xludf.DUMMYFUNCTION("""COMPUTED_VALUE"""),11.0)</f>
        <v>11</v>
      </c>
      <c r="H1078" s="131">
        <f>IFERROR(__xludf.DUMMYFUNCTION("""COMPUTED_VALUE"""),40421.0)</f>
        <v>40421</v>
      </c>
      <c r="I1078" s="18">
        <f>IFERROR(__xludf.DUMMYFUNCTION("""COMPUTED_VALUE"""),6.752777777777778)</f>
        <v>6.752777778</v>
      </c>
      <c r="J1078" s="22">
        <f>IFERROR(__xludf.DUMMYFUNCTION("""COMPUTED_VALUE"""),79.0)</f>
        <v>79</v>
      </c>
      <c r="K1078" s="22">
        <f>IFERROR(__xludf.DUMMYFUNCTION("""COMPUTED_VALUE"""),2.0)</f>
        <v>2</v>
      </c>
      <c r="L1078" s="26" t="str">
        <f>IFERROR(__xludf.DUMMYFUNCTION("""COMPUTED_VALUE"""),"Shooter")</f>
        <v>Shooter</v>
      </c>
    </row>
    <row r="1079">
      <c r="A1079" s="12" t="str">
        <f>IFERROR(__xludf.DUMMYFUNCTION("""COMPUTED_VALUE"""),"Defense Grid 2")</f>
        <v>Defense Grid 2</v>
      </c>
      <c r="B1079" s="13" t="str">
        <f>IFERROR(__xludf.DUMMYFUNCTION("""COMPUTED_VALUE"""),"Xbox")</f>
        <v>Xbox</v>
      </c>
      <c r="C1079" s="14"/>
      <c r="D1079" s="14" t="str">
        <f>IFERROR(__xludf.DUMMYFUNCTION("""COMPUTED_VALUE"""),"Removed")</f>
        <v>Removed</v>
      </c>
      <c r="E1079" s="294">
        <f>IFERROR(__xludf.DUMMYFUNCTION("""COMPUTED_VALUE"""),42887.0)</f>
        <v>42887</v>
      </c>
      <c r="F1079" s="15">
        <f>IFERROR(__xludf.DUMMYFUNCTION("""COMPUTED_VALUE"""),43221.0)</f>
        <v>43221</v>
      </c>
      <c r="G1079" s="18">
        <f>IFERROR(__xludf.DUMMYFUNCTION("""COMPUTED_VALUE"""),11.0)</f>
        <v>11</v>
      </c>
      <c r="H1079" s="131">
        <f>IFERROR(__xludf.DUMMYFUNCTION("""COMPUTED_VALUE"""),41905.0)</f>
        <v>41905</v>
      </c>
      <c r="I1079" s="18">
        <f>IFERROR(__xludf.DUMMYFUNCTION("""COMPUTED_VALUE"""),2.688888888888889)</f>
        <v>2.688888889</v>
      </c>
      <c r="J1079" s="22">
        <f>IFERROR(__xludf.DUMMYFUNCTION("""COMPUTED_VALUE"""),78.0)</f>
        <v>78</v>
      </c>
      <c r="K1079" s="22">
        <f>IFERROR(__xludf.DUMMYFUNCTION("""COMPUTED_VALUE"""),10.5)</f>
        <v>10.5</v>
      </c>
      <c r="L1079" s="26" t="str">
        <f>IFERROR(__xludf.DUMMYFUNCTION("""COMPUTED_VALUE"""),"Strategy")</f>
        <v>Strategy</v>
      </c>
    </row>
    <row r="1080">
      <c r="A1080" s="12" t="str">
        <f>IFERROR(__xludf.DUMMYFUNCTION("""COMPUTED_VALUE"""),"Dig Dug")</f>
        <v>Dig Dug</v>
      </c>
      <c r="B1080" s="13" t="str">
        <f>IFERROR(__xludf.DUMMYFUNCTION("""COMPUTED_VALUE"""),"Xbox")</f>
        <v>Xbox</v>
      </c>
      <c r="C1080" s="14"/>
      <c r="D1080" s="14" t="str">
        <f>IFERROR(__xludf.DUMMYFUNCTION("""COMPUTED_VALUE"""),"Removed")</f>
        <v>Removed</v>
      </c>
      <c r="E1080" s="294">
        <f>IFERROR(__xludf.DUMMYFUNCTION("""COMPUTED_VALUE"""),42887.0)</f>
        <v>42887</v>
      </c>
      <c r="F1080" s="15">
        <f>IFERROR(__xludf.DUMMYFUNCTION("""COMPUTED_VALUE"""),43221.0)</f>
        <v>43221</v>
      </c>
      <c r="G1080" s="18">
        <f>IFERROR(__xludf.DUMMYFUNCTION("""COMPUTED_VALUE"""),11.0)</f>
        <v>11</v>
      </c>
      <c r="H1080" s="131">
        <f>IFERROR(__xludf.DUMMYFUNCTION("""COMPUTED_VALUE"""),30060.0)</f>
        <v>30060</v>
      </c>
      <c r="I1080" s="18">
        <f>IFERROR(__xludf.DUMMYFUNCTION("""COMPUTED_VALUE"""),35.11666666666667)</f>
        <v>35.11666667</v>
      </c>
      <c r="J1080" s="22">
        <f>IFERROR(__xludf.DUMMYFUNCTION("""COMPUTED_VALUE"""),65.0)</f>
        <v>65</v>
      </c>
      <c r="K1080" s="22">
        <f>IFERROR(__xludf.DUMMYFUNCTION("""COMPUTED_VALUE"""),1.0)</f>
        <v>1</v>
      </c>
      <c r="L1080" s="26" t="str">
        <f>IFERROR(__xludf.DUMMYFUNCTION("""COMPUTED_VALUE"""),"Action")</f>
        <v>Action</v>
      </c>
    </row>
    <row r="1081">
      <c r="A1081" s="12" t="str">
        <f>IFERROR(__xludf.DUMMYFUNCTION("""COMPUTED_VALUE"""),"Final Fight: Double Impact")</f>
        <v>Final Fight: Double Impact</v>
      </c>
      <c r="B1081" s="13" t="str">
        <f>IFERROR(__xludf.DUMMYFUNCTION("""COMPUTED_VALUE"""),"Xbox")</f>
        <v>Xbox</v>
      </c>
      <c r="C1081" s="14"/>
      <c r="D1081" s="14" t="str">
        <f>IFERROR(__xludf.DUMMYFUNCTION("""COMPUTED_VALUE"""),"Removed")</f>
        <v>Removed</v>
      </c>
      <c r="E1081" s="294">
        <f>IFERROR(__xludf.DUMMYFUNCTION("""COMPUTED_VALUE"""),42887.0)</f>
        <v>42887</v>
      </c>
      <c r="F1081" s="15">
        <f>IFERROR(__xludf.DUMMYFUNCTION("""COMPUTED_VALUE"""),43221.0)</f>
        <v>43221</v>
      </c>
      <c r="G1081" s="18">
        <f>IFERROR(__xludf.DUMMYFUNCTION("""COMPUTED_VALUE"""),11.0)</f>
        <v>11</v>
      </c>
      <c r="H1081" s="131">
        <f>IFERROR(__xludf.DUMMYFUNCTION("""COMPUTED_VALUE"""),40282.0)</f>
        <v>40282</v>
      </c>
      <c r="I1081" s="18">
        <f>IFERROR(__xludf.DUMMYFUNCTION("""COMPUTED_VALUE"""),7.1305555555555555)</f>
        <v>7.130555556</v>
      </c>
      <c r="J1081" s="22">
        <f>IFERROR(__xludf.DUMMYFUNCTION("""COMPUTED_VALUE"""),77.0)</f>
        <v>77</v>
      </c>
      <c r="K1081" s="22">
        <f>IFERROR(__xludf.DUMMYFUNCTION("""COMPUTED_VALUE"""),1.0)</f>
        <v>1</v>
      </c>
      <c r="L1081" s="26" t="str">
        <f>IFERROR(__xludf.DUMMYFUNCTION("""COMPUTED_VALUE"""),"Brawler")</f>
        <v>Brawler</v>
      </c>
    </row>
    <row r="1082">
      <c r="A1082" s="12" t="str">
        <f>IFERROR(__xludf.DUMMYFUNCTION("""COMPUTED_VALUE"""),"LEGO Batman: The Videogame")</f>
        <v>LEGO Batman: The Videogame</v>
      </c>
      <c r="B1082" s="13" t="str">
        <f>IFERROR(__xludf.DUMMYFUNCTION("""COMPUTED_VALUE"""),"Xbox")</f>
        <v>Xbox</v>
      </c>
      <c r="C1082" s="14"/>
      <c r="D1082" s="14" t="str">
        <f>IFERROR(__xludf.DUMMYFUNCTION("""COMPUTED_VALUE"""),"Removed")</f>
        <v>Removed</v>
      </c>
      <c r="E1082" s="294">
        <f>IFERROR(__xludf.DUMMYFUNCTION("""COMPUTED_VALUE"""),42887.0)</f>
        <v>42887</v>
      </c>
      <c r="F1082" s="15">
        <f>IFERROR(__xludf.DUMMYFUNCTION("""COMPUTED_VALUE"""),43221.0)</f>
        <v>43221</v>
      </c>
      <c r="G1082" s="18">
        <f>IFERROR(__xludf.DUMMYFUNCTION("""COMPUTED_VALUE"""),11.0)</f>
        <v>11</v>
      </c>
      <c r="H1082" s="131">
        <f>IFERROR(__xludf.DUMMYFUNCTION("""COMPUTED_VALUE"""),39714.0)</f>
        <v>39714</v>
      </c>
      <c r="I1082" s="18">
        <f>IFERROR(__xludf.DUMMYFUNCTION("""COMPUTED_VALUE"""),8.688888888888888)</f>
        <v>8.688888889</v>
      </c>
      <c r="J1082" s="22">
        <f>IFERROR(__xludf.DUMMYFUNCTION("""COMPUTED_VALUE"""),76.0)</f>
        <v>76</v>
      </c>
      <c r="K1082" s="22">
        <f>IFERROR(__xludf.DUMMYFUNCTION("""COMPUTED_VALUE"""),10.0)</f>
        <v>10</v>
      </c>
      <c r="L1082" s="26" t="str">
        <f>IFERROR(__xludf.DUMMYFUNCTION("""COMPUTED_VALUE"""),"Action-Adventure")</f>
        <v>Action-Adventure</v>
      </c>
    </row>
    <row r="1083">
      <c r="A1083" s="12" t="str">
        <f>IFERROR(__xludf.DUMMYFUNCTION("""COMPUTED_VALUE"""),"Mad Max")</f>
        <v>Mad Max</v>
      </c>
      <c r="B1083" s="13" t="str">
        <f>IFERROR(__xludf.DUMMYFUNCTION("""COMPUTED_VALUE"""),"Xbox")</f>
        <v>Xbox</v>
      </c>
      <c r="C1083" s="14"/>
      <c r="D1083" s="14" t="str">
        <f>IFERROR(__xludf.DUMMYFUNCTION("""COMPUTED_VALUE"""),"Removed")</f>
        <v>Removed</v>
      </c>
      <c r="E1083" s="294">
        <f>IFERROR(__xludf.DUMMYFUNCTION("""COMPUTED_VALUE"""),42887.0)</f>
        <v>42887</v>
      </c>
      <c r="F1083" s="15">
        <f>IFERROR(__xludf.DUMMYFUNCTION("""COMPUTED_VALUE"""),43221.0)</f>
        <v>43221</v>
      </c>
      <c r="G1083" s="18">
        <f>IFERROR(__xludf.DUMMYFUNCTION("""COMPUTED_VALUE"""),11.0)</f>
        <v>11</v>
      </c>
      <c r="H1083" s="131">
        <f>IFERROR(__xludf.DUMMYFUNCTION("""COMPUTED_VALUE"""),42248.0)</f>
        <v>42248</v>
      </c>
      <c r="I1083" s="18">
        <f>IFERROR(__xludf.DUMMYFUNCTION("""COMPUTED_VALUE"""),1.75)</f>
        <v>1.75</v>
      </c>
      <c r="J1083" s="22">
        <f>IFERROR(__xludf.DUMMYFUNCTION("""COMPUTED_VALUE"""),72.0)</f>
        <v>72</v>
      </c>
      <c r="K1083" s="22">
        <f>IFERROR(__xludf.DUMMYFUNCTION("""COMPUTED_VALUE"""),19.5)</f>
        <v>19.5</v>
      </c>
      <c r="L1083" s="26" t="str">
        <f>IFERROR(__xludf.DUMMYFUNCTION("""COMPUTED_VALUE"""),"Shooter")</f>
        <v>Shooter</v>
      </c>
    </row>
    <row r="1084">
      <c r="A1084" s="12" t="str">
        <f>IFERROR(__xludf.DUMMYFUNCTION("""COMPUTED_VALUE"""),"NeoGeo Battle Coliseum")</f>
        <v>NeoGeo Battle Coliseum</v>
      </c>
      <c r="B1084" s="13" t="str">
        <f>IFERROR(__xludf.DUMMYFUNCTION("""COMPUTED_VALUE"""),"Xbox")</f>
        <v>Xbox</v>
      </c>
      <c r="C1084" s="14"/>
      <c r="D1084" s="14" t="str">
        <f>IFERROR(__xludf.DUMMYFUNCTION("""COMPUTED_VALUE"""),"Removed")</f>
        <v>Removed</v>
      </c>
      <c r="E1084" s="294">
        <f>IFERROR(__xludf.DUMMYFUNCTION("""COMPUTED_VALUE"""),42887.0)</f>
        <v>42887</v>
      </c>
      <c r="F1084" s="15">
        <f>IFERROR(__xludf.DUMMYFUNCTION("""COMPUTED_VALUE"""),43221.0)</f>
        <v>43221</v>
      </c>
      <c r="G1084" s="18">
        <f>IFERROR(__xludf.DUMMYFUNCTION("""COMPUTED_VALUE"""),11.0)</f>
        <v>11</v>
      </c>
      <c r="H1084" s="131">
        <f>IFERROR(__xludf.DUMMYFUNCTION("""COMPUTED_VALUE"""),38708.0)</f>
        <v>38708</v>
      </c>
      <c r="I1084" s="18">
        <f>IFERROR(__xludf.DUMMYFUNCTION("""COMPUTED_VALUE"""),11.441666666666666)</f>
        <v>11.44166667</v>
      </c>
      <c r="J1084" s="22">
        <f>IFERROR(__xludf.DUMMYFUNCTION("""COMPUTED_VALUE"""),64.0)</f>
        <v>64</v>
      </c>
      <c r="K1084" s="22">
        <f>IFERROR(__xludf.DUMMYFUNCTION("""COMPUTED_VALUE"""),0.5)</f>
        <v>0.5</v>
      </c>
      <c r="L1084" s="26" t="str">
        <f>IFERROR(__xludf.DUMMYFUNCTION("""COMPUTED_VALUE"""),"Fighting")</f>
        <v>Fighting</v>
      </c>
    </row>
    <row r="1085">
      <c r="A1085" s="12" t="str">
        <f>IFERROR(__xludf.DUMMYFUNCTION("""COMPUTED_VALUE"""),"Operation Flashpoint: Dragon Rising")</f>
        <v>Operation Flashpoint: Dragon Rising</v>
      </c>
      <c r="B1085" s="13" t="str">
        <f>IFERROR(__xludf.DUMMYFUNCTION("""COMPUTED_VALUE"""),"Xbox")</f>
        <v>Xbox</v>
      </c>
      <c r="C1085" s="14"/>
      <c r="D1085" s="14" t="str">
        <f>IFERROR(__xludf.DUMMYFUNCTION("""COMPUTED_VALUE"""),"Removed")</f>
        <v>Removed</v>
      </c>
      <c r="E1085" s="294">
        <f>IFERROR(__xludf.DUMMYFUNCTION("""COMPUTED_VALUE"""),42887.0)</f>
        <v>42887</v>
      </c>
      <c r="F1085" s="15">
        <f>IFERROR(__xludf.DUMMYFUNCTION("""COMPUTED_VALUE"""),43221.0)</f>
        <v>43221</v>
      </c>
      <c r="G1085" s="18">
        <f>IFERROR(__xludf.DUMMYFUNCTION("""COMPUTED_VALUE"""),11.0)</f>
        <v>11</v>
      </c>
      <c r="H1085" s="131">
        <f>IFERROR(__xludf.DUMMYFUNCTION("""COMPUTED_VALUE"""),40092.0)</f>
        <v>40092</v>
      </c>
      <c r="I1085" s="18">
        <f>IFERROR(__xludf.DUMMYFUNCTION("""COMPUTED_VALUE"""),7.652777777777778)</f>
        <v>7.652777778</v>
      </c>
      <c r="J1085" s="22">
        <f>IFERROR(__xludf.DUMMYFUNCTION("""COMPUTED_VALUE"""),77.0)</f>
        <v>77</v>
      </c>
      <c r="K1085" s="22">
        <f>IFERROR(__xludf.DUMMYFUNCTION("""COMPUTED_VALUE"""),12.0)</f>
        <v>12</v>
      </c>
      <c r="L1085" s="26" t="str">
        <f>IFERROR(__xludf.DUMMYFUNCTION("""COMPUTED_VALUE"""),"Shooter")</f>
        <v>Shooter</v>
      </c>
    </row>
    <row r="1086">
      <c r="A1086" s="12" t="str">
        <f>IFERROR(__xludf.DUMMYFUNCTION("""COMPUTED_VALUE"""),"Pac-Man Championship Edition DX")</f>
        <v>Pac-Man Championship Edition DX</v>
      </c>
      <c r="B1086" s="13" t="str">
        <f>IFERROR(__xludf.DUMMYFUNCTION("""COMPUTED_VALUE"""),"Xbox")</f>
        <v>Xbox</v>
      </c>
      <c r="C1086" s="14"/>
      <c r="D1086" s="14" t="str">
        <f>IFERROR(__xludf.DUMMYFUNCTION("""COMPUTED_VALUE"""),"Removed")</f>
        <v>Removed</v>
      </c>
      <c r="E1086" s="294">
        <f>IFERROR(__xludf.DUMMYFUNCTION("""COMPUTED_VALUE"""),42887.0)</f>
        <v>42887</v>
      </c>
      <c r="F1086" s="15">
        <f>IFERROR(__xludf.DUMMYFUNCTION("""COMPUTED_VALUE"""),43221.0)</f>
        <v>43221</v>
      </c>
      <c r="G1086" s="18">
        <f>IFERROR(__xludf.DUMMYFUNCTION("""COMPUTED_VALUE"""),11.0)</f>
        <v>11</v>
      </c>
      <c r="H1086" s="131">
        <f>IFERROR(__xludf.DUMMYFUNCTION("""COMPUTED_VALUE"""),40498.0)</f>
        <v>40498</v>
      </c>
      <c r="I1086" s="18">
        <f>IFERROR(__xludf.DUMMYFUNCTION("""COMPUTED_VALUE"""),6.541666666666667)</f>
        <v>6.541666667</v>
      </c>
      <c r="J1086" s="22">
        <f>IFERROR(__xludf.DUMMYFUNCTION("""COMPUTED_VALUE"""),93.0)</f>
        <v>93</v>
      </c>
      <c r="K1086" s="22">
        <f>IFERROR(__xludf.DUMMYFUNCTION("""COMPUTED_VALUE"""),4.0)</f>
        <v>4</v>
      </c>
      <c r="L1086" s="26" t="str">
        <f>IFERROR(__xludf.DUMMYFUNCTION("""COMPUTED_VALUE"""),"Action")</f>
        <v>Action</v>
      </c>
    </row>
    <row r="1087">
      <c r="A1087" s="12" t="str">
        <f>IFERROR(__xludf.DUMMYFUNCTION("""COMPUTED_VALUE"""),"Sacred 3")</f>
        <v>Sacred 3</v>
      </c>
      <c r="B1087" s="13" t="str">
        <f>IFERROR(__xludf.DUMMYFUNCTION("""COMPUTED_VALUE"""),"Xbox")</f>
        <v>Xbox</v>
      </c>
      <c r="C1087" s="14"/>
      <c r="D1087" s="14" t="str">
        <f>IFERROR(__xludf.DUMMYFUNCTION("""COMPUTED_VALUE"""),"Removed")</f>
        <v>Removed</v>
      </c>
      <c r="E1087" s="294">
        <f>IFERROR(__xludf.DUMMYFUNCTION("""COMPUTED_VALUE"""),42887.0)</f>
        <v>42887</v>
      </c>
      <c r="F1087" s="15">
        <f>IFERROR(__xludf.DUMMYFUNCTION("""COMPUTED_VALUE"""),43221.0)</f>
        <v>43221</v>
      </c>
      <c r="G1087" s="18">
        <f>IFERROR(__xludf.DUMMYFUNCTION("""COMPUTED_VALUE"""),11.0)</f>
        <v>11</v>
      </c>
      <c r="H1087" s="131">
        <f>IFERROR(__xludf.DUMMYFUNCTION("""COMPUTED_VALUE"""),41851.0)</f>
        <v>41851</v>
      </c>
      <c r="I1087" s="18">
        <f>IFERROR(__xludf.DUMMYFUNCTION("""COMPUTED_VALUE"""),2.8361111111111112)</f>
        <v>2.836111111</v>
      </c>
      <c r="J1087" s="22">
        <f>IFERROR(__xludf.DUMMYFUNCTION("""COMPUTED_VALUE"""),51.0)</f>
        <v>51</v>
      </c>
      <c r="K1087" s="22">
        <f>IFERROR(__xludf.DUMMYFUNCTION("""COMPUTED_VALUE"""),8.0)</f>
        <v>8</v>
      </c>
      <c r="L1087" s="26" t="str">
        <f>IFERROR(__xludf.DUMMYFUNCTION("""COMPUTED_VALUE"""),"RPG")</f>
        <v>RPG</v>
      </c>
    </row>
    <row r="1088">
      <c r="A1088" s="12" t="str">
        <f>IFERROR(__xludf.DUMMYFUNCTION("""COMPUTED_VALUE"""),"Sam &amp; Max: Beyond Time and Space")</f>
        <v>Sam &amp; Max: Beyond Time and Space</v>
      </c>
      <c r="B1088" s="13" t="str">
        <f>IFERROR(__xludf.DUMMYFUNCTION("""COMPUTED_VALUE"""),"Xbox")</f>
        <v>Xbox</v>
      </c>
      <c r="C1088" s="14"/>
      <c r="D1088" s="14" t="str">
        <f>IFERROR(__xludf.DUMMYFUNCTION("""COMPUTED_VALUE"""),"Removed")</f>
        <v>Removed</v>
      </c>
      <c r="E1088" s="294">
        <f>IFERROR(__xludf.DUMMYFUNCTION("""COMPUTED_VALUE"""),42887.0)</f>
        <v>42887</v>
      </c>
      <c r="F1088" s="15">
        <f>IFERROR(__xludf.DUMMYFUNCTION("""COMPUTED_VALUE"""),43221.0)</f>
        <v>43221</v>
      </c>
      <c r="G1088" s="18">
        <f>IFERROR(__xludf.DUMMYFUNCTION("""COMPUTED_VALUE"""),11.0)</f>
        <v>11</v>
      </c>
      <c r="H1088" s="131">
        <f>IFERROR(__xludf.DUMMYFUNCTION("""COMPUTED_VALUE"""),40869.0)</f>
        <v>40869</v>
      </c>
      <c r="I1088" s="18">
        <f>IFERROR(__xludf.DUMMYFUNCTION("""COMPUTED_VALUE"""),5.525)</f>
        <v>5.525</v>
      </c>
      <c r="J1088" s="22">
        <f>IFERROR(__xludf.DUMMYFUNCTION("""COMPUTED_VALUE"""),75.0)</f>
        <v>75</v>
      </c>
      <c r="K1088" s="22">
        <f>IFERROR(__xludf.DUMMYFUNCTION("""COMPUTED_VALUE"""),14.0)</f>
        <v>14</v>
      </c>
      <c r="L1088" s="26" t="str">
        <f>IFERROR(__xludf.DUMMYFUNCTION("""COMPUTED_VALUE"""),"Shooter")</f>
        <v>Shooter</v>
      </c>
    </row>
    <row r="1089">
      <c r="A1089" s="12" t="str">
        <f>IFERROR(__xludf.DUMMYFUNCTION("""COMPUTED_VALUE"""),"Sam &amp; Max: Save the World")</f>
        <v>Sam &amp; Max: Save the World</v>
      </c>
      <c r="B1089" s="13" t="str">
        <f>IFERROR(__xludf.DUMMYFUNCTION("""COMPUTED_VALUE"""),"Xbox")</f>
        <v>Xbox</v>
      </c>
      <c r="C1089" s="14"/>
      <c r="D1089" s="14" t="str">
        <f>IFERROR(__xludf.DUMMYFUNCTION("""COMPUTED_VALUE"""),"Removed")</f>
        <v>Removed</v>
      </c>
      <c r="E1089" s="294">
        <f>IFERROR(__xludf.DUMMYFUNCTION("""COMPUTED_VALUE"""),42887.0)</f>
        <v>42887</v>
      </c>
      <c r="F1089" s="15">
        <f>IFERROR(__xludf.DUMMYFUNCTION("""COMPUTED_VALUE"""),43221.0)</f>
        <v>43221</v>
      </c>
      <c r="G1089" s="18">
        <f>IFERROR(__xludf.DUMMYFUNCTION("""COMPUTED_VALUE"""),11.0)</f>
        <v>11</v>
      </c>
      <c r="H1089" s="131">
        <f>IFERROR(__xludf.DUMMYFUNCTION("""COMPUTED_VALUE"""),40869.0)</f>
        <v>40869</v>
      </c>
      <c r="I1089" s="18">
        <f>IFERROR(__xludf.DUMMYFUNCTION("""COMPUTED_VALUE"""),5.525)</f>
        <v>5.525</v>
      </c>
      <c r="J1089" s="22">
        <f>IFERROR(__xludf.DUMMYFUNCTION("""COMPUTED_VALUE"""),74.0)</f>
        <v>74</v>
      </c>
      <c r="K1089" s="22">
        <f>IFERROR(__xludf.DUMMYFUNCTION("""COMPUTED_VALUE"""),13.0)</f>
        <v>13</v>
      </c>
      <c r="L1089" s="26" t="str">
        <f>IFERROR(__xludf.DUMMYFUNCTION("""COMPUTED_VALUE"""),"Shooter")</f>
        <v>Shooter</v>
      </c>
    </row>
    <row r="1090">
      <c r="A1090" s="12" t="str">
        <f>IFERROR(__xludf.DUMMYFUNCTION("""COMPUTED_VALUE"""),"SEGA Vintage Collection: Alex Kidd &amp; Co.")</f>
        <v>SEGA Vintage Collection: Alex Kidd &amp; Co.</v>
      </c>
      <c r="B1090" s="13" t="str">
        <f>IFERROR(__xludf.DUMMYFUNCTION("""COMPUTED_VALUE"""),"Xbox")</f>
        <v>Xbox</v>
      </c>
      <c r="C1090" s="14"/>
      <c r="D1090" s="14" t="str">
        <f>IFERROR(__xludf.DUMMYFUNCTION("""COMPUTED_VALUE"""),"Removed")</f>
        <v>Removed</v>
      </c>
      <c r="E1090" s="294">
        <f>IFERROR(__xludf.DUMMYFUNCTION("""COMPUTED_VALUE"""),42887.0)</f>
        <v>42887</v>
      </c>
      <c r="F1090" s="15">
        <f>IFERROR(__xludf.DUMMYFUNCTION("""COMPUTED_VALUE"""),43221.0)</f>
        <v>43221</v>
      </c>
      <c r="G1090" s="18">
        <f>IFERROR(__xludf.DUMMYFUNCTION("""COMPUTED_VALUE"""),11.0)</f>
        <v>11</v>
      </c>
      <c r="H1090" s="131">
        <f>IFERROR(__xludf.DUMMYFUNCTION("""COMPUTED_VALUE"""),41052.0)</f>
        <v>41052</v>
      </c>
      <c r="I1090" s="18">
        <f>IFERROR(__xludf.DUMMYFUNCTION("""COMPUTED_VALUE"""),5.022222222222222)</f>
        <v>5.022222222</v>
      </c>
      <c r="J1090" s="22">
        <f>IFERROR(__xludf.DUMMYFUNCTION("""COMPUTED_VALUE"""),69.0)</f>
        <v>69</v>
      </c>
      <c r="K1090" s="22">
        <f>IFERROR(__xludf.DUMMYFUNCTION("""COMPUTED_VALUE"""),5.0)</f>
        <v>5</v>
      </c>
      <c r="L1090" s="26" t="str">
        <f>IFERROR(__xludf.DUMMYFUNCTION("""COMPUTED_VALUE"""),"Compilation")</f>
        <v>Compilation</v>
      </c>
    </row>
    <row r="1091">
      <c r="A1091" s="12" t="str">
        <f>IFERROR(__xludf.DUMMYFUNCTION("""COMPUTED_VALUE"""),"SEGA Vintage Collection: Golden Axe")</f>
        <v>SEGA Vintage Collection: Golden Axe</v>
      </c>
      <c r="B1091" s="13" t="str">
        <f>IFERROR(__xludf.DUMMYFUNCTION("""COMPUTED_VALUE"""),"Xbox")</f>
        <v>Xbox</v>
      </c>
      <c r="C1091" s="14"/>
      <c r="D1091" s="14" t="str">
        <f>IFERROR(__xludf.DUMMYFUNCTION("""COMPUTED_VALUE"""),"Removed")</f>
        <v>Removed</v>
      </c>
      <c r="E1091" s="294">
        <f>IFERROR(__xludf.DUMMYFUNCTION("""COMPUTED_VALUE"""),42887.0)</f>
        <v>42887</v>
      </c>
      <c r="F1091" s="15">
        <f>IFERROR(__xludf.DUMMYFUNCTION("""COMPUTED_VALUE"""),43221.0)</f>
        <v>43221</v>
      </c>
      <c r="G1091" s="18">
        <f>IFERROR(__xludf.DUMMYFUNCTION("""COMPUTED_VALUE"""),11.0)</f>
        <v>11</v>
      </c>
      <c r="H1091" s="131">
        <f>IFERROR(__xludf.DUMMYFUNCTION("""COMPUTED_VALUE"""),41059.0)</f>
        <v>41059</v>
      </c>
      <c r="I1091" s="18">
        <f>IFERROR(__xludf.DUMMYFUNCTION("""COMPUTED_VALUE"""),5.002777777777778)</f>
        <v>5.002777778</v>
      </c>
      <c r="J1091" s="22">
        <f>IFERROR(__xludf.DUMMYFUNCTION("""COMPUTED_VALUE"""),60.0)</f>
        <v>60</v>
      </c>
      <c r="K1091" s="22">
        <f>IFERROR(__xludf.DUMMYFUNCTION("""COMPUTED_VALUE"""),1.0)</f>
        <v>1</v>
      </c>
      <c r="L1091" s="26" t="str">
        <f>IFERROR(__xludf.DUMMYFUNCTION("""COMPUTED_VALUE"""),"Compilation")</f>
        <v>Compilation</v>
      </c>
    </row>
    <row r="1092">
      <c r="A1092" s="12" t="str">
        <f>IFERROR(__xludf.DUMMYFUNCTION("""COMPUTED_VALUE"""),"SoulCalibur")</f>
        <v>SoulCalibur</v>
      </c>
      <c r="B1092" s="13" t="str">
        <f>IFERROR(__xludf.DUMMYFUNCTION("""COMPUTED_VALUE"""),"Xbox")</f>
        <v>Xbox</v>
      </c>
      <c r="C1092" s="14"/>
      <c r="D1092" s="14" t="str">
        <f>IFERROR(__xludf.DUMMYFUNCTION("""COMPUTED_VALUE"""),"Removed")</f>
        <v>Removed</v>
      </c>
      <c r="E1092" s="294">
        <f>IFERROR(__xludf.DUMMYFUNCTION("""COMPUTED_VALUE"""),42887.0)</f>
        <v>42887</v>
      </c>
      <c r="F1092" s="15">
        <f>IFERROR(__xludf.DUMMYFUNCTION("""COMPUTED_VALUE"""),43221.0)</f>
        <v>43221</v>
      </c>
      <c r="G1092" s="18">
        <f>IFERROR(__xludf.DUMMYFUNCTION("""COMPUTED_VALUE"""),11.0)</f>
        <v>11</v>
      </c>
      <c r="H1092" s="131">
        <f>IFERROR(__xludf.DUMMYFUNCTION("""COMPUTED_VALUE"""),36006.0)</f>
        <v>36006</v>
      </c>
      <c r="I1092" s="18">
        <f>IFERROR(__xludf.DUMMYFUNCTION("""COMPUTED_VALUE"""),18.836111111111112)</f>
        <v>18.83611111</v>
      </c>
      <c r="J1092" s="22">
        <f>IFERROR(__xludf.DUMMYFUNCTION("""COMPUTED_VALUE"""),79.0)</f>
        <v>79</v>
      </c>
      <c r="K1092" s="22">
        <f>IFERROR(__xludf.DUMMYFUNCTION("""COMPUTED_VALUE"""),0.5)</f>
        <v>0.5</v>
      </c>
      <c r="L1092" s="26" t="str">
        <f>IFERROR(__xludf.DUMMYFUNCTION("""COMPUTED_VALUE"""),"Fighting")</f>
        <v>Fighting</v>
      </c>
    </row>
    <row r="1093">
      <c r="A1093" s="12" t="str">
        <f>IFERROR(__xludf.DUMMYFUNCTION("""COMPUTED_VALUE"""),"XCOM: Enemy Within")</f>
        <v>XCOM: Enemy Within</v>
      </c>
      <c r="B1093" s="13" t="str">
        <f>IFERROR(__xludf.DUMMYFUNCTION("""COMPUTED_VALUE"""),"Xbox")</f>
        <v>Xbox</v>
      </c>
      <c r="C1093" s="14"/>
      <c r="D1093" s="14" t="str">
        <f>IFERROR(__xludf.DUMMYFUNCTION("""COMPUTED_VALUE"""),"Removed")</f>
        <v>Removed</v>
      </c>
      <c r="E1093" s="294">
        <f>IFERROR(__xludf.DUMMYFUNCTION("""COMPUTED_VALUE"""),42887.0)</f>
        <v>42887</v>
      </c>
      <c r="F1093" s="15">
        <f>IFERROR(__xludf.DUMMYFUNCTION("""COMPUTED_VALUE"""),43221.0)</f>
        <v>43221</v>
      </c>
      <c r="G1093" s="18">
        <f>IFERROR(__xludf.DUMMYFUNCTION("""COMPUTED_VALUE"""),11.0)</f>
        <v>11</v>
      </c>
      <c r="H1093" s="131">
        <f>IFERROR(__xludf.DUMMYFUNCTION("""COMPUTED_VALUE"""),41590.0)</f>
        <v>41590</v>
      </c>
      <c r="I1093" s="18">
        <f>IFERROR(__xludf.DUMMYFUNCTION("""COMPUTED_VALUE"""),3.5527777777777776)</f>
        <v>3.552777778</v>
      </c>
      <c r="J1093" s="22">
        <f>IFERROR(__xludf.DUMMYFUNCTION("""COMPUTED_VALUE"""),88.0)</f>
        <v>88</v>
      </c>
      <c r="K1093" s="22">
        <f>IFERROR(__xludf.DUMMYFUNCTION("""COMPUTED_VALUE"""),27.5)</f>
        <v>27.5</v>
      </c>
      <c r="L1093" s="26" t="str">
        <f>IFERROR(__xludf.DUMMYFUNCTION("""COMPUTED_VALUE"""),"RPG")</f>
        <v>RPG</v>
      </c>
    </row>
    <row r="1094">
      <c r="A1094" s="12" t="str">
        <f>IFERROR(__xludf.DUMMYFUNCTION("""COMPUTED_VALUE"""),"Lumo")</f>
        <v>Lumo</v>
      </c>
      <c r="B1094" s="13" t="str">
        <f>IFERROR(__xludf.DUMMYFUNCTION("""COMPUTED_VALUE"""),"Xbox")</f>
        <v>Xbox</v>
      </c>
      <c r="C1094" s="14"/>
      <c r="D1094" s="14" t="str">
        <f>IFERROR(__xludf.DUMMYFUNCTION("""COMPUTED_VALUE"""),"Removed")</f>
        <v>Removed</v>
      </c>
      <c r="E1094" s="294">
        <f>IFERROR(__xludf.DUMMYFUNCTION("""COMPUTED_VALUE"""),42887.0)</f>
        <v>42887</v>
      </c>
      <c r="F1094" s="15">
        <f>IFERROR(__xludf.DUMMYFUNCTION("""COMPUTED_VALUE"""),43220.0)</f>
        <v>43220</v>
      </c>
      <c r="G1094" s="18">
        <f>IFERROR(__xludf.DUMMYFUNCTION("""COMPUTED_VALUE"""),10.966666666666667)</f>
        <v>10.96666667</v>
      </c>
      <c r="H1094" s="131">
        <f>IFERROR(__xludf.DUMMYFUNCTION("""COMPUTED_VALUE"""),42482.0)</f>
        <v>42482</v>
      </c>
      <c r="I1094" s="18">
        <f>IFERROR(__xludf.DUMMYFUNCTION("""COMPUTED_VALUE"""),1.1083333333333334)</f>
        <v>1.108333333</v>
      </c>
      <c r="J1094" s="22">
        <f>IFERROR(__xludf.DUMMYFUNCTION("""COMPUTED_VALUE"""),77.0)</f>
        <v>77</v>
      </c>
      <c r="K1094" s="22">
        <f>IFERROR(__xludf.DUMMYFUNCTION("""COMPUTED_VALUE"""),5.0)</f>
        <v>5</v>
      </c>
      <c r="L1094" s="26" t="str">
        <f>IFERROR(__xludf.DUMMYFUNCTION("""COMPUTED_VALUE"""),"Action-Adventure")</f>
        <v>Action-Adventure</v>
      </c>
    </row>
    <row r="1095">
      <c r="A1095" s="12" t="str">
        <f>IFERROR(__xludf.DUMMYFUNCTION("""COMPUTED_VALUE"""),"NBA 2K17")</f>
        <v>NBA 2K17</v>
      </c>
      <c r="B1095" s="13" t="str">
        <f>IFERROR(__xludf.DUMMYFUNCTION("""COMPUTED_VALUE"""),"Xbox")</f>
        <v>Xbox</v>
      </c>
      <c r="C1095" s="14"/>
      <c r="D1095" s="14" t="str">
        <f>IFERROR(__xludf.DUMMYFUNCTION("""COMPUTED_VALUE"""),"Removed")</f>
        <v>Removed</v>
      </c>
      <c r="E1095" s="294">
        <f>IFERROR(__xludf.DUMMYFUNCTION("""COMPUTED_VALUE"""),43132.0)</f>
        <v>43132</v>
      </c>
      <c r="F1095" s="15">
        <f>IFERROR(__xludf.DUMMYFUNCTION("""COMPUTED_VALUE"""),43191.0)</f>
        <v>43191</v>
      </c>
      <c r="G1095" s="18">
        <f>IFERROR(__xludf.DUMMYFUNCTION("""COMPUTED_VALUE"""),2.0)</f>
        <v>2</v>
      </c>
      <c r="H1095" s="131">
        <f>IFERROR(__xludf.DUMMYFUNCTION("""COMPUTED_VALUE"""),42629.0)</f>
        <v>42629</v>
      </c>
      <c r="I1095" s="18">
        <f>IFERROR(__xludf.DUMMYFUNCTION("""COMPUTED_VALUE"""),1.375)</f>
        <v>1.375</v>
      </c>
      <c r="J1095" s="22">
        <f>IFERROR(__xludf.DUMMYFUNCTION("""COMPUTED_VALUE"""),90.0)</f>
        <v>90</v>
      </c>
      <c r="K1095" s="22">
        <f>IFERROR(__xludf.DUMMYFUNCTION("""COMPUTED_VALUE"""),63.5)</f>
        <v>63.5</v>
      </c>
      <c r="L1095" s="26" t="str">
        <f>IFERROR(__xludf.DUMMYFUNCTION("""COMPUTED_VALUE"""),"Sports")</f>
        <v>Sports</v>
      </c>
    </row>
    <row r="1096">
      <c r="A1096" s="12" t="str">
        <f>IFERROR(__xludf.DUMMYFUNCTION("""COMPUTED_VALUE"""),"WWE 2K17")</f>
        <v>WWE 2K17</v>
      </c>
      <c r="B1096" s="13" t="str">
        <f>IFERROR(__xludf.DUMMYFUNCTION("""COMPUTED_VALUE"""),"Xbox")</f>
        <v>Xbox</v>
      </c>
      <c r="C1096" s="14"/>
      <c r="D1096" s="14" t="str">
        <f>IFERROR(__xludf.DUMMYFUNCTION("""COMPUTED_VALUE"""),"Removed")</f>
        <v>Removed</v>
      </c>
      <c r="E1096" s="294">
        <f>IFERROR(__xludf.DUMMYFUNCTION("""COMPUTED_VALUE"""),43132.0)</f>
        <v>43132</v>
      </c>
      <c r="F1096" s="15">
        <f>IFERROR(__xludf.DUMMYFUNCTION("""COMPUTED_VALUE"""),43191.0)</f>
        <v>43191</v>
      </c>
      <c r="G1096" s="18">
        <f>IFERROR(__xludf.DUMMYFUNCTION("""COMPUTED_VALUE"""),2.0)</f>
        <v>2</v>
      </c>
      <c r="H1096" s="131">
        <f>IFERROR(__xludf.DUMMYFUNCTION("""COMPUTED_VALUE"""),42654.0)</f>
        <v>42654</v>
      </c>
      <c r="I1096" s="18">
        <f>IFERROR(__xludf.DUMMYFUNCTION("""COMPUTED_VALUE"""),1.3055555555555556)</f>
        <v>1.305555556</v>
      </c>
      <c r="J1096" s="22">
        <f>IFERROR(__xludf.DUMMYFUNCTION("""COMPUTED_VALUE"""),68.0)</f>
        <v>68</v>
      </c>
      <c r="K1096" s="22">
        <f>IFERROR(__xludf.DUMMYFUNCTION("""COMPUTED_VALUE"""),13.0)</f>
        <v>13</v>
      </c>
      <c r="L1096" s="26" t="str">
        <f>IFERROR(__xludf.DUMMYFUNCTION("""COMPUTED_VALUE"""),"Wrestling")</f>
        <v>Wrestling</v>
      </c>
    </row>
    <row r="1097">
      <c r="A1097" s="12" t="str">
        <f>IFERROR(__xludf.DUMMYFUNCTION("""COMPUTED_VALUE"""),"Comix Zone")</f>
        <v>Comix Zone</v>
      </c>
      <c r="B1097" s="13" t="str">
        <f>IFERROR(__xludf.DUMMYFUNCTION("""COMPUTED_VALUE"""),"Xbox")</f>
        <v>Xbox</v>
      </c>
      <c r="C1097" s="14"/>
      <c r="D1097" s="14" t="str">
        <f>IFERROR(__xludf.DUMMYFUNCTION("""COMPUTED_VALUE"""),"Removed")</f>
        <v>Removed</v>
      </c>
      <c r="E1097" s="294">
        <f>IFERROR(__xludf.DUMMYFUNCTION("""COMPUTED_VALUE"""),42887.0)</f>
        <v>42887</v>
      </c>
      <c r="F1097" s="15">
        <f>IFERROR(__xludf.DUMMYFUNCTION("""COMPUTED_VALUE"""),43190.0)</f>
        <v>43190</v>
      </c>
      <c r="G1097" s="18">
        <f>IFERROR(__xludf.DUMMYFUNCTION("""COMPUTED_VALUE"""),9.966666666666667)</f>
        <v>9.966666667</v>
      </c>
      <c r="H1097" s="131">
        <f>IFERROR(__xludf.DUMMYFUNCTION("""COMPUTED_VALUE"""),34913.0)</f>
        <v>34913</v>
      </c>
      <c r="I1097" s="18">
        <f>IFERROR(__xludf.DUMMYFUNCTION("""COMPUTED_VALUE"""),21.830555555555556)</f>
        <v>21.83055556</v>
      </c>
      <c r="J1097" s="22">
        <f>IFERROR(__xludf.DUMMYFUNCTION("""COMPUTED_VALUE"""),71.0)</f>
        <v>71</v>
      </c>
      <c r="K1097" s="22">
        <f>IFERROR(__xludf.DUMMYFUNCTION("""COMPUTED_VALUE"""),2.0)</f>
        <v>2</v>
      </c>
      <c r="L1097" s="26" t="str">
        <f>IFERROR(__xludf.DUMMYFUNCTION("""COMPUTED_VALUE"""),"Action")</f>
        <v>Action</v>
      </c>
    </row>
    <row r="1098">
      <c r="A1098" s="12" t="str">
        <f>IFERROR(__xludf.DUMMYFUNCTION("""COMPUTED_VALUE"""),"CAPCOM Arcade Cabinet")</f>
        <v>CAPCOM Arcade Cabinet</v>
      </c>
      <c r="B1098" s="13" t="str">
        <f>IFERROR(__xludf.DUMMYFUNCTION("""COMPUTED_VALUE"""),"Xbox")</f>
        <v>Xbox</v>
      </c>
      <c r="C1098" s="14"/>
      <c r="D1098" s="14" t="str">
        <f>IFERROR(__xludf.DUMMYFUNCTION("""COMPUTED_VALUE"""),"Removed")</f>
        <v>Removed</v>
      </c>
      <c r="E1098" s="294">
        <f>IFERROR(__xludf.DUMMYFUNCTION("""COMPUTED_VALUE"""),42887.0)</f>
        <v>42887</v>
      </c>
      <c r="F1098" s="15">
        <f>IFERROR(__xludf.DUMMYFUNCTION("""COMPUTED_VALUE"""),43160.0)</f>
        <v>43160</v>
      </c>
      <c r="G1098" s="18">
        <f>IFERROR(__xludf.DUMMYFUNCTION("""COMPUTED_VALUE"""),9.0)</f>
        <v>9</v>
      </c>
      <c r="H1098" s="131">
        <f>IFERROR(__xludf.DUMMYFUNCTION("""COMPUTED_VALUE"""),41325.0)</f>
        <v>41325</v>
      </c>
      <c r="I1098" s="18">
        <f>IFERROR(__xludf.DUMMYFUNCTION("""COMPUTED_VALUE"""),4.280555555555556)</f>
        <v>4.280555556</v>
      </c>
      <c r="J1098" s="22">
        <f>IFERROR(__xludf.DUMMYFUNCTION("""COMPUTED_VALUE"""),68.0)</f>
        <v>68</v>
      </c>
      <c r="K1098" s="22">
        <f>IFERROR(__xludf.DUMMYFUNCTION("""COMPUTED_VALUE"""),6.0)</f>
        <v>6</v>
      </c>
      <c r="L1098" s="26" t="str">
        <f>IFERROR(__xludf.DUMMYFUNCTION("""COMPUTED_VALUE"""),"Arcade")</f>
        <v>Arcade</v>
      </c>
    </row>
    <row r="1099">
      <c r="A1099" s="12" t="str">
        <f>IFERROR(__xludf.DUMMYFUNCTION("""COMPUTED_VALUE"""),"Dark Void")</f>
        <v>Dark Void</v>
      </c>
      <c r="B1099" s="13" t="str">
        <f>IFERROR(__xludf.DUMMYFUNCTION("""COMPUTED_VALUE"""),"Xbox")</f>
        <v>Xbox</v>
      </c>
      <c r="C1099" s="14"/>
      <c r="D1099" s="14" t="str">
        <f>IFERROR(__xludf.DUMMYFUNCTION("""COMPUTED_VALUE"""),"Removed")</f>
        <v>Removed</v>
      </c>
      <c r="E1099" s="294">
        <f>IFERROR(__xludf.DUMMYFUNCTION("""COMPUTED_VALUE"""),42887.0)</f>
        <v>42887</v>
      </c>
      <c r="F1099" s="15">
        <f>IFERROR(__xludf.DUMMYFUNCTION("""COMPUTED_VALUE"""),43160.0)</f>
        <v>43160</v>
      </c>
      <c r="G1099" s="18">
        <f>IFERROR(__xludf.DUMMYFUNCTION("""COMPUTED_VALUE"""),9.0)</f>
        <v>9</v>
      </c>
      <c r="H1099" s="131">
        <f>IFERROR(__xludf.DUMMYFUNCTION("""COMPUTED_VALUE"""),40193.0)</f>
        <v>40193</v>
      </c>
      <c r="I1099" s="18">
        <f>IFERROR(__xludf.DUMMYFUNCTION("""COMPUTED_VALUE"""),7.377777777777778)</f>
        <v>7.377777778</v>
      </c>
      <c r="J1099" s="22">
        <f>IFERROR(__xludf.DUMMYFUNCTION("""COMPUTED_VALUE"""),59.0)</f>
        <v>59</v>
      </c>
      <c r="K1099" s="22">
        <f>IFERROR(__xludf.DUMMYFUNCTION("""COMPUTED_VALUE"""),7.5)</f>
        <v>7.5</v>
      </c>
      <c r="L1099" s="26" t="str">
        <f>IFERROR(__xludf.DUMMYFUNCTION("""COMPUTED_VALUE"""),"Shooter")</f>
        <v>Shooter</v>
      </c>
    </row>
    <row r="1100">
      <c r="A1100" s="12" t="str">
        <f>IFERROR(__xludf.DUMMYFUNCTION("""COMPUTED_VALUE"""),"FLOCK!")</f>
        <v>FLOCK!</v>
      </c>
      <c r="B1100" s="13" t="str">
        <f>IFERROR(__xludf.DUMMYFUNCTION("""COMPUTED_VALUE"""),"Xbox")</f>
        <v>Xbox</v>
      </c>
      <c r="C1100" s="14"/>
      <c r="D1100" s="14" t="str">
        <f>IFERROR(__xludf.DUMMYFUNCTION("""COMPUTED_VALUE"""),"Removed")</f>
        <v>Removed</v>
      </c>
      <c r="E1100" s="294">
        <f>IFERROR(__xludf.DUMMYFUNCTION("""COMPUTED_VALUE"""),42887.0)</f>
        <v>42887</v>
      </c>
      <c r="F1100" s="15">
        <f>IFERROR(__xludf.DUMMYFUNCTION("""COMPUTED_VALUE"""),43160.0)</f>
        <v>43160</v>
      </c>
      <c r="G1100" s="18">
        <f>IFERROR(__xludf.DUMMYFUNCTION("""COMPUTED_VALUE"""),9.0)</f>
        <v>9</v>
      </c>
      <c r="H1100" s="131">
        <f>IFERROR(__xludf.DUMMYFUNCTION("""COMPUTED_VALUE"""),42237.0)</f>
        <v>42237</v>
      </c>
      <c r="I1100" s="18">
        <f>IFERROR(__xludf.DUMMYFUNCTION("""COMPUTED_VALUE"""),1.7777777777777777)</f>
        <v>1.777777778</v>
      </c>
      <c r="J1100" s="22">
        <f>IFERROR(__xludf.DUMMYFUNCTION("""COMPUTED_VALUE"""),68.0)</f>
        <v>68</v>
      </c>
      <c r="K1100" s="22">
        <f>IFERROR(__xludf.DUMMYFUNCTION("""COMPUTED_VALUE"""),3.0)</f>
        <v>3</v>
      </c>
      <c r="L1100" s="26" t="str">
        <f>IFERROR(__xludf.DUMMYFUNCTION("""COMPUTED_VALUE"""),"Action")</f>
        <v>Action</v>
      </c>
    </row>
    <row r="1101">
      <c r="A1101" s="12" t="str">
        <f>IFERROR(__xludf.DUMMYFUNCTION("""COMPUTED_VALUE"""),"SEGA Vintage Collection: Monster World")</f>
        <v>SEGA Vintage Collection: Monster World</v>
      </c>
      <c r="B1101" s="13" t="str">
        <f>IFERROR(__xludf.DUMMYFUNCTION("""COMPUTED_VALUE"""),"Xbox")</f>
        <v>Xbox</v>
      </c>
      <c r="C1101" s="14"/>
      <c r="D1101" s="14" t="str">
        <f>IFERROR(__xludf.DUMMYFUNCTION("""COMPUTED_VALUE"""),"Removed")</f>
        <v>Removed</v>
      </c>
      <c r="E1101" s="294">
        <f>IFERROR(__xludf.DUMMYFUNCTION("""COMPUTED_VALUE"""),42887.0)</f>
        <v>42887</v>
      </c>
      <c r="F1101" s="15">
        <f>IFERROR(__xludf.DUMMYFUNCTION("""COMPUTED_VALUE"""),43160.0)</f>
        <v>43160</v>
      </c>
      <c r="G1101" s="18">
        <f>IFERROR(__xludf.DUMMYFUNCTION("""COMPUTED_VALUE"""),9.0)</f>
        <v>9</v>
      </c>
      <c r="H1101" s="131">
        <f>IFERROR(__xludf.DUMMYFUNCTION("""COMPUTED_VALUE"""),41052.0)</f>
        <v>41052</v>
      </c>
      <c r="I1101" s="18">
        <f>IFERROR(__xludf.DUMMYFUNCTION("""COMPUTED_VALUE"""),5.022222222222222)</f>
        <v>5.022222222</v>
      </c>
      <c r="J1101" s="22">
        <f>IFERROR(__xludf.DUMMYFUNCTION("""COMPUTED_VALUE"""),72.0)</f>
        <v>72</v>
      </c>
      <c r="K1101" s="22">
        <f>IFERROR(__xludf.DUMMYFUNCTION("""COMPUTED_VALUE"""),70.0)</f>
        <v>70</v>
      </c>
      <c r="L1101" s="26" t="str">
        <f>IFERROR(__xludf.DUMMYFUNCTION("""COMPUTED_VALUE"""),"Compilation")</f>
        <v>Compilation</v>
      </c>
    </row>
    <row r="1102">
      <c r="A1102" s="12" t="str">
        <f>IFERROR(__xludf.DUMMYFUNCTION("""COMPUTED_VALUE"""),"SEGA Vintage Collection: Streets of Rage")</f>
        <v>SEGA Vintage Collection: Streets of Rage</v>
      </c>
      <c r="B1102" s="13" t="str">
        <f>IFERROR(__xludf.DUMMYFUNCTION("""COMPUTED_VALUE"""),"Xbox")</f>
        <v>Xbox</v>
      </c>
      <c r="C1102" s="14"/>
      <c r="D1102" s="14" t="str">
        <f>IFERROR(__xludf.DUMMYFUNCTION("""COMPUTED_VALUE"""),"Removed")</f>
        <v>Removed</v>
      </c>
      <c r="E1102" s="294">
        <f>IFERROR(__xludf.DUMMYFUNCTION("""COMPUTED_VALUE"""),42887.0)</f>
        <v>42887</v>
      </c>
      <c r="F1102" s="15">
        <f>IFERROR(__xludf.DUMMYFUNCTION("""COMPUTED_VALUE"""),43160.0)</f>
        <v>43160</v>
      </c>
      <c r="G1102" s="18">
        <f>IFERROR(__xludf.DUMMYFUNCTION("""COMPUTED_VALUE"""),9.0)</f>
        <v>9</v>
      </c>
      <c r="H1102" s="131">
        <f>IFERROR(__xludf.DUMMYFUNCTION("""COMPUTED_VALUE"""),41059.0)</f>
        <v>41059</v>
      </c>
      <c r="I1102" s="18">
        <f>IFERROR(__xludf.DUMMYFUNCTION("""COMPUTED_VALUE"""),5.002777777777778)</f>
        <v>5.002777778</v>
      </c>
      <c r="J1102" s="22">
        <f>IFERROR(__xludf.DUMMYFUNCTION("""COMPUTED_VALUE"""),84.0)</f>
        <v>84</v>
      </c>
      <c r="K1102" s="22">
        <f>IFERROR(__xludf.DUMMYFUNCTION("""COMPUTED_VALUE"""),1.5)</f>
        <v>1.5</v>
      </c>
      <c r="L1102" s="26" t="str">
        <f>IFERROR(__xludf.DUMMYFUNCTION("""COMPUTED_VALUE"""),"Compilation")</f>
        <v>Compilation</v>
      </c>
    </row>
    <row r="1103">
      <c r="A1103" s="12" t="str">
        <f>IFERROR(__xludf.DUMMYFUNCTION("""COMPUTED_VALUE"""),"Strider")</f>
        <v>Strider</v>
      </c>
      <c r="B1103" s="13" t="str">
        <f>IFERROR(__xludf.DUMMYFUNCTION("""COMPUTED_VALUE"""),"Xbox")</f>
        <v>Xbox</v>
      </c>
      <c r="C1103" s="14"/>
      <c r="D1103" s="14" t="str">
        <f>IFERROR(__xludf.DUMMYFUNCTION("""COMPUTED_VALUE"""),"Removed")</f>
        <v>Removed</v>
      </c>
      <c r="E1103" s="294">
        <f>IFERROR(__xludf.DUMMYFUNCTION("""COMPUTED_VALUE"""),42887.0)</f>
        <v>42887</v>
      </c>
      <c r="F1103" s="15">
        <f>IFERROR(__xludf.DUMMYFUNCTION("""COMPUTED_VALUE"""),43160.0)</f>
        <v>43160</v>
      </c>
      <c r="G1103" s="18">
        <f>IFERROR(__xludf.DUMMYFUNCTION("""COMPUTED_VALUE"""),9.0)</f>
        <v>9</v>
      </c>
      <c r="H1103" s="131">
        <f>IFERROR(__xludf.DUMMYFUNCTION("""COMPUTED_VALUE"""),41688.0)</f>
        <v>41688</v>
      </c>
      <c r="I1103" s="18">
        <f>IFERROR(__xludf.DUMMYFUNCTION("""COMPUTED_VALUE"""),3.286111111111111)</f>
        <v>3.286111111</v>
      </c>
      <c r="J1103" s="22">
        <f>IFERROR(__xludf.DUMMYFUNCTION("""COMPUTED_VALUE"""),76.0)</f>
        <v>76</v>
      </c>
      <c r="K1103" s="22">
        <f>IFERROR(__xludf.DUMMYFUNCTION("""COMPUTED_VALUE"""),5.5)</f>
        <v>5.5</v>
      </c>
      <c r="L1103" s="26" t="str">
        <f>IFERROR(__xludf.DUMMYFUNCTION("""COMPUTED_VALUE"""),"Platformer")</f>
        <v>Platformer</v>
      </c>
    </row>
    <row r="1104">
      <c r="A1104" s="12" t="str">
        <f>IFERROR(__xludf.DUMMYFUNCTION("""COMPUTED_VALUE"""),"Virtua Fighter 5 Final Showdown")</f>
        <v>Virtua Fighter 5 Final Showdown</v>
      </c>
      <c r="B1104" s="13" t="str">
        <f>IFERROR(__xludf.DUMMYFUNCTION("""COMPUTED_VALUE"""),"Xbox")</f>
        <v>Xbox</v>
      </c>
      <c r="C1104" s="14"/>
      <c r="D1104" s="14" t="str">
        <f>IFERROR(__xludf.DUMMYFUNCTION("""COMPUTED_VALUE"""),"Removed")</f>
        <v>Removed</v>
      </c>
      <c r="E1104" s="294">
        <f>IFERROR(__xludf.DUMMYFUNCTION("""COMPUTED_VALUE"""),42887.0)</f>
        <v>42887</v>
      </c>
      <c r="F1104" s="15">
        <f>IFERROR(__xludf.DUMMYFUNCTION("""COMPUTED_VALUE"""),43160.0)</f>
        <v>43160</v>
      </c>
      <c r="G1104" s="18">
        <f>IFERROR(__xludf.DUMMYFUNCTION("""COMPUTED_VALUE"""),9.0)</f>
        <v>9</v>
      </c>
      <c r="H1104" s="131">
        <f>IFERROR(__xludf.DUMMYFUNCTION("""COMPUTED_VALUE"""),41065.0)</f>
        <v>41065</v>
      </c>
      <c r="I1104" s="18">
        <f>IFERROR(__xludf.DUMMYFUNCTION("""COMPUTED_VALUE"""),4.988888888888889)</f>
        <v>4.988888889</v>
      </c>
      <c r="J1104" s="22">
        <f>IFERROR(__xludf.DUMMYFUNCTION("""COMPUTED_VALUE"""),81.0)</f>
        <v>81</v>
      </c>
      <c r="K1104" s="22">
        <f>IFERROR(__xludf.DUMMYFUNCTION("""COMPUTED_VALUE"""),0.5)</f>
        <v>0.5</v>
      </c>
      <c r="L1104" s="26" t="str">
        <f>IFERROR(__xludf.DUMMYFUNCTION("""COMPUTED_VALUE"""),"Fighting")</f>
        <v>Fighting</v>
      </c>
    </row>
    <row r="1105">
      <c r="A1105" s="12" t="str">
        <f>IFERROR(__xludf.DUMMYFUNCTION("""COMPUTED_VALUE"""),"WWE 2K16")</f>
        <v>WWE 2K16</v>
      </c>
      <c r="B1105" s="13" t="str">
        <f>IFERROR(__xludf.DUMMYFUNCTION("""COMPUTED_VALUE"""),"Xbox")</f>
        <v>Xbox</v>
      </c>
      <c r="C1105" s="14"/>
      <c r="D1105" s="14" t="str">
        <f>IFERROR(__xludf.DUMMYFUNCTION("""COMPUTED_VALUE"""),"Removed")</f>
        <v>Removed</v>
      </c>
      <c r="E1105" s="294">
        <f>IFERROR(__xludf.DUMMYFUNCTION("""COMPUTED_VALUE"""),42887.0)</f>
        <v>42887</v>
      </c>
      <c r="F1105" s="15">
        <f>IFERROR(__xludf.DUMMYFUNCTION("""COMPUTED_VALUE"""),43131.0)</f>
        <v>43131</v>
      </c>
      <c r="G1105" s="18">
        <f>IFERROR(__xludf.DUMMYFUNCTION("""COMPUTED_VALUE"""),7.966666666666667)</f>
        <v>7.966666667</v>
      </c>
      <c r="H1105" s="131">
        <f>IFERROR(__xludf.DUMMYFUNCTION("""COMPUTED_VALUE"""),42304.0)</f>
        <v>42304</v>
      </c>
      <c r="I1105" s="18">
        <f>IFERROR(__xludf.DUMMYFUNCTION("""COMPUTED_VALUE"""),1.5944444444444446)</f>
        <v>1.594444444</v>
      </c>
      <c r="J1105" s="22">
        <f>IFERROR(__xludf.DUMMYFUNCTION("""COMPUTED_VALUE"""),72.0)</f>
        <v>72</v>
      </c>
      <c r="K1105" s="22">
        <f>IFERROR(__xludf.DUMMYFUNCTION("""COMPUTED_VALUE"""),15.5)</f>
        <v>15.5</v>
      </c>
      <c r="L1105" s="26" t="str">
        <f>IFERROR(__xludf.DUMMYFUNCTION("""COMPUTED_VALUE"""),"Wrestling")</f>
        <v>Wrestling</v>
      </c>
    </row>
    <row r="1106">
      <c r="A1106" s="12" t="str">
        <f>IFERROR(__xludf.DUMMYFUNCTION("""COMPUTED_VALUE"""),"NBA 2K16")</f>
        <v>NBA 2K16</v>
      </c>
      <c r="B1106" s="13" t="str">
        <f>IFERROR(__xludf.DUMMYFUNCTION("""COMPUTED_VALUE"""),"Xbox")</f>
        <v>Xbox</v>
      </c>
      <c r="C1106" s="14"/>
      <c r="D1106" s="14" t="str">
        <f>IFERROR(__xludf.DUMMYFUNCTION("""COMPUTED_VALUE"""),"Removed")</f>
        <v>Removed</v>
      </c>
      <c r="E1106" s="294">
        <f>IFERROR(__xludf.DUMMYFUNCTION("""COMPUTED_VALUE"""),42887.0)</f>
        <v>42887</v>
      </c>
      <c r="F1106" s="15">
        <f>IFERROR(__xludf.DUMMYFUNCTION("""COMPUTED_VALUE"""),43100.0)</f>
        <v>43100</v>
      </c>
      <c r="G1106" s="18">
        <f>IFERROR(__xludf.DUMMYFUNCTION("""COMPUTED_VALUE"""),6.966666666666667)</f>
        <v>6.966666667</v>
      </c>
      <c r="H1106" s="131">
        <f>IFERROR(__xludf.DUMMYFUNCTION("""COMPUTED_VALUE"""),42272.0)</f>
        <v>42272</v>
      </c>
      <c r="I1106" s="18">
        <f>IFERROR(__xludf.DUMMYFUNCTION("""COMPUTED_VALUE"""),1.6833333333333333)</f>
        <v>1.683333333</v>
      </c>
      <c r="J1106" s="22">
        <f>IFERROR(__xludf.DUMMYFUNCTION("""COMPUTED_VALUE"""),86.0)</f>
        <v>86</v>
      </c>
      <c r="K1106" s="22">
        <f>IFERROR(__xludf.DUMMYFUNCTION("""COMPUTED_VALUE"""),23.5)</f>
        <v>23.5</v>
      </c>
      <c r="L1106" s="26" t="str">
        <f>IFERROR(__xludf.DUMMYFUNCTION("""COMPUTED_VALUE"""),"Sports")</f>
        <v>Sports</v>
      </c>
    </row>
    <row r="1107">
      <c r="A1107" s="12" t="str">
        <f>IFERROR(__xludf.DUMMYFUNCTION("""COMPUTED_VALUE"""),"Dungeons &amp; Dragons: Chronicles of Mystara")</f>
        <v>Dungeons &amp; Dragons: Chronicles of Mystara</v>
      </c>
      <c r="B1107" s="13" t="str">
        <f>IFERROR(__xludf.DUMMYFUNCTION("""COMPUTED_VALUE"""),"Xbox")</f>
        <v>Xbox</v>
      </c>
      <c r="C1107" s="14"/>
      <c r="D1107" s="14" t="str">
        <f>IFERROR(__xludf.DUMMYFUNCTION("""COMPUTED_VALUE"""),"Removed")</f>
        <v>Removed</v>
      </c>
      <c r="E1107" s="294">
        <f>IFERROR(__xludf.DUMMYFUNCTION("""COMPUTED_VALUE"""),42887.0)</f>
        <v>42887</v>
      </c>
      <c r="F1107" s="15">
        <f>IFERROR(__xludf.DUMMYFUNCTION("""COMPUTED_VALUE"""),42962.0)</f>
        <v>42962</v>
      </c>
      <c r="G1107" s="18">
        <f>IFERROR(__xludf.DUMMYFUNCTION("""COMPUTED_VALUE"""),2.466666666666667)</f>
        <v>2.466666667</v>
      </c>
      <c r="H1107" s="131">
        <f>IFERROR(__xludf.DUMMYFUNCTION("""COMPUTED_VALUE"""),41443.0)</f>
        <v>41443</v>
      </c>
      <c r="I1107" s="18">
        <f>IFERROR(__xludf.DUMMYFUNCTION("""COMPUTED_VALUE"""),3.952777777777778)</f>
        <v>3.952777778</v>
      </c>
      <c r="J1107" s="22">
        <f>IFERROR(__xludf.DUMMYFUNCTION("""COMPUTED_VALUE"""),77.0)</f>
        <v>77</v>
      </c>
      <c r="K1107" s="22">
        <f>IFERROR(__xludf.DUMMYFUNCTION("""COMPUTED_VALUE"""),2.0)</f>
        <v>2</v>
      </c>
      <c r="L1107" s="26" t="str">
        <f>IFERROR(__xludf.DUMMYFUNCTION("""COMPUTED_VALUE"""),"RPG")</f>
        <v>RPG</v>
      </c>
    </row>
    <row r="1108">
      <c r="A1108" s="12"/>
      <c r="B1108" s="13"/>
      <c r="C1108" s="14"/>
      <c r="D1108" s="14"/>
      <c r="E1108" s="294"/>
      <c r="F1108" s="15"/>
      <c r="G1108" s="18"/>
      <c r="H1108" s="131"/>
      <c r="I1108" s="18"/>
      <c r="J1108" s="22"/>
      <c r="K1108" s="108"/>
      <c r="L1108" s="26"/>
    </row>
    <row r="1109">
      <c r="A1109" s="12"/>
      <c r="B1109" s="13"/>
      <c r="C1109" s="14"/>
      <c r="D1109" s="14"/>
      <c r="E1109" s="294"/>
      <c r="F1109" s="15"/>
      <c r="G1109" s="18"/>
      <c r="H1109" s="131"/>
      <c r="I1109" s="18"/>
      <c r="J1109" s="22"/>
      <c r="K1109" s="108"/>
      <c r="L1109" s="26"/>
    </row>
    <row r="1110">
      <c r="A1110" s="12"/>
      <c r="B1110" s="13"/>
      <c r="C1110" s="14"/>
      <c r="D1110" s="14"/>
      <c r="E1110" s="294"/>
      <c r="F1110" s="15"/>
      <c r="G1110" s="18"/>
      <c r="H1110" s="131"/>
      <c r="I1110" s="18"/>
      <c r="J1110" s="22"/>
      <c r="K1110" s="108"/>
      <c r="L1110" s="26"/>
    </row>
    <row r="1111">
      <c r="A1111" s="12"/>
      <c r="B1111" s="13"/>
      <c r="C1111" s="14"/>
      <c r="D1111" s="14"/>
      <c r="E1111" s="294"/>
      <c r="F1111" s="15"/>
      <c r="G1111" s="18"/>
      <c r="H1111" s="131"/>
      <c r="I1111" s="18"/>
      <c r="J1111" s="22"/>
      <c r="K1111" s="108"/>
      <c r="L1111" s="26"/>
    </row>
    <row r="1112">
      <c r="A1112" s="12"/>
      <c r="B1112" s="13"/>
      <c r="C1112" s="14"/>
      <c r="D1112" s="14"/>
      <c r="E1112" s="294"/>
      <c r="F1112" s="15"/>
      <c r="G1112" s="18"/>
      <c r="H1112" s="131"/>
      <c r="I1112" s="18"/>
      <c r="J1112" s="22"/>
      <c r="K1112" s="108"/>
      <c r="L1112" s="26"/>
    </row>
    <row r="1113">
      <c r="A1113" s="12"/>
      <c r="B1113" s="13"/>
      <c r="C1113" s="14"/>
      <c r="D1113" s="14"/>
      <c r="E1113" s="294"/>
      <c r="F1113" s="15"/>
      <c r="G1113" s="18"/>
      <c r="H1113" s="131"/>
      <c r="I1113" s="18"/>
      <c r="J1113" s="22"/>
      <c r="K1113" s="108"/>
      <c r="L1113" s="26"/>
    </row>
    <row r="1114">
      <c r="A1114" s="12"/>
      <c r="B1114" s="13"/>
      <c r="C1114" s="14"/>
      <c r="D1114" s="14"/>
      <c r="E1114" s="294"/>
      <c r="F1114" s="15"/>
      <c r="G1114" s="18"/>
      <c r="H1114" s="131"/>
      <c r="I1114" s="18"/>
      <c r="J1114" s="22"/>
      <c r="K1114" s="108"/>
      <c r="L1114" s="26"/>
    </row>
    <row r="1115">
      <c r="A1115" s="12"/>
      <c r="B1115" s="13"/>
      <c r="C1115" s="14"/>
      <c r="D1115" s="14"/>
      <c r="E1115" s="294"/>
      <c r="F1115" s="15"/>
      <c r="G1115" s="18"/>
      <c r="H1115" s="131"/>
      <c r="I1115" s="18"/>
      <c r="J1115" s="22"/>
      <c r="K1115" s="108"/>
      <c r="L1115" s="26"/>
    </row>
    <row r="1116">
      <c r="A1116" s="12"/>
      <c r="B1116" s="13"/>
      <c r="C1116" s="14"/>
      <c r="D1116" s="14"/>
      <c r="E1116" s="294"/>
      <c r="F1116" s="15"/>
      <c r="G1116" s="18"/>
      <c r="H1116" s="131"/>
      <c r="I1116" s="18"/>
      <c r="J1116" s="22"/>
      <c r="K1116" s="108"/>
      <c r="L1116" s="26"/>
    </row>
    <row r="1117">
      <c r="A1117" s="12"/>
      <c r="B1117" s="13"/>
      <c r="C1117" s="14"/>
      <c r="D1117" s="14"/>
      <c r="E1117" s="294"/>
      <c r="F1117" s="15"/>
      <c r="G1117" s="18"/>
      <c r="H1117" s="131"/>
      <c r="I1117" s="18"/>
      <c r="J1117" s="22"/>
      <c r="K1117" s="108"/>
      <c r="L1117" s="26"/>
    </row>
    <row r="1118">
      <c r="A1118" s="12"/>
      <c r="B1118" s="13"/>
      <c r="C1118" s="14"/>
      <c r="D1118" s="14"/>
      <c r="E1118" s="294"/>
      <c r="F1118" s="15"/>
      <c r="G1118" s="18"/>
      <c r="H1118" s="131"/>
      <c r="I1118" s="18"/>
      <c r="J1118" s="22"/>
      <c r="K1118" s="108"/>
      <c r="L1118" s="26"/>
    </row>
    <row r="1119">
      <c r="A1119" s="12"/>
      <c r="B1119" s="13"/>
      <c r="C1119" s="14"/>
      <c r="D1119" s="14"/>
      <c r="E1119" s="294"/>
      <c r="F1119" s="15"/>
      <c r="G1119" s="18"/>
      <c r="H1119" s="131"/>
      <c r="I1119" s="18"/>
      <c r="J1119" s="22"/>
      <c r="K1119" s="108"/>
      <c r="L1119" s="26"/>
    </row>
    <row r="1120">
      <c r="A1120" s="12"/>
      <c r="B1120" s="13"/>
      <c r="C1120" s="14"/>
      <c r="D1120" s="14"/>
      <c r="E1120" s="294"/>
      <c r="F1120" s="15"/>
      <c r="G1120" s="18"/>
      <c r="H1120" s="131"/>
      <c r="I1120" s="18"/>
      <c r="J1120" s="22"/>
      <c r="K1120" s="108"/>
      <c r="L1120" s="26"/>
    </row>
    <row r="1121">
      <c r="A1121" s="12"/>
      <c r="B1121" s="13"/>
      <c r="C1121" s="14"/>
      <c r="D1121" s="14"/>
      <c r="E1121" s="294"/>
      <c r="F1121" s="15"/>
      <c r="G1121" s="18"/>
      <c r="H1121" s="131"/>
      <c r="I1121" s="18"/>
      <c r="J1121" s="22"/>
      <c r="K1121" s="108"/>
      <c r="L1121" s="26"/>
    </row>
    <row r="1122">
      <c r="A1122" s="12"/>
      <c r="B1122" s="13"/>
      <c r="C1122" s="14"/>
      <c r="D1122" s="14"/>
      <c r="E1122" s="294"/>
      <c r="F1122" s="15"/>
      <c r="G1122" s="18"/>
      <c r="H1122" s="131"/>
      <c r="I1122" s="18"/>
      <c r="J1122" s="22"/>
      <c r="K1122" s="108"/>
      <c r="L1122" s="26"/>
    </row>
    <row r="1123">
      <c r="A1123" s="12"/>
      <c r="B1123" s="13"/>
      <c r="C1123" s="14"/>
      <c r="D1123" s="14"/>
      <c r="E1123" s="294"/>
      <c r="F1123" s="15"/>
      <c r="G1123" s="18"/>
      <c r="H1123" s="131"/>
      <c r="I1123" s="18"/>
      <c r="J1123" s="22"/>
      <c r="K1123" s="108"/>
      <c r="L1123" s="26"/>
    </row>
    <row r="1124">
      <c r="A1124" s="12"/>
      <c r="B1124" s="13"/>
      <c r="C1124" s="14"/>
      <c r="D1124" s="14"/>
      <c r="E1124" s="294"/>
      <c r="F1124" s="15"/>
      <c r="G1124" s="18"/>
      <c r="H1124" s="131"/>
      <c r="I1124" s="18"/>
      <c r="J1124" s="22"/>
      <c r="K1124" s="108"/>
      <c r="L1124" s="26"/>
    </row>
    <row r="1125">
      <c r="A1125" s="12"/>
      <c r="B1125" s="13"/>
      <c r="C1125" s="14"/>
      <c r="D1125" s="14"/>
      <c r="E1125" s="294"/>
      <c r="F1125" s="15"/>
      <c r="G1125" s="18"/>
      <c r="H1125" s="131"/>
      <c r="I1125" s="18"/>
      <c r="J1125" s="22"/>
      <c r="K1125" s="108"/>
      <c r="L1125" s="26"/>
    </row>
    <row r="1126">
      <c r="A1126" s="12"/>
      <c r="B1126" s="13"/>
      <c r="C1126" s="14"/>
      <c r="D1126" s="14"/>
      <c r="E1126" s="294"/>
      <c r="F1126" s="15"/>
      <c r="G1126" s="18"/>
      <c r="H1126" s="131"/>
      <c r="I1126" s="18"/>
      <c r="J1126" s="22"/>
      <c r="K1126" s="108"/>
      <c r="L1126" s="26"/>
    </row>
    <row r="1127">
      <c r="A1127" s="12"/>
      <c r="B1127" s="13"/>
      <c r="C1127" s="14"/>
      <c r="D1127" s="14"/>
      <c r="E1127" s="294"/>
      <c r="F1127" s="15"/>
      <c r="G1127" s="18"/>
      <c r="H1127" s="131"/>
      <c r="I1127" s="18"/>
      <c r="J1127" s="22"/>
      <c r="K1127" s="108"/>
      <c r="L1127" s="26"/>
    </row>
    <row r="1128">
      <c r="A1128" s="12"/>
      <c r="B1128" s="13"/>
      <c r="C1128" s="14"/>
      <c r="D1128" s="14"/>
      <c r="E1128" s="294"/>
      <c r="F1128" s="15"/>
      <c r="G1128" s="18"/>
      <c r="H1128" s="131"/>
      <c r="I1128" s="18"/>
      <c r="J1128" s="22"/>
      <c r="K1128" s="108"/>
      <c r="L1128" s="26"/>
    </row>
    <row r="1129">
      <c r="A1129" s="12"/>
      <c r="B1129" s="13"/>
      <c r="C1129" s="14"/>
      <c r="D1129" s="14"/>
      <c r="E1129" s="294"/>
      <c r="F1129" s="15"/>
      <c r="G1129" s="18"/>
      <c r="H1129" s="131"/>
      <c r="I1129" s="18"/>
      <c r="J1129" s="22"/>
      <c r="K1129" s="108"/>
      <c r="L1129" s="26"/>
    </row>
    <row r="1130">
      <c r="A1130" s="12"/>
      <c r="B1130" s="13"/>
      <c r="C1130" s="14"/>
      <c r="D1130" s="14"/>
      <c r="E1130" s="294"/>
      <c r="F1130" s="15"/>
      <c r="G1130" s="18"/>
      <c r="H1130" s="131"/>
      <c r="I1130" s="18"/>
      <c r="J1130" s="22"/>
      <c r="K1130" s="108"/>
      <c r="L1130" s="26"/>
    </row>
    <row r="1131">
      <c r="A1131" s="12"/>
      <c r="B1131" s="13"/>
      <c r="C1131" s="14"/>
      <c r="D1131" s="14"/>
      <c r="E1131" s="294"/>
      <c r="F1131" s="15"/>
      <c r="G1131" s="18"/>
      <c r="H1131" s="131"/>
      <c r="I1131" s="18"/>
      <c r="J1131" s="22"/>
      <c r="K1131" s="108"/>
      <c r="L1131" s="26"/>
    </row>
    <row r="1132">
      <c r="A1132" s="12"/>
      <c r="B1132" s="13"/>
      <c r="C1132" s="14"/>
      <c r="D1132" s="14"/>
      <c r="E1132" s="294"/>
      <c r="F1132" s="15"/>
      <c r="G1132" s="18"/>
      <c r="H1132" s="131"/>
      <c r="I1132" s="18"/>
      <c r="J1132" s="22"/>
      <c r="K1132" s="108"/>
      <c r="L1132" s="26"/>
    </row>
    <row r="1133">
      <c r="A1133" s="12"/>
      <c r="B1133" s="13"/>
      <c r="C1133" s="14"/>
      <c r="D1133" s="14"/>
      <c r="E1133" s="294"/>
      <c r="F1133" s="15"/>
      <c r="G1133" s="18"/>
      <c r="H1133" s="131"/>
      <c r="I1133" s="18"/>
      <c r="J1133" s="22"/>
      <c r="K1133" s="108"/>
      <c r="L1133" s="26"/>
    </row>
    <row r="1134">
      <c r="A1134" s="12"/>
      <c r="B1134" s="13"/>
      <c r="C1134" s="14"/>
      <c r="D1134" s="14"/>
      <c r="E1134" s="294"/>
      <c r="F1134" s="15"/>
      <c r="G1134" s="18"/>
      <c r="H1134" s="131"/>
      <c r="I1134" s="18"/>
      <c r="J1134" s="22"/>
      <c r="K1134" s="108"/>
      <c r="L1134" s="26"/>
    </row>
    <row r="1135">
      <c r="A1135" s="12"/>
      <c r="B1135" s="13"/>
      <c r="C1135" s="14"/>
      <c r="D1135" s="14"/>
      <c r="E1135" s="294"/>
      <c r="F1135" s="15"/>
      <c r="G1135" s="18"/>
      <c r="H1135" s="131"/>
      <c r="I1135" s="18"/>
      <c r="J1135" s="22"/>
      <c r="K1135" s="108"/>
      <c r="L1135" s="26"/>
    </row>
    <row r="1136">
      <c r="A1136" s="12"/>
      <c r="B1136" s="13"/>
      <c r="C1136" s="14"/>
      <c r="D1136" s="14"/>
      <c r="E1136" s="294"/>
      <c r="F1136" s="15"/>
      <c r="G1136" s="18"/>
      <c r="H1136" s="131"/>
      <c r="I1136" s="18"/>
      <c r="J1136" s="22"/>
      <c r="K1136" s="108"/>
      <c r="L1136" s="26"/>
    </row>
    <row r="1137">
      <c r="A1137" s="12"/>
      <c r="B1137" s="13"/>
      <c r="C1137" s="14"/>
      <c r="D1137" s="14"/>
      <c r="E1137" s="294"/>
      <c r="F1137" s="15"/>
      <c r="G1137" s="18"/>
      <c r="H1137" s="131"/>
      <c r="I1137" s="18"/>
      <c r="J1137" s="22"/>
      <c r="K1137" s="108"/>
      <c r="L1137" s="26"/>
    </row>
    <row r="1138">
      <c r="A1138" s="12"/>
      <c r="B1138" s="13"/>
      <c r="C1138" s="14"/>
      <c r="D1138" s="14"/>
      <c r="E1138" s="294"/>
      <c r="F1138" s="15"/>
      <c r="G1138" s="18"/>
      <c r="H1138" s="131"/>
      <c r="I1138" s="18"/>
      <c r="J1138" s="22"/>
      <c r="K1138" s="108"/>
      <c r="L1138" s="26"/>
    </row>
    <row r="1139">
      <c r="A1139" s="12"/>
      <c r="B1139" s="13"/>
      <c r="C1139" s="14"/>
      <c r="D1139" s="14"/>
      <c r="E1139" s="294"/>
      <c r="F1139" s="15"/>
      <c r="G1139" s="18"/>
      <c r="H1139" s="131"/>
      <c r="I1139" s="18"/>
      <c r="J1139" s="22"/>
      <c r="K1139" s="108"/>
      <c r="L1139" s="26"/>
    </row>
    <row r="1140">
      <c r="A1140" s="12"/>
      <c r="B1140" s="13"/>
      <c r="C1140" s="14"/>
      <c r="D1140" s="14"/>
      <c r="E1140" s="294"/>
      <c r="F1140" s="15"/>
      <c r="G1140" s="18"/>
      <c r="H1140" s="131"/>
      <c r="I1140" s="18"/>
      <c r="J1140" s="22"/>
      <c r="K1140" s="108"/>
      <c r="L1140" s="26"/>
    </row>
    <row r="1141">
      <c r="A1141" s="12"/>
      <c r="B1141" s="13"/>
      <c r="C1141" s="14"/>
      <c r="D1141" s="14"/>
      <c r="E1141" s="294"/>
      <c r="F1141" s="15"/>
      <c r="G1141" s="18"/>
      <c r="H1141" s="131"/>
      <c r="I1141" s="18"/>
      <c r="J1141" s="22"/>
      <c r="K1141" s="108"/>
      <c r="L1141" s="26"/>
    </row>
    <row r="1142">
      <c r="A1142" s="12"/>
      <c r="B1142" s="13"/>
      <c r="C1142" s="14"/>
      <c r="D1142" s="14"/>
      <c r="E1142" s="294"/>
      <c r="F1142" s="15"/>
      <c r="G1142" s="18"/>
      <c r="H1142" s="131"/>
      <c r="I1142" s="18"/>
      <c r="J1142" s="22"/>
      <c r="K1142" s="108"/>
      <c r="L1142" s="26"/>
    </row>
    <row r="1143">
      <c r="A1143" s="12"/>
      <c r="B1143" s="13"/>
      <c r="C1143" s="14"/>
      <c r="D1143" s="14"/>
      <c r="E1143" s="294"/>
      <c r="F1143" s="15"/>
      <c r="G1143" s="18"/>
      <c r="H1143" s="131"/>
      <c r="I1143" s="18"/>
      <c r="J1143" s="22"/>
      <c r="K1143" s="108"/>
      <c r="L1143" s="26"/>
    </row>
    <row r="1144">
      <c r="A1144" s="12"/>
      <c r="B1144" s="13"/>
      <c r="C1144" s="14"/>
      <c r="D1144" s="14"/>
      <c r="E1144" s="294"/>
      <c r="F1144" s="15"/>
      <c r="G1144" s="18"/>
      <c r="H1144" s="131"/>
      <c r="I1144" s="18"/>
      <c r="J1144" s="22"/>
      <c r="K1144" s="108"/>
      <c r="L1144" s="26"/>
    </row>
    <row r="1145">
      <c r="A1145" s="12"/>
      <c r="B1145" s="13"/>
      <c r="C1145" s="14"/>
      <c r="D1145" s="14"/>
      <c r="E1145" s="294"/>
      <c r="F1145" s="15"/>
      <c r="G1145" s="18"/>
      <c r="H1145" s="131"/>
      <c r="I1145" s="18"/>
      <c r="J1145" s="22"/>
      <c r="K1145" s="108"/>
      <c r="L1145" s="26"/>
    </row>
    <row r="1146">
      <c r="A1146" s="12"/>
      <c r="B1146" s="13"/>
      <c r="C1146" s="14"/>
      <c r="D1146" s="14"/>
      <c r="E1146" s="294"/>
      <c r="F1146" s="15"/>
      <c r="G1146" s="18"/>
      <c r="H1146" s="131"/>
      <c r="I1146" s="18"/>
      <c r="J1146" s="22"/>
      <c r="K1146" s="108"/>
      <c r="L1146" s="26"/>
    </row>
    <row r="1147">
      <c r="A1147" s="12"/>
      <c r="B1147" s="13"/>
      <c r="C1147" s="14"/>
      <c r="D1147" s="14"/>
      <c r="E1147" s="294"/>
      <c r="F1147" s="15"/>
      <c r="G1147" s="18"/>
      <c r="H1147" s="131"/>
      <c r="I1147" s="18"/>
      <c r="J1147" s="22"/>
      <c r="K1147" s="108"/>
      <c r="L1147" s="26"/>
    </row>
    <row r="1148">
      <c r="A1148" s="12"/>
      <c r="B1148" s="13"/>
      <c r="C1148" s="14"/>
      <c r="D1148" s="14"/>
      <c r="E1148" s="294"/>
      <c r="F1148" s="15"/>
      <c r="G1148" s="18"/>
      <c r="H1148" s="131"/>
      <c r="I1148" s="18"/>
      <c r="J1148" s="22"/>
      <c r="K1148" s="108"/>
      <c r="L1148" s="26"/>
    </row>
    <row r="1149">
      <c r="A1149" s="12"/>
      <c r="B1149" s="13"/>
      <c r="C1149" s="14"/>
      <c r="D1149" s="14"/>
      <c r="E1149" s="294"/>
      <c r="F1149" s="15"/>
      <c r="G1149" s="18"/>
      <c r="H1149" s="131"/>
      <c r="I1149" s="18"/>
      <c r="J1149" s="22"/>
      <c r="K1149" s="108"/>
      <c r="L1149" s="26"/>
    </row>
    <row r="1150">
      <c r="A1150" s="12"/>
      <c r="B1150" s="13"/>
      <c r="C1150" s="14"/>
      <c r="D1150" s="14"/>
      <c r="E1150" s="294"/>
      <c r="F1150" s="15"/>
      <c r="G1150" s="18"/>
      <c r="H1150" s="131"/>
      <c r="I1150" s="18"/>
      <c r="J1150" s="22"/>
      <c r="K1150" s="108"/>
      <c r="L1150" s="26"/>
    </row>
    <row r="1151">
      <c r="A1151" s="12"/>
      <c r="B1151" s="13"/>
      <c r="C1151" s="14"/>
      <c r="D1151" s="14"/>
      <c r="E1151" s="294"/>
      <c r="F1151" s="15"/>
      <c r="G1151" s="18"/>
      <c r="H1151" s="131"/>
      <c r="I1151" s="18"/>
      <c r="J1151" s="22"/>
      <c r="K1151" s="108"/>
      <c r="L1151" s="26"/>
    </row>
    <row r="1152">
      <c r="A1152" s="12"/>
      <c r="B1152" s="13"/>
      <c r="C1152" s="14"/>
      <c r="D1152" s="14"/>
      <c r="E1152" s="294"/>
      <c r="F1152" s="15"/>
      <c r="G1152" s="18"/>
      <c r="H1152" s="131"/>
      <c r="I1152" s="18"/>
      <c r="J1152" s="22"/>
      <c r="K1152" s="108"/>
      <c r="L1152" s="26"/>
    </row>
    <row r="1153">
      <c r="A1153" s="12"/>
      <c r="B1153" s="13"/>
      <c r="C1153" s="14"/>
      <c r="D1153" s="14"/>
      <c r="E1153" s="294"/>
      <c r="F1153" s="15"/>
      <c r="G1153" s="18"/>
      <c r="H1153" s="131"/>
      <c r="I1153" s="18"/>
      <c r="J1153" s="22"/>
      <c r="K1153" s="108"/>
      <c r="L1153" s="26"/>
    </row>
    <row r="1154">
      <c r="A1154" s="12"/>
      <c r="B1154" s="13"/>
      <c r="C1154" s="14"/>
      <c r="D1154" s="14"/>
      <c r="E1154" s="294"/>
      <c r="F1154" s="15"/>
      <c r="G1154" s="18"/>
      <c r="H1154" s="131"/>
      <c r="I1154" s="18"/>
      <c r="J1154" s="22"/>
      <c r="K1154" s="108"/>
      <c r="L1154" s="26"/>
    </row>
    <row r="1155">
      <c r="A1155" s="12"/>
      <c r="B1155" s="13"/>
      <c r="C1155" s="14"/>
      <c r="D1155" s="14"/>
      <c r="E1155" s="294"/>
      <c r="F1155" s="15"/>
      <c r="G1155" s="18"/>
      <c r="H1155" s="131"/>
      <c r="I1155" s="18"/>
      <c r="J1155" s="22"/>
      <c r="K1155" s="108"/>
      <c r="L1155" s="26"/>
    </row>
    <row r="1156">
      <c r="A1156" s="12"/>
      <c r="B1156" s="13"/>
      <c r="C1156" s="14"/>
      <c r="D1156" s="14"/>
      <c r="E1156" s="294"/>
      <c r="F1156" s="15"/>
      <c r="G1156" s="18"/>
      <c r="H1156" s="131"/>
      <c r="I1156" s="18"/>
      <c r="J1156" s="22"/>
      <c r="K1156" s="108"/>
      <c r="L1156" s="26"/>
    </row>
    <row r="1157">
      <c r="A1157" s="12"/>
      <c r="B1157" s="13"/>
      <c r="C1157" s="14"/>
      <c r="D1157" s="14"/>
      <c r="E1157" s="294"/>
      <c r="F1157" s="15"/>
      <c r="G1157" s="18"/>
      <c r="H1157" s="131"/>
      <c r="I1157" s="18"/>
      <c r="J1157" s="22"/>
      <c r="K1157" s="108"/>
      <c r="L1157" s="26"/>
    </row>
    <row r="1158">
      <c r="A1158" s="12"/>
      <c r="B1158" s="13"/>
      <c r="C1158" s="14"/>
      <c r="D1158" s="14"/>
      <c r="E1158" s="294"/>
      <c r="F1158" s="15"/>
      <c r="G1158" s="18"/>
      <c r="H1158" s="131"/>
      <c r="I1158" s="18"/>
      <c r="J1158" s="22"/>
      <c r="K1158" s="108"/>
      <c r="L1158" s="26"/>
    </row>
    <row r="1159">
      <c r="A1159" s="12"/>
      <c r="B1159" s="13"/>
      <c r="C1159" s="14"/>
      <c r="D1159" s="14"/>
      <c r="E1159" s="294"/>
      <c r="F1159" s="15"/>
      <c r="G1159" s="18"/>
      <c r="H1159" s="131"/>
      <c r="I1159" s="18"/>
      <c r="J1159" s="22"/>
      <c r="K1159" s="108"/>
      <c r="L1159" s="26"/>
    </row>
    <row r="1160">
      <c r="A1160" s="12"/>
      <c r="B1160" s="13"/>
      <c r="C1160" s="14"/>
      <c r="D1160" s="14"/>
      <c r="E1160" s="294"/>
      <c r="F1160" s="15"/>
      <c r="G1160" s="18"/>
      <c r="H1160" s="131"/>
      <c r="I1160" s="18"/>
      <c r="J1160" s="22"/>
      <c r="K1160" s="108"/>
      <c r="L1160" s="26"/>
    </row>
    <row r="1161">
      <c r="A1161" s="12"/>
      <c r="B1161" s="13"/>
      <c r="C1161" s="14"/>
      <c r="D1161" s="14"/>
      <c r="E1161" s="294"/>
      <c r="F1161" s="15"/>
      <c r="G1161" s="18"/>
      <c r="H1161" s="131"/>
      <c r="I1161" s="18"/>
      <c r="J1161" s="22"/>
      <c r="K1161" s="108"/>
      <c r="L1161" s="26"/>
    </row>
    <row r="1162">
      <c r="A1162" s="12"/>
      <c r="B1162" s="13"/>
      <c r="C1162" s="14"/>
      <c r="D1162" s="14"/>
      <c r="E1162" s="294"/>
      <c r="F1162" s="15"/>
      <c r="G1162" s="18"/>
      <c r="H1162" s="131"/>
      <c r="I1162" s="18"/>
      <c r="J1162" s="22"/>
      <c r="K1162" s="108"/>
      <c r="L1162" s="26"/>
    </row>
    <row r="1163">
      <c r="A1163" s="12"/>
      <c r="B1163" s="13"/>
      <c r="C1163" s="14"/>
      <c r="D1163" s="14"/>
      <c r="E1163" s="294"/>
      <c r="F1163" s="15"/>
      <c r="G1163" s="18"/>
      <c r="H1163" s="131"/>
      <c r="I1163" s="18"/>
      <c r="J1163" s="22"/>
      <c r="K1163" s="108"/>
      <c r="L1163" s="26"/>
    </row>
    <row r="1164">
      <c r="A1164" s="12"/>
      <c r="B1164" s="13"/>
      <c r="C1164" s="14"/>
      <c r="D1164" s="14"/>
      <c r="E1164" s="294"/>
      <c r="F1164" s="15"/>
      <c r="G1164" s="18"/>
      <c r="H1164" s="131"/>
      <c r="I1164" s="18"/>
      <c r="J1164" s="22"/>
      <c r="K1164" s="108"/>
      <c r="L1164" s="26"/>
    </row>
    <row r="1165">
      <c r="A1165" s="12"/>
      <c r="B1165" s="13"/>
      <c r="C1165" s="14"/>
      <c r="D1165" s="14"/>
      <c r="E1165" s="294"/>
      <c r="F1165" s="15"/>
      <c r="G1165" s="18"/>
      <c r="H1165" s="131"/>
      <c r="I1165" s="18"/>
      <c r="J1165" s="22"/>
      <c r="K1165" s="108"/>
      <c r="L1165" s="26"/>
    </row>
    <row r="1166">
      <c r="A1166" s="12"/>
      <c r="B1166" s="13"/>
      <c r="C1166" s="14"/>
      <c r="D1166" s="14"/>
      <c r="E1166" s="294"/>
      <c r="F1166" s="15"/>
      <c r="G1166" s="18"/>
      <c r="H1166" s="131"/>
      <c r="I1166" s="18"/>
      <c r="J1166" s="22"/>
      <c r="K1166" s="108"/>
      <c r="L1166" s="26"/>
    </row>
    <row r="1167">
      <c r="A1167" s="12"/>
      <c r="B1167" s="13"/>
      <c r="C1167" s="14"/>
      <c r="D1167" s="14"/>
      <c r="E1167" s="294"/>
      <c r="F1167" s="15"/>
      <c r="G1167" s="18"/>
      <c r="H1167" s="131"/>
      <c r="I1167" s="18"/>
      <c r="J1167" s="22"/>
      <c r="K1167" s="108"/>
      <c r="L1167" s="26"/>
    </row>
    <row r="1168">
      <c r="A1168" s="12"/>
      <c r="B1168" s="13"/>
      <c r="C1168" s="14"/>
      <c r="D1168" s="14"/>
      <c r="E1168" s="294"/>
      <c r="F1168" s="15"/>
      <c r="G1168" s="18"/>
      <c r="H1168" s="131"/>
      <c r="I1168" s="18"/>
      <c r="J1168" s="22"/>
      <c r="K1168" s="108"/>
      <c r="L1168" s="26"/>
    </row>
    <row r="1169">
      <c r="A1169" s="12"/>
      <c r="B1169" s="13"/>
      <c r="C1169" s="14"/>
      <c r="D1169" s="14"/>
      <c r="E1169" s="294"/>
      <c r="F1169" s="15"/>
      <c r="G1169" s="18"/>
      <c r="H1169" s="131"/>
      <c r="I1169" s="18"/>
      <c r="J1169" s="22"/>
      <c r="K1169" s="108"/>
      <c r="L1169" s="26"/>
    </row>
    <row r="1170">
      <c r="A1170" s="12"/>
      <c r="B1170" s="13"/>
      <c r="C1170" s="14"/>
      <c r="D1170" s="14"/>
      <c r="E1170" s="294"/>
      <c r="F1170" s="15"/>
      <c r="G1170" s="18"/>
      <c r="H1170" s="131"/>
      <c r="I1170" s="18"/>
      <c r="J1170" s="22"/>
      <c r="K1170" s="108"/>
      <c r="L1170" s="26"/>
    </row>
    <row r="1171">
      <c r="A1171" s="12"/>
      <c r="B1171" s="13"/>
      <c r="C1171" s="14"/>
      <c r="D1171" s="14"/>
      <c r="E1171" s="294"/>
      <c r="F1171" s="15"/>
      <c r="G1171" s="18"/>
      <c r="H1171" s="131"/>
      <c r="I1171" s="18"/>
      <c r="J1171" s="22"/>
      <c r="K1171" s="108"/>
      <c r="L1171" s="26"/>
    </row>
    <row r="1172">
      <c r="A1172" s="12"/>
      <c r="B1172" s="13"/>
      <c r="C1172" s="14"/>
      <c r="D1172" s="14"/>
      <c r="E1172" s="294"/>
      <c r="F1172" s="15"/>
      <c r="G1172" s="18"/>
      <c r="H1172" s="131"/>
      <c r="I1172" s="18"/>
      <c r="J1172" s="22"/>
      <c r="K1172" s="108"/>
      <c r="L1172" s="26"/>
    </row>
    <row r="1173">
      <c r="A1173" s="12"/>
      <c r="B1173" s="13"/>
      <c r="C1173" s="14"/>
      <c r="D1173" s="14"/>
      <c r="E1173" s="294"/>
      <c r="F1173" s="15"/>
      <c r="G1173" s="18"/>
      <c r="H1173" s="131"/>
      <c r="I1173" s="18"/>
      <c r="J1173" s="22"/>
      <c r="K1173" s="108"/>
      <c r="L1173" s="26"/>
    </row>
    <row r="1174">
      <c r="A1174" s="12"/>
      <c r="B1174" s="13"/>
      <c r="C1174" s="14"/>
      <c r="D1174" s="14"/>
      <c r="E1174" s="294"/>
      <c r="F1174" s="15"/>
      <c r="G1174" s="18"/>
      <c r="H1174" s="131"/>
      <c r="I1174" s="18"/>
      <c r="J1174" s="22"/>
      <c r="K1174" s="108"/>
      <c r="L1174" s="26"/>
    </row>
    <row r="1175">
      <c r="A1175" s="12"/>
      <c r="B1175" s="13"/>
      <c r="C1175" s="14"/>
      <c r="D1175" s="14"/>
      <c r="E1175" s="294"/>
      <c r="F1175" s="15"/>
      <c r="G1175" s="18"/>
      <c r="H1175" s="131"/>
      <c r="I1175" s="18"/>
      <c r="J1175" s="22"/>
      <c r="K1175" s="108"/>
      <c r="L1175" s="26"/>
    </row>
    <row r="1176">
      <c r="A1176" s="12"/>
      <c r="B1176" s="13"/>
      <c r="C1176" s="14"/>
      <c r="D1176" s="14"/>
      <c r="E1176" s="294"/>
      <c r="F1176" s="15"/>
      <c r="G1176" s="18"/>
      <c r="H1176" s="131"/>
      <c r="I1176" s="18"/>
      <c r="J1176" s="22"/>
      <c r="K1176" s="108"/>
      <c r="L1176" s="26"/>
    </row>
    <row r="1177">
      <c r="A1177" s="12"/>
      <c r="B1177" s="13"/>
      <c r="C1177" s="14"/>
      <c r="D1177" s="14"/>
      <c r="E1177" s="294"/>
      <c r="F1177" s="15"/>
      <c r="G1177" s="18"/>
      <c r="H1177" s="131"/>
      <c r="I1177" s="18"/>
      <c r="J1177" s="22"/>
      <c r="K1177" s="108"/>
      <c r="L1177" s="26"/>
    </row>
    <row r="1178">
      <c r="A1178" s="12"/>
      <c r="B1178" s="13"/>
      <c r="C1178" s="14"/>
      <c r="D1178" s="14"/>
      <c r="E1178" s="294"/>
      <c r="F1178" s="15"/>
      <c r="G1178" s="18"/>
      <c r="H1178" s="131"/>
      <c r="I1178" s="18"/>
      <c r="J1178" s="22"/>
      <c r="K1178" s="108"/>
      <c r="L1178" s="26"/>
    </row>
    <row r="1179">
      <c r="A1179" s="12"/>
      <c r="B1179" s="13"/>
      <c r="C1179" s="14"/>
      <c r="D1179" s="14"/>
      <c r="E1179" s="294"/>
      <c r="F1179" s="15"/>
      <c r="G1179" s="18"/>
      <c r="H1179" s="131"/>
      <c r="I1179" s="18"/>
      <c r="J1179" s="22"/>
      <c r="K1179" s="108"/>
      <c r="L1179" s="26"/>
    </row>
    <row r="1180">
      <c r="A1180" s="12"/>
      <c r="B1180" s="13"/>
      <c r="C1180" s="14"/>
      <c r="D1180" s="14"/>
      <c r="E1180" s="294"/>
      <c r="F1180" s="15"/>
      <c r="G1180" s="18"/>
      <c r="H1180" s="131"/>
      <c r="I1180" s="18"/>
      <c r="J1180" s="22"/>
      <c r="K1180" s="108"/>
      <c r="L1180" s="26"/>
    </row>
    <row r="1181">
      <c r="A1181" s="12"/>
      <c r="B1181" s="13"/>
      <c r="C1181" s="14"/>
      <c r="D1181" s="14"/>
      <c r="E1181" s="294"/>
      <c r="F1181" s="15"/>
      <c r="G1181" s="18"/>
      <c r="H1181" s="131"/>
      <c r="I1181" s="18"/>
      <c r="J1181" s="22"/>
      <c r="K1181" s="108"/>
      <c r="L1181" s="26"/>
    </row>
    <row r="1182">
      <c r="A1182" s="12"/>
      <c r="B1182" s="13"/>
      <c r="C1182" s="14"/>
      <c r="D1182" s="14"/>
      <c r="E1182" s="294"/>
      <c r="F1182" s="15"/>
      <c r="G1182" s="18"/>
      <c r="H1182" s="131"/>
      <c r="I1182" s="18"/>
      <c r="J1182" s="22"/>
      <c r="K1182" s="108"/>
      <c r="L1182" s="26"/>
    </row>
    <row r="1183">
      <c r="A1183" s="12"/>
      <c r="B1183" s="13"/>
      <c r="C1183" s="14"/>
      <c r="D1183" s="14"/>
      <c r="E1183" s="294"/>
      <c r="F1183" s="15"/>
      <c r="G1183" s="18"/>
      <c r="H1183" s="131"/>
      <c r="I1183" s="18"/>
      <c r="J1183" s="22"/>
      <c r="K1183" s="108"/>
      <c r="L1183" s="26"/>
    </row>
    <row r="1184">
      <c r="A1184" s="12"/>
      <c r="B1184" s="13"/>
      <c r="C1184" s="14"/>
      <c r="D1184" s="14"/>
      <c r="E1184" s="294"/>
      <c r="F1184" s="15"/>
      <c r="G1184" s="18"/>
      <c r="H1184" s="131"/>
      <c r="I1184" s="18"/>
      <c r="J1184" s="22"/>
      <c r="K1184" s="108"/>
      <c r="L1184" s="26"/>
    </row>
    <row r="1185">
      <c r="A1185" s="12"/>
      <c r="B1185" s="13"/>
      <c r="C1185" s="14"/>
      <c r="D1185" s="14"/>
      <c r="E1185" s="294"/>
      <c r="F1185" s="15"/>
      <c r="G1185" s="18"/>
      <c r="H1185" s="131"/>
      <c r="I1185" s="18"/>
      <c r="J1185" s="22"/>
      <c r="K1185" s="108"/>
      <c r="L1185" s="26"/>
    </row>
    <row r="1186">
      <c r="A1186" s="12"/>
      <c r="B1186" s="13"/>
      <c r="C1186" s="14"/>
      <c r="D1186" s="14"/>
      <c r="E1186" s="294"/>
      <c r="F1186" s="15"/>
      <c r="G1186" s="18"/>
      <c r="H1186" s="131"/>
      <c r="I1186" s="18"/>
      <c r="J1186" s="22"/>
      <c r="K1186" s="108"/>
      <c r="L1186" s="26"/>
    </row>
    <row r="1187">
      <c r="A1187" s="12"/>
      <c r="B1187" s="13"/>
      <c r="C1187" s="14"/>
      <c r="D1187" s="14"/>
      <c r="E1187" s="294"/>
      <c r="F1187" s="15"/>
      <c r="G1187" s="18"/>
      <c r="H1187" s="131"/>
      <c r="I1187" s="18"/>
      <c r="J1187" s="22"/>
      <c r="K1187" s="108"/>
      <c r="L1187" s="26"/>
    </row>
    <row r="1188">
      <c r="A1188" s="12"/>
      <c r="B1188" s="13"/>
      <c r="C1188" s="14"/>
      <c r="D1188" s="14"/>
      <c r="E1188" s="294"/>
      <c r="F1188" s="15"/>
      <c r="G1188" s="18"/>
      <c r="H1188" s="131"/>
      <c r="I1188" s="18"/>
      <c r="J1188" s="22"/>
      <c r="K1188" s="108"/>
      <c r="L1188" s="26"/>
    </row>
    <row r="1189">
      <c r="A1189" s="12"/>
      <c r="B1189" s="13"/>
      <c r="C1189" s="14"/>
      <c r="D1189" s="14"/>
      <c r="E1189" s="294"/>
      <c r="F1189" s="15"/>
      <c r="G1189" s="18"/>
      <c r="H1189" s="131"/>
      <c r="I1189" s="18"/>
      <c r="J1189" s="22"/>
      <c r="K1189" s="108"/>
      <c r="L1189" s="26"/>
    </row>
    <row r="1190">
      <c r="A1190" s="12"/>
      <c r="B1190" s="13"/>
      <c r="C1190" s="14"/>
      <c r="D1190" s="14"/>
      <c r="E1190" s="294"/>
      <c r="F1190" s="15"/>
      <c r="G1190" s="18"/>
      <c r="H1190" s="131"/>
      <c r="I1190" s="18"/>
      <c r="J1190" s="22"/>
      <c r="K1190" s="108"/>
      <c r="L1190" s="26"/>
    </row>
    <row r="1191">
      <c r="A1191" s="12"/>
      <c r="B1191" s="13"/>
      <c r="C1191" s="14"/>
      <c r="D1191" s="14"/>
      <c r="E1191" s="294"/>
      <c r="F1191" s="15"/>
      <c r="G1191" s="18"/>
      <c r="H1191" s="131"/>
      <c r="I1191" s="18"/>
      <c r="J1191" s="22"/>
      <c r="K1191" s="108"/>
      <c r="L1191" s="26"/>
    </row>
    <row r="1192">
      <c r="A1192" s="12"/>
      <c r="B1192" s="13"/>
      <c r="C1192" s="14"/>
      <c r="D1192" s="14"/>
      <c r="E1192" s="294"/>
      <c r="F1192" s="15"/>
      <c r="G1192" s="18"/>
      <c r="H1192" s="131"/>
      <c r="I1192" s="18"/>
      <c r="J1192" s="22"/>
      <c r="K1192" s="108"/>
      <c r="L1192" s="26"/>
    </row>
    <row r="1193">
      <c r="A1193" s="12"/>
      <c r="B1193" s="13"/>
      <c r="C1193" s="14"/>
      <c r="D1193" s="14"/>
      <c r="E1193" s="294"/>
      <c r="F1193" s="15"/>
      <c r="G1193" s="18"/>
      <c r="H1193" s="131"/>
      <c r="I1193" s="18"/>
      <c r="J1193" s="22"/>
      <c r="K1193" s="108"/>
      <c r="L1193" s="26"/>
    </row>
    <row r="1194">
      <c r="A1194" s="12"/>
      <c r="B1194" s="13"/>
      <c r="C1194" s="14"/>
      <c r="D1194" s="14"/>
      <c r="E1194" s="294"/>
      <c r="F1194" s="15"/>
      <c r="G1194" s="18"/>
      <c r="H1194" s="131"/>
      <c r="I1194" s="18"/>
      <c r="J1194" s="22"/>
      <c r="K1194" s="108"/>
      <c r="L1194" s="26"/>
    </row>
    <row r="1195">
      <c r="A1195" s="12"/>
      <c r="B1195" s="13"/>
      <c r="C1195" s="14"/>
      <c r="D1195" s="14"/>
      <c r="E1195" s="294"/>
      <c r="F1195" s="15"/>
      <c r="G1195" s="18"/>
      <c r="H1195" s="131"/>
      <c r="I1195" s="18"/>
      <c r="J1195" s="22"/>
      <c r="K1195" s="108"/>
      <c r="L1195" s="26"/>
    </row>
    <row r="1196">
      <c r="A1196" s="12"/>
      <c r="B1196" s="13"/>
      <c r="C1196" s="14"/>
      <c r="D1196" s="14"/>
      <c r="E1196" s="294"/>
      <c r="F1196" s="15"/>
      <c r="G1196" s="18"/>
      <c r="H1196" s="131"/>
      <c r="I1196" s="18"/>
      <c r="J1196" s="22"/>
      <c r="K1196" s="108"/>
      <c r="L1196" s="26"/>
    </row>
    <row r="1197">
      <c r="A1197" s="12"/>
      <c r="B1197" s="13"/>
      <c r="C1197" s="14"/>
      <c r="D1197" s="14"/>
      <c r="E1197" s="294"/>
      <c r="F1197" s="15"/>
      <c r="G1197" s="18"/>
      <c r="H1197" s="131"/>
      <c r="I1197" s="18"/>
      <c r="J1197" s="22"/>
      <c r="K1197" s="108"/>
      <c r="L1197" s="26"/>
    </row>
    <row r="1198">
      <c r="A1198" s="12"/>
      <c r="B1198" s="13"/>
      <c r="C1198" s="14"/>
      <c r="D1198" s="14"/>
      <c r="E1198" s="294"/>
      <c r="F1198" s="15"/>
      <c r="G1198" s="18"/>
      <c r="H1198" s="131"/>
      <c r="I1198" s="18"/>
      <c r="J1198" s="22"/>
      <c r="K1198" s="108"/>
      <c r="L1198" s="26"/>
    </row>
    <row r="1199">
      <c r="A1199" s="12"/>
      <c r="B1199" s="13"/>
      <c r="C1199" s="14"/>
      <c r="D1199" s="14"/>
      <c r="E1199" s="294"/>
      <c r="F1199" s="15"/>
      <c r="G1199" s="18"/>
      <c r="H1199" s="131"/>
      <c r="I1199" s="18"/>
      <c r="J1199" s="22"/>
      <c r="K1199" s="108"/>
      <c r="L1199" s="26"/>
    </row>
    <row r="1200">
      <c r="A1200" s="12"/>
      <c r="B1200" s="13"/>
      <c r="C1200" s="14"/>
      <c r="D1200" s="14"/>
      <c r="E1200" s="294"/>
      <c r="F1200" s="15"/>
      <c r="G1200" s="18"/>
      <c r="H1200" s="131"/>
      <c r="I1200" s="18"/>
      <c r="J1200" s="22"/>
      <c r="K1200" s="108"/>
      <c r="L1200" s="26"/>
    </row>
    <row r="1201">
      <c r="A1201" s="12"/>
      <c r="B1201" s="13"/>
      <c r="C1201" s="14"/>
      <c r="D1201" s="14"/>
      <c r="E1201" s="294"/>
      <c r="F1201" s="15"/>
      <c r="G1201" s="18"/>
      <c r="H1201" s="131"/>
      <c r="I1201" s="18"/>
      <c r="J1201" s="22"/>
      <c r="K1201" s="108"/>
      <c r="L1201" s="26"/>
    </row>
    <row r="1202">
      <c r="A1202" s="12"/>
      <c r="B1202" s="13"/>
      <c r="C1202" s="14"/>
      <c r="D1202" s="14"/>
      <c r="E1202" s="294"/>
      <c r="F1202" s="15"/>
      <c r="G1202" s="18"/>
      <c r="H1202" s="131"/>
      <c r="I1202" s="18"/>
      <c r="J1202" s="22"/>
      <c r="K1202" s="108"/>
      <c r="L1202" s="26"/>
    </row>
    <row r="1203">
      <c r="A1203" s="12"/>
      <c r="B1203" s="13"/>
      <c r="C1203" s="14"/>
      <c r="D1203" s="14"/>
      <c r="E1203" s="294"/>
      <c r="F1203" s="15"/>
      <c r="G1203" s="18"/>
      <c r="H1203" s="131"/>
      <c r="I1203" s="18"/>
      <c r="J1203" s="22"/>
      <c r="K1203" s="108"/>
      <c r="L1203" s="26"/>
    </row>
    <row r="1204">
      <c r="A1204" s="12"/>
      <c r="B1204" s="13"/>
      <c r="C1204" s="14"/>
      <c r="D1204" s="14"/>
      <c r="E1204" s="294"/>
      <c r="F1204" s="15"/>
      <c r="G1204" s="18"/>
      <c r="H1204" s="131"/>
      <c r="I1204" s="18"/>
      <c r="J1204" s="22"/>
      <c r="K1204" s="108"/>
      <c r="L1204" s="26"/>
    </row>
    <row r="1205">
      <c r="A1205" s="12"/>
      <c r="B1205" s="13"/>
      <c r="C1205" s="14"/>
      <c r="D1205" s="14"/>
      <c r="E1205" s="294"/>
      <c r="F1205" s="15"/>
      <c r="G1205" s="18"/>
      <c r="H1205" s="131"/>
      <c r="I1205" s="18"/>
      <c r="J1205" s="22"/>
      <c r="K1205" s="108"/>
      <c r="L1205" s="26"/>
    </row>
    <row r="1206">
      <c r="A1206" s="12"/>
      <c r="B1206" s="13"/>
      <c r="C1206" s="14"/>
      <c r="D1206" s="14"/>
      <c r="E1206" s="294"/>
      <c r="F1206" s="15"/>
      <c r="G1206" s="18"/>
      <c r="H1206" s="131"/>
      <c r="I1206" s="18"/>
      <c r="J1206" s="22"/>
      <c r="K1206" s="108"/>
      <c r="L1206" s="26"/>
    </row>
    <row r="1207">
      <c r="A1207" s="12"/>
      <c r="B1207" s="13"/>
      <c r="C1207" s="14"/>
      <c r="D1207" s="14"/>
      <c r="E1207" s="294"/>
      <c r="F1207" s="15"/>
      <c r="G1207" s="18"/>
      <c r="H1207" s="131"/>
      <c r="I1207" s="18"/>
      <c r="J1207" s="22"/>
      <c r="K1207" s="108"/>
      <c r="L1207" s="26"/>
    </row>
    <row r="1208">
      <c r="A1208" s="12"/>
      <c r="B1208" s="13"/>
      <c r="C1208" s="14"/>
      <c r="D1208" s="14"/>
      <c r="E1208" s="294"/>
      <c r="F1208" s="15"/>
      <c r="G1208" s="18"/>
      <c r="H1208" s="131"/>
      <c r="I1208" s="18"/>
      <c r="J1208" s="22"/>
      <c r="K1208" s="108"/>
      <c r="L1208" s="26"/>
    </row>
    <row r="1209">
      <c r="A1209" s="12"/>
      <c r="B1209" s="13"/>
      <c r="C1209" s="14"/>
      <c r="D1209" s="14"/>
      <c r="E1209" s="294"/>
      <c r="F1209" s="15"/>
      <c r="G1209" s="18"/>
      <c r="H1209" s="131"/>
      <c r="I1209" s="18"/>
      <c r="J1209" s="22"/>
      <c r="K1209" s="108"/>
      <c r="L1209" s="26"/>
    </row>
    <row r="1210">
      <c r="A1210" s="12"/>
      <c r="B1210" s="13"/>
      <c r="C1210" s="14"/>
      <c r="D1210" s="14"/>
      <c r="E1210" s="294"/>
      <c r="F1210" s="15"/>
      <c r="G1210" s="18"/>
      <c r="H1210" s="131"/>
      <c r="I1210" s="18"/>
      <c r="J1210" s="22"/>
      <c r="K1210" s="108"/>
      <c r="L1210" s="26"/>
    </row>
    <row r="1211">
      <c r="A1211" s="12"/>
      <c r="B1211" s="13"/>
      <c r="C1211" s="14"/>
      <c r="D1211" s="14"/>
      <c r="E1211" s="294"/>
      <c r="F1211" s="15"/>
      <c r="G1211" s="18"/>
      <c r="H1211" s="131"/>
      <c r="I1211" s="18"/>
      <c r="J1211" s="22"/>
      <c r="K1211" s="108"/>
      <c r="L1211" s="26"/>
    </row>
    <row r="1212">
      <c r="A1212" s="12"/>
      <c r="B1212" s="13"/>
      <c r="C1212" s="14"/>
      <c r="D1212" s="14"/>
      <c r="E1212" s="294"/>
      <c r="F1212" s="15"/>
      <c r="G1212" s="18"/>
      <c r="H1212" s="131"/>
      <c r="I1212" s="18"/>
      <c r="J1212" s="22"/>
      <c r="K1212" s="108"/>
      <c r="L1212" s="26"/>
    </row>
    <row r="1213">
      <c r="A1213" s="12"/>
      <c r="B1213" s="13"/>
      <c r="C1213" s="14"/>
      <c r="D1213" s="14"/>
      <c r="E1213" s="294"/>
      <c r="F1213" s="15"/>
      <c r="G1213" s="18"/>
      <c r="H1213" s="131"/>
      <c r="I1213" s="18"/>
      <c r="J1213" s="22"/>
      <c r="K1213" s="108"/>
      <c r="L1213" s="26"/>
    </row>
    <row r="1214">
      <c r="A1214" s="12"/>
      <c r="B1214" s="13"/>
      <c r="C1214" s="14"/>
      <c r="D1214" s="14"/>
      <c r="E1214" s="294"/>
      <c r="F1214" s="15"/>
      <c r="G1214" s="18"/>
      <c r="H1214" s="131"/>
      <c r="I1214" s="18"/>
      <c r="J1214" s="22"/>
      <c r="K1214" s="108"/>
      <c r="L1214" s="26"/>
    </row>
    <row r="1215">
      <c r="A1215" s="12"/>
      <c r="B1215" s="13"/>
      <c r="C1215" s="14"/>
      <c r="D1215" s="14"/>
      <c r="E1215" s="294"/>
      <c r="F1215" s="15"/>
      <c r="G1215" s="18"/>
      <c r="H1215" s="131"/>
      <c r="I1215" s="18"/>
      <c r="J1215" s="22"/>
      <c r="K1215" s="108"/>
      <c r="L1215" s="26"/>
    </row>
    <row r="1216">
      <c r="A1216" s="12"/>
      <c r="B1216" s="13"/>
      <c r="C1216" s="14"/>
      <c r="D1216" s="14"/>
      <c r="E1216" s="294"/>
      <c r="F1216" s="15"/>
      <c r="G1216" s="18"/>
      <c r="H1216" s="131"/>
      <c r="I1216" s="18"/>
      <c r="J1216" s="22"/>
      <c r="K1216" s="108"/>
      <c r="L1216" s="26"/>
    </row>
    <row r="1217">
      <c r="A1217" s="12"/>
      <c r="B1217" s="13"/>
      <c r="C1217" s="14"/>
      <c r="D1217" s="14"/>
      <c r="E1217" s="294"/>
      <c r="F1217" s="15"/>
      <c r="G1217" s="18"/>
      <c r="H1217" s="131"/>
      <c r="I1217" s="18"/>
      <c r="J1217" s="22"/>
      <c r="K1217" s="108"/>
      <c r="L1217" s="26"/>
    </row>
    <row r="1218">
      <c r="A1218" s="12"/>
      <c r="B1218" s="13"/>
      <c r="C1218" s="14"/>
      <c r="D1218" s="14"/>
      <c r="E1218" s="294"/>
      <c r="F1218" s="15"/>
      <c r="G1218" s="18"/>
      <c r="H1218" s="131"/>
      <c r="I1218" s="18"/>
      <c r="J1218" s="22"/>
      <c r="K1218" s="108"/>
      <c r="L1218" s="26"/>
    </row>
    <row r="1219">
      <c r="A1219" s="12"/>
      <c r="B1219" s="13"/>
      <c r="C1219" s="14"/>
      <c r="D1219" s="14"/>
      <c r="E1219" s="294"/>
      <c r="F1219" s="15"/>
      <c r="G1219" s="18"/>
      <c r="H1219" s="131"/>
      <c r="I1219" s="18"/>
      <c r="J1219" s="22"/>
      <c r="K1219" s="108"/>
      <c r="L1219" s="26"/>
    </row>
    <row r="1220">
      <c r="A1220" s="12"/>
      <c r="B1220" s="13"/>
      <c r="C1220" s="14"/>
      <c r="D1220" s="14"/>
      <c r="E1220" s="294"/>
      <c r="F1220" s="15"/>
      <c r="G1220" s="18"/>
      <c r="H1220" s="131"/>
      <c r="I1220" s="18"/>
      <c r="J1220" s="22"/>
      <c r="K1220" s="108"/>
      <c r="L1220" s="26"/>
    </row>
    <row r="1221">
      <c r="A1221" s="12"/>
      <c r="B1221" s="13"/>
      <c r="C1221" s="14"/>
      <c r="D1221" s="14"/>
      <c r="E1221" s="294"/>
      <c r="F1221" s="15"/>
      <c r="G1221" s="18"/>
      <c r="H1221" s="131"/>
      <c r="I1221" s="18"/>
      <c r="J1221" s="22"/>
      <c r="K1221" s="108"/>
      <c r="L1221" s="26"/>
    </row>
    <row r="1222">
      <c r="A1222" s="12"/>
      <c r="B1222" s="13"/>
      <c r="C1222" s="14"/>
      <c r="D1222" s="14"/>
      <c r="E1222" s="294"/>
      <c r="F1222" s="15"/>
      <c r="G1222" s="18"/>
      <c r="H1222" s="131"/>
      <c r="I1222" s="18"/>
      <c r="J1222" s="22"/>
      <c r="K1222" s="108"/>
      <c r="L1222" s="26"/>
    </row>
    <row r="1223">
      <c r="A1223" s="12"/>
      <c r="B1223" s="13"/>
      <c r="C1223" s="14"/>
      <c r="D1223" s="14"/>
      <c r="E1223" s="294"/>
      <c r="F1223" s="15"/>
      <c r="G1223" s="18"/>
      <c r="H1223" s="131"/>
      <c r="I1223" s="18"/>
      <c r="J1223" s="22"/>
      <c r="K1223" s="108"/>
      <c r="L1223" s="26"/>
    </row>
    <row r="1224">
      <c r="A1224" s="12"/>
      <c r="B1224" s="13"/>
      <c r="C1224" s="14"/>
      <c r="D1224" s="14"/>
      <c r="E1224" s="294"/>
      <c r="F1224" s="15"/>
      <c r="G1224" s="18"/>
      <c r="H1224" s="131"/>
      <c r="I1224" s="18"/>
      <c r="J1224" s="22"/>
      <c r="K1224" s="108"/>
      <c r="L1224" s="26"/>
    </row>
    <row r="1225">
      <c r="A1225" s="12"/>
      <c r="B1225" s="13"/>
      <c r="C1225" s="14"/>
      <c r="D1225" s="14"/>
      <c r="E1225" s="294"/>
      <c r="F1225" s="15"/>
      <c r="G1225" s="18"/>
      <c r="H1225" s="131"/>
      <c r="I1225" s="18"/>
      <c r="J1225" s="22"/>
      <c r="K1225" s="108"/>
      <c r="L1225" s="26"/>
    </row>
    <row r="1226">
      <c r="A1226" s="12"/>
      <c r="B1226" s="13"/>
      <c r="C1226" s="14"/>
      <c r="D1226" s="14"/>
      <c r="E1226" s="294"/>
      <c r="F1226" s="15"/>
      <c r="G1226" s="18"/>
      <c r="H1226" s="131"/>
      <c r="I1226" s="18"/>
      <c r="J1226" s="22"/>
      <c r="K1226" s="108"/>
      <c r="L1226" s="26"/>
    </row>
    <row r="1227">
      <c r="A1227" s="12"/>
      <c r="B1227" s="13"/>
      <c r="C1227" s="14"/>
      <c r="D1227" s="14"/>
      <c r="E1227" s="294"/>
      <c r="F1227" s="15"/>
      <c r="G1227" s="18"/>
      <c r="H1227" s="131"/>
      <c r="I1227" s="18"/>
      <c r="J1227" s="22"/>
      <c r="K1227" s="108"/>
      <c r="L1227" s="26"/>
    </row>
    <row r="1228">
      <c r="A1228" s="12"/>
      <c r="B1228" s="13"/>
      <c r="C1228" s="14"/>
      <c r="D1228" s="14"/>
      <c r="E1228" s="294"/>
      <c r="F1228" s="15"/>
      <c r="G1228" s="18"/>
      <c r="H1228" s="131"/>
      <c r="I1228" s="18"/>
      <c r="J1228" s="22"/>
      <c r="K1228" s="108"/>
      <c r="L1228" s="26"/>
    </row>
    <row r="1229">
      <c r="A1229" s="12"/>
      <c r="B1229" s="13"/>
      <c r="C1229" s="14"/>
      <c r="D1229" s="14"/>
      <c r="E1229" s="294"/>
      <c r="F1229" s="15"/>
      <c r="G1229" s="18"/>
      <c r="H1229" s="131"/>
      <c r="I1229" s="18"/>
      <c r="J1229" s="22"/>
      <c r="K1229" s="108"/>
      <c r="L1229" s="26"/>
    </row>
    <row r="1230">
      <c r="A1230" s="12"/>
      <c r="B1230" s="13"/>
      <c r="C1230" s="14"/>
      <c r="D1230" s="14"/>
      <c r="E1230" s="294"/>
      <c r="F1230" s="15"/>
      <c r="G1230" s="18"/>
      <c r="H1230" s="131"/>
      <c r="I1230" s="18"/>
      <c r="J1230" s="22"/>
      <c r="K1230" s="108"/>
      <c r="L1230" s="26"/>
    </row>
    <row r="1231">
      <c r="A1231" s="12"/>
      <c r="B1231" s="13"/>
      <c r="C1231" s="14"/>
      <c r="D1231" s="14"/>
      <c r="E1231" s="294"/>
      <c r="F1231" s="15"/>
      <c r="G1231" s="18"/>
      <c r="H1231" s="131"/>
      <c r="I1231" s="18"/>
      <c r="J1231" s="22"/>
      <c r="K1231" s="108"/>
      <c r="L1231" s="26"/>
    </row>
    <row r="1232">
      <c r="A1232" s="12"/>
      <c r="B1232" s="13"/>
      <c r="C1232" s="14"/>
      <c r="D1232" s="14"/>
      <c r="E1232" s="294"/>
      <c r="F1232" s="15"/>
      <c r="G1232" s="18"/>
      <c r="H1232" s="131"/>
      <c r="I1232" s="18"/>
      <c r="J1232" s="22"/>
      <c r="K1232" s="108"/>
      <c r="L1232" s="26"/>
    </row>
    <row r="1233">
      <c r="A1233" s="12"/>
      <c r="B1233" s="13"/>
      <c r="C1233" s="14"/>
      <c r="D1233" s="14"/>
      <c r="E1233" s="294"/>
      <c r="F1233" s="15"/>
      <c r="G1233" s="18"/>
      <c r="H1233" s="131"/>
      <c r="I1233" s="18"/>
      <c r="J1233" s="22"/>
      <c r="K1233" s="108"/>
      <c r="L1233" s="26"/>
    </row>
    <row r="1234">
      <c r="A1234" s="12"/>
      <c r="B1234" s="13"/>
      <c r="C1234" s="14"/>
      <c r="D1234" s="14"/>
      <c r="E1234" s="294"/>
      <c r="F1234" s="15"/>
      <c r="G1234" s="18"/>
      <c r="H1234" s="131"/>
      <c r="I1234" s="18"/>
      <c r="J1234" s="22"/>
      <c r="K1234" s="108"/>
      <c r="L1234" s="26"/>
    </row>
    <row r="1235">
      <c r="A1235" s="12"/>
      <c r="B1235" s="13"/>
      <c r="C1235" s="14"/>
      <c r="D1235" s="14"/>
      <c r="E1235" s="294"/>
      <c r="F1235" s="15"/>
      <c r="G1235" s="18"/>
      <c r="H1235" s="131"/>
      <c r="I1235" s="18"/>
      <c r="J1235" s="22"/>
      <c r="K1235" s="108"/>
      <c r="L1235" s="26"/>
    </row>
    <row r="1236">
      <c r="A1236" s="12"/>
      <c r="B1236" s="13"/>
      <c r="C1236" s="14"/>
      <c r="D1236" s="14"/>
      <c r="E1236" s="294"/>
      <c r="F1236" s="15"/>
      <c r="G1236" s="18"/>
      <c r="H1236" s="131"/>
      <c r="I1236" s="18"/>
      <c r="J1236" s="22"/>
      <c r="K1236" s="108"/>
      <c r="L1236" s="26"/>
    </row>
    <row r="1237">
      <c r="A1237" s="12"/>
      <c r="B1237" s="13"/>
      <c r="C1237" s="14"/>
      <c r="D1237" s="14"/>
      <c r="E1237" s="294"/>
      <c r="F1237" s="15"/>
      <c r="G1237" s="18"/>
      <c r="H1237" s="131"/>
      <c r="I1237" s="18"/>
      <c r="J1237" s="22"/>
      <c r="K1237" s="108"/>
      <c r="L1237" s="26"/>
    </row>
    <row r="1238">
      <c r="A1238" s="12"/>
      <c r="B1238" s="13"/>
      <c r="C1238" s="14"/>
      <c r="D1238" s="14"/>
      <c r="E1238" s="294"/>
      <c r="F1238" s="15"/>
      <c r="G1238" s="18"/>
      <c r="H1238" s="131"/>
      <c r="I1238" s="18"/>
      <c r="J1238" s="22"/>
      <c r="K1238" s="108"/>
      <c r="L1238" s="26"/>
    </row>
    <row r="1239">
      <c r="A1239" s="12"/>
      <c r="B1239" s="13"/>
      <c r="C1239" s="14"/>
      <c r="D1239" s="14"/>
      <c r="E1239" s="294"/>
      <c r="F1239" s="15"/>
      <c r="G1239" s="18"/>
      <c r="H1239" s="131"/>
      <c r="I1239" s="18"/>
      <c r="J1239" s="22"/>
      <c r="K1239" s="108"/>
      <c r="L1239" s="26"/>
    </row>
    <row r="1240">
      <c r="A1240" s="12"/>
      <c r="B1240" s="13"/>
      <c r="C1240" s="14"/>
      <c r="D1240" s="14"/>
      <c r="E1240" s="294"/>
      <c r="F1240" s="15"/>
      <c r="G1240" s="18"/>
      <c r="H1240" s="131"/>
      <c r="I1240" s="18"/>
      <c r="J1240" s="22"/>
      <c r="K1240" s="108"/>
      <c r="L1240" s="26"/>
    </row>
    <row r="1241">
      <c r="A1241" s="12"/>
      <c r="B1241" s="13"/>
      <c r="C1241" s="14"/>
      <c r="D1241" s="14"/>
      <c r="E1241" s="294"/>
      <c r="F1241" s="15"/>
      <c r="G1241" s="18"/>
      <c r="H1241" s="131"/>
      <c r="I1241" s="18"/>
      <c r="J1241" s="22"/>
      <c r="K1241" s="108"/>
      <c r="L1241" s="26"/>
    </row>
    <row r="1242">
      <c r="A1242" s="12"/>
      <c r="B1242" s="13"/>
      <c r="C1242" s="14"/>
      <c r="D1242" s="14"/>
      <c r="E1242" s="294"/>
      <c r="F1242" s="15"/>
      <c r="G1242" s="18"/>
      <c r="H1242" s="131"/>
      <c r="I1242" s="18"/>
      <c r="J1242" s="22"/>
      <c r="K1242" s="108"/>
      <c r="L1242" s="26"/>
    </row>
    <row r="1243">
      <c r="A1243" s="12"/>
      <c r="B1243" s="13"/>
      <c r="C1243" s="14"/>
      <c r="D1243" s="14"/>
      <c r="E1243" s="294"/>
      <c r="F1243" s="15"/>
      <c r="G1243" s="18"/>
      <c r="H1243" s="131"/>
      <c r="I1243" s="18"/>
      <c r="J1243" s="22"/>
      <c r="K1243" s="108"/>
      <c r="L1243" s="26"/>
    </row>
    <row r="1244">
      <c r="A1244" s="12"/>
      <c r="B1244" s="13"/>
      <c r="C1244" s="14"/>
      <c r="D1244" s="14"/>
      <c r="E1244" s="294"/>
      <c r="F1244" s="15"/>
      <c r="G1244" s="18"/>
      <c r="H1244" s="131"/>
      <c r="I1244" s="18"/>
      <c r="J1244" s="22"/>
      <c r="K1244" s="108"/>
      <c r="L1244" s="26"/>
    </row>
    <row r="1245">
      <c r="A1245" s="12"/>
      <c r="B1245" s="13"/>
      <c r="C1245" s="14"/>
      <c r="D1245" s="14"/>
      <c r="E1245" s="294"/>
      <c r="F1245" s="15"/>
      <c r="G1245" s="18"/>
      <c r="H1245" s="131"/>
      <c r="I1245" s="18"/>
      <c r="J1245" s="22"/>
      <c r="K1245" s="108"/>
      <c r="L1245" s="26"/>
    </row>
    <row r="1246">
      <c r="A1246" s="12"/>
      <c r="B1246" s="13"/>
      <c r="C1246" s="14"/>
      <c r="D1246" s="14"/>
      <c r="E1246" s="294"/>
      <c r="F1246" s="15"/>
      <c r="G1246" s="18"/>
      <c r="H1246" s="131"/>
      <c r="I1246" s="18"/>
      <c r="J1246" s="22"/>
      <c r="K1246" s="108"/>
      <c r="L1246" s="26"/>
    </row>
    <row r="1247">
      <c r="A1247" s="12"/>
      <c r="B1247" s="13"/>
      <c r="C1247" s="14"/>
      <c r="D1247" s="14"/>
      <c r="E1247" s="294"/>
      <c r="F1247" s="15"/>
      <c r="G1247" s="18"/>
      <c r="H1247" s="131"/>
      <c r="I1247" s="18"/>
      <c r="J1247" s="22"/>
      <c r="K1247" s="108"/>
      <c r="L1247" s="26"/>
    </row>
    <row r="1248">
      <c r="A1248" s="12"/>
      <c r="B1248" s="13"/>
      <c r="C1248" s="14"/>
      <c r="D1248" s="14"/>
      <c r="E1248" s="294"/>
      <c r="F1248" s="15"/>
      <c r="G1248" s="18"/>
      <c r="H1248" s="131"/>
      <c r="I1248" s="18"/>
      <c r="J1248" s="22"/>
      <c r="K1248" s="108"/>
      <c r="L1248" s="26"/>
    </row>
    <row r="1249">
      <c r="A1249" s="12"/>
      <c r="B1249" s="13"/>
      <c r="C1249" s="14"/>
      <c r="D1249" s="14"/>
      <c r="E1249" s="294"/>
      <c r="F1249" s="15"/>
      <c r="G1249" s="18"/>
      <c r="H1249" s="131"/>
      <c r="I1249" s="18"/>
      <c r="J1249" s="22"/>
      <c r="K1249" s="108"/>
      <c r="L1249" s="26"/>
    </row>
    <row r="1250">
      <c r="A1250" s="12"/>
      <c r="B1250" s="13"/>
      <c r="C1250" s="14"/>
      <c r="D1250" s="14"/>
      <c r="E1250" s="294"/>
      <c r="F1250" s="15"/>
      <c r="G1250" s="18"/>
      <c r="H1250" s="131"/>
      <c r="I1250" s="18"/>
      <c r="J1250" s="22"/>
      <c r="K1250" s="108"/>
      <c r="L1250" s="26"/>
    </row>
    <row r="1251">
      <c r="A1251" s="12"/>
      <c r="B1251" s="13"/>
      <c r="C1251" s="14"/>
      <c r="D1251" s="14"/>
      <c r="E1251" s="294"/>
      <c r="F1251" s="15"/>
      <c r="G1251" s="18"/>
      <c r="H1251" s="131"/>
      <c r="I1251" s="18"/>
      <c r="J1251" s="22"/>
      <c r="K1251" s="108"/>
      <c r="L1251" s="26"/>
    </row>
    <row r="1252">
      <c r="A1252" s="12"/>
      <c r="B1252" s="13"/>
      <c r="C1252" s="14"/>
      <c r="D1252" s="14"/>
      <c r="E1252" s="294"/>
      <c r="F1252" s="15"/>
      <c r="G1252" s="18"/>
      <c r="H1252" s="131"/>
      <c r="I1252" s="18"/>
      <c r="J1252" s="22"/>
      <c r="K1252" s="108"/>
      <c r="L1252" s="26"/>
    </row>
    <row r="1253">
      <c r="A1253" s="12"/>
      <c r="B1253" s="13"/>
      <c r="C1253" s="14"/>
      <c r="D1253" s="14"/>
      <c r="E1253" s="294"/>
      <c r="F1253" s="15"/>
      <c r="G1253" s="18"/>
      <c r="H1253" s="131"/>
      <c r="I1253" s="18"/>
      <c r="J1253" s="22"/>
      <c r="K1253" s="108"/>
      <c r="L1253" s="26"/>
    </row>
    <row r="1254">
      <c r="A1254" s="12"/>
      <c r="B1254" s="13"/>
      <c r="C1254" s="14"/>
      <c r="D1254" s="14"/>
      <c r="E1254" s="294"/>
      <c r="F1254" s="15"/>
      <c r="G1254" s="18"/>
      <c r="H1254" s="131"/>
      <c r="I1254" s="18"/>
      <c r="J1254" s="22"/>
      <c r="K1254" s="108"/>
      <c r="L1254" s="26"/>
    </row>
    <row r="1255">
      <c r="A1255" s="12"/>
      <c r="B1255" s="13"/>
      <c r="C1255" s="14"/>
      <c r="D1255" s="14"/>
      <c r="E1255" s="294"/>
      <c r="F1255" s="15"/>
      <c r="G1255" s="18"/>
      <c r="H1255" s="131"/>
      <c r="I1255" s="18"/>
      <c r="J1255" s="22"/>
      <c r="K1255" s="108"/>
      <c r="L1255" s="26"/>
    </row>
    <row r="1256">
      <c r="A1256" s="12"/>
      <c r="B1256" s="13"/>
      <c r="C1256" s="14"/>
      <c r="D1256" s="14"/>
      <c r="E1256" s="294"/>
      <c r="F1256" s="15"/>
      <c r="G1256" s="18"/>
      <c r="H1256" s="131"/>
      <c r="I1256" s="18"/>
      <c r="J1256" s="22"/>
      <c r="K1256" s="108"/>
      <c r="L1256" s="26"/>
    </row>
    <row r="1257">
      <c r="A1257" s="12"/>
      <c r="B1257" s="13"/>
      <c r="C1257" s="14"/>
      <c r="D1257" s="14"/>
      <c r="E1257" s="294"/>
      <c r="F1257" s="15"/>
      <c r="G1257" s="18"/>
      <c r="H1257" s="131"/>
      <c r="I1257" s="18"/>
      <c r="J1257" s="22"/>
      <c r="K1257" s="108"/>
      <c r="L1257" s="26"/>
    </row>
    <row r="1258">
      <c r="A1258" s="12"/>
      <c r="B1258" s="13"/>
      <c r="C1258" s="14"/>
      <c r="D1258" s="14"/>
      <c r="E1258" s="294"/>
      <c r="F1258" s="15"/>
      <c r="G1258" s="18"/>
      <c r="H1258" s="131"/>
      <c r="I1258" s="18"/>
      <c r="J1258" s="22"/>
      <c r="K1258" s="108"/>
      <c r="L1258" s="26"/>
    </row>
    <row r="1259">
      <c r="A1259" s="12"/>
      <c r="B1259" s="13"/>
      <c r="C1259" s="14"/>
      <c r="D1259" s="14"/>
      <c r="E1259" s="294"/>
      <c r="F1259" s="15"/>
      <c r="G1259" s="18"/>
      <c r="H1259" s="131"/>
      <c r="I1259" s="18"/>
      <c r="J1259" s="22"/>
      <c r="K1259" s="108"/>
      <c r="L1259" s="26"/>
    </row>
    <row r="1260">
      <c r="A1260" s="12"/>
      <c r="B1260" s="13"/>
      <c r="C1260" s="14"/>
      <c r="D1260" s="14"/>
      <c r="E1260" s="294"/>
      <c r="F1260" s="15"/>
      <c r="G1260" s="18"/>
      <c r="H1260" s="131"/>
      <c r="I1260" s="18"/>
      <c r="J1260" s="22"/>
      <c r="K1260" s="108"/>
      <c r="L1260" s="26"/>
    </row>
    <row r="1261">
      <c r="A1261" s="12"/>
      <c r="B1261" s="13"/>
      <c r="C1261" s="14"/>
      <c r="D1261" s="14"/>
      <c r="E1261" s="294"/>
      <c r="F1261" s="15"/>
      <c r="G1261" s="18"/>
      <c r="H1261" s="131"/>
      <c r="I1261" s="18"/>
      <c r="J1261" s="22"/>
      <c r="K1261" s="108"/>
      <c r="L1261" s="26"/>
    </row>
    <row r="1262">
      <c r="A1262" s="12"/>
      <c r="B1262" s="13"/>
      <c r="C1262" s="14"/>
      <c r="D1262" s="14"/>
      <c r="E1262" s="294"/>
      <c r="F1262" s="15"/>
      <c r="G1262" s="18"/>
      <c r="H1262" s="131"/>
      <c r="I1262" s="18"/>
      <c r="J1262" s="22"/>
      <c r="K1262" s="108"/>
      <c r="L1262" s="26"/>
    </row>
    <row r="1263">
      <c r="A1263" s="12"/>
      <c r="B1263" s="13"/>
      <c r="C1263" s="14"/>
      <c r="D1263" s="14"/>
      <c r="E1263" s="294"/>
      <c r="F1263" s="15"/>
      <c r="G1263" s="18"/>
      <c r="H1263" s="131"/>
      <c r="I1263" s="18"/>
      <c r="J1263" s="22"/>
      <c r="K1263" s="108"/>
      <c r="L1263" s="26"/>
    </row>
    <row r="1264">
      <c r="A1264" s="12"/>
      <c r="B1264" s="13"/>
      <c r="C1264" s="14"/>
      <c r="D1264" s="14"/>
      <c r="E1264" s="294"/>
      <c r="F1264" s="15"/>
      <c r="G1264" s="18"/>
      <c r="H1264" s="131"/>
      <c r="I1264" s="18"/>
      <c r="J1264" s="22"/>
      <c r="K1264" s="108"/>
      <c r="L1264" s="26"/>
    </row>
    <row r="1265">
      <c r="A1265" s="12"/>
      <c r="B1265" s="13"/>
      <c r="C1265" s="14"/>
      <c r="D1265" s="14"/>
      <c r="E1265" s="294"/>
      <c r="F1265" s="15"/>
      <c r="G1265" s="18"/>
      <c r="H1265" s="131"/>
      <c r="I1265" s="18"/>
      <c r="J1265" s="22"/>
      <c r="K1265" s="108"/>
      <c r="L1265" s="26"/>
    </row>
    <row r="1266">
      <c r="A1266" s="12"/>
      <c r="B1266" s="13"/>
      <c r="C1266" s="14"/>
      <c r="D1266" s="14"/>
      <c r="E1266" s="294"/>
      <c r="F1266" s="15"/>
      <c r="G1266" s="18"/>
      <c r="H1266" s="131"/>
      <c r="I1266" s="18"/>
      <c r="J1266" s="22"/>
      <c r="K1266" s="108"/>
      <c r="L1266" s="26"/>
    </row>
    <row r="1267">
      <c r="A1267" s="12"/>
      <c r="B1267" s="13"/>
      <c r="C1267" s="14"/>
      <c r="D1267" s="14"/>
      <c r="E1267" s="294"/>
      <c r="F1267" s="15"/>
      <c r="G1267" s="18"/>
      <c r="H1267" s="131"/>
      <c r="I1267" s="18"/>
      <c r="J1267" s="22"/>
      <c r="K1267" s="108"/>
      <c r="L1267" s="26"/>
    </row>
    <row r="1268">
      <c r="A1268" s="12"/>
      <c r="B1268" s="13"/>
      <c r="C1268" s="14"/>
      <c r="D1268" s="14"/>
      <c r="E1268" s="294"/>
      <c r="F1268" s="15"/>
      <c r="G1268" s="18"/>
      <c r="H1268" s="131"/>
      <c r="I1268" s="18"/>
      <c r="J1268" s="22"/>
      <c r="K1268" s="108"/>
      <c r="L1268" s="26"/>
    </row>
    <row r="1269">
      <c r="A1269" s="12"/>
      <c r="B1269" s="13"/>
      <c r="C1269" s="14"/>
      <c r="D1269" s="14"/>
      <c r="E1269" s="294"/>
      <c r="F1269" s="15"/>
      <c r="G1269" s="18"/>
      <c r="H1269" s="131"/>
      <c r="I1269" s="18"/>
      <c r="J1269" s="22"/>
      <c r="K1269" s="108"/>
      <c r="L1269" s="26"/>
    </row>
    <row r="1270">
      <c r="A1270" s="12"/>
      <c r="B1270" s="13"/>
      <c r="C1270" s="14"/>
      <c r="D1270" s="14"/>
      <c r="E1270" s="294"/>
      <c r="F1270" s="15"/>
      <c r="G1270" s="18"/>
      <c r="H1270" s="131"/>
      <c r="I1270" s="18"/>
      <c r="J1270" s="22"/>
      <c r="K1270" s="108"/>
      <c r="L1270" s="26"/>
    </row>
    <row r="1271">
      <c r="A1271" s="12"/>
      <c r="B1271" s="13"/>
      <c r="C1271" s="14"/>
      <c r="D1271" s="14"/>
      <c r="E1271" s="294"/>
      <c r="F1271" s="15"/>
      <c r="G1271" s="18"/>
      <c r="H1271" s="131"/>
      <c r="I1271" s="18"/>
      <c r="J1271" s="22"/>
      <c r="K1271" s="108"/>
      <c r="L1271" s="26"/>
    </row>
    <row r="1272">
      <c r="A1272" s="12"/>
      <c r="B1272" s="13"/>
      <c r="C1272" s="14"/>
      <c r="D1272" s="14"/>
      <c r="E1272" s="294"/>
      <c r="F1272" s="15"/>
      <c r="G1272" s="18"/>
      <c r="H1272" s="131"/>
      <c r="I1272" s="18"/>
      <c r="J1272" s="22"/>
      <c r="K1272" s="108"/>
      <c r="L1272" s="26"/>
    </row>
    <row r="1273">
      <c r="A1273" s="12"/>
      <c r="B1273" s="13"/>
      <c r="C1273" s="14"/>
      <c r="D1273" s="14"/>
      <c r="E1273" s="294"/>
      <c r="F1273" s="15"/>
      <c r="G1273" s="18"/>
      <c r="H1273" s="131"/>
      <c r="I1273" s="18"/>
      <c r="J1273" s="22"/>
      <c r="K1273" s="108"/>
      <c r="L1273" s="26"/>
    </row>
    <row r="1274">
      <c r="A1274" s="12"/>
      <c r="B1274" s="13"/>
      <c r="C1274" s="14"/>
      <c r="D1274" s="14"/>
      <c r="E1274" s="294"/>
      <c r="F1274" s="15"/>
      <c r="G1274" s="18"/>
      <c r="H1274" s="131"/>
      <c r="I1274" s="18"/>
      <c r="J1274" s="22"/>
      <c r="K1274" s="108"/>
      <c r="L1274" s="26"/>
    </row>
    <row r="1275">
      <c r="A1275" s="12"/>
      <c r="B1275" s="13"/>
      <c r="C1275" s="14"/>
      <c r="D1275" s="14"/>
      <c r="E1275" s="294"/>
      <c r="F1275" s="15"/>
      <c r="G1275" s="18"/>
      <c r="H1275" s="131"/>
      <c r="I1275" s="18"/>
      <c r="J1275" s="22"/>
      <c r="K1275" s="108"/>
      <c r="L1275" s="26"/>
    </row>
    <row r="1276">
      <c r="A1276" s="12"/>
      <c r="B1276" s="13"/>
      <c r="C1276" s="14"/>
      <c r="D1276" s="14"/>
      <c r="E1276" s="294"/>
      <c r="F1276" s="15"/>
      <c r="G1276" s="18"/>
      <c r="H1276" s="131"/>
      <c r="I1276" s="18"/>
      <c r="J1276" s="22"/>
      <c r="K1276" s="108"/>
      <c r="L1276" s="26"/>
    </row>
    <row r="1277">
      <c r="A1277" s="12"/>
      <c r="B1277" s="13"/>
      <c r="C1277" s="14"/>
      <c r="D1277" s="14"/>
      <c r="E1277" s="294"/>
      <c r="F1277" s="15"/>
      <c r="G1277" s="18"/>
      <c r="H1277" s="131"/>
      <c r="I1277" s="18"/>
      <c r="J1277" s="22"/>
      <c r="K1277" s="108"/>
      <c r="L1277" s="26"/>
    </row>
    <row r="1278">
      <c r="A1278" s="12"/>
      <c r="B1278" s="13"/>
      <c r="C1278" s="14"/>
      <c r="D1278" s="14"/>
      <c r="E1278" s="294"/>
      <c r="F1278" s="15"/>
      <c r="G1278" s="18"/>
      <c r="H1278" s="131"/>
      <c r="I1278" s="18"/>
      <c r="J1278" s="22"/>
      <c r="K1278" s="108"/>
      <c r="L1278" s="26"/>
    </row>
    <row r="1279">
      <c r="A1279" s="12"/>
      <c r="B1279" s="13"/>
      <c r="C1279" s="14"/>
      <c r="D1279" s="14"/>
      <c r="E1279" s="294"/>
      <c r="F1279" s="15"/>
      <c r="G1279" s="18"/>
      <c r="H1279" s="131"/>
      <c r="I1279" s="18"/>
      <c r="J1279" s="22"/>
      <c r="K1279" s="108"/>
      <c r="L1279" s="26"/>
    </row>
    <row r="1280">
      <c r="A1280" s="12"/>
      <c r="B1280" s="13"/>
      <c r="C1280" s="14"/>
      <c r="D1280" s="14"/>
      <c r="E1280" s="294"/>
      <c r="F1280" s="15"/>
      <c r="G1280" s="18"/>
      <c r="H1280" s="131"/>
      <c r="I1280" s="18"/>
      <c r="J1280" s="22"/>
      <c r="K1280" s="108"/>
      <c r="L1280" s="26"/>
    </row>
    <row r="1281">
      <c r="A1281" s="12"/>
      <c r="B1281" s="13"/>
      <c r="C1281" s="14"/>
      <c r="D1281" s="14"/>
      <c r="E1281" s="294"/>
      <c r="F1281" s="15"/>
      <c r="G1281" s="18"/>
      <c r="H1281" s="131"/>
      <c r="I1281" s="18"/>
      <c r="J1281" s="22"/>
      <c r="K1281" s="108"/>
      <c r="L1281" s="26"/>
    </row>
    <row r="1282">
      <c r="A1282" s="12"/>
      <c r="B1282" s="13"/>
      <c r="C1282" s="14"/>
      <c r="D1282" s="14"/>
      <c r="E1282" s="294"/>
      <c r="F1282" s="15"/>
      <c r="G1282" s="18"/>
      <c r="H1282" s="131"/>
      <c r="I1282" s="18"/>
      <c r="J1282" s="22"/>
      <c r="K1282" s="108"/>
      <c r="L1282" s="26"/>
    </row>
    <row r="1283">
      <c r="A1283" s="12"/>
      <c r="B1283" s="13"/>
      <c r="C1283" s="14"/>
      <c r="D1283" s="14"/>
      <c r="E1283" s="294"/>
      <c r="F1283" s="15"/>
      <c r="G1283" s="18"/>
      <c r="H1283" s="131"/>
      <c r="I1283" s="18"/>
      <c r="J1283" s="22"/>
      <c r="K1283" s="108"/>
      <c r="L1283" s="26"/>
    </row>
    <row r="1284">
      <c r="A1284" s="12"/>
      <c r="B1284" s="13"/>
      <c r="C1284" s="14"/>
      <c r="D1284" s="14"/>
      <c r="E1284" s="294"/>
      <c r="F1284" s="15"/>
      <c r="G1284" s="18"/>
      <c r="H1284" s="131"/>
      <c r="I1284" s="18"/>
      <c r="J1284" s="22"/>
      <c r="K1284" s="108"/>
      <c r="L1284" s="26"/>
    </row>
    <row r="1285">
      <c r="A1285" s="12"/>
      <c r="B1285" s="13"/>
      <c r="C1285" s="14"/>
      <c r="D1285" s="14"/>
      <c r="E1285" s="294"/>
      <c r="F1285" s="15"/>
      <c r="G1285" s="18"/>
      <c r="H1285" s="131"/>
      <c r="I1285" s="18"/>
      <c r="J1285" s="22"/>
      <c r="K1285" s="108"/>
      <c r="L1285" s="26"/>
    </row>
    <row r="1286">
      <c r="A1286" s="12"/>
      <c r="B1286" s="13"/>
      <c r="C1286" s="14"/>
      <c r="D1286" s="14"/>
      <c r="E1286" s="294"/>
      <c r="F1286" s="15"/>
      <c r="G1286" s="18"/>
      <c r="H1286" s="131"/>
      <c r="I1286" s="18"/>
      <c r="J1286" s="22"/>
      <c r="K1286" s="108"/>
      <c r="L1286" s="26"/>
    </row>
    <row r="1287">
      <c r="A1287" s="12"/>
      <c r="B1287" s="13"/>
      <c r="C1287" s="14"/>
      <c r="D1287" s="14"/>
      <c r="E1287" s="294"/>
      <c r="F1287" s="15"/>
      <c r="G1287" s="18"/>
      <c r="H1287" s="131"/>
      <c r="I1287" s="18"/>
      <c r="J1287" s="22"/>
      <c r="K1287" s="108"/>
      <c r="L1287" s="26"/>
    </row>
    <row r="1288">
      <c r="A1288" s="12"/>
      <c r="B1288" s="13"/>
      <c r="C1288" s="14"/>
      <c r="D1288" s="14"/>
      <c r="E1288" s="294"/>
      <c r="F1288" s="15"/>
      <c r="G1288" s="18"/>
      <c r="H1288" s="131"/>
      <c r="I1288" s="18"/>
      <c r="J1288" s="22"/>
      <c r="K1288" s="108"/>
      <c r="L1288" s="26"/>
    </row>
    <row r="1289">
      <c r="A1289" s="12"/>
      <c r="B1289" s="13"/>
      <c r="C1289" s="14"/>
      <c r="D1289" s="14"/>
      <c r="E1289" s="294"/>
      <c r="F1289" s="15"/>
      <c r="G1289" s="18"/>
      <c r="H1289" s="131"/>
      <c r="I1289" s="18"/>
      <c r="J1289" s="22"/>
      <c r="K1289" s="108"/>
      <c r="L1289" s="26"/>
    </row>
    <row r="1290">
      <c r="A1290" s="12"/>
      <c r="B1290" s="13"/>
      <c r="C1290" s="14"/>
      <c r="D1290" s="14"/>
      <c r="E1290" s="294"/>
      <c r="F1290" s="15"/>
      <c r="G1290" s="18"/>
      <c r="H1290" s="131"/>
      <c r="I1290" s="18"/>
      <c r="J1290" s="22"/>
      <c r="K1290" s="108"/>
      <c r="L1290" s="26"/>
    </row>
    <row r="1291">
      <c r="A1291" s="12"/>
      <c r="B1291" s="13"/>
      <c r="C1291" s="14"/>
      <c r="D1291" s="14"/>
      <c r="E1291" s="294"/>
      <c r="F1291" s="15"/>
      <c r="G1291" s="18"/>
      <c r="H1291" s="131"/>
      <c r="I1291" s="18"/>
      <c r="J1291" s="22"/>
      <c r="K1291" s="108"/>
      <c r="L1291" s="26"/>
    </row>
    <row r="1292">
      <c r="A1292" s="12"/>
      <c r="B1292" s="13"/>
      <c r="C1292" s="14"/>
      <c r="D1292" s="14"/>
      <c r="E1292" s="294"/>
      <c r="F1292" s="15"/>
      <c r="G1292" s="18"/>
      <c r="H1292" s="131"/>
      <c r="I1292" s="18"/>
      <c r="J1292" s="22"/>
      <c r="K1292" s="108"/>
      <c r="L1292" s="26"/>
    </row>
    <row r="1293">
      <c r="A1293" s="12"/>
      <c r="B1293" s="13"/>
      <c r="C1293" s="14"/>
      <c r="D1293" s="14"/>
      <c r="E1293" s="294"/>
      <c r="F1293" s="15"/>
      <c r="G1293" s="18"/>
      <c r="H1293" s="131"/>
      <c r="I1293" s="18"/>
      <c r="J1293" s="22"/>
      <c r="K1293" s="108"/>
      <c r="L1293" s="26"/>
    </row>
    <row r="1294">
      <c r="A1294" s="12"/>
      <c r="B1294" s="13"/>
      <c r="C1294" s="14"/>
      <c r="D1294" s="14"/>
      <c r="E1294" s="294"/>
      <c r="F1294" s="15"/>
      <c r="G1294" s="18"/>
      <c r="H1294" s="131"/>
      <c r="I1294" s="18"/>
      <c r="J1294" s="22"/>
      <c r="K1294" s="108"/>
      <c r="L1294" s="26"/>
    </row>
    <row r="1295">
      <c r="A1295" s="12"/>
      <c r="B1295" s="13"/>
      <c r="C1295" s="14"/>
      <c r="D1295" s="14"/>
      <c r="E1295" s="294"/>
      <c r="F1295" s="15"/>
      <c r="G1295" s="18"/>
      <c r="H1295" s="131"/>
      <c r="I1295" s="18"/>
      <c r="J1295" s="22"/>
      <c r="K1295" s="108"/>
      <c r="L1295" s="26"/>
    </row>
    <row r="1296">
      <c r="A1296" s="12"/>
      <c r="B1296" s="13"/>
      <c r="C1296" s="14"/>
      <c r="D1296" s="14"/>
      <c r="E1296" s="294"/>
      <c r="F1296" s="15"/>
      <c r="G1296" s="18"/>
      <c r="H1296" s="131"/>
      <c r="I1296" s="18"/>
      <c r="J1296" s="22"/>
      <c r="K1296" s="108"/>
      <c r="L1296" s="26"/>
    </row>
    <row r="1297">
      <c r="A1297" s="12"/>
      <c r="B1297" s="13"/>
      <c r="C1297" s="14"/>
      <c r="D1297" s="14"/>
      <c r="E1297" s="294"/>
      <c r="F1297" s="15"/>
      <c r="G1297" s="18"/>
      <c r="H1297" s="131"/>
      <c r="I1297" s="18"/>
      <c r="J1297" s="22"/>
      <c r="K1297" s="108"/>
      <c r="L1297" s="26"/>
    </row>
    <row r="1298">
      <c r="A1298" s="12"/>
      <c r="B1298" s="13"/>
      <c r="C1298" s="14"/>
      <c r="D1298" s="14"/>
      <c r="E1298" s="294"/>
      <c r="F1298" s="15"/>
      <c r="G1298" s="18"/>
      <c r="H1298" s="131"/>
      <c r="I1298" s="18"/>
      <c r="J1298" s="22"/>
      <c r="K1298" s="108"/>
      <c r="L1298" s="26"/>
    </row>
    <row r="1299">
      <c r="A1299" s="12"/>
      <c r="B1299" s="13"/>
      <c r="C1299" s="14"/>
      <c r="D1299" s="14"/>
      <c r="E1299" s="294"/>
      <c r="F1299" s="15"/>
      <c r="G1299" s="18"/>
      <c r="H1299" s="131"/>
      <c r="I1299" s="18"/>
      <c r="J1299" s="22"/>
      <c r="K1299" s="108"/>
      <c r="L1299" s="26"/>
    </row>
    <row r="1300">
      <c r="A1300" s="12"/>
      <c r="B1300" s="13"/>
      <c r="C1300" s="14"/>
      <c r="D1300" s="14"/>
      <c r="E1300" s="294"/>
      <c r="F1300" s="15"/>
      <c r="G1300" s="18"/>
      <c r="H1300" s="131"/>
      <c r="I1300" s="18"/>
      <c r="J1300" s="22"/>
      <c r="K1300" s="108"/>
      <c r="L1300" s="26"/>
    </row>
    <row r="1301">
      <c r="A1301" s="12"/>
      <c r="B1301" s="13"/>
      <c r="C1301" s="14"/>
      <c r="D1301" s="14"/>
      <c r="E1301" s="294"/>
      <c r="F1301" s="15"/>
      <c r="G1301" s="18"/>
      <c r="H1301" s="131"/>
      <c r="I1301" s="18"/>
      <c r="J1301" s="22"/>
      <c r="K1301" s="108"/>
      <c r="L1301" s="26"/>
    </row>
    <row r="1302">
      <c r="A1302" s="12"/>
      <c r="B1302" s="13"/>
      <c r="C1302" s="14"/>
      <c r="D1302" s="14"/>
      <c r="E1302" s="294"/>
      <c r="F1302" s="15"/>
      <c r="G1302" s="18"/>
      <c r="H1302" s="131"/>
      <c r="I1302" s="18"/>
      <c r="J1302" s="22"/>
      <c r="K1302" s="108"/>
      <c r="L1302" s="26"/>
    </row>
    <row r="1303">
      <c r="A1303" s="12"/>
      <c r="B1303" s="13"/>
      <c r="C1303" s="14"/>
      <c r="D1303" s="14"/>
      <c r="E1303" s="294"/>
      <c r="F1303" s="15"/>
      <c r="G1303" s="18"/>
      <c r="H1303" s="131"/>
      <c r="I1303" s="18"/>
      <c r="J1303" s="22"/>
      <c r="K1303" s="108"/>
      <c r="L1303" s="26"/>
    </row>
    <row r="1304">
      <c r="A1304" s="12"/>
      <c r="B1304" s="13"/>
      <c r="C1304" s="14"/>
      <c r="D1304" s="14"/>
      <c r="E1304" s="294"/>
      <c r="F1304" s="15"/>
      <c r="G1304" s="18"/>
      <c r="H1304" s="131"/>
      <c r="I1304" s="18"/>
      <c r="J1304" s="22"/>
      <c r="K1304" s="108"/>
      <c r="L1304" s="26"/>
    </row>
    <row r="1305">
      <c r="A1305" s="12"/>
      <c r="B1305" s="13"/>
      <c r="C1305" s="14"/>
      <c r="D1305" s="14"/>
      <c r="E1305" s="294"/>
      <c r="F1305" s="15"/>
      <c r="G1305" s="18"/>
      <c r="H1305" s="131"/>
      <c r="I1305" s="18"/>
      <c r="J1305" s="22"/>
      <c r="K1305" s="108"/>
      <c r="L1305" s="26"/>
    </row>
    <row r="1306">
      <c r="A1306" s="12"/>
      <c r="B1306" s="13"/>
      <c r="C1306" s="14"/>
      <c r="D1306" s="14"/>
      <c r="E1306" s="294"/>
      <c r="F1306" s="15"/>
      <c r="G1306" s="18"/>
      <c r="H1306" s="131"/>
      <c r="I1306" s="18"/>
      <c r="J1306" s="22"/>
      <c r="K1306" s="108"/>
      <c r="L1306" s="26"/>
    </row>
    <row r="1307">
      <c r="A1307" s="12"/>
      <c r="B1307" s="13"/>
      <c r="C1307" s="14"/>
      <c r="D1307" s="14"/>
      <c r="E1307" s="294"/>
      <c r="F1307" s="15"/>
      <c r="G1307" s="18"/>
      <c r="H1307" s="131"/>
      <c r="I1307" s="18"/>
      <c r="J1307" s="22"/>
      <c r="K1307" s="108"/>
      <c r="L1307" s="26"/>
    </row>
    <row r="1308">
      <c r="A1308" s="12"/>
      <c r="B1308" s="13"/>
      <c r="C1308" s="14"/>
      <c r="D1308" s="14"/>
      <c r="E1308" s="294"/>
      <c r="F1308" s="15"/>
      <c r="G1308" s="18"/>
      <c r="H1308" s="131"/>
      <c r="I1308" s="18"/>
      <c r="J1308" s="22"/>
      <c r="K1308" s="108"/>
      <c r="L1308" s="26"/>
    </row>
    <row r="1309">
      <c r="A1309" s="12"/>
      <c r="B1309" s="13"/>
      <c r="C1309" s="14"/>
      <c r="D1309" s="14"/>
      <c r="E1309" s="294"/>
      <c r="F1309" s="15"/>
      <c r="G1309" s="18"/>
      <c r="H1309" s="131"/>
      <c r="I1309" s="18"/>
      <c r="J1309" s="22"/>
      <c r="K1309" s="108"/>
      <c r="L1309" s="26"/>
    </row>
    <row r="1310">
      <c r="A1310" s="12"/>
      <c r="B1310" s="13"/>
      <c r="C1310" s="14"/>
      <c r="D1310" s="14"/>
      <c r="E1310" s="294"/>
      <c r="F1310" s="15"/>
      <c r="G1310" s="18"/>
      <c r="H1310" s="131"/>
      <c r="I1310" s="18"/>
      <c r="J1310" s="22"/>
      <c r="K1310" s="108"/>
      <c r="L1310" s="26"/>
    </row>
    <row r="1311">
      <c r="A1311" s="12"/>
      <c r="B1311" s="13"/>
      <c r="C1311" s="14"/>
      <c r="D1311" s="14"/>
      <c r="E1311" s="294"/>
      <c r="F1311" s="15"/>
      <c r="G1311" s="18"/>
      <c r="H1311" s="131"/>
      <c r="I1311" s="18"/>
      <c r="J1311" s="22"/>
      <c r="K1311" s="108"/>
      <c r="L1311" s="26"/>
    </row>
    <row r="1312">
      <c r="A1312" s="12"/>
      <c r="B1312" s="13"/>
      <c r="C1312" s="14"/>
      <c r="D1312" s="14"/>
      <c r="E1312" s="294"/>
      <c r="F1312" s="15"/>
      <c r="G1312" s="18"/>
      <c r="H1312" s="131"/>
      <c r="I1312" s="18"/>
      <c r="J1312" s="22"/>
      <c r="K1312" s="108"/>
      <c r="L1312" s="26"/>
    </row>
    <row r="1313">
      <c r="A1313" s="12"/>
      <c r="B1313" s="13"/>
      <c r="C1313" s="14"/>
      <c r="D1313" s="14"/>
      <c r="E1313" s="294"/>
      <c r="F1313" s="15"/>
      <c r="G1313" s="18"/>
      <c r="H1313" s="131"/>
      <c r="I1313" s="18"/>
      <c r="J1313" s="22"/>
      <c r="K1313" s="108"/>
      <c r="L1313" s="26"/>
    </row>
    <row r="1314">
      <c r="A1314" s="12"/>
      <c r="B1314" s="13"/>
      <c r="C1314" s="14"/>
      <c r="D1314" s="14"/>
      <c r="E1314" s="294"/>
      <c r="F1314" s="15"/>
      <c r="G1314" s="18"/>
      <c r="H1314" s="131"/>
      <c r="I1314" s="18"/>
      <c r="J1314" s="22"/>
      <c r="K1314" s="108"/>
      <c r="L1314" s="26"/>
    </row>
    <row r="1315">
      <c r="A1315" s="12"/>
      <c r="B1315" s="13"/>
      <c r="C1315" s="14"/>
      <c r="D1315" s="14"/>
      <c r="E1315" s="294"/>
      <c r="F1315" s="15"/>
      <c r="G1315" s="18"/>
      <c r="H1315" s="131"/>
      <c r="I1315" s="18"/>
      <c r="J1315" s="22"/>
      <c r="K1315" s="108"/>
      <c r="L1315" s="26"/>
    </row>
    <row r="1316">
      <c r="A1316" s="12"/>
      <c r="B1316" s="13"/>
      <c r="C1316" s="14"/>
      <c r="D1316" s="14"/>
      <c r="E1316" s="294"/>
      <c r="F1316" s="15"/>
      <c r="G1316" s="18"/>
      <c r="H1316" s="131"/>
      <c r="I1316" s="18"/>
      <c r="J1316" s="22"/>
      <c r="K1316" s="108"/>
      <c r="L1316" s="26"/>
    </row>
    <row r="1317">
      <c r="A1317" s="12"/>
      <c r="B1317" s="13"/>
      <c r="C1317" s="14"/>
      <c r="D1317" s="14"/>
      <c r="E1317" s="294"/>
      <c r="F1317" s="15"/>
      <c r="G1317" s="18"/>
      <c r="H1317" s="131"/>
      <c r="I1317" s="18"/>
      <c r="J1317" s="22"/>
      <c r="K1317" s="108"/>
      <c r="L1317" s="26"/>
    </row>
    <row r="1318">
      <c r="A1318" s="12"/>
      <c r="B1318" s="13"/>
      <c r="C1318" s="14"/>
      <c r="D1318" s="14"/>
      <c r="E1318" s="294"/>
      <c r="F1318" s="15"/>
      <c r="G1318" s="18"/>
      <c r="H1318" s="131"/>
      <c r="I1318" s="18"/>
      <c r="J1318" s="22"/>
      <c r="K1318" s="108"/>
      <c r="L1318" s="26"/>
    </row>
    <row r="1319">
      <c r="A1319" s="12"/>
      <c r="B1319" s="13"/>
      <c r="C1319" s="14"/>
      <c r="D1319" s="14"/>
      <c r="E1319" s="294"/>
      <c r="F1319" s="15"/>
      <c r="G1319" s="18"/>
      <c r="H1319" s="131"/>
      <c r="I1319" s="18"/>
      <c r="J1319" s="22"/>
      <c r="K1319" s="108"/>
      <c r="L1319" s="26"/>
    </row>
    <row r="1320">
      <c r="A1320" s="12"/>
      <c r="B1320" s="13"/>
      <c r="C1320" s="14"/>
      <c r="D1320" s="14"/>
      <c r="E1320" s="294"/>
      <c r="F1320" s="15"/>
      <c r="G1320" s="18"/>
      <c r="H1320" s="131"/>
      <c r="I1320" s="18"/>
      <c r="J1320" s="22"/>
      <c r="K1320" s="108"/>
      <c r="L1320" s="26"/>
    </row>
    <row r="1321">
      <c r="A1321" s="12"/>
      <c r="B1321" s="13"/>
      <c r="C1321" s="14"/>
      <c r="D1321" s="14"/>
      <c r="E1321" s="294"/>
      <c r="F1321" s="15"/>
      <c r="G1321" s="18"/>
      <c r="H1321" s="131"/>
      <c r="I1321" s="18"/>
      <c r="J1321" s="22"/>
      <c r="K1321" s="108"/>
      <c r="L1321" s="26"/>
    </row>
    <row r="1322">
      <c r="A1322" s="12"/>
      <c r="B1322" s="13"/>
      <c r="C1322" s="14"/>
      <c r="D1322" s="14"/>
      <c r="E1322" s="294"/>
      <c r="F1322" s="15"/>
      <c r="G1322" s="18"/>
      <c r="H1322" s="131"/>
      <c r="I1322" s="18"/>
      <c r="J1322" s="22"/>
      <c r="K1322" s="108"/>
      <c r="L1322" s="26"/>
    </row>
    <row r="1323">
      <c r="A1323" s="12"/>
      <c r="B1323" s="13"/>
      <c r="C1323" s="14"/>
      <c r="D1323" s="14"/>
      <c r="E1323" s="294"/>
      <c r="F1323" s="15"/>
      <c r="G1323" s="18"/>
      <c r="H1323" s="131"/>
      <c r="I1323" s="18"/>
      <c r="J1323" s="22"/>
      <c r="K1323" s="108"/>
      <c r="L1323" s="26"/>
    </row>
    <row r="1324">
      <c r="A1324" s="12"/>
      <c r="B1324" s="13"/>
      <c r="C1324" s="14"/>
      <c r="D1324" s="14"/>
      <c r="E1324" s="294"/>
      <c r="F1324" s="15"/>
      <c r="G1324" s="18"/>
      <c r="H1324" s="131"/>
      <c r="I1324" s="18"/>
      <c r="J1324" s="22"/>
      <c r="K1324" s="108"/>
      <c r="L1324" s="26"/>
    </row>
    <row r="1325">
      <c r="A1325" s="12"/>
      <c r="B1325" s="13"/>
      <c r="C1325" s="14"/>
      <c r="D1325" s="14"/>
      <c r="E1325" s="294"/>
      <c r="F1325" s="15"/>
      <c r="G1325" s="18"/>
      <c r="H1325" s="131"/>
      <c r="I1325" s="18"/>
      <c r="J1325" s="22"/>
      <c r="K1325" s="108"/>
      <c r="L1325" s="26"/>
    </row>
    <row r="1326">
      <c r="A1326" s="12"/>
      <c r="B1326" s="13"/>
      <c r="C1326" s="14"/>
      <c r="D1326" s="14"/>
      <c r="E1326" s="294"/>
      <c r="F1326" s="15"/>
      <c r="G1326" s="18"/>
      <c r="H1326" s="131"/>
      <c r="I1326" s="18"/>
      <c r="J1326" s="22"/>
      <c r="K1326" s="108"/>
      <c r="L1326" s="26"/>
    </row>
    <row r="1327">
      <c r="A1327" s="12"/>
      <c r="B1327" s="13"/>
      <c r="C1327" s="14"/>
      <c r="D1327" s="14"/>
      <c r="E1327" s="294"/>
      <c r="F1327" s="15"/>
      <c r="G1327" s="18"/>
      <c r="H1327" s="131"/>
      <c r="I1327" s="18"/>
      <c r="J1327" s="22"/>
      <c r="K1327" s="108"/>
      <c r="L1327" s="26"/>
    </row>
    <row r="1328">
      <c r="A1328" s="12"/>
      <c r="B1328" s="13"/>
      <c r="C1328" s="14"/>
      <c r="D1328" s="14"/>
      <c r="E1328" s="294"/>
      <c r="F1328" s="15"/>
      <c r="G1328" s="18"/>
      <c r="H1328" s="131"/>
      <c r="I1328" s="18"/>
      <c r="J1328" s="22"/>
      <c r="K1328" s="108"/>
      <c r="L1328" s="26"/>
    </row>
    <row r="1329">
      <c r="A1329" s="12"/>
      <c r="B1329" s="13"/>
      <c r="C1329" s="14"/>
      <c r="D1329" s="14"/>
      <c r="E1329" s="294"/>
      <c r="F1329" s="15"/>
      <c r="G1329" s="18"/>
      <c r="H1329" s="131"/>
      <c r="I1329" s="18"/>
      <c r="J1329" s="22"/>
      <c r="K1329" s="108"/>
      <c r="L1329" s="26"/>
    </row>
    <row r="1330">
      <c r="A1330" s="12"/>
      <c r="B1330" s="13"/>
      <c r="C1330" s="14"/>
      <c r="D1330" s="14"/>
      <c r="E1330" s="294"/>
      <c r="F1330" s="15"/>
      <c r="G1330" s="18"/>
      <c r="H1330" s="131"/>
      <c r="I1330" s="18"/>
      <c r="J1330" s="22"/>
      <c r="K1330" s="108"/>
      <c r="L1330" s="26"/>
    </row>
    <row r="1331">
      <c r="A1331" s="12"/>
      <c r="B1331" s="13"/>
      <c r="C1331" s="14"/>
      <c r="D1331" s="14"/>
      <c r="E1331" s="294"/>
      <c r="F1331" s="15"/>
      <c r="G1331" s="18"/>
      <c r="H1331" s="131"/>
      <c r="I1331" s="18"/>
      <c r="J1331" s="22"/>
      <c r="K1331" s="108"/>
      <c r="L1331" s="26"/>
    </row>
    <row r="1332">
      <c r="A1332" s="12"/>
      <c r="B1332" s="13"/>
      <c r="C1332" s="14"/>
      <c r="D1332" s="14"/>
      <c r="E1332" s="294"/>
      <c r="F1332" s="15"/>
      <c r="G1332" s="18"/>
      <c r="H1332" s="131"/>
      <c r="I1332" s="18"/>
      <c r="J1332" s="22"/>
      <c r="K1332" s="108"/>
      <c r="L1332" s="26"/>
    </row>
    <row r="1333">
      <c r="A1333" s="12"/>
      <c r="B1333" s="13"/>
      <c r="C1333" s="14"/>
      <c r="D1333" s="14"/>
      <c r="E1333" s="294"/>
      <c r="F1333" s="15"/>
      <c r="G1333" s="18"/>
      <c r="H1333" s="131"/>
      <c r="I1333" s="18"/>
      <c r="J1333" s="22"/>
      <c r="K1333" s="108"/>
      <c r="L1333" s="26"/>
    </row>
    <row r="1334">
      <c r="A1334" s="12"/>
      <c r="B1334" s="13"/>
      <c r="C1334" s="14"/>
      <c r="D1334" s="14"/>
      <c r="E1334" s="294"/>
      <c r="F1334" s="15"/>
      <c r="G1334" s="18"/>
      <c r="H1334" s="131"/>
      <c r="I1334" s="18"/>
      <c r="J1334" s="22"/>
      <c r="K1334" s="108"/>
      <c r="L1334" s="26"/>
    </row>
    <row r="1335">
      <c r="A1335" s="12"/>
      <c r="B1335" s="13"/>
      <c r="C1335" s="14"/>
      <c r="D1335" s="14"/>
      <c r="E1335" s="294"/>
      <c r="F1335" s="15"/>
      <c r="G1335" s="18"/>
      <c r="H1335" s="131"/>
      <c r="I1335" s="18"/>
      <c r="J1335" s="22"/>
      <c r="K1335" s="108"/>
      <c r="L1335" s="26"/>
    </row>
    <row r="1336">
      <c r="A1336" s="12"/>
      <c r="B1336" s="13"/>
      <c r="C1336" s="14"/>
      <c r="D1336" s="14"/>
      <c r="E1336" s="294"/>
      <c r="F1336" s="15"/>
      <c r="G1336" s="18"/>
      <c r="H1336" s="131"/>
      <c r="I1336" s="18"/>
      <c r="J1336" s="22"/>
      <c r="K1336" s="108"/>
      <c r="L1336" s="26"/>
    </row>
    <row r="1337">
      <c r="A1337" s="12"/>
      <c r="B1337" s="13"/>
      <c r="C1337" s="14"/>
      <c r="D1337" s="14"/>
      <c r="E1337" s="294"/>
      <c r="F1337" s="15"/>
      <c r="G1337" s="18"/>
      <c r="H1337" s="131"/>
      <c r="I1337" s="18"/>
      <c r="J1337" s="22"/>
      <c r="K1337" s="108"/>
      <c r="L1337" s="26"/>
    </row>
    <row r="1338">
      <c r="A1338" s="12"/>
      <c r="B1338" s="13"/>
      <c r="C1338" s="14"/>
      <c r="D1338" s="14"/>
      <c r="E1338" s="294"/>
      <c r="F1338" s="15"/>
      <c r="G1338" s="18"/>
      <c r="H1338" s="131"/>
      <c r="I1338" s="18"/>
      <c r="J1338" s="22"/>
      <c r="K1338" s="108"/>
      <c r="L1338" s="26"/>
    </row>
    <row r="1339">
      <c r="A1339" s="12"/>
      <c r="B1339" s="13"/>
      <c r="C1339" s="14"/>
      <c r="D1339" s="14"/>
      <c r="E1339" s="294"/>
      <c r="F1339" s="15"/>
      <c r="G1339" s="18"/>
      <c r="H1339" s="131"/>
      <c r="I1339" s="18"/>
      <c r="J1339" s="22"/>
      <c r="K1339" s="108"/>
      <c r="L1339" s="26"/>
    </row>
    <row r="1340">
      <c r="A1340" s="12"/>
      <c r="B1340" s="13"/>
      <c r="C1340" s="14"/>
      <c r="D1340" s="14"/>
      <c r="E1340" s="294"/>
      <c r="F1340" s="15"/>
      <c r="G1340" s="18"/>
      <c r="H1340" s="131"/>
      <c r="I1340" s="18"/>
      <c r="J1340" s="22"/>
      <c r="K1340" s="108"/>
      <c r="L1340" s="26"/>
    </row>
    <row r="1341">
      <c r="A1341" s="12"/>
      <c r="B1341" s="13"/>
      <c r="C1341" s="14"/>
      <c r="D1341" s="14"/>
      <c r="E1341" s="294"/>
      <c r="F1341" s="15"/>
      <c r="G1341" s="18"/>
      <c r="H1341" s="131"/>
      <c r="I1341" s="18"/>
      <c r="J1341" s="22"/>
      <c r="K1341" s="108"/>
      <c r="L1341" s="26"/>
    </row>
    <row r="1342">
      <c r="A1342" s="12"/>
      <c r="B1342" s="13"/>
      <c r="C1342" s="14"/>
      <c r="D1342" s="14"/>
      <c r="E1342" s="294"/>
      <c r="F1342" s="15"/>
      <c r="G1342" s="18"/>
      <c r="H1342" s="131"/>
      <c r="I1342" s="18"/>
      <c r="J1342" s="22"/>
      <c r="K1342" s="108"/>
      <c r="L1342" s="26"/>
    </row>
    <row r="1343">
      <c r="A1343" s="12"/>
      <c r="B1343" s="13"/>
      <c r="C1343" s="14"/>
      <c r="D1343" s="14"/>
      <c r="E1343" s="294"/>
      <c r="F1343" s="15"/>
      <c r="G1343" s="18"/>
      <c r="H1343" s="131"/>
      <c r="I1343" s="18"/>
      <c r="J1343" s="22"/>
      <c r="K1343" s="108"/>
      <c r="L1343" s="26"/>
    </row>
    <row r="1344">
      <c r="A1344" s="12"/>
      <c r="B1344" s="13"/>
      <c r="C1344" s="14"/>
      <c r="D1344" s="14"/>
      <c r="E1344" s="294"/>
      <c r="F1344" s="15"/>
      <c r="G1344" s="18"/>
      <c r="H1344" s="131"/>
      <c r="I1344" s="18"/>
      <c r="J1344" s="22"/>
      <c r="K1344" s="108"/>
      <c r="L1344" s="26"/>
    </row>
    <row r="1345">
      <c r="A1345" s="12"/>
      <c r="B1345" s="13"/>
      <c r="C1345" s="14"/>
      <c r="D1345" s="14"/>
      <c r="E1345" s="294"/>
      <c r="F1345" s="15"/>
      <c r="G1345" s="18"/>
      <c r="H1345" s="131"/>
      <c r="I1345" s="18"/>
      <c r="J1345" s="22"/>
      <c r="K1345" s="108"/>
      <c r="L1345" s="26"/>
    </row>
    <row r="1346">
      <c r="A1346" s="12"/>
      <c r="B1346" s="13"/>
      <c r="C1346" s="14"/>
      <c r="D1346" s="14"/>
      <c r="E1346" s="294"/>
      <c r="F1346" s="15"/>
      <c r="G1346" s="18"/>
      <c r="H1346" s="131"/>
      <c r="I1346" s="18"/>
      <c r="J1346" s="22"/>
      <c r="K1346" s="108"/>
      <c r="L1346" s="26"/>
    </row>
    <row r="1347">
      <c r="A1347" s="12"/>
      <c r="B1347" s="13"/>
      <c r="C1347" s="14"/>
      <c r="D1347" s="14"/>
      <c r="E1347" s="294"/>
      <c r="F1347" s="15"/>
      <c r="G1347" s="18"/>
      <c r="H1347" s="131"/>
      <c r="I1347" s="18"/>
      <c r="J1347" s="22"/>
      <c r="K1347" s="108"/>
      <c r="L1347" s="26"/>
    </row>
    <row r="1348">
      <c r="A1348" s="12"/>
      <c r="B1348" s="13"/>
      <c r="C1348" s="14"/>
      <c r="D1348" s="14"/>
      <c r="E1348" s="294"/>
      <c r="F1348" s="15"/>
      <c r="G1348" s="18"/>
      <c r="H1348" s="131"/>
      <c r="I1348" s="18"/>
      <c r="J1348" s="22"/>
      <c r="K1348" s="108"/>
      <c r="L1348" s="26"/>
    </row>
    <row r="1349">
      <c r="A1349" s="12"/>
      <c r="B1349" s="13"/>
      <c r="C1349" s="14"/>
      <c r="D1349" s="14"/>
      <c r="E1349" s="294"/>
      <c r="F1349" s="15"/>
      <c r="G1349" s="18"/>
      <c r="H1349" s="131"/>
      <c r="I1349" s="18"/>
      <c r="J1349" s="22"/>
      <c r="K1349" s="108"/>
      <c r="L1349" s="26"/>
    </row>
    <row r="1350">
      <c r="A1350" s="12"/>
      <c r="B1350" s="13"/>
      <c r="C1350" s="14"/>
      <c r="D1350" s="14"/>
      <c r="E1350" s="294"/>
      <c r="F1350" s="15"/>
      <c r="G1350" s="18"/>
      <c r="H1350" s="131"/>
      <c r="I1350" s="18"/>
      <c r="J1350" s="22"/>
      <c r="K1350" s="108"/>
      <c r="L1350" s="26"/>
    </row>
    <row r="1351">
      <c r="A1351" s="12"/>
      <c r="B1351" s="13"/>
      <c r="C1351" s="14"/>
      <c r="D1351" s="14"/>
      <c r="E1351" s="294"/>
      <c r="F1351" s="15"/>
      <c r="G1351" s="18"/>
      <c r="H1351" s="131"/>
      <c r="I1351" s="18"/>
      <c r="J1351" s="22"/>
      <c r="K1351" s="108"/>
      <c r="L1351" s="26"/>
    </row>
    <row r="1352">
      <c r="A1352" s="12"/>
      <c r="B1352" s="13"/>
      <c r="C1352" s="14"/>
      <c r="D1352" s="14"/>
      <c r="E1352" s="294"/>
      <c r="F1352" s="15"/>
      <c r="G1352" s="18"/>
      <c r="H1352" s="131"/>
      <c r="I1352" s="18"/>
      <c r="J1352" s="22"/>
      <c r="K1352" s="108"/>
      <c r="L1352" s="26"/>
    </row>
    <row r="1353">
      <c r="A1353" s="12"/>
      <c r="B1353" s="13"/>
      <c r="C1353" s="14"/>
      <c r="D1353" s="14"/>
      <c r="E1353" s="294"/>
      <c r="F1353" s="15"/>
      <c r="G1353" s="18"/>
      <c r="H1353" s="131"/>
      <c r="I1353" s="18"/>
      <c r="J1353" s="22"/>
      <c r="K1353" s="108"/>
      <c r="L1353" s="26"/>
    </row>
    <row r="1354">
      <c r="A1354" s="12"/>
      <c r="B1354" s="13"/>
      <c r="C1354" s="14"/>
      <c r="D1354" s="14"/>
      <c r="E1354" s="294"/>
      <c r="F1354" s="15"/>
      <c r="G1354" s="18"/>
      <c r="H1354" s="131"/>
      <c r="I1354" s="18"/>
      <c r="J1354" s="22"/>
      <c r="K1354" s="108"/>
      <c r="L1354" s="26"/>
    </row>
    <row r="1355">
      <c r="A1355" s="12"/>
      <c r="B1355" s="13"/>
      <c r="C1355" s="14"/>
      <c r="D1355" s="14"/>
      <c r="E1355" s="294"/>
      <c r="F1355" s="15"/>
      <c r="G1355" s="18"/>
      <c r="H1355" s="131"/>
      <c r="I1355" s="18"/>
      <c r="J1355" s="22"/>
      <c r="K1355" s="108"/>
      <c r="L1355" s="26"/>
    </row>
    <row r="1356">
      <c r="A1356" s="12"/>
      <c r="B1356" s="13"/>
      <c r="C1356" s="14"/>
      <c r="D1356" s="14"/>
      <c r="E1356" s="294"/>
      <c r="F1356" s="15"/>
      <c r="G1356" s="18"/>
      <c r="H1356" s="131"/>
      <c r="I1356" s="18"/>
      <c r="J1356" s="22"/>
      <c r="K1356" s="108"/>
      <c r="L1356" s="26"/>
    </row>
    <row r="1357">
      <c r="A1357" s="12"/>
      <c r="B1357" s="13"/>
      <c r="C1357" s="14"/>
      <c r="D1357" s="14"/>
      <c r="E1357" s="294"/>
      <c r="F1357" s="15"/>
      <c r="G1357" s="18"/>
      <c r="H1357" s="131"/>
      <c r="I1357" s="18"/>
      <c r="J1357" s="22"/>
      <c r="K1357" s="108"/>
      <c r="L1357" s="26"/>
    </row>
    <row r="1358">
      <c r="A1358" s="12"/>
      <c r="B1358" s="13"/>
      <c r="C1358" s="14"/>
      <c r="D1358" s="14"/>
      <c r="E1358" s="294"/>
      <c r="F1358" s="15"/>
      <c r="G1358" s="18"/>
      <c r="H1358" s="131"/>
      <c r="I1358" s="18"/>
      <c r="J1358" s="22"/>
      <c r="K1358" s="108"/>
      <c r="L1358" s="26"/>
    </row>
    <row r="1359">
      <c r="A1359" s="12"/>
      <c r="B1359" s="13"/>
      <c r="C1359" s="14"/>
      <c r="D1359" s="14"/>
      <c r="E1359" s="294"/>
      <c r="F1359" s="15"/>
      <c r="G1359" s="18"/>
      <c r="H1359" s="131"/>
      <c r="I1359" s="18"/>
      <c r="J1359" s="22"/>
      <c r="K1359" s="108"/>
      <c r="L1359" s="26"/>
    </row>
    <row r="1360">
      <c r="A1360" s="12"/>
      <c r="B1360" s="13"/>
      <c r="C1360" s="14"/>
      <c r="D1360" s="14"/>
      <c r="E1360" s="294"/>
      <c r="F1360" s="15"/>
      <c r="G1360" s="18"/>
      <c r="H1360" s="131"/>
      <c r="I1360" s="18"/>
      <c r="J1360" s="22"/>
      <c r="K1360" s="108"/>
      <c r="L1360" s="26"/>
    </row>
    <row r="1361">
      <c r="A1361" s="12"/>
      <c r="B1361" s="13"/>
      <c r="C1361" s="14"/>
      <c r="D1361" s="14"/>
      <c r="E1361" s="294"/>
      <c r="F1361" s="15"/>
      <c r="G1361" s="18"/>
      <c r="H1361" s="131"/>
      <c r="I1361" s="18"/>
      <c r="J1361" s="22"/>
      <c r="K1361" s="108"/>
      <c r="L1361" s="26"/>
    </row>
    <row r="1362">
      <c r="A1362" s="12"/>
      <c r="B1362" s="13"/>
      <c r="C1362" s="14"/>
      <c r="D1362" s="14"/>
      <c r="E1362" s="294"/>
      <c r="F1362" s="15"/>
      <c r="G1362" s="18"/>
      <c r="H1362" s="131"/>
      <c r="I1362" s="18"/>
      <c r="J1362" s="22"/>
      <c r="K1362" s="108"/>
      <c r="L1362" s="26"/>
    </row>
    <row r="1363">
      <c r="A1363" s="12"/>
      <c r="B1363" s="13"/>
      <c r="C1363" s="14"/>
      <c r="D1363" s="14"/>
      <c r="E1363" s="294"/>
      <c r="F1363" s="15"/>
      <c r="G1363" s="18"/>
      <c r="H1363" s="131"/>
      <c r="I1363" s="18"/>
      <c r="J1363" s="22"/>
      <c r="K1363" s="108"/>
      <c r="L1363" s="26"/>
    </row>
    <row r="1364">
      <c r="A1364" s="12"/>
      <c r="B1364" s="13"/>
      <c r="C1364" s="14"/>
      <c r="D1364" s="14"/>
      <c r="E1364" s="294"/>
      <c r="F1364" s="15"/>
      <c r="G1364" s="18"/>
      <c r="H1364" s="131"/>
      <c r="I1364" s="18"/>
      <c r="J1364" s="22"/>
      <c r="K1364" s="108"/>
      <c r="L1364" s="26"/>
    </row>
    <row r="1365">
      <c r="A1365" s="12"/>
      <c r="B1365" s="13"/>
      <c r="C1365" s="14"/>
      <c r="D1365" s="14"/>
      <c r="E1365" s="294"/>
      <c r="F1365" s="15"/>
      <c r="G1365" s="18"/>
      <c r="H1365" s="131"/>
      <c r="I1365" s="18"/>
      <c r="J1365" s="22"/>
      <c r="K1365" s="108"/>
      <c r="L1365" s="26"/>
    </row>
    <row r="1366">
      <c r="A1366" s="12"/>
      <c r="B1366" s="13"/>
      <c r="C1366" s="14"/>
      <c r="D1366" s="14"/>
      <c r="E1366" s="294"/>
      <c r="F1366" s="15"/>
      <c r="G1366" s="18"/>
      <c r="H1366" s="131"/>
      <c r="I1366" s="18"/>
      <c r="J1366" s="22"/>
      <c r="K1366" s="108"/>
      <c r="L1366" s="26"/>
    </row>
    <row r="1367">
      <c r="A1367" s="12"/>
      <c r="B1367" s="13"/>
      <c r="C1367" s="14"/>
      <c r="D1367" s="14"/>
      <c r="E1367" s="294"/>
      <c r="F1367" s="15"/>
      <c r="G1367" s="18"/>
      <c r="H1367" s="131"/>
      <c r="I1367" s="18"/>
      <c r="J1367" s="22"/>
      <c r="K1367" s="108"/>
      <c r="L1367" s="26"/>
    </row>
    <row r="1368">
      <c r="A1368" s="12"/>
      <c r="B1368" s="13"/>
      <c r="C1368" s="14"/>
      <c r="D1368" s="14"/>
      <c r="E1368" s="294"/>
      <c r="F1368" s="15"/>
      <c r="G1368" s="18"/>
      <c r="H1368" s="131"/>
      <c r="I1368" s="18"/>
      <c r="J1368" s="22"/>
      <c r="K1368" s="108"/>
      <c r="L1368" s="26"/>
    </row>
    <row r="1369">
      <c r="A1369" s="12"/>
      <c r="B1369" s="13"/>
      <c r="C1369" s="14"/>
      <c r="D1369" s="14"/>
      <c r="E1369" s="294"/>
      <c r="F1369" s="15"/>
      <c r="G1369" s="18"/>
      <c r="H1369" s="131"/>
      <c r="I1369" s="18"/>
      <c r="J1369" s="22"/>
      <c r="K1369" s="108"/>
      <c r="L1369" s="26"/>
    </row>
    <row r="1370">
      <c r="A1370" s="12"/>
      <c r="B1370" s="13"/>
      <c r="C1370" s="14"/>
      <c r="D1370" s="14"/>
      <c r="E1370" s="294"/>
      <c r="F1370" s="15"/>
      <c r="G1370" s="18"/>
      <c r="H1370" s="131"/>
      <c r="I1370" s="18"/>
      <c r="J1370" s="22"/>
      <c r="K1370" s="108"/>
      <c r="L1370" s="26"/>
    </row>
    <row r="1371">
      <c r="A1371" s="12"/>
      <c r="B1371" s="13"/>
      <c r="C1371" s="14"/>
      <c r="D1371" s="14"/>
      <c r="E1371" s="294"/>
      <c r="F1371" s="15"/>
      <c r="G1371" s="18"/>
      <c r="H1371" s="131"/>
      <c r="I1371" s="18"/>
      <c r="J1371" s="22"/>
      <c r="K1371" s="108"/>
      <c r="L1371" s="26"/>
    </row>
    <row r="1372">
      <c r="A1372" s="12"/>
      <c r="B1372" s="13"/>
      <c r="C1372" s="14"/>
      <c r="D1372" s="14"/>
      <c r="E1372" s="294"/>
      <c r="F1372" s="15"/>
      <c r="G1372" s="18"/>
      <c r="H1372" s="131"/>
      <c r="I1372" s="18"/>
      <c r="J1372" s="22"/>
      <c r="K1372" s="108"/>
      <c r="L1372" s="26"/>
    </row>
    <row r="1373">
      <c r="A1373" s="12"/>
      <c r="B1373" s="13"/>
      <c r="C1373" s="14"/>
      <c r="D1373" s="14"/>
      <c r="E1373" s="294"/>
      <c r="F1373" s="15"/>
      <c r="G1373" s="18"/>
      <c r="H1373" s="131"/>
      <c r="I1373" s="18"/>
      <c r="J1373" s="22"/>
      <c r="K1373" s="108"/>
      <c r="L1373" s="26"/>
    </row>
    <row r="1374">
      <c r="A1374" s="12"/>
      <c r="B1374" s="13"/>
      <c r="C1374" s="14"/>
      <c r="D1374" s="14"/>
      <c r="E1374" s="294"/>
      <c r="F1374" s="15"/>
      <c r="G1374" s="18"/>
      <c r="H1374" s="131"/>
      <c r="I1374" s="18"/>
      <c r="J1374" s="22"/>
      <c r="K1374" s="108"/>
      <c r="L1374" s="26"/>
    </row>
    <row r="1375">
      <c r="A1375" s="12"/>
      <c r="B1375" s="13"/>
      <c r="C1375" s="14"/>
      <c r="D1375" s="14"/>
      <c r="E1375" s="294"/>
      <c r="F1375" s="15"/>
      <c r="G1375" s="18"/>
      <c r="H1375" s="131"/>
      <c r="I1375" s="18"/>
      <c r="J1375" s="22"/>
      <c r="K1375" s="108"/>
      <c r="L1375" s="26"/>
    </row>
    <row r="1376">
      <c r="A1376" s="12"/>
      <c r="B1376" s="13"/>
      <c r="C1376" s="14"/>
      <c r="D1376" s="14"/>
      <c r="E1376" s="294"/>
      <c r="F1376" s="15"/>
      <c r="G1376" s="18"/>
      <c r="H1376" s="131"/>
      <c r="I1376" s="18"/>
      <c r="J1376" s="22"/>
      <c r="K1376" s="108"/>
      <c r="L1376" s="26"/>
    </row>
    <row r="1377">
      <c r="A1377" s="12"/>
      <c r="B1377" s="13"/>
      <c r="C1377" s="14"/>
      <c r="D1377" s="14"/>
      <c r="E1377" s="294"/>
      <c r="F1377" s="15"/>
      <c r="G1377" s="18"/>
      <c r="H1377" s="131"/>
      <c r="I1377" s="18"/>
      <c r="J1377" s="22"/>
      <c r="K1377" s="108"/>
      <c r="L1377" s="26"/>
    </row>
    <row r="1378">
      <c r="A1378" s="12"/>
      <c r="B1378" s="13"/>
      <c r="C1378" s="14"/>
      <c r="D1378" s="14"/>
      <c r="E1378" s="294"/>
      <c r="F1378" s="15"/>
      <c r="G1378" s="18"/>
      <c r="H1378" s="131"/>
      <c r="I1378" s="18"/>
      <c r="J1378" s="22"/>
      <c r="K1378" s="108"/>
      <c r="L1378" s="26"/>
    </row>
    <row r="1379">
      <c r="A1379" s="12"/>
      <c r="B1379" s="13"/>
      <c r="C1379" s="14"/>
      <c r="D1379" s="14"/>
      <c r="E1379" s="294"/>
      <c r="F1379" s="15"/>
      <c r="G1379" s="18"/>
      <c r="H1379" s="131"/>
      <c r="I1379" s="18"/>
      <c r="J1379" s="22"/>
      <c r="K1379" s="108"/>
      <c r="L1379" s="26"/>
    </row>
    <row r="1380">
      <c r="A1380" s="12"/>
      <c r="B1380" s="13"/>
      <c r="C1380" s="14"/>
      <c r="D1380" s="14"/>
      <c r="E1380" s="294"/>
      <c r="F1380" s="15"/>
      <c r="G1380" s="18"/>
      <c r="H1380" s="131"/>
      <c r="I1380" s="18"/>
      <c r="J1380" s="22"/>
      <c r="K1380" s="108"/>
      <c r="L1380" s="26"/>
    </row>
    <row r="1381">
      <c r="A1381" s="12"/>
      <c r="B1381" s="13"/>
      <c r="C1381" s="14"/>
      <c r="D1381" s="14"/>
      <c r="E1381" s="294"/>
      <c r="F1381" s="15"/>
      <c r="G1381" s="18"/>
      <c r="H1381" s="131"/>
      <c r="I1381" s="18"/>
      <c r="J1381" s="22"/>
      <c r="K1381" s="108"/>
      <c r="L1381" s="26"/>
    </row>
    <row r="1382">
      <c r="A1382" s="12"/>
      <c r="B1382" s="13"/>
      <c r="C1382" s="14"/>
      <c r="D1382" s="14"/>
      <c r="E1382" s="294"/>
      <c r="F1382" s="15"/>
      <c r="G1382" s="18"/>
      <c r="H1382" s="131"/>
      <c r="I1382" s="18"/>
      <c r="J1382" s="22"/>
      <c r="K1382" s="108"/>
      <c r="L1382" s="26"/>
    </row>
    <row r="1383">
      <c r="A1383" s="12"/>
      <c r="B1383" s="13"/>
      <c r="C1383" s="14"/>
      <c r="D1383" s="14"/>
      <c r="E1383" s="294"/>
      <c r="F1383" s="15"/>
      <c r="G1383" s="18"/>
      <c r="H1383" s="131"/>
      <c r="I1383" s="18"/>
      <c r="J1383" s="22"/>
      <c r="K1383" s="108"/>
      <c r="L1383" s="26"/>
    </row>
    <row r="1384">
      <c r="A1384" s="12"/>
      <c r="B1384" s="13"/>
      <c r="C1384" s="14"/>
      <c r="D1384" s="14"/>
      <c r="E1384" s="294"/>
      <c r="F1384" s="15"/>
      <c r="G1384" s="18"/>
      <c r="H1384" s="131"/>
      <c r="I1384" s="18"/>
      <c r="J1384" s="22"/>
      <c r="K1384" s="108"/>
      <c r="L1384" s="26"/>
    </row>
    <row r="1385">
      <c r="A1385" s="12"/>
      <c r="B1385" s="13"/>
      <c r="C1385" s="14"/>
      <c r="D1385" s="14"/>
      <c r="E1385" s="294"/>
      <c r="F1385" s="15"/>
      <c r="G1385" s="18"/>
      <c r="H1385" s="131"/>
      <c r="I1385" s="18"/>
      <c r="J1385" s="22"/>
      <c r="K1385" s="108"/>
      <c r="L1385" s="26"/>
    </row>
    <row r="1386">
      <c r="A1386" s="12"/>
      <c r="B1386" s="13"/>
      <c r="C1386" s="14"/>
      <c r="D1386" s="14"/>
      <c r="E1386" s="294"/>
      <c r="F1386" s="15"/>
      <c r="G1386" s="18"/>
      <c r="H1386" s="131"/>
      <c r="I1386" s="18"/>
      <c r="J1386" s="22"/>
      <c r="K1386" s="108"/>
      <c r="L1386" s="26"/>
    </row>
    <row r="1387">
      <c r="A1387" s="12"/>
      <c r="B1387" s="13"/>
      <c r="C1387" s="14"/>
      <c r="D1387" s="14"/>
      <c r="E1387" s="294"/>
      <c r="F1387" s="15"/>
      <c r="G1387" s="18"/>
      <c r="H1387" s="131"/>
      <c r="I1387" s="18"/>
      <c r="J1387" s="22"/>
      <c r="K1387" s="108"/>
      <c r="L1387" s="26"/>
    </row>
    <row r="1388">
      <c r="A1388" s="12"/>
      <c r="B1388" s="13"/>
      <c r="C1388" s="14"/>
      <c r="D1388" s="14"/>
      <c r="E1388" s="294"/>
      <c r="F1388" s="15"/>
      <c r="G1388" s="18"/>
      <c r="H1388" s="131"/>
      <c r="I1388" s="18"/>
      <c r="J1388" s="22"/>
      <c r="K1388" s="108"/>
      <c r="L1388" s="26"/>
    </row>
    <row r="1389">
      <c r="A1389" s="12"/>
      <c r="B1389" s="13"/>
      <c r="C1389" s="14"/>
      <c r="D1389" s="14"/>
      <c r="E1389" s="294"/>
      <c r="F1389" s="15"/>
      <c r="G1389" s="18"/>
      <c r="H1389" s="131"/>
      <c r="I1389" s="18"/>
      <c r="J1389" s="22"/>
      <c r="K1389" s="108"/>
      <c r="L1389" s="26"/>
    </row>
    <row r="1390">
      <c r="A1390" s="12"/>
      <c r="B1390" s="13"/>
      <c r="C1390" s="14"/>
      <c r="D1390" s="14"/>
      <c r="E1390" s="294"/>
      <c r="F1390" s="15"/>
      <c r="G1390" s="18"/>
      <c r="H1390" s="131"/>
      <c r="I1390" s="18"/>
      <c r="J1390" s="22"/>
      <c r="K1390" s="108"/>
      <c r="L1390" s="26"/>
    </row>
    <row r="1391">
      <c r="A1391" s="12"/>
      <c r="B1391" s="13"/>
      <c r="C1391" s="14"/>
      <c r="D1391" s="14"/>
      <c r="E1391" s="294"/>
      <c r="F1391" s="15"/>
      <c r="G1391" s="18"/>
      <c r="H1391" s="131"/>
      <c r="I1391" s="18"/>
      <c r="J1391" s="22"/>
      <c r="K1391" s="108"/>
      <c r="L1391" s="26"/>
    </row>
    <row r="1392">
      <c r="A1392" s="12"/>
      <c r="B1392" s="13"/>
      <c r="C1392" s="14"/>
      <c r="D1392" s="14"/>
      <c r="E1392" s="294"/>
      <c r="F1392" s="15"/>
      <c r="G1392" s="18"/>
      <c r="H1392" s="131"/>
      <c r="I1392" s="18"/>
      <c r="J1392" s="22"/>
      <c r="K1392" s="108"/>
      <c r="L1392" s="26"/>
    </row>
    <row r="1393">
      <c r="A1393" s="12"/>
      <c r="B1393" s="13"/>
      <c r="C1393" s="14"/>
      <c r="D1393" s="14"/>
      <c r="E1393" s="294"/>
      <c r="F1393" s="15"/>
      <c r="G1393" s="18"/>
      <c r="H1393" s="131"/>
      <c r="I1393" s="18"/>
      <c r="J1393" s="22"/>
      <c r="K1393" s="108"/>
      <c r="L1393" s="26"/>
    </row>
    <row r="1394">
      <c r="A1394" s="12"/>
      <c r="B1394" s="13"/>
      <c r="C1394" s="14"/>
      <c r="D1394" s="14"/>
      <c r="E1394" s="294"/>
      <c r="F1394" s="15"/>
      <c r="G1394" s="18"/>
      <c r="H1394" s="131"/>
      <c r="I1394" s="18"/>
      <c r="J1394" s="22"/>
      <c r="K1394" s="108"/>
      <c r="L1394" s="26"/>
    </row>
    <row r="1395">
      <c r="A1395" s="12"/>
      <c r="B1395" s="13"/>
      <c r="C1395" s="14"/>
      <c r="D1395" s="14"/>
      <c r="E1395" s="294"/>
      <c r="F1395" s="15"/>
      <c r="G1395" s="18"/>
      <c r="H1395" s="131"/>
      <c r="I1395" s="18"/>
      <c r="J1395" s="22"/>
      <c r="K1395" s="108"/>
      <c r="L1395" s="26"/>
    </row>
    <row r="1396">
      <c r="A1396" s="12"/>
      <c r="B1396" s="13"/>
      <c r="C1396" s="14"/>
      <c r="D1396" s="14"/>
      <c r="E1396" s="294"/>
      <c r="F1396" s="15"/>
      <c r="G1396" s="18"/>
      <c r="H1396" s="131"/>
      <c r="I1396" s="18"/>
      <c r="J1396" s="22"/>
      <c r="K1396" s="108"/>
      <c r="L1396" s="26"/>
    </row>
    <row r="1397">
      <c r="A1397" s="12"/>
      <c r="B1397" s="13"/>
      <c r="C1397" s="14"/>
      <c r="D1397" s="14"/>
      <c r="E1397" s="294"/>
      <c r="F1397" s="15"/>
      <c r="G1397" s="18"/>
      <c r="H1397" s="131"/>
      <c r="I1397" s="18"/>
      <c r="J1397" s="22"/>
      <c r="K1397" s="108"/>
      <c r="L1397" s="26"/>
    </row>
    <row r="1398">
      <c r="A1398" s="12"/>
      <c r="B1398" s="13"/>
      <c r="C1398" s="14"/>
      <c r="D1398" s="14"/>
      <c r="E1398" s="294"/>
      <c r="F1398" s="15"/>
      <c r="G1398" s="18"/>
      <c r="H1398" s="131"/>
      <c r="I1398" s="18"/>
      <c r="J1398" s="22"/>
      <c r="K1398" s="108"/>
      <c r="L1398" s="26"/>
    </row>
    <row r="1399">
      <c r="A1399" s="12"/>
      <c r="B1399" s="13"/>
      <c r="C1399" s="14"/>
      <c r="D1399" s="14"/>
      <c r="E1399" s="294"/>
      <c r="F1399" s="15"/>
      <c r="G1399" s="18"/>
      <c r="H1399" s="131"/>
      <c r="I1399" s="18"/>
      <c r="J1399" s="22"/>
      <c r="K1399" s="108"/>
      <c r="L1399" s="26"/>
    </row>
    <row r="1400">
      <c r="A1400" s="12"/>
      <c r="B1400" s="13"/>
      <c r="C1400" s="14"/>
      <c r="D1400" s="14"/>
      <c r="E1400" s="294"/>
      <c r="F1400" s="15"/>
      <c r="G1400" s="18"/>
      <c r="H1400" s="131"/>
      <c r="I1400" s="18"/>
      <c r="J1400" s="22"/>
      <c r="K1400" s="108"/>
      <c r="L1400" s="26"/>
    </row>
    <row r="1401">
      <c r="A1401" s="12"/>
      <c r="B1401" s="13"/>
      <c r="C1401" s="14"/>
      <c r="D1401" s="14"/>
      <c r="E1401" s="294"/>
      <c r="F1401" s="15"/>
      <c r="G1401" s="18"/>
      <c r="H1401" s="131"/>
      <c r="I1401" s="18"/>
      <c r="J1401" s="22"/>
      <c r="K1401" s="108"/>
      <c r="L1401" s="26"/>
    </row>
    <row r="1402">
      <c r="A1402" s="12"/>
      <c r="B1402" s="13"/>
      <c r="C1402" s="14"/>
      <c r="D1402" s="14"/>
      <c r="E1402" s="294"/>
      <c r="F1402" s="15"/>
      <c r="G1402" s="18"/>
      <c r="H1402" s="131"/>
      <c r="I1402" s="18"/>
      <c r="J1402" s="22"/>
      <c r="K1402" s="108"/>
      <c r="L1402" s="26"/>
    </row>
    <row r="1403">
      <c r="A1403" s="12"/>
      <c r="B1403" s="13"/>
      <c r="C1403" s="14"/>
      <c r="D1403" s="14"/>
      <c r="E1403" s="294"/>
      <c r="F1403" s="15"/>
      <c r="G1403" s="18"/>
      <c r="H1403" s="131"/>
      <c r="I1403" s="18"/>
      <c r="J1403" s="22"/>
      <c r="K1403" s="108"/>
      <c r="L1403" s="26"/>
    </row>
    <row r="1404">
      <c r="A1404" s="12"/>
      <c r="B1404" s="13"/>
      <c r="C1404" s="14"/>
      <c r="D1404" s="14"/>
      <c r="E1404" s="294"/>
      <c r="F1404" s="15"/>
      <c r="G1404" s="18"/>
      <c r="H1404" s="131"/>
      <c r="I1404" s="18"/>
      <c r="J1404" s="22"/>
      <c r="K1404" s="108"/>
      <c r="L1404" s="26"/>
    </row>
    <row r="1405">
      <c r="A1405" s="12"/>
      <c r="B1405" s="13"/>
      <c r="C1405" s="14"/>
      <c r="D1405" s="14"/>
      <c r="E1405" s="294"/>
      <c r="F1405" s="15"/>
      <c r="G1405" s="18"/>
      <c r="H1405" s="131"/>
      <c r="I1405" s="18"/>
      <c r="J1405" s="22"/>
      <c r="K1405" s="108"/>
      <c r="L1405" s="26"/>
    </row>
    <row r="1406">
      <c r="A1406" s="12"/>
      <c r="B1406" s="13"/>
      <c r="C1406" s="14"/>
      <c r="D1406" s="14"/>
      <c r="E1406" s="294"/>
      <c r="F1406" s="15"/>
      <c r="G1406" s="18"/>
      <c r="H1406" s="131"/>
      <c r="I1406" s="18"/>
      <c r="J1406" s="22"/>
      <c r="K1406" s="108"/>
      <c r="L1406" s="26"/>
    </row>
    <row r="1407">
      <c r="A1407" s="12"/>
      <c r="B1407" s="13"/>
      <c r="C1407" s="14"/>
      <c r="D1407" s="14"/>
      <c r="E1407" s="294"/>
      <c r="F1407" s="15"/>
      <c r="G1407" s="18"/>
      <c r="H1407" s="131"/>
      <c r="I1407" s="18"/>
      <c r="J1407" s="22"/>
      <c r="K1407" s="108"/>
      <c r="L1407" s="26"/>
    </row>
    <row r="1408">
      <c r="A1408" s="12"/>
      <c r="B1408" s="13"/>
      <c r="C1408" s="14"/>
      <c r="D1408" s="14"/>
      <c r="E1408" s="294"/>
      <c r="F1408" s="15"/>
      <c r="G1408" s="18"/>
      <c r="H1408" s="131"/>
      <c r="I1408" s="18"/>
      <c r="J1408" s="22"/>
      <c r="K1408" s="108"/>
      <c r="L1408" s="26"/>
    </row>
    <row r="1409">
      <c r="A1409" s="12"/>
      <c r="B1409" s="13"/>
      <c r="C1409" s="14"/>
      <c r="D1409" s="14"/>
      <c r="E1409" s="294"/>
      <c r="F1409" s="15"/>
      <c r="G1409" s="18"/>
      <c r="H1409" s="131"/>
      <c r="I1409" s="18"/>
      <c r="J1409" s="22"/>
      <c r="K1409" s="108"/>
      <c r="L1409" s="26"/>
    </row>
    <row r="1410">
      <c r="A1410" s="12"/>
      <c r="B1410" s="13"/>
      <c r="C1410" s="14"/>
      <c r="D1410" s="14"/>
      <c r="E1410" s="294"/>
      <c r="F1410" s="15"/>
      <c r="G1410" s="18"/>
      <c r="H1410" s="131"/>
      <c r="I1410" s="18"/>
      <c r="J1410" s="22"/>
      <c r="K1410" s="108"/>
      <c r="L1410" s="26"/>
    </row>
    <row r="1411">
      <c r="A1411" s="12"/>
      <c r="B1411" s="13"/>
      <c r="C1411" s="14"/>
      <c r="D1411" s="14"/>
      <c r="E1411" s="294"/>
      <c r="F1411" s="15"/>
      <c r="G1411" s="18"/>
      <c r="H1411" s="131"/>
      <c r="I1411" s="18"/>
      <c r="J1411" s="22"/>
      <c r="K1411" s="108"/>
      <c r="L1411" s="26"/>
    </row>
    <row r="1412">
      <c r="A1412" s="12"/>
      <c r="B1412" s="13"/>
      <c r="C1412" s="14"/>
      <c r="D1412" s="14"/>
      <c r="E1412" s="294"/>
      <c r="F1412" s="15"/>
      <c r="G1412" s="18"/>
      <c r="H1412" s="131"/>
      <c r="I1412" s="18"/>
      <c r="J1412" s="22"/>
      <c r="K1412" s="108"/>
      <c r="L1412" s="26"/>
    </row>
    <row r="1413">
      <c r="A1413" s="12"/>
      <c r="B1413" s="13"/>
      <c r="C1413" s="14"/>
      <c r="D1413" s="14"/>
      <c r="E1413" s="294"/>
      <c r="F1413" s="15"/>
      <c r="G1413" s="18"/>
      <c r="H1413" s="131"/>
      <c r="I1413" s="18"/>
      <c r="J1413" s="22"/>
      <c r="K1413" s="108"/>
      <c r="L1413" s="26"/>
    </row>
    <row r="1414">
      <c r="A1414" s="12"/>
      <c r="B1414" s="13"/>
      <c r="C1414" s="14"/>
      <c r="D1414" s="14"/>
      <c r="E1414" s="294"/>
      <c r="F1414" s="15"/>
      <c r="G1414" s="18"/>
      <c r="H1414" s="131"/>
      <c r="I1414" s="18"/>
      <c r="J1414" s="22"/>
      <c r="K1414" s="108"/>
      <c r="L1414" s="26"/>
    </row>
    <row r="1415">
      <c r="A1415" s="12"/>
      <c r="B1415" s="13"/>
      <c r="C1415" s="14"/>
      <c r="D1415" s="14"/>
      <c r="E1415" s="294"/>
      <c r="F1415" s="15"/>
      <c r="G1415" s="18"/>
      <c r="H1415" s="131"/>
      <c r="I1415" s="18"/>
      <c r="J1415" s="22"/>
      <c r="K1415" s="108"/>
      <c r="L1415" s="26"/>
    </row>
    <row r="1416">
      <c r="A1416" s="12"/>
      <c r="B1416" s="13"/>
      <c r="C1416" s="14"/>
      <c r="D1416" s="14"/>
      <c r="E1416" s="294"/>
      <c r="F1416" s="15"/>
      <c r="G1416" s="18"/>
      <c r="H1416" s="131"/>
      <c r="I1416" s="18"/>
      <c r="J1416" s="22"/>
      <c r="K1416" s="108"/>
      <c r="L1416" s="26"/>
    </row>
    <row r="1417">
      <c r="A1417" s="12"/>
      <c r="B1417" s="13"/>
      <c r="C1417" s="14"/>
      <c r="D1417" s="14"/>
      <c r="E1417" s="294"/>
      <c r="F1417" s="15"/>
      <c r="G1417" s="18"/>
      <c r="H1417" s="131"/>
      <c r="I1417" s="18"/>
      <c r="J1417" s="22"/>
      <c r="K1417" s="108"/>
      <c r="L1417" s="26"/>
    </row>
    <row r="1418">
      <c r="A1418" s="12"/>
      <c r="B1418" s="13"/>
      <c r="C1418" s="14"/>
      <c r="D1418" s="14"/>
      <c r="E1418" s="294"/>
      <c r="F1418" s="15"/>
      <c r="G1418" s="18"/>
      <c r="H1418" s="131"/>
      <c r="I1418" s="18"/>
      <c r="J1418" s="22"/>
      <c r="K1418" s="108"/>
      <c r="L1418" s="26"/>
    </row>
    <row r="1419">
      <c r="A1419" s="12"/>
      <c r="B1419" s="13"/>
      <c r="C1419" s="14"/>
      <c r="D1419" s="14"/>
      <c r="E1419" s="294"/>
      <c r="F1419" s="15"/>
      <c r="G1419" s="18"/>
      <c r="H1419" s="131"/>
      <c r="I1419" s="18"/>
      <c r="J1419" s="22"/>
      <c r="K1419" s="108"/>
      <c r="L1419" s="26"/>
    </row>
    <row r="1420">
      <c r="A1420" s="12"/>
      <c r="B1420" s="13"/>
      <c r="C1420" s="14"/>
      <c r="D1420" s="14"/>
      <c r="E1420" s="294"/>
      <c r="F1420" s="15"/>
      <c r="G1420" s="18"/>
      <c r="H1420" s="131"/>
      <c r="I1420" s="18"/>
      <c r="J1420" s="22"/>
      <c r="K1420" s="108"/>
      <c r="L1420" s="26"/>
    </row>
    <row r="1421">
      <c r="A1421" s="12"/>
      <c r="B1421" s="13"/>
      <c r="C1421" s="14"/>
      <c r="D1421" s="14"/>
      <c r="E1421" s="294"/>
      <c r="F1421" s="15"/>
      <c r="G1421" s="18"/>
      <c r="H1421" s="131"/>
      <c r="I1421" s="18"/>
      <c r="J1421" s="22"/>
      <c r="K1421" s="108"/>
      <c r="L1421" s="26"/>
    </row>
    <row r="1422">
      <c r="A1422" s="12"/>
      <c r="B1422" s="13"/>
      <c r="C1422" s="14"/>
      <c r="D1422" s="14"/>
      <c r="E1422" s="294"/>
      <c r="F1422" s="15"/>
      <c r="G1422" s="18"/>
      <c r="H1422" s="131"/>
      <c r="I1422" s="18"/>
      <c r="J1422" s="22"/>
      <c r="K1422" s="108"/>
      <c r="L1422" s="26"/>
    </row>
    <row r="1423">
      <c r="A1423" s="12"/>
      <c r="B1423" s="13"/>
      <c r="C1423" s="14"/>
      <c r="D1423" s="14"/>
      <c r="E1423" s="294"/>
      <c r="F1423" s="15"/>
      <c r="G1423" s="18"/>
      <c r="H1423" s="131"/>
      <c r="I1423" s="18"/>
      <c r="J1423" s="22"/>
      <c r="K1423" s="108"/>
      <c r="L1423" s="26"/>
    </row>
    <row r="1424">
      <c r="A1424" s="12"/>
      <c r="B1424" s="13"/>
      <c r="C1424" s="14"/>
      <c r="D1424" s="14"/>
      <c r="E1424" s="294"/>
      <c r="F1424" s="15"/>
      <c r="G1424" s="18"/>
      <c r="H1424" s="131"/>
      <c r="I1424" s="18"/>
      <c r="J1424" s="22"/>
      <c r="K1424" s="108"/>
      <c r="L1424" s="26"/>
    </row>
    <row r="1425">
      <c r="A1425" s="12"/>
      <c r="B1425" s="13"/>
      <c r="C1425" s="14"/>
      <c r="D1425" s="14"/>
      <c r="E1425" s="294"/>
      <c r="F1425" s="15"/>
      <c r="G1425" s="18"/>
      <c r="H1425" s="131"/>
      <c r="I1425" s="18"/>
      <c r="J1425" s="22"/>
      <c r="K1425" s="108"/>
      <c r="L1425" s="26"/>
    </row>
    <row r="1426">
      <c r="A1426" s="12"/>
      <c r="B1426" s="13"/>
      <c r="C1426" s="14"/>
      <c r="D1426" s="14"/>
      <c r="E1426" s="294"/>
      <c r="F1426" s="15"/>
      <c r="G1426" s="18"/>
      <c r="H1426" s="131"/>
      <c r="I1426" s="18"/>
      <c r="J1426" s="22"/>
      <c r="K1426" s="108"/>
      <c r="L1426" s="26"/>
    </row>
    <row r="1427">
      <c r="A1427" s="12"/>
      <c r="B1427" s="13"/>
      <c r="C1427" s="14"/>
      <c r="D1427" s="14"/>
      <c r="E1427" s="294"/>
      <c r="F1427" s="15"/>
      <c r="G1427" s="18"/>
      <c r="H1427" s="131"/>
      <c r="I1427" s="18"/>
      <c r="J1427" s="22"/>
      <c r="K1427" s="108"/>
      <c r="L1427" s="26"/>
    </row>
    <row r="1428">
      <c r="A1428" s="12"/>
      <c r="B1428" s="13"/>
      <c r="C1428" s="14"/>
      <c r="D1428" s="14"/>
      <c r="E1428" s="294"/>
      <c r="F1428" s="15"/>
      <c r="G1428" s="18"/>
      <c r="H1428" s="131"/>
      <c r="I1428" s="18"/>
      <c r="J1428" s="22"/>
      <c r="K1428" s="108"/>
      <c r="L1428" s="26"/>
    </row>
    <row r="1429">
      <c r="A1429" s="12"/>
      <c r="B1429" s="13"/>
      <c r="C1429" s="14"/>
      <c r="D1429" s="14"/>
      <c r="E1429" s="294"/>
      <c r="F1429" s="15"/>
      <c r="G1429" s="18"/>
      <c r="H1429" s="131"/>
      <c r="I1429" s="18"/>
      <c r="J1429" s="22"/>
      <c r="K1429" s="108"/>
      <c r="L1429" s="26"/>
    </row>
    <row r="1430">
      <c r="A1430" s="12"/>
      <c r="B1430" s="13"/>
      <c r="C1430" s="14"/>
      <c r="D1430" s="14"/>
      <c r="E1430" s="294"/>
      <c r="F1430" s="15"/>
      <c r="G1430" s="18"/>
      <c r="H1430" s="131"/>
      <c r="I1430" s="18"/>
      <c r="J1430" s="22"/>
      <c r="K1430" s="108"/>
      <c r="L1430" s="26"/>
    </row>
    <row r="1431">
      <c r="A1431" s="12"/>
      <c r="B1431" s="13"/>
      <c r="C1431" s="14"/>
      <c r="D1431" s="14"/>
      <c r="E1431" s="294"/>
      <c r="F1431" s="15"/>
      <c r="G1431" s="18"/>
      <c r="H1431" s="131"/>
      <c r="I1431" s="18"/>
      <c r="J1431" s="22"/>
      <c r="K1431" s="108"/>
      <c r="L1431" s="26"/>
    </row>
    <row r="1432">
      <c r="A1432" s="12"/>
      <c r="B1432" s="13"/>
      <c r="C1432" s="14"/>
      <c r="D1432" s="14"/>
      <c r="E1432" s="294"/>
      <c r="F1432" s="15"/>
      <c r="G1432" s="18"/>
      <c r="H1432" s="131"/>
      <c r="I1432" s="18"/>
      <c r="J1432" s="22"/>
      <c r="K1432" s="108"/>
      <c r="L1432" s="26"/>
    </row>
    <row r="1433">
      <c r="A1433" s="12"/>
      <c r="B1433" s="13"/>
      <c r="C1433" s="14"/>
      <c r="D1433" s="14"/>
      <c r="E1433" s="294"/>
      <c r="F1433" s="15"/>
      <c r="G1433" s="18"/>
      <c r="H1433" s="131"/>
      <c r="I1433" s="18"/>
      <c r="J1433" s="22"/>
      <c r="K1433" s="108"/>
      <c r="L1433" s="26"/>
    </row>
    <row r="1434">
      <c r="A1434" s="12"/>
      <c r="B1434" s="13"/>
      <c r="C1434" s="14"/>
      <c r="D1434" s="14"/>
      <c r="E1434" s="294"/>
      <c r="F1434" s="15"/>
      <c r="G1434" s="18"/>
      <c r="H1434" s="131"/>
      <c r="I1434" s="18"/>
      <c r="J1434" s="22"/>
      <c r="K1434" s="108"/>
      <c r="L1434" s="26"/>
    </row>
    <row r="1435">
      <c r="A1435" s="12"/>
      <c r="B1435" s="13"/>
      <c r="C1435" s="14"/>
      <c r="D1435" s="14"/>
      <c r="E1435" s="294"/>
      <c r="F1435" s="15"/>
      <c r="G1435" s="18"/>
      <c r="H1435" s="131"/>
      <c r="I1435" s="18"/>
      <c r="J1435" s="22"/>
      <c r="K1435" s="108"/>
      <c r="L1435" s="26"/>
    </row>
    <row r="1436">
      <c r="A1436" s="12"/>
      <c r="B1436" s="13"/>
      <c r="C1436" s="14"/>
      <c r="D1436" s="14"/>
      <c r="E1436" s="294"/>
      <c r="F1436" s="15"/>
      <c r="G1436" s="18"/>
      <c r="H1436" s="131"/>
      <c r="I1436" s="18"/>
      <c r="J1436" s="22"/>
      <c r="K1436" s="108"/>
      <c r="L1436" s="26"/>
    </row>
    <row r="1437">
      <c r="A1437" s="12"/>
      <c r="B1437" s="13"/>
      <c r="C1437" s="14"/>
      <c r="D1437" s="14"/>
      <c r="E1437" s="294"/>
      <c r="F1437" s="15"/>
      <c r="G1437" s="18"/>
      <c r="H1437" s="131"/>
      <c r="I1437" s="18"/>
      <c r="J1437" s="22"/>
      <c r="K1437" s="108"/>
      <c r="L1437" s="26"/>
    </row>
    <row r="1438">
      <c r="A1438" s="12"/>
      <c r="B1438" s="13"/>
      <c r="C1438" s="14"/>
      <c r="D1438" s="14"/>
      <c r="E1438" s="294"/>
      <c r="F1438" s="15"/>
      <c r="G1438" s="18"/>
      <c r="H1438" s="131"/>
      <c r="I1438" s="18"/>
      <c r="J1438" s="22"/>
      <c r="K1438" s="108"/>
      <c r="L1438" s="26"/>
    </row>
    <row r="1439">
      <c r="A1439" s="12"/>
      <c r="B1439" s="13"/>
      <c r="C1439" s="14"/>
      <c r="D1439" s="14"/>
      <c r="E1439" s="294"/>
      <c r="F1439" s="15"/>
      <c r="G1439" s="18"/>
      <c r="H1439" s="131"/>
      <c r="I1439" s="18"/>
      <c r="J1439" s="22"/>
      <c r="K1439" s="108"/>
      <c r="L1439" s="26"/>
    </row>
    <row r="1440">
      <c r="A1440" s="12"/>
      <c r="B1440" s="13"/>
      <c r="C1440" s="14"/>
      <c r="D1440" s="14"/>
      <c r="E1440" s="294"/>
      <c r="F1440" s="15"/>
      <c r="G1440" s="18"/>
      <c r="H1440" s="131"/>
      <c r="I1440" s="18"/>
      <c r="J1440" s="22"/>
      <c r="K1440" s="108"/>
      <c r="L1440" s="26"/>
    </row>
    <row r="1441">
      <c r="A1441" s="12"/>
      <c r="B1441" s="13"/>
      <c r="C1441" s="14"/>
      <c r="D1441" s="14"/>
      <c r="E1441" s="294"/>
      <c r="F1441" s="15"/>
      <c r="G1441" s="18"/>
      <c r="H1441" s="131"/>
      <c r="I1441" s="18"/>
      <c r="J1441" s="22"/>
      <c r="K1441" s="108"/>
      <c r="L1441" s="26"/>
    </row>
    <row r="1442">
      <c r="A1442" s="12"/>
      <c r="B1442" s="13"/>
      <c r="C1442" s="14"/>
      <c r="D1442" s="14"/>
      <c r="E1442" s="294"/>
      <c r="F1442" s="15"/>
      <c r="G1442" s="18"/>
      <c r="H1442" s="131"/>
      <c r="I1442" s="18"/>
      <c r="J1442" s="22"/>
      <c r="K1442" s="108"/>
      <c r="L1442" s="26"/>
    </row>
    <row r="1443">
      <c r="A1443" s="12"/>
      <c r="B1443" s="13"/>
      <c r="C1443" s="14"/>
      <c r="D1443" s="14"/>
      <c r="E1443" s="294"/>
      <c r="F1443" s="15"/>
      <c r="G1443" s="18"/>
      <c r="H1443" s="131"/>
      <c r="I1443" s="18"/>
      <c r="J1443" s="22"/>
      <c r="K1443" s="108"/>
      <c r="L1443" s="26"/>
    </row>
    <row r="1444">
      <c r="A1444" s="12"/>
      <c r="B1444" s="13"/>
      <c r="C1444" s="14"/>
      <c r="D1444" s="14"/>
      <c r="E1444" s="294"/>
      <c r="F1444" s="15"/>
      <c r="G1444" s="18"/>
      <c r="H1444" s="131"/>
      <c r="I1444" s="18"/>
      <c r="J1444" s="22"/>
      <c r="K1444" s="108"/>
      <c r="L1444" s="26"/>
    </row>
    <row r="1445">
      <c r="A1445" s="12"/>
      <c r="B1445" s="13"/>
      <c r="C1445" s="14"/>
      <c r="D1445" s="14"/>
      <c r="E1445" s="294"/>
      <c r="F1445" s="15"/>
      <c r="G1445" s="18"/>
      <c r="H1445" s="131"/>
      <c r="I1445" s="18"/>
      <c r="J1445" s="22"/>
      <c r="K1445" s="108"/>
      <c r="L1445" s="26"/>
    </row>
    <row r="1446">
      <c r="A1446" s="12"/>
      <c r="B1446" s="13"/>
      <c r="C1446" s="14"/>
      <c r="D1446" s="14"/>
      <c r="E1446" s="294"/>
      <c r="F1446" s="15"/>
      <c r="G1446" s="18"/>
      <c r="H1446" s="131"/>
      <c r="I1446" s="18"/>
      <c r="J1446" s="22"/>
      <c r="K1446" s="108"/>
      <c r="L1446" s="26"/>
    </row>
    <row r="1447">
      <c r="A1447" s="12"/>
      <c r="B1447" s="13"/>
      <c r="C1447" s="14"/>
      <c r="D1447" s="14"/>
      <c r="E1447" s="294"/>
      <c r="F1447" s="15"/>
      <c r="G1447" s="18"/>
      <c r="H1447" s="131"/>
      <c r="I1447" s="18"/>
      <c r="J1447" s="22"/>
      <c r="K1447" s="108"/>
      <c r="L1447" s="26"/>
    </row>
    <row r="1448">
      <c r="A1448" s="12"/>
      <c r="B1448" s="13"/>
      <c r="C1448" s="14"/>
      <c r="D1448" s="14"/>
      <c r="E1448" s="294"/>
      <c r="F1448" s="15"/>
      <c r="G1448" s="18"/>
      <c r="H1448" s="131"/>
      <c r="I1448" s="18"/>
      <c r="J1448" s="22"/>
      <c r="K1448" s="108"/>
      <c r="L1448" s="26"/>
    </row>
    <row r="1449">
      <c r="A1449" s="12"/>
      <c r="B1449" s="13"/>
      <c r="C1449" s="14"/>
      <c r="D1449" s="14"/>
      <c r="E1449" s="294"/>
      <c r="F1449" s="15"/>
      <c r="G1449" s="18"/>
      <c r="H1449" s="131"/>
      <c r="I1449" s="18"/>
      <c r="J1449" s="22"/>
      <c r="K1449" s="108"/>
      <c r="L1449" s="26"/>
    </row>
    <row r="1450">
      <c r="A1450" s="12"/>
      <c r="B1450" s="13"/>
      <c r="C1450" s="14"/>
      <c r="D1450" s="14"/>
      <c r="E1450" s="294"/>
      <c r="F1450" s="15"/>
      <c r="G1450" s="18"/>
      <c r="H1450" s="131"/>
      <c r="I1450" s="18"/>
      <c r="J1450" s="22"/>
      <c r="K1450" s="108"/>
      <c r="L1450" s="26"/>
    </row>
    <row r="1451">
      <c r="A1451" s="12"/>
      <c r="B1451" s="13"/>
      <c r="C1451" s="14"/>
      <c r="D1451" s="14"/>
      <c r="E1451" s="294"/>
      <c r="F1451" s="15"/>
      <c r="G1451" s="18"/>
      <c r="H1451" s="131"/>
      <c r="I1451" s="18"/>
      <c r="J1451" s="22"/>
      <c r="K1451" s="108"/>
      <c r="L1451" s="26"/>
    </row>
    <row r="1452">
      <c r="A1452" s="12"/>
      <c r="B1452" s="13"/>
      <c r="C1452" s="14"/>
      <c r="D1452" s="14"/>
      <c r="E1452" s="294"/>
      <c r="F1452" s="15"/>
      <c r="G1452" s="18"/>
      <c r="H1452" s="131"/>
      <c r="I1452" s="18"/>
      <c r="J1452" s="22"/>
      <c r="K1452" s="108"/>
      <c r="L1452" s="26"/>
    </row>
    <row r="1453">
      <c r="A1453" s="12"/>
      <c r="B1453" s="13"/>
      <c r="C1453" s="14"/>
      <c r="D1453" s="14"/>
      <c r="E1453" s="294"/>
      <c r="F1453" s="15"/>
      <c r="G1453" s="18"/>
      <c r="H1453" s="131"/>
      <c r="I1453" s="18"/>
      <c r="J1453" s="22"/>
      <c r="K1453" s="108"/>
      <c r="L1453" s="26"/>
    </row>
    <row r="1454">
      <c r="A1454" s="12"/>
      <c r="B1454" s="13"/>
      <c r="C1454" s="14"/>
      <c r="D1454" s="14"/>
      <c r="E1454" s="294"/>
      <c r="F1454" s="15"/>
      <c r="G1454" s="18"/>
      <c r="H1454" s="131"/>
      <c r="I1454" s="18"/>
      <c r="J1454" s="22"/>
      <c r="K1454" s="108"/>
      <c r="L1454" s="26"/>
    </row>
    <row r="1455">
      <c r="A1455" s="12"/>
      <c r="B1455" s="13"/>
      <c r="C1455" s="14"/>
      <c r="D1455" s="14"/>
      <c r="E1455" s="294"/>
      <c r="F1455" s="15"/>
      <c r="G1455" s="18"/>
      <c r="H1455" s="131"/>
      <c r="I1455" s="18"/>
      <c r="J1455" s="22"/>
      <c r="K1455" s="108"/>
      <c r="L1455" s="26"/>
    </row>
    <row r="1456">
      <c r="A1456" s="12"/>
      <c r="B1456" s="13"/>
      <c r="C1456" s="14"/>
      <c r="D1456" s="14"/>
      <c r="E1456" s="294"/>
      <c r="F1456" s="15"/>
      <c r="G1456" s="18"/>
      <c r="H1456" s="131"/>
      <c r="I1456" s="18"/>
      <c r="J1456" s="22"/>
      <c r="K1456" s="108"/>
      <c r="L1456" s="26"/>
    </row>
    <row r="1457">
      <c r="A1457" s="12"/>
      <c r="B1457" s="13"/>
      <c r="C1457" s="14"/>
      <c r="D1457" s="14"/>
      <c r="E1457" s="294"/>
      <c r="F1457" s="15"/>
      <c r="G1457" s="18"/>
      <c r="H1457" s="131"/>
      <c r="I1457" s="18"/>
      <c r="J1457" s="22"/>
      <c r="K1457" s="108"/>
      <c r="L1457" s="26"/>
    </row>
    <row r="1458">
      <c r="A1458" s="12"/>
      <c r="B1458" s="13"/>
      <c r="C1458" s="14"/>
      <c r="D1458" s="14"/>
      <c r="E1458" s="294"/>
      <c r="F1458" s="15"/>
      <c r="G1458" s="18"/>
      <c r="H1458" s="131"/>
      <c r="I1458" s="18"/>
      <c r="J1458" s="22"/>
      <c r="K1458" s="108"/>
      <c r="L1458" s="26"/>
    </row>
    <row r="1459">
      <c r="A1459" s="12"/>
      <c r="B1459" s="13"/>
      <c r="C1459" s="14"/>
      <c r="D1459" s="14"/>
      <c r="E1459" s="294"/>
      <c r="F1459" s="15"/>
      <c r="G1459" s="18"/>
      <c r="H1459" s="131"/>
      <c r="I1459" s="18"/>
      <c r="J1459" s="22"/>
      <c r="K1459" s="108"/>
      <c r="L1459" s="26"/>
    </row>
    <row r="1460">
      <c r="A1460" s="12"/>
      <c r="B1460" s="13"/>
      <c r="C1460" s="14"/>
      <c r="D1460" s="14"/>
      <c r="E1460" s="294"/>
      <c r="F1460" s="15"/>
      <c r="G1460" s="18"/>
      <c r="H1460" s="131"/>
      <c r="I1460" s="18"/>
      <c r="J1460" s="22"/>
      <c r="K1460" s="108"/>
      <c r="L1460" s="26"/>
    </row>
    <row r="1461">
      <c r="A1461" s="12"/>
      <c r="B1461" s="13"/>
      <c r="C1461" s="14"/>
      <c r="D1461" s="14"/>
      <c r="E1461" s="294"/>
      <c r="F1461" s="15"/>
      <c r="G1461" s="18"/>
      <c r="H1461" s="131"/>
      <c r="I1461" s="18"/>
      <c r="J1461" s="22"/>
      <c r="K1461" s="108"/>
      <c r="L1461" s="26"/>
    </row>
    <row r="1462">
      <c r="A1462" s="12"/>
      <c r="B1462" s="13"/>
      <c r="C1462" s="14"/>
      <c r="D1462" s="14"/>
      <c r="E1462" s="294"/>
      <c r="F1462" s="15"/>
      <c r="G1462" s="18"/>
      <c r="H1462" s="131"/>
      <c r="I1462" s="18"/>
      <c r="J1462" s="22"/>
      <c r="K1462" s="108"/>
      <c r="L1462" s="26"/>
    </row>
    <row r="1463">
      <c r="A1463" s="12"/>
      <c r="B1463" s="13"/>
      <c r="C1463" s="14"/>
      <c r="D1463" s="14"/>
      <c r="E1463" s="294"/>
      <c r="F1463" s="15"/>
      <c r="G1463" s="18"/>
      <c r="H1463" s="131"/>
      <c r="I1463" s="18"/>
      <c r="J1463" s="22"/>
      <c r="K1463" s="108"/>
      <c r="L1463" s="26"/>
    </row>
    <row r="1464">
      <c r="A1464" s="12"/>
      <c r="B1464" s="13"/>
      <c r="C1464" s="14"/>
      <c r="D1464" s="14"/>
      <c r="E1464" s="294"/>
      <c r="F1464" s="15"/>
      <c r="G1464" s="18"/>
      <c r="H1464" s="131"/>
      <c r="I1464" s="18"/>
      <c r="J1464" s="22"/>
      <c r="K1464" s="108"/>
      <c r="L1464" s="26"/>
    </row>
    <row r="1465">
      <c r="A1465" s="12"/>
      <c r="B1465" s="13"/>
      <c r="C1465" s="14"/>
      <c r="D1465" s="14"/>
      <c r="E1465" s="294"/>
      <c r="F1465" s="15"/>
      <c r="G1465" s="18"/>
      <c r="H1465" s="131"/>
      <c r="I1465" s="18"/>
      <c r="J1465" s="22"/>
      <c r="K1465" s="108"/>
      <c r="L1465" s="26"/>
    </row>
    <row r="1466">
      <c r="A1466" s="12"/>
      <c r="B1466" s="13"/>
      <c r="C1466" s="14"/>
      <c r="D1466" s="14"/>
      <c r="E1466" s="294"/>
      <c r="F1466" s="15"/>
      <c r="G1466" s="18"/>
      <c r="H1466" s="131"/>
      <c r="I1466" s="18"/>
      <c r="J1466" s="22"/>
      <c r="K1466" s="108"/>
      <c r="L1466" s="26"/>
    </row>
    <row r="1467">
      <c r="A1467" s="12"/>
      <c r="B1467" s="13"/>
      <c r="C1467" s="14"/>
      <c r="D1467" s="14"/>
      <c r="E1467" s="294"/>
      <c r="F1467" s="15"/>
      <c r="G1467" s="18"/>
      <c r="H1467" s="131"/>
      <c r="I1467" s="18"/>
      <c r="J1467" s="22"/>
      <c r="K1467" s="108"/>
      <c r="L1467" s="26"/>
    </row>
    <row r="1468">
      <c r="A1468" s="12"/>
      <c r="B1468" s="13"/>
      <c r="C1468" s="14"/>
      <c r="D1468" s="14"/>
      <c r="E1468" s="294"/>
      <c r="F1468" s="15"/>
      <c r="G1468" s="18"/>
      <c r="H1468" s="131"/>
      <c r="I1468" s="18"/>
      <c r="J1468" s="22"/>
      <c r="K1468" s="108"/>
      <c r="L1468" s="26"/>
    </row>
    <row r="1469">
      <c r="A1469" s="12"/>
      <c r="B1469" s="13"/>
      <c r="C1469" s="14"/>
      <c r="D1469" s="14"/>
      <c r="E1469" s="294"/>
      <c r="F1469" s="15"/>
      <c r="G1469" s="18"/>
      <c r="H1469" s="131"/>
      <c r="I1469" s="18"/>
      <c r="J1469" s="22"/>
      <c r="K1469" s="108"/>
      <c r="L1469" s="26"/>
    </row>
    <row r="1470">
      <c r="A1470" s="12"/>
      <c r="B1470" s="13"/>
      <c r="C1470" s="14"/>
      <c r="D1470" s="14"/>
      <c r="E1470" s="294"/>
      <c r="F1470" s="15"/>
      <c r="G1470" s="18"/>
      <c r="H1470" s="131"/>
      <c r="I1470" s="18"/>
      <c r="J1470" s="22"/>
      <c r="K1470" s="108"/>
      <c r="L1470" s="26"/>
    </row>
    <row r="1471">
      <c r="A1471" s="12"/>
      <c r="B1471" s="13"/>
      <c r="C1471" s="14"/>
      <c r="D1471" s="14"/>
      <c r="E1471" s="294"/>
      <c r="F1471" s="15"/>
      <c r="G1471" s="18"/>
      <c r="H1471" s="131"/>
      <c r="I1471" s="18"/>
      <c r="J1471" s="22"/>
      <c r="K1471" s="108"/>
      <c r="L1471" s="26"/>
    </row>
    <row r="1472">
      <c r="A1472" s="12"/>
      <c r="B1472" s="13"/>
      <c r="C1472" s="14"/>
      <c r="D1472" s="14"/>
      <c r="E1472" s="294"/>
      <c r="F1472" s="15"/>
      <c r="G1472" s="18"/>
      <c r="H1472" s="131"/>
      <c r="I1472" s="18"/>
      <c r="J1472" s="22"/>
      <c r="K1472" s="108"/>
      <c r="L1472" s="26"/>
    </row>
    <row r="1473">
      <c r="A1473" s="12"/>
      <c r="B1473" s="13"/>
      <c r="C1473" s="14"/>
      <c r="D1473" s="14"/>
      <c r="E1473" s="294"/>
      <c r="F1473" s="15"/>
      <c r="G1473" s="18"/>
      <c r="H1473" s="131"/>
      <c r="I1473" s="18"/>
      <c r="J1473" s="22"/>
      <c r="K1473" s="108"/>
      <c r="L1473" s="26"/>
    </row>
    <row r="1474">
      <c r="A1474" s="12"/>
      <c r="B1474" s="13"/>
      <c r="C1474" s="14"/>
      <c r="D1474" s="14"/>
      <c r="E1474" s="294"/>
      <c r="F1474" s="15"/>
      <c r="G1474" s="18"/>
      <c r="H1474" s="131"/>
      <c r="I1474" s="18"/>
      <c r="J1474" s="22"/>
      <c r="K1474" s="108"/>
      <c r="L1474" s="26"/>
    </row>
    <row r="1475">
      <c r="A1475" s="12"/>
      <c r="B1475" s="13"/>
      <c r="C1475" s="14"/>
      <c r="D1475" s="14"/>
      <c r="E1475" s="294"/>
      <c r="F1475" s="15"/>
      <c r="G1475" s="18"/>
      <c r="H1475" s="131"/>
      <c r="I1475" s="18"/>
      <c r="J1475" s="22"/>
      <c r="K1475" s="108"/>
      <c r="L1475" s="26"/>
    </row>
    <row r="1476">
      <c r="A1476" s="12"/>
      <c r="B1476" s="13"/>
      <c r="C1476" s="14"/>
      <c r="D1476" s="14"/>
      <c r="E1476" s="294"/>
      <c r="F1476" s="15"/>
      <c r="G1476" s="18"/>
      <c r="H1476" s="131"/>
      <c r="I1476" s="18"/>
      <c r="J1476" s="22"/>
      <c r="K1476" s="108"/>
      <c r="L1476" s="26"/>
    </row>
    <row r="1477">
      <c r="A1477" s="12"/>
      <c r="B1477" s="13"/>
      <c r="C1477" s="14"/>
      <c r="D1477" s="14"/>
      <c r="E1477" s="294"/>
      <c r="F1477" s="15"/>
      <c r="G1477" s="18"/>
      <c r="H1477" s="131"/>
      <c r="I1477" s="18"/>
      <c r="J1477" s="22"/>
      <c r="K1477" s="108"/>
      <c r="L1477" s="26"/>
    </row>
    <row r="1478">
      <c r="A1478" s="12"/>
      <c r="B1478" s="13"/>
      <c r="C1478" s="14"/>
      <c r="D1478" s="14"/>
      <c r="E1478" s="294"/>
      <c r="F1478" s="15"/>
      <c r="G1478" s="18"/>
      <c r="H1478" s="131"/>
      <c r="I1478" s="18"/>
      <c r="J1478" s="22"/>
      <c r="K1478" s="108"/>
      <c r="L1478" s="26"/>
    </row>
    <row r="1479">
      <c r="A1479" s="12"/>
      <c r="B1479" s="13"/>
      <c r="C1479" s="14"/>
      <c r="D1479" s="14"/>
      <c r="E1479" s="294"/>
      <c r="F1479" s="15"/>
      <c r="G1479" s="18"/>
      <c r="H1479" s="131"/>
      <c r="I1479" s="18"/>
      <c r="J1479" s="22"/>
      <c r="K1479" s="108"/>
      <c r="L1479" s="26"/>
    </row>
    <row r="1480">
      <c r="A1480" s="12"/>
      <c r="B1480" s="13"/>
      <c r="C1480" s="14"/>
      <c r="D1480" s="14"/>
      <c r="E1480" s="294"/>
      <c r="F1480" s="15"/>
      <c r="G1480" s="18"/>
      <c r="H1480" s="131"/>
      <c r="I1480" s="18"/>
      <c r="J1480" s="22"/>
      <c r="K1480" s="108"/>
      <c r="L1480" s="26"/>
    </row>
    <row r="1481">
      <c r="A1481" s="12"/>
      <c r="B1481" s="13"/>
      <c r="C1481" s="14"/>
      <c r="D1481" s="14"/>
      <c r="E1481" s="294"/>
      <c r="F1481" s="15"/>
      <c r="G1481" s="18"/>
      <c r="H1481" s="131"/>
      <c r="I1481" s="18"/>
      <c r="J1481" s="22"/>
      <c r="K1481" s="108"/>
      <c r="L1481" s="26"/>
    </row>
    <row r="1482">
      <c r="A1482" s="12"/>
      <c r="B1482" s="13"/>
      <c r="C1482" s="14"/>
      <c r="D1482" s="14"/>
      <c r="E1482" s="294"/>
      <c r="F1482" s="15"/>
      <c r="G1482" s="18"/>
      <c r="H1482" s="131"/>
      <c r="I1482" s="18"/>
      <c r="J1482" s="22"/>
      <c r="K1482" s="108"/>
      <c r="L1482" s="26"/>
    </row>
    <row r="1483">
      <c r="A1483" s="12"/>
      <c r="B1483" s="13"/>
      <c r="C1483" s="14"/>
      <c r="D1483" s="14"/>
      <c r="E1483" s="294"/>
      <c r="F1483" s="15"/>
      <c r="G1483" s="18"/>
      <c r="H1483" s="131"/>
      <c r="I1483" s="18"/>
      <c r="J1483" s="22"/>
      <c r="K1483" s="108"/>
      <c r="L1483" s="26"/>
    </row>
    <row r="1484">
      <c r="A1484" s="12"/>
      <c r="B1484" s="13"/>
      <c r="C1484" s="14"/>
      <c r="D1484" s="14"/>
      <c r="E1484" s="294"/>
      <c r="F1484" s="15"/>
      <c r="G1484" s="18"/>
      <c r="H1484" s="131"/>
      <c r="I1484" s="18"/>
      <c r="J1484" s="22"/>
      <c r="K1484" s="108"/>
      <c r="L1484" s="26"/>
    </row>
    <row r="1485">
      <c r="A1485" s="12"/>
      <c r="B1485" s="13"/>
      <c r="C1485" s="14"/>
      <c r="D1485" s="14"/>
      <c r="E1485" s="294"/>
      <c r="F1485" s="15"/>
      <c r="G1485" s="18"/>
      <c r="H1485" s="131"/>
      <c r="I1485" s="18"/>
      <c r="J1485" s="22"/>
      <c r="K1485" s="108"/>
      <c r="L1485" s="26"/>
    </row>
    <row r="1486">
      <c r="A1486" s="12"/>
      <c r="B1486" s="13"/>
      <c r="C1486" s="14"/>
      <c r="D1486" s="14"/>
      <c r="E1486" s="294"/>
      <c r="F1486" s="15"/>
      <c r="G1486" s="18"/>
      <c r="H1486" s="131"/>
      <c r="I1486" s="18"/>
      <c r="J1486" s="22"/>
      <c r="K1486" s="108"/>
      <c r="L1486" s="26"/>
    </row>
    <row r="1487">
      <c r="A1487" s="12"/>
      <c r="B1487" s="13"/>
      <c r="C1487" s="14"/>
      <c r="D1487" s="14"/>
      <c r="E1487" s="294"/>
      <c r="F1487" s="15"/>
      <c r="G1487" s="18"/>
      <c r="H1487" s="131"/>
      <c r="I1487" s="18"/>
      <c r="J1487" s="22"/>
      <c r="K1487" s="108"/>
      <c r="L1487" s="26"/>
    </row>
    <row r="1488">
      <c r="A1488" s="12"/>
      <c r="B1488" s="13"/>
      <c r="C1488" s="14"/>
      <c r="D1488" s="14"/>
      <c r="E1488" s="294"/>
      <c r="F1488" s="15"/>
      <c r="G1488" s="18"/>
      <c r="H1488" s="131"/>
      <c r="I1488" s="18"/>
      <c r="J1488" s="22"/>
      <c r="K1488" s="108"/>
      <c r="L1488" s="26"/>
    </row>
    <row r="1489">
      <c r="A1489" s="12"/>
      <c r="B1489" s="13"/>
      <c r="C1489" s="14"/>
      <c r="D1489" s="14"/>
      <c r="E1489" s="294"/>
      <c r="F1489" s="15"/>
      <c r="G1489" s="18"/>
      <c r="H1489" s="131"/>
      <c r="I1489" s="18"/>
      <c r="J1489" s="22"/>
      <c r="K1489" s="108"/>
      <c r="L1489" s="26"/>
    </row>
    <row r="1490">
      <c r="A1490" s="12"/>
      <c r="B1490" s="13"/>
      <c r="C1490" s="14"/>
      <c r="D1490" s="14"/>
      <c r="E1490" s="294"/>
      <c r="F1490" s="15"/>
      <c r="G1490" s="18"/>
      <c r="H1490" s="131"/>
      <c r="I1490" s="18"/>
      <c r="J1490" s="22"/>
      <c r="K1490" s="108"/>
      <c r="L1490" s="26"/>
    </row>
    <row r="1491">
      <c r="A1491" s="12"/>
      <c r="B1491" s="13"/>
      <c r="C1491" s="14"/>
      <c r="D1491" s="14"/>
      <c r="E1491" s="294"/>
      <c r="F1491" s="15"/>
      <c r="G1491" s="18"/>
      <c r="H1491" s="131"/>
      <c r="I1491" s="18"/>
      <c r="J1491" s="22"/>
      <c r="K1491" s="108"/>
      <c r="L1491" s="26"/>
    </row>
    <row r="1492">
      <c r="A1492" s="12"/>
      <c r="B1492" s="13"/>
      <c r="C1492" s="14"/>
      <c r="D1492" s="14"/>
      <c r="E1492" s="294"/>
      <c r="F1492" s="15"/>
      <c r="G1492" s="18"/>
      <c r="H1492" s="131"/>
      <c r="I1492" s="18"/>
      <c r="J1492" s="22"/>
      <c r="K1492" s="108"/>
      <c r="L1492" s="26"/>
    </row>
    <row r="1493">
      <c r="A1493" s="12"/>
      <c r="B1493" s="13"/>
      <c r="C1493" s="14"/>
      <c r="D1493" s="14"/>
      <c r="E1493" s="294"/>
      <c r="F1493" s="15"/>
      <c r="G1493" s="18"/>
      <c r="H1493" s="131"/>
      <c r="I1493" s="18"/>
      <c r="J1493" s="22"/>
      <c r="K1493" s="108"/>
      <c r="L1493" s="26"/>
    </row>
    <row r="1494">
      <c r="A1494" s="12"/>
      <c r="B1494" s="13"/>
      <c r="C1494" s="14"/>
      <c r="D1494" s="14"/>
      <c r="E1494" s="294"/>
      <c r="F1494" s="15"/>
      <c r="G1494" s="18"/>
      <c r="H1494" s="131"/>
      <c r="I1494" s="18"/>
      <c r="J1494" s="22"/>
      <c r="K1494" s="108"/>
      <c r="L1494" s="26"/>
    </row>
    <row r="1495">
      <c r="A1495" s="12"/>
      <c r="B1495" s="13"/>
      <c r="C1495" s="14"/>
      <c r="D1495" s="14"/>
      <c r="E1495" s="294"/>
      <c r="F1495" s="15"/>
      <c r="G1495" s="18"/>
      <c r="H1495" s="131"/>
      <c r="I1495" s="18"/>
      <c r="J1495" s="22"/>
      <c r="K1495" s="108"/>
      <c r="L1495" s="26"/>
    </row>
    <row r="1496">
      <c r="A1496" s="12"/>
      <c r="B1496" s="13"/>
      <c r="C1496" s="14"/>
      <c r="D1496" s="14"/>
      <c r="E1496" s="294"/>
      <c r="F1496" s="15"/>
      <c r="G1496" s="18"/>
      <c r="H1496" s="131"/>
      <c r="I1496" s="18"/>
      <c r="J1496" s="22"/>
      <c r="K1496" s="108"/>
      <c r="L1496" s="26"/>
    </row>
    <row r="1497">
      <c r="A1497" s="12"/>
      <c r="B1497" s="13"/>
      <c r="C1497" s="14"/>
      <c r="D1497" s="14"/>
      <c r="E1497" s="294"/>
      <c r="F1497" s="15"/>
      <c r="G1497" s="18"/>
      <c r="H1497" s="131"/>
      <c r="I1497" s="18"/>
      <c r="J1497" s="22"/>
      <c r="K1497" s="108"/>
      <c r="L1497" s="26"/>
    </row>
    <row r="1498">
      <c r="A1498" s="12"/>
      <c r="B1498" s="13"/>
      <c r="C1498" s="14"/>
      <c r="D1498" s="14"/>
      <c r="E1498" s="294"/>
      <c r="F1498" s="15"/>
      <c r="G1498" s="18"/>
      <c r="H1498" s="131"/>
      <c r="I1498" s="18"/>
      <c r="J1498" s="22"/>
      <c r="K1498" s="108"/>
      <c r="L1498" s="26"/>
    </row>
    <row r="1499">
      <c r="A1499" s="12"/>
      <c r="B1499" s="13"/>
      <c r="C1499" s="14"/>
      <c r="D1499" s="14"/>
      <c r="E1499" s="294"/>
      <c r="F1499" s="15"/>
      <c r="G1499" s="18"/>
      <c r="H1499" s="131"/>
      <c r="I1499" s="18"/>
      <c r="J1499" s="22"/>
      <c r="K1499" s="108"/>
      <c r="L1499" s="26"/>
    </row>
    <row r="1500">
      <c r="A1500" s="12"/>
      <c r="B1500" s="13"/>
      <c r="C1500" s="14"/>
      <c r="D1500" s="14"/>
      <c r="E1500" s="294"/>
      <c r="F1500" s="15"/>
      <c r="G1500" s="18"/>
      <c r="H1500" s="131"/>
      <c r="I1500" s="18"/>
      <c r="J1500" s="22"/>
      <c r="K1500" s="108"/>
      <c r="L1500" s="26"/>
    </row>
    <row r="1501">
      <c r="A1501" s="12"/>
      <c r="B1501" s="13"/>
      <c r="C1501" s="14"/>
      <c r="D1501" s="14"/>
      <c r="E1501" s="294"/>
      <c r="F1501" s="15"/>
      <c r="G1501" s="18"/>
      <c r="H1501" s="131"/>
      <c r="I1501" s="18"/>
      <c r="J1501" s="22"/>
      <c r="K1501" s="108"/>
      <c r="L1501" s="26"/>
    </row>
    <row r="1502">
      <c r="A1502" s="12"/>
      <c r="B1502" s="13"/>
      <c r="C1502" s="14"/>
      <c r="D1502" s="14"/>
      <c r="E1502" s="294"/>
      <c r="F1502" s="15"/>
      <c r="G1502" s="18"/>
      <c r="H1502" s="131"/>
      <c r="I1502" s="18"/>
      <c r="J1502" s="22"/>
      <c r="K1502" s="108"/>
      <c r="L1502" s="26"/>
    </row>
    <row r="1503">
      <c r="A1503" s="12"/>
      <c r="B1503" s="13"/>
      <c r="C1503" s="14"/>
      <c r="D1503" s="14"/>
      <c r="E1503" s="294"/>
      <c r="F1503" s="15"/>
      <c r="G1503" s="18"/>
      <c r="H1503" s="131"/>
      <c r="I1503" s="18"/>
      <c r="J1503" s="22"/>
      <c r="K1503" s="108"/>
      <c r="L1503" s="26"/>
    </row>
    <row r="1504">
      <c r="A1504" s="12"/>
      <c r="B1504" s="13"/>
      <c r="C1504" s="14"/>
      <c r="D1504" s="14"/>
      <c r="E1504" s="294"/>
      <c r="F1504" s="15"/>
      <c r="G1504" s="18"/>
      <c r="H1504" s="131"/>
      <c r="I1504" s="18"/>
      <c r="J1504" s="22"/>
      <c r="K1504" s="108"/>
      <c r="L1504" s="26"/>
    </row>
    <row r="1505">
      <c r="A1505" s="12"/>
      <c r="B1505" s="13"/>
      <c r="C1505" s="14"/>
      <c r="D1505" s="14"/>
      <c r="E1505" s="294"/>
      <c r="F1505" s="15"/>
      <c r="G1505" s="18"/>
      <c r="H1505" s="131"/>
      <c r="I1505" s="18"/>
      <c r="J1505" s="22"/>
      <c r="K1505" s="108"/>
      <c r="L1505" s="26"/>
    </row>
    <row r="1506">
      <c r="A1506" s="12"/>
      <c r="B1506" s="13"/>
      <c r="C1506" s="14"/>
      <c r="D1506" s="14"/>
      <c r="E1506" s="294"/>
      <c r="F1506" s="15"/>
      <c r="G1506" s="18"/>
      <c r="H1506" s="131"/>
      <c r="I1506" s="18"/>
      <c r="J1506" s="22"/>
      <c r="K1506" s="108"/>
      <c r="L1506" s="26"/>
    </row>
    <row r="1507">
      <c r="A1507" s="12"/>
      <c r="B1507" s="13"/>
      <c r="C1507" s="14"/>
      <c r="D1507" s="14"/>
      <c r="E1507" s="294"/>
      <c r="F1507" s="15"/>
      <c r="G1507" s="18"/>
      <c r="H1507" s="131"/>
      <c r="I1507" s="18"/>
      <c r="J1507" s="22"/>
      <c r="K1507" s="108"/>
      <c r="L1507" s="26"/>
    </row>
    <row r="1508">
      <c r="A1508" s="12"/>
      <c r="B1508" s="13"/>
      <c r="C1508" s="14"/>
      <c r="D1508" s="14"/>
      <c r="E1508" s="294"/>
      <c r="F1508" s="15"/>
      <c r="G1508" s="18"/>
      <c r="H1508" s="131"/>
      <c r="I1508" s="18"/>
      <c r="J1508" s="22"/>
      <c r="K1508" s="108"/>
      <c r="L1508" s="26"/>
    </row>
    <row r="1509">
      <c r="A1509" s="12"/>
      <c r="B1509" s="13"/>
      <c r="C1509" s="14"/>
      <c r="D1509" s="14"/>
      <c r="E1509" s="294"/>
      <c r="F1509" s="15"/>
      <c r="G1509" s="18"/>
      <c r="H1509" s="131"/>
      <c r="I1509" s="18"/>
      <c r="J1509" s="22"/>
      <c r="K1509" s="108"/>
      <c r="L1509" s="26"/>
    </row>
    <row r="1510">
      <c r="A1510" s="12"/>
      <c r="B1510" s="13"/>
      <c r="C1510" s="14"/>
      <c r="D1510" s="14"/>
      <c r="E1510" s="294"/>
      <c r="F1510" s="15"/>
      <c r="G1510" s="18"/>
      <c r="H1510" s="131"/>
      <c r="I1510" s="18"/>
      <c r="J1510" s="22"/>
      <c r="K1510" s="108"/>
      <c r="L1510" s="26"/>
    </row>
    <row r="1511">
      <c r="A1511" s="12"/>
      <c r="B1511" s="13"/>
      <c r="C1511" s="14"/>
      <c r="D1511" s="14"/>
      <c r="E1511" s="294"/>
      <c r="F1511" s="15"/>
      <c r="G1511" s="18"/>
      <c r="H1511" s="131"/>
      <c r="I1511" s="18"/>
      <c r="J1511" s="22"/>
      <c r="K1511" s="108"/>
      <c r="L1511" s="26"/>
    </row>
    <row r="1512">
      <c r="A1512" s="12"/>
      <c r="B1512" s="13"/>
      <c r="C1512" s="14"/>
      <c r="D1512" s="14"/>
      <c r="E1512" s="294"/>
      <c r="F1512" s="15"/>
      <c r="G1512" s="18"/>
      <c r="H1512" s="131"/>
      <c r="I1512" s="18"/>
      <c r="J1512" s="22"/>
      <c r="K1512" s="108"/>
      <c r="L1512" s="26"/>
    </row>
    <row r="1513">
      <c r="A1513" s="12"/>
      <c r="B1513" s="13"/>
      <c r="C1513" s="14"/>
      <c r="D1513" s="14"/>
      <c r="E1513" s="294"/>
      <c r="F1513" s="15"/>
      <c r="G1513" s="18"/>
      <c r="H1513" s="131"/>
      <c r="I1513" s="18"/>
      <c r="J1513" s="22"/>
      <c r="K1513" s="108"/>
      <c r="L1513" s="26"/>
    </row>
    <row r="1514">
      <c r="A1514" s="12"/>
      <c r="B1514" s="13"/>
      <c r="C1514" s="14"/>
      <c r="D1514" s="14"/>
      <c r="E1514" s="294"/>
      <c r="F1514" s="15"/>
      <c r="G1514" s="18"/>
      <c r="H1514" s="131"/>
      <c r="I1514" s="18"/>
      <c r="J1514" s="22"/>
      <c r="K1514" s="108"/>
      <c r="L1514" s="26"/>
    </row>
    <row r="1515">
      <c r="A1515" s="12"/>
      <c r="B1515" s="13"/>
      <c r="C1515" s="14"/>
      <c r="D1515" s="14"/>
      <c r="E1515" s="294"/>
      <c r="F1515" s="15"/>
      <c r="G1515" s="18"/>
      <c r="H1515" s="131"/>
      <c r="I1515" s="18"/>
      <c r="J1515" s="22"/>
      <c r="K1515" s="108"/>
      <c r="L1515" s="26"/>
    </row>
    <row r="1516">
      <c r="A1516" s="12"/>
      <c r="B1516" s="13"/>
      <c r="C1516" s="14"/>
      <c r="D1516" s="14"/>
      <c r="E1516" s="294"/>
      <c r="F1516" s="15"/>
      <c r="G1516" s="18"/>
      <c r="H1516" s="131"/>
      <c r="I1516" s="18"/>
      <c r="J1516" s="22"/>
      <c r="K1516" s="108"/>
      <c r="L1516" s="26"/>
    </row>
    <row r="1517">
      <c r="A1517" s="12"/>
      <c r="B1517" s="13"/>
      <c r="C1517" s="14"/>
      <c r="D1517" s="14"/>
      <c r="E1517" s="294"/>
      <c r="F1517" s="15"/>
      <c r="G1517" s="18"/>
      <c r="H1517" s="131"/>
      <c r="I1517" s="18"/>
      <c r="J1517" s="22"/>
      <c r="K1517" s="108"/>
      <c r="L1517" s="26"/>
    </row>
    <row r="1518">
      <c r="A1518" s="12"/>
      <c r="B1518" s="13"/>
      <c r="C1518" s="14"/>
      <c r="D1518" s="14"/>
      <c r="E1518" s="294"/>
      <c r="F1518" s="15"/>
      <c r="G1518" s="18"/>
      <c r="H1518" s="131"/>
      <c r="I1518" s="18"/>
      <c r="J1518" s="22"/>
      <c r="K1518" s="108"/>
      <c r="L1518" s="26"/>
    </row>
    <row r="1519">
      <c r="A1519" s="12"/>
      <c r="B1519" s="13"/>
      <c r="C1519" s="14"/>
      <c r="D1519" s="14"/>
      <c r="E1519" s="294"/>
      <c r="F1519" s="15"/>
      <c r="G1519" s="18"/>
      <c r="H1519" s="131"/>
      <c r="I1519" s="18"/>
      <c r="J1519" s="22"/>
      <c r="K1519" s="108"/>
      <c r="L1519" s="26"/>
    </row>
    <row r="1520">
      <c r="A1520" s="12"/>
      <c r="B1520" s="13"/>
      <c r="C1520" s="14"/>
      <c r="D1520" s="14"/>
      <c r="E1520" s="294"/>
      <c r="F1520" s="15"/>
      <c r="G1520" s="18"/>
      <c r="H1520" s="131"/>
      <c r="I1520" s="18"/>
      <c r="J1520" s="22"/>
      <c r="K1520" s="108"/>
      <c r="L1520" s="26"/>
    </row>
    <row r="1521">
      <c r="A1521" s="12"/>
      <c r="B1521" s="13"/>
      <c r="C1521" s="14"/>
      <c r="D1521" s="14"/>
      <c r="E1521" s="294"/>
      <c r="F1521" s="15"/>
      <c r="G1521" s="18"/>
      <c r="H1521" s="131"/>
      <c r="I1521" s="18"/>
      <c r="J1521" s="22"/>
      <c r="K1521" s="108"/>
      <c r="L1521" s="26"/>
    </row>
    <row r="1522">
      <c r="A1522" s="12"/>
      <c r="B1522" s="13"/>
      <c r="C1522" s="14"/>
      <c r="D1522" s="14"/>
      <c r="E1522" s="294"/>
      <c r="F1522" s="15"/>
      <c r="G1522" s="18"/>
      <c r="H1522" s="131"/>
      <c r="I1522" s="18"/>
      <c r="J1522" s="22"/>
      <c r="K1522" s="108"/>
      <c r="L1522" s="26"/>
    </row>
    <row r="1523">
      <c r="A1523" s="12"/>
      <c r="B1523" s="13"/>
      <c r="C1523" s="14"/>
      <c r="D1523" s="14"/>
      <c r="E1523" s="294"/>
      <c r="F1523" s="15"/>
      <c r="G1523" s="18"/>
      <c r="H1523" s="131"/>
      <c r="I1523" s="18"/>
      <c r="J1523" s="22"/>
      <c r="K1523" s="108"/>
      <c r="L1523" s="26"/>
    </row>
    <row r="1524">
      <c r="A1524" s="12"/>
      <c r="B1524" s="13"/>
      <c r="C1524" s="14"/>
      <c r="D1524" s="14"/>
      <c r="E1524" s="294"/>
      <c r="F1524" s="15"/>
      <c r="G1524" s="18"/>
      <c r="H1524" s="131"/>
      <c r="I1524" s="18"/>
      <c r="J1524" s="22"/>
      <c r="K1524" s="108"/>
      <c r="L1524" s="26"/>
    </row>
    <row r="1525">
      <c r="A1525" s="12"/>
      <c r="B1525" s="13"/>
      <c r="C1525" s="14"/>
      <c r="D1525" s="14"/>
      <c r="E1525" s="294"/>
      <c r="F1525" s="15"/>
      <c r="G1525" s="18"/>
      <c r="H1525" s="131"/>
      <c r="I1525" s="18"/>
      <c r="J1525" s="22"/>
      <c r="K1525" s="108"/>
      <c r="L1525" s="26"/>
    </row>
    <row r="1526">
      <c r="A1526" s="12"/>
      <c r="B1526" s="13"/>
      <c r="C1526" s="14"/>
      <c r="D1526" s="14"/>
      <c r="E1526" s="294"/>
      <c r="F1526" s="15"/>
      <c r="G1526" s="18"/>
      <c r="H1526" s="131"/>
      <c r="I1526" s="18"/>
      <c r="J1526" s="22"/>
      <c r="K1526" s="108"/>
      <c r="L1526" s="26"/>
    </row>
    <row r="1527">
      <c r="A1527" s="12"/>
      <c r="B1527" s="13"/>
      <c r="C1527" s="14"/>
      <c r="D1527" s="14"/>
      <c r="E1527" s="294"/>
      <c r="F1527" s="15"/>
      <c r="G1527" s="18"/>
      <c r="H1527" s="131"/>
      <c r="I1527" s="18"/>
      <c r="J1527" s="22"/>
      <c r="K1527" s="108"/>
      <c r="L1527" s="26"/>
    </row>
    <row r="1528">
      <c r="A1528" s="12"/>
      <c r="B1528" s="13"/>
      <c r="C1528" s="14"/>
      <c r="D1528" s="14"/>
      <c r="E1528" s="294"/>
      <c r="F1528" s="15"/>
      <c r="G1528" s="18"/>
      <c r="H1528" s="131"/>
      <c r="I1528" s="18"/>
      <c r="J1528" s="22"/>
      <c r="K1528" s="108"/>
      <c r="L1528" s="26"/>
    </row>
    <row r="1529">
      <c r="A1529" s="12"/>
      <c r="B1529" s="13"/>
      <c r="C1529" s="14"/>
      <c r="D1529" s="14"/>
      <c r="E1529" s="294"/>
      <c r="F1529" s="15"/>
      <c r="G1529" s="18"/>
      <c r="H1529" s="131"/>
      <c r="I1529" s="18"/>
      <c r="J1529" s="22"/>
      <c r="K1529" s="108"/>
      <c r="L1529" s="26"/>
    </row>
    <row r="1530">
      <c r="A1530" s="12"/>
      <c r="B1530" s="13"/>
      <c r="C1530" s="14"/>
      <c r="D1530" s="14"/>
      <c r="E1530" s="294"/>
      <c r="F1530" s="15"/>
      <c r="G1530" s="18"/>
      <c r="H1530" s="131"/>
      <c r="I1530" s="18"/>
      <c r="J1530" s="22"/>
      <c r="K1530" s="108"/>
      <c r="L1530" s="26"/>
    </row>
    <row r="1531">
      <c r="A1531" s="12"/>
      <c r="B1531" s="13"/>
      <c r="C1531" s="14"/>
      <c r="D1531" s="14"/>
      <c r="E1531" s="294"/>
      <c r="F1531" s="15"/>
      <c r="G1531" s="18"/>
      <c r="H1531" s="131"/>
      <c r="I1531" s="18"/>
      <c r="J1531" s="22"/>
      <c r="K1531" s="108"/>
      <c r="L1531" s="26"/>
    </row>
    <row r="1532">
      <c r="A1532" s="12"/>
      <c r="B1532" s="13"/>
      <c r="C1532" s="14"/>
      <c r="D1532" s="14"/>
      <c r="E1532" s="294"/>
      <c r="F1532" s="15"/>
      <c r="G1532" s="18"/>
      <c r="H1532" s="131"/>
      <c r="I1532" s="18"/>
      <c r="J1532" s="22"/>
      <c r="K1532" s="108"/>
      <c r="L1532" s="26"/>
    </row>
    <row r="1533">
      <c r="A1533" s="12"/>
      <c r="B1533" s="13"/>
      <c r="C1533" s="14"/>
      <c r="D1533" s="14"/>
      <c r="E1533" s="294"/>
      <c r="F1533" s="15"/>
      <c r="G1533" s="18"/>
      <c r="H1533" s="131"/>
      <c r="I1533" s="18"/>
      <c r="J1533" s="22"/>
      <c r="K1533" s="108"/>
      <c r="L1533" s="26"/>
    </row>
    <row r="1534">
      <c r="A1534" s="12"/>
      <c r="B1534" s="13"/>
      <c r="C1534" s="14"/>
      <c r="D1534" s="14"/>
      <c r="E1534" s="294"/>
      <c r="F1534" s="15"/>
      <c r="G1534" s="18"/>
      <c r="H1534" s="131"/>
      <c r="I1534" s="18"/>
      <c r="J1534" s="22"/>
      <c r="K1534" s="108"/>
      <c r="L1534" s="26"/>
    </row>
    <row r="1535">
      <c r="A1535" s="12"/>
      <c r="B1535" s="13"/>
      <c r="C1535" s="14"/>
      <c r="D1535" s="14"/>
      <c r="E1535" s="294"/>
      <c r="F1535" s="15"/>
      <c r="G1535" s="18"/>
      <c r="H1535" s="131"/>
      <c r="I1535" s="18"/>
      <c r="J1535" s="22"/>
      <c r="K1535" s="108"/>
      <c r="L1535" s="26"/>
    </row>
    <row r="1536">
      <c r="A1536" s="12"/>
      <c r="B1536" s="13"/>
      <c r="C1536" s="14"/>
      <c r="D1536" s="14"/>
      <c r="E1536" s="294"/>
      <c r="F1536" s="15"/>
      <c r="G1536" s="18"/>
      <c r="H1536" s="131"/>
      <c r="I1536" s="18"/>
      <c r="J1536" s="22"/>
      <c r="K1536" s="108"/>
      <c r="L1536" s="26"/>
    </row>
    <row r="1537">
      <c r="A1537" s="12"/>
      <c r="B1537" s="13"/>
      <c r="C1537" s="14"/>
      <c r="D1537" s="14"/>
      <c r="E1537" s="294"/>
      <c r="F1537" s="15"/>
      <c r="G1537" s="18"/>
      <c r="H1537" s="131"/>
      <c r="I1537" s="18"/>
      <c r="J1537" s="22"/>
      <c r="K1537" s="108"/>
      <c r="L1537" s="26"/>
    </row>
    <row r="1538">
      <c r="A1538" s="12"/>
      <c r="B1538" s="13"/>
      <c r="C1538" s="14"/>
      <c r="D1538" s="14"/>
      <c r="E1538" s="294"/>
      <c r="F1538" s="15"/>
      <c r="G1538" s="18"/>
      <c r="H1538" s="131"/>
      <c r="I1538" s="18"/>
      <c r="J1538" s="22"/>
      <c r="K1538" s="108"/>
      <c r="L1538" s="26"/>
    </row>
    <row r="1539">
      <c r="A1539" s="12"/>
      <c r="B1539" s="13"/>
      <c r="C1539" s="14"/>
      <c r="D1539" s="14"/>
      <c r="E1539" s="294"/>
      <c r="F1539" s="15"/>
      <c r="G1539" s="18"/>
      <c r="H1539" s="131"/>
      <c r="I1539" s="18"/>
      <c r="J1539" s="22"/>
      <c r="K1539" s="108"/>
      <c r="L1539" s="26"/>
    </row>
    <row r="1540">
      <c r="A1540" s="12"/>
      <c r="B1540" s="13"/>
      <c r="C1540" s="14"/>
      <c r="D1540" s="14"/>
      <c r="E1540" s="294"/>
      <c r="F1540" s="15"/>
      <c r="G1540" s="18"/>
      <c r="H1540" s="131"/>
      <c r="I1540" s="18"/>
      <c r="J1540" s="22"/>
      <c r="K1540" s="108"/>
      <c r="L1540" s="26"/>
    </row>
    <row r="1541">
      <c r="A1541" s="12"/>
      <c r="B1541" s="13"/>
      <c r="C1541" s="14"/>
      <c r="D1541" s="14"/>
      <c r="E1541" s="294"/>
      <c r="F1541" s="15"/>
      <c r="G1541" s="18"/>
      <c r="H1541" s="131"/>
      <c r="I1541" s="18"/>
      <c r="J1541" s="22"/>
      <c r="K1541" s="108"/>
      <c r="L1541" s="26"/>
    </row>
    <row r="1542">
      <c r="A1542" s="12"/>
      <c r="B1542" s="13"/>
      <c r="C1542" s="14"/>
      <c r="D1542" s="14"/>
      <c r="E1542" s="294"/>
      <c r="F1542" s="15"/>
      <c r="G1542" s="18"/>
      <c r="H1542" s="131"/>
      <c r="I1542" s="18"/>
      <c r="J1542" s="22"/>
      <c r="K1542" s="108"/>
      <c r="L1542" s="26"/>
    </row>
    <row r="1543">
      <c r="A1543" s="12"/>
      <c r="B1543" s="13"/>
      <c r="C1543" s="14"/>
      <c r="D1543" s="14"/>
      <c r="E1543" s="294"/>
      <c r="F1543" s="15"/>
      <c r="G1543" s="18"/>
      <c r="H1543" s="131"/>
      <c r="I1543" s="18"/>
      <c r="J1543" s="22"/>
      <c r="K1543" s="108"/>
      <c r="L1543" s="26"/>
    </row>
    <row r="1544">
      <c r="A1544" s="12"/>
      <c r="B1544" s="13"/>
      <c r="C1544" s="14"/>
      <c r="D1544" s="14"/>
      <c r="E1544" s="294"/>
      <c r="F1544" s="15"/>
      <c r="G1544" s="18"/>
      <c r="H1544" s="131"/>
      <c r="I1544" s="18"/>
      <c r="J1544" s="22"/>
      <c r="K1544" s="108"/>
      <c r="L1544" s="26"/>
    </row>
    <row r="1545">
      <c r="A1545" s="12"/>
      <c r="B1545" s="13"/>
      <c r="C1545" s="14"/>
      <c r="D1545" s="14"/>
      <c r="E1545" s="294"/>
      <c r="F1545" s="15"/>
      <c r="G1545" s="18"/>
      <c r="H1545" s="131"/>
      <c r="I1545" s="18"/>
      <c r="J1545" s="22"/>
      <c r="K1545" s="108"/>
      <c r="L1545" s="26"/>
    </row>
    <row r="1546">
      <c r="A1546" s="12"/>
      <c r="B1546" s="13"/>
      <c r="C1546" s="14"/>
      <c r="D1546" s="14"/>
      <c r="E1546" s="294"/>
      <c r="F1546" s="15"/>
      <c r="G1546" s="18"/>
      <c r="H1546" s="131"/>
      <c r="I1546" s="18"/>
      <c r="J1546" s="22"/>
      <c r="K1546" s="108"/>
      <c r="L1546" s="26"/>
    </row>
    <row r="1547">
      <c r="A1547" s="12"/>
      <c r="B1547" s="13"/>
      <c r="C1547" s="14"/>
      <c r="D1547" s="14"/>
      <c r="E1547" s="294"/>
      <c r="F1547" s="15"/>
      <c r="G1547" s="18"/>
      <c r="H1547" s="131"/>
      <c r="I1547" s="18"/>
      <c r="J1547" s="22"/>
      <c r="K1547" s="108"/>
      <c r="L1547" s="26"/>
    </row>
    <row r="1548">
      <c r="A1548" s="12"/>
      <c r="B1548" s="13"/>
      <c r="C1548" s="14"/>
      <c r="D1548" s="14"/>
      <c r="E1548" s="294"/>
      <c r="F1548" s="15"/>
      <c r="G1548" s="18"/>
      <c r="H1548" s="131"/>
      <c r="I1548" s="18"/>
      <c r="J1548" s="22"/>
      <c r="K1548" s="108"/>
      <c r="L1548" s="26"/>
    </row>
    <row r="1549">
      <c r="A1549" s="12"/>
      <c r="B1549" s="13"/>
      <c r="C1549" s="14"/>
      <c r="D1549" s="14"/>
      <c r="E1549" s="294"/>
      <c r="F1549" s="15"/>
      <c r="G1549" s="18"/>
      <c r="H1549" s="131"/>
      <c r="I1549" s="18"/>
      <c r="J1549" s="22"/>
      <c r="K1549" s="108"/>
      <c r="L1549" s="26"/>
    </row>
    <row r="1550">
      <c r="A1550" s="12"/>
      <c r="B1550" s="13"/>
      <c r="C1550" s="14"/>
      <c r="D1550" s="14"/>
      <c r="E1550" s="294"/>
      <c r="F1550" s="15"/>
      <c r="G1550" s="18"/>
      <c r="H1550" s="131"/>
      <c r="I1550" s="18"/>
      <c r="J1550" s="22"/>
      <c r="K1550" s="108"/>
      <c r="L1550" s="26"/>
    </row>
    <row r="1551">
      <c r="A1551" s="12"/>
      <c r="B1551" s="13"/>
      <c r="C1551" s="14"/>
      <c r="D1551" s="14"/>
      <c r="E1551" s="294"/>
      <c r="F1551" s="15"/>
      <c r="G1551" s="18"/>
      <c r="H1551" s="131"/>
      <c r="I1551" s="18"/>
      <c r="J1551" s="22"/>
      <c r="K1551" s="108"/>
      <c r="L1551" s="26"/>
    </row>
    <row r="1552">
      <c r="A1552" s="12"/>
      <c r="B1552" s="13"/>
      <c r="C1552" s="14"/>
      <c r="D1552" s="14"/>
      <c r="E1552" s="294"/>
      <c r="F1552" s="15"/>
      <c r="G1552" s="18"/>
      <c r="H1552" s="131"/>
      <c r="I1552" s="18"/>
      <c r="J1552" s="22"/>
      <c r="K1552" s="108"/>
      <c r="L1552" s="26"/>
    </row>
    <row r="1553">
      <c r="A1553" s="12"/>
      <c r="B1553" s="13"/>
      <c r="C1553" s="14"/>
      <c r="D1553" s="14"/>
      <c r="E1553" s="294"/>
      <c r="F1553" s="15"/>
      <c r="G1553" s="18"/>
      <c r="H1553" s="131"/>
      <c r="I1553" s="18"/>
      <c r="J1553" s="22"/>
      <c r="K1553" s="108"/>
      <c r="L1553" s="26"/>
    </row>
    <row r="1554">
      <c r="A1554" s="12"/>
      <c r="B1554" s="13"/>
      <c r="C1554" s="14"/>
      <c r="D1554" s="14"/>
      <c r="E1554" s="294"/>
      <c r="F1554" s="15"/>
      <c r="G1554" s="18"/>
      <c r="H1554" s="131"/>
      <c r="I1554" s="18"/>
      <c r="J1554" s="22"/>
      <c r="K1554" s="108"/>
      <c r="L1554" s="26"/>
    </row>
    <row r="1555">
      <c r="A1555" s="12"/>
      <c r="B1555" s="13"/>
      <c r="C1555" s="14"/>
      <c r="D1555" s="14"/>
      <c r="E1555" s="294"/>
      <c r="F1555" s="15"/>
      <c r="G1555" s="18"/>
      <c r="H1555" s="131"/>
      <c r="I1555" s="18"/>
      <c r="J1555" s="22"/>
      <c r="K1555" s="108"/>
      <c r="L1555" s="26"/>
    </row>
    <row r="1556">
      <c r="A1556" s="12"/>
      <c r="B1556" s="13"/>
      <c r="C1556" s="14"/>
      <c r="D1556" s="14"/>
      <c r="E1556" s="294"/>
      <c r="F1556" s="15"/>
      <c r="G1556" s="18"/>
      <c r="H1556" s="131"/>
      <c r="I1556" s="18"/>
      <c r="J1556" s="22"/>
      <c r="K1556" s="108"/>
      <c r="L1556" s="26"/>
    </row>
    <row r="1557">
      <c r="A1557" s="12"/>
      <c r="B1557" s="13"/>
      <c r="C1557" s="14"/>
      <c r="D1557" s="14"/>
      <c r="E1557" s="294"/>
      <c r="F1557" s="15"/>
      <c r="G1557" s="18"/>
      <c r="H1557" s="131"/>
      <c r="I1557" s="18"/>
      <c r="J1557" s="22"/>
      <c r="K1557" s="108"/>
      <c r="L1557" s="26"/>
    </row>
    <row r="1558">
      <c r="A1558" s="12"/>
      <c r="B1558" s="13"/>
      <c r="C1558" s="14"/>
      <c r="D1558" s="14"/>
      <c r="E1558" s="294"/>
      <c r="F1558" s="15"/>
      <c r="G1558" s="18"/>
      <c r="H1558" s="131"/>
      <c r="I1558" s="18"/>
      <c r="J1558" s="22"/>
      <c r="K1558" s="108"/>
      <c r="L1558" s="26"/>
    </row>
    <row r="1559">
      <c r="A1559" s="12"/>
      <c r="B1559" s="13"/>
      <c r="C1559" s="14"/>
      <c r="D1559" s="14"/>
      <c r="E1559" s="294"/>
      <c r="F1559" s="15"/>
      <c r="G1559" s="18"/>
      <c r="H1559" s="131"/>
      <c r="I1559" s="18"/>
      <c r="J1559" s="22"/>
      <c r="K1559" s="108"/>
      <c r="L1559" s="26"/>
    </row>
    <row r="1560">
      <c r="A1560" s="12"/>
      <c r="B1560" s="13"/>
      <c r="C1560" s="14"/>
      <c r="D1560" s="14"/>
      <c r="E1560" s="294"/>
      <c r="F1560" s="15"/>
      <c r="G1560" s="18"/>
      <c r="H1560" s="131"/>
      <c r="I1560" s="18"/>
      <c r="J1560" s="22"/>
      <c r="K1560" s="108"/>
      <c r="L1560" s="26"/>
    </row>
    <row r="1561">
      <c r="A1561" s="12"/>
      <c r="B1561" s="13"/>
      <c r="C1561" s="14"/>
      <c r="D1561" s="14"/>
      <c r="E1561" s="294"/>
      <c r="F1561" s="15"/>
      <c r="G1561" s="18"/>
      <c r="H1561" s="131"/>
      <c r="I1561" s="18"/>
      <c r="J1561" s="22"/>
      <c r="K1561" s="108"/>
      <c r="L1561" s="26"/>
    </row>
    <row r="1562">
      <c r="A1562" s="12"/>
      <c r="B1562" s="13"/>
      <c r="C1562" s="14"/>
      <c r="D1562" s="14"/>
      <c r="E1562" s="294"/>
      <c r="F1562" s="15"/>
      <c r="G1562" s="18"/>
      <c r="H1562" s="131"/>
      <c r="I1562" s="18"/>
      <c r="J1562" s="22"/>
      <c r="K1562" s="108"/>
      <c r="L1562" s="26"/>
    </row>
    <row r="1563">
      <c r="A1563" s="12"/>
      <c r="B1563" s="13"/>
      <c r="C1563" s="14"/>
      <c r="D1563" s="14"/>
      <c r="E1563" s="294"/>
      <c r="F1563" s="15"/>
      <c r="G1563" s="18"/>
      <c r="H1563" s="131"/>
      <c r="I1563" s="18"/>
      <c r="J1563" s="22"/>
      <c r="K1563" s="108"/>
      <c r="L1563" s="26"/>
    </row>
    <row r="1564">
      <c r="A1564" s="12"/>
      <c r="B1564" s="13"/>
      <c r="C1564" s="14"/>
      <c r="D1564" s="14"/>
      <c r="E1564" s="294"/>
      <c r="F1564" s="15"/>
      <c r="G1564" s="18"/>
      <c r="H1564" s="131"/>
      <c r="I1564" s="18"/>
      <c r="J1564" s="22"/>
      <c r="K1564" s="108"/>
      <c r="L1564" s="26"/>
    </row>
    <row r="1565">
      <c r="A1565" s="12"/>
      <c r="B1565" s="13"/>
      <c r="C1565" s="14"/>
      <c r="D1565" s="14"/>
      <c r="E1565" s="294"/>
      <c r="F1565" s="15"/>
      <c r="G1565" s="18"/>
      <c r="H1565" s="131"/>
      <c r="I1565" s="18"/>
      <c r="J1565" s="22"/>
      <c r="K1565" s="108"/>
      <c r="L1565" s="26"/>
    </row>
    <row r="1566">
      <c r="A1566" s="12"/>
      <c r="B1566" s="13"/>
      <c r="C1566" s="14"/>
      <c r="D1566" s="14"/>
      <c r="E1566" s="294"/>
      <c r="F1566" s="15"/>
      <c r="G1566" s="18"/>
      <c r="H1566" s="131"/>
      <c r="I1566" s="18"/>
      <c r="J1566" s="22"/>
      <c r="K1566" s="108"/>
      <c r="L1566" s="26"/>
    </row>
    <row r="1567">
      <c r="A1567" s="12"/>
      <c r="B1567" s="13"/>
      <c r="C1567" s="14"/>
      <c r="D1567" s="14"/>
      <c r="E1567" s="294"/>
      <c r="F1567" s="15"/>
      <c r="G1567" s="18"/>
      <c r="H1567" s="131"/>
      <c r="I1567" s="18"/>
      <c r="J1567" s="22"/>
      <c r="K1567" s="108"/>
      <c r="L1567" s="26"/>
    </row>
    <row r="1568">
      <c r="A1568" s="12"/>
      <c r="B1568" s="13"/>
      <c r="C1568" s="14"/>
      <c r="D1568" s="14"/>
      <c r="E1568" s="294"/>
      <c r="F1568" s="15"/>
      <c r="G1568" s="18"/>
      <c r="H1568" s="131"/>
      <c r="I1568" s="18"/>
      <c r="J1568" s="22"/>
      <c r="K1568" s="108"/>
      <c r="L1568" s="26"/>
    </row>
    <row r="1569">
      <c r="A1569" s="12"/>
      <c r="B1569" s="13"/>
      <c r="C1569" s="14"/>
      <c r="D1569" s="14"/>
      <c r="E1569" s="294"/>
      <c r="F1569" s="15"/>
      <c r="G1569" s="18"/>
      <c r="H1569" s="131"/>
      <c r="I1569" s="18"/>
      <c r="J1569" s="22"/>
      <c r="K1569" s="108"/>
      <c r="L1569" s="26"/>
    </row>
    <row r="1570">
      <c r="A1570" s="12"/>
      <c r="B1570" s="13"/>
      <c r="C1570" s="14"/>
      <c r="D1570" s="14"/>
      <c r="E1570" s="294"/>
      <c r="F1570" s="15"/>
      <c r="G1570" s="18"/>
      <c r="H1570" s="131"/>
      <c r="I1570" s="18"/>
      <c r="J1570" s="22"/>
      <c r="K1570" s="108"/>
      <c r="L1570" s="26"/>
    </row>
    <row r="1571">
      <c r="A1571" s="12"/>
      <c r="B1571" s="13"/>
      <c r="C1571" s="14"/>
      <c r="D1571" s="14"/>
      <c r="E1571" s="294"/>
      <c r="F1571" s="15"/>
      <c r="G1571" s="18"/>
      <c r="H1571" s="131"/>
      <c r="I1571" s="18"/>
      <c r="J1571" s="22"/>
      <c r="K1571" s="108"/>
      <c r="L1571" s="26"/>
    </row>
    <row r="1572">
      <c r="A1572" s="12"/>
      <c r="B1572" s="13"/>
      <c r="C1572" s="14"/>
      <c r="D1572" s="14"/>
      <c r="E1572" s="294"/>
      <c r="F1572" s="15"/>
      <c r="G1572" s="18"/>
      <c r="H1572" s="131"/>
      <c r="I1572" s="18"/>
      <c r="J1572" s="22"/>
      <c r="K1572" s="108"/>
      <c r="L1572" s="26"/>
    </row>
    <row r="1573">
      <c r="A1573" s="12"/>
      <c r="B1573" s="13"/>
      <c r="C1573" s="14"/>
      <c r="D1573" s="14"/>
      <c r="E1573" s="294"/>
      <c r="F1573" s="15"/>
      <c r="G1573" s="18"/>
      <c r="H1573" s="131"/>
      <c r="I1573" s="18"/>
      <c r="J1573" s="22"/>
      <c r="K1573" s="108"/>
      <c r="L1573" s="26"/>
    </row>
    <row r="1574">
      <c r="A1574" s="12"/>
      <c r="B1574" s="13"/>
      <c r="C1574" s="14"/>
      <c r="D1574" s="14"/>
      <c r="E1574" s="294"/>
      <c r="F1574" s="15"/>
      <c r="G1574" s="18"/>
      <c r="H1574" s="131"/>
      <c r="I1574" s="18"/>
      <c r="J1574" s="22"/>
      <c r="K1574" s="108"/>
      <c r="L1574" s="26"/>
    </row>
    <row r="1575">
      <c r="A1575" s="12"/>
      <c r="B1575" s="13"/>
      <c r="C1575" s="14"/>
      <c r="D1575" s="14"/>
      <c r="E1575" s="294"/>
      <c r="F1575" s="15"/>
      <c r="G1575" s="18"/>
      <c r="H1575" s="131"/>
      <c r="I1575" s="18"/>
      <c r="J1575" s="22"/>
      <c r="K1575" s="108"/>
      <c r="L1575" s="26"/>
    </row>
    <row r="1576">
      <c r="A1576" s="12"/>
      <c r="B1576" s="13"/>
      <c r="C1576" s="14"/>
      <c r="D1576" s="14"/>
      <c r="E1576" s="294"/>
      <c r="F1576" s="15"/>
      <c r="G1576" s="18"/>
      <c r="H1576" s="131"/>
      <c r="I1576" s="18"/>
      <c r="J1576" s="22"/>
      <c r="K1576" s="108"/>
      <c r="L1576" s="26"/>
    </row>
    <row r="1577">
      <c r="A1577" s="12"/>
      <c r="B1577" s="13"/>
      <c r="C1577" s="14"/>
      <c r="D1577" s="14"/>
      <c r="E1577" s="294"/>
      <c r="F1577" s="15"/>
      <c r="G1577" s="18"/>
      <c r="H1577" s="131"/>
      <c r="I1577" s="18"/>
      <c r="J1577" s="22"/>
      <c r="K1577" s="108"/>
      <c r="L1577" s="26"/>
    </row>
    <row r="1578">
      <c r="A1578" s="12"/>
      <c r="B1578" s="13"/>
      <c r="C1578" s="14"/>
      <c r="D1578" s="14"/>
      <c r="E1578" s="294"/>
      <c r="F1578" s="15"/>
      <c r="G1578" s="18"/>
      <c r="H1578" s="131"/>
      <c r="I1578" s="18"/>
      <c r="J1578" s="22"/>
      <c r="K1578" s="108"/>
      <c r="L1578" s="26"/>
    </row>
    <row r="1579">
      <c r="A1579" s="12"/>
      <c r="B1579" s="13"/>
      <c r="C1579" s="14"/>
      <c r="D1579" s="14"/>
      <c r="E1579" s="294"/>
      <c r="F1579" s="15"/>
      <c r="G1579" s="18"/>
      <c r="H1579" s="131"/>
      <c r="I1579" s="18"/>
      <c r="J1579" s="22"/>
      <c r="K1579" s="108"/>
      <c r="L1579" s="26"/>
    </row>
    <row r="1580">
      <c r="A1580" s="12"/>
      <c r="B1580" s="13"/>
      <c r="C1580" s="14"/>
      <c r="D1580" s="14"/>
      <c r="E1580" s="294"/>
      <c r="F1580" s="15"/>
      <c r="G1580" s="18"/>
      <c r="H1580" s="131"/>
      <c r="I1580" s="18"/>
      <c r="J1580" s="22"/>
      <c r="K1580" s="108"/>
      <c r="L1580" s="26"/>
    </row>
    <row r="1581">
      <c r="A1581" s="12"/>
      <c r="B1581" s="13"/>
      <c r="C1581" s="14"/>
      <c r="D1581" s="14"/>
      <c r="E1581" s="294"/>
      <c r="F1581" s="15"/>
      <c r="G1581" s="18"/>
      <c r="H1581" s="131"/>
      <c r="I1581" s="18"/>
      <c r="J1581" s="22"/>
      <c r="K1581" s="108"/>
      <c r="L1581" s="26"/>
    </row>
    <row r="1582">
      <c r="A1582" s="12"/>
      <c r="B1582" s="13"/>
      <c r="C1582" s="14"/>
      <c r="D1582" s="14"/>
      <c r="E1582" s="294"/>
      <c r="F1582" s="15"/>
      <c r="G1582" s="18"/>
      <c r="H1582" s="131"/>
      <c r="I1582" s="18"/>
      <c r="J1582" s="22"/>
      <c r="K1582" s="108"/>
      <c r="L1582" s="26"/>
    </row>
    <row r="1583">
      <c r="A1583" s="12"/>
      <c r="B1583" s="13"/>
      <c r="C1583" s="14"/>
      <c r="D1583" s="14"/>
      <c r="E1583" s="294"/>
      <c r="F1583" s="15"/>
      <c r="G1583" s="18"/>
      <c r="H1583" s="131"/>
      <c r="I1583" s="18"/>
      <c r="J1583" s="22"/>
      <c r="K1583" s="108"/>
      <c r="L1583" s="26"/>
    </row>
    <row r="1584">
      <c r="A1584" s="12"/>
      <c r="B1584" s="13"/>
      <c r="C1584" s="14"/>
      <c r="D1584" s="14"/>
      <c r="E1584" s="294"/>
      <c r="F1584" s="15"/>
      <c r="G1584" s="18"/>
      <c r="H1584" s="131"/>
      <c r="I1584" s="18"/>
      <c r="J1584" s="22"/>
      <c r="K1584" s="108"/>
      <c r="L1584" s="26"/>
    </row>
    <row r="1585">
      <c r="A1585" s="12"/>
      <c r="B1585" s="13"/>
      <c r="C1585" s="14"/>
      <c r="D1585" s="14"/>
      <c r="E1585" s="294"/>
      <c r="F1585" s="15"/>
      <c r="G1585" s="18"/>
      <c r="H1585" s="131"/>
      <c r="I1585" s="18"/>
      <c r="J1585" s="22"/>
      <c r="K1585" s="108"/>
      <c r="L1585" s="26"/>
    </row>
    <row r="1586">
      <c r="A1586" s="12"/>
      <c r="B1586" s="13"/>
      <c r="C1586" s="14"/>
      <c r="D1586" s="14"/>
      <c r="E1586" s="294"/>
      <c r="F1586" s="15"/>
      <c r="G1586" s="18"/>
      <c r="H1586" s="131"/>
      <c r="I1586" s="18"/>
      <c r="J1586" s="22"/>
      <c r="K1586" s="108"/>
      <c r="L1586" s="26"/>
    </row>
    <row r="1587">
      <c r="A1587" s="12"/>
      <c r="B1587" s="13"/>
      <c r="C1587" s="14"/>
      <c r="D1587" s="14"/>
      <c r="E1587" s="294"/>
      <c r="F1587" s="15"/>
      <c r="G1587" s="18"/>
      <c r="H1587" s="131"/>
      <c r="I1587" s="18"/>
      <c r="J1587" s="22"/>
      <c r="K1587" s="108"/>
      <c r="L1587" s="26"/>
    </row>
    <row r="1588">
      <c r="A1588" s="12"/>
      <c r="B1588" s="13"/>
      <c r="C1588" s="14"/>
      <c r="D1588" s="14"/>
      <c r="E1588" s="294"/>
      <c r="F1588" s="15"/>
      <c r="G1588" s="18"/>
      <c r="H1588" s="131"/>
      <c r="I1588" s="18"/>
      <c r="J1588" s="22"/>
      <c r="K1588" s="108"/>
      <c r="L1588" s="26"/>
    </row>
    <row r="1589">
      <c r="A1589" s="12"/>
      <c r="B1589" s="13"/>
      <c r="C1589" s="14"/>
      <c r="D1589" s="14"/>
      <c r="E1589" s="294"/>
      <c r="F1589" s="15"/>
      <c r="G1589" s="18"/>
      <c r="H1589" s="131"/>
      <c r="I1589" s="18"/>
      <c r="J1589" s="22"/>
      <c r="K1589" s="108"/>
      <c r="L1589" s="26"/>
    </row>
    <row r="1590">
      <c r="A1590" s="12"/>
      <c r="B1590" s="13"/>
      <c r="C1590" s="14"/>
      <c r="D1590" s="14"/>
      <c r="E1590" s="294"/>
      <c r="F1590" s="15"/>
      <c r="G1590" s="18"/>
      <c r="H1590" s="131"/>
      <c r="I1590" s="18"/>
      <c r="J1590" s="22"/>
      <c r="K1590" s="108"/>
      <c r="L1590" s="26"/>
    </row>
    <row r="1591">
      <c r="A1591" s="12"/>
      <c r="B1591" s="13"/>
      <c r="C1591" s="14"/>
      <c r="D1591" s="14"/>
      <c r="E1591" s="294"/>
      <c r="F1591" s="15"/>
      <c r="G1591" s="18"/>
      <c r="H1591" s="131"/>
      <c r="I1591" s="18"/>
      <c r="J1591" s="22"/>
      <c r="K1591" s="108"/>
      <c r="L1591" s="26"/>
    </row>
    <row r="1592">
      <c r="A1592" s="12"/>
      <c r="B1592" s="13"/>
      <c r="C1592" s="14"/>
      <c r="D1592" s="14"/>
      <c r="E1592" s="294"/>
      <c r="F1592" s="15"/>
      <c r="G1592" s="18"/>
      <c r="H1592" s="131"/>
      <c r="I1592" s="18"/>
      <c r="J1592" s="22"/>
      <c r="K1592" s="108"/>
      <c r="L1592" s="26"/>
    </row>
    <row r="1593">
      <c r="A1593" s="12"/>
      <c r="B1593" s="13"/>
      <c r="C1593" s="14"/>
      <c r="D1593" s="14"/>
      <c r="E1593" s="294"/>
      <c r="F1593" s="15"/>
      <c r="G1593" s="18"/>
      <c r="H1593" s="131"/>
      <c r="I1593" s="18"/>
      <c r="J1593" s="22"/>
      <c r="K1593" s="108"/>
      <c r="L1593" s="26"/>
    </row>
    <row r="1594">
      <c r="A1594" s="12"/>
      <c r="B1594" s="13"/>
      <c r="C1594" s="14"/>
      <c r="D1594" s="14"/>
      <c r="E1594" s="294"/>
      <c r="F1594" s="15"/>
      <c r="G1594" s="18"/>
      <c r="H1594" s="131"/>
      <c r="I1594" s="18"/>
      <c r="J1594" s="22"/>
      <c r="K1594" s="108"/>
      <c r="L1594" s="26"/>
    </row>
    <row r="1595">
      <c r="A1595" s="12"/>
      <c r="B1595" s="13"/>
      <c r="C1595" s="14"/>
      <c r="D1595" s="14"/>
      <c r="E1595" s="294"/>
      <c r="F1595" s="15"/>
      <c r="G1595" s="18"/>
      <c r="H1595" s="131"/>
      <c r="I1595" s="18"/>
      <c r="J1595" s="22"/>
      <c r="K1595" s="108"/>
      <c r="L1595" s="26"/>
    </row>
    <row r="1596">
      <c r="A1596" s="12"/>
      <c r="B1596" s="13"/>
      <c r="C1596" s="14"/>
      <c r="D1596" s="14"/>
      <c r="E1596" s="294"/>
      <c r="F1596" s="15"/>
      <c r="G1596" s="18"/>
      <c r="H1596" s="131"/>
      <c r="I1596" s="18"/>
      <c r="J1596" s="22"/>
      <c r="K1596" s="108"/>
      <c r="L1596" s="26"/>
    </row>
    <row r="1597">
      <c r="A1597" s="12"/>
      <c r="B1597" s="13"/>
      <c r="C1597" s="14"/>
      <c r="D1597" s="14"/>
      <c r="E1597" s="294"/>
      <c r="F1597" s="15"/>
      <c r="G1597" s="18"/>
      <c r="H1597" s="131"/>
      <c r="I1597" s="18"/>
      <c r="J1597" s="22"/>
      <c r="K1597" s="108"/>
      <c r="L1597" s="26"/>
    </row>
    <row r="1598">
      <c r="A1598" s="12"/>
      <c r="B1598" s="13"/>
      <c r="C1598" s="14"/>
      <c r="D1598" s="14"/>
      <c r="E1598" s="294"/>
      <c r="F1598" s="15"/>
      <c r="G1598" s="18"/>
      <c r="H1598" s="131"/>
      <c r="I1598" s="18"/>
      <c r="J1598" s="22"/>
      <c r="K1598" s="108"/>
      <c r="L1598" s="26"/>
    </row>
    <row r="1599">
      <c r="A1599" s="12"/>
      <c r="B1599" s="13"/>
      <c r="C1599" s="14"/>
      <c r="D1599" s="14"/>
      <c r="E1599" s="294"/>
      <c r="F1599" s="15"/>
      <c r="G1599" s="18"/>
      <c r="H1599" s="131"/>
      <c r="I1599" s="18"/>
      <c r="J1599" s="22"/>
      <c r="K1599" s="108"/>
      <c r="L1599" s="26"/>
    </row>
    <row r="1600">
      <c r="A1600" s="12"/>
      <c r="B1600" s="13"/>
      <c r="C1600" s="14"/>
      <c r="D1600" s="14"/>
      <c r="E1600" s="294"/>
      <c r="F1600" s="15"/>
      <c r="G1600" s="18"/>
      <c r="H1600" s="131"/>
      <c r="I1600" s="18"/>
      <c r="J1600" s="22"/>
      <c r="K1600" s="108"/>
      <c r="L1600" s="26"/>
    </row>
    <row r="1601">
      <c r="A1601" s="12"/>
      <c r="B1601" s="13"/>
      <c r="C1601" s="14"/>
      <c r="D1601" s="14"/>
      <c r="E1601" s="294"/>
      <c r="F1601" s="15"/>
      <c r="G1601" s="18"/>
      <c r="H1601" s="131"/>
      <c r="I1601" s="18"/>
      <c r="J1601" s="22"/>
      <c r="K1601" s="108"/>
      <c r="L1601" s="26"/>
    </row>
    <row r="1602">
      <c r="A1602" s="12"/>
      <c r="B1602" s="13"/>
      <c r="C1602" s="14"/>
      <c r="D1602" s="14"/>
      <c r="E1602" s="294"/>
      <c r="F1602" s="15"/>
      <c r="G1602" s="18"/>
      <c r="H1602" s="131"/>
      <c r="I1602" s="18"/>
      <c r="J1602" s="22"/>
      <c r="K1602" s="108"/>
      <c r="L1602" s="26"/>
    </row>
    <row r="1603">
      <c r="A1603" s="12"/>
      <c r="B1603" s="13"/>
      <c r="C1603" s="14"/>
      <c r="D1603" s="14"/>
      <c r="E1603" s="294"/>
      <c r="F1603" s="15"/>
      <c r="G1603" s="18"/>
      <c r="H1603" s="131"/>
      <c r="I1603" s="18"/>
      <c r="J1603" s="22"/>
      <c r="K1603" s="108"/>
      <c r="L1603" s="26"/>
    </row>
    <row r="1604">
      <c r="A1604" s="12"/>
      <c r="B1604" s="13"/>
      <c r="C1604" s="14"/>
      <c r="D1604" s="14"/>
      <c r="E1604" s="294"/>
      <c r="F1604" s="15"/>
      <c r="G1604" s="18"/>
      <c r="H1604" s="131"/>
      <c r="I1604" s="18"/>
      <c r="J1604" s="22"/>
      <c r="K1604" s="108"/>
      <c r="L1604" s="26"/>
    </row>
    <row r="1605">
      <c r="A1605" s="12"/>
      <c r="B1605" s="13"/>
      <c r="C1605" s="14"/>
      <c r="D1605" s="14"/>
      <c r="E1605" s="294"/>
      <c r="F1605" s="15"/>
      <c r="G1605" s="18"/>
      <c r="H1605" s="131"/>
      <c r="I1605" s="18"/>
      <c r="J1605" s="22"/>
      <c r="K1605" s="108"/>
      <c r="L1605" s="26"/>
    </row>
    <row r="1606">
      <c r="A1606" s="12"/>
      <c r="B1606" s="13"/>
      <c r="C1606" s="14"/>
      <c r="D1606" s="14"/>
      <c r="E1606" s="294"/>
      <c r="F1606" s="15"/>
      <c r="G1606" s="18"/>
      <c r="H1606" s="131"/>
      <c r="I1606" s="18"/>
      <c r="J1606" s="22"/>
      <c r="K1606" s="108"/>
      <c r="L1606" s="26"/>
    </row>
    <row r="1607">
      <c r="A1607" s="12"/>
      <c r="B1607" s="13"/>
      <c r="C1607" s="14"/>
      <c r="D1607" s="14"/>
      <c r="E1607" s="294"/>
      <c r="F1607" s="15"/>
      <c r="G1607" s="18"/>
      <c r="H1607" s="131"/>
      <c r="I1607" s="18"/>
      <c r="J1607" s="22"/>
      <c r="K1607" s="108"/>
      <c r="L1607" s="26"/>
    </row>
    <row r="1608">
      <c r="A1608" s="12"/>
      <c r="B1608" s="13"/>
      <c r="C1608" s="14"/>
      <c r="D1608" s="14"/>
      <c r="E1608" s="294"/>
      <c r="F1608" s="15"/>
      <c r="G1608" s="18"/>
      <c r="H1608" s="131"/>
      <c r="I1608" s="18"/>
      <c r="J1608" s="22"/>
      <c r="K1608" s="108"/>
      <c r="L1608" s="26"/>
    </row>
    <row r="1609">
      <c r="A1609" s="12"/>
      <c r="B1609" s="13"/>
      <c r="C1609" s="14"/>
      <c r="D1609" s="14"/>
      <c r="E1609" s="294"/>
      <c r="F1609" s="15"/>
      <c r="G1609" s="18"/>
      <c r="H1609" s="131"/>
      <c r="I1609" s="18"/>
      <c r="J1609" s="22"/>
      <c r="K1609" s="108"/>
      <c r="L1609" s="26"/>
    </row>
    <row r="1610">
      <c r="A1610" s="12"/>
      <c r="B1610" s="13"/>
      <c r="C1610" s="14"/>
      <c r="D1610" s="14"/>
      <c r="E1610" s="294"/>
      <c r="F1610" s="15"/>
      <c r="G1610" s="18"/>
      <c r="H1610" s="131"/>
      <c r="I1610" s="18"/>
      <c r="J1610" s="22"/>
      <c r="K1610" s="108"/>
      <c r="L1610" s="26"/>
    </row>
    <row r="1611">
      <c r="A1611" s="12"/>
      <c r="B1611" s="13"/>
      <c r="C1611" s="14"/>
      <c r="D1611" s="14"/>
      <c r="E1611" s="294"/>
      <c r="F1611" s="15"/>
      <c r="G1611" s="18"/>
      <c r="H1611" s="131"/>
      <c r="I1611" s="18"/>
      <c r="J1611" s="22"/>
      <c r="K1611" s="108"/>
      <c r="L1611" s="26"/>
    </row>
    <row r="1612">
      <c r="A1612" s="12"/>
      <c r="B1612" s="13"/>
      <c r="C1612" s="14"/>
      <c r="D1612" s="14"/>
      <c r="E1612" s="294"/>
      <c r="F1612" s="15"/>
      <c r="G1612" s="18"/>
      <c r="H1612" s="131"/>
      <c r="I1612" s="18"/>
      <c r="J1612" s="22"/>
      <c r="K1612" s="108"/>
      <c r="L1612" s="26"/>
    </row>
    <row r="1613">
      <c r="A1613" s="12"/>
      <c r="B1613" s="13"/>
      <c r="C1613" s="14"/>
      <c r="D1613" s="14"/>
      <c r="E1613" s="294"/>
      <c r="F1613" s="15"/>
      <c r="G1613" s="18"/>
      <c r="H1613" s="131"/>
      <c r="I1613" s="18"/>
      <c r="J1613" s="22"/>
      <c r="K1613" s="108"/>
      <c r="L1613" s="26"/>
    </row>
    <row r="1614">
      <c r="A1614" s="12"/>
      <c r="B1614" s="13"/>
      <c r="C1614" s="14"/>
      <c r="D1614" s="14"/>
      <c r="E1614" s="294"/>
      <c r="F1614" s="15"/>
      <c r="G1614" s="18"/>
      <c r="H1614" s="131"/>
      <c r="I1614" s="18"/>
      <c r="J1614" s="22"/>
      <c r="K1614" s="108"/>
      <c r="L1614" s="26"/>
    </row>
    <row r="1615">
      <c r="A1615" s="12"/>
      <c r="B1615" s="13"/>
      <c r="C1615" s="14"/>
      <c r="D1615" s="14"/>
      <c r="E1615" s="294"/>
      <c r="F1615" s="15"/>
      <c r="G1615" s="18"/>
      <c r="H1615" s="131"/>
      <c r="I1615" s="18"/>
      <c r="J1615" s="22"/>
      <c r="K1615" s="108"/>
      <c r="L1615" s="26"/>
    </row>
    <row r="1616">
      <c r="A1616" s="12"/>
      <c r="B1616" s="13"/>
      <c r="C1616" s="14"/>
      <c r="D1616" s="14"/>
      <c r="E1616" s="294"/>
      <c r="F1616" s="15"/>
      <c r="G1616" s="18"/>
      <c r="H1616" s="131"/>
      <c r="I1616" s="18"/>
      <c r="J1616" s="22"/>
      <c r="K1616" s="108"/>
      <c r="L1616" s="26"/>
    </row>
    <row r="1617">
      <c r="A1617" s="12"/>
      <c r="B1617" s="13"/>
      <c r="C1617" s="14"/>
      <c r="D1617" s="14"/>
      <c r="E1617" s="294"/>
      <c r="F1617" s="15"/>
      <c r="G1617" s="18"/>
      <c r="H1617" s="131"/>
      <c r="I1617" s="18"/>
      <c r="J1617" s="22"/>
      <c r="K1617" s="108"/>
      <c r="L1617" s="26"/>
    </row>
    <row r="1618">
      <c r="A1618" s="12"/>
      <c r="B1618" s="13"/>
      <c r="C1618" s="14"/>
      <c r="D1618" s="14"/>
      <c r="E1618" s="294"/>
      <c r="F1618" s="15"/>
      <c r="G1618" s="18"/>
      <c r="H1618" s="131"/>
      <c r="I1618" s="18"/>
      <c r="J1618" s="22"/>
      <c r="K1618" s="108"/>
      <c r="L1618" s="26"/>
    </row>
    <row r="1619">
      <c r="A1619" s="12"/>
      <c r="B1619" s="13"/>
      <c r="C1619" s="14"/>
      <c r="D1619" s="14"/>
      <c r="E1619" s="294"/>
      <c r="F1619" s="15"/>
      <c r="G1619" s="18"/>
      <c r="H1619" s="131"/>
      <c r="I1619" s="18"/>
      <c r="J1619" s="22"/>
      <c r="K1619" s="108"/>
      <c r="L1619" s="26"/>
    </row>
    <row r="1620">
      <c r="A1620" s="12"/>
      <c r="B1620" s="13"/>
      <c r="C1620" s="14"/>
      <c r="D1620" s="14"/>
      <c r="E1620" s="294"/>
      <c r="F1620" s="15"/>
      <c r="G1620" s="18"/>
      <c r="H1620" s="131"/>
      <c r="I1620" s="18"/>
      <c r="J1620" s="22"/>
      <c r="K1620" s="108"/>
      <c r="L1620" s="26"/>
    </row>
    <row r="1621">
      <c r="A1621" s="12"/>
      <c r="B1621" s="13"/>
      <c r="C1621" s="14"/>
      <c r="D1621" s="14"/>
      <c r="E1621" s="294"/>
      <c r="F1621" s="15"/>
      <c r="G1621" s="18"/>
      <c r="H1621" s="131"/>
      <c r="I1621" s="18"/>
      <c r="J1621" s="22"/>
      <c r="K1621" s="108"/>
      <c r="L1621" s="26"/>
    </row>
    <row r="1622">
      <c r="A1622" s="12"/>
      <c r="B1622" s="13"/>
      <c r="C1622" s="14"/>
      <c r="D1622" s="14"/>
      <c r="E1622" s="294"/>
      <c r="F1622" s="15"/>
      <c r="G1622" s="18"/>
      <c r="H1622" s="131"/>
      <c r="I1622" s="18"/>
      <c r="J1622" s="22"/>
      <c r="K1622" s="108"/>
      <c r="L1622" s="26"/>
    </row>
    <row r="1623">
      <c r="A1623" s="12"/>
      <c r="B1623" s="13"/>
      <c r="C1623" s="14"/>
      <c r="D1623" s="14"/>
      <c r="E1623" s="294"/>
      <c r="F1623" s="15"/>
      <c r="G1623" s="18"/>
      <c r="H1623" s="131"/>
      <c r="I1623" s="18"/>
      <c r="J1623" s="22"/>
      <c r="K1623" s="108"/>
      <c r="L1623" s="26"/>
    </row>
    <row r="1624">
      <c r="A1624" s="12"/>
      <c r="B1624" s="13"/>
      <c r="C1624" s="14"/>
      <c r="D1624" s="14"/>
      <c r="E1624" s="294"/>
      <c r="F1624" s="15"/>
      <c r="G1624" s="18"/>
      <c r="H1624" s="131"/>
      <c r="I1624" s="18"/>
      <c r="J1624" s="22"/>
      <c r="K1624" s="108"/>
      <c r="L1624" s="26"/>
    </row>
    <row r="1625">
      <c r="A1625" s="12"/>
      <c r="B1625" s="13"/>
      <c r="C1625" s="14"/>
      <c r="D1625" s="14"/>
      <c r="E1625" s="294"/>
      <c r="F1625" s="15"/>
      <c r="G1625" s="18"/>
      <c r="H1625" s="131"/>
      <c r="I1625" s="18"/>
      <c r="J1625" s="22"/>
      <c r="K1625" s="108"/>
      <c r="L1625" s="26"/>
    </row>
    <row r="1626">
      <c r="A1626" s="12"/>
      <c r="B1626" s="13"/>
      <c r="C1626" s="14"/>
      <c r="D1626" s="14"/>
      <c r="E1626" s="294"/>
      <c r="F1626" s="15"/>
      <c r="G1626" s="18"/>
      <c r="H1626" s="131"/>
      <c r="I1626" s="18"/>
      <c r="J1626" s="22"/>
      <c r="K1626" s="108"/>
      <c r="L1626" s="26"/>
    </row>
    <row r="1627">
      <c r="A1627" s="12"/>
      <c r="B1627" s="13"/>
      <c r="C1627" s="14"/>
      <c r="D1627" s="14"/>
      <c r="E1627" s="294"/>
      <c r="F1627" s="15"/>
      <c r="G1627" s="18"/>
      <c r="H1627" s="131"/>
      <c r="I1627" s="18"/>
      <c r="J1627" s="22"/>
      <c r="K1627" s="108"/>
      <c r="L1627" s="26"/>
    </row>
    <row r="1628">
      <c r="A1628" s="12"/>
      <c r="B1628" s="13"/>
      <c r="C1628" s="14"/>
      <c r="D1628" s="14"/>
      <c r="E1628" s="294"/>
      <c r="F1628" s="15"/>
      <c r="G1628" s="18"/>
      <c r="H1628" s="131"/>
      <c r="I1628" s="18"/>
      <c r="J1628" s="22"/>
      <c r="K1628" s="108"/>
      <c r="L1628" s="26"/>
    </row>
    <row r="1629">
      <c r="A1629" s="12"/>
      <c r="B1629" s="13"/>
      <c r="C1629" s="14"/>
      <c r="D1629" s="14"/>
      <c r="E1629" s="294"/>
      <c r="F1629" s="15"/>
      <c r="G1629" s="18"/>
      <c r="H1629" s="131"/>
      <c r="I1629" s="18"/>
      <c r="J1629" s="22"/>
      <c r="K1629" s="108"/>
      <c r="L1629" s="26"/>
    </row>
    <row r="1630">
      <c r="A1630" s="12"/>
      <c r="B1630" s="13"/>
      <c r="C1630" s="14"/>
      <c r="D1630" s="14"/>
      <c r="E1630" s="294"/>
      <c r="F1630" s="15"/>
      <c r="G1630" s="18"/>
      <c r="H1630" s="131"/>
      <c r="I1630" s="18"/>
      <c r="J1630" s="22"/>
      <c r="K1630" s="108"/>
      <c r="L1630" s="26"/>
    </row>
    <row r="1631">
      <c r="A1631" s="12"/>
      <c r="B1631" s="13"/>
      <c r="C1631" s="14"/>
      <c r="D1631" s="14"/>
      <c r="E1631" s="294"/>
      <c r="F1631" s="15"/>
      <c r="G1631" s="18"/>
      <c r="H1631" s="131"/>
      <c r="I1631" s="18"/>
      <c r="J1631" s="22"/>
      <c r="K1631" s="108"/>
      <c r="L1631" s="26"/>
    </row>
    <row r="1632">
      <c r="A1632" s="12"/>
      <c r="B1632" s="13"/>
      <c r="C1632" s="14"/>
      <c r="D1632" s="14"/>
      <c r="E1632" s="294"/>
      <c r="F1632" s="15"/>
      <c r="G1632" s="18"/>
      <c r="H1632" s="131"/>
      <c r="I1632" s="18"/>
      <c r="J1632" s="22"/>
      <c r="K1632" s="108"/>
      <c r="L1632" s="26"/>
    </row>
    <row r="1633">
      <c r="A1633" s="12"/>
      <c r="B1633" s="13"/>
      <c r="C1633" s="14"/>
      <c r="D1633" s="14"/>
      <c r="E1633" s="294"/>
      <c r="F1633" s="15"/>
      <c r="G1633" s="18"/>
      <c r="H1633" s="131"/>
      <c r="I1633" s="18"/>
      <c r="J1633" s="22"/>
      <c r="K1633" s="108"/>
      <c r="L1633" s="26"/>
    </row>
    <row r="1634">
      <c r="A1634" s="12"/>
      <c r="B1634" s="13"/>
      <c r="C1634" s="14"/>
      <c r="D1634" s="14"/>
      <c r="E1634" s="294"/>
      <c r="F1634" s="15"/>
      <c r="G1634" s="18"/>
      <c r="H1634" s="131"/>
      <c r="I1634" s="18"/>
      <c r="J1634" s="22"/>
      <c r="K1634" s="108"/>
      <c r="L1634" s="26"/>
    </row>
    <row r="1635">
      <c r="A1635" s="12"/>
      <c r="B1635" s="13"/>
      <c r="C1635" s="14"/>
      <c r="D1635" s="14"/>
      <c r="E1635" s="294"/>
      <c r="F1635" s="15"/>
      <c r="G1635" s="18"/>
      <c r="H1635" s="131"/>
      <c r="I1635" s="18"/>
      <c r="J1635" s="22"/>
      <c r="K1635" s="108"/>
      <c r="L1635" s="26"/>
    </row>
    <row r="1636">
      <c r="A1636" s="12"/>
      <c r="B1636" s="13"/>
      <c r="C1636" s="14"/>
      <c r="D1636" s="14"/>
      <c r="E1636" s="294"/>
      <c r="F1636" s="15"/>
      <c r="G1636" s="18"/>
      <c r="H1636" s="131"/>
      <c r="I1636" s="18"/>
      <c r="J1636" s="22"/>
      <c r="K1636" s="108"/>
      <c r="L1636" s="26"/>
    </row>
    <row r="1637">
      <c r="A1637" s="12"/>
      <c r="B1637" s="13"/>
      <c r="C1637" s="14"/>
      <c r="D1637" s="14"/>
      <c r="E1637" s="294"/>
      <c r="F1637" s="15"/>
      <c r="G1637" s="18"/>
      <c r="H1637" s="131"/>
      <c r="I1637" s="18"/>
      <c r="J1637" s="22"/>
      <c r="K1637" s="108"/>
      <c r="L1637" s="26"/>
    </row>
    <row r="1638">
      <c r="A1638" s="12"/>
      <c r="B1638" s="13"/>
      <c r="C1638" s="14"/>
      <c r="D1638" s="14"/>
      <c r="E1638" s="294"/>
      <c r="F1638" s="15"/>
      <c r="G1638" s="18"/>
      <c r="H1638" s="131"/>
      <c r="I1638" s="18"/>
      <c r="J1638" s="22"/>
      <c r="K1638" s="108"/>
      <c r="L1638" s="26"/>
    </row>
    <row r="1639">
      <c r="A1639" s="12"/>
      <c r="B1639" s="13"/>
      <c r="C1639" s="14"/>
      <c r="D1639" s="14"/>
      <c r="E1639" s="294"/>
      <c r="F1639" s="15"/>
      <c r="G1639" s="18"/>
      <c r="H1639" s="131"/>
      <c r="I1639" s="18"/>
      <c r="J1639" s="22"/>
      <c r="K1639" s="108"/>
      <c r="L1639" s="26"/>
    </row>
    <row r="1640">
      <c r="A1640" s="12"/>
      <c r="B1640" s="13"/>
      <c r="C1640" s="14"/>
      <c r="D1640" s="14"/>
      <c r="E1640" s="294"/>
      <c r="F1640" s="15"/>
      <c r="G1640" s="18"/>
      <c r="H1640" s="131"/>
      <c r="I1640" s="18"/>
      <c r="J1640" s="22"/>
      <c r="K1640" s="108"/>
      <c r="L1640" s="26"/>
    </row>
    <row r="1641">
      <c r="A1641" s="12"/>
      <c r="B1641" s="13"/>
      <c r="C1641" s="14"/>
      <c r="D1641" s="14"/>
      <c r="E1641" s="294"/>
      <c r="F1641" s="15"/>
      <c r="G1641" s="18"/>
      <c r="H1641" s="131"/>
      <c r="I1641" s="18"/>
      <c r="J1641" s="22"/>
      <c r="K1641" s="108"/>
      <c r="L1641" s="26"/>
    </row>
    <row r="1642">
      <c r="A1642" s="12"/>
      <c r="B1642" s="13"/>
      <c r="C1642" s="14"/>
      <c r="D1642" s="14"/>
      <c r="E1642" s="294"/>
      <c r="F1642" s="15"/>
      <c r="G1642" s="18"/>
      <c r="H1642" s="131"/>
      <c r="I1642" s="18"/>
      <c r="J1642" s="22"/>
      <c r="K1642" s="108"/>
      <c r="L1642" s="26"/>
    </row>
    <row r="1643">
      <c r="A1643" s="12"/>
      <c r="B1643" s="13"/>
      <c r="C1643" s="14"/>
      <c r="D1643" s="14"/>
      <c r="E1643" s="294"/>
      <c r="F1643" s="15"/>
      <c r="G1643" s="18"/>
      <c r="H1643" s="131"/>
      <c r="I1643" s="18"/>
      <c r="J1643" s="22"/>
      <c r="K1643" s="108"/>
      <c r="L1643" s="26"/>
    </row>
    <row r="1644">
      <c r="A1644" s="12"/>
      <c r="B1644" s="13"/>
      <c r="C1644" s="14"/>
      <c r="D1644" s="14"/>
      <c r="E1644" s="294"/>
      <c r="F1644" s="15"/>
      <c r="G1644" s="18"/>
      <c r="H1644" s="131"/>
      <c r="I1644" s="18"/>
      <c r="J1644" s="22"/>
      <c r="K1644" s="108"/>
      <c r="L1644" s="26"/>
    </row>
    <row r="1645">
      <c r="A1645" s="12"/>
      <c r="B1645" s="13"/>
      <c r="C1645" s="14"/>
      <c r="D1645" s="14"/>
      <c r="E1645" s="294"/>
      <c r="F1645" s="15"/>
      <c r="G1645" s="18"/>
      <c r="H1645" s="131"/>
      <c r="I1645" s="18"/>
      <c r="J1645" s="22"/>
      <c r="K1645" s="108"/>
      <c r="L1645" s="26"/>
    </row>
    <row r="1646">
      <c r="A1646" s="12"/>
      <c r="B1646" s="13"/>
      <c r="C1646" s="14"/>
      <c r="D1646" s="14"/>
      <c r="E1646" s="294"/>
      <c r="F1646" s="15"/>
      <c r="G1646" s="18"/>
      <c r="H1646" s="131"/>
      <c r="I1646" s="18"/>
      <c r="J1646" s="22"/>
      <c r="K1646" s="108"/>
      <c r="L1646" s="26"/>
    </row>
    <row r="1647">
      <c r="A1647" s="12"/>
      <c r="B1647" s="13"/>
      <c r="C1647" s="14"/>
      <c r="D1647" s="14"/>
      <c r="E1647" s="294"/>
      <c r="F1647" s="15"/>
      <c r="G1647" s="18"/>
      <c r="H1647" s="131"/>
      <c r="I1647" s="18"/>
      <c r="J1647" s="22"/>
      <c r="K1647" s="108"/>
      <c r="L1647" s="26"/>
    </row>
    <row r="1648">
      <c r="A1648" s="12"/>
      <c r="B1648" s="13"/>
      <c r="C1648" s="14"/>
      <c r="D1648" s="14"/>
      <c r="E1648" s="294"/>
      <c r="F1648" s="15"/>
      <c r="G1648" s="18"/>
      <c r="H1648" s="131"/>
      <c r="I1648" s="18"/>
      <c r="J1648" s="22"/>
      <c r="K1648" s="108"/>
      <c r="L1648" s="26"/>
    </row>
    <row r="1649">
      <c r="A1649" s="12"/>
      <c r="B1649" s="13"/>
      <c r="C1649" s="14"/>
      <c r="D1649" s="14"/>
      <c r="E1649" s="294"/>
      <c r="F1649" s="15"/>
      <c r="G1649" s="18"/>
      <c r="H1649" s="131"/>
      <c r="I1649" s="18"/>
      <c r="J1649" s="22"/>
      <c r="K1649" s="108"/>
      <c r="L1649" s="26"/>
    </row>
    <row r="1650">
      <c r="A1650" s="12"/>
      <c r="B1650" s="13"/>
      <c r="C1650" s="14"/>
      <c r="D1650" s="14"/>
      <c r="E1650" s="294"/>
      <c r="F1650" s="15"/>
      <c r="G1650" s="18"/>
      <c r="H1650" s="131"/>
      <c r="I1650" s="18"/>
      <c r="J1650" s="22"/>
      <c r="K1650" s="108"/>
      <c r="L1650" s="26"/>
    </row>
    <row r="1651">
      <c r="A1651" s="12"/>
      <c r="B1651" s="13"/>
      <c r="C1651" s="14"/>
      <c r="D1651" s="14"/>
      <c r="E1651" s="294"/>
      <c r="F1651" s="15"/>
      <c r="G1651" s="18"/>
      <c r="H1651" s="131"/>
      <c r="I1651" s="18"/>
      <c r="J1651" s="22"/>
      <c r="K1651" s="108"/>
      <c r="L1651" s="26"/>
    </row>
    <row r="1652">
      <c r="A1652" s="12"/>
      <c r="B1652" s="13"/>
      <c r="C1652" s="14"/>
      <c r="D1652" s="14"/>
      <c r="E1652" s="294"/>
      <c r="F1652" s="15"/>
      <c r="G1652" s="18"/>
      <c r="H1652" s="131"/>
      <c r="I1652" s="18"/>
      <c r="J1652" s="22"/>
      <c r="K1652" s="108"/>
      <c r="L1652" s="26"/>
    </row>
    <row r="1653">
      <c r="A1653" s="12"/>
      <c r="B1653" s="13"/>
      <c r="C1653" s="14"/>
      <c r="D1653" s="14"/>
      <c r="E1653" s="294"/>
      <c r="F1653" s="15"/>
      <c r="G1653" s="18"/>
      <c r="H1653" s="131"/>
      <c r="I1653" s="18"/>
      <c r="J1653" s="22"/>
      <c r="K1653" s="108"/>
      <c r="L1653" s="26"/>
    </row>
    <row r="1654">
      <c r="A1654" s="12"/>
      <c r="B1654" s="13"/>
      <c r="C1654" s="14"/>
      <c r="D1654" s="14"/>
      <c r="E1654" s="294"/>
      <c r="F1654" s="15"/>
      <c r="G1654" s="18"/>
      <c r="H1654" s="131"/>
      <c r="I1654" s="18"/>
      <c r="J1654" s="22"/>
      <c r="K1654" s="108"/>
      <c r="L1654" s="26"/>
    </row>
    <row r="1655">
      <c r="A1655" s="12"/>
      <c r="B1655" s="13"/>
      <c r="C1655" s="14"/>
      <c r="D1655" s="14"/>
      <c r="E1655" s="294"/>
      <c r="F1655" s="15"/>
      <c r="G1655" s="18"/>
      <c r="H1655" s="131"/>
      <c r="I1655" s="18"/>
      <c r="J1655" s="22"/>
      <c r="K1655" s="108"/>
      <c r="L1655" s="26"/>
    </row>
    <row r="1656">
      <c r="A1656" s="12"/>
      <c r="B1656" s="13"/>
      <c r="C1656" s="14"/>
      <c r="D1656" s="14"/>
      <c r="E1656" s="294"/>
      <c r="F1656" s="15"/>
      <c r="G1656" s="18"/>
      <c r="H1656" s="131"/>
      <c r="I1656" s="18"/>
      <c r="J1656" s="22"/>
      <c r="K1656" s="108"/>
      <c r="L1656" s="26"/>
    </row>
    <row r="1657">
      <c r="A1657" s="12"/>
      <c r="B1657" s="13"/>
      <c r="C1657" s="14"/>
      <c r="D1657" s="14"/>
      <c r="E1657" s="294"/>
      <c r="F1657" s="15"/>
      <c r="G1657" s="18"/>
      <c r="H1657" s="131"/>
      <c r="I1657" s="18"/>
      <c r="J1657" s="22"/>
      <c r="K1657" s="108"/>
      <c r="L1657" s="26"/>
    </row>
    <row r="1658">
      <c r="A1658" s="12"/>
      <c r="B1658" s="13"/>
      <c r="C1658" s="14"/>
      <c r="D1658" s="14"/>
      <c r="E1658" s="294"/>
      <c r="F1658" s="15"/>
      <c r="G1658" s="18"/>
      <c r="H1658" s="131"/>
      <c r="I1658" s="18"/>
      <c r="J1658" s="22"/>
      <c r="K1658" s="108"/>
      <c r="L1658" s="26"/>
    </row>
    <row r="1659">
      <c r="A1659" s="12"/>
      <c r="B1659" s="13"/>
      <c r="C1659" s="14"/>
      <c r="D1659" s="14"/>
      <c r="E1659" s="294"/>
      <c r="F1659" s="15"/>
      <c r="G1659" s="18"/>
      <c r="H1659" s="131"/>
      <c r="I1659" s="18"/>
      <c r="J1659" s="22"/>
      <c r="K1659" s="108"/>
      <c r="L1659" s="26"/>
    </row>
    <row r="1660">
      <c r="A1660" s="12"/>
      <c r="B1660" s="13"/>
      <c r="C1660" s="14"/>
      <c r="D1660" s="14"/>
      <c r="E1660" s="294"/>
      <c r="F1660" s="15"/>
      <c r="G1660" s="18"/>
      <c r="H1660" s="131"/>
      <c r="I1660" s="18"/>
      <c r="J1660" s="22"/>
      <c r="K1660" s="108"/>
      <c r="L1660" s="26"/>
    </row>
    <row r="1661">
      <c r="A1661" s="12"/>
      <c r="B1661" s="13"/>
      <c r="C1661" s="14"/>
      <c r="D1661" s="14"/>
      <c r="E1661" s="294"/>
      <c r="F1661" s="15"/>
      <c r="G1661" s="18"/>
      <c r="H1661" s="131"/>
      <c r="I1661" s="18"/>
      <c r="J1661" s="22"/>
      <c r="K1661" s="108"/>
      <c r="L1661" s="26"/>
    </row>
    <row r="1662">
      <c r="A1662" s="12"/>
      <c r="B1662" s="13"/>
      <c r="C1662" s="14"/>
      <c r="D1662" s="14"/>
      <c r="E1662" s="294"/>
      <c r="F1662" s="15"/>
      <c r="G1662" s="18"/>
      <c r="H1662" s="131"/>
      <c r="I1662" s="18"/>
      <c r="J1662" s="22"/>
      <c r="K1662" s="108"/>
      <c r="L1662" s="26"/>
    </row>
    <row r="1663">
      <c r="A1663" s="12"/>
      <c r="B1663" s="13"/>
      <c r="C1663" s="14"/>
      <c r="D1663" s="14"/>
      <c r="E1663" s="294"/>
      <c r="F1663" s="15"/>
      <c r="G1663" s="18"/>
      <c r="H1663" s="131"/>
      <c r="I1663" s="18"/>
      <c r="J1663" s="22"/>
      <c r="K1663" s="108"/>
      <c r="L1663" s="26"/>
    </row>
    <row r="1664">
      <c r="A1664" s="12"/>
      <c r="B1664" s="13"/>
      <c r="C1664" s="14"/>
      <c r="D1664" s="14"/>
      <c r="E1664" s="294"/>
      <c r="F1664" s="15"/>
      <c r="G1664" s="18"/>
      <c r="H1664" s="131"/>
      <c r="I1664" s="18"/>
      <c r="J1664" s="22"/>
      <c r="K1664" s="108"/>
      <c r="L1664" s="26"/>
    </row>
    <row r="1665">
      <c r="A1665" s="12"/>
      <c r="B1665" s="13"/>
      <c r="C1665" s="14"/>
      <c r="D1665" s="14"/>
      <c r="E1665" s="294"/>
      <c r="F1665" s="15"/>
      <c r="G1665" s="18"/>
      <c r="H1665" s="131"/>
      <c r="I1665" s="18"/>
      <c r="J1665" s="22"/>
      <c r="K1665" s="108"/>
      <c r="L1665" s="26"/>
    </row>
    <row r="1666">
      <c r="A1666" s="12"/>
      <c r="B1666" s="13"/>
      <c r="C1666" s="14"/>
      <c r="D1666" s="14"/>
      <c r="E1666" s="294"/>
      <c r="F1666" s="15"/>
      <c r="G1666" s="18"/>
      <c r="H1666" s="131"/>
      <c r="I1666" s="18"/>
      <c r="J1666" s="22"/>
      <c r="K1666" s="108"/>
      <c r="L1666" s="26"/>
    </row>
    <row r="1667">
      <c r="A1667" s="12"/>
      <c r="B1667" s="13"/>
      <c r="C1667" s="14"/>
      <c r="D1667" s="14"/>
      <c r="E1667" s="294"/>
      <c r="F1667" s="15"/>
      <c r="G1667" s="18"/>
      <c r="H1667" s="131"/>
      <c r="I1667" s="18"/>
      <c r="J1667" s="22"/>
      <c r="K1667" s="108"/>
      <c r="L1667" s="26"/>
    </row>
    <row r="1668">
      <c r="A1668" s="12"/>
      <c r="B1668" s="13"/>
      <c r="C1668" s="14"/>
      <c r="D1668" s="14"/>
      <c r="E1668" s="294"/>
      <c r="F1668" s="15"/>
      <c r="G1668" s="18"/>
      <c r="H1668" s="131"/>
      <c r="I1668" s="18"/>
      <c r="J1668" s="22"/>
      <c r="K1668" s="108"/>
      <c r="L1668" s="26"/>
    </row>
    <row r="1669">
      <c r="A1669" s="12"/>
      <c r="B1669" s="13"/>
      <c r="C1669" s="14"/>
      <c r="D1669" s="14"/>
      <c r="E1669" s="294"/>
      <c r="F1669" s="15"/>
      <c r="G1669" s="18"/>
      <c r="H1669" s="131"/>
      <c r="I1669" s="18"/>
      <c r="J1669" s="22"/>
      <c r="K1669" s="108"/>
      <c r="L1669" s="26"/>
    </row>
    <row r="1670">
      <c r="A1670" s="12"/>
      <c r="B1670" s="13"/>
      <c r="C1670" s="14"/>
      <c r="D1670" s="14"/>
      <c r="E1670" s="294"/>
      <c r="F1670" s="15"/>
      <c r="G1670" s="18"/>
      <c r="H1670" s="131"/>
      <c r="I1670" s="18"/>
      <c r="J1670" s="22"/>
      <c r="K1670" s="108"/>
      <c r="L1670" s="26"/>
    </row>
    <row r="1671">
      <c r="A1671" s="12"/>
      <c r="B1671" s="13"/>
      <c r="C1671" s="14"/>
      <c r="D1671" s="14"/>
      <c r="E1671" s="294"/>
      <c r="F1671" s="15"/>
      <c r="G1671" s="18"/>
      <c r="H1671" s="131"/>
      <c r="I1671" s="18"/>
      <c r="J1671" s="22"/>
      <c r="K1671" s="108"/>
      <c r="L1671" s="26"/>
    </row>
    <row r="1672">
      <c r="A1672" s="12"/>
      <c r="B1672" s="13"/>
      <c r="C1672" s="14"/>
      <c r="D1672" s="14"/>
      <c r="E1672" s="294"/>
      <c r="F1672" s="15"/>
      <c r="G1672" s="18"/>
      <c r="H1672" s="131"/>
      <c r="I1672" s="18"/>
      <c r="J1672" s="22"/>
      <c r="K1672" s="108"/>
      <c r="L1672" s="26"/>
    </row>
    <row r="1673">
      <c r="A1673" s="12"/>
      <c r="B1673" s="13"/>
      <c r="C1673" s="14"/>
      <c r="D1673" s="14"/>
      <c r="E1673" s="294"/>
      <c r="F1673" s="15"/>
      <c r="G1673" s="18"/>
      <c r="H1673" s="131"/>
      <c r="I1673" s="18"/>
      <c r="J1673" s="22"/>
      <c r="K1673" s="108"/>
      <c r="L1673" s="26"/>
    </row>
    <row r="1674">
      <c r="A1674" s="12"/>
      <c r="B1674" s="13"/>
      <c r="C1674" s="14"/>
      <c r="D1674" s="14"/>
      <c r="E1674" s="294"/>
      <c r="F1674" s="15"/>
      <c r="G1674" s="18"/>
      <c r="H1674" s="131"/>
      <c r="I1674" s="18"/>
      <c r="J1674" s="22"/>
      <c r="K1674" s="108"/>
      <c r="L1674" s="26"/>
    </row>
    <row r="1675">
      <c r="A1675" s="12"/>
      <c r="B1675" s="13"/>
      <c r="C1675" s="14"/>
      <c r="D1675" s="14"/>
      <c r="E1675" s="294"/>
      <c r="F1675" s="15"/>
      <c r="G1675" s="18"/>
      <c r="H1675" s="131"/>
      <c r="I1675" s="18"/>
      <c r="J1675" s="22"/>
      <c r="K1675" s="108"/>
      <c r="L1675" s="26"/>
    </row>
    <row r="1676">
      <c r="A1676" s="12"/>
      <c r="B1676" s="13"/>
      <c r="C1676" s="14"/>
      <c r="D1676" s="14"/>
      <c r="E1676" s="294"/>
      <c r="F1676" s="15"/>
      <c r="G1676" s="18"/>
      <c r="H1676" s="131"/>
      <c r="I1676" s="18"/>
      <c r="J1676" s="22"/>
      <c r="K1676" s="108"/>
      <c r="L1676" s="26"/>
    </row>
    <row r="1677">
      <c r="A1677" s="12"/>
      <c r="B1677" s="13"/>
      <c r="C1677" s="14"/>
      <c r="D1677" s="14"/>
      <c r="E1677" s="294"/>
      <c r="F1677" s="15"/>
      <c r="G1677" s="18"/>
      <c r="H1677" s="131"/>
      <c r="I1677" s="18"/>
      <c r="J1677" s="22"/>
      <c r="K1677" s="108"/>
      <c r="L1677" s="26"/>
    </row>
    <row r="1678">
      <c r="A1678" s="12"/>
      <c r="B1678" s="13"/>
      <c r="C1678" s="14"/>
      <c r="D1678" s="14"/>
      <c r="E1678" s="294"/>
      <c r="F1678" s="15"/>
      <c r="G1678" s="18"/>
      <c r="H1678" s="131"/>
      <c r="I1678" s="18"/>
      <c r="J1678" s="22"/>
      <c r="K1678" s="108"/>
      <c r="L1678" s="26"/>
    </row>
    <row r="1679">
      <c r="A1679" s="12"/>
      <c r="B1679" s="13"/>
      <c r="C1679" s="14"/>
      <c r="D1679" s="14"/>
      <c r="E1679" s="294"/>
      <c r="F1679" s="15"/>
      <c r="G1679" s="18"/>
      <c r="H1679" s="131"/>
      <c r="I1679" s="18"/>
      <c r="J1679" s="22"/>
      <c r="K1679" s="108"/>
      <c r="L1679" s="26"/>
    </row>
    <row r="1680">
      <c r="A1680" s="12"/>
      <c r="B1680" s="13"/>
      <c r="C1680" s="14"/>
      <c r="D1680" s="14"/>
      <c r="E1680" s="294"/>
      <c r="F1680" s="15"/>
      <c r="G1680" s="18"/>
      <c r="H1680" s="131"/>
      <c r="I1680" s="18"/>
      <c r="J1680" s="22"/>
      <c r="K1680" s="108"/>
      <c r="L1680" s="26"/>
    </row>
    <row r="1681">
      <c r="A1681" s="12"/>
      <c r="B1681" s="13"/>
      <c r="C1681" s="14"/>
      <c r="D1681" s="14"/>
      <c r="E1681" s="294"/>
      <c r="F1681" s="15"/>
      <c r="G1681" s="18"/>
      <c r="H1681" s="131"/>
      <c r="I1681" s="18"/>
      <c r="J1681" s="22"/>
      <c r="K1681" s="108"/>
      <c r="L1681" s="26"/>
    </row>
    <row r="1682">
      <c r="A1682" s="12"/>
      <c r="B1682" s="13"/>
      <c r="C1682" s="14"/>
      <c r="D1682" s="14"/>
      <c r="E1682" s="294"/>
      <c r="F1682" s="15"/>
      <c r="G1682" s="18"/>
      <c r="H1682" s="131"/>
      <c r="I1682" s="18"/>
      <c r="J1682" s="22"/>
      <c r="K1682" s="108"/>
      <c r="L1682" s="26"/>
    </row>
    <row r="1683">
      <c r="A1683" s="12"/>
      <c r="B1683" s="13"/>
      <c r="C1683" s="14"/>
      <c r="D1683" s="14"/>
      <c r="E1683" s="294"/>
      <c r="F1683" s="15"/>
      <c r="G1683" s="18"/>
      <c r="H1683" s="131"/>
      <c r="I1683" s="18"/>
      <c r="J1683" s="22"/>
      <c r="K1683" s="108"/>
      <c r="L1683" s="26"/>
    </row>
    <row r="1684">
      <c r="A1684" s="12"/>
      <c r="B1684" s="13"/>
      <c r="C1684" s="14"/>
      <c r="D1684" s="14"/>
      <c r="E1684" s="294"/>
      <c r="F1684" s="15"/>
      <c r="G1684" s="18"/>
      <c r="H1684" s="131"/>
      <c r="I1684" s="18"/>
      <c r="J1684" s="22"/>
      <c r="K1684" s="108"/>
      <c r="L1684" s="26"/>
    </row>
    <row r="1685">
      <c r="A1685" s="12"/>
      <c r="B1685" s="13"/>
      <c r="C1685" s="14"/>
      <c r="D1685" s="14"/>
      <c r="E1685" s="294"/>
      <c r="F1685" s="15"/>
      <c r="G1685" s="18"/>
      <c r="H1685" s="131"/>
      <c r="I1685" s="18"/>
      <c r="J1685" s="22"/>
      <c r="K1685" s="108"/>
      <c r="L1685" s="26"/>
    </row>
    <row r="1686">
      <c r="A1686" s="12"/>
      <c r="B1686" s="13"/>
      <c r="C1686" s="14"/>
      <c r="D1686" s="14"/>
      <c r="E1686" s="294"/>
      <c r="F1686" s="15"/>
      <c r="G1686" s="18"/>
      <c r="H1686" s="131"/>
      <c r="I1686" s="18"/>
      <c r="J1686" s="22"/>
      <c r="K1686" s="108"/>
      <c r="L1686" s="26"/>
    </row>
    <row r="1687">
      <c r="A1687" s="12"/>
      <c r="B1687" s="13"/>
      <c r="C1687" s="14"/>
      <c r="D1687" s="14"/>
      <c r="E1687" s="294"/>
      <c r="F1687" s="15"/>
      <c r="G1687" s="18"/>
      <c r="H1687" s="131"/>
      <c r="I1687" s="18"/>
      <c r="J1687" s="22"/>
      <c r="K1687" s="108"/>
      <c r="L1687" s="26"/>
    </row>
    <row r="1688">
      <c r="A1688" s="12"/>
      <c r="B1688" s="13"/>
      <c r="C1688" s="14"/>
      <c r="D1688" s="14"/>
      <c r="E1688" s="294"/>
      <c r="F1688" s="15"/>
      <c r="G1688" s="18"/>
      <c r="H1688" s="131"/>
      <c r="I1688" s="18"/>
      <c r="J1688" s="22"/>
      <c r="K1688" s="108"/>
      <c r="L1688" s="26"/>
    </row>
    <row r="1689">
      <c r="A1689" s="12"/>
      <c r="B1689" s="13"/>
      <c r="C1689" s="14"/>
      <c r="D1689" s="14"/>
      <c r="E1689" s="294"/>
      <c r="F1689" s="15"/>
      <c r="G1689" s="18"/>
      <c r="H1689" s="131"/>
      <c r="I1689" s="18"/>
      <c r="J1689" s="22"/>
      <c r="K1689" s="108"/>
      <c r="L1689" s="26"/>
    </row>
    <row r="1690">
      <c r="A1690" s="12"/>
      <c r="B1690" s="13"/>
      <c r="C1690" s="14"/>
      <c r="D1690" s="14"/>
      <c r="E1690" s="294"/>
      <c r="F1690" s="15"/>
      <c r="G1690" s="18"/>
      <c r="H1690" s="131"/>
      <c r="I1690" s="18"/>
      <c r="J1690" s="22"/>
      <c r="K1690" s="108"/>
      <c r="L1690" s="26"/>
    </row>
    <row r="1691">
      <c r="A1691" s="12"/>
      <c r="B1691" s="13"/>
      <c r="C1691" s="14"/>
      <c r="D1691" s="14"/>
      <c r="E1691" s="294"/>
      <c r="F1691" s="15"/>
      <c r="G1691" s="18"/>
      <c r="H1691" s="131"/>
      <c r="I1691" s="18"/>
      <c r="J1691" s="22"/>
      <c r="K1691" s="108"/>
      <c r="L1691" s="26"/>
    </row>
    <row r="1692">
      <c r="A1692" s="12"/>
      <c r="B1692" s="13"/>
      <c r="C1692" s="14"/>
      <c r="D1692" s="14"/>
      <c r="E1692" s="294"/>
      <c r="F1692" s="15"/>
      <c r="G1692" s="18"/>
      <c r="H1692" s="131"/>
      <c r="I1692" s="18"/>
      <c r="J1692" s="22"/>
      <c r="K1692" s="108"/>
      <c r="L1692" s="26"/>
    </row>
    <row r="1693">
      <c r="A1693" s="12"/>
      <c r="B1693" s="13"/>
      <c r="C1693" s="14"/>
      <c r="D1693" s="14"/>
      <c r="E1693" s="294"/>
      <c r="F1693" s="15"/>
      <c r="G1693" s="18"/>
      <c r="H1693" s="131"/>
      <c r="I1693" s="18"/>
      <c r="J1693" s="22"/>
      <c r="K1693" s="108"/>
      <c r="L1693" s="26"/>
    </row>
    <row r="1694">
      <c r="A1694" s="12"/>
      <c r="B1694" s="13"/>
      <c r="C1694" s="14"/>
      <c r="D1694" s="14"/>
      <c r="E1694" s="294"/>
      <c r="F1694" s="15"/>
      <c r="G1694" s="18"/>
      <c r="H1694" s="131"/>
      <c r="I1694" s="18"/>
      <c r="J1694" s="22"/>
      <c r="K1694" s="108"/>
      <c r="L1694" s="26"/>
    </row>
    <row r="1695">
      <c r="A1695" s="12"/>
      <c r="B1695" s="13"/>
      <c r="C1695" s="14"/>
      <c r="D1695" s="14"/>
      <c r="E1695" s="294"/>
      <c r="F1695" s="15"/>
      <c r="G1695" s="18"/>
      <c r="H1695" s="131"/>
      <c r="I1695" s="18"/>
      <c r="J1695" s="22"/>
      <c r="K1695" s="108"/>
      <c r="L1695" s="26"/>
    </row>
    <row r="1696">
      <c r="A1696" s="12"/>
      <c r="B1696" s="13"/>
      <c r="C1696" s="14"/>
      <c r="D1696" s="14"/>
      <c r="E1696" s="294"/>
      <c r="F1696" s="15"/>
      <c r="G1696" s="18"/>
      <c r="H1696" s="131"/>
      <c r="I1696" s="18"/>
      <c r="J1696" s="22"/>
      <c r="K1696" s="108"/>
      <c r="L1696" s="26"/>
    </row>
    <row r="1697">
      <c r="A1697" s="12"/>
      <c r="B1697" s="13"/>
      <c r="C1697" s="14"/>
      <c r="D1697" s="14"/>
      <c r="E1697" s="294"/>
      <c r="F1697" s="15"/>
      <c r="G1697" s="18"/>
      <c r="H1697" s="131"/>
      <c r="I1697" s="18"/>
      <c r="J1697" s="22"/>
      <c r="K1697" s="108"/>
      <c r="L1697" s="26"/>
    </row>
    <row r="1698">
      <c r="A1698" s="12"/>
      <c r="B1698" s="13"/>
      <c r="C1698" s="14"/>
      <c r="D1698" s="14"/>
      <c r="E1698" s="294"/>
      <c r="F1698" s="15"/>
      <c r="G1698" s="18"/>
      <c r="H1698" s="131"/>
      <c r="I1698" s="18"/>
      <c r="J1698" s="22"/>
      <c r="K1698" s="108"/>
      <c r="L1698" s="26"/>
    </row>
    <row r="1699">
      <c r="A1699" s="12"/>
      <c r="B1699" s="13"/>
      <c r="C1699" s="14"/>
      <c r="D1699" s="14"/>
      <c r="E1699" s="294"/>
      <c r="F1699" s="15"/>
      <c r="G1699" s="18"/>
      <c r="H1699" s="131"/>
      <c r="I1699" s="18"/>
      <c r="J1699" s="22"/>
      <c r="K1699" s="108"/>
      <c r="L1699" s="26"/>
    </row>
    <row r="1700">
      <c r="A1700" s="12"/>
      <c r="B1700" s="13"/>
      <c r="C1700" s="14"/>
      <c r="D1700" s="14"/>
      <c r="E1700" s="294"/>
      <c r="F1700" s="15"/>
      <c r="G1700" s="18"/>
      <c r="H1700" s="131"/>
      <c r="I1700" s="18"/>
      <c r="J1700" s="22"/>
      <c r="K1700" s="108"/>
      <c r="L1700" s="26"/>
    </row>
    <row r="1701">
      <c r="A1701" s="12"/>
      <c r="B1701" s="13"/>
      <c r="C1701" s="14"/>
      <c r="D1701" s="14"/>
      <c r="E1701" s="294"/>
      <c r="F1701" s="15"/>
      <c r="G1701" s="18"/>
      <c r="H1701" s="131"/>
      <c r="I1701" s="18"/>
      <c r="J1701" s="22"/>
      <c r="K1701" s="108"/>
      <c r="L1701" s="26"/>
    </row>
    <row r="1702">
      <c r="A1702" s="12"/>
      <c r="B1702" s="13"/>
      <c r="C1702" s="14"/>
      <c r="D1702" s="14"/>
      <c r="E1702" s="294"/>
      <c r="F1702" s="15"/>
      <c r="G1702" s="18"/>
      <c r="H1702" s="131"/>
      <c r="I1702" s="18"/>
      <c r="J1702" s="22"/>
      <c r="K1702" s="108"/>
      <c r="L1702" s="26"/>
    </row>
    <row r="1703">
      <c r="A1703" s="12"/>
      <c r="B1703" s="13"/>
      <c r="C1703" s="14"/>
      <c r="D1703" s="14"/>
      <c r="E1703" s="294"/>
      <c r="F1703" s="15"/>
      <c r="G1703" s="18"/>
      <c r="H1703" s="131"/>
      <c r="I1703" s="18"/>
      <c r="J1703" s="22"/>
      <c r="K1703" s="108"/>
      <c r="L1703" s="26"/>
    </row>
    <row r="1704">
      <c r="A1704" s="12"/>
      <c r="B1704" s="13"/>
      <c r="C1704" s="14"/>
      <c r="D1704" s="14"/>
      <c r="E1704" s="294"/>
      <c r="F1704" s="15"/>
      <c r="G1704" s="18"/>
      <c r="H1704" s="131"/>
      <c r="I1704" s="18"/>
      <c r="J1704" s="22"/>
      <c r="K1704" s="108"/>
      <c r="L1704" s="26"/>
    </row>
    <row r="1705">
      <c r="A1705" s="12"/>
      <c r="B1705" s="13"/>
      <c r="C1705" s="14"/>
      <c r="D1705" s="14"/>
      <c r="E1705" s="294"/>
      <c r="F1705" s="15"/>
      <c r="G1705" s="18"/>
      <c r="H1705" s="131"/>
      <c r="I1705" s="18"/>
      <c r="J1705" s="22"/>
      <c r="K1705" s="108"/>
      <c r="L1705" s="26"/>
    </row>
    <row r="1706">
      <c r="A1706" s="12"/>
      <c r="B1706" s="13"/>
      <c r="C1706" s="14"/>
      <c r="D1706" s="14"/>
      <c r="E1706" s="294"/>
      <c r="F1706" s="15"/>
      <c r="G1706" s="18"/>
      <c r="H1706" s="131"/>
      <c r="I1706" s="18"/>
      <c r="J1706" s="22"/>
      <c r="K1706" s="108"/>
      <c r="L1706" s="26"/>
    </row>
    <row r="1707">
      <c r="A1707" s="12"/>
      <c r="B1707" s="13"/>
      <c r="C1707" s="14"/>
      <c r="D1707" s="14"/>
      <c r="E1707" s="294"/>
      <c r="F1707" s="15"/>
      <c r="G1707" s="18"/>
      <c r="H1707" s="131"/>
      <c r="I1707" s="18"/>
      <c r="J1707" s="22"/>
      <c r="K1707" s="108"/>
      <c r="L1707" s="26"/>
    </row>
    <row r="1708">
      <c r="A1708" s="12"/>
      <c r="B1708" s="13"/>
      <c r="C1708" s="14"/>
      <c r="D1708" s="14"/>
      <c r="E1708" s="294"/>
      <c r="F1708" s="15"/>
      <c r="G1708" s="18"/>
      <c r="H1708" s="131"/>
      <c r="I1708" s="18"/>
      <c r="J1708" s="22"/>
      <c r="K1708" s="108"/>
      <c r="L1708" s="26"/>
    </row>
    <row r="1709">
      <c r="A1709" s="12"/>
      <c r="B1709" s="13"/>
      <c r="C1709" s="14"/>
      <c r="D1709" s="14"/>
      <c r="E1709" s="294"/>
      <c r="F1709" s="15"/>
      <c r="G1709" s="18"/>
      <c r="H1709" s="131"/>
      <c r="I1709" s="18"/>
      <c r="J1709" s="22"/>
      <c r="K1709" s="108"/>
      <c r="L1709" s="26"/>
    </row>
    <row r="1710">
      <c r="A1710" s="12"/>
      <c r="B1710" s="13"/>
      <c r="C1710" s="14"/>
      <c r="D1710" s="14"/>
      <c r="E1710" s="294"/>
      <c r="F1710" s="15"/>
      <c r="G1710" s="18"/>
      <c r="H1710" s="131"/>
      <c r="I1710" s="18"/>
      <c r="J1710" s="22"/>
      <c r="K1710" s="108"/>
      <c r="L1710" s="26"/>
    </row>
    <row r="1711">
      <c r="A1711" s="12"/>
      <c r="B1711" s="13"/>
      <c r="C1711" s="14"/>
      <c r="D1711" s="14"/>
      <c r="E1711" s="294"/>
      <c r="F1711" s="15"/>
      <c r="G1711" s="18"/>
      <c r="H1711" s="131"/>
      <c r="I1711" s="18"/>
      <c r="J1711" s="22"/>
      <c r="K1711" s="108"/>
      <c r="L1711" s="26"/>
    </row>
    <row r="1712">
      <c r="A1712" s="12"/>
      <c r="B1712" s="13"/>
      <c r="C1712" s="14"/>
      <c r="D1712" s="14"/>
      <c r="E1712" s="294"/>
      <c r="F1712" s="15"/>
      <c r="G1712" s="18"/>
      <c r="H1712" s="131"/>
      <c r="I1712" s="18"/>
      <c r="J1712" s="22"/>
      <c r="K1712" s="108"/>
      <c r="L1712" s="26"/>
    </row>
    <row r="1713">
      <c r="A1713" s="12"/>
      <c r="B1713" s="13"/>
      <c r="C1713" s="14"/>
      <c r="D1713" s="14"/>
      <c r="E1713" s="294"/>
      <c r="F1713" s="15"/>
      <c r="G1713" s="18"/>
      <c r="H1713" s="131"/>
      <c r="I1713" s="18"/>
      <c r="J1713" s="22"/>
      <c r="K1713" s="108"/>
      <c r="L1713" s="26"/>
    </row>
    <row r="1714">
      <c r="A1714" s="12"/>
      <c r="B1714" s="13"/>
      <c r="C1714" s="14"/>
      <c r="D1714" s="14"/>
      <c r="E1714" s="294"/>
      <c r="F1714" s="15"/>
      <c r="G1714" s="18"/>
      <c r="H1714" s="131"/>
      <c r="I1714" s="18"/>
      <c r="J1714" s="22"/>
      <c r="K1714" s="108"/>
      <c r="L1714" s="26"/>
    </row>
    <row r="1715">
      <c r="A1715" s="12"/>
      <c r="B1715" s="13"/>
      <c r="C1715" s="14"/>
      <c r="D1715" s="14"/>
      <c r="E1715" s="294"/>
      <c r="F1715" s="15"/>
      <c r="G1715" s="18"/>
      <c r="H1715" s="131"/>
      <c r="I1715" s="18"/>
      <c r="J1715" s="22"/>
      <c r="K1715" s="108"/>
      <c r="L1715" s="26"/>
    </row>
    <row r="1716">
      <c r="A1716" s="12"/>
      <c r="B1716" s="13"/>
      <c r="C1716" s="14"/>
      <c r="D1716" s="14"/>
      <c r="E1716" s="294"/>
      <c r="F1716" s="15"/>
      <c r="G1716" s="18"/>
      <c r="H1716" s="131"/>
      <c r="I1716" s="18"/>
      <c r="J1716" s="22"/>
      <c r="K1716" s="108"/>
      <c r="L1716" s="26"/>
    </row>
    <row r="1717">
      <c r="A1717" s="12"/>
      <c r="B1717" s="13"/>
      <c r="C1717" s="14"/>
      <c r="D1717" s="14"/>
      <c r="E1717" s="294"/>
      <c r="F1717" s="15"/>
      <c r="G1717" s="18"/>
      <c r="H1717" s="131"/>
      <c r="I1717" s="18"/>
      <c r="J1717" s="22"/>
      <c r="K1717" s="108"/>
      <c r="L1717" s="26"/>
    </row>
    <row r="1718">
      <c r="A1718" s="12"/>
      <c r="B1718" s="13"/>
      <c r="C1718" s="14"/>
      <c r="D1718" s="14"/>
      <c r="E1718" s="294"/>
      <c r="F1718" s="15"/>
      <c r="G1718" s="18"/>
      <c r="H1718" s="131"/>
      <c r="I1718" s="18"/>
      <c r="J1718" s="22"/>
      <c r="K1718" s="108"/>
      <c r="L1718" s="26"/>
    </row>
    <row r="1719">
      <c r="A1719" s="12"/>
      <c r="B1719" s="13"/>
      <c r="C1719" s="14"/>
      <c r="D1719" s="14"/>
      <c r="E1719" s="294"/>
      <c r="F1719" s="15"/>
      <c r="G1719" s="18"/>
      <c r="H1719" s="131"/>
      <c r="I1719" s="18"/>
      <c r="J1719" s="22"/>
      <c r="K1719" s="108"/>
      <c r="L1719" s="26"/>
    </row>
    <row r="1720">
      <c r="A1720" s="12"/>
      <c r="B1720" s="13"/>
      <c r="C1720" s="14"/>
      <c r="D1720" s="14"/>
      <c r="E1720" s="294"/>
      <c r="F1720" s="15"/>
      <c r="G1720" s="18"/>
      <c r="H1720" s="131"/>
      <c r="I1720" s="18"/>
      <c r="J1720" s="22"/>
      <c r="K1720" s="108"/>
      <c r="L1720" s="26"/>
    </row>
    <row r="1721">
      <c r="A1721" s="12"/>
      <c r="B1721" s="13"/>
      <c r="C1721" s="14"/>
      <c r="D1721" s="14"/>
      <c r="E1721" s="294"/>
      <c r="F1721" s="15"/>
      <c r="G1721" s="18"/>
      <c r="H1721" s="131"/>
      <c r="I1721" s="18"/>
      <c r="J1721" s="22"/>
      <c r="K1721" s="108"/>
      <c r="L1721" s="26"/>
    </row>
    <row r="1722">
      <c r="A1722" s="12"/>
      <c r="B1722" s="13"/>
      <c r="C1722" s="14"/>
      <c r="D1722" s="14"/>
      <c r="E1722" s="294"/>
      <c r="F1722" s="15"/>
      <c r="G1722" s="18"/>
      <c r="H1722" s="131"/>
      <c r="I1722" s="18"/>
      <c r="J1722" s="22"/>
      <c r="K1722" s="108"/>
      <c r="L1722" s="26"/>
    </row>
    <row r="1723">
      <c r="A1723" s="12"/>
      <c r="B1723" s="13"/>
      <c r="C1723" s="14"/>
      <c r="D1723" s="14"/>
      <c r="E1723" s="294"/>
      <c r="F1723" s="15"/>
      <c r="G1723" s="18"/>
      <c r="H1723" s="131"/>
      <c r="I1723" s="18"/>
      <c r="J1723" s="22"/>
      <c r="K1723" s="108"/>
      <c r="L1723" s="26"/>
    </row>
    <row r="1724">
      <c r="A1724" s="12"/>
      <c r="B1724" s="13"/>
      <c r="C1724" s="14"/>
      <c r="D1724" s="14"/>
      <c r="E1724" s="294"/>
      <c r="F1724" s="15"/>
      <c r="G1724" s="18"/>
      <c r="H1724" s="131"/>
      <c r="I1724" s="18"/>
      <c r="J1724" s="22"/>
      <c r="K1724" s="108"/>
      <c r="L1724" s="26"/>
    </row>
    <row r="1725">
      <c r="A1725" s="12"/>
      <c r="B1725" s="13"/>
      <c r="C1725" s="14"/>
      <c r="D1725" s="14"/>
      <c r="E1725" s="294"/>
      <c r="F1725" s="15"/>
      <c r="G1725" s="18"/>
      <c r="H1725" s="131"/>
      <c r="I1725" s="18"/>
      <c r="J1725" s="22"/>
      <c r="K1725" s="108"/>
      <c r="L1725" s="26"/>
    </row>
    <row r="1726">
      <c r="A1726" s="12"/>
      <c r="B1726" s="13"/>
      <c r="C1726" s="14"/>
      <c r="D1726" s="14"/>
      <c r="E1726" s="294"/>
      <c r="F1726" s="15"/>
      <c r="G1726" s="18"/>
      <c r="H1726" s="131"/>
      <c r="I1726" s="18"/>
      <c r="J1726" s="22"/>
      <c r="K1726" s="108"/>
      <c r="L1726" s="26"/>
    </row>
    <row r="1727">
      <c r="A1727" s="12"/>
      <c r="B1727" s="13"/>
      <c r="C1727" s="14"/>
      <c r="D1727" s="14"/>
      <c r="E1727" s="294"/>
      <c r="F1727" s="15"/>
      <c r="G1727" s="18"/>
      <c r="H1727" s="131"/>
      <c r="I1727" s="18"/>
      <c r="J1727" s="22"/>
      <c r="K1727" s="108"/>
      <c r="L1727" s="26"/>
    </row>
    <row r="1728">
      <c r="A1728" s="12"/>
      <c r="B1728" s="13"/>
      <c r="C1728" s="14"/>
      <c r="D1728" s="14"/>
      <c r="E1728" s="294"/>
      <c r="F1728" s="15"/>
      <c r="G1728" s="18"/>
      <c r="H1728" s="131"/>
      <c r="I1728" s="18"/>
      <c r="J1728" s="22"/>
      <c r="K1728" s="108"/>
      <c r="L1728" s="26"/>
    </row>
    <row r="1729">
      <c r="A1729" s="12"/>
      <c r="B1729" s="13"/>
      <c r="C1729" s="14"/>
      <c r="D1729" s="14"/>
      <c r="E1729" s="294"/>
      <c r="F1729" s="15"/>
      <c r="G1729" s="18"/>
      <c r="H1729" s="131"/>
      <c r="I1729" s="18"/>
      <c r="J1729" s="22"/>
      <c r="K1729" s="108"/>
      <c r="L1729" s="26"/>
    </row>
    <row r="1730">
      <c r="A1730" s="12"/>
      <c r="B1730" s="13"/>
      <c r="C1730" s="14"/>
      <c r="D1730" s="14"/>
      <c r="E1730" s="294"/>
      <c r="F1730" s="15"/>
      <c r="G1730" s="18"/>
      <c r="H1730" s="131"/>
      <c r="I1730" s="18"/>
      <c r="J1730" s="22"/>
      <c r="K1730" s="108"/>
      <c r="L1730" s="26"/>
    </row>
    <row r="1731">
      <c r="A1731" s="12"/>
      <c r="B1731" s="13"/>
      <c r="C1731" s="14"/>
      <c r="D1731" s="14"/>
      <c r="E1731" s="294"/>
      <c r="F1731" s="15"/>
      <c r="G1731" s="18"/>
      <c r="H1731" s="131"/>
      <c r="I1731" s="18"/>
      <c r="J1731" s="22"/>
      <c r="K1731" s="108"/>
      <c r="L1731" s="26"/>
    </row>
    <row r="1732">
      <c r="A1732" s="12"/>
      <c r="B1732" s="13"/>
      <c r="C1732" s="14"/>
      <c r="D1732" s="14"/>
      <c r="E1732" s="294"/>
      <c r="F1732" s="15"/>
      <c r="G1732" s="18"/>
      <c r="H1732" s="131"/>
      <c r="I1732" s="18"/>
      <c r="J1732" s="22"/>
      <c r="K1732" s="108"/>
      <c r="L1732" s="26"/>
    </row>
    <row r="1733">
      <c r="A1733" s="12"/>
      <c r="B1733" s="13"/>
      <c r="C1733" s="14"/>
      <c r="D1733" s="14"/>
      <c r="E1733" s="294"/>
      <c r="F1733" s="15"/>
      <c r="G1733" s="18"/>
      <c r="H1733" s="131"/>
      <c r="I1733" s="18"/>
      <c r="J1733" s="22"/>
      <c r="K1733" s="108"/>
      <c r="L1733" s="26"/>
    </row>
    <row r="1734">
      <c r="A1734" s="12"/>
      <c r="B1734" s="13"/>
      <c r="C1734" s="14"/>
      <c r="D1734" s="14"/>
      <c r="E1734" s="294"/>
      <c r="F1734" s="15"/>
      <c r="G1734" s="18"/>
      <c r="H1734" s="131"/>
      <c r="I1734" s="18"/>
      <c r="J1734" s="22"/>
      <c r="K1734" s="108"/>
      <c r="L1734" s="26"/>
    </row>
    <row r="1735">
      <c r="A1735" s="12"/>
      <c r="B1735" s="13"/>
      <c r="C1735" s="14"/>
      <c r="D1735" s="14"/>
      <c r="E1735" s="294"/>
      <c r="F1735" s="15"/>
      <c r="G1735" s="18"/>
      <c r="H1735" s="131"/>
      <c r="I1735" s="18"/>
      <c r="J1735" s="22"/>
      <c r="K1735" s="108"/>
      <c r="L1735" s="26"/>
    </row>
    <row r="1736">
      <c r="A1736" s="12"/>
      <c r="B1736" s="13"/>
      <c r="C1736" s="14"/>
      <c r="D1736" s="14"/>
      <c r="E1736" s="294"/>
      <c r="F1736" s="15"/>
      <c r="G1736" s="18"/>
      <c r="H1736" s="131"/>
      <c r="I1736" s="18"/>
      <c r="J1736" s="22"/>
      <c r="K1736" s="108"/>
      <c r="L1736" s="26"/>
    </row>
    <row r="1737">
      <c r="A1737" s="12"/>
      <c r="B1737" s="13"/>
      <c r="C1737" s="14"/>
      <c r="D1737" s="14"/>
      <c r="E1737" s="294"/>
      <c r="F1737" s="15"/>
      <c r="G1737" s="18"/>
      <c r="H1737" s="131"/>
      <c r="I1737" s="18"/>
      <c r="J1737" s="22"/>
      <c r="K1737" s="108"/>
      <c r="L1737" s="26"/>
    </row>
    <row r="1738">
      <c r="A1738" s="12"/>
      <c r="B1738" s="13"/>
      <c r="C1738" s="14"/>
      <c r="D1738" s="14"/>
      <c r="E1738" s="294"/>
      <c r="F1738" s="15"/>
      <c r="G1738" s="18"/>
      <c r="H1738" s="131"/>
      <c r="I1738" s="18"/>
      <c r="J1738" s="22"/>
      <c r="K1738" s="108"/>
      <c r="L1738" s="26"/>
    </row>
    <row r="1739">
      <c r="A1739" s="12"/>
      <c r="B1739" s="13"/>
      <c r="C1739" s="14"/>
      <c r="D1739" s="14"/>
      <c r="E1739" s="294"/>
      <c r="F1739" s="15"/>
      <c r="G1739" s="18"/>
      <c r="H1739" s="131"/>
      <c r="I1739" s="18"/>
      <c r="J1739" s="22"/>
      <c r="K1739" s="108"/>
      <c r="L1739" s="26"/>
    </row>
    <row r="1740">
      <c r="A1740" s="12"/>
      <c r="B1740" s="13"/>
      <c r="C1740" s="14"/>
      <c r="D1740" s="14"/>
      <c r="E1740" s="294"/>
      <c r="F1740" s="15"/>
      <c r="G1740" s="18"/>
      <c r="H1740" s="131"/>
      <c r="I1740" s="18"/>
      <c r="J1740" s="22"/>
      <c r="K1740" s="108"/>
      <c r="L1740" s="26"/>
    </row>
    <row r="1741">
      <c r="A1741" s="12"/>
      <c r="B1741" s="13"/>
      <c r="C1741" s="14"/>
      <c r="D1741" s="14"/>
      <c r="E1741" s="294"/>
      <c r="F1741" s="15"/>
      <c r="G1741" s="18"/>
      <c r="H1741" s="131"/>
      <c r="I1741" s="18"/>
      <c r="J1741" s="22"/>
      <c r="K1741" s="108"/>
      <c r="L1741" s="26"/>
    </row>
    <row r="1742">
      <c r="A1742" s="12"/>
      <c r="B1742" s="13"/>
      <c r="C1742" s="14"/>
      <c r="D1742" s="14"/>
      <c r="E1742" s="294"/>
      <c r="F1742" s="15"/>
      <c r="G1742" s="18"/>
      <c r="H1742" s="131"/>
      <c r="I1742" s="18"/>
      <c r="J1742" s="22"/>
      <c r="K1742" s="108"/>
      <c r="L1742" s="26"/>
    </row>
    <row r="1743">
      <c r="A1743" s="12"/>
      <c r="B1743" s="13"/>
      <c r="C1743" s="14"/>
      <c r="D1743" s="14"/>
      <c r="E1743" s="294"/>
      <c r="F1743" s="15"/>
      <c r="G1743" s="18"/>
      <c r="H1743" s="131"/>
      <c r="I1743" s="18"/>
      <c r="J1743" s="22"/>
      <c r="K1743" s="108"/>
      <c r="L1743" s="26"/>
    </row>
    <row r="1744">
      <c r="A1744" s="12"/>
      <c r="B1744" s="13"/>
      <c r="C1744" s="14"/>
      <c r="D1744" s="14"/>
      <c r="E1744" s="294"/>
      <c r="F1744" s="15"/>
      <c r="G1744" s="18"/>
      <c r="H1744" s="131"/>
      <c r="I1744" s="18"/>
      <c r="J1744" s="22"/>
      <c r="K1744" s="108"/>
      <c r="L1744" s="26"/>
    </row>
    <row r="1745">
      <c r="A1745" s="12"/>
      <c r="B1745" s="13"/>
      <c r="C1745" s="14"/>
      <c r="D1745" s="14"/>
      <c r="E1745" s="294"/>
      <c r="F1745" s="15"/>
      <c r="G1745" s="18"/>
      <c r="H1745" s="131"/>
      <c r="I1745" s="18"/>
      <c r="J1745" s="22"/>
      <c r="K1745" s="108"/>
      <c r="L1745" s="26"/>
    </row>
    <row r="1746">
      <c r="A1746" s="12"/>
      <c r="B1746" s="13"/>
      <c r="C1746" s="14"/>
      <c r="D1746" s="14"/>
      <c r="E1746" s="294"/>
      <c r="F1746" s="15"/>
      <c r="G1746" s="18"/>
      <c r="H1746" s="131"/>
      <c r="I1746" s="18"/>
      <c r="J1746" s="22"/>
      <c r="K1746" s="108"/>
      <c r="L1746" s="26"/>
    </row>
    <row r="1747">
      <c r="A1747" s="12"/>
      <c r="B1747" s="13"/>
      <c r="C1747" s="14"/>
      <c r="D1747" s="14"/>
      <c r="E1747" s="294"/>
      <c r="F1747" s="15"/>
      <c r="G1747" s="18"/>
      <c r="H1747" s="131"/>
      <c r="I1747" s="18"/>
      <c r="J1747" s="22"/>
      <c r="K1747" s="108"/>
      <c r="L1747" s="26"/>
    </row>
    <row r="1748">
      <c r="A1748" s="12"/>
      <c r="B1748" s="13"/>
      <c r="C1748" s="14"/>
      <c r="D1748" s="14"/>
      <c r="E1748" s="294"/>
      <c r="F1748" s="15"/>
      <c r="G1748" s="18"/>
      <c r="H1748" s="131"/>
      <c r="I1748" s="18"/>
      <c r="J1748" s="22"/>
      <c r="K1748" s="108"/>
      <c r="L1748" s="26"/>
    </row>
    <row r="1749">
      <c r="A1749" s="12"/>
      <c r="B1749" s="13"/>
      <c r="C1749" s="14"/>
      <c r="D1749" s="14"/>
      <c r="E1749" s="294"/>
      <c r="F1749" s="15"/>
      <c r="G1749" s="18"/>
      <c r="H1749" s="131"/>
      <c r="I1749" s="18"/>
      <c r="J1749" s="22"/>
      <c r="K1749" s="108"/>
      <c r="L1749" s="26"/>
    </row>
    <row r="1750">
      <c r="A1750" s="12"/>
      <c r="B1750" s="13"/>
      <c r="C1750" s="14"/>
      <c r="D1750" s="14"/>
      <c r="E1750" s="294"/>
      <c r="F1750" s="15"/>
      <c r="G1750" s="18"/>
      <c r="H1750" s="131"/>
      <c r="I1750" s="18"/>
      <c r="J1750" s="22"/>
      <c r="K1750" s="108"/>
      <c r="L1750" s="26"/>
    </row>
    <row r="1751">
      <c r="A1751" s="12"/>
      <c r="B1751" s="13"/>
      <c r="C1751" s="14"/>
      <c r="D1751" s="14"/>
      <c r="E1751" s="294"/>
      <c r="F1751" s="15"/>
      <c r="G1751" s="18"/>
      <c r="H1751" s="131"/>
      <c r="I1751" s="18"/>
      <c r="J1751" s="22"/>
      <c r="K1751" s="108"/>
      <c r="L1751" s="26"/>
    </row>
    <row r="1752">
      <c r="A1752" s="12"/>
      <c r="B1752" s="13"/>
      <c r="C1752" s="14"/>
      <c r="D1752" s="14"/>
      <c r="E1752" s="294"/>
      <c r="F1752" s="15"/>
      <c r="G1752" s="18"/>
      <c r="H1752" s="131"/>
      <c r="I1752" s="18"/>
      <c r="J1752" s="22"/>
      <c r="K1752" s="108"/>
      <c r="L1752" s="26"/>
    </row>
    <row r="1753">
      <c r="A1753" s="12"/>
      <c r="B1753" s="13"/>
      <c r="C1753" s="14"/>
      <c r="D1753" s="14"/>
      <c r="E1753" s="294"/>
      <c r="F1753" s="15"/>
      <c r="G1753" s="18"/>
      <c r="H1753" s="131"/>
      <c r="I1753" s="18"/>
      <c r="J1753" s="22"/>
      <c r="K1753" s="108"/>
      <c r="L1753" s="26"/>
    </row>
    <row r="1754">
      <c r="A1754" s="12"/>
      <c r="B1754" s="13"/>
      <c r="C1754" s="14"/>
      <c r="D1754" s="14"/>
      <c r="E1754" s="294"/>
      <c r="F1754" s="15"/>
      <c r="G1754" s="18"/>
      <c r="H1754" s="131"/>
      <c r="I1754" s="18"/>
      <c r="J1754" s="22"/>
      <c r="K1754" s="108"/>
      <c r="L1754" s="26"/>
    </row>
    <row r="1755">
      <c r="A1755" s="12"/>
      <c r="B1755" s="13"/>
      <c r="C1755" s="14"/>
      <c r="D1755" s="14"/>
      <c r="E1755" s="294"/>
      <c r="F1755" s="15"/>
      <c r="G1755" s="18"/>
      <c r="H1755" s="131"/>
      <c r="I1755" s="18"/>
      <c r="J1755" s="22"/>
      <c r="K1755" s="108"/>
      <c r="L1755" s="26"/>
    </row>
    <row r="1756">
      <c r="A1756" s="12"/>
      <c r="B1756" s="13"/>
      <c r="C1756" s="14"/>
      <c r="D1756" s="14"/>
      <c r="E1756" s="294"/>
      <c r="F1756" s="15"/>
      <c r="G1756" s="18"/>
      <c r="H1756" s="131"/>
      <c r="I1756" s="18"/>
      <c r="J1756" s="22"/>
      <c r="K1756" s="108"/>
      <c r="L1756" s="26"/>
    </row>
    <row r="1757">
      <c r="A1757" s="12"/>
      <c r="B1757" s="13"/>
      <c r="C1757" s="14"/>
      <c r="D1757" s="14"/>
      <c r="E1757" s="294"/>
      <c r="F1757" s="15"/>
      <c r="G1757" s="18"/>
      <c r="H1757" s="131"/>
      <c r="I1757" s="18"/>
      <c r="J1757" s="22"/>
      <c r="K1757" s="108"/>
      <c r="L1757" s="26"/>
    </row>
    <row r="1758">
      <c r="A1758" s="12"/>
      <c r="B1758" s="13"/>
      <c r="C1758" s="14"/>
      <c r="D1758" s="14"/>
      <c r="E1758" s="294"/>
      <c r="F1758" s="15"/>
      <c r="G1758" s="18"/>
      <c r="H1758" s="131"/>
      <c r="I1758" s="18"/>
      <c r="J1758" s="22"/>
      <c r="K1758" s="108"/>
      <c r="L1758" s="26"/>
    </row>
    <row r="1759">
      <c r="A1759" s="12"/>
      <c r="B1759" s="13"/>
      <c r="C1759" s="14"/>
      <c r="D1759" s="14"/>
      <c r="E1759" s="294"/>
      <c r="F1759" s="15"/>
      <c r="G1759" s="18"/>
      <c r="H1759" s="131"/>
      <c r="I1759" s="18"/>
      <c r="J1759" s="22"/>
      <c r="K1759" s="108"/>
      <c r="L1759" s="26"/>
    </row>
    <row r="1760">
      <c r="A1760" s="12"/>
      <c r="B1760" s="13"/>
      <c r="C1760" s="14"/>
      <c r="D1760" s="14"/>
      <c r="E1760" s="294"/>
      <c r="F1760" s="15"/>
      <c r="G1760" s="18"/>
      <c r="H1760" s="131"/>
      <c r="I1760" s="18"/>
      <c r="J1760" s="22"/>
      <c r="K1760" s="108"/>
      <c r="L1760" s="26"/>
    </row>
    <row r="1761">
      <c r="A1761" s="12"/>
      <c r="B1761" s="13"/>
      <c r="C1761" s="14"/>
      <c r="D1761" s="14"/>
      <c r="E1761" s="294"/>
      <c r="F1761" s="15"/>
      <c r="G1761" s="18"/>
      <c r="H1761" s="131"/>
      <c r="I1761" s="18"/>
      <c r="J1761" s="22"/>
      <c r="K1761" s="108"/>
      <c r="L1761" s="26"/>
    </row>
    <row r="1762">
      <c r="A1762" s="12"/>
      <c r="B1762" s="13"/>
      <c r="C1762" s="14"/>
      <c r="D1762" s="14"/>
      <c r="E1762" s="294"/>
      <c r="F1762" s="15"/>
      <c r="G1762" s="18"/>
      <c r="H1762" s="131"/>
      <c r="I1762" s="18"/>
      <c r="J1762" s="22"/>
      <c r="K1762" s="108"/>
      <c r="L1762" s="26"/>
    </row>
    <row r="1763">
      <c r="A1763" s="12"/>
      <c r="B1763" s="13"/>
      <c r="C1763" s="14"/>
      <c r="D1763" s="14"/>
      <c r="E1763" s="294"/>
      <c r="F1763" s="15"/>
      <c r="G1763" s="18"/>
      <c r="H1763" s="131"/>
      <c r="I1763" s="18"/>
      <c r="J1763" s="22"/>
      <c r="K1763" s="108"/>
      <c r="L1763" s="26"/>
    </row>
    <row r="1764">
      <c r="A1764" s="12"/>
      <c r="B1764" s="13"/>
      <c r="C1764" s="14"/>
      <c r="D1764" s="14"/>
      <c r="E1764" s="294"/>
      <c r="F1764" s="15"/>
      <c r="G1764" s="18"/>
      <c r="H1764" s="131"/>
      <c r="I1764" s="18"/>
      <c r="J1764" s="22"/>
      <c r="K1764" s="108"/>
      <c r="L1764" s="26"/>
    </row>
    <row r="1765">
      <c r="A1765" s="12"/>
      <c r="B1765" s="13"/>
      <c r="C1765" s="14"/>
      <c r="D1765" s="14"/>
      <c r="E1765" s="294"/>
      <c r="F1765" s="15"/>
      <c r="G1765" s="18"/>
      <c r="H1765" s="131"/>
      <c r="I1765" s="18"/>
      <c r="J1765" s="22"/>
      <c r="K1765" s="108"/>
      <c r="L1765" s="26"/>
    </row>
    <row r="1766">
      <c r="A1766" s="12"/>
      <c r="B1766" s="13"/>
      <c r="C1766" s="14"/>
      <c r="D1766" s="14"/>
      <c r="E1766" s="294"/>
      <c r="F1766" s="15"/>
      <c r="G1766" s="18"/>
      <c r="H1766" s="131"/>
      <c r="I1766" s="18"/>
      <c r="J1766" s="22"/>
      <c r="K1766" s="108"/>
      <c r="L1766" s="26"/>
    </row>
    <row r="1767">
      <c r="A1767" s="12"/>
      <c r="B1767" s="13"/>
      <c r="C1767" s="14"/>
      <c r="D1767" s="14"/>
      <c r="E1767" s="294"/>
      <c r="F1767" s="15"/>
      <c r="G1767" s="18"/>
      <c r="H1767" s="131"/>
      <c r="I1767" s="18"/>
      <c r="J1767" s="22"/>
      <c r="K1767" s="108"/>
      <c r="L1767" s="26"/>
    </row>
    <row r="1768">
      <c r="A1768" s="12"/>
      <c r="B1768" s="13"/>
      <c r="C1768" s="14"/>
      <c r="D1768" s="14"/>
      <c r="E1768" s="294"/>
      <c r="F1768" s="15"/>
      <c r="G1768" s="18"/>
      <c r="H1768" s="131"/>
      <c r="I1768" s="18"/>
      <c r="J1768" s="22"/>
      <c r="K1768" s="108"/>
      <c r="L1768" s="26"/>
    </row>
    <row r="1769">
      <c r="A1769" s="12"/>
      <c r="B1769" s="13"/>
      <c r="C1769" s="14"/>
      <c r="D1769" s="14"/>
      <c r="E1769" s="294"/>
      <c r="F1769" s="15"/>
      <c r="G1769" s="18"/>
      <c r="H1769" s="131"/>
      <c r="I1769" s="18"/>
      <c r="J1769" s="22"/>
      <c r="K1769" s="108"/>
      <c r="L1769" s="26"/>
    </row>
    <row r="1770">
      <c r="A1770" s="12"/>
      <c r="B1770" s="13"/>
      <c r="C1770" s="14"/>
      <c r="D1770" s="14"/>
      <c r="E1770" s="294"/>
      <c r="F1770" s="15"/>
      <c r="G1770" s="18"/>
      <c r="H1770" s="131"/>
      <c r="I1770" s="18"/>
      <c r="J1770" s="22"/>
      <c r="K1770" s="108"/>
      <c r="L1770" s="26"/>
    </row>
    <row r="1771">
      <c r="A1771" s="12"/>
      <c r="B1771" s="13"/>
      <c r="C1771" s="14"/>
      <c r="D1771" s="14"/>
      <c r="E1771" s="294"/>
      <c r="F1771" s="15"/>
      <c r="G1771" s="18"/>
      <c r="H1771" s="131"/>
      <c r="I1771" s="18"/>
      <c r="J1771" s="22"/>
      <c r="K1771" s="108"/>
      <c r="L1771" s="26"/>
    </row>
    <row r="1772">
      <c r="A1772" s="12"/>
      <c r="B1772" s="13"/>
      <c r="C1772" s="14"/>
      <c r="D1772" s="14"/>
      <c r="E1772" s="294"/>
      <c r="F1772" s="15"/>
      <c r="G1772" s="18"/>
      <c r="H1772" s="131"/>
      <c r="I1772" s="18"/>
      <c r="J1772" s="22"/>
      <c r="K1772" s="108"/>
      <c r="L1772" s="26"/>
    </row>
    <row r="1773">
      <c r="A1773" s="12"/>
      <c r="B1773" s="13"/>
      <c r="C1773" s="14"/>
      <c r="D1773" s="14"/>
      <c r="E1773" s="294"/>
      <c r="F1773" s="15"/>
      <c r="G1773" s="18"/>
      <c r="H1773" s="131"/>
      <c r="I1773" s="18"/>
      <c r="J1773" s="22"/>
      <c r="K1773" s="108"/>
      <c r="L1773" s="26"/>
    </row>
    <row r="1774">
      <c r="A1774" s="12"/>
      <c r="B1774" s="13"/>
      <c r="C1774" s="14"/>
      <c r="D1774" s="14"/>
      <c r="E1774" s="294"/>
      <c r="F1774" s="15"/>
      <c r="G1774" s="18"/>
      <c r="H1774" s="131"/>
      <c r="I1774" s="18"/>
      <c r="J1774" s="22"/>
      <c r="K1774" s="108"/>
      <c r="L1774" s="26"/>
    </row>
    <row r="1775">
      <c r="A1775" s="12"/>
      <c r="B1775" s="13"/>
      <c r="C1775" s="14"/>
      <c r="D1775" s="14"/>
      <c r="E1775" s="294"/>
      <c r="F1775" s="15"/>
      <c r="G1775" s="18"/>
      <c r="H1775" s="131"/>
      <c r="I1775" s="18"/>
      <c r="J1775" s="22"/>
      <c r="K1775" s="108"/>
      <c r="L1775" s="26"/>
    </row>
    <row r="1776">
      <c r="A1776" s="12"/>
      <c r="B1776" s="13"/>
      <c r="C1776" s="14"/>
      <c r="D1776" s="14"/>
      <c r="E1776" s="294"/>
      <c r="F1776" s="15"/>
      <c r="G1776" s="18"/>
      <c r="H1776" s="131"/>
      <c r="I1776" s="18"/>
      <c r="J1776" s="22"/>
      <c r="K1776" s="108"/>
      <c r="L1776" s="26"/>
    </row>
    <row r="1777">
      <c r="A1777" s="12"/>
      <c r="B1777" s="13"/>
      <c r="C1777" s="14"/>
      <c r="D1777" s="14"/>
      <c r="E1777" s="294"/>
      <c r="F1777" s="15"/>
      <c r="G1777" s="18"/>
      <c r="H1777" s="131"/>
      <c r="I1777" s="18"/>
      <c r="J1777" s="22"/>
      <c r="K1777" s="108"/>
      <c r="L1777" s="26"/>
    </row>
    <row r="1778">
      <c r="A1778" s="12"/>
      <c r="B1778" s="13"/>
      <c r="C1778" s="14"/>
      <c r="D1778" s="14"/>
      <c r="E1778" s="294"/>
      <c r="F1778" s="15"/>
      <c r="G1778" s="18"/>
      <c r="H1778" s="131"/>
      <c r="I1778" s="18"/>
      <c r="J1778" s="22"/>
      <c r="K1778" s="108"/>
      <c r="L1778" s="26"/>
    </row>
    <row r="1779">
      <c r="A1779" s="12"/>
      <c r="B1779" s="13"/>
      <c r="C1779" s="14"/>
      <c r="D1779" s="14"/>
      <c r="E1779" s="294"/>
      <c r="F1779" s="15"/>
      <c r="G1779" s="18"/>
      <c r="H1779" s="131"/>
      <c r="I1779" s="18"/>
      <c r="J1779" s="22"/>
      <c r="K1779" s="108"/>
      <c r="L1779" s="26"/>
    </row>
    <row r="1780">
      <c r="A1780" s="12"/>
      <c r="B1780" s="13"/>
      <c r="C1780" s="14"/>
      <c r="D1780" s="14"/>
      <c r="E1780" s="294"/>
      <c r="F1780" s="15"/>
      <c r="G1780" s="18"/>
      <c r="H1780" s="131"/>
      <c r="I1780" s="18"/>
      <c r="J1780" s="22"/>
      <c r="K1780" s="108"/>
      <c r="L1780" s="26"/>
    </row>
    <row r="1781">
      <c r="A1781" s="12"/>
      <c r="B1781" s="13"/>
      <c r="C1781" s="14"/>
      <c r="D1781" s="14"/>
      <c r="E1781" s="294"/>
      <c r="F1781" s="15"/>
      <c r="G1781" s="18"/>
      <c r="H1781" s="131"/>
      <c r="I1781" s="18"/>
      <c r="J1781" s="22"/>
      <c r="K1781" s="108"/>
      <c r="L1781" s="26"/>
    </row>
    <row r="1782">
      <c r="A1782" s="12"/>
      <c r="B1782" s="13"/>
      <c r="C1782" s="14"/>
      <c r="D1782" s="14"/>
      <c r="E1782" s="294"/>
      <c r="F1782" s="15"/>
      <c r="G1782" s="18"/>
      <c r="H1782" s="131"/>
      <c r="I1782" s="18"/>
      <c r="J1782" s="22"/>
      <c r="K1782" s="108"/>
      <c r="L1782" s="26"/>
    </row>
    <row r="1783">
      <c r="A1783" s="12"/>
      <c r="B1783" s="13"/>
      <c r="C1783" s="14"/>
      <c r="D1783" s="14"/>
      <c r="E1783" s="294"/>
      <c r="F1783" s="15"/>
      <c r="G1783" s="18"/>
      <c r="H1783" s="131"/>
      <c r="I1783" s="18"/>
      <c r="J1783" s="22"/>
      <c r="K1783" s="108"/>
      <c r="L1783" s="26"/>
    </row>
    <row r="1784">
      <c r="A1784" s="12"/>
      <c r="B1784" s="13"/>
      <c r="C1784" s="14"/>
      <c r="D1784" s="14"/>
      <c r="E1784" s="294"/>
      <c r="F1784" s="15"/>
      <c r="G1784" s="18"/>
      <c r="H1784" s="131"/>
      <c r="I1784" s="18"/>
      <c r="J1784" s="22"/>
      <c r="K1784" s="108"/>
      <c r="L1784" s="26"/>
    </row>
    <row r="1785">
      <c r="A1785" s="12"/>
      <c r="B1785" s="13"/>
      <c r="C1785" s="14"/>
      <c r="D1785" s="14"/>
      <c r="E1785" s="294"/>
      <c r="F1785" s="15"/>
      <c r="G1785" s="18"/>
      <c r="H1785" s="131"/>
      <c r="I1785" s="18"/>
      <c r="J1785" s="22"/>
      <c r="K1785" s="108"/>
      <c r="L1785" s="26"/>
    </row>
    <row r="1786">
      <c r="A1786" s="12"/>
      <c r="B1786" s="13"/>
      <c r="C1786" s="14"/>
      <c r="D1786" s="14"/>
      <c r="E1786" s="294"/>
      <c r="F1786" s="15"/>
      <c r="G1786" s="18"/>
      <c r="H1786" s="131"/>
      <c r="I1786" s="18"/>
      <c r="J1786" s="22"/>
      <c r="K1786" s="108"/>
      <c r="L1786" s="26"/>
    </row>
    <row r="1787">
      <c r="A1787" s="12"/>
      <c r="B1787" s="13"/>
      <c r="C1787" s="14"/>
      <c r="D1787" s="14"/>
      <c r="E1787" s="294"/>
      <c r="F1787" s="15"/>
      <c r="G1787" s="18"/>
      <c r="H1787" s="131"/>
      <c r="I1787" s="18"/>
      <c r="J1787" s="22"/>
      <c r="K1787" s="108"/>
      <c r="L1787" s="26"/>
    </row>
    <row r="1788">
      <c r="A1788" s="12"/>
      <c r="B1788" s="13"/>
      <c r="C1788" s="14"/>
      <c r="D1788" s="14"/>
      <c r="E1788" s="294"/>
      <c r="F1788" s="15"/>
      <c r="G1788" s="18"/>
      <c r="H1788" s="131"/>
      <c r="I1788" s="18"/>
      <c r="J1788" s="22"/>
      <c r="K1788" s="108"/>
      <c r="L1788" s="26"/>
    </row>
    <row r="1789">
      <c r="A1789" s="12"/>
      <c r="B1789" s="13"/>
      <c r="C1789" s="14"/>
      <c r="D1789" s="14"/>
      <c r="E1789" s="294"/>
      <c r="F1789" s="15"/>
      <c r="G1789" s="18"/>
      <c r="H1789" s="131"/>
      <c r="I1789" s="18"/>
      <c r="J1789" s="22"/>
      <c r="K1789" s="108"/>
      <c r="L1789" s="26"/>
    </row>
    <row r="1790">
      <c r="A1790" s="12"/>
      <c r="B1790" s="13"/>
      <c r="C1790" s="14"/>
      <c r="D1790" s="14"/>
      <c r="E1790" s="294"/>
      <c r="F1790" s="15"/>
      <c r="G1790" s="18"/>
      <c r="H1790" s="131"/>
      <c r="I1790" s="18"/>
      <c r="J1790" s="22"/>
      <c r="K1790" s="108"/>
      <c r="L1790" s="26"/>
    </row>
    <row r="1791">
      <c r="A1791" s="12"/>
      <c r="B1791" s="13"/>
      <c r="C1791" s="14"/>
      <c r="D1791" s="14"/>
      <c r="E1791" s="294"/>
      <c r="F1791" s="15"/>
      <c r="G1791" s="18"/>
      <c r="H1791" s="131"/>
      <c r="I1791" s="18"/>
      <c r="J1791" s="22"/>
      <c r="K1791" s="108"/>
      <c r="L1791" s="26"/>
    </row>
    <row r="1792">
      <c r="A1792" s="12"/>
      <c r="B1792" s="13"/>
      <c r="C1792" s="14"/>
      <c r="D1792" s="14"/>
      <c r="E1792" s="294"/>
      <c r="F1792" s="15"/>
      <c r="G1792" s="18"/>
      <c r="H1792" s="131"/>
      <c r="I1792" s="18"/>
      <c r="J1792" s="22"/>
      <c r="K1792" s="108"/>
      <c r="L1792" s="26"/>
    </row>
    <row r="1793">
      <c r="A1793" s="12"/>
      <c r="B1793" s="13"/>
      <c r="C1793" s="14"/>
      <c r="D1793" s="14"/>
      <c r="E1793" s="294"/>
      <c r="F1793" s="15"/>
      <c r="G1793" s="18"/>
      <c r="H1793" s="131"/>
      <c r="I1793" s="18"/>
      <c r="J1793" s="22"/>
      <c r="K1793" s="108"/>
      <c r="L1793" s="26"/>
    </row>
    <row r="1794">
      <c r="A1794" s="12"/>
      <c r="B1794" s="13"/>
      <c r="C1794" s="14"/>
      <c r="D1794" s="14"/>
      <c r="E1794" s="294"/>
      <c r="F1794" s="15"/>
      <c r="G1794" s="18"/>
      <c r="H1794" s="131"/>
      <c r="I1794" s="18"/>
      <c r="J1794" s="22"/>
      <c r="K1794" s="108"/>
      <c r="L1794" s="26"/>
    </row>
    <row r="1795">
      <c r="A1795" s="12"/>
      <c r="B1795" s="13"/>
      <c r="C1795" s="14"/>
      <c r="D1795" s="14"/>
      <c r="E1795" s="294"/>
      <c r="F1795" s="15"/>
      <c r="G1795" s="18"/>
      <c r="H1795" s="131"/>
      <c r="I1795" s="18"/>
      <c r="J1795" s="22"/>
      <c r="K1795" s="108"/>
      <c r="L1795" s="26"/>
    </row>
    <row r="1796">
      <c r="A1796" s="12"/>
      <c r="B1796" s="13"/>
      <c r="C1796" s="14"/>
      <c r="D1796" s="14"/>
      <c r="E1796" s="294"/>
      <c r="F1796" s="15"/>
      <c r="G1796" s="18"/>
      <c r="H1796" s="131"/>
      <c r="I1796" s="18"/>
      <c r="J1796" s="22"/>
      <c r="K1796" s="108"/>
      <c r="L1796" s="26"/>
    </row>
    <row r="1797">
      <c r="A1797" s="12"/>
      <c r="B1797" s="13"/>
      <c r="C1797" s="14"/>
      <c r="D1797" s="14"/>
      <c r="E1797" s="294"/>
      <c r="F1797" s="15"/>
      <c r="G1797" s="18"/>
      <c r="H1797" s="131"/>
      <c r="I1797" s="18"/>
      <c r="J1797" s="22"/>
      <c r="K1797" s="108"/>
      <c r="L1797" s="26"/>
    </row>
    <row r="1798">
      <c r="A1798" s="12"/>
      <c r="B1798" s="13"/>
      <c r="C1798" s="14"/>
      <c r="D1798" s="14"/>
      <c r="E1798" s="294"/>
      <c r="F1798" s="15"/>
      <c r="G1798" s="18"/>
      <c r="H1798" s="131"/>
      <c r="I1798" s="18"/>
      <c r="J1798" s="22"/>
      <c r="K1798" s="108"/>
      <c r="L1798" s="26"/>
    </row>
    <row r="1799">
      <c r="A1799" s="12"/>
      <c r="B1799" s="13"/>
      <c r="C1799" s="14"/>
      <c r="D1799" s="14"/>
      <c r="E1799" s="294"/>
      <c r="F1799" s="15"/>
      <c r="G1799" s="18"/>
      <c r="H1799" s="131"/>
      <c r="I1799" s="18"/>
      <c r="J1799" s="22"/>
      <c r="K1799" s="108"/>
      <c r="L1799" s="26"/>
    </row>
    <row r="1800">
      <c r="A1800" s="12"/>
      <c r="B1800" s="13"/>
      <c r="C1800" s="14"/>
      <c r="D1800" s="14"/>
      <c r="E1800" s="294"/>
      <c r="F1800" s="15"/>
      <c r="G1800" s="18"/>
      <c r="H1800" s="131"/>
      <c r="I1800" s="18"/>
      <c r="J1800" s="22"/>
      <c r="K1800" s="108"/>
      <c r="L1800" s="26"/>
    </row>
    <row r="1801">
      <c r="A1801" s="12"/>
      <c r="B1801" s="13"/>
      <c r="C1801" s="14"/>
      <c r="D1801" s="14"/>
      <c r="E1801" s="294"/>
      <c r="F1801" s="15"/>
      <c r="G1801" s="18"/>
      <c r="H1801" s="131"/>
      <c r="I1801" s="18"/>
      <c r="J1801" s="22"/>
      <c r="K1801" s="108"/>
      <c r="L1801" s="26"/>
    </row>
    <row r="1802">
      <c r="A1802" s="12"/>
      <c r="B1802" s="13"/>
      <c r="C1802" s="14"/>
      <c r="D1802" s="14"/>
      <c r="E1802" s="294"/>
      <c r="F1802" s="15"/>
      <c r="G1802" s="18"/>
      <c r="H1802" s="131"/>
      <c r="I1802" s="18"/>
      <c r="J1802" s="22"/>
      <c r="K1802" s="108"/>
      <c r="L1802" s="26"/>
    </row>
    <row r="1803">
      <c r="A1803" s="12"/>
      <c r="B1803" s="13"/>
      <c r="C1803" s="14"/>
      <c r="D1803" s="14"/>
      <c r="E1803" s="294"/>
      <c r="F1803" s="15"/>
      <c r="G1803" s="18"/>
      <c r="H1803" s="131"/>
      <c r="I1803" s="18"/>
      <c r="J1803" s="22"/>
      <c r="K1803" s="108"/>
      <c r="L1803" s="26"/>
    </row>
    <row r="1804">
      <c r="A1804" s="12"/>
      <c r="B1804" s="13"/>
      <c r="C1804" s="14"/>
      <c r="D1804" s="14"/>
      <c r="E1804" s="294"/>
      <c r="F1804" s="15"/>
      <c r="G1804" s="18"/>
      <c r="H1804" s="131"/>
      <c r="I1804" s="18"/>
      <c r="J1804" s="22"/>
      <c r="K1804" s="108"/>
      <c r="L1804" s="26"/>
    </row>
    <row r="1805">
      <c r="A1805" s="12"/>
      <c r="B1805" s="13"/>
      <c r="C1805" s="14"/>
      <c r="D1805" s="14"/>
      <c r="E1805" s="294"/>
      <c r="F1805" s="15"/>
      <c r="G1805" s="18"/>
      <c r="H1805" s="131"/>
      <c r="I1805" s="18"/>
      <c r="J1805" s="22"/>
      <c r="K1805" s="108"/>
      <c r="L1805" s="26"/>
    </row>
    <row r="1806">
      <c r="A1806" s="12"/>
      <c r="B1806" s="13"/>
      <c r="C1806" s="14"/>
      <c r="D1806" s="14"/>
      <c r="E1806" s="294"/>
      <c r="F1806" s="15"/>
      <c r="G1806" s="18"/>
      <c r="H1806" s="131"/>
      <c r="I1806" s="18"/>
      <c r="J1806" s="22"/>
      <c r="K1806" s="108"/>
      <c r="L1806" s="26"/>
    </row>
    <row r="1807">
      <c r="A1807" s="12"/>
      <c r="B1807" s="13"/>
      <c r="C1807" s="14"/>
      <c r="D1807" s="14"/>
      <c r="E1807" s="294"/>
      <c r="F1807" s="15"/>
      <c r="G1807" s="18"/>
      <c r="H1807" s="131"/>
      <c r="I1807" s="18"/>
      <c r="J1807" s="22"/>
      <c r="K1807" s="108"/>
      <c r="L1807" s="26"/>
    </row>
    <row r="1808">
      <c r="A1808" s="12"/>
      <c r="B1808" s="13"/>
      <c r="C1808" s="14"/>
      <c r="D1808" s="14"/>
      <c r="E1808" s="294"/>
      <c r="F1808" s="15"/>
      <c r="G1808" s="18"/>
      <c r="H1808" s="131"/>
      <c r="I1808" s="18"/>
      <c r="J1808" s="22"/>
      <c r="K1808" s="108"/>
      <c r="L1808" s="26"/>
    </row>
    <row r="1809">
      <c r="A1809" s="12"/>
      <c r="B1809" s="13"/>
      <c r="C1809" s="14"/>
      <c r="D1809" s="14"/>
      <c r="E1809" s="294"/>
      <c r="F1809" s="15"/>
      <c r="G1809" s="18"/>
      <c r="H1809" s="131"/>
      <c r="I1809" s="18"/>
      <c r="J1809" s="22"/>
      <c r="K1809" s="108"/>
      <c r="L1809" s="26"/>
    </row>
    <row r="1810">
      <c r="A1810" s="12"/>
      <c r="B1810" s="13"/>
      <c r="C1810" s="14"/>
      <c r="D1810" s="14"/>
      <c r="E1810" s="294"/>
      <c r="F1810" s="15"/>
      <c r="G1810" s="18"/>
      <c r="H1810" s="131"/>
      <c r="I1810" s="18"/>
      <c r="J1810" s="22"/>
      <c r="K1810" s="108"/>
      <c r="L1810" s="26"/>
    </row>
    <row r="1811">
      <c r="A1811" s="12"/>
      <c r="B1811" s="13"/>
      <c r="C1811" s="14"/>
      <c r="D1811" s="14"/>
      <c r="E1811" s="294"/>
      <c r="F1811" s="15"/>
      <c r="G1811" s="18"/>
      <c r="H1811" s="131"/>
      <c r="I1811" s="18"/>
      <c r="J1811" s="22"/>
      <c r="K1811" s="108"/>
      <c r="L1811" s="26"/>
    </row>
    <row r="1812">
      <c r="A1812" s="12"/>
      <c r="B1812" s="13"/>
      <c r="C1812" s="14"/>
      <c r="D1812" s="14"/>
      <c r="E1812" s="294"/>
      <c r="F1812" s="15"/>
      <c r="G1812" s="18"/>
      <c r="H1812" s="131"/>
      <c r="I1812" s="18"/>
      <c r="J1812" s="22"/>
      <c r="K1812" s="108"/>
      <c r="L1812" s="26"/>
    </row>
    <row r="1813">
      <c r="A1813" s="12"/>
      <c r="B1813" s="13"/>
      <c r="C1813" s="14"/>
      <c r="D1813" s="14"/>
      <c r="E1813" s="294"/>
      <c r="F1813" s="15"/>
      <c r="G1813" s="18"/>
      <c r="H1813" s="131"/>
      <c r="I1813" s="18"/>
      <c r="J1813" s="22"/>
      <c r="K1813" s="108"/>
      <c r="L1813" s="26"/>
    </row>
    <row r="1814">
      <c r="A1814" s="12"/>
      <c r="B1814" s="13"/>
      <c r="C1814" s="14"/>
      <c r="D1814" s="14"/>
      <c r="E1814" s="294"/>
      <c r="F1814" s="15"/>
      <c r="G1814" s="18"/>
      <c r="H1814" s="131"/>
      <c r="I1814" s="18"/>
      <c r="J1814" s="22"/>
      <c r="K1814" s="108"/>
      <c r="L1814" s="26"/>
    </row>
    <row r="1815">
      <c r="A1815" s="12"/>
      <c r="B1815" s="13"/>
      <c r="C1815" s="14"/>
      <c r="D1815" s="14"/>
      <c r="E1815" s="294"/>
      <c r="F1815" s="15"/>
      <c r="G1815" s="18"/>
      <c r="H1815" s="131"/>
      <c r="I1815" s="18"/>
      <c r="J1815" s="22"/>
      <c r="K1815" s="108"/>
      <c r="L1815" s="26"/>
    </row>
    <row r="1816">
      <c r="A1816" s="12"/>
      <c r="B1816" s="13"/>
      <c r="C1816" s="14"/>
      <c r="D1816" s="14"/>
      <c r="E1816" s="294"/>
      <c r="F1816" s="15"/>
      <c r="G1816" s="18"/>
      <c r="H1816" s="131"/>
      <c r="I1816" s="18"/>
      <c r="J1816" s="22"/>
      <c r="K1816" s="108"/>
      <c r="L1816" s="26"/>
    </row>
    <row r="1817">
      <c r="A1817" s="12"/>
      <c r="B1817" s="13"/>
      <c r="C1817" s="14"/>
      <c r="D1817" s="14"/>
      <c r="E1817" s="294"/>
      <c r="F1817" s="15"/>
      <c r="G1817" s="18"/>
      <c r="H1817" s="131"/>
      <c r="I1817" s="18"/>
      <c r="J1817" s="22"/>
      <c r="K1817" s="108"/>
      <c r="L1817" s="26"/>
    </row>
    <row r="1818">
      <c r="A1818" s="12"/>
      <c r="B1818" s="13"/>
      <c r="C1818" s="14"/>
      <c r="D1818" s="14"/>
      <c r="E1818" s="294"/>
      <c r="F1818" s="15"/>
      <c r="G1818" s="18"/>
      <c r="H1818" s="131"/>
      <c r="I1818" s="18"/>
      <c r="J1818" s="22"/>
      <c r="K1818" s="108"/>
      <c r="L1818" s="26"/>
    </row>
    <row r="1819">
      <c r="A1819" s="12"/>
      <c r="B1819" s="13"/>
      <c r="C1819" s="14"/>
      <c r="D1819" s="14"/>
      <c r="E1819" s="294"/>
      <c r="F1819" s="15"/>
      <c r="G1819" s="18"/>
      <c r="H1819" s="131"/>
      <c r="I1819" s="18"/>
      <c r="J1819" s="22"/>
      <c r="K1819" s="108"/>
      <c r="L1819" s="26"/>
    </row>
    <row r="1820">
      <c r="A1820" s="12"/>
      <c r="B1820" s="13"/>
      <c r="C1820" s="14"/>
      <c r="D1820" s="14"/>
      <c r="E1820" s="294"/>
      <c r="F1820" s="15"/>
      <c r="G1820" s="18"/>
      <c r="H1820" s="131"/>
      <c r="I1820" s="18"/>
      <c r="J1820" s="22"/>
      <c r="K1820" s="108"/>
      <c r="L1820" s="26"/>
    </row>
    <row r="1821">
      <c r="A1821" s="12"/>
      <c r="B1821" s="13"/>
      <c r="C1821" s="14"/>
      <c r="D1821" s="14"/>
      <c r="E1821" s="294"/>
      <c r="F1821" s="15"/>
      <c r="G1821" s="18"/>
      <c r="H1821" s="131"/>
      <c r="I1821" s="18"/>
      <c r="J1821" s="22"/>
      <c r="K1821" s="108"/>
      <c r="L1821" s="26"/>
    </row>
    <row r="1822">
      <c r="A1822" s="12"/>
      <c r="B1822" s="13"/>
      <c r="C1822" s="14"/>
      <c r="D1822" s="14"/>
      <c r="E1822" s="294"/>
      <c r="F1822" s="15"/>
      <c r="G1822" s="18"/>
      <c r="H1822" s="131"/>
      <c r="I1822" s="18"/>
      <c r="J1822" s="22"/>
      <c r="K1822" s="108"/>
      <c r="L1822" s="26"/>
    </row>
    <row r="1823">
      <c r="A1823" s="12"/>
      <c r="B1823" s="13"/>
      <c r="C1823" s="14"/>
      <c r="D1823" s="14"/>
      <c r="E1823" s="294"/>
      <c r="F1823" s="15"/>
      <c r="G1823" s="18"/>
      <c r="H1823" s="131"/>
      <c r="I1823" s="18"/>
      <c r="J1823" s="22"/>
      <c r="K1823" s="108"/>
      <c r="L1823" s="26"/>
    </row>
    <row r="1824">
      <c r="A1824" s="12"/>
      <c r="B1824" s="13"/>
      <c r="C1824" s="14"/>
      <c r="D1824" s="14"/>
      <c r="E1824" s="294"/>
      <c r="F1824" s="15"/>
      <c r="G1824" s="18"/>
      <c r="H1824" s="131"/>
      <c r="I1824" s="18"/>
      <c r="J1824" s="22"/>
      <c r="K1824" s="108"/>
      <c r="L1824" s="26"/>
    </row>
    <row r="1825">
      <c r="A1825" s="12"/>
      <c r="B1825" s="13"/>
      <c r="C1825" s="14"/>
      <c r="D1825" s="14"/>
      <c r="E1825" s="294"/>
      <c r="F1825" s="15"/>
      <c r="G1825" s="18"/>
      <c r="H1825" s="131"/>
      <c r="I1825" s="18"/>
      <c r="J1825" s="22"/>
      <c r="K1825" s="108"/>
      <c r="L1825" s="26"/>
    </row>
    <row r="1826">
      <c r="A1826" s="12"/>
      <c r="B1826" s="13"/>
      <c r="C1826" s="14"/>
      <c r="D1826" s="14"/>
      <c r="E1826" s="294"/>
      <c r="F1826" s="15"/>
      <c r="G1826" s="18"/>
      <c r="H1826" s="131"/>
      <c r="I1826" s="18"/>
      <c r="J1826" s="22"/>
      <c r="K1826" s="108"/>
      <c r="L1826" s="26"/>
    </row>
    <row r="1827">
      <c r="A1827" s="12"/>
      <c r="B1827" s="13"/>
      <c r="C1827" s="14"/>
      <c r="D1827" s="14"/>
      <c r="E1827" s="294"/>
      <c r="F1827" s="15"/>
      <c r="G1827" s="18"/>
      <c r="H1827" s="131"/>
      <c r="I1827" s="18"/>
      <c r="J1827" s="22"/>
      <c r="K1827" s="108"/>
      <c r="L1827" s="26"/>
    </row>
    <row r="1828">
      <c r="A1828" s="12"/>
      <c r="B1828" s="13"/>
      <c r="C1828" s="14"/>
      <c r="D1828" s="14"/>
      <c r="E1828" s="294"/>
      <c r="F1828" s="15"/>
      <c r="G1828" s="18"/>
      <c r="H1828" s="131"/>
      <c r="I1828" s="18"/>
      <c r="J1828" s="22"/>
      <c r="K1828" s="108"/>
      <c r="L1828" s="26"/>
    </row>
    <row r="1829">
      <c r="A1829" s="12"/>
      <c r="B1829" s="13"/>
      <c r="C1829" s="14"/>
      <c r="D1829" s="14"/>
      <c r="E1829" s="294"/>
      <c r="F1829" s="15"/>
      <c r="G1829" s="18"/>
      <c r="H1829" s="131"/>
      <c r="I1829" s="18"/>
      <c r="J1829" s="22"/>
      <c r="K1829" s="108"/>
      <c r="L1829" s="26"/>
    </row>
    <row r="1830">
      <c r="A1830" s="12"/>
      <c r="B1830" s="13"/>
      <c r="C1830" s="14"/>
      <c r="D1830" s="14"/>
      <c r="E1830" s="294"/>
      <c r="F1830" s="15"/>
      <c r="G1830" s="18"/>
      <c r="H1830" s="131"/>
      <c r="I1830" s="18"/>
      <c r="J1830" s="22"/>
      <c r="K1830" s="108"/>
      <c r="L1830" s="26"/>
    </row>
    <row r="1831">
      <c r="A1831" s="12"/>
      <c r="B1831" s="13"/>
      <c r="C1831" s="14"/>
      <c r="D1831" s="14"/>
      <c r="E1831" s="294"/>
      <c r="F1831" s="15"/>
      <c r="G1831" s="18"/>
      <c r="H1831" s="131"/>
      <c r="I1831" s="18"/>
      <c r="J1831" s="22"/>
      <c r="K1831" s="108"/>
      <c r="L1831" s="26"/>
    </row>
    <row r="1832">
      <c r="A1832" s="12"/>
      <c r="B1832" s="13"/>
      <c r="C1832" s="14"/>
      <c r="D1832" s="14"/>
      <c r="E1832" s="294"/>
      <c r="F1832" s="15"/>
      <c r="G1832" s="18"/>
      <c r="H1832" s="131"/>
      <c r="I1832" s="18"/>
      <c r="J1832" s="22"/>
      <c r="K1832" s="108"/>
      <c r="L1832" s="26"/>
    </row>
    <row r="1833">
      <c r="A1833" s="12"/>
      <c r="B1833" s="13"/>
      <c r="C1833" s="14"/>
      <c r="D1833" s="14"/>
      <c r="E1833" s="294"/>
      <c r="F1833" s="15"/>
      <c r="G1833" s="18"/>
      <c r="H1833" s="131"/>
      <c r="I1833" s="18"/>
      <c r="J1833" s="22"/>
      <c r="K1833" s="108"/>
      <c r="L1833" s="26"/>
    </row>
    <row r="1834">
      <c r="A1834" s="12"/>
      <c r="B1834" s="13"/>
      <c r="C1834" s="14"/>
      <c r="D1834" s="14"/>
      <c r="E1834" s="294"/>
      <c r="F1834" s="15"/>
      <c r="G1834" s="18"/>
      <c r="H1834" s="131"/>
      <c r="I1834" s="18"/>
      <c r="J1834" s="22"/>
      <c r="K1834" s="108"/>
      <c r="L1834" s="26"/>
    </row>
    <row r="1835">
      <c r="A1835" s="12"/>
      <c r="B1835" s="13"/>
      <c r="C1835" s="14"/>
      <c r="D1835" s="14"/>
      <c r="E1835" s="294"/>
      <c r="F1835" s="15"/>
      <c r="G1835" s="18"/>
      <c r="H1835" s="131"/>
      <c r="I1835" s="18"/>
      <c r="J1835" s="22"/>
      <c r="K1835" s="108"/>
      <c r="L1835" s="26"/>
    </row>
    <row r="1836">
      <c r="A1836" s="12"/>
      <c r="B1836" s="13"/>
      <c r="C1836" s="14"/>
      <c r="D1836" s="14"/>
      <c r="E1836" s="294"/>
      <c r="F1836" s="15"/>
      <c r="G1836" s="18"/>
      <c r="H1836" s="131"/>
      <c r="I1836" s="18"/>
      <c r="J1836" s="22"/>
      <c r="K1836" s="108"/>
      <c r="L1836" s="26"/>
    </row>
    <row r="1837">
      <c r="A1837" s="12"/>
      <c r="B1837" s="13"/>
      <c r="C1837" s="14"/>
      <c r="D1837" s="14"/>
      <c r="E1837" s="294"/>
      <c r="F1837" s="15"/>
      <c r="G1837" s="18"/>
      <c r="H1837" s="131"/>
      <c r="I1837" s="18"/>
      <c r="J1837" s="22"/>
      <c r="K1837" s="108"/>
      <c r="L1837" s="26"/>
    </row>
    <row r="1838">
      <c r="A1838" s="12"/>
      <c r="B1838" s="13"/>
      <c r="C1838" s="14"/>
      <c r="D1838" s="14"/>
      <c r="E1838" s="294"/>
      <c r="F1838" s="15"/>
      <c r="G1838" s="18"/>
      <c r="H1838" s="131"/>
      <c r="I1838" s="18"/>
      <c r="J1838" s="22"/>
      <c r="K1838" s="108"/>
      <c r="L1838" s="26"/>
    </row>
    <row r="1839">
      <c r="A1839" s="12"/>
      <c r="B1839" s="13"/>
      <c r="C1839" s="14"/>
      <c r="D1839" s="14"/>
      <c r="E1839" s="294"/>
      <c r="F1839" s="15"/>
      <c r="G1839" s="18"/>
      <c r="H1839" s="131"/>
      <c r="I1839" s="18"/>
      <c r="J1839" s="22"/>
      <c r="K1839" s="108"/>
      <c r="L1839" s="26"/>
    </row>
    <row r="1840">
      <c r="A1840" s="12"/>
      <c r="B1840" s="13"/>
      <c r="C1840" s="14"/>
      <c r="D1840" s="14"/>
      <c r="E1840" s="294"/>
      <c r="F1840" s="15"/>
      <c r="G1840" s="18"/>
      <c r="H1840" s="131"/>
      <c r="I1840" s="18"/>
      <c r="J1840" s="22"/>
      <c r="K1840" s="108"/>
      <c r="L1840" s="26"/>
    </row>
    <row r="1841">
      <c r="A1841" s="12"/>
      <c r="B1841" s="13"/>
      <c r="C1841" s="14"/>
      <c r="D1841" s="14"/>
      <c r="E1841" s="294"/>
      <c r="F1841" s="15"/>
      <c r="G1841" s="18"/>
      <c r="H1841" s="131"/>
      <c r="I1841" s="18"/>
      <c r="J1841" s="22"/>
      <c r="K1841" s="108"/>
      <c r="L1841" s="26"/>
    </row>
    <row r="1842">
      <c r="A1842" s="12"/>
      <c r="B1842" s="13"/>
      <c r="C1842" s="14"/>
      <c r="D1842" s="14"/>
      <c r="E1842" s="294"/>
      <c r="F1842" s="15"/>
      <c r="G1842" s="18"/>
      <c r="H1842" s="131"/>
      <c r="I1842" s="18"/>
      <c r="J1842" s="22"/>
      <c r="K1842" s="108"/>
      <c r="L1842" s="26"/>
    </row>
    <row r="1843">
      <c r="A1843" s="12"/>
      <c r="B1843" s="13"/>
      <c r="C1843" s="14"/>
      <c r="D1843" s="14"/>
      <c r="E1843" s="294"/>
      <c r="F1843" s="15"/>
      <c r="G1843" s="18"/>
      <c r="H1843" s="131"/>
      <c r="I1843" s="18"/>
      <c r="J1843" s="22"/>
      <c r="K1843" s="108"/>
      <c r="L1843" s="26"/>
    </row>
    <row r="1844">
      <c r="A1844" s="12"/>
      <c r="B1844" s="13"/>
      <c r="C1844" s="14"/>
      <c r="D1844" s="14"/>
      <c r="E1844" s="294"/>
      <c r="F1844" s="15"/>
      <c r="G1844" s="18"/>
      <c r="H1844" s="131"/>
      <c r="I1844" s="18"/>
      <c r="J1844" s="22"/>
      <c r="K1844" s="108"/>
      <c r="L1844" s="26"/>
    </row>
    <row r="1845">
      <c r="A1845" s="12"/>
      <c r="B1845" s="13"/>
      <c r="C1845" s="14"/>
      <c r="D1845" s="14"/>
      <c r="E1845" s="294"/>
      <c r="F1845" s="15"/>
      <c r="G1845" s="18"/>
      <c r="H1845" s="131"/>
      <c r="I1845" s="18"/>
      <c r="J1845" s="22"/>
      <c r="K1845" s="108"/>
      <c r="L1845" s="26"/>
    </row>
    <row r="1846">
      <c r="A1846" s="12"/>
      <c r="B1846" s="13"/>
      <c r="C1846" s="14"/>
      <c r="D1846" s="14"/>
      <c r="E1846" s="294"/>
      <c r="F1846" s="15"/>
      <c r="G1846" s="18"/>
      <c r="H1846" s="131"/>
      <c r="I1846" s="18"/>
      <c r="J1846" s="22"/>
      <c r="K1846" s="108"/>
      <c r="L1846" s="26"/>
    </row>
    <row r="1847">
      <c r="A1847" s="12"/>
      <c r="B1847" s="13"/>
      <c r="C1847" s="14"/>
      <c r="D1847" s="14"/>
      <c r="E1847" s="294"/>
      <c r="F1847" s="15"/>
      <c r="G1847" s="18"/>
      <c r="H1847" s="131"/>
      <c r="I1847" s="18"/>
      <c r="J1847" s="22"/>
      <c r="K1847" s="108"/>
      <c r="L1847" s="26"/>
    </row>
    <row r="1848">
      <c r="A1848" s="12"/>
      <c r="B1848" s="13"/>
      <c r="C1848" s="14"/>
      <c r="D1848" s="14"/>
      <c r="E1848" s="294"/>
      <c r="F1848" s="15"/>
      <c r="G1848" s="18"/>
      <c r="H1848" s="131"/>
      <c r="I1848" s="18"/>
      <c r="J1848" s="22"/>
      <c r="K1848" s="108"/>
      <c r="L1848" s="26"/>
    </row>
    <row r="1849">
      <c r="A1849" s="12"/>
      <c r="B1849" s="13"/>
      <c r="C1849" s="14"/>
      <c r="D1849" s="14"/>
      <c r="E1849" s="294"/>
      <c r="F1849" s="15"/>
      <c r="G1849" s="18"/>
      <c r="H1849" s="131"/>
      <c r="I1849" s="18"/>
      <c r="J1849" s="22"/>
      <c r="K1849" s="108"/>
      <c r="L1849" s="26"/>
    </row>
    <row r="1850">
      <c r="A1850" s="12"/>
      <c r="B1850" s="13"/>
      <c r="C1850" s="14"/>
      <c r="D1850" s="14"/>
      <c r="E1850" s="294"/>
      <c r="F1850" s="15"/>
      <c r="G1850" s="18"/>
      <c r="H1850" s="131"/>
      <c r="I1850" s="18"/>
      <c r="J1850" s="22"/>
      <c r="K1850" s="108"/>
      <c r="L1850" s="26"/>
    </row>
    <row r="1851">
      <c r="A1851" s="12"/>
      <c r="B1851" s="13"/>
      <c r="C1851" s="14"/>
      <c r="D1851" s="14"/>
      <c r="E1851" s="294"/>
      <c r="F1851" s="15"/>
      <c r="G1851" s="18"/>
      <c r="H1851" s="131"/>
      <c r="I1851" s="18"/>
      <c r="J1851" s="22"/>
      <c r="K1851" s="108"/>
      <c r="L1851" s="26"/>
    </row>
    <row r="1852">
      <c r="A1852" s="12"/>
      <c r="B1852" s="13"/>
      <c r="C1852" s="14"/>
      <c r="D1852" s="14"/>
      <c r="E1852" s="294"/>
      <c r="F1852" s="15"/>
      <c r="G1852" s="18"/>
      <c r="H1852" s="131"/>
      <c r="I1852" s="18"/>
      <c r="J1852" s="22"/>
      <c r="K1852" s="108"/>
      <c r="L1852" s="26"/>
    </row>
    <row r="1853">
      <c r="A1853" s="12"/>
      <c r="B1853" s="13"/>
      <c r="C1853" s="14"/>
      <c r="D1853" s="14"/>
      <c r="E1853" s="294"/>
      <c r="F1853" s="15"/>
      <c r="G1853" s="18"/>
      <c r="H1853" s="131"/>
      <c r="I1853" s="18"/>
      <c r="J1853" s="22"/>
      <c r="K1853" s="108"/>
      <c r="L1853" s="26"/>
    </row>
    <row r="1854">
      <c r="A1854" s="12"/>
      <c r="B1854" s="13"/>
      <c r="C1854" s="14"/>
      <c r="D1854" s="14"/>
      <c r="E1854" s="294"/>
      <c r="F1854" s="15"/>
      <c r="G1854" s="18"/>
      <c r="H1854" s="131"/>
      <c r="I1854" s="18"/>
      <c r="J1854" s="22"/>
      <c r="K1854" s="108"/>
      <c r="L1854" s="26"/>
    </row>
    <row r="1855">
      <c r="A1855" s="12"/>
      <c r="B1855" s="13"/>
      <c r="C1855" s="14"/>
      <c r="D1855" s="14"/>
      <c r="E1855" s="294"/>
      <c r="F1855" s="15"/>
      <c r="G1855" s="18"/>
      <c r="H1855" s="131"/>
      <c r="I1855" s="18"/>
      <c r="J1855" s="22"/>
      <c r="K1855" s="108"/>
      <c r="L1855" s="26"/>
    </row>
    <row r="1856">
      <c r="A1856" s="12"/>
      <c r="B1856" s="13"/>
      <c r="C1856" s="14"/>
      <c r="D1856" s="14"/>
      <c r="E1856" s="294"/>
      <c r="F1856" s="15"/>
      <c r="G1856" s="18"/>
      <c r="H1856" s="131"/>
      <c r="I1856" s="18"/>
      <c r="J1856" s="22"/>
      <c r="K1856" s="108"/>
      <c r="L1856" s="26"/>
    </row>
    <row r="1857">
      <c r="A1857" s="12"/>
      <c r="B1857" s="13"/>
      <c r="C1857" s="14"/>
      <c r="D1857" s="14"/>
      <c r="E1857" s="294"/>
      <c r="F1857" s="15"/>
      <c r="G1857" s="18"/>
      <c r="H1857" s="131"/>
      <c r="I1857" s="18"/>
      <c r="J1857" s="22"/>
      <c r="K1857" s="108"/>
      <c r="L1857" s="26"/>
    </row>
    <row r="1858">
      <c r="A1858" s="12"/>
      <c r="B1858" s="13"/>
      <c r="C1858" s="14"/>
      <c r="D1858" s="14"/>
      <c r="E1858" s="294"/>
      <c r="F1858" s="15"/>
      <c r="G1858" s="18"/>
      <c r="H1858" s="131"/>
      <c r="I1858" s="18"/>
      <c r="J1858" s="22"/>
      <c r="K1858" s="108"/>
      <c r="L1858" s="26"/>
    </row>
    <row r="1859">
      <c r="A1859" s="12"/>
      <c r="B1859" s="13"/>
      <c r="C1859" s="14"/>
      <c r="D1859" s="14"/>
      <c r="E1859" s="294"/>
      <c r="F1859" s="15"/>
      <c r="G1859" s="18"/>
      <c r="H1859" s="131"/>
      <c r="I1859" s="18"/>
      <c r="J1859" s="22"/>
      <c r="K1859" s="108"/>
      <c r="L1859" s="26"/>
    </row>
    <row r="1860">
      <c r="A1860" s="12"/>
      <c r="B1860" s="13"/>
      <c r="C1860" s="14"/>
      <c r="D1860" s="14"/>
      <c r="E1860" s="294"/>
      <c r="F1860" s="15"/>
      <c r="G1860" s="18"/>
      <c r="H1860" s="131"/>
      <c r="I1860" s="18"/>
      <c r="J1860" s="22"/>
      <c r="K1860" s="108"/>
      <c r="L1860" s="26"/>
    </row>
    <row r="1861">
      <c r="A1861" s="12"/>
      <c r="B1861" s="13"/>
      <c r="C1861" s="14"/>
      <c r="D1861" s="14"/>
      <c r="E1861" s="294"/>
      <c r="F1861" s="15"/>
      <c r="G1861" s="18"/>
      <c r="H1861" s="131"/>
      <c r="I1861" s="18"/>
      <c r="J1861" s="22"/>
      <c r="K1861" s="108"/>
      <c r="L1861" s="26"/>
    </row>
    <row r="1862">
      <c r="A1862" s="12"/>
      <c r="B1862" s="13"/>
      <c r="C1862" s="14"/>
      <c r="D1862" s="14"/>
      <c r="E1862" s="294"/>
      <c r="F1862" s="15"/>
      <c r="G1862" s="18"/>
      <c r="H1862" s="131"/>
      <c r="I1862" s="18"/>
      <c r="J1862" s="22"/>
      <c r="K1862" s="108"/>
      <c r="L1862" s="26"/>
    </row>
    <row r="1863">
      <c r="A1863" s="12"/>
      <c r="B1863" s="13"/>
      <c r="C1863" s="14"/>
      <c r="D1863" s="14"/>
      <c r="E1863" s="294"/>
      <c r="F1863" s="15"/>
      <c r="G1863" s="18"/>
      <c r="H1863" s="131"/>
      <c r="I1863" s="18"/>
      <c r="J1863" s="22"/>
      <c r="K1863" s="108"/>
      <c r="L1863" s="26"/>
    </row>
    <row r="1864">
      <c r="A1864" s="12"/>
      <c r="B1864" s="13"/>
      <c r="C1864" s="14"/>
      <c r="D1864" s="14"/>
      <c r="E1864" s="294"/>
      <c r="F1864" s="15"/>
      <c r="G1864" s="18"/>
      <c r="H1864" s="131"/>
      <c r="I1864" s="18"/>
      <c r="J1864" s="22"/>
      <c r="K1864" s="108"/>
      <c r="L1864" s="26"/>
    </row>
    <row r="1865">
      <c r="A1865" s="12"/>
      <c r="B1865" s="13"/>
      <c r="C1865" s="14"/>
      <c r="D1865" s="14"/>
      <c r="E1865" s="294"/>
      <c r="F1865" s="15"/>
      <c r="G1865" s="18"/>
      <c r="H1865" s="131"/>
      <c r="I1865" s="18"/>
      <c r="J1865" s="22"/>
      <c r="K1865" s="108"/>
      <c r="L1865" s="26"/>
    </row>
    <row r="1866">
      <c r="A1866" s="12"/>
      <c r="B1866" s="13"/>
      <c r="C1866" s="14"/>
      <c r="D1866" s="14"/>
      <c r="E1866" s="294"/>
      <c r="F1866" s="15"/>
      <c r="G1866" s="18"/>
      <c r="H1866" s="131"/>
      <c r="I1866" s="18"/>
      <c r="J1866" s="22"/>
      <c r="K1866" s="108"/>
      <c r="L1866" s="26"/>
    </row>
    <row r="1867">
      <c r="A1867" s="12"/>
      <c r="B1867" s="13"/>
      <c r="C1867" s="14"/>
      <c r="D1867" s="14"/>
      <c r="E1867" s="294"/>
      <c r="F1867" s="15"/>
      <c r="G1867" s="18"/>
      <c r="H1867" s="131"/>
      <c r="I1867" s="18"/>
      <c r="J1867" s="22"/>
      <c r="K1867" s="108"/>
      <c r="L1867" s="26"/>
    </row>
    <row r="1868">
      <c r="A1868" s="12"/>
      <c r="B1868" s="13"/>
      <c r="C1868" s="14"/>
      <c r="D1868" s="14"/>
      <c r="E1868" s="294"/>
      <c r="F1868" s="15"/>
      <c r="G1868" s="18"/>
      <c r="H1868" s="131"/>
      <c r="I1868" s="18"/>
      <c r="J1868" s="22"/>
      <c r="K1868" s="108"/>
      <c r="L1868" s="26"/>
    </row>
    <row r="1869">
      <c r="A1869" s="12"/>
      <c r="B1869" s="13"/>
      <c r="C1869" s="14"/>
      <c r="D1869" s="14"/>
      <c r="E1869" s="294"/>
      <c r="F1869" s="15"/>
      <c r="G1869" s="18"/>
      <c r="H1869" s="131"/>
      <c r="I1869" s="18"/>
      <c r="J1869" s="22"/>
      <c r="K1869" s="108"/>
      <c r="L1869" s="26"/>
    </row>
    <row r="1870">
      <c r="A1870" s="12"/>
      <c r="B1870" s="13"/>
      <c r="C1870" s="14"/>
      <c r="D1870" s="14"/>
      <c r="E1870" s="294"/>
      <c r="F1870" s="15"/>
      <c r="G1870" s="18"/>
      <c r="H1870" s="131"/>
      <c r="I1870" s="18"/>
      <c r="J1870" s="22"/>
      <c r="K1870" s="108"/>
      <c r="L1870" s="26"/>
    </row>
    <row r="1871">
      <c r="A1871" s="12"/>
      <c r="B1871" s="13"/>
      <c r="C1871" s="14"/>
      <c r="D1871" s="14"/>
      <c r="E1871" s="294"/>
      <c r="F1871" s="15"/>
      <c r="G1871" s="18"/>
      <c r="H1871" s="131"/>
      <c r="I1871" s="18"/>
      <c r="J1871" s="22"/>
      <c r="K1871" s="108"/>
      <c r="L1871" s="26"/>
    </row>
    <row r="1872">
      <c r="A1872" s="12"/>
      <c r="B1872" s="13"/>
      <c r="C1872" s="14"/>
      <c r="D1872" s="14"/>
      <c r="E1872" s="294"/>
      <c r="F1872" s="15"/>
      <c r="G1872" s="18"/>
      <c r="H1872" s="131"/>
      <c r="I1872" s="18"/>
      <c r="J1872" s="22"/>
      <c r="K1872" s="108"/>
      <c r="L1872" s="26"/>
    </row>
    <row r="1873">
      <c r="A1873" s="12"/>
      <c r="B1873" s="13"/>
      <c r="C1873" s="14"/>
      <c r="D1873" s="14"/>
      <c r="E1873" s="294"/>
      <c r="F1873" s="15"/>
      <c r="G1873" s="18"/>
      <c r="H1873" s="131"/>
      <c r="I1873" s="18"/>
      <c r="J1873" s="22"/>
      <c r="K1873" s="108"/>
      <c r="L1873" s="26"/>
    </row>
    <row r="1874">
      <c r="A1874" s="12"/>
      <c r="B1874" s="13"/>
      <c r="C1874" s="14"/>
      <c r="D1874" s="14"/>
      <c r="E1874" s="294"/>
      <c r="F1874" s="15"/>
      <c r="G1874" s="18"/>
      <c r="H1874" s="131"/>
      <c r="I1874" s="18"/>
      <c r="J1874" s="22"/>
      <c r="K1874" s="108"/>
      <c r="L1874" s="26"/>
    </row>
    <row r="1875">
      <c r="A1875" s="12"/>
      <c r="B1875" s="13"/>
      <c r="C1875" s="14"/>
      <c r="D1875" s="14"/>
      <c r="E1875" s="294"/>
      <c r="F1875" s="15"/>
      <c r="G1875" s="18"/>
      <c r="H1875" s="131"/>
      <c r="I1875" s="18"/>
      <c r="J1875" s="22"/>
      <c r="K1875" s="108"/>
      <c r="L1875" s="26"/>
    </row>
    <row r="1876">
      <c r="A1876" s="12"/>
      <c r="B1876" s="13"/>
      <c r="C1876" s="14"/>
      <c r="D1876" s="14"/>
      <c r="E1876" s="294"/>
      <c r="F1876" s="15"/>
      <c r="G1876" s="18"/>
      <c r="H1876" s="131"/>
      <c r="I1876" s="18"/>
      <c r="J1876" s="22"/>
      <c r="K1876" s="108"/>
      <c r="L1876" s="26"/>
    </row>
    <row r="1877">
      <c r="A1877" s="12"/>
      <c r="B1877" s="13"/>
      <c r="C1877" s="14"/>
      <c r="D1877" s="14"/>
      <c r="E1877" s="294"/>
      <c r="F1877" s="15"/>
      <c r="G1877" s="18"/>
      <c r="H1877" s="131"/>
      <c r="I1877" s="18"/>
      <c r="J1877" s="22"/>
      <c r="K1877" s="108"/>
      <c r="L1877" s="26"/>
    </row>
    <row r="1878">
      <c r="A1878" s="12"/>
      <c r="B1878" s="13"/>
      <c r="C1878" s="14"/>
      <c r="D1878" s="14"/>
      <c r="E1878" s="294"/>
      <c r="F1878" s="15"/>
      <c r="G1878" s="18"/>
      <c r="H1878" s="131"/>
      <c r="I1878" s="18"/>
      <c r="J1878" s="22"/>
      <c r="K1878" s="108"/>
      <c r="L1878" s="26"/>
    </row>
    <row r="1879">
      <c r="A1879" s="12"/>
      <c r="B1879" s="13"/>
      <c r="C1879" s="14"/>
      <c r="D1879" s="14"/>
      <c r="E1879" s="294"/>
      <c r="F1879" s="15"/>
      <c r="G1879" s="18"/>
      <c r="H1879" s="131"/>
      <c r="I1879" s="18"/>
      <c r="J1879" s="22"/>
      <c r="K1879" s="108"/>
      <c r="L1879" s="26"/>
    </row>
    <row r="1880">
      <c r="A1880" s="12"/>
      <c r="B1880" s="13"/>
      <c r="C1880" s="14"/>
      <c r="D1880" s="14"/>
      <c r="E1880" s="294"/>
      <c r="F1880" s="15"/>
      <c r="G1880" s="18"/>
      <c r="H1880" s="131"/>
      <c r="I1880" s="18"/>
      <c r="J1880" s="22"/>
      <c r="K1880" s="108"/>
      <c r="L1880" s="26"/>
    </row>
    <row r="1881">
      <c r="A1881" s="12"/>
      <c r="B1881" s="13"/>
      <c r="C1881" s="14"/>
      <c r="D1881" s="14"/>
      <c r="E1881" s="294"/>
      <c r="F1881" s="15"/>
      <c r="G1881" s="18"/>
      <c r="H1881" s="131"/>
      <c r="I1881" s="18"/>
      <c r="J1881" s="22"/>
      <c r="K1881" s="108"/>
      <c r="L1881" s="26"/>
    </row>
    <row r="1882">
      <c r="A1882" s="12"/>
      <c r="B1882" s="13"/>
      <c r="C1882" s="14"/>
      <c r="D1882" s="14"/>
      <c r="E1882" s="294"/>
      <c r="F1882" s="15"/>
      <c r="G1882" s="18"/>
      <c r="H1882" s="131"/>
      <c r="I1882" s="18"/>
      <c r="J1882" s="22"/>
      <c r="K1882" s="108"/>
      <c r="L1882" s="26"/>
    </row>
    <row r="1883">
      <c r="A1883" s="12"/>
      <c r="B1883" s="13"/>
      <c r="C1883" s="14"/>
      <c r="D1883" s="14"/>
      <c r="E1883" s="294"/>
      <c r="F1883" s="15"/>
      <c r="G1883" s="18"/>
      <c r="H1883" s="131"/>
      <c r="I1883" s="18"/>
      <c r="J1883" s="22"/>
      <c r="K1883" s="108"/>
      <c r="L1883" s="26"/>
    </row>
    <row r="1884">
      <c r="A1884" s="12"/>
      <c r="B1884" s="13"/>
      <c r="C1884" s="14"/>
      <c r="D1884" s="14"/>
      <c r="E1884" s="294"/>
      <c r="F1884" s="15"/>
      <c r="G1884" s="18"/>
      <c r="H1884" s="131"/>
      <c r="I1884" s="18"/>
      <c r="J1884" s="22"/>
      <c r="K1884" s="108"/>
      <c r="L1884" s="26"/>
    </row>
    <row r="1885">
      <c r="A1885" s="12"/>
      <c r="B1885" s="13"/>
      <c r="C1885" s="14"/>
      <c r="D1885" s="14"/>
      <c r="E1885" s="294"/>
      <c r="F1885" s="15"/>
      <c r="G1885" s="18"/>
      <c r="H1885" s="131"/>
      <c r="I1885" s="18"/>
      <c r="J1885" s="22"/>
      <c r="K1885" s="108"/>
      <c r="L1885" s="26"/>
    </row>
    <row r="1886">
      <c r="A1886" s="12"/>
      <c r="B1886" s="13"/>
      <c r="C1886" s="14"/>
      <c r="D1886" s="14"/>
      <c r="E1886" s="294"/>
      <c r="F1886" s="15"/>
      <c r="G1886" s="18"/>
      <c r="H1886" s="131"/>
      <c r="I1886" s="18"/>
      <c r="J1886" s="22"/>
      <c r="K1886" s="108"/>
      <c r="L1886" s="26"/>
    </row>
    <row r="1887">
      <c r="A1887" s="12"/>
      <c r="B1887" s="13"/>
      <c r="C1887" s="14"/>
      <c r="D1887" s="14"/>
      <c r="E1887" s="294"/>
      <c r="F1887" s="15"/>
      <c r="G1887" s="18"/>
      <c r="H1887" s="131"/>
      <c r="I1887" s="18"/>
      <c r="J1887" s="22"/>
      <c r="K1887" s="108"/>
      <c r="L1887" s="26"/>
    </row>
    <row r="1888">
      <c r="A1888" s="12"/>
      <c r="B1888" s="13"/>
      <c r="C1888" s="14"/>
      <c r="D1888" s="14"/>
      <c r="E1888" s="294"/>
      <c r="F1888" s="15"/>
      <c r="G1888" s="18"/>
      <c r="H1888" s="131"/>
      <c r="I1888" s="18"/>
      <c r="J1888" s="22"/>
      <c r="K1888" s="108"/>
      <c r="L1888" s="26"/>
    </row>
    <row r="1889">
      <c r="A1889" s="12"/>
      <c r="B1889" s="13"/>
      <c r="C1889" s="14"/>
      <c r="D1889" s="14"/>
      <c r="E1889" s="294"/>
      <c r="F1889" s="15"/>
      <c r="G1889" s="18"/>
      <c r="H1889" s="131"/>
      <c r="I1889" s="18"/>
      <c r="J1889" s="22"/>
      <c r="K1889" s="108"/>
      <c r="L1889" s="26"/>
    </row>
    <row r="1890">
      <c r="A1890" s="12"/>
      <c r="B1890" s="13"/>
      <c r="C1890" s="14"/>
      <c r="D1890" s="14"/>
      <c r="E1890" s="294"/>
      <c r="F1890" s="15"/>
      <c r="G1890" s="18"/>
      <c r="H1890" s="131"/>
      <c r="I1890" s="18"/>
      <c r="J1890" s="22"/>
      <c r="K1890" s="108"/>
      <c r="L1890" s="26"/>
    </row>
    <row r="1891">
      <c r="A1891" s="12"/>
      <c r="B1891" s="13"/>
      <c r="C1891" s="14"/>
      <c r="D1891" s="14"/>
      <c r="E1891" s="294"/>
      <c r="F1891" s="15"/>
      <c r="G1891" s="18"/>
      <c r="H1891" s="131"/>
      <c r="I1891" s="18"/>
      <c r="J1891" s="22"/>
      <c r="K1891" s="108"/>
      <c r="L1891" s="26"/>
    </row>
    <row r="1892">
      <c r="A1892" s="12"/>
      <c r="B1892" s="13"/>
      <c r="C1892" s="14"/>
      <c r="D1892" s="14"/>
      <c r="E1892" s="294"/>
      <c r="F1892" s="15"/>
      <c r="G1892" s="18"/>
      <c r="H1892" s="131"/>
      <c r="I1892" s="18"/>
      <c r="J1892" s="22"/>
      <c r="K1892" s="108"/>
      <c r="L1892" s="26"/>
    </row>
    <row r="1893">
      <c r="A1893" s="12"/>
      <c r="B1893" s="13"/>
      <c r="C1893" s="14"/>
      <c r="D1893" s="14"/>
      <c r="E1893" s="294"/>
      <c r="F1893" s="15"/>
      <c r="G1893" s="18"/>
      <c r="H1893" s="131"/>
      <c r="I1893" s="18"/>
      <c r="J1893" s="22"/>
      <c r="K1893" s="108"/>
      <c r="L1893" s="26"/>
    </row>
    <row r="1894">
      <c r="A1894" s="12"/>
      <c r="B1894" s="13"/>
      <c r="C1894" s="14"/>
      <c r="D1894" s="14"/>
      <c r="E1894" s="294"/>
      <c r="F1894" s="15"/>
      <c r="G1894" s="18"/>
      <c r="H1894" s="131"/>
      <c r="I1894" s="18"/>
      <c r="J1894" s="22"/>
      <c r="K1894" s="108"/>
      <c r="L1894" s="26"/>
    </row>
    <row r="1895">
      <c r="A1895" s="12"/>
      <c r="B1895" s="13"/>
      <c r="C1895" s="14"/>
      <c r="D1895" s="14"/>
      <c r="E1895" s="294"/>
      <c r="F1895" s="15"/>
      <c r="G1895" s="18"/>
      <c r="H1895" s="131"/>
      <c r="I1895" s="18"/>
      <c r="J1895" s="22"/>
      <c r="K1895" s="108"/>
      <c r="L1895" s="26"/>
    </row>
    <row r="1896">
      <c r="A1896" s="12"/>
      <c r="B1896" s="13"/>
      <c r="C1896" s="14"/>
      <c r="D1896" s="14"/>
      <c r="E1896" s="294"/>
      <c r="F1896" s="15"/>
      <c r="G1896" s="18"/>
      <c r="H1896" s="131"/>
      <c r="I1896" s="18"/>
      <c r="J1896" s="22"/>
      <c r="K1896" s="108"/>
      <c r="L1896" s="26"/>
    </row>
    <row r="1897">
      <c r="A1897" s="12"/>
      <c r="B1897" s="13"/>
      <c r="C1897" s="14"/>
      <c r="D1897" s="14"/>
      <c r="E1897" s="294"/>
      <c r="F1897" s="15"/>
      <c r="G1897" s="18"/>
      <c r="H1897" s="131"/>
      <c r="I1897" s="18"/>
      <c r="J1897" s="22"/>
      <c r="K1897" s="108"/>
      <c r="L1897" s="26"/>
    </row>
    <row r="1898">
      <c r="A1898" s="12"/>
      <c r="B1898" s="13"/>
      <c r="C1898" s="14"/>
      <c r="D1898" s="14"/>
      <c r="E1898" s="294"/>
      <c r="F1898" s="15"/>
      <c r="G1898" s="18"/>
      <c r="H1898" s="131"/>
      <c r="I1898" s="18"/>
      <c r="J1898" s="22"/>
      <c r="K1898" s="108"/>
      <c r="L1898" s="26"/>
    </row>
    <row r="1899">
      <c r="A1899" s="12"/>
      <c r="B1899" s="13"/>
      <c r="C1899" s="14"/>
      <c r="D1899" s="14"/>
      <c r="E1899" s="294"/>
      <c r="F1899" s="15"/>
      <c r="G1899" s="18"/>
      <c r="H1899" s="131"/>
      <c r="I1899" s="18"/>
      <c r="J1899" s="22"/>
      <c r="K1899" s="108"/>
      <c r="L1899" s="26"/>
    </row>
    <row r="1900">
      <c r="A1900" s="12"/>
      <c r="B1900" s="13"/>
      <c r="C1900" s="14"/>
      <c r="D1900" s="14"/>
      <c r="E1900" s="294"/>
      <c r="F1900" s="15"/>
      <c r="G1900" s="18"/>
      <c r="H1900" s="131"/>
      <c r="I1900" s="18"/>
      <c r="J1900" s="22"/>
      <c r="K1900" s="108"/>
      <c r="L1900" s="26"/>
    </row>
    <row r="1901">
      <c r="A1901" s="12"/>
      <c r="B1901" s="13"/>
      <c r="C1901" s="14"/>
      <c r="D1901" s="14"/>
      <c r="E1901" s="294"/>
      <c r="F1901" s="15"/>
      <c r="G1901" s="18"/>
      <c r="H1901" s="131"/>
      <c r="I1901" s="18"/>
      <c r="J1901" s="22"/>
      <c r="K1901" s="108"/>
      <c r="L1901" s="26"/>
    </row>
    <row r="1902">
      <c r="A1902" s="12"/>
      <c r="B1902" s="13"/>
      <c r="C1902" s="14"/>
      <c r="D1902" s="14"/>
      <c r="E1902" s="294"/>
      <c r="F1902" s="15"/>
      <c r="G1902" s="18"/>
      <c r="H1902" s="131"/>
      <c r="I1902" s="18"/>
      <c r="J1902" s="22"/>
      <c r="K1902" s="108"/>
      <c r="L1902" s="26"/>
    </row>
    <row r="1903">
      <c r="A1903" s="12"/>
      <c r="B1903" s="13"/>
      <c r="C1903" s="14"/>
      <c r="D1903" s="14"/>
      <c r="E1903" s="294"/>
      <c r="F1903" s="15"/>
      <c r="G1903" s="18"/>
      <c r="H1903" s="131"/>
      <c r="I1903" s="18"/>
      <c r="J1903" s="22"/>
      <c r="K1903" s="108"/>
      <c r="L1903" s="26"/>
    </row>
    <row r="1904">
      <c r="A1904" s="12"/>
      <c r="B1904" s="13"/>
      <c r="C1904" s="14"/>
      <c r="D1904" s="14"/>
      <c r="E1904" s="294"/>
      <c r="F1904" s="15"/>
      <c r="G1904" s="18"/>
      <c r="H1904" s="131"/>
      <c r="I1904" s="18"/>
      <c r="J1904" s="22"/>
      <c r="K1904" s="108"/>
      <c r="L1904" s="26"/>
    </row>
    <row r="1905">
      <c r="A1905" s="12"/>
      <c r="B1905" s="13"/>
      <c r="C1905" s="14"/>
      <c r="D1905" s="14"/>
      <c r="E1905" s="294"/>
      <c r="F1905" s="15"/>
      <c r="G1905" s="18"/>
      <c r="H1905" s="131"/>
      <c r="I1905" s="18"/>
      <c r="J1905" s="22"/>
      <c r="K1905" s="108"/>
      <c r="L1905" s="26"/>
    </row>
    <row r="1906">
      <c r="A1906" s="12"/>
      <c r="B1906" s="13"/>
      <c r="C1906" s="14"/>
      <c r="D1906" s="14"/>
      <c r="E1906" s="294"/>
      <c r="F1906" s="15"/>
      <c r="G1906" s="18"/>
      <c r="H1906" s="131"/>
      <c r="I1906" s="18"/>
      <c r="J1906" s="22"/>
      <c r="K1906" s="108"/>
      <c r="L1906" s="26"/>
    </row>
    <row r="1907">
      <c r="A1907" s="12"/>
      <c r="B1907" s="13"/>
      <c r="C1907" s="14"/>
      <c r="D1907" s="14"/>
      <c r="E1907" s="294"/>
      <c r="F1907" s="15"/>
      <c r="G1907" s="18"/>
      <c r="H1907" s="131"/>
      <c r="I1907" s="18"/>
      <c r="J1907" s="22"/>
      <c r="K1907" s="108"/>
      <c r="L1907" s="26"/>
    </row>
    <row r="1908">
      <c r="A1908" s="12"/>
      <c r="B1908" s="13"/>
      <c r="C1908" s="14"/>
      <c r="D1908" s="14"/>
      <c r="E1908" s="294"/>
      <c r="F1908" s="15"/>
      <c r="G1908" s="18"/>
      <c r="H1908" s="131"/>
      <c r="I1908" s="18"/>
      <c r="J1908" s="22"/>
      <c r="K1908" s="108"/>
      <c r="L1908" s="26"/>
    </row>
    <row r="1909">
      <c r="A1909" s="12"/>
      <c r="B1909" s="13"/>
      <c r="C1909" s="14"/>
      <c r="D1909" s="14"/>
      <c r="E1909" s="294"/>
      <c r="F1909" s="15"/>
      <c r="G1909" s="18"/>
      <c r="H1909" s="131"/>
      <c r="I1909" s="18"/>
      <c r="J1909" s="22"/>
      <c r="K1909" s="108"/>
      <c r="L1909" s="26"/>
    </row>
    <row r="1910">
      <c r="A1910" s="12"/>
      <c r="B1910" s="13"/>
      <c r="C1910" s="14"/>
      <c r="D1910" s="14"/>
      <c r="E1910" s="294"/>
      <c r="F1910" s="15"/>
      <c r="G1910" s="18"/>
      <c r="H1910" s="131"/>
      <c r="I1910" s="18"/>
      <c r="J1910" s="22"/>
      <c r="K1910" s="108"/>
      <c r="L1910" s="26"/>
    </row>
    <row r="1911">
      <c r="A1911" s="12"/>
      <c r="B1911" s="13"/>
      <c r="C1911" s="14"/>
      <c r="D1911" s="14"/>
      <c r="E1911" s="294"/>
      <c r="F1911" s="15"/>
      <c r="G1911" s="18"/>
      <c r="H1911" s="131"/>
      <c r="I1911" s="18"/>
      <c r="J1911" s="22"/>
      <c r="K1911" s="108"/>
      <c r="L1911" s="26"/>
    </row>
    <row r="1912">
      <c r="A1912" s="12"/>
      <c r="B1912" s="13"/>
      <c r="C1912" s="14"/>
      <c r="D1912" s="14"/>
      <c r="E1912" s="294"/>
      <c r="F1912" s="15"/>
      <c r="G1912" s="18"/>
      <c r="H1912" s="131"/>
      <c r="I1912" s="18"/>
      <c r="J1912" s="22"/>
      <c r="K1912" s="108"/>
      <c r="L1912" s="26"/>
    </row>
    <row r="1913">
      <c r="A1913" s="12"/>
      <c r="B1913" s="13"/>
      <c r="C1913" s="14"/>
      <c r="D1913" s="14"/>
      <c r="E1913" s="294"/>
      <c r="F1913" s="15"/>
      <c r="G1913" s="18"/>
      <c r="H1913" s="131"/>
      <c r="I1913" s="18"/>
      <c r="J1913" s="22"/>
      <c r="K1913" s="108"/>
      <c r="L1913" s="26"/>
    </row>
    <row r="1914">
      <c r="A1914" s="12"/>
      <c r="B1914" s="13"/>
      <c r="C1914" s="14"/>
      <c r="D1914" s="14"/>
      <c r="E1914" s="294"/>
      <c r="F1914" s="15"/>
      <c r="G1914" s="18"/>
      <c r="H1914" s="131"/>
      <c r="I1914" s="18"/>
      <c r="J1914" s="22"/>
      <c r="K1914" s="108"/>
      <c r="L1914" s="26"/>
    </row>
    <row r="1915">
      <c r="A1915" s="12"/>
      <c r="B1915" s="13"/>
      <c r="C1915" s="14"/>
      <c r="D1915" s="14"/>
      <c r="E1915" s="294"/>
      <c r="F1915" s="15"/>
      <c r="G1915" s="18"/>
      <c r="H1915" s="131"/>
      <c r="I1915" s="18"/>
      <c r="J1915" s="22"/>
      <c r="K1915" s="108"/>
      <c r="L1915" s="26"/>
    </row>
    <row r="1916">
      <c r="A1916" s="12"/>
      <c r="B1916" s="13"/>
      <c r="C1916" s="14"/>
      <c r="D1916" s="14"/>
      <c r="E1916" s="294"/>
      <c r="F1916" s="15"/>
      <c r="G1916" s="18"/>
      <c r="H1916" s="131"/>
      <c r="I1916" s="18"/>
      <c r="J1916" s="22"/>
      <c r="K1916" s="108"/>
      <c r="L1916" s="26"/>
    </row>
    <row r="1917">
      <c r="A1917" s="12"/>
      <c r="B1917" s="13"/>
      <c r="C1917" s="14"/>
      <c r="D1917" s="14"/>
      <c r="E1917" s="294"/>
      <c r="F1917" s="15"/>
      <c r="G1917" s="18"/>
      <c r="H1917" s="131"/>
      <c r="I1917" s="18"/>
      <c r="J1917" s="22"/>
      <c r="K1917" s="108"/>
      <c r="L1917" s="26"/>
    </row>
    <row r="1918">
      <c r="A1918" s="12"/>
      <c r="B1918" s="13"/>
      <c r="C1918" s="14"/>
      <c r="D1918" s="14"/>
      <c r="E1918" s="294"/>
      <c r="F1918" s="15"/>
      <c r="G1918" s="18"/>
      <c r="H1918" s="131"/>
      <c r="I1918" s="18"/>
      <c r="J1918" s="22"/>
      <c r="K1918" s="108"/>
      <c r="L1918" s="26"/>
    </row>
    <row r="1919">
      <c r="A1919" s="12"/>
      <c r="B1919" s="13"/>
      <c r="C1919" s="14"/>
      <c r="D1919" s="14"/>
      <c r="E1919" s="294"/>
      <c r="F1919" s="15"/>
      <c r="G1919" s="18"/>
      <c r="H1919" s="131"/>
      <c r="I1919" s="18"/>
      <c r="J1919" s="22"/>
      <c r="K1919" s="108"/>
      <c r="L1919" s="26"/>
    </row>
    <row r="1920">
      <c r="A1920" s="12"/>
      <c r="B1920" s="13"/>
      <c r="C1920" s="14"/>
      <c r="D1920" s="14"/>
      <c r="E1920" s="294"/>
      <c r="F1920" s="15"/>
      <c r="G1920" s="18"/>
      <c r="H1920" s="131"/>
      <c r="I1920" s="18"/>
      <c r="J1920" s="22"/>
      <c r="K1920" s="108"/>
      <c r="L1920" s="26"/>
    </row>
    <row r="1921">
      <c r="A1921" s="12"/>
      <c r="B1921" s="13"/>
      <c r="C1921" s="14"/>
      <c r="D1921" s="14"/>
      <c r="E1921" s="294"/>
      <c r="F1921" s="15"/>
      <c r="G1921" s="18"/>
      <c r="H1921" s="131"/>
      <c r="I1921" s="18"/>
      <c r="J1921" s="22"/>
      <c r="K1921" s="108"/>
      <c r="L1921" s="26"/>
    </row>
    <row r="1922">
      <c r="A1922" s="12"/>
      <c r="B1922" s="13"/>
      <c r="C1922" s="14"/>
      <c r="D1922" s="14"/>
      <c r="E1922" s="294"/>
      <c r="F1922" s="15"/>
      <c r="G1922" s="18"/>
      <c r="H1922" s="131"/>
      <c r="I1922" s="18"/>
      <c r="J1922" s="22"/>
      <c r="K1922" s="108"/>
      <c r="L1922" s="26"/>
    </row>
    <row r="1923">
      <c r="A1923" s="12"/>
      <c r="B1923" s="13"/>
      <c r="C1923" s="14"/>
      <c r="D1923" s="14"/>
      <c r="E1923" s="294"/>
      <c r="F1923" s="15"/>
      <c r="G1923" s="18"/>
      <c r="H1923" s="131"/>
      <c r="I1923" s="18"/>
      <c r="J1923" s="22"/>
      <c r="K1923" s="108"/>
      <c r="L1923" s="26"/>
    </row>
    <row r="1924">
      <c r="A1924" s="12"/>
      <c r="B1924" s="13"/>
      <c r="C1924" s="14"/>
      <c r="D1924" s="14"/>
      <c r="E1924" s="294"/>
      <c r="F1924" s="15"/>
      <c r="G1924" s="18"/>
      <c r="H1924" s="131"/>
      <c r="I1924" s="18"/>
      <c r="J1924" s="22"/>
      <c r="K1924" s="108"/>
      <c r="L1924" s="26"/>
    </row>
    <row r="1925">
      <c r="A1925" s="12"/>
      <c r="B1925" s="13"/>
      <c r="C1925" s="14"/>
      <c r="D1925" s="14"/>
      <c r="E1925" s="294"/>
      <c r="F1925" s="15"/>
      <c r="G1925" s="18"/>
      <c r="H1925" s="131"/>
      <c r="I1925" s="18"/>
      <c r="J1925" s="22"/>
      <c r="K1925" s="108"/>
      <c r="L1925" s="26"/>
    </row>
    <row r="1926">
      <c r="A1926" s="12"/>
      <c r="B1926" s="13"/>
      <c r="C1926" s="14"/>
      <c r="D1926" s="14"/>
      <c r="E1926" s="294"/>
      <c r="F1926" s="15"/>
      <c r="G1926" s="18"/>
      <c r="H1926" s="131"/>
      <c r="I1926" s="18"/>
      <c r="J1926" s="22"/>
      <c r="K1926" s="108"/>
      <c r="L1926" s="26"/>
    </row>
    <row r="1927">
      <c r="A1927" s="12"/>
      <c r="B1927" s="13"/>
      <c r="C1927" s="14"/>
      <c r="D1927" s="14"/>
      <c r="E1927" s="294"/>
      <c r="F1927" s="15"/>
      <c r="G1927" s="18"/>
      <c r="H1927" s="131"/>
      <c r="I1927" s="18"/>
      <c r="J1927" s="22"/>
      <c r="K1927" s="108"/>
      <c r="L1927" s="26"/>
    </row>
    <row r="1928">
      <c r="A1928" s="12"/>
      <c r="B1928" s="13"/>
      <c r="C1928" s="14"/>
      <c r="D1928" s="14"/>
      <c r="E1928" s="294"/>
      <c r="F1928" s="15"/>
      <c r="G1928" s="18"/>
      <c r="H1928" s="131"/>
      <c r="I1928" s="18"/>
      <c r="J1928" s="22"/>
      <c r="K1928" s="108"/>
      <c r="L1928" s="26"/>
    </row>
    <row r="1929">
      <c r="A1929" s="12"/>
      <c r="B1929" s="13"/>
      <c r="C1929" s="14"/>
      <c r="D1929" s="14"/>
      <c r="E1929" s="294"/>
      <c r="F1929" s="15"/>
      <c r="G1929" s="18"/>
      <c r="H1929" s="131"/>
      <c r="I1929" s="18"/>
      <c r="J1929" s="22"/>
      <c r="K1929" s="108"/>
      <c r="L1929" s="26"/>
    </row>
    <row r="1930">
      <c r="A1930" s="12"/>
      <c r="B1930" s="13"/>
      <c r="C1930" s="14"/>
      <c r="D1930" s="14"/>
      <c r="E1930" s="294"/>
      <c r="F1930" s="15"/>
      <c r="G1930" s="18"/>
      <c r="H1930" s="131"/>
      <c r="I1930" s="18"/>
      <c r="J1930" s="22"/>
      <c r="K1930" s="108"/>
      <c r="L1930" s="26"/>
    </row>
    <row r="1931">
      <c r="A1931" s="12"/>
      <c r="B1931" s="13"/>
      <c r="C1931" s="14"/>
      <c r="D1931" s="14"/>
      <c r="E1931" s="294"/>
      <c r="F1931" s="15"/>
      <c r="G1931" s="18"/>
      <c r="H1931" s="131"/>
      <c r="I1931" s="18"/>
      <c r="J1931" s="22"/>
      <c r="K1931" s="108"/>
      <c r="L1931" s="26"/>
    </row>
    <row r="1932">
      <c r="A1932" s="12"/>
      <c r="B1932" s="13"/>
      <c r="C1932" s="14"/>
      <c r="D1932" s="14"/>
      <c r="E1932" s="294"/>
      <c r="F1932" s="15"/>
      <c r="G1932" s="18"/>
      <c r="H1932" s="131"/>
      <c r="I1932" s="18"/>
      <c r="J1932" s="22"/>
      <c r="K1932" s="108"/>
      <c r="L1932" s="26"/>
    </row>
    <row r="1933">
      <c r="A1933" s="12"/>
      <c r="B1933" s="13"/>
      <c r="C1933" s="14"/>
      <c r="D1933" s="14"/>
      <c r="E1933" s="294"/>
      <c r="F1933" s="15"/>
      <c r="G1933" s="18"/>
      <c r="H1933" s="131"/>
      <c r="I1933" s="18"/>
      <c r="J1933" s="22"/>
      <c r="K1933" s="108"/>
      <c r="L1933" s="26"/>
    </row>
    <row r="1934">
      <c r="A1934" s="12"/>
      <c r="B1934" s="13"/>
      <c r="C1934" s="14"/>
      <c r="D1934" s="14"/>
      <c r="E1934" s="294"/>
      <c r="F1934" s="15"/>
      <c r="G1934" s="18"/>
      <c r="H1934" s="131"/>
      <c r="I1934" s="18"/>
      <c r="J1934" s="22"/>
      <c r="K1934" s="108"/>
      <c r="L1934" s="26"/>
    </row>
    <row r="1935">
      <c r="A1935" s="12"/>
      <c r="B1935" s="13"/>
      <c r="C1935" s="14"/>
      <c r="D1935" s="14"/>
      <c r="E1935" s="294"/>
      <c r="F1935" s="15"/>
      <c r="G1935" s="18"/>
      <c r="H1935" s="131"/>
      <c r="I1935" s="18"/>
      <c r="J1935" s="22"/>
      <c r="K1935" s="108"/>
      <c r="L1935" s="26"/>
    </row>
    <row r="1936">
      <c r="A1936" s="12"/>
      <c r="B1936" s="13"/>
      <c r="C1936" s="14"/>
      <c r="D1936" s="14"/>
      <c r="E1936" s="294"/>
      <c r="F1936" s="15"/>
      <c r="G1936" s="18"/>
      <c r="H1936" s="131"/>
      <c r="I1936" s="18"/>
      <c r="J1936" s="22"/>
      <c r="K1936" s="108"/>
      <c r="L1936" s="26"/>
    </row>
    <row r="1937">
      <c r="A1937" s="12"/>
      <c r="B1937" s="13"/>
      <c r="C1937" s="14"/>
      <c r="D1937" s="14"/>
      <c r="E1937" s="294"/>
      <c r="F1937" s="15"/>
      <c r="G1937" s="18"/>
      <c r="H1937" s="131"/>
      <c r="I1937" s="18"/>
      <c r="J1937" s="22"/>
      <c r="K1937" s="108"/>
      <c r="L1937" s="26"/>
    </row>
    <row r="1938">
      <c r="A1938" s="12"/>
      <c r="B1938" s="13"/>
      <c r="C1938" s="14"/>
      <c r="D1938" s="14"/>
      <c r="E1938" s="294"/>
      <c r="F1938" s="15"/>
      <c r="G1938" s="18"/>
      <c r="H1938" s="131"/>
      <c r="I1938" s="18"/>
      <c r="J1938" s="22"/>
      <c r="K1938" s="108"/>
      <c r="L1938" s="26"/>
    </row>
    <row r="1939">
      <c r="A1939" s="12"/>
      <c r="B1939" s="13"/>
      <c r="C1939" s="14"/>
      <c r="D1939" s="14"/>
      <c r="E1939" s="294"/>
      <c r="F1939" s="15"/>
      <c r="G1939" s="18"/>
      <c r="H1939" s="131"/>
      <c r="I1939" s="18"/>
      <c r="J1939" s="22"/>
      <c r="K1939" s="108"/>
      <c r="L1939" s="26"/>
    </row>
    <row r="1940">
      <c r="A1940" s="12"/>
      <c r="B1940" s="13"/>
      <c r="C1940" s="14"/>
      <c r="D1940" s="14"/>
      <c r="E1940" s="294"/>
      <c r="F1940" s="15"/>
      <c r="G1940" s="18"/>
      <c r="H1940" s="131"/>
      <c r="I1940" s="18"/>
      <c r="J1940" s="22"/>
      <c r="K1940" s="108"/>
      <c r="L1940" s="26"/>
    </row>
    <row r="1941">
      <c r="A1941" s="12"/>
      <c r="B1941" s="13"/>
      <c r="C1941" s="14"/>
      <c r="D1941" s="14"/>
      <c r="E1941" s="294"/>
      <c r="F1941" s="15"/>
      <c r="G1941" s="18"/>
      <c r="H1941" s="131"/>
      <c r="I1941" s="18"/>
      <c r="J1941" s="22"/>
      <c r="K1941" s="108"/>
      <c r="L1941" s="26"/>
    </row>
    <row r="1942">
      <c r="A1942" s="12"/>
      <c r="B1942" s="13"/>
      <c r="C1942" s="14"/>
      <c r="D1942" s="14"/>
      <c r="E1942" s="294"/>
      <c r="F1942" s="15"/>
      <c r="G1942" s="18"/>
      <c r="H1942" s="131"/>
      <c r="I1942" s="18"/>
      <c r="J1942" s="22"/>
      <c r="K1942" s="108"/>
      <c r="L1942" s="26"/>
    </row>
    <row r="1943">
      <c r="A1943" s="12"/>
      <c r="B1943" s="13"/>
      <c r="C1943" s="14"/>
      <c r="D1943" s="14"/>
      <c r="E1943" s="294"/>
      <c r="F1943" s="15"/>
      <c r="G1943" s="18"/>
      <c r="H1943" s="131"/>
      <c r="I1943" s="18"/>
      <c r="J1943" s="22"/>
      <c r="K1943" s="108"/>
      <c r="L1943" s="26"/>
    </row>
    <row r="1944">
      <c r="A1944" s="12"/>
      <c r="B1944" s="13"/>
      <c r="C1944" s="14"/>
      <c r="D1944" s="14"/>
      <c r="E1944" s="294"/>
      <c r="F1944" s="15"/>
      <c r="G1944" s="18"/>
      <c r="H1944" s="131"/>
      <c r="I1944" s="18"/>
      <c r="J1944" s="22"/>
      <c r="K1944" s="108"/>
      <c r="L1944" s="26"/>
    </row>
    <row r="1945">
      <c r="A1945" s="12"/>
      <c r="B1945" s="13"/>
      <c r="C1945" s="14"/>
      <c r="D1945" s="14"/>
      <c r="E1945" s="294"/>
      <c r="F1945" s="15"/>
      <c r="G1945" s="18"/>
      <c r="H1945" s="131"/>
      <c r="I1945" s="18"/>
      <c r="J1945" s="22"/>
      <c r="K1945" s="108"/>
      <c r="L1945" s="26"/>
    </row>
    <row r="1946">
      <c r="A1946" s="12"/>
      <c r="B1946" s="13"/>
      <c r="C1946" s="14"/>
      <c r="D1946" s="14"/>
      <c r="E1946" s="294"/>
      <c r="F1946" s="15"/>
      <c r="G1946" s="18"/>
      <c r="H1946" s="131"/>
      <c r="I1946" s="18"/>
      <c r="J1946" s="22"/>
      <c r="K1946" s="108"/>
      <c r="L1946" s="26"/>
    </row>
    <row r="1947">
      <c r="A1947" s="12"/>
      <c r="B1947" s="13"/>
      <c r="C1947" s="14"/>
      <c r="D1947" s="14"/>
      <c r="E1947" s="294"/>
      <c r="F1947" s="15"/>
      <c r="G1947" s="18"/>
      <c r="H1947" s="131"/>
      <c r="I1947" s="18"/>
      <c r="J1947" s="22"/>
      <c r="K1947" s="108"/>
      <c r="L1947" s="26"/>
    </row>
    <row r="1948">
      <c r="A1948" s="12"/>
      <c r="B1948" s="13"/>
      <c r="C1948" s="14"/>
      <c r="D1948" s="14"/>
      <c r="E1948" s="294"/>
      <c r="F1948" s="15"/>
      <c r="G1948" s="18"/>
      <c r="H1948" s="131"/>
      <c r="I1948" s="18"/>
      <c r="J1948" s="22"/>
      <c r="K1948" s="108"/>
      <c r="L1948" s="26"/>
    </row>
    <row r="1949">
      <c r="A1949" s="12"/>
      <c r="B1949" s="13"/>
      <c r="C1949" s="14"/>
      <c r="D1949" s="14"/>
      <c r="E1949" s="294"/>
      <c r="F1949" s="15"/>
      <c r="G1949" s="18"/>
      <c r="H1949" s="131"/>
      <c r="I1949" s="18"/>
      <c r="J1949" s="22"/>
      <c r="K1949" s="108"/>
      <c r="L1949" s="26"/>
    </row>
    <row r="1950">
      <c r="A1950" s="12"/>
      <c r="B1950" s="13"/>
      <c r="C1950" s="14"/>
      <c r="D1950" s="14"/>
      <c r="E1950" s="294"/>
      <c r="F1950" s="15"/>
      <c r="G1950" s="18"/>
      <c r="H1950" s="131"/>
      <c r="I1950" s="18"/>
      <c r="J1950" s="22"/>
      <c r="K1950" s="108"/>
      <c r="L1950" s="26"/>
    </row>
    <row r="1951">
      <c r="A1951" s="12"/>
      <c r="B1951" s="13"/>
      <c r="C1951" s="14"/>
      <c r="D1951" s="14"/>
      <c r="E1951" s="294"/>
      <c r="F1951" s="15"/>
      <c r="G1951" s="18"/>
      <c r="H1951" s="131"/>
      <c r="I1951" s="18"/>
      <c r="J1951" s="22"/>
      <c r="K1951" s="108"/>
      <c r="L1951" s="26"/>
    </row>
    <row r="1952">
      <c r="A1952" s="12"/>
      <c r="B1952" s="13"/>
      <c r="C1952" s="14"/>
      <c r="D1952" s="14"/>
      <c r="E1952" s="294"/>
      <c r="F1952" s="15"/>
      <c r="G1952" s="18"/>
      <c r="H1952" s="131"/>
      <c r="I1952" s="18"/>
      <c r="J1952" s="22"/>
      <c r="K1952" s="108"/>
      <c r="L1952" s="26"/>
    </row>
    <row r="1953">
      <c r="A1953" s="12"/>
      <c r="B1953" s="13"/>
      <c r="C1953" s="14"/>
      <c r="D1953" s="14"/>
      <c r="E1953" s="294"/>
      <c r="F1953" s="15"/>
      <c r="G1953" s="18"/>
      <c r="H1953" s="131"/>
      <c r="I1953" s="18"/>
      <c r="J1953" s="22"/>
      <c r="K1953" s="108"/>
      <c r="L1953" s="26"/>
    </row>
    <row r="1954">
      <c r="A1954" s="12"/>
      <c r="B1954" s="13"/>
      <c r="C1954" s="14"/>
      <c r="D1954" s="14"/>
      <c r="E1954" s="294"/>
      <c r="F1954" s="15"/>
      <c r="G1954" s="18"/>
      <c r="H1954" s="131"/>
      <c r="I1954" s="18"/>
      <c r="J1954" s="22"/>
      <c r="K1954" s="108"/>
      <c r="L1954" s="26"/>
    </row>
    <row r="1955">
      <c r="A1955" s="12"/>
      <c r="B1955" s="13"/>
      <c r="C1955" s="14"/>
      <c r="D1955" s="14"/>
      <c r="E1955" s="294"/>
      <c r="F1955" s="15"/>
      <c r="G1955" s="18"/>
      <c r="H1955" s="131"/>
      <c r="I1955" s="18"/>
      <c r="J1955" s="22"/>
      <c r="K1955" s="108"/>
      <c r="L1955" s="26"/>
    </row>
    <row r="1956">
      <c r="A1956" s="12"/>
      <c r="B1956" s="13"/>
      <c r="C1956" s="14"/>
      <c r="D1956" s="14"/>
      <c r="E1956" s="294"/>
      <c r="F1956" s="15"/>
      <c r="G1956" s="18"/>
      <c r="H1956" s="131"/>
      <c r="I1956" s="18"/>
      <c r="J1956" s="22"/>
      <c r="K1956" s="108"/>
      <c r="L1956" s="26"/>
    </row>
    <row r="1957">
      <c r="A1957" s="12"/>
      <c r="B1957" s="13"/>
      <c r="C1957" s="14"/>
      <c r="D1957" s="14"/>
      <c r="E1957" s="294"/>
      <c r="F1957" s="15"/>
      <c r="G1957" s="18"/>
      <c r="H1957" s="131"/>
      <c r="I1957" s="18"/>
      <c r="J1957" s="22"/>
      <c r="K1957" s="108"/>
      <c r="L1957" s="26"/>
    </row>
    <row r="1958">
      <c r="A1958" s="12"/>
      <c r="B1958" s="13"/>
      <c r="C1958" s="14"/>
      <c r="D1958" s="14"/>
      <c r="E1958" s="294"/>
      <c r="F1958" s="15"/>
      <c r="G1958" s="18"/>
      <c r="H1958" s="131"/>
      <c r="I1958" s="18"/>
      <c r="J1958" s="22"/>
      <c r="K1958" s="108"/>
      <c r="L1958" s="26"/>
    </row>
    <row r="1959">
      <c r="A1959" s="12"/>
      <c r="B1959" s="13"/>
      <c r="C1959" s="14"/>
      <c r="D1959" s="14"/>
      <c r="E1959" s="294"/>
      <c r="F1959" s="15"/>
      <c r="G1959" s="18"/>
      <c r="H1959" s="131"/>
      <c r="I1959" s="18"/>
      <c r="J1959" s="22"/>
      <c r="K1959" s="108"/>
      <c r="L1959" s="26"/>
    </row>
    <row r="1960">
      <c r="A1960" s="12"/>
      <c r="B1960" s="13"/>
      <c r="C1960" s="14"/>
      <c r="D1960" s="14"/>
      <c r="E1960" s="294"/>
      <c r="F1960" s="15"/>
      <c r="G1960" s="18"/>
      <c r="H1960" s="131"/>
      <c r="I1960" s="18"/>
      <c r="J1960" s="22"/>
      <c r="K1960" s="108"/>
      <c r="L1960" s="26"/>
    </row>
    <row r="1961">
      <c r="A1961" s="12"/>
      <c r="B1961" s="13"/>
      <c r="C1961" s="14"/>
      <c r="D1961" s="14"/>
      <c r="E1961" s="294"/>
      <c r="F1961" s="15"/>
      <c r="G1961" s="18"/>
      <c r="H1961" s="131"/>
      <c r="I1961" s="18"/>
      <c r="J1961" s="22"/>
      <c r="K1961" s="108"/>
      <c r="L1961" s="26"/>
    </row>
    <row r="1962">
      <c r="A1962" s="12"/>
      <c r="B1962" s="13"/>
      <c r="C1962" s="14"/>
      <c r="D1962" s="14"/>
      <c r="E1962" s="294"/>
      <c r="F1962" s="15"/>
      <c r="G1962" s="18"/>
      <c r="H1962" s="131"/>
      <c r="I1962" s="18"/>
      <c r="J1962" s="22"/>
      <c r="K1962" s="108"/>
      <c r="L1962" s="26"/>
    </row>
    <row r="1963">
      <c r="A1963" s="12"/>
      <c r="B1963" s="13"/>
      <c r="C1963" s="14"/>
      <c r="D1963" s="14"/>
      <c r="E1963" s="294"/>
      <c r="F1963" s="15"/>
      <c r="G1963" s="18"/>
      <c r="H1963" s="131"/>
      <c r="I1963" s="18"/>
      <c r="J1963" s="22"/>
      <c r="K1963" s="108"/>
      <c r="L1963" s="26"/>
    </row>
    <row r="1964">
      <c r="A1964" s="12"/>
      <c r="B1964" s="13"/>
      <c r="C1964" s="14"/>
      <c r="D1964" s="14"/>
      <c r="E1964" s="294"/>
      <c r="F1964" s="15"/>
      <c r="G1964" s="18"/>
      <c r="H1964" s="131"/>
      <c r="I1964" s="18"/>
      <c r="J1964" s="22"/>
      <c r="K1964" s="108"/>
      <c r="L1964" s="26"/>
    </row>
    <row r="1965">
      <c r="A1965" s="12"/>
      <c r="B1965" s="13"/>
      <c r="C1965" s="14"/>
      <c r="D1965" s="14"/>
      <c r="E1965" s="294"/>
      <c r="F1965" s="15"/>
      <c r="G1965" s="18"/>
      <c r="H1965" s="131"/>
      <c r="I1965" s="18"/>
      <c r="J1965" s="22"/>
      <c r="K1965" s="108"/>
      <c r="L1965" s="26"/>
    </row>
    <row r="1966">
      <c r="A1966" s="12"/>
      <c r="B1966" s="13"/>
      <c r="C1966" s="14"/>
      <c r="D1966" s="14"/>
      <c r="E1966" s="294"/>
      <c r="F1966" s="15"/>
      <c r="G1966" s="18"/>
      <c r="H1966" s="131"/>
      <c r="I1966" s="18"/>
      <c r="J1966" s="22"/>
      <c r="K1966" s="108"/>
      <c r="L1966" s="26"/>
    </row>
    <row r="1967">
      <c r="A1967" s="12"/>
      <c r="B1967" s="13"/>
      <c r="C1967" s="14"/>
      <c r="D1967" s="14"/>
      <c r="E1967" s="294"/>
      <c r="F1967" s="15"/>
      <c r="G1967" s="18"/>
      <c r="H1967" s="131"/>
      <c r="I1967" s="18"/>
      <c r="J1967" s="22"/>
      <c r="K1967" s="108"/>
      <c r="L1967" s="26"/>
    </row>
    <row r="1968">
      <c r="A1968" s="12"/>
      <c r="B1968" s="13"/>
      <c r="C1968" s="14"/>
      <c r="D1968" s="14"/>
      <c r="E1968" s="294"/>
      <c r="F1968" s="15"/>
      <c r="G1968" s="18"/>
      <c r="H1968" s="131"/>
      <c r="I1968" s="18"/>
      <c r="J1968" s="22"/>
      <c r="K1968" s="108"/>
      <c r="L1968" s="26"/>
    </row>
    <row r="1969">
      <c r="A1969" s="12"/>
      <c r="B1969" s="13"/>
      <c r="C1969" s="14"/>
      <c r="D1969" s="14"/>
      <c r="E1969" s="294"/>
      <c r="F1969" s="15"/>
      <c r="G1969" s="18"/>
      <c r="H1969" s="131"/>
      <c r="I1969" s="18"/>
      <c r="J1969" s="22"/>
      <c r="K1969" s="108"/>
      <c r="L1969" s="26"/>
    </row>
    <row r="1970">
      <c r="A1970" s="12"/>
      <c r="B1970" s="13"/>
      <c r="C1970" s="14"/>
      <c r="D1970" s="14"/>
      <c r="E1970" s="294"/>
      <c r="F1970" s="15"/>
      <c r="G1970" s="18"/>
      <c r="H1970" s="131"/>
      <c r="I1970" s="18"/>
      <c r="J1970" s="22"/>
      <c r="K1970" s="108"/>
      <c r="L1970" s="26"/>
    </row>
    <row r="1971">
      <c r="A1971" s="12"/>
      <c r="B1971" s="13"/>
      <c r="C1971" s="14"/>
      <c r="D1971" s="14"/>
      <c r="E1971" s="294"/>
      <c r="F1971" s="15"/>
      <c r="G1971" s="18"/>
      <c r="H1971" s="131"/>
      <c r="I1971" s="18"/>
      <c r="J1971" s="22"/>
      <c r="K1971" s="108"/>
      <c r="L1971" s="26"/>
    </row>
    <row r="1972">
      <c r="A1972" s="12"/>
      <c r="B1972" s="13"/>
      <c r="C1972" s="14"/>
      <c r="D1972" s="14"/>
      <c r="E1972" s="294"/>
      <c r="F1972" s="15"/>
      <c r="G1972" s="18"/>
      <c r="H1972" s="131"/>
      <c r="I1972" s="18"/>
      <c r="J1972" s="22"/>
      <c r="K1972" s="108"/>
      <c r="L1972" s="26"/>
    </row>
    <row r="1973">
      <c r="A1973" s="12"/>
      <c r="B1973" s="13"/>
      <c r="C1973" s="14"/>
      <c r="D1973" s="14"/>
      <c r="E1973" s="294"/>
      <c r="F1973" s="15"/>
      <c r="G1973" s="18"/>
      <c r="H1973" s="131"/>
      <c r="I1973" s="18"/>
      <c r="J1973" s="22"/>
      <c r="K1973" s="108"/>
      <c r="L1973" s="26"/>
    </row>
    <row r="1974">
      <c r="A1974" s="12"/>
      <c r="B1974" s="13"/>
      <c r="C1974" s="14"/>
      <c r="D1974" s="14"/>
      <c r="E1974" s="294"/>
      <c r="F1974" s="15"/>
      <c r="G1974" s="18"/>
      <c r="H1974" s="131"/>
      <c r="I1974" s="18"/>
      <c r="J1974" s="22"/>
      <c r="K1974" s="108"/>
      <c r="L1974" s="26"/>
    </row>
    <row r="1975">
      <c r="A1975" s="12"/>
      <c r="B1975" s="13"/>
      <c r="C1975" s="14"/>
      <c r="D1975" s="14"/>
      <c r="E1975" s="294"/>
      <c r="F1975" s="15"/>
      <c r="G1975" s="18"/>
      <c r="H1975" s="131"/>
      <c r="I1975" s="18"/>
      <c r="J1975" s="22"/>
      <c r="K1975" s="108"/>
      <c r="L1975" s="26"/>
    </row>
    <row r="1976">
      <c r="A1976" s="12"/>
      <c r="B1976" s="13"/>
      <c r="C1976" s="14"/>
      <c r="D1976" s="14"/>
      <c r="E1976" s="294"/>
      <c r="F1976" s="15"/>
      <c r="G1976" s="18"/>
      <c r="H1976" s="131"/>
      <c r="I1976" s="18"/>
      <c r="J1976" s="22"/>
      <c r="K1976" s="108"/>
      <c r="L1976" s="26"/>
    </row>
    <row r="1977">
      <c r="A1977" s="12"/>
      <c r="B1977" s="13"/>
      <c r="C1977" s="14"/>
      <c r="D1977" s="14"/>
      <c r="E1977" s="294"/>
      <c r="F1977" s="15"/>
      <c r="G1977" s="18"/>
      <c r="H1977" s="131"/>
      <c r="I1977" s="18"/>
      <c r="J1977" s="22"/>
      <c r="K1977" s="108"/>
      <c r="L1977" s="26"/>
    </row>
    <row r="1978">
      <c r="A1978" s="12"/>
      <c r="B1978" s="13"/>
      <c r="C1978" s="14"/>
      <c r="D1978" s="14"/>
      <c r="E1978" s="294"/>
      <c r="F1978" s="15"/>
      <c r="G1978" s="18"/>
      <c r="H1978" s="131"/>
      <c r="I1978" s="18"/>
      <c r="J1978" s="22"/>
      <c r="K1978" s="108"/>
      <c r="L1978" s="26"/>
    </row>
    <row r="1979">
      <c r="A1979" s="12"/>
      <c r="B1979" s="13"/>
      <c r="C1979" s="14"/>
      <c r="D1979" s="14"/>
      <c r="E1979" s="294"/>
      <c r="F1979" s="15"/>
      <c r="G1979" s="18"/>
      <c r="H1979" s="131"/>
      <c r="I1979" s="18"/>
      <c r="J1979" s="22"/>
      <c r="K1979" s="108"/>
      <c r="L1979" s="26"/>
    </row>
    <row r="1980">
      <c r="A1980" s="12"/>
      <c r="B1980" s="13"/>
      <c r="C1980" s="14"/>
      <c r="D1980" s="14"/>
      <c r="E1980" s="294"/>
      <c r="F1980" s="15"/>
      <c r="G1980" s="18"/>
      <c r="H1980" s="131"/>
      <c r="I1980" s="18"/>
      <c r="J1980" s="22"/>
      <c r="K1980" s="108"/>
      <c r="L1980" s="26"/>
    </row>
    <row r="1981">
      <c r="A1981" s="12"/>
      <c r="B1981" s="13"/>
      <c r="C1981" s="14"/>
      <c r="D1981" s="14"/>
      <c r="E1981" s="294"/>
      <c r="F1981" s="15"/>
      <c r="G1981" s="18"/>
      <c r="H1981" s="131"/>
      <c r="I1981" s="18"/>
      <c r="J1981" s="22"/>
      <c r="K1981" s="108"/>
      <c r="L1981" s="26"/>
    </row>
    <row r="1982">
      <c r="A1982" s="12"/>
      <c r="B1982" s="13"/>
      <c r="C1982" s="14"/>
      <c r="D1982" s="14"/>
      <c r="E1982" s="294"/>
      <c r="F1982" s="15"/>
      <c r="G1982" s="18"/>
      <c r="H1982" s="131"/>
      <c r="I1982" s="18"/>
      <c r="J1982" s="22"/>
      <c r="K1982" s="108"/>
      <c r="L1982" s="26"/>
    </row>
    <row r="1983">
      <c r="A1983" s="12"/>
      <c r="B1983" s="13"/>
      <c r="C1983" s="14"/>
      <c r="D1983" s="14"/>
      <c r="E1983" s="294"/>
      <c r="F1983" s="15"/>
      <c r="G1983" s="18"/>
      <c r="H1983" s="131"/>
      <c r="I1983" s="18"/>
      <c r="J1983" s="22"/>
      <c r="K1983" s="108"/>
      <c r="L1983" s="26"/>
    </row>
    <row r="1984">
      <c r="A1984" s="12"/>
      <c r="B1984" s="13"/>
      <c r="C1984" s="14"/>
      <c r="D1984" s="14"/>
      <c r="E1984" s="294"/>
      <c r="F1984" s="15"/>
      <c r="G1984" s="18"/>
      <c r="H1984" s="131"/>
      <c r="I1984" s="18"/>
      <c r="J1984" s="22"/>
      <c r="K1984" s="108"/>
      <c r="L1984" s="26"/>
    </row>
    <row r="1985">
      <c r="A1985" s="12"/>
      <c r="B1985" s="13"/>
      <c r="C1985" s="14"/>
      <c r="D1985" s="14"/>
      <c r="E1985" s="294"/>
      <c r="F1985" s="15"/>
      <c r="G1985" s="18"/>
      <c r="H1985" s="131"/>
      <c r="I1985" s="18"/>
      <c r="J1985" s="22"/>
      <c r="K1985" s="108"/>
      <c r="L1985" s="26"/>
    </row>
    <row r="1986">
      <c r="A1986" s="12"/>
      <c r="B1986" s="13"/>
      <c r="C1986" s="14"/>
      <c r="D1986" s="14"/>
      <c r="E1986" s="294"/>
      <c r="F1986" s="15"/>
      <c r="G1986" s="18"/>
      <c r="H1986" s="131"/>
      <c r="I1986" s="18"/>
      <c r="J1986" s="22"/>
      <c r="K1986" s="108"/>
      <c r="L1986" s="26"/>
    </row>
    <row r="1987">
      <c r="A1987" s="12"/>
      <c r="B1987" s="13"/>
      <c r="C1987" s="14"/>
      <c r="D1987" s="14"/>
      <c r="E1987" s="294"/>
      <c r="F1987" s="15"/>
      <c r="G1987" s="18"/>
      <c r="H1987" s="131"/>
      <c r="I1987" s="18"/>
      <c r="J1987" s="22"/>
      <c r="K1987" s="108"/>
      <c r="L1987" s="26"/>
    </row>
    <row r="1988">
      <c r="A1988" s="12"/>
      <c r="B1988" s="13"/>
      <c r="C1988" s="14"/>
      <c r="D1988" s="14"/>
      <c r="E1988" s="294"/>
      <c r="F1988" s="15"/>
      <c r="G1988" s="18"/>
      <c r="H1988" s="131"/>
      <c r="I1988" s="18"/>
      <c r="J1988" s="22"/>
      <c r="K1988" s="108"/>
      <c r="L1988" s="26"/>
    </row>
    <row r="1989">
      <c r="A1989" s="12"/>
      <c r="B1989" s="13"/>
      <c r="C1989" s="14"/>
      <c r="D1989" s="14"/>
      <c r="E1989" s="294"/>
      <c r="F1989" s="15"/>
      <c r="G1989" s="18"/>
      <c r="H1989" s="131"/>
      <c r="I1989" s="18"/>
      <c r="J1989" s="22"/>
      <c r="K1989" s="108"/>
      <c r="L1989" s="26"/>
    </row>
    <row r="1990">
      <c r="A1990" s="12"/>
      <c r="B1990" s="13"/>
      <c r="C1990" s="14"/>
      <c r="D1990" s="14"/>
      <c r="E1990" s="294"/>
      <c r="F1990" s="15"/>
      <c r="G1990" s="18"/>
      <c r="H1990" s="131"/>
      <c r="I1990" s="18"/>
      <c r="J1990" s="22"/>
      <c r="K1990" s="108"/>
      <c r="L1990" s="26"/>
    </row>
    <row r="1991">
      <c r="A1991" s="12"/>
      <c r="B1991" s="13"/>
      <c r="C1991" s="14"/>
      <c r="D1991" s="14"/>
      <c r="E1991" s="294"/>
      <c r="F1991" s="15"/>
      <c r="G1991" s="18"/>
      <c r="H1991" s="131"/>
      <c r="I1991" s="18"/>
      <c r="J1991" s="22"/>
      <c r="K1991" s="108"/>
      <c r="L1991" s="26"/>
    </row>
    <row r="1992">
      <c r="A1992" s="12"/>
      <c r="B1992" s="13"/>
      <c r="C1992" s="14"/>
      <c r="D1992" s="14"/>
      <c r="E1992" s="294"/>
      <c r="F1992" s="15"/>
      <c r="G1992" s="18"/>
      <c r="H1992" s="131"/>
      <c r="I1992" s="18"/>
      <c r="J1992" s="22"/>
      <c r="K1992" s="108"/>
      <c r="L1992" s="26"/>
    </row>
    <row r="1993">
      <c r="A1993" s="12"/>
      <c r="B1993" s="13"/>
      <c r="C1993" s="14"/>
      <c r="D1993" s="14"/>
      <c r="E1993" s="294"/>
      <c r="F1993" s="15"/>
      <c r="G1993" s="18"/>
      <c r="H1993" s="131"/>
      <c r="I1993" s="18"/>
      <c r="J1993" s="22"/>
      <c r="K1993" s="108"/>
      <c r="L1993" s="26"/>
    </row>
    <row r="1994">
      <c r="A1994" s="12"/>
      <c r="B1994" s="13"/>
      <c r="C1994" s="14"/>
      <c r="D1994" s="14"/>
      <c r="E1994" s="294"/>
      <c r="F1994" s="15"/>
      <c r="G1994" s="18"/>
      <c r="H1994" s="131"/>
      <c r="I1994" s="18"/>
      <c r="J1994" s="22"/>
      <c r="K1994" s="108"/>
      <c r="L1994" s="26"/>
    </row>
    <row r="1995">
      <c r="A1995" s="12"/>
      <c r="B1995" s="13"/>
      <c r="C1995" s="14"/>
      <c r="D1995" s="14"/>
      <c r="E1995" s="294"/>
      <c r="F1995" s="15"/>
      <c r="G1995" s="18"/>
      <c r="H1995" s="131"/>
      <c r="I1995" s="18"/>
      <c r="J1995" s="22"/>
      <c r="K1995" s="108"/>
      <c r="L1995" s="26"/>
    </row>
    <row r="1996">
      <c r="A1996" s="12"/>
      <c r="B1996" s="13"/>
      <c r="C1996" s="14"/>
      <c r="D1996" s="14"/>
      <c r="E1996" s="294"/>
      <c r="F1996" s="15"/>
      <c r="G1996" s="18"/>
      <c r="H1996" s="131"/>
      <c r="I1996" s="18"/>
      <c r="J1996" s="22"/>
      <c r="K1996" s="108"/>
      <c r="L1996" s="26"/>
    </row>
    <row r="1997">
      <c r="A1997" s="12"/>
      <c r="B1997" s="13"/>
      <c r="C1997" s="14"/>
      <c r="D1997" s="14"/>
      <c r="E1997" s="294"/>
      <c r="F1997" s="15"/>
      <c r="G1997" s="18"/>
      <c r="H1997" s="131"/>
      <c r="I1997" s="18"/>
      <c r="J1997" s="22"/>
      <c r="K1997" s="108"/>
      <c r="L1997" s="26"/>
    </row>
    <row r="1998">
      <c r="A1998" s="12"/>
      <c r="B1998" s="13"/>
      <c r="C1998" s="14"/>
      <c r="D1998" s="14"/>
      <c r="E1998" s="294"/>
      <c r="F1998" s="15"/>
      <c r="G1998" s="18"/>
      <c r="H1998" s="131"/>
      <c r="I1998" s="18"/>
      <c r="J1998" s="22"/>
      <c r="K1998" s="108"/>
      <c r="L1998" s="26"/>
    </row>
    <row r="1999">
      <c r="A1999" s="12"/>
      <c r="B1999" s="13"/>
      <c r="C1999" s="14"/>
      <c r="D1999" s="14"/>
      <c r="E1999" s="294"/>
      <c r="F1999" s="15"/>
      <c r="G1999" s="18"/>
      <c r="H1999" s="131"/>
      <c r="I1999" s="18"/>
      <c r="J1999" s="22"/>
      <c r="K1999" s="108"/>
      <c r="L1999" s="26"/>
    </row>
    <row r="2000">
      <c r="A2000" s="12"/>
      <c r="B2000" s="13"/>
      <c r="C2000" s="14"/>
      <c r="D2000" s="14"/>
      <c r="E2000" s="294"/>
      <c r="F2000" s="15"/>
      <c r="G2000" s="18"/>
      <c r="H2000" s="131"/>
      <c r="I2000" s="18"/>
      <c r="J2000" s="22"/>
      <c r="K2000" s="108"/>
      <c r="L2000" s="26"/>
    </row>
    <row r="2001">
      <c r="A2001" s="12"/>
      <c r="B2001" s="13"/>
      <c r="C2001" s="14"/>
      <c r="D2001" s="14"/>
      <c r="E2001" s="294"/>
      <c r="F2001" s="15"/>
      <c r="G2001" s="18"/>
      <c r="H2001" s="131"/>
      <c r="I2001" s="18"/>
      <c r="J2001" s="22"/>
      <c r="K2001" s="108"/>
      <c r="L2001" s="26"/>
    </row>
    <row r="2002">
      <c r="A2002" s="12"/>
      <c r="B2002" s="13"/>
      <c r="C2002" s="14"/>
      <c r="D2002" s="14"/>
      <c r="E2002" s="294"/>
      <c r="F2002" s="15"/>
      <c r="G2002" s="18"/>
      <c r="H2002" s="131"/>
      <c r="I2002" s="18"/>
      <c r="J2002" s="22"/>
      <c r="K2002" s="108"/>
      <c r="L2002" s="26"/>
    </row>
    <row r="2003">
      <c r="A2003" s="12"/>
      <c r="B2003" s="13"/>
      <c r="C2003" s="14"/>
      <c r="D2003" s="14"/>
      <c r="E2003" s="294"/>
      <c r="F2003" s="15"/>
      <c r="G2003" s="18"/>
      <c r="H2003" s="131"/>
      <c r="I2003" s="18"/>
      <c r="J2003" s="22"/>
      <c r="K2003" s="108"/>
      <c r="L2003" s="26"/>
    </row>
    <row r="2004">
      <c r="A2004" s="12"/>
      <c r="B2004" s="13"/>
      <c r="C2004" s="14"/>
      <c r="D2004" s="14"/>
      <c r="E2004" s="294"/>
      <c r="F2004" s="15"/>
      <c r="G2004" s="18"/>
      <c r="H2004" s="131"/>
      <c r="I2004" s="18"/>
      <c r="J2004" s="22"/>
      <c r="K2004" s="108"/>
      <c r="L2004" s="26"/>
    </row>
    <row r="2005">
      <c r="A2005" s="12"/>
      <c r="B2005" s="13"/>
      <c r="C2005" s="14"/>
      <c r="D2005" s="14"/>
      <c r="E2005" s="294"/>
      <c r="F2005" s="15"/>
      <c r="G2005" s="18"/>
      <c r="H2005" s="131"/>
      <c r="I2005" s="18"/>
      <c r="J2005" s="22"/>
      <c r="K2005" s="108"/>
      <c r="L2005" s="26"/>
    </row>
    <row r="2006">
      <c r="A2006" s="12"/>
      <c r="B2006" s="13"/>
      <c r="C2006" s="14"/>
      <c r="D2006" s="14"/>
      <c r="E2006" s="294"/>
      <c r="F2006" s="15"/>
      <c r="G2006" s="18"/>
      <c r="H2006" s="131"/>
      <c r="I2006" s="18"/>
      <c r="J2006" s="22"/>
      <c r="K2006" s="108"/>
      <c r="L2006" s="26"/>
    </row>
    <row r="2007">
      <c r="A2007" s="12"/>
      <c r="B2007" s="13"/>
      <c r="C2007" s="14"/>
      <c r="D2007" s="14"/>
      <c r="E2007" s="294"/>
      <c r="F2007" s="15"/>
      <c r="G2007" s="18"/>
      <c r="H2007" s="131"/>
      <c r="I2007" s="18"/>
      <c r="J2007" s="22"/>
      <c r="K2007" s="108"/>
      <c r="L2007" s="26"/>
    </row>
    <row r="2008">
      <c r="A2008" s="12"/>
      <c r="B2008" s="13"/>
      <c r="C2008" s="14"/>
      <c r="D2008" s="14"/>
      <c r="E2008" s="294"/>
      <c r="F2008" s="15"/>
      <c r="G2008" s="18"/>
      <c r="H2008" s="131"/>
      <c r="I2008" s="18"/>
      <c r="J2008" s="22"/>
      <c r="K2008" s="108"/>
      <c r="L2008" s="26"/>
    </row>
    <row r="2009">
      <c r="A2009" s="12"/>
      <c r="B2009" s="13"/>
      <c r="C2009" s="14"/>
      <c r="D2009" s="14"/>
      <c r="E2009" s="294"/>
      <c r="F2009" s="15"/>
      <c r="G2009" s="18"/>
      <c r="H2009" s="131"/>
      <c r="I2009" s="18"/>
      <c r="J2009" s="22"/>
      <c r="K2009" s="108"/>
      <c r="L2009" s="26"/>
    </row>
    <row r="2010">
      <c r="A2010" s="12"/>
      <c r="B2010" s="13"/>
      <c r="C2010" s="14"/>
      <c r="D2010" s="14"/>
      <c r="E2010" s="294"/>
      <c r="F2010" s="15"/>
      <c r="G2010" s="18"/>
      <c r="H2010" s="131"/>
      <c r="I2010" s="18"/>
      <c r="J2010" s="22"/>
      <c r="K2010" s="108"/>
      <c r="L2010" s="26"/>
    </row>
    <row r="2011">
      <c r="A2011" s="12"/>
      <c r="B2011" s="13"/>
      <c r="C2011" s="14"/>
      <c r="D2011" s="14"/>
      <c r="E2011" s="294"/>
      <c r="F2011" s="15"/>
      <c r="G2011" s="18"/>
      <c r="H2011" s="131"/>
      <c r="I2011" s="18"/>
      <c r="J2011" s="22"/>
      <c r="K2011" s="108"/>
      <c r="L2011" s="26"/>
    </row>
    <row r="2012">
      <c r="A2012" s="12"/>
      <c r="B2012" s="13"/>
      <c r="C2012" s="14"/>
      <c r="D2012" s="14"/>
      <c r="E2012" s="294"/>
      <c r="F2012" s="15"/>
      <c r="G2012" s="18"/>
      <c r="H2012" s="131"/>
      <c r="I2012" s="18"/>
      <c r="J2012" s="22"/>
      <c r="K2012" s="108"/>
      <c r="L2012" s="26"/>
    </row>
    <row r="2013">
      <c r="A2013" s="12"/>
      <c r="B2013" s="13"/>
      <c r="C2013" s="14"/>
      <c r="D2013" s="14"/>
      <c r="E2013" s="294"/>
      <c r="F2013" s="15"/>
      <c r="G2013" s="18"/>
      <c r="H2013" s="131"/>
      <c r="I2013" s="18"/>
      <c r="J2013" s="22"/>
      <c r="K2013" s="108"/>
      <c r="L2013" s="26"/>
    </row>
    <row r="2014">
      <c r="A2014" s="12"/>
      <c r="B2014" s="13"/>
      <c r="C2014" s="14"/>
      <c r="D2014" s="14"/>
      <c r="E2014" s="294"/>
      <c r="F2014" s="15"/>
      <c r="G2014" s="18"/>
      <c r="H2014" s="131"/>
      <c r="I2014" s="18"/>
      <c r="J2014" s="22"/>
      <c r="K2014" s="108"/>
      <c r="L2014" s="26"/>
    </row>
    <row r="2015">
      <c r="A2015" s="12"/>
      <c r="B2015" s="13"/>
      <c r="C2015" s="14"/>
      <c r="D2015" s="14"/>
      <c r="E2015" s="294"/>
      <c r="F2015" s="15"/>
      <c r="G2015" s="18"/>
      <c r="H2015" s="131"/>
      <c r="I2015" s="18"/>
      <c r="J2015" s="22"/>
      <c r="K2015" s="108"/>
      <c r="L2015" s="26"/>
    </row>
    <row r="2016">
      <c r="A2016" s="12"/>
      <c r="B2016" s="13"/>
      <c r="C2016" s="14"/>
      <c r="D2016" s="14"/>
      <c r="E2016" s="294"/>
      <c r="F2016" s="15"/>
      <c r="G2016" s="18"/>
      <c r="H2016" s="131"/>
      <c r="I2016" s="18"/>
      <c r="J2016" s="22"/>
      <c r="K2016" s="108"/>
      <c r="L2016" s="26"/>
    </row>
    <row r="2017">
      <c r="A2017" s="12"/>
      <c r="B2017" s="13"/>
      <c r="C2017" s="14"/>
      <c r="D2017" s="14"/>
      <c r="E2017" s="294"/>
      <c r="F2017" s="15"/>
      <c r="G2017" s="18"/>
      <c r="H2017" s="131"/>
      <c r="I2017" s="18"/>
      <c r="J2017" s="22"/>
      <c r="K2017" s="108"/>
      <c r="L2017" s="26"/>
    </row>
    <row r="2018">
      <c r="A2018" s="12"/>
      <c r="B2018" s="13"/>
      <c r="C2018" s="14"/>
      <c r="D2018" s="14"/>
      <c r="E2018" s="294"/>
      <c r="F2018" s="15"/>
      <c r="G2018" s="18"/>
      <c r="H2018" s="131"/>
      <c r="I2018" s="18"/>
      <c r="J2018" s="22"/>
      <c r="K2018" s="108"/>
      <c r="L2018" s="26"/>
    </row>
    <row r="2019">
      <c r="A2019" s="12"/>
      <c r="B2019" s="13"/>
      <c r="C2019" s="14"/>
      <c r="D2019" s="14"/>
      <c r="E2019" s="294"/>
      <c r="F2019" s="15"/>
      <c r="G2019" s="18"/>
      <c r="H2019" s="131"/>
      <c r="I2019" s="18"/>
      <c r="J2019" s="22"/>
      <c r="K2019" s="108"/>
      <c r="L2019" s="26"/>
    </row>
    <row r="2020">
      <c r="A2020" s="12"/>
      <c r="B2020" s="13"/>
      <c r="C2020" s="14"/>
      <c r="D2020" s="14"/>
      <c r="E2020" s="294"/>
      <c r="F2020" s="15"/>
      <c r="G2020" s="18"/>
      <c r="H2020" s="131"/>
      <c r="I2020" s="18"/>
      <c r="J2020" s="22"/>
      <c r="K2020" s="108"/>
      <c r="L2020" s="26"/>
    </row>
    <row r="2021">
      <c r="A2021" s="12"/>
      <c r="B2021" s="13"/>
      <c r="C2021" s="14"/>
      <c r="D2021" s="14"/>
      <c r="E2021" s="294"/>
      <c r="F2021" s="15"/>
      <c r="G2021" s="18"/>
      <c r="H2021" s="131"/>
      <c r="I2021" s="18"/>
      <c r="J2021" s="22"/>
      <c r="K2021" s="108"/>
      <c r="L2021" s="26"/>
    </row>
    <row r="2022">
      <c r="A2022" s="12"/>
      <c r="B2022" s="13"/>
      <c r="C2022" s="14"/>
      <c r="D2022" s="14"/>
      <c r="E2022" s="294"/>
      <c r="F2022" s="15"/>
      <c r="G2022" s="18"/>
      <c r="H2022" s="131"/>
      <c r="I2022" s="18"/>
      <c r="J2022" s="22"/>
      <c r="K2022" s="108"/>
      <c r="L2022" s="26"/>
    </row>
    <row r="2023">
      <c r="A2023" s="12"/>
      <c r="B2023" s="13"/>
      <c r="C2023" s="14"/>
      <c r="D2023" s="14"/>
      <c r="E2023" s="294"/>
      <c r="F2023" s="15"/>
      <c r="G2023" s="18"/>
      <c r="H2023" s="131"/>
      <c r="I2023" s="18"/>
      <c r="J2023" s="22"/>
      <c r="K2023" s="108"/>
      <c r="L2023" s="26"/>
    </row>
    <row r="2024">
      <c r="A2024" s="12"/>
      <c r="B2024" s="13"/>
      <c r="C2024" s="14"/>
      <c r="D2024" s="14"/>
      <c r="E2024" s="294"/>
      <c r="F2024" s="15"/>
      <c r="G2024" s="18"/>
      <c r="H2024" s="131"/>
      <c r="I2024" s="18"/>
      <c r="J2024" s="22"/>
      <c r="K2024" s="108"/>
      <c r="L2024" s="26"/>
    </row>
    <row r="2025">
      <c r="A2025" s="12"/>
      <c r="B2025" s="13"/>
      <c r="C2025" s="14"/>
      <c r="D2025" s="14"/>
      <c r="E2025" s="294"/>
      <c r="F2025" s="15"/>
      <c r="G2025" s="18"/>
      <c r="H2025" s="131"/>
      <c r="I2025" s="18"/>
      <c r="J2025" s="22"/>
      <c r="K2025" s="108"/>
      <c r="L2025" s="26"/>
    </row>
    <row r="2026">
      <c r="A2026" s="12"/>
      <c r="B2026" s="13"/>
      <c r="C2026" s="14"/>
      <c r="D2026" s="14"/>
      <c r="E2026" s="294"/>
      <c r="F2026" s="15"/>
      <c r="G2026" s="18"/>
      <c r="H2026" s="131"/>
      <c r="I2026" s="18"/>
      <c r="J2026" s="22"/>
      <c r="K2026" s="108"/>
      <c r="L2026" s="26"/>
    </row>
    <row r="2027">
      <c r="A2027" s="12"/>
      <c r="B2027" s="13"/>
      <c r="C2027" s="14"/>
      <c r="D2027" s="14"/>
      <c r="E2027" s="294"/>
      <c r="F2027" s="15"/>
      <c r="G2027" s="18"/>
      <c r="H2027" s="131"/>
      <c r="I2027" s="18"/>
      <c r="J2027" s="22"/>
      <c r="K2027" s="108"/>
      <c r="L2027" s="26"/>
    </row>
    <row r="2028">
      <c r="A2028" s="12"/>
      <c r="B2028" s="13"/>
      <c r="C2028" s="14"/>
      <c r="D2028" s="14"/>
      <c r="E2028" s="294"/>
      <c r="F2028" s="15"/>
      <c r="G2028" s="18"/>
      <c r="H2028" s="131"/>
      <c r="I2028" s="18"/>
      <c r="J2028" s="22"/>
      <c r="K2028" s="108"/>
      <c r="L2028" s="26"/>
    </row>
    <row r="2029">
      <c r="A2029" s="12"/>
      <c r="B2029" s="13"/>
      <c r="C2029" s="14"/>
      <c r="D2029" s="14"/>
      <c r="E2029" s="294"/>
      <c r="F2029" s="15"/>
      <c r="G2029" s="18"/>
      <c r="H2029" s="131"/>
      <c r="I2029" s="18"/>
      <c r="J2029" s="22"/>
      <c r="K2029" s="108"/>
      <c r="L2029" s="26"/>
    </row>
    <row r="2030">
      <c r="A2030" s="12"/>
      <c r="B2030" s="13"/>
      <c r="C2030" s="14"/>
      <c r="D2030" s="14"/>
      <c r="E2030" s="294"/>
      <c r="F2030" s="15"/>
      <c r="G2030" s="18"/>
      <c r="H2030" s="131"/>
      <c r="I2030" s="18"/>
      <c r="J2030" s="22"/>
      <c r="K2030" s="108"/>
      <c r="L2030" s="26"/>
    </row>
    <row r="2031">
      <c r="A2031" s="12"/>
      <c r="B2031" s="13"/>
      <c r="C2031" s="14"/>
      <c r="D2031" s="14"/>
      <c r="E2031" s="294"/>
      <c r="F2031" s="15"/>
      <c r="G2031" s="18"/>
      <c r="H2031" s="131"/>
      <c r="I2031" s="18"/>
      <c r="J2031" s="22"/>
      <c r="K2031" s="108"/>
      <c r="L2031" s="26"/>
    </row>
    <row r="2032">
      <c r="A2032" s="12"/>
      <c r="B2032" s="13"/>
      <c r="C2032" s="14"/>
      <c r="D2032" s="14"/>
      <c r="E2032" s="294"/>
      <c r="F2032" s="15"/>
      <c r="G2032" s="18"/>
      <c r="H2032" s="131"/>
      <c r="I2032" s="18"/>
      <c r="J2032" s="22"/>
      <c r="K2032" s="108"/>
      <c r="L2032" s="26"/>
    </row>
    <row r="2033">
      <c r="A2033" s="12"/>
      <c r="B2033" s="13"/>
      <c r="C2033" s="14"/>
      <c r="D2033" s="14"/>
      <c r="E2033" s="294"/>
      <c r="F2033" s="15"/>
      <c r="G2033" s="18"/>
      <c r="H2033" s="131"/>
      <c r="I2033" s="18"/>
      <c r="J2033" s="22"/>
      <c r="K2033" s="108"/>
      <c r="L2033" s="26"/>
    </row>
    <row r="2034">
      <c r="A2034" s="12"/>
      <c r="B2034" s="13"/>
      <c r="C2034" s="14"/>
      <c r="D2034" s="14"/>
      <c r="E2034" s="294"/>
      <c r="F2034" s="15"/>
      <c r="G2034" s="18"/>
      <c r="H2034" s="131"/>
      <c r="I2034" s="18"/>
      <c r="J2034" s="22"/>
      <c r="K2034" s="108"/>
      <c r="L2034" s="26"/>
    </row>
    <row r="2035">
      <c r="A2035" s="12"/>
      <c r="B2035" s="13"/>
      <c r="C2035" s="14"/>
      <c r="D2035" s="14"/>
      <c r="E2035" s="294"/>
      <c r="F2035" s="15"/>
      <c r="G2035" s="18"/>
      <c r="H2035" s="131"/>
      <c r="I2035" s="18"/>
      <c r="J2035" s="22"/>
      <c r="K2035" s="108"/>
      <c r="L2035" s="26"/>
    </row>
    <row r="2036">
      <c r="A2036" s="12"/>
      <c r="B2036" s="13"/>
      <c r="C2036" s="14"/>
      <c r="D2036" s="14"/>
      <c r="E2036" s="294"/>
      <c r="F2036" s="15"/>
      <c r="G2036" s="18"/>
      <c r="H2036" s="131"/>
      <c r="I2036" s="18"/>
      <c r="J2036" s="22"/>
      <c r="K2036" s="108"/>
      <c r="L2036" s="26"/>
    </row>
    <row r="2037">
      <c r="A2037" s="12"/>
      <c r="B2037" s="13"/>
      <c r="C2037" s="14"/>
      <c r="D2037" s="14"/>
      <c r="E2037" s="294"/>
      <c r="F2037" s="15"/>
      <c r="G2037" s="18"/>
      <c r="H2037" s="131"/>
      <c r="I2037" s="18"/>
      <c r="J2037" s="22"/>
      <c r="K2037" s="108"/>
      <c r="L2037" s="26"/>
    </row>
    <row r="2038">
      <c r="A2038" s="12"/>
      <c r="B2038" s="13"/>
      <c r="C2038" s="14"/>
      <c r="D2038" s="14"/>
      <c r="E2038" s="294"/>
      <c r="F2038" s="15"/>
      <c r="G2038" s="18"/>
      <c r="H2038" s="131"/>
      <c r="I2038" s="18"/>
      <c r="J2038" s="22"/>
      <c r="K2038" s="108"/>
      <c r="L2038" s="26"/>
    </row>
    <row r="2039">
      <c r="A2039" s="12"/>
      <c r="B2039" s="13"/>
      <c r="C2039" s="14"/>
      <c r="D2039" s="14"/>
      <c r="E2039" s="294"/>
      <c r="F2039" s="15"/>
      <c r="G2039" s="18"/>
      <c r="H2039" s="131"/>
      <c r="I2039" s="18"/>
      <c r="J2039" s="22"/>
      <c r="K2039" s="108"/>
      <c r="L2039" s="26"/>
    </row>
    <row r="2040">
      <c r="A2040" s="12"/>
      <c r="B2040" s="13"/>
      <c r="C2040" s="14"/>
      <c r="D2040" s="14"/>
      <c r="E2040" s="294"/>
      <c r="F2040" s="15"/>
      <c r="G2040" s="18"/>
      <c r="H2040" s="131"/>
      <c r="I2040" s="18"/>
      <c r="J2040" s="22"/>
      <c r="K2040" s="108"/>
      <c r="L2040" s="26"/>
    </row>
    <row r="2041">
      <c r="A2041" s="12"/>
      <c r="B2041" s="13"/>
      <c r="C2041" s="14"/>
      <c r="D2041" s="14"/>
      <c r="E2041" s="294"/>
      <c r="F2041" s="15"/>
      <c r="G2041" s="18"/>
      <c r="H2041" s="131"/>
      <c r="I2041" s="18"/>
      <c r="J2041" s="22"/>
      <c r="K2041" s="108"/>
      <c r="L2041" s="26"/>
    </row>
    <row r="2042">
      <c r="A2042" s="12"/>
      <c r="B2042" s="13"/>
      <c r="C2042" s="14"/>
      <c r="D2042" s="14"/>
      <c r="E2042" s="294"/>
      <c r="F2042" s="15"/>
      <c r="G2042" s="18"/>
      <c r="H2042" s="131"/>
      <c r="I2042" s="18"/>
      <c r="J2042" s="22"/>
      <c r="K2042" s="108"/>
      <c r="L2042" s="26"/>
    </row>
    <row r="2043">
      <c r="A2043" s="12"/>
      <c r="B2043" s="13"/>
      <c r="C2043" s="14"/>
      <c r="D2043" s="14"/>
      <c r="E2043" s="294"/>
      <c r="F2043" s="15"/>
      <c r="G2043" s="18"/>
      <c r="H2043" s="131"/>
      <c r="I2043" s="18"/>
      <c r="J2043" s="22"/>
      <c r="K2043" s="108"/>
      <c r="L2043" s="26"/>
    </row>
    <row r="2044">
      <c r="A2044" s="12"/>
      <c r="B2044" s="13"/>
      <c r="C2044" s="14"/>
      <c r="D2044" s="14"/>
      <c r="E2044" s="294"/>
      <c r="F2044" s="15"/>
      <c r="G2044" s="18"/>
      <c r="H2044" s="131"/>
      <c r="I2044" s="18"/>
      <c r="J2044" s="22"/>
      <c r="K2044" s="108"/>
      <c r="L2044" s="26"/>
    </row>
    <row r="2045">
      <c r="A2045" s="12"/>
      <c r="B2045" s="13"/>
      <c r="C2045" s="14"/>
      <c r="D2045" s="14"/>
      <c r="E2045" s="294"/>
      <c r="F2045" s="15"/>
      <c r="G2045" s="18"/>
      <c r="H2045" s="131"/>
      <c r="I2045" s="18"/>
      <c r="J2045" s="22"/>
      <c r="K2045" s="108"/>
      <c r="L2045" s="26"/>
    </row>
    <row r="2046">
      <c r="A2046" s="12"/>
      <c r="B2046" s="13"/>
      <c r="C2046" s="14"/>
      <c r="D2046" s="14"/>
      <c r="E2046" s="294"/>
      <c r="F2046" s="15"/>
      <c r="G2046" s="18"/>
      <c r="H2046" s="131"/>
      <c r="I2046" s="18"/>
      <c r="J2046" s="22"/>
      <c r="K2046" s="108"/>
      <c r="L2046" s="26"/>
    </row>
    <row r="2047">
      <c r="A2047" s="12"/>
      <c r="B2047" s="13"/>
      <c r="C2047" s="14"/>
      <c r="D2047" s="14"/>
      <c r="E2047" s="294"/>
      <c r="F2047" s="15"/>
      <c r="G2047" s="18"/>
      <c r="H2047" s="131"/>
      <c r="I2047" s="18"/>
      <c r="J2047" s="22"/>
      <c r="K2047" s="108"/>
      <c r="L2047" s="26"/>
    </row>
    <row r="2048">
      <c r="A2048" s="12"/>
      <c r="B2048" s="13"/>
      <c r="C2048" s="14"/>
      <c r="D2048" s="14"/>
      <c r="E2048" s="294"/>
      <c r="F2048" s="15"/>
      <c r="G2048" s="18"/>
      <c r="H2048" s="131"/>
      <c r="I2048" s="18"/>
      <c r="J2048" s="22"/>
      <c r="K2048" s="108"/>
      <c r="L2048" s="26"/>
    </row>
    <row r="2049">
      <c r="A2049" s="12"/>
      <c r="B2049" s="13"/>
      <c r="C2049" s="14"/>
      <c r="D2049" s="14"/>
      <c r="E2049" s="294"/>
      <c r="F2049" s="15"/>
      <c r="G2049" s="18"/>
      <c r="H2049" s="131"/>
      <c r="I2049" s="18"/>
      <c r="J2049" s="22"/>
      <c r="K2049" s="108"/>
      <c r="L2049" s="26"/>
    </row>
    <row r="2050">
      <c r="A2050" s="12"/>
      <c r="B2050" s="13"/>
      <c r="C2050" s="14"/>
      <c r="D2050" s="14"/>
      <c r="E2050" s="294"/>
      <c r="F2050" s="15"/>
      <c r="G2050" s="18"/>
      <c r="H2050" s="131"/>
      <c r="I2050" s="18"/>
      <c r="J2050" s="22"/>
      <c r="K2050" s="108"/>
      <c r="L2050" s="26"/>
    </row>
    <row r="2051">
      <c r="A2051" s="12"/>
      <c r="B2051" s="13"/>
      <c r="C2051" s="14"/>
      <c r="D2051" s="14"/>
      <c r="E2051" s="294"/>
      <c r="F2051" s="15"/>
      <c r="G2051" s="18"/>
      <c r="H2051" s="131"/>
      <c r="I2051" s="18"/>
      <c r="J2051" s="22"/>
      <c r="K2051" s="108"/>
      <c r="L2051" s="26"/>
    </row>
    <row r="2052">
      <c r="A2052" s="12"/>
      <c r="B2052" s="13"/>
      <c r="C2052" s="14"/>
      <c r="D2052" s="14"/>
      <c r="E2052" s="294"/>
      <c r="F2052" s="15"/>
      <c r="G2052" s="18"/>
      <c r="H2052" s="131"/>
      <c r="I2052" s="18"/>
      <c r="J2052" s="22"/>
      <c r="K2052" s="108"/>
      <c r="L2052" s="26"/>
    </row>
    <row r="2053">
      <c r="A2053" s="12"/>
      <c r="B2053" s="13"/>
      <c r="C2053" s="14"/>
      <c r="D2053" s="14"/>
      <c r="E2053" s="294"/>
      <c r="F2053" s="15"/>
      <c r="G2053" s="18"/>
      <c r="H2053" s="131"/>
      <c r="I2053" s="18"/>
      <c r="J2053" s="22"/>
      <c r="K2053" s="108"/>
      <c r="L2053" s="26"/>
    </row>
    <row r="2054">
      <c r="A2054" s="12"/>
      <c r="B2054" s="13"/>
      <c r="C2054" s="14"/>
      <c r="D2054" s="14"/>
      <c r="E2054" s="294"/>
      <c r="F2054" s="15"/>
      <c r="G2054" s="18"/>
      <c r="H2054" s="131"/>
      <c r="I2054" s="18"/>
      <c r="J2054" s="22"/>
      <c r="K2054" s="108"/>
      <c r="L2054" s="26"/>
    </row>
    <row r="2055">
      <c r="A2055" s="12"/>
      <c r="B2055" s="13"/>
      <c r="C2055" s="14"/>
      <c r="D2055" s="14"/>
      <c r="E2055" s="294"/>
      <c r="F2055" s="15"/>
      <c r="G2055" s="18"/>
      <c r="H2055" s="131"/>
      <c r="I2055" s="18"/>
      <c r="J2055" s="22"/>
      <c r="K2055" s="108"/>
      <c r="L2055" s="26"/>
    </row>
    <row r="2056">
      <c r="A2056" s="12"/>
      <c r="B2056" s="13"/>
      <c r="C2056" s="14"/>
      <c r="D2056" s="14"/>
      <c r="E2056" s="294"/>
      <c r="F2056" s="15"/>
      <c r="G2056" s="18"/>
      <c r="H2056" s="131"/>
      <c r="I2056" s="18"/>
      <c r="J2056" s="22"/>
      <c r="K2056" s="108"/>
      <c r="L2056" s="26"/>
    </row>
    <row r="2057">
      <c r="A2057" s="12"/>
      <c r="B2057" s="13"/>
      <c r="C2057" s="14"/>
      <c r="D2057" s="14"/>
      <c r="E2057" s="294"/>
      <c r="F2057" s="15"/>
      <c r="G2057" s="18"/>
      <c r="H2057" s="131"/>
      <c r="I2057" s="18"/>
      <c r="J2057" s="22"/>
      <c r="K2057" s="108"/>
      <c r="L2057" s="26"/>
    </row>
    <row r="2058">
      <c r="A2058" s="12"/>
      <c r="B2058" s="13"/>
      <c r="C2058" s="14"/>
      <c r="D2058" s="14"/>
      <c r="E2058" s="294"/>
      <c r="F2058" s="15"/>
      <c r="G2058" s="18"/>
      <c r="H2058" s="131"/>
      <c r="I2058" s="18"/>
      <c r="J2058" s="22"/>
      <c r="K2058" s="108"/>
      <c r="L2058" s="26"/>
    </row>
    <row r="2059">
      <c r="A2059" s="12"/>
      <c r="B2059" s="13"/>
      <c r="C2059" s="14"/>
      <c r="D2059" s="14"/>
      <c r="E2059" s="294"/>
      <c r="F2059" s="15"/>
      <c r="G2059" s="18"/>
      <c r="H2059" s="131"/>
      <c r="I2059" s="18"/>
      <c r="J2059" s="22"/>
      <c r="K2059" s="108"/>
      <c r="L2059" s="26"/>
    </row>
    <row r="2060">
      <c r="A2060" s="12"/>
      <c r="B2060" s="13"/>
      <c r="C2060" s="14"/>
      <c r="D2060" s="14"/>
      <c r="E2060" s="294"/>
      <c r="F2060" s="15"/>
      <c r="G2060" s="18"/>
      <c r="H2060" s="131"/>
      <c r="I2060" s="18"/>
      <c r="J2060" s="22"/>
      <c r="K2060" s="108"/>
      <c r="L2060" s="26"/>
    </row>
    <row r="2061">
      <c r="A2061" s="12"/>
      <c r="B2061" s="13"/>
      <c r="C2061" s="14"/>
      <c r="D2061" s="14"/>
      <c r="E2061" s="294"/>
      <c r="F2061" s="15"/>
      <c r="G2061" s="18"/>
      <c r="H2061" s="131"/>
      <c r="I2061" s="18"/>
      <c r="J2061" s="22"/>
      <c r="K2061" s="108"/>
      <c r="L2061" s="26"/>
    </row>
    <row r="2062">
      <c r="A2062" s="12"/>
      <c r="B2062" s="13"/>
      <c r="C2062" s="14"/>
      <c r="D2062" s="14"/>
      <c r="E2062" s="294"/>
      <c r="F2062" s="15"/>
      <c r="G2062" s="18"/>
      <c r="H2062" s="131"/>
      <c r="I2062" s="18"/>
      <c r="J2062" s="22"/>
      <c r="K2062" s="108"/>
      <c r="L2062" s="26"/>
    </row>
    <row r="2063">
      <c r="A2063" s="12"/>
      <c r="B2063" s="13"/>
      <c r="C2063" s="14"/>
      <c r="D2063" s="14"/>
      <c r="E2063" s="294"/>
      <c r="F2063" s="15"/>
      <c r="G2063" s="18"/>
      <c r="H2063" s="131"/>
      <c r="I2063" s="18"/>
      <c r="J2063" s="22"/>
      <c r="K2063" s="108"/>
      <c r="L2063" s="26"/>
    </row>
    <row r="2064">
      <c r="A2064" s="12"/>
      <c r="B2064" s="13"/>
      <c r="C2064" s="14"/>
      <c r="D2064" s="14"/>
      <c r="E2064" s="294"/>
      <c r="F2064" s="15"/>
      <c r="G2064" s="18"/>
      <c r="H2064" s="131"/>
      <c r="I2064" s="18"/>
      <c r="J2064" s="22"/>
      <c r="K2064" s="108"/>
      <c r="L2064" s="26"/>
    </row>
    <row r="2065">
      <c r="A2065" s="12"/>
      <c r="B2065" s="13"/>
      <c r="C2065" s="14"/>
      <c r="D2065" s="14"/>
      <c r="E2065" s="294"/>
      <c r="F2065" s="15"/>
      <c r="G2065" s="18"/>
      <c r="H2065" s="131"/>
      <c r="I2065" s="18"/>
      <c r="J2065" s="22"/>
      <c r="K2065" s="108"/>
      <c r="L2065" s="26"/>
    </row>
    <row r="2066">
      <c r="A2066" s="12"/>
      <c r="B2066" s="13"/>
      <c r="C2066" s="14"/>
      <c r="D2066" s="14"/>
      <c r="E2066" s="294"/>
      <c r="F2066" s="15"/>
      <c r="G2066" s="18"/>
      <c r="H2066" s="131"/>
      <c r="I2066" s="18"/>
      <c r="J2066" s="22"/>
      <c r="K2066" s="108"/>
      <c r="L2066" s="26"/>
    </row>
    <row r="2067">
      <c r="A2067" s="12"/>
      <c r="B2067" s="13"/>
      <c r="C2067" s="14"/>
      <c r="D2067" s="14"/>
      <c r="E2067" s="294"/>
      <c r="F2067" s="15"/>
      <c r="G2067" s="18"/>
      <c r="H2067" s="131"/>
      <c r="I2067" s="18"/>
      <c r="J2067" s="22"/>
      <c r="K2067" s="108"/>
      <c r="L2067" s="26"/>
    </row>
    <row r="2068">
      <c r="A2068" s="12"/>
      <c r="B2068" s="13"/>
      <c r="C2068" s="14"/>
      <c r="D2068" s="14"/>
      <c r="E2068" s="294"/>
      <c r="F2068" s="15"/>
      <c r="G2068" s="18"/>
      <c r="H2068" s="131"/>
      <c r="I2068" s="18"/>
      <c r="J2068" s="22"/>
      <c r="K2068" s="108"/>
      <c r="L2068" s="26"/>
    </row>
    <row r="2069">
      <c r="A2069" s="12"/>
      <c r="B2069" s="13"/>
      <c r="C2069" s="14"/>
      <c r="D2069" s="14"/>
      <c r="E2069" s="294"/>
      <c r="F2069" s="15"/>
      <c r="G2069" s="18"/>
      <c r="H2069" s="131"/>
      <c r="I2069" s="18"/>
      <c r="J2069" s="22"/>
      <c r="K2069" s="108"/>
      <c r="L2069" s="26"/>
    </row>
    <row r="2070">
      <c r="A2070" s="12"/>
      <c r="B2070" s="13"/>
      <c r="C2070" s="14"/>
      <c r="D2070" s="14"/>
      <c r="E2070" s="294"/>
      <c r="F2070" s="15"/>
      <c r="G2070" s="18"/>
      <c r="H2070" s="131"/>
      <c r="I2070" s="18"/>
      <c r="J2070" s="22"/>
      <c r="K2070" s="108"/>
      <c r="L2070" s="26"/>
    </row>
    <row r="2071">
      <c r="A2071" s="12"/>
      <c r="B2071" s="13"/>
      <c r="C2071" s="14"/>
      <c r="D2071" s="14"/>
      <c r="E2071" s="294"/>
      <c r="F2071" s="15"/>
      <c r="G2071" s="18"/>
      <c r="H2071" s="131"/>
      <c r="I2071" s="18"/>
      <c r="J2071" s="22"/>
      <c r="K2071" s="108"/>
      <c r="L2071" s="26"/>
    </row>
    <row r="2072">
      <c r="A2072" s="12"/>
      <c r="B2072" s="13"/>
      <c r="C2072" s="14"/>
      <c r="D2072" s="14"/>
      <c r="E2072" s="294"/>
      <c r="F2072" s="15"/>
      <c r="G2072" s="18"/>
      <c r="H2072" s="131"/>
      <c r="I2072" s="18"/>
      <c r="J2072" s="22"/>
      <c r="K2072" s="108"/>
      <c r="L2072" s="26"/>
    </row>
    <row r="2073">
      <c r="A2073" s="12"/>
      <c r="B2073" s="13"/>
      <c r="C2073" s="14"/>
      <c r="D2073" s="14"/>
      <c r="E2073" s="294"/>
      <c r="F2073" s="15"/>
      <c r="G2073" s="18"/>
      <c r="H2073" s="131"/>
      <c r="I2073" s="18"/>
      <c r="J2073" s="22"/>
      <c r="K2073" s="108"/>
      <c r="L2073" s="26"/>
    </row>
    <row r="2074">
      <c r="A2074" s="12"/>
      <c r="B2074" s="13"/>
      <c r="C2074" s="14"/>
      <c r="D2074" s="14"/>
      <c r="E2074" s="294"/>
      <c r="F2074" s="15"/>
      <c r="G2074" s="18"/>
      <c r="H2074" s="131"/>
      <c r="I2074" s="18"/>
      <c r="J2074" s="22"/>
      <c r="K2074" s="108"/>
      <c r="L2074" s="26"/>
    </row>
    <row r="2075">
      <c r="A2075" s="12"/>
      <c r="B2075" s="13"/>
      <c r="C2075" s="14"/>
      <c r="D2075" s="14"/>
      <c r="E2075" s="294"/>
      <c r="F2075" s="15"/>
      <c r="G2075" s="18"/>
      <c r="H2075" s="131"/>
      <c r="I2075" s="18"/>
      <c r="J2075" s="22"/>
      <c r="K2075" s="108"/>
      <c r="L2075" s="26"/>
    </row>
    <row r="2076">
      <c r="A2076" s="12"/>
      <c r="B2076" s="13"/>
      <c r="C2076" s="14"/>
      <c r="D2076" s="14"/>
      <c r="E2076" s="294"/>
      <c r="F2076" s="15"/>
      <c r="G2076" s="18"/>
      <c r="H2076" s="131"/>
      <c r="I2076" s="18"/>
      <c r="J2076" s="22"/>
      <c r="K2076" s="108"/>
      <c r="L2076" s="26"/>
    </row>
    <row r="2077">
      <c r="A2077" s="12"/>
      <c r="B2077" s="13"/>
      <c r="C2077" s="14"/>
      <c r="D2077" s="14"/>
      <c r="E2077" s="294"/>
      <c r="F2077" s="15"/>
      <c r="G2077" s="18"/>
      <c r="H2077" s="131"/>
      <c r="I2077" s="18"/>
      <c r="J2077" s="22"/>
      <c r="K2077" s="108"/>
      <c r="L2077" s="26"/>
    </row>
    <row r="2078">
      <c r="A2078" s="12"/>
      <c r="B2078" s="13"/>
      <c r="C2078" s="14"/>
      <c r="D2078" s="14"/>
      <c r="E2078" s="294"/>
      <c r="F2078" s="15"/>
      <c r="G2078" s="18"/>
      <c r="H2078" s="131"/>
      <c r="I2078" s="18"/>
      <c r="J2078" s="22"/>
      <c r="K2078" s="108"/>
      <c r="L2078" s="26"/>
    </row>
    <row r="2079">
      <c r="A2079" s="12"/>
      <c r="B2079" s="13"/>
      <c r="C2079" s="14"/>
      <c r="D2079" s="14"/>
      <c r="E2079" s="294"/>
      <c r="F2079" s="15"/>
      <c r="G2079" s="18"/>
      <c r="H2079" s="131"/>
      <c r="I2079" s="18"/>
      <c r="J2079" s="22"/>
      <c r="K2079" s="108"/>
      <c r="L2079" s="26"/>
    </row>
    <row r="2080">
      <c r="A2080" s="12"/>
      <c r="B2080" s="13"/>
      <c r="C2080" s="14"/>
      <c r="D2080" s="14"/>
      <c r="E2080" s="294"/>
      <c r="F2080" s="15"/>
      <c r="G2080" s="18"/>
      <c r="H2080" s="131"/>
      <c r="I2080" s="18"/>
      <c r="J2080" s="22"/>
      <c r="K2080" s="108"/>
      <c r="L2080" s="26"/>
    </row>
    <row r="2081">
      <c r="A2081" s="12"/>
      <c r="B2081" s="13"/>
      <c r="C2081" s="14"/>
      <c r="D2081" s="14"/>
      <c r="E2081" s="294"/>
      <c r="F2081" s="15"/>
      <c r="G2081" s="18"/>
      <c r="H2081" s="131"/>
      <c r="I2081" s="18"/>
      <c r="J2081" s="22"/>
      <c r="K2081" s="108"/>
      <c r="L2081" s="26"/>
    </row>
    <row r="2082">
      <c r="A2082" s="12"/>
      <c r="B2082" s="13"/>
      <c r="C2082" s="14"/>
      <c r="D2082" s="14"/>
      <c r="E2082" s="294"/>
      <c r="F2082" s="15"/>
      <c r="G2082" s="18"/>
      <c r="H2082" s="131"/>
      <c r="I2082" s="18"/>
      <c r="J2082" s="22"/>
      <c r="K2082" s="108"/>
      <c r="L2082" s="26"/>
    </row>
    <row r="2083">
      <c r="A2083" s="12"/>
      <c r="B2083" s="13"/>
      <c r="C2083" s="14"/>
      <c r="D2083" s="14"/>
      <c r="E2083" s="294"/>
      <c r="F2083" s="15"/>
      <c r="G2083" s="18"/>
      <c r="H2083" s="131"/>
      <c r="I2083" s="18"/>
      <c r="J2083" s="22"/>
      <c r="K2083" s="108"/>
      <c r="L2083" s="26"/>
    </row>
    <row r="2084">
      <c r="A2084" s="12"/>
      <c r="B2084" s="13"/>
      <c r="C2084" s="14"/>
      <c r="D2084" s="14"/>
      <c r="E2084" s="294"/>
      <c r="F2084" s="15"/>
      <c r="G2084" s="18"/>
      <c r="H2084" s="131"/>
      <c r="I2084" s="18"/>
      <c r="J2084" s="22"/>
      <c r="K2084" s="108"/>
      <c r="L2084" s="26"/>
    </row>
    <row r="2085">
      <c r="A2085" s="12"/>
      <c r="B2085" s="13"/>
      <c r="C2085" s="14"/>
      <c r="D2085" s="14"/>
      <c r="E2085" s="294"/>
      <c r="F2085" s="15"/>
      <c r="G2085" s="18"/>
      <c r="H2085" s="131"/>
      <c r="I2085" s="18"/>
      <c r="J2085" s="22"/>
      <c r="K2085" s="108"/>
      <c r="L2085" s="26"/>
    </row>
    <row r="2086">
      <c r="A2086" s="12"/>
      <c r="B2086" s="13"/>
      <c r="C2086" s="14"/>
      <c r="D2086" s="14"/>
      <c r="E2086" s="294"/>
      <c r="F2086" s="15"/>
      <c r="G2086" s="18"/>
      <c r="H2086" s="131"/>
      <c r="I2086" s="18"/>
      <c r="J2086" s="22"/>
      <c r="K2086" s="108"/>
      <c r="L2086" s="26"/>
    </row>
    <row r="2087">
      <c r="A2087" s="12"/>
      <c r="B2087" s="13"/>
      <c r="C2087" s="14"/>
      <c r="D2087" s="14"/>
      <c r="E2087" s="294"/>
      <c r="F2087" s="15"/>
      <c r="G2087" s="18"/>
      <c r="H2087" s="131"/>
      <c r="I2087" s="18"/>
      <c r="J2087" s="22"/>
      <c r="K2087" s="108"/>
      <c r="L2087" s="26"/>
    </row>
    <row r="2088">
      <c r="A2088" s="12"/>
      <c r="B2088" s="13"/>
      <c r="C2088" s="14"/>
      <c r="D2088" s="14"/>
      <c r="E2088" s="294"/>
      <c r="F2088" s="15"/>
      <c r="G2088" s="18"/>
      <c r="H2088" s="131"/>
      <c r="I2088" s="18"/>
      <c r="J2088" s="22"/>
      <c r="K2088" s="108"/>
      <c r="L2088" s="26"/>
    </row>
    <row r="2089">
      <c r="A2089" s="12"/>
      <c r="B2089" s="13"/>
      <c r="C2089" s="14"/>
      <c r="D2089" s="14"/>
      <c r="E2089" s="294"/>
      <c r="F2089" s="15"/>
      <c r="G2089" s="18"/>
      <c r="H2089" s="131"/>
      <c r="I2089" s="18"/>
      <c r="J2089" s="22"/>
      <c r="K2089" s="108"/>
      <c r="L2089" s="26"/>
    </row>
    <row r="2090">
      <c r="A2090" s="12"/>
      <c r="B2090" s="13"/>
      <c r="C2090" s="14"/>
      <c r="D2090" s="14"/>
      <c r="E2090" s="294"/>
      <c r="F2090" s="15"/>
      <c r="G2090" s="18"/>
      <c r="H2090" s="131"/>
      <c r="I2090" s="18"/>
      <c r="J2090" s="22"/>
      <c r="K2090" s="108"/>
      <c r="L2090" s="26"/>
    </row>
    <row r="2091">
      <c r="A2091" s="12"/>
      <c r="B2091" s="13"/>
      <c r="C2091" s="14"/>
      <c r="D2091" s="14"/>
      <c r="E2091" s="294"/>
      <c r="F2091" s="15"/>
      <c r="G2091" s="18"/>
      <c r="H2091" s="131"/>
      <c r="I2091" s="18"/>
      <c r="J2091" s="22"/>
      <c r="K2091" s="108"/>
      <c r="L2091" s="26"/>
    </row>
    <row r="2092">
      <c r="A2092" s="12"/>
      <c r="B2092" s="13"/>
      <c r="C2092" s="14"/>
      <c r="D2092" s="14"/>
      <c r="E2092" s="294"/>
      <c r="F2092" s="15"/>
      <c r="G2092" s="18"/>
      <c r="H2092" s="131"/>
      <c r="I2092" s="18"/>
      <c r="J2092" s="22"/>
      <c r="K2092" s="108"/>
      <c r="L2092" s="26"/>
    </row>
    <row r="2093">
      <c r="A2093" s="12"/>
      <c r="B2093" s="13"/>
      <c r="C2093" s="14"/>
      <c r="D2093" s="14"/>
      <c r="E2093" s="294"/>
      <c r="F2093" s="15"/>
      <c r="G2093" s="18"/>
      <c r="H2093" s="131"/>
      <c r="I2093" s="18"/>
      <c r="J2093" s="22"/>
      <c r="K2093" s="108"/>
      <c r="L2093" s="26"/>
    </row>
    <row r="2094">
      <c r="A2094" s="12"/>
      <c r="B2094" s="13"/>
      <c r="C2094" s="14"/>
      <c r="D2094" s="14"/>
      <c r="E2094" s="294"/>
      <c r="F2094" s="15"/>
      <c r="G2094" s="18"/>
      <c r="H2094" s="131"/>
      <c r="I2094" s="18"/>
      <c r="J2094" s="22"/>
      <c r="K2094" s="108"/>
      <c r="L2094" s="26"/>
    </row>
    <row r="2095">
      <c r="A2095" s="12"/>
      <c r="B2095" s="13"/>
      <c r="C2095" s="14"/>
      <c r="D2095" s="14"/>
      <c r="E2095" s="294"/>
      <c r="F2095" s="15"/>
      <c r="G2095" s="18"/>
      <c r="H2095" s="131"/>
      <c r="I2095" s="18"/>
      <c r="J2095" s="22"/>
      <c r="K2095" s="108"/>
      <c r="L2095" s="26"/>
    </row>
    <row r="2096">
      <c r="A2096" s="12"/>
      <c r="B2096" s="13"/>
      <c r="C2096" s="14"/>
      <c r="D2096" s="14"/>
      <c r="E2096" s="294"/>
      <c r="F2096" s="15"/>
      <c r="G2096" s="18"/>
      <c r="H2096" s="131"/>
      <c r="I2096" s="18"/>
      <c r="J2096" s="22"/>
      <c r="K2096" s="108"/>
      <c r="L2096" s="26"/>
    </row>
    <row r="2097">
      <c r="A2097" s="12"/>
      <c r="B2097" s="13"/>
      <c r="C2097" s="14"/>
      <c r="D2097" s="14"/>
      <c r="E2097" s="294"/>
      <c r="F2097" s="15"/>
      <c r="G2097" s="18"/>
      <c r="H2097" s="131"/>
      <c r="I2097" s="18"/>
      <c r="J2097" s="22"/>
      <c r="K2097" s="108"/>
      <c r="L2097" s="26"/>
    </row>
    <row r="2098">
      <c r="A2098" s="12"/>
      <c r="B2098" s="13"/>
      <c r="C2098" s="14"/>
      <c r="D2098" s="14"/>
      <c r="E2098" s="294"/>
      <c r="F2098" s="15"/>
      <c r="G2098" s="18"/>
      <c r="H2098" s="131"/>
      <c r="I2098" s="18"/>
      <c r="J2098" s="22"/>
      <c r="K2098" s="108"/>
      <c r="L2098" s="26"/>
    </row>
    <row r="2099">
      <c r="A2099" s="12"/>
      <c r="B2099" s="13"/>
      <c r="C2099" s="14"/>
      <c r="D2099" s="14"/>
      <c r="E2099" s="294"/>
      <c r="F2099" s="15"/>
      <c r="G2099" s="18"/>
      <c r="H2099" s="131"/>
      <c r="I2099" s="18"/>
      <c r="J2099" s="22"/>
      <c r="K2099" s="108"/>
      <c r="L2099" s="26"/>
    </row>
    <row r="2100">
      <c r="A2100" s="12"/>
      <c r="B2100" s="13"/>
      <c r="C2100" s="14"/>
      <c r="D2100" s="14"/>
      <c r="E2100" s="294"/>
      <c r="F2100" s="15"/>
      <c r="G2100" s="18"/>
      <c r="H2100" s="131"/>
      <c r="I2100" s="18"/>
      <c r="J2100" s="22"/>
      <c r="K2100" s="108"/>
      <c r="L2100" s="26"/>
    </row>
    <row r="2101">
      <c r="A2101" s="12"/>
      <c r="B2101" s="13"/>
      <c r="C2101" s="14"/>
      <c r="D2101" s="14"/>
      <c r="E2101" s="294"/>
      <c r="F2101" s="15"/>
      <c r="G2101" s="18"/>
      <c r="H2101" s="131"/>
      <c r="I2101" s="18"/>
      <c r="J2101" s="22"/>
      <c r="K2101" s="108"/>
      <c r="L2101" s="26"/>
    </row>
    <row r="2102">
      <c r="A2102" s="12"/>
      <c r="B2102" s="13"/>
      <c r="C2102" s="14"/>
      <c r="D2102" s="14"/>
      <c r="E2102" s="294"/>
      <c r="F2102" s="15"/>
      <c r="G2102" s="18"/>
      <c r="H2102" s="131"/>
      <c r="I2102" s="18"/>
      <c r="J2102" s="22"/>
      <c r="K2102" s="108"/>
      <c r="L2102" s="26"/>
    </row>
    <row r="2103">
      <c r="A2103" s="12"/>
      <c r="B2103" s="13"/>
      <c r="C2103" s="14"/>
      <c r="D2103" s="14"/>
      <c r="E2103" s="294"/>
      <c r="F2103" s="15"/>
      <c r="G2103" s="18"/>
      <c r="H2103" s="131"/>
      <c r="I2103" s="18"/>
      <c r="J2103" s="22"/>
      <c r="K2103" s="108"/>
      <c r="L2103" s="26"/>
    </row>
    <row r="2104">
      <c r="A2104" s="12"/>
      <c r="B2104" s="13"/>
      <c r="C2104" s="14"/>
      <c r="D2104" s="14"/>
      <c r="E2104" s="294"/>
      <c r="F2104" s="15"/>
      <c r="G2104" s="18"/>
      <c r="H2104" s="131"/>
      <c r="I2104" s="18"/>
      <c r="J2104" s="22"/>
      <c r="K2104" s="108"/>
      <c r="L2104" s="26"/>
    </row>
    <row r="2105">
      <c r="A2105" s="12"/>
      <c r="B2105" s="13"/>
      <c r="C2105" s="14"/>
      <c r="D2105" s="14"/>
      <c r="E2105" s="294"/>
      <c r="F2105" s="15"/>
      <c r="G2105" s="18"/>
      <c r="H2105" s="131"/>
      <c r="I2105" s="18"/>
      <c r="J2105" s="22"/>
      <c r="K2105" s="108"/>
      <c r="L2105" s="26"/>
    </row>
    <row r="2106">
      <c r="A2106" s="12"/>
      <c r="B2106" s="13"/>
      <c r="C2106" s="14"/>
      <c r="D2106" s="14"/>
      <c r="E2106" s="294"/>
      <c r="F2106" s="15"/>
      <c r="G2106" s="18"/>
      <c r="H2106" s="131"/>
      <c r="I2106" s="18"/>
      <c r="J2106" s="22"/>
      <c r="K2106" s="108"/>
      <c r="L2106" s="26"/>
    </row>
    <row r="2107">
      <c r="A2107" s="12"/>
      <c r="B2107" s="13"/>
      <c r="C2107" s="14"/>
      <c r="D2107" s="14"/>
      <c r="E2107" s="294"/>
      <c r="F2107" s="15"/>
      <c r="G2107" s="18"/>
      <c r="H2107" s="131"/>
      <c r="I2107" s="18"/>
      <c r="J2107" s="22"/>
      <c r="K2107" s="108"/>
      <c r="L2107" s="26"/>
    </row>
    <row r="2108">
      <c r="A2108" s="12"/>
      <c r="B2108" s="13"/>
      <c r="C2108" s="14"/>
      <c r="D2108" s="14"/>
      <c r="E2108" s="294"/>
      <c r="F2108" s="15"/>
      <c r="G2108" s="18"/>
      <c r="H2108" s="131"/>
      <c r="I2108" s="18"/>
      <c r="J2108" s="22"/>
      <c r="K2108" s="108"/>
      <c r="L2108" s="26"/>
    </row>
    <row r="2109">
      <c r="A2109" s="12"/>
      <c r="B2109" s="13"/>
      <c r="C2109" s="14"/>
      <c r="D2109" s="14"/>
      <c r="E2109" s="294"/>
      <c r="F2109" s="15"/>
      <c r="G2109" s="18"/>
      <c r="H2109" s="131"/>
      <c r="I2109" s="18"/>
      <c r="J2109" s="22"/>
      <c r="K2109" s="108"/>
      <c r="L2109" s="26"/>
    </row>
    <row r="2110">
      <c r="A2110" s="12"/>
      <c r="B2110" s="13"/>
      <c r="C2110" s="14"/>
      <c r="D2110" s="14"/>
      <c r="E2110" s="294"/>
      <c r="F2110" s="15"/>
      <c r="G2110" s="18"/>
      <c r="H2110" s="131"/>
      <c r="I2110" s="18"/>
      <c r="J2110" s="22"/>
      <c r="K2110" s="108"/>
      <c r="L2110" s="26"/>
    </row>
    <row r="2111">
      <c r="A2111" s="12"/>
      <c r="B2111" s="13"/>
      <c r="C2111" s="14"/>
      <c r="D2111" s="14"/>
      <c r="E2111" s="294"/>
      <c r="F2111" s="15"/>
      <c r="G2111" s="18"/>
      <c r="H2111" s="131"/>
      <c r="I2111" s="18"/>
      <c r="J2111" s="22"/>
      <c r="K2111" s="108"/>
      <c r="L2111" s="26"/>
    </row>
    <row r="2112">
      <c r="A2112" s="12"/>
      <c r="B2112" s="13"/>
      <c r="C2112" s="14"/>
      <c r="D2112" s="14"/>
      <c r="E2112" s="294"/>
      <c r="F2112" s="15"/>
      <c r="G2112" s="18"/>
      <c r="H2112" s="131"/>
      <c r="I2112" s="18"/>
      <c r="J2112" s="22"/>
      <c r="K2112" s="108"/>
      <c r="L2112" s="26"/>
    </row>
    <row r="2113">
      <c r="A2113" s="12"/>
      <c r="B2113" s="13"/>
      <c r="C2113" s="14"/>
      <c r="D2113" s="14"/>
      <c r="E2113" s="294"/>
      <c r="F2113" s="15"/>
      <c r="G2113" s="18"/>
      <c r="H2113" s="131"/>
      <c r="I2113" s="18"/>
      <c r="J2113" s="22"/>
      <c r="K2113" s="108"/>
      <c r="L2113" s="26"/>
    </row>
    <row r="2114">
      <c r="A2114" s="12"/>
      <c r="B2114" s="13"/>
      <c r="C2114" s="14"/>
      <c r="D2114" s="14"/>
      <c r="E2114" s="294"/>
      <c r="F2114" s="15"/>
      <c r="G2114" s="18"/>
      <c r="H2114" s="131"/>
      <c r="I2114" s="18"/>
      <c r="J2114" s="22"/>
      <c r="K2114" s="108"/>
      <c r="L2114" s="26"/>
    </row>
    <row r="2115">
      <c r="A2115" s="12"/>
      <c r="B2115" s="13"/>
      <c r="C2115" s="14"/>
      <c r="D2115" s="14"/>
      <c r="E2115" s="294"/>
      <c r="F2115" s="15"/>
      <c r="G2115" s="18"/>
      <c r="H2115" s="131"/>
      <c r="I2115" s="18"/>
      <c r="J2115" s="22"/>
      <c r="K2115" s="108"/>
      <c r="L2115" s="26"/>
    </row>
    <row r="2116">
      <c r="A2116" s="12"/>
      <c r="B2116" s="13"/>
      <c r="C2116" s="14"/>
      <c r="D2116" s="14"/>
      <c r="E2116" s="294"/>
      <c r="F2116" s="15"/>
      <c r="G2116" s="18"/>
      <c r="H2116" s="131"/>
      <c r="I2116" s="18"/>
      <c r="J2116" s="22"/>
      <c r="K2116" s="108"/>
      <c r="L2116" s="26"/>
    </row>
    <row r="2117">
      <c r="A2117" s="12"/>
      <c r="B2117" s="13"/>
      <c r="C2117" s="14"/>
      <c r="D2117" s="14"/>
      <c r="E2117" s="294"/>
      <c r="F2117" s="15"/>
      <c r="G2117" s="18"/>
      <c r="H2117" s="131"/>
      <c r="I2117" s="18"/>
      <c r="J2117" s="22"/>
      <c r="K2117" s="108"/>
      <c r="L2117" s="26"/>
    </row>
    <row r="2118">
      <c r="A2118" s="12"/>
      <c r="B2118" s="13"/>
      <c r="C2118" s="14"/>
      <c r="D2118" s="14"/>
      <c r="E2118" s="294"/>
      <c r="F2118" s="15"/>
      <c r="G2118" s="18"/>
      <c r="H2118" s="131"/>
      <c r="I2118" s="18"/>
      <c r="J2118" s="22"/>
      <c r="K2118" s="108"/>
      <c r="L2118" s="26"/>
    </row>
    <row r="2119">
      <c r="A2119" s="12"/>
      <c r="B2119" s="13"/>
      <c r="C2119" s="14"/>
      <c r="D2119" s="14"/>
      <c r="E2119" s="294"/>
      <c r="F2119" s="15"/>
      <c r="G2119" s="18"/>
      <c r="H2119" s="131"/>
      <c r="I2119" s="18"/>
      <c r="J2119" s="22"/>
      <c r="K2119" s="108"/>
      <c r="L2119" s="26"/>
    </row>
    <row r="2120">
      <c r="A2120" s="12"/>
      <c r="B2120" s="13"/>
      <c r="C2120" s="14"/>
      <c r="D2120" s="14"/>
      <c r="E2120" s="294"/>
      <c r="F2120" s="15"/>
      <c r="G2120" s="18"/>
      <c r="H2120" s="131"/>
      <c r="I2120" s="18"/>
      <c r="J2120" s="22"/>
      <c r="K2120" s="108"/>
      <c r="L2120" s="26"/>
    </row>
    <row r="2121">
      <c r="A2121" s="12"/>
      <c r="B2121" s="13"/>
      <c r="C2121" s="14"/>
      <c r="D2121" s="14"/>
      <c r="E2121" s="294"/>
      <c r="F2121" s="15"/>
      <c r="G2121" s="18"/>
      <c r="H2121" s="131"/>
      <c r="I2121" s="18"/>
      <c r="J2121" s="22"/>
      <c r="K2121" s="108"/>
      <c r="L2121" s="26"/>
    </row>
    <row r="2122">
      <c r="A2122" s="12"/>
      <c r="B2122" s="13"/>
      <c r="C2122" s="14"/>
      <c r="D2122" s="14"/>
      <c r="E2122" s="294"/>
      <c r="F2122" s="15"/>
      <c r="G2122" s="18"/>
      <c r="H2122" s="131"/>
      <c r="I2122" s="18"/>
      <c r="J2122" s="22"/>
      <c r="K2122" s="108"/>
      <c r="L2122" s="26"/>
    </row>
    <row r="2123">
      <c r="A2123" s="12"/>
      <c r="B2123" s="13"/>
      <c r="C2123" s="14"/>
      <c r="D2123" s="14"/>
      <c r="E2123" s="294"/>
      <c r="F2123" s="15"/>
      <c r="G2123" s="18"/>
      <c r="H2123" s="131"/>
      <c r="I2123" s="18"/>
      <c r="J2123" s="22"/>
      <c r="K2123" s="108"/>
      <c r="L2123" s="26"/>
    </row>
    <row r="2124">
      <c r="A2124" s="12"/>
      <c r="B2124" s="13"/>
      <c r="C2124" s="14"/>
      <c r="D2124" s="14"/>
      <c r="E2124" s="294"/>
      <c r="F2124" s="15"/>
      <c r="G2124" s="18"/>
      <c r="H2124" s="131"/>
      <c r="I2124" s="18"/>
      <c r="J2124" s="22"/>
      <c r="K2124" s="108"/>
      <c r="L2124" s="26"/>
    </row>
    <row r="2125">
      <c r="A2125" s="12"/>
      <c r="B2125" s="13"/>
      <c r="C2125" s="14"/>
      <c r="D2125" s="14"/>
      <c r="E2125" s="294"/>
      <c r="F2125" s="15"/>
      <c r="G2125" s="18"/>
      <c r="H2125" s="131"/>
      <c r="I2125" s="18"/>
      <c r="J2125" s="22"/>
      <c r="K2125" s="108"/>
      <c r="L2125" s="26"/>
    </row>
    <row r="2126">
      <c r="A2126" s="12"/>
      <c r="B2126" s="13"/>
      <c r="C2126" s="14"/>
      <c r="D2126" s="14"/>
      <c r="E2126" s="294"/>
      <c r="F2126" s="15"/>
      <c r="G2126" s="18"/>
      <c r="H2126" s="131"/>
      <c r="I2126" s="18"/>
      <c r="J2126" s="22"/>
      <c r="K2126" s="108"/>
      <c r="L2126" s="26"/>
    </row>
    <row r="2127">
      <c r="A2127" s="12"/>
      <c r="B2127" s="13"/>
      <c r="C2127" s="14"/>
      <c r="D2127" s="14"/>
      <c r="E2127" s="294"/>
      <c r="F2127" s="15"/>
      <c r="G2127" s="18"/>
      <c r="H2127" s="131"/>
      <c r="I2127" s="18"/>
      <c r="J2127" s="22"/>
      <c r="K2127" s="108"/>
      <c r="L2127" s="26"/>
    </row>
    <row r="2128">
      <c r="A2128" s="12"/>
      <c r="B2128" s="13"/>
      <c r="C2128" s="14"/>
      <c r="D2128" s="14"/>
      <c r="E2128" s="294"/>
      <c r="F2128" s="15"/>
      <c r="G2128" s="18"/>
      <c r="H2128" s="131"/>
      <c r="I2128" s="18"/>
      <c r="J2128" s="22"/>
      <c r="K2128" s="108"/>
      <c r="L2128" s="26"/>
    </row>
    <row r="2129">
      <c r="A2129" s="12"/>
      <c r="B2129" s="13"/>
      <c r="C2129" s="14"/>
      <c r="D2129" s="14"/>
      <c r="E2129" s="294"/>
      <c r="F2129" s="15"/>
      <c r="G2129" s="18"/>
      <c r="H2129" s="131"/>
      <c r="I2129" s="18"/>
      <c r="J2129" s="22"/>
      <c r="K2129" s="108"/>
      <c r="L2129" s="26"/>
    </row>
    <row r="2130">
      <c r="A2130" s="12"/>
      <c r="B2130" s="13"/>
      <c r="C2130" s="14"/>
      <c r="D2130" s="14"/>
      <c r="E2130" s="294"/>
      <c r="F2130" s="15"/>
      <c r="G2130" s="18"/>
      <c r="H2130" s="131"/>
      <c r="I2130" s="18"/>
      <c r="J2130" s="22"/>
      <c r="K2130" s="108"/>
      <c r="L2130" s="26"/>
    </row>
    <row r="2131">
      <c r="A2131" s="12"/>
      <c r="B2131" s="13"/>
      <c r="C2131" s="14"/>
      <c r="D2131" s="14"/>
      <c r="E2131" s="294"/>
      <c r="F2131" s="15"/>
      <c r="G2131" s="18"/>
      <c r="H2131" s="131"/>
      <c r="I2131" s="18"/>
      <c r="J2131" s="22"/>
      <c r="K2131" s="108"/>
      <c r="L2131" s="26"/>
    </row>
    <row r="2132">
      <c r="A2132" s="12"/>
      <c r="B2132" s="13"/>
      <c r="C2132" s="14"/>
      <c r="D2132" s="14"/>
      <c r="E2132" s="294"/>
      <c r="F2132" s="15"/>
      <c r="G2132" s="18"/>
      <c r="H2132" s="131"/>
      <c r="I2132" s="18"/>
      <c r="J2132" s="22"/>
      <c r="K2132" s="108"/>
      <c r="L2132" s="26"/>
    </row>
    <row r="2133">
      <c r="A2133" s="12"/>
      <c r="B2133" s="13"/>
      <c r="C2133" s="14"/>
      <c r="D2133" s="14"/>
      <c r="E2133" s="294"/>
      <c r="F2133" s="15"/>
      <c r="G2133" s="18"/>
      <c r="H2133" s="131"/>
      <c r="I2133" s="18"/>
      <c r="J2133" s="22"/>
      <c r="K2133" s="108"/>
      <c r="L2133" s="26"/>
    </row>
    <row r="2134">
      <c r="A2134" s="12"/>
      <c r="B2134" s="13"/>
      <c r="C2134" s="14"/>
      <c r="D2134" s="14"/>
      <c r="E2134" s="294"/>
      <c r="F2134" s="15"/>
      <c r="G2134" s="18"/>
      <c r="H2134" s="131"/>
      <c r="I2134" s="18"/>
      <c r="J2134" s="22"/>
      <c r="K2134" s="108"/>
      <c r="L2134" s="26"/>
    </row>
    <row r="2135">
      <c r="A2135" s="12"/>
      <c r="B2135" s="13"/>
      <c r="C2135" s="14"/>
      <c r="D2135" s="14"/>
      <c r="E2135" s="294"/>
      <c r="F2135" s="15"/>
      <c r="G2135" s="18"/>
      <c r="H2135" s="131"/>
      <c r="I2135" s="18"/>
      <c r="J2135" s="22"/>
      <c r="K2135" s="108"/>
      <c r="L2135" s="26"/>
    </row>
    <row r="2136">
      <c r="A2136" s="12"/>
      <c r="B2136" s="13"/>
      <c r="C2136" s="14"/>
      <c r="D2136" s="14"/>
      <c r="E2136" s="294"/>
      <c r="F2136" s="15"/>
      <c r="G2136" s="18"/>
      <c r="H2136" s="131"/>
      <c r="I2136" s="18"/>
      <c r="J2136" s="22"/>
      <c r="K2136" s="108"/>
      <c r="L2136" s="26"/>
    </row>
    <row r="2137">
      <c r="A2137" s="12"/>
      <c r="B2137" s="13"/>
      <c r="C2137" s="14"/>
      <c r="D2137" s="14"/>
      <c r="E2137" s="294"/>
      <c r="F2137" s="15"/>
      <c r="G2137" s="18"/>
      <c r="H2137" s="131"/>
      <c r="I2137" s="18"/>
      <c r="J2137" s="22"/>
      <c r="K2137" s="108"/>
      <c r="L2137" s="26"/>
    </row>
    <row r="2138">
      <c r="A2138" s="12"/>
      <c r="B2138" s="13"/>
      <c r="C2138" s="14"/>
      <c r="D2138" s="14"/>
      <c r="E2138" s="294"/>
      <c r="F2138" s="15"/>
      <c r="G2138" s="18"/>
      <c r="H2138" s="131"/>
      <c r="I2138" s="18"/>
      <c r="J2138" s="22"/>
      <c r="K2138" s="108"/>
      <c r="L2138" s="26"/>
    </row>
    <row r="2139">
      <c r="A2139" s="12"/>
      <c r="B2139" s="13"/>
      <c r="C2139" s="14"/>
      <c r="D2139" s="14"/>
      <c r="E2139" s="294"/>
      <c r="F2139" s="15"/>
      <c r="G2139" s="18"/>
      <c r="H2139" s="131"/>
      <c r="I2139" s="18"/>
      <c r="J2139" s="22"/>
      <c r="K2139" s="108"/>
      <c r="L2139" s="26"/>
    </row>
    <row r="2140">
      <c r="A2140" s="12"/>
      <c r="B2140" s="13"/>
      <c r="C2140" s="14"/>
      <c r="D2140" s="14"/>
      <c r="E2140" s="294"/>
      <c r="F2140" s="15"/>
      <c r="G2140" s="18"/>
      <c r="H2140" s="131"/>
      <c r="I2140" s="18"/>
      <c r="J2140" s="22"/>
      <c r="K2140" s="108"/>
      <c r="L2140" s="26"/>
    </row>
    <row r="2141">
      <c r="A2141" s="12"/>
      <c r="B2141" s="13"/>
      <c r="C2141" s="14"/>
      <c r="D2141" s="14"/>
      <c r="E2141" s="294"/>
      <c r="F2141" s="15"/>
      <c r="G2141" s="18"/>
      <c r="H2141" s="131"/>
      <c r="I2141" s="18"/>
      <c r="J2141" s="22"/>
      <c r="K2141" s="108"/>
      <c r="L2141" s="26"/>
    </row>
    <row r="2142">
      <c r="A2142" s="12"/>
      <c r="B2142" s="13"/>
      <c r="C2142" s="14"/>
      <c r="D2142" s="14"/>
      <c r="E2142" s="294"/>
      <c r="F2142" s="15"/>
      <c r="G2142" s="18"/>
      <c r="H2142" s="131"/>
      <c r="I2142" s="18"/>
      <c r="J2142" s="22"/>
      <c r="K2142" s="108"/>
      <c r="L2142" s="26"/>
    </row>
    <row r="2143">
      <c r="A2143" s="12"/>
      <c r="B2143" s="13"/>
      <c r="C2143" s="14"/>
      <c r="D2143" s="14"/>
      <c r="E2143" s="294"/>
      <c r="F2143" s="15"/>
      <c r="G2143" s="18"/>
      <c r="H2143" s="131"/>
      <c r="I2143" s="18"/>
      <c r="J2143" s="22"/>
      <c r="K2143" s="108"/>
      <c r="L2143" s="26"/>
    </row>
    <row r="2144">
      <c r="A2144" s="12"/>
      <c r="B2144" s="13"/>
      <c r="C2144" s="14"/>
      <c r="D2144" s="14"/>
      <c r="E2144" s="294"/>
      <c r="F2144" s="15"/>
      <c r="G2144" s="18"/>
      <c r="H2144" s="131"/>
      <c r="I2144" s="18"/>
      <c r="J2144" s="22"/>
      <c r="K2144" s="108"/>
      <c r="L2144" s="26"/>
    </row>
    <row r="2145">
      <c r="A2145" s="12"/>
      <c r="B2145" s="13"/>
      <c r="C2145" s="14"/>
      <c r="D2145" s="14"/>
      <c r="E2145" s="294"/>
      <c r="F2145" s="15"/>
      <c r="G2145" s="18"/>
      <c r="H2145" s="131"/>
      <c r="I2145" s="18"/>
      <c r="J2145" s="22"/>
      <c r="K2145" s="108"/>
      <c r="L2145" s="26"/>
    </row>
    <row r="2146">
      <c r="A2146" s="12"/>
      <c r="B2146" s="13"/>
      <c r="C2146" s="14"/>
      <c r="D2146" s="14"/>
      <c r="E2146" s="294"/>
      <c r="F2146" s="15"/>
      <c r="G2146" s="18"/>
      <c r="H2146" s="131"/>
      <c r="I2146" s="18"/>
      <c r="J2146" s="22"/>
      <c r="K2146" s="108"/>
      <c r="L2146" s="26"/>
    </row>
    <row r="2147">
      <c r="A2147" s="12"/>
      <c r="B2147" s="13"/>
      <c r="C2147" s="14"/>
      <c r="D2147" s="14"/>
      <c r="E2147" s="294"/>
      <c r="F2147" s="15"/>
      <c r="G2147" s="18"/>
      <c r="H2147" s="131"/>
      <c r="I2147" s="18"/>
      <c r="J2147" s="22"/>
      <c r="K2147" s="108"/>
      <c r="L2147" s="26"/>
    </row>
    <row r="2148">
      <c r="A2148" s="12"/>
      <c r="B2148" s="13"/>
      <c r="C2148" s="14"/>
      <c r="D2148" s="14"/>
      <c r="E2148" s="294"/>
      <c r="F2148" s="15"/>
      <c r="G2148" s="18"/>
      <c r="H2148" s="131"/>
      <c r="I2148" s="18"/>
      <c r="J2148" s="22"/>
      <c r="K2148" s="108"/>
      <c r="L2148" s="26"/>
    </row>
    <row r="2149">
      <c r="A2149" s="12"/>
      <c r="B2149" s="13"/>
      <c r="C2149" s="14"/>
      <c r="D2149" s="14"/>
      <c r="E2149" s="294"/>
      <c r="F2149" s="15"/>
      <c r="G2149" s="18"/>
      <c r="H2149" s="131"/>
      <c r="I2149" s="18"/>
      <c r="J2149" s="22"/>
      <c r="K2149" s="108"/>
      <c r="L2149" s="26"/>
    </row>
    <row r="2150">
      <c r="A2150" s="12"/>
      <c r="B2150" s="13"/>
      <c r="C2150" s="14"/>
      <c r="D2150" s="14"/>
      <c r="E2150" s="294"/>
      <c r="F2150" s="15"/>
      <c r="G2150" s="18"/>
      <c r="H2150" s="131"/>
      <c r="I2150" s="18"/>
      <c r="J2150" s="22"/>
      <c r="K2150" s="108"/>
      <c r="L2150" s="26"/>
    </row>
    <row r="2151">
      <c r="A2151" s="12"/>
      <c r="B2151" s="13"/>
      <c r="C2151" s="14"/>
      <c r="D2151" s="14"/>
      <c r="E2151" s="294"/>
      <c r="F2151" s="15"/>
      <c r="G2151" s="18"/>
      <c r="H2151" s="131"/>
      <c r="I2151" s="18"/>
      <c r="J2151" s="22"/>
      <c r="K2151" s="108"/>
      <c r="L2151" s="26"/>
    </row>
    <row r="2152">
      <c r="A2152" s="12"/>
      <c r="B2152" s="13"/>
      <c r="C2152" s="14"/>
      <c r="D2152" s="14"/>
      <c r="E2152" s="294"/>
      <c r="F2152" s="15"/>
      <c r="G2152" s="18"/>
      <c r="H2152" s="131"/>
      <c r="I2152" s="18"/>
      <c r="J2152" s="22"/>
      <c r="K2152" s="108"/>
      <c r="L2152" s="26"/>
    </row>
    <row r="2153">
      <c r="A2153" s="12"/>
      <c r="B2153" s="13"/>
      <c r="C2153" s="14"/>
      <c r="D2153" s="14"/>
      <c r="E2153" s="294"/>
      <c r="F2153" s="15"/>
      <c r="G2153" s="18"/>
      <c r="H2153" s="131"/>
      <c r="I2153" s="18"/>
      <c r="J2153" s="22"/>
      <c r="K2153" s="108"/>
      <c r="L2153" s="26"/>
    </row>
    <row r="2154">
      <c r="A2154" s="12"/>
      <c r="B2154" s="13"/>
      <c r="C2154" s="14"/>
      <c r="D2154" s="14"/>
      <c r="E2154" s="294"/>
      <c r="F2154" s="15"/>
      <c r="G2154" s="18"/>
      <c r="H2154" s="131"/>
      <c r="I2154" s="18"/>
      <c r="J2154" s="22"/>
      <c r="K2154" s="108"/>
      <c r="L2154" s="26"/>
    </row>
    <row r="2155">
      <c r="A2155" s="12"/>
      <c r="B2155" s="13"/>
      <c r="C2155" s="14"/>
      <c r="D2155" s="14"/>
      <c r="E2155" s="294"/>
      <c r="F2155" s="15"/>
      <c r="G2155" s="18"/>
      <c r="H2155" s="131"/>
      <c r="I2155" s="18"/>
      <c r="J2155" s="22"/>
      <c r="K2155" s="108"/>
      <c r="L2155" s="26"/>
    </row>
    <row r="2156">
      <c r="A2156" s="12"/>
      <c r="B2156" s="13"/>
      <c r="C2156" s="14"/>
      <c r="D2156" s="14"/>
      <c r="E2156" s="294"/>
      <c r="F2156" s="15"/>
      <c r="G2156" s="18"/>
      <c r="H2156" s="131"/>
      <c r="I2156" s="18"/>
      <c r="J2156" s="22"/>
      <c r="K2156" s="108"/>
      <c r="L2156" s="26"/>
    </row>
    <row r="2157">
      <c r="A2157" s="12"/>
      <c r="B2157" s="13"/>
      <c r="C2157" s="14"/>
      <c r="D2157" s="14"/>
      <c r="E2157" s="294"/>
      <c r="F2157" s="15"/>
      <c r="G2157" s="18"/>
      <c r="H2157" s="131"/>
      <c r="I2157" s="18"/>
      <c r="J2157" s="22"/>
      <c r="K2157" s="108"/>
      <c r="L2157" s="26"/>
    </row>
    <row r="2158">
      <c r="A2158" s="12"/>
      <c r="B2158" s="13"/>
      <c r="C2158" s="14"/>
      <c r="D2158" s="14"/>
      <c r="E2158" s="294"/>
      <c r="F2158" s="15"/>
      <c r="G2158" s="18"/>
      <c r="H2158" s="131"/>
      <c r="I2158" s="18"/>
      <c r="J2158" s="22"/>
      <c r="K2158" s="108"/>
      <c r="L2158" s="26"/>
    </row>
    <row r="2159">
      <c r="A2159" s="12"/>
      <c r="B2159" s="13"/>
      <c r="C2159" s="14"/>
      <c r="D2159" s="14"/>
      <c r="E2159" s="294"/>
      <c r="F2159" s="15"/>
      <c r="G2159" s="18"/>
      <c r="H2159" s="131"/>
      <c r="I2159" s="18"/>
      <c r="J2159" s="22"/>
      <c r="K2159" s="108"/>
      <c r="L2159" s="26"/>
    </row>
    <row r="2160">
      <c r="A2160" s="12"/>
      <c r="B2160" s="13"/>
      <c r="C2160" s="14"/>
      <c r="D2160" s="14"/>
      <c r="E2160" s="294"/>
      <c r="F2160" s="15"/>
      <c r="G2160" s="18"/>
      <c r="H2160" s="131"/>
      <c r="I2160" s="18"/>
      <c r="J2160" s="22"/>
      <c r="K2160" s="108"/>
      <c r="L2160" s="26"/>
    </row>
    <row r="2161">
      <c r="A2161" s="12"/>
      <c r="B2161" s="13"/>
      <c r="C2161" s="14"/>
      <c r="D2161" s="14"/>
      <c r="E2161" s="294"/>
      <c r="F2161" s="15"/>
      <c r="G2161" s="18"/>
      <c r="H2161" s="131"/>
      <c r="I2161" s="18"/>
      <c r="J2161" s="22"/>
      <c r="K2161" s="108"/>
      <c r="L2161" s="26"/>
    </row>
    <row r="2162">
      <c r="A2162" s="12"/>
      <c r="B2162" s="13"/>
      <c r="C2162" s="14"/>
      <c r="D2162" s="14"/>
      <c r="E2162" s="294"/>
      <c r="F2162" s="15"/>
      <c r="G2162" s="18"/>
      <c r="H2162" s="131"/>
      <c r="I2162" s="18"/>
      <c r="J2162" s="22"/>
      <c r="K2162" s="108"/>
      <c r="L2162" s="26"/>
    </row>
    <row r="2163">
      <c r="A2163" s="12"/>
      <c r="B2163" s="13"/>
      <c r="C2163" s="14"/>
      <c r="D2163" s="14"/>
      <c r="E2163" s="294"/>
      <c r="F2163" s="15"/>
      <c r="G2163" s="18"/>
      <c r="H2163" s="131"/>
      <c r="I2163" s="18"/>
      <c r="J2163" s="22"/>
      <c r="K2163" s="108"/>
      <c r="L2163" s="26"/>
    </row>
    <row r="2164">
      <c r="A2164" s="12"/>
      <c r="B2164" s="13"/>
      <c r="C2164" s="14"/>
      <c r="D2164" s="14"/>
      <c r="E2164" s="294"/>
      <c r="F2164" s="15"/>
      <c r="G2164" s="18"/>
      <c r="H2164" s="131"/>
      <c r="I2164" s="18"/>
      <c r="J2164" s="22"/>
      <c r="K2164" s="108"/>
      <c r="L2164" s="26"/>
    </row>
    <row r="2165">
      <c r="A2165" s="12"/>
      <c r="B2165" s="13"/>
      <c r="C2165" s="14"/>
      <c r="D2165" s="14"/>
      <c r="E2165" s="294"/>
      <c r="F2165" s="15"/>
      <c r="G2165" s="18"/>
      <c r="H2165" s="131"/>
      <c r="I2165" s="18"/>
      <c r="J2165" s="22"/>
      <c r="K2165" s="108"/>
      <c r="L2165" s="26"/>
    </row>
    <row r="2166">
      <c r="A2166" s="12"/>
      <c r="B2166" s="13"/>
      <c r="C2166" s="14"/>
      <c r="D2166" s="14"/>
      <c r="E2166" s="294"/>
      <c r="F2166" s="15"/>
      <c r="G2166" s="18"/>
      <c r="H2166" s="131"/>
      <c r="I2166" s="18"/>
      <c r="J2166" s="22"/>
      <c r="K2166" s="108"/>
      <c r="L2166" s="26"/>
    </row>
    <row r="2167">
      <c r="A2167" s="12"/>
      <c r="B2167" s="13"/>
      <c r="C2167" s="14"/>
      <c r="D2167" s="14"/>
      <c r="E2167" s="294"/>
      <c r="F2167" s="15"/>
      <c r="G2167" s="18"/>
      <c r="H2167" s="131"/>
      <c r="I2167" s="18"/>
      <c r="J2167" s="22"/>
      <c r="K2167" s="108"/>
      <c r="L2167" s="26"/>
    </row>
    <row r="2168">
      <c r="A2168" s="12"/>
      <c r="B2168" s="13"/>
      <c r="C2168" s="14"/>
      <c r="D2168" s="14"/>
      <c r="E2168" s="294"/>
      <c r="F2168" s="15"/>
      <c r="G2168" s="18"/>
      <c r="H2168" s="131"/>
      <c r="I2168" s="18"/>
      <c r="J2168" s="22"/>
      <c r="K2168" s="108"/>
      <c r="L2168" s="26"/>
    </row>
    <row r="2169">
      <c r="A2169" s="12"/>
      <c r="B2169" s="13"/>
      <c r="C2169" s="14"/>
      <c r="D2169" s="14"/>
      <c r="E2169" s="294"/>
      <c r="F2169" s="15"/>
      <c r="G2169" s="18"/>
      <c r="H2169" s="131"/>
      <c r="I2169" s="18"/>
      <c r="J2169" s="22"/>
      <c r="K2169" s="108"/>
      <c r="L2169" s="26"/>
    </row>
    <row r="2170">
      <c r="A2170" s="12"/>
      <c r="B2170" s="13"/>
      <c r="C2170" s="14"/>
      <c r="D2170" s="14"/>
      <c r="E2170" s="294"/>
      <c r="F2170" s="15"/>
      <c r="G2170" s="18"/>
      <c r="H2170" s="131"/>
      <c r="I2170" s="18"/>
      <c r="J2170" s="22"/>
      <c r="K2170" s="108"/>
      <c r="L2170" s="26"/>
    </row>
    <row r="2171">
      <c r="A2171" s="12"/>
      <c r="B2171" s="13"/>
      <c r="C2171" s="14"/>
      <c r="D2171" s="14"/>
      <c r="E2171" s="294"/>
      <c r="F2171" s="15"/>
      <c r="G2171" s="18"/>
      <c r="H2171" s="131"/>
      <c r="I2171" s="18"/>
      <c r="J2171" s="22"/>
      <c r="K2171" s="108"/>
      <c r="L2171" s="26"/>
    </row>
    <row r="2172">
      <c r="A2172" s="12"/>
      <c r="B2172" s="13"/>
      <c r="C2172" s="14"/>
      <c r="D2172" s="14"/>
      <c r="E2172" s="294"/>
      <c r="F2172" s="15"/>
      <c r="G2172" s="18"/>
      <c r="H2172" s="131"/>
      <c r="I2172" s="18"/>
      <c r="J2172" s="22"/>
      <c r="K2172" s="108"/>
      <c r="L2172" s="26"/>
    </row>
    <row r="2173">
      <c r="A2173" s="12"/>
      <c r="B2173" s="13"/>
      <c r="C2173" s="14"/>
      <c r="D2173" s="14"/>
      <c r="E2173" s="294"/>
      <c r="F2173" s="15"/>
      <c r="G2173" s="18"/>
      <c r="H2173" s="131"/>
      <c r="I2173" s="18"/>
      <c r="J2173" s="22"/>
      <c r="K2173" s="108"/>
      <c r="L2173" s="26"/>
    </row>
    <row r="2174">
      <c r="A2174" s="12"/>
      <c r="B2174" s="13"/>
      <c r="C2174" s="14"/>
      <c r="D2174" s="14"/>
      <c r="E2174" s="294"/>
      <c r="F2174" s="15"/>
      <c r="G2174" s="18"/>
      <c r="H2174" s="131"/>
      <c r="I2174" s="18"/>
      <c r="J2174" s="22"/>
      <c r="K2174" s="108"/>
      <c r="L2174" s="26"/>
    </row>
    <row r="2175">
      <c r="A2175" s="12"/>
      <c r="B2175" s="13"/>
      <c r="C2175" s="14"/>
      <c r="D2175" s="14"/>
      <c r="E2175" s="294"/>
      <c r="F2175" s="15"/>
      <c r="G2175" s="18"/>
      <c r="H2175" s="131"/>
      <c r="I2175" s="18"/>
      <c r="J2175" s="22"/>
      <c r="K2175" s="108"/>
      <c r="L2175" s="26"/>
    </row>
    <row r="2176">
      <c r="A2176" s="12"/>
      <c r="B2176" s="13"/>
      <c r="C2176" s="14"/>
      <c r="D2176" s="14"/>
      <c r="E2176" s="294"/>
      <c r="F2176" s="15"/>
      <c r="G2176" s="18"/>
      <c r="H2176" s="131"/>
      <c r="I2176" s="18"/>
      <c r="J2176" s="22"/>
      <c r="K2176" s="108"/>
      <c r="L2176" s="26"/>
    </row>
    <row r="2177">
      <c r="A2177" s="12"/>
      <c r="B2177" s="13"/>
      <c r="C2177" s="14"/>
      <c r="D2177" s="14"/>
      <c r="E2177" s="294"/>
      <c r="F2177" s="15"/>
      <c r="G2177" s="18"/>
      <c r="H2177" s="131"/>
      <c r="I2177" s="18"/>
      <c r="J2177" s="22"/>
      <c r="K2177" s="108"/>
      <c r="L2177" s="26"/>
    </row>
    <row r="2178">
      <c r="A2178" s="12"/>
      <c r="B2178" s="13"/>
      <c r="C2178" s="14"/>
      <c r="D2178" s="14"/>
      <c r="E2178" s="294"/>
      <c r="F2178" s="15"/>
      <c r="G2178" s="18"/>
      <c r="H2178" s="131"/>
      <c r="I2178" s="18"/>
      <c r="J2178" s="22"/>
      <c r="K2178" s="108"/>
      <c r="L2178" s="26"/>
    </row>
    <row r="2179">
      <c r="A2179" s="12"/>
      <c r="B2179" s="13"/>
      <c r="C2179" s="14"/>
      <c r="D2179" s="14"/>
      <c r="E2179" s="294"/>
      <c r="F2179" s="15"/>
      <c r="G2179" s="18"/>
      <c r="H2179" s="131"/>
      <c r="I2179" s="18"/>
      <c r="J2179" s="22"/>
      <c r="K2179" s="108"/>
      <c r="L2179" s="26"/>
    </row>
    <row r="2180">
      <c r="A2180" s="12"/>
      <c r="B2180" s="13"/>
      <c r="C2180" s="14"/>
      <c r="D2180" s="14"/>
      <c r="E2180" s="294"/>
      <c r="F2180" s="15"/>
      <c r="G2180" s="18"/>
      <c r="H2180" s="131"/>
      <c r="I2180" s="18"/>
      <c r="J2180" s="22"/>
      <c r="K2180" s="108"/>
      <c r="L2180" s="26"/>
    </row>
    <row r="2181">
      <c r="A2181" s="12"/>
      <c r="B2181" s="13"/>
      <c r="C2181" s="14"/>
      <c r="D2181" s="14"/>
      <c r="E2181" s="294"/>
      <c r="F2181" s="15"/>
      <c r="G2181" s="18"/>
      <c r="H2181" s="131"/>
      <c r="I2181" s="18"/>
      <c r="J2181" s="22"/>
      <c r="K2181" s="108"/>
      <c r="L2181" s="26"/>
    </row>
    <row r="2182">
      <c r="A2182" s="12"/>
      <c r="B2182" s="13"/>
      <c r="C2182" s="14"/>
      <c r="D2182" s="14"/>
      <c r="E2182" s="294"/>
      <c r="F2182" s="15"/>
      <c r="G2182" s="18"/>
      <c r="H2182" s="131"/>
      <c r="I2182" s="18"/>
      <c r="J2182" s="22"/>
      <c r="K2182" s="108"/>
      <c r="L2182" s="26"/>
    </row>
    <row r="2183">
      <c r="A2183" s="12"/>
      <c r="B2183" s="13"/>
      <c r="C2183" s="14"/>
      <c r="D2183" s="14"/>
      <c r="E2183" s="294"/>
      <c r="F2183" s="15"/>
      <c r="G2183" s="18"/>
      <c r="H2183" s="131"/>
      <c r="I2183" s="18"/>
      <c r="J2183" s="22"/>
      <c r="K2183" s="108"/>
      <c r="L2183" s="26"/>
    </row>
    <row r="2184">
      <c r="A2184" s="12"/>
      <c r="B2184" s="13"/>
      <c r="C2184" s="14"/>
      <c r="D2184" s="14"/>
      <c r="E2184" s="294"/>
      <c r="F2184" s="15"/>
      <c r="G2184" s="18"/>
      <c r="H2184" s="131"/>
      <c r="I2184" s="18"/>
      <c r="J2184" s="22"/>
      <c r="K2184" s="108"/>
      <c r="L2184" s="26"/>
    </row>
    <row r="2185">
      <c r="A2185" s="12"/>
      <c r="B2185" s="13"/>
      <c r="C2185" s="14"/>
      <c r="D2185" s="14"/>
      <c r="E2185" s="294"/>
      <c r="F2185" s="15"/>
      <c r="G2185" s="18"/>
      <c r="H2185" s="131"/>
      <c r="I2185" s="18"/>
      <c r="J2185" s="22"/>
      <c r="K2185" s="108"/>
      <c r="L2185" s="26"/>
    </row>
    <row r="2186">
      <c r="A2186" s="12"/>
      <c r="B2186" s="13"/>
      <c r="C2186" s="14"/>
      <c r="D2186" s="14"/>
      <c r="E2186" s="294"/>
      <c r="F2186" s="15"/>
      <c r="G2186" s="18"/>
      <c r="H2186" s="131"/>
      <c r="I2186" s="18"/>
      <c r="J2186" s="22"/>
      <c r="K2186" s="108"/>
      <c r="L2186" s="26"/>
    </row>
    <row r="2187">
      <c r="A2187" s="12"/>
      <c r="B2187" s="13"/>
      <c r="C2187" s="14"/>
      <c r="D2187" s="14"/>
      <c r="E2187" s="294"/>
      <c r="F2187" s="15"/>
      <c r="G2187" s="18"/>
      <c r="H2187" s="131"/>
      <c r="I2187" s="18"/>
      <c r="J2187" s="22"/>
      <c r="K2187" s="108"/>
      <c r="L2187" s="26"/>
    </row>
    <row r="2188">
      <c r="A2188" s="12"/>
      <c r="B2188" s="13"/>
      <c r="C2188" s="14"/>
      <c r="D2188" s="14"/>
      <c r="E2188" s="294"/>
      <c r="F2188" s="15"/>
      <c r="G2188" s="18"/>
      <c r="H2188" s="131"/>
      <c r="I2188" s="18"/>
      <c r="J2188" s="22"/>
      <c r="K2188" s="108"/>
      <c r="L2188" s="26"/>
    </row>
    <row r="2189">
      <c r="A2189" s="12"/>
      <c r="B2189" s="13"/>
      <c r="C2189" s="14"/>
      <c r="D2189" s="14"/>
      <c r="E2189" s="294"/>
      <c r="F2189" s="15"/>
      <c r="G2189" s="18"/>
      <c r="H2189" s="131"/>
      <c r="I2189" s="18"/>
      <c r="J2189" s="22"/>
      <c r="K2189" s="108"/>
      <c r="L2189" s="26"/>
    </row>
    <row r="2190">
      <c r="A2190" s="12"/>
      <c r="B2190" s="13"/>
      <c r="C2190" s="14"/>
      <c r="D2190" s="14"/>
      <c r="E2190" s="294"/>
      <c r="F2190" s="15"/>
      <c r="G2190" s="18"/>
      <c r="H2190" s="131"/>
      <c r="I2190" s="18"/>
      <c r="J2190" s="22"/>
      <c r="K2190" s="108"/>
      <c r="L2190" s="26"/>
    </row>
    <row r="2191">
      <c r="A2191" s="12"/>
      <c r="B2191" s="13"/>
      <c r="C2191" s="14"/>
      <c r="D2191" s="14"/>
      <c r="E2191" s="294"/>
      <c r="F2191" s="15"/>
      <c r="G2191" s="18"/>
      <c r="H2191" s="131"/>
      <c r="I2191" s="18"/>
      <c r="J2191" s="22"/>
      <c r="K2191" s="108"/>
      <c r="L2191" s="26"/>
    </row>
    <row r="2192">
      <c r="A2192" s="12"/>
      <c r="B2192" s="13"/>
      <c r="C2192" s="14"/>
      <c r="D2192" s="14"/>
      <c r="E2192" s="294"/>
      <c r="F2192" s="15"/>
      <c r="G2192" s="18"/>
      <c r="H2192" s="131"/>
      <c r="I2192" s="18"/>
      <c r="J2192" s="22"/>
      <c r="K2192" s="108"/>
      <c r="L2192" s="26"/>
    </row>
    <row r="2193">
      <c r="A2193" s="12"/>
      <c r="B2193" s="13"/>
      <c r="C2193" s="14"/>
      <c r="D2193" s="14"/>
      <c r="E2193" s="294"/>
      <c r="F2193" s="15"/>
      <c r="G2193" s="18"/>
      <c r="H2193" s="131"/>
      <c r="I2193" s="18"/>
      <c r="J2193" s="22"/>
      <c r="K2193" s="108"/>
      <c r="L2193" s="26"/>
    </row>
    <row r="2194">
      <c r="A2194" s="12"/>
      <c r="B2194" s="13"/>
      <c r="C2194" s="14"/>
      <c r="D2194" s="14"/>
      <c r="E2194" s="294"/>
      <c r="F2194" s="15"/>
      <c r="G2194" s="18"/>
      <c r="H2194" s="131"/>
      <c r="I2194" s="18"/>
      <c r="J2194" s="22"/>
      <c r="K2194" s="108"/>
      <c r="L2194" s="26"/>
    </row>
    <row r="2195">
      <c r="A2195" s="12"/>
      <c r="B2195" s="13"/>
      <c r="C2195" s="14"/>
      <c r="D2195" s="14"/>
      <c r="E2195" s="294"/>
      <c r="F2195" s="15"/>
      <c r="G2195" s="18"/>
      <c r="H2195" s="131"/>
      <c r="I2195" s="18"/>
      <c r="J2195" s="22"/>
      <c r="K2195" s="108"/>
      <c r="L2195" s="26"/>
    </row>
    <row r="2196">
      <c r="A2196" s="12"/>
      <c r="B2196" s="13"/>
      <c r="C2196" s="14"/>
      <c r="D2196" s="14"/>
      <c r="E2196" s="294"/>
      <c r="F2196" s="15"/>
      <c r="G2196" s="18"/>
      <c r="H2196" s="131"/>
      <c r="I2196" s="18"/>
      <c r="J2196" s="22"/>
      <c r="K2196" s="108"/>
      <c r="L2196" s="26"/>
    </row>
    <row r="2197">
      <c r="A2197" s="12"/>
      <c r="B2197" s="13"/>
      <c r="C2197" s="14"/>
      <c r="D2197" s="14"/>
      <c r="E2197" s="294"/>
      <c r="F2197" s="15"/>
      <c r="G2197" s="18"/>
      <c r="H2197" s="131"/>
      <c r="I2197" s="18"/>
      <c r="J2197" s="22"/>
      <c r="K2197" s="108"/>
      <c r="L2197" s="26"/>
    </row>
    <row r="2198">
      <c r="A2198" s="12"/>
      <c r="B2198" s="13"/>
      <c r="C2198" s="14"/>
      <c r="D2198" s="14"/>
      <c r="E2198" s="294"/>
      <c r="F2198" s="15"/>
      <c r="G2198" s="18"/>
      <c r="H2198" s="131"/>
      <c r="I2198" s="18"/>
      <c r="J2198" s="22"/>
      <c r="K2198" s="108"/>
      <c r="L2198" s="26"/>
    </row>
    <row r="2199">
      <c r="A2199" s="12"/>
      <c r="B2199" s="13"/>
      <c r="C2199" s="14"/>
      <c r="D2199" s="14"/>
      <c r="E2199" s="294"/>
      <c r="F2199" s="15"/>
      <c r="G2199" s="18"/>
      <c r="H2199" s="131"/>
      <c r="I2199" s="18"/>
      <c r="J2199" s="22"/>
      <c r="K2199" s="108"/>
      <c r="L2199" s="26"/>
    </row>
    <row r="2200">
      <c r="A2200" s="12"/>
      <c r="B2200" s="13"/>
      <c r="C2200" s="14"/>
      <c r="D2200" s="14"/>
      <c r="E2200" s="294"/>
      <c r="F2200" s="15"/>
      <c r="G2200" s="18"/>
      <c r="H2200" s="131"/>
      <c r="I2200" s="18"/>
      <c r="J2200" s="22"/>
      <c r="K2200" s="108"/>
      <c r="L2200" s="26"/>
    </row>
    <row r="2201">
      <c r="A2201" s="12"/>
      <c r="B2201" s="13"/>
      <c r="C2201" s="14"/>
      <c r="D2201" s="14"/>
      <c r="E2201" s="294"/>
      <c r="F2201" s="15"/>
      <c r="G2201" s="18"/>
      <c r="H2201" s="131"/>
      <c r="I2201" s="18"/>
      <c r="J2201" s="22"/>
      <c r="K2201" s="108"/>
      <c r="L2201" s="26"/>
    </row>
    <row r="2202">
      <c r="A2202" s="12"/>
      <c r="B2202" s="13"/>
      <c r="C2202" s="14"/>
      <c r="D2202" s="14"/>
      <c r="E2202" s="294"/>
      <c r="F2202" s="15"/>
      <c r="G2202" s="18"/>
      <c r="H2202" s="131"/>
      <c r="I2202" s="18"/>
      <c r="J2202" s="22"/>
      <c r="K2202" s="108"/>
      <c r="L2202" s="26"/>
    </row>
    <row r="2203">
      <c r="A2203" s="12"/>
      <c r="B2203" s="13"/>
      <c r="C2203" s="14"/>
      <c r="D2203" s="14"/>
      <c r="E2203" s="294"/>
      <c r="F2203" s="15"/>
      <c r="G2203" s="18"/>
      <c r="H2203" s="131"/>
      <c r="I2203" s="18"/>
      <c r="J2203" s="22"/>
      <c r="K2203" s="108"/>
      <c r="L2203" s="26"/>
    </row>
    <row r="2204">
      <c r="A2204" s="12"/>
      <c r="B2204" s="13"/>
      <c r="C2204" s="14"/>
      <c r="D2204" s="14"/>
      <c r="E2204" s="294"/>
      <c r="F2204" s="15"/>
      <c r="G2204" s="18"/>
      <c r="H2204" s="131"/>
      <c r="I2204" s="18"/>
      <c r="J2204" s="22"/>
      <c r="K2204" s="108"/>
      <c r="L2204" s="26"/>
    </row>
    <row r="2205">
      <c r="A2205" s="12"/>
      <c r="B2205" s="13"/>
      <c r="C2205" s="14"/>
      <c r="D2205" s="14"/>
      <c r="E2205" s="294"/>
      <c r="F2205" s="15"/>
      <c r="G2205" s="18"/>
      <c r="H2205" s="131"/>
      <c r="I2205" s="18"/>
      <c r="J2205" s="22"/>
      <c r="K2205" s="108"/>
      <c r="L2205" s="26"/>
    </row>
    <row r="2206">
      <c r="A2206" s="12"/>
      <c r="B2206" s="13"/>
      <c r="C2206" s="14"/>
      <c r="D2206" s="14"/>
      <c r="E2206" s="294"/>
      <c r="F2206" s="15"/>
      <c r="G2206" s="18"/>
      <c r="H2206" s="131"/>
      <c r="I2206" s="18"/>
      <c r="J2206" s="22"/>
      <c r="K2206" s="108"/>
      <c r="L2206" s="26"/>
    </row>
    <row r="2207">
      <c r="A2207" s="12"/>
      <c r="B2207" s="13"/>
      <c r="C2207" s="14"/>
      <c r="D2207" s="14"/>
      <c r="E2207" s="294"/>
      <c r="F2207" s="15"/>
      <c r="G2207" s="18"/>
      <c r="H2207" s="131"/>
      <c r="I2207" s="18"/>
      <c r="J2207" s="22"/>
      <c r="K2207" s="108"/>
      <c r="L2207" s="26"/>
    </row>
    <row r="2208">
      <c r="A2208" s="12"/>
      <c r="B2208" s="13"/>
      <c r="C2208" s="14"/>
      <c r="D2208" s="14"/>
      <c r="E2208" s="294"/>
      <c r="F2208" s="15"/>
      <c r="G2208" s="18"/>
      <c r="H2208" s="131"/>
      <c r="I2208" s="18"/>
      <c r="J2208" s="22"/>
      <c r="K2208" s="108"/>
      <c r="L2208" s="26"/>
    </row>
    <row r="2209">
      <c r="A2209" s="12"/>
      <c r="B2209" s="13"/>
      <c r="C2209" s="14"/>
      <c r="D2209" s="14"/>
      <c r="E2209" s="294"/>
      <c r="F2209" s="15"/>
      <c r="G2209" s="18"/>
      <c r="H2209" s="131"/>
      <c r="I2209" s="18"/>
      <c r="J2209" s="22"/>
      <c r="K2209" s="108"/>
      <c r="L2209" s="26"/>
    </row>
    <row r="2210">
      <c r="A2210" s="12"/>
      <c r="B2210" s="13"/>
      <c r="C2210" s="14"/>
      <c r="D2210" s="14"/>
      <c r="E2210" s="294"/>
      <c r="F2210" s="15"/>
      <c r="G2210" s="18"/>
      <c r="H2210" s="131"/>
      <c r="I2210" s="18"/>
      <c r="J2210" s="22"/>
      <c r="K2210" s="108"/>
      <c r="L2210" s="26"/>
    </row>
    <row r="2211">
      <c r="A2211" s="12"/>
      <c r="B2211" s="13"/>
      <c r="C2211" s="14"/>
      <c r="D2211" s="14"/>
      <c r="E2211" s="294"/>
      <c r="F2211" s="15"/>
      <c r="G2211" s="18"/>
      <c r="H2211" s="131"/>
      <c r="I2211" s="18"/>
      <c r="J2211" s="22"/>
      <c r="K2211" s="108"/>
      <c r="L2211" s="26"/>
    </row>
    <row r="2212">
      <c r="A2212" s="12"/>
      <c r="B2212" s="13"/>
      <c r="C2212" s="14"/>
      <c r="D2212" s="14"/>
      <c r="E2212" s="294"/>
      <c r="F2212" s="15"/>
      <c r="G2212" s="18"/>
      <c r="H2212" s="131"/>
      <c r="I2212" s="18"/>
      <c r="J2212" s="22"/>
      <c r="K2212" s="108"/>
      <c r="L2212" s="26"/>
    </row>
    <row r="2213">
      <c r="A2213" s="12"/>
      <c r="B2213" s="13"/>
      <c r="C2213" s="14"/>
      <c r="D2213" s="14"/>
      <c r="E2213" s="294"/>
      <c r="F2213" s="15"/>
      <c r="G2213" s="18"/>
      <c r="H2213" s="131"/>
      <c r="I2213" s="18"/>
      <c r="J2213" s="22"/>
      <c r="K2213" s="108"/>
      <c r="L2213" s="26"/>
    </row>
    <row r="2214">
      <c r="A2214" s="12"/>
      <c r="B2214" s="13"/>
      <c r="C2214" s="14"/>
      <c r="D2214" s="14"/>
      <c r="E2214" s="294"/>
      <c r="F2214" s="15"/>
      <c r="G2214" s="18"/>
      <c r="H2214" s="131"/>
      <c r="I2214" s="18"/>
      <c r="J2214" s="22"/>
      <c r="K2214" s="108"/>
      <c r="L2214" s="26"/>
    </row>
    <row r="2215">
      <c r="A2215" s="12"/>
      <c r="B2215" s="13"/>
      <c r="C2215" s="14"/>
      <c r="D2215" s="14"/>
      <c r="E2215" s="294"/>
      <c r="F2215" s="15"/>
      <c r="G2215" s="18"/>
      <c r="H2215" s="131"/>
      <c r="I2215" s="18"/>
      <c r="J2215" s="22"/>
      <c r="K2215" s="108"/>
      <c r="L2215" s="26"/>
    </row>
    <row r="2216">
      <c r="A2216" s="12"/>
      <c r="B2216" s="13"/>
      <c r="C2216" s="14"/>
      <c r="D2216" s="14"/>
      <c r="E2216" s="294"/>
      <c r="F2216" s="15"/>
      <c r="G2216" s="18"/>
      <c r="H2216" s="131"/>
      <c r="I2216" s="18"/>
      <c r="J2216" s="22"/>
      <c r="K2216" s="108"/>
      <c r="L2216" s="26"/>
    </row>
    <row r="2217">
      <c r="A2217" s="12"/>
      <c r="B2217" s="13"/>
      <c r="C2217" s="14"/>
      <c r="D2217" s="14"/>
      <c r="E2217" s="294"/>
      <c r="F2217" s="15"/>
      <c r="G2217" s="18"/>
      <c r="H2217" s="131"/>
      <c r="I2217" s="18"/>
      <c r="J2217" s="22"/>
      <c r="K2217" s="108"/>
      <c r="L2217" s="26"/>
    </row>
    <row r="2218">
      <c r="A2218" s="12"/>
      <c r="B2218" s="13"/>
      <c r="C2218" s="14"/>
      <c r="D2218" s="14"/>
      <c r="E2218" s="294"/>
      <c r="F2218" s="15"/>
      <c r="G2218" s="18"/>
      <c r="H2218" s="131"/>
      <c r="I2218" s="18"/>
      <c r="J2218" s="22"/>
      <c r="K2218" s="108"/>
      <c r="L2218" s="26"/>
    </row>
    <row r="2219">
      <c r="A2219" s="12"/>
      <c r="B2219" s="13"/>
      <c r="C2219" s="14"/>
      <c r="D2219" s="14"/>
      <c r="E2219" s="294"/>
      <c r="F2219" s="15"/>
      <c r="G2219" s="18"/>
      <c r="H2219" s="131"/>
      <c r="I2219" s="18"/>
      <c r="J2219" s="22"/>
      <c r="K2219" s="108"/>
      <c r="L2219" s="26"/>
    </row>
    <row r="2220">
      <c r="A2220" s="12"/>
      <c r="B2220" s="13"/>
      <c r="C2220" s="14"/>
      <c r="D2220" s="14"/>
      <c r="E2220" s="294"/>
      <c r="F2220" s="15"/>
      <c r="G2220" s="18"/>
      <c r="H2220" s="131"/>
      <c r="I2220" s="18"/>
      <c r="J2220" s="22"/>
      <c r="K2220" s="108"/>
      <c r="L2220" s="26"/>
    </row>
    <row r="2221">
      <c r="A2221" s="12"/>
      <c r="B2221" s="13"/>
      <c r="C2221" s="14"/>
      <c r="D2221" s="14"/>
      <c r="E2221" s="294"/>
      <c r="F2221" s="15"/>
      <c r="G2221" s="18"/>
      <c r="H2221" s="131"/>
      <c r="I2221" s="18"/>
      <c r="J2221" s="22"/>
      <c r="K2221" s="108"/>
      <c r="L2221" s="26"/>
    </row>
    <row r="2222">
      <c r="A2222" s="12"/>
      <c r="B2222" s="13"/>
      <c r="C2222" s="14"/>
      <c r="D2222" s="14"/>
      <c r="E2222" s="294"/>
      <c r="F2222" s="15"/>
      <c r="G2222" s="18"/>
      <c r="H2222" s="131"/>
      <c r="I2222" s="18"/>
      <c r="J2222" s="22"/>
      <c r="K2222" s="108"/>
      <c r="L2222" s="26"/>
    </row>
    <row r="2223">
      <c r="A2223" s="12"/>
      <c r="B2223" s="13"/>
      <c r="C2223" s="14"/>
      <c r="D2223" s="14"/>
      <c r="E2223" s="294"/>
      <c r="F2223" s="15"/>
      <c r="G2223" s="18"/>
      <c r="H2223" s="131"/>
      <c r="I2223" s="18"/>
      <c r="J2223" s="22"/>
      <c r="K2223" s="108"/>
      <c r="L2223" s="26"/>
    </row>
    <row r="2224">
      <c r="A2224" s="12"/>
      <c r="B2224" s="13"/>
      <c r="C2224" s="14"/>
      <c r="D2224" s="14"/>
      <c r="E2224" s="294"/>
      <c r="F2224" s="15"/>
      <c r="G2224" s="18"/>
      <c r="H2224" s="131"/>
      <c r="I2224" s="18"/>
      <c r="J2224" s="22"/>
      <c r="K2224" s="108"/>
      <c r="L2224" s="26"/>
    </row>
    <row r="2225">
      <c r="A2225" s="12"/>
      <c r="B2225" s="13"/>
      <c r="C2225" s="14"/>
      <c r="D2225" s="14"/>
      <c r="E2225" s="294"/>
      <c r="F2225" s="15"/>
      <c r="G2225" s="18"/>
      <c r="H2225" s="131"/>
      <c r="I2225" s="18"/>
      <c r="J2225" s="22"/>
      <c r="K2225" s="108"/>
      <c r="L2225" s="26"/>
    </row>
    <row r="2226">
      <c r="A2226" s="12"/>
      <c r="B2226" s="13"/>
      <c r="C2226" s="14"/>
      <c r="D2226" s="14"/>
      <c r="E2226" s="294"/>
      <c r="F2226" s="15"/>
      <c r="G2226" s="18"/>
      <c r="H2226" s="131"/>
      <c r="I2226" s="18"/>
      <c r="J2226" s="22"/>
      <c r="K2226" s="108"/>
      <c r="L2226" s="26"/>
    </row>
    <row r="2227">
      <c r="A2227" s="12"/>
      <c r="B2227" s="13"/>
      <c r="C2227" s="14"/>
      <c r="D2227" s="14"/>
      <c r="E2227" s="294"/>
      <c r="F2227" s="15"/>
      <c r="G2227" s="18"/>
      <c r="H2227" s="131"/>
      <c r="I2227" s="18"/>
      <c r="J2227" s="22"/>
      <c r="K2227" s="108"/>
      <c r="L2227" s="26"/>
    </row>
    <row r="2228">
      <c r="A2228" s="12"/>
      <c r="B2228" s="13"/>
      <c r="C2228" s="14"/>
      <c r="D2228" s="14"/>
      <c r="E2228" s="294"/>
      <c r="F2228" s="15"/>
      <c r="G2228" s="18"/>
      <c r="H2228" s="131"/>
      <c r="I2228" s="18"/>
      <c r="J2228" s="22"/>
      <c r="K2228" s="108"/>
      <c r="L2228" s="26"/>
    </row>
    <row r="2229">
      <c r="A2229" s="12"/>
      <c r="B2229" s="13"/>
      <c r="C2229" s="14"/>
      <c r="D2229" s="14"/>
      <c r="E2229" s="294"/>
      <c r="F2229" s="15"/>
      <c r="G2229" s="18"/>
      <c r="H2229" s="131"/>
      <c r="I2229" s="18"/>
      <c r="J2229" s="22"/>
      <c r="K2229" s="108"/>
      <c r="L2229" s="26"/>
    </row>
    <row r="2230">
      <c r="A2230" s="12"/>
      <c r="B2230" s="13"/>
      <c r="C2230" s="14"/>
      <c r="D2230" s="14"/>
      <c r="E2230" s="294"/>
      <c r="F2230" s="15"/>
      <c r="G2230" s="18"/>
      <c r="H2230" s="131"/>
      <c r="I2230" s="18"/>
      <c r="J2230" s="22"/>
      <c r="K2230" s="108"/>
      <c r="L2230" s="26"/>
    </row>
    <row r="2231">
      <c r="A2231" s="12"/>
      <c r="B2231" s="13"/>
      <c r="C2231" s="14"/>
      <c r="D2231" s="14"/>
      <c r="E2231" s="294"/>
      <c r="F2231" s="15"/>
      <c r="G2231" s="18"/>
      <c r="H2231" s="131"/>
      <c r="I2231" s="18"/>
      <c r="J2231" s="22"/>
      <c r="K2231" s="108"/>
      <c r="L2231" s="26"/>
    </row>
    <row r="2232">
      <c r="A2232" s="12"/>
      <c r="B2232" s="13"/>
      <c r="C2232" s="14"/>
      <c r="D2232" s="14"/>
      <c r="E2232" s="294"/>
      <c r="F2232" s="15"/>
      <c r="G2232" s="18"/>
      <c r="H2232" s="131"/>
      <c r="I2232" s="18"/>
      <c r="J2232" s="22"/>
      <c r="K2232" s="108"/>
      <c r="L2232" s="26"/>
    </row>
    <row r="2233">
      <c r="A2233" s="12"/>
      <c r="B2233" s="13"/>
      <c r="C2233" s="14"/>
      <c r="D2233" s="14"/>
      <c r="E2233" s="294"/>
      <c r="F2233" s="15"/>
      <c r="G2233" s="18"/>
      <c r="H2233" s="131"/>
      <c r="I2233" s="18"/>
      <c r="J2233" s="22"/>
      <c r="K2233" s="108"/>
      <c r="L2233" s="26"/>
    </row>
    <row r="2234">
      <c r="A2234" s="12"/>
      <c r="B2234" s="13"/>
      <c r="C2234" s="14"/>
      <c r="D2234" s="14"/>
      <c r="E2234" s="294"/>
      <c r="F2234" s="15"/>
      <c r="G2234" s="18"/>
      <c r="H2234" s="131"/>
      <c r="I2234" s="18"/>
      <c r="J2234" s="22"/>
      <c r="K2234" s="108"/>
      <c r="L2234" s="26"/>
    </row>
    <row r="2235">
      <c r="A2235" s="12"/>
      <c r="B2235" s="13"/>
      <c r="C2235" s="14"/>
      <c r="D2235" s="14"/>
      <c r="E2235" s="294"/>
      <c r="F2235" s="15"/>
      <c r="G2235" s="18"/>
      <c r="H2235" s="131"/>
      <c r="I2235" s="18"/>
      <c r="J2235" s="22"/>
      <c r="K2235" s="108"/>
      <c r="L2235" s="26"/>
    </row>
    <row r="2236">
      <c r="A2236" s="12"/>
      <c r="B2236" s="13"/>
      <c r="C2236" s="14"/>
      <c r="D2236" s="14"/>
      <c r="E2236" s="294"/>
      <c r="F2236" s="15"/>
      <c r="G2236" s="18"/>
      <c r="H2236" s="131"/>
      <c r="I2236" s="18"/>
      <c r="J2236" s="22"/>
      <c r="K2236" s="108"/>
      <c r="L2236" s="26"/>
    </row>
    <row r="2237">
      <c r="A2237" s="12"/>
      <c r="B2237" s="13"/>
      <c r="C2237" s="14"/>
      <c r="D2237" s="14"/>
      <c r="E2237" s="294"/>
      <c r="F2237" s="15"/>
      <c r="G2237" s="18"/>
      <c r="H2237" s="131"/>
      <c r="I2237" s="18"/>
      <c r="J2237" s="22"/>
      <c r="K2237" s="108"/>
      <c r="L2237" s="26"/>
    </row>
    <row r="2238">
      <c r="A2238" s="12"/>
      <c r="B2238" s="13"/>
      <c r="C2238" s="14"/>
      <c r="D2238" s="14"/>
      <c r="E2238" s="294"/>
      <c r="F2238" s="15"/>
      <c r="G2238" s="18"/>
      <c r="H2238" s="131"/>
      <c r="I2238" s="18"/>
      <c r="J2238" s="22"/>
      <c r="K2238" s="108"/>
      <c r="L2238" s="26"/>
    </row>
    <row r="2239">
      <c r="A2239" s="12"/>
      <c r="B2239" s="13"/>
      <c r="C2239" s="14"/>
      <c r="D2239" s="14"/>
      <c r="E2239" s="294"/>
      <c r="F2239" s="15"/>
      <c r="G2239" s="18"/>
      <c r="H2239" s="131"/>
      <c r="I2239" s="18"/>
      <c r="J2239" s="22"/>
      <c r="K2239" s="108"/>
      <c r="L2239" s="26"/>
    </row>
    <row r="2240">
      <c r="A2240" s="12"/>
      <c r="B2240" s="13"/>
      <c r="C2240" s="14"/>
      <c r="D2240" s="14"/>
      <c r="E2240" s="294"/>
      <c r="F2240" s="15"/>
      <c r="G2240" s="18"/>
      <c r="H2240" s="131"/>
      <c r="I2240" s="18"/>
      <c r="J2240" s="22"/>
      <c r="K2240" s="108"/>
      <c r="L2240" s="26"/>
    </row>
    <row r="2241">
      <c r="A2241" s="12"/>
      <c r="B2241" s="13"/>
      <c r="C2241" s="14"/>
      <c r="D2241" s="14"/>
      <c r="E2241" s="294"/>
      <c r="F2241" s="15"/>
      <c r="G2241" s="18"/>
      <c r="H2241" s="131"/>
      <c r="I2241" s="18"/>
      <c r="J2241" s="22"/>
      <c r="K2241" s="108"/>
      <c r="L2241" s="26"/>
    </row>
    <row r="2242">
      <c r="A2242" s="12"/>
      <c r="B2242" s="13"/>
      <c r="C2242" s="14"/>
      <c r="D2242" s="14"/>
      <c r="E2242" s="294"/>
      <c r="F2242" s="15"/>
      <c r="G2242" s="18"/>
      <c r="H2242" s="131"/>
      <c r="I2242" s="18"/>
      <c r="J2242" s="22"/>
      <c r="K2242" s="108"/>
      <c r="L2242" s="26"/>
    </row>
    <row r="2243">
      <c r="A2243" s="12"/>
      <c r="B2243" s="13"/>
      <c r="C2243" s="14"/>
      <c r="D2243" s="14"/>
      <c r="E2243" s="294"/>
      <c r="F2243" s="15"/>
      <c r="G2243" s="18"/>
      <c r="H2243" s="131"/>
      <c r="I2243" s="18"/>
      <c r="J2243" s="22"/>
      <c r="K2243" s="108"/>
      <c r="L2243" s="26"/>
    </row>
    <row r="2244">
      <c r="A2244" s="12"/>
      <c r="B2244" s="13"/>
      <c r="C2244" s="14"/>
      <c r="D2244" s="14"/>
      <c r="E2244" s="294"/>
      <c r="F2244" s="15"/>
      <c r="G2244" s="18"/>
      <c r="H2244" s="131"/>
      <c r="I2244" s="18"/>
      <c r="J2244" s="22"/>
      <c r="K2244" s="108"/>
      <c r="L2244" s="26"/>
    </row>
    <row r="2245">
      <c r="A2245" s="12"/>
      <c r="B2245" s="13"/>
      <c r="C2245" s="14"/>
      <c r="D2245" s="14"/>
      <c r="E2245" s="294"/>
      <c r="F2245" s="15"/>
      <c r="G2245" s="18"/>
      <c r="H2245" s="131"/>
      <c r="I2245" s="18"/>
      <c r="J2245" s="22"/>
      <c r="K2245" s="108"/>
      <c r="L2245" s="26"/>
    </row>
    <row r="2246">
      <c r="A2246" s="12"/>
      <c r="B2246" s="13"/>
      <c r="C2246" s="14"/>
      <c r="D2246" s="14"/>
      <c r="E2246" s="294"/>
      <c r="F2246" s="15"/>
      <c r="G2246" s="18"/>
      <c r="H2246" s="131"/>
      <c r="I2246" s="18"/>
      <c r="J2246" s="22"/>
      <c r="K2246" s="108"/>
      <c r="L2246" s="26"/>
    </row>
    <row r="2247">
      <c r="A2247" s="12"/>
      <c r="B2247" s="13"/>
      <c r="C2247" s="14"/>
      <c r="D2247" s="14"/>
      <c r="E2247" s="294"/>
      <c r="F2247" s="15"/>
      <c r="G2247" s="18"/>
      <c r="H2247" s="131"/>
      <c r="I2247" s="18"/>
      <c r="J2247" s="22"/>
      <c r="K2247" s="108"/>
      <c r="L2247" s="26"/>
    </row>
    <row r="2248">
      <c r="A2248" s="12"/>
      <c r="B2248" s="13"/>
      <c r="C2248" s="14"/>
      <c r="D2248" s="14"/>
      <c r="E2248" s="294"/>
      <c r="F2248" s="15"/>
      <c r="G2248" s="18"/>
      <c r="H2248" s="131"/>
      <c r="I2248" s="18"/>
      <c r="J2248" s="22"/>
      <c r="K2248" s="108"/>
      <c r="L2248" s="26"/>
    </row>
    <row r="2249">
      <c r="A2249" s="12"/>
      <c r="B2249" s="13"/>
      <c r="C2249" s="14"/>
      <c r="D2249" s="14"/>
      <c r="E2249" s="294"/>
      <c r="F2249" s="15"/>
      <c r="G2249" s="18"/>
      <c r="H2249" s="131"/>
      <c r="I2249" s="18"/>
      <c r="J2249" s="22"/>
      <c r="K2249" s="108"/>
      <c r="L2249" s="26"/>
    </row>
    <row r="2250">
      <c r="A2250" s="12"/>
      <c r="B2250" s="13"/>
      <c r="C2250" s="14"/>
      <c r="D2250" s="14"/>
      <c r="E2250" s="294"/>
      <c r="F2250" s="15"/>
      <c r="G2250" s="18"/>
      <c r="H2250" s="131"/>
      <c r="I2250" s="18"/>
      <c r="J2250" s="22"/>
      <c r="K2250" s="108"/>
      <c r="L2250" s="26"/>
    </row>
    <row r="2251">
      <c r="A2251" s="12"/>
      <c r="B2251" s="13"/>
      <c r="C2251" s="14"/>
      <c r="D2251" s="14"/>
      <c r="E2251" s="294"/>
      <c r="F2251" s="15"/>
      <c r="G2251" s="18"/>
      <c r="H2251" s="131"/>
      <c r="I2251" s="18"/>
      <c r="J2251" s="22"/>
      <c r="K2251" s="108"/>
      <c r="L2251" s="26"/>
    </row>
    <row r="2252">
      <c r="A2252" s="12"/>
      <c r="B2252" s="13"/>
      <c r="C2252" s="14"/>
      <c r="D2252" s="14"/>
      <c r="E2252" s="294"/>
      <c r="F2252" s="15"/>
      <c r="G2252" s="18"/>
      <c r="H2252" s="131"/>
      <c r="I2252" s="18"/>
      <c r="J2252" s="22"/>
      <c r="K2252" s="108"/>
      <c r="L2252" s="26"/>
    </row>
    <row r="2253">
      <c r="A2253" s="12"/>
      <c r="B2253" s="13"/>
      <c r="C2253" s="14"/>
      <c r="D2253" s="14"/>
      <c r="E2253" s="294"/>
      <c r="F2253" s="15"/>
      <c r="G2253" s="18"/>
      <c r="H2253" s="131"/>
      <c r="I2253" s="18"/>
      <c r="J2253" s="22"/>
      <c r="K2253" s="108"/>
      <c r="L2253" s="26"/>
    </row>
    <row r="2254">
      <c r="A2254" s="12"/>
      <c r="B2254" s="13"/>
      <c r="C2254" s="14"/>
      <c r="D2254" s="14"/>
      <c r="E2254" s="294"/>
      <c r="F2254" s="15"/>
      <c r="G2254" s="18"/>
      <c r="H2254" s="131"/>
      <c r="I2254" s="18"/>
      <c r="J2254" s="22"/>
      <c r="K2254" s="108"/>
      <c r="L2254" s="26"/>
    </row>
    <row r="2255">
      <c r="A2255" s="12"/>
      <c r="B2255" s="13"/>
      <c r="C2255" s="14"/>
      <c r="D2255" s="14"/>
      <c r="E2255" s="294"/>
      <c r="F2255" s="15"/>
      <c r="G2255" s="18"/>
      <c r="H2255" s="131"/>
      <c r="I2255" s="18"/>
      <c r="J2255" s="22"/>
      <c r="K2255" s="108"/>
      <c r="L2255" s="26"/>
    </row>
    <row r="2256">
      <c r="A2256" s="12"/>
      <c r="B2256" s="13"/>
      <c r="C2256" s="14"/>
      <c r="D2256" s="14"/>
      <c r="E2256" s="294"/>
      <c r="F2256" s="15"/>
      <c r="G2256" s="18"/>
      <c r="H2256" s="131"/>
      <c r="I2256" s="18"/>
      <c r="J2256" s="22"/>
      <c r="K2256" s="108"/>
      <c r="L2256" s="26"/>
    </row>
    <row r="2257">
      <c r="A2257" s="12"/>
      <c r="B2257" s="13"/>
      <c r="C2257" s="14"/>
      <c r="D2257" s="14"/>
      <c r="E2257" s="294"/>
      <c r="F2257" s="15"/>
      <c r="G2257" s="18"/>
      <c r="H2257" s="131"/>
      <c r="I2257" s="18"/>
      <c r="J2257" s="22"/>
      <c r="K2257" s="108"/>
      <c r="L2257" s="26"/>
    </row>
    <row r="2258">
      <c r="A2258" s="12"/>
      <c r="B2258" s="13"/>
      <c r="C2258" s="14"/>
      <c r="D2258" s="14"/>
      <c r="E2258" s="294"/>
      <c r="F2258" s="15"/>
      <c r="G2258" s="18"/>
      <c r="H2258" s="131"/>
      <c r="I2258" s="18"/>
      <c r="J2258" s="22"/>
      <c r="K2258" s="108"/>
      <c r="L2258" s="26"/>
    </row>
    <row r="2259">
      <c r="A2259" s="12"/>
      <c r="B2259" s="13"/>
      <c r="C2259" s="14"/>
      <c r="D2259" s="14"/>
      <c r="E2259" s="294"/>
      <c r="F2259" s="15"/>
      <c r="G2259" s="18"/>
      <c r="H2259" s="131"/>
      <c r="I2259" s="18"/>
      <c r="J2259" s="22"/>
      <c r="K2259" s="108"/>
      <c r="L2259" s="26"/>
    </row>
    <row r="2260">
      <c r="A2260" s="12"/>
      <c r="B2260" s="13"/>
      <c r="C2260" s="14"/>
      <c r="D2260" s="14"/>
      <c r="E2260" s="294"/>
      <c r="F2260" s="15"/>
      <c r="G2260" s="18"/>
      <c r="H2260" s="131"/>
      <c r="I2260" s="18"/>
      <c r="J2260" s="22"/>
      <c r="K2260" s="108"/>
      <c r="L2260" s="26"/>
    </row>
    <row r="2261">
      <c r="A2261" s="12"/>
      <c r="B2261" s="13"/>
      <c r="C2261" s="14"/>
      <c r="D2261" s="14"/>
      <c r="E2261" s="294"/>
      <c r="F2261" s="15"/>
      <c r="G2261" s="18"/>
      <c r="H2261" s="131"/>
      <c r="I2261" s="18"/>
      <c r="J2261" s="22"/>
      <c r="K2261" s="108"/>
      <c r="L2261" s="26"/>
    </row>
    <row r="2262">
      <c r="A2262" s="12"/>
      <c r="B2262" s="13"/>
      <c r="C2262" s="14"/>
      <c r="D2262" s="14"/>
      <c r="E2262" s="294"/>
      <c r="F2262" s="15"/>
      <c r="G2262" s="18"/>
      <c r="H2262" s="131"/>
      <c r="I2262" s="18"/>
      <c r="J2262" s="22"/>
      <c r="K2262" s="108"/>
      <c r="L2262" s="26"/>
    </row>
    <row r="2263">
      <c r="A2263" s="12"/>
      <c r="B2263" s="13"/>
      <c r="C2263" s="14"/>
      <c r="D2263" s="14"/>
      <c r="E2263" s="294"/>
      <c r="F2263" s="15"/>
      <c r="G2263" s="18"/>
      <c r="H2263" s="131"/>
      <c r="I2263" s="18"/>
      <c r="J2263" s="22"/>
      <c r="K2263" s="108"/>
      <c r="L2263" s="26"/>
    </row>
    <row r="2264">
      <c r="A2264" s="12"/>
      <c r="B2264" s="13"/>
      <c r="C2264" s="14"/>
      <c r="D2264" s="14"/>
      <c r="E2264" s="294"/>
      <c r="F2264" s="15"/>
      <c r="G2264" s="18"/>
      <c r="H2264" s="131"/>
      <c r="I2264" s="18"/>
      <c r="J2264" s="22"/>
      <c r="K2264" s="108"/>
      <c r="L2264" s="26"/>
    </row>
    <row r="2265">
      <c r="A2265" s="12"/>
      <c r="B2265" s="13"/>
      <c r="C2265" s="14"/>
      <c r="D2265" s="14"/>
      <c r="E2265" s="294"/>
      <c r="F2265" s="15"/>
      <c r="G2265" s="18"/>
      <c r="H2265" s="131"/>
      <c r="I2265" s="18"/>
      <c r="J2265" s="22"/>
      <c r="K2265" s="108"/>
      <c r="L2265" s="26"/>
    </row>
    <row r="2266">
      <c r="A2266" s="12"/>
      <c r="B2266" s="13"/>
      <c r="C2266" s="14"/>
      <c r="D2266" s="14"/>
      <c r="E2266" s="294"/>
      <c r="F2266" s="15"/>
      <c r="G2266" s="18"/>
      <c r="H2266" s="131"/>
      <c r="I2266" s="18"/>
      <c r="J2266" s="22"/>
      <c r="K2266" s="108"/>
      <c r="L2266" s="26"/>
    </row>
    <row r="2267">
      <c r="A2267" s="12"/>
      <c r="B2267" s="13"/>
      <c r="C2267" s="14"/>
      <c r="D2267" s="14"/>
      <c r="E2267" s="294"/>
      <c r="F2267" s="15"/>
      <c r="G2267" s="18"/>
      <c r="H2267" s="131"/>
      <c r="I2267" s="18"/>
      <c r="J2267" s="22"/>
      <c r="K2267" s="108"/>
      <c r="L2267" s="26"/>
    </row>
    <row r="2268">
      <c r="A2268" s="12"/>
      <c r="B2268" s="13"/>
      <c r="C2268" s="14"/>
      <c r="D2268" s="14"/>
      <c r="E2268" s="294"/>
      <c r="F2268" s="15"/>
      <c r="G2268" s="18"/>
      <c r="H2268" s="131"/>
      <c r="I2268" s="18"/>
      <c r="J2268" s="22"/>
      <c r="K2268" s="108"/>
      <c r="L2268" s="26"/>
    </row>
    <row r="2269">
      <c r="A2269" s="12"/>
      <c r="B2269" s="13"/>
      <c r="C2269" s="14"/>
      <c r="D2269" s="14"/>
      <c r="E2269" s="294"/>
      <c r="F2269" s="15"/>
      <c r="G2269" s="18"/>
      <c r="H2269" s="131"/>
      <c r="I2269" s="18"/>
      <c r="J2269" s="22"/>
      <c r="K2269" s="108"/>
      <c r="L2269" s="26"/>
    </row>
    <row r="2270">
      <c r="A2270" s="12"/>
      <c r="B2270" s="13"/>
      <c r="C2270" s="14"/>
      <c r="D2270" s="14"/>
      <c r="E2270" s="294"/>
      <c r="F2270" s="15"/>
      <c r="G2270" s="18"/>
      <c r="H2270" s="131"/>
      <c r="I2270" s="18"/>
      <c r="J2270" s="22"/>
      <c r="K2270" s="108"/>
      <c r="L2270" s="26"/>
    </row>
    <row r="2271">
      <c r="A2271" s="12"/>
      <c r="B2271" s="13"/>
      <c r="C2271" s="14"/>
      <c r="D2271" s="14"/>
      <c r="E2271" s="294"/>
      <c r="F2271" s="15"/>
      <c r="G2271" s="18"/>
      <c r="H2271" s="131"/>
      <c r="I2271" s="18"/>
      <c r="J2271" s="22"/>
      <c r="K2271" s="108"/>
      <c r="L2271" s="26"/>
    </row>
    <row r="2272">
      <c r="A2272" s="12"/>
      <c r="B2272" s="13"/>
      <c r="C2272" s="14"/>
      <c r="D2272" s="14"/>
      <c r="E2272" s="294"/>
      <c r="F2272" s="15"/>
      <c r="G2272" s="18"/>
      <c r="H2272" s="131"/>
      <c r="I2272" s="18"/>
      <c r="J2272" s="22"/>
      <c r="K2272" s="108"/>
      <c r="L2272" s="26"/>
    </row>
    <row r="2273">
      <c r="A2273" s="12"/>
      <c r="B2273" s="13"/>
      <c r="C2273" s="14"/>
      <c r="D2273" s="14"/>
      <c r="E2273" s="294"/>
      <c r="F2273" s="15"/>
      <c r="G2273" s="18"/>
      <c r="H2273" s="131"/>
      <c r="I2273" s="18"/>
      <c r="J2273" s="22"/>
      <c r="K2273" s="108"/>
      <c r="L2273" s="26"/>
    </row>
    <row r="2274">
      <c r="A2274" s="12"/>
      <c r="B2274" s="13"/>
      <c r="C2274" s="14"/>
      <c r="D2274" s="14"/>
      <c r="E2274" s="294"/>
      <c r="F2274" s="15"/>
      <c r="G2274" s="18"/>
      <c r="H2274" s="131"/>
      <c r="I2274" s="18"/>
      <c r="J2274" s="22"/>
      <c r="K2274" s="108"/>
      <c r="L2274" s="26"/>
    </row>
    <row r="2275">
      <c r="A2275" s="12"/>
      <c r="B2275" s="13"/>
      <c r="C2275" s="14"/>
      <c r="D2275" s="14"/>
      <c r="E2275" s="294"/>
      <c r="F2275" s="15"/>
      <c r="G2275" s="18"/>
      <c r="H2275" s="131"/>
      <c r="I2275" s="18"/>
      <c r="J2275" s="22"/>
      <c r="K2275" s="108"/>
      <c r="L2275" s="26"/>
    </row>
    <row r="2276">
      <c r="A2276" s="12"/>
      <c r="B2276" s="13"/>
      <c r="C2276" s="14"/>
      <c r="D2276" s="14"/>
      <c r="E2276" s="294"/>
      <c r="F2276" s="15"/>
      <c r="G2276" s="18"/>
      <c r="H2276" s="131"/>
      <c r="I2276" s="18"/>
      <c r="J2276" s="22"/>
      <c r="K2276" s="108"/>
      <c r="L2276" s="26"/>
    </row>
    <row r="2277">
      <c r="A2277" s="12"/>
      <c r="B2277" s="13"/>
      <c r="C2277" s="14"/>
      <c r="D2277" s="14"/>
      <c r="E2277" s="294"/>
      <c r="F2277" s="15"/>
      <c r="G2277" s="18"/>
      <c r="H2277" s="131"/>
      <c r="I2277" s="18"/>
      <c r="J2277" s="22"/>
      <c r="K2277" s="108"/>
      <c r="L2277" s="26"/>
    </row>
    <row r="2278">
      <c r="A2278" s="12"/>
      <c r="B2278" s="13"/>
      <c r="C2278" s="14"/>
      <c r="D2278" s="14"/>
      <c r="E2278" s="294"/>
      <c r="F2278" s="15"/>
      <c r="G2278" s="18"/>
      <c r="H2278" s="131"/>
      <c r="I2278" s="18"/>
      <c r="J2278" s="22"/>
      <c r="K2278" s="108"/>
      <c r="L2278" s="26"/>
    </row>
    <row r="2279">
      <c r="A2279" s="12"/>
      <c r="B2279" s="13"/>
      <c r="C2279" s="14"/>
      <c r="D2279" s="14"/>
      <c r="E2279" s="294"/>
      <c r="F2279" s="15"/>
      <c r="G2279" s="18"/>
      <c r="H2279" s="131"/>
      <c r="I2279" s="18"/>
      <c r="J2279" s="22"/>
      <c r="K2279" s="108"/>
      <c r="L2279" s="26"/>
    </row>
    <row r="2280">
      <c r="A2280" s="12"/>
      <c r="B2280" s="13"/>
      <c r="C2280" s="14"/>
      <c r="D2280" s="14"/>
      <c r="E2280" s="294"/>
      <c r="F2280" s="15"/>
      <c r="G2280" s="18"/>
      <c r="H2280" s="131"/>
      <c r="I2280" s="18"/>
      <c r="J2280" s="22"/>
      <c r="K2280" s="108"/>
      <c r="L2280" s="26"/>
    </row>
    <row r="2281">
      <c r="A2281" s="12"/>
      <c r="B2281" s="13"/>
      <c r="C2281" s="14"/>
      <c r="D2281" s="14"/>
      <c r="E2281" s="294"/>
      <c r="F2281" s="15"/>
      <c r="G2281" s="18"/>
      <c r="H2281" s="131"/>
      <c r="I2281" s="18"/>
      <c r="J2281" s="22"/>
      <c r="K2281" s="108"/>
      <c r="L2281" s="26"/>
    </row>
    <row r="2282">
      <c r="A2282" s="12"/>
      <c r="B2282" s="13"/>
      <c r="C2282" s="14"/>
      <c r="D2282" s="14"/>
      <c r="E2282" s="294"/>
      <c r="F2282" s="15"/>
      <c r="G2282" s="18"/>
      <c r="H2282" s="131"/>
      <c r="I2282" s="18"/>
      <c r="J2282" s="22"/>
      <c r="K2282" s="108"/>
      <c r="L2282" s="26"/>
    </row>
    <row r="2283">
      <c r="A2283" s="12"/>
      <c r="B2283" s="13"/>
      <c r="C2283" s="14"/>
      <c r="D2283" s="14"/>
      <c r="E2283" s="294"/>
      <c r="F2283" s="15"/>
      <c r="G2283" s="18"/>
      <c r="H2283" s="131"/>
      <c r="I2283" s="18"/>
      <c r="J2283" s="22"/>
      <c r="K2283" s="108"/>
      <c r="L2283" s="26"/>
    </row>
    <row r="2284">
      <c r="A2284" s="12"/>
      <c r="B2284" s="13"/>
      <c r="C2284" s="14"/>
      <c r="D2284" s="14"/>
      <c r="E2284" s="294"/>
      <c r="F2284" s="15"/>
      <c r="G2284" s="18"/>
      <c r="H2284" s="131"/>
      <c r="I2284" s="18"/>
      <c r="J2284" s="22"/>
      <c r="K2284" s="108"/>
      <c r="L2284" s="26"/>
    </row>
    <row r="2285">
      <c r="A2285" s="12"/>
      <c r="B2285" s="13"/>
      <c r="C2285" s="14"/>
      <c r="D2285" s="14"/>
      <c r="E2285" s="294"/>
      <c r="F2285" s="15"/>
      <c r="G2285" s="18"/>
      <c r="H2285" s="131"/>
      <c r="I2285" s="18"/>
      <c r="J2285" s="22"/>
      <c r="K2285" s="108"/>
      <c r="L2285" s="26"/>
    </row>
    <row r="2286">
      <c r="A2286" s="12"/>
      <c r="B2286" s="13"/>
      <c r="C2286" s="14"/>
      <c r="D2286" s="14"/>
      <c r="E2286" s="294"/>
      <c r="F2286" s="15"/>
      <c r="G2286" s="18"/>
      <c r="H2286" s="131"/>
      <c r="I2286" s="18"/>
      <c r="J2286" s="22"/>
      <c r="K2286" s="108"/>
      <c r="L2286" s="26"/>
    </row>
    <row r="2287">
      <c r="A2287" s="12"/>
      <c r="B2287" s="13"/>
      <c r="C2287" s="14"/>
      <c r="D2287" s="14"/>
      <c r="E2287" s="294"/>
      <c r="F2287" s="15"/>
      <c r="G2287" s="18"/>
      <c r="H2287" s="131"/>
      <c r="I2287" s="18"/>
      <c r="J2287" s="22"/>
      <c r="K2287" s="108"/>
      <c r="L2287" s="26"/>
    </row>
    <row r="2288">
      <c r="A2288" s="12"/>
      <c r="B2288" s="13"/>
      <c r="C2288" s="14"/>
      <c r="D2288" s="14"/>
      <c r="E2288" s="294"/>
      <c r="F2288" s="15"/>
      <c r="G2288" s="18"/>
      <c r="H2288" s="131"/>
      <c r="I2288" s="18"/>
      <c r="J2288" s="22"/>
      <c r="K2288" s="108"/>
      <c r="L2288" s="26"/>
    </row>
    <row r="2289">
      <c r="A2289" s="12"/>
      <c r="B2289" s="13"/>
      <c r="C2289" s="14"/>
      <c r="D2289" s="14"/>
      <c r="E2289" s="294"/>
      <c r="F2289" s="15"/>
      <c r="G2289" s="18"/>
      <c r="H2289" s="131"/>
      <c r="I2289" s="18"/>
      <c r="J2289" s="22"/>
      <c r="K2289" s="108"/>
      <c r="L2289" s="26"/>
    </row>
    <row r="2290">
      <c r="A2290" s="12"/>
      <c r="B2290" s="13"/>
      <c r="C2290" s="14"/>
      <c r="D2290" s="14"/>
      <c r="E2290" s="294"/>
      <c r="F2290" s="15"/>
      <c r="G2290" s="18"/>
      <c r="H2290" s="131"/>
      <c r="I2290" s="18"/>
      <c r="J2290" s="22"/>
      <c r="K2290" s="108"/>
      <c r="L2290" s="26"/>
    </row>
    <row r="2291">
      <c r="A2291" s="12"/>
      <c r="B2291" s="13"/>
      <c r="C2291" s="14"/>
      <c r="D2291" s="14"/>
      <c r="E2291" s="294"/>
      <c r="F2291" s="15"/>
      <c r="G2291" s="18"/>
      <c r="H2291" s="131"/>
      <c r="I2291" s="18"/>
      <c r="J2291" s="22"/>
      <c r="K2291" s="108"/>
      <c r="L2291" s="26"/>
    </row>
    <row r="2292">
      <c r="A2292" s="12"/>
      <c r="B2292" s="13"/>
      <c r="C2292" s="14"/>
      <c r="D2292" s="14"/>
      <c r="E2292" s="294"/>
      <c r="F2292" s="15"/>
      <c r="G2292" s="18"/>
      <c r="H2292" s="131"/>
      <c r="I2292" s="18"/>
      <c r="J2292" s="22"/>
      <c r="K2292" s="108"/>
      <c r="L2292" s="26"/>
    </row>
    <row r="2293">
      <c r="A2293" s="12"/>
      <c r="B2293" s="13"/>
      <c r="C2293" s="14"/>
      <c r="D2293" s="14"/>
      <c r="E2293" s="294"/>
      <c r="F2293" s="15"/>
      <c r="G2293" s="18"/>
      <c r="H2293" s="131"/>
      <c r="I2293" s="18"/>
      <c r="J2293" s="22"/>
      <c r="K2293" s="108"/>
      <c r="L2293" s="26"/>
    </row>
    <row r="2294">
      <c r="A2294" s="12"/>
      <c r="B2294" s="13"/>
      <c r="C2294" s="14"/>
      <c r="D2294" s="14"/>
      <c r="E2294" s="294"/>
      <c r="F2294" s="15"/>
      <c r="G2294" s="18"/>
      <c r="H2294" s="131"/>
      <c r="I2294" s="18"/>
      <c r="J2294" s="22"/>
      <c r="K2294" s="108"/>
      <c r="L2294" s="26"/>
    </row>
    <row r="2295">
      <c r="A2295" s="12"/>
      <c r="B2295" s="13"/>
      <c r="C2295" s="14"/>
      <c r="D2295" s="14"/>
      <c r="E2295" s="294"/>
      <c r="F2295" s="15"/>
      <c r="G2295" s="18"/>
      <c r="H2295" s="131"/>
      <c r="I2295" s="18"/>
      <c r="J2295" s="22"/>
      <c r="K2295" s="108"/>
      <c r="L2295" s="26"/>
    </row>
    <row r="2296">
      <c r="A2296" s="12"/>
      <c r="B2296" s="13"/>
      <c r="C2296" s="14"/>
      <c r="D2296" s="14"/>
      <c r="E2296" s="294"/>
      <c r="F2296" s="15"/>
      <c r="G2296" s="18"/>
      <c r="H2296" s="131"/>
      <c r="I2296" s="18"/>
      <c r="J2296" s="22"/>
      <c r="K2296" s="108"/>
      <c r="L2296" s="26"/>
    </row>
    <row r="2297">
      <c r="A2297" s="12"/>
      <c r="B2297" s="13"/>
      <c r="C2297" s="14"/>
      <c r="D2297" s="14"/>
      <c r="E2297" s="294"/>
      <c r="F2297" s="15"/>
      <c r="G2297" s="18"/>
      <c r="H2297" s="131"/>
      <c r="I2297" s="18"/>
      <c r="J2297" s="22"/>
      <c r="K2297" s="108"/>
      <c r="L2297" s="26"/>
    </row>
    <row r="2298">
      <c r="A2298" s="12"/>
      <c r="B2298" s="13"/>
      <c r="C2298" s="14"/>
      <c r="D2298" s="14"/>
      <c r="E2298" s="294"/>
      <c r="F2298" s="15"/>
      <c r="G2298" s="18"/>
      <c r="H2298" s="131"/>
      <c r="I2298" s="18"/>
      <c r="J2298" s="22"/>
      <c r="K2298" s="108"/>
      <c r="L2298" s="26"/>
    </row>
    <row r="2299">
      <c r="A2299" s="12"/>
      <c r="B2299" s="13"/>
      <c r="C2299" s="14"/>
      <c r="D2299" s="14"/>
      <c r="E2299" s="294"/>
      <c r="F2299" s="15"/>
      <c r="G2299" s="18"/>
      <c r="H2299" s="131"/>
      <c r="I2299" s="18"/>
      <c r="J2299" s="22"/>
      <c r="K2299" s="108"/>
      <c r="L2299" s="26"/>
    </row>
    <row r="2300">
      <c r="A2300" s="12"/>
      <c r="B2300" s="13"/>
      <c r="C2300" s="14"/>
      <c r="D2300" s="14"/>
      <c r="E2300" s="294"/>
      <c r="F2300" s="15"/>
      <c r="G2300" s="18"/>
      <c r="H2300" s="131"/>
      <c r="I2300" s="18"/>
      <c r="J2300" s="22"/>
      <c r="K2300" s="108"/>
      <c r="L2300" s="26"/>
    </row>
    <row r="2301">
      <c r="A2301" s="12"/>
      <c r="B2301" s="13"/>
      <c r="C2301" s="14"/>
      <c r="D2301" s="14"/>
      <c r="E2301" s="294"/>
      <c r="F2301" s="15"/>
      <c r="G2301" s="18"/>
      <c r="H2301" s="131"/>
      <c r="I2301" s="18"/>
      <c r="J2301" s="22"/>
      <c r="K2301" s="108"/>
      <c r="L2301" s="26"/>
    </row>
    <row r="2302">
      <c r="A2302" s="12"/>
      <c r="B2302" s="13"/>
      <c r="C2302" s="14"/>
      <c r="D2302" s="14"/>
      <c r="E2302" s="294"/>
      <c r="F2302" s="15"/>
      <c r="G2302" s="18"/>
      <c r="H2302" s="131"/>
      <c r="I2302" s="18"/>
      <c r="J2302" s="22"/>
      <c r="K2302" s="108"/>
      <c r="L2302" s="26"/>
    </row>
    <row r="2303">
      <c r="A2303" s="12"/>
      <c r="B2303" s="13"/>
      <c r="C2303" s="14"/>
      <c r="D2303" s="14"/>
      <c r="E2303" s="294"/>
      <c r="F2303" s="15"/>
      <c r="G2303" s="18"/>
      <c r="H2303" s="131"/>
      <c r="I2303" s="18"/>
      <c r="J2303" s="22"/>
      <c r="K2303" s="108"/>
      <c r="L2303" s="26"/>
    </row>
    <row r="2304">
      <c r="A2304" s="12"/>
      <c r="B2304" s="13"/>
      <c r="C2304" s="14"/>
      <c r="D2304" s="14"/>
      <c r="E2304" s="294"/>
      <c r="F2304" s="15"/>
      <c r="G2304" s="18"/>
      <c r="H2304" s="131"/>
      <c r="I2304" s="18"/>
      <c r="J2304" s="22"/>
      <c r="K2304" s="108"/>
      <c r="L2304" s="26"/>
    </row>
    <row r="2305">
      <c r="A2305" s="12"/>
      <c r="B2305" s="13"/>
      <c r="C2305" s="14"/>
      <c r="D2305" s="14"/>
      <c r="E2305" s="294"/>
      <c r="F2305" s="15"/>
      <c r="G2305" s="18"/>
      <c r="H2305" s="131"/>
      <c r="I2305" s="18"/>
      <c r="J2305" s="22"/>
      <c r="K2305" s="108"/>
      <c r="L2305" s="26"/>
    </row>
    <row r="2306">
      <c r="A2306" s="12"/>
      <c r="B2306" s="13"/>
      <c r="C2306" s="14"/>
      <c r="D2306" s="14"/>
      <c r="E2306" s="294"/>
      <c r="F2306" s="15"/>
      <c r="G2306" s="18"/>
      <c r="H2306" s="131"/>
      <c r="I2306" s="18"/>
      <c r="J2306" s="22"/>
      <c r="K2306" s="108"/>
      <c r="L2306" s="26"/>
    </row>
    <row r="2307">
      <c r="A2307" s="12"/>
      <c r="B2307" s="13"/>
      <c r="C2307" s="14"/>
      <c r="D2307" s="14"/>
      <c r="E2307" s="294"/>
      <c r="F2307" s="15"/>
      <c r="G2307" s="18"/>
      <c r="H2307" s="131"/>
      <c r="I2307" s="18"/>
      <c r="J2307" s="22"/>
      <c r="K2307" s="108"/>
      <c r="L2307" s="26"/>
    </row>
    <row r="2308">
      <c r="A2308" s="12"/>
      <c r="B2308" s="13"/>
      <c r="C2308" s="14"/>
      <c r="D2308" s="14"/>
      <c r="E2308" s="294"/>
      <c r="F2308" s="15"/>
      <c r="G2308" s="18"/>
      <c r="H2308" s="131"/>
      <c r="I2308" s="18"/>
      <c r="J2308" s="22"/>
      <c r="K2308" s="108"/>
      <c r="L2308" s="26"/>
    </row>
    <row r="2309">
      <c r="A2309" s="12"/>
      <c r="B2309" s="13"/>
      <c r="C2309" s="14"/>
      <c r="D2309" s="14"/>
      <c r="E2309" s="294"/>
      <c r="F2309" s="15"/>
      <c r="G2309" s="18"/>
      <c r="H2309" s="131"/>
      <c r="I2309" s="18"/>
      <c r="J2309" s="22"/>
      <c r="K2309" s="108"/>
      <c r="L2309" s="26"/>
    </row>
    <row r="2310">
      <c r="A2310" s="12"/>
      <c r="B2310" s="13"/>
      <c r="C2310" s="14"/>
      <c r="D2310" s="14"/>
      <c r="E2310" s="294"/>
      <c r="F2310" s="15"/>
      <c r="G2310" s="18"/>
      <c r="H2310" s="131"/>
      <c r="I2310" s="18"/>
      <c r="J2310" s="22"/>
      <c r="K2310" s="108"/>
      <c r="L2310" s="26"/>
    </row>
    <row r="2311">
      <c r="A2311" s="12"/>
      <c r="B2311" s="13"/>
      <c r="C2311" s="14"/>
      <c r="D2311" s="14"/>
      <c r="E2311" s="294"/>
      <c r="F2311" s="15"/>
      <c r="G2311" s="18"/>
      <c r="H2311" s="131"/>
      <c r="I2311" s="18"/>
      <c r="J2311" s="22"/>
      <c r="K2311" s="108"/>
      <c r="L2311" s="26"/>
    </row>
    <row r="2312">
      <c r="A2312" s="12"/>
      <c r="B2312" s="13"/>
      <c r="C2312" s="14"/>
      <c r="D2312" s="14"/>
      <c r="E2312" s="294"/>
      <c r="F2312" s="15"/>
      <c r="G2312" s="18"/>
      <c r="H2312" s="131"/>
      <c r="I2312" s="18"/>
      <c r="J2312" s="22"/>
      <c r="K2312" s="108"/>
      <c r="L2312" s="26"/>
    </row>
    <row r="2313">
      <c r="A2313" s="12"/>
      <c r="B2313" s="13"/>
      <c r="C2313" s="14"/>
      <c r="D2313" s="14"/>
      <c r="E2313" s="294"/>
      <c r="F2313" s="15"/>
      <c r="G2313" s="18"/>
      <c r="H2313" s="131"/>
      <c r="I2313" s="18"/>
      <c r="J2313" s="22"/>
      <c r="K2313" s="108"/>
      <c r="L2313" s="26"/>
    </row>
    <row r="2314">
      <c r="A2314" s="12"/>
      <c r="B2314" s="13"/>
      <c r="C2314" s="14"/>
      <c r="D2314" s="14"/>
      <c r="E2314" s="294"/>
      <c r="F2314" s="15"/>
      <c r="G2314" s="18"/>
      <c r="H2314" s="131"/>
      <c r="I2314" s="18"/>
      <c r="J2314" s="22"/>
      <c r="K2314" s="108"/>
      <c r="L2314" s="26"/>
    </row>
    <row r="2315">
      <c r="A2315" s="12"/>
      <c r="B2315" s="13"/>
      <c r="C2315" s="14"/>
      <c r="D2315" s="14"/>
      <c r="E2315" s="294"/>
      <c r="F2315" s="15"/>
      <c r="G2315" s="18"/>
      <c r="H2315" s="131"/>
      <c r="I2315" s="18"/>
      <c r="J2315" s="22"/>
      <c r="K2315" s="108"/>
      <c r="L2315" s="26"/>
    </row>
    <row r="2316">
      <c r="A2316" s="12"/>
      <c r="B2316" s="13"/>
      <c r="C2316" s="14"/>
      <c r="D2316" s="14"/>
      <c r="E2316" s="294"/>
      <c r="F2316" s="15"/>
      <c r="G2316" s="18"/>
      <c r="H2316" s="131"/>
      <c r="I2316" s="18"/>
      <c r="J2316" s="22"/>
      <c r="K2316" s="108"/>
      <c r="L2316" s="26"/>
    </row>
    <row r="2317">
      <c r="A2317" s="12"/>
      <c r="B2317" s="13"/>
      <c r="C2317" s="14"/>
      <c r="D2317" s="14"/>
      <c r="E2317" s="294"/>
      <c r="F2317" s="15"/>
      <c r="G2317" s="18"/>
      <c r="H2317" s="131"/>
      <c r="I2317" s="18"/>
      <c r="J2317" s="22"/>
      <c r="K2317" s="108"/>
      <c r="L2317" s="26"/>
    </row>
    <row r="2318">
      <c r="A2318" s="12"/>
      <c r="B2318" s="13"/>
      <c r="C2318" s="14"/>
      <c r="D2318" s="14"/>
      <c r="E2318" s="294"/>
      <c r="F2318" s="15"/>
      <c r="G2318" s="18"/>
      <c r="H2318" s="131"/>
      <c r="I2318" s="18"/>
      <c r="J2318" s="22"/>
      <c r="K2318" s="108"/>
      <c r="L2318" s="26"/>
    </row>
    <row r="2319">
      <c r="A2319" s="12"/>
      <c r="B2319" s="13"/>
      <c r="C2319" s="14"/>
      <c r="D2319" s="14"/>
      <c r="E2319" s="294"/>
      <c r="F2319" s="15"/>
      <c r="G2319" s="18"/>
      <c r="H2319" s="131"/>
      <c r="I2319" s="18"/>
      <c r="J2319" s="22"/>
      <c r="K2319" s="108"/>
      <c r="L2319" s="26"/>
    </row>
    <row r="2320">
      <c r="A2320" s="12"/>
      <c r="B2320" s="13"/>
      <c r="C2320" s="14"/>
      <c r="D2320" s="14"/>
      <c r="E2320" s="294"/>
      <c r="F2320" s="15"/>
      <c r="G2320" s="18"/>
      <c r="H2320" s="131"/>
      <c r="I2320" s="18"/>
      <c r="J2320" s="22"/>
      <c r="K2320" s="108"/>
      <c r="L2320" s="26"/>
    </row>
    <row r="2321">
      <c r="A2321" s="12"/>
      <c r="B2321" s="13"/>
      <c r="C2321" s="14"/>
      <c r="D2321" s="14"/>
      <c r="E2321" s="294"/>
      <c r="F2321" s="15"/>
      <c r="G2321" s="18"/>
      <c r="H2321" s="131"/>
      <c r="I2321" s="18"/>
      <c r="J2321" s="22"/>
      <c r="K2321" s="108"/>
      <c r="L2321" s="26"/>
    </row>
    <row r="2322">
      <c r="A2322" s="12"/>
      <c r="B2322" s="13"/>
      <c r="C2322" s="14"/>
      <c r="D2322" s="14"/>
      <c r="E2322" s="294"/>
      <c r="F2322" s="15"/>
      <c r="G2322" s="18"/>
      <c r="H2322" s="131"/>
      <c r="I2322" s="18"/>
      <c r="J2322" s="22"/>
      <c r="K2322" s="108"/>
      <c r="L2322" s="26"/>
    </row>
    <row r="2323">
      <c r="A2323" s="12"/>
      <c r="B2323" s="13"/>
      <c r="C2323" s="14"/>
      <c r="D2323" s="14"/>
      <c r="E2323" s="294"/>
      <c r="F2323" s="15"/>
      <c r="G2323" s="18"/>
      <c r="H2323" s="131"/>
      <c r="I2323" s="18"/>
      <c r="J2323" s="22"/>
      <c r="K2323" s="108"/>
      <c r="L2323" s="26"/>
    </row>
    <row r="2324">
      <c r="A2324" s="12"/>
      <c r="B2324" s="13"/>
      <c r="C2324" s="14"/>
      <c r="D2324" s="14"/>
      <c r="E2324" s="294"/>
      <c r="F2324" s="15"/>
      <c r="G2324" s="18"/>
      <c r="H2324" s="131"/>
      <c r="I2324" s="18"/>
      <c r="J2324" s="22"/>
      <c r="K2324" s="108"/>
      <c r="L2324" s="26"/>
    </row>
    <row r="2325">
      <c r="A2325" s="12"/>
      <c r="B2325" s="13"/>
      <c r="C2325" s="14"/>
      <c r="D2325" s="14"/>
      <c r="E2325" s="294"/>
      <c r="F2325" s="15"/>
      <c r="G2325" s="18"/>
      <c r="H2325" s="131"/>
      <c r="I2325" s="18"/>
      <c r="J2325" s="22"/>
      <c r="K2325" s="108"/>
      <c r="L2325" s="26"/>
    </row>
    <row r="2326">
      <c r="A2326" s="12"/>
      <c r="B2326" s="13"/>
      <c r="C2326" s="14"/>
      <c r="D2326" s="14"/>
      <c r="E2326" s="294"/>
      <c r="F2326" s="15"/>
      <c r="G2326" s="18"/>
      <c r="H2326" s="131"/>
      <c r="I2326" s="18"/>
      <c r="J2326" s="22"/>
      <c r="K2326" s="108"/>
      <c r="L2326" s="26"/>
    </row>
    <row r="2327">
      <c r="A2327" s="12"/>
      <c r="B2327" s="13"/>
      <c r="C2327" s="14"/>
      <c r="D2327" s="14"/>
      <c r="E2327" s="294"/>
      <c r="F2327" s="15"/>
      <c r="G2327" s="18"/>
      <c r="H2327" s="131"/>
      <c r="I2327" s="18"/>
      <c r="J2327" s="22"/>
      <c r="K2327" s="108"/>
      <c r="L2327" s="26"/>
    </row>
    <row r="2328">
      <c r="A2328" s="12"/>
      <c r="B2328" s="13"/>
      <c r="C2328" s="14"/>
      <c r="D2328" s="14"/>
      <c r="E2328" s="294"/>
      <c r="F2328" s="15"/>
      <c r="G2328" s="18"/>
      <c r="H2328" s="131"/>
      <c r="I2328" s="18"/>
      <c r="J2328" s="22"/>
      <c r="K2328" s="108"/>
      <c r="L2328" s="26"/>
    </row>
    <row r="2329">
      <c r="A2329" s="12"/>
      <c r="B2329" s="13"/>
      <c r="C2329" s="14"/>
      <c r="D2329" s="14"/>
      <c r="E2329" s="294"/>
      <c r="F2329" s="15"/>
      <c r="G2329" s="18"/>
      <c r="H2329" s="131"/>
      <c r="I2329" s="18"/>
      <c r="J2329" s="22"/>
      <c r="K2329" s="108"/>
      <c r="L2329" s="26"/>
    </row>
    <row r="2330">
      <c r="A2330" s="12"/>
      <c r="B2330" s="13"/>
      <c r="C2330" s="14"/>
      <c r="D2330" s="14"/>
      <c r="E2330" s="294"/>
      <c r="F2330" s="15"/>
      <c r="G2330" s="18"/>
      <c r="H2330" s="131"/>
      <c r="I2330" s="18"/>
      <c r="J2330" s="22"/>
      <c r="K2330" s="108"/>
      <c r="L2330" s="26"/>
    </row>
    <row r="2331">
      <c r="A2331" s="12"/>
      <c r="B2331" s="13"/>
      <c r="C2331" s="14"/>
      <c r="D2331" s="14"/>
      <c r="E2331" s="294"/>
      <c r="F2331" s="15"/>
      <c r="G2331" s="18"/>
      <c r="H2331" s="131"/>
      <c r="I2331" s="18"/>
      <c r="J2331" s="22"/>
      <c r="K2331" s="108"/>
      <c r="L2331" s="26"/>
    </row>
    <row r="2332">
      <c r="A2332" s="12"/>
      <c r="B2332" s="13"/>
      <c r="C2332" s="14"/>
      <c r="D2332" s="14"/>
      <c r="E2332" s="294"/>
      <c r="F2332" s="15"/>
      <c r="G2332" s="18"/>
      <c r="H2332" s="131"/>
      <c r="I2332" s="18"/>
      <c r="J2332" s="22"/>
      <c r="K2332" s="108"/>
      <c r="L2332" s="26"/>
    </row>
    <row r="2333">
      <c r="A2333" s="12"/>
      <c r="B2333" s="13"/>
      <c r="C2333" s="14"/>
      <c r="D2333" s="14"/>
      <c r="E2333" s="294"/>
      <c r="F2333" s="15"/>
      <c r="G2333" s="18"/>
      <c r="H2333" s="131"/>
      <c r="I2333" s="18"/>
      <c r="J2333" s="22"/>
      <c r="K2333" s="108"/>
      <c r="L2333" s="26"/>
    </row>
    <row r="2334">
      <c r="A2334" s="12"/>
      <c r="B2334" s="13"/>
      <c r="C2334" s="14"/>
      <c r="D2334" s="14"/>
      <c r="E2334" s="294"/>
      <c r="F2334" s="15"/>
      <c r="G2334" s="18"/>
      <c r="H2334" s="131"/>
      <c r="I2334" s="18"/>
      <c r="J2334" s="22"/>
      <c r="K2334" s="108"/>
      <c r="L2334" s="26"/>
    </row>
    <row r="2335">
      <c r="A2335" s="12"/>
      <c r="B2335" s="13"/>
      <c r="C2335" s="14"/>
      <c r="D2335" s="14"/>
      <c r="E2335" s="294"/>
      <c r="F2335" s="15"/>
      <c r="G2335" s="18"/>
      <c r="H2335" s="131"/>
      <c r="I2335" s="18"/>
      <c r="J2335" s="22"/>
      <c r="K2335" s="108"/>
      <c r="L2335" s="26"/>
    </row>
    <row r="2336">
      <c r="A2336" s="12"/>
      <c r="B2336" s="13"/>
      <c r="C2336" s="14"/>
      <c r="D2336" s="14"/>
      <c r="E2336" s="294"/>
      <c r="F2336" s="15"/>
      <c r="G2336" s="18"/>
      <c r="H2336" s="131"/>
      <c r="I2336" s="18"/>
      <c r="J2336" s="22"/>
      <c r="K2336" s="108"/>
      <c r="L2336" s="26"/>
    </row>
    <row r="2337">
      <c r="A2337" s="12"/>
      <c r="B2337" s="13"/>
      <c r="C2337" s="14"/>
      <c r="D2337" s="14"/>
      <c r="E2337" s="294"/>
      <c r="F2337" s="15"/>
      <c r="G2337" s="18"/>
      <c r="H2337" s="131"/>
      <c r="I2337" s="18"/>
      <c r="J2337" s="22"/>
      <c r="K2337" s="108"/>
      <c r="L2337" s="26"/>
    </row>
    <row r="2338">
      <c r="A2338" s="12"/>
      <c r="B2338" s="13"/>
      <c r="C2338" s="14"/>
      <c r="D2338" s="14"/>
      <c r="E2338" s="294"/>
      <c r="F2338" s="15"/>
      <c r="G2338" s="18"/>
      <c r="H2338" s="131"/>
      <c r="I2338" s="18"/>
      <c r="J2338" s="22"/>
      <c r="K2338" s="108"/>
      <c r="L2338" s="26"/>
    </row>
    <row r="2339">
      <c r="A2339" s="12"/>
      <c r="B2339" s="13"/>
      <c r="C2339" s="14"/>
      <c r="D2339" s="14"/>
      <c r="E2339" s="294"/>
      <c r="F2339" s="15"/>
      <c r="G2339" s="18"/>
      <c r="H2339" s="131"/>
      <c r="I2339" s="18"/>
      <c r="J2339" s="22"/>
      <c r="K2339" s="108"/>
      <c r="L2339" s="26"/>
    </row>
    <row r="2340">
      <c r="A2340" s="12"/>
      <c r="B2340" s="13"/>
      <c r="C2340" s="14"/>
      <c r="D2340" s="14"/>
      <c r="E2340" s="294"/>
      <c r="F2340" s="15"/>
      <c r="G2340" s="18"/>
      <c r="H2340" s="131"/>
      <c r="I2340" s="18"/>
      <c r="J2340" s="22"/>
      <c r="K2340" s="108"/>
      <c r="L2340" s="26"/>
    </row>
    <row r="2341">
      <c r="A2341" s="12"/>
      <c r="B2341" s="13"/>
      <c r="C2341" s="14"/>
      <c r="D2341" s="14"/>
      <c r="E2341" s="294"/>
      <c r="F2341" s="15"/>
      <c r="G2341" s="18"/>
      <c r="H2341" s="131"/>
      <c r="I2341" s="18"/>
      <c r="J2341" s="22"/>
      <c r="K2341" s="108"/>
      <c r="L2341" s="26"/>
    </row>
    <row r="2342">
      <c r="A2342" s="12"/>
      <c r="B2342" s="13"/>
      <c r="C2342" s="14"/>
      <c r="D2342" s="14"/>
      <c r="E2342" s="294"/>
      <c r="F2342" s="15"/>
      <c r="G2342" s="18"/>
      <c r="H2342" s="131"/>
      <c r="I2342" s="18"/>
      <c r="J2342" s="22"/>
      <c r="K2342" s="108"/>
      <c r="L2342" s="26"/>
    </row>
    <row r="2343">
      <c r="A2343" s="12"/>
      <c r="B2343" s="13"/>
      <c r="C2343" s="14"/>
      <c r="D2343" s="14"/>
      <c r="E2343" s="294"/>
      <c r="F2343" s="15"/>
      <c r="G2343" s="18"/>
      <c r="H2343" s="131"/>
      <c r="I2343" s="18"/>
      <c r="J2343" s="22"/>
      <c r="K2343" s="108"/>
      <c r="L2343" s="26"/>
    </row>
    <row r="2344">
      <c r="A2344" s="12"/>
      <c r="B2344" s="13"/>
      <c r="C2344" s="14"/>
      <c r="D2344" s="14"/>
      <c r="E2344" s="294"/>
      <c r="F2344" s="15"/>
      <c r="G2344" s="18"/>
      <c r="H2344" s="131"/>
      <c r="I2344" s="18"/>
      <c r="J2344" s="22"/>
      <c r="K2344" s="108"/>
      <c r="L2344" s="26"/>
    </row>
    <row r="2345">
      <c r="A2345" s="12"/>
      <c r="B2345" s="13"/>
      <c r="C2345" s="14"/>
      <c r="D2345" s="14"/>
      <c r="E2345" s="294"/>
      <c r="F2345" s="15"/>
      <c r="G2345" s="18"/>
      <c r="H2345" s="131"/>
      <c r="I2345" s="18"/>
      <c r="J2345" s="22"/>
      <c r="K2345" s="108"/>
      <c r="L2345" s="26"/>
    </row>
    <row r="2346">
      <c r="A2346" s="12"/>
      <c r="B2346" s="13"/>
      <c r="C2346" s="14"/>
      <c r="D2346" s="14"/>
      <c r="E2346" s="294"/>
      <c r="F2346" s="15"/>
      <c r="G2346" s="18"/>
      <c r="H2346" s="131"/>
      <c r="I2346" s="18"/>
      <c r="J2346" s="22"/>
      <c r="K2346" s="108"/>
      <c r="L2346" s="26"/>
    </row>
    <row r="2347">
      <c r="A2347" s="12"/>
      <c r="B2347" s="13"/>
      <c r="C2347" s="14"/>
      <c r="D2347" s="14"/>
      <c r="E2347" s="294"/>
      <c r="F2347" s="15"/>
      <c r="G2347" s="18"/>
      <c r="H2347" s="131"/>
      <c r="I2347" s="18"/>
      <c r="J2347" s="22"/>
      <c r="K2347" s="108"/>
      <c r="L2347" s="26"/>
    </row>
    <row r="2348">
      <c r="A2348" s="12"/>
      <c r="B2348" s="13"/>
      <c r="C2348" s="14"/>
      <c r="D2348" s="14"/>
      <c r="E2348" s="294"/>
      <c r="F2348" s="15"/>
      <c r="G2348" s="18"/>
      <c r="H2348" s="131"/>
      <c r="I2348" s="18"/>
      <c r="J2348" s="22"/>
      <c r="K2348" s="108"/>
      <c r="L2348" s="26"/>
    </row>
    <row r="2349">
      <c r="A2349" s="12"/>
      <c r="B2349" s="13"/>
      <c r="C2349" s="14"/>
      <c r="D2349" s="14"/>
      <c r="E2349" s="294"/>
      <c r="F2349" s="15"/>
      <c r="G2349" s="18"/>
      <c r="H2349" s="131"/>
      <c r="I2349" s="18"/>
      <c r="J2349" s="22"/>
      <c r="K2349" s="108"/>
      <c r="L2349" s="26"/>
    </row>
    <row r="2350">
      <c r="A2350" s="12"/>
      <c r="B2350" s="13"/>
      <c r="C2350" s="14"/>
      <c r="D2350" s="14"/>
      <c r="E2350" s="294"/>
      <c r="F2350" s="15"/>
      <c r="G2350" s="18"/>
      <c r="H2350" s="131"/>
      <c r="I2350" s="18"/>
      <c r="J2350" s="22"/>
      <c r="K2350" s="108"/>
      <c r="L2350" s="26"/>
    </row>
    <row r="2351">
      <c r="A2351" s="12"/>
      <c r="B2351" s="13"/>
      <c r="C2351" s="14"/>
      <c r="D2351" s="14"/>
      <c r="E2351" s="294"/>
      <c r="F2351" s="15"/>
      <c r="G2351" s="18"/>
      <c r="H2351" s="131"/>
      <c r="I2351" s="18"/>
      <c r="J2351" s="22"/>
      <c r="K2351" s="108"/>
      <c r="L2351" s="26"/>
    </row>
    <row r="2352">
      <c r="A2352" s="12"/>
      <c r="B2352" s="13"/>
      <c r="C2352" s="14"/>
      <c r="D2352" s="14"/>
      <c r="E2352" s="294"/>
      <c r="F2352" s="15"/>
      <c r="G2352" s="18"/>
      <c r="H2352" s="131"/>
      <c r="I2352" s="18"/>
      <c r="J2352" s="22"/>
      <c r="K2352" s="108"/>
      <c r="L2352" s="26"/>
    </row>
    <row r="2353">
      <c r="A2353" s="12"/>
      <c r="B2353" s="13"/>
      <c r="C2353" s="14"/>
      <c r="D2353" s="14"/>
      <c r="E2353" s="294"/>
      <c r="F2353" s="15"/>
      <c r="G2353" s="18"/>
      <c r="H2353" s="131"/>
      <c r="I2353" s="18"/>
      <c r="J2353" s="22"/>
      <c r="K2353" s="108"/>
      <c r="L2353" s="26"/>
    </row>
    <row r="2354">
      <c r="A2354" s="12"/>
      <c r="B2354" s="13"/>
      <c r="C2354" s="14"/>
      <c r="D2354" s="14"/>
      <c r="E2354" s="294"/>
      <c r="F2354" s="15"/>
      <c r="G2354" s="18"/>
      <c r="H2354" s="131"/>
      <c r="I2354" s="18"/>
      <c r="J2354" s="22"/>
      <c r="K2354" s="108"/>
      <c r="L2354" s="26"/>
    </row>
    <row r="2355">
      <c r="A2355" s="12"/>
      <c r="B2355" s="13"/>
      <c r="C2355" s="14"/>
      <c r="D2355" s="14"/>
      <c r="E2355" s="294"/>
      <c r="F2355" s="15"/>
      <c r="G2355" s="18"/>
      <c r="H2355" s="131"/>
      <c r="I2355" s="18"/>
      <c r="J2355" s="22"/>
      <c r="K2355" s="108"/>
      <c r="L2355" s="26"/>
    </row>
    <row r="2356">
      <c r="A2356" s="12"/>
      <c r="B2356" s="13"/>
      <c r="C2356" s="14"/>
      <c r="D2356" s="14"/>
      <c r="E2356" s="294"/>
      <c r="F2356" s="15"/>
      <c r="G2356" s="18"/>
      <c r="H2356" s="131"/>
      <c r="I2356" s="18"/>
      <c r="J2356" s="22"/>
      <c r="K2356" s="108"/>
      <c r="L2356" s="26"/>
    </row>
    <row r="2357">
      <c r="A2357" s="12"/>
      <c r="B2357" s="13"/>
      <c r="C2357" s="14"/>
      <c r="D2357" s="14"/>
      <c r="E2357" s="294"/>
      <c r="F2357" s="15"/>
      <c r="G2357" s="18"/>
      <c r="H2357" s="131"/>
      <c r="I2357" s="18"/>
      <c r="J2357" s="22"/>
      <c r="K2357" s="108"/>
      <c r="L2357" s="26"/>
    </row>
    <row r="2358">
      <c r="A2358" s="12"/>
      <c r="B2358" s="13"/>
      <c r="C2358" s="14"/>
      <c r="D2358" s="14"/>
      <c r="E2358" s="294"/>
      <c r="F2358" s="15"/>
      <c r="G2358" s="18"/>
      <c r="H2358" s="131"/>
      <c r="I2358" s="18"/>
      <c r="J2358" s="22"/>
      <c r="K2358" s="108"/>
      <c r="L2358" s="26"/>
    </row>
    <row r="2359">
      <c r="A2359" s="12"/>
      <c r="B2359" s="13"/>
      <c r="C2359" s="14"/>
      <c r="D2359" s="14"/>
      <c r="E2359" s="294"/>
      <c r="F2359" s="15"/>
      <c r="G2359" s="18"/>
      <c r="H2359" s="131"/>
      <c r="I2359" s="18"/>
      <c r="J2359" s="22"/>
      <c r="K2359" s="108"/>
      <c r="L2359" s="26"/>
    </row>
    <row r="2360">
      <c r="A2360" s="12"/>
      <c r="B2360" s="13"/>
      <c r="C2360" s="14"/>
      <c r="D2360" s="14"/>
      <c r="E2360" s="294"/>
      <c r="F2360" s="15"/>
      <c r="G2360" s="18"/>
      <c r="H2360" s="131"/>
      <c r="I2360" s="18"/>
      <c r="J2360" s="22"/>
      <c r="K2360" s="108"/>
      <c r="L2360" s="26"/>
    </row>
    <row r="2361">
      <c r="A2361" s="12"/>
      <c r="B2361" s="13"/>
      <c r="C2361" s="14"/>
      <c r="D2361" s="14"/>
      <c r="E2361" s="294"/>
      <c r="F2361" s="15"/>
      <c r="G2361" s="18"/>
      <c r="H2361" s="131"/>
      <c r="I2361" s="18"/>
      <c r="J2361" s="22"/>
      <c r="K2361" s="108"/>
      <c r="L2361" s="26"/>
    </row>
    <row r="2362">
      <c r="A2362" s="12"/>
      <c r="B2362" s="13"/>
      <c r="C2362" s="14"/>
      <c r="D2362" s="14"/>
      <c r="E2362" s="294"/>
      <c r="F2362" s="15"/>
      <c r="G2362" s="18"/>
      <c r="H2362" s="131"/>
      <c r="I2362" s="18"/>
      <c r="J2362" s="22"/>
      <c r="K2362" s="108"/>
      <c r="L2362" s="26"/>
    </row>
    <row r="2363">
      <c r="A2363" s="12"/>
      <c r="B2363" s="13"/>
      <c r="C2363" s="14"/>
      <c r="D2363" s="14"/>
      <c r="E2363" s="294"/>
      <c r="F2363" s="15"/>
      <c r="G2363" s="18"/>
      <c r="H2363" s="131"/>
      <c r="I2363" s="18"/>
      <c r="J2363" s="22"/>
      <c r="K2363" s="108"/>
      <c r="L2363" s="26"/>
    </row>
    <row r="2364">
      <c r="A2364" s="12"/>
      <c r="B2364" s="13"/>
      <c r="C2364" s="14"/>
      <c r="D2364" s="14"/>
      <c r="E2364" s="294"/>
      <c r="F2364" s="15"/>
      <c r="G2364" s="18"/>
      <c r="H2364" s="131"/>
      <c r="I2364" s="18"/>
      <c r="J2364" s="22"/>
      <c r="K2364" s="108"/>
      <c r="L2364" s="26"/>
    </row>
    <row r="2365">
      <c r="A2365" s="12"/>
      <c r="B2365" s="13"/>
      <c r="C2365" s="14"/>
      <c r="D2365" s="14"/>
      <c r="E2365" s="294"/>
      <c r="F2365" s="15"/>
      <c r="G2365" s="18"/>
      <c r="H2365" s="131"/>
      <c r="I2365" s="18"/>
      <c r="J2365" s="22"/>
      <c r="K2365" s="108"/>
      <c r="L2365" s="26"/>
    </row>
    <row r="2366">
      <c r="A2366" s="12"/>
      <c r="B2366" s="13"/>
      <c r="C2366" s="14"/>
      <c r="D2366" s="14"/>
      <c r="E2366" s="294"/>
      <c r="F2366" s="15"/>
      <c r="G2366" s="18"/>
      <c r="H2366" s="131"/>
      <c r="I2366" s="18"/>
      <c r="J2366" s="22"/>
      <c r="K2366" s="108"/>
      <c r="L2366" s="26"/>
    </row>
    <row r="2367">
      <c r="A2367" s="12"/>
      <c r="B2367" s="13"/>
      <c r="C2367" s="14"/>
      <c r="D2367" s="14"/>
      <c r="E2367" s="294"/>
      <c r="F2367" s="15"/>
      <c r="G2367" s="18"/>
      <c r="H2367" s="131"/>
      <c r="I2367" s="18"/>
      <c r="J2367" s="22"/>
      <c r="K2367" s="108"/>
      <c r="L2367" s="26"/>
    </row>
    <row r="2368">
      <c r="A2368" s="12"/>
      <c r="B2368" s="13"/>
      <c r="C2368" s="14"/>
      <c r="D2368" s="14"/>
      <c r="E2368" s="294"/>
      <c r="F2368" s="15"/>
      <c r="G2368" s="18"/>
      <c r="H2368" s="131"/>
      <c r="I2368" s="18"/>
      <c r="J2368" s="22"/>
      <c r="K2368" s="108"/>
      <c r="L2368" s="26"/>
    </row>
    <row r="2369">
      <c r="A2369" s="12"/>
      <c r="B2369" s="13"/>
      <c r="C2369" s="14"/>
      <c r="D2369" s="14"/>
      <c r="E2369" s="294"/>
      <c r="F2369" s="15"/>
      <c r="G2369" s="18"/>
      <c r="H2369" s="131"/>
      <c r="I2369" s="18"/>
      <c r="J2369" s="22"/>
      <c r="K2369" s="108"/>
      <c r="L2369" s="26"/>
    </row>
    <row r="2370">
      <c r="A2370" s="12"/>
      <c r="B2370" s="13"/>
      <c r="C2370" s="14"/>
      <c r="D2370" s="14"/>
      <c r="E2370" s="294"/>
      <c r="F2370" s="15"/>
      <c r="G2370" s="18"/>
      <c r="H2370" s="131"/>
      <c r="I2370" s="18"/>
      <c r="J2370" s="22"/>
      <c r="K2370" s="108"/>
      <c r="L2370" s="26"/>
    </row>
    <row r="2371">
      <c r="A2371" s="12"/>
      <c r="B2371" s="13"/>
      <c r="C2371" s="14"/>
      <c r="D2371" s="14"/>
      <c r="E2371" s="294"/>
      <c r="F2371" s="15"/>
      <c r="G2371" s="18"/>
      <c r="H2371" s="131"/>
      <c r="I2371" s="18"/>
      <c r="J2371" s="22"/>
      <c r="K2371" s="108"/>
      <c r="L2371" s="26"/>
    </row>
    <row r="2372">
      <c r="A2372" s="12"/>
      <c r="B2372" s="13"/>
      <c r="C2372" s="14"/>
      <c r="D2372" s="14"/>
      <c r="E2372" s="294"/>
      <c r="F2372" s="15"/>
      <c r="G2372" s="18"/>
      <c r="H2372" s="131"/>
      <c r="I2372" s="18"/>
      <c r="J2372" s="22"/>
      <c r="K2372" s="108"/>
      <c r="L2372" s="26"/>
    </row>
    <row r="2373">
      <c r="A2373" s="12"/>
      <c r="B2373" s="13"/>
      <c r="C2373" s="14"/>
      <c r="D2373" s="14"/>
      <c r="E2373" s="294"/>
      <c r="F2373" s="15"/>
      <c r="G2373" s="18"/>
      <c r="H2373" s="131"/>
      <c r="I2373" s="18"/>
      <c r="J2373" s="22"/>
      <c r="K2373" s="108"/>
      <c r="L2373" s="26"/>
    </row>
    <row r="2374">
      <c r="A2374" s="12"/>
      <c r="B2374" s="13"/>
      <c r="C2374" s="14"/>
      <c r="D2374" s="14"/>
      <c r="E2374" s="294"/>
      <c r="F2374" s="15"/>
      <c r="G2374" s="18"/>
      <c r="H2374" s="131"/>
      <c r="I2374" s="18"/>
      <c r="J2374" s="22"/>
      <c r="K2374" s="108"/>
      <c r="L2374" s="26"/>
    </row>
    <row r="2375">
      <c r="A2375" s="12"/>
      <c r="B2375" s="13"/>
      <c r="C2375" s="14"/>
      <c r="D2375" s="14"/>
      <c r="E2375" s="294"/>
      <c r="F2375" s="15"/>
      <c r="G2375" s="18"/>
      <c r="H2375" s="131"/>
      <c r="I2375" s="18"/>
      <c r="J2375" s="22"/>
      <c r="K2375" s="108"/>
      <c r="L2375" s="26"/>
    </row>
    <row r="2376">
      <c r="A2376" s="12"/>
      <c r="B2376" s="13"/>
      <c r="C2376" s="14"/>
      <c r="D2376" s="14"/>
      <c r="E2376" s="294"/>
      <c r="F2376" s="15"/>
      <c r="G2376" s="18"/>
      <c r="H2376" s="131"/>
      <c r="I2376" s="18"/>
      <c r="J2376" s="22"/>
      <c r="K2376" s="108"/>
      <c r="L2376" s="26"/>
    </row>
    <row r="2377">
      <c r="A2377" s="12"/>
      <c r="B2377" s="13"/>
      <c r="C2377" s="14"/>
      <c r="D2377" s="14"/>
      <c r="E2377" s="294"/>
      <c r="F2377" s="15"/>
      <c r="G2377" s="18"/>
      <c r="H2377" s="131"/>
      <c r="I2377" s="18"/>
      <c r="J2377" s="22"/>
      <c r="K2377" s="108"/>
      <c r="L2377" s="26"/>
    </row>
    <row r="2378">
      <c r="A2378" s="12"/>
      <c r="B2378" s="13"/>
      <c r="C2378" s="14"/>
      <c r="D2378" s="14"/>
      <c r="E2378" s="294"/>
      <c r="F2378" s="15"/>
      <c r="G2378" s="18"/>
      <c r="H2378" s="131"/>
      <c r="I2378" s="18"/>
      <c r="J2378" s="22"/>
      <c r="K2378" s="108"/>
      <c r="L2378" s="26"/>
    </row>
    <row r="2379">
      <c r="A2379" s="12"/>
      <c r="B2379" s="13"/>
      <c r="C2379" s="14"/>
      <c r="D2379" s="14"/>
      <c r="E2379" s="294"/>
      <c r="F2379" s="15"/>
      <c r="G2379" s="18"/>
      <c r="H2379" s="131"/>
      <c r="I2379" s="18"/>
      <c r="J2379" s="22"/>
      <c r="K2379" s="108"/>
      <c r="L2379" s="26"/>
    </row>
    <row r="2380">
      <c r="A2380" s="12"/>
      <c r="B2380" s="13"/>
      <c r="C2380" s="14"/>
      <c r="D2380" s="14"/>
      <c r="E2380" s="294"/>
      <c r="F2380" s="15"/>
      <c r="G2380" s="18"/>
      <c r="H2380" s="131"/>
      <c r="I2380" s="18"/>
      <c r="J2380" s="22"/>
      <c r="K2380" s="108"/>
      <c r="L2380" s="26"/>
    </row>
    <row r="2381">
      <c r="A2381" s="12"/>
      <c r="B2381" s="13"/>
      <c r="C2381" s="14"/>
      <c r="D2381" s="14"/>
      <c r="E2381" s="294"/>
      <c r="F2381" s="15"/>
      <c r="G2381" s="18"/>
      <c r="H2381" s="131"/>
      <c r="I2381" s="18"/>
      <c r="J2381" s="22"/>
      <c r="K2381" s="108"/>
      <c r="L2381" s="26"/>
    </row>
    <row r="2382">
      <c r="A2382" s="12"/>
      <c r="B2382" s="13"/>
      <c r="C2382" s="14"/>
      <c r="D2382" s="14"/>
      <c r="E2382" s="294"/>
      <c r="F2382" s="15"/>
      <c r="G2382" s="18"/>
      <c r="H2382" s="131"/>
      <c r="I2382" s="18"/>
      <c r="J2382" s="22"/>
      <c r="K2382" s="108"/>
      <c r="L2382" s="26"/>
    </row>
    <row r="2383">
      <c r="A2383" s="12"/>
      <c r="B2383" s="13"/>
      <c r="C2383" s="14"/>
      <c r="D2383" s="14"/>
      <c r="E2383" s="294"/>
      <c r="F2383" s="15"/>
      <c r="G2383" s="18"/>
      <c r="H2383" s="131"/>
      <c r="I2383" s="18"/>
      <c r="J2383" s="22"/>
      <c r="K2383" s="108"/>
      <c r="L2383" s="26"/>
    </row>
    <row r="2384">
      <c r="A2384" s="12"/>
      <c r="B2384" s="13"/>
      <c r="C2384" s="14"/>
      <c r="D2384" s="14"/>
      <c r="E2384" s="294"/>
      <c r="F2384" s="15"/>
      <c r="G2384" s="18"/>
      <c r="H2384" s="131"/>
      <c r="I2384" s="18"/>
      <c r="J2384" s="22"/>
      <c r="K2384" s="108"/>
      <c r="L2384" s="26"/>
    </row>
    <row r="2385">
      <c r="A2385" s="12"/>
      <c r="B2385" s="13"/>
      <c r="C2385" s="14"/>
      <c r="D2385" s="14"/>
      <c r="E2385" s="294"/>
      <c r="F2385" s="15"/>
      <c r="G2385" s="18"/>
      <c r="H2385" s="131"/>
      <c r="I2385" s="18"/>
      <c r="J2385" s="22"/>
      <c r="K2385" s="108"/>
      <c r="L2385" s="26"/>
    </row>
    <row r="2386">
      <c r="A2386" s="12"/>
      <c r="B2386" s="13"/>
      <c r="C2386" s="14"/>
      <c r="D2386" s="14"/>
      <c r="E2386" s="294"/>
      <c r="F2386" s="15"/>
      <c r="G2386" s="18"/>
      <c r="H2386" s="131"/>
      <c r="I2386" s="18"/>
      <c r="J2386" s="22"/>
      <c r="K2386" s="108"/>
      <c r="L2386" s="26"/>
    </row>
    <row r="2387">
      <c r="A2387" s="12"/>
      <c r="B2387" s="13"/>
      <c r="C2387" s="14"/>
      <c r="D2387" s="14"/>
      <c r="E2387" s="294"/>
      <c r="F2387" s="15"/>
      <c r="G2387" s="18"/>
      <c r="H2387" s="131"/>
      <c r="I2387" s="18"/>
      <c r="J2387" s="22"/>
      <c r="K2387" s="108"/>
      <c r="L2387" s="26"/>
    </row>
    <row r="2388">
      <c r="A2388" s="12"/>
      <c r="B2388" s="13"/>
      <c r="C2388" s="14"/>
      <c r="D2388" s="14"/>
      <c r="E2388" s="294"/>
      <c r="F2388" s="15"/>
      <c r="G2388" s="18"/>
      <c r="H2388" s="131"/>
      <c r="I2388" s="18"/>
      <c r="J2388" s="22"/>
      <c r="K2388" s="108"/>
      <c r="L2388" s="26"/>
    </row>
    <row r="2389">
      <c r="A2389" s="12"/>
      <c r="B2389" s="13"/>
      <c r="C2389" s="14"/>
      <c r="D2389" s="14"/>
      <c r="E2389" s="294"/>
      <c r="F2389" s="15"/>
      <c r="G2389" s="18"/>
      <c r="H2389" s="131"/>
      <c r="I2389" s="18"/>
      <c r="J2389" s="22"/>
      <c r="K2389" s="108"/>
      <c r="L2389" s="26"/>
    </row>
    <row r="2390">
      <c r="A2390" s="12"/>
      <c r="B2390" s="13"/>
      <c r="C2390" s="14"/>
      <c r="D2390" s="14"/>
      <c r="E2390" s="294"/>
      <c r="F2390" s="15"/>
      <c r="G2390" s="18"/>
      <c r="H2390" s="131"/>
      <c r="I2390" s="18"/>
      <c r="J2390" s="22"/>
      <c r="K2390" s="108"/>
      <c r="L2390" s="26"/>
    </row>
    <row r="2391">
      <c r="A2391" s="12"/>
      <c r="B2391" s="13"/>
      <c r="C2391" s="14"/>
      <c r="D2391" s="14"/>
      <c r="E2391" s="294"/>
      <c r="F2391" s="15"/>
      <c r="G2391" s="18"/>
      <c r="H2391" s="131"/>
      <c r="I2391" s="18"/>
      <c r="J2391" s="22"/>
      <c r="K2391" s="108"/>
      <c r="L2391" s="26"/>
    </row>
    <row r="2392">
      <c r="A2392" s="12"/>
      <c r="B2392" s="13"/>
      <c r="C2392" s="14"/>
      <c r="D2392" s="14"/>
      <c r="E2392" s="294"/>
      <c r="F2392" s="15"/>
      <c r="G2392" s="18"/>
      <c r="H2392" s="131"/>
      <c r="I2392" s="18"/>
      <c r="J2392" s="22"/>
      <c r="K2392" s="108"/>
      <c r="L2392" s="26"/>
    </row>
    <row r="2393">
      <c r="A2393" s="12"/>
      <c r="B2393" s="13"/>
      <c r="C2393" s="14"/>
      <c r="D2393" s="14"/>
      <c r="E2393" s="294"/>
      <c r="F2393" s="15"/>
      <c r="G2393" s="18"/>
      <c r="H2393" s="131"/>
      <c r="I2393" s="18"/>
      <c r="J2393" s="22"/>
      <c r="K2393" s="108"/>
      <c r="L2393" s="26"/>
    </row>
    <row r="2394">
      <c r="A2394" s="12"/>
      <c r="B2394" s="13"/>
      <c r="C2394" s="14"/>
      <c r="D2394" s="14"/>
      <c r="E2394" s="294"/>
      <c r="F2394" s="15"/>
      <c r="G2394" s="18"/>
      <c r="H2394" s="131"/>
      <c r="I2394" s="18"/>
      <c r="J2394" s="22"/>
      <c r="K2394" s="108"/>
      <c r="L2394" s="26"/>
    </row>
    <row r="2395">
      <c r="A2395" s="12"/>
      <c r="B2395" s="13"/>
      <c r="C2395" s="14"/>
      <c r="D2395" s="14"/>
      <c r="E2395" s="294"/>
      <c r="F2395" s="15"/>
      <c r="G2395" s="18"/>
      <c r="H2395" s="131"/>
      <c r="I2395" s="18"/>
      <c r="J2395" s="22"/>
      <c r="K2395" s="108"/>
      <c r="L2395" s="26"/>
    </row>
    <row r="2396">
      <c r="A2396" s="12"/>
      <c r="B2396" s="13"/>
      <c r="C2396" s="14"/>
      <c r="D2396" s="14"/>
      <c r="E2396" s="294"/>
      <c r="F2396" s="15"/>
      <c r="G2396" s="18"/>
      <c r="H2396" s="131"/>
      <c r="I2396" s="18"/>
      <c r="J2396" s="22"/>
      <c r="K2396" s="108"/>
      <c r="L2396" s="26"/>
    </row>
    <row r="2397">
      <c r="A2397" s="12"/>
      <c r="B2397" s="13"/>
      <c r="C2397" s="14"/>
      <c r="D2397" s="14"/>
      <c r="E2397" s="294"/>
      <c r="F2397" s="15"/>
      <c r="G2397" s="18"/>
      <c r="H2397" s="131"/>
      <c r="I2397" s="18"/>
      <c r="J2397" s="22"/>
      <c r="K2397" s="108"/>
      <c r="L2397" s="26"/>
    </row>
    <row r="2398">
      <c r="A2398" s="12"/>
      <c r="B2398" s="13"/>
      <c r="C2398" s="14"/>
      <c r="D2398" s="14"/>
      <c r="E2398" s="294"/>
      <c r="F2398" s="15"/>
      <c r="G2398" s="18"/>
      <c r="H2398" s="131"/>
      <c r="I2398" s="18"/>
      <c r="J2398" s="22"/>
      <c r="K2398" s="108"/>
      <c r="L2398" s="26"/>
    </row>
    <row r="2399">
      <c r="A2399" s="12"/>
      <c r="B2399" s="13"/>
      <c r="C2399" s="14"/>
      <c r="D2399" s="14"/>
      <c r="E2399" s="294"/>
      <c r="F2399" s="15"/>
      <c r="G2399" s="18"/>
      <c r="H2399" s="131"/>
      <c r="I2399" s="18"/>
      <c r="J2399" s="22"/>
      <c r="K2399" s="108"/>
      <c r="L2399" s="26"/>
    </row>
    <row r="2400">
      <c r="A2400" s="12"/>
      <c r="B2400" s="13"/>
      <c r="C2400" s="14"/>
      <c r="D2400" s="14"/>
      <c r="E2400" s="294"/>
      <c r="F2400" s="15"/>
      <c r="G2400" s="18"/>
      <c r="H2400" s="131"/>
      <c r="I2400" s="18"/>
      <c r="J2400" s="22"/>
      <c r="K2400" s="108"/>
      <c r="L2400" s="26"/>
    </row>
    <row r="2401">
      <c r="A2401" s="12"/>
      <c r="B2401" s="13"/>
      <c r="C2401" s="14"/>
      <c r="D2401" s="14"/>
      <c r="E2401" s="294"/>
      <c r="F2401" s="15"/>
      <c r="G2401" s="18"/>
      <c r="H2401" s="131"/>
      <c r="I2401" s="18"/>
      <c r="J2401" s="22"/>
      <c r="K2401" s="108"/>
      <c r="L2401" s="26"/>
    </row>
    <row r="2402">
      <c r="A2402" s="12"/>
      <c r="B2402" s="13"/>
      <c r="C2402" s="14"/>
      <c r="D2402" s="14"/>
      <c r="E2402" s="294"/>
      <c r="F2402" s="15"/>
      <c r="G2402" s="18"/>
      <c r="H2402" s="131"/>
      <c r="I2402" s="18"/>
      <c r="J2402" s="22"/>
      <c r="K2402" s="108"/>
      <c r="L2402" s="26"/>
    </row>
    <row r="2403">
      <c r="A2403" s="12"/>
      <c r="B2403" s="13"/>
      <c r="C2403" s="14"/>
      <c r="D2403" s="14"/>
      <c r="E2403" s="294"/>
      <c r="F2403" s="15"/>
      <c r="G2403" s="18"/>
      <c r="H2403" s="131"/>
      <c r="I2403" s="18"/>
      <c r="J2403" s="22"/>
      <c r="K2403" s="108"/>
      <c r="L2403" s="26"/>
    </row>
    <row r="2404">
      <c r="A2404" s="12"/>
      <c r="B2404" s="13"/>
      <c r="C2404" s="14"/>
      <c r="D2404" s="14"/>
      <c r="E2404" s="294"/>
      <c r="F2404" s="15"/>
      <c r="G2404" s="18"/>
      <c r="H2404" s="131"/>
      <c r="I2404" s="18"/>
      <c r="J2404" s="22"/>
      <c r="K2404" s="108"/>
      <c r="L2404" s="26"/>
    </row>
    <row r="2405">
      <c r="A2405" s="12"/>
      <c r="B2405" s="13"/>
      <c r="C2405" s="14"/>
      <c r="D2405" s="14"/>
      <c r="E2405" s="294"/>
      <c r="F2405" s="15"/>
      <c r="G2405" s="18"/>
      <c r="H2405" s="131"/>
      <c r="I2405" s="18"/>
      <c r="J2405" s="22"/>
      <c r="K2405" s="108"/>
      <c r="L2405" s="26"/>
    </row>
    <row r="2406">
      <c r="A2406" s="12"/>
      <c r="B2406" s="13"/>
      <c r="C2406" s="14"/>
      <c r="D2406" s="14"/>
      <c r="E2406" s="294"/>
      <c r="F2406" s="15"/>
      <c r="G2406" s="18"/>
      <c r="H2406" s="131"/>
      <c r="I2406" s="18"/>
      <c r="J2406" s="22"/>
      <c r="K2406" s="108"/>
      <c r="L2406" s="26"/>
    </row>
    <row r="2407">
      <c r="A2407" s="12"/>
      <c r="B2407" s="13"/>
      <c r="C2407" s="14"/>
      <c r="D2407" s="14"/>
      <c r="E2407" s="294"/>
      <c r="F2407" s="15"/>
      <c r="G2407" s="18"/>
      <c r="H2407" s="131"/>
      <c r="I2407" s="18"/>
      <c r="J2407" s="22"/>
      <c r="K2407" s="108"/>
      <c r="L2407" s="26"/>
    </row>
    <row r="2408">
      <c r="A2408" s="12"/>
      <c r="B2408" s="13"/>
      <c r="C2408" s="14"/>
      <c r="D2408" s="14"/>
      <c r="E2408" s="294"/>
      <c r="F2408" s="15"/>
      <c r="G2408" s="18"/>
      <c r="H2408" s="131"/>
      <c r="I2408" s="18"/>
      <c r="J2408" s="22"/>
      <c r="K2408" s="108"/>
      <c r="L2408" s="26"/>
    </row>
    <row r="2409">
      <c r="A2409" s="12"/>
      <c r="B2409" s="13"/>
      <c r="C2409" s="14"/>
      <c r="D2409" s="14"/>
      <c r="E2409" s="294"/>
      <c r="F2409" s="15"/>
      <c r="G2409" s="18"/>
      <c r="H2409" s="131"/>
      <c r="I2409" s="18"/>
      <c r="J2409" s="22"/>
      <c r="K2409" s="108"/>
      <c r="L2409" s="26"/>
    </row>
    <row r="2410">
      <c r="A2410" s="12"/>
      <c r="B2410" s="13"/>
      <c r="C2410" s="14"/>
      <c r="D2410" s="14"/>
      <c r="E2410" s="294"/>
      <c r="F2410" s="15"/>
      <c r="G2410" s="18"/>
      <c r="H2410" s="131"/>
      <c r="I2410" s="18"/>
      <c r="J2410" s="22"/>
      <c r="K2410" s="108"/>
      <c r="L2410" s="26"/>
    </row>
    <row r="2411">
      <c r="A2411" s="12"/>
      <c r="B2411" s="13"/>
      <c r="C2411" s="14"/>
      <c r="D2411" s="14"/>
      <c r="E2411" s="294"/>
      <c r="F2411" s="15"/>
      <c r="G2411" s="18"/>
      <c r="H2411" s="131"/>
      <c r="I2411" s="18"/>
      <c r="J2411" s="22"/>
      <c r="K2411" s="108"/>
      <c r="L2411" s="26"/>
    </row>
    <row r="2412">
      <c r="A2412" s="12"/>
      <c r="B2412" s="13"/>
      <c r="C2412" s="14"/>
      <c r="D2412" s="14"/>
      <c r="E2412" s="294"/>
      <c r="F2412" s="15"/>
      <c r="G2412" s="18"/>
      <c r="H2412" s="131"/>
      <c r="I2412" s="18"/>
      <c r="J2412" s="22"/>
      <c r="K2412" s="108"/>
      <c r="L2412" s="26"/>
    </row>
    <row r="2413">
      <c r="A2413" s="12"/>
      <c r="B2413" s="13"/>
      <c r="C2413" s="14"/>
      <c r="D2413" s="14"/>
      <c r="E2413" s="294"/>
      <c r="F2413" s="15"/>
      <c r="G2413" s="18"/>
      <c r="H2413" s="131"/>
      <c r="I2413" s="18"/>
      <c r="J2413" s="22"/>
      <c r="K2413" s="108"/>
      <c r="L2413" s="26"/>
    </row>
    <row r="2414">
      <c r="A2414" s="12"/>
      <c r="B2414" s="13"/>
      <c r="C2414" s="14"/>
      <c r="D2414" s="14"/>
      <c r="E2414" s="294"/>
      <c r="F2414" s="15"/>
      <c r="G2414" s="18"/>
      <c r="H2414" s="131"/>
      <c r="I2414" s="18"/>
      <c r="J2414" s="22"/>
      <c r="K2414" s="108"/>
      <c r="L2414" s="26"/>
    </row>
    <row r="2415">
      <c r="A2415" s="12"/>
      <c r="B2415" s="13"/>
      <c r="C2415" s="14"/>
      <c r="D2415" s="14"/>
      <c r="E2415" s="294"/>
      <c r="F2415" s="15"/>
      <c r="G2415" s="18"/>
      <c r="H2415" s="131"/>
      <c r="I2415" s="18"/>
      <c r="J2415" s="22"/>
      <c r="K2415" s="108"/>
      <c r="L2415" s="26"/>
    </row>
    <row r="2416">
      <c r="A2416" s="12"/>
      <c r="B2416" s="13"/>
      <c r="C2416" s="14"/>
      <c r="D2416" s="14"/>
      <c r="E2416" s="294"/>
      <c r="F2416" s="15"/>
      <c r="G2416" s="18"/>
      <c r="H2416" s="131"/>
      <c r="I2416" s="18"/>
      <c r="J2416" s="22"/>
      <c r="K2416" s="108"/>
      <c r="L2416" s="26"/>
    </row>
    <row r="2417">
      <c r="A2417" s="12"/>
      <c r="B2417" s="13"/>
      <c r="C2417" s="14"/>
      <c r="D2417" s="14"/>
      <c r="E2417" s="294"/>
      <c r="F2417" s="15"/>
      <c r="G2417" s="18"/>
      <c r="H2417" s="131"/>
      <c r="I2417" s="18"/>
      <c r="J2417" s="22"/>
      <c r="K2417" s="108"/>
      <c r="L2417" s="26"/>
    </row>
    <row r="2418">
      <c r="A2418" s="12"/>
      <c r="B2418" s="13"/>
      <c r="C2418" s="14"/>
      <c r="D2418" s="14"/>
      <c r="E2418" s="294"/>
      <c r="F2418" s="15"/>
      <c r="G2418" s="18"/>
      <c r="H2418" s="131"/>
      <c r="I2418" s="18"/>
      <c r="J2418" s="22"/>
      <c r="K2418" s="108"/>
      <c r="L2418" s="26"/>
    </row>
    <row r="2419">
      <c r="A2419" s="12"/>
      <c r="B2419" s="13"/>
      <c r="C2419" s="14"/>
      <c r="D2419" s="14"/>
      <c r="E2419" s="294"/>
      <c r="F2419" s="15"/>
      <c r="G2419" s="18"/>
      <c r="H2419" s="131"/>
      <c r="I2419" s="18"/>
      <c r="J2419" s="22"/>
      <c r="K2419" s="108"/>
      <c r="L2419" s="26"/>
    </row>
    <row r="2420">
      <c r="A2420" s="12"/>
      <c r="B2420" s="13"/>
      <c r="C2420" s="14"/>
      <c r="D2420" s="14"/>
      <c r="E2420" s="294"/>
      <c r="F2420" s="15"/>
      <c r="G2420" s="18"/>
      <c r="H2420" s="131"/>
      <c r="I2420" s="18"/>
      <c r="J2420" s="22"/>
      <c r="K2420" s="108"/>
      <c r="L2420" s="26"/>
    </row>
    <row r="2421">
      <c r="A2421" s="12"/>
      <c r="B2421" s="13"/>
      <c r="C2421" s="14"/>
      <c r="D2421" s="14"/>
      <c r="E2421" s="294"/>
      <c r="F2421" s="15"/>
      <c r="G2421" s="18"/>
      <c r="H2421" s="131"/>
      <c r="I2421" s="18"/>
      <c r="J2421" s="22"/>
      <c r="K2421" s="108"/>
      <c r="L2421" s="26"/>
    </row>
    <row r="2422">
      <c r="A2422" s="12"/>
      <c r="B2422" s="13"/>
      <c r="C2422" s="14"/>
      <c r="D2422" s="14"/>
      <c r="E2422" s="294"/>
      <c r="F2422" s="15"/>
      <c r="G2422" s="18"/>
      <c r="H2422" s="131"/>
      <c r="I2422" s="18"/>
      <c r="J2422" s="22"/>
      <c r="K2422" s="108"/>
      <c r="L2422" s="26"/>
    </row>
    <row r="2423">
      <c r="A2423" s="12"/>
      <c r="B2423" s="13"/>
      <c r="C2423" s="14"/>
      <c r="D2423" s="14"/>
      <c r="E2423" s="294"/>
      <c r="F2423" s="15"/>
      <c r="G2423" s="18"/>
      <c r="H2423" s="131"/>
      <c r="I2423" s="18"/>
      <c r="J2423" s="22"/>
      <c r="K2423" s="108"/>
      <c r="L2423" s="26"/>
    </row>
    <row r="2424">
      <c r="A2424" s="12"/>
      <c r="B2424" s="13"/>
      <c r="C2424" s="14"/>
      <c r="D2424" s="14"/>
      <c r="E2424" s="294"/>
      <c r="F2424" s="15"/>
      <c r="G2424" s="18"/>
      <c r="H2424" s="131"/>
      <c r="I2424" s="18"/>
      <c r="J2424" s="22"/>
      <c r="K2424" s="108"/>
      <c r="L2424" s="26"/>
    </row>
    <row r="2425">
      <c r="A2425" s="12"/>
      <c r="B2425" s="13"/>
      <c r="C2425" s="14"/>
      <c r="D2425" s="14"/>
      <c r="E2425" s="294"/>
      <c r="F2425" s="15"/>
      <c r="G2425" s="18"/>
      <c r="H2425" s="131"/>
      <c r="I2425" s="18"/>
      <c r="J2425" s="22"/>
      <c r="K2425" s="108"/>
      <c r="L2425" s="26"/>
    </row>
    <row r="2426">
      <c r="A2426" s="12"/>
      <c r="B2426" s="13"/>
      <c r="C2426" s="14"/>
      <c r="D2426" s="14"/>
      <c r="E2426" s="294"/>
      <c r="F2426" s="15"/>
      <c r="G2426" s="18"/>
      <c r="H2426" s="131"/>
      <c r="I2426" s="18"/>
      <c r="J2426" s="22"/>
      <c r="K2426" s="108"/>
      <c r="L2426" s="26"/>
    </row>
    <row r="2427">
      <c r="A2427" s="12"/>
      <c r="B2427" s="13"/>
      <c r="C2427" s="14"/>
      <c r="D2427" s="14"/>
      <c r="E2427" s="294"/>
      <c r="F2427" s="15"/>
      <c r="G2427" s="18"/>
      <c r="H2427" s="131"/>
      <c r="I2427" s="18"/>
      <c r="J2427" s="22"/>
      <c r="K2427" s="108"/>
      <c r="L2427" s="26"/>
    </row>
    <row r="2428">
      <c r="A2428" s="12"/>
      <c r="B2428" s="13"/>
      <c r="C2428" s="14"/>
      <c r="D2428" s="14"/>
      <c r="E2428" s="294"/>
      <c r="F2428" s="15"/>
      <c r="G2428" s="18"/>
      <c r="H2428" s="131"/>
      <c r="I2428" s="18"/>
      <c r="J2428" s="22"/>
      <c r="K2428" s="108"/>
      <c r="L2428" s="26"/>
    </row>
    <row r="2429">
      <c r="A2429" s="12"/>
      <c r="B2429" s="13"/>
      <c r="C2429" s="14"/>
      <c r="D2429" s="14"/>
      <c r="E2429" s="294"/>
      <c r="F2429" s="15"/>
      <c r="G2429" s="18"/>
      <c r="H2429" s="131"/>
      <c r="I2429" s="18"/>
      <c r="J2429" s="22"/>
      <c r="K2429" s="108"/>
      <c r="L2429" s="26"/>
    </row>
    <row r="2430">
      <c r="A2430" s="12"/>
      <c r="B2430" s="13"/>
      <c r="C2430" s="14"/>
      <c r="D2430" s="14"/>
      <c r="E2430" s="294"/>
      <c r="F2430" s="15"/>
      <c r="G2430" s="18"/>
      <c r="H2430" s="131"/>
      <c r="I2430" s="18"/>
      <c r="J2430" s="22"/>
      <c r="K2430" s="108"/>
      <c r="L2430" s="26"/>
    </row>
    <row r="2431">
      <c r="A2431" s="12"/>
      <c r="B2431" s="13"/>
      <c r="C2431" s="14"/>
      <c r="D2431" s="14"/>
      <c r="E2431" s="294"/>
      <c r="F2431" s="15"/>
      <c r="G2431" s="18"/>
      <c r="H2431" s="131"/>
      <c r="I2431" s="18"/>
      <c r="J2431" s="22"/>
      <c r="K2431" s="108"/>
      <c r="L2431" s="26"/>
    </row>
    <row r="2432">
      <c r="A2432" s="12"/>
      <c r="B2432" s="13"/>
      <c r="C2432" s="14"/>
      <c r="D2432" s="14"/>
      <c r="E2432" s="294"/>
      <c r="F2432" s="15"/>
      <c r="G2432" s="18"/>
      <c r="H2432" s="131"/>
      <c r="I2432" s="18"/>
      <c r="J2432" s="22"/>
      <c r="K2432" s="108"/>
      <c r="L2432" s="26"/>
    </row>
    <row r="2433">
      <c r="A2433" s="12"/>
      <c r="B2433" s="13"/>
      <c r="C2433" s="14"/>
      <c r="D2433" s="14"/>
      <c r="E2433" s="294"/>
      <c r="F2433" s="15"/>
      <c r="G2433" s="18"/>
      <c r="H2433" s="131"/>
      <c r="I2433" s="18"/>
      <c r="J2433" s="22"/>
      <c r="K2433" s="108"/>
      <c r="L2433" s="26"/>
    </row>
    <row r="2434">
      <c r="A2434" s="12"/>
      <c r="B2434" s="13"/>
      <c r="C2434" s="14"/>
      <c r="D2434" s="14"/>
      <c r="E2434" s="294"/>
      <c r="F2434" s="15"/>
      <c r="G2434" s="18"/>
      <c r="H2434" s="131"/>
      <c r="I2434" s="18"/>
      <c r="J2434" s="22"/>
      <c r="K2434" s="108"/>
      <c r="L2434" s="26"/>
    </row>
    <row r="2435">
      <c r="A2435" s="12"/>
      <c r="B2435" s="13"/>
      <c r="C2435" s="14"/>
      <c r="D2435" s="14"/>
      <c r="E2435" s="294"/>
      <c r="F2435" s="15"/>
      <c r="G2435" s="18"/>
      <c r="H2435" s="131"/>
      <c r="I2435" s="18"/>
      <c r="J2435" s="22"/>
      <c r="K2435" s="108"/>
      <c r="L2435" s="26"/>
    </row>
    <row r="2436">
      <c r="A2436" s="12"/>
      <c r="B2436" s="13"/>
      <c r="C2436" s="14"/>
      <c r="D2436" s="14"/>
      <c r="E2436" s="294"/>
      <c r="F2436" s="15"/>
      <c r="G2436" s="18"/>
      <c r="H2436" s="131"/>
      <c r="I2436" s="18"/>
      <c r="J2436" s="22"/>
      <c r="K2436" s="108"/>
      <c r="L2436" s="26"/>
    </row>
    <row r="2437">
      <c r="A2437" s="12"/>
      <c r="B2437" s="13"/>
      <c r="C2437" s="14"/>
      <c r="D2437" s="14"/>
      <c r="E2437" s="294"/>
      <c r="F2437" s="15"/>
      <c r="G2437" s="18"/>
      <c r="H2437" s="131"/>
      <c r="I2437" s="18"/>
      <c r="J2437" s="22"/>
      <c r="K2437" s="108"/>
      <c r="L2437" s="26"/>
    </row>
    <row r="2438">
      <c r="A2438" s="12"/>
      <c r="B2438" s="13"/>
      <c r="C2438" s="14"/>
      <c r="D2438" s="14"/>
      <c r="E2438" s="294"/>
      <c r="F2438" s="15"/>
      <c r="G2438" s="18"/>
      <c r="H2438" s="131"/>
      <c r="I2438" s="18"/>
      <c r="J2438" s="22"/>
      <c r="K2438" s="108"/>
      <c r="L2438" s="26"/>
    </row>
    <row r="2439">
      <c r="A2439" s="12"/>
      <c r="B2439" s="13"/>
      <c r="C2439" s="14"/>
      <c r="D2439" s="14"/>
      <c r="E2439" s="294"/>
      <c r="F2439" s="15"/>
      <c r="G2439" s="18"/>
      <c r="H2439" s="131"/>
      <c r="I2439" s="18"/>
      <c r="J2439" s="22"/>
      <c r="K2439" s="108"/>
      <c r="L2439" s="26"/>
    </row>
    <row r="2440">
      <c r="A2440" s="12"/>
      <c r="B2440" s="13"/>
      <c r="C2440" s="14"/>
      <c r="D2440" s="14"/>
      <c r="E2440" s="294"/>
      <c r="F2440" s="15"/>
      <c r="G2440" s="18"/>
      <c r="H2440" s="131"/>
      <c r="I2440" s="18"/>
      <c r="J2440" s="22"/>
      <c r="K2440" s="108"/>
      <c r="L2440" s="26"/>
    </row>
    <row r="2441">
      <c r="A2441" s="12"/>
      <c r="B2441" s="13"/>
      <c r="C2441" s="14"/>
      <c r="D2441" s="14"/>
      <c r="E2441" s="294"/>
      <c r="F2441" s="15"/>
      <c r="G2441" s="18"/>
      <c r="H2441" s="131"/>
      <c r="I2441" s="18"/>
      <c r="J2441" s="22"/>
      <c r="K2441" s="108"/>
      <c r="L2441" s="26"/>
    </row>
    <row r="2442">
      <c r="A2442" s="12"/>
      <c r="B2442" s="13"/>
      <c r="C2442" s="14"/>
      <c r="D2442" s="14"/>
      <c r="E2442" s="294"/>
      <c r="F2442" s="15"/>
      <c r="G2442" s="18"/>
      <c r="H2442" s="131"/>
      <c r="I2442" s="18"/>
      <c r="J2442" s="22"/>
      <c r="K2442" s="108"/>
      <c r="L2442" s="26"/>
    </row>
    <row r="2443">
      <c r="A2443" s="12"/>
      <c r="B2443" s="13"/>
      <c r="C2443" s="14"/>
      <c r="D2443" s="14"/>
      <c r="E2443" s="294"/>
      <c r="F2443" s="15"/>
      <c r="G2443" s="18"/>
      <c r="H2443" s="131"/>
      <c r="I2443" s="18"/>
      <c r="J2443" s="22"/>
      <c r="K2443" s="108"/>
      <c r="L2443" s="26"/>
    </row>
    <row r="2444">
      <c r="A2444" s="12"/>
      <c r="B2444" s="13"/>
      <c r="C2444" s="14"/>
      <c r="D2444" s="14"/>
      <c r="E2444" s="294"/>
      <c r="F2444" s="15"/>
      <c r="G2444" s="18"/>
      <c r="H2444" s="131"/>
      <c r="I2444" s="18"/>
      <c r="J2444" s="22"/>
      <c r="K2444" s="108"/>
      <c r="L2444" s="26"/>
    </row>
    <row r="2445">
      <c r="A2445" s="12"/>
      <c r="B2445" s="13"/>
      <c r="C2445" s="14"/>
      <c r="D2445" s="14"/>
      <c r="E2445" s="294"/>
      <c r="F2445" s="15"/>
      <c r="G2445" s="18"/>
      <c r="H2445" s="131"/>
      <c r="I2445" s="18"/>
      <c r="J2445" s="22"/>
      <c r="K2445" s="108"/>
      <c r="L2445" s="26"/>
    </row>
    <row r="2446">
      <c r="A2446" s="12"/>
      <c r="B2446" s="13"/>
      <c r="C2446" s="14"/>
      <c r="D2446" s="14"/>
      <c r="E2446" s="294"/>
      <c r="F2446" s="15"/>
      <c r="G2446" s="18"/>
      <c r="H2446" s="131"/>
      <c r="I2446" s="18"/>
      <c r="J2446" s="22"/>
      <c r="K2446" s="108"/>
      <c r="L2446" s="26"/>
    </row>
    <row r="2447">
      <c r="A2447" s="12"/>
      <c r="B2447" s="13"/>
      <c r="C2447" s="14"/>
      <c r="D2447" s="14"/>
      <c r="E2447" s="294"/>
      <c r="F2447" s="15"/>
      <c r="G2447" s="18"/>
      <c r="H2447" s="131"/>
      <c r="I2447" s="18"/>
      <c r="J2447" s="22"/>
      <c r="K2447" s="108"/>
      <c r="L2447" s="26"/>
    </row>
    <row r="2448">
      <c r="A2448" s="12"/>
      <c r="B2448" s="13"/>
      <c r="C2448" s="14"/>
      <c r="D2448" s="14"/>
      <c r="E2448" s="294"/>
      <c r="F2448" s="15"/>
      <c r="G2448" s="18"/>
      <c r="H2448" s="131"/>
      <c r="I2448" s="18"/>
      <c r="J2448" s="22"/>
      <c r="K2448" s="108"/>
      <c r="L2448" s="26"/>
    </row>
    <row r="2449">
      <c r="A2449" s="12"/>
      <c r="B2449" s="13"/>
      <c r="C2449" s="14"/>
      <c r="D2449" s="14"/>
      <c r="E2449" s="294"/>
      <c r="F2449" s="15"/>
      <c r="G2449" s="18"/>
      <c r="H2449" s="131"/>
      <c r="I2449" s="18"/>
      <c r="J2449" s="22"/>
      <c r="K2449" s="108"/>
      <c r="L2449" s="26"/>
    </row>
    <row r="2450">
      <c r="A2450" s="12"/>
      <c r="B2450" s="13"/>
      <c r="C2450" s="14"/>
      <c r="D2450" s="14"/>
      <c r="E2450" s="294"/>
      <c r="F2450" s="15"/>
      <c r="G2450" s="18"/>
      <c r="H2450" s="131"/>
      <c r="I2450" s="18"/>
      <c r="J2450" s="22"/>
      <c r="K2450" s="108"/>
      <c r="L2450" s="26"/>
    </row>
    <row r="2451">
      <c r="A2451" s="12"/>
      <c r="B2451" s="13"/>
      <c r="C2451" s="14"/>
      <c r="D2451" s="14"/>
      <c r="E2451" s="294"/>
      <c r="F2451" s="15"/>
      <c r="G2451" s="18"/>
      <c r="H2451" s="131"/>
      <c r="I2451" s="18"/>
      <c r="J2451" s="22"/>
      <c r="K2451" s="108"/>
      <c r="L2451" s="26"/>
    </row>
    <row r="2452">
      <c r="A2452" s="12"/>
      <c r="B2452" s="13"/>
      <c r="C2452" s="14"/>
      <c r="D2452" s="14"/>
      <c r="E2452" s="294"/>
      <c r="F2452" s="15"/>
      <c r="G2452" s="18"/>
      <c r="H2452" s="131"/>
      <c r="I2452" s="18"/>
      <c r="J2452" s="22"/>
      <c r="K2452" s="108"/>
      <c r="L2452" s="26"/>
    </row>
    <row r="2453">
      <c r="A2453" s="12"/>
      <c r="B2453" s="13"/>
      <c r="C2453" s="14"/>
      <c r="D2453" s="14"/>
      <c r="E2453" s="294"/>
      <c r="F2453" s="15"/>
      <c r="G2453" s="18"/>
      <c r="H2453" s="131"/>
      <c r="I2453" s="18"/>
      <c r="J2453" s="22"/>
      <c r="K2453" s="108"/>
      <c r="L2453" s="26"/>
    </row>
    <row r="2454">
      <c r="A2454" s="12"/>
      <c r="B2454" s="13"/>
      <c r="C2454" s="14"/>
      <c r="D2454" s="14"/>
      <c r="E2454" s="294"/>
      <c r="F2454" s="15"/>
      <c r="G2454" s="18"/>
      <c r="H2454" s="131"/>
      <c r="I2454" s="18"/>
      <c r="J2454" s="22"/>
      <c r="K2454" s="108"/>
      <c r="L2454" s="26"/>
    </row>
    <row r="2455">
      <c r="A2455" s="12"/>
      <c r="B2455" s="13"/>
      <c r="C2455" s="14"/>
      <c r="D2455" s="14"/>
      <c r="E2455" s="294"/>
      <c r="F2455" s="15"/>
      <c r="G2455" s="18"/>
      <c r="H2455" s="131"/>
      <c r="I2455" s="18"/>
      <c r="J2455" s="22"/>
      <c r="K2455" s="108"/>
      <c r="L2455" s="26"/>
    </row>
    <row r="2456">
      <c r="A2456" s="12"/>
      <c r="B2456" s="13"/>
      <c r="C2456" s="14"/>
      <c r="D2456" s="14"/>
      <c r="E2456" s="294"/>
      <c r="F2456" s="15"/>
      <c r="G2456" s="18"/>
      <c r="H2456" s="131"/>
      <c r="I2456" s="18"/>
      <c r="J2456" s="22"/>
      <c r="K2456" s="108"/>
      <c r="L2456" s="26"/>
    </row>
    <row r="2457">
      <c r="A2457" s="12"/>
      <c r="B2457" s="13"/>
      <c r="C2457" s="14"/>
      <c r="D2457" s="14"/>
      <c r="E2457" s="294"/>
      <c r="F2457" s="15"/>
      <c r="G2457" s="18"/>
      <c r="H2457" s="131"/>
      <c r="I2457" s="18"/>
      <c r="J2457" s="22"/>
      <c r="K2457" s="108"/>
      <c r="L2457" s="26"/>
    </row>
    <row r="2458">
      <c r="A2458" s="12"/>
      <c r="B2458" s="13"/>
      <c r="C2458" s="14"/>
      <c r="D2458" s="14"/>
      <c r="E2458" s="294"/>
      <c r="F2458" s="15"/>
      <c r="G2458" s="18"/>
      <c r="H2458" s="131"/>
      <c r="I2458" s="18"/>
      <c r="J2458" s="22"/>
      <c r="K2458" s="108"/>
      <c r="L2458" s="26"/>
    </row>
    <row r="2459">
      <c r="A2459" s="12"/>
      <c r="B2459" s="13"/>
      <c r="C2459" s="14"/>
      <c r="D2459" s="14"/>
      <c r="E2459" s="294"/>
      <c r="F2459" s="15"/>
      <c r="G2459" s="18"/>
      <c r="H2459" s="131"/>
      <c r="I2459" s="18"/>
      <c r="J2459" s="22"/>
      <c r="K2459" s="108"/>
      <c r="L2459" s="26"/>
    </row>
  </sheetData>
  <autoFilter ref="$A$2:$L$863">
    <filterColumn colId="11">
      <filters>
        <filter val="Shooter"/>
        <filter val="Brawler"/>
        <filter val="Fighting"/>
        <filter val="Action"/>
        <filter val="MOBA"/>
        <filter val="Flight"/>
        <filter val="RPG"/>
        <filter val="Card Game"/>
        <filter val="Roguelike"/>
        <filter val="Fishing"/>
        <filter val="Sandbox"/>
        <filter val="Party"/>
        <filter val="Point and Click"/>
        <filter val="Platformer"/>
        <filter val="Beat-'Em-Up"/>
        <filter val="Card Battle"/>
        <filter val="Tycoon"/>
        <filter val="Minigame Collection"/>
        <filter val="Flight Simulator"/>
        <filter val="Adventure"/>
        <filter val="Horror"/>
        <filter val="Soccer"/>
        <filter val="Biking"/>
        <filter val="Real-Time Strategy"/>
        <filter val="Trivia/Board Game"/>
        <filter val="Metroidvania"/>
        <filter val="Survival"/>
        <filter val="Shoot 'Em Up"/>
        <filter val="Defense"/>
        <filter val="Pinball"/>
        <filter val="Puzzle"/>
        <filter val="Simulation"/>
        <filter val="Music"/>
        <filter val="Virtual Life"/>
        <filter val="Strategy"/>
        <filter val="Skateboarding"/>
        <filter val="Music/Rhythm"/>
        <filter val="MMORPG"/>
      </filters>
    </filterColumn>
    <filterColumn colId="5">
      <filters>
        <filter val="Dec 2025"/>
        <filter val="Dec 2024"/>
        <filter val="Dec 2023"/>
        <filter val="Dec 2022"/>
        <filter val="Jul 2026"/>
        <filter val="Dec 2021"/>
        <filter val="Jul 2025"/>
        <filter val="Dec 2020"/>
        <filter val="Nov 2020"/>
        <filter val="Jul 2022"/>
        <filter val="Nov 2025"/>
        <filter val="Jul 2021"/>
        <filter val="Jul 2024"/>
        <filter val="Jul 2023"/>
        <filter val="Nov 2022"/>
        <filter val="Nov 2021"/>
        <filter val="Nov 2024"/>
        <filter val="Jul 2020"/>
        <filter val="Nov 2023"/>
        <filter val="May 2024"/>
        <filter val="May 2023"/>
        <filter val="May 2022"/>
        <filter val="Apr 2022"/>
        <filter val="May 2021"/>
        <filter val="Apr 2021"/>
        <filter val="Apr 2024"/>
        <filter val="Apr 2023"/>
        <filter val="May 2026"/>
        <filter val="Apr 2026"/>
        <filter val="May 2025"/>
        <filter val="Apr 2025"/>
        <filter val="Jun 2026"/>
        <filter val="Jun 2025"/>
        <filter val="Jun 2024"/>
        <filter val="Jun 2023"/>
        <filter val="Jun 2022"/>
        <filter val="Jun 2021"/>
        <filter val="Mar 2021"/>
        <filter val="Jun 2020"/>
        <filter val="Oct 2022"/>
        <filter val="Oct 2023"/>
        <filter val="Oct 2020"/>
        <filter val="Sep 2020"/>
        <filter val="Oct 2021"/>
        <filter val="Sep 2021"/>
        <filter val="Feb 2023"/>
        <filter val="Feb 2024"/>
        <filter val="Feb 2025"/>
        <filter val="Feb 2026"/>
        <filter val="Jan 2021"/>
        <filter val="Jan 2022"/>
        <filter val="Feb 2021"/>
        <filter val="Feb 2022"/>
        <filter val="Jan 2025"/>
        <filter val="Aug 2022"/>
        <filter val="Jan 2026"/>
        <filter val="Aug 2021"/>
        <filter val="Jan 2023"/>
        <filter val="Aug 2020"/>
        <filter val="Jan 2024"/>
        <filter val="Aug 2026"/>
        <filter val="Aug 2025"/>
        <filter val="Aug 2024"/>
        <filter val="Aug 2023"/>
        <filter val="Sep 2022"/>
        <filter val="Sep 2023"/>
        <filter val="Oct 2024"/>
        <filter val="Sep 2024"/>
        <filter val="Oct 2025"/>
        <filter val="Sep 2025"/>
        <filter val="Mar 2023"/>
        <filter val="Mar 2022"/>
        <filter val="Mar 2025"/>
        <filter val="Mar 2024"/>
        <filter val="Mar 2026"/>
      </filters>
    </filterColumn>
    <filterColumn colId="1">
      <filters>
        <filter val="Xbox / PC"/>
        <filter val="Xbox"/>
      </filters>
    </filterColumn>
    <filterColumn colId="4">
      <filters>
        <filter val="Jan 2026"/>
        <filter val="Apr 2026"/>
        <filter val="Feb 2026"/>
        <filter val="Mar 2026"/>
      </filters>
    </filterColumn>
    <sortState ref="A2:L863">
      <sortCondition descending="1" ref="G2:G863"/>
      <sortCondition ref="A2:A863"/>
      <sortCondition descending="1" ref="E2:E863"/>
    </sortState>
  </autoFilter>
  <conditionalFormatting sqref="B1">
    <cfRule type="cellIs" dxfId="4" priority="1" operator="equal">
      <formula>"Xbox"</formula>
    </cfRule>
  </conditionalFormatting>
  <conditionalFormatting sqref="A3:A2459">
    <cfRule type="expression" dxfId="6" priority="2">
      <formula>MATCH(A3,INDIRECT("'Xbox Game Studios'!A:A"),0)</formula>
    </cfRule>
  </conditionalFormatting>
  <conditionalFormatting sqref="A3:A2459">
    <cfRule type="expression" dxfId="5" priority="3">
      <formula>MATCH(A3,INDIRECT("'EA Play'!A:A"),0)</formula>
    </cfRule>
  </conditionalFormatting>
  <conditionalFormatting sqref="A3:A2459 D3:D2459">
    <cfRule type="expression" dxfId="13" priority="4">
      <formula>$D3="Coming Soon"</formula>
    </cfRule>
  </conditionalFormatting>
  <conditionalFormatting sqref="A3:A2459 D3:D2459">
    <cfRule type="expression" dxfId="7" priority="5">
      <formula>$D3="Removed"</formula>
    </cfRule>
  </conditionalFormatting>
  <conditionalFormatting sqref="A3:A2459 D3:D2459">
    <cfRule type="expression" dxfId="10" priority="6">
      <formula>$D3="Leaving Soon"</formula>
    </cfRule>
  </conditionalFormatting>
  <conditionalFormatting sqref="E3:E2459 I3:I2459">
    <cfRule type="expression" dxfId="4" priority="7">
      <formula>AND($E3&lt;&gt;"",(($E3-$H3)/365*12)&lt;1)</formula>
    </cfRule>
  </conditionalFormatting>
  <conditionalFormatting sqref="J3:J2459">
    <cfRule type="cellIs" dxfId="5" priority="8" operator="between">
      <formula>75</formula>
      <formula>89</formula>
    </cfRule>
  </conditionalFormatting>
  <conditionalFormatting sqref="J3:J2459">
    <cfRule type="cellIs" dxfId="6" priority="9" operator="between">
      <formula>50</formula>
      <formula>74</formula>
    </cfRule>
  </conditionalFormatting>
  <conditionalFormatting sqref="J3:J2459">
    <cfRule type="cellIs" dxfId="7" priority="10" operator="between">
      <formula>1</formula>
      <formula>49</formula>
    </cfRule>
  </conditionalFormatting>
  <conditionalFormatting sqref="B3:B2459">
    <cfRule type="expression" dxfId="14" priority="11">
      <formula>AND(MATCH(A3,INDIRECT("'Cross Play'!D2:D"),0),MATCH(A3,INDIRECT("'Cross Play'!A2:A"),0))</formula>
    </cfRule>
  </conditionalFormatting>
  <conditionalFormatting sqref="B3:B2459">
    <cfRule type="expression" dxfId="15" priority="12">
      <formula>MATCH(A3,INDIRECT("'Cross Play'!A2:A"),0)</formula>
    </cfRule>
  </conditionalFormatting>
  <conditionalFormatting sqref="B3:B2459">
    <cfRule type="expression" dxfId="16" priority="13">
      <formula>MATCH(A3,INDIRECT("'Cross Play'!D2:D"),0)</formula>
    </cfRule>
  </conditionalFormatting>
  <conditionalFormatting sqref="I3:I2459">
    <cfRule type="colorScale" priority="14">
      <colorScale>
        <cfvo type="min"/>
        <cfvo type="percentile" val="50"/>
        <cfvo type="max"/>
        <color rgb="FFB6D7A8"/>
        <color rgb="FFFFE599"/>
        <color rgb="FFEA9999"/>
      </colorScale>
    </cfRule>
  </conditionalFormatting>
  <conditionalFormatting sqref="A212">
    <cfRule type="notContainsBlanks" dxfId="5" priority="15">
      <formula>LEN(TRIM(A212))&gt;0</formula>
    </cfRule>
  </conditionalFormatting>
  <conditionalFormatting sqref="J2:J2459 K2">
    <cfRule type="cellIs" dxfId="8" priority="16" operator="between">
      <formula>90</formula>
      <formula>100</formula>
    </cfRule>
  </conditionalFormatting>
  <conditionalFormatting sqref="G3:G2459">
    <cfRule type="expression" dxfId="9" priority="17">
      <formula>MATCH(A3,INDIRECT("'Xbox Game Studios'!A:A"),0)</formula>
    </cfRule>
  </conditionalFormatting>
  <conditionalFormatting sqref="G3:G2459">
    <cfRule type="expression" dxfId="9" priority="18">
      <formula>MATCH(A3,INDIRECT("'EA Play'!A:A"),0)</formula>
    </cfRule>
  </conditionalFormatting>
  <conditionalFormatting sqref="G3:G2459">
    <cfRule type="expression" dxfId="10" priority="19">
      <formula>AND(D3="Active",OR(AND(G3&gt;11,G3&lt;13),AND(G3&gt;23,G3&lt;25),AND(G3&gt;35,G3&lt;37)),)</formula>
    </cfRule>
  </conditionalFormatting>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E1CD"/>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2"/>
  <cols>
    <col customWidth="1" min="1" max="1" width="45.0"/>
    <col customWidth="1" min="2" max="2" width="9.75"/>
    <col customWidth="1" min="3" max="3" width="8.63"/>
    <col customWidth="1" min="4" max="4" width="11.25"/>
  </cols>
  <sheetData>
    <row r="1">
      <c r="A1" s="7" t="s">
        <v>3230</v>
      </c>
      <c r="B1" s="7" t="s">
        <v>3231</v>
      </c>
      <c r="C1" s="7" t="s">
        <v>5</v>
      </c>
      <c r="D1" s="7" t="s">
        <v>4</v>
      </c>
    </row>
    <row r="2">
      <c r="A2" s="17" t="s">
        <v>91</v>
      </c>
      <c r="B2" s="280" t="str">
        <f>VLOOKUP(A2,'Master List'!A:E,2,)</f>
        <v>Xbox / PC</v>
      </c>
      <c r="C2" s="281">
        <f>VLOOKUP(A2,'Master List'!A:E,5,)</f>
        <v>46191</v>
      </c>
      <c r="D2" s="280" t="str">
        <f>VLOOKUP(A2,'Master List'!A:E,4,)</f>
        <v>Active</v>
      </c>
    </row>
    <row r="3">
      <c r="A3" s="17" t="s">
        <v>150</v>
      </c>
      <c r="B3" s="280" t="str">
        <f>VLOOKUP(A3,'Master List'!A:E,2,)</f>
        <v>Xbox</v>
      </c>
      <c r="C3" s="281">
        <f>VLOOKUP(A3,'Master List'!A:E,5,)</f>
        <v>46128</v>
      </c>
      <c r="D3" s="280" t="str">
        <f>VLOOKUP(A3,'Master List'!A:E,4,)</f>
        <v>Active</v>
      </c>
    </row>
    <row r="4">
      <c r="A4" s="17" t="s">
        <v>172</v>
      </c>
      <c r="B4" s="280" t="str">
        <f>VLOOKUP(A4,'Master List'!A:E,2,)</f>
        <v>Xbox / PC</v>
      </c>
      <c r="C4" s="281">
        <f>VLOOKUP(A4,'Master List'!A:E,5,)</f>
        <v>46085</v>
      </c>
      <c r="D4" s="280" t="str">
        <f>VLOOKUP(A4,'Master List'!A:E,4,)</f>
        <v>Active</v>
      </c>
    </row>
    <row r="5">
      <c r="A5" s="193" t="s">
        <v>187</v>
      </c>
      <c r="B5" s="280" t="str">
        <f>VLOOKUP(A5,'Master List'!A:E,2,)</f>
        <v>Xbox</v>
      </c>
      <c r="C5" s="281">
        <f>VLOOKUP(A5,'Master List'!A:E,5,)</f>
        <v>46072</v>
      </c>
      <c r="D5" s="280" t="str">
        <f>VLOOKUP(A5,'Master List'!A:E,4,)</f>
        <v>Active</v>
      </c>
    </row>
    <row r="6">
      <c r="A6" s="193" t="s">
        <v>198</v>
      </c>
      <c r="B6" s="280" t="str">
        <f>VLOOKUP(A6,'Master List'!A:E,2,)</f>
        <v>Xbox / PC</v>
      </c>
      <c r="C6" s="281">
        <f>VLOOKUP(A6,'Master List'!A:E,5,)</f>
        <v>46058</v>
      </c>
      <c r="D6" s="280" t="str">
        <f>VLOOKUP(A6,'Master List'!A:E,4,)</f>
        <v>Active</v>
      </c>
    </row>
    <row r="7">
      <c r="A7" s="17" t="s">
        <v>485</v>
      </c>
      <c r="B7" s="280" t="str">
        <f>VLOOKUP(A7,'Master List'!A:E,2,)</f>
        <v>Xbox</v>
      </c>
      <c r="C7" s="281">
        <f>VLOOKUP(A7,'Master List'!A:E,5,)</f>
        <v>45762</v>
      </c>
      <c r="D7" s="280" t="str">
        <f>VLOOKUP(A7,'Master List'!A:E,4,)</f>
        <v>Active</v>
      </c>
    </row>
    <row r="8">
      <c r="A8" s="17" t="s">
        <v>488</v>
      </c>
      <c r="B8" s="280" t="str">
        <f>VLOOKUP(A8,'Master List'!A:E,2,)</f>
        <v>Xbox</v>
      </c>
      <c r="C8" s="281">
        <f>VLOOKUP(A8,'Master List'!A:E,5,)</f>
        <v>45743</v>
      </c>
      <c r="D8" s="280" t="str">
        <f>VLOOKUP(A8,'Master List'!A:E,4,)</f>
        <v>Active</v>
      </c>
    </row>
    <row r="9">
      <c r="A9" s="17" t="s">
        <v>495</v>
      </c>
      <c r="B9" s="280" t="str">
        <f>VLOOKUP(A9,'Master List'!A:E,2,)</f>
        <v>Xbox / PC</v>
      </c>
      <c r="C9" s="281">
        <f>VLOOKUP(A9,'Master List'!A:E,5,)</f>
        <v>45708</v>
      </c>
      <c r="D9" s="280" t="str">
        <f>VLOOKUP(A9,'Master List'!A:E,4,)</f>
        <v>Active</v>
      </c>
    </row>
    <row r="10">
      <c r="A10" s="17" t="s">
        <v>500</v>
      </c>
      <c r="B10" s="280" t="str">
        <f>VLOOKUP(A10,'Master List'!A:E,2,)</f>
        <v>Xbox / PC</v>
      </c>
      <c r="C10" s="281">
        <f>VLOOKUP(A10,'Master List'!A:E,5,)</f>
        <v>45694</v>
      </c>
      <c r="D10" s="280" t="str">
        <f>VLOOKUP(A10,'Master List'!A:E,4,)</f>
        <v>Active</v>
      </c>
    </row>
    <row r="11">
      <c r="A11" s="188" t="s">
        <v>598</v>
      </c>
      <c r="B11" s="231" t="str">
        <f>VLOOKUP(A11,'Master List'!A:E,2,)</f>
        <v>Xbox</v>
      </c>
      <c r="C11" s="190">
        <f>VLOOKUP(A11,'Master List'!A:E,5,)</f>
        <v>45671</v>
      </c>
      <c r="D11" s="231" t="str">
        <f>VLOOKUP(A11,'Master List'!A:E,4,)</f>
        <v>Active</v>
      </c>
    </row>
    <row r="12">
      <c r="A12" s="17" t="s">
        <v>658</v>
      </c>
      <c r="B12" s="280" t="str">
        <f>VLOOKUP(A12,'Master List'!A:E,2,)</f>
        <v>Xbox / PC</v>
      </c>
      <c r="C12" s="281">
        <f>VLOOKUP(A12,'Master List'!A:E,5,)</f>
        <v>45631</v>
      </c>
      <c r="D12" s="280" t="str">
        <f>VLOOKUP(A12,'Master List'!A:E,4,)</f>
        <v>Active</v>
      </c>
    </row>
    <row r="13">
      <c r="A13" s="17" t="s">
        <v>2205</v>
      </c>
      <c r="B13" s="280" t="str">
        <f>VLOOKUP(A13,'Master List'!A:E,2,)</f>
        <v>Xbox / PC</v>
      </c>
      <c r="C13" s="281">
        <f>VLOOKUP(A13,'Master List'!A:E,5,)</f>
        <v>45468</v>
      </c>
      <c r="D13" s="280" t="str">
        <f>VLOOKUP(A13,'Master List'!A:E,4,)</f>
        <v>Removed</v>
      </c>
    </row>
    <row r="14">
      <c r="A14" s="17" t="s">
        <v>1269</v>
      </c>
      <c r="B14" s="280" t="str">
        <f>VLOOKUP(A14,'Master List'!A:E,2,)</f>
        <v>Xbox / PC</v>
      </c>
      <c r="C14" s="281">
        <f>VLOOKUP(A14,'Master List'!A:E,5,)</f>
        <v>45427</v>
      </c>
      <c r="D14" s="280" t="str">
        <f>VLOOKUP(A14,'Master List'!A:E,4,)</f>
        <v>Active</v>
      </c>
    </row>
    <row r="15">
      <c r="A15" s="17" t="s">
        <v>1345</v>
      </c>
      <c r="B15" s="280" t="str">
        <f>VLOOKUP(A15,'Master List'!A:E,2,)</f>
        <v>Xbox / PC</v>
      </c>
      <c r="C15" s="281">
        <f>VLOOKUP(A15,'Master List'!A:E,5,)</f>
        <v>45407</v>
      </c>
      <c r="D15" s="280" t="str">
        <f>VLOOKUP(A15,'Master List'!A:E,4,)</f>
        <v>Active</v>
      </c>
    </row>
    <row r="16">
      <c r="A16" s="17" t="s">
        <v>2324</v>
      </c>
      <c r="B16" s="280" t="str">
        <f>VLOOKUP(A16,'Master List'!A:E,2,)</f>
        <v>Xbox</v>
      </c>
      <c r="C16" s="281">
        <f>VLOOKUP(A16,'Master List'!A:E,5,)</f>
        <v>45400</v>
      </c>
      <c r="D16" s="280" t="str">
        <f>VLOOKUP(A16,'Master List'!A:E,4,)</f>
        <v>Removed</v>
      </c>
    </row>
    <row r="17">
      <c r="A17" s="17" t="s">
        <v>1349</v>
      </c>
      <c r="B17" s="280" t="str">
        <f>VLOOKUP(A17,'Master List'!A:E,2,)</f>
        <v>PC</v>
      </c>
      <c r="C17" s="281">
        <f>VLOOKUP(A17,'Master List'!A:E,5,)</f>
        <v>45398</v>
      </c>
      <c r="D17" s="280" t="str">
        <f>VLOOKUP(A17,'Master List'!A:E,4,)</f>
        <v>Active</v>
      </c>
    </row>
    <row r="18">
      <c r="A18" s="17" t="s">
        <v>1357</v>
      </c>
      <c r="B18" s="280" t="str">
        <f>VLOOKUP(A18,'Master List'!A:E,2,)</f>
        <v>PC</v>
      </c>
      <c r="C18" s="281">
        <f>VLOOKUP(A18,'Master List'!A:E,5,)</f>
        <v>45398</v>
      </c>
      <c r="D18" s="280" t="str">
        <f>VLOOKUP(A18,'Master List'!A:E,4,)</f>
        <v>Active</v>
      </c>
    </row>
    <row r="19">
      <c r="A19" s="17" t="s">
        <v>1362</v>
      </c>
      <c r="B19" s="280" t="str">
        <f>VLOOKUP(A19,'Master List'!A:E,2,)</f>
        <v>PC</v>
      </c>
      <c r="C19" s="281">
        <f>VLOOKUP(A19,'Master List'!A:E,5,)</f>
        <v>45398</v>
      </c>
      <c r="D19" s="280" t="str">
        <f>VLOOKUP(A19,'Master List'!A:E,4,)</f>
        <v>Active</v>
      </c>
    </row>
    <row r="20">
      <c r="A20" s="17" t="s">
        <v>1368</v>
      </c>
      <c r="B20" s="280" t="str">
        <f>VLOOKUP(A20,'Master List'!A:E,2,)</f>
        <v>Xbox / PC</v>
      </c>
      <c r="C20" s="281">
        <f>VLOOKUP(A20,'Master List'!A:E,5,)</f>
        <v>45386</v>
      </c>
      <c r="D20" s="280" t="str">
        <f>VLOOKUP(A20,'Master List'!A:E,4,)</f>
        <v>Active</v>
      </c>
    </row>
    <row r="21">
      <c r="A21" s="17" t="s">
        <v>2349</v>
      </c>
      <c r="B21" s="231" t="str">
        <f>VLOOKUP(A21,'Master List'!A:E,2,)</f>
        <v>Xbox / PC</v>
      </c>
      <c r="C21" s="217">
        <f>VLOOKUP(A21,'Master List'!A:E,5,)</f>
        <v>45330</v>
      </c>
      <c r="D21" s="231" t="str">
        <f>VLOOKUP(A21,'Master List'!A:E,4,)</f>
        <v>Removed</v>
      </c>
    </row>
    <row r="22">
      <c r="A22" s="188" t="s">
        <v>2344</v>
      </c>
      <c r="B22" s="231" t="str">
        <f>VLOOKUP(A22,'Master List'!A:E,2,)</f>
        <v>Xbox / PC</v>
      </c>
      <c r="C22" s="190">
        <f>VLOOKUP(A22,'Master List'!A:E,5,)</f>
        <v>45309</v>
      </c>
      <c r="D22" s="231" t="str">
        <f>VLOOKUP(A22,'Master List'!A:E,4,)</f>
        <v>Removed</v>
      </c>
    </row>
    <row r="23">
      <c r="A23" s="17" t="s">
        <v>1438</v>
      </c>
      <c r="B23" s="231" t="str">
        <f>VLOOKUP(A23,'Master List'!A:E,2,)</f>
        <v>Xbox / PC</v>
      </c>
      <c r="C23" s="190">
        <f>VLOOKUP(A23,'Master List'!A:E,5,)</f>
        <v>45302</v>
      </c>
      <c r="D23" s="231" t="str">
        <f>VLOOKUP(A23,'Master List'!A:E,4,)</f>
        <v>Active</v>
      </c>
    </row>
    <row r="24">
      <c r="A24" s="17" t="s">
        <v>1466</v>
      </c>
      <c r="B24" s="231" t="str">
        <f>VLOOKUP(A24,'Master List'!A:E,2,)</f>
        <v>Xbox / PC</v>
      </c>
      <c r="C24" s="190">
        <f>VLOOKUP(A24,'Master List'!A:E,5,)</f>
        <v>45239</v>
      </c>
      <c r="D24" s="231" t="str">
        <f>VLOOKUP(A24,'Master List'!A:E,4,)</f>
        <v>Active</v>
      </c>
    </row>
    <row r="25">
      <c r="A25" s="188" t="s">
        <v>1474</v>
      </c>
      <c r="B25" s="231" t="str">
        <f>VLOOKUP(A25,'Master List'!A:E,2,)</f>
        <v>Xbox / PC</v>
      </c>
      <c r="C25" s="190">
        <f>VLOOKUP(A25,'Master List'!A:E,5,)</f>
        <v>45225</v>
      </c>
      <c r="D25" s="231" t="str">
        <f>VLOOKUP(A25,'Master List'!A:E,4,)</f>
        <v>Active</v>
      </c>
    </row>
    <row r="26">
      <c r="A26" s="17" t="s">
        <v>1494</v>
      </c>
      <c r="B26" s="231" t="str">
        <f>VLOOKUP(A26,'Master List'!A:E,2,)</f>
        <v>Xbox / PC</v>
      </c>
      <c r="C26" s="190">
        <f>VLOOKUP(A26,'Master List'!A:E,5,)</f>
        <v>45099</v>
      </c>
      <c r="D26" s="231" t="str">
        <f>VLOOKUP(A26,'Master List'!A:E,4,)</f>
        <v>Active</v>
      </c>
    </row>
    <row r="27">
      <c r="A27" s="188" t="s">
        <v>2599</v>
      </c>
      <c r="B27" s="231" t="str">
        <f>VLOOKUP(A27,'Master List'!A:E,2,)</f>
        <v>Xbox / PC</v>
      </c>
      <c r="C27" s="190">
        <f>VLOOKUP(A27,'Master List'!A:E,5,)</f>
        <v>45062</v>
      </c>
      <c r="D27" s="231" t="str">
        <f>VLOOKUP(A27,'Master List'!A:E,4,)</f>
        <v>Removed</v>
      </c>
    </row>
    <row r="28">
      <c r="A28" s="17" t="s">
        <v>2463</v>
      </c>
      <c r="B28" s="280" t="str">
        <f>VLOOKUP(A28,'Master List'!A:E,2,)</f>
        <v>Xbox</v>
      </c>
      <c r="C28" s="281">
        <f>VLOOKUP(A28,'Master List'!A:E,5,)</f>
        <v>45029</v>
      </c>
      <c r="D28" s="280" t="str">
        <f>VLOOKUP(A28,'Master List'!A:E,4,)</f>
        <v>Removed</v>
      </c>
    </row>
    <row r="29">
      <c r="A29" s="17" t="s">
        <v>2513</v>
      </c>
      <c r="B29" s="280" t="str">
        <f>VLOOKUP(A29,'Master List'!A:E,2,)</f>
        <v>Xbox / PC</v>
      </c>
      <c r="C29" s="281">
        <f>VLOOKUP(A29,'Master List'!A:E,5,)</f>
        <v>44987</v>
      </c>
      <c r="D29" s="280" t="str">
        <f>VLOOKUP(A29,'Master List'!A:E,4,)</f>
        <v>Removed</v>
      </c>
    </row>
    <row r="30">
      <c r="A30" s="188" t="s">
        <v>2525</v>
      </c>
      <c r="B30" s="231" t="str">
        <f>VLOOKUP(A30,'Master List'!A:E,2,)</f>
        <v>Xbox / PC</v>
      </c>
      <c r="C30" s="190">
        <f>VLOOKUP(A30,'Master List'!A:E,5,)</f>
        <v>44966</v>
      </c>
      <c r="D30" s="231" t="str">
        <f>VLOOKUP(A30,'Master List'!A:E,4,)</f>
        <v>Removed</v>
      </c>
    </row>
    <row r="31">
      <c r="A31" s="188" t="s">
        <v>1529</v>
      </c>
      <c r="B31" s="231" t="str">
        <f>VLOOKUP(A31,'Master List'!A:E,2,)</f>
        <v>PC</v>
      </c>
      <c r="C31" s="190">
        <f>VLOOKUP(A31,'Master List'!A:E,5,)</f>
        <v>44901</v>
      </c>
      <c r="D31" s="231" t="str">
        <f>VLOOKUP(A31,'Master List'!A:E,4,)</f>
        <v>Active</v>
      </c>
    </row>
    <row r="32">
      <c r="A32" s="188" t="s">
        <v>1534</v>
      </c>
      <c r="B32" s="231" t="str">
        <f>VLOOKUP(A32,'Master List'!A:E,2,)</f>
        <v>PC</v>
      </c>
      <c r="C32" s="190">
        <f>VLOOKUP(A32,'Master List'!A:E,5,)</f>
        <v>44901</v>
      </c>
      <c r="D32" s="231" t="str">
        <f>VLOOKUP(A32,'Master List'!A:E,4,)</f>
        <v>Active</v>
      </c>
    </row>
    <row r="33">
      <c r="A33" s="188" t="s">
        <v>1540</v>
      </c>
      <c r="B33" s="231" t="str">
        <f>VLOOKUP(A33,'Master List'!A:E,2,)</f>
        <v>PC</v>
      </c>
      <c r="C33" s="190">
        <f>VLOOKUP(A33,'Master List'!A:E,5,)</f>
        <v>44901</v>
      </c>
      <c r="D33" s="231" t="str">
        <f>VLOOKUP(A33,'Master List'!A:E,4,)</f>
        <v>Active</v>
      </c>
    </row>
    <row r="34">
      <c r="A34" s="188" t="s">
        <v>1567</v>
      </c>
      <c r="B34" s="231" t="str">
        <f>VLOOKUP(A34,'Master List'!A:E,2,)</f>
        <v>Xbox / PC</v>
      </c>
      <c r="C34" s="190">
        <f>VLOOKUP(A34,'Master List'!A:E,5,)</f>
        <v>44887</v>
      </c>
      <c r="D34" s="231" t="str">
        <f>VLOOKUP(A34,'Master List'!A:E,4,)</f>
        <v>Active</v>
      </c>
    </row>
    <row r="35">
      <c r="A35" s="188" t="s">
        <v>1613</v>
      </c>
      <c r="B35" s="231" t="str">
        <f>VLOOKUP(A35,'Master List'!A:E,2,)</f>
        <v>Xbox / PC</v>
      </c>
      <c r="C35" s="190">
        <f>VLOOKUP(A35,'Master List'!A:E,5,)</f>
        <v>44805</v>
      </c>
      <c r="D35" s="231" t="str">
        <f>VLOOKUP(A35,'Master List'!A:E,4,)</f>
        <v>Active</v>
      </c>
    </row>
    <row r="36">
      <c r="A36" s="188" t="s">
        <v>2629</v>
      </c>
      <c r="B36" s="231" t="str">
        <f>VLOOKUP(A36,'Master List'!A:E,2,)</f>
        <v>Xbox / PC</v>
      </c>
      <c r="C36" s="190">
        <f>VLOOKUP(A36,'Master List'!A:E,5,)</f>
        <v>44735</v>
      </c>
      <c r="D36" s="231" t="str">
        <f>VLOOKUP(A36,'Master List'!A:E,4,)</f>
        <v>Removed</v>
      </c>
    </row>
    <row r="37">
      <c r="A37" s="188" t="s">
        <v>2657</v>
      </c>
      <c r="B37" s="231" t="str">
        <f>VLOOKUP(A37,'Master List'!A:E,2,)</f>
        <v>Xbox</v>
      </c>
      <c r="C37" s="190">
        <f>VLOOKUP(A37,'Master List'!A:E,5,)</f>
        <v>44693</v>
      </c>
      <c r="D37" s="231" t="str">
        <f>VLOOKUP(A37,'Master List'!A:E,4,)</f>
        <v>Removed</v>
      </c>
    </row>
    <row r="38">
      <c r="A38" s="188" t="s">
        <v>3252</v>
      </c>
      <c r="B38" s="231" t="str">
        <f>VLOOKUP(A38,'Master List'!A:E,2,)</f>
        <v>Xbox / PC</v>
      </c>
      <c r="C38" s="190">
        <f>VLOOKUP(A38,'Master List'!A:E,5,)</f>
        <v>44663</v>
      </c>
      <c r="D38" s="231" t="str">
        <f>VLOOKUP(A38,'Master List'!A:E,4,)</f>
        <v>Removed</v>
      </c>
    </row>
    <row r="39">
      <c r="A39" s="188" t="s">
        <v>2685</v>
      </c>
      <c r="B39" s="231" t="str">
        <f>VLOOKUP(A39,'Master List'!A:E,2,)</f>
        <v>Xbox</v>
      </c>
      <c r="C39" s="190">
        <f>VLOOKUP(A39,'Master List'!A:E,5,)</f>
        <v>44644</v>
      </c>
      <c r="D39" s="231" t="str">
        <f>VLOOKUP(A39,'Master List'!A:E,4,)</f>
        <v>Removed</v>
      </c>
    </row>
    <row r="40">
      <c r="A40" s="188" t="s">
        <v>1708</v>
      </c>
      <c r="B40" s="231" t="str">
        <f>VLOOKUP(A40,'Master List'!A:E,2,)</f>
        <v>Xbox / PC</v>
      </c>
      <c r="C40" s="190">
        <f>VLOOKUP(A40,'Master List'!A:E,5,)</f>
        <v>44616</v>
      </c>
      <c r="D40" s="231" t="str">
        <f>VLOOKUP(A40,'Master List'!A:E,4,)</f>
        <v>Active</v>
      </c>
    </row>
    <row r="41">
      <c r="A41" s="188" t="s">
        <v>2680</v>
      </c>
      <c r="B41" s="231" t="str">
        <f>VLOOKUP(A41,'Master List'!A:E,2,)</f>
        <v>Xbox / PC</v>
      </c>
      <c r="C41" s="190">
        <f>VLOOKUP(A41,'Master List'!A:E,5,)</f>
        <v>44609</v>
      </c>
      <c r="D41" s="231" t="str">
        <f>VLOOKUP(A41,'Master List'!A:E,4,)</f>
        <v>Removed</v>
      </c>
    </row>
    <row r="42">
      <c r="A42" s="188" t="s">
        <v>1713</v>
      </c>
      <c r="B42" s="231" t="str">
        <f>VLOOKUP(A42,'Master List'!A:E,2,)</f>
        <v>PC</v>
      </c>
      <c r="C42" s="190">
        <f>VLOOKUP(A42,'Master List'!A:E,5,)</f>
        <v>44597</v>
      </c>
      <c r="D42" s="231" t="str">
        <f>VLOOKUP(A42,'Master List'!A:E,4,)</f>
        <v>Active</v>
      </c>
    </row>
    <row r="43">
      <c r="A43" s="188" t="s">
        <v>1714</v>
      </c>
      <c r="B43" s="231" t="str">
        <f>VLOOKUP(A43,'Master List'!A:E,2,)</f>
        <v>Xbox / PC</v>
      </c>
      <c r="C43" s="190">
        <f>VLOOKUP(A43,'Master List'!A:E,5,)</f>
        <v>44567</v>
      </c>
      <c r="D43" s="231" t="str">
        <f>VLOOKUP(A43,'Master List'!A:E,4,)</f>
        <v>Active</v>
      </c>
    </row>
    <row r="44">
      <c r="A44" s="188" t="s">
        <v>1724</v>
      </c>
      <c r="B44" s="231" t="str">
        <f>VLOOKUP(A44,'Master List'!A:E,2,)</f>
        <v>Xbox / PC</v>
      </c>
      <c r="C44" s="190">
        <f>VLOOKUP(A44,'Master List'!A:E,5,)</f>
        <v>44504</v>
      </c>
      <c r="D44" s="231" t="str">
        <f>VLOOKUP(A44,'Master List'!A:E,4,)</f>
        <v>Active</v>
      </c>
    </row>
    <row r="45">
      <c r="A45" s="188" t="s">
        <v>1729</v>
      </c>
      <c r="B45" s="231" t="str">
        <f>VLOOKUP(A45,'Master List'!A:E,2,)</f>
        <v>PC</v>
      </c>
      <c r="C45" s="190">
        <f>VLOOKUP(A45,'Master List'!A:E,5,)</f>
        <v>44469</v>
      </c>
      <c r="D45" s="231" t="str">
        <f>VLOOKUP(A45,'Master List'!A:E,4,)</f>
        <v>Active</v>
      </c>
    </row>
    <row r="46">
      <c r="A46" s="188" t="s">
        <v>2979</v>
      </c>
      <c r="B46" s="231" t="str">
        <f>VLOOKUP(A46,'Master List'!A:E,2,)</f>
        <v>Xbox</v>
      </c>
      <c r="C46" s="217">
        <f>VLOOKUP(A46,'Master List'!A:E,5,)</f>
        <v>44418</v>
      </c>
      <c r="D46" s="231" t="str">
        <f>VLOOKUP(A46,'Master List'!A:E,4,)</f>
        <v>Removed</v>
      </c>
    </row>
    <row r="47">
      <c r="A47" s="188" t="s">
        <v>2981</v>
      </c>
      <c r="B47" s="231" t="str">
        <f>VLOOKUP(A47,'Master List'!A:E,2,)</f>
        <v>Xbox</v>
      </c>
      <c r="C47" s="217">
        <f>VLOOKUP(A47,'Master List'!A:E,5,)</f>
        <v>44418</v>
      </c>
      <c r="D47" s="231" t="str">
        <f>VLOOKUP(A47,'Master List'!A:E,4,)</f>
        <v>Removed</v>
      </c>
    </row>
    <row r="48">
      <c r="A48" s="188" t="s">
        <v>1734</v>
      </c>
      <c r="B48" s="231" t="str">
        <f>VLOOKUP(A48,'Master List'!A:E,2,)</f>
        <v>PC</v>
      </c>
      <c r="C48" s="190">
        <f>VLOOKUP(A48,'Master List'!A:E,5,)</f>
        <v>44425</v>
      </c>
      <c r="D48" s="231" t="str">
        <f>VLOOKUP(A48,'Master List'!A:E,4,)</f>
        <v>Active</v>
      </c>
    </row>
    <row r="49">
      <c r="A49" s="188" t="s">
        <v>1735</v>
      </c>
      <c r="B49" s="231" t="str">
        <f>VLOOKUP(A49,'Master List'!A:E,2,)</f>
        <v>PC</v>
      </c>
      <c r="C49" s="190">
        <f>VLOOKUP(A49,'Master List'!A:E,5,)</f>
        <v>44425</v>
      </c>
      <c r="D49" s="231" t="str">
        <f>VLOOKUP(A49,'Master List'!A:E,4,)</f>
        <v>Active</v>
      </c>
    </row>
    <row r="50">
      <c r="A50" s="188" t="s">
        <v>1737</v>
      </c>
      <c r="B50" s="231" t="str">
        <f>VLOOKUP(A50,'Master List'!A:E,2,)</f>
        <v>PC</v>
      </c>
      <c r="C50" s="190">
        <f>VLOOKUP(A50,'Master List'!A:E,5,)</f>
        <v>44425</v>
      </c>
      <c r="D50" s="231" t="str">
        <f>VLOOKUP(A50,'Master List'!A:E,4,)</f>
        <v>Active</v>
      </c>
    </row>
    <row r="51">
      <c r="A51" s="188" t="s">
        <v>1739</v>
      </c>
      <c r="B51" s="231" t="str">
        <f>VLOOKUP(A51,'Master List'!A:E,2,)</f>
        <v>Xbox</v>
      </c>
      <c r="C51" s="217">
        <f>VLOOKUP(A51,'Master List'!A:E,5,)</f>
        <v>44418</v>
      </c>
      <c r="D51" s="231" t="str">
        <f>VLOOKUP(A51,'Master List'!A:E,4,)</f>
        <v>Active</v>
      </c>
    </row>
    <row r="52">
      <c r="A52" s="188" t="s">
        <v>2868</v>
      </c>
      <c r="B52" s="231" t="str">
        <f>VLOOKUP(A52,'Master List'!A:E,2,)</f>
        <v>Xbox</v>
      </c>
      <c r="C52" s="190">
        <f>VLOOKUP(A52,'Master List'!A:E,5,)</f>
        <v>44418</v>
      </c>
      <c r="D52" s="231" t="str">
        <f>VLOOKUP(A52,'Master List'!A:E,4,)</f>
        <v>Removed</v>
      </c>
    </row>
    <row r="53">
      <c r="A53" s="188" t="s">
        <v>2705</v>
      </c>
      <c r="B53" s="231" t="str">
        <f>VLOOKUP(A53,'Master List'!A:E,2,)</f>
        <v>Xbox</v>
      </c>
      <c r="C53" s="190">
        <f>VLOOKUP(A53,'Master List'!A:E,5,)</f>
        <v>44418</v>
      </c>
      <c r="D53" s="231" t="str">
        <f>VLOOKUP(A53,'Master List'!A:E,4,)</f>
        <v>Removed</v>
      </c>
    </row>
    <row r="54">
      <c r="A54" s="188" t="s">
        <v>1741</v>
      </c>
      <c r="B54" s="231" t="str">
        <f>VLOOKUP(A54,'Master List'!A:E,2,)</f>
        <v>Xbox</v>
      </c>
      <c r="C54" s="190">
        <f>VLOOKUP(A54,'Master List'!A:E,5,)</f>
        <v>44413</v>
      </c>
      <c r="D54" s="231" t="str">
        <f>VLOOKUP(A54,'Master List'!A:E,4,)</f>
        <v>Active</v>
      </c>
    </row>
    <row r="55">
      <c r="A55" s="188" t="s">
        <v>1746</v>
      </c>
      <c r="B55" s="231" t="str">
        <f>VLOOKUP(A55,'Master List'!A:E,2,)</f>
        <v>Xbox</v>
      </c>
      <c r="C55" s="190">
        <f>VLOOKUP(A55,'Master List'!A:E,5,)</f>
        <v>44385</v>
      </c>
      <c r="D55" s="231" t="str">
        <f>VLOOKUP(A55,'Master List'!A:E,4,)</f>
        <v>Active</v>
      </c>
    </row>
    <row r="56">
      <c r="A56" s="188" t="s">
        <v>1752</v>
      </c>
      <c r="B56" s="231" t="str">
        <f>VLOOKUP(A56,'Master List'!A:E,2,)</f>
        <v>Xbox / PC</v>
      </c>
      <c r="C56" s="190">
        <f>VLOOKUP(A56,'Master List'!A:E,5,)</f>
        <v>44371</v>
      </c>
      <c r="D56" s="231" t="str">
        <f>VLOOKUP(A56,'Master List'!A:E,4,)</f>
        <v>Active</v>
      </c>
    </row>
    <row r="57">
      <c r="A57" s="188" t="s">
        <v>2083</v>
      </c>
      <c r="B57" s="231" t="str">
        <f>VLOOKUP(A57,'Master List'!A:E,2,)</f>
        <v>Xbox / PC</v>
      </c>
      <c r="C57" s="190">
        <f>VLOOKUP(A57,'Master List'!A:E,5,)</f>
        <v>44337</v>
      </c>
      <c r="D57" s="231" t="str">
        <f>VLOOKUP(A57,'Master List'!A:E,4,)</f>
        <v>Removed</v>
      </c>
    </row>
    <row r="58">
      <c r="A58" s="188" t="s">
        <v>2816</v>
      </c>
      <c r="B58" s="231" t="str">
        <f>VLOOKUP(A58,'Master List'!A:E,2,)</f>
        <v>Xbox / PC</v>
      </c>
      <c r="C58" s="190">
        <f>VLOOKUP(A58,'Master List'!A:E,5,)</f>
        <v>44322</v>
      </c>
      <c r="D58" s="231" t="str">
        <f>VLOOKUP(A58,'Master List'!A:E,4,)</f>
        <v>Removed</v>
      </c>
    </row>
    <row r="59">
      <c r="A59" s="188" t="s">
        <v>2837</v>
      </c>
      <c r="B59" s="231" t="str">
        <f>VLOOKUP(A59,'Master List'!A:E,2,)</f>
        <v>Xbox</v>
      </c>
      <c r="C59" s="190">
        <f>VLOOKUP(A59,'Master List'!A:E,5,)</f>
        <v>44298</v>
      </c>
      <c r="D59" s="231" t="str">
        <f>VLOOKUP(A59,'Master List'!A:E,4,)</f>
        <v>Removed</v>
      </c>
    </row>
    <row r="60">
      <c r="A60" s="188" t="s">
        <v>1796</v>
      </c>
      <c r="B60" s="231" t="str">
        <f>VLOOKUP(A60,'Master List'!A:E,2,)</f>
        <v>Xbox / PC</v>
      </c>
      <c r="C60" s="190">
        <f>VLOOKUP(A60,'Master List'!A:E,5,)</f>
        <v>44273</v>
      </c>
      <c r="D60" s="231" t="str">
        <f>VLOOKUP(A60,'Master List'!A:E,4,)</f>
        <v>Active</v>
      </c>
    </row>
    <row r="61">
      <c r="A61" s="188" t="s">
        <v>3263</v>
      </c>
      <c r="B61" s="231" t="str">
        <f>VLOOKUP(A61,'Master List'!A:E,2,)</f>
        <v>PC</v>
      </c>
      <c r="C61" s="190">
        <f>VLOOKUP(A61,'Master List'!A:E,5,)</f>
        <v>44273</v>
      </c>
      <c r="D61" s="231" t="str">
        <f>VLOOKUP(A61,'Master List'!A:E,4,)</f>
        <v>Removed</v>
      </c>
    </row>
    <row r="62">
      <c r="A62" s="188" t="s">
        <v>3118</v>
      </c>
      <c r="B62" s="231" t="str">
        <f>VLOOKUP(A62,'Master List'!A:E,2,)</f>
        <v>PC</v>
      </c>
      <c r="C62" s="190">
        <f>VLOOKUP(A62,'Master List'!A:E,5,)</f>
        <v>44273</v>
      </c>
      <c r="D62" s="231" t="str">
        <f>VLOOKUP(A62,'Master List'!A:E,4,)</f>
        <v>Removed</v>
      </c>
    </row>
    <row r="63">
      <c r="A63" s="188" t="s">
        <v>3070</v>
      </c>
      <c r="B63" s="231" t="str">
        <f>VLOOKUP(A63,'Master List'!A:E,2,)</f>
        <v>PC</v>
      </c>
      <c r="C63" s="190">
        <f>VLOOKUP(A63,'Master List'!A:E,5,)</f>
        <v>44273</v>
      </c>
      <c r="D63" s="231" t="str">
        <f>VLOOKUP(A63,'Master List'!A:E,4,)</f>
        <v>Removed</v>
      </c>
    </row>
    <row r="64">
      <c r="A64" s="188" t="s">
        <v>1773</v>
      </c>
      <c r="B64" s="231" t="str">
        <f>VLOOKUP(A64,'Master List'!A:E,2,)</f>
        <v>PC</v>
      </c>
      <c r="C64" s="190">
        <f>VLOOKUP(A64,'Master List'!A:E,5,)</f>
        <v>44273</v>
      </c>
      <c r="D64" s="231" t="str">
        <f>VLOOKUP(A64,'Master List'!A:E,4,)</f>
        <v>Active</v>
      </c>
    </row>
    <row r="65">
      <c r="A65" s="188" t="s">
        <v>3071</v>
      </c>
      <c r="B65" s="231" t="str">
        <f>VLOOKUP(A65,'Master List'!A:E,2,)</f>
        <v>PC</v>
      </c>
      <c r="C65" s="190">
        <f>VLOOKUP(A65,'Master List'!A:E,5,)</f>
        <v>44273</v>
      </c>
      <c r="D65" s="231" t="str">
        <f>VLOOKUP(A65,'Master List'!A:E,4,)</f>
        <v>Removed</v>
      </c>
    </row>
    <row r="66">
      <c r="A66" s="188" t="s">
        <v>3237</v>
      </c>
      <c r="B66" s="231" t="str">
        <f>VLOOKUP(A66,'Master List'!A:E,2,)</f>
        <v>PC</v>
      </c>
      <c r="C66" s="190">
        <f>VLOOKUP(A66,'Master List'!A:E,5,)</f>
        <v>44273</v>
      </c>
      <c r="D66" s="231" t="str">
        <f>VLOOKUP(A66,'Master List'!A:E,4,)</f>
        <v>Removed</v>
      </c>
    </row>
    <row r="67">
      <c r="A67" s="188" t="s">
        <v>3268</v>
      </c>
      <c r="B67" s="231" t="str">
        <f>VLOOKUP(A67,'Master List'!A:E,2,)</f>
        <v>PC</v>
      </c>
      <c r="C67" s="190">
        <f>VLOOKUP(A67,'Master List'!A:E,5,)</f>
        <v>44273</v>
      </c>
      <c r="D67" s="231" t="str">
        <f>VLOOKUP(A67,'Master List'!A:E,4,)</f>
        <v>Removed</v>
      </c>
    </row>
    <row r="68">
      <c r="A68" s="188" t="s">
        <v>3072</v>
      </c>
      <c r="B68" s="231" t="str">
        <f>VLOOKUP(A68,'Master List'!A:E,2,)</f>
        <v>PC</v>
      </c>
      <c r="C68" s="190">
        <f>VLOOKUP(A68,'Master List'!A:E,5,)</f>
        <v>44273</v>
      </c>
      <c r="D68" s="231" t="str">
        <f>VLOOKUP(A68,'Master List'!A:E,4,)</f>
        <v>Removed</v>
      </c>
    </row>
    <row r="69">
      <c r="A69" s="188" t="s">
        <v>1775</v>
      </c>
      <c r="B69" s="231" t="str">
        <f>VLOOKUP(A69,'Master List'!A:E,2,)</f>
        <v>PC</v>
      </c>
      <c r="C69" s="190">
        <f>VLOOKUP(A69,'Master List'!A:E,5,)</f>
        <v>44273</v>
      </c>
      <c r="D69" s="231" t="str">
        <f>VLOOKUP(A69,'Master List'!A:E,4,)</f>
        <v>Active</v>
      </c>
    </row>
    <row r="70">
      <c r="A70" s="188" t="s">
        <v>1777</v>
      </c>
      <c r="B70" s="231" t="str">
        <f>VLOOKUP(A70,'Master List'!A:E,2,)</f>
        <v>PC</v>
      </c>
      <c r="C70" s="190">
        <f>VLOOKUP(A70,'Master List'!A:E,5,)</f>
        <v>44273</v>
      </c>
      <c r="D70" s="231" t="str">
        <f>VLOOKUP(A70,'Master List'!A:E,4,)</f>
        <v>Active</v>
      </c>
    </row>
    <row r="71">
      <c r="A71" s="188" t="s">
        <v>3074</v>
      </c>
      <c r="B71" s="231" t="str">
        <f>VLOOKUP(A71,'Master List'!A:E,2,)</f>
        <v>PC</v>
      </c>
      <c r="C71" s="190">
        <f>VLOOKUP(A71,'Master List'!A:E,5,)</f>
        <v>44273</v>
      </c>
      <c r="D71" s="231" t="str">
        <f>VLOOKUP(A71,'Master List'!A:E,4,)</f>
        <v>Removed</v>
      </c>
    </row>
    <row r="72">
      <c r="A72" s="188" t="s">
        <v>3076</v>
      </c>
      <c r="B72" s="231" t="str">
        <f>VLOOKUP(A72,'Master List'!A:E,2,)</f>
        <v>PC</v>
      </c>
      <c r="C72" s="190">
        <f>VLOOKUP(A72,'Master List'!A:E,5,)</f>
        <v>44273</v>
      </c>
      <c r="D72" s="231" t="str">
        <f>VLOOKUP(A72,'Master List'!A:E,4,)</f>
        <v>Removed</v>
      </c>
    </row>
    <row r="73">
      <c r="A73" s="188" t="s">
        <v>3243</v>
      </c>
      <c r="B73" s="231" t="str">
        <f>VLOOKUP(A73,'Master List'!A:E,2,)</f>
        <v>PC</v>
      </c>
      <c r="C73" s="190">
        <f>VLOOKUP(A73,'Master List'!A:E,5,)</f>
        <v>44273</v>
      </c>
      <c r="D73" s="231" t="str">
        <f>VLOOKUP(A73,'Master List'!A:E,4,)</f>
        <v>Removed</v>
      </c>
    </row>
    <row r="74">
      <c r="A74" s="188" t="s">
        <v>3146</v>
      </c>
      <c r="B74" s="231" t="str">
        <f>VLOOKUP(A74,'Master List'!A:E,2,)</f>
        <v>PC</v>
      </c>
      <c r="C74" s="190">
        <f>VLOOKUP(A74,'Master List'!A:E,5,)</f>
        <v>44273</v>
      </c>
      <c r="D74" s="231" t="str">
        <f>VLOOKUP(A74,'Master List'!A:E,4,)</f>
        <v>Removed</v>
      </c>
    </row>
    <row r="75">
      <c r="A75" s="188" t="s">
        <v>3078</v>
      </c>
      <c r="B75" s="231" t="str">
        <f>VLOOKUP(A75,'Master List'!A:E,2,)</f>
        <v>PC</v>
      </c>
      <c r="C75" s="190">
        <f>VLOOKUP(A75,'Master List'!A:E,5,)</f>
        <v>44273</v>
      </c>
      <c r="D75" s="231" t="str">
        <f>VLOOKUP(A75,'Master List'!A:E,4,)</f>
        <v>Removed</v>
      </c>
    </row>
    <row r="76">
      <c r="A76" s="188" t="s">
        <v>3204</v>
      </c>
      <c r="B76" s="231" t="str">
        <f>VLOOKUP(A76,'Master List'!A:E,2,)</f>
        <v>PC</v>
      </c>
      <c r="C76" s="190">
        <f>VLOOKUP(A76,'Master List'!A:E,5,)</f>
        <v>44273</v>
      </c>
      <c r="D76" s="231" t="str">
        <f>VLOOKUP(A76,'Master List'!A:E,4,)</f>
        <v>Removed</v>
      </c>
    </row>
    <row r="77">
      <c r="A77" s="188" t="s">
        <v>1779</v>
      </c>
      <c r="B77" s="231" t="str">
        <f>VLOOKUP(A77,'Master List'!A:E,2,)</f>
        <v>PC</v>
      </c>
      <c r="C77" s="190">
        <f>VLOOKUP(A77,'Master List'!A:E,5,)</f>
        <v>44273</v>
      </c>
      <c r="D77" s="231" t="str">
        <f>VLOOKUP(A77,'Master List'!A:E,4,)</f>
        <v>Active</v>
      </c>
    </row>
    <row r="78">
      <c r="A78" s="188" t="s">
        <v>3156</v>
      </c>
      <c r="B78" s="231" t="str">
        <f>VLOOKUP(A78,'Master List'!A:E,2,)</f>
        <v>PC</v>
      </c>
      <c r="C78" s="190">
        <f>VLOOKUP(A78,'Master List'!A:E,5,)</f>
        <v>44273</v>
      </c>
      <c r="D78" s="231" t="str">
        <f>VLOOKUP(A78,'Master List'!A:E,4,)</f>
        <v>Removed</v>
      </c>
    </row>
    <row r="79">
      <c r="A79" s="188" t="s">
        <v>3119</v>
      </c>
      <c r="B79" s="231" t="str">
        <f>VLOOKUP(A79,'Master List'!A:E,2,)</f>
        <v>PC</v>
      </c>
      <c r="C79" s="190">
        <f>VLOOKUP(A79,'Master List'!A:E,5,)</f>
        <v>44273</v>
      </c>
      <c r="D79" s="231" t="str">
        <f>VLOOKUP(A79,'Master List'!A:E,4,)</f>
        <v>Removed</v>
      </c>
    </row>
    <row r="80">
      <c r="A80" s="188" t="s">
        <v>1781</v>
      </c>
      <c r="B80" s="231" t="str">
        <f>VLOOKUP(A80,'Master List'!A:E,2,)</f>
        <v>PC</v>
      </c>
      <c r="C80" s="190">
        <f>VLOOKUP(A80,'Master List'!A:E,5,)</f>
        <v>44273</v>
      </c>
      <c r="D80" s="231" t="str">
        <f>VLOOKUP(A80,'Master List'!A:E,4,)</f>
        <v>Active</v>
      </c>
    </row>
    <row r="81">
      <c r="A81" s="188" t="s">
        <v>3238</v>
      </c>
      <c r="B81" s="231" t="str">
        <f>VLOOKUP(A81,'Master List'!A:E,2,)</f>
        <v>PC</v>
      </c>
      <c r="C81" s="190">
        <f>VLOOKUP(A81,'Master List'!A:E,5,)</f>
        <v>44273</v>
      </c>
      <c r="D81" s="231" t="str">
        <f>VLOOKUP(A81,'Master List'!A:E,4,)</f>
        <v>Removed</v>
      </c>
    </row>
    <row r="82">
      <c r="A82" s="188" t="s">
        <v>2133</v>
      </c>
      <c r="B82" s="231" t="str">
        <f>VLOOKUP(A82,'Master List'!A:E,2,)</f>
        <v>PC</v>
      </c>
      <c r="C82" s="190">
        <f>VLOOKUP(A82,'Master List'!A:E,5,)</f>
        <v>44273</v>
      </c>
      <c r="D82" s="231" t="str">
        <f>VLOOKUP(A82,'Master List'!A:E,4,)</f>
        <v>Removed</v>
      </c>
    </row>
    <row r="83">
      <c r="A83" s="188" t="s">
        <v>1782</v>
      </c>
      <c r="B83" s="231" t="str">
        <f>VLOOKUP(A83,'Master List'!A:E,2,)</f>
        <v>PC</v>
      </c>
      <c r="C83" s="190">
        <f>VLOOKUP(A83,'Master List'!A:E,5,)</f>
        <v>44273</v>
      </c>
      <c r="D83" s="231" t="str">
        <f>VLOOKUP(A83,'Master List'!A:E,4,)</f>
        <v>Active</v>
      </c>
    </row>
    <row r="84">
      <c r="A84" s="188" t="s">
        <v>3239</v>
      </c>
      <c r="B84" s="231" t="str">
        <f>VLOOKUP(A84,'Master List'!A:E,2,)</f>
        <v>PC</v>
      </c>
      <c r="C84" s="190">
        <f>VLOOKUP(A84,'Master List'!A:E,5,)</f>
        <v>44273</v>
      </c>
      <c r="D84" s="231" t="str">
        <f>VLOOKUP(A84,'Master List'!A:E,4,)</f>
        <v>Removed</v>
      </c>
    </row>
    <row r="85">
      <c r="A85" s="188" t="s">
        <v>3241</v>
      </c>
      <c r="B85" s="231" t="str">
        <f>VLOOKUP(A85,'Master List'!A:E,2,)</f>
        <v>PC</v>
      </c>
      <c r="C85" s="190">
        <f>VLOOKUP(A85,'Master List'!A:E,5,)</f>
        <v>44273</v>
      </c>
      <c r="D85" s="231" t="str">
        <f>VLOOKUP(A85,'Master List'!A:E,4,)</f>
        <v>Removed</v>
      </c>
    </row>
    <row r="86">
      <c r="A86" s="188" t="s">
        <v>1784</v>
      </c>
      <c r="B86" s="231" t="str">
        <f>VLOOKUP(A86,'Master List'!A:E,2,)</f>
        <v>PC</v>
      </c>
      <c r="C86" s="190">
        <f>VLOOKUP(A86,'Master List'!A:E,5,)</f>
        <v>44273</v>
      </c>
      <c r="D86" s="231" t="str">
        <f>VLOOKUP(A86,'Master List'!A:E,4,)</f>
        <v>Active</v>
      </c>
    </row>
    <row r="87">
      <c r="A87" s="188" t="s">
        <v>1785</v>
      </c>
      <c r="B87" s="231" t="str">
        <f>VLOOKUP(A87,'Master List'!A:E,2,)</f>
        <v>PC</v>
      </c>
      <c r="C87" s="190">
        <f>VLOOKUP(A87,'Master List'!A:E,5,)</f>
        <v>44273</v>
      </c>
      <c r="D87" s="231" t="str">
        <f>VLOOKUP(A87,'Master List'!A:E,4,)</f>
        <v>Active</v>
      </c>
    </row>
    <row r="88">
      <c r="A88" s="188" t="s">
        <v>3236</v>
      </c>
      <c r="B88" s="231" t="str">
        <f>VLOOKUP(A88,'Master List'!A:E,2,)</f>
        <v>PC</v>
      </c>
      <c r="C88" s="190">
        <f>VLOOKUP(A88,'Master List'!A:E,5,)</f>
        <v>44273</v>
      </c>
      <c r="D88" s="231" t="str">
        <f>VLOOKUP(A88,'Master List'!A:E,4,)</f>
        <v>Removed</v>
      </c>
    </row>
    <row r="89">
      <c r="A89" s="188" t="s">
        <v>1787</v>
      </c>
      <c r="B89" s="231" t="str">
        <f>VLOOKUP(A89,'Master List'!A:E,2,)</f>
        <v>PC</v>
      </c>
      <c r="C89" s="190">
        <f>VLOOKUP(A89,'Master List'!A:E,5,)</f>
        <v>44273</v>
      </c>
      <c r="D89" s="231" t="str">
        <f>VLOOKUP(A89,'Master List'!A:E,4,)</f>
        <v>Active</v>
      </c>
    </row>
    <row r="90">
      <c r="A90" s="188" t="s">
        <v>3242</v>
      </c>
      <c r="B90" s="231" t="str">
        <f>VLOOKUP(A90,'Master List'!A:E,2,)</f>
        <v>PC</v>
      </c>
      <c r="C90" s="190">
        <f>VLOOKUP(A90,'Master List'!A:E,5,)</f>
        <v>44273</v>
      </c>
      <c r="D90" s="231" t="str">
        <f>VLOOKUP(A90,'Master List'!A:E,4,)</f>
        <v>Removed</v>
      </c>
    </row>
    <row r="91">
      <c r="A91" s="188" t="s">
        <v>1799</v>
      </c>
      <c r="B91" s="231" t="str">
        <f>VLOOKUP(A91,'Master List'!A:E,2,)</f>
        <v>PC</v>
      </c>
      <c r="C91" s="190">
        <f>VLOOKUP(A91,'Master List'!A:E,5,)</f>
        <v>44273</v>
      </c>
      <c r="D91" s="231" t="str">
        <f>VLOOKUP(A91,'Master List'!A:E,4,)</f>
        <v>Active</v>
      </c>
    </row>
    <row r="92">
      <c r="A92" s="188" t="s">
        <v>3121</v>
      </c>
      <c r="B92" s="231" t="str">
        <f>VLOOKUP(A92,'Master List'!A:E,2,)</f>
        <v>PC</v>
      </c>
      <c r="C92" s="190">
        <f>VLOOKUP(A92,'Master List'!A:E,5,)</f>
        <v>44273</v>
      </c>
      <c r="D92" s="231" t="str">
        <f>VLOOKUP(A92,'Master List'!A:E,4,)</f>
        <v>Removed</v>
      </c>
    </row>
    <row r="93">
      <c r="A93" s="188" t="s">
        <v>3284</v>
      </c>
      <c r="B93" s="231" t="str">
        <f>VLOOKUP(A93,'Master List'!A:E,2,)</f>
        <v>PC</v>
      </c>
      <c r="C93" s="190">
        <f>VLOOKUP(A93,'Master List'!A:E,5,)</f>
        <v>44273</v>
      </c>
      <c r="D93" s="231" t="str">
        <f>VLOOKUP(A93,'Master List'!A:E,4,)</f>
        <v>Removed</v>
      </c>
    </row>
    <row r="94">
      <c r="A94" s="188" t="s">
        <v>3205</v>
      </c>
      <c r="B94" s="231" t="str">
        <f>VLOOKUP(A94,'Master List'!A:E,2,)</f>
        <v>PC</v>
      </c>
      <c r="C94" s="190">
        <f>VLOOKUP(A94,'Master List'!A:E,5,)</f>
        <v>44273</v>
      </c>
      <c r="D94" s="231" t="str">
        <f>VLOOKUP(A94,'Master List'!A:E,4,)</f>
        <v>Removed</v>
      </c>
    </row>
    <row r="95">
      <c r="A95" s="188" t="s">
        <v>1792</v>
      </c>
      <c r="B95" s="231" t="str">
        <f>VLOOKUP(A95,'Master List'!A:E,2,)</f>
        <v>PC</v>
      </c>
      <c r="C95" s="190">
        <f>VLOOKUP(A95,'Master List'!A:E,5,)</f>
        <v>44273</v>
      </c>
      <c r="D95" s="231" t="str">
        <f>VLOOKUP(A95,'Master List'!A:E,4,)</f>
        <v>Active</v>
      </c>
    </row>
    <row r="96">
      <c r="A96" s="188" t="s">
        <v>1790</v>
      </c>
      <c r="B96" s="231" t="str">
        <f>VLOOKUP(A96,'Master List'!A:E,2,)</f>
        <v>PC</v>
      </c>
      <c r="C96" s="190">
        <f>VLOOKUP(A96,'Master List'!A:E,5,)</f>
        <v>44273</v>
      </c>
      <c r="D96" s="231" t="str">
        <f>VLOOKUP(A96,'Master List'!A:E,4,)</f>
        <v>Active</v>
      </c>
    </row>
    <row r="97">
      <c r="A97" s="188" t="s">
        <v>1791</v>
      </c>
      <c r="B97" s="231" t="str">
        <f>VLOOKUP(A97,'Master List'!A:E,2,)</f>
        <v>PC</v>
      </c>
      <c r="C97" s="190">
        <f>VLOOKUP(A97,'Master List'!A:E,5,)</f>
        <v>44273</v>
      </c>
      <c r="D97" s="231" t="str">
        <f>VLOOKUP(A97,'Master List'!A:E,4,)</f>
        <v>Active</v>
      </c>
    </row>
    <row r="98">
      <c r="A98" s="188" t="s">
        <v>1801</v>
      </c>
      <c r="B98" s="231" t="str">
        <f>VLOOKUP(A98,'Master List'!A:E,2,)</f>
        <v>PC</v>
      </c>
      <c r="C98" s="190">
        <f>VLOOKUP(A98,'Master List'!A:E,5,)</f>
        <v>44273</v>
      </c>
      <c r="D98" s="231" t="str">
        <f>VLOOKUP(A98,'Master List'!A:E,4,)</f>
        <v>Active</v>
      </c>
    </row>
    <row r="99">
      <c r="A99" s="188" t="s">
        <v>1794</v>
      </c>
      <c r="B99" s="231" t="str">
        <f>VLOOKUP(A99,'Master List'!A:E,2,)</f>
        <v>PC</v>
      </c>
      <c r="C99" s="190">
        <f>VLOOKUP(A99,'Master List'!A:E,5,)</f>
        <v>44273</v>
      </c>
      <c r="D99" s="231" t="str">
        <f>VLOOKUP(A99,'Master List'!A:E,4,)</f>
        <v>Active</v>
      </c>
    </row>
    <row r="100">
      <c r="A100" s="188" t="s">
        <v>3289</v>
      </c>
      <c r="B100" s="231" t="str">
        <f>VLOOKUP(A100,'Master List'!A:E,2,)</f>
        <v>PC</v>
      </c>
      <c r="C100" s="190">
        <f>VLOOKUP(A100,'Master List'!A:E,5,)</f>
        <v>44273</v>
      </c>
      <c r="D100" s="231" t="str">
        <f>VLOOKUP(A100,'Master List'!A:E,4,)</f>
        <v>Removed</v>
      </c>
    </row>
    <row r="101">
      <c r="A101" s="188" t="s">
        <v>3227</v>
      </c>
      <c r="B101" s="231" t="str">
        <f>VLOOKUP(A101,'Master List'!A:E,2,)</f>
        <v>PC</v>
      </c>
      <c r="C101" s="190">
        <f>VLOOKUP(A101,'Master List'!A:E,5,)</f>
        <v>44273</v>
      </c>
      <c r="D101" s="231" t="str">
        <f>VLOOKUP(A101,'Master List'!A:E,4,)</f>
        <v>Removed</v>
      </c>
    </row>
    <row r="102">
      <c r="A102" s="188" t="s">
        <v>3228</v>
      </c>
      <c r="B102" s="231" t="str">
        <f>VLOOKUP(A102,'Master List'!A:E,2,)</f>
        <v>PC</v>
      </c>
      <c r="C102" s="190">
        <f>VLOOKUP(A102,'Master List'!A:E,5,)</f>
        <v>44273</v>
      </c>
      <c r="D102" s="231" t="str">
        <f>VLOOKUP(A102,'Master List'!A:E,4,)</f>
        <v>Removed</v>
      </c>
    </row>
    <row r="103">
      <c r="A103" s="188" t="s">
        <v>3291</v>
      </c>
      <c r="B103" s="231" t="str">
        <f>VLOOKUP(A103,'Master List'!A:E,2,)</f>
        <v>PC</v>
      </c>
      <c r="C103" s="190">
        <f>VLOOKUP(A103,'Master List'!A:E,5,)</f>
        <v>44273</v>
      </c>
      <c r="D103" s="231" t="str">
        <f>VLOOKUP(A103,'Master List'!A:E,4,)</f>
        <v>Removed</v>
      </c>
    </row>
    <row r="104">
      <c r="A104" s="188" t="s">
        <v>3292</v>
      </c>
      <c r="B104" s="231" t="str">
        <f>VLOOKUP(A104,'Master List'!A:E,2,)</f>
        <v>PC</v>
      </c>
      <c r="C104" s="190">
        <f>VLOOKUP(A104,'Master List'!A:E,5,)</f>
        <v>44273</v>
      </c>
      <c r="D104" s="231" t="str">
        <f>VLOOKUP(A104,'Master List'!A:E,4,)</f>
        <v>Removed</v>
      </c>
    </row>
    <row r="105">
      <c r="A105" s="188" t="s">
        <v>3294</v>
      </c>
      <c r="B105" s="231" t="str">
        <f>VLOOKUP(A105,'Master List'!A:E,2,)</f>
        <v>PC</v>
      </c>
      <c r="C105" s="190">
        <f>VLOOKUP(A105,'Master List'!A:E,5,)</f>
        <v>44273</v>
      </c>
      <c r="D105" s="231" t="str">
        <f>VLOOKUP(A105,'Master List'!A:E,4,)</f>
        <v>Removed</v>
      </c>
    </row>
    <row r="106">
      <c r="A106" s="188" t="s">
        <v>3295</v>
      </c>
      <c r="B106" s="231" t="str">
        <f>VLOOKUP(A106,'Master List'!A:E,2,)</f>
        <v>PC</v>
      </c>
      <c r="C106" s="190">
        <f>VLOOKUP(A106,'Master List'!A:E,5,)</f>
        <v>44273</v>
      </c>
      <c r="D106" s="231" t="str">
        <f>VLOOKUP(A106,'Master List'!A:E,4,)</f>
        <v>Removed</v>
      </c>
    </row>
    <row r="107">
      <c r="A107" s="188" t="s">
        <v>3229</v>
      </c>
      <c r="B107" s="231" t="str">
        <f>VLOOKUP(A107,'Master List'!A:E,2,)</f>
        <v>PC</v>
      </c>
      <c r="C107" s="190">
        <f>VLOOKUP(A107,'Master List'!A:E,5,)</f>
        <v>44273</v>
      </c>
      <c r="D107" s="231" t="str">
        <f>VLOOKUP(A107,'Master List'!A:E,4,)</f>
        <v>Removed</v>
      </c>
    </row>
    <row r="108">
      <c r="A108" s="188" t="s">
        <v>3298</v>
      </c>
      <c r="B108" s="231" t="str">
        <f>VLOOKUP(A108,'Master List'!A:E,2,)</f>
        <v>PC</v>
      </c>
      <c r="C108" s="190">
        <f>VLOOKUP(A108,'Master List'!A:E,5,)</f>
        <v>44273</v>
      </c>
      <c r="D108" s="231" t="str">
        <f>VLOOKUP(A108,'Master List'!A:E,4,)</f>
        <v>Removed</v>
      </c>
    </row>
    <row r="109">
      <c r="A109" s="188" t="s">
        <v>3299</v>
      </c>
      <c r="B109" s="231" t="str">
        <f>VLOOKUP(A109,'Master List'!A:E,2,)</f>
        <v>PC</v>
      </c>
      <c r="C109" s="190">
        <f>VLOOKUP(A109,'Master List'!A:E,5,)</f>
        <v>44273</v>
      </c>
      <c r="D109" s="231" t="str">
        <f>VLOOKUP(A109,'Master List'!A:E,4,)</f>
        <v>Removed</v>
      </c>
    </row>
    <row r="110">
      <c r="A110" s="188" t="s">
        <v>3301</v>
      </c>
      <c r="B110" s="231" t="str">
        <f>VLOOKUP(A110,'Master List'!A:E,2,)</f>
        <v>PC</v>
      </c>
      <c r="C110" s="190">
        <f>VLOOKUP(A110,'Master List'!A:E,5,)</f>
        <v>44273</v>
      </c>
      <c r="D110" s="231" t="str">
        <f>VLOOKUP(A110,'Master List'!A:E,4,)</f>
        <v>Removed</v>
      </c>
    </row>
    <row r="111">
      <c r="A111" s="188" t="s">
        <v>3302</v>
      </c>
      <c r="B111" s="231" t="str">
        <f>VLOOKUP(A111,'Master List'!A:E,2,)</f>
        <v>PC</v>
      </c>
      <c r="C111" s="190">
        <f>VLOOKUP(A111,'Master List'!A:E,5,)</f>
        <v>44273</v>
      </c>
      <c r="D111" s="231" t="str">
        <f>VLOOKUP(A111,'Master List'!A:E,4,)</f>
        <v>Removed</v>
      </c>
    </row>
    <row r="112">
      <c r="A112" s="188" t="s">
        <v>3080</v>
      </c>
      <c r="B112" s="231" t="str">
        <f>VLOOKUP(A112,'Master List'!A:E,2,)</f>
        <v>PC</v>
      </c>
      <c r="C112" s="190">
        <f>VLOOKUP(A112,'Master List'!A:E,5,)</f>
        <v>44273</v>
      </c>
      <c r="D112" s="231" t="str">
        <f>VLOOKUP(A112,'Master List'!A:E,4,)</f>
        <v>Removed</v>
      </c>
    </row>
    <row r="113">
      <c r="A113" s="188" t="s">
        <v>3157</v>
      </c>
      <c r="B113" s="231" t="str">
        <f>VLOOKUP(A113,'Master List'!A:E,2,)</f>
        <v>PC</v>
      </c>
      <c r="C113" s="190">
        <f>VLOOKUP(A113,'Master List'!A:E,5,)</f>
        <v>44273</v>
      </c>
      <c r="D113" s="231" t="str">
        <f>VLOOKUP(A113,'Master List'!A:E,4,)</f>
        <v>Removed</v>
      </c>
    </row>
    <row r="114">
      <c r="A114" s="188" t="s">
        <v>3158</v>
      </c>
      <c r="B114" s="231" t="str">
        <f>VLOOKUP(A114,'Master List'!A:E,2,)</f>
        <v>PC</v>
      </c>
      <c r="C114" s="190">
        <f>VLOOKUP(A114,'Master List'!A:E,5,)</f>
        <v>44273</v>
      </c>
      <c r="D114" s="231" t="str">
        <f>VLOOKUP(A114,'Master List'!A:E,4,)</f>
        <v>Removed</v>
      </c>
    </row>
    <row r="115">
      <c r="A115" s="188" t="s">
        <v>3159</v>
      </c>
      <c r="B115" s="231" t="str">
        <f>VLOOKUP(A115,'Master List'!A:E,2,)</f>
        <v>PC</v>
      </c>
      <c r="C115" s="190">
        <f>VLOOKUP(A115,'Master List'!A:E,5,)</f>
        <v>44273</v>
      </c>
      <c r="D115" s="231" t="str">
        <f>VLOOKUP(A115,'Master List'!A:E,4,)</f>
        <v>Removed</v>
      </c>
    </row>
    <row r="116">
      <c r="A116" s="188" t="s">
        <v>3160</v>
      </c>
      <c r="B116" s="231" t="str">
        <f>VLOOKUP(A116,'Master List'!A:E,2,)</f>
        <v>PC</v>
      </c>
      <c r="C116" s="190">
        <f>VLOOKUP(A116,'Master List'!A:E,5,)</f>
        <v>44273</v>
      </c>
      <c r="D116" s="231" t="str">
        <f>VLOOKUP(A116,'Master List'!A:E,4,)</f>
        <v>Removed</v>
      </c>
    </row>
    <row r="117">
      <c r="A117" s="188" t="s">
        <v>2879</v>
      </c>
      <c r="B117" s="231" t="str">
        <f>VLOOKUP(A117,'Master List'!A:E,2,)</f>
        <v>Xbox / PC</v>
      </c>
      <c r="C117" s="190">
        <f>VLOOKUP(A117,'Master List'!A:E,5,)</f>
        <v>44257</v>
      </c>
      <c r="D117" s="231" t="str">
        <f>VLOOKUP(A117,'Master List'!A:E,4,)</f>
        <v>Removed</v>
      </c>
    </row>
    <row r="118">
      <c r="A118" s="188" t="s">
        <v>1806</v>
      </c>
      <c r="B118" s="231" t="str">
        <f>VLOOKUP(A118,'Master List'!A:E,2,)</f>
        <v>Xbox / PC</v>
      </c>
      <c r="C118" s="190">
        <f>VLOOKUP(A118,'Master List'!A:E,5,)</f>
        <v>44252</v>
      </c>
      <c r="D118" s="231" t="str">
        <f>VLOOKUP(A118,'Master List'!A:E,4,)</f>
        <v>Active</v>
      </c>
    </row>
    <row r="119">
      <c r="A119" s="188" t="s">
        <v>3178</v>
      </c>
      <c r="B119" s="231" t="str">
        <f>VLOOKUP(A119,'Master List'!A:E,2,)</f>
        <v>Xbox / PC</v>
      </c>
      <c r="C119" s="190">
        <f>VLOOKUP(A119,'Master List'!A:E,5,)</f>
        <v>44182</v>
      </c>
      <c r="D119" s="231" t="str">
        <f>VLOOKUP(A119,'Master List'!A:E,4,)</f>
        <v>Removed</v>
      </c>
    </row>
    <row r="120">
      <c r="A120" s="188" t="s">
        <v>1816</v>
      </c>
      <c r="B120" s="231" t="str">
        <f>VLOOKUP(A120,'Master List'!A:E,2,)</f>
        <v>Xbox</v>
      </c>
      <c r="C120" s="190">
        <f>VLOOKUP(A120,'Master List'!A:E,5,)</f>
        <v>44168</v>
      </c>
      <c r="D120" s="231" t="str">
        <f>VLOOKUP(A120,'Master List'!A:E,4,)</f>
        <v>Active</v>
      </c>
    </row>
    <row r="121">
      <c r="A121" s="188" t="s">
        <v>1818</v>
      </c>
      <c r="B121" s="231" t="str">
        <f>VLOOKUP(A121,'Master List'!A:E,2,)</f>
        <v>Xbox / PC</v>
      </c>
      <c r="C121" s="190">
        <f>VLOOKUP(A121,'Master List'!A:E,5,)</f>
        <v>44145</v>
      </c>
      <c r="D121" s="231" t="str">
        <f>VLOOKUP(A121,'Master List'!A:E,4,)</f>
        <v>Active</v>
      </c>
    </row>
    <row r="122">
      <c r="A122" s="188" t="s">
        <v>1820</v>
      </c>
      <c r="B122" s="231" t="str">
        <f>VLOOKUP(A122,'Master List'!A:E,2,)</f>
        <v>Xbox / PC</v>
      </c>
      <c r="C122" s="190">
        <f>VLOOKUP(A122,'Master List'!A:E,5,)</f>
        <v>44145</v>
      </c>
      <c r="D122" s="231" t="str">
        <f>VLOOKUP(A122,'Master List'!A:E,4,)</f>
        <v>Active</v>
      </c>
    </row>
    <row r="123">
      <c r="A123" s="188" t="s">
        <v>2412</v>
      </c>
      <c r="B123" s="231" t="str">
        <f>VLOOKUP(A123,'Master List'!A:E,2,)</f>
        <v>Xbox / PC</v>
      </c>
      <c r="C123" s="190">
        <f>VLOOKUP(A123,'Master List'!A:E,5,)</f>
        <v>44145</v>
      </c>
      <c r="D123" s="231" t="str">
        <f>VLOOKUP(A123,'Master List'!A:E,4,)</f>
        <v>Removed</v>
      </c>
    </row>
    <row r="124">
      <c r="A124" s="188" t="s">
        <v>1823</v>
      </c>
      <c r="B124" s="231" t="str">
        <f>VLOOKUP(A124,'Master List'!A:E,2,)</f>
        <v>Xbox</v>
      </c>
      <c r="C124" s="190">
        <f>VLOOKUP(A124,'Master List'!A:E,5,)</f>
        <v>44145</v>
      </c>
      <c r="D124" s="231" t="str">
        <f>VLOOKUP(A124,'Master List'!A:E,4,)</f>
        <v>Active</v>
      </c>
    </row>
    <row r="125">
      <c r="A125" s="188" t="s">
        <v>1825</v>
      </c>
      <c r="B125" s="231" t="str">
        <f>VLOOKUP(A125,'Master List'!A:E,2,)</f>
        <v>Xbox / PC</v>
      </c>
      <c r="C125" s="190">
        <f>VLOOKUP(A125,'Master List'!A:E,5,)</f>
        <v>44145</v>
      </c>
      <c r="D125" s="231" t="str">
        <f>VLOOKUP(A125,'Master List'!A:E,4,)</f>
        <v>Active</v>
      </c>
    </row>
    <row r="126">
      <c r="A126" s="188" t="s">
        <v>2706</v>
      </c>
      <c r="B126" s="231" t="str">
        <f>VLOOKUP(A126,'Master List'!A:E,2,)</f>
        <v>Xbox</v>
      </c>
      <c r="C126" s="190">
        <f>VLOOKUP(A126,'Master List'!A:E,5,)</f>
        <v>44145</v>
      </c>
      <c r="D126" s="231" t="str">
        <f>VLOOKUP(A126,'Master List'!A:E,4,)</f>
        <v>Removed</v>
      </c>
    </row>
    <row r="127">
      <c r="A127" s="188" t="s">
        <v>1828</v>
      </c>
      <c r="B127" s="231" t="str">
        <f>VLOOKUP(A127,'Master List'!A:E,2,)</f>
        <v>Xbox / PC</v>
      </c>
      <c r="C127" s="190">
        <f>VLOOKUP(A127,'Master List'!A:E,5,)</f>
        <v>44145</v>
      </c>
      <c r="D127" s="231" t="str">
        <f>VLOOKUP(A127,'Master List'!A:E,4,)</f>
        <v>Active</v>
      </c>
    </row>
    <row r="128">
      <c r="A128" s="188" t="s">
        <v>1830</v>
      </c>
      <c r="B128" s="231" t="str">
        <f>VLOOKUP(A128,'Master List'!A:E,2,)</f>
        <v>Xbox / PC</v>
      </c>
      <c r="C128" s="190">
        <f>VLOOKUP(A128,'Master List'!A:E,5,)</f>
        <v>44145</v>
      </c>
      <c r="D128" s="231" t="str">
        <f>VLOOKUP(A128,'Master List'!A:E,4,)</f>
        <v>Active</v>
      </c>
    </row>
    <row r="129">
      <c r="A129" s="188" t="s">
        <v>1831</v>
      </c>
      <c r="B129" s="231" t="str">
        <f>VLOOKUP(A129,'Master List'!A:E,2,)</f>
        <v>Xbox / PC</v>
      </c>
      <c r="C129" s="190">
        <f>VLOOKUP(A129,'Master List'!A:E,5,)</f>
        <v>44145</v>
      </c>
      <c r="D129" s="231" t="str">
        <f>VLOOKUP(A129,'Master List'!A:E,4,)</f>
        <v>Active</v>
      </c>
    </row>
    <row r="130">
      <c r="A130" s="188" t="s">
        <v>2708</v>
      </c>
      <c r="B130" s="231" t="str">
        <f>VLOOKUP(A130,'Master List'!A:E,2,)</f>
        <v>Xbox</v>
      </c>
      <c r="C130" s="190">
        <f>VLOOKUP(A130,'Master List'!A:E,5,)</f>
        <v>44145</v>
      </c>
      <c r="D130" s="231" t="str">
        <f>VLOOKUP(A130,'Master List'!A:E,4,)</f>
        <v>Removed</v>
      </c>
    </row>
    <row r="131">
      <c r="A131" s="188" t="s">
        <v>2710</v>
      </c>
      <c r="B131" s="231" t="str">
        <f>VLOOKUP(A131,'Master List'!A:E,2,)</f>
        <v>Xbox / PC</v>
      </c>
      <c r="C131" s="190">
        <f>VLOOKUP(A131,'Master List'!A:E,5,)</f>
        <v>44145</v>
      </c>
      <c r="D131" s="231" t="str">
        <f>VLOOKUP(A131,'Master List'!A:E,4,)</f>
        <v>Removed</v>
      </c>
    </row>
    <row r="132">
      <c r="A132" s="188" t="s">
        <v>1832</v>
      </c>
      <c r="B132" s="231" t="str">
        <f>VLOOKUP(A132,'Master List'!A:E,2,)</f>
        <v>Xbox / PC</v>
      </c>
      <c r="C132" s="190">
        <f>VLOOKUP(A132,'Master List'!A:E,5,)</f>
        <v>44145</v>
      </c>
      <c r="D132" s="231" t="str">
        <f>VLOOKUP(A132,'Master List'!A:E,4,)</f>
        <v>Active</v>
      </c>
    </row>
    <row r="133">
      <c r="A133" s="188" t="s">
        <v>1834</v>
      </c>
      <c r="B133" s="231" t="str">
        <f>VLOOKUP(A133,'Master List'!A:E,2,)</f>
        <v>Xbox</v>
      </c>
      <c r="C133" s="190">
        <f>VLOOKUP(A133,'Master List'!A:E,5,)</f>
        <v>44145</v>
      </c>
      <c r="D133" s="231" t="str">
        <f>VLOOKUP(A133,'Master List'!A:E,4,)</f>
        <v>Active</v>
      </c>
    </row>
    <row r="134">
      <c r="A134" s="188" t="s">
        <v>1835</v>
      </c>
      <c r="B134" s="231" t="str">
        <f>VLOOKUP(A134,'Master List'!A:E,2,)</f>
        <v>Xbox</v>
      </c>
      <c r="C134" s="190">
        <f>VLOOKUP(A134,'Master List'!A:E,5,)</f>
        <v>44145</v>
      </c>
      <c r="D134" s="231" t="str">
        <f>VLOOKUP(A134,'Master List'!A:E,4,)</f>
        <v>Active</v>
      </c>
    </row>
    <row r="135">
      <c r="A135" s="188" t="s">
        <v>1836</v>
      </c>
      <c r="B135" s="231" t="str">
        <f>VLOOKUP(A135,'Master List'!A:E,2,)</f>
        <v>Xbox</v>
      </c>
      <c r="C135" s="190">
        <f>VLOOKUP(A135,'Master List'!A:E,5,)</f>
        <v>44145</v>
      </c>
      <c r="D135" s="231" t="str">
        <f>VLOOKUP(A135,'Master List'!A:E,4,)</f>
        <v>Active</v>
      </c>
    </row>
    <row r="136">
      <c r="A136" s="188" t="s">
        <v>1838</v>
      </c>
      <c r="B136" s="231" t="str">
        <f>VLOOKUP(A136,'Master List'!A:E,2,)</f>
        <v>Xbox / PC</v>
      </c>
      <c r="C136" s="190">
        <f>VLOOKUP(A136,'Master List'!A:E,5,)</f>
        <v>44145</v>
      </c>
      <c r="D136" s="231" t="str">
        <f>VLOOKUP(A136,'Master List'!A:E,4,)</f>
        <v>Active</v>
      </c>
    </row>
    <row r="137">
      <c r="A137" s="188" t="s">
        <v>1840</v>
      </c>
      <c r="B137" s="231" t="str">
        <f>VLOOKUP(A137,'Master List'!A:E,2,)</f>
        <v>Xbox / PC</v>
      </c>
      <c r="C137" s="190">
        <f>VLOOKUP(A137,'Master List'!A:E,5,)</f>
        <v>44145</v>
      </c>
      <c r="D137" s="231" t="str">
        <f>VLOOKUP(A137,'Master List'!A:E,4,)</f>
        <v>Active</v>
      </c>
    </row>
    <row r="138">
      <c r="A138" s="188" t="s">
        <v>1841</v>
      </c>
      <c r="B138" s="231" t="str">
        <f>VLOOKUP(A138,'Master List'!A:E,2,)</f>
        <v>Xbox / PC</v>
      </c>
      <c r="C138" s="190">
        <f>VLOOKUP(A138,'Master List'!A:E,5,)</f>
        <v>44145</v>
      </c>
      <c r="D138" s="231" t="str">
        <f>VLOOKUP(A138,'Master List'!A:E,4,)</f>
        <v>Active</v>
      </c>
    </row>
    <row r="139">
      <c r="A139" s="188" t="s">
        <v>1843</v>
      </c>
      <c r="B139" s="231" t="str">
        <f>VLOOKUP(A139,'Master List'!A:E,2,)</f>
        <v>Xbox / PC</v>
      </c>
      <c r="C139" s="190">
        <f>VLOOKUP(A139,'Master List'!A:E,5,)</f>
        <v>44145</v>
      </c>
      <c r="D139" s="231" t="str">
        <f>VLOOKUP(A139,'Master List'!A:E,4,)</f>
        <v>Active</v>
      </c>
    </row>
    <row r="140">
      <c r="A140" s="188" t="s">
        <v>1844</v>
      </c>
      <c r="B140" s="231" t="str">
        <f>VLOOKUP(A140,'Master List'!A:E,2,)</f>
        <v>Xbox</v>
      </c>
      <c r="C140" s="190">
        <f>VLOOKUP(A140,'Master List'!A:E,5,)</f>
        <v>44145</v>
      </c>
      <c r="D140" s="231" t="str">
        <f>VLOOKUP(A140,'Master List'!A:E,4,)</f>
        <v>Active</v>
      </c>
    </row>
    <row r="141">
      <c r="A141" s="188" t="s">
        <v>1846</v>
      </c>
      <c r="B141" s="231" t="str">
        <f>VLOOKUP(A141,'Master List'!A:E,2,)</f>
        <v>Xbox / PC</v>
      </c>
      <c r="C141" s="190">
        <f>VLOOKUP(A141,'Master List'!A:E,5,)</f>
        <v>44145</v>
      </c>
      <c r="D141" s="231" t="str">
        <f>VLOOKUP(A141,'Master List'!A:E,4,)</f>
        <v>Active</v>
      </c>
    </row>
    <row r="142">
      <c r="A142" s="188" t="s">
        <v>1847</v>
      </c>
      <c r="B142" s="231" t="str">
        <f>VLOOKUP(A142,'Master List'!A:E,2,)</f>
        <v>Xbox / PC</v>
      </c>
      <c r="C142" s="190">
        <f>VLOOKUP(A142,'Master List'!A:E,5,)</f>
        <v>44145</v>
      </c>
      <c r="D142" s="231" t="str">
        <f>VLOOKUP(A142,'Master List'!A:E,4,)</f>
        <v>Active</v>
      </c>
    </row>
    <row r="143">
      <c r="A143" s="188" t="s">
        <v>1849</v>
      </c>
      <c r="B143" s="231" t="str">
        <f>VLOOKUP(A143,'Master List'!A:E,2,)</f>
        <v>Xbox / PC</v>
      </c>
      <c r="C143" s="190">
        <f>VLOOKUP(A143,'Master List'!A:E,5,)</f>
        <v>44145</v>
      </c>
      <c r="D143" s="231" t="str">
        <f>VLOOKUP(A143,'Master List'!A:E,4,)</f>
        <v>Active</v>
      </c>
    </row>
    <row r="144">
      <c r="A144" s="188" t="s">
        <v>1850</v>
      </c>
      <c r="B144" s="231" t="str">
        <f>VLOOKUP(A144,'Master List'!A:E,2,)</f>
        <v>Xbox</v>
      </c>
      <c r="C144" s="190">
        <f>VLOOKUP(A144,'Master List'!A:E,5,)</f>
        <v>44145</v>
      </c>
      <c r="D144" s="231" t="str">
        <f>VLOOKUP(A144,'Master List'!A:E,4,)</f>
        <v>Active</v>
      </c>
    </row>
    <row r="145">
      <c r="A145" s="188" t="s">
        <v>1851</v>
      </c>
      <c r="B145" s="231" t="str">
        <f>VLOOKUP(A145,'Master List'!A:E,2,)</f>
        <v>Xbox / PC</v>
      </c>
      <c r="C145" s="190">
        <f>VLOOKUP(A145,'Master List'!A:E,5,)</f>
        <v>44145</v>
      </c>
      <c r="D145" s="231" t="str">
        <f>VLOOKUP(A145,'Master List'!A:E,4,)</f>
        <v>Active</v>
      </c>
    </row>
    <row r="146">
      <c r="A146" s="188" t="s">
        <v>1853</v>
      </c>
      <c r="B146" s="231" t="str">
        <f>VLOOKUP(A146,'Master List'!A:E,2,)</f>
        <v>Xbox / PC</v>
      </c>
      <c r="C146" s="190">
        <f>VLOOKUP(A146,'Master List'!A:E,5,)</f>
        <v>44145</v>
      </c>
      <c r="D146" s="231" t="str">
        <f>VLOOKUP(A146,'Master List'!A:E,4,)</f>
        <v>Active</v>
      </c>
    </row>
    <row r="147">
      <c r="A147" s="188" t="s">
        <v>1854</v>
      </c>
      <c r="B147" s="231" t="str">
        <f>VLOOKUP(A147,'Master List'!A:E,2,)</f>
        <v>Xbox / PC</v>
      </c>
      <c r="C147" s="190">
        <f>VLOOKUP(A147,'Master List'!A:E,5,)</f>
        <v>44145</v>
      </c>
      <c r="D147" s="231" t="str">
        <f>VLOOKUP(A147,'Master List'!A:E,4,)</f>
        <v>Active</v>
      </c>
    </row>
    <row r="148">
      <c r="A148" s="188" t="s">
        <v>3262</v>
      </c>
      <c r="B148" s="231" t="str">
        <f>VLOOKUP(A148,'Master List'!A:E,2,)</f>
        <v>Xbox</v>
      </c>
      <c r="C148" s="190">
        <f>VLOOKUP(A148,'Master List'!A:E,5,)</f>
        <v>44145</v>
      </c>
      <c r="D148" s="231" t="str">
        <f>VLOOKUP(A148,'Master List'!A:E,4,)</f>
        <v>Removed</v>
      </c>
    </row>
    <row r="149">
      <c r="A149" s="188" t="s">
        <v>3264</v>
      </c>
      <c r="B149" s="231" t="str">
        <f>VLOOKUP(A149,'Master List'!A:E,2,)</f>
        <v>Xbox</v>
      </c>
      <c r="C149" s="190">
        <f>VLOOKUP(A149,'Master List'!A:E,5,)</f>
        <v>44145</v>
      </c>
      <c r="D149" s="231" t="str">
        <f>VLOOKUP(A149,'Master List'!A:E,4,)</f>
        <v>Removed</v>
      </c>
    </row>
    <row r="150">
      <c r="A150" s="188" t="s">
        <v>2526</v>
      </c>
      <c r="B150" s="231" t="str">
        <f>VLOOKUP(A150,'Master List'!A:E,2,)</f>
        <v>Xbox</v>
      </c>
      <c r="C150" s="190">
        <f>VLOOKUP(A150,'Master List'!A:E,5,)</f>
        <v>44145</v>
      </c>
      <c r="D150" s="231" t="str">
        <f>VLOOKUP(A150,'Master List'!A:E,4,)</f>
        <v>Removed</v>
      </c>
    </row>
    <row r="151">
      <c r="A151" s="188" t="s">
        <v>1856</v>
      </c>
      <c r="B151" s="231" t="str">
        <f>VLOOKUP(A151,'Master List'!A:E,2,)</f>
        <v>Xbox / PC</v>
      </c>
      <c r="C151" s="190">
        <f>VLOOKUP(A151,'Master List'!A:E,5,)</f>
        <v>44145</v>
      </c>
      <c r="D151" s="231" t="str">
        <f>VLOOKUP(A151,'Master List'!A:E,4,)</f>
        <v>Active</v>
      </c>
    </row>
    <row r="152">
      <c r="A152" s="188" t="s">
        <v>1858</v>
      </c>
      <c r="B152" s="231" t="str">
        <f>VLOOKUP(A152,'Master List'!A:E,2,)</f>
        <v>Xbox</v>
      </c>
      <c r="C152" s="190">
        <f>VLOOKUP(A152,'Master List'!A:E,5,)</f>
        <v>44145</v>
      </c>
      <c r="D152" s="231" t="str">
        <f>VLOOKUP(A152,'Master List'!A:E,4,)</f>
        <v>Active</v>
      </c>
    </row>
    <row r="153">
      <c r="A153" s="188" t="s">
        <v>1859</v>
      </c>
      <c r="B153" s="231" t="str">
        <f>VLOOKUP(A153,'Master List'!A:E,2,)</f>
        <v>Xbox</v>
      </c>
      <c r="C153" s="190">
        <f>VLOOKUP(A153,'Master List'!A:E,5,)</f>
        <v>44145</v>
      </c>
      <c r="D153" s="231" t="str">
        <f>VLOOKUP(A153,'Master List'!A:E,4,)</f>
        <v>Active</v>
      </c>
    </row>
    <row r="154">
      <c r="A154" s="188" t="s">
        <v>3307</v>
      </c>
      <c r="B154" s="231" t="str">
        <f>VLOOKUP(A154,'Master List'!A:E,2,)</f>
        <v>Xbox / PC</v>
      </c>
      <c r="C154" s="190">
        <f>VLOOKUP(A154,'Master List'!A:E,5,)</f>
        <v>44145</v>
      </c>
      <c r="D154" s="231" t="str">
        <f>VLOOKUP(A154,'Master List'!A:E,4,)</f>
        <v>Removed</v>
      </c>
    </row>
    <row r="155">
      <c r="A155" s="188" t="s">
        <v>3308</v>
      </c>
      <c r="B155" s="231" t="str">
        <f>VLOOKUP(A155,'Master List'!A:E,2,)</f>
        <v>Xbox / PC</v>
      </c>
      <c r="C155" s="190">
        <f>VLOOKUP(A155,'Master List'!A:E,5,)</f>
        <v>44145</v>
      </c>
      <c r="D155" s="231" t="str">
        <f>VLOOKUP(A155,'Master List'!A:E,4,)</f>
        <v>Removed</v>
      </c>
    </row>
    <row r="156">
      <c r="A156" s="188" t="s">
        <v>3309</v>
      </c>
      <c r="B156" s="231" t="str">
        <f>VLOOKUP(A156,'Master List'!A:E,2,)</f>
        <v>Xbox / PC</v>
      </c>
      <c r="C156" s="190">
        <f>VLOOKUP(A156,'Master List'!A:E,5,)</f>
        <v>44145</v>
      </c>
      <c r="D156" s="231" t="str">
        <f>VLOOKUP(A156,'Master List'!A:E,4,)</f>
        <v>Removed</v>
      </c>
    </row>
    <row r="157">
      <c r="A157" s="188" t="s">
        <v>3310</v>
      </c>
      <c r="B157" s="231" t="str">
        <f>VLOOKUP(A157,'Master List'!A:E,2,)</f>
        <v>Xbox / PC</v>
      </c>
      <c r="C157" s="190">
        <f>VLOOKUP(A157,'Master List'!A:E,5,)</f>
        <v>44145</v>
      </c>
      <c r="D157" s="231" t="str">
        <f>VLOOKUP(A157,'Master List'!A:E,4,)</f>
        <v>Removed</v>
      </c>
    </row>
    <row r="158">
      <c r="A158" s="188" t="s">
        <v>3188</v>
      </c>
      <c r="B158" s="231" t="str">
        <f>VLOOKUP(A158,'Master List'!A:E,2,)</f>
        <v>Xbox / PC</v>
      </c>
      <c r="C158" s="190">
        <f>VLOOKUP(A158,'Master List'!A:E,5,)</f>
        <v>44145</v>
      </c>
      <c r="D158" s="231" t="str">
        <f>VLOOKUP(A158,'Master List'!A:E,4,)</f>
        <v>Removed</v>
      </c>
    </row>
    <row r="159">
      <c r="A159" s="188" t="s">
        <v>3054</v>
      </c>
      <c r="B159" s="231" t="str">
        <f>VLOOKUP(A159,'Master List'!A:E,2,)</f>
        <v>Xbox / PC</v>
      </c>
      <c r="C159" s="190">
        <f>VLOOKUP(A159,'Master List'!A:E,5,)</f>
        <v>44145</v>
      </c>
      <c r="D159" s="231" t="str">
        <f>VLOOKUP(A159,'Master List'!A:E,4,)</f>
        <v>Removed</v>
      </c>
    </row>
    <row r="160">
      <c r="A160" s="188" t="s">
        <v>1861</v>
      </c>
      <c r="B160" s="231" t="str">
        <f>VLOOKUP(A160,'Master List'!A:E,2,)</f>
        <v>Xbox</v>
      </c>
      <c r="C160" s="190">
        <f>VLOOKUP(A160,'Master List'!A:E,5,)</f>
        <v>44145</v>
      </c>
      <c r="D160" s="231" t="str">
        <f>VLOOKUP(A160,'Master List'!A:E,4,)</f>
        <v>Active</v>
      </c>
    </row>
    <row r="161">
      <c r="A161" s="188" t="s">
        <v>1863</v>
      </c>
      <c r="B161" s="231" t="str">
        <f>VLOOKUP(A161,'Master List'!A:E,2,)</f>
        <v>Xbox</v>
      </c>
      <c r="C161" s="190">
        <f>VLOOKUP(A161,'Master List'!A:E,5,)</f>
        <v>44145</v>
      </c>
      <c r="D161" s="231" t="str">
        <f>VLOOKUP(A161,'Master List'!A:E,4,)</f>
        <v>Active</v>
      </c>
    </row>
    <row r="162">
      <c r="A162" s="188" t="s">
        <v>3320</v>
      </c>
      <c r="B162" s="231" t="str">
        <f>VLOOKUP(A162,'Master List'!A:E,2,)</f>
        <v>Xbox</v>
      </c>
      <c r="C162" s="190">
        <f>VLOOKUP(A162,'Master List'!A:E,5,)</f>
        <v>44145</v>
      </c>
      <c r="D162" s="231" t="str">
        <f>VLOOKUP(A162,'Master List'!A:E,4,)</f>
        <v>Removed</v>
      </c>
    </row>
    <row r="163">
      <c r="A163" s="188" t="s">
        <v>3321</v>
      </c>
      <c r="B163" s="231" t="str">
        <f>VLOOKUP(A163,'Master List'!A:E,2,)</f>
        <v>Xbox</v>
      </c>
      <c r="C163" s="190">
        <f>VLOOKUP(A163,'Master List'!A:E,5,)</f>
        <v>44145</v>
      </c>
      <c r="D163" s="231" t="str">
        <f>VLOOKUP(A163,'Master List'!A:E,4,)</f>
        <v>Removed</v>
      </c>
    </row>
    <row r="164">
      <c r="A164" s="188" t="s">
        <v>3322</v>
      </c>
      <c r="B164" s="231" t="str">
        <f>VLOOKUP(A164,'Master List'!A:E,2,)</f>
        <v>Xbox</v>
      </c>
      <c r="C164" s="190">
        <f>VLOOKUP(A164,'Master List'!A:E,5,)</f>
        <v>44145</v>
      </c>
      <c r="D164" s="231" t="str">
        <f>VLOOKUP(A164,'Master List'!A:E,4,)</f>
        <v>Removed</v>
      </c>
    </row>
    <row r="165">
      <c r="A165" s="188" t="s">
        <v>3323</v>
      </c>
      <c r="B165" s="231" t="str">
        <f>VLOOKUP(A165,'Master List'!A:E,2,)</f>
        <v>Xbox</v>
      </c>
      <c r="C165" s="190">
        <f>VLOOKUP(A165,'Master List'!A:E,5,)</f>
        <v>44145</v>
      </c>
      <c r="D165" s="231" t="str">
        <f>VLOOKUP(A165,'Master List'!A:E,4,)</f>
        <v>Removed</v>
      </c>
    </row>
    <row r="166">
      <c r="A166" s="188" t="s">
        <v>3244</v>
      </c>
      <c r="B166" s="231" t="str">
        <f>VLOOKUP(A166,'Master List'!A:E,2,)</f>
        <v>Xbox / PC</v>
      </c>
      <c r="C166" s="190">
        <f>VLOOKUP(A166,'Master List'!A:E,5,)</f>
        <v>44145</v>
      </c>
      <c r="D166" s="231" t="str">
        <f>VLOOKUP(A166,'Master List'!A:E,4,)</f>
        <v>Removed</v>
      </c>
    </row>
    <row r="167">
      <c r="A167" s="188" t="s">
        <v>3115</v>
      </c>
      <c r="B167" s="231" t="str">
        <f>VLOOKUP(A167,'Master List'!A:E,2,)</f>
        <v>Xbox / PC</v>
      </c>
      <c r="C167" s="190">
        <f>VLOOKUP(A167,'Master List'!A:E,5,)</f>
        <v>44145</v>
      </c>
      <c r="D167" s="231" t="str">
        <f>VLOOKUP(A167,'Master List'!A:E,4,)</f>
        <v>Removed</v>
      </c>
    </row>
    <row r="168">
      <c r="A168" s="188" t="s">
        <v>3324</v>
      </c>
      <c r="B168" s="231" t="str">
        <f>VLOOKUP(A168,'Master List'!A:E,2,)</f>
        <v>Xbox</v>
      </c>
      <c r="C168" s="190">
        <f>VLOOKUP(A168,'Master List'!A:E,5,)</f>
        <v>44145</v>
      </c>
      <c r="D168" s="231" t="str">
        <f>VLOOKUP(A168,'Master List'!A:E,4,)</f>
        <v>Removed</v>
      </c>
    </row>
    <row r="169">
      <c r="A169" s="188" t="s">
        <v>1865</v>
      </c>
      <c r="B169" s="231" t="str">
        <f>VLOOKUP(A169,'Master List'!A:E,2,)</f>
        <v>Xbox / PC</v>
      </c>
      <c r="C169" s="190">
        <f>VLOOKUP(A169,'Master List'!A:E,5,)</f>
        <v>44145</v>
      </c>
      <c r="D169" s="231" t="str">
        <f>VLOOKUP(A169,'Master List'!A:E,4,)</f>
        <v>Active</v>
      </c>
    </row>
    <row r="170">
      <c r="A170" s="188" t="s">
        <v>1867</v>
      </c>
      <c r="B170" s="231" t="str">
        <f>VLOOKUP(A170,'Master List'!A:E,2,)</f>
        <v>Xbox / PC</v>
      </c>
      <c r="C170" s="190">
        <f>VLOOKUP(A170,'Master List'!A:E,5,)</f>
        <v>44145</v>
      </c>
      <c r="D170" s="231" t="str">
        <f>VLOOKUP(A170,'Master List'!A:E,4,)</f>
        <v>Active</v>
      </c>
    </row>
    <row r="171">
      <c r="A171" s="188" t="s">
        <v>1869</v>
      </c>
      <c r="B171" s="231" t="str">
        <f>VLOOKUP(A171,'Master List'!A:E,2,)</f>
        <v>Xbox / PC</v>
      </c>
      <c r="C171" s="190">
        <f>VLOOKUP(A171,'Master List'!A:E,5,)</f>
        <v>44145</v>
      </c>
      <c r="D171" s="231" t="str">
        <f>VLOOKUP(A171,'Master List'!A:E,4,)</f>
        <v>Active</v>
      </c>
    </row>
    <row r="172">
      <c r="A172" s="188" t="s">
        <v>1871</v>
      </c>
      <c r="B172" s="231" t="str">
        <f>VLOOKUP(A172,'Master List'!A:E,2,)</f>
        <v>Xbox / PC</v>
      </c>
      <c r="C172" s="190">
        <f>VLOOKUP(A172,'Master List'!A:E,5,)</f>
        <v>44145</v>
      </c>
      <c r="D172" s="231" t="str">
        <f>VLOOKUP(A172,'Master List'!A:E,4,)</f>
        <v>Active</v>
      </c>
    </row>
    <row r="173">
      <c r="A173" s="188" t="s">
        <v>1872</v>
      </c>
      <c r="B173" s="231" t="str">
        <f>VLOOKUP(A173,'Master List'!A:E,2,)</f>
        <v>Xbox / PC</v>
      </c>
      <c r="C173" s="190">
        <f>VLOOKUP(A173,'Master List'!A:E,5,)</f>
        <v>44145</v>
      </c>
      <c r="D173" s="231" t="str">
        <f>VLOOKUP(A173,'Master List'!A:E,4,)</f>
        <v>Active</v>
      </c>
    </row>
    <row r="174">
      <c r="A174" s="188" t="s">
        <v>1874</v>
      </c>
      <c r="B174" s="231" t="str">
        <f>VLOOKUP(A174,'Master List'!A:E,2,)</f>
        <v>Xbox / PC</v>
      </c>
      <c r="C174" s="190">
        <f>VLOOKUP(A174,'Master List'!A:E,5,)</f>
        <v>44145</v>
      </c>
      <c r="D174" s="231" t="str">
        <f>VLOOKUP(A174,'Master List'!A:E,4,)</f>
        <v>Active</v>
      </c>
    </row>
    <row r="175">
      <c r="A175" s="188" t="s">
        <v>3311</v>
      </c>
      <c r="B175" s="231" t="str">
        <f>VLOOKUP(A175,'Master List'!A:E,2,)</f>
        <v>Xbox</v>
      </c>
      <c r="C175" s="190">
        <f>VLOOKUP(A175,'Master List'!A:E,5,)</f>
        <v>44145</v>
      </c>
      <c r="D175" s="231" t="str">
        <f>VLOOKUP(A175,'Master List'!A:E,4,)</f>
        <v>Removed</v>
      </c>
    </row>
    <row r="176">
      <c r="A176" s="188" t="s">
        <v>3335</v>
      </c>
      <c r="B176" s="231" t="str">
        <f>VLOOKUP(A176,'Master List'!A:E,2,)</f>
        <v>Xbox</v>
      </c>
      <c r="C176" s="190">
        <f>VLOOKUP(A176,'Master List'!A:E,5,)</f>
        <v>42515</v>
      </c>
      <c r="D176" s="231" t="str">
        <f>VLOOKUP(A176,'Master List'!A:E,4,)</f>
        <v>Removed</v>
      </c>
    </row>
    <row r="177">
      <c r="A177" s="188" t="s">
        <v>3312</v>
      </c>
      <c r="B177" s="231" t="str">
        <f>VLOOKUP(A177,'Master List'!A:E,2,)</f>
        <v>Xbox</v>
      </c>
      <c r="C177" s="190">
        <f>VLOOKUP(A177,'Master List'!A:E,5,)</f>
        <v>44145</v>
      </c>
      <c r="D177" s="231" t="str">
        <f>VLOOKUP(A177,'Master List'!A:E,4,)</f>
        <v>Removed</v>
      </c>
    </row>
    <row r="178">
      <c r="A178" s="188" t="s">
        <v>2395</v>
      </c>
      <c r="B178" s="231" t="str">
        <f>VLOOKUP(A178,'Master List'!A:E,2,)</f>
        <v>Xbox</v>
      </c>
      <c r="C178" s="190">
        <f>VLOOKUP(A178,'Master List'!A:E,5,)</f>
        <v>44145</v>
      </c>
      <c r="D178" s="231" t="str">
        <f>VLOOKUP(A178,'Master List'!A:E,4,)</f>
        <v>Removed</v>
      </c>
    </row>
    <row r="179">
      <c r="A179" s="188" t="s">
        <v>1875</v>
      </c>
      <c r="B179" s="231" t="str">
        <f>VLOOKUP(A179,'Master List'!A:E,2,)</f>
        <v>Xbox / PC</v>
      </c>
      <c r="C179" s="190">
        <f>VLOOKUP(A179,'Master List'!A:E,5,)</f>
        <v>44145</v>
      </c>
      <c r="D179" s="231" t="str">
        <f>VLOOKUP(A179,'Master List'!A:E,4,)</f>
        <v>Active</v>
      </c>
    </row>
    <row r="180">
      <c r="A180" s="188" t="s">
        <v>1877</v>
      </c>
      <c r="B180" s="231" t="str">
        <f>VLOOKUP(A180,'Master List'!A:E,2,)</f>
        <v>Xbox / PC</v>
      </c>
      <c r="C180" s="190">
        <f>VLOOKUP(A180,'Master List'!A:E,5,)</f>
        <v>44145</v>
      </c>
      <c r="D180" s="231" t="str">
        <f>VLOOKUP(A180,'Master List'!A:E,4,)</f>
        <v>Active</v>
      </c>
    </row>
    <row r="181">
      <c r="A181" s="188" t="s">
        <v>1878</v>
      </c>
      <c r="B181" s="231" t="str">
        <f>VLOOKUP(A181,'Master List'!A:E,2,)</f>
        <v>Xbox / PC</v>
      </c>
      <c r="C181" s="190">
        <f>VLOOKUP(A181,'Master List'!A:E,5,)</f>
        <v>44145</v>
      </c>
      <c r="D181" s="231" t="str">
        <f>VLOOKUP(A181,'Master List'!A:E,4,)</f>
        <v>Active</v>
      </c>
    </row>
    <row r="182">
      <c r="A182" s="188" t="s">
        <v>1880</v>
      </c>
      <c r="B182" s="231" t="str">
        <f>VLOOKUP(A182,'Master List'!A:E,2,)</f>
        <v>Xbox / PC</v>
      </c>
      <c r="C182" s="190">
        <f>VLOOKUP(A182,'Master List'!A:E,5,)</f>
        <v>44145</v>
      </c>
      <c r="D182" s="231" t="str">
        <f>VLOOKUP(A182,'Master List'!A:E,4,)</f>
        <v>Active</v>
      </c>
    </row>
    <row r="183">
      <c r="A183" s="188" t="s">
        <v>3336</v>
      </c>
      <c r="B183" s="231" t="str">
        <f>VLOOKUP(A183,'Master List'!A:E,2,)</f>
        <v>Xbox</v>
      </c>
      <c r="C183" s="190">
        <f>VLOOKUP(A183,'Master List'!A:E,5,)</f>
        <v>42822</v>
      </c>
      <c r="D183" s="231" t="str">
        <f>VLOOKUP(A183,'Master List'!A:E,4,)</f>
        <v>Removed</v>
      </c>
    </row>
    <row r="184">
      <c r="A184" s="188" t="s">
        <v>3325</v>
      </c>
      <c r="B184" s="231" t="str">
        <f>VLOOKUP(A184,'Master List'!A:E,2,)</f>
        <v>Xbox</v>
      </c>
      <c r="C184" s="190">
        <f>VLOOKUP(A184,'Master List'!A:E,5,)</f>
        <v>44145</v>
      </c>
      <c r="D184" s="231" t="str">
        <f>VLOOKUP(A184,'Master List'!A:E,4,)</f>
        <v>Removed</v>
      </c>
    </row>
    <row r="185">
      <c r="A185" s="188" t="s">
        <v>3326</v>
      </c>
      <c r="B185" s="231" t="str">
        <f>VLOOKUP(A185,'Master List'!A:E,2,)</f>
        <v>Xbox</v>
      </c>
      <c r="C185" s="190">
        <f>VLOOKUP(A185,'Master List'!A:E,5,)</f>
        <v>44145</v>
      </c>
      <c r="D185" s="231" t="str">
        <f>VLOOKUP(A185,'Master List'!A:E,4,)</f>
        <v>Removed</v>
      </c>
    </row>
    <row r="186">
      <c r="A186" s="188" t="s">
        <v>3088</v>
      </c>
      <c r="B186" s="231" t="str">
        <f>VLOOKUP(A186,'Master List'!A:E,2,)</f>
        <v>Xbox</v>
      </c>
      <c r="C186" s="190">
        <f>VLOOKUP(A186,'Master List'!A:E,5,)</f>
        <v>44145</v>
      </c>
      <c r="D186" s="231" t="str">
        <f>VLOOKUP(A186,'Master List'!A:E,4,)</f>
        <v>Removed</v>
      </c>
    </row>
    <row r="187">
      <c r="A187" s="188" t="s">
        <v>1881</v>
      </c>
      <c r="B187" s="231" t="str">
        <f>VLOOKUP(A187,'Master List'!A:E,2,)</f>
        <v>Xbox / PC</v>
      </c>
      <c r="C187" s="190">
        <f>VLOOKUP(A187,'Master List'!A:E,5,)</f>
        <v>44145</v>
      </c>
      <c r="D187" s="231" t="str">
        <f>VLOOKUP(A187,'Master List'!A:E,4,)</f>
        <v>Active</v>
      </c>
    </row>
    <row r="188">
      <c r="A188" s="188" t="s">
        <v>1882</v>
      </c>
      <c r="B188" s="231" t="str">
        <f>VLOOKUP(A188,'Master List'!A:E,2,)</f>
        <v>Xbox</v>
      </c>
      <c r="C188" s="190">
        <f>VLOOKUP(A188,'Master List'!A:E,5,)</f>
        <v>44145</v>
      </c>
      <c r="D188" s="231" t="str">
        <f>VLOOKUP(A188,'Master List'!A:E,4,)</f>
        <v>Active</v>
      </c>
    </row>
    <row r="189">
      <c r="A189" s="188" t="s">
        <v>1883</v>
      </c>
      <c r="B189" s="231" t="str">
        <f>VLOOKUP(A189,'Master List'!A:E,2,)</f>
        <v>Xbox / PC</v>
      </c>
      <c r="C189" s="190">
        <f>VLOOKUP(A189,'Master List'!A:E,5,)</f>
        <v>44145</v>
      </c>
      <c r="D189" s="231" t="str">
        <f>VLOOKUP(A189,'Master List'!A:E,4,)</f>
        <v>Active</v>
      </c>
    </row>
    <row r="190">
      <c r="A190" s="188" t="s">
        <v>1885</v>
      </c>
      <c r="B190" s="231" t="str">
        <f>VLOOKUP(A190,'Master List'!A:E,2,)</f>
        <v>Xbox / PC</v>
      </c>
      <c r="C190" s="190">
        <f>VLOOKUP(A190,'Master List'!A:E,5,)</f>
        <v>44145</v>
      </c>
      <c r="D190" s="231" t="str">
        <f>VLOOKUP(A190,'Master List'!A:E,4,)</f>
        <v>Active</v>
      </c>
    </row>
    <row r="191">
      <c r="A191" s="188" t="s">
        <v>1887</v>
      </c>
      <c r="B191" s="231" t="str">
        <f>VLOOKUP(A191,'Master List'!A:E,2,)</f>
        <v>Xbox / PC</v>
      </c>
      <c r="C191" s="190">
        <f>VLOOKUP(A191,'Master List'!A:E,5,)</f>
        <v>44145</v>
      </c>
      <c r="D191" s="231" t="str">
        <f>VLOOKUP(A191,'Master List'!A:E,4,)</f>
        <v>Active</v>
      </c>
    </row>
    <row r="192">
      <c r="A192" s="188" t="s">
        <v>1889</v>
      </c>
      <c r="B192" s="231" t="str">
        <f>VLOOKUP(A192,'Master List'!A:E,2,)</f>
        <v>Xbox / PC</v>
      </c>
      <c r="C192" s="190">
        <f>VLOOKUP(A192,'Master List'!A:E,5,)</f>
        <v>44145</v>
      </c>
      <c r="D192" s="231" t="str">
        <f>VLOOKUP(A192,'Master List'!A:E,4,)</f>
        <v>Active</v>
      </c>
    </row>
    <row r="193">
      <c r="A193" s="188" t="s">
        <v>2721</v>
      </c>
      <c r="B193" s="231" t="str">
        <f>VLOOKUP(A193,'Master List'!A:E,2,)</f>
        <v>Xbox / PC</v>
      </c>
      <c r="C193" s="190">
        <f>VLOOKUP(A193,'Master List'!A:E,5,)</f>
        <v>44145</v>
      </c>
      <c r="D193" s="231" t="str">
        <f>VLOOKUP(A193,'Master List'!A:E,4,)</f>
        <v>Removed</v>
      </c>
    </row>
    <row r="194">
      <c r="A194" s="188" t="s">
        <v>2933</v>
      </c>
      <c r="B194" s="231" t="str">
        <f>VLOOKUP(A194,'Master List'!A:E,2,)</f>
        <v>Xbox</v>
      </c>
      <c r="C194" s="190">
        <f>VLOOKUP(A194,'Master List'!A:E,5,)</f>
        <v>44145</v>
      </c>
      <c r="D194" s="231" t="str">
        <f>VLOOKUP(A194,'Master List'!A:E,4,)</f>
        <v>Removed</v>
      </c>
    </row>
    <row r="195">
      <c r="A195" s="188" t="s">
        <v>1890</v>
      </c>
      <c r="B195" s="231" t="str">
        <f>VLOOKUP(A195,'Master List'!A:E,2,)</f>
        <v>Xbox / PC</v>
      </c>
      <c r="C195" s="190">
        <f>VLOOKUP(A195,'Master List'!A:E,5,)</f>
        <v>44145</v>
      </c>
      <c r="D195" s="231" t="str">
        <f>VLOOKUP(A195,'Master List'!A:E,4,)</f>
        <v>Active</v>
      </c>
    </row>
    <row r="196">
      <c r="A196" s="188" t="s">
        <v>3338</v>
      </c>
      <c r="B196" s="231" t="str">
        <f>VLOOKUP(A196,'Master List'!A:E,2,)</f>
        <v>Xbox</v>
      </c>
      <c r="C196" s="190">
        <f>VLOOKUP(A196,'Master List'!A:E,5,)</f>
        <v>44145</v>
      </c>
      <c r="D196" s="231" t="str">
        <f>VLOOKUP(A196,'Master List'!A:E,4,)</f>
        <v>Removed</v>
      </c>
    </row>
    <row r="197">
      <c r="A197" s="188" t="s">
        <v>1891</v>
      </c>
      <c r="B197" s="231" t="str">
        <f>VLOOKUP(A197,'Master List'!A:E,2,)</f>
        <v>Xbox</v>
      </c>
      <c r="C197" s="190">
        <f>VLOOKUP(A197,'Master List'!A:E,5,)</f>
        <v>44145</v>
      </c>
      <c r="D197" s="231" t="str">
        <f>VLOOKUP(A197,'Master List'!A:E,4,)</f>
        <v>Active</v>
      </c>
    </row>
    <row r="198">
      <c r="A198" s="188" t="s">
        <v>1894</v>
      </c>
      <c r="B198" s="231" t="str">
        <f>VLOOKUP(A198,'Master List'!A:E,2,)</f>
        <v>Xbox</v>
      </c>
      <c r="C198" s="190">
        <f>VLOOKUP(A198,'Master List'!A:E,5,)</f>
        <v>44145</v>
      </c>
      <c r="D198" s="231" t="str">
        <f>VLOOKUP(A198,'Master List'!A:E,4,)</f>
        <v>Active</v>
      </c>
    </row>
    <row r="199">
      <c r="A199" s="188" t="s">
        <v>1896</v>
      </c>
      <c r="B199" s="231" t="str">
        <f>VLOOKUP(A199,'Master List'!A:E,2,)</f>
        <v>Xbox / PC</v>
      </c>
      <c r="C199" s="190">
        <f>VLOOKUP(A199,'Master List'!A:E,5,)</f>
        <v>44145</v>
      </c>
      <c r="D199" s="231" t="str">
        <f>VLOOKUP(A199,'Master List'!A:E,4,)</f>
        <v>Active</v>
      </c>
    </row>
    <row r="200">
      <c r="A200" s="188" t="s">
        <v>1897</v>
      </c>
      <c r="B200" s="231" t="str">
        <f>VLOOKUP(A200,'Master List'!A:E,2,)</f>
        <v>Xbox / PC</v>
      </c>
      <c r="C200" s="190">
        <f>VLOOKUP(A200,'Master List'!A:E,5,)</f>
        <v>44145</v>
      </c>
      <c r="D200" s="231" t="str">
        <f>VLOOKUP(A200,'Master List'!A:E,4,)</f>
        <v>Active</v>
      </c>
    </row>
    <row r="201">
      <c r="A201" s="188" t="s">
        <v>1898</v>
      </c>
      <c r="B201" s="231" t="str">
        <f>VLOOKUP(A201,'Master List'!A:E,2,)</f>
        <v>Xbox / PC</v>
      </c>
      <c r="C201" s="190">
        <f>VLOOKUP(A201,'Master List'!A:E,5,)</f>
        <v>44145</v>
      </c>
      <c r="D201" s="231" t="str">
        <f>VLOOKUP(A201,'Master List'!A:E,4,)</f>
        <v>Active</v>
      </c>
    </row>
    <row r="202">
      <c r="A202" s="188" t="s">
        <v>1899</v>
      </c>
      <c r="B202" s="231" t="str">
        <f>VLOOKUP(A202,'Master List'!A:E,2,)</f>
        <v>Xbox / PC</v>
      </c>
      <c r="C202" s="190">
        <f>VLOOKUP(A202,'Master List'!A:E,5,)</f>
        <v>44145</v>
      </c>
      <c r="D202" s="231" t="str">
        <f>VLOOKUP(A202,'Master List'!A:E,4,)</f>
        <v>Active</v>
      </c>
    </row>
    <row r="203">
      <c r="A203" s="188" t="s">
        <v>3130</v>
      </c>
      <c r="B203" s="231" t="str">
        <f>VLOOKUP(A203,'Master List'!A:E,2,)</f>
        <v>Xbox / PC</v>
      </c>
      <c r="C203" s="190">
        <f>VLOOKUP(A203,'Master List'!A:E,5,)</f>
        <v>44145</v>
      </c>
      <c r="D203" s="231" t="str">
        <f>VLOOKUP(A203,'Master List'!A:E,4,)</f>
        <v>Removed</v>
      </c>
    </row>
    <row r="204">
      <c r="A204" s="188" t="s">
        <v>1900</v>
      </c>
      <c r="B204" s="231" t="str">
        <f>VLOOKUP(A204,'Master List'!A:E,2,)</f>
        <v>Xbox / PC</v>
      </c>
      <c r="C204" s="190">
        <f>VLOOKUP(A204,'Master List'!A:E,5,)</f>
        <v>44145</v>
      </c>
      <c r="D204" s="231" t="str">
        <f>VLOOKUP(A204,'Master List'!A:E,4,)</f>
        <v>Active</v>
      </c>
    </row>
    <row r="205">
      <c r="A205" s="188" t="s">
        <v>1901</v>
      </c>
      <c r="B205" s="231" t="str">
        <f>VLOOKUP(A205,'Master List'!A:E,2,)</f>
        <v>Xbox / PC</v>
      </c>
      <c r="C205" s="190">
        <f>VLOOKUP(A205,'Master List'!A:E,5,)</f>
        <v>44145</v>
      </c>
      <c r="D205" s="231" t="str">
        <f>VLOOKUP(A205,'Master List'!A:E,4,)</f>
        <v>Active</v>
      </c>
    </row>
    <row r="206">
      <c r="A206" s="188" t="s">
        <v>1902</v>
      </c>
      <c r="B206" s="231" t="str">
        <f>VLOOKUP(A206,'Master List'!A:E,2,)</f>
        <v>Xbox / PC</v>
      </c>
      <c r="C206" s="190">
        <f>VLOOKUP(A206,'Master List'!A:E,5,)</f>
        <v>44145</v>
      </c>
      <c r="D206" s="231" t="str">
        <f>VLOOKUP(A206,'Master List'!A:E,4,)</f>
        <v>Active</v>
      </c>
    </row>
    <row r="207">
      <c r="A207" s="188" t="s">
        <v>1903</v>
      </c>
      <c r="B207" s="231" t="str">
        <f>VLOOKUP(A207,'Master List'!A:E,2,)</f>
        <v>Xbox</v>
      </c>
      <c r="C207" s="190">
        <f>VLOOKUP(A207,'Master List'!A:E,5,)</f>
        <v>44145</v>
      </c>
      <c r="D207" s="231" t="str">
        <f>VLOOKUP(A207,'Master List'!A:E,4,)</f>
        <v>Active</v>
      </c>
    </row>
    <row r="208">
      <c r="A208" s="188" t="s">
        <v>1904</v>
      </c>
      <c r="B208" s="231" t="str">
        <f>VLOOKUP(A208,'Master List'!A:E,2,)</f>
        <v>Xbox</v>
      </c>
      <c r="C208" s="190">
        <f>VLOOKUP(A208,'Master List'!A:E,5,)</f>
        <v>44145</v>
      </c>
      <c r="D208" s="231" t="str">
        <f>VLOOKUP(A208,'Master List'!A:E,4,)</f>
        <v>Active</v>
      </c>
    </row>
    <row r="209">
      <c r="A209" s="188" t="s">
        <v>3102</v>
      </c>
      <c r="B209" s="231" t="str">
        <f>VLOOKUP(A209,'Master List'!A:E,2,)</f>
        <v>Xbox / PC</v>
      </c>
      <c r="C209" s="217">
        <f>VLOOKUP(A209,'Master List'!A:E,5,)</f>
        <v>44042</v>
      </c>
      <c r="D209" s="231" t="str">
        <f>VLOOKUP(A209,'Master List'!A:E,4,)</f>
        <v>Removed</v>
      </c>
    </row>
    <row r="210">
      <c r="A210" s="188" t="s">
        <v>3346</v>
      </c>
      <c r="B210" s="231" t="str">
        <f>VLOOKUP(A210,'Master List'!A:E,2,)</f>
        <v>PC</v>
      </c>
      <c r="C210" s="217">
        <f>VLOOKUP(A210,'Master List'!A:E,5,)</f>
        <v>43837</v>
      </c>
      <c r="D210" s="231" t="str">
        <f>VLOOKUP(A210,'Master List'!A:E,4,)</f>
        <v>Removed</v>
      </c>
    </row>
    <row r="211">
      <c r="A211" s="188" t="s">
        <v>3172</v>
      </c>
      <c r="B211" s="231" t="str">
        <f>VLOOKUP(A211,'Master List'!A:E,2,)</f>
        <v>XB1/Series X|S</v>
      </c>
      <c r="C211" s="217">
        <f>VLOOKUP(A211,'Master List'!A:E,5,)</f>
        <v>44531</v>
      </c>
      <c r="D211" s="231" t="str">
        <f>VLOOKUP(A211,'Master List'!A:E,4,)</f>
        <v>GwG Temporary</v>
      </c>
    </row>
    <row r="212">
      <c r="A212" s="188" t="s">
        <v>2172</v>
      </c>
      <c r="B212" s="231" t="str">
        <f>VLOOKUP(A212,'Master List'!A:E,2,)</f>
        <v>PC</v>
      </c>
      <c r="C212" s="217">
        <f>VLOOKUP(A212,'Master List'!A:E,5,)</f>
        <v>43790</v>
      </c>
      <c r="D212" s="231" t="str">
        <f>VLOOKUP(A212,'Master List'!A:E,4,)</f>
        <v>Removed</v>
      </c>
    </row>
    <row r="213">
      <c r="A213" s="188" t="s">
        <v>3220</v>
      </c>
      <c r="B213" s="231" t="str">
        <f>VLOOKUP(A213,'Master List'!A:E,2,)</f>
        <v>XB1/Series X|S</v>
      </c>
      <c r="C213" s="217">
        <f>VLOOKUP(A213,'Master List'!A:E,5,)</f>
        <v>44424</v>
      </c>
      <c r="D213" s="231" t="str">
        <f>VLOOKUP(A213,'Master List'!A:E,4,)</f>
        <v>GwG Temporary</v>
      </c>
    </row>
    <row r="214">
      <c r="A214" s="188" t="s">
        <v>3083</v>
      </c>
      <c r="B214" s="231" t="str">
        <f>VLOOKUP(A214,'Master List'!A:E,2,)</f>
        <v>XB1/Series X|S</v>
      </c>
      <c r="C214" s="217">
        <f>VLOOKUP(A214,'Master List'!A:E,5,)</f>
        <v>44682</v>
      </c>
      <c r="D214" s="231" t="str">
        <f>VLOOKUP(A214,'Master List'!A:E,4,)</f>
        <v>GwG Temporary</v>
      </c>
    </row>
    <row r="215">
      <c r="A215" s="188" t="s">
        <v>1620</v>
      </c>
      <c r="B215" s="231" t="str">
        <f>VLOOKUP(A215,'Master List'!A:E,2,)</f>
        <v>Xbox / PC</v>
      </c>
      <c r="C215" s="217">
        <f>VLOOKUP(A215,'Master List'!A:E,5,)</f>
        <v>43690</v>
      </c>
      <c r="D215" s="231" t="str">
        <f>VLOOKUP(A215,'Master List'!A:E,4,)</f>
        <v>Active</v>
      </c>
    </row>
    <row r="216">
      <c r="A216" s="188" t="s">
        <v>3337</v>
      </c>
      <c r="B216" s="231" t="str">
        <f>VLOOKUP(A216,'Master List'!A:E,2,)</f>
        <v>PC</v>
      </c>
      <c r="C216" s="217">
        <f>VLOOKUP(A216,'Master List'!A:E,5,)</f>
        <v>43625</v>
      </c>
      <c r="D216" s="231" t="str">
        <f>VLOOKUP(A216,'Master List'!A:E,4,)</f>
        <v>Removed</v>
      </c>
    </row>
    <row r="217">
      <c r="A217" s="188" t="s">
        <v>3349</v>
      </c>
      <c r="B217" s="231" t="str">
        <f>VLOOKUP(A217,'Master List'!A:E,2,)</f>
        <v>PC</v>
      </c>
      <c r="C217" s="217">
        <f>VLOOKUP(A217,'Master List'!A:E,5,)</f>
        <v>43625</v>
      </c>
      <c r="D217" s="231" t="str">
        <f>VLOOKUP(A217,'Master List'!A:E,4,)</f>
        <v>Removed</v>
      </c>
    </row>
    <row r="218">
      <c r="A218" s="188" t="s">
        <v>3136</v>
      </c>
      <c r="B218" s="231" t="str">
        <f>VLOOKUP(A218,'Master List'!A:E,2,)</f>
        <v>Xbox</v>
      </c>
      <c r="C218" s="217">
        <f>VLOOKUP(A218,'Master List'!A:E,5,)</f>
        <v>43625</v>
      </c>
      <c r="D218" s="231" t="str">
        <f>VLOOKUP(A218,'Master List'!A:E,4,)</f>
        <v>Removed</v>
      </c>
    </row>
    <row r="219">
      <c r="A219" s="188" t="s">
        <v>3182</v>
      </c>
      <c r="B219" s="231" t="str">
        <f>VLOOKUP(A219,'Master List'!A:E,2,)</f>
        <v>PC</v>
      </c>
      <c r="C219" s="217">
        <f>VLOOKUP(A219,'Master List'!A:E,5,)</f>
        <v>43622</v>
      </c>
      <c r="D219" s="231" t="str">
        <f>VLOOKUP(A219,'Master List'!A:E,4,)</f>
        <v>Removed</v>
      </c>
    </row>
    <row r="220">
      <c r="A220" s="188" t="s">
        <v>2871</v>
      </c>
      <c r="B220" s="231" t="str">
        <f>VLOOKUP(A220,'Master List'!A:E,2,)</f>
        <v>XB1/Series X|S</v>
      </c>
      <c r="C220" s="217">
        <f>VLOOKUP(A220,'Master List'!A:E,5,)</f>
        <v>44958</v>
      </c>
      <c r="D220" s="231" t="str">
        <f>VLOOKUP(A220,'Master List'!A:E,4,)</f>
        <v>GwG Temporary</v>
      </c>
    </row>
    <row r="221">
      <c r="A221" s="188" t="s">
        <v>2162</v>
      </c>
      <c r="B221" s="231" t="str">
        <f>VLOOKUP(A221,'Master List'!A:E,2,)</f>
        <v>PC</v>
      </c>
      <c r="C221" s="217">
        <f>VLOOKUP(A221,'Master List'!A:E,5,)</f>
        <v>43594</v>
      </c>
      <c r="D221" s="231" t="str">
        <f>VLOOKUP(A221,'Master List'!A:E,4,)</f>
        <v>Removed</v>
      </c>
    </row>
    <row r="222">
      <c r="A222" s="188" t="s">
        <v>3246</v>
      </c>
      <c r="B222" s="231" t="str">
        <f>VLOOKUP(A222,'Master List'!A:E,2,)</f>
        <v>PC</v>
      </c>
      <c r="C222" s="217">
        <f>VLOOKUP(A222,'Master List'!A:E,5,)</f>
        <v>43552</v>
      </c>
      <c r="D222" s="231" t="str">
        <f>VLOOKUP(A222,'Master List'!A:E,4,)</f>
        <v>Removed</v>
      </c>
    </row>
    <row r="223">
      <c r="A223" s="188" t="s">
        <v>3189</v>
      </c>
      <c r="B223" s="231" t="str">
        <f>VLOOKUP(A223,'Master List'!A:E,2,)</f>
        <v>PC</v>
      </c>
      <c r="C223" s="217">
        <f>VLOOKUP(A223,'Master List'!A:E,5,)</f>
        <v>43391</v>
      </c>
      <c r="D223" s="231" t="str">
        <f>VLOOKUP(A223,'Master List'!A:E,4,)</f>
        <v>Removed</v>
      </c>
    </row>
    <row r="224">
      <c r="A224" s="188" t="s">
        <v>3206</v>
      </c>
      <c r="B224" s="231" t="str">
        <f>VLOOKUP(A224,'Master List'!A:E,2,)</f>
        <v>PC</v>
      </c>
      <c r="C224" s="217">
        <f>VLOOKUP(A224,'Master List'!A:E,5,)</f>
        <v>43374</v>
      </c>
      <c r="D224" s="231" t="str">
        <f>VLOOKUP(A224,'Master List'!A:E,4,)</f>
        <v>Removed</v>
      </c>
    </row>
    <row r="225">
      <c r="A225" s="188" t="s">
        <v>2154</v>
      </c>
      <c r="B225" s="231" t="str">
        <f>VLOOKUP(A225,'Master List'!A:E,2,)</f>
        <v>PC</v>
      </c>
      <c r="C225" s="217">
        <f>VLOOKUP(A225,'Master List'!A:E,5,)</f>
        <v>43344</v>
      </c>
      <c r="D225" s="231" t="str">
        <f>VLOOKUP(A225,'Master List'!A:E,4,)</f>
        <v>Removed</v>
      </c>
    </row>
    <row r="226">
      <c r="A226" s="188" t="s">
        <v>3319</v>
      </c>
      <c r="B226" s="231" t="str">
        <f>VLOOKUP(A226,'Master List'!A:E,2,)</f>
        <v>Xbox / PC</v>
      </c>
      <c r="C226" s="217">
        <f>VLOOKUP(A226,'Master List'!A:E,5,)</f>
        <v>43291</v>
      </c>
      <c r="D226" s="231" t="str">
        <f>VLOOKUP(A226,'Master List'!A:E,4,)</f>
        <v>Removed</v>
      </c>
    </row>
    <row r="227">
      <c r="A227" s="188" t="s">
        <v>3190</v>
      </c>
      <c r="B227" s="231" t="str">
        <f>VLOOKUP(A227,'Master List'!A:E,2,)</f>
        <v>PC</v>
      </c>
      <c r="C227" s="217">
        <f>VLOOKUP(A227,'Master List'!A:E,5,)</f>
        <v>43160</v>
      </c>
      <c r="D227" s="231" t="str">
        <f>VLOOKUP(A227,'Master List'!A:E,4,)</f>
        <v>Removed</v>
      </c>
    </row>
    <row r="228">
      <c r="A228" s="188" t="s">
        <v>2005</v>
      </c>
      <c r="B228" s="231" t="str">
        <f>VLOOKUP(A228,'Master List'!A:E,2,)</f>
        <v>Xbox / PC</v>
      </c>
      <c r="C228" s="217">
        <f>VLOOKUP(A228,'Master List'!A:E,5,)</f>
        <v>43070</v>
      </c>
      <c r="D228" s="231" t="str">
        <f>VLOOKUP(A228,'Master List'!A:E,4,)</f>
        <v>Active</v>
      </c>
    </row>
    <row r="229">
      <c r="A229" s="188" t="s">
        <v>3089</v>
      </c>
      <c r="B229" s="231" t="str">
        <f>VLOOKUP(A229,'Master List'!A:E,2,)</f>
        <v>XB1/Series X|S</v>
      </c>
      <c r="C229" s="217">
        <f>VLOOKUP(A229,'Master List'!A:E,5,)</f>
        <v>44667</v>
      </c>
      <c r="D229" s="231" t="str">
        <f>VLOOKUP(A229,'Master List'!A:E,4,)</f>
        <v>GwG Temporary</v>
      </c>
    </row>
  </sheetData>
  <autoFilter ref="$A$1:$D$229"/>
  <conditionalFormatting sqref="A1:D1">
    <cfRule type="expression" dxfId="13" priority="1">
      <formula>#REF!="Coming Soon"</formula>
    </cfRule>
  </conditionalFormatting>
  <conditionalFormatting sqref="A1:D1">
    <cfRule type="expression" dxfId="7" priority="2">
      <formula>#REF!="Removed"</formula>
    </cfRule>
  </conditionalFormatting>
  <conditionalFormatting sqref="A1:D1">
    <cfRule type="expression" dxfId="6" priority="3">
      <formula>MATCH(A1,INDIRECT("'Xbox Game Studios'!A:A"),0)</formula>
    </cfRule>
  </conditionalFormatting>
  <conditionalFormatting sqref="A1:D1">
    <cfRule type="expression" dxfId="10" priority="4">
      <formula>#REF!="Leaving Soon"</formula>
    </cfRule>
  </conditionalFormatting>
  <conditionalFormatting sqref="A1:D1">
    <cfRule type="expression" dxfId="5" priority="5">
      <formula>AND(#REF!&lt;&gt;"",((#REF!-#REF!)/365*12)&lt;1)</formula>
    </cfRule>
  </conditionalFormatting>
  <drawing r:id="rId1"/>
</worksheet>
</file>